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drawings/drawing18.xml" ContentType="application/vnd.openxmlformats-officedocument.drawing+xml"/>
  <Override PartName="/xl/comments23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E:\NUNCA PENDRIVE\2023\Edital Concorrencia\06 Pavimentação Estoril - Etapas 3 e 4\DOCUMENTOS PORTAL\"/>
    </mc:Choice>
  </mc:AlternateContent>
  <xr:revisionPtr revIDLastSave="0" documentId="13_ncr:1_{A03DE0CD-189A-48E8-B30F-C240A21BB6AF}" xr6:coauthVersionLast="47" xr6:coauthVersionMax="47" xr10:uidLastSave="{00000000-0000-0000-0000-000000000000}"/>
  <bookViews>
    <workbookView xWindow="-120" yWindow="-120" windowWidth="29040" windowHeight="15720" tabRatio="921" firstSheet="8" activeTab="8" xr2:uid="{00000000-000D-0000-FFFF-FFFF00000000}"/>
  </bookViews>
  <sheets>
    <sheet name="PAINEL" sheetId="76" state="hidden" r:id="rId1"/>
    <sheet name="Curva ABC" sheetId="78" r:id="rId2"/>
    <sheet name="Pareto" sheetId="96" r:id="rId3"/>
    <sheet name="Planilha6" sheetId="108" state="hidden" r:id="rId4"/>
    <sheet name="Orçamento auxliar" sheetId="98" state="hidden" r:id="rId5"/>
    <sheet name="Orçamento_Não_Deson" sheetId="12" r:id="rId6"/>
    <sheet name="Cronograma_Não_Deson" sheetId="39" r:id="rId7"/>
    <sheet name="CCU_Adm_Local_Não_Deson" sheetId="74" r:id="rId8"/>
    <sheet name="Orçamento_Deson" sheetId="120" r:id="rId9"/>
    <sheet name="Cronograma_Deson" sheetId="134" r:id="rId10"/>
    <sheet name="CCU_Adm_Local_Deson" sheetId="121" r:id="rId11"/>
    <sheet name="Dados_DMT" sheetId="119" r:id="rId12"/>
    <sheet name="Deson_X_Nao_Deson" sheetId="122" state="hidden" r:id="rId13"/>
    <sheet name="Estatística_Deson" sheetId="77" state="hidden" r:id="rId14"/>
    <sheet name="S_Preliminares" sheetId="55" r:id="rId15"/>
    <sheet name="Demolicao" sheetId="118" r:id="rId16"/>
    <sheet name="Dren_Quantificacao" sheetId="43" r:id="rId17"/>
    <sheet name="Dre_Ser_Prelim" sheetId="60" r:id="rId18"/>
    <sheet name="Dre_Terraplenagem" sheetId="58" r:id="rId19"/>
    <sheet name="Dre_Disp_Estruturais" sheetId="59" r:id="rId20"/>
    <sheet name="Bacia_Amortecimento" sheetId="132" state="hidden" r:id="rId21"/>
    <sheet name="Dre_Profunda" sheetId="62" state="hidden" r:id="rId22"/>
    <sheet name="Dre_Fecha_Vala" sheetId="61" r:id="rId23"/>
    <sheet name="Recap_Previo" sheetId="47" state="hidden" r:id="rId24"/>
    <sheet name="Recap_Final" sheetId="63" state="hidden" r:id="rId25"/>
    <sheet name="Pav_Dados" sheetId="44" r:id="rId26"/>
    <sheet name="Pav_Terraplenagem" sheetId="56" r:id="rId27"/>
    <sheet name="Pav_Estrutura" sheetId="37" r:id="rId28"/>
    <sheet name="S_Complementares" sheetId="75" r:id="rId29"/>
    <sheet name="Passeio" sheetId="54" r:id="rId30"/>
    <sheet name="Ciclovia" sheetId="83" state="hidden" r:id="rId31"/>
    <sheet name="Cubação - Canteiro" sheetId="156" state="hidden" r:id="rId32"/>
    <sheet name="Sinal_Via" sheetId="133" r:id="rId33"/>
    <sheet name="MEMÓRIA_PONTE" sheetId="154" state="hidden" r:id="rId34"/>
    <sheet name="Ponto_Onibus" sheetId="87" state="hidden" r:id="rId35"/>
    <sheet name="Calculo numero N" sheetId="68" state="hidden" r:id="rId36"/>
    <sheet name="Geotecnia" sheetId="115" state="hidden" r:id="rId37"/>
    <sheet name="Pav_Dim" sheetId="49" state="hidden" r:id="rId38"/>
    <sheet name="Dren_Dados" sheetId="40" r:id="rId39"/>
    <sheet name="Dren_Dim" sheetId="41" r:id="rId40"/>
    <sheet name="B_Amort_01 -" sheetId="155" r:id="rId41"/>
    <sheet name="Planilha1" sheetId="157" r:id="rId42"/>
    <sheet name="B_Amort_01" sheetId="153" state="hidden" r:id="rId43"/>
  </sheets>
  <externalReferences>
    <externalReference r:id="rId44"/>
    <externalReference r:id="rId45"/>
    <externalReference r:id="rId46"/>
    <externalReference r:id="rId47"/>
    <externalReference r:id="rId48"/>
  </externalReferences>
  <definedNames>
    <definedName name="\c" localSheetId="42">[1]SID_NI_5!#REF!</definedName>
    <definedName name="\c" localSheetId="40">[1]SID_NI_5!#REF!</definedName>
    <definedName name="\c" localSheetId="31">[1]SID_NI_5!#REF!</definedName>
    <definedName name="\c" localSheetId="33">[1]SID_NI_5!#REF!</definedName>
    <definedName name="\c" localSheetId="34">[1]SID_NI_5!#REF!</definedName>
    <definedName name="\c" localSheetId="32">[1]SID_NI_5!#REF!</definedName>
    <definedName name="\c">[1]SID_NI_5!#REF!</definedName>
    <definedName name="\p" localSheetId="31">[1]SID_NI_5!#REF!</definedName>
    <definedName name="\p" localSheetId="33">[1]SID_NI_5!#REF!</definedName>
    <definedName name="\p" localSheetId="34">[1]SID_NI_5!#REF!</definedName>
    <definedName name="\p" localSheetId="32">[1]SID_NI_5!#REF!</definedName>
    <definedName name="\p">[1]SID_NI_5!#REF!</definedName>
    <definedName name="_3" localSheetId="31">#REF!</definedName>
    <definedName name="_3" localSheetId="33">#REF!</definedName>
    <definedName name="_3" localSheetId="37">#REF!</definedName>
    <definedName name="_3" localSheetId="32">#REF!</definedName>
    <definedName name="_3">#REF!</definedName>
    <definedName name="_xlnm._FilterDatabase" localSheetId="20" hidden="1">Bacia_Amortecimento!$K$1:$K$112</definedName>
    <definedName name="_xlnm._FilterDatabase" localSheetId="30" hidden="1">Ciclovia!$K$1:$K$149</definedName>
    <definedName name="_xlnm._FilterDatabase" localSheetId="1" hidden="1">'Curva ABC'!$A$1:$H$12</definedName>
    <definedName name="_xlnm._FilterDatabase" localSheetId="15" hidden="1">Demolicao!$N$1:$N$76</definedName>
    <definedName name="_xlnm._FilterDatabase" localSheetId="19" hidden="1">Dre_Disp_Estruturais!$BN$1:$BN$172</definedName>
    <definedName name="_xlnm._FilterDatabase" localSheetId="22" hidden="1">Dre_Fecha_Vala!$BA$1:$BA$101</definedName>
    <definedName name="_xlnm._FilterDatabase" localSheetId="21" hidden="1">Dre_Profunda!$J$1:$J$120</definedName>
    <definedName name="_xlnm._FilterDatabase" localSheetId="17" hidden="1">Dre_Ser_Prelim!$BN$1:$BN$43</definedName>
    <definedName name="_xlnm._FilterDatabase" localSheetId="18" hidden="1">Dre_Terraplenagem!$BN$1:$BN$222</definedName>
    <definedName name="_xlnm._FilterDatabase" localSheetId="38" hidden="1">Dren_Dados!$A$5:$K$12</definedName>
    <definedName name="_xlnm._FilterDatabase" localSheetId="39" hidden="1">Dren_Dim!$A$11:$AL$15</definedName>
    <definedName name="_xlnm._FilterDatabase" localSheetId="8" hidden="1">Orçamento_Deson!$A$1:$N$1519</definedName>
    <definedName name="_xlnm._FilterDatabase" localSheetId="5" hidden="1">Orçamento_Não_Deson!$B$1:$L$987</definedName>
    <definedName name="_xlnm._FilterDatabase" localSheetId="29" hidden="1">Passeio!$AA$1:$AA$269</definedName>
    <definedName name="_xlnm._FilterDatabase" localSheetId="27" hidden="1">Pav_Estrutura!$AA$1:$AA$138</definedName>
    <definedName name="_xlnm._FilterDatabase" localSheetId="26" hidden="1">Pav_Terraplenagem!$Z$1:$Z$123</definedName>
    <definedName name="_xlnm._FilterDatabase" localSheetId="34" hidden="1">Ponto_Onibus!$J$1:$J$74</definedName>
    <definedName name="_xlnm._FilterDatabase" localSheetId="24" hidden="1">Recap_Final!$L$1:$L$135</definedName>
    <definedName name="_xlnm._FilterDatabase" localSheetId="23" hidden="1">Recap_Previo!$K$1:$K$270</definedName>
    <definedName name="_xlnm._FilterDatabase" localSheetId="28" hidden="1">S_Complementares!$AC$1:$AC$76</definedName>
    <definedName name="_xlnm._FilterDatabase" localSheetId="32" hidden="1">Sinal_Via!$AA$1:$AA$402</definedName>
    <definedName name="a" localSheetId="31">#REF!</definedName>
    <definedName name="a" localSheetId="33">#REF!</definedName>
    <definedName name="a" localSheetId="37">#REF!</definedName>
    <definedName name="a" localSheetId="34">#REF!</definedName>
    <definedName name="a" localSheetId="32">#REF!</definedName>
    <definedName name="a">#REF!</definedName>
    <definedName name="adfhdfhsd" localSheetId="42">[1]SID_NI_5!#REF!</definedName>
    <definedName name="adfhdfhsd" localSheetId="40">[1]SID_NI_5!#REF!</definedName>
    <definedName name="adfhdfhsd" localSheetId="33">[1]SID_NI_5!#REF!</definedName>
    <definedName name="adfhdfhsd">[1]SID_NI_5!#REF!</definedName>
    <definedName name="_xlnm.Print_Area" localSheetId="20">Bacia_Amortecimento!$A$1:$K$110</definedName>
    <definedName name="_xlnm.Print_Area" localSheetId="10">CCU_Adm_Local_Deson!$A$1:$H$70</definedName>
    <definedName name="_xlnm.Print_Area" localSheetId="7">CCU_Adm_Local_Não_Deson!$A$1:$H$70</definedName>
    <definedName name="_xlnm.Print_Area" localSheetId="30">Ciclovia!$A$1:$J$148</definedName>
    <definedName name="_xlnm.Print_Area" localSheetId="9">Cronograma_Deson!$A$1:$X$96</definedName>
    <definedName name="_xlnm.Print_Area" localSheetId="6">Cronograma_Não_Deson!$A$1:$X$96</definedName>
    <definedName name="_xlnm.Print_Area" localSheetId="31">'Cubação - Canteiro'!$A$2:$J$43</definedName>
    <definedName name="_xlnm.Print_Area" localSheetId="1">'Curva ABC'!$A$1:$J$89</definedName>
    <definedName name="_xlnm.Print_Area" localSheetId="11">Dados_DMT!$A$1:$L$35</definedName>
    <definedName name="_xlnm.Print_Area" localSheetId="15">Demolicao!$A$1:$M$76</definedName>
    <definedName name="_xlnm.Print_Area" localSheetId="19">Dre_Disp_Estruturais!$A$1:$BM$172</definedName>
    <definedName name="_xlnm.Print_Area" localSheetId="22">Dre_Fecha_Vala!$A$1:$AZ$101</definedName>
    <definedName name="_xlnm.Print_Area" localSheetId="21">Dre_Profunda!$A$1:$I$119</definedName>
    <definedName name="_xlnm.Print_Area" localSheetId="17">Dre_Ser_Prelim!$A$1:$BM$42</definedName>
    <definedName name="_xlnm.Print_Area" localSheetId="18">Dre_Terraplenagem!$A$1:$BM$222</definedName>
    <definedName name="_xlnm.Print_Area" localSheetId="38">Dren_Dados!#REF!</definedName>
    <definedName name="_xlnm.Print_Area" localSheetId="39">Dren_Dim!$A$1:$AL$15</definedName>
    <definedName name="_xlnm.Print_Area" localSheetId="16">Dren_Quantificacao!$A$1:$BK$157</definedName>
    <definedName name="_xlnm.Print_Area" localSheetId="13">Estatística_Deson!$A$1:$I$37</definedName>
    <definedName name="_xlnm.Print_Area" localSheetId="36">Geotecnia!$A$1:$I$62</definedName>
    <definedName name="_xlnm.Print_Area" localSheetId="33">MEMÓRIA_PONTE!$A$1:$G$671</definedName>
    <definedName name="_xlnm.Print_Area" localSheetId="8">Orçamento_Deson!$A$1:$K$967</definedName>
    <definedName name="_xlnm.Print_Area" localSheetId="5">Orçamento_Não_Deson!$A$1:$K$967</definedName>
    <definedName name="_xlnm.Print_Area" localSheetId="0">PAINEL!$A$1:$N$73</definedName>
    <definedName name="_xlnm.Print_Area" localSheetId="2">Pareto!$A$1:$Q$40</definedName>
    <definedName name="_xlnm.Print_Area" localSheetId="29">Passeio!$A$1:$Z$259</definedName>
    <definedName name="_xlnm.Print_Area" localSheetId="25">Pav_Dados!$A$1:$G$139</definedName>
    <definedName name="_xlnm.Print_Area" localSheetId="37">Pav_Dim!$A$1:$U$65</definedName>
    <definedName name="_xlnm.Print_Area" localSheetId="27">Pav_Estrutura!$A$1:$Z$135</definedName>
    <definedName name="_xlnm.Print_Area" localSheetId="26">Pav_Terraplenagem!$A$1:$Y$120</definedName>
    <definedName name="_xlnm.Print_Area" localSheetId="3">Planilha6!$A$1:$D$220</definedName>
    <definedName name="_xlnm.Print_Area" localSheetId="34">Ponto_Onibus!$A$1:$I$73</definedName>
    <definedName name="_xlnm.Print_Area" localSheetId="24">Recap_Final!$A$1:$K$135</definedName>
    <definedName name="_xlnm.Print_Area" localSheetId="23">Recap_Previo!$A$1:$J$156</definedName>
    <definedName name="_xlnm.Print_Area" localSheetId="28">S_Complementares!$A$1:$AB$75</definedName>
    <definedName name="_xlnm.Print_Area" localSheetId="14">S_Preliminares!$A$1:$N$28</definedName>
    <definedName name="_xlnm.Print_Area" localSheetId="32">Sinal_Via!$A$1:$Z$401</definedName>
    <definedName name="Bananas">#REF!</definedName>
    <definedName name="_xlnm.Database" localSheetId="31">#REF!</definedName>
    <definedName name="_xlnm.Database" localSheetId="39">#REF!</definedName>
    <definedName name="_xlnm.Database" localSheetId="33">#REF!</definedName>
    <definedName name="_xlnm.Database" localSheetId="37">#REF!</definedName>
    <definedName name="_xlnm.Database" localSheetId="27">#REF!</definedName>
    <definedName name="_xlnm.Database">#REF!</definedName>
    <definedName name="BOLETIM" localSheetId="31">#REF!</definedName>
    <definedName name="BOLETIM" localSheetId="37">#REF!</definedName>
    <definedName name="BOLETIM">#REF!</definedName>
    <definedName name="comp" localSheetId="31">#REF!</definedName>
    <definedName name="comp" localSheetId="37">#REF!</definedName>
    <definedName name="comp">#REF!</definedName>
    <definedName name="CONTRATO">[2]APONT!$B$5:$G$426</definedName>
    <definedName name="_xlnm.Criteria" localSheetId="31">#REF!</definedName>
    <definedName name="_xlnm.Criteria" localSheetId="39">#REF!</definedName>
    <definedName name="_xlnm.Criteria" localSheetId="33">#REF!</definedName>
    <definedName name="_xlnm.Criteria" localSheetId="37">#REF!</definedName>
    <definedName name="_xlnm.Criteria" localSheetId="27">#REF!</definedName>
    <definedName name="_xlnm.Criteria">#REF!</definedName>
    <definedName name="Cronograma">[3]APONT!$B$5:$G$426</definedName>
    <definedName name="des" localSheetId="31">#REF!</definedName>
    <definedName name="des" localSheetId="37">#REF!</definedName>
    <definedName name="des" localSheetId="34">#REF!</definedName>
    <definedName name="des" localSheetId="32">#REF!</definedName>
    <definedName name="des">#REF!</definedName>
    <definedName name="dghdfhsdf" localSheetId="42">[1]SID_NI_5!#REF!</definedName>
    <definedName name="dghdfhsdf" localSheetId="40">[1]SID_NI_5!#REF!</definedName>
    <definedName name="dghdfhsdf" localSheetId="33">[1]SID_NI_5!#REF!</definedName>
    <definedName name="dghdfhsdf">[1]SID_NI_5!#REF!</definedName>
    <definedName name="dghzdfhsd" localSheetId="42" hidden="1">{#N/A,#N/A,FALSE,"Pla_Preço";#N/A,#N/A,FALSE,"Crono"}</definedName>
    <definedName name="dghzdfhsd" localSheetId="40" hidden="1">{#N/A,#N/A,FALSE,"Pla_Preço";#N/A,#N/A,FALSE,"Crono"}</definedName>
    <definedName name="dghzdfhsd" localSheetId="33" hidden="1">{#N/A,#N/A,FALSE,"Pla_Preço";#N/A,#N/A,FALSE,"Crono"}</definedName>
    <definedName name="dghzdfhsd" hidden="1">{#N/A,#N/A,FALSE,"Pla_Preço";#N/A,#N/A,FALSE,"Crono"}</definedName>
    <definedName name="dsghnfxgvnjxf" localSheetId="42">#REF!</definedName>
    <definedName name="dsghnfxgvnjxf" localSheetId="40">#REF!</definedName>
    <definedName name="dsghnfxgvnjxf" localSheetId="33">#REF!</definedName>
    <definedName name="dsghnfxgvnjxf">#REF!</definedName>
    <definedName name="dsgjhxgn" localSheetId="42" hidden="1">{#N/A,#N/A,FALSE,"Pla_Preço";#N/A,#N/A,FALSE,"Crono"}</definedName>
    <definedName name="dsgjhxgn" localSheetId="40" hidden="1">{#N/A,#N/A,FALSE,"Pla_Preço";#N/A,#N/A,FALSE,"Crono"}</definedName>
    <definedName name="dsgjhxgn" localSheetId="33" hidden="1">{#N/A,#N/A,FALSE,"Pla_Preço";#N/A,#N/A,FALSE,"Crono"}</definedName>
    <definedName name="dsgjhxgn" hidden="1">{#N/A,#N/A,FALSE,"Pla_Preço";#N/A,#N/A,FALSE,"Crono"}</definedName>
    <definedName name="Eu" localSheetId="42">#REF!</definedName>
    <definedName name="Eu" localSheetId="40">#REF!</definedName>
    <definedName name="Eu" localSheetId="31">#REF!</definedName>
    <definedName name="Eu" localSheetId="33">#REF!</definedName>
    <definedName name="Eu" localSheetId="37">#REF!</definedName>
    <definedName name="Eu" localSheetId="32">#REF!</definedName>
    <definedName name="Eu">#REF!</definedName>
    <definedName name="extenção" localSheetId="37">#REF!</definedName>
    <definedName name="extenção">#REF!</definedName>
    <definedName name="fhdfhsfd" localSheetId="42">[1]SID_NI_5!#REF!</definedName>
    <definedName name="fhdfhsfd" localSheetId="40">[1]SID_NI_5!#REF!</definedName>
    <definedName name="fhdfhsfd" localSheetId="33">[1]SID_NI_5!#REF!</definedName>
    <definedName name="fhdfhsfd">[1]SID_NI_5!#REF!</definedName>
    <definedName name="ghgh" localSheetId="42">#REF!</definedName>
    <definedName name="ghgh" localSheetId="40">#REF!</definedName>
    <definedName name="ghgh" localSheetId="33">#REF!</definedName>
    <definedName name="ghgh">#REF!</definedName>
    <definedName name="grp_GuieMeChave">"shp_BraceBottom,txt_WalkMeBrace,shp_BraceLeft"</definedName>
    <definedName name="grp_GuieMeSetas">"shp_ArrowCurved,txt_WalkMeArrows,shp_ArrowStraight"</definedName>
    <definedName name="Imposto_sobre_vendas">0.0825</definedName>
    <definedName name="IMPRIMAÇÃO" localSheetId="42">#REF!</definedName>
    <definedName name="IMPRIMAÇÃO" localSheetId="40">#REF!</definedName>
    <definedName name="IMPRIMAÇÃO" localSheetId="33">#REF!</definedName>
    <definedName name="IMPRIMAÇÃO" localSheetId="37">#REF!</definedName>
    <definedName name="IMPRIMAÇÃO">#REF!</definedName>
    <definedName name="jnxcfhnxc">#REF!</definedName>
    <definedName name="Kincc" localSheetId="37">#REF!</definedName>
    <definedName name="Kincc">#REF!</definedName>
    <definedName name="Koae" localSheetId="37">#REF!</definedName>
    <definedName name="Koae">#REF!</definedName>
    <definedName name="Kp" localSheetId="37">#REF!</definedName>
    <definedName name="Kp">#REF!</definedName>
    <definedName name="Kt" localSheetId="37">#REF!</definedName>
    <definedName name="Kt">#REF!</definedName>
    <definedName name="Laranjas">#REF!</definedName>
    <definedName name="Limões">#REF!</definedName>
    <definedName name="lst_Fruta">#REF!</definedName>
    <definedName name="lst_TipoDeFruta">#REF!</definedName>
    <definedName name="Maçãs">#REF!</definedName>
    <definedName name="mmm">#REF!</definedName>
    <definedName name="Payment_Needed">"Pagamento necessário"</definedName>
    <definedName name="Print_01" localSheetId="42">#REF!</definedName>
    <definedName name="Print_01" localSheetId="40">#REF!</definedName>
    <definedName name="Print_01" localSheetId="33">#REF!</definedName>
    <definedName name="Print_01">#REF!</definedName>
    <definedName name="Print_Area_MI" localSheetId="31">#REF!</definedName>
    <definedName name="Print_Area_MI" localSheetId="38">#REF!</definedName>
    <definedName name="Print_Area_MI" localSheetId="37">#REF!</definedName>
    <definedName name="Print_Area_MI" localSheetId="27">#REF!</definedName>
    <definedName name="Print_Area_MI">#REF!</definedName>
    <definedName name="qadfhnbxfc">#REF!</definedName>
    <definedName name="Reimbursement">"Reembolso"</definedName>
    <definedName name="Remessa">1.25</definedName>
    <definedName name="_xlnm.Print_Titles" localSheetId="9">Cronograma_Deson!$A:$E</definedName>
    <definedName name="_xlnm.Print_Titles" localSheetId="6">Cronograma_Não_Deson!$A:$E,Cronograma_Não_Deson!$1:$8</definedName>
    <definedName name="_xlnm.Print_Titles" localSheetId="1">'Curva ABC'!$12:$12</definedName>
    <definedName name="_xlnm.Print_Titles" localSheetId="19">Dre_Disp_Estruturais!$A:$C</definedName>
    <definedName name="_xlnm.Print_Titles" localSheetId="22">Dre_Fecha_Vala!$A:$C</definedName>
    <definedName name="_xlnm.Print_Titles" localSheetId="21">Dre_Profunda!$A:$C</definedName>
    <definedName name="_xlnm.Print_Titles" localSheetId="17">Dre_Ser_Prelim!$A:$C</definedName>
    <definedName name="_xlnm.Print_Titles" localSheetId="18">Dre_Terraplenagem!$A:$C</definedName>
    <definedName name="_xlnm.Print_Titles" localSheetId="38">Dren_Dados!$A:$A,Dren_Dados!$2:$8</definedName>
    <definedName name="_xlnm.Print_Titles" localSheetId="39">Dren_Dim!$1:$10</definedName>
    <definedName name="_xlnm.Print_Titles" localSheetId="8">Orçamento_Deson!$34:$34</definedName>
    <definedName name="_xlnm.Print_Titles" localSheetId="5">Orçamento_Não_Deson!$34:$34</definedName>
    <definedName name="_xlnm.Print_Titles" localSheetId="29">Passeio!$A:$D</definedName>
    <definedName name="_xlnm.Print_Titles" localSheetId="27">Pav_Estrutura!$A:$D</definedName>
    <definedName name="_xlnm.Print_Titles" localSheetId="26">Pav_Terraplenagem!$A:$C</definedName>
    <definedName name="_xlnm.Print_Titles" localSheetId="34">Ponto_Onibus!$A:$C</definedName>
    <definedName name="_xlnm.Print_Titles" localSheetId="24">Recap_Final!$A:$D</definedName>
    <definedName name="_xlnm.Print_Titles" localSheetId="23">Recap_Previo!$A:$C</definedName>
    <definedName name="_xlnm.Print_Titles" localSheetId="28">S_Complementares!$A:$C</definedName>
    <definedName name="_xlnm.Print_Titles" localSheetId="32">Sinal_Via!$1:$1</definedName>
    <definedName name="TSD" localSheetId="31">#REF!</definedName>
    <definedName name="TSD" localSheetId="37">#REF!</definedName>
    <definedName name="TSD" localSheetId="34">#REF!</definedName>
    <definedName name="TSD" localSheetId="32">#REF!</definedName>
    <definedName name="TSD">#REF!</definedName>
    <definedName name="wdgadfgdsz" localSheetId="42">[1]SID_NI_5!#REF!</definedName>
    <definedName name="wdgadfgdsz" localSheetId="40">[1]SID_NI_5!#REF!</definedName>
    <definedName name="wdgadfgdsz" localSheetId="33">[1]SID_NI_5!#REF!</definedName>
    <definedName name="wdgadfgdsz">[1]SID_NI_5!#REF!</definedName>
    <definedName name="wrn.preco." localSheetId="42" hidden="1">{#N/A,#N/A,FALSE,"Pla_Preço";#N/A,#N/A,FALSE,"Crono"}</definedName>
    <definedName name="wrn.preco." localSheetId="40" hidden="1">{#N/A,#N/A,FALSE,"Pla_Preço";#N/A,#N/A,FALSE,"Crono"}</definedName>
    <definedName name="wrn.preco." localSheetId="31" hidden="1">{#N/A,#N/A,FALSE,"Pla_Preço";#N/A,#N/A,FALSE,"Crono"}</definedName>
    <definedName name="wrn.preco." localSheetId="33" hidden="1">{#N/A,#N/A,FALSE,"Pla_Preço";#N/A,#N/A,FALSE,"Crono"}</definedName>
    <definedName name="wrn.preco." localSheetId="37" hidden="1">{#N/A,#N/A,FALSE,"Pla_Preço";#N/A,#N/A,FALSE,"Crono"}</definedName>
    <definedName name="wrn.preco." localSheetId="34" hidden="1">{#N/A,#N/A,FALSE,"Pla_Preço";#N/A,#N/A,FALSE,"Crono"}</definedName>
    <definedName name="wrn.preco." localSheetId="32" hidden="1">{#N/A,#N/A,FALSE,"Pla_Preço";#N/A,#N/A,FALSE,"Crono"}</definedName>
    <definedName name="wrn.preco." hidden="1">{#N/A,#N/A,FALSE,"Pla_Preço";#N/A,#N/A,FALSE,"Crono"}</definedName>
  </definedNames>
  <calcPr calcId="191028"/>
  <pivotCaches>
    <pivotCache cacheId="0" r:id="rId49"/>
  </pivotCaches>
  <fileRecoveryPr autoRecover="0"/>
</workbook>
</file>

<file path=xl/calcChain.xml><?xml version="1.0" encoding="utf-8"?>
<calcChain xmlns="http://schemas.openxmlformats.org/spreadsheetml/2006/main">
  <c r="Q69" i="39" l="1"/>
  <c r="I52" i="40" a="1"/>
  <c r="I52" i="40" s="1"/>
  <c r="I51" i="40" a="1"/>
  <c r="I51" i="40" s="1"/>
  <c r="I50" i="40" a="1"/>
  <c r="I50" i="40" s="1"/>
  <c r="I49" i="40" a="1"/>
  <c r="I49" i="40" s="1"/>
  <c r="I48" i="40" a="1"/>
  <c r="I48" i="40" s="1"/>
  <c r="I47" i="40" a="1"/>
  <c r="I47" i="40" s="1"/>
  <c r="I46" i="40" a="1"/>
  <c r="I46" i="40" s="1"/>
  <c r="I45" i="40" a="1"/>
  <c r="I45" i="40" s="1"/>
  <c r="I44" i="40" a="1"/>
  <c r="I44" i="40" s="1"/>
  <c r="I43" i="40" a="1"/>
  <c r="I43" i="40" s="1"/>
  <c r="I42" i="40" a="1"/>
  <c r="I42" i="40" s="1"/>
  <c r="I41" i="40" a="1"/>
  <c r="I41" i="40" s="1"/>
  <c r="I40" i="40" a="1"/>
  <c r="I40" i="40" s="1"/>
  <c r="I39" i="40" a="1"/>
  <c r="I39" i="40" s="1"/>
  <c r="I38" i="40" a="1"/>
  <c r="I38" i="40" s="1"/>
  <c r="I37" i="40" a="1"/>
  <c r="I37" i="40" s="1"/>
  <c r="I36" i="40" a="1"/>
  <c r="I36" i="40" s="1"/>
  <c r="I35" i="40" a="1"/>
  <c r="I35" i="40" s="1"/>
  <c r="I34" i="40" a="1"/>
  <c r="I34" i="40" s="1"/>
  <c r="I33" i="40" a="1"/>
  <c r="I33" i="40" s="1"/>
  <c r="I32" i="40" a="1"/>
  <c r="I32" i="40" s="1"/>
  <c r="I31" i="40" a="1"/>
  <c r="I31" i="40" s="1"/>
  <c r="I30" i="40" a="1"/>
  <c r="I30" i="40" s="1"/>
  <c r="I29" i="40" a="1"/>
  <c r="I29" i="40" s="1"/>
  <c r="I28" i="40" a="1"/>
  <c r="I28" i="40" s="1"/>
  <c r="I27" i="40" a="1"/>
  <c r="I27" i="40" s="1"/>
  <c r="I26" i="40" a="1"/>
  <c r="I26" i="40" s="1"/>
  <c r="I25" i="40" a="1"/>
  <c r="I25" i="40" s="1"/>
  <c r="I24" i="40" a="1"/>
  <c r="I24" i="40" s="1"/>
  <c r="I23" i="40" a="1"/>
  <c r="I23" i="40" s="1"/>
  <c r="I22" i="40" a="1"/>
  <c r="I22" i="40" s="1"/>
  <c r="I21" i="40" a="1"/>
  <c r="I21" i="40" s="1"/>
  <c r="I20" i="40" a="1"/>
  <c r="I20" i="40" s="1"/>
  <c r="I19" i="40" a="1"/>
  <c r="I19" i="40" s="1"/>
  <c r="I18" i="40" a="1"/>
  <c r="I18" i="40" s="1"/>
  <c r="I17" i="40" a="1"/>
  <c r="I17" i="40" s="1"/>
  <c r="I16" i="40" a="1"/>
  <c r="I16" i="40" s="1"/>
  <c r="I15" i="40" a="1"/>
  <c r="I15" i="40" s="1"/>
  <c r="I14" i="40" a="1"/>
  <c r="I14" i="40" s="1"/>
  <c r="I13" i="40" a="1"/>
  <c r="I13" i="40" s="1"/>
  <c r="I12" i="40" a="1"/>
  <c r="I12" i="40" s="1"/>
  <c r="I11" i="40" a="1"/>
  <c r="I11" i="40" s="1"/>
  <c r="J75" i="118" l="1"/>
  <c r="U2" i="44"/>
  <c r="P68" i="44"/>
  <c r="P2" i="44"/>
  <c r="O2" i="44"/>
  <c r="J68" i="44"/>
  <c r="I68" i="44"/>
  <c r="H68" i="44"/>
  <c r="G68" i="44"/>
  <c r="U187" i="54"/>
  <c r="U177" i="54"/>
  <c r="U145" i="54"/>
  <c r="U35" i="54"/>
  <c r="U20" i="54"/>
  <c r="V187" i="54"/>
  <c r="V177" i="54"/>
  <c r="V145" i="54"/>
  <c r="V35" i="54"/>
  <c r="V20" i="54"/>
  <c r="S187" i="54"/>
  <c r="S177" i="54"/>
  <c r="S145" i="54"/>
  <c r="S20" i="54"/>
  <c r="R187" i="54"/>
  <c r="R177" i="54"/>
  <c r="R145" i="54"/>
  <c r="R20" i="54"/>
  <c r="T187" i="54"/>
  <c r="T177" i="54"/>
  <c r="T145" i="54"/>
  <c r="T35" i="54"/>
  <c r="T20" i="54"/>
  <c r="O187" i="54"/>
  <c r="O177" i="54"/>
  <c r="O145" i="54"/>
  <c r="O35" i="54"/>
  <c r="O20" i="54"/>
  <c r="W145" i="54"/>
  <c r="W20" i="54"/>
  <c r="X145" i="54"/>
  <c r="X20" i="54"/>
  <c r="L145" i="54"/>
  <c r="L20" i="54"/>
  <c r="M145" i="54"/>
  <c r="M20" i="54"/>
  <c r="Q145" i="54"/>
  <c r="Q20" i="54"/>
  <c r="K145" i="54"/>
  <c r="K20" i="54"/>
  <c r="P187" i="54"/>
  <c r="N145" i="54"/>
  <c r="P145" i="54"/>
  <c r="P177" i="54"/>
  <c r="P20" i="54"/>
  <c r="N187" i="54"/>
  <c r="N177" i="54"/>
  <c r="N20" i="54"/>
  <c r="F31" i="121" l="1"/>
  <c r="E31" i="121"/>
  <c r="B31" i="121"/>
  <c r="F30" i="121"/>
  <c r="E30" i="121"/>
  <c r="B30" i="121"/>
  <c r="F29" i="121"/>
  <c r="E29" i="121"/>
  <c r="B29" i="121"/>
  <c r="F28" i="121"/>
  <c r="E28" i="121"/>
  <c r="B28" i="121"/>
  <c r="F27" i="121"/>
  <c r="E27" i="121"/>
  <c r="B27" i="121"/>
  <c r="F26" i="121"/>
  <c r="E26" i="121"/>
  <c r="B26" i="121"/>
  <c r="F25" i="121"/>
  <c r="E25" i="121"/>
  <c r="B25" i="121"/>
  <c r="F24" i="121"/>
  <c r="E24" i="121"/>
  <c r="B24" i="121"/>
  <c r="F23" i="121"/>
  <c r="E23" i="121"/>
  <c r="B23" i="121"/>
  <c r="F22" i="121"/>
  <c r="E22" i="121"/>
  <c r="B22" i="121"/>
  <c r="F21" i="121"/>
  <c r="E21" i="121"/>
  <c r="B21" i="121"/>
  <c r="F15" i="121"/>
  <c r="E15" i="121"/>
  <c r="D15" i="121"/>
  <c r="B15" i="121"/>
  <c r="F14" i="121"/>
  <c r="E14" i="121"/>
  <c r="D14" i="121"/>
  <c r="B14" i="121"/>
  <c r="F13" i="121"/>
  <c r="E13" i="121"/>
  <c r="D13" i="121"/>
  <c r="B13" i="121"/>
  <c r="F12" i="121"/>
  <c r="E12" i="121"/>
  <c r="D12" i="121"/>
  <c r="B12" i="121"/>
  <c r="F11" i="121"/>
  <c r="E11" i="121"/>
  <c r="D11" i="121"/>
  <c r="B11" i="121"/>
  <c r="J4" i="120"/>
  <c r="J3" i="120"/>
  <c r="J2" i="120"/>
  <c r="J1" i="120"/>
  <c r="CO118" i="59"/>
  <c r="CL118" i="59"/>
  <c r="CF118" i="59"/>
  <c r="BW118" i="59"/>
  <c r="CO117" i="59"/>
  <c r="CL117" i="59"/>
  <c r="CF117" i="59"/>
  <c r="BW117" i="59"/>
  <c r="CO116" i="59"/>
  <c r="CL116" i="59"/>
  <c r="CF116" i="59"/>
  <c r="BW116" i="59"/>
  <c r="CO115" i="59"/>
  <c r="CL115" i="59"/>
  <c r="CF115" i="59"/>
  <c r="BW115" i="59"/>
  <c r="CO114" i="59"/>
  <c r="CL114" i="59"/>
  <c r="CF114" i="59"/>
  <c r="BW114" i="59"/>
  <c r="CO113" i="59"/>
  <c r="CL113" i="59"/>
  <c r="CF113" i="59"/>
  <c r="BW113" i="59"/>
  <c r="CP112" i="59"/>
  <c r="CJ112" i="59"/>
  <c r="CA112" i="59"/>
  <c r="BR112" i="59"/>
  <c r="CP111" i="59"/>
  <c r="CJ111" i="59"/>
  <c r="CA111" i="59"/>
  <c r="BR111" i="59"/>
  <c r="CP110" i="59"/>
  <c r="CJ110" i="59"/>
  <c r="CA110" i="59"/>
  <c r="BR110" i="59"/>
  <c r="CQ109" i="59"/>
  <c r="CN109" i="59"/>
  <c r="CJ109" i="59"/>
  <c r="CA109" i="59"/>
  <c r="BR109" i="59"/>
  <c r="CQ108" i="59"/>
  <c r="CN108" i="59"/>
  <c r="CJ108" i="59"/>
  <c r="CA108" i="59"/>
  <c r="BR108" i="59"/>
  <c r="CQ107" i="59"/>
  <c r="CN107" i="59"/>
  <c r="CJ107" i="59"/>
  <c r="CA107" i="59"/>
  <c r="BR107" i="59"/>
  <c r="CQ106" i="59"/>
  <c r="CN106" i="59"/>
  <c r="CJ106" i="59"/>
  <c r="CA106" i="59"/>
  <c r="BR106" i="59"/>
  <c r="CQ105" i="59"/>
  <c r="CN105" i="59"/>
  <c r="CJ105" i="59"/>
  <c r="CA105" i="59"/>
  <c r="BR105" i="59"/>
  <c r="CQ104" i="59"/>
  <c r="CN104" i="59"/>
  <c r="CJ104" i="59"/>
  <c r="CA104" i="59"/>
  <c r="BR104" i="59"/>
  <c r="CU101" i="59"/>
  <c r="CR101" i="59"/>
  <c r="CP101" i="59"/>
  <c r="CN101" i="59"/>
  <c r="CJ101" i="59"/>
  <c r="CG101" i="59"/>
  <c r="CE101" i="59"/>
  <c r="CC101" i="59"/>
  <c r="CA101" i="59"/>
  <c r="BX101" i="59"/>
  <c r="BV101" i="59"/>
  <c r="BT101" i="59"/>
  <c r="BR101" i="59"/>
  <c r="BO101" i="59"/>
  <c r="CU100" i="59"/>
  <c r="CR100" i="59"/>
  <c r="CP100" i="59"/>
  <c r="CN100" i="59"/>
  <c r="CJ100" i="59"/>
  <c r="CG100" i="59"/>
  <c r="CE100" i="59"/>
  <c r="CC100" i="59"/>
  <c r="CA100" i="59"/>
  <c r="BX100" i="59"/>
  <c r="BV100" i="59"/>
  <c r="BT100" i="59"/>
  <c r="BR100" i="59"/>
  <c r="BO100" i="59"/>
  <c r="CU99" i="59"/>
  <c r="CR99" i="59"/>
  <c r="CP99" i="59"/>
  <c r="CN99" i="59"/>
  <c r="CJ99" i="59"/>
  <c r="CG99" i="59"/>
  <c r="CE99" i="59"/>
  <c r="CC99" i="59"/>
  <c r="CA99" i="59"/>
  <c r="BX99" i="59"/>
  <c r="BV99" i="59"/>
  <c r="BT99" i="59"/>
  <c r="BR99" i="59"/>
  <c r="BO99" i="59"/>
  <c r="CU82" i="59"/>
  <c r="CR82" i="59"/>
  <c r="CN82" i="59"/>
  <c r="CE82" i="59"/>
  <c r="CC82" i="59"/>
  <c r="BV82" i="59"/>
  <c r="BT82" i="59"/>
  <c r="BR82" i="59"/>
  <c r="CU81" i="59"/>
  <c r="CN81" i="59"/>
  <c r="CJ81" i="59"/>
  <c r="CE81" i="59"/>
  <c r="CC81" i="59"/>
  <c r="CA81" i="59"/>
  <c r="BV81" i="59"/>
  <c r="BT81" i="59"/>
  <c r="BR81" i="59"/>
  <c r="CU80" i="59"/>
  <c r="CN80" i="59"/>
  <c r="CJ80" i="59"/>
  <c r="CE80" i="59"/>
  <c r="CC80" i="59"/>
  <c r="CA80" i="59"/>
  <c r="BV80" i="59"/>
  <c r="BT80" i="59"/>
  <c r="BR80" i="59"/>
  <c r="CU79" i="59"/>
  <c r="CN79" i="59"/>
  <c r="CJ79" i="59"/>
  <c r="CE79" i="59"/>
  <c r="CC79" i="59"/>
  <c r="CA79" i="59"/>
  <c r="BV79" i="59"/>
  <c r="BT79" i="59"/>
  <c r="BR79" i="59"/>
  <c r="CU78" i="59"/>
  <c r="CN78" i="59"/>
  <c r="CJ78" i="59"/>
  <c r="CE78" i="59"/>
  <c r="CC78" i="59"/>
  <c r="CA78" i="59"/>
  <c r="BV78" i="59"/>
  <c r="BT78" i="59"/>
  <c r="BR78" i="59"/>
  <c r="CU77" i="59"/>
  <c r="CN77" i="59"/>
  <c r="CJ77" i="59"/>
  <c r="CE77" i="59"/>
  <c r="CC77" i="59"/>
  <c r="CA77" i="59"/>
  <c r="BV77" i="59"/>
  <c r="BT77" i="59"/>
  <c r="BR77" i="59"/>
  <c r="CU76" i="59"/>
  <c r="CN76" i="59"/>
  <c r="CJ76" i="59"/>
  <c r="CE76" i="59"/>
  <c r="CC76" i="59"/>
  <c r="CA76" i="59"/>
  <c r="BV76" i="59"/>
  <c r="BT76" i="59"/>
  <c r="BR76" i="59"/>
  <c r="CV66" i="59"/>
  <c r="CN66" i="59"/>
  <c r="CM66" i="59"/>
  <c r="CJ66" i="59"/>
  <c r="CE66" i="59"/>
  <c r="CC66" i="59"/>
  <c r="CA66" i="59"/>
  <c r="BV66" i="59"/>
  <c r="BT66" i="59"/>
  <c r="BR66" i="59"/>
  <c r="CU65" i="59"/>
  <c r="CR65" i="59"/>
  <c r="CP65" i="59"/>
  <c r="CN65" i="59"/>
  <c r="CJ65" i="59"/>
  <c r="CG65" i="59"/>
  <c r="CE65" i="59"/>
  <c r="CC65" i="59"/>
  <c r="CA65" i="59"/>
  <c r="BX65" i="59"/>
  <c r="BV65" i="59"/>
  <c r="BT65" i="59"/>
  <c r="BR65" i="59"/>
  <c r="BO65" i="59"/>
  <c r="CU64" i="59"/>
  <c r="CR64" i="59"/>
  <c r="CP64" i="59"/>
  <c r="CN64" i="59"/>
  <c r="CJ64" i="59"/>
  <c r="CG64" i="59"/>
  <c r="CE64" i="59"/>
  <c r="CC64" i="59"/>
  <c r="CA64" i="59"/>
  <c r="BX64" i="59"/>
  <c r="BV64" i="59"/>
  <c r="BT64" i="59"/>
  <c r="BR64" i="59"/>
  <c r="BO64" i="59"/>
  <c r="CU63" i="59"/>
  <c r="CR63" i="59"/>
  <c r="CP63" i="59"/>
  <c r="CN63" i="59"/>
  <c r="CJ63" i="59"/>
  <c r="CG63" i="59"/>
  <c r="CE63" i="59"/>
  <c r="CC63" i="59"/>
  <c r="CA63" i="59"/>
  <c r="BX63" i="59"/>
  <c r="BV63" i="59"/>
  <c r="BT63" i="59"/>
  <c r="BR63" i="59"/>
  <c r="BO63" i="59"/>
  <c r="CU62" i="59"/>
  <c r="CR62" i="59"/>
  <c r="CP62" i="59"/>
  <c r="CN62" i="59"/>
  <c r="CJ62" i="59"/>
  <c r="CG62" i="59"/>
  <c r="CE62" i="59"/>
  <c r="CC62" i="59"/>
  <c r="CA62" i="59"/>
  <c r="BX62" i="59"/>
  <c r="BV62" i="59"/>
  <c r="BT62" i="59"/>
  <c r="BR62" i="59"/>
  <c r="BO62" i="59"/>
  <c r="CU61" i="59"/>
  <c r="CR61" i="59"/>
  <c r="CP61" i="59"/>
  <c r="CN61" i="59"/>
  <c r="CJ61" i="59"/>
  <c r="CG61" i="59"/>
  <c r="CE61" i="59"/>
  <c r="CC61" i="59"/>
  <c r="CA61" i="59"/>
  <c r="BX61" i="59"/>
  <c r="BV61" i="59"/>
  <c r="BT61" i="59"/>
  <c r="BR61" i="59"/>
  <c r="BO61" i="59"/>
  <c r="CU60" i="59"/>
  <c r="CR60" i="59"/>
  <c r="CP60" i="59"/>
  <c r="CN60" i="59"/>
  <c r="CJ60" i="59"/>
  <c r="CG60" i="59"/>
  <c r="CE60" i="59"/>
  <c r="CC60" i="59"/>
  <c r="CA60" i="59"/>
  <c r="BX60" i="59"/>
  <c r="BV60" i="59"/>
  <c r="BT60" i="59"/>
  <c r="BR60" i="59"/>
  <c r="BO60" i="59"/>
  <c r="B31" i="74"/>
  <c r="B30" i="74"/>
  <c r="B29" i="74"/>
  <c r="B28" i="74"/>
  <c r="B27" i="74"/>
  <c r="B26" i="74"/>
  <c r="B25" i="74"/>
  <c r="B24" i="74"/>
  <c r="B23" i="74"/>
  <c r="B22" i="74"/>
  <c r="B21" i="74"/>
  <c r="F15" i="74"/>
  <c r="E15" i="74"/>
  <c r="D15" i="74"/>
  <c r="B15" i="74"/>
  <c r="F14" i="74"/>
  <c r="E14" i="74"/>
  <c r="D14" i="74"/>
  <c r="B14" i="74"/>
  <c r="D13" i="74"/>
  <c r="D12" i="74"/>
  <c r="D11" i="74"/>
  <c r="G965" i="12"/>
  <c r="F965" i="12"/>
  <c r="D965" i="12"/>
  <c r="C965" i="12"/>
  <c r="G964" i="12"/>
  <c r="F964" i="12"/>
  <c r="D964" i="12"/>
  <c r="C964" i="12"/>
  <c r="G963" i="12"/>
  <c r="F963" i="12"/>
  <c r="D963" i="12"/>
  <c r="C963" i="12"/>
  <c r="G962" i="12"/>
  <c r="F962" i="12"/>
  <c r="D962" i="12"/>
  <c r="C962" i="12"/>
  <c r="G961" i="12"/>
  <c r="F961" i="12"/>
  <c r="D961" i="12"/>
  <c r="C961" i="12"/>
  <c r="G960" i="12"/>
  <c r="F960" i="12"/>
  <c r="D960" i="12"/>
  <c r="C960" i="12"/>
  <c r="G959" i="12"/>
  <c r="F959" i="12"/>
  <c r="D959" i="12"/>
  <c r="C959" i="12"/>
  <c r="G958" i="12"/>
  <c r="F958" i="12"/>
  <c r="D958" i="12"/>
  <c r="C958" i="12"/>
  <c r="G957" i="12"/>
  <c r="F957" i="12"/>
  <c r="D957" i="12"/>
  <c r="C957" i="12"/>
  <c r="G956" i="12"/>
  <c r="F956" i="12"/>
  <c r="D956" i="12"/>
  <c r="C956" i="12"/>
  <c r="G955" i="12"/>
  <c r="F955" i="12"/>
  <c r="D955" i="12"/>
  <c r="C955" i="12"/>
  <c r="G954" i="12"/>
  <c r="F954" i="12"/>
  <c r="D954" i="12"/>
  <c r="C954" i="12"/>
  <c r="G953" i="12"/>
  <c r="F953" i="12"/>
  <c r="D953" i="12"/>
  <c r="C953" i="12"/>
  <c r="G952" i="12"/>
  <c r="F952" i="12"/>
  <c r="D952" i="12"/>
  <c r="C952" i="12"/>
  <c r="G951" i="12"/>
  <c r="F951" i="12"/>
  <c r="D951" i="12"/>
  <c r="C951" i="12"/>
  <c r="G950" i="12"/>
  <c r="F950" i="12"/>
  <c r="D950" i="12"/>
  <c r="C950" i="12"/>
  <c r="G949" i="12"/>
  <c r="F949" i="12"/>
  <c r="D949" i="12"/>
  <c r="C949" i="12"/>
  <c r="G948" i="12"/>
  <c r="F948" i="12"/>
  <c r="D948" i="12"/>
  <c r="C948" i="12"/>
  <c r="G947" i="12"/>
  <c r="F947" i="12"/>
  <c r="D947" i="12"/>
  <c r="C947" i="12"/>
  <c r="G946" i="12"/>
  <c r="F946" i="12"/>
  <c r="D946" i="12"/>
  <c r="C946" i="12"/>
  <c r="G945" i="12"/>
  <c r="F945" i="12"/>
  <c r="D945" i="12"/>
  <c r="C945" i="12"/>
  <c r="G944" i="12"/>
  <c r="F944" i="12"/>
  <c r="D944" i="12"/>
  <c r="C944" i="12"/>
  <c r="G943" i="12"/>
  <c r="F943" i="12"/>
  <c r="D943" i="12"/>
  <c r="C943" i="12"/>
  <c r="G942" i="12"/>
  <c r="F942" i="12"/>
  <c r="D942" i="12"/>
  <c r="C942" i="12"/>
  <c r="G941" i="12"/>
  <c r="F941" i="12"/>
  <c r="D941" i="12"/>
  <c r="C941" i="12"/>
  <c r="G940" i="12"/>
  <c r="F940" i="12"/>
  <c r="D940" i="12"/>
  <c r="C940" i="12"/>
  <c r="G939" i="12"/>
  <c r="F939" i="12"/>
  <c r="D939" i="12"/>
  <c r="C939" i="12"/>
  <c r="G938" i="12"/>
  <c r="F938" i="12"/>
  <c r="D938" i="12"/>
  <c r="C938" i="12"/>
  <c r="G937" i="12"/>
  <c r="F937" i="12"/>
  <c r="D937" i="12"/>
  <c r="C937" i="12"/>
  <c r="G936" i="12"/>
  <c r="F936" i="12"/>
  <c r="D936" i="12"/>
  <c r="C936" i="12"/>
  <c r="G935" i="12"/>
  <c r="F935" i="12"/>
  <c r="D935" i="12"/>
  <c r="C935" i="12"/>
  <c r="G934" i="12"/>
  <c r="F934" i="12"/>
  <c r="D934" i="12"/>
  <c r="C934" i="12"/>
  <c r="G933" i="12"/>
  <c r="F933" i="12"/>
  <c r="D933" i="12"/>
  <c r="C933" i="12"/>
  <c r="G932" i="12"/>
  <c r="F932" i="12"/>
  <c r="D932" i="12"/>
  <c r="C932" i="12"/>
  <c r="G931" i="12"/>
  <c r="F931" i="12"/>
  <c r="D931" i="12"/>
  <c r="C931" i="12"/>
  <c r="G930" i="12"/>
  <c r="F930" i="12"/>
  <c r="D930" i="12"/>
  <c r="C930" i="12"/>
  <c r="G929" i="12"/>
  <c r="F929" i="12"/>
  <c r="D929" i="12"/>
  <c r="C929" i="12"/>
  <c r="M923" i="12"/>
  <c r="M922" i="12"/>
  <c r="M921" i="12"/>
  <c r="M920" i="12"/>
  <c r="M919" i="12"/>
  <c r="M918" i="12"/>
  <c r="M917" i="12"/>
  <c r="M916" i="12"/>
  <c r="M915" i="12"/>
  <c r="M914" i="12"/>
  <c r="M913" i="12"/>
  <c r="M912" i="12"/>
  <c r="M910" i="12"/>
  <c r="M909" i="12"/>
  <c r="M908" i="12"/>
  <c r="M907" i="12"/>
  <c r="M906" i="12"/>
  <c r="M905" i="12"/>
  <c r="M904" i="12"/>
  <c r="M903" i="12"/>
  <c r="M902" i="12"/>
  <c r="M901" i="12"/>
  <c r="M900" i="12"/>
  <c r="M899" i="12"/>
  <c r="M898" i="12"/>
  <c r="M897" i="12"/>
  <c r="M896" i="12"/>
  <c r="N857" i="12"/>
  <c r="N854" i="12"/>
  <c r="M849" i="12"/>
  <c r="N847" i="12"/>
  <c r="N846" i="12"/>
  <c r="N845" i="12"/>
  <c r="N844" i="12"/>
  <c r="N843" i="12"/>
  <c r="N842" i="12"/>
  <c r="N837" i="12"/>
  <c r="N836" i="12"/>
  <c r="N808" i="12"/>
  <c r="N805" i="12"/>
  <c r="N803" i="12"/>
  <c r="N801" i="12"/>
  <c r="N800" i="12"/>
  <c r="N799" i="12"/>
  <c r="N798" i="12"/>
  <c r="N797" i="12"/>
  <c r="N759" i="12"/>
  <c r="M753" i="12"/>
  <c r="N726" i="12"/>
  <c r="N725" i="12"/>
  <c r="N724" i="12"/>
  <c r="N723" i="12"/>
  <c r="N721" i="12"/>
  <c r="N720" i="12"/>
  <c r="N665" i="12"/>
  <c r="N664" i="12"/>
  <c r="N663" i="12"/>
  <c r="N662" i="12"/>
  <c r="N661" i="12"/>
  <c r="N658" i="12"/>
  <c r="N657" i="12"/>
  <c r="N654" i="12"/>
  <c r="N653" i="12"/>
  <c r="N652" i="12"/>
  <c r="N651" i="12"/>
  <c r="N650" i="12"/>
  <c r="N649" i="12"/>
  <c r="N648" i="12"/>
  <c r="N626" i="12"/>
  <c r="M428" i="12"/>
  <c r="M425" i="12"/>
  <c r="N423" i="12"/>
  <c r="N422" i="12"/>
  <c r="M422" i="12"/>
  <c r="N421" i="12"/>
  <c r="N418" i="12"/>
  <c r="N417" i="12"/>
  <c r="N416" i="12"/>
  <c r="N415" i="12"/>
  <c r="N414" i="12"/>
  <c r="N324" i="12"/>
  <c r="N323" i="12"/>
  <c r="C923" i="12"/>
  <c r="C922" i="12"/>
  <c r="D921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D893" i="12"/>
  <c r="C893" i="12"/>
  <c r="D891" i="12"/>
  <c r="C891" i="12"/>
  <c r="D889" i="12"/>
  <c r="C889" i="12"/>
  <c r="D887" i="12"/>
  <c r="C887" i="12"/>
  <c r="D885" i="12"/>
  <c r="C885" i="12"/>
  <c r="D869" i="12"/>
  <c r="C869" i="12"/>
  <c r="D861" i="12"/>
  <c r="C861" i="12"/>
  <c r="D860" i="12"/>
  <c r="C860" i="12"/>
  <c r="D859" i="12"/>
  <c r="C859" i="12"/>
  <c r="D858" i="12"/>
  <c r="C858" i="12"/>
  <c r="C857" i="12"/>
  <c r="C854" i="12"/>
  <c r="D852" i="12"/>
  <c r="C852" i="12"/>
  <c r="C849" i="12"/>
  <c r="D847" i="12"/>
  <c r="C847" i="12"/>
  <c r="D846" i="12"/>
  <c r="C846" i="12"/>
  <c r="D845" i="12"/>
  <c r="C845" i="12"/>
  <c r="D844" i="12"/>
  <c r="C844" i="12"/>
  <c r="C843" i="12"/>
  <c r="C842" i="12"/>
  <c r="D841" i="12"/>
  <c r="C841" i="12"/>
  <c r="D839" i="12"/>
  <c r="C839" i="12"/>
  <c r="D838" i="12"/>
  <c r="C838" i="12"/>
  <c r="C837" i="12"/>
  <c r="C836" i="12"/>
  <c r="D835" i="12"/>
  <c r="C835" i="12"/>
  <c r="D834" i="12"/>
  <c r="C834" i="12"/>
  <c r="D831" i="12"/>
  <c r="C831" i="12"/>
  <c r="D829" i="12"/>
  <c r="C829" i="12"/>
  <c r="D821" i="12"/>
  <c r="C821" i="12"/>
  <c r="D819" i="12"/>
  <c r="C819" i="12"/>
  <c r="D811" i="12"/>
  <c r="C811" i="12"/>
  <c r="D810" i="12"/>
  <c r="C810" i="12"/>
  <c r="D809" i="12"/>
  <c r="C809" i="12"/>
  <c r="C808" i="12"/>
  <c r="D807" i="12"/>
  <c r="C807" i="12"/>
  <c r="D806" i="12"/>
  <c r="C806" i="12"/>
  <c r="D805" i="12"/>
  <c r="C805" i="12"/>
  <c r="D804" i="12"/>
  <c r="C804" i="12"/>
  <c r="C803" i="12"/>
  <c r="C802" i="12"/>
  <c r="C801" i="12"/>
  <c r="D800" i="12"/>
  <c r="C800" i="12"/>
  <c r="C799" i="12"/>
  <c r="D798" i="12"/>
  <c r="C798" i="12"/>
  <c r="C797" i="12"/>
  <c r="D794" i="12"/>
  <c r="C794" i="12"/>
  <c r="C784" i="12"/>
  <c r="D783" i="12"/>
  <c r="C783" i="12"/>
  <c r="D782" i="12"/>
  <c r="C782" i="12"/>
  <c r="D781" i="12"/>
  <c r="C781" i="12"/>
  <c r="D780" i="12"/>
  <c r="C780" i="12"/>
  <c r="D779" i="12"/>
  <c r="C779" i="12"/>
  <c r="D778" i="12"/>
  <c r="C778" i="12"/>
  <c r="D777" i="12"/>
  <c r="C777" i="12"/>
  <c r="D776" i="12"/>
  <c r="C776" i="12"/>
  <c r="D775" i="12"/>
  <c r="C775" i="12"/>
  <c r="C774" i="12"/>
  <c r="C773" i="12"/>
  <c r="D772" i="12"/>
  <c r="C772" i="12"/>
  <c r="D771" i="12"/>
  <c r="C771" i="12"/>
  <c r="C770" i="12"/>
  <c r="C769" i="12"/>
  <c r="C768" i="12"/>
  <c r="C767" i="12"/>
  <c r="C766" i="12"/>
  <c r="C764" i="12"/>
  <c r="D761" i="12"/>
  <c r="C761" i="12"/>
  <c r="C760" i="12"/>
  <c r="D759" i="12"/>
  <c r="C759" i="12"/>
  <c r="D758" i="12"/>
  <c r="C758" i="12"/>
  <c r="D757" i="12"/>
  <c r="C757" i="12"/>
  <c r="D756" i="12"/>
  <c r="C756" i="12"/>
  <c r="D755" i="12"/>
  <c r="C755" i="12"/>
  <c r="D754" i="12"/>
  <c r="C754" i="12"/>
  <c r="D753" i="12"/>
  <c r="C753" i="12"/>
  <c r="D750" i="12"/>
  <c r="C750" i="12"/>
  <c r="C748" i="12"/>
  <c r="C747" i="12"/>
  <c r="C746" i="12"/>
  <c r="C745" i="12"/>
  <c r="D744" i="12"/>
  <c r="C744" i="12"/>
  <c r="D743" i="12"/>
  <c r="C743" i="12"/>
  <c r="D742" i="12"/>
  <c r="C742" i="12"/>
  <c r="D741" i="12"/>
  <c r="C741" i="12"/>
  <c r="D740" i="12"/>
  <c r="C740" i="12"/>
  <c r="D739" i="12"/>
  <c r="C739" i="12"/>
  <c r="D738" i="12"/>
  <c r="C738" i="12"/>
  <c r="D737" i="12"/>
  <c r="C737" i="12"/>
  <c r="C735" i="12"/>
  <c r="C734" i="12"/>
  <c r="D733" i="12"/>
  <c r="C733" i="12"/>
  <c r="C732" i="12"/>
  <c r="D730" i="12"/>
  <c r="C730" i="12"/>
  <c r="C729" i="12"/>
  <c r="D728" i="12"/>
  <c r="C728" i="12"/>
  <c r="D727" i="12"/>
  <c r="C727" i="12"/>
  <c r="C726" i="12"/>
  <c r="C725" i="12"/>
  <c r="C724" i="12"/>
  <c r="C723" i="12"/>
  <c r="C721" i="12"/>
  <c r="C720" i="12"/>
  <c r="D717" i="12"/>
  <c r="C717" i="12"/>
  <c r="D715" i="12"/>
  <c r="C715" i="12"/>
  <c r="D713" i="12"/>
  <c r="C713" i="12"/>
  <c r="D711" i="12"/>
  <c r="C711" i="12"/>
  <c r="D709" i="12"/>
  <c r="C709" i="12"/>
  <c r="D707" i="12"/>
  <c r="C707" i="12"/>
  <c r="D679" i="12"/>
  <c r="C679" i="12"/>
  <c r="D672" i="12"/>
  <c r="C672" i="12"/>
  <c r="D671" i="12"/>
  <c r="C671" i="12"/>
  <c r="D670" i="12"/>
  <c r="C670" i="12"/>
  <c r="D669" i="12"/>
  <c r="C669" i="12"/>
  <c r="D668" i="12"/>
  <c r="C668" i="12"/>
  <c r="D667" i="12"/>
  <c r="C667" i="12"/>
  <c r="D666" i="12"/>
  <c r="C666" i="12"/>
  <c r="D665" i="12"/>
  <c r="C665" i="12"/>
  <c r="D664" i="12"/>
  <c r="C664" i="12"/>
  <c r="D663" i="12"/>
  <c r="C663" i="12"/>
  <c r="C662" i="12"/>
  <c r="C661" i="12"/>
  <c r="C658" i="12"/>
  <c r="C657" i="12"/>
  <c r="C656" i="12"/>
  <c r="D654" i="12"/>
  <c r="C654" i="12"/>
  <c r="D653" i="12"/>
  <c r="C653" i="12"/>
  <c r="D652" i="12"/>
  <c r="C652" i="12"/>
  <c r="D651" i="12"/>
  <c r="C651" i="12"/>
  <c r="C650" i="12"/>
  <c r="C649" i="12"/>
  <c r="C648" i="12"/>
  <c r="D647" i="12"/>
  <c r="C647" i="12"/>
  <c r="D635" i="12"/>
  <c r="C635" i="12"/>
  <c r="D631" i="12"/>
  <c r="C631" i="12"/>
  <c r="D630" i="12"/>
  <c r="C630" i="12"/>
  <c r="D629" i="12"/>
  <c r="C629" i="12"/>
  <c r="D628" i="12"/>
  <c r="C628" i="12"/>
  <c r="C627" i="12"/>
  <c r="C626" i="12"/>
  <c r="D625" i="12"/>
  <c r="C625" i="12"/>
  <c r="D622" i="12"/>
  <c r="D620" i="12"/>
  <c r="D618" i="12"/>
  <c r="C598" i="12"/>
  <c r="C597" i="12"/>
  <c r="C596" i="12"/>
  <c r="C595" i="12"/>
  <c r="C594" i="12"/>
  <c r="C593" i="12"/>
  <c r="C592" i="12"/>
  <c r="C591" i="12"/>
  <c r="C588" i="12"/>
  <c r="C587" i="12"/>
  <c r="C586" i="12"/>
  <c r="C585" i="12"/>
  <c r="C584" i="12"/>
  <c r="C583" i="12"/>
  <c r="D580" i="12"/>
  <c r="C580" i="12"/>
  <c r="D578" i="12"/>
  <c r="C578" i="12"/>
  <c r="D576" i="12"/>
  <c r="C576" i="12"/>
  <c r="D574" i="12"/>
  <c r="C574" i="12"/>
  <c r="D568" i="12"/>
  <c r="C568" i="12"/>
  <c r="C542" i="12"/>
  <c r="C539" i="12"/>
  <c r="C538" i="12"/>
  <c r="C537" i="12"/>
  <c r="C533" i="12"/>
  <c r="D531" i="12"/>
  <c r="C531" i="12"/>
  <c r="D530" i="12"/>
  <c r="C530" i="12"/>
  <c r="D529" i="12"/>
  <c r="C529" i="12"/>
  <c r="D528" i="12"/>
  <c r="C528" i="12"/>
  <c r="D527" i="12"/>
  <c r="C527" i="12"/>
  <c r="D526" i="12"/>
  <c r="C526" i="12"/>
  <c r="C525" i="12"/>
  <c r="C524" i="12"/>
  <c r="C523" i="12"/>
  <c r="C522" i="12"/>
  <c r="C521" i="12"/>
  <c r="D520" i="12"/>
  <c r="C520" i="12"/>
  <c r="C519" i="12"/>
  <c r="C518" i="12"/>
  <c r="C517" i="12"/>
  <c r="D516" i="12"/>
  <c r="C516" i="12"/>
  <c r="D514" i="12"/>
  <c r="C514" i="12"/>
  <c r="D513" i="12"/>
  <c r="C513" i="12"/>
  <c r="C512" i="12"/>
  <c r="C511" i="12"/>
  <c r="D510" i="12"/>
  <c r="C510" i="12"/>
  <c r="C509" i="12"/>
  <c r="C508" i="12"/>
  <c r="C507" i="12"/>
  <c r="D504" i="12"/>
  <c r="C504" i="12"/>
  <c r="D502" i="12"/>
  <c r="C502" i="12"/>
  <c r="D500" i="12"/>
  <c r="C500" i="12"/>
  <c r="D498" i="12"/>
  <c r="C498" i="12"/>
  <c r="D472" i="12"/>
  <c r="C472" i="12"/>
  <c r="C465" i="12"/>
  <c r="C464" i="12"/>
  <c r="C461" i="12"/>
  <c r="C459" i="12"/>
  <c r="C458" i="12"/>
  <c r="C457" i="12"/>
  <c r="D456" i="12"/>
  <c r="C456" i="12"/>
  <c r="D455" i="12"/>
  <c r="C455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38" i="12"/>
  <c r="C438" i="12"/>
  <c r="D437" i="12"/>
  <c r="C437" i="12"/>
  <c r="C436" i="12"/>
  <c r="D435" i="12"/>
  <c r="C435" i="12"/>
  <c r="D434" i="12"/>
  <c r="C434" i="12"/>
  <c r="C433" i="12"/>
  <c r="C432" i="12"/>
  <c r="C431" i="12"/>
  <c r="D430" i="12"/>
  <c r="C430" i="12"/>
  <c r="D429" i="12"/>
  <c r="C429" i="12"/>
  <c r="D428" i="12"/>
  <c r="C428" i="12"/>
  <c r="C427" i="12"/>
  <c r="D426" i="12"/>
  <c r="C426" i="12"/>
  <c r="D425" i="12"/>
  <c r="C425" i="12"/>
  <c r="D424" i="12"/>
  <c r="C424" i="12"/>
  <c r="C423" i="12"/>
  <c r="D422" i="12"/>
  <c r="C422" i="12"/>
  <c r="C421" i="12"/>
  <c r="C420" i="12"/>
  <c r="C419" i="12"/>
  <c r="C418" i="12"/>
  <c r="C417" i="12"/>
  <c r="C416" i="12"/>
  <c r="C415" i="12"/>
  <c r="C414" i="12"/>
  <c r="D407" i="12"/>
  <c r="C407" i="12"/>
  <c r="D401" i="12"/>
  <c r="C401" i="12"/>
  <c r="D398" i="12"/>
  <c r="C398" i="12"/>
  <c r="D395" i="12"/>
  <c r="C395" i="12"/>
  <c r="C394" i="12"/>
  <c r="D393" i="12"/>
  <c r="C393" i="12"/>
  <c r="C391" i="12"/>
  <c r="C389" i="12"/>
  <c r="D388" i="12"/>
  <c r="C388" i="12"/>
  <c r="C387" i="12"/>
  <c r="C385" i="12"/>
  <c r="C384" i="12"/>
  <c r="D383" i="12"/>
  <c r="C383" i="12"/>
  <c r="D382" i="12"/>
  <c r="C382" i="12"/>
  <c r="D381" i="12"/>
  <c r="C381" i="12"/>
  <c r="D380" i="12"/>
  <c r="C380" i="12"/>
  <c r="C379" i="12"/>
  <c r="C378" i="12"/>
  <c r="D377" i="12"/>
  <c r="C377" i="12"/>
  <c r="C376" i="12"/>
  <c r="D375" i="12"/>
  <c r="C375" i="12"/>
  <c r="C374" i="12"/>
  <c r="C373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5" i="12"/>
  <c r="C365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8" i="12"/>
  <c r="C358" i="12"/>
  <c r="D357" i="12"/>
  <c r="C357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6" i="12"/>
  <c r="C346" i="12"/>
  <c r="C344" i="12"/>
  <c r="C343" i="12"/>
  <c r="C342" i="12"/>
  <c r="C341" i="12"/>
  <c r="D340" i="12"/>
  <c r="C340" i="12"/>
  <c r="D339" i="12"/>
  <c r="C339" i="12"/>
  <c r="D338" i="12"/>
  <c r="C338" i="12"/>
  <c r="D337" i="12"/>
  <c r="C337" i="12"/>
  <c r="D336" i="12"/>
  <c r="C336" i="12"/>
  <c r="D335" i="12"/>
  <c r="C335" i="12"/>
  <c r="D333" i="12"/>
  <c r="C333" i="12"/>
  <c r="D332" i="12"/>
  <c r="C332" i="12"/>
  <c r="D331" i="12"/>
  <c r="C331" i="12"/>
  <c r="D330" i="12"/>
  <c r="C330" i="12"/>
  <c r="C329" i="12"/>
  <c r="D328" i="12"/>
  <c r="C328" i="12"/>
  <c r="D327" i="12"/>
  <c r="C327" i="12"/>
  <c r="D326" i="12"/>
  <c r="C326" i="12"/>
  <c r="C325" i="12"/>
  <c r="C324" i="12"/>
  <c r="D323" i="12"/>
  <c r="C323" i="12"/>
  <c r="D320" i="12"/>
  <c r="C320" i="12"/>
  <c r="C319" i="12"/>
  <c r="C318" i="12"/>
  <c r="C317" i="12"/>
  <c r="D316" i="12"/>
  <c r="C316" i="12"/>
  <c r="N271" i="12"/>
  <c r="N270" i="12"/>
  <c r="N269" i="12"/>
  <c r="M269" i="12"/>
  <c r="N268" i="12"/>
  <c r="N267" i="12"/>
  <c r="N266" i="12"/>
  <c r="M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1" i="12"/>
  <c r="N239" i="12"/>
  <c r="N237" i="12"/>
  <c r="N235" i="12"/>
  <c r="M216" i="12"/>
  <c r="M215" i="12"/>
  <c r="M214" i="12"/>
  <c r="M213" i="12"/>
  <c r="M212" i="12"/>
  <c r="M211" i="12"/>
  <c r="M210" i="12"/>
  <c r="M209" i="12"/>
  <c r="M208" i="12"/>
  <c r="N207" i="12"/>
  <c r="N206" i="12"/>
  <c r="N205" i="12"/>
  <c r="N204" i="12"/>
  <c r="M162" i="12"/>
  <c r="M160" i="12"/>
  <c r="M157" i="12"/>
  <c r="M154" i="12"/>
  <c r="M152" i="12"/>
  <c r="M150" i="12"/>
  <c r="M147" i="12"/>
  <c r="M144" i="12"/>
  <c r="M138" i="12"/>
  <c r="M136" i="12"/>
  <c r="M135" i="12"/>
  <c r="M134" i="12"/>
  <c r="M126" i="12"/>
  <c r="N125" i="12"/>
  <c r="N123" i="12"/>
  <c r="M122" i="12"/>
  <c r="N121" i="12"/>
  <c r="N120" i="12"/>
  <c r="M120" i="12"/>
  <c r="N118" i="12"/>
  <c r="N117" i="12"/>
  <c r="M117" i="12"/>
  <c r="N116" i="12"/>
  <c r="N115" i="12"/>
  <c r="N114" i="12"/>
  <c r="M114" i="12"/>
  <c r="N113" i="12"/>
  <c r="M112" i="12"/>
  <c r="N111" i="12"/>
  <c r="N110" i="12"/>
  <c r="M110" i="12"/>
  <c r="N108" i="12"/>
  <c r="N107" i="12"/>
  <c r="M107" i="12"/>
  <c r="N106" i="12"/>
  <c r="N105" i="12"/>
  <c r="N104" i="12"/>
  <c r="M104" i="12"/>
  <c r="N74" i="12"/>
  <c r="N73" i="12"/>
  <c r="N72" i="12"/>
  <c r="N71" i="12"/>
  <c r="N70" i="12"/>
  <c r="N69" i="12"/>
  <c r="N68" i="12"/>
  <c r="N67" i="12"/>
  <c r="N66" i="12"/>
  <c r="N65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5" i="12"/>
  <c r="C305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2" i="12"/>
  <c r="C292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D265" i="12"/>
  <c r="C265" i="12"/>
  <c r="C264" i="12"/>
  <c r="C263" i="12"/>
  <c r="C262" i="12"/>
  <c r="C261" i="12"/>
  <c r="C260" i="12"/>
  <c r="D259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D242" i="12"/>
  <c r="C242" i="12"/>
  <c r="C241" i="12"/>
  <c r="D240" i="12"/>
  <c r="C240" i="12"/>
  <c r="C239" i="12"/>
  <c r="D238" i="12"/>
  <c r="C238" i="12"/>
  <c r="C237" i="12"/>
  <c r="D236" i="12"/>
  <c r="C236" i="12"/>
  <c r="C235" i="12"/>
  <c r="D234" i="12"/>
  <c r="C234" i="12"/>
  <c r="D233" i="12"/>
  <c r="C233" i="12"/>
  <c r="D232" i="12"/>
  <c r="C232" i="12"/>
  <c r="D231" i="12"/>
  <c r="C231" i="12"/>
  <c r="C230" i="12"/>
  <c r="D229" i="12"/>
  <c r="C229" i="12"/>
  <c r="D228" i="12"/>
  <c r="C228" i="12"/>
  <c r="C227" i="12"/>
  <c r="C226" i="12"/>
  <c r="D225" i="12"/>
  <c r="C225" i="12"/>
  <c r="D224" i="12"/>
  <c r="C224" i="12"/>
  <c r="D223" i="12"/>
  <c r="C223" i="12"/>
  <c r="D222" i="12"/>
  <c r="C222" i="12"/>
  <c r="D221" i="12"/>
  <c r="C221" i="12"/>
  <c r="C220" i="12"/>
  <c r="D219" i="12"/>
  <c r="C219" i="12"/>
  <c r="C218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10" i="12"/>
  <c r="C210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200" i="12"/>
  <c r="C200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2" i="12"/>
  <c r="C192" i="12"/>
  <c r="D191" i="12"/>
  <c r="C191" i="12"/>
  <c r="D190" i="12"/>
  <c r="C190" i="12"/>
  <c r="D189" i="12"/>
  <c r="C189" i="12"/>
  <c r="D188" i="12"/>
  <c r="C188" i="12"/>
  <c r="D187" i="12"/>
  <c r="C187" i="12"/>
  <c r="D186" i="12"/>
  <c r="C186" i="12"/>
  <c r="D185" i="12"/>
  <c r="C185" i="12"/>
  <c r="D184" i="12"/>
  <c r="C184" i="12"/>
  <c r="D171" i="12"/>
  <c r="C171" i="12"/>
  <c r="D167" i="12"/>
  <c r="C167" i="12"/>
  <c r="D166" i="12"/>
  <c r="C166" i="12"/>
  <c r="D165" i="12"/>
  <c r="C165" i="12"/>
  <c r="D164" i="12"/>
  <c r="C164" i="12"/>
  <c r="D163" i="12"/>
  <c r="C163" i="12"/>
  <c r="D162" i="12"/>
  <c r="C162" i="12"/>
  <c r="D161" i="12"/>
  <c r="C161" i="12"/>
  <c r="D160" i="12"/>
  <c r="C160" i="12"/>
  <c r="D159" i="12"/>
  <c r="C159" i="12"/>
  <c r="D158" i="12"/>
  <c r="C158" i="12"/>
  <c r="D157" i="12"/>
  <c r="C157" i="12"/>
  <c r="D156" i="12"/>
  <c r="C156" i="12"/>
  <c r="D155" i="12"/>
  <c r="C155" i="12"/>
  <c r="D154" i="12"/>
  <c r="C154" i="12"/>
  <c r="D153" i="12"/>
  <c r="C153" i="12"/>
  <c r="D152" i="12"/>
  <c r="C152" i="12"/>
  <c r="D151" i="12"/>
  <c r="C151" i="12"/>
  <c r="D150" i="12"/>
  <c r="C150" i="12"/>
  <c r="D149" i="12"/>
  <c r="C149" i="12"/>
  <c r="D148" i="12"/>
  <c r="C148" i="12"/>
  <c r="D147" i="12"/>
  <c r="C147" i="12"/>
  <c r="D146" i="12"/>
  <c r="C146" i="12"/>
  <c r="D145" i="12"/>
  <c r="C145" i="12"/>
  <c r="D144" i="12"/>
  <c r="C144" i="12"/>
  <c r="C143" i="12"/>
  <c r="D142" i="12"/>
  <c r="C142" i="12"/>
  <c r="D141" i="12"/>
  <c r="C141" i="12"/>
  <c r="D140" i="12"/>
  <c r="C140" i="12"/>
  <c r="D139" i="12"/>
  <c r="C139" i="12"/>
  <c r="D138" i="12"/>
  <c r="C138" i="12"/>
  <c r="D137" i="12"/>
  <c r="C137" i="12"/>
  <c r="D136" i="12"/>
  <c r="C136" i="12"/>
  <c r="C135" i="12"/>
  <c r="C134" i="12"/>
  <c r="D133" i="12"/>
  <c r="C133" i="12"/>
  <c r="D132" i="12"/>
  <c r="C132" i="12"/>
  <c r="D131" i="12"/>
  <c r="C131" i="12"/>
  <c r="D130" i="12"/>
  <c r="C130" i="12"/>
  <c r="D129" i="12"/>
  <c r="C129" i="12"/>
  <c r="D128" i="12"/>
  <c r="C128" i="12"/>
  <c r="D127" i="12"/>
  <c r="C127" i="12"/>
  <c r="D126" i="12"/>
  <c r="C126" i="12"/>
  <c r="C125" i="12"/>
  <c r="D124" i="12"/>
  <c r="C124" i="12"/>
  <c r="D123" i="12"/>
  <c r="C123" i="12"/>
  <c r="D122" i="12"/>
  <c r="C122" i="12"/>
  <c r="D121" i="12"/>
  <c r="C121" i="12"/>
  <c r="D120" i="12"/>
  <c r="C120" i="12"/>
  <c r="D119" i="12"/>
  <c r="C119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8" i="12"/>
  <c r="C108" i="12"/>
  <c r="D107" i="12"/>
  <c r="C107" i="12"/>
  <c r="D106" i="12"/>
  <c r="C106" i="12"/>
  <c r="D105" i="12"/>
  <c r="C105" i="12"/>
  <c r="D104" i="12"/>
  <c r="C104" i="12"/>
  <c r="C103" i="12"/>
  <c r="C102" i="12"/>
  <c r="C101" i="12"/>
  <c r="D98" i="12"/>
  <c r="C98" i="12"/>
  <c r="D92" i="12"/>
  <c r="C92" i="12"/>
  <c r="C90" i="12"/>
  <c r="D89" i="12"/>
  <c r="C89" i="12"/>
  <c r="D88" i="12"/>
  <c r="C88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C76" i="12"/>
  <c r="C75" i="12"/>
  <c r="C74" i="12"/>
  <c r="C73" i="12"/>
  <c r="D72" i="12"/>
  <c r="C72" i="12"/>
  <c r="C71" i="12"/>
  <c r="C70" i="12"/>
  <c r="D69" i="12"/>
  <c r="C69" i="12"/>
  <c r="C68" i="12"/>
  <c r="C67" i="12"/>
  <c r="C66" i="12"/>
  <c r="C65" i="12"/>
  <c r="D57" i="12"/>
  <c r="C57" i="12"/>
  <c r="C56" i="12"/>
  <c r="C55" i="12"/>
  <c r="D54" i="12"/>
  <c r="C54" i="12"/>
  <c r="C53" i="12"/>
  <c r="D52" i="12"/>
  <c r="C52" i="12"/>
  <c r="C51" i="12"/>
  <c r="C50" i="12"/>
  <c r="C49" i="12"/>
  <c r="C48" i="12"/>
  <c r="C47" i="12"/>
  <c r="D46" i="12"/>
  <c r="C46" i="12"/>
  <c r="D45" i="12"/>
  <c r="C45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C36" i="12"/>
  <c r="J4" i="12"/>
  <c r="J3" i="12"/>
  <c r="J2" i="12"/>
  <c r="J1" i="12"/>
  <c r="U68" i="44"/>
  <c r="AW151" i="59"/>
  <c r="AV151" i="59"/>
  <c r="AU151" i="59"/>
  <c r="AT151" i="59"/>
  <c r="AS151" i="59"/>
  <c r="AW149" i="59"/>
  <c r="AW150" i="59" s="1"/>
  <c r="AW169" i="59" s="1"/>
  <c r="AW159" i="59" s="1"/>
  <c r="AV149" i="59"/>
  <c r="AV150" i="59" s="1"/>
  <c r="AV169" i="59" s="1"/>
  <c r="AV159" i="59" s="1"/>
  <c r="AU149" i="59"/>
  <c r="AU150" i="59" s="1"/>
  <c r="AU169" i="59" s="1"/>
  <c r="AU159" i="59" s="1"/>
  <c r="AT149" i="59"/>
  <c r="AT150" i="59" s="1"/>
  <c r="AT169" i="59" s="1"/>
  <c r="AT159" i="59" s="1"/>
  <c r="AS149" i="59"/>
  <c r="AS150" i="59" s="1"/>
  <c r="AS169" i="59" s="1"/>
  <c r="AS159" i="59" s="1"/>
  <c r="AW148" i="59"/>
  <c r="AV148" i="59"/>
  <c r="AU148" i="59"/>
  <c r="AT148" i="59"/>
  <c r="AS148" i="59"/>
  <c r="AW146" i="59"/>
  <c r="AW147" i="59" s="1"/>
  <c r="AV146" i="59"/>
  <c r="AV147" i="59" s="1"/>
  <c r="AU146" i="59"/>
  <c r="AU147" i="59" s="1"/>
  <c r="AT146" i="59"/>
  <c r="AT147" i="59" s="1"/>
  <c r="AS146" i="59"/>
  <c r="AS147" i="59" s="1"/>
  <c r="AW145" i="59"/>
  <c r="AV145" i="59"/>
  <c r="AU145" i="59"/>
  <c r="AT145" i="59"/>
  <c r="AS145" i="59"/>
  <c r="AW144" i="59"/>
  <c r="AV144" i="59"/>
  <c r="AU144" i="59"/>
  <c r="AT144" i="59"/>
  <c r="AS144" i="59"/>
  <c r="AW143" i="59"/>
  <c r="AV143" i="59"/>
  <c r="AU143" i="59"/>
  <c r="AT143" i="59"/>
  <c r="AS143" i="59"/>
  <c r="AW142" i="59"/>
  <c r="AV142" i="59"/>
  <c r="AU142" i="59"/>
  <c r="AT142" i="59"/>
  <c r="AS142" i="59"/>
  <c r="AW141" i="59"/>
  <c r="AV141" i="59"/>
  <c r="AU141" i="59"/>
  <c r="AT141" i="59"/>
  <c r="AS141" i="59"/>
  <c r="AW140" i="59"/>
  <c r="AV140" i="59"/>
  <c r="AU140" i="59"/>
  <c r="AT140" i="59"/>
  <c r="AS140" i="59"/>
  <c r="AW139" i="59"/>
  <c r="AV139" i="59"/>
  <c r="AU139" i="59"/>
  <c r="AT139" i="59"/>
  <c r="AS139" i="59"/>
  <c r="AW138" i="59"/>
  <c r="AV138" i="59"/>
  <c r="AU138" i="59"/>
  <c r="AT138" i="59"/>
  <c r="AS138" i="59"/>
  <c r="AW137" i="59"/>
  <c r="AV137" i="59"/>
  <c r="AU137" i="59"/>
  <c r="AT137" i="59"/>
  <c r="AS137" i="59"/>
  <c r="AW136" i="59"/>
  <c r="AV136" i="59"/>
  <c r="AU136" i="59"/>
  <c r="AT136" i="59"/>
  <c r="AS136" i="59"/>
  <c r="AW135" i="59"/>
  <c r="AV135" i="59"/>
  <c r="AU135" i="59"/>
  <c r="AT135" i="59"/>
  <c r="AS135" i="59"/>
  <c r="AW134" i="59"/>
  <c r="AV134" i="59"/>
  <c r="AU134" i="59"/>
  <c r="AT134" i="59"/>
  <c r="AS134" i="59"/>
  <c r="AV133" i="59"/>
  <c r="AT129" i="59"/>
  <c r="AW128" i="59"/>
  <c r="AW133" i="59" s="1"/>
  <c r="AV128" i="59"/>
  <c r="AU128" i="59"/>
  <c r="AT128" i="59"/>
  <c r="AS128" i="59"/>
  <c r="AW127" i="59"/>
  <c r="AV127" i="59"/>
  <c r="AU127" i="59"/>
  <c r="AT127" i="59"/>
  <c r="AS127" i="59"/>
  <c r="AW126" i="59"/>
  <c r="AV126" i="59"/>
  <c r="AU126" i="59"/>
  <c r="AT126" i="59"/>
  <c r="AS126" i="59"/>
  <c r="AW125" i="59"/>
  <c r="AV125" i="59"/>
  <c r="AU125" i="59"/>
  <c r="AT125" i="59"/>
  <c r="AS125" i="59"/>
  <c r="AW124" i="59"/>
  <c r="AW131" i="59" s="1"/>
  <c r="AV124" i="59"/>
  <c r="AV132" i="59" s="1"/>
  <c r="AU124" i="59"/>
  <c r="AU132" i="59" s="1"/>
  <c r="AT124" i="59"/>
  <c r="AT132" i="59" s="1"/>
  <c r="AS124" i="59"/>
  <c r="AS130" i="59" s="1"/>
  <c r="AW123" i="59"/>
  <c r="AW132" i="59" s="1"/>
  <c r="AV123" i="59"/>
  <c r="AU123" i="59"/>
  <c r="AU133" i="59" s="1"/>
  <c r="AT123" i="59"/>
  <c r="AT133" i="59" s="1"/>
  <c r="AS123" i="59"/>
  <c r="AS133" i="59" s="1"/>
  <c r="AW122" i="59"/>
  <c r="AV122" i="59"/>
  <c r="AU122" i="59"/>
  <c r="AT122" i="59"/>
  <c r="AS122" i="59"/>
  <c r="AW121" i="59"/>
  <c r="AV121" i="59"/>
  <c r="AU121" i="59"/>
  <c r="AT121" i="59"/>
  <c r="AS121" i="59"/>
  <c r="AW120" i="59"/>
  <c r="AV120" i="59"/>
  <c r="AU120" i="59"/>
  <c r="AT120" i="59"/>
  <c r="AS120" i="59"/>
  <c r="AW119" i="59"/>
  <c r="AV119" i="59"/>
  <c r="AU119" i="59"/>
  <c r="AT119" i="59"/>
  <c r="AS119" i="59"/>
  <c r="AW118" i="59"/>
  <c r="AV118" i="59"/>
  <c r="AU118" i="59"/>
  <c r="AT118" i="59"/>
  <c r="AS118" i="59"/>
  <c r="AW117" i="59"/>
  <c r="AV117" i="59"/>
  <c r="AU117" i="59"/>
  <c r="AT117" i="59"/>
  <c r="AS117" i="59"/>
  <c r="AW116" i="59"/>
  <c r="AV116" i="59"/>
  <c r="AU116" i="59"/>
  <c r="AT116" i="59"/>
  <c r="AS116" i="59"/>
  <c r="AW115" i="59"/>
  <c r="AV115" i="59"/>
  <c r="AU115" i="59"/>
  <c r="AT115" i="59"/>
  <c r="AS115" i="59"/>
  <c r="AW114" i="59"/>
  <c r="AV114" i="59"/>
  <c r="AU114" i="59"/>
  <c r="AT114" i="59"/>
  <c r="AS114" i="59"/>
  <c r="AW113" i="59"/>
  <c r="AV113" i="59"/>
  <c r="AU113" i="59"/>
  <c r="AT113" i="59"/>
  <c r="AS113" i="59"/>
  <c r="AW112" i="59"/>
  <c r="AV112" i="59"/>
  <c r="AU112" i="59"/>
  <c r="AT112" i="59"/>
  <c r="AS112" i="59"/>
  <c r="AW111" i="59"/>
  <c r="AV111" i="59"/>
  <c r="AU111" i="59"/>
  <c r="AT111" i="59"/>
  <c r="AS111" i="59"/>
  <c r="AW110" i="59"/>
  <c r="AV110" i="59"/>
  <c r="AU110" i="59"/>
  <c r="AT110" i="59"/>
  <c r="AS110" i="59"/>
  <c r="AW109" i="59"/>
  <c r="AV109" i="59"/>
  <c r="AU109" i="59"/>
  <c r="AT109" i="59"/>
  <c r="AS109" i="59"/>
  <c r="AW108" i="59"/>
  <c r="AV108" i="59"/>
  <c r="AU108" i="59"/>
  <c r="AT108" i="59"/>
  <c r="AS108" i="59"/>
  <c r="AW107" i="59"/>
  <c r="AV107" i="59"/>
  <c r="AU107" i="59"/>
  <c r="AT107" i="59"/>
  <c r="AS107" i="59"/>
  <c r="AW106" i="59"/>
  <c r="AV106" i="59"/>
  <c r="AU106" i="59"/>
  <c r="AT106" i="59"/>
  <c r="AS106" i="59"/>
  <c r="AW105" i="59"/>
  <c r="AV105" i="59"/>
  <c r="AU105" i="59"/>
  <c r="AT105" i="59"/>
  <c r="AS105" i="59"/>
  <c r="AW104" i="59"/>
  <c r="AV104" i="59"/>
  <c r="AU104" i="59"/>
  <c r="AT104" i="59"/>
  <c r="AS104" i="59"/>
  <c r="AW103" i="59"/>
  <c r="AV103" i="59"/>
  <c r="AU103" i="59"/>
  <c r="AT103" i="59"/>
  <c r="AS103" i="59"/>
  <c r="AW102" i="59"/>
  <c r="AV102" i="59"/>
  <c r="AU102" i="59"/>
  <c r="AT102" i="59"/>
  <c r="AS102" i="59"/>
  <c r="AW101" i="59"/>
  <c r="AV101" i="59"/>
  <c r="AU101" i="59"/>
  <c r="AT101" i="59"/>
  <c r="AS101" i="59"/>
  <c r="AW100" i="59"/>
  <c r="AV100" i="59"/>
  <c r="AU100" i="59"/>
  <c r="AT100" i="59"/>
  <c r="AS100" i="59"/>
  <c r="AW99" i="59"/>
  <c r="AV99" i="59"/>
  <c r="AU99" i="59"/>
  <c r="AT99" i="59"/>
  <c r="AS99" i="59"/>
  <c r="AW98" i="59"/>
  <c r="AV98" i="59"/>
  <c r="AU98" i="59"/>
  <c r="AT98" i="59"/>
  <c r="AS98" i="59"/>
  <c r="AW97" i="59"/>
  <c r="AV97" i="59"/>
  <c r="AU97" i="59"/>
  <c r="AT97" i="59"/>
  <c r="AS97" i="59"/>
  <c r="AW96" i="59"/>
  <c r="AV96" i="59"/>
  <c r="AU96" i="59"/>
  <c r="AT96" i="59"/>
  <c r="AS96" i="59"/>
  <c r="AW95" i="59"/>
  <c r="AV95" i="59"/>
  <c r="AU95" i="59"/>
  <c r="AT95" i="59"/>
  <c r="AS95" i="59"/>
  <c r="AW94" i="59"/>
  <c r="AV94" i="59"/>
  <c r="AU94" i="59"/>
  <c r="AT94" i="59"/>
  <c r="AS94" i="59"/>
  <c r="AW93" i="59"/>
  <c r="AV93" i="59"/>
  <c r="AU93" i="59"/>
  <c r="AT93" i="59"/>
  <c r="AS93" i="59"/>
  <c r="AW90" i="59"/>
  <c r="AV90" i="59"/>
  <c r="AU90" i="59"/>
  <c r="AT90" i="59"/>
  <c r="AS90" i="59"/>
  <c r="AW89" i="59"/>
  <c r="AV89" i="59"/>
  <c r="AU89" i="59"/>
  <c r="AT89" i="59"/>
  <c r="AS89" i="59"/>
  <c r="AW88" i="59"/>
  <c r="AV88" i="59"/>
  <c r="AU88" i="59"/>
  <c r="AT88" i="59"/>
  <c r="AS88" i="59"/>
  <c r="AW87" i="59"/>
  <c r="AV87" i="59"/>
  <c r="AU87" i="59"/>
  <c r="AT87" i="59"/>
  <c r="AS87" i="59"/>
  <c r="AW86" i="59"/>
  <c r="AV86" i="59"/>
  <c r="AU86" i="59"/>
  <c r="AU92" i="59" s="1"/>
  <c r="AT86" i="59"/>
  <c r="AT92" i="59" s="1"/>
  <c r="AS86" i="59"/>
  <c r="AS92" i="59" s="1"/>
  <c r="AW85" i="59"/>
  <c r="AW92" i="59" s="1"/>
  <c r="AV85" i="59"/>
  <c r="AV92" i="59" s="1"/>
  <c r="AU85" i="59"/>
  <c r="AT85" i="59"/>
  <c r="AS85" i="59"/>
  <c r="AW81" i="59"/>
  <c r="AV81" i="59"/>
  <c r="AU81" i="59"/>
  <c r="AT81" i="59"/>
  <c r="AS81" i="59"/>
  <c r="AW80" i="59"/>
  <c r="AU77" i="59"/>
  <c r="AT77" i="59"/>
  <c r="AS77" i="59"/>
  <c r="AW66" i="59"/>
  <c r="AV66" i="59"/>
  <c r="AU66" i="59"/>
  <c r="AT66" i="59"/>
  <c r="AS66" i="59"/>
  <c r="AW65" i="59"/>
  <c r="AV65" i="59"/>
  <c r="AU65" i="59"/>
  <c r="AT65" i="59"/>
  <c r="AS65" i="59"/>
  <c r="AW64" i="59"/>
  <c r="AV64" i="59"/>
  <c r="AV80" i="59" s="1"/>
  <c r="AU64" i="59"/>
  <c r="AU80" i="59" s="1"/>
  <c r="AT64" i="59"/>
  <c r="AT80" i="59" s="1"/>
  <c r="AS64" i="59"/>
  <c r="AS80" i="59" s="1"/>
  <c r="AW63" i="59"/>
  <c r="AW79" i="59" s="1"/>
  <c r="AV63" i="59"/>
  <c r="AV79" i="59" s="1"/>
  <c r="AU63" i="59"/>
  <c r="AU79" i="59" s="1"/>
  <c r="AT63" i="59"/>
  <c r="AT79" i="59" s="1"/>
  <c r="AS63" i="59"/>
  <c r="AS79" i="59" s="1"/>
  <c r="AW62" i="59"/>
  <c r="AW78" i="59" s="1"/>
  <c r="AV62" i="59"/>
  <c r="AV78" i="59" s="1"/>
  <c r="AU62" i="59"/>
  <c r="AU78" i="59" s="1"/>
  <c r="AT62" i="59"/>
  <c r="AT78" i="59" s="1"/>
  <c r="AS62" i="59"/>
  <c r="AS78" i="59" s="1"/>
  <c r="AW61" i="59"/>
  <c r="AW77" i="59" s="1"/>
  <c r="AV61" i="59"/>
  <c r="AU61" i="59"/>
  <c r="AT61" i="59"/>
  <c r="AS61" i="59"/>
  <c r="AW60" i="59"/>
  <c r="AV60" i="59"/>
  <c r="AU60" i="59"/>
  <c r="AT60" i="59"/>
  <c r="AS60" i="59"/>
  <c r="AW48" i="59"/>
  <c r="AV48" i="59"/>
  <c r="AU48" i="59"/>
  <c r="AT48" i="59"/>
  <c r="AS48" i="59"/>
  <c r="AW46" i="59"/>
  <c r="AV46" i="59"/>
  <c r="AU46" i="59"/>
  <c r="AT46" i="59"/>
  <c r="AS46" i="59"/>
  <c r="AW38" i="59"/>
  <c r="AV38" i="59"/>
  <c r="AU38" i="59"/>
  <c r="AT38" i="59"/>
  <c r="AS38" i="59"/>
  <c r="AW36" i="59"/>
  <c r="AV36" i="59"/>
  <c r="AU36" i="59"/>
  <c r="AT36" i="59"/>
  <c r="AS36" i="59"/>
  <c r="AW14" i="59"/>
  <c r="AV14" i="59"/>
  <c r="AU14" i="59"/>
  <c r="AT14" i="59"/>
  <c r="AS14" i="59"/>
  <c r="AW13" i="59"/>
  <c r="AV13" i="59"/>
  <c r="AU13" i="59"/>
  <c r="AT13" i="59"/>
  <c r="AS13" i="59"/>
  <c r="AW11" i="59"/>
  <c r="AV11" i="59"/>
  <c r="AU11" i="59"/>
  <c r="AT11" i="59"/>
  <c r="AS11" i="59"/>
  <c r="AW10" i="59"/>
  <c r="AV10" i="59"/>
  <c r="AU10" i="59"/>
  <c r="AT10" i="59"/>
  <c r="AS10" i="59"/>
  <c r="AW9" i="59"/>
  <c r="AV9" i="59"/>
  <c r="AU9" i="59"/>
  <c r="AT9" i="59"/>
  <c r="AS9" i="59"/>
  <c r="AH151" i="59"/>
  <c r="AG151" i="59"/>
  <c r="AF151" i="59"/>
  <c r="AE151" i="59"/>
  <c r="AD151" i="59"/>
  <c r="AC151" i="59"/>
  <c r="AB151" i="59"/>
  <c r="AA151" i="59"/>
  <c r="Z151" i="59"/>
  <c r="Y151" i="59"/>
  <c r="AH150" i="59"/>
  <c r="AH169" i="59" s="1"/>
  <c r="AH159" i="59" s="1"/>
  <c r="AG150" i="59"/>
  <c r="AG169" i="59" s="1"/>
  <c r="AG159" i="59" s="1"/>
  <c r="AE150" i="59"/>
  <c r="AE169" i="59" s="1"/>
  <c r="AE159" i="59" s="1"/>
  <c r="AD150" i="59"/>
  <c r="AD169" i="59" s="1"/>
  <c r="AD159" i="59" s="1"/>
  <c r="AC150" i="59"/>
  <c r="AC169" i="59" s="1"/>
  <c r="AC159" i="59" s="1"/>
  <c r="AH149" i="59"/>
  <c r="AG149" i="59"/>
  <c r="AF149" i="59"/>
  <c r="AE149" i="59"/>
  <c r="AD149" i="59"/>
  <c r="AC149" i="59"/>
  <c r="AB149" i="59"/>
  <c r="AB150" i="59" s="1"/>
  <c r="AB169" i="59" s="1"/>
  <c r="AB159" i="59" s="1"/>
  <c r="AA149" i="59"/>
  <c r="AA150" i="59" s="1"/>
  <c r="AA169" i="59" s="1"/>
  <c r="AA159" i="59" s="1"/>
  <c r="Z149" i="59"/>
  <c r="Z150" i="59" s="1"/>
  <c r="Z169" i="59" s="1"/>
  <c r="Z159" i="59" s="1"/>
  <c r="Y149" i="59"/>
  <c r="Y150" i="59" s="1"/>
  <c r="Y169" i="59" s="1"/>
  <c r="Y159" i="59" s="1"/>
  <c r="AH148" i="59"/>
  <c r="AG148" i="59"/>
  <c r="AF148" i="59"/>
  <c r="AF150" i="59" s="1"/>
  <c r="AF169" i="59" s="1"/>
  <c r="AF159" i="59" s="1"/>
  <c r="AE148" i="59"/>
  <c r="AD148" i="59"/>
  <c r="AC148" i="59"/>
  <c r="AB148" i="59"/>
  <c r="AA148" i="59"/>
  <c r="Z148" i="59"/>
  <c r="Y148" i="59"/>
  <c r="AH146" i="59"/>
  <c r="AH147" i="59" s="1"/>
  <c r="AG146" i="59"/>
  <c r="AG147" i="59" s="1"/>
  <c r="AF146" i="59"/>
  <c r="AF147" i="59" s="1"/>
  <c r="AE146" i="59"/>
  <c r="AE147" i="59" s="1"/>
  <c r="AD146" i="59"/>
  <c r="AD147" i="59" s="1"/>
  <c r="AC146" i="59"/>
  <c r="AC147" i="59" s="1"/>
  <c r="AB146" i="59"/>
  <c r="AB147" i="59" s="1"/>
  <c r="AA146" i="59"/>
  <c r="AA147" i="59" s="1"/>
  <c r="Z146" i="59"/>
  <c r="Z147" i="59" s="1"/>
  <c r="Y146" i="59"/>
  <c r="Y147" i="59" s="1"/>
  <c r="AH145" i="59"/>
  <c r="AG145" i="59"/>
  <c r="AF145" i="59"/>
  <c r="AE145" i="59"/>
  <c r="AD145" i="59"/>
  <c r="AC145" i="59"/>
  <c r="AB145" i="59"/>
  <c r="AA145" i="59"/>
  <c r="Z145" i="59"/>
  <c r="Y145" i="59"/>
  <c r="AH144" i="59"/>
  <c r="AG144" i="59"/>
  <c r="AF144" i="59"/>
  <c r="AE144" i="59"/>
  <c r="AD144" i="59"/>
  <c r="AC144" i="59"/>
  <c r="AB144" i="59"/>
  <c r="AA144" i="59"/>
  <c r="Z144" i="59"/>
  <c r="Y144" i="59"/>
  <c r="AH143" i="59"/>
  <c r="AG143" i="59"/>
  <c r="AF143" i="59"/>
  <c r="AE143" i="59"/>
  <c r="AD143" i="59"/>
  <c r="AC143" i="59"/>
  <c r="AB143" i="59"/>
  <c r="AA143" i="59"/>
  <c r="Z143" i="59"/>
  <c r="Y143" i="59"/>
  <c r="AH142" i="59"/>
  <c r="AG142" i="59"/>
  <c r="AF142" i="59"/>
  <c r="AE142" i="59"/>
  <c r="AD142" i="59"/>
  <c r="AC142" i="59"/>
  <c r="AB142" i="59"/>
  <c r="AA142" i="59"/>
  <c r="Z142" i="59"/>
  <c r="Y142" i="59"/>
  <c r="AH141" i="59"/>
  <c r="AG141" i="59"/>
  <c r="AF141" i="59"/>
  <c r="AE141" i="59"/>
  <c r="AD141" i="59"/>
  <c r="AC141" i="59"/>
  <c r="AB141" i="59"/>
  <c r="AA141" i="59"/>
  <c r="Z141" i="59"/>
  <c r="Y141" i="59"/>
  <c r="AH140" i="59"/>
  <c r="AG140" i="59"/>
  <c r="AF140" i="59"/>
  <c r="AE140" i="59"/>
  <c r="AD140" i="59"/>
  <c r="AC140" i="59"/>
  <c r="AB140" i="59"/>
  <c r="AA140" i="59"/>
  <c r="Z140" i="59"/>
  <c r="Y140" i="59"/>
  <c r="AH139" i="59"/>
  <c r="AG139" i="59"/>
  <c r="AF139" i="59"/>
  <c r="AE139" i="59"/>
  <c r="AD139" i="59"/>
  <c r="AC139" i="59"/>
  <c r="AB139" i="59"/>
  <c r="AA139" i="59"/>
  <c r="Z139" i="59"/>
  <c r="Y139" i="59"/>
  <c r="AH138" i="59"/>
  <c r="AG138" i="59"/>
  <c r="AF138" i="59"/>
  <c r="AE138" i="59"/>
  <c r="AD138" i="59"/>
  <c r="AC138" i="59"/>
  <c r="AB138" i="59"/>
  <c r="AA138" i="59"/>
  <c r="Z138" i="59"/>
  <c r="Y138" i="59"/>
  <c r="AH137" i="59"/>
  <c r="AG137" i="59"/>
  <c r="AF137" i="59"/>
  <c r="AE137" i="59"/>
  <c r="AD137" i="59"/>
  <c r="AC137" i="59"/>
  <c r="AB137" i="59"/>
  <c r="AA137" i="59"/>
  <c r="Z137" i="59"/>
  <c r="Y137" i="59"/>
  <c r="AH136" i="59"/>
  <c r="AG136" i="59"/>
  <c r="AF136" i="59"/>
  <c r="AE136" i="59"/>
  <c r="AD136" i="59"/>
  <c r="AC136" i="59"/>
  <c r="AB136" i="59"/>
  <c r="AA136" i="59"/>
  <c r="Z136" i="59"/>
  <c r="Y136" i="59"/>
  <c r="AH135" i="59"/>
  <c r="AG135" i="59"/>
  <c r="AF135" i="59"/>
  <c r="AE135" i="59"/>
  <c r="AD135" i="59"/>
  <c r="AC135" i="59"/>
  <c r="AB135" i="59"/>
  <c r="AA135" i="59"/>
  <c r="Z135" i="59"/>
  <c r="Y135" i="59"/>
  <c r="AH134" i="59"/>
  <c r="AG134" i="59"/>
  <c r="AF134" i="59"/>
  <c r="AE134" i="59"/>
  <c r="AD134" i="59"/>
  <c r="AC134" i="59"/>
  <c r="AB134" i="59"/>
  <c r="AA134" i="59"/>
  <c r="Z134" i="59"/>
  <c r="Y134" i="59"/>
  <c r="AF133" i="59"/>
  <c r="AE133" i="59"/>
  <c r="AB131" i="59"/>
  <c r="AA131" i="59"/>
  <c r="AH128" i="59"/>
  <c r="AG128" i="59"/>
  <c r="AG133" i="59" s="1"/>
  <c r="AF128" i="59"/>
  <c r="AE128" i="59"/>
  <c r="AD128" i="59"/>
  <c r="AC128" i="59"/>
  <c r="AB128" i="59"/>
  <c r="AA128" i="59"/>
  <c r="Z128" i="59"/>
  <c r="Y128" i="59"/>
  <c r="AH127" i="59"/>
  <c r="AG127" i="59"/>
  <c r="AF127" i="59"/>
  <c r="AE127" i="59"/>
  <c r="AD127" i="59"/>
  <c r="AC127" i="59"/>
  <c r="AB127" i="59"/>
  <c r="AA127" i="59"/>
  <c r="Z127" i="59"/>
  <c r="Y127" i="59"/>
  <c r="AH126" i="59"/>
  <c r="AH131" i="59" s="1"/>
  <c r="AG126" i="59"/>
  <c r="AG131" i="59" s="1"/>
  <c r="AF126" i="59"/>
  <c r="AE126" i="59"/>
  <c r="AD126" i="59"/>
  <c r="AC126" i="59"/>
  <c r="AC131" i="59" s="1"/>
  <c r="AB126" i="59"/>
  <c r="AA126" i="59"/>
  <c r="Z126" i="59"/>
  <c r="Y126" i="59"/>
  <c r="AH125" i="59"/>
  <c r="AG125" i="59"/>
  <c r="AF125" i="59"/>
  <c r="AE125" i="59"/>
  <c r="AD125" i="59"/>
  <c r="AC125" i="59"/>
  <c r="AB125" i="59"/>
  <c r="AA125" i="59"/>
  <c r="Z125" i="59"/>
  <c r="Y125" i="59"/>
  <c r="AH124" i="59"/>
  <c r="AH132" i="59" s="1"/>
  <c r="AG124" i="59"/>
  <c r="AG132" i="59" s="1"/>
  <c r="AF124" i="59"/>
  <c r="AF132" i="59" s="1"/>
  <c r="AE124" i="59"/>
  <c r="AE130" i="59" s="1"/>
  <c r="AD124" i="59"/>
  <c r="AD130" i="59" s="1"/>
  <c r="AC124" i="59"/>
  <c r="AC129" i="59" s="1"/>
  <c r="AB124" i="59"/>
  <c r="AB129" i="59" s="1"/>
  <c r="AA124" i="59"/>
  <c r="AA129" i="59" s="1"/>
  <c r="Z124" i="59"/>
  <c r="Z132" i="59" s="1"/>
  <c r="Y124" i="59"/>
  <c r="Y132" i="59" s="1"/>
  <c r="AH123" i="59"/>
  <c r="AH130" i="59" s="1"/>
  <c r="AG123" i="59"/>
  <c r="AG130" i="59" s="1"/>
  <c r="AF123" i="59"/>
  <c r="AF130" i="59" s="1"/>
  <c r="AE123" i="59"/>
  <c r="AD123" i="59"/>
  <c r="AD133" i="59" s="1"/>
  <c r="AC123" i="59"/>
  <c r="AC133" i="59" s="1"/>
  <c r="AB123" i="59"/>
  <c r="AB133" i="59" s="1"/>
  <c r="AA123" i="59"/>
  <c r="AA133" i="59" s="1"/>
  <c r="Z123" i="59"/>
  <c r="Z131" i="59" s="1"/>
  <c r="Y123" i="59"/>
  <c r="Y131" i="59" s="1"/>
  <c r="AH122" i="59"/>
  <c r="AG122" i="59"/>
  <c r="AF122" i="59"/>
  <c r="AE122" i="59"/>
  <c r="AD122" i="59"/>
  <c r="AC122" i="59"/>
  <c r="AB122" i="59"/>
  <c r="AA122" i="59"/>
  <c r="Z122" i="59"/>
  <c r="Y122" i="59"/>
  <c r="AH121" i="59"/>
  <c r="AG121" i="59"/>
  <c r="AF121" i="59"/>
  <c r="AE121" i="59"/>
  <c r="AD121" i="59"/>
  <c r="AC121" i="59"/>
  <c r="AB121" i="59"/>
  <c r="AA121" i="59"/>
  <c r="Z121" i="59"/>
  <c r="Y121" i="59"/>
  <c r="AH120" i="59"/>
  <c r="AG120" i="59"/>
  <c r="AF120" i="59"/>
  <c r="AE120" i="59"/>
  <c r="AD120" i="59"/>
  <c r="AC120" i="59"/>
  <c r="AB120" i="59"/>
  <c r="AA120" i="59"/>
  <c r="Z120" i="59"/>
  <c r="Y120" i="59"/>
  <c r="AH119" i="59"/>
  <c r="AG119" i="59"/>
  <c r="AF119" i="59"/>
  <c r="AE119" i="59"/>
  <c r="AD119" i="59"/>
  <c r="AC119" i="59"/>
  <c r="AB119" i="59"/>
  <c r="AA119" i="59"/>
  <c r="Z119" i="59"/>
  <c r="Y119" i="59"/>
  <c r="AH118" i="59"/>
  <c r="AG118" i="59"/>
  <c r="AF118" i="59"/>
  <c r="AE118" i="59"/>
  <c r="AD118" i="59"/>
  <c r="AC118" i="59"/>
  <c r="AB118" i="59"/>
  <c r="AA118" i="59"/>
  <c r="Z118" i="59"/>
  <c r="Y118" i="59"/>
  <c r="AH117" i="59"/>
  <c r="AG117" i="59"/>
  <c r="AF117" i="59"/>
  <c r="AE117" i="59"/>
  <c r="AD117" i="59"/>
  <c r="AC117" i="59"/>
  <c r="AB117" i="59"/>
  <c r="AA117" i="59"/>
  <c r="Z117" i="59"/>
  <c r="Y117" i="59"/>
  <c r="AH116" i="59"/>
  <c r="AG116" i="59"/>
  <c r="AF116" i="59"/>
  <c r="AE116" i="59"/>
  <c r="AD116" i="59"/>
  <c r="AC116" i="59"/>
  <c r="AB116" i="59"/>
  <c r="AA116" i="59"/>
  <c r="Z116" i="59"/>
  <c r="Y116" i="59"/>
  <c r="AH115" i="59"/>
  <c r="AG115" i="59"/>
  <c r="AF115" i="59"/>
  <c r="AE115" i="59"/>
  <c r="AD115" i="59"/>
  <c r="AC115" i="59"/>
  <c r="AB115" i="59"/>
  <c r="AA115" i="59"/>
  <c r="Z115" i="59"/>
  <c r="Y115" i="59"/>
  <c r="AH114" i="59"/>
  <c r="AG114" i="59"/>
  <c r="AF114" i="59"/>
  <c r="AE114" i="59"/>
  <c r="AD114" i="59"/>
  <c r="AC114" i="59"/>
  <c r="AB114" i="59"/>
  <c r="AA114" i="59"/>
  <c r="Z114" i="59"/>
  <c r="Y114" i="59"/>
  <c r="AH113" i="59"/>
  <c r="AG113" i="59"/>
  <c r="AF113" i="59"/>
  <c r="AE113" i="59"/>
  <c r="AD113" i="59"/>
  <c r="AC113" i="59"/>
  <c r="AB113" i="59"/>
  <c r="AA113" i="59"/>
  <c r="Z113" i="59"/>
  <c r="Y113" i="59"/>
  <c r="AH112" i="59"/>
  <c r="AG112" i="59"/>
  <c r="AF112" i="59"/>
  <c r="AE112" i="59"/>
  <c r="AD112" i="59"/>
  <c r="AC112" i="59"/>
  <c r="AB112" i="59"/>
  <c r="AA112" i="59"/>
  <c r="Z112" i="59"/>
  <c r="Y112" i="59"/>
  <c r="AH111" i="59"/>
  <c r="AG111" i="59"/>
  <c r="AF111" i="59"/>
  <c r="AE111" i="59"/>
  <c r="AD111" i="59"/>
  <c r="AC111" i="59"/>
  <c r="AB111" i="59"/>
  <c r="AA111" i="59"/>
  <c r="Z111" i="59"/>
  <c r="Y111" i="59"/>
  <c r="AH110" i="59"/>
  <c r="AG110" i="59"/>
  <c r="AF110" i="59"/>
  <c r="AE110" i="59"/>
  <c r="AD110" i="59"/>
  <c r="AC110" i="59"/>
  <c r="AB110" i="59"/>
  <c r="AA110" i="59"/>
  <c r="Z110" i="59"/>
  <c r="Y110" i="59"/>
  <c r="AH109" i="59"/>
  <c r="AG109" i="59"/>
  <c r="AF109" i="59"/>
  <c r="AE109" i="59"/>
  <c r="AD109" i="59"/>
  <c r="AC109" i="59"/>
  <c r="AB109" i="59"/>
  <c r="AA109" i="59"/>
  <c r="Z109" i="59"/>
  <c r="Y109" i="59"/>
  <c r="AH108" i="59"/>
  <c r="AG108" i="59"/>
  <c r="AF108" i="59"/>
  <c r="AE108" i="59"/>
  <c r="AD108" i="59"/>
  <c r="AC108" i="59"/>
  <c r="AB108" i="59"/>
  <c r="AA108" i="59"/>
  <c r="Z108" i="59"/>
  <c r="Y108" i="59"/>
  <c r="AH107" i="59"/>
  <c r="AG107" i="59"/>
  <c r="AF107" i="59"/>
  <c r="AE107" i="59"/>
  <c r="AD107" i="59"/>
  <c r="AC107" i="59"/>
  <c r="AB107" i="59"/>
  <c r="AA107" i="59"/>
  <c r="Z107" i="59"/>
  <c r="Y107" i="59"/>
  <c r="AH106" i="59"/>
  <c r="AG106" i="59"/>
  <c r="AF106" i="59"/>
  <c r="AE106" i="59"/>
  <c r="AD106" i="59"/>
  <c r="AC106" i="59"/>
  <c r="AB106" i="59"/>
  <c r="AA106" i="59"/>
  <c r="Z106" i="59"/>
  <c r="Y106" i="59"/>
  <c r="AH105" i="59"/>
  <c r="AG105" i="59"/>
  <c r="AF105" i="59"/>
  <c r="AE105" i="59"/>
  <c r="AD105" i="59"/>
  <c r="AC105" i="59"/>
  <c r="AB105" i="59"/>
  <c r="AA105" i="59"/>
  <c r="Z105" i="59"/>
  <c r="Y105" i="59"/>
  <c r="AH104" i="59"/>
  <c r="AG104" i="59"/>
  <c r="AF104" i="59"/>
  <c r="AE104" i="59"/>
  <c r="AD104" i="59"/>
  <c r="AC104" i="59"/>
  <c r="AB104" i="59"/>
  <c r="AA104" i="59"/>
  <c r="Z104" i="59"/>
  <c r="Y104" i="59"/>
  <c r="AH103" i="59"/>
  <c r="AG103" i="59"/>
  <c r="AF103" i="59"/>
  <c r="AE103" i="59"/>
  <c r="AD103" i="59"/>
  <c r="AC103" i="59"/>
  <c r="AB103" i="59"/>
  <c r="AA103" i="59"/>
  <c r="Z103" i="59"/>
  <c r="Y103" i="59"/>
  <c r="AH102" i="59"/>
  <c r="AG102" i="59"/>
  <c r="AF102" i="59"/>
  <c r="AE102" i="59"/>
  <c r="AD102" i="59"/>
  <c r="AC102" i="59"/>
  <c r="AB102" i="59"/>
  <c r="AA102" i="59"/>
  <c r="Z102" i="59"/>
  <c r="Y102" i="59"/>
  <c r="AH101" i="59"/>
  <c r="AG101" i="59"/>
  <c r="AF101" i="59"/>
  <c r="AE101" i="59"/>
  <c r="AD101" i="59"/>
  <c r="AC101" i="59"/>
  <c r="AB101" i="59"/>
  <c r="AA101" i="59"/>
  <c r="Z101" i="59"/>
  <c r="Y101" i="59"/>
  <c r="AH100" i="59"/>
  <c r="AG100" i="59"/>
  <c r="AF100" i="59"/>
  <c r="AE100" i="59"/>
  <c r="AD100" i="59"/>
  <c r="AC100" i="59"/>
  <c r="AB100" i="59"/>
  <c r="AA100" i="59"/>
  <c r="Z100" i="59"/>
  <c r="Y100" i="59"/>
  <c r="AH99" i="59"/>
  <c r="AG99" i="59"/>
  <c r="AF99" i="59"/>
  <c r="AE99" i="59"/>
  <c r="AD99" i="59"/>
  <c r="AC99" i="59"/>
  <c r="AB99" i="59"/>
  <c r="AA99" i="59"/>
  <c r="Z99" i="59"/>
  <c r="Y99" i="59"/>
  <c r="AH98" i="59"/>
  <c r="AG98" i="59"/>
  <c r="AF98" i="59"/>
  <c r="AE98" i="59"/>
  <c r="AD98" i="59"/>
  <c r="AC98" i="59"/>
  <c r="AB98" i="59"/>
  <c r="AA98" i="59"/>
  <c r="Z98" i="59"/>
  <c r="Y98" i="59"/>
  <c r="AH97" i="59"/>
  <c r="AG97" i="59"/>
  <c r="AF97" i="59"/>
  <c r="AE97" i="59"/>
  <c r="AD97" i="59"/>
  <c r="AC97" i="59"/>
  <c r="AB97" i="59"/>
  <c r="AA97" i="59"/>
  <c r="Z97" i="59"/>
  <c r="Y97" i="59"/>
  <c r="AH96" i="59"/>
  <c r="AG96" i="59"/>
  <c r="AF96" i="59"/>
  <c r="AE96" i="59"/>
  <c r="AD96" i="59"/>
  <c r="AC96" i="59"/>
  <c r="AB96" i="59"/>
  <c r="AA96" i="59"/>
  <c r="Z96" i="59"/>
  <c r="Y96" i="59"/>
  <c r="AH95" i="59"/>
  <c r="AG95" i="59"/>
  <c r="AF95" i="59"/>
  <c r="AE95" i="59"/>
  <c r="AD95" i="59"/>
  <c r="AC95" i="59"/>
  <c r="AB95" i="59"/>
  <c r="AA95" i="59"/>
  <c r="Z95" i="59"/>
  <c r="Y95" i="59"/>
  <c r="AH94" i="59"/>
  <c r="AG94" i="59"/>
  <c r="AF94" i="59"/>
  <c r="AE94" i="59"/>
  <c r="AD94" i="59"/>
  <c r="AC94" i="59"/>
  <c r="AB94" i="59"/>
  <c r="AA94" i="59"/>
  <c r="Z94" i="59"/>
  <c r="Y94" i="59"/>
  <c r="AH93" i="59"/>
  <c r="AG93" i="59"/>
  <c r="AF93" i="59"/>
  <c r="AE93" i="59"/>
  <c r="AD93" i="59"/>
  <c r="AC93" i="59"/>
  <c r="AB93" i="59"/>
  <c r="AA93" i="59"/>
  <c r="Z93" i="59"/>
  <c r="Y93" i="59"/>
  <c r="AH92" i="59"/>
  <c r="AG92" i="59"/>
  <c r="AH90" i="59"/>
  <c r="AG90" i="59"/>
  <c r="AF90" i="59"/>
  <c r="AE90" i="59"/>
  <c r="AD90" i="59"/>
  <c r="AC90" i="59"/>
  <c r="AB90" i="59"/>
  <c r="AA90" i="59"/>
  <c r="Z90" i="59"/>
  <c r="Y90" i="59"/>
  <c r="AH89" i="59"/>
  <c r="AG89" i="59"/>
  <c r="AF89" i="59"/>
  <c r="AE89" i="59"/>
  <c r="AD89" i="59"/>
  <c r="AC89" i="59"/>
  <c r="AB89" i="59"/>
  <c r="AA89" i="59"/>
  <c r="Z89" i="59"/>
  <c r="Y89" i="59"/>
  <c r="AH88" i="59"/>
  <c r="AG88" i="59"/>
  <c r="AF88" i="59"/>
  <c r="AE88" i="59"/>
  <c r="AD88" i="59"/>
  <c r="AC88" i="59"/>
  <c r="AB88" i="59"/>
  <c r="AA88" i="59"/>
  <c r="Z88" i="59"/>
  <c r="Y88" i="59"/>
  <c r="AH87" i="59"/>
  <c r="AG87" i="59"/>
  <c r="AF87" i="59"/>
  <c r="AE87" i="59"/>
  <c r="AD87" i="59"/>
  <c r="AC87" i="59"/>
  <c r="AB87" i="59"/>
  <c r="AA87" i="59"/>
  <c r="Z87" i="59"/>
  <c r="Y87" i="59"/>
  <c r="AH86" i="59"/>
  <c r="AG86" i="59"/>
  <c r="AF86" i="59"/>
  <c r="AE86" i="59"/>
  <c r="AD86" i="59"/>
  <c r="AD91" i="59" s="1"/>
  <c r="AC86" i="59"/>
  <c r="AC91" i="59" s="1"/>
  <c r="AB86" i="59"/>
  <c r="AB91" i="59" s="1"/>
  <c r="AA86" i="59"/>
  <c r="AA92" i="59" s="1"/>
  <c r="Z86" i="59"/>
  <c r="Z92" i="59" s="1"/>
  <c r="Y86" i="59"/>
  <c r="Y91" i="59" s="1"/>
  <c r="AH85" i="59"/>
  <c r="AH91" i="59" s="1"/>
  <c r="AG85" i="59"/>
  <c r="AG91" i="59" s="1"/>
  <c r="AF85" i="59"/>
  <c r="AF92" i="59" s="1"/>
  <c r="AE85" i="59"/>
  <c r="AE92" i="59" s="1"/>
  <c r="AD85" i="59"/>
  <c r="AD92" i="59" s="1"/>
  <c r="AC85" i="59"/>
  <c r="AC92" i="59" s="1"/>
  <c r="AB85" i="59"/>
  <c r="AB92" i="59" s="1"/>
  <c r="AA85" i="59"/>
  <c r="Z85" i="59"/>
  <c r="Y85" i="59"/>
  <c r="Y92" i="59" s="1"/>
  <c r="AH81" i="59"/>
  <c r="AD81" i="59"/>
  <c r="AC81" i="59"/>
  <c r="AB81" i="59"/>
  <c r="AA81" i="59"/>
  <c r="Z81" i="59"/>
  <c r="Y81" i="59"/>
  <c r="AH80" i="59"/>
  <c r="AG80" i="59"/>
  <c r="AH79" i="59"/>
  <c r="AG79" i="59"/>
  <c r="AF79" i="59"/>
  <c r="AD79" i="59"/>
  <c r="Z79" i="59"/>
  <c r="Y79" i="59"/>
  <c r="AH78" i="59"/>
  <c r="AG78" i="59"/>
  <c r="AF78" i="59"/>
  <c r="AE78" i="59"/>
  <c r="AD78" i="59"/>
  <c r="AC78" i="59"/>
  <c r="AD77" i="59"/>
  <c r="AC77" i="59"/>
  <c r="AB77" i="59"/>
  <c r="Z77" i="59"/>
  <c r="AH66" i="59"/>
  <c r="AG66" i="59"/>
  <c r="AF66" i="59"/>
  <c r="AE66" i="59"/>
  <c r="AD66" i="59"/>
  <c r="AC66" i="59"/>
  <c r="AB66" i="59"/>
  <c r="AA66" i="59"/>
  <c r="Z66" i="59"/>
  <c r="Y66" i="59"/>
  <c r="AH65" i="59"/>
  <c r="AG65" i="59"/>
  <c r="AG81" i="59" s="1"/>
  <c r="AF65" i="59"/>
  <c r="AF81" i="59" s="1"/>
  <c r="AE65" i="59"/>
  <c r="AE81" i="59" s="1"/>
  <c r="AD65" i="59"/>
  <c r="AC65" i="59"/>
  <c r="AB65" i="59"/>
  <c r="AA65" i="59"/>
  <c r="Z65" i="59"/>
  <c r="Y65" i="59"/>
  <c r="AH64" i="59"/>
  <c r="AG64" i="59"/>
  <c r="AF64" i="59"/>
  <c r="AF80" i="59" s="1"/>
  <c r="AE64" i="59"/>
  <c r="AE80" i="59" s="1"/>
  <c r="AD64" i="59"/>
  <c r="AD80" i="59" s="1"/>
  <c r="AC64" i="59"/>
  <c r="AC80" i="59" s="1"/>
  <c r="AB64" i="59"/>
  <c r="AB80" i="59" s="1"/>
  <c r="AA64" i="59"/>
  <c r="AA80" i="59" s="1"/>
  <c r="Z64" i="59"/>
  <c r="Z80" i="59" s="1"/>
  <c r="Y64" i="59"/>
  <c r="Y80" i="59" s="1"/>
  <c r="AH63" i="59"/>
  <c r="AG63" i="59"/>
  <c r="AF63" i="59"/>
  <c r="AE63" i="59"/>
  <c r="AE79" i="59" s="1"/>
  <c r="AD63" i="59"/>
  <c r="AC63" i="59"/>
  <c r="AC79" i="59" s="1"/>
  <c r="AB63" i="59"/>
  <c r="AB79" i="59" s="1"/>
  <c r="AA63" i="59"/>
  <c r="AA79" i="59" s="1"/>
  <c r="Z63" i="59"/>
  <c r="Y63" i="59"/>
  <c r="AH62" i="59"/>
  <c r="AG62" i="59"/>
  <c r="AF62" i="59"/>
  <c r="AE62" i="59"/>
  <c r="AD62" i="59"/>
  <c r="AC62" i="59"/>
  <c r="AB62" i="59"/>
  <c r="AB78" i="59" s="1"/>
  <c r="AA62" i="59"/>
  <c r="AA78" i="59" s="1"/>
  <c r="Z62" i="59"/>
  <c r="Z78" i="59" s="1"/>
  <c r="Y62" i="59"/>
  <c r="Y78" i="59" s="1"/>
  <c r="AH61" i="59"/>
  <c r="AH77" i="59" s="1"/>
  <c r="AG61" i="59"/>
  <c r="AG77" i="59" s="1"/>
  <c r="AF61" i="59"/>
  <c r="AF77" i="59" s="1"/>
  <c r="AE61" i="59"/>
  <c r="AE77" i="59" s="1"/>
  <c r="AD61" i="59"/>
  <c r="AC61" i="59"/>
  <c r="AB61" i="59"/>
  <c r="AA61" i="59"/>
  <c r="AA77" i="59" s="1"/>
  <c r="Z61" i="59"/>
  <c r="Y61" i="59"/>
  <c r="Y77" i="59" s="1"/>
  <c r="AH60" i="59"/>
  <c r="AG60" i="59"/>
  <c r="AF60" i="59"/>
  <c r="AE60" i="59"/>
  <c r="AD60" i="59"/>
  <c r="AC60" i="59"/>
  <c r="AB60" i="59"/>
  <c r="AA60" i="59"/>
  <c r="Z60" i="59"/>
  <c r="Y60" i="59"/>
  <c r="AH48" i="59"/>
  <c r="AG48" i="59"/>
  <c r="AF48" i="59"/>
  <c r="AE48" i="59"/>
  <c r="AD48" i="59"/>
  <c r="AC48" i="59"/>
  <c r="AB48" i="59"/>
  <c r="AA48" i="59"/>
  <c r="Z48" i="59"/>
  <c r="Y48" i="59"/>
  <c r="AH46" i="59"/>
  <c r="AG46" i="59"/>
  <c r="AF46" i="59"/>
  <c r="AE46" i="59"/>
  <c r="AD46" i="59"/>
  <c r="AC46" i="59"/>
  <c r="AB46" i="59"/>
  <c r="AA46" i="59"/>
  <c r="Z46" i="59"/>
  <c r="Y46" i="59"/>
  <c r="AH38" i="59"/>
  <c r="AG38" i="59"/>
  <c r="AF38" i="59"/>
  <c r="AE38" i="59"/>
  <c r="AD38" i="59"/>
  <c r="AC38" i="59"/>
  <c r="AB38" i="59"/>
  <c r="AA38" i="59"/>
  <c r="Z38" i="59"/>
  <c r="Y38" i="59"/>
  <c r="AH36" i="59"/>
  <c r="AG36" i="59"/>
  <c r="AF36" i="59"/>
  <c r="AE36" i="59"/>
  <c r="AD36" i="59"/>
  <c r="AC36" i="59"/>
  <c r="AB36" i="59"/>
  <c r="AA36" i="59"/>
  <c r="Z36" i="59"/>
  <c r="Y36" i="59"/>
  <c r="AH14" i="59"/>
  <c r="AG14" i="59"/>
  <c r="AF14" i="59"/>
  <c r="AE14" i="59"/>
  <c r="AD14" i="59"/>
  <c r="AC14" i="59"/>
  <c r="AB14" i="59"/>
  <c r="AA14" i="59"/>
  <c r="Z14" i="59"/>
  <c r="Y14" i="59"/>
  <c r="AH13" i="59"/>
  <c r="AG13" i="59"/>
  <c r="AF13" i="59"/>
  <c r="AE13" i="59"/>
  <c r="AD13" i="59"/>
  <c r="AC13" i="59"/>
  <c r="AB13" i="59"/>
  <c r="AA13" i="59"/>
  <c r="Z13" i="59"/>
  <c r="Y13" i="59"/>
  <c r="AH11" i="59"/>
  <c r="AG11" i="59"/>
  <c r="AF11" i="59"/>
  <c r="AE11" i="59"/>
  <c r="AD11" i="59"/>
  <c r="AC11" i="59"/>
  <c r="AB11" i="59"/>
  <c r="AA11" i="59"/>
  <c r="Z11" i="59"/>
  <c r="Y11" i="59"/>
  <c r="AH10" i="59"/>
  <c r="AG10" i="59"/>
  <c r="AF10" i="59"/>
  <c r="AE10" i="59"/>
  <c r="AD10" i="59"/>
  <c r="AC10" i="59"/>
  <c r="AB10" i="59"/>
  <c r="AA10" i="59"/>
  <c r="Z10" i="59"/>
  <c r="Y10" i="59"/>
  <c r="AH9" i="59"/>
  <c r="AG9" i="59"/>
  <c r="AF9" i="59"/>
  <c r="AE9" i="59"/>
  <c r="AD9" i="59"/>
  <c r="AC9" i="59"/>
  <c r="AB9" i="59"/>
  <c r="AA9" i="59"/>
  <c r="Z9" i="59"/>
  <c r="Y9" i="59"/>
  <c r="V151" i="59"/>
  <c r="U151" i="59"/>
  <c r="T151" i="59"/>
  <c r="S151" i="59"/>
  <c r="R151" i="59"/>
  <c r="Q151" i="59"/>
  <c r="P151" i="59"/>
  <c r="O151" i="59"/>
  <c r="V149" i="59"/>
  <c r="V150" i="59" s="1"/>
  <c r="V169" i="59" s="1"/>
  <c r="V159" i="59" s="1"/>
  <c r="U149" i="59"/>
  <c r="U150" i="59" s="1"/>
  <c r="U169" i="59" s="1"/>
  <c r="U159" i="59" s="1"/>
  <c r="T149" i="59"/>
  <c r="T150" i="59" s="1"/>
  <c r="T169" i="59" s="1"/>
  <c r="T159" i="59" s="1"/>
  <c r="S149" i="59"/>
  <c r="S150" i="59" s="1"/>
  <c r="S169" i="59" s="1"/>
  <c r="S159" i="59" s="1"/>
  <c r="R149" i="59"/>
  <c r="R150" i="59" s="1"/>
  <c r="R169" i="59" s="1"/>
  <c r="R159" i="59" s="1"/>
  <c r="Q149" i="59"/>
  <c r="Q150" i="59" s="1"/>
  <c r="Q169" i="59" s="1"/>
  <c r="Q159" i="59" s="1"/>
  <c r="P149" i="59"/>
  <c r="P150" i="59" s="1"/>
  <c r="P169" i="59" s="1"/>
  <c r="P159" i="59" s="1"/>
  <c r="O149" i="59"/>
  <c r="O150" i="59" s="1"/>
  <c r="O169" i="59" s="1"/>
  <c r="O159" i="59" s="1"/>
  <c r="V148" i="59"/>
  <c r="U148" i="59"/>
  <c r="T148" i="59"/>
  <c r="S148" i="59"/>
  <c r="R148" i="59"/>
  <c r="Q148" i="59"/>
  <c r="P148" i="59"/>
  <c r="O148" i="59"/>
  <c r="V146" i="59"/>
  <c r="V147" i="59" s="1"/>
  <c r="U146" i="59"/>
  <c r="U147" i="59" s="1"/>
  <c r="T146" i="59"/>
  <c r="T147" i="59" s="1"/>
  <c r="S146" i="59"/>
  <c r="S147" i="59" s="1"/>
  <c r="R146" i="59"/>
  <c r="R147" i="59" s="1"/>
  <c r="Q146" i="59"/>
  <c r="Q147" i="59" s="1"/>
  <c r="P146" i="59"/>
  <c r="P147" i="59" s="1"/>
  <c r="O146" i="59"/>
  <c r="O147" i="59" s="1"/>
  <c r="V145" i="59"/>
  <c r="U145" i="59"/>
  <c r="T145" i="59"/>
  <c r="S145" i="59"/>
  <c r="R145" i="59"/>
  <c r="Q145" i="59"/>
  <c r="P145" i="59"/>
  <c r="O145" i="59"/>
  <c r="V144" i="59"/>
  <c r="U144" i="59"/>
  <c r="T144" i="59"/>
  <c r="S144" i="59"/>
  <c r="R144" i="59"/>
  <c r="Q144" i="59"/>
  <c r="P144" i="59"/>
  <c r="O144" i="59"/>
  <c r="V143" i="59"/>
  <c r="U143" i="59"/>
  <c r="T143" i="59"/>
  <c r="S143" i="59"/>
  <c r="R143" i="59"/>
  <c r="Q143" i="59"/>
  <c r="P143" i="59"/>
  <c r="O143" i="59"/>
  <c r="V142" i="59"/>
  <c r="U142" i="59"/>
  <c r="T142" i="59"/>
  <c r="S142" i="59"/>
  <c r="R142" i="59"/>
  <c r="Q142" i="59"/>
  <c r="P142" i="59"/>
  <c r="O142" i="59"/>
  <c r="V141" i="59"/>
  <c r="U141" i="59"/>
  <c r="T141" i="59"/>
  <c r="S141" i="59"/>
  <c r="R141" i="59"/>
  <c r="Q141" i="59"/>
  <c r="P141" i="59"/>
  <c r="O141" i="59"/>
  <c r="V140" i="59"/>
  <c r="U140" i="59"/>
  <c r="T140" i="59"/>
  <c r="S140" i="59"/>
  <c r="R140" i="59"/>
  <c r="Q140" i="59"/>
  <c r="P140" i="59"/>
  <c r="O140" i="59"/>
  <c r="V139" i="59"/>
  <c r="U139" i="59"/>
  <c r="T139" i="59"/>
  <c r="S139" i="59"/>
  <c r="R139" i="59"/>
  <c r="Q139" i="59"/>
  <c r="P139" i="59"/>
  <c r="O139" i="59"/>
  <c r="V138" i="59"/>
  <c r="U138" i="59"/>
  <c r="T138" i="59"/>
  <c r="S138" i="59"/>
  <c r="R138" i="59"/>
  <c r="Q138" i="59"/>
  <c r="P138" i="59"/>
  <c r="O138" i="59"/>
  <c r="V137" i="59"/>
  <c r="U137" i="59"/>
  <c r="T137" i="59"/>
  <c r="S137" i="59"/>
  <c r="R137" i="59"/>
  <c r="Q137" i="59"/>
  <c r="P137" i="59"/>
  <c r="O137" i="59"/>
  <c r="V136" i="59"/>
  <c r="U136" i="59"/>
  <c r="T136" i="59"/>
  <c r="S136" i="59"/>
  <c r="R136" i="59"/>
  <c r="Q136" i="59"/>
  <c r="P136" i="59"/>
  <c r="O136" i="59"/>
  <c r="V135" i="59"/>
  <c r="U135" i="59"/>
  <c r="T135" i="59"/>
  <c r="S135" i="59"/>
  <c r="R135" i="59"/>
  <c r="Q135" i="59"/>
  <c r="P135" i="59"/>
  <c r="O135" i="59"/>
  <c r="V134" i="59"/>
  <c r="U134" i="59"/>
  <c r="T134" i="59"/>
  <c r="S134" i="59"/>
  <c r="R134" i="59"/>
  <c r="Q134" i="59"/>
  <c r="P134" i="59"/>
  <c r="O134" i="59"/>
  <c r="O133" i="59"/>
  <c r="O130" i="59"/>
  <c r="V128" i="59"/>
  <c r="U128" i="59"/>
  <c r="T128" i="59"/>
  <c r="S128" i="59"/>
  <c r="R128" i="59"/>
  <c r="Q128" i="59"/>
  <c r="P128" i="59"/>
  <c r="O128" i="59"/>
  <c r="V127" i="59"/>
  <c r="U127" i="59"/>
  <c r="T127" i="59"/>
  <c r="S127" i="59"/>
  <c r="R127" i="59"/>
  <c r="Q127" i="59"/>
  <c r="P127" i="59"/>
  <c r="O127" i="59"/>
  <c r="V126" i="59"/>
  <c r="U126" i="59"/>
  <c r="T126" i="59"/>
  <c r="S126" i="59"/>
  <c r="R126" i="59"/>
  <c r="Q126" i="59"/>
  <c r="P126" i="59"/>
  <c r="O126" i="59"/>
  <c r="V125" i="59"/>
  <c r="U125" i="59"/>
  <c r="T125" i="59"/>
  <c r="S125" i="59"/>
  <c r="R125" i="59"/>
  <c r="Q125" i="59"/>
  <c r="P125" i="59"/>
  <c r="O125" i="59"/>
  <c r="V124" i="59"/>
  <c r="V131" i="59" s="1"/>
  <c r="U124" i="59"/>
  <c r="U133" i="59" s="1"/>
  <c r="T124" i="59"/>
  <c r="T131" i="59" s="1"/>
  <c r="S124" i="59"/>
  <c r="S131" i="59" s="1"/>
  <c r="R124" i="59"/>
  <c r="R131" i="59" s="1"/>
  <c r="Q124" i="59"/>
  <c r="Q133" i="59" s="1"/>
  <c r="P124" i="59"/>
  <c r="P131" i="59" s="1"/>
  <c r="O124" i="59"/>
  <c r="V123" i="59"/>
  <c r="V132" i="59" s="1"/>
  <c r="U123" i="59"/>
  <c r="U132" i="59" s="1"/>
  <c r="T123" i="59"/>
  <c r="T132" i="59" s="1"/>
  <c r="S123" i="59"/>
  <c r="S132" i="59" s="1"/>
  <c r="R123" i="59"/>
  <c r="R132" i="59" s="1"/>
  <c r="Q123" i="59"/>
  <c r="Q132" i="59" s="1"/>
  <c r="P123" i="59"/>
  <c r="P132" i="59" s="1"/>
  <c r="O123" i="59"/>
  <c r="O132" i="59" s="1"/>
  <c r="V122" i="59"/>
  <c r="U122" i="59"/>
  <c r="T122" i="59"/>
  <c r="S122" i="59"/>
  <c r="R122" i="59"/>
  <c r="Q122" i="59"/>
  <c r="P122" i="59"/>
  <c r="O122" i="59"/>
  <c r="V121" i="59"/>
  <c r="U121" i="59"/>
  <c r="T121" i="59"/>
  <c r="S121" i="59"/>
  <c r="R121" i="59"/>
  <c r="Q121" i="59"/>
  <c r="P121" i="59"/>
  <c r="O121" i="59"/>
  <c r="V120" i="59"/>
  <c r="U120" i="59"/>
  <c r="T120" i="59"/>
  <c r="S120" i="59"/>
  <c r="R120" i="59"/>
  <c r="Q120" i="59"/>
  <c r="P120" i="59"/>
  <c r="O120" i="59"/>
  <c r="V119" i="59"/>
  <c r="U119" i="59"/>
  <c r="T119" i="59"/>
  <c r="S119" i="59"/>
  <c r="R119" i="59"/>
  <c r="Q119" i="59"/>
  <c r="P119" i="59"/>
  <c r="O119" i="59"/>
  <c r="V118" i="59"/>
  <c r="U118" i="59"/>
  <c r="T118" i="59"/>
  <c r="S118" i="59"/>
  <c r="R118" i="59"/>
  <c r="Q118" i="59"/>
  <c r="P118" i="59"/>
  <c r="O118" i="59"/>
  <c r="V117" i="59"/>
  <c r="U117" i="59"/>
  <c r="T117" i="59"/>
  <c r="S117" i="59"/>
  <c r="R117" i="59"/>
  <c r="Q117" i="59"/>
  <c r="P117" i="59"/>
  <c r="O117" i="59"/>
  <c r="V116" i="59"/>
  <c r="U116" i="59"/>
  <c r="T116" i="59"/>
  <c r="S116" i="59"/>
  <c r="R116" i="59"/>
  <c r="Q116" i="59"/>
  <c r="P116" i="59"/>
  <c r="O116" i="59"/>
  <c r="V115" i="59"/>
  <c r="U115" i="59"/>
  <c r="T115" i="59"/>
  <c r="S115" i="59"/>
  <c r="R115" i="59"/>
  <c r="Q115" i="59"/>
  <c r="P115" i="59"/>
  <c r="O115" i="59"/>
  <c r="V114" i="59"/>
  <c r="U114" i="59"/>
  <c r="T114" i="59"/>
  <c r="S114" i="59"/>
  <c r="R114" i="59"/>
  <c r="Q114" i="59"/>
  <c r="P114" i="59"/>
  <c r="O114" i="59"/>
  <c r="V113" i="59"/>
  <c r="U113" i="59"/>
  <c r="T113" i="59"/>
  <c r="S113" i="59"/>
  <c r="R113" i="59"/>
  <c r="Q113" i="59"/>
  <c r="P113" i="59"/>
  <c r="O113" i="59"/>
  <c r="V112" i="59"/>
  <c r="U112" i="59"/>
  <c r="T112" i="59"/>
  <c r="S112" i="59"/>
  <c r="R112" i="59"/>
  <c r="Q112" i="59"/>
  <c r="P112" i="59"/>
  <c r="O112" i="59"/>
  <c r="V111" i="59"/>
  <c r="U111" i="59"/>
  <c r="T111" i="59"/>
  <c r="S111" i="59"/>
  <c r="R111" i="59"/>
  <c r="Q111" i="59"/>
  <c r="P111" i="59"/>
  <c r="O111" i="59"/>
  <c r="V110" i="59"/>
  <c r="U110" i="59"/>
  <c r="T110" i="59"/>
  <c r="S110" i="59"/>
  <c r="R110" i="59"/>
  <c r="Q110" i="59"/>
  <c r="P110" i="59"/>
  <c r="O110" i="59"/>
  <c r="V109" i="59"/>
  <c r="U109" i="59"/>
  <c r="T109" i="59"/>
  <c r="S109" i="59"/>
  <c r="R109" i="59"/>
  <c r="Q109" i="59"/>
  <c r="P109" i="59"/>
  <c r="O109" i="59"/>
  <c r="V108" i="59"/>
  <c r="U108" i="59"/>
  <c r="T108" i="59"/>
  <c r="S108" i="59"/>
  <c r="R108" i="59"/>
  <c r="Q108" i="59"/>
  <c r="P108" i="59"/>
  <c r="O108" i="59"/>
  <c r="V107" i="59"/>
  <c r="U107" i="59"/>
  <c r="T107" i="59"/>
  <c r="S107" i="59"/>
  <c r="R107" i="59"/>
  <c r="Q107" i="59"/>
  <c r="P107" i="59"/>
  <c r="O107" i="59"/>
  <c r="V106" i="59"/>
  <c r="U106" i="59"/>
  <c r="T106" i="59"/>
  <c r="S106" i="59"/>
  <c r="R106" i="59"/>
  <c r="Q106" i="59"/>
  <c r="P106" i="59"/>
  <c r="O106" i="59"/>
  <c r="V105" i="59"/>
  <c r="U105" i="59"/>
  <c r="T105" i="59"/>
  <c r="S105" i="59"/>
  <c r="R105" i="59"/>
  <c r="Q105" i="59"/>
  <c r="P105" i="59"/>
  <c r="O105" i="59"/>
  <c r="V104" i="59"/>
  <c r="U104" i="59"/>
  <c r="T104" i="59"/>
  <c r="S104" i="59"/>
  <c r="R104" i="59"/>
  <c r="Q104" i="59"/>
  <c r="P104" i="59"/>
  <c r="O104" i="59"/>
  <c r="V103" i="59"/>
  <c r="U103" i="59"/>
  <c r="T103" i="59"/>
  <c r="S103" i="59"/>
  <c r="R103" i="59"/>
  <c r="Q103" i="59"/>
  <c r="P103" i="59"/>
  <c r="O103" i="59"/>
  <c r="V102" i="59"/>
  <c r="U102" i="59"/>
  <c r="T102" i="59"/>
  <c r="S102" i="59"/>
  <c r="R102" i="59"/>
  <c r="Q102" i="59"/>
  <c r="P102" i="59"/>
  <c r="O102" i="59"/>
  <c r="V101" i="59"/>
  <c r="U101" i="59"/>
  <c r="T101" i="59"/>
  <c r="S101" i="59"/>
  <c r="R101" i="59"/>
  <c r="Q101" i="59"/>
  <c r="P101" i="59"/>
  <c r="O101" i="59"/>
  <c r="V100" i="59"/>
  <c r="U100" i="59"/>
  <c r="T100" i="59"/>
  <c r="S100" i="59"/>
  <c r="R100" i="59"/>
  <c r="Q100" i="59"/>
  <c r="P100" i="59"/>
  <c r="O100" i="59"/>
  <c r="V99" i="59"/>
  <c r="U99" i="59"/>
  <c r="T99" i="59"/>
  <c r="S99" i="59"/>
  <c r="R99" i="59"/>
  <c r="Q99" i="59"/>
  <c r="P99" i="59"/>
  <c r="O99" i="59"/>
  <c r="V98" i="59"/>
  <c r="U98" i="59"/>
  <c r="T98" i="59"/>
  <c r="S98" i="59"/>
  <c r="R98" i="59"/>
  <c r="Q98" i="59"/>
  <c r="P98" i="59"/>
  <c r="O98" i="59"/>
  <c r="V97" i="59"/>
  <c r="U97" i="59"/>
  <c r="T97" i="59"/>
  <c r="S97" i="59"/>
  <c r="R97" i="59"/>
  <c r="Q97" i="59"/>
  <c r="P97" i="59"/>
  <c r="O97" i="59"/>
  <c r="V96" i="59"/>
  <c r="U96" i="59"/>
  <c r="T96" i="59"/>
  <c r="S96" i="59"/>
  <c r="R96" i="59"/>
  <c r="Q96" i="59"/>
  <c r="P96" i="59"/>
  <c r="O96" i="59"/>
  <c r="V95" i="59"/>
  <c r="U95" i="59"/>
  <c r="T95" i="59"/>
  <c r="S95" i="59"/>
  <c r="R95" i="59"/>
  <c r="Q95" i="59"/>
  <c r="P95" i="59"/>
  <c r="O95" i="59"/>
  <c r="V94" i="59"/>
  <c r="U94" i="59"/>
  <c r="T94" i="59"/>
  <c r="S94" i="59"/>
  <c r="R94" i="59"/>
  <c r="Q94" i="59"/>
  <c r="P94" i="59"/>
  <c r="O94" i="59"/>
  <c r="V93" i="59"/>
  <c r="U93" i="59"/>
  <c r="T93" i="59"/>
  <c r="S93" i="59"/>
  <c r="R93" i="59"/>
  <c r="Q93" i="59"/>
  <c r="P93" i="59"/>
  <c r="O93" i="59"/>
  <c r="V90" i="59"/>
  <c r="U90" i="59"/>
  <c r="T90" i="59"/>
  <c r="S90" i="59"/>
  <c r="R90" i="59"/>
  <c r="Q90" i="59"/>
  <c r="P90" i="59"/>
  <c r="O90" i="59"/>
  <c r="V89" i="59"/>
  <c r="U89" i="59"/>
  <c r="T89" i="59"/>
  <c r="S89" i="59"/>
  <c r="R89" i="59"/>
  <c r="Q89" i="59"/>
  <c r="P89" i="59"/>
  <c r="O89" i="59"/>
  <c r="V88" i="59"/>
  <c r="U88" i="59"/>
  <c r="T88" i="59"/>
  <c r="S88" i="59"/>
  <c r="R88" i="59"/>
  <c r="Q88" i="59"/>
  <c r="P88" i="59"/>
  <c r="O88" i="59"/>
  <c r="V87" i="59"/>
  <c r="U87" i="59"/>
  <c r="T87" i="59"/>
  <c r="S87" i="59"/>
  <c r="R87" i="59"/>
  <c r="Q87" i="59"/>
  <c r="P87" i="59"/>
  <c r="O87" i="59"/>
  <c r="V86" i="59"/>
  <c r="U86" i="59"/>
  <c r="T86" i="59"/>
  <c r="S86" i="59"/>
  <c r="R86" i="59"/>
  <c r="Q86" i="59"/>
  <c r="P86" i="59"/>
  <c r="O86" i="59"/>
  <c r="V85" i="59"/>
  <c r="V92" i="59" s="1"/>
  <c r="U85" i="59"/>
  <c r="U92" i="59" s="1"/>
  <c r="T85" i="59"/>
  <c r="T92" i="59" s="1"/>
  <c r="S85" i="59"/>
  <c r="S92" i="59" s="1"/>
  <c r="R85" i="59"/>
  <c r="R92" i="59" s="1"/>
  <c r="Q85" i="59"/>
  <c r="Q92" i="59" s="1"/>
  <c r="P85" i="59"/>
  <c r="P92" i="59" s="1"/>
  <c r="O85" i="59"/>
  <c r="O91" i="59" s="1"/>
  <c r="V79" i="59"/>
  <c r="U79" i="59"/>
  <c r="T79" i="59"/>
  <c r="S79" i="59"/>
  <c r="R79" i="59"/>
  <c r="Q79" i="59"/>
  <c r="P79" i="59"/>
  <c r="O79" i="59"/>
  <c r="V66" i="59"/>
  <c r="U66" i="59"/>
  <c r="T66" i="59"/>
  <c r="S66" i="59"/>
  <c r="R66" i="59"/>
  <c r="Q66" i="59"/>
  <c r="P66" i="59"/>
  <c r="O66" i="59"/>
  <c r="V65" i="59"/>
  <c r="V81" i="59" s="1"/>
  <c r="U65" i="59"/>
  <c r="U81" i="59" s="1"/>
  <c r="T65" i="59"/>
  <c r="T81" i="59" s="1"/>
  <c r="S65" i="59"/>
  <c r="S81" i="59" s="1"/>
  <c r="R65" i="59"/>
  <c r="R81" i="59" s="1"/>
  <c r="Q65" i="59"/>
  <c r="Q81" i="59" s="1"/>
  <c r="P65" i="59"/>
  <c r="P81" i="59" s="1"/>
  <c r="O65" i="59"/>
  <c r="O81" i="59" s="1"/>
  <c r="V64" i="59"/>
  <c r="V80" i="59" s="1"/>
  <c r="U64" i="59"/>
  <c r="U80" i="59" s="1"/>
  <c r="T64" i="59"/>
  <c r="T80" i="59" s="1"/>
  <c r="S64" i="59"/>
  <c r="S80" i="59" s="1"/>
  <c r="R64" i="59"/>
  <c r="R80" i="59" s="1"/>
  <c r="Q64" i="59"/>
  <c r="Q80" i="59" s="1"/>
  <c r="P64" i="59"/>
  <c r="P80" i="59" s="1"/>
  <c r="O64" i="59"/>
  <c r="O80" i="59" s="1"/>
  <c r="V63" i="59"/>
  <c r="U63" i="59"/>
  <c r="T63" i="59"/>
  <c r="S63" i="59"/>
  <c r="R63" i="59"/>
  <c r="Q63" i="59"/>
  <c r="P63" i="59"/>
  <c r="O63" i="59"/>
  <c r="V62" i="59"/>
  <c r="V78" i="59" s="1"/>
  <c r="U62" i="59"/>
  <c r="U78" i="59" s="1"/>
  <c r="T62" i="59"/>
  <c r="T78" i="59" s="1"/>
  <c r="S62" i="59"/>
  <c r="S78" i="59" s="1"/>
  <c r="R62" i="59"/>
  <c r="R78" i="59" s="1"/>
  <c r="Q62" i="59"/>
  <c r="Q78" i="59" s="1"/>
  <c r="P62" i="59"/>
  <c r="P78" i="59" s="1"/>
  <c r="O62" i="59"/>
  <c r="O78" i="59" s="1"/>
  <c r="V61" i="59"/>
  <c r="V77" i="59" s="1"/>
  <c r="U61" i="59"/>
  <c r="U77" i="59" s="1"/>
  <c r="T61" i="59"/>
  <c r="T77" i="59" s="1"/>
  <c r="S61" i="59"/>
  <c r="S77" i="59" s="1"/>
  <c r="R61" i="59"/>
  <c r="R77" i="59" s="1"/>
  <c r="Q61" i="59"/>
  <c r="Q77" i="59" s="1"/>
  <c r="P61" i="59"/>
  <c r="P77" i="59" s="1"/>
  <c r="O61" i="59"/>
  <c r="O77" i="59" s="1"/>
  <c r="V60" i="59"/>
  <c r="U60" i="59"/>
  <c r="T60" i="59"/>
  <c r="S60" i="59"/>
  <c r="R60" i="59"/>
  <c r="Q60" i="59"/>
  <c r="P60" i="59"/>
  <c r="O60" i="59"/>
  <c r="V48" i="59"/>
  <c r="U48" i="59"/>
  <c r="T48" i="59"/>
  <c r="S48" i="59"/>
  <c r="R48" i="59"/>
  <c r="Q48" i="59"/>
  <c r="P48" i="59"/>
  <c r="O48" i="59"/>
  <c r="V46" i="59"/>
  <c r="U46" i="59"/>
  <c r="T46" i="59"/>
  <c r="S46" i="59"/>
  <c r="R46" i="59"/>
  <c r="Q46" i="59"/>
  <c r="P46" i="59"/>
  <c r="O46" i="59"/>
  <c r="V38" i="59"/>
  <c r="U38" i="59"/>
  <c r="T38" i="59"/>
  <c r="S38" i="59"/>
  <c r="R38" i="59"/>
  <c r="Q38" i="59"/>
  <c r="P38" i="59"/>
  <c r="O38" i="59"/>
  <c r="V36" i="59"/>
  <c r="U36" i="59"/>
  <c r="T36" i="59"/>
  <c r="S36" i="59"/>
  <c r="R36" i="59"/>
  <c r="Q36" i="59"/>
  <c r="P36" i="59"/>
  <c r="O36" i="59"/>
  <c r="V14" i="59"/>
  <c r="U14" i="59"/>
  <c r="T14" i="59"/>
  <c r="S14" i="59"/>
  <c r="R14" i="59"/>
  <c r="Q14" i="59"/>
  <c r="P14" i="59"/>
  <c r="O14" i="59"/>
  <c r="V13" i="59"/>
  <c r="U13" i="59"/>
  <c r="T13" i="59"/>
  <c r="S13" i="59"/>
  <c r="R13" i="59"/>
  <c r="Q13" i="59"/>
  <c r="P13" i="59"/>
  <c r="O13" i="59"/>
  <c r="V11" i="59"/>
  <c r="U11" i="59"/>
  <c r="T11" i="59"/>
  <c r="S11" i="59"/>
  <c r="R11" i="59"/>
  <c r="Q11" i="59"/>
  <c r="P11" i="59"/>
  <c r="O11" i="59"/>
  <c r="V10" i="59"/>
  <c r="U10" i="59"/>
  <c r="T10" i="59"/>
  <c r="S10" i="59"/>
  <c r="R10" i="59"/>
  <c r="Q10" i="59"/>
  <c r="P10" i="59"/>
  <c r="O10" i="59"/>
  <c r="V9" i="59"/>
  <c r="U9" i="59"/>
  <c r="T9" i="59"/>
  <c r="S9" i="59"/>
  <c r="R9" i="59"/>
  <c r="Q9" i="59"/>
  <c r="P9" i="59"/>
  <c r="O9" i="59"/>
  <c r="I151" i="59"/>
  <c r="H151" i="59"/>
  <c r="I150" i="59"/>
  <c r="I169" i="59" s="1"/>
  <c r="I159" i="59" s="1"/>
  <c r="I149" i="59"/>
  <c r="H149" i="59"/>
  <c r="H150" i="59" s="1"/>
  <c r="H169" i="59" s="1"/>
  <c r="H159" i="59" s="1"/>
  <c r="I148" i="59"/>
  <c r="H148" i="59"/>
  <c r="I146" i="59"/>
  <c r="I147" i="59" s="1"/>
  <c r="H146" i="59"/>
  <c r="H147" i="59" s="1"/>
  <c r="I145" i="59"/>
  <c r="H145" i="59"/>
  <c r="I144" i="59"/>
  <c r="H144" i="59"/>
  <c r="I143" i="59"/>
  <c r="H143" i="59"/>
  <c r="I142" i="59"/>
  <c r="H142" i="59"/>
  <c r="I141" i="59"/>
  <c r="H141" i="59"/>
  <c r="I140" i="59"/>
  <c r="H140" i="59"/>
  <c r="I139" i="59"/>
  <c r="H139" i="59"/>
  <c r="I138" i="59"/>
  <c r="H138" i="59"/>
  <c r="I137" i="59"/>
  <c r="H137" i="59"/>
  <c r="I136" i="59"/>
  <c r="H136" i="59"/>
  <c r="I135" i="59"/>
  <c r="H135" i="59"/>
  <c r="I134" i="59"/>
  <c r="H134" i="59"/>
  <c r="I128" i="59"/>
  <c r="H128" i="59"/>
  <c r="I127" i="59"/>
  <c r="H127" i="59"/>
  <c r="I126" i="59"/>
  <c r="I129" i="59" s="1"/>
  <c r="H126" i="59"/>
  <c r="I125" i="59"/>
  <c r="H125" i="59"/>
  <c r="I124" i="59"/>
  <c r="I133" i="59" s="1"/>
  <c r="H124" i="59"/>
  <c r="H133" i="59" s="1"/>
  <c r="I123" i="59"/>
  <c r="H123" i="59"/>
  <c r="I122" i="59"/>
  <c r="H122" i="59"/>
  <c r="I121" i="59"/>
  <c r="H121" i="59"/>
  <c r="I120" i="59"/>
  <c r="H120" i="59"/>
  <c r="I119" i="59"/>
  <c r="H119" i="59"/>
  <c r="I118" i="59"/>
  <c r="H118" i="59"/>
  <c r="I117" i="59"/>
  <c r="H117" i="59"/>
  <c r="I116" i="59"/>
  <c r="H116" i="59"/>
  <c r="I115" i="59"/>
  <c r="H115" i="59"/>
  <c r="I114" i="59"/>
  <c r="H114" i="59"/>
  <c r="I113" i="59"/>
  <c r="H113" i="59"/>
  <c r="I112" i="59"/>
  <c r="H112" i="59"/>
  <c r="I111" i="59"/>
  <c r="H111" i="59"/>
  <c r="I110" i="59"/>
  <c r="H110" i="59"/>
  <c r="I109" i="59"/>
  <c r="H109" i="59"/>
  <c r="I108" i="59"/>
  <c r="H108" i="59"/>
  <c r="I107" i="59"/>
  <c r="H107" i="59"/>
  <c r="I106" i="59"/>
  <c r="H106" i="59"/>
  <c r="I105" i="59"/>
  <c r="H105" i="59"/>
  <c r="I104" i="59"/>
  <c r="H104" i="59"/>
  <c r="I103" i="59"/>
  <c r="H103" i="59"/>
  <c r="I102" i="59"/>
  <c r="H102" i="59"/>
  <c r="I101" i="59"/>
  <c r="H101" i="59"/>
  <c r="I100" i="59"/>
  <c r="H100" i="59"/>
  <c r="I99" i="59"/>
  <c r="H99" i="59"/>
  <c r="I98" i="59"/>
  <c r="H98" i="59"/>
  <c r="I97" i="59"/>
  <c r="H97" i="59"/>
  <c r="I96" i="59"/>
  <c r="H96" i="59"/>
  <c r="I95" i="59"/>
  <c r="H95" i="59"/>
  <c r="I94" i="59"/>
  <c r="H94" i="59"/>
  <c r="I93" i="59"/>
  <c r="H93" i="59"/>
  <c r="I90" i="59"/>
  <c r="I92" i="59" s="1"/>
  <c r="H90" i="59"/>
  <c r="I89" i="59"/>
  <c r="H89" i="59"/>
  <c r="I88" i="59"/>
  <c r="H88" i="59"/>
  <c r="H92" i="59" s="1"/>
  <c r="I87" i="59"/>
  <c r="H87" i="59"/>
  <c r="I86" i="59"/>
  <c r="H86" i="59"/>
  <c r="I85" i="59"/>
  <c r="H85" i="59"/>
  <c r="I81" i="59"/>
  <c r="I80" i="59"/>
  <c r="I79" i="59"/>
  <c r="H79" i="59"/>
  <c r="I78" i="59"/>
  <c r="H78" i="59"/>
  <c r="I77" i="59"/>
  <c r="H77" i="59"/>
  <c r="I66" i="59"/>
  <c r="H66" i="59"/>
  <c r="I65" i="59"/>
  <c r="H65" i="59"/>
  <c r="H81" i="59" s="1"/>
  <c r="I64" i="59"/>
  <c r="H64" i="59"/>
  <c r="I63" i="59"/>
  <c r="H63" i="59"/>
  <c r="I62" i="59"/>
  <c r="H62" i="59"/>
  <c r="I61" i="59"/>
  <c r="H61" i="59"/>
  <c r="I60" i="59"/>
  <c r="H60" i="59"/>
  <c r="I48" i="59"/>
  <c r="H48" i="59"/>
  <c r="I46" i="59"/>
  <c r="H46" i="59"/>
  <c r="I38" i="59"/>
  <c r="H38" i="59"/>
  <c r="I36" i="59"/>
  <c r="H36" i="59"/>
  <c r="I14" i="59"/>
  <c r="H14" i="59"/>
  <c r="I13" i="59"/>
  <c r="H13" i="59"/>
  <c r="I11" i="59"/>
  <c r="H11" i="59"/>
  <c r="I10" i="59"/>
  <c r="H10" i="59"/>
  <c r="I9" i="59"/>
  <c r="H9" i="59"/>
  <c r="AW222" i="58"/>
  <c r="AV222" i="58"/>
  <c r="AU222" i="58"/>
  <c r="AT222" i="58"/>
  <c r="AS222" i="58"/>
  <c r="AW195" i="58"/>
  <c r="AV195" i="58"/>
  <c r="AU195" i="58"/>
  <c r="AT195" i="58"/>
  <c r="AS195" i="58"/>
  <c r="AW194" i="58"/>
  <c r="AV194" i="58"/>
  <c r="AU194" i="58"/>
  <c r="AT194" i="58"/>
  <c r="AW193" i="58"/>
  <c r="AV193" i="58"/>
  <c r="AU193" i="58"/>
  <c r="AT193" i="58"/>
  <c r="AS193" i="58"/>
  <c r="AW192" i="58"/>
  <c r="AV192" i="58"/>
  <c r="AU192" i="58"/>
  <c r="AT192" i="58"/>
  <c r="AT196" i="58" s="1"/>
  <c r="AT197" i="58" s="1"/>
  <c r="AS192" i="58"/>
  <c r="AS194" i="58" s="1"/>
  <c r="AS196" i="58" s="1"/>
  <c r="AS197" i="58" s="1"/>
  <c r="AW190" i="58"/>
  <c r="AV190" i="58"/>
  <c r="AU190" i="58"/>
  <c r="AT190" i="58"/>
  <c r="AT206" i="58" s="1"/>
  <c r="AT214" i="58" s="1"/>
  <c r="AS190" i="58"/>
  <c r="AS206" i="58" s="1"/>
  <c r="AS214" i="58" s="1"/>
  <c r="AW189" i="58"/>
  <c r="AW206" i="58" s="1"/>
  <c r="AW214" i="58" s="1"/>
  <c r="AV189" i="58"/>
  <c r="AV206" i="58" s="1"/>
  <c r="AV214" i="58" s="1"/>
  <c r="AU189" i="58"/>
  <c r="AU206" i="58" s="1"/>
  <c r="AU214" i="58" s="1"/>
  <c r="AT189" i="58"/>
  <c r="AS189" i="58"/>
  <c r="AW187" i="58"/>
  <c r="AW188" i="58" s="1"/>
  <c r="AW205" i="58" s="1"/>
  <c r="AW213" i="58" s="1"/>
  <c r="AV187" i="58"/>
  <c r="AV188" i="58" s="1"/>
  <c r="AV205" i="58" s="1"/>
  <c r="AV213" i="58" s="1"/>
  <c r="AU187" i="58"/>
  <c r="AU188" i="58" s="1"/>
  <c r="AU205" i="58" s="1"/>
  <c r="AU213" i="58" s="1"/>
  <c r="AT187" i="58"/>
  <c r="AS187" i="58"/>
  <c r="AW186" i="58"/>
  <c r="AV186" i="58"/>
  <c r="AU186" i="58"/>
  <c r="AT186" i="58"/>
  <c r="AT188" i="58" s="1"/>
  <c r="AT205" i="58" s="1"/>
  <c r="AT213" i="58" s="1"/>
  <c r="AS186" i="58"/>
  <c r="AS188" i="58" s="1"/>
  <c r="AS205" i="58" s="1"/>
  <c r="AS213" i="58" s="1"/>
  <c r="AW184" i="58"/>
  <c r="AW185" i="58" s="1"/>
  <c r="AV184" i="58"/>
  <c r="AV185" i="58" s="1"/>
  <c r="AW183" i="58"/>
  <c r="AV183" i="58"/>
  <c r="AU183" i="58"/>
  <c r="AU184" i="58" s="1"/>
  <c r="AU185" i="58" s="1"/>
  <c r="AT183" i="58"/>
  <c r="AT184" i="58" s="1"/>
  <c r="AT185" i="58" s="1"/>
  <c r="AS183" i="58"/>
  <c r="AS184" i="58" s="1"/>
  <c r="AS185" i="58" s="1"/>
  <c r="AW182" i="58"/>
  <c r="AV182" i="58"/>
  <c r="AU182" i="58"/>
  <c r="AT182" i="58"/>
  <c r="AS182" i="58"/>
  <c r="AW181" i="58"/>
  <c r="AV181" i="58"/>
  <c r="AU181" i="58"/>
  <c r="AT181" i="58"/>
  <c r="AS181" i="58"/>
  <c r="AW176" i="58"/>
  <c r="AW178" i="58" s="1"/>
  <c r="AV176" i="58"/>
  <c r="AV178" i="58" s="1"/>
  <c r="AU176" i="58"/>
  <c r="AU178" i="58" s="1"/>
  <c r="AT176" i="58"/>
  <c r="AT178" i="58" s="1"/>
  <c r="AS176" i="58"/>
  <c r="AS178" i="58" s="1"/>
  <c r="AW172" i="58"/>
  <c r="AW174" i="58" s="1"/>
  <c r="AV172" i="58"/>
  <c r="AV174" i="58" s="1"/>
  <c r="AU172" i="58"/>
  <c r="AU174" i="58" s="1"/>
  <c r="AT172" i="58"/>
  <c r="AT174" i="58" s="1"/>
  <c r="AS172" i="58"/>
  <c r="AS174" i="58" s="1"/>
  <c r="AW171" i="58"/>
  <c r="AV171" i="58"/>
  <c r="AV173" i="58" s="1"/>
  <c r="AU171" i="58"/>
  <c r="AU173" i="58" s="1"/>
  <c r="AT171" i="58"/>
  <c r="AT173" i="58" s="1"/>
  <c r="AS171" i="58"/>
  <c r="AW170" i="58"/>
  <c r="AW173" i="58" s="1"/>
  <c r="AV170" i="58"/>
  <c r="AU170" i="58"/>
  <c r="AT170" i="58"/>
  <c r="AS170" i="58"/>
  <c r="AW166" i="58"/>
  <c r="AW168" i="58" s="1"/>
  <c r="AV166" i="58"/>
  <c r="AV168" i="58" s="1"/>
  <c r="AU166" i="58"/>
  <c r="AU168" i="58" s="1"/>
  <c r="AT166" i="58"/>
  <c r="AT168" i="58" s="1"/>
  <c r="AS166" i="58"/>
  <c r="AS168" i="58" s="1"/>
  <c r="AW165" i="58"/>
  <c r="AV165" i="58"/>
  <c r="AU165" i="58"/>
  <c r="AW164" i="58"/>
  <c r="AV164" i="58"/>
  <c r="AU164" i="58"/>
  <c r="AT164" i="58"/>
  <c r="AT165" i="58" s="1"/>
  <c r="AS164" i="58"/>
  <c r="AS165" i="58" s="1"/>
  <c r="AW156" i="58"/>
  <c r="AW158" i="58" s="1"/>
  <c r="AV156" i="58"/>
  <c r="AV158" i="58" s="1"/>
  <c r="AU156" i="58"/>
  <c r="AU158" i="58" s="1"/>
  <c r="AT156" i="58"/>
  <c r="AT158" i="58" s="1"/>
  <c r="AS156" i="58"/>
  <c r="AS158" i="58" s="1"/>
  <c r="AW155" i="58"/>
  <c r="AV155" i="58"/>
  <c r="AU155" i="58"/>
  <c r="AT155" i="58"/>
  <c r="AS155" i="58"/>
  <c r="AW154" i="58"/>
  <c r="AV154" i="58"/>
  <c r="AU154" i="58"/>
  <c r="AT154" i="58"/>
  <c r="AS154" i="58"/>
  <c r="AS152" i="58"/>
  <c r="AV151" i="58"/>
  <c r="AU151" i="58"/>
  <c r="AT151" i="58"/>
  <c r="AS151" i="58"/>
  <c r="AT147" i="58"/>
  <c r="AS147" i="58"/>
  <c r="AW146" i="58"/>
  <c r="AV146" i="58"/>
  <c r="AU146" i="58"/>
  <c r="AT146" i="58"/>
  <c r="AS145" i="58"/>
  <c r="AS133" i="58"/>
  <c r="AW122" i="58"/>
  <c r="AW133" i="58" s="1"/>
  <c r="AV122" i="58"/>
  <c r="AU122" i="58"/>
  <c r="AT122" i="58"/>
  <c r="AS122" i="58"/>
  <c r="AW79" i="58"/>
  <c r="AV79" i="58"/>
  <c r="AU79" i="58"/>
  <c r="AT79" i="58"/>
  <c r="AS79" i="58"/>
  <c r="AW77" i="58"/>
  <c r="AV77" i="58"/>
  <c r="AU77" i="58"/>
  <c r="AT77" i="58"/>
  <c r="AS77" i="58"/>
  <c r="AS76" i="58"/>
  <c r="AW75" i="58"/>
  <c r="AV75" i="58"/>
  <c r="AU75" i="58"/>
  <c r="AT75" i="58"/>
  <c r="AS75" i="58"/>
  <c r="AW74" i="58"/>
  <c r="AV74" i="58"/>
  <c r="AU74" i="58"/>
  <c r="AT74" i="58"/>
  <c r="AS73" i="58"/>
  <c r="AW72" i="58"/>
  <c r="AV72" i="58"/>
  <c r="AU72" i="58"/>
  <c r="AT72" i="58"/>
  <c r="AT71" i="58"/>
  <c r="AS71" i="58"/>
  <c r="AW70" i="58"/>
  <c r="AV70" i="58"/>
  <c r="AU70" i="58"/>
  <c r="AT70" i="58"/>
  <c r="AS70" i="58"/>
  <c r="AV38" i="58"/>
  <c r="AV41" i="58" s="1"/>
  <c r="AV59" i="58" s="1"/>
  <c r="AW29" i="58"/>
  <c r="AW150" i="58" s="1"/>
  <c r="AV29" i="58"/>
  <c r="AV150" i="58" s="1"/>
  <c r="AU29" i="58"/>
  <c r="AT29" i="58"/>
  <c r="AS29" i="58"/>
  <c r="AS146" i="58" s="1"/>
  <c r="AW28" i="58"/>
  <c r="AV28" i="58"/>
  <c r="AU28" i="58"/>
  <c r="AT28" i="58"/>
  <c r="AS28" i="58"/>
  <c r="AW19" i="58"/>
  <c r="AV19" i="58"/>
  <c r="AU19" i="58"/>
  <c r="AT19" i="58"/>
  <c r="AS19" i="58"/>
  <c r="AW16" i="58"/>
  <c r="AW37" i="58" s="1"/>
  <c r="AV16" i="58"/>
  <c r="AV37" i="58" s="1"/>
  <c r="AU16" i="58"/>
  <c r="AU37" i="58" s="1"/>
  <c r="AT16" i="58"/>
  <c r="AT37" i="58" s="1"/>
  <c r="AS16" i="58"/>
  <c r="AS37" i="58" s="1"/>
  <c r="AW15" i="58"/>
  <c r="AV15" i="58"/>
  <c r="AU15" i="58"/>
  <c r="AT15" i="58"/>
  <c r="AS15" i="58"/>
  <c r="AW14" i="58"/>
  <c r="AW38" i="58" s="1"/>
  <c r="AW41" i="58" s="1"/>
  <c r="AV14" i="58"/>
  <c r="AU14" i="58"/>
  <c r="AU38" i="58" s="1"/>
  <c r="AU41" i="58" s="1"/>
  <c r="AT14" i="58"/>
  <c r="AT38" i="58" s="1"/>
  <c r="AT41" i="58" s="1"/>
  <c r="AS14" i="58"/>
  <c r="AS38" i="58" s="1"/>
  <c r="AS41" i="58" s="1"/>
  <c r="AH222" i="58"/>
  <c r="AG222" i="58"/>
  <c r="AF222" i="58"/>
  <c r="AE222" i="58"/>
  <c r="AD222" i="58"/>
  <c r="AC222" i="58"/>
  <c r="AB222" i="58"/>
  <c r="AA222" i="58"/>
  <c r="Z222" i="58"/>
  <c r="Y222" i="58"/>
  <c r="AB206" i="58"/>
  <c r="AB214" i="58" s="1"/>
  <c r="AA206" i="58"/>
  <c r="AA214" i="58" s="1"/>
  <c r="AH196" i="58"/>
  <c r="AH197" i="58" s="1"/>
  <c r="AG196" i="58"/>
  <c r="AG197" i="58" s="1"/>
  <c r="AF196" i="58"/>
  <c r="AF197" i="58" s="1"/>
  <c r="AE196" i="58"/>
  <c r="AE197" i="58" s="1"/>
  <c r="AH195" i="58"/>
  <c r="AG195" i="58"/>
  <c r="AF195" i="58"/>
  <c r="AE195" i="58"/>
  <c r="AD195" i="58"/>
  <c r="AC195" i="58"/>
  <c r="AB195" i="58"/>
  <c r="AA195" i="58"/>
  <c r="Z195" i="58"/>
  <c r="Y195" i="58"/>
  <c r="AH194" i="58"/>
  <c r="AG194" i="58"/>
  <c r="AF194" i="58"/>
  <c r="AE194" i="58"/>
  <c r="AD194" i="58"/>
  <c r="AC194" i="58"/>
  <c r="AB194" i="58"/>
  <c r="AA194" i="58"/>
  <c r="AH193" i="58"/>
  <c r="AG193" i="58"/>
  <c r="AF193" i="58"/>
  <c r="AE193" i="58"/>
  <c r="AD193" i="58"/>
  <c r="AC193" i="58"/>
  <c r="AB193" i="58"/>
  <c r="AA193" i="58"/>
  <c r="Z193" i="58"/>
  <c r="Y193" i="58"/>
  <c r="AH192" i="58"/>
  <c r="AG192" i="58"/>
  <c r="AF192" i="58"/>
  <c r="AE192" i="58"/>
  <c r="AD192" i="58"/>
  <c r="AD196" i="58" s="1"/>
  <c r="AD197" i="58" s="1"/>
  <c r="AC192" i="58"/>
  <c r="AC196" i="58" s="1"/>
  <c r="AC197" i="58" s="1"/>
  <c r="AB192" i="58"/>
  <c r="AB196" i="58" s="1"/>
  <c r="AB197" i="58" s="1"/>
  <c r="AA192" i="58"/>
  <c r="Z192" i="58"/>
  <c r="Z194" i="58" s="1"/>
  <c r="Y192" i="58"/>
  <c r="Y194" i="58" s="1"/>
  <c r="AH190" i="58"/>
  <c r="AG190" i="58"/>
  <c r="AF190" i="58"/>
  <c r="AE190" i="58"/>
  <c r="AD190" i="58"/>
  <c r="AC190" i="58"/>
  <c r="AB190" i="58"/>
  <c r="AA190" i="58"/>
  <c r="Z190" i="58"/>
  <c r="Y190" i="58"/>
  <c r="AH189" i="58"/>
  <c r="AH206" i="58" s="1"/>
  <c r="AH214" i="58" s="1"/>
  <c r="AG189" i="58"/>
  <c r="AG206" i="58" s="1"/>
  <c r="AG214" i="58" s="1"/>
  <c r="AF189" i="58"/>
  <c r="AF206" i="58" s="1"/>
  <c r="AF214" i="58" s="1"/>
  <c r="AE189" i="58"/>
  <c r="AE206" i="58" s="1"/>
  <c r="AE214" i="58" s="1"/>
  <c r="AD189" i="58"/>
  <c r="AD206" i="58" s="1"/>
  <c r="AD214" i="58" s="1"/>
  <c r="AC189" i="58"/>
  <c r="AC206" i="58" s="1"/>
  <c r="AC214" i="58" s="1"/>
  <c r="AB189" i="58"/>
  <c r="AA189" i="58"/>
  <c r="Z189" i="58"/>
  <c r="Z206" i="58" s="1"/>
  <c r="Z214" i="58" s="1"/>
  <c r="Y189" i="58"/>
  <c r="Y206" i="58" s="1"/>
  <c r="Y214" i="58" s="1"/>
  <c r="AH187" i="58"/>
  <c r="AH188" i="58" s="1"/>
  <c r="AH205" i="58" s="1"/>
  <c r="AH213" i="58" s="1"/>
  <c r="AG187" i="58"/>
  <c r="AG188" i="58" s="1"/>
  <c r="AG205" i="58" s="1"/>
  <c r="AG213" i="58" s="1"/>
  <c r="AF187" i="58"/>
  <c r="AF188" i="58" s="1"/>
  <c r="AF205" i="58" s="1"/>
  <c r="AF213" i="58" s="1"/>
  <c r="AE187" i="58"/>
  <c r="AE188" i="58" s="1"/>
  <c r="AE205" i="58" s="1"/>
  <c r="AE213" i="58" s="1"/>
  <c r="AD187" i="58"/>
  <c r="AD188" i="58" s="1"/>
  <c r="AD205" i="58" s="1"/>
  <c r="AD213" i="58" s="1"/>
  <c r="AC187" i="58"/>
  <c r="AC188" i="58" s="1"/>
  <c r="AC205" i="58" s="1"/>
  <c r="AC213" i="58" s="1"/>
  <c r="AB187" i="58"/>
  <c r="AB188" i="58" s="1"/>
  <c r="AB205" i="58" s="1"/>
  <c r="AB213" i="58" s="1"/>
  <c r="AA187" i="58"/>
  <c r="AA188" i="58" s="1"/>
  <c r="AA205" i="58" s="1"/>
  <c r="AA213" i="58" s="1"/>
  <c r="Z187" i="58"/>
  <c r="Z188" i="58" s="1"/>
  <c r="Z205" i="58" s="1"/>
  <c r="Z213" i="58" s="1"/>
  <c r="Y187" i="58"/>
  <c r="Y188" i="58" s="1"/>
  <c r="Y205" i="58" s="1"/>
  <c r="Y213" i="58" s="1"/>
  <c r="AH186" i="58"/>
  <c r="AG186" i="58"/>
  <c r="AF186" i="58"/>
  <c r="AE186" i="58"/>
  <c r="AD186" i="58"/>
  <c r="AC186" i="58"/>
  <c r="AB186" i="58"/>
  <c r="AA186" i="58"/>
  <c r="Z186" i="58"/>
  <c r="Y186" i="58"/>
  <c r="AH184" i="58"/>
  <c r="AH185" i="58" s="1"/>
  <c r="AG184" i="58"/>
  <c r="AG185" i="58" s="1"/>
  <c r="AF184" i="58"/>
  <c r="AF185" i="58" s="1"/>
  <c r="AE184" i="58"/>
  <c r="AE185" i="58" s="1"/>
  <c r="AH183" i="58"/>
  <c r="AG183" i="58"/>
  <c r="AF183" i="58"/>
  <c r="AE183" i="58"/>
  <c r="AD183" i="58"/>
  <c r="AD184" i="58" s="1"/>
  <c r="AD185" i="58" s="1"/>
  <c r="AC183" i="58"/>
  <c r="AC184" i="58" s="1"/>
  <c r="AC185" i="58" s="1"/>
  <c r="AB183" i="58"/>
  <c r="AB184" i="58" s="1"/>
  <c r="AB185" i="58" s="1"/>
  <c r="AA183" i="58"/>
  <c r="AA184" i="58" s="1"/>
  <c r="AA185" i="58" s="1"/>
  <c r="Z183" i="58"/>
  <c r="Z184" i="58" s="1"/>
  <c r="Z185" i="58" s="1"/>
  <c r="Y183" i="58"/>
  <c r="Y184" i="58" s="1"/>
  <c r="Y185" i="58" s="1"/>
  <c r="AH182" i="58"/>
  <c r="AG182" i="58"/>
  <c r="AF182" i="58"/>
  <c r="AE182" i="58"/>
  <c r="AD182" i="58"/>
  <c r="AC182" i="58"/>
  <c r="AB182" i="58"/>
  <c r="AA182" i="58"/>
  <c r="Z182" i="58"/>
  <c r="Y182" i="58"/>
  <c r="AH181" i="58"/>
  <c r="AG181" i="58"/>
  <c r="AF181" i="58"/>
  <c r="AE181" i="58"/>
  <c r="AD181" i="58"/>
  <c r="AC181" i="58"/>
  <c r="AB181" i="58"/>
  <c r="AA181" i="58"/>
  <c r="Z181" i="58"/>
  <c r="Y181" i="58"/>
  <c r="AH178" i="58"/>
  <c r="AH179" i="58" s="1"/>
  <c r="AH180" i="58" s="1"/>
  <c r="AG178" i="58"/>
  <c r="AG179" i="58" s="1"/>
  <c r="AG180" i="58" s="1"/>
  <c r="AE178" i="58"/>
  <c r="AE179" i="58" s="1"/>
  <c r="AE180" i="58" s="1"/>
  <c r="AB178" i="58"/>
  <c r="AB179" i="58" s="1"/>
  <c r="AB180" i="58" s="1"/>
  <c r="Z178" i="58"/>
  <c r="Y178" i="58"/>
  <c r="AH177" i="58"/>
  <c r="AG177" i="58"/>
  <c r="AF177" i="58"/>
  <c r="AE177" i="58"/>
  <c r="AD177" i="58"/>
  <c r="AC177" i="58"/>
  <c r="AH176" i="58"/>
  <c r="AG176" i="58"/>
  <c r="AF176" i="58"/>
  <c r="AF178" i="58" s="1"/>
  <c r="AE176" i="58"/>
  <c r="AD176" i="58"/>
  <c r="AD178" i="58" s="1"/>
  <c r="AD179" i="58" s="1"/>
  <c r="AD180" i="58" s="1"/>
  <c r="AC176" i="58"/>
  <c r="AC178" i="58" s="1"/>
  <c r="AC179" i="58" s="1"/>
  <c r="AC180" i="58" s="1"/>
  <c r="AB176" i="58"/>
  <c r="AB177" i="58" s="1"/>
  <c r="AA176" i="58"/>
  <c r="AA177" i="58" s="1"/>
  <c r="Z176" i="58"/>
  <c r="Z177" i="58" s="1"/>
  <c r="Y176" i="58"/>
  <c r="Y177" i="58" s="1"/>
  <c r="AC174" i="58"/>
  <c r="AB174" i="58"/>
  <c r="AA174" i="58"/>
  <c r="Z174" i="58"/>
  <c r="Y174" i="58"/>
  <c r="Y175" i="58" s="1"/>
  <c r="Z173" i="58"/>
  <c r="Z175" i="58" s="1"/>
  <c r="Y173" i="58"/>
  <c r="AH172" i="58"/>
  <c r="AH174" i="58" s="1"/>
  <c r="AG172" i="58"/>
  <c r="AG174" i="58" s="1"/>
  <c r="AF172" i="58"/>
  <c r="AF174" i="58" s="1"/>
  <c r="AE172" i="58"/>
  <c r="AD172" i="58"/>
  <c r="AD174" i="58" s="1"/>
  <c r="AC172" i="58"/>
  <c r="AB172" i="58"/>
  <c r="AA172" i="58"/>
  <c r="Z172" i="58"/>
  <c r="Y172" i="58"/>
  <c r="AH171" i="58"/>
  <c r="AG171" i="58"/>
  <c r="AF171" i="58"/>
  <c r="AE171" i="58"/>
  <c r="AD171" i="58"/>
  <c r="AC171" i="58"/>
  <c r="AC173" i="58" s="1"/>
  <c r="AB171" i="58"/>
  <c r="AA171" i="58"/>
  <c r="Z171" i="58"/>
  <c r="Y171" i="58"/>
  <c r="AH170" i="58"/>
  <c r="AG170" i="58"/>
  <c r="AF170" i="58"/>
  <c r="AE170" i="58"/>
  <c r="AD170" i="58"/>
  <c r="AD173" i="58" s="1"/>
  <c r="AC170" i="58"/>
  <c r="AB170" i="58"/>
  <c r="AB173" i="58" s="1"/>
  <c r="AA170" i="58"/>
  <c r="AA173" i="58" s="1"/>
  <c r="Z170" i="58"/>
  <c r="Y170" i="58"/>
  <c r="AB168" i="58"/>
  <c r="Z168" i="58"/>
  <c r="Y168" i="58"/>
  <c r="AH166" i="58"/>
  <c r="AH168" i="58" s="1"/>
  <c r="AG166" i="58"/>
  <c r="AG168" i="58" s="1"/>
  <c r="AE166" i="58"/>
  <c r="AB166" i="58"/>
  <c r="Z166" i="58"/>
  <c r="Y166" i="58"/>
  <c r="AH165" i="58"/>
  <c r="AH167" i="58" s="1"/>
  <c r="AG165" i="58"/>
  <c r="AG167" i="58" s="1"/>
  <c r="AF165" i="58"/>
  <c r="AE165" i="58"/>
  <c r="AD165" i="58"/>
  <c r="AC165" i="58"/>
  <c r="AH164" i="58"/>
  <c r="AG164" i="58"/>
  <c r="AF164" i="58"/>
  <c r="AF166" i="58" s="1"/>
  <c r="AE164" i="58"/>
  <c r="AD164" i="58"/>
  <c r="AD166" i="58" s="1"/>
  <c r="AC164" i="58"/>
  <c r="AC166" i="58" s="1"/>
  <c r="AB164" i="58"/>
  <c r="AB165" i="58" s="1"/>
  <c r="AA164" i="58"/>
  <c r="AA165" i="58" s="1"/>
  <c r="Z164" i="58"/>
  <c r="Z165" i="58" s="1"/>
  <c r="Y164" i="58"/>
  <c r="Y165" i="58" s="1"/>
  <c r="AF158" i="58"/>
  <c r="AD158" i="58"/>
  <c r="AF156" i="58"/>
  <c r="AF157" i="58" s="1"/>
  <c r="AF159" i="58" s="1"/>
  <c r="AD156" i="58"/>
  <c r="AD157" i="58" s="1"/>
  <c r="AD159" i="58" s="1"/>
  <c r="AC156" i="58"/>
  <c r="AC157" i="58" s="1"/>
  <c r="AB156" i="58"/>
  <c r="AB157" i="58" s="1"/>
  <c r="AA156" i="58"/>
  <c r="AA157" i="58" s="1"/>
  <c r="Z156" i="58"/>
  <c r="Z158" i="58" s="1"/>
  <c r="Y156" i="58"/>
  <c r="Y158" i="58" s="1"/>
  <c r="AH155" i="58"/>
  <c r="AG155" i="58"/>
  <c r="AF155" i="58"/>
  <c r="AE155" i="58"/>
  <c r="AD155" i="58"/>
  <c r="AC155" i="58"/>
  <c r="AB155" i="58"/>
  <c r="AA155" i="58"/>
  <c r="Z155" i="58"/>
  <c r="Y155" i="58"/>
  <c r="AH154" i="58"/>
  <c r="AH156" i="58" s="1"/>
  <c r="AG154" i="58"/>
  <c r="AG156" i="58" s="1"/>
  <c r="AF154" i="58"/>
  <c r="AE154" i="58"/>
  <c r="AE156" i="58" s="1"/>
  <c r="AD154" i="58"/>
  <c r="AC154" i="58"/>
  <c r="AB154" i="58"/>
  <c r="AA154" i="58"/>
  <c r="Z154" i="58"/>
  <c r="Y154" i="58"/>
  <c r="AD153" i="58"/>
  <c r="AC153" i="58"/>
  <c r="Z151" i="58"/>
  <c r="Y151" i="58"/>
  <c r="AF148" i="58"/>
  <c r="AE148" i="58"/>
  <c r="AB146" i="58"/>
  <c r="AA146" i="58"/>
  <c r="Y133" i="58"/>
  <c r="AH122" i="58"/>
  <c r="AH133" i="58" s="1"/>
  <c r="AG122" i="58"/>
  <c r="AG133" i="58" s="1"/>
  <c r="AF122" i="58"/>
  <c r="AE122" i="58"/>
  <c r="AD122" i="58"/>
  <c r="AC122" i="58"/>
  <c r="AB122" i="58"/>
  <c r="AA122" i="58"/>
  <c r="Z122" i="58"/>
  <c r="Y122" i="58"/>
  <c r="AD79" i="58"/>
  <c r="Z79" i="58"/>
  <c r="Y79" i="58"/>
  <c r="Z77" i="58"/>
  <c r="AG76" i="58"/>
  <c r="AF76" i="58"/>
  <c r="AE76" i="58"/>
  <c r="AF74" i="58"/>
  <c r="AD74" i="58"/>
  <c r="AB74" i="58"/>
  <c r="AA74" i="58"/>
  <c r="Z72" i="58"/>
  <c r="Y72" i="58"/>
  <c r="AH71" i="58"/>
  <c r="AG71" i="58"/>
  <c r="Z70" i="58"/>
  <c r="AC37" i="58"/>
  <c r="AH29" i="58"/>
  <c r="AH150" i="58" s="1"/>
  <c r="AG29" i="58"/>
  <c r="AG150" i="58" s="1"/>
  <c r="AF29" i="58"/>
  <c r="AE29" i="58"/>
  <c r="AD29" i="58"/>
  <c r="AD148" i="58" s="1"/>
  <c r="AC29" i="58"/>
  <c r="AC148" i="58" s="1"/>
  <c r="AB29" i="58"/>
  <c r="AB153" i="58" s="1"/>
  <c r="AA29" i="58"/>
  <c r="AA153" i="58" s="1"/>
  <c r="Z29" i="58"/>
  <c r="Z146" i="58" s="1"/>
  <c r="Y29" i="58"/>
  <c r="Y146" i="58" s="1"/>
  <c r="AH28" i="58"/>
  <c r="AG28" i="58"/>
  <c r="AF28" i="58"/>
  <c r="AE28" i="58"/>
  <c r="AD28" i="58"/>
  <c r="AC28" i="58"/>
  <c r="AB28" i="58"/>
  <c r="AA28" i="58"/>
  <c r="Z28" i="58"/>
  <c r="Y28" i="58"/>
  <c r="AH19" i="58"/>
  <c r="AG19" i="58"/>
  <c r="AF19" i="58"/>
  <c r="AE19" i="58"/>
  <c r="AD19" i="58"/>
  <c r="AC19" i="58"/>
  <c r="AB19" i="58"/>
  <c r="AA19" i="58"/>
  <c r="Z19" i="58"/>
  <c r="Y19" i="58"/>
  <c r="AH16" i="58"/>
  <c r="AH37" i="58" s="1"/>
  <c r="AG16" i="58"/>
  <c r="AG37" i="58" s="1"/>
  <c r="AF16" i="58"/>
  <c r="AF37" i="58" s="1"/>
  <c r="AE16" i="58"/>
  <c r="AE37" i="58" s="1"/>
  <c r="AD16" i="58"/>
  <c r="AD37" i="58" s="1"/>
  <c r="AC16" i="58"/>
  <c r="AB16" i="58"/>
  <c r="AB37" i="58" s="1"/>
  <c r="AA16" i="58"/>
  <c r="AA37" i="58" s="1"/>
  <c r="Z16" i="58"/>
  <c r="Z37" i="58" s="1"/>
  <c r="Y16" i="58"/>
  <c r="Y37" i="58" s="1"/>
  <c r="AH15" i="58"/>
  <c r="AG15" i="58"/>
  <c r="AF15" i="58"/>
  <c r="AE15" i="58"/>
  <c r="AD15" i="58"/>
  <c r="AC15" i="58"/>
  <c r="AB15" i="58"/>
  <c r="AA15" i="58"/>
  <c r="Z15" i="58"/>
  <c r="Y15" i="58"/>
  <c r="AH14" i="58"/>
  <c r="AH38" i="58" s="1"/>
  <c r="AH41" i="58" s="1"/>
  <c r="AG14" i="58"/>
  <c r="AG38" i="58" s="1"/>
  <c r="AG41" i="58" s="1"/>
  <c r="AG59" i="58" s="1"/>
  <c r="AF14" i="58"/>
  <c r="AF38" i="58" s="1"/>
  <c r="AF41" i="58" s="1"/>
  <c r="AE14" i="58"/>
  <c r="AE38" i="58" s="1"/>
  <c r="AE41" i="58" s="1"/>
  <c r="AD14" i="58"/>
  <c r="AD38" i="58" s="1"/>
  <c r="AD41" i="58" s="1"/>
  <c r="AC14" i="58"/>
  <c r="AC38" i="58" s="1"/>
  <c r="AC41" i="58" s="1"/>
  <c r="AB14" i="58"/>
  <c r="AB38" i="58" s="1"/>
  <c r="AB41" i="58" s="1"/>
  <c r="AA14" i="58"/>
  <c r="AA38" i="58" s="1"/>
  <c r="AA41" i="58" s="1"/>
  <c r="Z14" i="58"/>
  <c r="Z38" i="58" s="1"/>
  <c r="Z41" i="58" s="1"/>
  <c r="Y14" i="58"/>
  <c r="Y38" i="58" s="1"/>
  <c r="Y41" i="58" s="1"/>
  <c r="V222" i="58"/>
  <c r="U222" i="58"/>
  <c r="T222" i="58"/>
  <c r="S222" i="58"/>
  <c r="R222" i="58"/>
  <c r="Q222" i="58"/>
  <c r="P222" i="58"/>
  <c r="O222" i="58"/>
  <c r="V195" i="58"/>
  <c r="U195" i="58"/>
  <c r="T195" i="58"/>
  <c r="S195" i="58"/>
  <c r="R195" i="58"/>
  <c r="Q195" i="58"/>
  <c r="P195" i="58"/>
  <c r="O195" i="58"/>
  <c r="V193" i="58"/>
  <c r="V194" i="58" s="1"/>
  <c r="U193" i="58"/>
  <c r="U194" i="58" s="1"/>
  <c r="T193" i="58"/>
  <c r="T194" i="58" s="1"/>
  <c r="S193" i="58"/>
  <c r="S194" i="58" s="1"/>
  <c r="R193" i="58"/>
  <c r="R194" i="58" s="1"/>
  <c r="Q193" i="58"/>
  <c r="Q196" i="58" s="1"/>
  <c r="Q197" i="58" s="1"/>
  <c r="P193" i="58"/>
  <c r="P196" i="58" s="1"/>
  <c r="P197" i="58" s="1"/>
  <c r="O193" i="58"/>
  <c r="O194" i="58" s="1"/>
  <c r="V192" i="58"/>
  <c r="U192" i="58"/>
  <c r="T192" i="58"/>
  <c r="S192" i="58"/>
  <c r="R192" i="58"/>
  <c r="Q192" i="58"/>
  <c r="Q194" i="58" s="1"/>
  <c r="P192" i="58"/>
  <c r="P194" i="58" s="1"/>
  <c r="O192" i="58"/>
  <c r="V190" i="58"/>
  <c r="V206" i="58" s="1"/>
  <c r="V214" i="58" s="1"/>
  <c r="U190" i="58"/>
  <c r="U206" i="58" s="1"/>
  <c r="U214" i="58" s="1"/>
  <c r="T190" i="58"/>
  <c r="T206" i="58" s="1"/>
  <c r="T214" i="58" s="1"/>
  <c r="S190" i="58"/>
  <c r="S206" i="58" s="1"/>
  <c r="S214" i="58" s="1"/>
  <c r="R190" i="58"/>
  <c r="R206" i="58" s="1"/>
  <c r="R214" i="58" s="1"/>
  <c r="Q190" i="58"/>
  <c r="P190" i="58"/>
  <c r="O190" i="58"/>
  <c r="V189" i="58"/>
  <c r="U189" i="58"/>
  <c r="T189" i="58"/>
  <c r="S189" i="58"/>
  <c r="R189" i="58"/>
  <c r="Q189" i="58"/>
  <c r="Q206" i="58" s="1"/>
  <c r="Q214" i="58" s="1"/>
  <c r="P189" i="58"/>
  <c r="P206" i="58" s="1"/>
  <c r="P214" i="58" s="1"/>
  <c r="O189" i="58"/>
  <c r="O206" i="58" s="1"/>
  <c r="O214" i="58" s="1"/>
  <c r="V187" i="58"/>
  <c r="V188" i="58" s="1"/>
  <c r="V205" i="58" s="1"/>
  <c r="V213" i="58" s="1"/>
  <c r="U187" i="58"/>
  <c r="U188" i="58" s="1"/>
  <c r="U205" i="58" s="1"/>
  <c r="U213" i="58" s="1"/>
  <c r="T187" i="58"/>
  <c r="T188" i="58" s="1"/>
  <c r="T205" i="58" s="1"/>
  <c r="T213" i="58" s="1"/>
  <c r="S187" i="58"/>
  <c r="S188" i="58" s="1"/>
  <c r="S205" i="58" s="1"/>
  <c r="S213" i="58" s="1"/>
  <c r="R187" i="58"/>
  <c r="R188" i="58" s="1"/>
  <c r="R205" i="58" s="1"/>
  <c r="R213" i="58" s="1"/>
  <c r="Q187" i="58"/>
  <c r="Q188" i="58" s="1"/>
  <c r="Q205" i="58" s="1"/>
  <c r="Q213" i="58" s="1"/>
  <c r="P187" i="58"/>
  <c r="P188" i="58" s="1"/>
  <c r="P205" i="58" s="1"/>
  <c r="P213" i="58" s="1"/>
  <c r="O187" i="58"/>
  <c r="O188" i="58" s="1"/>
  <c r="O205" i="58" s="1"/>
  <c r="O213" i="58" s="1"/>
  <c r="V186" i="58"/>
  <c r="U186" i="58"/>
  <c r="T186" i="58"/>
  <c r="S186" i="58"/>
  <c r="R186" i="58"/>
  <c r="Q186" i="58"/>
  <c r="P186" i="58"/>
  <c r="O186" i="58"/>
  <c r="V183" i="58"/>
  <c r="U183" i="58"/>
  <c r="T183" i="58"/>
  <c r="S183" i="58"/>
  <c r="R183" i="58"/>
  <c r="Q183" i="58"/>
  <c r="P183" i="58"/>
  <c r="O183" i="58"/>
  <c r="V182" i="58"/>
  <c r="U182" i="58"/>
  <c r="T182" i="58"/>
  <c r="S182" i="58"/>
  <c r="R182" i="58"/>
  <c r="Q182" i="58"/>
  <c r="P182" i="58"/>
  <c r="O182" i="58"/>
  <c r="V181" i="58"/>
  <c r="V184" i="58" s="1"/>
  <c r="V185" i="58" s="1"/>
  <c r="U181" i="58"/>
  <c r="U184" i="58" s="1"/>
  <c r="U185" i="58" s="1"/>
  <c r="T181" i="58"/>
  <c r="T184" i="58" s="1"/>
  <c r="T185" i="58" s="1"/>
  <c r="S181" i="58"/>
  <c r="S184" i="58" s="1"/>
  <c r="S185" i="58" s="1"/>
  <c r="R181" i="58"/>
  <c r="R184" i="58" s="1"/>
  <c r="R185" i="58" s="1"/>
  <c r="Q181" i="58"/>
  <c r="Q184" i="58" s="1"/>
  <c r="Q185" i="58" s="1"/>
  <c r="P181" i="58"/>
  <c r="P184" i="58" s="1"/>
  <c r="P185" i="58" s="1"/>
  <c r="O181" i="58"/>
  <c r="O184" i="58" s="1"/>
  <c r="O185" i="58" s="1"/>
  <c r="V178" i="58"/>
  <c r="U178" i="58"/>
  <c r="T178" i="58"/>
  <c r="T179" i="58" s="1"/>
  <c r="T180" i="58" s="1"/>
  <c r="S178" i="58"/>
  <c r="S179" i="58" s="1"/>
  <c r="S180" i="58" s="1"/>
  <c r="R178" i="58"/>
  <c r="R179" i="58" s="1"/>
  <c r="R180" i="58" s="1"/>
  <c r="Q178" i="58"/>
  <c r="Q179" i="58" s="1"/>
  <c r="Q180" i="58" s="1"/>
  <c r="P178" i="58"/>
  <c r="P179" i="58" s="1"/>
  <c r="P180" i="58" s="1"/>
  <c r="O178" i="58"/>
  <c r="Q177" i="58"/>
  <c r="V176" i="58"/>
  <c r="V177" i="58" s="1"/>
  <c r="U176" i="58"/>
  <c r="U177" i="58" s="1"/>
  <c r="T176" i="58"/>
  <c r="T177" i="58" s="1"/>
  <c r="S176" i="58"/>
  <c r="S177" i="58" s="1"/>
  <c r="R176" i="58"/>
  <c r="R177" i="58" s="1"/>
  <c r="Q176" i="58"/>
  <c r="P176" i="58"/>
  <c r="P177" i="58" s="1"/>
  <c r="O176" i="58"/>
  <c r="O177" i="58" s="1"/>
  <c r="V172" i="58"/>
  <c r="V174" i="58" s="1"/>
  <c r="U172" i="58"/>
  <c r="U174" i="58" s="1"/>
  <c r="T172" i="58"/>
  <c r="T174" i="58" s="1"/>
  <c r="S172" i="58"/>
  <c r="S174" i="58" s="1"/>
  <c r="R172" i="58"/>
  <c r="R174" i="58" s="1"/>
  <c r="Q172" i="58"/>
  <c r="Q174" i="58" s="1"/>
  <c r="P172" i="58"/>
  <c r="P174" i="58" s="1"/>
  <c r="O172" i="58"/>
  <c r="O174" i="58" s="1"/>
  <c r="V171" i="58"/>
  <c r="U171" i="58"/>
  <c r="T171" i="58"/>
  <c r="S171" i="58"/>
  <c r="R171" i="58"/>
  <c r="Q171" i="58"/>
  <c r="P171" i="58"/>
  <c r="O171" i="58"/>
  <c r="V170" i="58"/>
  <c r="U170" i="58"/>
  <c r="T170" i="58"/>
  <c r="S170" i="58"/>
  <c r="R170" i="58"/>
  <c r="Q170" i="58"/>
  <c r="P170" i="58"/>
  <c r="O170" i="58"/>
  <c r="V166" i="58"/>
  <c r="V168" i="58" s="1"/>
  <c r="U166" i="58"/>
  <c r="U168" i="58" s="1"/>
  <c r="T166" i="58"/>
  <c r="T168" i="58" s="1"/>
  <c r="S166" i="58"/>
  <c r="S168" i="58" s="1"/>
  <c r="R166" i="58"/>
  <c r="R168" i="58" s="1"/>
  <c r="Q166" i="58"/>
  <c r="Q168" i="58" s="1"/>
  <c r="P166" i="58"/>
  <c r="P168" i="58" s="1"/>
  <c r="O166" i="58"/>
  <c r="O168" i="58" s="1"/>
  <c r="Q165" i="58"/>
  <c r="V164" i="58"/>
  <c r="V165" i="58" s="1"/>
  <c r="U164" i="58"/>
  <c r="U165" i="58" s="1"/>
  <c r="T164" i="58"/>
  <c r="T165" i="58" s="1"/>
  <c r="S164" i="58"/>
  <c r="S165" i="58" s="1"/>
  <c r="R164" i="58"/>
  <c r="R165" i="58" s="1"/>
  <c r="Q164" i="58"/>
  <c r="P164" i="58"/>
  <c r="P165" i="58" s="1"/>
  <c r="O164" i="58"/>
  <c r="O165" i="58" s="1"/>
  <c r="V155" i="58"/>
  <c r="U155" i="58"/>
  <c r="T155" i="58"/>
  <c r="S155" i="58"/>
  <c r="R155" i="58"/>
  <c r="Q155" i="58"/>
  <c r="P155" i="58"/>
  <c r="O155" i="58"/>
  <c r="V154" i="58"/>
  <c r="V156" i="58" s="1"/>
  <c r="U154" i="58"/>
  <c r="U156" i="58" s="1"/>
  <c r="T154" i="58"/>
  <c r="T156" i="58" s="1"/>
  <c r="S154" i="58"/>
  <c r="S156" i="58" s="1"/>
  <c r="R154" i="58"/>
  <c r="R156" i="58" s="1"/>
  <c r="Q154" i="58"/>
  <c r="Q156" i="58" s="1"/>
  <c r="P154" i="58"/>
  <c r="P156" i="58" s="1"/>
  <c r="O154" i="58"/>
  <c r="O156" i="58" s="1"/>
  <c r="R151" i="58"/>
  <c r="O151" i="58"/>
  <c r="R148" i="58"/>
  <c r="O148" i="58"/>
  <c r="R145" i="58"/>
  <c r="O145" i="58"/>
  <c r="U133" i="58"/>
  <c r="T133" i="58"/>
  <c r="V122" i="58"/>
  <c r="V133" i="58" s="1"/>
  <c r="U122" i="58"/>
  <c r="T122" i="58"/>
  <c r="S122" i="58"/>
  <c r="S133" i="58" s="1"/>
  <c r="R122" i="58"/>
  <c r="R133" i="58" s="1"/>
  <c r="Q122" i="58"/>
  <c r="Q133" i="58" s="1"/>
  <c r="P122" i="58"/>
  <c r="P133" i="58" s="1"/>
  <c r="O122" i="58"/>
  <c r="O133" i="58" s="1"/>
  <c r="V79" i="58"/>
  <c r="U79" i="58"/>
  <c r="T79" i="58"/>
  <c r="S79" i="58"/>
  <c r="R79" i="58"/>
  <c r="O79" i="58"/>
  <c r="V77" i="58"/>
  <c r="U77" i="58"/>
  <c r="V76" i="58"/>
  <c r="U76" i="58"/>
  <c r="T76" i="58"/>
  <c r="S76" i="58"/>
  <c r="R76" i="58"/>
  <c r="O76" i="58"/>
  <c r="V74" i="58"/>
  <c r="U74" i="58"/>
  <c r="V73" i="58"/>
  <c r="U73" i="58"/>
  <c r="T73" i="58"/>
  <c r="S73" i="58"/>
  <c r="R73" i="58"/>
  <c r="O73" i="58"/>
  <c r="V71" i="58"/>
  <c r="U71" i="58"/>
  <c r="S71" i="58"/>
  <c r="V70" i="58"/>
  <c r="U70" i="58"/>
  <c r="T70" i="58"/>
  <c r="S70" i="58"/>
  <c r="R70" i="58"/>
  <c r="O70" i="58"/>
  <c r="V38" i="58"/>
  <c r="V41" i="58" s="1"/>
  <c r="S38" i="58"/>
  <c r="S41" i="58" s="1"/>
  <c r="T37" i="58"/>
  <c r="V29" i="58"/>
  <c r="V153" i="58" s="1"/>
  <c r="U29" i="58"/>
  <c r="U153" i="58" s="1"/>
  <c r="T29" i="58"/>
  <c r="T153" i="58" s="1"/>
  <c r="S29" i="58"/>
  <c r="S153" i="58" s="1"/>
  <c r="R29" i="58"/>
  <c r="R153" i="58" s="1"/>
  <c r="Q29" i="58"/>
  <c r="Q153" i="58" s="1"/>
  <c r="P29" i="58"/>
  <c r="P153" i="58" s="1"/>
  <c r="O29" i="58"/>
  <c r="O153" i="58" s="1"/>
  <c r="V28" i="58"/>
  <c r="U28" i="58"/>
  <c r="T28" i="58"/>
  <c r="S28" i="58"/>
  <c r="R28" i="58"/>
  <c r="Q28" i="58"/>
  <c r="P28" i="58"/>
  <c r="O28" i="58"/>
  <c r="V19" i="58"/>
  <c r="U19" i="58"/>
  <c r="T19" i="58"/>
  <c r="S19" i="58"/>
  <c r="R19" i="58"/>
  <c r="Q19" i="58"/>
  <c r="P19" i="58"/>
  <c r="O19" i="58"/>
  <c r="V16" i="58"/>
  <c r="V37" i="58" s="1"/>
  <c r="U16" i="58"/>
  <c r="U37" i="58" s="1"/>
  <c r="T16" i="58"/>
  <c r="S16" i="58"/>
  <c r="S37" i="58" s="1"/>
  <c r="R16" i="58"/>
  <c r="R37" i="58" s="1"/>
  <c r="Q16" i="58"/>
  <c r="Q37" i="58" s="1"/>
  <c r="P16" i="58"/>
  <c r="P37" i="58" s="1"/>
  <c r="O16" i="58"/>
  <c r="O37" i="58" s="1"/>
  <c r="V15" i="58"/>
  <c r="U15" i="58"/>
  <c r="T15" i="58"/>
  <c r="S15" i="58"/>
  <c r="R15" i="58"/>
  <c r="Q15" i="58"/>
  <c r="P15" i="58"/>
  <c r="O15" i="58"/>
  <c r="V14" i="58"/>
  <c r="U14" i="58"/>
  <c r="U38" i="58" s="1"/>
  <c r="U41" i="58" s="1"/>
  <c r="T14" i="58"/>
  <c r="T38" i="58" s="1"/>
  <c r="T41" i="58" s="1"/>
  <c r="S14" i="58"/>
  <c r="R14" i="58"/>
  <c r="R38" i="58" s="1"/>
  <c r="R41" i="58" s="1"/>
  <c r="Q14" i="58"/>
  <c r="Q38" i="58" s="1"/>
  <c r="Q41" i="58" s="1"/>
  <c r="P14" i="58"/>
  <c r="P38" i="58" s="1"/>
  <c r="P41" i="58" s="1"/>
  <c r="O14" i="58"/>
  <c r="O38" i="58" s="1"/>
  <c r="O41" i="58" s="1"/>
  <c r="I222" i="58"/>
  <c r="H222" i="58"/>
  <c r="I195" i="58"/>
  <c r="H195" i="58"/>
  <c r="I193" i="58"/>
  <c r="H193" i="58"/>
  <c r="I192" i="58"/>
  <c r="H192" i="58"/>
  <c r="I190" i="58"/>
  <c r="H190" i="58"/>
  <c r="I189" i="58"/>
  <c r="I206" i="58" s="1"/>
  <c r="I214" i="58" s="1"/>
  <c r="H189" i="58"/>
  <c r="H206" i="58" s="1"/>
  <c r="H214" i="58" s="1"/>
  <c r="I187" i="58"/>
  <c r="I188" i="58" s="1"/>
  <c r="I205" i="58" s="1"/>
  <c r="I213" i="58" s="1"/>
  <c r="H187" i="58"/>
  <c r="H188" i="58" s="1"/>
  <c r="H205" i="58" s="1"/>
  <c r="H213" i="58" s="1"/>
  <c r="I186" i="58"/>
  <c r="H186" i="58"/>
  <c r="I183" i="58"/>
  <c r="I184" i="58" s="1"/>
  <c r="I185" i="58" s="1"/>
  <c r="H183" i="58"/>
  <c r="H184" i="58" s="1"/>
  <c r="H185" i="58" s="1"/>
  <c r="I182" i="58"/>
  <c r="H182" i="58"/>
  <c r="I181" i="58"/>
  <c r="H181" i="58"/>
  <c r="I176" i="58"/>
  <c r="I178" i="58" s="1"/>
  <c r="H176" i="58"/>
  <c r="H178" i="58" s="1"/>
  <c r="I172" i="58"/>
  <c r="I174" i="58" s="1"/>
  <c r="H172" i="58"/>
  <c r="H174" i="58" s="1"/>
  <c r="I171" i="58"/>
  <c r="H171" i="58"/>
  <c r="I170" i="58"/>
  <c r="H170" i="58"/>
  <c r="I164" i="58"/>
  <c r="I166" i="58" s="1"/>
  <c r="H164" i="58"/>
  <c r="H166" i="58" s="1"/>
  <c r="I155" i="58"/>
  <c r="H155" i="58"/>
  <c r="I154" i="58"/>
  <c r="I156" i="58" s="1"/>
  <c r="H154" i="58"/>
  <c r="H156" i="58" s="1"/>
  <c r="I153" i="58"/>
  <c r="H153" i="58"/>
  <c r="I152" i="58"/>
  <c r="H152" i="58"/>
  <c r="I151" i="58"/>
  <c r="H151" i="58"/>
  <c r="H148" i="58"/>
  <c r="I147" i="58"/>
  <c r="H147" i="58"/>
  <c r="I146" i="58"/>
  <c r="H146" i="58"/>
  <c r="H145" i="58"/>
  <c r="I144" i="58"/>
  <c r="H144" i="58"/>
  <c r="I122" i="58"/>
  <c r="I133" i="58" s="1"/>
  <c r="H122" i="58"/>
  <c r="H133" i="58" s="1"/>
  <c r="I79" i="58"/>
  <c r="H79" i="58"/>
  <c r="H76" i="58"/>
  <c r="I75" i="58"/>
  <c r="H75" i="58"/>
  <c r="I74" i="58"/>
  <c r="H74" i="58"/>
  <c r="I73" i="58"/>
  <c r="H73" i="58"/>
  <c r="I72" i="58"/>
  <c r="H72" i="58"/>
  <c r="I71" i="58"/>
  <c r="H71" i="58"/>
  <c r="I70" i="58"/>
  <c r="H70" i="58"/>
  <c r="H37" i="58"/>
  <c r="I29" i="58"/>
  <c r="I150" i="58" s="1"/>
  <c r="H29" i="58"/>
  <c r="H150" i="58" s="1"/>
  <c r="I28" i="58"/>
  <c r="H28" i="58"/>
  <c r="I19" i="58"/>
  <c r="H19" i="58"/>
  <c r="I16" i="58"/>
  <c r="I37" i="58" s="1"/>
  <c r="H16" i="58"/>
  <c r="I15" i="58"/>
  <c r="H15" i="58"/>
  <c r="I14" i="58"/>
  <c r="I38" i="58" s="1"/>
  <c r="I41" i="58" s="1"/>
  <c r="H14" i="58"/>
  <c r="H38" i="58" s="1"/>
  <c r="H41" i="58" s="1"/>
  <c r="AW36" i="60"/>
  <c r="AV36" i="60"/>
  <c r="AU36" i="60"/>
  <c r="AT36" i="60"/>
  <c r="AS36" i="60"/>
  <c r="AW35" i="60"/>
  <c r="AV35" i="60"/>
  <c r="AU35" i="60"/>
  <c r="AT35" i="60"/>
  <c r="AS35" i="60"/>
  <c r="AW34" i="60"/>
  <c r="AV34" i="60"/>
  <c r="AU34" i="60"/>
  <c r="AT34" i="60"/>
  <c r="AS34" i="60"/>
  <c r="AW33" i="60"/>
  <c r="AV33" i="60"/>
  <c r="AU33" i="60"/>
  <c r="AT33" i="60"/>
  <c r="AS33" i="60"/>
  <c r="AW27" i="60"/>
  <c r="AV27" i="60"/>
  <c r="AV23" i="60" s="1"/>
  <c r="AU27" i="60"/>
  <c r="AT27" i="60"/>
  <c r="AS27" i="60"/>
  <c r="AU23" i="60"/>
  <c r="AU26" i="60" s="1"/>
  <c r="AT23" i="60"/>
  <c r="AT26" i="60" s="1"/>
  <c r="AS23" i="60"/>
  <c r="AS24" i="60" s="1"/>
  <c r="AS25" i="60" s="1"/>
  <c r="AS28" i="60" s="1"/>
  <c r="AW20" i="60"/>
  <c r="AW16" i="60" s="1"/>
  <c r="AV20" i="60"/>
  <c r="AU20" i="60"/>
  <c r="AT20" i="60"/>
  <c r="AS20" i="60"/>
  <c r="AV19" i="60"/>
  <c r="AV16" i="60"/>
  <c r="AV17" i="60" s="1"/>
  <c r="AV18" i="60" s="1"/>
  <c r="AW13" i="60"/>
  <c r="AW7" i="60" s="1"/>
  <c r="AV13" i="60"/>
  <c r="AU13" i="60"/>
  <c r="AU7" i="60" s="1"/>
  <c r="AT13" i="60"/>
  <c r="AT7" i="60" s="1"/>
  <c r="AS13" i="60"/>
  <c r="AS9" i="60"/>
  <c r="AS12" i="60" s="1"/>
  <c r="AH36" i="60"/>
  <c r="AG36" i="60"/>
  <c r="AF36" i="60"/>
  <c r="AE36" i="60"/>
  <c r="AD36" i="60"/>
  <c r="AC36" i="60"/>
  <c r="AB36" i="60"/>
  <c r="AA36" i="60"/>
  <c r="Z36" i="60"/>
  <c r="Y36" i="60"/>
  <c r="AH35" i="60"/>
  <c r="AG35" i="60"/>
  <c r="AF35" i="60"/>
  <c r="AE35" i="60"/>
  <c r="AD35" i="60"/>
  <c r="AC35" i="60"/>
  <c r="AB35" i="60"/>
  <c r="AA35" i="60"/>
  <c r="Z35" i="60"/>
  <c r="Y35" i="60"/>
  <c r="AH34" i="60"/>
  <c r="AG34" i="60"/>
  <c r="AF34" i="60"/>
  <c r="AE34" i="60"/>
  <c r="AD34" i="60"/>
  <c r="AC34" i="60"/>
  <c r="AB34" i="60"/>
  <c r="AA34" i="60"/>
  <c r="Z34" i="60"/>
  <c r="Y34" i="60"/>
  <c r="AH33" i="60"/>
  <c r="AG33" i="60"/>
  <c r="AF33" i="60"/>
  <c r="AE33" i="60"/>
  <c r="AD33" i="60"/>
  <c r="AC33" i="60"/>
  <c r="AB33" i="60"/>
  <c r="AA33" i="60"/>
  <c r="Z33" i="60"/>
  <c r="Y33" i="60"/>
  <c r="Z30" i="60"/>
  <c r="Y30" i="60"/>
  <c r="AH27" i="60"/>
  <c r="AG27" i="60"/>
  <c r="AF27" i="60"/>
  <c r="AE27" i="60"/>
  <c r="AD27" i="60"/>
  <c r="AC27" i="60"/>
  <c r="AB27" i="60"/>
  <c r="AA27" i="60"/>
  <c r="Z27" i="60"/>
  <c r="Y27" i="60"/>
  <c r="AD23" i="60"/>
  <c r="AD24" i="60" s="1"/>
  <c r="AD25" i="60" s="1"/>
  <c r="AD28" i="60" s="1"/>
  <c r="AC23" i="60"/>
  <c r="AC24" i="60" s="1"/>
  <c r="AC25" i="60" s="1"/>
  <c r="AC28" i="60" s="1"/>
  <c r="AB23" i="60"/>
  <c r="AB24" i="60" s="1"/>
  <c r="AB25" i="60" s="1"/>
  <c r="AB28" i="60" s="1"/>
  <c r="AA23" i="60"/>
  <c r="AA24" i="60" s="1"/>
  <c r="AA25" i="60" s="1"/>
  <c r="AA28" i="60" s="1"/>
  <c r="Z23" i="60"/>
  <c r="Z24" i="60" s="1"/>
  <c r="Z25" i="60" s="1"/>
  <c r="Z28" i="60" s="1"/>
  <c r="Y23" i="60"/>
  <c r="Y24" i="60" s="1"/>
  <c r="Y25" i="60" s="1"/>
  <c r="Y28" i="60" s="1"/>
  <c r="AH20" i="60"/>
  <c r="AG20" i="60"/>
  <c r="AF20" i="60"/>
  <c r="AE20" i="60"/>
  <c r="AD20" i="60"/>
  <c r="AC20" i="60"/>
  <c r="AB20" i="60"/>
  <c r="AA20" i="60"/>
  <c r="Z20" i="60"/>
  <c r="Y20" i="60"/>
  <c r="AB16" i="60"/>
  <c r="AB17" i="60" s="1"/>
  <c r="AB18" i="60" s="1"/>
  <c r="AB21" i="60" s="1"/>
  <c r="AA16" i="60"/>
  <c r="AA17" i="60" s="1"/>
  <c r="AA18" i="60" s="1"/>
  <c r="AA21" i="60" s="1"/>
  <c r="Z16" i="60"/>
  <c r="Z17" i="60" s="1"/>
  <c r="Z18" i="60" s="1"/>
  <c r="Z21" i="60" s="1"/>
  <c r="Y16" i="60"/>
  <c r="Y17" i="60" s="1"/>
  <c r="Y18" i="60" s="1"/>
  <c r="Y21" i="60" s="1"/>
  <c r="AH13" i="60"/>
  <c r="AH7" i="60" s="1"/>
  <c r="AG13" i="60"/>
  <c r="AG7" i="60" s="1"/>
  <c r="AF13" i="60"/>
  <c r="AF7" i="60" s="1"/>
  <c r="AE13" i="60"/>
  <c r="AE7" i="60" s="1"/>
  <c r="AD13" i="60"/>
  <c r="AC13" i="60"/>
  <c r="AB13" i="60"/>
  <c r="AA13" i="60"/>
  <c r="Z13" i="60"/>
  <c r="Y13" i="60"/>
  <c r="Z9" i="60"/>
  <c r="Z10" i="60" s="1"/>
  <c r="Z11" i="60" s="1"/>
  <c r="Z14" i="60" s="1"/>
  <c r="Y9" i="60"/>
  <c r="Y10" i="60" s="1"/>
  <c r="Y11" i="60" s="1"/>
  <c r="Y14" i="60" s="1"/>
  <c r="Z7" i="60"/>
  <c r="Y7" i="60"/>
  <c r="V36" i="60"/>
  <c r="U36" i="60"/>
  <c r="T36" i="60"/>
  <c r="S36" i="60"/>
  <c r="R36" i="60"/>
  <c r="Q36" i="60"/>
  <c r="P36" i="60"/>
  <c r="O36" i="60"/>
  <c r="V35" i="60"/>
  <c r="U35" i="60"/>
  <c r="T35" i="60"/>
  <c r="S35" i="60"/>
  <c r="R35" i="60"/>
  <c r="Q35" i="60"/>
  <c r="P35" i="60"/>
  <c r="O35" i="60"/>
  <c r="V34" i="60"/>
  <c r="U34" i="60"/>
  <c r="T34" i="60"/>
  <c r="S34" i="60"/>
  <c r="R34" i="60"/>
  <c r="Q34" i="60"/>
  <c r="P34" i="60"/>
  <c r="O34" i="60"/>
  <c r="V33" i="60"/>
  <c r="U33" i="60"/>
  <c r="T33" i="60"/>
  <c r="S33" i="60"/>
  <c r="R33" i="60"/>
  <c r="Q33" i="60"/>
  <c r="P33" i="60"/>
  <c r="O33" i="60"/>
  <c r="V30" i="60"/>
  <c r="V27" i="60"/>
  <c r="U27" i="60"/>
  <c r="T27" i="60"/>
  <c r="S27" i="60"/>
  <c r="S30" i="60" s="1"/>
  <c r="R27" i="60"/>
  <c r="Q27" i="60"/>
  <c r="P27" i="60"/>
  <c r="O27" i="60"/>
  <c r="V20" i="60"/>
  <c r="U20" i="60"/>
  <c r="T20" i="60"/>
  <c r="S20" i="60"/>
  <c r="R20" i="60"/>
  <c r="Q20" i="60"/>
  <c r="P20" i="60"/>
  <c r="O20" i="60"/>
  <c r="V16" i="60"/>
  <c r="V17" i="60" s="1"/>
  <c r="V18" i="60" s="1"/>
  <c r="V21" i="60" s="1"/>
  <c r="U16" i="60"/>
  <c r="U17" i="60" s="1"/>
  <c r="U18" i="60" s="1"/>
  <c r="U21" i="60" s="1"/>
  <c r="T16" i="60"/>
  <c r="T17" i="60" s="1"/>
  <c r="T18" i="60" s="1"/>
  <c r="T21" i="60" s="1"/>
  <c r="S16" i="60"/>
  <c r="S17" i="60" s="1"/>
  <c r="S18" i="60" s="1"/>
  <c r="S21" i="60" s="1"/>
  <c r="R16" i="60"/>
  <c r="R17" i="60" s="1"/>
  <c r="R18" i="60" s="1"/>
  <c r="R21" i="60" s="1"/>
  <c r="Q16" i="60"/>
  <c r="Q17" i="60" s="1"/>
  <c r="Q18" i="60" s="1"/>
  <c r="Q21" i="60" s="1"/>
  <c r="P16" i="60"/>
  <c r="P17" i="60" s="1"/>
  <c r="P18" i="60" s="1"/>
  <c r="P21" i="60" s="1"/>
  <c r="O16" i="60"/>
  <c r="O17" i="60" s="1"/>
  <c r="O18" i="60" s="1"/>
  <c r="O21" i="60" s="1"/>
  <c r="V13" i="60"/>
  <c r="U13" i="60"/>
  <c r="T13" i="60"/>
  <c r="S13" i="60"/>
  <c r="R13" i="60"/>
  <c r="Q13" i="60"/>
  <c r="P13" i="60"/>
  <c r="P14" i="60" s="1"/>
  <c r="O13" i="60"/>
  <c r="V9" i="60"/>
  <c r="V10" i="60" s="1"/>
  <c r="V11" i="60" s="1"/>
  <c r="U9" i="60"/>
  <c r="U10" i="60" s="1"/>
  <c r="U11" i="60" s="1"/>
  <c r="T9" i="60"/>
  <c r="T10" i="60" s="1"/>
  <c r="T11" i="60" s="1"/>
  <c r="S9" i="60"/>
  <c r="S12" i="60" s="1"/>
  <c r="R9" i="60"/>
  <c r="R10" i="60" s="1"/>
  <c r="R11" i="60" s="1"/>
  <c r="Q9" i="60"/>
  <c r="Q10" i="60" s="1"/>
  <c r="Q11" i="60" s="1"/>
  <c r="P9" i="60"/>
  <c r="P10" i="60" s="1"/>
  <c r="P11" i="60" s="1"/>
  <c r="O9" i="60"/>
  <c r="O12" i="60" s="1"/>
  <c r="V7" i="60"/>
  <c r="U7" i="60"/>
  <c r="T7" i="60"/>
  <c r="S7" i="60"/>
  <c r="R7" i="60"/>
  <c r="Q7" i="60"/>
  <c r="I36" i="60"/>
  <c r="H36" i="60"/>
  <c r="I35" i="60"/>
  <c r="H35" i="60"/>
  <c r="I34" i="60"/>
  <c r="H34" i="60"/>
  <c r="I33" i="60"/>
  <c r="H33" i="60"/>
  <c r="I30" i="60"/>
  <c r="H30" i="60"/>
  <c r="I27" i="60"/>
  <c r="H27" i="60"/>
  <c r="I23" i="60"/>
  <c r="I24" i="60" s="1"/>
  <c r="I25" i="60" s="1"/>
  <c r="H23" i="60"/>
  <c r="H24" i="60" s="1"/>
  <c r="H25" i="60" s="1"/>
  <c r="I20" i="60"/>
  <c r="H20" i="60"/>
  <c r="H16" i="60" s="1"/>
  <c r="I13" i="60"/>
  <c r="H13" i="60"/>
  <c r="I9" i="60"/>
  <c r="I12" i="60" s="1"/>
  <c r="H9" i="60"/>
  <c r="H12" i="60" s="1"/>
  <c r="I7" i="60"/>
  <c r="H7" i="60"/>
  <c r="O179" i="58" l="1"/>
  <c r="O180" i="58" s="1"/>
  <c r="U179" i="58"/>
  <c r="U180" i="58" s="1"/>
  <c r="Y167" i="58"/>
  <c r="Y169" i="58" s="1"/>
  <c r="V179" i="58"/>
  <c r="V180" i="58" s="1"/>
  <c r="Z167" i="58"/>
  <c r="Z169" i="58" s="1"/>
  <c r="AC175" i="58"/>
  <c r="AB167" i="58"/>
  <c r="AB169" i="58" s="1"/>
  <c r="AA158" i="58"/>
  <c r="AA159" i="58" s="1"/>
  <c r="AE167" i="58"/>
  <c r="AB158" i="58"/>
  <c r="AB159" i="58" s="1"/>
  <c r="AC158" i="58"/>
  <c r="AC159" i="58" s="1"/>
  <c r="AF179" i="58"/>
  <c r="AF180" i="58" s="1"/>
  <c r="AU196" i="58"/>
  <c r="AU197" i="58" s="1"/>
  <c r="AV196" i="58"/>
  <c r="AV197" i="58" s="1"/>
  <c r="AA175" i="58"/>
  <c r="AW196" i="58"/>
  <c r="AW197" i="58" s="1"/>
  <c r="AB175" i="58"/>
  <c r="AB221" i="58" s="1"/>
  <c r="AB211" i="58" s="1"/>
  <c r="U12" i="60"/>
  <c r="AS129" i="59"/>
  <c r="AS91" i="59"/>
  <c r="AU129" i="59"/>
  <c r="AT91" i="59"/>
  <c r="AV129" i="59"/>
  <c r="AU91" i="59"/>
  <c r="AW129" i="59"/>
  <c r="AV91" i="59"/>
  <c r="AW91" i="59"/>
  <c r="AT130" i="59"/>
  <c r="AV77" i="59"/>
  <c r="AU130" i="59"/>
  <c r="AV130" i="59"/>
  <c r="AW130" i="59"/>
  <c r="AS131" i="59"/>
  <c r="AT131" i="59"/>
  <c r="AU131" i="59"/>
  <c r="AV131" i="59"/>
  <c r="AS132" i="59"/>
  <c r="Y129" i="59"/>
  <c r="Z129" i="59"/>
  <c r="AD131" i="59"/>
  <c r="AH133" i="59"/>
  <c r="AE131" i="59"/>
  <c r="AF131" i="59"/>
  <c r="Z91" i="59"/>
  <c r="AD129" i="59"/>
  <c r="AA91" i="59"/>
  <c r="AE129" i="59"/>
  <c r="AF129" i="59"/>
  <c r="AG129" i="59"/>
  <c r="AA132" i="59"/>
  <c r="AH129" i="59"/>
  <c r="AB132" i="59"/>
  <c r="AE91" i="59"/>
  <c r="Y130" i="59"/>
  <c r="AC132" i="59"/>
  <c r="AF91" i="59"/>
  <c r="Z130" i="59"/>
  <c r="AD132" i="59"/>
  <c r="AA130" i="59"/>
  <c r="AE132" i="59"/>
  <c r="AB130" i="59"/>
  <c r="AC130" i="59"/>
  <c r="Y133" i="59"/>
  <c r="Z133" i="59"/>
  <c r="P91" i="59"/>
  <c r="P130" i="59"/>
  <c r="P133" i="59"/>
  <c r="Q91" i="59"/>
  <c r="Q130" i="59"/>
  <c r="R91" i="59"/>
  <c r="R130" i="59"/>
  <c r="R133" i="59"/>
  <c r="S91" i="59"/>
  <c r="S130" i="59"/>
  <c r="S133" i="59"/>
  <c r="T91" i="59"/>
  <c r="T130" i="59"/>
  <c r="T133" i="59"/>
  <c r="U91" i="59"/>
  <c r="U130" i="59"/>
  <c r="V91" i="59"/>
  <c r="V130" i="59"/>
  <c r="V133" i="59"/>
  <c r="O92" i="59"/>
  <c r="O131" i="59"/>
  <c r="Q131" i="59"/>
  <c r="U131" i="59"/>
  <c r="O129" i="59"/>
  <c r="P129" i="59"/>
  <c r="Q129" i="59"/>
  <c r="R129" i="59"/>
  <c r="S129" i="59"/>
  <c r="T129" i="59"/>
  <c r="U129" i="59"/>
  <c r="V129" i="59"/>
  <c r="H91" i="59"/>
  <c r="I91" i="59"/>
  <c r="H80" i="59"/>
  <c r="H129" i="59"/>
  <c r="H130" i="59"/>
  <c r="I130" i="59"/>
  <c r="H131" i="59"/>
  <c r="I131" i="59"/>
  <c r="H132" i="59"/>
  <c r="I132" i="59"/>
  <c r="AW198" i="58"/>
  <c r="AW202" i="58" s="1"/>
  <c r="AW59" i="58"/>
  <c r="AW84" i="58"/>
  <c r="AV179" i="58"/>
  <c r="AV180" i="58" s="1"/>
  <c r="AS84" i="58"/>
  <c r="AS59" i="58"/>
  <c r="AS198" i="58"/>
  <c r="AS202" i="58" s="1"/>
  <c r="AW175" i="58"/>
  <c r="AT59" i="58"/>
  <c r="AT198" i="58"/>
  <c r="AT202" i="58" s="1"/>
  <c r="AT84" i="58"/>
  <c r="AU59" i="58"/>
  <c r="AU198" i="58"/>
  <c r="AU202" i="58" s="1"/>
  <c r="AU84" i="58"/>
  <c r="AT175" i="58"/>
  <c r="AU175" i="58"/>
  <c r="AV175" i="58"/>
  <c r="AV84" i="58"/>
  <c r="AW151" i="58"/>
  <c r="AU147" i="58"/>
  <c r="AT152" i="58"/>
  <c r="AS157" i="58"/>
  <c r="AS159" i="58" s="1"/>
  <c r="AS219" i="58" s="1"/>
  <c r="AS209" i="58" s="1"/>
  <c r="AT133" i="58"/>
  <c r="AV147" i="58"/>
  <c r="AU152" i="58"/>
  <c r="AT157" i="58"/>
  <c r="AT159" i="58" s="1"/>
  <c r="AT219" i="58" s="1"/>
  <c r="AT209" i="58" s="1"/>
  <c r="AU133" i="58"/>
  <c r="AW147" i="58"/>
  <c r="AV152" i="58"/>
  <c r="AU157" i="58"/>
  <c r="AU159" i="58" s="1"/>
  <c r="AS167" i="58"/>
  <c r="AS169" i="58" s="1"/>
  <c r="AV133" i="58"/>
  <c r="AS148" i="58"/>
  <c r="AW152" i="58"/>
  <c r="AV157" i="58"/>
  <c r="AV159" i="58" s="1"/>
  <c r="AV219" i="58" s="1"/>
  <c r="AV209" i="58" s="1"/>
  <c r="AT167" i="58"/>
  <c r="AT169" i="58" s="1"/>
  <c r="AU71" i="58"/>
  <c r="AT76" i="58"/>
  <c r="AT148" i="58"/>
  <c r="AS153" i="58"/>
  <c r="AW157" i="58"/>
  <c r="AW159" i="58" s="1"/>
  <c r="AW219" i="58" s="1"/>
  <c r="AW209" i="58" s="1"/>
  <c r="AU167" i="58"/>
  <c r="AU169" i="58" s="1"/>
  <c r="AS177" i="58"/>
  <c r="AS179" i="58" s="1"/>
  <c r="AS180" i="58" s="1"/>
  <c r="AV71" i="58"/>
  <c r="AU76" i="58"/>
  <c r="AU148" i="58"/>
  <c r="AT153" i="58"/>
  <c r="AV167" i="58"/>
  <c r="AV169" i="58" s="1"/>
  <c r="AT177" i="58"/>
  <c r="AT179" i="58" s="1"/>
  <c r="AT180" i="58" s="1"/>
  <c r="AW71" i="58"/>
  <c r="AV76" i="58"/>
  <c r="AV148" i="58"/>
  <c r="AU153" i="58"/>
  <c r="AW167" i="58"/>
  <c r="AW169" i="58" s="1"/>
  <c r="AU177" i="58"/>
  <c r="AU179" i="58" s="1"/>
  <c r="AU180" i="58" s="1"/>
  <c r="AS72" i="58"/>
  <c r="AW76" i="58"/>
  <c r="AS144" i="58"/>
  <c r="AW148" i="58"/>
  <c r="AV153" i="58"/>
  <c r="AV177" i="58"/>
  <c r="AT144" i="58"/>
  <c r="AS149" i="58"/>
  <c r="AW153" i="58"/>
  <c r="AS173" i="58"/>
  <c r="AS175" i="58" s="1"/>
  <c r="AW177" i="58"/>
  <c r="AW179" i="58" s="1"/>
  <c r="AW180" i="58" s="1"/>
  <c r="AU144" i="58"/>
  <c r="AT149" i="58"/>
  <c r="AV144" i="58"/>
  <c r="AU149" i="58"/>
  <c r="AW144" i="58"/>
  <c r="AV149" i="58"/>
  <c r="AW149" i="58"/>
  <c r="AT73" i="58"/>
  <c r="AS78" i="58"/>
  <c r="AT145" i="58"/>
  <c r="AS150" i="58"/>
  <c r="AU73" i="58"/>
  <c r="AT78" i="58"/>
  <c r="AU145" i="58"/>
  <c r="AT150" i="58"/>
  <c r="AV73" i="58"/>
  <c r="AU78" i="58"/>
  <c r="AV145" i="58"/>
  <c r="AU150" i="58"/>
  <c r="AW73" i="58"/>
  <c r="AV78" i="58"/>
  <c r="AW145" i="58"/>
  <c r="AV198" i="58"/>
  <c r="AV202" i="58" s="1"/>
  <c r="AS74" i="58"/>
  <c r="AW78" i="58"/>
  <c r="Z59" i="58"/>
  <c r="Z198" i="58"/>
  <c r="Z202" i="58" s="1"/>
  <c r="Z84" i="58"/>
  <c r="AF219" i="58"/>
  <c r="AF209" i="58" s="1"/>
  <c r="AB191" i="58"/>
  <c r="AG198" i="58"/>
  <c r="AG202" i="58" s="1"/>
  <c r="AG84" i="58"/>
  <c r="AE157" i="58"/>
  <c r="AE158" i="58"/>
  <c r="AH198" i="58"/>
  <c r="AH202" i="58" s="1"/>
  <c r="AH59" i="58"/>
  <c r="AH84" i="58"/>
  <c r="AG157" i="58"/>
  <c r="AG159" i="58" s="1"/>
  <c r="AG219" i="58" s="1"/>
  <c r="AG209" i="58" s="1"/>
  <c r="AG158" i="58"/>
  <c r="AG169" i="58"/>
  <c r="AH157" i="58"/>
  <c r="AH158" i="58"/>
  <c r="AH169" i="58"/>
  <c r="AA196" i="58"/>
  <c r="AA197" i="58" s="1"/>
  <c r="AA133" i="58"/>
  <c r="AA59" i="58"/>
  <c r="AA198" i="58"/>
  <c r="AA202" i="58" s="1"/>
  <c r="AA84" i="58"/>
  <c r="AB59" i="58"/>
  <c r="AB198" i="58"/>
  <c r="AB202" i="58" s="1"/>
  <c r="AB84" i="58"/>
  <c r="AE59" i="58"/>
  <c r="AE198" i="58"/>
  <c r="AE202" i="58" s="1"/>
  <c r="AE84" i="58"/>
  <c r="AC59" i="58"/>
  <c r="AC198" i="58"/>
  <c r="AC202" i="58" s="1"/>
  <c r="AC84" i="58"/>
  <c r="AD59" i="58"/>
  <c r="AD198" i="58"/>
  <c r="AD202" i="58" s="1"/>
  <c r="AD84" i="58"/>
  <c r="AC167" i="58"/>
  <c r="AC169" i="58" s="1"/>
  <c r="AC168" i="58"/>
  <c r="Y59" i="58"/>
  <c r="Y198" i="58"/>
  <c r="Y202" i="58" s="1"/>
  <c r="Y84" i="58"/>
  <c r="AF59" i="58"/>
  <c r="AF198" i="58"/>
  <c r="AF202" i="58" s="1"/>
  <c r="AF84" i="58"/>
  <c r="AD167" i="58"/>
  <c r="AD169" i="58" s="1"/>
  <c r="AD168" i="58"/>
  <c r="AE174" i="58"/>
  <c r="AE173" i="58"/>
  <c r="AE175" i="58" s="1"/>
  <c r="AF167" i="58"/>
  <c r="AF168" i="58"/>
  <c r="AD175" i="58"/>
  <c r="Y179" i="58"/>
  <c r="Y180" i="58" s="1"/>
  <c r="Y191" i="58" s="1"/>
  <c r="Z179" i="58"/>
  <c r="Z180" i="58" s="1"/>
  <c r="Z191" i="58" s="1"/>
  <c r="AC74" i="58"/>
  <c r="AA79" i="58"/>
  <c r="Y144" i="58"/>
  <c r="AC146" i="58"/>
  <c r="AG148" i="58"/>
  <c r="AA151" i="58"/>
  <c r="AE153" i="58"/>
  <c r="AH76" i="58"/>
  <c r="AB79" i="58"/>
  <c r="Z144" i="58"/>
  <c r="AD146" i="58"/>
  <c r="AH148" i="58"/>
  <c r="AB151" i="58"/>
  <c r="AF153" i="58"/>
  <c r="AA72" i="58"/>
  <c r="AE74" i="58"/>
  <c r="Y77" i="58"/>
  <c r="AC79" i="58"/>
  <c r="AA144" i="58"/>
  <c r="AE146" i="58"/>
  <c r="Y149" i="58"/>
  <c r="AC151" i="58"/>
  <c r="AG153" i="58"/>
  <c r="AB72" i="58"/>
  <c r="AB144" i="58"/>
  <c r="AF146" i="58"/>
  <c r="Z149" i="58"/>
  <c r="AD151" i="58"/>
  <c r="AH153" i="58"/>
  <c r="Y70" i="58"/>
  <c r="AC72" i="58"/>
  <c r="AG74" i="58"/>
  <c r="AA77" i="58"/>
  <c r="AE79" i="58"/>
  <c r="AC144" i="58"/>
  <c r="AG146" i="58"/>
  <c r="AA149" i="58"/>
  <c r="AE151" i="58"/>
  <c r="AD72" i="58"/>
  <c r="AH74" i="58"/>
  <c r="AB77" i="58"/>
  <c r="AF79" i="58"/>
  <c r="AD144" i="58"/>
  <c r="AH146" i="58"/>
  <c r="AB149" i="58"/>
  <c r="AF151" i="58"/>
  <c r="AA70" i="58"/>
  <c r="AE72" i="58"/>
  <c r="Y75" i="58"/>
  <c r="AC77" i="58"/>
  <c r="AG79" i="58"/>
  <c r="AE144" i="58"/>
  <c r="Y147" i="58"/>
  <c r="AC149" i="58"/>
  <c r="AG151" i="58"/>
  <c r="AA166" i="58"/>
  <c r="AE168" i="58"/>
  <c r="AA178" i="58"/>
  <c r="AA179" i="58" s="1"/>
  <c r="AA180" i="58" s="1"/>
  <c r="AB70" i="58"/>
  <c r="AF72" i="58"/>
  <c r="Z75" i="58"/>
  <c r="AD77" i="58"/>
  <c r="AH79" i="58"/>
  <c r="AF144" i="58"/>
  <c r="Z147" i="58"/>
  <c r="AD149" i="58"/>
  <c r="AH151" i="58"/>
  <c r="AC70" i="58"/>
  <c r="AG72" i="58"/>
  <c r="AA75" i="58"/>
  <c r="AE77" i="58"/>
  <c r="AG144" i="58"/>
  <c r="AA147" i="58"/>
  <c r="AE149" i="58"/>
  <c r="Y152" i="58"/>
  <c r="AD70" i="58"/>
  <c r="AH72" i="58"/>
  <c r="AB75" i="58"/>
  <c r="AF77" i="58"/>
  <c r="AH144" i="58"/>
  <c r="AB147" i="58"/>
  <c r="AF149" i="58"/>
  <c r="Z152" i="58"/>
  <c r="AF173" i="58"/>
  <c r="AF175" i="58" s="1"/>
  <c r="AE70" i="58"/>
  <c r="Y73" i="58"/>
  <c r="AC75" i="58"/>
  <c r="AG77" i="58"/>
  <c r="Y145" i="58"/>
  <c r="AC147" i="58"/>
  <c r="AG149" i="58"/>
  <c r="AA152" i="58"/>
  <c r="Y157" i="58"/>
  <c r="Y159" i="58" s="1"/>
  <c r="Y219" i="58" s="1"/>
  <c r="Y209" i="58" s="1"/>
  <c r="AG173" i="58"/>
  <c r="AG175" i="58" s="1"/>
  <c r="AF70" i="58"/>
  <c r="Z73" i="58"/>
  <c r="AD75" i="58"/>
  <c r="AH77" i="58"/>
  <c r="Z133" i="58"/>
  <c r="Z145" i="58"/>
  <c r="AD147" i="58"/>
  <c r="AH149" i="58"/>
  <c r="AB152" i="58"/>
  <c r="Z157" i="58"/>
  <c r="Z159" i="58" s="1"/>
  <c r="AH173" i="58"/>
  <c r="AH175" i="58" s="1"/>
  <c r="AG70" i="58"/>
  <c r="AA73" i="58"/>
  <c r="AE75" i="58"/>
  <c r="Y78" i="58"/>
  <c r="AA145" i="58"/>
  <c r="AE147" i="58"/>
  <c r="Y150" i="58"/>
  <c r="AC152" i="58"/>
  <c r="AH70" i="58"/>
  <c r="AB73" i="58"/>
  <c r="AF75" i="58"/>
  <c r="Z78" i="58"/>
  <c r="AB133" i="58"/>
  <c r="AB145" i="58"/>
  <c r="AF147" i="58"/>
  <c r="Z150" i="58"/>
  <c r="AD152" i="58"/>
  <c r="Y71" i="58"/>
  <c r="AC73" i="58"/>
  <c r="AG75" i="58"/>
  <c r="AA78" i="58"/>
  <c r="AC133" i="58"/>
  <c r="AC145" i="58"/>
  <c r="AG147" i="58"/>
  <c r="AA150" i="58"/>
  <c r="AE152" i="58"/>
  <c r="Z71" i="58"/>
  <c r="AD73" i="58"/>
  <c r="AH75" i="58"/>
  <c r="AB78" i="58"/>
  <c r="AD133" i="58"/>
  <c r="AD219" i="58" s="1"/>
  <c r="AD209" i="58" s="1"/>
  <c r="AD145" i="58"/>
  <c r="AH147" i="58"/>
  <c r="AB150" i="58"/>
  <c r="AF152" i="58"/>
  <c r="AA71" i="58"/>
  <c r="AE73" i="58"/>
  <c r="Y76" i="58"/>
  <c r="AC78" i="58"/>
  <c r="AE133" i="58"/>
  <c r="AE145" i="58"/>
  <c r="Y148" i="58"/>
  <c r="AC150" i="58"/>
  <c r="AG152" i="58"/>
  <c r="Y196" i="58"/>
  <c r="Y197" i="58" s="1"/>
  <c r="AB71" i="58"/>
  <c r="AF73" i="58"/>
  <c r="Z76" i="58"/>
  <c r="AD78" i="58"/>
  <c r="AF133" i="58"/>
  <c r="AF145" i="58"/>
  <c r="Z148" i="58"/>
  <c r="AD150" i="58"/>
  <c r="AH152" i="58"/>
  <c r="Z196" i="58"/>
  <c r="Z197" i="58" s="1"/>
  <c r="AC71" i="58"/>
  <c r="AG73" i="58"/>
  <c r="AA76" i="58"/>
  <c r="AE78" i="58"/>
  <c r="AG145" i="58"/>
  <c r="AA148" i="58"/>
  <c r="AE150" i="58"/>
  <c r="Y153" i="58"/>
  <c r="AD71" i="58"/>
  <c r="AH73" i="58"/>
  <c r="AB76" i="58"/>
  <c r="AF78" i="58"/>
  <c r="AH145" i="58"/>
  <c r="AB148" i="58"/>
  <c r="AF150" i="58"/>
  <c r="Z153" i="58"/>
  <c r="AE71" i="58"/>
  <c r="Y74" i="58"/>
  <c r="AC76" i="58"/>
  <c r="AG78" i="58"/>
  <c r="AF71" i="58"/>
  <c r="Z74" i="58"/>
  <c r="AD76" i="58"/>
  <c r="AH78" i="58"/>
  <c r="O157" i="58"/>
  <c r="O158" i="58"/>
  <c r="P158" i="58"/>
  <c r="P157" i="58"/>
  <c r="P198" i="58"/>
  <c r="P202" i="58" s="1"/>
  <c r="P84" i="58"/>
  <c r="P59" i="58"/>
  <c r="R158" i="58"/>
  <c r="R157" i="58"/>
  <c r="R159" i="58" s="1"/>
  <c r="R219" i="58" s="1"/>
  <c r="R209" i="58" s="1"/>
  <c r="Q198" i="58"/>
  <c r="Q202" i="58" s="1"/>
  <c r="Q84" i="58"/>
  <c r="Q59" i="58"/>
  <c r="S158" i="58"/>
  <c r="S157" i="58"/>
  <c r="S159" i="58" s="1"/>
  <c r="S219" i="58" s="1"/>
  <c r="S209" i="58" s="1"/>
  <c r="O198" i="58"/>
  <c r="O202" i="58" s="1"/>
  <c r="O84" i="58"/>
  <c r="O59" i="58"/>
  <c r="T158" i="58"/>
  <c r="T157" i="58"/>
  <c r="U158" i="58"/>
  <c r="U157" i="58"/>
  <c r="V158" i="58"/>
  <c r="V157" i="58"/>
  <c r="V159" i="58" s="1"/>
  <c r="V219" i="58" s="1"/>
  <c r="V209" i="58" s="1"/>
  <c r="R198" i="58"/>
  <c r="R202" i="58" s="1"/>
  <c r="R84" i="58"/>
  <c r="R59" i="58"/>
  <c r="T198" i="58"/>
  <c r="T202" i="58" s="1"/>
  <c r="T84" i="58"/>
  <c r="T59" i="58"/>
  <c r="V198" i="58"/>
  <c r="V202" i="58" s="1"/>
  <c r="V84" i="58"/>
  <c r="V59" i="58"/>
  <c r="Q158" i="58"/>
  <c r="Q157" i="58"/>
  <c r="Q159" i="58" s="1"/>
  <c r="Q219" i="58" s="1"/>
  <c r="Q209" i="58" s="1"/>
  <c r="S198" i="58"/>
  <c r="S202" i="58" s="1"/>
  <c r="S84" i="58"/>
  <c r="S59" i="58"/>
  <c r="U198" i="58"/>
  <c r="U202" i="58" s="1"/>
  <c r="U84" i="58"/>
  <c r="U59" i="58"/>
  <c r="P70" i="58"/>
  <c r="P73" i="58"/>
  <c r="P76" i="58"/>
  <c r="P79" i="58"/>
  <c r="P145" i="58"/>
  <c r="P148" i="58"/>
  <c r="P151" i="58"/>
  <c r="Q70" i="58"/>
  <c r="Q73" i="58"/>
  <c r="Q76" i="58"/>
  <c r="Q79" i="58"/>
  <c r="Q145" i="58"/>
  <c r="Q148" i="58"/>
  <c r="Q151" i="58"/>
  <c r="R196" i="58"/>
  <c r="R197" i="58" s="1"/>
  <c r="S145" i="58"/>
  <c r="S148" i="58"/>
  <c r="S151" i="58"/>
  <c r="S196" i="58"/>
  <c r="S197" i="58" s="1"/>
  <c r="T145" i="58"/>
  <c r="T148" i="58"/>
  <c r="T151" i="58"/>
  <c r="T196" i="58"/>
  <c r="T197" i="58" s="1"/>
  <c r="O196" i="58"/>
  <c r="O197" i="58" s="1"/>
  <c r="U145" i="58"/>
  <c r="U148" i="58"/>
  <c r="U151" i="58"/>
  <c r="U196" i="58"/>
  <c r="U197" i="58" s="1"/>
  <c r="V145" i="58"/>
  <c r="V148" i="58"/>
  <c r="V151" i="58"/>
  <c r="V196" i="58"/>
  <c r="V197" i="58" s="1"/>
  <c r="O71" i="58"/>
  <c r="O74" i="58"/>
  <c r="O77" i="58"/>
  <c r="O146" i="58"/>
  <c r="O149" i="58"/>
  <c r="O152" i="58"/>
  <c r="O167" i="58"/>
  <c r="O169" i="58" s="1"/>
  <c r="O173" i="58"/>
  <c r="O175" i="58" s="1"/>
  <c r="P71" i="58"/>
  <c r="P74" i="58"/>
  <c r="P77" i="58"/>
  <c r="P146" i="58"/>
  <c r="P149" i="58"/>
  <c r="P152" i="58"/>
  <c r="P167" i="58"/>
  <c r="P169" i="58" s="1"/>
  <c r="P173" i="58"/>
  <c r="P175" i="58" s="1"/>
  <c r="Q71" i="58"/>
  <c r="Q74" i="58"/>
  <c r="Q77" i="58"/>
  <c r="Q146" i="58"/>
  <c r="Q149" i="58"/>
  <c r="Q152" i="58"/>
  <c r="Q167" i="58"/>
  <c r="Q169" i="58" s="1"/>
  <c r="Q173" i="58"/>
  <c r="Q175" i="58" s="1"/>
  <c r="R71" i="58"/>
  <c r="R74" i="58"/>
  <c r="R77" i="58"/>
  <c r="R146" i="58"/>
  <c r="R149" i="58"/>
  <c r="R152" i="58"/>
  <c r="R167" i="58"/>
  <c r="R169" i="58" s="1"/>
  <c r="R173" i="58"/>
  <c r="R175" i="58" s="1"/>
  <c r="S74" i="58"/>
  <c r="S77" i="58"/>
  <c r="S146" i="58"/>
  <c r="S149" i="58"/>
  <c r="S152" i="58"/>
  <c r="S167" i="58"/>
  <c r="S169" i="58" s="1"/>
  <c r="S173" i="58"/>
  <c r="S175" i="58" s="1"/>
  <c r="T71" i="58"/>
  <c r="T74" i="58"/>
  <c r="T77" i="58"/>
  <c r="T146" i="58"/>
  <c r="T149" i="58"/>
  <c r="T152" i="58"/>
  <c r="T167" i="58"/>
  <c r="T169" i="58" s="1"/>
  <c r="T173" i="58"/>
  <c r="T175" i="58" s="1"/>
  <c r="U146" i="58"/>
  <c r="U149" i="58"/>
  <c r="U152" i="58"/>
  <c r="U167" i="58"/>
  <c r="U169" i="58" s="1"/>
  <c r="U173" i="58"/>
  <c r="U175" i="58" s="1"/>
  <c r="V146" i="58"/>
  <c r="V149" i="58"/>
  <c r="V152" i="58"/>
  <c r="V167" i="58"/>
  <c r="V169" i="58" s="1"/>
  <c r="V173" i="58"/>
  <c r="V175" i="58" s="1"/>
  <c r="O72" i="58"/>
  <c r="O75" i="58"/>
  <c r="O78" i="58"/>
  <c r="O144" i="58"/>
  <c r="O147" i="58"/>
  <c r="O150" i="58"/>
  <c r="P72" i="58"/>
  <c r="P75" i="58"/>
  <c r="P78" i="58"/>
  <c r="P144" i="58"/>
  <c r="P147" i="58"/>
  <c r="P150" i="58"/>
  <c r="Q72" i="58"/>
  <c r="Q75" i="58"/>
  <c r="Q78" i="58"/>
  <c r="Q144" i="58"/>
  <c r="Q147" i="58"/>
  <c r="Q150" i="58"/>
  <c r="R72" i="58"/>
  <c r="R75" i="58"/>
  <c r="R78" i="58"/>
  <c r="R144" i="58"/>
  <c r="R147" i="58"/>
  <c r="R150" i="58"/>
  <c r="S72" i="58"/>
  <c r="S75" i="58"/>
  <c r="S78" i="58"/>
  <c r="S144" i="58"/>
  <c r="S147" i="58"/>
  <c r="S150" i="58"/>
  <c r="T72" i="58"/>
  <c r="T75" i="58"/>
  <c r="T78" i="58"/>
  <c r="T144" i="58"/>
  <c r="T147" i="58"/>
  <c r="T150" i="58"/>
  <c r="U72" i="58"/>
  <c r="U75" i="58"/>
  <c r="U78" i="58"/>
  <c r="U144" i="58"/>
  <c r="U147" i="58"/>
  <c r="U150" i="58"/>
  <c r="V72" i="58"/>
  <c r="V75" i="58"/>
  <c r="V78" i="58"/>
  <c r="V144" i="58"/>
  <c r="V147" i="58"/>
  <c r="V150" i="58"/>
  <c r="H158" i="58"/>
  <c r="H157" i="58"/>
  <c r="I158" i="58"/>
  <c r="I157" i="58"/>
  <c r="I159" i="58" s="1"/>
  <c r="I219" i="58" s="1"/>
  <c r="I209" i="58" s="1"/>
  <c r="H198" i="58"/>
  <c r="H202" i="58" s="1"/>
  <c r="H84" i="58"/>
  <c r="H59" i="58"/>
  <c r="H168" i="58"/>
  <c r="I198" i="58"/>
  <c r="I202" i="58" s="1"/>
  <c r="I84" i="58"/>
  <c r="I59" i="58"/>
  <c r="I168" i="58"/>
  <c r="H165" i="58"/>
  <c r="H167" i="58" s="1"/>
  <c r="H169" i="58" s="1"/>
  <c r="H177" i="58"/>
  <c r="H179" i="58" s="1"/>
  <c r="H180" i="58" s="1"/>
  <c r="I165" i="58"/>
  <c r="I167" i="58" s="1"/>
  <c r="I169" i="58" s="1"/>
  <c r="I177" i="58"/>
  <c r="I179" i="58" s="1"/>
  <c r="I180" i="58" s="1"/>
  <c r="I145" i="58"/>
  <c r="H194" i="58"/>
  <c r="H196" i="58" s="1"/>
  <c r="H197" i="58" s="1"/>
  <c r="I194" i="58"/>
  <c r="I196" i="58" s="1"/>
  <c r="I197" i="58" s="1"/>
  <c r="I76" i="58"/>
  <c r="I148" i="58"/>
  <c r="H77" i="58"/>
  <c r="H149" i="58"/>
  <c r="H173" i="58"/>
  <c r="H175" i="58" s="1"/>
  <c r="I77" i="58"/>
  <c r="I149" i="58"/>
  <c r="I173" i="58"/>
  <c r="I175" i="58" s="1"/>
  <c r="H78" i="58"/>
  <c r="I78" i="58"/>
  <c r="AV26" i="60"/>
  <c r="AV29" i="60" s="1"/>
  <c r="AV24" i="60"/>
  <c r="AV25" i="60" s="1"/>
  <c r="AV28" i="60" s="1"/>
  <c r="AV22" i="60"/>
  <c r="AW17" i="60"/>
  <c r="AW18" i="60" s="1"/>
  <c r="AW21" i="60" s="1"/>
  <c r="AW19" i="60"/>
  <c r="AW22" i="60" s="1"/>
  <c r="AW9" i="60"/>
  <c r="AW23" i="60"/>
  <c r="AV9" i="60"/>
  <c r="AT24" i="60"/>
  <c r="AT25" i="60" s="1"/>
  <c r="AT28" i="60" s="1"/>
  <c r="AS10" i="60"/>
  <c r="AS11" i="60" s="1"/>
  <c r="AS14" i="60" s="1"/>
  <c r="AS30" i="60"/>
  <c r="AT30" i="60"/>
  <c r="AS16" i="60"/>
  <c r="AU30" i="60"/>
  <c r="AT16" i="60"/>
  <c r="AV30" i="60"/>
  <c r="AU9" i="60"/>
  <c r="AS26" i="60"/>
  <c r="AS29" i="60" s="1"/>
  <c r="AW30" i="60"/>
  <c r="AT9" i="60"/>
  <c r="AS7" i="60"/>
  <c r="AU24" i="60"/>
  <c r="AU25" i="60" s="1"/>
  <c r="AU28" i="60" s="1"/>
  <c r="AU16" i="60"/>
  <c r="AV7" i="60"/>
  <c r="AV21" i="60"/>
  <c r="Y31" i="60"/>
  <c r="Z31" i="60"/>
  <c r="AA30" i="60"/>
  <c r="AC30" i="60"/>
  <c r="AD30" i="60"/>
  <c r="AE30" i="60"/>
  <c r="AF30" i="60"/>
  <c r="AA9" i="60"/>
  <c r="AC16" i="60"/>
  <c r="Y26" i="60"/>
  <c r="Y29" i="60" s="1"/>
  <c r="AG30" i="60"/>
  <c r="AD16" i="60"/>
  <c r="Z26" i="60"/>
  <c r="Z29" i="60" s="1"/>
  <c r="AH30" i="60"/>
  <c r="AC9" i="60"/>
  <c r="AE16" i="60"/>
  <c r="Y19" i="60"/>
  <c r="Y22" i="60" s="1"/>
  <c r="AG23" i="60"/>
  <c r="AA26" i="60"/>
  <c r="AA29" i="60" s="1"/>
  <c r="AD9" i="60"/>
  <c r="AF16" i="60"/>
  <c r="Z19" i="60"/>
  <c r="Z22" i="60" s="1"/>
  <c r="AH23" i="60"/>
  <c r="AB26" i="60"/>
  <c r="AB29" i="60" s="1"/>
  <c r="AA7" i="60"/>
  <c r="Y12" i="60"/>
  <c r="Y15" i="60" s="1"/>
  <c r="AG16" i="60"/>
  <c r="AA19" i="60"/>
  <c r="AA22" i="60" s="1"/>
  <c r="AB9" i="60"/>
  <c r="AE9" i="60"/>
  <c r="AC26" i="60"/>
  <c r="AC29" i="60" s="1"/>
  <c r="AB7" i="60"/>
  <c r="AF9" i="60"/>
  <c r="Z12" i="60"/>
  <c r="Z15" i="60" s="1"/>
  <c r="AH16" i="60"/>
  <c r="AB19" i="60"/>
  <c r="AB22" i="60" s="1"/>
  <c r="AD26" i="60"/>
  <c r="AD29" i="60" s="1"/>
  <c r="AH9" i="60"/>
  <c r="AB30" i="60"/>
  <c r="AC7" i="60"/>
  <c r="AD7" i="60"/>
  <c r="AG9" i="60"/>
  <c r="U14" i="60"/>
  <c r="U15" i="60"/>
  <c r="T14" i="60"/>
  <c r="O15" i="60"/>
  <c r="Q14" i="60"/>
  <c r="R14" i="60"/>
  <c r="V14" i="60"/>
  <c r="R12" i="60"/>
  <c r="R15" i="60" s="1"/>
  <c r="P30" i="60"/>
  <c r="R30" i="60"/>
  <c r="O19" i="60"/>
  <c r="O22" i="60" s="1"/>
  <c r="T12" i="60"/>
  <c r="T15" i="60" s="1"/>
  <c r="P19" i="60"/>
  <c r="P22" i="60" s="1"/>
  <c r="V12" i="60"/>
  <c r="V15" i="60" s="1"/>
  <c r="Q19" i="60"/>
  <c r="Q22" i="60" s="1"/>
  <c r="R19" i="60"/>
  <c r="R22" i="60" s="1"/>
  <c r="S10" i="60"/>
  <c r="S11" i="60" s="1"/>
  <c r="S15" i="60" s="1"/>
  <c r="Q12" i="60"/>
  <c r="Q15" i="60" s="1"/>
  <c r="P7" i="60"/>
  <c r="S19" i="60"/>
  <c r="S22" i="60" s="1"/>
  <c r="T19" i="60"/>
  <c r="T22" i="60" s="1"/>
  <c r="U19" i="60"/>
  <c r="U22" i="60" s="1"/>
  <c r="O30" i="60"/>
  <c r="T30" i="60"/>
  <c r="P23" i="60"/>
  <c r="Q23" i="60"/>
  <c r="R23" i="60"/>
  <c r="O7" i="60"/>
  <c r="V19" i="60"/>
  <c r="V22" i="60" s="1"/>
  <c r="O23" i="60"/>
  <c r="S23" i="60"/>
  <c r="Q30" i="60"/>
  <c r="O10" i="60"/>
  <c r="O11" i="60" s="1"/>
  <c r="O14" i="60" s="1"/>
  <c r="T23" i="60"/>
  <c r="U30" i="60"/>
  <c r="U23" i="60"/>
  <c r="P12" i="60"/>
  <c r="P15" i="60" s="1"/>
  <c r="V23" i="60"/>
  <c r="H17" i="60"/>
  <c r="H18" i="60" s="1"/>
  <c r="H19" i="60"/>
  <c r="H28" i="60"/>
  <c r="H22" i="60"/>
  <c r="H21" i="60"/>
  <c r="H10" i="60"/>
  <c r="H11" i="60" s="1"/>
  <c r="H14" i="60" s="1"/>
  <c r="I10" i="60"/>
  <c r="I11" i="60" s="1"/>
  <c r="I15" i="60" s="1"/>
  <c r="H26" i="60"/>
  <c r="H29" i="60" s="1"/>
  <c r="I26" i="60"/>
  <c r="I29" i="60" s="1"/>
  <c r="I16" i="60"/>
  <c r="I28" i="60"/>
  <c r="S2" i="44"/>
  <c r="W92" i="56"/>
  <c r="U92" i="56"/>
  <c r="W91" i="56"/>
  <c r="U91" i="56"/>
  <c r="P91" i="56"/>
  <c r="G91" i="56"/>
  <c r="W90" i="56"/>
  <c r="V90" i="56"/>
  <c r="U90" i="56"/>
  <c r="W88" i="56"/>
  <c r="V88" i="56"/>
  <c r="U88" i="56"/>
  <c r="G88" i="56"/>
  <c r="W87" i="56"/>
  <c r="W89" i="56" s="1"/>
  <c r="V87" i="56"/>
  <c r="V89" i="56" s="1"/>
  <c r="U87" i="56"/>
  <c r="U89" i="56" s="1"/>
  <c r="T87" i="56"/>
  <c r="T89" i="56" s="1"/>
  <c r="S87" i="56"/>
  <c r="S89" i="56" s="1"/>
  <c r="R87" i="56"/>
  <c r="R90" i="56" s="1"/>
  <c r="R92" i="56" s="1"/>
  <c r="Q87" i="56"/>
  <c r="Q89" i="56" s="1"/>
  <c r="P87" i="56"/>
  <c r="P88" i="56" s="1"/>
  <c r="O87" i="56"/>
  <c r="O88" i="56" s="1"/>
  <c r="N87" i="56"/>
  <c r="N88" i="56" s="1"/>
  <c r="M87" i="56"/>
  <c r="M91" i="56" s="1"/>
  <c r="L87" i="56"/>
  <c r="L91" i="56" s="1"/>
  <c r="K87" i="56"/>
  <c r="K91" i="56" s="1"/>
  <c r="J87" i="56"/>
  <c r="J91" i="56" s="1"/>
  <c r="I87" i="56"/>
  <c r="I91" i="56" s="1"/>
  <c r="H87" i="56"/>
  <c r="H90" i="56" s="1"/>
  <c r="H92" i="56" s="1"/>
  <c r="G87" i="56"/>
  <c r="G90" i="56" s="1"/>
  <c r="W79" i="56"/>
  <c r="W80" i="56" s="1"/>
  <c r="W78" i="56"/>
  <c r="V78" i="56"/>
  <c r="T78" i="56"/>
  <c r="P78" i="56"/>
  <c r="W77" i="56"/>
  <c r="V77" i="56"/>
  <c r="M77" i="56"/>
  <c r="L77" i="56"/>
  <c r="K77" i="56"/>
  <c r="W76" i="56"/>
  <c r="V76" i="56"/>
  <c r="V79" i="56" s="1"/>
  <c r="V80" i="56" s="1"/>
  <c r="U76" i="56"/>
  <c r="U79" i="56" s="1"/>
  <c r="U80" i="56" s="1"/>
  <c r="T76" i="56"/>
  <c r="T79" i="56" s="1"/>
  <c r="S76" i="56"/>
  <c r="S79" i="56" s="1"/>
  <c r="R76" i="56"/>
  <c r="R79" i="56" s="1"/>
  <c r="Q76" i="56"/>
  <c r="Q79" i="56" s="1"/>
  <c r="P76" i="56"/>
  <c r="P79" i="56" s="1"/>
  <c r="P80" i="56" s="1"/>
  <c r="O76" i="56"/>
  <c r="O78" i="56" s="1"/>
  <c r="N76" i="56"/>
  <c r="N78" i="56" s="1"/>
  <c r="M76" i="56"/>
  <c r="M78" i="56" s="1"/>
  <c r="L76" i="56"/>
  <c r="L78" i="56" s="1"/>
  <c r="K76" i="56"/>
  <c r="K78" i="56" s="1"/>
  <c r="J76" i="56"/>
  <c r="J79" i="56" s="1"/>
  <c r="J80" i="56" s="1"/>
  <c r="I76" i="56"/>
  <c r="I78" i="56" s="1"/>
  <c r="H76" i="56"/>
  <c r="H77" i="56" s="1"/>
  <c r="G76" i="56"/>
  <c r="G77" i="56" s="1"/>
  <c r="W75" i="56"/>
  <c r="V75" i="56"/>
  <c r="U75" i="56"/>
  <c r="T75" i="56"/>
  <c r="S75" i="56"/>
  <c r="M75" i="56"/>
  <c r="L75" i="56"/>
  <c r="K75" i="56"/>
  <c r="J75" i="56"/>
  <c r="N74" i="56"/>
  <c r="W73" i="56"/>
  <c r="V73" i="56"/>
  <c r="U73" i="56"/>
  <c r="T73" i="56"/>
  <c r="S73" i="56"/>
  <c r="R73" i="56"/>
  <c r="Q73" i="56"/>
  <c r="P73" i="56"/>
  <c r="O73" i="56"/>
  <c r="N73" i="56"/>
  <c r="M73" i="56"/>
  <c r="L73" i="56"/>
  <c r="K73" i="56"/>
  <c r="J73" i="56"/>
  <c r="I73" i="56"/>
  <c r="H73" i="56"/>
  <c r="G73" i="56"/>
  <c r="W72" i="56"/>
  <c r="W74" i="56" s="1"/>
  <c r="V72" i="56"/>
  <c r="V74" i="56" s="1"/>
  <c r="N72" i="56"/>
  <c r="M72" i="56"/>
  <c r="M74" i="56" s="1"/>
  <c r="L72" i="56"/>
  <c r="L74" i="56" s="1"/>
  <c r="K72" i="56"/>
  <c r="K74" i="56" s="1"/>
  <c r="J72" i="56"/>
  <c r="J74" i="56" s="1"/>
  <c r="W71" i="56"/>
  <c r="V71" i="56"/>
  <c r="U71" i="56"/>
  <c r="U72" i="56" s="1"/>
  <c r="U74" i="56" s="1"/>
  <c r="T71" i="56"/>
  <c r="T72" i="56" s="1"/>
  <c r="T74" i="56" s="1"/>
  <c r="S71" i="56"/>
  <c r="S72" i="56" s="1"/>
  <c r="S74" i="56" s="1"/>
  <c r="R71" i="56"/>
  <c r="R75" i="56" s="1"/>
  <c r="Q71" i="56"/>
  <c r="Q75" i="56" s="1"/>
  <c r="P71" i="56"/>
  <c r="P75" i="56" s="1"/>
  <c r="O71" i="56"/>
  <c r="O75" i="56" s="1"/>
  <c r="N71" i="56"/>
  <c r="N75" i="56" s="1"/>
  <c r="M71" i="56"/>
  <c r="L71" i="56"/>
  <c r="K71" i="56"/>
  <c r="J71" i="56"/>
  <c r="I71" i="56"/>
  <c r="I75" i="56" s="1"/>
  <c r="H71" i="56"/>
  <c r="H75" i="56" s="1"/>
  <c r="G71" i="56"/>
  <c r="G75" i="56" s="1"/>
  <c r="W70" i="56"/>
  <c r="Q70" i="56"/>
  <c r="O70" i="56"/>
  <c r="N70" i="56"/>
  <c r="M70" i="56"/>
  <c r="L70" i="56"/>
  <c r="K70" i="56"/>
  <c r="J70" i="56"/>
  <c r="I70" i="56"/>
  <c r="H70" i="56"/>
  <c r="W68" i="56"/>
  <c r="V68" i="56"/>
  <c r="U68" i="56"/>
  <c r="T68" i="56"/>
  <c r="S68" i="56"/>
  <c r="R68" i="56"/>
  <c r="Q68" i="56"/>
  <c r="P68" i="56"/>
  <c r="O68" i="56"/>
  <c r="N68" i="56"/>
  <c r="M68" i="56"/>
  <c r="L68" i="56"/>
  <c r="K68" i="56"/>
  <c r="J68" i="56"/>
  <c r="I68" i="56"/>
  <c r="H68" i="56"/>
  <c r="G68" i="56"/>
  <c r="W67" i="56"/>
  <c r="W69" i="56" s="1"/>
  <c r="R67" i="56"/>
  <c r="R69" i="56" s="1"/>
  <c r="Q67" i="56"/>
  <c r="Q69" i="56" s="1"/>
  <c r="P67" i="56"/>
  <c r="P69" i="56" s="1"/>
  <c r="O67" i="56"/>
  <c r="O69" i="56" s="1"/>
  <c r="N67" i="56"/>
  <c r="N69" i="56" s="1"/>
  <c r="M67" i="56"/>
  <c r="M69" i="56" s="1"/>
  <c r="L67" i="56"/>
  <c r="L69" i="56" s="1"/>
  <c r="K67" i="56"/>
  <c r="K69" i="56" s="1"/>
  <c r="W66" i="56"/>
  <c r="V66" i="56"/>
  <c r="V70" i="56" s="1"/>
  <c r="U66" i="56"/>
  <c r="U70" i="56" s="1"/>
  <c r="T66" i="56"/>
  <c r="T70" i="56" s="1"/>
  <c r="S66" i="56"/>
  <c r="S70" i="56" s="1"/>
  <c r="R66" i="56"/>
  <c r="R70" i="56" s="1"/>
  <c r="Q66" i="56"/>
  <c r="P66" i="56"/>
  <c r="P70" i="56" s="1"/>
  <c r="O66" i="56"/>
  <c r="N66" i="56"/>
  <c r="M66" i="56"/>
  <c r="L66" i="56"/>
  <c r="K66" i="56"/>
  <c r="J66" i="56"/>
  <c r="J67" i="56" s="1"/>
  <c r="J69" i="56" s="1"/>
  <c r="I66" i="56"/>
  <c r="I67" i="56" s="1"/>
  <c r="I69" i="56" s="1"/>
  <c r="H66" i="56"/>
  <c r="H67" i="56" s="1"/>
  <c r="H69" i="56" s="1"/>
  <c r="G66" i="56"/>
  <c r="G70" i="56" s="1"/>
  <c r="W65" i="56"/>
  <c r="V65" i="56"/>
  <c r="U65" i="56"/>
  <c r="O65" i="56"/>
  <c r="N65" i="56"/>
  <c r="M65" i="56"/>
  <c r="L65" i="56"/>
  <c r="N64" i="56"/>
  <c r="W63" i="56"/>
  <c r="V63" i="56"/>
  <c r="U63" i="56"/>
  <c r="T63" i="56"/>
  <c r="S63" i="56"/>
  <c r="R63" i="56"/>
  <c r="Q63" i="56"/>
  <c r="P63" i="56"/>
  <c r="O63" i="56"/>
  <c r="N63" i="56"/>
  <c r="M63" i="56"/>
  <c r="L63" i="56"/>
  <c r="K63" i="56"/>
  <c r="J63" i="56"/>
  <c r="I63" i="56"/>
  <c r="H63" i="56"/>
  <c r="G63" i="56"/>
  <c r="P62" i="56"/>
  <c r="P64" i="56" s="1"/>
  <c r="O62" i="56"/>
  <c r="O64" i="56" s="1"/>
  <c r="N62" i="56"/>
  <c r="L62" i="56"/>
  <c r="L64" i="56" s="1"/>
  <c r="G62" i="56"/>
  <c r="G64" i="56" s="1"/>
  <c r="W61" i="56"/>
  <c r="W62" i="56" s="1"/>
  <c r="W64" i="56" s="1"/>
  <c r="V61" i="56"/>
  <c r="V62" i="56" s="1"/>
  <c r="V64" i="56" s="1"/>
  <c r="U61" i="56"/>
  <c r="U62" i="56" s="1"/>
  <c r="U64" i="56" s="1"/>
  <c r="T61" i="56"/>
  <c r="T65" i="56" s="1"/>
  <c r="S61" i="56"/>
  <c r="S65" i="56" s="1"/>
  <c r="R61" i="56"/>
  <c r="R65" i="56" s="1"/>
  <c r="Q61" i="56"/>
  <c r="Q65" i="56" s="1"/>
  <c r="P61" i="56"/>
  <c r="P65" i="56" s="1"/>
  <c r="O61" i="56"/>
  <c r="N61" i="56"/>
  <c r="M61" i="56"/>
  <c r="M62" i="56" s="1"/>
  <c r="M64" i="56" s="1"/>
  <c r="L61" i="56"/>
  <c r="K61" i="56"/>
  <c r="K65" i="56" s="1"/>
  <c r="J61" i="56"/>
  <c r="J65" i="56" s="1"/>
  <c r="I61" i="56"/>
  <c r="I65" i="56" s="1"/>
  <c r="H61" i="56"/>
  <c r="H65" i="56" s="1"/>
  <c r="G61" i="56"/>
  <c r="G65" i="56" s="1"/>
  <c r="S60" i="56"/>
  <c r="Q60" i="56"/>
  <c r="P60" i="56"/>
  <c r="O60" i="56"/>
  <c r="N60" i="56"/>
  <c r="L60" i="56"/>
  <c r="K60" i="56"/>
  <c r="J60" i="56"/>
  <c r="W58" i="56"/>
  <c r="V58" i="56"/>
  <c r="U58" i="56"/>
  <c r="T58" i="56"/>
  <c r="S58" i="56"/>
  <c r="R58" i="56"/>
  <c r="Q58" i="56"/>
  <c r="P58" i="56"/>
  <c r="O58" i="56"/>
  <c r="N58" i="56"/>
  <c r="M58" i="56"/>
  <c r="L58" i="56"/>
  <c r="K58" i="56"/>
  <c r="J58" i="56"/>
  <c r="I58" i="56"/>
  <c r="H58" i="56"/>
  <c r="G58" i="56"/>
  <c r="T57" i="56"/>
  <c r="T59" i="56" s="1"/>
  <c r="S57" i="56"/>
  <c r="S59" i="56" s="1"/>
  <c r="R57" i="56"/>
  <c r="R59" i="56" s="1"/>
  <c r="Q57" i="56"/>
  <c r="Q59" i="56" s="1"/>
  <c r="P57" i="56"/>
  <c r="P59" i="56" s="1"/>
  <c r="O57" i="56"/>
  <c r="O59" i="56" s="1"/>
  <c r="N57" i="56"/>
  <c r="N59" i="56" s="1"/>
  <c r="M57" i="56"/>
  <c r="M59" i="56" s="1"/>
  <c r="W56" i="56"/>
  <c r="W60" i="56" s="1"/>
  <c r="V56" i="56"/>
  <c r="V60" i="56" s="1"/>
  <c r="U56" i="56"/>
  <c r="U60" i="56" s="1"/>
  <c r="T56" i="56"/>
  <c r="T60" i="56" s="1"/>
  <c r="S56" i="56"/>
  <c r="R56" i="56"/>
  <c r="R60" i="56" s="1"/>
  <c r="Q56" i="56"/>
  <c r="P56" i="56"/>
  <c r="O56" i="56"/>
  <c r="N56" i="56"/>
  <c r="M56" i="56"/>
  <c r="M60" i="56" s="1"/>
  <c r="L56" i="56"/>
  <c r="L57" i="56" s="1"/>
  <c r="L59" i="56" s="1"/>
  <c r="K56" i="56"/>
  <c r="K57" i="56" s="1"/>
  <c r="K59" i="56" s="1"/>
  <c r="J56" i="56"/>
  <c r="J57" i="56" s="1"/>
  <c r="J59" i="56" s="1"/>
  <c r="I56" i="56"/>
  <c r="I60" i="56" s="1"/>
  <c r="H56" i="56"/>
  <c r="H60" i="56" s="1"/>
  <c r="G56" i="56"/>
  <c r="G60" i="56" s="1"/>
  <c r="W55" i="56"/>
  <c r="Q55" i="56"/>
  <c r="P55" i="56"/>
  <c r="O55" i="56"/>
  <c r="N55" i="56"/>
  <c r="H55" i="56"/>
  <c r="R54" i="56"/>
  <c r="Q54" i="56"/>
  <c r="P54" i="56"/>
  <c r="W53" i="56"/>
  <c r="V53" i="56"/>
  <c r="U53" i="56"/>
  <c r="T53" i="56"/>
  <c r="S53" i="56"/>
  <c r="R53" i="56"/>
  <c r="Q53" i="56"/>
  <c r="P53" i="56"/>
  <c r="O53" i="56"/>
  <c r="N53" i="56"/>
  <c r="M53" i="56"/>
  <c r="L53" i="56"/>
  <c r="K53" i="56"/>
  <c r="J53" i="56"/>
  <c r="I53" i="56"/>
  <c r="H53" i="56"/>
  <c r="G53" i="56"/>
  <c r="R52" i="56"/>
  <c r="Q52" i="56"/>
  <c r="P52" i="56"/>
  <c r="N52" i="56"/>
  <c r="N54" i="56" s="1"/>
  <c r="I52" i="56"/>
  <c r="I54" i="56" s="1"/>
  <c r="H52" i="56"/>
  <c r="H54" i="56" s="1"/>
  <c r="G52" i="56"/>
  <c r="G54" i="56" s="1"/>
  <c r="W51" i="56"/>
  <c r="W52" i="56" s="1"/>
  <c r="W54" i="56" s="1"/>
  <c r="V51" i="56"/>
  <c r="V55" i="56" s="1"/>
  <c r="U51" i="56"/>
  <c r="U55" i="56" s="1"/>
  <c r="T51" i="56"/>
  <c r="T55" i="56" s="1"/>
  <c r="S51" i="56"/>
  <c r="S55" i="56" s="1"/>
  <c r="R51" i="56"/>
  <c r="R55" i="56" s="1"/>
  <c r="Q51" i="56"/>
  <c r="P51" i="56"/>
  <c r="O51" i="56"/>
  <c r="O52" i="56" s="1"/>
  <c r="O54" i="56" s="1"/>
  <c r="N51" i="56"/>
  <c r="M51" i="56"/>
  <c r="M55" i="56" s="1"/>
  <c r="L51" i="56"/>
  <c r="L55" i="56" s="1"/>
  <c r="K51" i="56"/>
  <c r="K55" i="56" s="1"/>
  <c r="J51" i="56"/>
  <c r="J55" i="56" s="1"/>
  <c r="I51" i="56"/>
  <c r="I55" i="56" s="1"/>
  <c r="H51" i="56"/>
  <c r="G51" i="56"/>
  <c r="G55" i="56" s="1"/>
  <c r="U50" i="56"/>
  <c r="S50" i="56"/>
  <c r="R50" i="56"/>
  <c r="Q50" i="56"/>
  <c r="P50" i="56"/>
  <c r="N50" i="56"/>
  <c r="M50" i="56"/>
  <c r="L50" i="56"/>
  <c r="W48" i="56"/>
  <c r="V48" i="56"/>
  <c r="U48" i="56"/>
  <c r="T48" i="56"/>
  <c r="S48" i="56"/>
  <c r="R48" i="56"/>
  <c r="Q48" i="56"/>
  <c r="P48" i="56"/>
  <c r="O48" i="56"/>
  <c r="N48" i="56"/>
  <c r="M48" i="56"/>
  <c r="L48" i="56"/>
  <c r="K48" i="56"/>
  <c r="J48" i="56"/>
  <c r="I48" i="56"/>
  <c r="H48" i="56"/>
  <c r="G48" i="56"/>
  <c r="U47" i="56"/>
  <c r="U49" i="56" s="1"/>
  <c r="T47" i="56"/>
  <c r="T49" i="56" s="1"/>
  <c r="S47" i="56"/>
  <c r="S49" i="56" s="1"/>
  <c r="R47" i="56"/>
  <c r="R49" i="56" s="1"/>
  <c r="Q47" i="56"/>
  <c r="Q49" i="56" s="1"/>
  <c r="P47" i="56"/>
  <c r="P49" i="56" s="1"/>
  <c r="O47" i="56"/>
  <c r="O49" i="56" s="1"/>
  <c r="G47" i="56"/>
  <c r="G49" i="56" s="1"/>
  <c r="W46" i="56"/>
  <c r="W50" i="56" s="1"/>
  <c r="V46" i="56"/>
  <c r="V50" i="56" s="1"/>
  <c r="U46" i="56"/>
  <c r="T46" i="56"/>
  <c r="T50" i="56" s="1"/>
  <c r="S46" i="56"/>
  <c r="R46" i="56"/>
  <c r="Q46" i="56"/>
  <c r="P46" i="56"/>
  <c r="O46" i="56"/>
  <c r="O50" i="56" s="1"/>
  <c r="N46" i="56"/>
  <c r="N47" i="56" s="1"/>
  <c r="N49" i="56" s="1"/>
  <c r="M46" i="56"/>
  <c r="M47" i="56" s="1"/>
  <c r="M49" i="56" s="1"/>
  <c r="L46" i="56"/>
  <c r="L47" i="56" s="1"/>
  <c r="L49" i="56" s="1"/>
  <c r="K46" i="56"/>
  <c r="K50" i="56" s="1"/>
  <c r="J46" i="56"/>
  <c r="J50" i="56" s="1"/>
  <c r="I46" i="56"/>
  <c r="I50" i="56" s="1"/>
  <c r="H46" i="56"/>
  <c r="H50" i="56" s="1"/>
  <c r="G46" i="56"/>
  <c r="G50" i="56" s="1"/>
  <c r="T44" i="56"/>
  <c r="S44" i="56"/>
  <c r="R44" i="56"/>
  <c r="J44" i="56"/>
  <c r="I44" i="56"/>
  <c r="H44" i="56"/>
  <c r="T43" i="56"/>
  <c r="S43" i="56"/>
  <c r="R43" i="56"/>
  <c r="Q43" i="56"/>
  <c r="P43" i="56"/>
  <c r="M43" i="56"/>
  <c r="L43" i="56"/>
  <c r="K43" i="56"/>
  <c r="T42" i="56"/>
  <c r="T45" i="56" s="1"/>
  <c r="S42" i="56"/>
  <c r="S45" i="56" s="1"/>
  <c r="R42" i="56"/>
  <c r="R45" i="56" s="1"/>
  <c r="P42" i="56"/>
  <c r="P45" i="56" s="1"/>
  <c r="J42" i="56"/>
  <c r="J45" i="56" s="1"/>
  <c r="I42" i="56"/>
  <c r="I45" i="56" s="1"/>
  <c r="H42" i="56"/>
  <c r="H45" i="56" s="1"/>
  <c r="G42" i="56"/>
  <c r="G45" i="56" s="1"/>
  <c r="W41" i="56"/>
  <c r="W42" i="56" s="1"/>
  <c r="W45" i="56" s="1"/>
  <c r="V41" i="56"/>
  <c r="V42" i="56" s="1"/>
  <c r="V45" i="56" s="1"/>
  <c r="U41" i="56"/>
  <c r="U42" i="56" s="1"/>
  <c r="U45" i="56" s="1"/>
  <c r="T41" i="56"/>
  <c r="S41" i="56"/>
  <c r="R41" i="56"/>
  <c r="Q41" i="56"/>
  <c r="Q44" i="56" s="1"/>
  <c r="P41" i="56"/>
  <c r="P44" i="56" s="1"/>
  <c r="O41" i="56"/>
  <c r="O44" i="56" s="1"/>
  <c r="N41" i="56"/>
  <c r="N44" i="56" s="1"/>
  <c r="M41" i="56"/>
  <c r="M44" i="56" s="1"/>
  <c r="L41" i="56"/>
  <c r="L44" i="56" s="1"/>
  <c r="K41" i="56"/>
  <c r="K44" i="56" s="1"/>
  <c r="J41" i="56"/>
  <c r="J43" i="56" s="1"/>
  <c r="I41" i="56"/>
  <c r="I43" i="56" s="1"/>
  <c r="H41" i="56"/>
  <c r="H43" i="56" s="1"/>
  <c r="G41" i="56"/>
  <c r="G43" i="56" s="1"/>
  <c r="W39" i="56"/>
  <c r="V39" i="56"/>
  <c r="U39" i="56"/>
  <c r="S39" i="56"/>
  <c r="I39" i="56"/>
  <c r="H39" i="56"/>
  <c r="G39" i="56"/>
  <c r="R38" i="56"/>
  <c r="I38" i="56"/>
  <c r="H38" i="56"/>
  <c r="G38" i="56"/>
  <c r="W37" i="56"/>
  <c r="W40" i="56" s="1"/>
  <c r="V37" i="56"/>
  <c r="V40" i="56" s="1"/>
  <c r="U37" i="56"/>
  <c r="U40" i="56" s="1"/>
  <c r="T37" i="56"/>
  <c r="T40" i="56" s="1"/>
  <c r="S37" i="56"/>
  <c r="S40" i="56" s="1"/>
  <c r="R37" i="56"/>
  <c r="R40" i="56" s="1"/>
  <c r="Q37" i="56"/>
  <c r="Q40" i="56" s="1"/>
  <c r="I37" i="56"/>
  <c r="I40" i="56" s="1"/>
  <c r="H37" i="56"/>
  <c r="H40" i="56" s="1"/>
  <c r="G37" i="56"/>
  <c r="G40" i="56" s="1"/>
  <c r="W36" i="56"/>
  <c r="W38" i="56" s="1"/>
  <c r="V36" i="56"/>
  <c r="V38" i="56" s="1"/>
  <c r="U36" i="56"/>
  <c r="U38" i="56" s="1"/>
  <c r="T36" i="56"/>
  <c r="T38" i="56" s="1"/>
  <c r="S36" i="56"/>
  <c r="S38" i="56" s="1"/>
  <c r="R36" i="56"/>
  <c r="R39" i="56" s="1"/>
  <c r="Q36" i="56"/>
  <c r="Q38" i="56" s="1"/>
  <c r="P36" i="56"/>
  <c r="P37" i="56" s="1"/>
  <c r="P40" i="56" s="1"/>
  <c r="O36" i="56"/>
  <c r="O37" i="56" s="1"/>
  <c r="O40" i="56" s="1"/>
  <c r="N36" i="56"/>
  <c r="N37" i="56" s="1"/>
  <c r="N40" i="56" s="1"/>
  <c r="M36" i="56"/>
  <c r="M37" i="56" s="1"/>
  <c r="M40" i="56" s="1"/>
  <c r="L36" i="56"/>
  <c r="L37" i="56" s="1"/>
  <c r="L40" i="56" s="1"/>
  <c r="K36" i="56"/>
  <c r="K37" i="56" s="1"/>
  <c r="K40" i="56" s="1"/>
  <c r="J36" i="56"/>
  <c r="J37" i="56" s="1"/>
  <c r="J40" i="56" s="1"/>
  <c r="I36" i="56"/>
  <c r="H36" i="56"/>
  <c r="G36" i="56"/>
  <c r="V32" i="56"/>
  <c r="U32" i="56"/>
  <c r="T32" i="56"/>
  <c r="R32" i="56"/>
  <c r="H32" i="56"/>
  <c r="G32" i="56"/>
  <c r="W31" i="56"/>
  <c r="Q31" i="56"/>
  <c r="H31" i="56"/>
  <c r="G31" i="56"/>
  <c r="V30" i="56"/>
  <c r="V33" i="56" s="1"/>
  <c r="U30" i="56"/>
  <c r="U33" i="56" s="1"/>
  <c r="T30" i="56"/>
  <c r="T33" i="56" s="1"/>
  <c r="S30" i="56"/>
  <c r="S33" i="56" s="1"/>
  <c r="R30" i="56"/>
  <c r="R33" i="56" s="1"/>
  <c r="Q30" i="56"/>
  <c r="Q33" i="56" s="1"/>
  <c r="P30" i="56"/>
  <c r="P33" i="56" s="1"/>
  <c r="H30" i="56"/>
  <c r="H33" i="56" s="1"/>
  <c r="G30" i="56"/>
  <c r="G33" i="56" s="1"/>
  <c r="W29" i="56"/>
  <c r="W32" i="56" s="1"/>
  <c r="V29" i="56"/>
  <c r="V31" i="56" s="1"/>
  <c r="U29" i="56"/>
  <c r="U31" i="56" s="1"/>
  <c r="T29" i="56"/>
  <c r="T31" i="56" s="1"/>
  <c r="S29" i="56"/>
  <c r="S31" i="56" s="1"/>
  <c r="R29" i="56"/>
  <c r="R31" i="56" s="1"/>
  <c r="Q29" i="56"/>
  <c r="Q32" i="56" s="1"/>
  <c r="P29" i="56"/>
  <c r="P31" i="56" s="1"/>
  <c r="O29" i="56"/>
  <c r="O30" i="56" s="1"/>
  <c r="O33" i="56" s="1"/>
  <c r="N29" i="56"/>
  <c r="N30" i="56" s="1"/>
  <c r="N33" i="56" s="1"/>
  <c r="M29" i="56"/>
  <c r="M30" i="56" s="1"/>
  <c r="M33" i="56" s="1"/>
  <c r="L29" i="56"/>
  <c r="L30" i="56" s="1"/>
  <c r="L33" i="56" s="1"/>
  <c r="K29" i="56"/>
  <c r="K30" i="56" s="1"/>
  <c r="K33" i="56" s="1"/>
  <c r="J29" i="56"/>
  <c r="J30" i="56" s="1"/>
  <c r="J33" i="56" s="1"/>
  <c r="I29" i="56"/>
  <c r="I30" i="56" s="1"/>
  <c r="I33" i="56" s="1"/>
  <c r="H29" i="56"/>
  <c r="G29" i="56"/>
  <c r="H28" i="56"/>
  <c r="H112" i="56" s="1"/>
  <c r="G28" i="56"/>
  <c r="G112" i="56" s="1"/>
  <c r="W27" i="56"/>
  <c r="V27" i="56"/>
  <c r="U27" i="56"/>
  <c r="T27" i="56"/>
  <c r="T28" i="56" s="1"/>
  <c r="T112" i="56" s="1"/>
  <c r="S27" i="56"/>
  <c r="R27" i="56"/>
  <c r="Q27" i="56"/>
  <c r="P27" i="56"/>
  <c r="O27" i="56"/>
  <c r="N27" i="56"/>
  <c r="M27" i="56"/>
  <c r="L27" i="56"/>
  <c r="K27" i="56"/>
  <c r="K28" i="56" s="1"/>
  <c r="K112" i="56" s="1"/>
  <c r="J27" i="56"/>
  <c r="J28" i="56" s="1"/>
  <c r="J112" i="56" s="1"/>
  <c r="I27" i="56"/>
  <c r="I28" i="56" s="1"/>
  <c r="I112" i="56" s="1"/>
  <c r="H27" i="56"/>
  <c r="G27" i="56"/>
  <c r="W26" i="56"/>
  <c r="W28" i="56" s="1"/>
  <c r="W112" i="56" s="1"/>
  <c r="V26" i="56"/>
  <c r="V28" i="56" s="1"/>
  <c r="V112" i="56" s="1"/>
  <c r="U26" i="56"/>
  <c r="U28" i="56" s="1"/>
  <c r="U112" i="56" s="1"/>
  <c r="T26" i="56"/>
  <c r="S26" i="56"/>
  <c r="S28" i="56" s="1"/>
  <c r="S112" i="56" s="1"/>
  <c r="R26" i="56"/>
  <c r="R28" i="56" s="1"/>
  <c r="R112" i="56" s="1"/>
  <c r="Q26" i="56"/>
  <c r="Q28" i="56" s="1"/>
  <c r="Q112" i="56" s="1"/>
  <c r="P26" i="56"/>
  <c r="P28" i="56" s="1"/>
  <c r="P112" i="56" s="1"/>
  <c r="O26" i="56"/>
  <c r="O28" i="56" s="1"/>
  <c r="O112" i="56" s="1"/>
  <c r="N26" i="56"/>
  <c r="N28" i="56" s="1"/>
  <c r="N112" i="56" s="1"/>
  <c r="M26" i="56"/>
  <c r="M28" i="56" s="1"/>
  <c r="M112" i="56" s="1"/>
  <c r="L26" i="56"/>
  <c r="L28" i="56" s="1"/>
  <c r="L112" i="56" s="1"/>
  <c r="K26" i="56"/>
  <c r="J26" i="56"/>
  <c r="I26" i="56"/>
  <c r="H26" i="56"/>
  <c r="G26" i="56"/>
  <c r="W25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W24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W23" i="56"/>
  <c r="V23" i="56"/>
  <c r="U23" i="56"/>
  <c r="T23" i="56"/>
  <c r="S23" i="56"/>
  <c r="R23" i="56"/>
  <c r="Q23" i="56"/>
  <c r="P23" i="56"/>
  <c r="O23" i="56"/>
  <c r="N23" i="56"/>
  <c r="M23" i="56"/>
  <c r="L23" i="56"/>
  <c r="K23" i="56"/>
  <c r="J23" i="56"/>
  <c r="I23" i="56"/>
  <c r="H23" i="56"/>
  <c r="G23" i="56"/>
  <c r="W22" i="56"/>
  <c r="V22" i="56"/>
  <c r="U22" i="56"/>
  <c r="S22" i="56"/>
  <c r="R22" i="56"/>
  <c r="Q22" i="56"/>
  <c r="P22" i="56"/>
  <c r="O22" i="56"/>
  <c r="M22" i="56"/>
  <c r="L22" i="56"/>
  <c r="K22" i="56"/>
  <c r="J22" i="56"/>
  <c r="I22" i="56"/>
  <c r="G22" i="56"/>
  <c r="W21" i="56"/>
  <c r="L21" i="56"/>
  <c r="K21" i="56"/>
  <c r="H21" i="56"/>
  <c r="G21" i="56"/>
  <c r="W20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W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W18" i="56"/>
  <c r="V18" i="56"/>
  <c r="U18" i="56"/>
  <c r="S18" i="56"/>
  <c r="R18" i="56"/>
  <c r="Q18" i="56"/>
  <c r="P18" i="56"/>
  <c r="O18" i="56"/>
  <c r="M18" i="56"/>
  <c r="L18" i="56"/>
  <c r="K18" i="56"/>
  <c r="J18" i="56"/>
  <c r="I18" i="56"/>
  <c r="G18" i="56"/>
  <c r="W17" i="56"/>
  <c r="L17" i="56"/>
  <c r="K17" i="56"/>
  <c r="H17" i="56"/>
  <c r="G17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W15" i="56"/>
  <c r="V15" i="56"/>
  <c r="U15" i="56"/>
  <c r="T15" i="56"/>
  <c r="S15" i="56"/>
  <c r="R15" i="56"/>
  <c r="Q15" i="56"/>
  <c r="P15" i="56"/>
  <c r="O15" i="56"/>
  <c r="N15" i="56"/>
  <c r="M15" i="56"/>
  <c r="L15" i="56"/>
  <c r="K15" i="56"/>
  <c r="J15" i="56"/>
  <c r="I15" i="56"/>
  <c r="H15" i="56"/>
  <c r="G15" i="56"/>
  <c r="W14" i="56"/>
  <c r="V14" i="56"/>
  <c r="U14" i="56"/>
  <c r="T14" i="56"/>
  <c r="S14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S13" i="56"/>
  <c r="R13" i="56"/>
  <c r="Q13" i="56"/>
  <c r="W11" i="56"/>
  <c r="W12" i="56" s="1"/>
  <c r="V11" i="56"/>
  <c r="U11" i="56"/>
  <c r="U12" i="56" s="1"/>
  <c r="T11" i="56"/>
  <c r="T12" i="56" s="1"/>
  <c r="S11" i="56"/>
  <c r="R11" i="56"/>
  <c r="R12" i="56" s="1"/>
  <c r="Q11" i="56"/>
  <c r="P11" i="56"/>
  <c r="O11" i="56"/>
  <c r="N11" i="56"/>
  <c r="M11" i="56"/>
  <c r="L11" i="56"/>
  <c r="K11" i="56"/>
  <c r="J11" i="56"/>
  <c r="I11" i="56"/>
  <c r="H11" i="56"/>
  <c r="G11" i="56"/>
  <c r="W10" i="56"/>
  <c r="V10" i="56"/>
  <c r="V12" i="56" s="1"/>
  <c r="U10" i="56"/>
  <c r="T10" i="56"/>
  <c r="W9" i="56"/>
  <c r="V9" i="56"/>
  <c r="U9" i="56"/>
  <c r="T9" i="56"/>
  <c r="S9" i="56"/>
  <c r="S10" i="56" s="1"/>
  <c r="R9" i="56"/>
  <c r="R10" i="56" s="1"/>
  <c r="Q9" i="56"/>
  <c r="Q10" i="56" s="1"/>
  <c r="P9" i="56"/>
  <c r="P10" i="56" s="1"/>
  <c r="P12" i="56" s="1"/>
  <c r="O9" i="56"/>
  <c r="O10" i="56" s="1"/>
  <c r="O12" i="56" s="1"/>
  <c r="N9" i="56"/>
  <c r="N10" i="56" s="1"/>
  <c r="N12" i="56" s="1"/>
  <c r="M9" i="56"/>
  <c r="M10" i="56" s="1"/>
  <c r="M12" i="56" s="1"/>
  <c r="L9" i="56"/>
  <c r="K9" i="56"/>
  <c r="J9" i="56"/>
  <c r="I9" i="56"/>
  <c r="I10" i="56" s="1"/>
  <c r="H9" i="56"/>
  <c r="G9" i="56"/>
  <c r="G10" i="56" s="1"/>
  <c r="W8" i="56"/>
  <c r="W13" i="56" s="1"/>
  <c r="V8" i="56"/>
  <c r="V13" i="56" s="1"/>
  <c r="U8" i="56"/>
  <c r="U13" i="56" s="1"/>
  <c r="T8" i="56"/>
  <c r="T13" i="56" s="1"/>
  <c r="S8" i="56"/>
  <c r="R8" i="56"/>
  <c r="Q8" i="56"/>
  <c r="P8" i="56"/>
  <c r="P13" i="56" s="1"/>
  <c r="O8" i="56"/>
  <c r="O13" i="56" s="1"/>
  <c r="N8" i="56"/>
  <c r="N13" i="56" s="1"/>
  <c r="M8" i="56"/>
  <c r="M13" i="56" s="1"/>
  <c r="L8" i="56"/>
  <c r="L13" i="56" s="1"/>
  <c r="K8" i="56"/>
  <c r="K13" i="56" s="1"/>
  <c r="J8" i="56"/>
  <c r="J13" i="56" s="1"/>
  <c r="I8" i="56"/>
  <c r="I13" i="56" s="1"/>
  <c r="H8" i="56"/>
  <c r="H13" i="56" s="1"/>
  <c r="G8" i="56"/>
  <c r="G13" i="56" s="1"/>
  <c r="W7" i="56"/>
  <c r="V7" i="56"/>
  <c r="U7" i="56"/>
  <c r="T7" i="56"/>
  <c r="S7" i="56"/>
  <c r="R7" i="56"/>
  <c r="Q7" i="56"/>
  <c r="P7" i="56"/>
  <c r="O7" i="56"/>
  <c r="N7" i="56"/>
  <c r="M7" i="56"/>
  <c r="L7" i="56"/>
  <c r="K7" i="56"/>
  <c r="J7" i="56"/>
  <c r="I7" i="56"/>
  <c r="H7" i="56"/>
  <c r="G7" i="56"/>
  <c r="W6" i="56"/>
  <c r="V6" i="56"/>
  <c r="U6" i="56"/>
  <c r="T6" i="56"/>
  <c r="S6" i="56"/>
  <c r="R6" i="56"/>
  <c r="Q6" i="56"/>
  <c r="P6" i="56"/>
  <c r="O6" i="56"/>
  <c r="N6" i="56"/>
  <c r="M6" i="56"/>
  <c r="L6" i="56"/>
  <c r="K6" i="56"/>
  <c r="J6" i="56"/>
  <c r="I6" i="56"/>
  <c r="H6" i="56"/>
  <c r="G6" i="56"/>
  <c r="W5" i="56"/>
  <c r="V5" i="56"/>
  <c r="U5" i="56"/>
  <c r="T5" i="56"/>
  <c r="S5" i="56"/>
  <c r="R5" i="56"/>
  <c r="Q5" i="56"/>
  <c r="P5" i="56"/>
  <c r="O5" i="56"/>
  <c r="N5" i="56"/>
  <c r="M5" i="56"/>
  <c r="L5" i="56"/>
  <c r="K5" i="56"/>
  <c r="J5" i="56"/>
  <c r="I5" i="56"/>
  <c r="H5" i="56"/>
  <c r="G5" i="56"/>
  <c r="W4" i="56"/>
  <c r="V4" i="56"/>
  <c r="U4" i="56"/>
  <c r="T4" i="56"/>
  <c r="S4" i="56"/>
  <c r="R4" i="56"/>
  <c r="Q4" i="56"/>
  <c r="P4" i="56"/>
  <c r="O4" i="56"/>
  <c r="N4" i="56"/>
  <c r="M4" i="56"/>
  <c r="L4" i="56"/>
  <c r="K4" i="56"/>
  <c r="J4" i="56"/>
  <c r="I4" i="56"/>
  <c r="H4" i="56"/>
  <c r="G4" i="56"/>
  <c r="W3" i="56"/>
  <c r="V3" i="56"/>
  <c r="U3" i="56"/>
  <c r="T3" i="56"/>
  <c r="S3" i="56"/>
  <c r="R3" i="56"/>
  <c r="Q3" i="56"/>
  <c r="P3" i="56"/>
  <c r="O3" i="56"/>
  <c r="N3" i="56"/>
  <c r="M3" i="56"/>
  <c r="L3" i="56"/>
  <c r="K3" i="56"/>
  <c r="J3" i="56"/>
  <c r="I3" i="56"/>
  <c r="H3" i="56"/>
  <c r="G3" i="56"/>
  <c r="W2" i="56"/>
  <c r="V2" i="56"/>
  <c r="U2" i="56"/>
  <c r="T2" i="56"/>
  <c r="S2" i="56"/>
  <c r="R2" i="56"/>
  <c r="Q2" i="56"/>
  <c r="P2" i="56"/>
  <c r="O2" i="56"/>
  <c r="N2" i="56"/>
  <c r="M2" i="56"/>
  <c r="L2" i="56"/>
  <c r="K2" i="56"/>
  <c r="J2" i="56"/>
  <c r="I2" i="56"/>
  <c r="H2" i="56"/>
  <c r="G2" i="56"/>
  <c r="W1" i="56"/>
  <c r="V1" i="56"/>
  <c r="U1" i="56"/>
  <c r="T1" i="56"/>
  <c r="S1" i="56"/>
  <c r="R1" i="56"/>
  <c r="Q1" i="56"/>
  <c r="P1" i="56"/>
  <c r="O1" i="56"/>
  <c r="N1" i="56"/>
  <c r="M1" i="56"/>
  <c r="L1" i="56"/>
  <c r="K1" i="56"/>
  <c r="J1" i="56"/>
  <c r="I1" i="56"/>
  <c r="H1" i="56"/>
  <c r="G1" i="56"/>
  <c r="N91" i="37"/>
  <c r="N92" i="37" s="1"/>
  <c r="N102" i="37" s="1"/>
  <c r="L91" i="37"/>
  <c r="L92" i="37" s="1"/>
  <c r="L102" i="37" s="1"/>
  <c r="X90" i="37"/>
  <c r="X91" i="37" s="1"/>
  <c r="W90" i="37"/>
  <c r="W91" i="37" s="1"/>
  <c r="V90" i="37"/>
  <c r="V91" i="37" s="1"/>
  <c r="U90" i="37"/>
  <c r="T90" i="37"/>
  <c r="S90" i="37"/>
  <c r="R90" i="37"/>
  <c r="Q90" i="37"/>
  <c r="P90" i="37"/>
  <c r="O90" i="37"/>
  <c r="N90" i="37"/>
  <c r="M90" i="37"/>
  <c r="L90" i="37"/>
  <c r="K90" i="37"/>
  <c r="K91" i="37" s="1"/>
  <c r="J90" i="37"/>
  <c r="J91" i="37" s="1"/>
  <c r="I90" i="37"/>
  <c r="I91" i="37" s="1"/>
  <c r="H90" i="37"/>
  <c r="H91" i="37" s="1"/>
  <c r="J89" i="37"/>
  <c r="J118" i="37" s="1"/>
  <c r="X84" i="37"/>
  <c r="X89" i="37" s="1"/>
  <c r="X118" i="37" s="1"/>
  <c r="W84" i="37"/>
  <c r="W89" i="37" s="1"/>
  <c r="W118" i="37" s="1"/>
  <c r="V84" i="37"/>
  <c r="V89" i="37" s="1"/>
  <c r="V118" i="37" s="1"/>
  <c r="U84" i="37"/>
  <c r="U89" i="37" s="1"/>
  <c r="U118" i="37" s="1"/>
  <c r="T84" i="37"/>
  <c r="T89" i="37" s="1"/>
  <c r="T118" i="37" s="1"/>
  <c r="S84" i="37"/>
  <c r="S89" i="37" s="1"/>
  <c r="S118" i="37" s="1"/>
  <c r="R84" i="37"/>
  <c r="R89" i="37" s="1"/>
  <c r="R118" i="37" s="1"/>
  <c r="Q84" i="37"/>
  <c r="Q89" i="37" s="1"/>
  <c r="Q118" i="37" s="1"/>
  <c r="P84" i="37"/>
  <c r="P89" i="37" s="1"/>
  <c r="P118" i="37" s="1"/>
  <c r="O84" i="37"/>
  <c r="O89" i="37" s="1"/>
  <c r="O118" i="37" s="1"/>
  <c r="N84" i="37"/>
  <c r="N89" i="37" s="1"/>
  <c r="N118" i="37" s="1"/>
  <c r="M84" i="37"/>
  <c r="M89" i="37" s="1"/>
  <c r="M118" i="37" s="1"/>
  <c r="L84" i="37"/>
  <c r="L89" i="37" s="1"/>
  <c r="L118" i="37" s="1"/>
  <c r="K84" i="37"/>
  <c r="K89" i="37" s="1"/>
  <c r="K118" i="37" s="1"/>
  <c r="J84" i="37"/>
  <c r="I84" i="37"/>
  <c r="I89" i="37" s="1"/>
  <c r="I118" i="37" s="1"/>
  <c r="H84" i="37"/>
  <c r="H89" i="37" s="1"/>
  <c r="H118" i="37" s="1"/>
  <c r="X83" i="37"/>
  <c r="X88" i="37" s="1"/>
  <c r="X117" i="37" s="1"/>
  <c r="W83" i="37"/>
  <c r="W88" i="37" s="1"/>
  <c r="W117" i="37" s="1"/>
  <c r="V83" i="37"/>
  <c r="V88" i="37" s="1"/>
  <c r="V117" i="37" s="1"/>
  <c r="U83" i="37"/>
  <c r="U88" i="37" s="1"/>
  <c r="U117" i="37" s="1"/>
  <c r="T83" i="37"/>
  <c r="T88" i="37" s="1"/>
  <c r="T117" i="37" s="1"/>
  <c r="S83" i="37"/>
  <c r="S88" i="37" s="1"/>
  <c r="S117" i="37" s="1"/>
  <c r="R83" i="37"/>
  <c r="R88" i="37" s="1"/>
  <c r="R117" i="37" s="1"/>
  <c r="Q83" i="37"/>
  <c r="Q88" i="37" s="1"/>
  <c r="Q117" i="37" s="1"/>
  <c r="P83" i="37"/>
  <c r="P88" i="37" s="1"/>
  <c r="P117" i="37" s="1"/>
  <c r="O83" i="37"/>
  <c r="O88" i="37" s="1"/>
  <c r="O117" i="37" s="1"/>
  <c r="N83" i="37"/>
  <c r="N88" i="37" s="1"/>
  <c r="N117" i="37" s="1"/>
  <c r="M83" i="37"/>
  <c r="M88" i="37" s="1"/>
  <c r="M117" i="37" s="1"/>
  <c r="L83" i="37"/>
  <c r="L88" i="37" s="1"/>
  <c r="L117" i="37" s="1"/>
  <c r="K83" i="37"/>
  <c r="K88" i="37" s="1"/>
  <c r="K117" i="37" s="1"/>
  <c r="J83" i="37"/>
  <c r="J88" i="37" s="1"/>
  <c r="J117" i="37" s="1"/>
  <c r="I83" i="37"/>
  <c r="I88" i="37" s="1"/>
  <c r="I117" i="37" s="1"/>
  <c r="H83" i="37"/>
  <c r="H88" i="37" s="1"/>
  <c r="H117" i="37" s="1"/>
  <c r="X82" i="37"/>
  <c r="X86" i="37" s="1"/>
  <c r="W82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X79" i="37"/>
  <c r="X111" i="37" s="1"/>
  <c r="X132" i="37" s="1"/>
  <c r="X78" i="37"/>
  <c r="W78" i="37"/>
  <c r="W79" i="37" s="1"/>
  <c r="W111" i="37" s="1"/>
  <c r="W132" i="37" s="1"/>
  <c r="V78" i="37"/>
  <c r="U78" i="37"/>
  <c r="T78" i="37"/>
  <c r="S78" i="37"/>
  <c r="R78" i="37"/>
  <c r="Q78" i="37"/>
  <c r="P78" i="37"/>
  <c r="O78" i="37"/>
  <c r="N78" i="37"/>
  <c r="M78" i="37"/>
  <c r="L78" i="37"/>
  <c r="K78" i="37"/>
  <c r="K79" i="37" s="1"/>
  <c r="K111" i="37" s="1"/>
  <c r="K132" i="37" s="1"/>
  <c r="J78" i="37"/>
  <c r="I78" i="37"/>
  <c r="H78" i="37"/>
  <c r="H79" i="37" s="1"/>
  <c r="H111" i="37" s="1"/>
  <c r="H132" i="37" s="1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K80" i="37" s="1"/>
  <c r="J77" i="37"/>
  <c r="I77" i="37"/>
  <c r="H77" i="37"/>
  <c r="X76" i="37"/>
  <c r="W76" i="37"/>
  <c r="V76" i="37"/>
  <c r="U76" i="37"/>
  <c r="T76" i="37"/>
  <c r="S76" i="37"/>
  <c r="R76" i="37"/>
  <c r="Q76" i="37"/>
  <c r="P76" i="37"/>
  <c r="O76" i="37"/>
  <c r="N76" i="37"/>
  <c r="N79" i="37" s="1"/>
  <c r="N111" i="37" s="1"/>
  <c r="N132" i="37" s="1"/>
  <c r="M76" i="37"/>
  <c r="M79" i="37" s="1"/>
  <c r="M111" i="37" s="1"/>
  <c r="M132" i="37" s="1"/>
  <c r="L76" i="37"/>
  <c r="K76" i="37"/>
  <c r="J76" i="37"/>
  <c r="I76" i="37"/>
  <c r="I80" i="37" s="1"/>
  <c r="H76" i="37"/>
  <c r="X75" i="37"/>
  <c r="W75" i="37"/>
  <c r="V75" i="37"/>
  <c r="U75" i="37"/>
  <c r="T75" i="37"/>
  <c r="T80" i="37" s="1"/>
  <c r="S75" i="37"/>
  <c r="R75" i="37"/>
  <c r="Q75" i="37"/>
  <c r="P75" i="37"/>
  <c r="O75" i="37"/>
  <c r="N75" i="37"/>
  <c r="M75" i="37"/>
  <c r="L75" i="37"/>
  <c r="K75" i="37"/>
  <c r="J75" i="37"/>
  <c r="I75" i="37"/>
  <c r="H75" i="37"/>
  <c r="H80" i="37" s="1"/>
  <c r="V74" i="37"/>
  <c r="R74" i="37"/>
  <c r="O74" i="37"/>
  <c r="N74" i="37"/>
  <c r="L73" i="37"/>
  <c r="X72" i="37"/>
  <c r="X73" i="37" s="1"/>
  <c r="W72" i="37"/>
  <c r="W73" i="37" s="1"/>
  <c r="V72" i="37"/>
  <c r="V73" i="37" s="1"/>
  <c r="U72" i="37"/>
  <c r="U73" i="37" s="1"/>
  <c r="T72" i="37"/>
  <c r="T73" i="37" s="1"/>
  <c r="S72" i="37"/>
  <c r="S73" i="37" s="1"/>
  <c r="R72" i="37"/>
  <c r="R73" i="37" s="1"/>
  <c r="Q72" i="37"/>
  <c r="Q73" i="37" s="1"/>
  <c r="P72" i="37"/>
  <c r="P73" i="37" s="1"/>
  <c r="O72" i="37"/>
  <c r="O73" i="37" s="1"/>
  <c r="N72" i="37"/>
  <c r="N73" i="37" s="1"/>
  <c r="M72" i="37"/>
  <c r="M74" i="37" s="1"/>
  <c r="L72" i="37"/>
  <c r="L74" i="37" s="1"/>
  <c r="K72" i="37"/>
  <c r="K74" i="37" s="1"/>
  <c r="J72" i="37"/>
  <c r="J74" i="37" s="1"/>
  <c r="I72" i="37"/>
  <c r="I74" i="37" s="1"/>
  <c r="H72" i="37"/>
  <c r="H74" i="37" s="1"/>
  <c r="I71" i="37"/>
  <c r="I114" i="37" s="1"/>
  <c r="N70" i="37"/>
  <c r="L70" i="37"/>
  <c r="J70" i="37"/>
  <c r="Q69" i="37"/>
  <c r="Q124" i="37" s="1"/>
  <c r="O69" i="37"/>
  <c r="O124" i="37" s="1"/>
  <c r="J69" i="37"/>
  <c r="J124" i="37" s="1"/>
  <c r="I69" i="37"/>
  <c r="I124" i="37" s="1"/>
  <c r="X68" i="37"/>
  <c r="X69" i="37" s="1"/>
  <c r="W68" i="37"/>
  <c r="W69" i="37" s="1"/>
  <c r="V68" i="37"/>
  <c r="V69" i="37" s="1"/>
  <c r="U68" i="37"/>
  <c r="U69" i="37" s="1"/>
  <c r="T68" i="37"/>
  <c r="T69" i="37" s="1"/>
  <c r="S68" i="37"/>
  <c r="S69" i="37" s="1"/>
  <c r="R68" i="37"/>
  <c r="R71" i="37" s="1"/>
  <c r="R114" i="37" s="1"/>
  <c r="Q68" i="37"/>
  <c r="Q71" i="37" s="1"/>
  <c r="P68" i="37"/>
  <c r="P69" i="37" s="1"/>
  <c r="P124" i="37" s="1"/>
  <c r="O68" i="37"/>
  <c r="O71" i="37" s="1"/>
  <c r="N68" i="37"/>
  <c r="N71" i="37" s="1"/>
  <c r="M68" i="37"/>
  <c r="M71" i="37" s="1"/>
  <c r="L68" i="37"/>
  <c r="L71" i="37" s="1"/>
  <c r="K68" i="37"/>
  <c r="K71" i="37" s="1"/>
  <c r="J68" i="37"/>
  <c r="J71" i="37" s="1"/>
  <c r="I68" i="37"/>
  <c r="I70" i="37" s="1"/>
  <c r="H68" i="37"/>
  <c r="H70" i="37" s="1"/>
  <c r="L66" i="37"/>
  <c r="L67" i="37" s="1"/>
  <c r="L113" i="37" s="1"/>
  <c r="J66" i="37"/>
  <c r="J67" i="37" s="1"/>
  <c r="J113" i="37" s="1"/>
  <c r="H66" i="37"/>
  <c r="H67" i="37" s="1"/>
  <c r="H113" i="37" s="1"/>
  <c r="X65" i="37"/>
  <c r="X112" i="37" s="1"/>
  <c r="W65" i="37"/>
  <c r="W112" i="37" s="1"/>
  <c r="V65" i="37"/>
  <c r="V112" i="37" s="1"/>
  <c r="N65" i="37"/>
  <c r="N112" i="37" s="1"/>
  <c r="L65" i="37"/>
  <c r="L112" i="37" s="1"/>
  <c r="X64" i="37"/>
  <c r="W64" i="37"/>
  <c r="V64" i="37"/>
  <c r="V66" i="37" s="1"/>
  <c r="V67" i="37" s="1"/>
  <c r="V113" i="37" s="1"/>
  <c r="U64" i="37"/>
  <c r="U65" i="37" s="1"/>
  <c r="U112" i="37" s="1"/>
  <c r="T64" i="37"/>
  <c r="T82" i="37" s="1"/>
  <c r="S64" i="37"/>
  <c r="S82" i="37" s="1"/>
  <c r="R64" i="37"/>
  <c r="R82" i="37" s="1"/>
  <c r="Q64" i="37"/>
  <c r="Q82" i="37" s="1"/>
  <c r="P64" i="37"/>
  <c r="P82" i="37" s="1"/>
  <c r="O64" i="37"/>
  <c r="O82" i="37" s="1"/>
  <c r="N64" i="37"/>
  <c r="N82" i="37" s="1"/>
  <c r="M64" i="37"/>
  <c r="M82" i="37" s="1"/>
  <c r="L64" i="37"/>
  <c r="L82" i="37" s="1"/>
  <c r="K64" i="37"/>
  <c r="K82" i="37" s="1"/>
  <c r="J64" i="37"/>
  <c r="J82" i="37" s="1"/>
  <c r="I64" i="37"/>
  <c r="H64" i="37"/>
  <c r="V57" i="37"/>
  <c r="S57" i="37"/>
  <c r="R57" i="37"/>
  <c r="Q57" i="37"/>
  <c r="P57" i="37"/>
  <c r="O57" i="37"/>
  <c r="N57" i="37"/>
  <c r="R53" i="37"/>
  <c r="Q53" i="37"/>
  <c r="P53" i="37"/>
  <c r="O53" i="37"/>
  <c r="N53" i="37"/>
  <c r="M53" i="37"/>
  <c r="L53" i="37"/>
  <c r="K53" i="37"/>
  <c r="J53" i="37"/>
  <c r="T52" i="37"/>
  <c r="S52" i="37"/>
  <c r="R52" i="37"/>
  <c r="K52" i="37"/>
  <c r="X51" i="37"/>
  <c r="W51" i="37"/>
  <c r="V51" i="37"/>
  <c r="U51" i="37"/>
  <c r="T51" i="37"/>
  <c r="O51" i="37"/>
  <c r="U50" i="37"/>
  <c r="T50" i="37"/>
  <c r="T58" i="37" s="1"/>
  <c r="S50" i="37"/>
  <c r="R50" i="37"/>
  <c r="Q50" i="37"/>
  <c r="P50" i="37"/>
  <c r="O50" i="37"/>
  <c r="N50" i="37"/>
  <c r="M50" i="37"/>
  <c r="X49" i="37"/>
  <c r="X52" i="37" s="1"/>
  <c r="W49" i="37"/>
  <c r="W52" i="37" s="1"/>
  <c r="V49" i="37"/>
  <c r="V52" i="37" s="1"/>
  <c r="U49" i="37"/>
  <c r="U52" i="37" s="1"/>
  <c r="T49" i="37"/>
  <c r="T53" i="37" s="1"/>
  <c r="S49" i="37"/>
  <c r="S51" i="37" s="1"/>
  <c r="R49" i="37"/>
  <c r="R51" i="37" s="1"/>
  <c r="Q49" i="37"/>
  <c r="Q51" i="37" s="1"/>
  <c r="P49" i="37"/>
  <c r="P51" i="37" s="1"/>
  <c r="O49" i="37"/>
  <c r="O52" i="37" s="1"/>
  <c r="N49" i="37"/>
  <c r="N51" i="37" s="1"/>
  <c r="M49" i="37"/>
  <c r="M51" i="37" s="1"/>
  <c r="L49" i="37"/>
  <c r="L50" i="37" s="1"/>
  <c r="K49" i="37"/>
  <c r="K50" i="37" s="1"/>
  <c r="J49" i="37"/>
  <c r="J50" i="37" s="1"/>
  <c r="I49" i="37"/>
  <c r="I53" i="37" s="1"/>
  <c r="H49" i="37"/>
  <c r="H53" i="37" s="1"/>
  <c r="X48" i="37"/>
  <c r="X57" i="37" s="1"/>
  <c r="W48" i="37"/>
  <c r="W57" i="37" s="1"/>
  <c r="V48" i="37"/>
  <c r="U48" i="37"/>
  <c r="U57" i="37" s="1"/>
  <c r="T48" i="37"/>
  <c r="T57" i="37" s="1"/>
  <c r="S48" i="37"/>
  <c r="R48" i="37"/>
  <c r="Q48" i="37"/>
  <c r="P48" i="37"/>
  <c r="O48" i="37"/>
  <c r="N48" i="37"/>
  <c r="M48" i="37"/>
  <c r="M57" i="37" s="1"/>
  <c r="L48" i="37"/>
  <c r="L57" i="37" s="1"/>
  <c r="K48" i="37"/>
  <c r="K57" i="37" s="1"/>
  <c r="J48" i="37"/>
  <c r="J57" i="37" s="1"/>
  <c r="I48" i="37"/>
  <c r="I57" i="37" s="1"/>
  <c r="H48" i="37"/>
  <c r="H57" i="37" s="1"/>
  <c r="X47" i="37"/>
  <c r="W47" i="37"/>
  <c r="V47" i="37"/>
  <c r="V56" i="37" s="1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X46" i="37"/>
  <c r="X55" i="37" s="1"/>
  <c r="W46" i="37"/>
  <c r="W55" i="37" s="1"/>
  <c r="V46" i="37"/>
  <c r="V55" i="37" s="1"/>
  <c r="U46" i="37"/>
  <c r="U55" i="37" s="1"/>
  <c r="T46" i="37"/>
  <c r="T55" i="37" s="1"/>
  <c r="S46" i="37"/>
  <c r="S55" i="37" s="1"/>
  <c r="R46" i="37"/>
  <c r="R55" i="37" s="1"/>
  <c r="Q46" i="37"/>
  <c r="Q55" i="37" s="1"/>
  <c r="P46" i="37"/>
  <c r="P55" i="37" s="1"/>
  <c r="O46" i="37"/>
  <c r="O55" i="37" s="1"/>
  <c r="N46" i="37"/>
  <c r="N55" i="37" s="1"/>
  <c r="M46" i="37"/>
  <c r="M55" i="37" s="1"/>
  <c r="L46" i="37"/>
  <c r="L55" i="37" s="1"/>
  <c r="K46" i="37"/>
  <c r="K55" i="37" s="1"/>
  <c r="J46" i="37"/>
  <c r="J55" i="37" s="1"/>
  <c r="I46" i="37"/>
  <c r="I55" i="37" s="1"/>
  <c r="H46" i="37"/>
  <c r="H55" i="37" s="1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O40" i="37"/>
  <c r="X39" i="37"/>
  <c r="X38" i="37" s="1"/>
  <c r="W39" i="37"/>
  <c r="W38" i="37" s="1"/>
  <c r="V39" i="37"/>
  <c r="U39" i="37"/>
  <c r="T39" i="37"/>
  <c r="S39" i="37"/>
  <c r="R39" i="37"/>
  <c r="Q39" i="37"/>
  <c r="P39" i="37"/>
  <c r="O39" i="37"/>
  <c r="N39" i="37"/>
  <c r="N40" i="37" s="1"/>
  <c r="M39" i="37"/>
  <c r="M40" i="37" s="1"/>
  <c r="L39" i="37"/>
  <c r="L40" i="37" s="1"/>
  <c r="K39" i="37"/>
  <c r="K40" i="37" s="1"/>
  <c r="J39" i="37"/>
  <c r="J40" i="37" s="1"/>
  <c r="I39" i="37"/>
  <c r="I40" i="37" s="1"/>
  <c r="H39" i="37"/>
  <c r="H40" i="37" s="1"/>
  <c r="X31" i="37"/>
  <c r="S31" i="37"/>
  <c r="R31" i="37"/>
  <c r="H31" i="37"/>
  <c r="X30" i="37"/>
  <c r="W30" i="37"/>
  <c r="V30" i="37"/>
  <c r="S30" i="37"/>
  <c r="R30" i="37"/>
  <c r="Q30" i="37"/>
  <c r="L30" i="37"/>
  <c r="K30" i="37"/>
  <c r="R29" i="37"/>
  <c r="Q29" i="37"/>
  <c r="P29" i="37"/>
  <c r="O29" i="37"/>
  <c r="L29" i="37"/>
  <c r="K29" i="37"/>
  <c r="J29" i="37"/>
  <c r="V27" i="37"/>
  <c r="U27" i="37"/>
  <c r="T27" i="37"/>
  <c r="O27" i="37"/>
  <c r="N27" i="37"/>
  <c r="M27" i="37"/>
  <c r="L27" i="37"/>
  <c r="O26" i="37"/>
  <c r="N26" i="37"/>
  <c r="M26" i="37"/>
  <c r="N25" i="37"/>
  <c r="M25" i="37"/>
  <c r="L25" i="37"/>
  <c r="J25" i="37"/>
  <c r="H25" i="37"/>
  <c r="X24" i="37"/>
  <c r="W24" i="37"/>
  <c r="O24" i="37"/>
  <c r="N24" i="37"/>
  <c r="X23" i="37"/>
  <c r="X25" i="37" s="1"/>
  <c r="W23" i="37"/>
  <c r="W25" i="37" s="1"/>
  <c r="V23" i="37"/>
  <c r="V24" i="37" s="1"/>
  <c r="U23" i="37"/>
  <c r="U24" i="37" s="1"/>
  <c r="T23" i="37"/>
  <c r="T24" i="37" s="1"/>
  <c r="S23" i="37"/>
  <c r="S27" i="37" s="1"/>
  <c r="R23" i="37"/>
  <c r="R27" i="37" s="1"/>
  <c r="Q23" i="37"/>
  <c r="Q27" i="37" s="1"/>
  <c r="P23" i="37"/>
  <c r="P27" i="37" s="1"/>
  <c r="O23" i="37"/>
  <c r="O25" i="37" s="1"/>
  <c r="N23" i="37"/>
  <c r="M23" i="37"/>
  <c r="M24" i="37" s="1"/>
  <c r="L23" i="37"/>
  <c r="L26" i="37" s="1"/>
  <c r="K23" i="37"/>
  <c r="K26" i="37" s="1"/>
  <c r="J23" i="37"/>
  <c r="J26" i="37" s="1"/>
  <c r="I23" i="37"/>
  <c r="I26" i="37" s="1"/>
  <c r="H23" i="37"/>
  <c r="H26" i="37" s="1"/>
  <c r="X22" i="37"/>
  <c r="W22" i="37"/>
  <c r="W31" i="37" s="1"/>
  <c r="V22" i="37"/>
  <c r="V31" i="37" s="1"/>
  <c r="U22" i="37"/>
  <c r="U31" i="37" s="1"/>
  <c r="T22" i="37"/>
  <c r="T31" i="37" s="1"/>
  <c r="S22" i="37"/>
  <c r="R22" i="37"/>
  <c r="Q22" i="37"/>
  <c r="Q31" i="37" s="1"/>
  <c r="P22" i="37"/>
  <c r="P31" i="37" s="1"/>
  <c r="O22" i="37"/>
  <c r="O31" i="37" s="1"/>
  <c r="N22" i="37"/>
  <c r="N31" i="37" s="1"/>
  <c r="M22" i="37"/>
  <c r="M31" i="37" s="1"/>
  <c r="L22" i="37"/>
  <c r="L31" i="37" s="1"/>
  <c r="K22" i="37"/>
  <c r="K31" i="37" s="1"/>
  <c r="J22" i="37"/>
  <c r="J31" i="37" s="1"/>
  <c r="I22" i="37"/>
  <c r="I31" i="37" s="1"/>
  <c r="H22" i="37"/>
  <c r="X21" i="37"/>
  <c r="W21" i="37"/>
  <c r="V21" i="37"/>
  <c r="U21" i="37"/>
  <c r="U30" i="37" s="1"/>
  <c r="T21" i="37"/>
  <c r="T30" i="37" s="1"/>
  <c r="S21" i="37"/>
  <c r="R21" i="37"/>
  <c r="Q21" i="37"/>
  <c r="P21" i="37"/>
  <c r="P30" i="37" s="1"/>
  <c r="O21" i="37"/>
  <c r="O30" i="37" s="1"/>
  <c r="N21" i="37"/>
  <c r="N30" i="37" s="1"/>
  <c r="M21" i="37"/>
  <c r="M30" i="37" s="1"/>
  <c r="L21" i="37"/>
  <c r="K21" i="37"/>
  <c r="J21" i="37"/>
  <c r="J30" i="37" s="1"/>
  <c r="I21" i="37"/>
  <c r="I30" i="37" s="1"/>
  <c r="H21" i="37"/>
  <c r="H30" i="37" s="1"/>
  <c r="X20" i="37"/>
  <c r="X29" i="37" s="1"/>
  <c r="W20" i="37"/>
  <c r="W29" i="37" s="1"/>
  <c r="V20" i="37"/>
  <c r="V29" i="37" s="1"/>
  <c r="U20" i="37"/>
  <c r="U29" i="37" s="1"/>
  <c r="T20" i="37"/>
  <c r="T29" i="37" s="1"/>
  <c r="S20" i="37"/>
  <c r="S29" i="37" s="1"/>
  <c r="R20" i="37"/>
  <c r="Q20" i="37"/>
  <c r="P20" i="37"/>
  <c r="O20" i="37"/>
  <c r="N20" i="37"/>
  <c r="N29" i="37" s="1"/>
  <c r="M20" i="37"/>
  <c r="M29" i="37" s="1"/>
  <c r="L20" i="37"/>
  <c r="K20" i="37"/>
  <c r="J20" i="37"/>
  <c r="I20" i="37"/>
  <c r="I29" i="37" s="1"/>
  <c r="H20" i="37"/>
  <c r="H29" i="37" s="1"/>
  <c r="X19" i="37"/>
  <c r="W19" i="37"/>
  <c r="V19" i="37"/>
  <c r="U19" i="37"/>
  <c r="T19" i="37"/>
  <c r="S19" i="37"/>
  <c r="S28" i="37" s="1"/>
  <c r="R19" i="37"/>
  <c r="R28" i="37" s="1"/>
  <c r="Q19" i="37"/>
  <c r="P19" i="37"/>
  <c r="O19" i="37"/>
  <c r="N19" i="37"/>
  <c r="M19" i="37"/>
  <c r="L19" i="37"/>
  <c r="K19" i="37"/>
  <c r="J19" i="37"/>
  <c r="I19" i="37"/>
  <c r="H19" i="37"/>
  <c r="X18" i="37"/>
  <c r="X28" i="37" s="1"/>
  <c r="W18" i="37"/>
  <c r="W28" i="37" s="1"/>
  <c r="V18" i="37"/>
  <c r="V28" i="37" s="1"/>
  <c r="U18" i="37"/>
  <c r="U28" i="37" s="1"/>
  <c r="T18" i="37"/>
  <c r="T28" i="37" s="1"/>
  <c r="S18" i="37"/>
  <c r="R18" i="37"/>
  <c r="Q18" i="37"/>
  <c r="Q28" i="37" s="1"/>
  <c r="P18" i="37"/>
  <c r="P28" i="37" s="1"/>
  <c r="O18" i="37"/>
  <c r="O28" i="37" s="1"/>
  <c r="N18" i="37"/>
  <c r="N28" i="37" s="1"/>
  <c r="M18" i="37"/>
  <c r="M28" i="37" s="1"/>
  <c r="L18" i="37"/>
  <c r="L28" i="37" s="1"/>
  <c r="K18" i="37"/>
  <c r="K28" i="37" s="1"/>
  <c r="J18" i="37"/>
  <c r="J28" i="37" s="1"/>
  <c r="I18" i="37"/>
  <c r="I28" i="37" s="1"/>
  <c r="H18" i="37"/>
  <c r="H28" i="37" s="1"/>
  <c r="Q16" i="37"/>
  <c r="Q17" i="37" s="1"/>
  <c r="P16" i="37"/>
  <c r="P17" i="37" s="1"/>
  <c r="O16" i="37"/>
  <c r="O17" i="37" s="1"/>
  <c r="H16" i="37"/>
  <c r="H17" i="37" s="1"/>
  <c r="P15" i="37"/>
  <c r="O15" i="37"/>
  <c r="N15" i="37"/>
  <c r="J15" i="37"/>
  <c r="I15" i="37"/>
  <c r="H15" i="37"/>
  <c r="Q14" i="37"/>
  <c r="P14" i="37"/>
  <c r="H14" i="37"/>
  <c r="X13" i="37"/>
  <c r="X14" i="37" s="1"/>
  <c r="W13" i="37"/>
  <c r="W14" i="37" s="1"/>
  <c r="V13" i="37"/>
  <c r="V14" i="37" s="1"/>
  <c r="U13" i="37"/>
  <c r="U14" i="37" s="1"/>
  <c r="T13" i="37"/>
  <c r="T14" i="37" s="1"/>
  <c r="S13" i="37"/>
  <c r="S14" i="37" s="1"/>
  <c r="R13" i="37"/>
  <c r="R14" i="37" s="1"/>
  <c r="Q13" i="37"/>
  <c r="Q15" i="37" s="1"/>
  <c r="P13" i="37"/>
  <c r="O13" i="37"/>
  <c r="O14" i="37" s="1"/>
  <c r="N13" i="37"/>
  <c r="N16" i="37" s="1"/>
  <c r="N17" i="37" s="1"/>
  <c r="M13" i="37"/>
  <c r="M16" i="37" s="1"/>
  <c r="M17" i="37" s="1"/>
  <c r="L13" i="37"/>
  <c r="L16" i="37" s="1"/>
  <c r="L17" i="37" s="1"/>
  <c r="K13" i="37"/>
  <c r="K16" i="37" s="1"/>
  <c r="K17" i="37" s="1"/>
  <c r="J13" i="37"/>
  <c r="J12" i="37" s="1"/>
  <c r="I13" i="37"/>
  <c r="I12" i="37" s="1"/>
  <c r="H13" i="37"/>
  <c r="H12" i="37" s="1"/>
  <c r="Q12" i="37"/>
  <c r="P12" i="37"/>
  <c r="O12" i="37"/>
  <c r="N12" i="37"/>
  <c r="M12" i="37"/>
  <c r="L12" i="37"/>
  <c r="K12" i="37"/>
  <c r="P9" i="37"/>
  <c r="O9" i="37"/>
  <c r="N9" i="37"/>
  <c r="X8" i="37"/>
  <c r="W8" i="37"/>
  <c r="V8" i="37"/>
  <c r="L8" i="37"/>
  <c r="K8" i="37"/>
  <c r="J8" i="37"/>
  <c r="I8" i="37"/>
  <c r="H8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X6" i="37"/>
  <c r="X9" i="37" s="1"/>
  <c r="W6" i="37"/>
  <c r="W9" i="37" s="1"/>
  <c r="V6" i="37"/>
  <c r="V9" i="37" s="1"/>
  <c r="U6" i="37"/>
  <c r="U9" i="37" s="1"/>
  <c r="T6" i="37"/>
  <c r="T9" i="37" s="1"/>
  <c r="S6" i="37"/>
  <c r="S9" i="37" s="1"/>
  <c r="R6" i="37"/>
  <c r="R9" i="37" s="1"/>
  <c r="Q6" i="37"/>
  <c r="Q40" i="37" s="1"/>
  <c r="P6" i="37"/>
  <c r="P40" i="37" s="1"/>
  <c r="O6" i="37"/>
  <c r="N6" i="37"/>
  <c r="M6" i="37"/>
  <c r="M9" i="37" s="1"/>
  <c r="L6" i="37"/>
  <c r="L9" i="37" s="1"/>
  <c r="K6" i="37"/>
  <c r="K9" i="37" s="1"/>
  <c r="J6" i="37"/>
  <c r="J9" i="37" s="1"/>
  <c r="I6" i="37"/>
  <c r="I9" i="37" s="1"/>
  <c r="H6" i="37"/>
  <c r="H9" i="37" s="1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X2" i="37"/>
  <c r="W2" i="37"/>
  <c r="V2" i="37"/>
  <c r="V38" i="37" s="1"/>
  <c r="U2" i="37"/>
  <c r="U38" i="37" s="1"/>
  <c r="T2" i="37"/>
  <c r="T38" i="37" s="1"/>
  <c r="S2" i="37"/>
  <c r="S38" i="37" s="1"/>
  <c r="R2" i="37"/>
  <c r="R38" i="37" s="1"/>
  <c r="Q2" i="37"/>
  <c r="Q38" i="37" s="1"/>
  <c r="P2" i="37"/>
  <c r="P8" i="37" s="1"/>
  <c r="O2" i="37"/>
  <c r="O8" i="37" s="1"/>
  <c r="N2" i="37"/>
  <c r="N8" i="37" s="1"/>
  <c r="M2" i="37"/>
  <c r="M8" i="37" s="1"/>
  <c r="L2" i="37"/>
  <c r="K2" i="37"/>
  <c r="J2" i="37"/>
  <c r="I2" i="37"/>
  <c r="H2" i="37"/>
  <c r="X1" i="37"/>
  <c r="W1" i="37"/>
  <c r="V1" i="37"/>
  <c r="U1" i="37"/>
  <c r="T1" i="37"/>
  <c r="S1" i="37"/>
  <c r="R1" i="37"/>
  <c r="Q1" i="37"/>
  <c r="P1" i="37"/>
  <c r="O1" i="37"/>
  <c r="N1" i="37"/>
  <c r="M1" i="37"/>
  <c r="L1" i="37"/>
  <c r="K1" i="37"/>
  <c r="J1" i="37"/>
  <c r="I1" i="37"/>
  <c r="H1" i="37"/>
  <c r="M65" i="75"/>
  <c r="M74" i="75" s="1"/>
  <c r="L65" i="75"/>
  <c r="L74" i="75" s="1"/>
  <c r="Z60" i="75"/>
  <c r="Z69" i="75" s="1"/>
  <c r="Y60" i="75"/>
  <c r="Y69" i="75" s="1"/>
  <c r="Z56" i="75"/>
  <c r="Y56" i="75"/>
  <c r="X56" i="75"/>
  <c r="W56" i="75"/>
  <c r="V56" i="75"/>
  <c r="U56" i="75"/>
  <c r="T56" i="75"/>
  <c r="S56" i="75"/>
  <c r="R56" i="75"/>
  <c r="Q56" i="75"/>
  <c r="P56" i="75"/>
  <c r="O56" i="75"/>
  <c r="N56" i="75"/>
  <c r="M56" i="75"/>
  <c r="L56" i="75"/>
  <c r="K56" i="75"/>
  <c r="J56" i="75"/>
  <c r="Z55" i="75"/>
  <c r="Z65" i="75" s="1"/>
  <c r="Z74" i="75" s="1"/>
  <c r="Y55" i="75"/>
  <c r="Y65" i="75" s="1"/>
  <c r="Y74" i="75" s="1"/>
  <c r="X55" i="75"/>
  <c r="X65" i="75" s="1"/>
  <c r="X74" i="75" s="1"/>
  <c r="W55" i="75"/>
  <c r="W65" i="75" s="1"/>
  <c r="W74" i="75" s="1"/>
  <c r="V55" i="75"/>
  <c r="V65" i="75" s="1"/>
  <c r="V74" i="75" s="1"/>
  <c r="U55" i="75"/>
  <c r="U65" i="75" s="1"/>
  <c r="U74" i="75" s="1"/>
  <c r="T55" i="75"/>
  <c r="T65" i="75" s="1"/>
  <c r="T74" i="75" s="1"/>
  <c r="S55" i="75"/>
  <c r="S65" i="75" s="1"/>
  <c r="S74" i="75" s="1"/>
  <c r="R55" i="75"/>
  <c r="R65" i="75" s="1"/>
  <c r="R74" i="75" s="1"/>
  <c r="Q55" i="75"/>
  <c r="Q65" i="75" s="1"/>
  <c r="Q74" i="75" s="1"/>
  <c r="P55" i="75"/>
  <c r="P65" i="75" s="1"/>
  <c r="P74" i="75" s="1"/>
  <c r="O55" i="75"/>
  <c r="O65" i="75" s="1"/>
  <c r="O74" i="75" s="1"/>
  <c r="N55" i="75"/>
  <c r="N65" i="75" s="1"/>
  <c r="N74" i="75" s="1"/>
  <c r="M55" i="75"/>
  <c r="L55" i="75"/>
  <c r="K55" i="75"/>
  <c r="K65" i="75" s="1"/>
  <c r="K74" i="75" s="1"/>
  <c r="J55" i="75"/>
  <c r="J65" i="75" s="1"/>
  <c r="J74" i="75" s="1"/>
  <c r="Z54" i="75"/>
  <c r="Y54" i="75"/>
  <c r="X54" i="75"/>
  <c r="W54" i="75"/>
  <c r="V54" i="75"/>
  <c r="U54" i="75"/>
  <c r="T54" i="75"/>
  <c r="T64" i="75" s="1"/>
  <c r="T73" i="75" s="1"/>
  <c r="S54" i="75"/>
  <c r="R54" i="75"/>
  <c r="Q54" i="75"/>
  <c r="P54" i="75"/>
  <c r="O54" i="75"/>
  <c r="N54" i="75"/>
  <c r="M54" i="75"/>
  <c r="M64" i="75" s="1"/>
  <c r="M73" i="75" s="1"/>
  <c r="L54" i="75"/>
  <c r="K54" i="75"/>
  <c r="J54" i="75"/>
  <c r="Z53" i="75"/>
  <c r="Z64" i="75" s="1"/>
  <c r="Z73" i="75" s="1"/>
  <c r="Y53" i="75"/>
  <c r="Y64" i="75" s="1"/>
  <c r="Y73" i="75" s="1"/>
  <c r="X53" i="75"/>
  <c r="X64" i="75" s="1"/>
  <c r="X73" i="75" s="1"/>
  <c r="W53" i="75"/>
  <c r="W64" i="75" s="1"/>
  <c r="W73" i="75" s="1"/>
  <c r="V53" i="75"/>
  <c r="V64" i="75" s="1"/>
  <c r="V73" i="75" s="1"/>
  <c r="U53" i="75"/>
  <c r="U64" i="75" s="1"/>
  <c r="U73" i="75" s="1"/>
  <c r="T53" i="75"/>
  <c r="S53" i="75"/>
  <c r="S64" i="75" s="1"/>
  <c r="S73" i="75" s="1"/>
  <c r="R53" i="75"/>
  <c r="R64" i="75" s="1"/>
  <c r="R73" i="75" s="1"/>
  <c r="Q53" i="75"/>
  <c r="Q64" i="75" s="1"/>
  <c r="Q73" i="75" s="1"/>
  <c r="P53" i="75"/>
  <c r="P64" i="75" s="1"/>
  <c r="P73" i="75" s="1"/>
  <c r="O53" i="75"/>
  <c r="O64" i="75" s="1"/>
  <c r="O73" i="75" s="1"/>
  <c r="N53" i="75"/>
  <c r="N64" i="75" s="1"/>
  <c r="N73" i="75" s="1"/>
  <c r="M53" i="75"/>
  <c r="L53" i="75"/>
  <c r="L64" i="75" s="1"/>
  <c r="L73" i="75" s="1"/>
  <c r="K53" i="75"/>
  <c r="K64" i="75" s="1"/>
  <c r="K73" i="75" s="1"/>
  <c r="J53" i="75"/>
  <c r="J64" i="75" s="1"/>
  <c r="J73" i="75" s="1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Z51" i="75"/>
  <c r="Y51" i="75"/>
  <c r="X51" i="75"/>
  <c r="W51" i="75"/>
  <c r="V51" i="75"/>
  <c r="U51" i="75"/>
  <c r="T51" i="75"/>
  <c r="S51" i="75"/>
  <c r="R51" i="75"/>
  <c r="Q51" i="75"/>
  <c r="P51" i="75"/>
  <c r="P60" i="75" s="1"/>
  <c r="P69" i="75" s="1"/>
  <c r="O51" i="75"/>
  <c r="N51" i="75"/>
  <c r="M51" i="75"/>
  <c r="L51" i="75"/>
  <c r="K51" i="75"/>
  <c r="J51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O60" i="75" s="1"/>
  <c r="O69" i="75" s="1"/>
  <c r="N50" i="75"/>
  <c r="M50" i="75"/>
  <c r="L50" i="75"/>
  <c r="K50" i="75"/>
  <c r="J50" i="75"/>
  <c r="Z49" i="75"/>
  <c r="Y49" i="75"/>
  <c r="X49" i="75"/>
  <c r="X60" i="75" s="1"/>
  <c r="X69" i="75" s="1"/>
  <c r="W49" i="75"/>
  <c r="W60" i="75" s="1"/>
  <c r="W69" i="75" s="1"/>
  <c r="V49" i="75"/>
  <c r="V60" i="75" s="1"/>
  <c r="V69" i="75" s="1"/>
  <c r="U49" i="75"/>
  <c r="U60" i="75" s="1"/>
  <c r="U69" i="75" s="1"/>
  <c r="T49" i="75"/>
  <c r="T60" i="75" s="1"/>
  <c r="T69" i="75" s="1"/>
  <c r="S49" i="75"/>
  <c r="S60" i="75" s="1"/>
  <c r="S69" i="75" s="1"/>
  <c r="R49" i="75"/>
  <c r="R60" i="75" s="1"/>
  <c r="R69" i="75" s="1"/>
  <c r="Q49" i="75"/>
  <c r="Q60" i="75" s="1"/>
  <c r="Q69" i="75" s="1"/>
  <c r="P49" i="75"/>
  <c r="O49" i="75"/>
  <c r="N49" i="75"/>
  <c r="N60" i="75" s="1"/>
  <c r="N69" i="75" s="1"/>
  <c r="M49" i="75"/>
  <c r="M60" i="75" s="1"/>
  <c r="M69" i="75" s="1"/>
  <c r="L49" i="75"/>
  <c r="L60" i="75" s="1"/>
  <c r="L69" i="75" s="1"/>
  <c r="K49" i="75"/>
  <c r="K60" i="75" s="1"/>
  <c r="K69" i="75" s="1"/>
  <c r="J49" i="75"/>
  <c r="J60" i="75" s="1"/>
  <c r="J69" i="75" s="1"/>
  <c r="V48" i="75"/>
  <c r="V61" i="75" s="1"/>
  <c r="V70" i="75" s="1"/>
  <c r="T48" i="75"/>
  <c r="T61" i="75" s="1"/>
  <c r="T70" i="75" s="1"/>
  <c r="S48" i="75"/>
  <c r="S61" i="75" s="1"/>
  <c r="S70" i="75" s="1"/>
  <c r="R48" i="75"/>
  <c r="R61" i="75" s="1"/>
  <c r="R70" i="75" s="1"/>
  <c r="Q48" i="75"/>
  <c r="Q61" i="75" s="1"/>
  <c r="Q70" i="75" s="1"/>
  <c r="P48" i="75"/>
  <c r="P61" i="75" s="1"/>
  <c r="P70" i="75" s="1"/>
  <c r="O48" i="75"/>
  <c r="O61" i="75" s="1"/>
  <c r="O70" i="75" s="1"/>
  <c r="N48" i="75"/>
  <c r="N61" i="75" s="1"/>
  <c r="N70" i="75" s="1"/>
  <c r="M48" i="75"/>
  <c r="M61" i="75" s="1"/>
  <c r="M70" i="75" s="1"/>
  <c r="Z47" i="75"/>
  <c r="Y47" i="75"/>
  <c r="X47" i="75"/>
  <c r="W47" i="75"/>
  <c r="V47" i="75"/>
  <c r="U47" i="75"/>
  <c r="U48" i="75" s="1"/>
  <c r="U61" i="75" s="1"/>
  <c r="U70" i="75" s="1"/>
  <c r="T47" i="75"/>
  <c r="S47" i="75"/>
  <c r="R47" i="75"/>
  <c r="Q47" i="75"/>
  <c r="P47" i="75"/>
  <c r="O47" i="75"/>
  <c r="N47" i="75"/>
  <c r="M47" i="75"/>
  <c r="L47" i="75"/>
  <c r="L48" i="75" s="1"/>
  <c r="L61" i="75" s="1"/>
  <c r="L70" i="75" s="1"/>
  <c r="K47" i="75"/>
  <c r="K48" i="75" s="1"/>
  <c r="K61" i="75" s="1"/>
  <c r="K70" i="75" s="1"/>
  <c r="J47" i="75"/>
  <c r="J48" i="75" s="1"/>
  <c r="J61" i="75" s="1"/>
  <c r="J70" i="75" s="1"/>
  <c r="Z46" i="75"/>
  <c r="Z48" i="75" s="1"/>
  <c r="Z61" i="75" s="1"/>
  <c r="Z70" i="75" s="1"/>
  <c r="Y46" i="75"/>
  <c r="Y48" i="75" s="1"/>
  <c r="Y61" i="75" s="1"/>
  <c r="Y70" i="75" s="1"/>
  <c r="X46" i="75"/>
  <c r="X48" i="75" s="1"/>
  <c r="X61" i="75" s="1"/>
  <c r="X70" i="75" s="1"/>
  <c r="W46" i="75"/>
  <c r="W48" i="75" s="1"/>
  <c r="W61" i="75" s="1"/>
  <c r="W70" i="75" s="1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R45" i="75"/>
  <c r="Q45" i="75"/>
  <c r="P45" i="75"/>
  <c r="Z44" i="75"/>
  <c r="Y44" i="75"/>
  <c r="X44" i="75"/>
  <c r="X45" i="75" s="1"/>
  <c r="W44" i="75"/>
  <c r="V44" i="75"/>
  <c r="U44" i="75"/>
  <c r="T44" i="75"/>
  <c r="S44" i="75"/>
  <c r="R44" i="75"/>
  <c r="Q44" i="75"/>
  <c r="P44" i="75"/>
  <c r="O44" i="75"/>
  <c r="O45" i="75" s="1"/>
  <c r="N44" i="75"/>
  <c r="N45" i="75" s="1"/>
  <c r="M44" i="75"/>
  <c r="M45" i="75" s="1"/>
  <c r="L44" i="75"/>
  <c r="L45" i="75" s="1"/>
  <c r="K44" i="75"/>
  <c r="K45" i="75" s="1"/>
  <c r="J44" i="75"/>
  <c r="J45" i="75" s="1"/>
  <c r="Z43" i="75"/>
  <c r="Z45" i="75" s="1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Z42" i="75"/>
  <c r="Y42" i="75"/>
  <c r="Y45" i="75" s="1"/>
  <c r="X42" i="75"/>
  <c r="W42" i="75"/>
  <c r="W45" i="75" s="1"/>
  <c r="V42" i="75"/>
  <c r="V45" i="75" s="1"/>
  <c r="U42" i="75"/>
  <c r="U45" i="75" s="1"/>
  <c r="T42" i="75"/>
  <c r="T45" i="75" s="1"/>
  <c r="S42" i="75"/>
  <c r="S45" i="75" s="1"/>
  <c r="R42" i="75"/>
  <c r="Q42" i="75"/>
  <c r="P42" i="75"/>
  <c r="O42" i="75"/>
  <c r="N42" i="75"/>
  <c r="M42" i="75"/>
  <c r="L42" i="75"/>
  <c r="K42" i="75"/>
  <c r="J42" i="75"/>
  <c r="N41" i="75"/>
  <c r="M41" i="75"/>
  <c r="L41" i="75"/>
  <c r="Z40" i="75"/>
  <c r="Z41" i="75" s="1"/>
  <c r="Y40" i="75"/>
  <c r="X40" i="75"/>
  <c r="W40" i="75"/>
  <c r="V40" i="75"/>
  <c r="U40" i="75"/>
  <c r="T40" i="75"/>
  <c r="T41" i="75" s="1"/>
  <c r="S40" i="75"/>
  <c r="R40" i="75"/>
  <c r="Q40" i="75"/>
  <c r="P40" i="75"/>
  <c r="O40" i="75"/>
  <c r="N40" i="75"/>
  <c r="M40" i="75"/>
  <c r="L40" i="75"/>
  <c r="K40" i="75"/>
  <c r="K41" i="75" s="1"/>
  <c r="J40" i="75"/>
  <c r="J41" i="75" s="1"/>
  <c r="Z39" i="75"/>
  <c r="Y39" i="75"/>
  <c r="Y41" i="75" s="1"/>
  <c r="X39" i="75"/>
  <c r="X41" i="75" s="1"/>
  <c r="W39" i="75"/>
  <c r="W41" i="75" s="1"/>
  <c r="V39" i="75"/>
  <c r="V41" i="75" s="1"/>
  <c r="U39" i="75"/>
  <c r="T39" i="75"/>
  <c r="S39" i="75"/>
  <c r="R39" i="75"/>
  <c r="Q39" i="75"/>
  <c r="P39" i="75"/>
  <c r="O39" i="75"/>
  <c r="N39" i="75"/>
  <c r="M39" i="75"/>
  <c r="L39" i="75"/>
  <c r="K39" i="75"/>
  <c r="J39" i="75"/>
  <c r="Z38" i="75"/>
  <c r="Y38" i="75"/>
  <c r="X38" i="75"/>
  <c r="W38" i="75"/>
  <c r="V38" i="75"/>
  <c r="U38" i="75"/>
  <c r="U41" i="75" s="1"/>
  <c r="T38" i="75"/>
  <c r="S38" i="75"/>
  <c r="S41" i="75" s="1"/>
  <c r="R38" i="75"/>
  <c r="R41" i="75" s="1"/>
  <c r="Q38" i="75"/>
  <c r="Q41" i="75" s="1"/>
  <c r="P38" i="75"/>
  <c r="P41" i="75" s="1"/>
  <c r="O38" i="75"/>
  <c r="O41" i="75" s="1"/>
  <c r="N38" i="75"/>
  <c r="M38" i="75"/>
  <c r="L38" i="75"/>
  <c r="K38" i="75"/>
  <c r="J38" i="75"/>
  <c r="J37" i="75"/>
  <c r="Z36" i="75"/>
  <c r="Z37" i="75" s="1"/>
  <c r="Y36" i="75"/>
  <c r="Y37" i="75" s="1"/>
  <c r="X36" i="75"/>
  <c r="W36" i="75"/>
  <c r="V36" i="75"/>
  <c r="V37" i="75" s="1"/>
  <c r="U36" i="75"/>
  <c r="U37" i="75" s="1"/>
  <c r="T36" i="75"/>
  <c r="S36" i="75"/>
  <c r="R36" i="75"/>
  <c r="Q36" i="75"/>
  <c r="P36" i="75"/>
  <c r="P37" i="75" s="1"/>
  <c r="O36" i="75"/>
  <c r="N36" i="75"/>
  <c r="M36" i="75"/>
  <c r="M37" i="75" s="1"/>
  <c r="L36" i="75"/>
  <c r="K36" i="75"/>
  <c r="J36" i="75"/>
  <c r="Z35" i="75"/>
  <c r="Y35" i="75"/>
  <c r="X35" i="75"/>
  <c r="X37" i="75" s="1"/>
  <c r="W35" i="75"/>
  <c r="W37" i="75" s="1"/>
  <c r="V35" i="75"/>
  <c r="U35" i="75"/>
  <c r="T35" i="75"/>
  <c r="T37" i="75" s="1"/>
  <c r="S35" i="75"/>
  <c r="S37" i="75" s="1"/>
  <c r="R35" i="75"/>
  <c r="R37" i="75" s="1"/>
  <c r="Q35" i="75"/>
  <c r="P35" i="75"/>
  <c r="O35" i="75"/>
  <c r="N35" i="75"/>
  <c r="M35" i="75"/>
  <c r="L35" i="75"/>
  <c r="K35" i="75"/>
  <c r="J35" i="75"/>
  <c r="Z34" i="75"/>
  <c r="Y34" i="75"/>
  <c r="X34" i="75"/>
  <c r="W34" i="75"/>
  <c r="V34" i="75"/>
  <c r="U34" i="75"/>
  <c r="T34" i="75"/>
  <c r="S34" i="75"/>
  <c r="R34" i="75"/>
  <c r="Q34" i="75"/>
  <c r="Q37" i="75" s="1"/>
  <c r="P34" i="75"/>
  <c r="O34" i="75"/>
  <c r="O37" i="75" s="1"/>
  <c r="N34" i="75"/>
  <c r="N37" i="75" s="1"/>
  <c r="M34" i="75"/>
  <c r="L34" i="75"/>
  <c r="L37" i="75" s="1"/>
  <c r="J34" i="75"/>
  <c r="Z32" i="75"/>
  <c r="Z33" i="75" s="1"/>
  <c r="Y32" i="75"/>
  <c r="Y33" i="75" s="1"/>
  <c r="X32" i="75"/>
  <c r="X33" i="75" s="1"/>
  <c r="W32" i="75"/>
  <c r="W33" i="75" s="1"/>
  <c r="V32" i="75"/>
  <c r="V33" i="75" s="1"/>
  <c r="U32" i="75"/>
  <c r="U33" i="75" s="1"/>
  <c r="T32" i="75"/>
  <c r="S32" i="75"/>
  <c r="R32" i="75"/>
  <c r="R33" i="75" s="1"/>
  <c r="Q32" i="75"/>
  <c r="Q33" i="75" s="1"/>
  <c r="P32" i="75"/>
  <c r="O32" i="75"/>
  <c r="N32" i="75"/>
  <c r="M32" i="75"/>
  <c r="L32" i="75"/>
  <c r="L33" i="75" s="1"/>
  <c r="K32" i="75"/>
  <c r="J32" i="75"/>
  <c r="Z31" i="75"/>
  <c r="Y31" i="75"/>
  <c r="X31" i="75"/>
  <c r="W31" i="75"/>
  <c r="V31" i="75"/>
  <c r="U31" i="75"/>
  <c r="T31" i="75"/>
  <c r="T33" i="75" s="1"/>
  <c r="S31" i="75"/>
  <c r="S33" i="75" s="1"/>
  <c r="R31" i="75"/>
  <c r="Q31" i="75"/>
  <c r="P31" i="75"/>
  <c r="P33" i="75" s="1"/>
  <c r="O31" i="75"/>
  <c r="O33" i="75" s="1"/>
  <c r="N31" i="75"/>
  <c r="N33" i="75" s="1"/>
  <c r="M31" i="75"/>
  <c r="L31" i="75"/>
  <c r="K31" i="75"/>
  <c r="J31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M33" i="75" s="1"/>
  <c r="L30" i="75"/>
  <c r="K30" i="75"/>
  <c r="K33" i="75" s="1"/>
  <c r="J30" i="75"/>
  <c r="J33" i="75" s="1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L27" i="75"/>
  <c r="K27" i="75"/>
  <c r="J27" i="75"/>
  <c r="Z26" i="75"/>
  <c r="Y26" i="75"/>
  <c r="X26" i="75"/>
  <c r="X27" i="75" s="1"/>
  <c r="W26" i="75"/>
  <c r="W27" i="75" s="1"/>
  <c r="V26" i="75"/>
  <c r="U26" i="75"/>
  <c r="T26" i="75"/>
  <c r="S26" i="75"/>
  <c r="R26" i="75"/>
  <c r="R27" i="75" s="1"/>
  <c r="Q26" i="75"/>
  <c r="P26" i="75"/>
  <c r="O26" i="75"/>
  <c r="O27" i="75" s="1"/>
  <c r="N26" i="75"/>
  <c r="M26" i="75"/>
  <c r="L26" i="75"/>
  <c r="K26" i="75"/>
  <c r="J26" i="75"/>
  <c r="Z25" i="75"/>
  <c r="Z27" i="75" s="1"/>
  <c r="Y25" i="75"/>
  <c r="Y27" i="75" s="1"/>
  <c r="X25" i="75"/>
  <c r="W25" i="75"/>
  <c r="V25" i="75"/>
  <c r="V27" i="75" s="1"/>
  <c r="U25" i="75"/>
  <c r="U27" i="75" s="1"/>
  <c r="T25" i="75"/>
  <c r="T27" i="75" s="1"/>
  <c r="S25" i="75"/>
  <c r="R25" i="75"/>
  <c r="Q25" i="75"/>
  <c r="Q27" i="75" s="1"/>
  <c r="P25" i="75"/>
  <c r="O25" i="75"/>
  <c r="N25" i="75"/>
  <c r="M25" i="75"/>
  <c r="L25" i="75"/>
  <c r="K25" i="75"/>
  <c r="J25" i="75"/>
  <c r="Z24" i="75"/>
  <c r="Y24" i="75"/>
  <c r="X24" i="75"/>
  <c r="W24" i="75"/>
  <c r="V24" i="75"/>
  <c r="U24" i="75"/>
  <c r="T24" i="75"/>
  <c r="S24" i="75"/>
  <c r="S27" i="75" s="1"/>
  <c r="R24" i="75"/>
  <c r="Q24" i="75"/>
  <c r="P24" i="75"/>
  <c r="P27" i="75" s="1"/>
  <c r="O24" i="75"/>
  <c r="N24" i="75"/>
  <c r="N27" i="75" s="1"/>
  <c r="M24" i="75"/>
  <c r="M27" i="75" s="1"/>
  <c r="L24" i="75"/>
  <c r="K24" i="75"/>
  <c r="J24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Z22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Z18" i="75"/>
  <c r="Y18" i="75"/>
  <c r="X18" i="75"/>
  <c r="X20" i="75" s="1"/>
  <c r="W18" i="75"/>
  <c r="V18" i="75"/>
  <c r="U18" i="75"/>
  <c r="T18" i="75"/>
  <c r="S18" i="75"/>
  <c r="R18" i="75"/>
  <c r="Q18" i="75"/>
  <c r="P18" i="75"/>
  <c r="O18" i="75"/>
  <c r="N18" i="75"/>
  <c r="M18" i="75"/>
  <c r="L18" i="75"/>
  <c r="K18" i="75"/>
  <c r="J18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X15" i="75"/>
  <c r="X19" i="75" s="1"/>
  <c r="W15" i="75"/>
  <c r="W19" i="75" s="1"/>
  <c r="V15" i="75"/>
  <c r="V19" i="75" s="1"/>
  <c r="Z14" i="75"/>
  <c r="Y14" i="75"/>
  <c r="Y15" i="75" s="1"/>
  <c r="X14" i="75"/>
  <c r="W14" i="75"/>
  <c r="V14" i="75"/>
  <c r="U14" i="75"/>
  <c r="U15" i="75" s="1"/>
  <c r="T14" i="75"/>
  <c r="T15" i="75" s="1"/>
  <c r="S14" i="75"/>
  <c r="S15" i="75" s="1"/>
  <c r="R14" i="75"/>
  <c r="R15" i="75" s="1"/>
  <c r="Q14" i="75"/>
  <c r="Q15" i="75" s="1"/>
  <c r="P14" i="75"/>
  <c r="P15" i="75" s="1"/>
  <c r="O14" i="75"/>
  <c r="O15" i="75" s="1"/>
  <c r="N14" i="75"/>
  <c r="M14" i="75"/>
  <c r="L14" i="75"/>
  <c r="L15" i="75" s="1"/>
  <c r="K14" i="75"/>
  <c r="K15" i="75" s="1"/>
  <c r="J14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N15" i="75" s="1"/>
  <c r="M13" i="75"/>
  <c r="M15" i="75" s="1"/>
  <c r="L13" i="75"/>
  <c r="K13" i="75"/>
  <c r="J13" i="75"/>
  <c r="J15" i="75" s="1"/>
  <c r="Z12" i="75"/>
  <c r="Z15" i="75" s="1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Z7" i="75"/>
  <c r="Y7" i="75"/>
  <c r="X7" i="75"/>
  <c r="W7" i="75"/>
  <c r="V7" i="75"/>
  <c r="U7" i="75"/>
  <c r="T7" i="75"/>
  <c r="S7" i="75"/>
  <c r="R7" i="75"/>
  <c r="Q7" i="75"/>
  <c r="P7" i="75"/>
  <c r="O7" i="75"/>
  <c r="N7" i="75"/>
  <c r="M7" i="75"/>
  <c r="L7" i="75"/>
  <c r="K7" i="75"/>
  <c r="J7" i="75"/>
  <c r="V6" i="75"/>
  <c r="T10" i="37" s="1"/>
  <c r="T11" i="37" s="1"/>
  <c r="Q6" i="75"/>
  <c r="P6" i="75"/>
  <c r="N10" i="37" s="1"/>
  <c r="N11" i="37" s="1"/>
  <c r="N6" i="75"/>
  <c r="Z5" i="75"/>
  <c r="Y5" i="75"/>
  <c r="X5" i="75"/>
  <c r="Q5" i="75"/>
  <c r="P5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Z2" i="75"/>
  <c r="Z6" i="75" s="1"/>
  <c r="X41" i="37" s="1"/>
  <c r="Y2" i="75"/>
  <c r="Y6" i="75" s="1"/>
  <c r="W41" i="37" s="1"/>
  <c r="X2" i="75"/>
  <c r="X6" i="75" s="1"/>
  <c r="V41" i="37" s="1"/>
  <c r="V42" i="37" s="1"/>
  <c r="V43" i="37" s="1"/>
  <c r="W2" i="75"/>
  <c r="W6" i="75" s="1"/>
  <c r="V2" i="75"/>
  <c r="V5" i="75" s="1"/>
  <c r="U2" i="75"/>
  <c r="U6" i="75" s="1"/>
  <c r="T2" i="75"/>
  <c r="T5" i="75" s="1"/>
  <c r="S2" i="75"/>
  <c r="S5" i="75" s="1"/>
  <c r="R2" i="75"/>
  <c r="Q2" i="75"/>
  <c r="P2" i="75"/>
  <c r="O2" i="75"/>
  <c r="N2" i="75"/>
  <c r="N5" i="75" s="1"/>
  <c r="M2" i="75"/>
  <c r="M5" i="75" s="1"/>
  <c r="L2" i="75"/>
  <c r="K2" i="75"/>
  <c r="J2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X240" i="54"/>
  <c r="X251" i="54" s="1"/>
  <c r="W240" i="54"/>
  <c r="W251" i="54" s="1"/>
  <c r="V240" i="54"/>
  <c r="V251" i="54" s="1"/>
  <c r="U240" i="54"/>
  <c r="U251" i="54" s="1"/>
  <c r="T240" i="54"/>
  <c r="T251" i="54" s="1"/>
  <c r="S240" i="54"/>
  <c r="S251" i="54" s="1"/>
  <c r="R240" i="54"/>
  <c r="R251" i="54" s="1"/>
  <c r="Q240" i="54"/>
  <c r="Q251" i="54" s="1"/>
  <c r="P240" i="54"/>
  <c r="P251" i="54" s="1"/>
  <c r="O240" i="54"/>
  <c r="O251" i="54" s="1"/>
  <c r="N240" i="54"/>
  <c r="N251" i="54" s="1"/>
  <c r="M240" i="54"/>
  <c r="M251" i="54" s="1"/>
  <c r="L240" i="54"/>
  <c r="L251" i="54" s="1"/>
  <c r="K240" i="54"/>
  <c r="K251" i="54" s="1"/>
  <c r="J240" i="54"/>
  <c r="J251" i="54" s="1"/>
  <c r="I240" i="54"/>
  <c r="I251" i="54" s="1"/>
  <c r="H240" i="54"/>
  <c r="H251" i="54" s="1"/>
  <c r="X236" i="54"/>
  <c r="W236" i="54"/>
  <c r="V236" i="54"/>
  <c r="U236" i="54"/>
  <c r="T236" i="54"/>
  <c r="S236" i="54"/>
  <c r="R236" i="54"/>
  <c r="Q236" i="54"/>
  <c r="P236" i="54"/>
  <c r="O236" i="54"/>
  <c r="N236" i="54"/>
  <c r="M236" i="54"/>
  <c r="L236" i="54"/>
  <c r="K236" i="54"/>
  <c r="J236" i="54"/>
  <c r="I236" i="54"/>
  <c r="H236" i="54"/>
  <c r="X228" i="54"/>
  <c r="W228" i="54"/>
  <c r="V228" i="54"/>
  <c r="U228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X227" i="54"/>
  <c r="W227" i="54"/>
  <c r="V227" i="54"/>
  <c r="U227" i="54"/>
  <c r="T227" i="54"/>
  <c r="S227" i="54"/>
  <c r="R227" i="54"/>
  <c r="Q227" i="54"/>
  <c r="P227" i="54"/>
  <c r="O227" i="54"/>
  <c r="N227" i="54"/>
  <c r="M227" i="54"/>
  <c r="L227" i="54"/>
  <c r="K227" i="54"/>
  <c r="J227" i="54"/>
  <c r="I227" i="54"/>
  <c r="H227" i="54"/>
  <c r="X226" i="54"/>
  <c r="W226" i="54"/>
  <c r="V226" i="54"/>
  <c r="U226" i="54"/>
  <c r="T226" i="54"/>
  <c r="S226" i="54"/>
  <c r="R226" i="54"/>
  <c r="Q226" i="54"/>
  <c r="P226" i="54"/>
  <c r="O226" i="54"/>
  <c r="N226" i="54"/>
  <c r="M226" i="54"/>
  <c r="L226" i="54"/>
  <c r="K226" i="54"/>
  <c r="J226" i="54"/>
  <c r="I226" i="54"/>
  <c r="H226" i="54"/>
  <c r="X225" i="54"/>
  <c r="W225" i="54"/>
  <c r="V225" i="54"/>
  <c r="U225" i="54"/>
  <c r="T225" i="54"/>
  <c r="S225" i="54"/>
  <c r="R225" i="54"/>
  <c r="Q225" i="54"/>
  <c r="P225" i="54"/>
  <c r="O225" i="54"/>
  <c r="N225" i="54"/>
  <c r="M225" i="54"/>
  <c r="L225" i="54"/>
  <c r="K225" i="54"/>
  <c r="J225" i="54"/>
  <c r="I225" i="54"/>
  <c r="H225" i="54"/>
  <c r="X224" i="54"/>
  <c r="W224" i="54"/>
  <c r="V224" i="54"/>
  <c r="U224" i="54"/>
  <c r="T224" i="54"/>
  <c r="S224" i="54"/>
  <c r="R224" i="54"/>
  <c r="Q224" i="54"/>
  <c r="P224" i="54"/>
  <c r="O224" i="54"/>
  <c r="N224" i="54"/>
  <c r="M224" i="54"/>
  <c r="L224" i="54"/>
  <c r="K224" i="54"/>
  <c r="J224" i="54"/>
  <c r="I224" i="54"/>
  <c r="H224" i="54"/>
  <c r="X223" i="54"/>
  <c r="W223" i="54"/>
  <c r="V223" i="54"/>
  <c r="U223" i="54"/>
  <c r="T223" i="54"/>
  <c r="S223" i="54"/>
  <c r="R223" i="54"/>
  <c r="Q223" i="54"/>
  <c r="P223" i="54"/>
  <c r="O223" i="54"/>
  <c r="N223" i="54"/>
  <c r="M223" i="54"/>
  <c r="L223" i="54"/>
  <c r="K223" i="54"/>
  <c r="J223" i="54"/>
  <c r="I223" i="54"/>
  <c r="H223" i="54"/>
  <c r="X221" i="54"/>
  <c r="W221" i="54"/>
  <c r="V221" i="54"/>
  <c r="U221" i="54"/>
  <c r="T221" i="54"/>
  <c r="S221" i="54"/>
  <c r="R221" i="54"/>
  <c r="Q221" i="54"/>
  <c r="P221" i="54"/>
  <c r="O221" i="54"/>
  <c r="N221" i="54"/>
  <c r="M221" i="54"/>
  <c r="L221" i="54"/>
  <c r="K221" i="54"/>
  <c r="J221" i="54"/>
  <c r="I221" i="54"/>
  <c r="H221" i="54"/>
  <c r="X220" i="54"/>
  <c r="W220" i="54"/>
  <c r="V220" i="54"/>
  <c r="T220" i="54"/>
  <c r="S220" i="54"/>
  <c r="R220" i="54"/>
  <c r="Q220" i="54"/>
  <c r="P220" i="54"/>
  <c r="N220" i="54"/>
  <c r="M220" i="54"/>
  <c r="L220" i="54"/>
  <c r="K220" i="54"/>
  <c r="J220" i="54"/>
  <c r="H220" i="54"/>
  <c r="X219" i="54"/>
  <c r="M219" i="54"/>
  <c r="L219" i="54"/>
  <c r="I219" i="54"/>
  <c r="H219" i="54"/>
  <c r="X218" i="54"/>
  <c r="W218" i="54"/>
  <c r="V218" i="54"/>
  <c r="U218" i="54"/>
  <c r="T218" i="54"/>
  <c r="S218" i="54"/>
  <c r="R218" i="54"/>
  <c r="Q218" i="54"/>
  <c r="P218" i="54"/>
  <c r="O218" i="54"/>
  <c r="N218" i="54"/>
  <c r="M218" i="54"/>
  <c r="L218" i="54"/>
  <c r="K218" i="54"/>
  <c r="J218" i="54"/>
  <c r="I218" i="54"/>
  <c r="H218" i="54"/>
  <c r="X217" i="54"/>
  <c r="W217" i="54"/>
  <c r="V217" i="54"/>
  <c r="U217" i="54"/>
  <c r="T217" i="54"/>
  <c r="S217" i="54"/>
  <c r="R217" i="54"/>
  <c r="Q217" i="54"/>
  <c r="P217" i="54"/>
  <c r="O217" i="54"/>
  <c r="N217" i="54"/>
  <c r="M217" i="54"/>
  <c r="L217" i="54"/>
  <c r="K217" i="54"/>
  <c r="J217" i="54"/>
  <c r="I217" i="54"/>
  <c r="H217" i="54"/>
  <c r="X216" i="54"/>
  <c r="W216" i="54"/>
  <c r="V216" i="54"/>
  <c r="T216" i="54"/>
  <c r="S216" i="54"/>
  <c r="R216" i="54"/>
  <c r="Q216" i="54"/>
  <c r="P216" i="54"/>
  <c r="N216" i="54"/>
  <c r="M216" i="54"/>
  <c r="L216" i="54"/>
  <c r="K216" i="54"/>
  <c r="J216" i="54"/>
  <c r="H216" i="54"/>
  <c r="X215" i="54"/>
  <c r="M215" i="54"/>
  <c r="L215" i="54"/>
  <c r="I215" i="54"/>
  <c r="H215" i="54"/>
  <c r="X214" i="54"/>
  <c r="W214" i="54"/>
  <c r="V214" i="54"/>
  <c r="U214" i="54"/>
  <c r="T214" i="54"/>
  <c r="S214" i="54"/>
  <c r="R214" i="54"/>
  <c r="Q214" i="54"/>
  <c r="P214" i="54"/>
  <c r="O214" i="54"/>
  <c r="N214" i="54"/>
  <c r="M214" i="54"/>
  <c r="L214" i="54"/>
  <c r="K214" i="54"/>
  <c r="J214" i="54"/>
  <c r="I214" i="54"/>
  <c r="H214" i="54"/>
  <c r="X213" i="54"/>
  <c r="W213" i="54"/>
  <c r="V213" i="54"/>
  <c r="U213" i="54"/>
  <c r="T213" i="54"/>
  <c r="S213" i="54"/>
  <c r="R213" i="54"/>
  <c r="Q213" i="54"/>
  <c r="P213" i="54"/>
  <c r="O213" i="54"/>
  <c r="N213" i="54"/>
  <c r="M213" i="54"/>
  <c r="L213" i="54"/>
  <c r="K213" i="54"/>
  <c r="J213" i="54"/>
  <c r="I213" i="54"/>
  <c r="H213" i="54"/>
  <c r="X212" i="54"/>
  <c r="W212" i="54"/>
  <c r="V212" i="54"/>
  <c r="U212" i="54"/>
  <c r="T212" i="54"/>
  <c r="S212" i="54"/>
  <c r="R212" i="54"/>
  <c r="Q212" i="54"/>
  <c r="P212" i="54"/>
  <c r="O212" i="54"/>
  <c r="N212" i="54"/>
  <c r="M212" i="54"/>
  <c r="L212" i="54"/>
  <c r="K212" i="54"/>
  <c r="J212" i="54"/>
  <c r="I212" i="54"/>
  <c r="H212" i="54"/>
  <c r="X211" i="54"/>
  <c r="W211" i="54"/>
  <c r="V211" i="54"/>
  <c r="U211" i="54"/>
  <c r="T211" i="54"/>
  <c r="S211" i="54"/>
  <c r="R211" i="54"/>
  <c r="Q211" i="54"/>
  <c r="P211" i="54"/>
  <c r="O211" i="54"/>
  <c r="N211" i="54"/>
  <c r="M211" i="54"/>
  <c r="L211" i="54"/>
  <c r="K211" i="54"/>
  <c r="J211" i="54"/>
  <c r="I211" i="54"/>
  <c r="H211" i="54"/>
  <c r="X197" i="54"/>
  <c r="W197" i="54"/>
  <c r="V197" i="54"/>
  <c r="U197" i="54"/>
  <c r="T197" i="54"/>
  <c r="S197" i="54"/>
  <c r="R197" i="54"/>
  <c r="Q197" i="54"/>
  <c r="P197" i="54"/>
  <c r="O197" i="54"/>
  <c r="N197" i="54"/>
  <c r="M197" i="54"/>
  <c r="L197" i="54"/>
  <c r="K197" i="54"/>
  <c r="J197" i="54"/>
  <c r="I197" i="54"/>
  <c r="H197" i="54"/>
  <c r="X192" i="54"/>
  <c r="W192" i="54"/>
  <c r="V192" i="54"/>
  <c r="U192" i="54"/>
  <c r="T192" i="54"/>
  <c r="S192" i="54"/>
  <c r="R192" i="54"/>
  <c r="Q192" i="54"/>
  <c r="P192" i="54"/>
  <c r="O192" i="54"/>
  <c r="N192" i="54"/>
  <c r="M192" i="54"/>
  <c r="L192" i="54"/>
  <c r="K192" i="54"/>
  <c r="J192" i="54"/>
  <c r="I192" i="54"/>
  <c r="H192" i="54"/>
  <c r="P179" i="54"/>
  <c r="X178" i="54"/>
  <c r="W178" i="54"/>
  <c r="V178" i="54"/>
  <c r="U178" i="54"/>
  <c r="S178" i="54"/>
  <c r="R178" i="54"/>
  <c r="X174" i="54"/>
  <c r="X175" i="54" s="1"/>
  <c r="X176" i="54" s="1"/>
  <c r="X238" i="54" s="1"/>
  <c r="X249" i="54" s="1"/>
  <c r="W174" i="54"/>
  <c r="W175" i="54" s="1"/>
  <c r="W176" i="54" s="1"/>
  <c r="W238" i="54" s="1"/>
  <c r="W249" i="54" s="1"/>
  <c r="V174" i="54"/>
  <c r="V175" i="54" s="1"/>
  <c r="V176" i="54" s="1"/>
  <c r="V238" i="54" s="1"/>
  <c r="V249" i="54" s="1"/>
  <c r="U174" i="54"/>
  <c r="U175" i="54" s="1"/>
  <c r="U176" i="54" s="1"/>
  <c r="U238" i="54" s="1"/>
  <c r="U249" i="54" s="1"/>
  <c r="T174" i="54"/>
  <c r="T175" i="54" s="1"/>
  <c r="T176" i="54" s="1"/>
  <c r="T238" i="54" s="1"/>
  <c r="T249" i="54" s="1"/>
  <c r="S174" i="54"/>
  <c r="S175" i="54" s="1"/>
  <c r="S176" i="54" s="1"/>
  <c r="S238" i="54" s="1"/>
  <c r="S249" i="54" s="1"/>
  <c r="R174" i="54"/>
  <c r="R175" i="54" s="1"/>
  <c r="R176" i="54" s="1"/>
  <c r="R238" i="54" s="1"/>
  <c r="R249" i="54" s="1"/>
  <c r="Q174" i="54"/>
  <c r="Q175" i="54" s="1"/>
  <c r="Q176" i="54" s="1"/>
  <c r="Q238" i="54" s="1"/>
  <c r="Q249" i="54" s="1"/>
  <c r="P174" i="54"/>
  <c r="P175" i="54" s="1"/>
  <c r="P176" i="54" s="1"/>
  <c r="P238" i="54" s="1"/>
  <c r="P249" i="54" s="1"/>
  <c r="O174" i="54"/>
  <c r="O175" i="54" s="1"/>
  <c r="O176" i="54" s="1"/>
  <c r="O238" i="54" s="1"/>
  <c r="O249" i="54" s="1"/>
  <c r="N174" i="54"/>
  <c r="N175" i="54" s="1"/>
  <c r="N176" i="54" s="1"/>
  <c r="N238" i="54" s="1"/>
  <c r="N249" i="54" s="1"/>
  <c r="M174" i="54"/>
  <c r="M175" i="54" s="1"/>
  <c r="M176" i="54" s="1"/>
  <c r="M238" i="54" s="1"/>
  <c r="M249" i="54" s="1"/>
  <c r="L174" i="54"/>
  <c r="L175" i="54" s="1"/>
  <c r="L176" i="54" s="1"/>
  <c r="L238" i="54" s="1"/>
  <c r="L249" i="54" s="1"/>
  <c r="K174" i="54"/>
  <c r="K175" i="54" s="1"/>
  <c r="K176" i="54" s="1"/>
  <c r="K238" i="54" s="1"/>
  <c r="K249" i="54" s="1"/>
  <c r="J174" i="54"/>
  <c r="J175" i="54" s="1"/>
  <c r="J176" i="54" s="1"/>
  <c r="J238" i="54" s="1"/>
  <c r="J249" i="54" s="1"/>
  <c r="I174" i="54"/>
  <c r="I175" i="54" s="1"/>
  <c r="I176" i="54" s="1"/>
  <c r="I238" i="54" s="1"/>
  <c r="I249" i="54" s="1"/>
  <c r="H174" i="54"/>
  <c r="H175" i="54" s="1"/>
  <c r="H176" i="54" s="1"/>
  <c r="H238" i="54" s="1"/>
  <c r="H249" i="54" s="1"/>
  <c r="X165" i="54"/>
  <c r="X169" i="54" s="1"/>
  <c r="W165" i="54"/>
  <c r="W169" i="54" s="1"/>
  <c r="V165" i="54"/>
  <c r="V169" i="54" s="1"/>
  <c r="U165" i="54"/>
  <c r="U169" i="54" s="1"/>
  <c r="T165" i="54"/>
  <c r="T169" i="54" s="1"/>
  <c r="S165" i="54"/>
  <c r="R165" i="54"/>
  <c r="R169" i="54" s="1"/>
  <c r="Q165" i="54"/>
  <c r="Q169" i="54" s="1"/>
  <c r="P165" i="54"/>
  <c r="O165" i="54"/>
  <c r="O169" i="54" s="1"/>
  <c r="N165" i="54"/>
  <c r="N169" i="54" s="1"/>
  <c r="M165" i="54"/>
  <c r="M166" i="54" s="1"/>
  <c r="L165" i="54"/>
  <c r="L166" i="54" s="1"/>
  <c r="K165" i="54"/>
  <c r="K166" i="54" s="1"/>
  <c r="J165" i="54"/>
  <c r="J166" i="54" s="1"/>
  <c r="I165" i="54"/>
  <c r="I166" i="54" s="1"/>
  <c r="H165" i="54"/>
  <c r="H166" i="54" s="1"/>
  <c r="P152" i="54"/>
  <c r="O152" i="54"/>
  <c r="N152" i="54"/>
  <c r="M152" i="54"/>
  <c r="L152" i="54"/>
  <c r="X151" i="54"/>
  <c r="W151" i="54"/>
  <c r="V151" i="54"/>
  <c r="U151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X147" i="54"/>
  <c r="W147" i="54"/>
  <c r="V147" i="54"/>
  <c r="U147" i="54"/>
  <c r="T147" i="54"/>
  <c r="S147" i="54"/>
  <c r="R147" i="54"/>
  <c r="Q147" i="54"/>
  <c r="P147" i="54"/>
  <c r="O147" i="54"/>
  <c r="N147" i="54"/>
  <c r="M147" i="54"/>
  <c r="L147" i="54"/>
  <c r="K147" i="54"/>
  <c r="J147" i="54"/>
  <c r="I147" i="54"/>
  <c r="H147" i="54"/>
  <c r="X146" i="54"/>
  <c r="W146" i="54"/>
  <c r="V146" i="54"/>
  <c r="U146" i="54"/>
  <c r="T146" i="54"/>
  <c r="S146" i="54"/>
  <c r="R146" i="54"/>
  <c r="Q146" i="54"/>
  <c r="P146" i="54"/>
  <c r="O146" i="54"/>
  <c r="N146" i="54"/>
  <c r="M146" i="54"/>
  <c r="L146" i="54"/>
  <c r="K146" i="54"/>
  <c r="J146" i="54"/>
  <c r="I146" i="54"/>
  <c r="H146" i="54"/>
  <c r="X179" i="54"/>
  <c r="W179" i="54"/>
  <c r="V179" i="54"/>
  <c r="U179" i="54"/>
  <c r="T179" i="54"/>
  <c r="S179" i="54"/>
  <c r="R179" i="54"/>
  <c r="Q179" i="54"/>
  <c r="O179" i="54"/>
  <c r="N179" i="54"/>
  <c r="M179" i="54"/>
  <c r="L179" i="54"/>
  <c r="K152" i="54"/>
  <c r="J152" i="54"/>
  <c r="I179" i="54"/>
  <c r="H152" i="54"/>
  <c r="X141" i="54"/>
  <c r="W141" i="54"/>
  <c r="V141" i="54"/>
  <c r="U141" i="54"/>
  <c r="T141" i="54"/>
  <c r="S141" i="54"/>
  <c r="R141" i="54"/>
  <c r="Q141" i="54"/>
  <c r="P141" i="54"/>
  <c r="O141" i="54"/>
  <c r="N141" i="54"/>
  <c r="M141" i="54"/>
  <c r="L141" i="54"/>
  <c r="K141" i="54"/>
  <c r="J141" i="54"/>
  <c r="I141" i="54"/>
  <c r="H141" i="54"/>
  <c r="X140" i="54"/>
  <c r="X150" i="54" s="1"/>
  <c r="W140" i="54"/>
  <c r="W150" i="54" s="1"/>
  <c r="V140" i="54"/>
  <c r="V150" i="54" s="1"/>
  <c r="U140" i="54"/>
  <c r="U150" i="54" s="1"/>
  <c r="T140" i="54"/>
  <c r="T150" i="54" s="1"/>
  <c r="S140" i="54"/>
  <c r="S167" i="54" s="1"/>
  <c r="R140" i="54"/>
  <c r="R167" i="54" s="1"/>
  <c r="Q140" i="54"/>
  <c r="Q167" i="54" s="1"/>
  <c r="P140" i="54"/>
  <c r="P167" i="54" s="1"/>
  <c r="O140" i="54"/>
  <c r="O167" i="54" s="1"/>
  <c r="N140" i="54"/>
  <c r="N167" i="54" s="1"/>
  <c r="M140" i="54"/>
  <c r="M167" i="54" s="1"/>
  <c r="L140" i="54"/>
  <c r="L167" i="54" s="1"/>
  <c r="K140" i="54"/>
  <c r="K167" i="54" s="1"/>
  <c r="J140" i="54"/>
  <c r="J167" i="54" s="1"/>
  <c r="I140" i="54"/>
  <c r="I167" i="54" s="1"/>
  <c r="H140" i="54"/>
  <c r="H167" i="54" s="1"/>
  <c r="X139" i="54"/>
  <c r="W139" i="54"/>
  <c r="V139" i="54"/>
  <c r="U139" i="54"/>
  <c r="T139" i="54"/>
  <c r="S139" i="54"/>
  <c r="R139" i="54"/>
  <c r="Q139" i="54"/>
  <c r="P139" i="54"/>
  <c r="O139" i="54"/>
  <c r="N139" i="54"/>
  <c r="M139" i="54"/>
  <c r="L139" i="54"/>
  <c r="K139" i="54"/>
  <c r="J139" i="54"/>
  <c r="I139" i="54"/>
  <c r="H139" i="54"/>
  <c r="X131" i="54"/>
  <c r="W131" i="54"/>
  <c r="V131" i="54"/>
  <c r="U131" i="54"/>
  <c r="T131" i="54"/>
  <c r="S131" i="54"/>
  <c r="R131" i="54"/>
  <c r="Q131" i="54"/>
  <c r="P131" i="54"/>
  <c r="O131" i="54"/>
  <c r="N131" i="54"/>
  <c r="M131" i="54"/>
  <c r="L131" i="54"/>
  <c r="K131" i="54"/>
  <c r="J131" i="54"/>
  <c r="I131" i="54"/>
  <c r="H131" i="54"/>
  <c r="X126" i="54"/>
  <c r="W126" i="54"/>
  <c r="V126" i="54"/>
  <c r="U126" i="54"/>
  <c r="T126" i="54"/>
  <c r="S126" i="54"/>
  <c r="R126" i="54"/>
  <c r="Q126" i="54"/>
  <c r="P126" i="54"/>
  <c r="O126" i="54"/>
  <c r="N126" i="54"/>
  <c r="M126" i="54"/>
  <c r="L126" i="54"/>
  <c r="K126" i="54"/>
  <c r="J126" i="54"/>
  <c r="I126" i="54"/>
  <c r="H126" i="54"/>
  <c r="X125" i="54"/>
  <c r="W125" i="54"/>
  <c r="V125" i="54"/>
  <c r="U125" i="54"/>
  <c r="T125" i="54"/>
  <c r="S125" i="54"/>
  <c r="R125" i="54"/>
  <c r="Q125" i="54"/>
  <c r="P125" i="54"/>
  <c r="O125" i="54"/>
  <c r="N125" i="54"/>
  <c r="M125" i="54"/>
  <c r="L125" i="54"/>
  <c r="K125" i="54"/>
  <c r="J125" i="54"/>
  <c r="I125" i="54"/>
  <c r="H125" i="54"/>
  <c r="X124" i="54"/>
  <c r="W124" i="54"/>
  <c r="V124" i="54"/>
  <c r="U124" i="54"/>
  <c r="T124" i="54"/>
  <c r="S124" i="54"/>
  <c r="R124" i="54"/>
  <c r="Q124" i="54"/>
  <c r="P124" i="54"/>
  <c r="O124" i="54"/>
  <c r="N124" i="54"/>
  <c r="M124" i="54"/>
  <c r="L124" i="54"/>
  <c r="K124" i="54"/>
  <c r="J124" i="54"/>
  <c r="I124" i="54"/>
  <c r="H124" i="54"/>
  <c r="X123" i="54"/>
  <c r="W123" i="54"/>
  <c r="V123" i="54"/>
  <c r="U123" i="54"/>
  <c r="T123" i="54"/>
  <c r="S123" i="54"/>
  <c r="R123" i="54"/>
  <c r="Q123" i="54"/>
  <c r="P123" i="54"/>
  <c r="O123" i="54"/>
  <c r="N123" i="54"/>
  <c r="M123" i="54"/>
  <c r="L123" i="54"/>
  <c r="K123" i="54"/>
  <c r="J123" i="54"/>
  <c r="I123" i="54"/>
  <c r="H123" i="54"/>
  <c r="X122" i="54"/>
  <c r="W122" i="54"/>
  <c r="V122" i="54"/>
  <c r="U122" i="54"/>
  <c r="T122" i="54"/>
  <c r="S122" i="54"/>
  <c r="R122" i="54"/>
  <c r="Q122" i="54"/>
  <c r="P122" i="54"/>
  <c r="O122" i="54"/>
  <c r="N122" i="54"/>
  <c r="M122" i="54"/>
  <c r="L122" i="54"/>
  <c r="K122" i="54"/>
  <c r="J122" i="54"/>
  <c r="I122" i="54"/>
  <c r="H122" i="54"/>
  <c r="X119" i="54"/>
  <c r="W119" i="54"/>
  <c r="V119" i="54"/>
  <c r="U119" i="54"/>
  <c r="T119" i="54"/>
  <c r="S119" i="54"/>
  <c r="R119" i="54"/>
  <c r="Q119" i="54"/>
  <c r="P119" i="54"/>
  <c r="O119" i="54"/>
  <c r="N119" i="54"/>
  <c r="M119" i="54"/>
  <c r="L119" i="54"/>
  <c r="K119" i="54"/>
  <c r="J119" i="54"/>
  <c r="I119" i="54"/>
  <c r="H119" i="54"/>
  <c r="X118" i="54"/>
  <c r="W118" i="54"/>
  <c r="V118" i="54"/>
  <c r="U118" i="54"/>
  <c r="T118" i="54"/>
  <c r="S118" i="54"/>
  <c r="R118" i="54"/>
  <c r="Q118" i="54"/>
  <c r="P118" i="54"/>
  <c r="O118" i="54"/>
  <c r="N118" i="54"/>
  <c r="M118" i="54"/>
  <c r="L118" i="54"/>
  <c r="K118" i="54"/>
  <c r="J118" i="54"/>
  <c r="I118" i="54"/>
  <c r="H118" i="54"/>
  <c r="X117" i="54"/>
  <c r="W117" i="54"/>
  <c r="V117" i="54"/>
  <c r="U117" i="54"/>
  <c r="T117" i="54"/>
  <c r="S117" i="54"/>
  <c r="R117" i="54"/>
  <c r="Q117" i="54"/>
  <c r="P117" i="54"/>
  <c r="O117" i="54"/>
  <c r="N117" i="54"/>
  <c r="M117" i="54"/>
  <c r="L117" i="54"/>
  <c r="K117" i="54"/>
  <c r="J117" i="54"/>
  <c r="I117" i="54"/>
  <c r="H117" i="54"/>
  <c r="X116" i="54"/>
  <c r="W116" i="54"/>
  <c r="V116" i="54"/>
  <c r="U116" i="54"/>
  <c r="T116" i="54"/>
  <c r="S116" i="54"/>
  <c r="R116" i="54"/>
  <c r="Q116" i="54"/>
  <c r="P116" i="54"/>
  <c r="O116" i="54"/>
  <c r="N116" i="54"/>
  <c r="M116" i="54"/>
  <c r="L116" i="54"/>
  <c r="K116" i="54"/>
  <c r="J116" i="54"/>
  <c r="I116" i="54"/>
  <c r="H116" i="54"/>
  <c r="X112" i="54"/>
  <c r="W112" i="54"/>
  <c r="V112" i="54"/>
  <c r="U112" i="54"/>
  <c r="T112" i="54"/>
  <c r="S112" i="54"/>
  <c r="R112" i="54"/>
  <c r="Q112" i="54"/>
  <c r="P112" i="54"/>
  <c r="O112" i="54"/>
  <c r="N112" i="54"/>
  <c r="M112" i="54"/>
  <c r="L112" i="54"/>
  <c r="K112" i="54"/>
  <c r="J112" i="54"/>
  <c r="I112" i="54"/>
  <c r="H112" i="54"/>
  <c r="X111" i="54"/>
  <c r="W111" i="54"/>
  <c r="V111" i="54"/>
  <c r="U111" i="54"/>
  <c r="T111" i="54"/>
  <c r="S111" i="54"/>
  <c r="R111" i="54"/>
  <c r="Q111" i="54"/>
  <c r="P111" i="54"/>
  <c r="O111" i="54"/>
  <c r="N111" i="54"/>
  <c r="M111" i="54"/>
  <c r="L111" i="54"/>
  <c r="K111" i="54"/>
  <c r="J111" i="54"/>
  <c r="I111" i="54"/>
  <c r="H111" i="54"/>
  <c r="X110" i="54"/>
  <c r="W110" i="54"/>
  <c r="V110" i="54"/>
  <c r="U110" i="54"/>
  <c r="T110" i="54"/>
  <c r="S110" i="54"/>
  <c r="R110" i="54"/>
  <c r="Q110" i="54"/>
  <c r="P110" i="54"/>
  <c r="O110" i="54"/>
  <c r="N110" i="54"/>
  <c r="M110" i="54"/>
  <c r="L110" i="54"/>
  <c r="K110" i="54"/>
  <c r="J110" i="54"/>
  <c r="I110" i="54"/>
  <c r="H110" i="54"/>
  <c r="X109" i="54"/>
  <c r="W109" i="54"/>
  <c r="V109" i="54"/>
  <c r="U109" i="54"/>
  <c r="T109" i="54"/>
  <c r="S109" i="54"/>
  <c r="R109" i="54"/>
  <c r="Q109" i="54"/>
  <c r="P109" i="54"/>
  <c r="O109" i="54"/>
  <c r="N109" i="54"/>
  <c r="M109" i="54"/>
  <c r="L109" i="54"/>
  <c r="K109" i="54"/>
  <c r="J109" i="54"/>
  <c r="I109" i="54"/>
  <c r="H109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X101" i="54"/>
  <c r="W101" i="54"/>
  <c r="V101" i="54"/>
  <c r="U101" i="54"/>
  <c r="T101" i="54"/>
  <c r="S101" i="54"/>
  <c r="R101" i="54"/>
  <c r="Q101" i="54"/>
  <c r="P101" i="54"/>
  <c r="O101" i="54"/>
  <c r="N101" i="54"/>
  <c r="M101" i="54"/>
  <c r="L101" i="54"/>
  <c r="K101" i="54"/>
  <c r="J101" i="54"/>
  <c r="I101" i="54"/>
  <c r="H101" i="54"/>
  <c r="X98" i="54"/>
  <c r="W98" i="54"/>
  <c r="V98" i="54"/>
  <c r="U98" i="54"/>
  <c r="T98" i="54"/>
  <c r="S98" i="54"/>
  <c r="R98" i="54"/>
  <c r="Q98" i="54"/>
  <c r="P98" i="54"/>
  <c r="O98" i="54"/>
  <c r="N98" i="54"/>
  <c r="M98" i="54"/>
  <c r="L98" i="54"/>
  <c r="K98" i="54"/>
  <c r="J98" i="54"/>
  <c r="I98" i="54"/>
  <c r="H98" i="54"/>
  <c r="X97" i="54"/>
  <c r="W97" i="54"/>
  <c r="V97" i="54"/>
  <c r="U97" i="54"/>
  <c r="T97" i="54"/>
  <c r="S97" i="54"/>
  <c r="R97" i="54"/>
  <c r="Q97" i="54"/>
  <c r="P97" i="54"/>
  <c r="O97" i="54"/>
  <c r="N97" i="54"/>
  <c r="M97" i="54"/>
  <c r="L97" i="54"/>
  <c r="K97" i="54"/>
  <c r="J97" i="54"/>
  <c r="I97" i="54"/>
  <c r="H97" i="54"/>
  <c r="X96" i="54"/>
  <c r="W96" i="54"/>
  <c r="V96" i="54"/>
  <c r="U96" i="54"/>
  <c r="T96" i="54"/>
  <c r="S96" i="54"/>
  <c r="R96" i="54"/>
  <c r="Q96" i="54"/>
  <c r="P96" i="54"/>
  <c r="O96" i="54"/>
  <c r="N96" i="54"/>
  <c r="M96" i="54"/>
  <c r="L96" i="54"/>
  <c r="K96" i="54"/>
  <c r="J96" i="54"/>
  <c r="I96" i="54"/>
  <c r="H96" i="54"/>
  <c r="X95" i="54"/>
  <c r="W95" i="54"/>
  <c r="V95" i="54"/>
  <c r="U95" i="54"/>
  <c r="T95" i="54"/>
  <c r="S95" i="54"/>
  <c r="R95" i="54"/>
  <c r="Q95" i="54"/>
  <c r="P95" i="54"/>
  <c r="O95" i="54"/>
  <c r="N95" i="54"/>
  <c r="M95" i="54"/>
  <c r="L95" i="54"/>
  <c r="K95" i="54"/>
  <c r="J95" i="54"/>
  <c r="I95" i="54"/>
  <c r="H95" i="54"/>
  <c r="X94" i="54"/>
  <c r="W94" i="54"/>
  <c r="V94" i="54"/>
  <c r="U94" i="54"/>
  <c r="T94" i="54"/>
  <c r="S94" i="54"/>
  <c r="R94" i="54"/>
  <c r="Q94" i="54"/>
  <c r="P94" i="54"/>
  <c r="O94" i="54"/>
  <c r="N94" i="54"/>
  <c r="M94" i="54"/>
  <c r="L94" i="54"/>
  <c r="K94" i="54"/>
  <c r="J94" i="54"/>
  <c r="I94" i="54"/>
  <c r="H94" i="54"/>
  <c r="X91" i="54"/>
  <c r="X89" i="54" s="1"/>
  <c r="W91" i="54"/>
  <c r="W89" i="54" s="1"/>
  <c r="V91" i="54"/>
  <c r="V89" i="54" s="1"/>
  <c r="U91" i="54"/>
  <c r="U89" i="54" s="1"/>
  <c r="T91" i="54"/>
  <c r="T89" i="54" s="1"/>
  <c r="S91" i="54"/>
  <c r="S89" i="54" s="1"/>
  <c r="R91" i="54"/>
  <c r="R89" i="54" s="1"/>
  <c r="Q91" i="54"/>
  <c r="Q89" i="54" s="1"/>
  <c r="P91" i="54"/>
  <c r="P89" i="54" s="1"/>
  <c r="O91" i="54"/>
  <c r="O89" i="54" s="1"/>
  <c r="N91" i="54"/>
  <c r="M91" i="54"/>
  <c r="M89" i="54" s="1"/>
  <c r="L91" i="54"/>
  <c r="L89" i="54" s="1"/>
  <c r="K91" i="54"/>
  <c r="K89" i="54" s="1"/>
  <c r="J91" i="54"/>
  <c r="J89" i="54" s="1"/>
  <c r="I91" i="54"/>
  <c r="I89" i="54" s="1"/>
  <c r="H91" i="54"/>
  <c r="H89" i="54" s="1"/>
  <c r="X90" i="54"/>
  <c r="W90" i="54"/>
  <c r="V90" i="54"/>
  <c r="U90" i="54"/>
  <c r="T90" i="54"/>
  <c r="S90" i="54"/>
  <c r="R90" i="54"/>
  <c r="Q90" i="54"/>
  <c r="P90" i="54"/>
  <c r="O90" i="54"/>
  <c r="N90" i="54"/>
  <c r="M90" i="54"/>
  <c r="L90" i="54"/>
  <c r="K90" i="54"/>
  <c r="J90" i="54"/>
  <c r="I90" i="54"/>
  <c r="H90" i="54"/>
  <c r="N89" i="54"/>
  <c r="X88" i="54"/>
  <c r="W88" i="54"/>
  <c r="V88" i="54"/>
  <c r="U88" i="54"/>
  <c r="T88" i="54"/>
  <c r="S88" i="54"/>
  <c r="R88" i="54"/>
  <c r="Q88" i="54"/>
  <c r="P88" i="54"/>
  <c r="O88" i="54"/>
  <c r="N88" i="54"/>
  <c r="M88" i="54"/>
  <c r="L88" i="54"/>
  <c r="K88" i="54"/>
  <c r="J88" i="54"/>
  <c r="I88" i="54"/>
  <c r="H88" i="54"/>
  <c r="X87" i="54"/>
  <c r="W87" i="54"/>
  <c r="V87" i="54"/>
  <c r="U87" i="54"/>
  <c r="T87" i="54"/>
  <c r="S87" i="54"/>
  <c r="R87" i="54"/>
  <c r="Q87" i="54"/>
  <c r="P87" i="54"/>
  <c r="O87" i="54"/>
  <c r="N87" i="54"/>
  <c r="M87" i="54"/>
  <c r="L87" i="54"/>
  <c r="K87" i="54"/>
  <c r="J87" i="54"/>
  <c r="I87" i="54"/>
  <c r="H87" i="54"/>
  <c r="X86" i="54"/>
  <c r="W86" i="54"/>
  <c r="V86" i="54"/>
  <c r="U86" i="54"/>
  <c r="T86" i="54"/>
  <c r="S86" i="54"/>
  <c r="R86" i="54"/>
  <c r="Q86" i="54"/>
  <c r="P86" i="54"/>
  <c r="O86" i="54"/>
  <c r="N86" i="54"/>
  <c r="M86" i="54"/>
  <c r="L86" i="54"/>
  <c r="K86" i="54"/>
  <c r="J86" i="54"/>
  <c r="I86" i="54"/>
  <c r="H86" i="54"/>
  <c r="X83" i="54"/>
  <c r="W83" i="54"/>
  <c r="V83" i="54"/>
  <c r="U83" i="54"/>
  <c r="T83" i="54"/>
  <c r="S83" i="54"/>
  <c r="R83" i="54"/>
  <c r="Q83" i="54"/>
  <c r="P83" i="54"/>
  <c r="O83" i="54"/>
  <c r="N83" i="54"/>
  <c r="M83" i="54"/>
  <c r="L83" i="54"/>
  <c r="K83" i="54"/>
  <c r="J83" i="54"/>
  <c r="I83" i="54"/>
  <c r="H83" i="54"/>
  <c r="X82" i="54"/>
  <c r="W82" i="54"/>
  <c r="V82" i="54"/>
  <c r="U82" i="54"/>
  <c r="T82" i="54"/>
  <c r="S82" i="54"/>
  <c r="R82" i="54"/>
  <c r="Q82" i="54"/>
  <c r="P82" i="54"/>
  <c r="O82" i="54"/>
  <c r="N82" i="54"/>
  <c r="M82" i="54"/>
  <c r="L82" i="54"/>
  <c r="K82" i="54"/>
  <c r="J82" i="54"/>
  <c r="I82" i="54"/>
  <c r="H82" i="54"/>
  <c r="X81" i="54"/>
  <c r="W81" i="54"/>
  <c r="V81" i="54"/>
  <c r="U81" i="54"/>
  <c r="T81" i="54"/>
  <c r="S81" i="54"/>
  <c r="R81" i="54"/>
  <c r="Q81" i="54"/>
  <c r="P81" i="54"/>
  <c r="O81" i="54"/>
  <c r="N81" i="54"/>
  <c r="M81" i="54"/>
  <c r="L81" i="54"/>
  <c r="K81" i="54"/>
  <c r="J81" i="54"/>
  <c r="I81" i="54"/>
  <c r="H81" i="54"/>
  <c r="X80" i="54"/>
  <c r="W80" i="54"/>
  <c r="V80" i="54"/>
  <c r="U80" i="54"/>
  <c r="T80" i="54"/>
  <c r="S80" i="54"/>
  <c r="R80" i="54"/>
  <c r="Q80" i="54"/>
  <c r="P80" i="54"/>
  <c r="O80" i="54"/>
  <c r="N80" i="54"/>
  <c r="M80" i="54"/>
  <c r="L80" i="54"/>
  <c r="K80" i="54"/>
  <c r="J80" i="54"/>
  <c r="I80" i="54"/>
  <c r="H80" i="54"/>
  <c r="X79" i="54"/>
  <c r="W79" i="54"/>
  <c r="V79" i="54"/>
  <c r="U79" i="54"/>
  <c r="T79" i="54"/>
  <c r="S79" i="54"/>
  <c r="R79" i="54"/>
  <c r="Q79" i="54"/>
  <c r="P79" i="54"/>
  <c r="O79" i="54"/>
  <c r="N79" i="54"/>
  <c r="M79" i="54"/>
  <c r="L79" i="54"/>
  <c r="K79" i="54"/>
  <c r="J79" i="54"/>
  <c r="I79" i="54"/>
  <c r="H79" i="54"/>
  <c r="X76" i="54"/>
  <c r="W76" i="54"/>
  <c r="V76" i="54"/>
  <c r="U76" i="54"/>
  <c r="T76" i="54"/>
  <c r="S76" i="54"/>
  <c r="R76" i="54"/>
  <c r="Q76" i="54"/>
  <c r="P76" i="54"/>
  <c r="O76" i="54"/>
  <c r="N76" i="54"/>
  <c r="M76" i="54"/>
  <c r="L76" i="54"/>
  <c r="K76" i="54"/>
  <c r="J76" i="54"/>
  <c r="I76" i="54"/>
  <c r="H76" i="54"/>
  <c r="X75" i="54"/>
  <c r="W75" i="54"/>
  <c r="V75" i="54"/>
  <c r="U75" i="54"/>
  <c r="T75" i="54"/>
  <c r="S75" i="54"/>
  <c r="R75" i="54"/>
  <c r="Q75" i="54"/>
  <c r="P75" i="54"/>
  <c r="O75" i="54"/>
  <c r="N75" i="54"/>
  <c r="M75" i="54"/>
  <c r="L75" i="54"/>
  <c r="K75" i="54"/>
  <c r="J75" i="54"/>
  <c r="I75" i="54"/>
  <c r="H75" i="54"/>
  <c r="X74" i="54"/>
  <c r="W74" i="54"/>
  <c r="V74" i="54"/>
  <c r="U74" i="54"/>
  <c r="T74" i="54"/>
  <c r="S74" i="54"/>
  <c r="R74" i="54"/>
  <c r="Q74" i="54"/>
  <c r="P74" i="54"/>
  <c r="O74" i="54"/>
  <c r="N74" i="54"/>
  <c r="M74" i="54"/>
  <c r="L74" i="54"/>
  <c r="K74" i="54"/>
  <c r="J74" i="54"/>
  <c r="I74" i="54"/>
  <c r="H74" i="54"/>
  <c r="X73" i="54"/>
  <c r="W73" i="54"/>
  <c r="V73" i="54"/>
  <c r="U73" i="54"/>
  <c r="T73" i="54"/>
  <c r="S73" i="54"/>
  <c r="R73" i="54"/>
  <c r="Q73" i="54"/>
  <c r="P73" i="54"/>
  <c r="O73" i="54"/>
  <c r="N73" i="54"/>
  <c r="M73" i="54"/>
  <c r="L73" i="54"/>
  <c r="K73" i="54"/>
  <c r="J73" i="54"/>
  <c r="I73" i="54"/>
  <c r="H73" i="54"/>
  <c r="X72" i="54"/>
  <c r="W72" i="54"/>
  <c r="V72" i="54"/>
  <c r="U72" i="54"/>
  <c r="T72" i="54"/>
  <c r="S72" i="54"/>
  <c r="R72" i="54"/>
  <c r="Q72" i="54"/>
  <c r="P72" i="54"/>
  <c r="O72" i="54"/>
  <c r="N72" i="54"/>
  <c r="M72" i="54"/>
  <c r="L72" i="54"/>
  <c r="K72" i="54"/>
  <c r="J72" i="54"/>
  <c r="I72" i="54"/>
  <c r="H72" i="54"/>
  <c r="X69" i="54"/>
  <c r="W69" i="54"/>
  <c r="V69" i="54"/>
  <c r="U69" i="54"/>
  <c r="T69" i="54"/>
  <c r="S69" i="54"/>
  <c r="R69" i="54"/>
  <c r="Q69" i="54"/>
  <c r="P69" i="54"/>
  <c r="O69" i="54"/>
  <c r="N69" i="54"/>
  <c r="M69" i="54"/>
  <c r="L69" i="54"/>
  <c r="K69" i="54"/>
  <c r="J69" i="54"/>
  <c r="I69" i="54"/>
  <c r="H69" i="54"/>
  <c r="X68" i="54"/>
  <c r="W68" i="54"/>
  <c r="V68" i="54"/>
  <c r="U68" i="54"/>
  <c r="T68" i="54"/>
  <c r="S68" i="54"/>
  <c r="R68" i="54"/>
  <c r="Q68" i="54"/>
  <c r="P68" i="54"/>
  <c r="O68" i="54"/>
  <c r="N68" i="54"/>
  <c r="M68" i="54"/>
  <c r="L68" i="54"/>
  <c r="K68" i="54"/>
  <c r="J68" i="54"/>
  <c r="I68" i="54"/>
  <c r="H68" i="54"/>
  <c r="X67" i="54"/>
  <c r="W67" i="54"/>
  <c r="V67" i="54"/>
  <c r="U67" i="54"/>
  <c r="T67" i="54"/>
  <c r="S67" i="54"/>
  <c r="R67" i="54"/>
  <c r="Q67" i="54"/>
  <c r="P67" i="54"/>
  <c r="O67" i="54"/>
  <c r="N67" i="54"/>
  <c r="M67" i="54"/>
  <c r="L67" i="54"/>
  <c r="K67" i="54"/>
  <c r="J67" i="54"/>
  <c r="I67" i="54"/>
  <c r="H67" i="54"/>
  <c r="X66" i="54"/>
  <c r="W66" i="54"/>
  <c r="V66" i="54"/>
  <c r="U66" i="54"/>
  <c r="T66" i="54"/>
  <c r="S66" i="54"/>
  <c r="R66" i="54"/>
  <c r="Q66" i="54"/>
  <c r="P66" i="54"/>
  <c r="O66" i="54"/>
  <c r="N66" i="54"/>
  <c r="M66" i="54"/>
  <c r="L66" i="54"/>
  <c r="K66" i="54"/>
  <c r="J66" i="54"/>
  <c r="I66" i="54"/>
  <c r="H66" i="54"/>
  <c r="X65" i="54"/>
  <c r="W65" i="54"/>
  <c r="V65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X61" i="54"/>
  <c r="W61" i="54"/>
  <c r="V61" i="54"/>
  <c r="U61" i="54"/>
  <c r="T61" i="54"/>
  <c r="S61" i="54"/>
  <c r="R61" i="54"/>
  <c r="Q61" i="54"/>
  <c r="P61" i="54"/>
  <c r="O61" i="54"/>
  <c r="N61" i="54"/>
  <c r="M61" i="54"/>
  <c r="L61" i="54"/>
  <c r="K61" i="54"/>
  <c r="J61" i="54"/>
  <c r="I61" i="54"/>
  <c r="H61" i="54"/>
  <c r="X60" i="54"/>
  <c r="W60" i="54"/>
  <c r="V60" i="54"/>
  <c r="U60" i="54"/>
  <c r="T60" i="54"/>
  <c r="S60" i="54"/>
  <c r="R60" i="54"/>
  <c r="Q60" i="54"/>
  <c r="P60" i="54"/>
  <c r="O60" i="54"/>
  <c r="N60" i="54"/>
  <c r="M60" i="54"/>
  <c r="L60" i="54"/>
  <c r="K60" i="54"/>
  <c r="J60" i="54"/>
  <c r="I60" i="54"/>
  <c r="H60" i="54"/>
  <c r="X59" i="54"/>
  <c r="W59" i="54"/>
  <c r="V59" i="54"/>
  <c r="U59" i="54"/>
  <c r="T59" i="54"/>
  <c r="S59" i="54"/>
  <c r="R59" i="54"/>
  <c r="Q59" i="54"/>
  <c r="P59" i="54"/>
  <c r="O59" i="54"/>
  <c r="N59" i="54"/>
  <c r="M59" i="54"/>
  <c r="L59" i="54"/>
  <c r="K59" i="54"/>
  <c r="J59" i="54"/>
  <c r="I59" i="54"/>
  <c r="H59" i="54"/>
  <c r="X58" i="54"/>
  <c r="W58" i="54"/>
  <c r="V58" i="54"/>
  <c r="U58" i="54"/>
  <c r="T58" i="54"/>
  <c r="S58" i="54"/>
  <c r="R58" i="54"/>
  <c r="Q58" i="54"/>
  <c r="P58" i="54"/>
  <c r="O58" i="54"/>
  <c r="N58" i="54"/>
  <c r="M58" i="54"/>
  <c r="L58" i="54"/>
  <c r="K58" i="54"/>
  <c r="J58" i="54"/>
  <c r="I58" i="54"/>
  <c r="H58" i="54"/>
  <c r="X55" i="54"/>
  <c r="W55" i="54"/>
  <c r="V55" i="54"/>
  <c r="U55" i="54"/>
  <c r="T55" i="54"/>
  <c r="S55" i="54"/>
  <c r="R55" i="54"/>
  <c r="Q55" i="54"/>
  <c r="P55" i="54"/>
  <c r="O55" i="54"/>
  <c r="N55" i="54"/>
  <c r="M55" i="54"/>
  <c r="L55" i="54"/>
  <c r="K55" i="54"/>
  <c r="J55" i="54"/>
  <c r="I55" i="54"/>
  <c r="H55" i="54"/>
  <c r="X54" i="54"/>
  <c r="W54" i="54"/>
  <c r="V54" i="54"/>
  <c r="U54" i="54"/>
  <c r="T54" i="54"/>
  <c r="S54" i="54"/>
  <c r="R54" i="54"/>
  <c r="Q54" i="54"/>
  <c r="P54" i="54"/>
  <c r="O54" i="54"/>
  <c r="N54" i="54"/>
  <c r="M54" i="54"/>
  <c r="L54" i="54"/>
  <c r="K54" i="54"/>
  <c r="J54" i="54"/>
  <c r="I54" i="54"/>
  <c r="H54" i="54"/>
  <c r="X53" i="54"/>
  <c r="W53" i="54"/>
  <c r="V53" i="54"/>
  <c r="U53" i="54"/>
  <c r="T53" i="54"/>
  <c r="S53" i="54"/>
  <c r="R53" i="54"/>
  <c r="Q53" i="54"/>
  <c r="P53" i="54"/>
  <c r="O53" i="54"/>
  <c r="N53" i="54"/>
  <c r="M53" i="54"/>
  <c r="L53" i="54"/>
  <c r="K53" i="54"/>
  <c r="J53" i="54"/>
  <c r="I53" i="54"/>
  <c r="H53" i="54"/>
  <c r="X52" i="54"/>
  <c r="W52" i="54"/>
  <c r="V52" i="54"/>
  <c r="U52" i="54"/>
  <c r="T52" i="54"/>
  <c r="S52" i="54"/>
  <c r="R52" i="54"/>
  <c r="Q52" i="54"/>
  <c r="P52" i="54"/>
  <c r="O52" i="54"/>
  <c r="N52" i="54"/>
  <c r="M52" i="54"/>
  <c r="L52" i="54"/>
  <c r="K52" i="54"/>
  <c r="J52" i="54"/>
  <c r="I52" i="54"/>
  <c r="H52" i="54"/>
  <c r="X51" i="54"/>
  <c r="W51" i="54"/>
  <c r="V51" i="54"/>
  <c r="U51" i="54"/>
  <c r="T51" i="54"/>
  <c r="S51" i="54"/>
  <c r="R51" i="54"/>
  <c r="Q51" i="54"/>
  <c r="P51" i="54"/>
  <c r="O51" i="54"/>
  <c r="N51" i="54"/>
  <c r="M51" i="54"/>
  <c r="L51" i="54"/>
  <c r="K51" i="54"/>
  <c r="J51" i="54"/>
  <c r="I51" i="54"/>
  <c r="H51" i="54"/>
  <c r="X48" i="54"/>
  <c r="W48" i="54"/>
  <c r="V48" i="54"/>
  <c r="U48" i="54"/>
  <c r="T48" i="54"/>
  <c r="S48" i="54"/>
  <c r="R48" i="54"/>
  <c r="Q48" i="54"/>
  <c r="P48" i="54"/>
  <c r="O48" i="54"/>
  <c r="N48" i="54"/>
  <c r="M48" i="54"/>
  <c r="L48" i="54"/>
  <c r="K48" i="54"/>
  <c r="J48" i="54"/>
  <c r="I48" i="54"/>
  <c r="H48" i="54"/>
  <c r="X47" i="54"/>
  <c r="W47" i="54"/>
  <c r="V47" i="54"/>
  <c r="U47" i="54"/>
  <c r="T47" i="54"/>
  <c r="S47" i="54"/>
  <c r="R47" i="54"/>
  <c r="Q47" i="54"/>
  <c r="P47" i="54"/>
  <c r="O47" i="54"/>
  <c r="N47" i="54"/>
  <c r="M47" i="54"/>
  <c r="L47" i="54"/>
  <c r="K47" i="54"/>
  <c r="J47" i="54"/>
  <c r="I47" i="54"/>
  <c r="H47" i="54"/>
  <c r="X46" i="54"/>
  <c r="W46" i="54"/>
  <c r="V46" i="54"/>
  <c r="U46" i="54"/>
  <c r="T46" i="54"/>
  <c r="S46" i="54"/>
  <c r="R46" i="54"/>
  <c r="Q46" i="54"/>
  <c r="P46" i="54"/>
  <c r="O46" i="54"/>
  <c r="N46" i="54"/>
  <c r="M46" i="54"/>
  <c r="L46" i="54"/>
  <c r="K46" i="54"/>
  <c r="J46" i="54"/>
  <c r="I46" i="54"/>
  <c r="H46" i="54"/>
  <c r="X45" i="54"/>
  <c r="W45" i="54"/>
  <c r="V45" i="54"/>
  <c r="U45" i="54"/>
  <c r="T45" i="54"/>
  <c r="S45" i="54"/>
  <c r="R45" i="54"/>
  <c r="Q45" i="54"/>
  <c r="P45" i="54"/>
  <c r="O45" i="54"/>
  <c r="N45" i="54"/>
  <c r="M45" i="54"/>
  <c r="L45" i="54"/>
  <c r="K45" i="54"/>
  <c r="J45" i="54"/>
  <c r="I45" i="54"/>
  <c r="H45" i="54"/>
  <c r="X44" i="54"/>
  <c r="W44" i="54"/>
  <c r="V44" i="54"/>
  <c r="U44" i="54"/>
  <c r="T44" i="54"/>
  <c r="S44" i="54"/>
  <c r="R44" i="54"/>
  <c r="Q44" i="54"/>
  <c r="P44" i="54"/>
  <c r="O44" i="54"/>
  <c r="N44" i="54"/>
  <c r="M44" i="54"/>
  <c r="L44" i="54"/>
  <c r="K44" i="54"/>
  <c r="J44" i="54"/>
  <c r="I44" i="54"/>
  <c r="H44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X40" i="54"/>
  <c r="W40" i="54"/>
  <c r="V40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X39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X38" i="54"/>
  <c r="W38" i="54"/>
  <c r="V38" i="54"/>
  <c r="U38" i="54"/>
  <c r="T38" i="54"/>
  <c r="S38" i="54"/>
  <c r="R38" i="54"/>
  <c r="Q38" i="54"/>
  <c r="P38" i="54"/>
  <c r="O38" i="54"/>
  <c r="N38" i="54"/>
  <c r="M38" i="54"/>
  <c r="L38" i="54"/>
  <c r="K38" i="54"/>
  <c r="J38" i="54"/>
  <c r="I38" i="54"/>
  <c r="H38" i="54"/>
  <c r="X33" i="54"/>
  <c r="W33" i="54"/>
  <c r="V33" i="54"/>
  <c r="U33" i="54"/>
  <c r="T33" i="54"/>
  <c r="S33" i="54"/>
  <c r="R33" i="54"/>
  <c r="Q33" i="54"/>
  <c r="P33" i="54"/>
  <c r="O33" i="54"/>
  <c r="N33" i="54"/>
  <c r="M33" i="54"/>
  <c r="L33" i="54"/>
  <c r="K33" i="54"/>
  <c r="J33" i="54"/>
  <c r="I33" i="54"/>
  <c r="H33" i="54"/>
  <c r="X31" i="54"/>
  <c r="W31" i="54"/>
  <c r="V31" i="54"/>
  <c r="U31" i="54"/>
  <c r="T31" i="54"/>
  <c r="S31" i="54"/>
  <c r="R31" i="54"/>
  <c r="Q31" i="54"/>
  <c r="P31" i="54"/>
  <c r="O31" i="54"/>
  <c r="N31" i="54"/>
  <c r="M31" i="54"/>
  <c r="L31" i="54"/>
  <c r="K31" i="54"/>
  <c r="J31" i="54"/>
  <c r="I31" i="54"/>
  <c r="H31" i="54"/>
  <c r="X29" i="54"/>
  <c r="X30" i="54" s="1"/>
  <c r="W29" i="54"/>
  <c r="W30" i="54" s="1"/>
  <c r="V29" i="54"/>
  <c r="V30" i="54" s="1"/>
  <c r="U29" i="54"/>
  <c r="U30" i="54" s="1"/>
  <c r="T29" i="54"/>
  <c r="T30" i="54" s="1"/>
  <c r="S29" i="54"/>
  <c r="S30" i="54" s="1"/>
  <c r="R29" i="54"/>
  <c r="R30" i="54" s="1"/>
  <c r="Q29" i="54"/>
  <c r="Q30" i="54" s="1"/>
  <c r="P29" i="54"/>
  <c r="P30" i="54" s="1"/>
  <c r="O29" i="54"/>
  <c r="O30" i="54" s="1"/>
  <c r="N29" i="54"/>
  <c r="N30" i="54" s="1"/>
  <c r="M29" i="54"/>
  <c r="M30" i="54" s="1"/>
  <c r="L29" i="54"/>
  <c r="L30" i="54" s="1"/>
  <c r="K29" i="54"/>
  <c r="K30" i="54" s="1"/>
  <c r="J29" i="54"/>
  <c r="J30" i="54" s="1"/>
  <c r="I29" i="54"/>
  <c r="I30" i="54" s="1"/>
  <c r="H29" i="54"/>
  <c r="H30" i="54" s="1"/>
  <c r="X24" i="54"/>
  <c r="X25" i="54" s="1"/>
  <c r="W24" i="54"/>
  <c r="W25" i="54" s="1"/>
  <c r="V24" i="54"/>
  <c r="V25" i="54" s="1"/>
  <c r="U24" i="54"/>
  <c r="U25" i="54" s="1"/>
  <c r="T24" i="54"/>
  <c r="T25" i="54" s="1"/>
  <c r="S24" i="54"/>
  <c r="S25" i="54" s="1"/>
  <c r="R24" i="54"/>
  <c r="R25" i="54" s="1"/>
  <c r="Q24" i="54"/>
  <c r="Q25" i="54" s="1"/>
  <c r="P24" i="54"/>
  <c r="P25" i="54" s="1"/>
  <c r="O24" i="54"/>
  <c r="O25" i="54" s="1"/>
  <c r="N24" i="54"/>
  <c r="N25" i="54" s="1"/>
  <c r="M24" i="54"/>
  <c r="M25" i="54" s="1"/>
  <c r="L24" i="54"/>
  <c r="L25" i="54" s="1"/>
  <c r="K24" i="54"/>
  <c r="K25" i="54" s="1"/>
  <c r="J24" i="54"/>
  <c r="J25" i="54" s="1"/>
  <c r="I24" i="54"/>
  <c r="I25" i="54" s="1"/>
  <c r="H24" i="54"/>
  <c r="H25" i="54" s="1"/>
  <c r="X158" i="54"/>
  <c r="W158" i="54"/>
  <c r="V158" i="54"/>
  <c r="U158" i="54"/>
  <c r="T158" i="54"/>
  <c r="S158" i="54"/>
  <c r="R158" i="54"/>
  <c r="Q158" i="54"/>
  <c r="P158" i="54"/>
  <c r="O158" i="54"/>
  <c r="N158" i="54"/>
  <c r="M158" i="54"/>
  <c r="L158" i="54"/>
  <c r="K158" i="54"/>
  <c r="J158" i="54"/>
  <c r="I158" i="54"/>
  <c r="H158" i="54"/>
  <c r="X2" i="54"/>
  <c r="W2" i="54"/>
  <c r="V2" i="54"/>
  <c r="U2" i="54"/>
  <c r="T2" i="54"/>
  <c r="S2" i="54"/>
  <c r="R2" i="54"/>
  <c r="Q2" i="54"/>
  <c r="P2" i="54"/>
  <c r="O2" i="54"/>
  <c r="N2" i="54"/>
  <c r="M2" i="54"/>
  <c r="L2" i="54"/>
  <c r="K2" i="54"/>
  <c r="J2" i="54"/>
  <c r="I2" i="54"/>
  <c r="H2" i="54"/>
  <c r="X1" i="54"/>
  <c r="W1" i="54"/>
  <c r="V1" i="54"/>
  <c r="U1" i="54"/>
  <c r="T1" i="54"/>
  <c r="S1" i="54"/>
  <c r="R1" i="54"/>
  <c r="Q1" i="54"/>
  <c r="P1" i="54"/>
  <c r="O1" i="54"/>
  <c r="N1" i="54"/>
  <c r="M1" i="54"/>
  <c r="L1" i="54"/>
  <c r="K1" i="54"/>
  <c r="J1" i="54"/>
  <c r="I1" i="54"/>
  <c r="H1" i="54"/>
  <c r="V20" i="75" l="1"/>
  <c r="L10" i="37"/>
  <c r="L11" i="37" s="1"/>
  <c r="O10" i="37"/>
  <c r="O11" i="37" s="1"/>
  <c r="I129" i="37"/>
  <c r="H69" i="37"/>
  <c r="H124" i="37" s="1"/>
  <c r="Q74" i="37"/>
  <c r="Q114" i="37" s="1"/>
  <c r="I66" i="37"/>
  <c r="I67" i="37" s="1"/>
  <c r="I113" i="37" s="1"/>
  <c r="T74" i="37"/>
  <c r="K66" i="37"/>
  <c r="K67" i="37" s="1"/>
  <c r="K113" i="37" s="1"/>
  <c r="R69" i="37"/>
  <c r="R124" i="37" s="1"/>
  <c r="J129" i="37"/>
  <c r="K70" i="37"/>
  <c r="K129" i="37" s="1"/>
  <c r="I79" i="37"/>
  <c r="I111" i="37" s="1"/>
  <c r="I132" i="37" s="1"/>
  <c r="L129" i="37"/>
  <c r="J79" i="37"/>
  <c r="J111" i="37" s="1"/>
  <c r="J132" i="37" s="1"/>
  <c r="N107" i="37"/>
  <c r="O70" i="37"/>
  <c r="O107" i="37" s="1"/>
  <c r="L79" i="37"/>
  <c r="L111" i="37" s="1"/>
  <c r="L132" i="37" s="1"/>
  <c r="P70" i="37"/>
  <c r="P129" i="37" s="1"/>
  <c r="N114" i="37"/>
  <c r="Q70" i="37"/>
  <c r="Q107" i="37" s="1"/>
  <c r="H73" i="37"/>
  <c r="H129" i="37" s="1"/>
  <c r="Q80" i="37"/>
  <c r="Q99" i="37" s="1"/>
  <c r="O114" i="37"/>
  <c r="R70" i="37"/>
  <c r="R107" i="37" s="1"/>
  <c r="I73" i="37"/>
  <c r="R80" i="37"/>
  <c r="H71" i="37"/>
  <c r="H114" i="37" s="1"/>
  <c r="J73" i="37"/>
  <c r="K73" i="37"/>
  <c r="J80" i="37"/>
  <c r="Q79" i="37"/>
  <c r="Q111" i="37" s="1"/>
  <c r="Q132" i="37" s="1"/>
  <c r="N129" i="37"/>
  <c r="R79" i="37"/>
  <c r="R111" i="37" s="1"/>
  <c r="R132" i="37" s="1"/>
  <c r="W66" i="37"/>
  <c r="W67" i="37" s="1"/>
  <c r="W113" i="37" s="1"/>
  <c r="V80" i="37"/>
  <c r="L80" i="37"/>
  <c r="X71" i="37"/>
  <c r="W80" i="37"/>
  <c r="T79" i="37"/>
  <c r="T111" i="37" s="1"/>
  <c r="T132" i="37" s="1"/>
  <c r="X80" i="37"/>
  <c r="N80" i="37"/>
  <c r="O79" i="37"/>
  <c r="O111" i="37" s="1"/>
  <c r="O132" i="37" s="1"/>
  <c r="V79" i="37"/>
  <c r="V111" i="37" s="1"/>
  <c r="V132" i="37" s="1"/>
  <c r="W86" i="37"/>
  <c r="G12" i="56"/>
  <c r="I12" i="56"/>
  <c r="L103" i="56"/>
  <c r="N103" i="56"/>
  <c r="N108" i="56" s="1"/>
  <c r="AE159" i="58"/>
  <c r="H159" i="58"/>
  <c r="H219" i="58" s="1"/>
  <c r="H209" i="58" s="1"/>
  <c r="Z221" i="58"/>
  <c r="Z211" i="58" s="1"/>
  <c r="AB219" i="58"/>
  <c r="AB209" i="58" s="1"/>
  <c r="Y221" i="58"/>
  <c r="Y211" i="58" s="1"/>
  <c r="AC219" i="58"/>
  <c r="AC209" i="58" s="1"/>
  <c r="P159" i="58"/>
  <c r="P219" i="58" s="1"/>
  <c r="P209" i="58" s="1"/>
  <c r="AA219" i="58"/>
  <c r="AA209" i="58" s="1"/>
  <c r="AE169" i="58"/>
  <c r="AE221" i="58" s="1"/>
  <c r="AE211" i="58" s="1"/>
  <c r="S14" i="60"/>
  <c r="H15" i="60"/>
  <c r="H32" i="60" s="1"/>
  <c r="I14" i="60"/>
  <c r="R89" i="56"/>
  <c r="U78" i="56"/>
  <c r="U77" i="56"/>
  <c r="T91" i="56"/>
  <c r="T88" i="56"/>
  <c r="R88" i="56"/>
  <c r="Q91" i="56"/>
  <c r="Q88" i="56"/>
  <c r="S91" i="56"/>
  <c r="S88" i="56"/>
  <c r="S78" i="56"/>
  <c r="R91" i="56"/>
  <c r="R78" i="56"/>
  <c r="Q78" i="56"/>
  <c r="P77" i="56"/>
  <c r="O91" i="56"/>
  <c r="O77" i="56"/>
  <c r="O79" i="56"/>
  <c r="O80" i="56" s="1"/>
  <c r="O105" i="56" s="1"/>
  <c r="N91" i="56"/>
  <c r="N77" i="56"/>
  <c r="N79" i="56"/>
  <c r="N80" i="56" s="1"/>
  <c r="N105" i="56" s="1"/>
  <c r="M79" i="56"/>
  <c r="J78" i="56"/>
  <c r="J77" i="56"/>
  <c r="I88" i="56"/>
  <c r="I89" i="56"/>
  <c r="I90" i="56"/>
  <c r="I92" i="56" s="1"/>
  <c r="I77" i="56"/>
  <c r="H91" i="56"/>
  <c r="H88" i="56"/>
  <c r="H89" i="56"/>
  <c r="G89" i="56"/>
  <c r="M32" i="37"/>
  <c r="U180" i="54"/>
  <c r="W105" i="56"/>
  <c r="S235" i="54"/>
  <c r="K233" i="54"/>
  <c r="T234" i="54"/>
  <c r="S148" i="54"/>
  <c r="O41" i="37"/>
  <c r="N32" i="37"/>
  <c r="T143" i="54"/>
  <c r="O32" i="37"/>
  <c r="Q235" i="54"/>
  <c r="R235" i="54"/>
  <c r="M80" i="56"/>
  <c r="M105" i="56" s="1"/>
  <c r="Q244" i="54"/>
  <c r="Q255" i="54" s="1"/>
  <c r="S180" i="54"/>
  <c r="R244" i="54"/>
  <c r="R255" i="54" s="1"/>
  <c r="V10" i="37"/>
  <c r="V11" i="37" s="1"/>
  <c r="N168" i="54"/>
  <c r="W10" i="37"/>
  <c r="W11" i="37" s="1"/>
  <c r="R58" i="37"/>
  <c r="N166" i="54"/>
  <c r="X10" i="37"/>
  <c r="X11" i="37" s="1"/>
  <c r="O166" i="54"/>
  <c r="X166" i="54"/>
  <c r="T41" i="37"/>
  <c r="T42" i="37" s="1"/>
  <c r="T43" i="37" s="1"/>
  <c r="T54" i="37" s="1"/>
  <c r="X3" i="54"/>
  <c r="X5" i="54" s="1"/>
  <c r="U143" i="54"/>
  <c r="S143" i="54"/>
  <c r="V143" i="54"/>
  <c r="I150" i="54"/>
  <c r="I149" i="54"/>
  <c r="W143" i="54"/>
  <c r="X143" i="54"/>
  <c r="W3" i="54"/>
  <c r="W5" i="54" s="1"/>
  <c r="K149" i="54"/>
  <c r="K157" i="54" s="1"/>
  <c r="V3" i="54"/>
  <c r="V5" i="54" s="1"/>
  <c r="H3" i="54"/>
  <c r="H5" i="54" s="1"/>
  <c r="L149" i="54"/>
  <c r="H148" i="54"/>
  <c r="P235" i="54"/>
  <c r="X233" i="54"/>
  <c r="R180" i="54"/>
  <c r="L3" i="54"/>
  <c r="L5" i="54" s="1"/>
  <c r="I143" i="54"/>
  <c r="O148" i="54"/>
  <c r="X148" i="54"/>
  <c r="X156" i="54" s="1"/>
  <c r="V180" i="54"/>
  <c r="M3" i="54"/>
  <c r="M5" i="54" s="1"/>
  <c r="J143" i="54"/>
  <c r="Y57" i="75"/>
  <c r="Y66" i="75" s="1"/>
  <c r="N3" i="54"/>
  <c r="N5" i="54" s="1"/>
  <c r="K143" i="54"/>
  <c r="Q148" i="54"/>
  <c r="H233" i="54"/>
  <c r="Z57" i="75"/>
  <c r="Z66" i="75" s="1"/>
  <c r="L143" i="54"/>
  <c r="R148" i="54"/>
  <c r="I82" i="37"/>
  <c r="H82" i="37"/>
  <c r="V54" i="37"/>
  <c r="AW221" i="58"/>
  <c r="AW211" i="58" s="1"/>
  <c r="AW191" i="58"/>
  <c r="AU221" i="58"/>
  <c r="AU211" i="58" s="1"/>
  <c r="AU191" i="58"/>
  <c r="AT221" i="58"/>
  <c r="AT211" i="58" s="1"/>
  <c r="AT191" i="58"/>
  <c r="AV221" i="58"/>
  <c r="AV211" i="58" s="1"/>
  <c r="AV191" i="58"/>
  <c r="AS221" i="58"/>
  <c r="AS211" i="58" s="1"/>
  <c r="AS191" i="58"/>
  <c r="AU219" i="58"/>
  <c r="AU209" i="58" s="1"/>
  <c r="AE191" i="58"/>
  <c r="AD191" i="58"/>
  <c r="AD221" i="58"/>
  <c r="AD211" i="58" s="1"/>
  <c r="AH221" i="58"/>
  <c r="AH211" i="58" s="1"/>
  <c r="AH191" i="58"/>
  <c r="AA167" i="58"/>
  <c r="AA168" i="58"/>
  <c r="AH159" i="58"/>
  <c r="AH219" i="58" s="1"/>
  <c r="AH209" i="58" s="1"/>
  <c r="AG221" i="58"/>
  <c r="AG211" i="58" s="1"/>
  <c r="AG191" i="58"/>
  <c r="AC191" i="58"/>
  <c r="AC221" i="58"/>
  <c r="AC211" i="58" s="1"/>
  <c r="AE219" i="58"/>
  <c r="AE209" i="58" s="1"/>
  <c r="Z219" i="58"/>
  <c r="Z209" i="58" s="1"/>
  <c r="AF169" i="58"/>
  <c r="T159" i="58"/>
  <c r="T219" i="58" s="1"/>
  <c r="T209" i="58" s="1"/>
  <c r="P221" i="58"/>
  <c r="P211" i="58" s="1"/>
  <c r="P191" i="58"/>
  <c r="U221" i="58"/>
  <c r="U211" i="58" s="1"/>
  <c r="U191" i="58"/>
  <c r="S221" i="58"/>
  <c r="S211" i="58" s="1"/>
  <c r="S191" i="58"/>
  <c r="Q221" i="58"/>
  <c r="Q211" i="58" s="1"/>
  <c r="Q191" i="58"/>
  <c r="T221" i="58"/>
  <c r="T211" i="58" s="1"/>
  <c r="T191" i="58"/>
  <c r="R221" i="58"/>
  <c r="R211" i="58" s="1"/>
  <c r="R191" i="58"/>
  <c r="O221" i="58"/>
  <c r="O211" i="58" s="1"/>
  <c r="O191" i="58"/>
  <c r="V221" i="58"/>
  <c r="V211" i="58" s="1"/>
  <c r="V191" i="58"/>
  <c r="U159" i="58"/>
  <c r="U219" i="58" s="1"/>
  <c r="U209" i="58" s="1"/>
  <c r="O159" i="58"/>
  <c r="O219" i="58" s="1"/>
  <c r="O209" i="58" s="1"/>
  <c r="I221" i="58"/>
  <c r="I211" i="58" s="1"/>
  <c r="I191" i="58"/>
  <c r="H221" i="58"/>
  <c r="H211" i="58" s="1"/>
  <c r="H191" i="58"/>
  <c r="AU17" i="60"/>
  <c r="AU18" i="60" s="1"/>
  <c r="AU21" i="60" s="1"/>
  <c r="AU19" i="60"/>
  <c r="AU22" i="60" s="1"/>
  <c r="AV12" i="60"/>
  <c r="AV10" i="60"/>
  <c r="AV11" i="60" s="1"/>
  <c r="AV14" i="60" s="1"/>
  <c r="AW26" i="60"/>
  <c r="AW24" i="60"/>
  <c r="AW25" i="60" s="1"/>
  <c r="AW28" i="60" s="1"/>
  <c r="AV31" i="60"/>
  <c r="AW12" i="60"/>
  <c r="AW10" i="60"/>
  <c r="AW11" i="60" s="1"/>
  <c r="AW14" i="60" s="1"/>
  <c r="AT12" i="60"/>
  <c r="AT10" i="60"/>
  <c r="AT11" i="60" s="1"/>
  <c r="AT14" i="60" s="1"/>
  <c r="AU29" i="60"/>
  <c r="AT29" i="60"/>
  <c r="AU12" i="60"/>
  <c r="AU10" i="60"/>
  <c r="AU11" i="60" s="1"/>
  <c r="AU14" i="60" s="1"/>
  <c r="AT17" i="60"/>
  <c r="AT18" i="60" s="1"/>
  <c r="AT21" i="60" s="1"/>
  <c r="AT19" i="60"/>
  <c r="AS19" i="60"/>
  <c r="AS22" i="60" s="1"/>
  <c r="AS32" i="60" s="1"/>
  <c r="AS17" i="60"/>
  <c r="AS18" i="60" s="1"/>
  <c r="AS21" i="60" s="1"/>
  <c r="AS31" i="60" s="1"/>
  <c r="AS15" i="60"/>
  <c r="AF17" i="60"/>
  <c r="AF18" i="60" s="1"/>
  <c r="AF21" i="60" s="1"/>
  <c r="AF19" i="60"/>
  <c r="AF22" i="60" s="1"/>
  <c r="AD12" i="60"/>
  <c r="AD10" i="60"/>
  <c r="AD11" i="60" s="1"/>
  <c r="AD14" i="60" s="1"/>
  <c r="AH17" i="60"/>
  <c r="AH18" i="60" s="1"/>
  <c r="AH21" i="60" s="1"/>
  <c r="AH19" i="60"/>
  <c r="AH22" i="60" s="1"/>
  <c r="AG24" i="60"/>
  <c r="AG25" i="60" s="1"/>
  <c r="AG28" i="60" s="1"/>
  <c r="AG31" i="60" s="1"/>
  <c r="AG26" i="60"/>
  <c r="AG29" i="60" s="1"/>
  <c r="AF10" i="60"/>
  <c r="AF11" i="60" s="1"/>
  <c r="AF14" i="60" s="1"/>
  <c r="AF12" i="60"/>
  <c r="AE19" i="60"/>
  <c r="AE17" i="60"/>
  <c r="AE18" i="60" s="1"/>
  <c r="AE21" i="60" s="1"/>
  <c r="AH26" i="60"/>
  <c r="AH24" i="60"/>
  <c r="AH25" i="60" s="1"/>
  <c r="AH28" i="60" s="1"/>
  <c r="AH31" i="60" s="1"/>
  <c r="AC12" i="60"/>
  <c r="AC10" i="60"/>
  <c r="AC11" i="60" s="1"/>
  <c r="AC14" i="60" s="1"/>
  <c r="AE12" i="60"/>
  <c r="AE10" i="60"/>
  <c r="AE11" i="60" s="1"/>
  <c r="AE14" i="60" s="1"/>
  <c r="Z32" i="60"/>
  <c r="AB10" i="60"/>
  <c r="AB11" i="60" s="1"/>
  <c r="AB14" i="60" s="1"/>
  <c r="AB31" i="60" s="1"/>
  <c r="AB12" i="60"/>
  <c r="AD17" i="60"/>
  <c r="AD18" i="60" s="1"/>
  <c r="AD21" i="60" s="1"/>
  <c r="AD19" i="60"/>
  <c r="AG12" i="60"/>
  <c r="AG10" i="60"/>
  <c r="AG11" i="60" s="1"/>
  <c r="AG14" i="60" s="1"/>
  <c r="AG17" i="60"/>
  <c r="AG18" i="60" s="1"/>
  <c r="AG21" i="60" s="1"/>
  <c r="AG19" i="60"/>
  <c r="AG22" i="60" s="1"/>
  <c r="Y32" i="60"/>
  <c r="AC17" i="60"/>
  <c r="AC18" i="60" s="1"/>
  <c r="AC21" i="60" s="1"/>
  <c r="AC19" i="60"/>
  <c r="AC22" i="60" s="1"/>
  <c r="AA10" i="60"/>
  <c r="AA11" i="60" s="1"/>
  <c r="AA14" i="60" s="1"/>
  <c r="AA31" i="60" s="1"/>
  <c r="AA12" i="60"/>
  <c r="AH12" i="60"/>
  <c r="AH10" i="60"/>
  <c r="AH11" i="60" s="1"/>
  <c r="AH14" i="60" s="1"/>
  <c r="R26" i="60"/>
  <c r="R24" i="60"/>
  <c r="R25" i="60" s="1"/>
  <c r="R28" i="60" s="1"/>
  <c r="R31" i="60" s="1"/>
  <c r="Q26" i="60"/>
  <c r="Q24" i="60"/>
  <c r="Q25" i="60" s="1"/>
  <c r="Q28" i="60" s="1"/>
  <c r="Q31" i="60" s="1"/>
  <c r="P26" i="60"/>
  <c r="P24" i="60"/>
  <c r="P25" i="60" s="1"/>
  <c r="P28" i="60" s="1"/>
  <c r="P31" i="60" s="1"/>
  <c r="O24" i="60"/>
  <c r="O25" i="60" s="1"/>
  <c r="O28" i="60" s="1"/>
  <c r="O31" i="60" s="1"/>
  <c r="O26" i="60"/>
  <c r="V26" i="60"/>
  <c r="V24" i="60"/>
  <c r="V25" i="60" s="1"/>
  <c r="V28" i="60" s="1"/>
  <c r="V31" i="60" s="1"/>
  <c r="U26" i="60"/>
  <c r="U24" i="60"/>
  <c r="U25" i="60" s="1"/>
  <c r="U28" i="60" s="1"/>
  <c r="U31" i="60" s="1"/>
  <c r="T26" i="60"/>
  <c r="T24" i="60"/>
  <c r="T25" i="60" s="1"/>
  <c r="T28" i="60" s="1"/>
  <c r="T31" i="60" s="1"/>
  <c r="S26" i="60"/>
  <c r="S24" i="60"/>
  <c r="S25" i="60" s="1"/>
  <c r="S28" i="60" s="1"/>
  <c r="S31" i="60" s="1"/>
  <c r="I17" i="60"/>
  <c r="I18" i="60" s="1"/>
  <c r="I21" i="60" s="1"/>
  <c r="I31" i="60" s="1"/>
  <c r="I19" i="60"/>
  <c r="I22" i="60" s="1"/>
  <c r="I32" i="60" s="1"/>
  <c r="H31" i="60"/>
  <c r="U79" i="37"/>
  <c r="U111" i="37" s="1"/>
  <c r="U132" i="37" s="1"/>
  <c r="U80" i="37"/>
  <c r="U74" i="37"/>
  <c r="U82" i="37"/>
  <c r="U86" i="37" s="1"/>
  <c r="U108" i="37" s="1"/>
  <c r="P107" i="37"/>
  <c r="P71" i="37"/>
  <c r="P74" i="37"/>
  <c r="P79" i="37"/>
  <c r="P111" i="37" s="1"/>
  <c r="P132" i="37" s="1"/>
  <c r="S74" i="37"/>
  <c r="S80" i="37"/>
  <c r="S79" i="37"/>
  <c r="S111" i="37" s="1"/>
  <c r="S132" i="37" s="1"/>
  <c r="G92" i="56"/>
  <c r="M70" i="37"/>
  <c r="M107" i="37" s="1"/>
  <c r="M114" i="37"/>
  <c r="M65" i="37"/>
  <c r="M112" i="37" s="1"/>
  <c r="M73" i="37"/>
  <c r="M66" i="37"/>
  <c r="M67" i="37" s="1"/>
  <c r="M113" i="37" s="1"/>
  <c r="M80" i="37"/>
  <c r="M91" i="37"/>
  <c r="M92" i="37" s="1"/>
  <c r="M102" i="37" s="1"/>
  <c r="M113" i="56"/>
  <c r="N113" i="56"/>
  <c r="Q12" i="56"/>
  <c r="O113" i="56"/>
  <c r="R113" i="56"/>
  <c r="J82" i="56"/>
  <c r="J85" i="56" s="1"/>
  <c r="P113" i="56"/>
  <c r="S12" i="56"/>
  <c r="U93" i="56"/>
  <c r="U104" i="56"/>
  <c r="T113" i="56"/>
  <c r="L118" i="56"/>
  <c r="L109" i="56"/>
  <c r="G34" i="56"/>
  <c r="G102" i="56"/>
  <c r="G35" i="56"/>
  <c r="V104" i="56"/>
  <c r="U113" i="56"/>
  <c r="M118" i="56"/>
  <c r="M109" i="56"/>
  <c r="T109" i="56"/>
  <c r="T118" i="56"/>
  <c r="H34" i="56"/>
  <c r="H102" i="56"/>
  <c r="H35" i="56"/>
  <c r="M103" i="56"/>
  <c r="W93" i="56"/>
  <c r="W104" i="56"/>
  <c r="N118" i="56"/>
  <c r="N109" i="56"/>
  <c r="P34" i="56"/>
  <c r="P102" i="56"/>
  <c r="P35" i="56"/>
  <c r="G104" i="56"/>
  <c r="W113" i="56"/>
  <c r="O118" i="56"/>
  <c r="O109" i="56"/>
  <c r="Q34" i="56"/>
  <c r="Q102" i="56"/>
  <c r="Q35" i="56"/>
  <c r="O103" i="56"/>
  <c r="H104" i="56"/>
  <c r="P118" i="56"/>
  <c r="P109" i="56"/>
  <c r="R34" i="56"/>
  <c r="R102" i="56"/>
  <c r="R35" i="56"/>
  <c r="P103" i="56"/>
  <c r="I104" i="56"/>
  <c r="P82" i="56"/>
  <c r="P85" i="56" s="1"/>
  <c r="Q109" i="56"/>
  <c r="Q118" i="56"/>
  <c r="G118" i="56"/>
  <c r="G109" i="56"/>
  <c r="S34" i="56"/>
  <c r="S102" i="56"/>
  <c r="S35" i="56"/>
  <c r="J104" i="56"/>
  <c r="R109" i="56"/>
  <c r="R118" i="56"/>
  <c r="H118" i="56"/>
  <c r="H109" i="56"/>
  <c r="T102" i="56"/>
  <c r="T35" i="56"/>
  <c r="T34" i="56"/>
  <c r="S109" i="56"/>
  <c r="S118" i="56"/>
  <c r="U102" i="56"/>
  <c r="U35" i="56"/>
  <c r="U34" i="56"/>
  <c r="R104" i="56"/>
  <c r="P105" i="56"/>
  <c r="V102" i="56"/>
  <c r="V35" i="56"/>
  <c r="V34" i="56"/>
  <c r="S104" i="56"/>
  <c r="V113" i="56"/>
  <c r="U109" i="56"/>
  <c r="U118" i="56"/>
  <c r="I34" i="56"/>
  <c r="I102" i="56"/>
  <c r="I35" i="56"/>
  <c r="T104" i="56"/>
  <c r="U82" i="56"/>
  <c r="U85" i="56" s="1"/>
  <c r="V109" i="56"/>
  <c r="V118" i="56"/>
  <c r="J34" i="56"/>
  <c r="J102" i="56"/>
  <c r="J35" i="56"/>
  <c r="V82" i="56"/>
  <c r="V85" i="56" s="1"/>
  <c r="G113" i="56"/>
  <c r="W109" i="56"/>
  <c r="W118" i="56"/>
  <c r="K34" i="56"/>
  <c r="K102" i="56"/>
  <c r="K35" i="56"/>
  <c r="W82" i="56"/>
  <c r="W85" i="56" s="1"/>
  <c r="L34" i="56"/>
  <c r="L102" i="56"/>
  <c r="L35" i="56"/>
  <c r="J105" i="56"/>
  <c r="I113" i="56"/>
  <c r="M34" i="56"/>
  <c r="M102" i="56"/>
  <c r="M35" i="56"/>
  <c r="I118" i="56"/>
  <c r="I109" i="56"/>
  <c r="N34" i="56"/>
  <c r="N102" i="56"/>
  <c r="N35" i="56"/>
  <c r="J118" i="56"/>
  <c r="J109" i="56"/>
  <c r="O34" i="56"/>
  <c r="O102" i="56"/>
  <c r="O35" i="56"/>
  <c r="Q103" i="56"/>
  <c r="K118" i="56"/>
  <c r="K109" i="56"/>
  <c r="R103" i="56"/>
  <c r="R108" i="56" s="1"/>
  <c r="M82" i="56"/>
  <c r="M85" i="56" s="1"/>
  <c r="S103" i="56"/>
  <c r="T103" i="56"/>
  <c r="T108" i="56" s="1"/>
  <c r="P104" i="56"/>
  <c r="I32" i="56"/>
  <c r="J39" i="56"/>
  <c r="N43" i="56"/>
  <c r="U44" i="56"/>
  <c r="J90" i="56"/>
  <c r="J92" i="56" s="1"/>
  <c r="J32" i="56"/>
  <c r="K39" i="56"/>
  <c r="O43" i="56"/>
  <c r="V44" i="56"/>
  <c r="K90" i="56"/>
  <c r="K92" i="56" s="1"/>
  <c r="K32" i="56"/>
  <c r="L39" i="56"/>
  <c r="W44" i="56"/>
  <c r="L90" i="56"/>
  <c r="L32" i="56"/>
  <c r="M39" i="56"/>
  <c r="M90" i="56"/>
  <c r="W30" i="56"/>
  <c r="W33" i="56" s="1"/>
  <c r="M32" i="56"/>
  <c r="N39" i="56"/>
  <c r="K42" i="56"/>
  <c r="K45" i="56" s="1"/>
  <c r="V47" i="56"/>
  <c r="V49" i="56" s="1"/>
  <c r="N90" i="56"/>
  <c r="N92" i="56" s="1"/>
  <c r="N32" i="56"/>
  <c r="O39" i="56"/>
  <c r="L42" i="56"/>
  <c r="L45" i="56" s="1"/>
  <c r="W47" i="56"/>
  <c r="W49" i="56" s="1"/>
  <c r="J52" i="56"/>
  <c r="J54" i="56" s="1"/>
  <c r="U57" i="56"/>
  <c r="U59" i="56" s="1"/>
  <c r="U103" i="56" s="1"/>
  <c r="H62" i="56"/>
  <c r="H64" i="56" s="1"/>
  <c r="H93" i="56" s="1"/>
  <c r="S67" i="56"/>
  <c r="S69" i="56" s="1"/>
  <c r="Q77" i="56"/>
  <c r="Q80" i="56" s="1"/>
  <c r="G79" i="56"/>
  <c r="G80" i="56" s="1"/>
  <c r="O90" i="56"/>
  <c r="O92" i="56" s="1"/>
  <c r="V91" i="56"/>
  <c r="V92" i="56" s="1"/>
  <c r="V93" i="56" s="1"/>
  <c r="O32" i="56"/>
  <c r="P39" i="56"/>
  <c r="M42" i="56"/>
  <c r="M45" i="56" s="1"/>
  <c r="K52" i="56"/>
  <c r="K54" i="56" s="1"/>
  <c r="V57" i="56"/>
  <c r="V59" i="56" s="1"/>
  <c r="I62" i="56"/>
  <c r="I64" i="56" s="1"/>
  <c r="T67" i="56"/>
  <c r="T69" i="56" s="1"/>
  <c r="G72" i="56"/>
  <c r="G74" i="56" s="1"/>
  <c r="R77" i="56"/>
  <c r="R80" i="56" s="1"/>
  <c r="R105" i="56" s="1"/>
  <c r="H79" i="56"/>
  <c r="H80" i="56" s="1"/>
  <c r="H105" i="56" s="1"/>
  <c r="P90" i="56"/>
  <c r="P92" i="56" s="1"/>
  <c r="I31" i="56"/>
  <c r="P32" i="56"/>
  <c r="J38" i="56"/>
  <c r="Q39" i="56"/>
  <c r="N42" i="56"/>
  <c r="N45" i="56" s="1"/>
  <c r="U43" i="56"/>
  <c r="L52" i="56"/>
  <c r="L54" i="56" s="1"/>
  <c r="W57" i="56"/>
  <c r="W59" i="56" s="1"/>
  <c r="J62" i="56"/>
  <c r="J64" i="56" s="1"/>
  <c r="U67" i="56"/>
  <c r="U69" i="56" s="1"/>
  <c r="U105" i="56" s="1"/>
  <c r="H72" i="56"/>
  <c r="H74" i="56" s="1"/>
  <c r="S77" i="56"/>
  <c r="S80" i="56" s="1"/>
  <c r="I79" i="56"/>
  <c r="I80" i="56" s="1"/>
  <c r="J89" i="56"/>
  <c r="Q90" i="56"/>
  <c r="Q92" i="56" s="1"/>
  <c r="J31" i="56"/>
  <c r="K38" i="56"/>
  <c r="O42" i="56"/>
  <c r="O45" i="56" s="1"/>
  <c r="V43" i="56"/>
  <c r="M52" i="56"/>
  <c r="M54" i="56" s="1"/>
  <c r="K62" i="56"/>
  <c r="K64" i="56" s="1"/>
  <c r="V67" i="56"/>
  <c r="V69" i="56" s="1"/>
  <c r="V105" i="56" s="1"/>
  <c r="I72" i="56"/>
  <c r="I74" i="56" s="1"/>
  <c r="T77" i="56"/>
  <c r="T80" i="56" s="1"/>
  <c r="K89" i="56"/>
  <c r="H10" i="56"/>
  <c r="H12" i="56" s="1"/>
  <c r="K31" i="56"/>
  <c r="L38" i="56"/>
  <c r="W43" i="56"/>
  <c r="K79" i="56"/>
  <c r="K80" i="56" s="1"/>
  <c r="L89" i="56"/>
  <c r="S90" i="56"/>
  <c r="S92" i="56" s="1"/>
  <c r="L31" i="56"/>
  <c r="S32" i="56"/>
  <c r="M38" i="56"/>
  <c r="T39" i="56"/>
  <c r="Q42" i="56"/>
  <c r="Q45" i="56" s="1"/>
  <c r="G44" i="56"/>
  <c r="L79" i="56"/>
  <c r="L80" i="56" s="1"/>
  <c r="L105" i="56" s="1"/>
  <c r="M89" i="56"/>
  <c r="T90" i="56"/>
  <c r="T92" i="56" s="1"/>
  <c r="J10" i="56"/>
  <c r="J12" i="56" s="1"/>
  <c r="M31" i="56"/>
  <c r="N38" i="56"/>
  <c r="N89" i="56"/>
  <c r="K10" i="56"/>
  <c r="K12" i="56" s="1"/>
  <c r="N31" i="56"/>
  <c r="O38" i="56"/>
  <c r="G78" i="56"/>
  <c r="O89" i="56"/>
  <c r="L10" i="56"/>
  <c r="L12" i="56" s="1"/>
  <c r="O31" i="56"/>
  <c r="P38" i="56"/>
  <c r="H78" i="56"/>
  <c r="P89" i="56"/>
  <c r="H47" i="56"/>
  <c r="H49" i="56" s="1"/>
  <c r="H103" i="56" s="1"/>
  <c r="S52" i="56"/>
  <c r="S54" i="56" s="1"/>
  <c r="Q62" i="56"/>
  <c r="Q64" i="56" s="1"/>
  <c r="O72" i="56"/>
  <c r="O74" i="56" s="1"/>
  <c r="J88" i="56"/>
  <c r="I47" i="56"/>
  <c r="I49" i="56" s="1"/>
  <c r="T52" i="56"/>
  <c r="T54" i="56" s="1"/>
  <c r="G57" i="56"/>
  <c r="G59" i="56" s="1"/>
  <c r="G103" i="56" s="1"/>
  <c r="R62" i="56"/>
  <c r="R64" i="56" s="1"/>
  <c r="R93" i="56" s="1"/>
  <c r="P72" i="56"/>
  <c r="P74" i="56" s="1"/>
  <c r="K88" i="56"/>
  <c r="J47" i="56"/>
  <c r="J49" i="56" s="1"/>
  <c r="J103" i="56" s="1"/>
  <c r="U52" i="56"/>
  <c r="U54" i="56" s="1"/>
  <c r="H57" i="56"/>
  <c r="H59" i="56" s="1"/>
  <c r="S62" i="56"/>
  <c r="S64" i="56" s="1"/>
  <c r="Q72" i="56"/>
  <c r="Q74" i="56" s="1"/>
  <c r="L88" i="56"/>
  <c r="K47" i="56"/>
  <c r="K49" i="56" s="1"/>
  <c r="K103" i="56" s="1"/>
  <c r="V52" i="56"/>
  <c r="V54" i="56" s="1"/>
  <c r="I57" i="56"/>
  <c r="I59" i="56" s="1"/>
  <c r="T62" i="56"/>
  <c r="T64" i="56" s="1"/>
  <c r="G67" i="56"/>
  <c r="G69" i="56" s="1"/>
  <c r="R72" i="56"/>
  <c r="R74" i="56" s="1"/>
  <c r="M88" i="56"/>
  <c r="J92" i="37"/>
  <c r="J102" i="37" s="1"/>
  <c r="J120" i="37"/>
  <c r="J134" i="37" s="1"/>
  <c r="J93" i="37"/>
  <c r="J109" i="37" s="1"/>
  <c r="J94" i="37"/>
  <c r="J115" i="37" s="1"/>
  <c r="Q56" i="37"/>
  <c r="K94" i="37"/>
  <c r="K115" i="37" s="1"/>
  <c r="K92" i="37"/>
  <c r="K102" i="37" s="1"/>
  <c r="K120" i="37"/>
  <c r="K134" i="37" s="1"/>
  <c r="K93" i="37"/>
  <c r="K109" i="37" s="1"/>
  <c r="T56" i="37"/>
  <c r="S124" i="37"/>
  <c r="S100" i="37"/>
  <c r="T124" i="37"/>
  <c r="T100" i="37"/>
  <c r="U124" i="37"/>
  <c r="U100" i="37"/>
  <c r="V124" i="37"/>
  <c r="V100" i="37"/>
  <c r="I92" i="37"/>
  <c r="I102" i="37" s="1"/>
  <c r="I120" i="37"/>
  <c r="I134" i="37" s="1"/>
  <c r="I93" i="37"/>
  <c r="I109" i="37" s="1"/>
  <c r="I94" i="37"/>
  <c r="I115" i="37" s="1"/>
  <c r="X56" i="37"/>
  <c r="W124" i="37"/>
  <c r="W100" i="37"/>
  <c r="V110" i="37"/>
  <c r="V131" i="37" s="1"/>
  <c r="V95" i="37"/>
  <c r="X124" i="37"/>
  <c r="X100" i="37"/>
  <c r="V62" i="37"/>
  <c r="V59" i="37"/>
  <c r="V63" i="37"/>
  <c r="V96" i="37" s="1"/>
  <c r="V60" i="37"/>
  <c r="V61" i="37"/>
  <c r="H119" i="37"/>
  <c r="H133" i="37" s="1"/>
  <c r="H85" i="37"/>
  <c r="H86" i="37"/>
  <c r="H87" i="37"/>
  <c r="H116" i="37" s="1"/>
  <c r="R99" i="37"/>
  <c r="I119" i="37"/>
  <c r="I133" i="37" s="1"/>
  <c r="I85" i="37"/>
  <c r="I86" i="37"/>
  <c r="I87" i="37"/>
  <c r="I116" i="37" s="1"/>
  <c r="S99" i="37"/>
  <c r="H94" i="37"/>
  <c r="H115" i="37" s="1"/>
  <c r="H92" i="37"/>
  <c r="H102" i="37" s="1"/>
  <c r="H120" i="37"/>
  <c r="H134" i="37" s="1"/>
  <c r="H93" i="37"/>
  <c r="H109" i="37" s="1"/>
  <c r="J119" i="37"/>
  <c r="J133" i="37" s="1"/>
  <c r="J85" i="37"/>
  <c r="J87" i="37"/>
  <c r="J116" i="37" s="1"/>
  <c r="J86" i="37"/>
  <c r="T99" i="37"/>
  <c r="J99" i="37"/>
  <c r="V120" i="37"/>
  <c r="V134" i="37" s="1"/>
  <c r="V93" i="37"/>
  <c r="V109" i="37" s="1"/>
  <c r="V94" i="37"/>
  <c r="V115" i="37" s="1"/>
  <c r="V92" i="37"/>
  <c r="V102" i="37" s="1"/>
  <c r="K119" i="37"/>
  <c r="K133" i="37" s="1"/>
  <c r="K85" i="37"/>
  <c r="K86" i="37"/>
  <c r="K87" i="37"/>
  <c r="K116" i="37" s="1"/>
  <c r="U99" i="37"/>
  <c r="K99" i="37"/>
  <c r="W93" i="37"/>
  <c r="W109" i="37" s="1"/>
  <c r="W94" i="37"/>
  <c r="W115" i="37" s="1"/>
  <c r="W92" i="37"/>
  <c r="W102" i="37" s="1"/>
  <c r="W120" i="37"/>
  <c r="W134" i="37" s="1"/>
  <c r="T85" i="37"/>
  <c r="T86" i="37"/>
  <c r="T87" i="37"/>
  <c r="T116" i="37" s="1"/>
  <c r="T119" i="37"/>
  <c r="T133" i="37" s="1"/>
  <c r="L119" i="37"/>
  <c r="L133" i="37" s="1"/>
  <c r="L85" i="37"/>
  <c r="L86" i="37"/>
  <c r="L87" i="37"/>
  <c r="L116" i="37" s="1"/>
  <c r="V99" i="37"/>
  <c r="L123" i="37"/>
  <c r="L99" i="37"/>
  <c r="X93" i="37"/>
  <c r="X109" i="37" s="1"/>
  <c r="X94" i="37"/>
  <c r="X115" i="37" s="1"/>
  <c r="X92" i="37"/>
  <c r="X102" i="37" s="1"/>
  <c r="X120" i="37"/>
  <c r="X134" i="37" s="1"/>
  <c r="H36" i="37"/>
  <c r="H37" i="37"/>
  <c r="H34" i="37"/>
  <c r="H35" i="37"/>
  <c r="M119" i="37"/>
  <c r="M133" i="37" s="1"/>
  <c r="M85" i="37"/>
  <c r="M86" i="37"/>
  <c r="M87" i="37"/>
  <c r="M116" i="37" s="1"/>
  <c r="W99" i="37"/>
  <c r="M123" i="37"/>
  <c r="M99" i="37"/>
  <c r="K37" i="37"/>
  <c r="K34" i="37"/>
  <c r="K35" i="37"/>
  <c r="K36" i="37"/>
  <c r="O37" i="37"/>
  <c r="O34" i="37"/>
  <c r="O35" i="37"/>
  <c r="O36" i="37"/>
  <c r="O33" i="37"/>
  <c r="N119" i="37"/>
  <c r="N133" i="37" s="1"/>
  <c r="N85" i="37"/>
  <c r="N86" i="37"/>
  <c r="N87" i="37"/>
  <c r="N116" i="37" s="1"/>
  <c r="X99" i="37"/>
  <c r="N123" i="37"/>
  <c r="N99" i="37"/>
  <c r="L37" i="37"/>
  <c r="L34" i="37"/>
  <c r="L35" i="37"/>
  <c r="L36" i="37"/>
  <c r="P37" i="37"/>
  <c r="P34" i="37"/>
  <c r="P35" i="37"/>
  <c r="P36" i="37"/>
  <c r="O119" i="37"/>
  <c r="O133" i="37" s="1"/>
  <c r="O85" i="37"/>
  <c r="O86" i="37"/>
  <c r="O87" i="37"/>
  <c r="O116" i="37" s="1"/>
  <c r="U130" i="37"/>
  <c r="M33" i="37"/>
  <c r="M36" i="37"/>
  <c r="M37" i="37"/>
  <c r="M34" i="37"/>
  <c r="M35" i="37"/>
  <c r="Q37" i="37"/>
  <c r="Q34" i="37"/>
  <c r="Q35" i="37"/>
  <c r="Q36" i="37"/>
  <c r="P85" i="37"/>
  <c r="P86" i="37"/>
  <c r="P87" i="37"/>
  <c r="P116" i="37" s="1"/>
  <c r="P119" i="37"/>
  <c r="P133" i="37" s="1"/>
  <c r="W108" i="37"/>
  <c r="W130" i="37"/>
  <c r="N37" i="37"/>
  <c r="N34" i="37"/>
  <c r="N35" i="37"/>
  <c r="N36" i="37"/>
  <c r="N33" i="37"/>
  <c r="Q85" i="37"/>
  <c r="Q86" i="37"/>
  <c r="Q87" i="37"/>
  <c r="Q116" i="37" s="1"/>
  <c r="Q119" i="37"/>
  <c r="Q133" i="37" s="1"/>
  <c r="J114" i="37"/>
  <c r="X108" i="37"/>
  <c r="X130" i="37"/>
  <c r="R86" i="37"/>
  <c r="R119" i="37"/>
  <c r="R133" i="37" s="1"/>
  <c r="R87" i="37"/>
  <c r="R116" i="37" s="1"/>
  <c r="R85" i="37"/>
  <c r="K114" i="37"/>
  <c r="O58" i="37"/>
  <c r="O98" i="37" s="1"/>
  <c r="O122" i="37" s="1"/>
  <c r="S86" i="37"/>
  <c r="S87" i="37"/>
  <c r="S116" i="37" s="1"/>
  <c r="S119" i="37"/>
  <c r="S133" i="37" s="1"/>
  <c r="S85" i="37"/>
  <c r="L114" i="37"/>
  <c r="V82" i="37"/>
  <c r="O129" i="37"/>
  <c r="Q9" i="37"/>
  <c r="K15" i="37"/>
  <c r="R16" i="37"/>
  <c r="R17" i="37" s="1"/>
  <c r="I25" i="37"/>
  <c r="P26" i="37"/>
  <c r="W27" i="37"/>
  <c r="R40" i="37"/>
  <c r="S71" i="37"/>
  <c r="S114" i="37" s="1"/>
  <c r="U85" i="37"/>
  <c r="O91" i="37"/>
  <c r="L94" i="37"/>
  <c r="L115" i="37" s="1"/>
  <c r="L15" i="37"/>
  <c r="S16" i="37"/>
  <c r="S17" i="37" s="1"/>
  <c r="Q26" i="37"/>
  <c r="X27" i="37"/>
  <c r="S40" i="37"/>
  <c r="T71" i="37"/>
  <c r="T114" i="37" s="1"/>
  <c r="P91" i="37"/>
  <c r="M94" i="37"/>
  <c r="M115" i="37" s="1"/>
  <c r="M15" i="37"/>
  <c r="T16" i="37"/>
  <c r="T17" i="37" s="1"/>
  <c r="K25" i="37"/>
  <c r="R26" i="37"/>
  <c r="T40" i="37"/>
  <c r="H52" i="37"/>
  <c r="U71" i="37"/>
  <c r="U114" i="37" s="1"/>
  <c r="W85" i="37"/>
  <c r="Q91" i="37"/>
  <c r="N94" i="37"/>
  <c r="N115" i="37" s="1"/>
  <c r="H100" i="37"/>
  <c r="I107" i="37"/>
  <c r="U119" i="37"/>
  <c r="U133" i="37" s="1"/>
  <c r="U16" i="37"/>
  <c r="U17" i="37" s="1"/>
  <c r="S26" i="37"/>
  <c r="U40" i="37"/>
  <c r="I52" i="37"/>
  <c r="V71" i="37"/>
  <c r="V114" i="37" s="1"/>
  <c r="X85" i="37"/>
  <c r="R91" i="37"/>
  <c r="I100" i="37"/>
  <c r="J107" i="37"/>
  <c r="R12" i="37"/>
  <c r="V16" i="37"/>
  <c r="V17" i="37" s="1"/>
  <c r="T26" i="37"/>
  <c r="H38" i="37"/>
  <c r="V40" i="37"/>
  <c r="J52" i="37"/>
  <c r="W71" i="37"/>
  <c r="S91" i="37"/>
  <c r="J100" i="37"/>
  <c r="K107" i="37"/>
  <c r="W119" i="37"/>
  <c r="W133" i="37" s="1"/>
  <c r="S12" i="37"/>
  <c r="I14" i="37"/>
  <c r="W16" i="37"/>
  <c r="W17" i="37" s="1"/>
  <c r="U26" i="37"/>
  <c r="I38" i="37"/>
  <c r="W40" i="37"/>
  <c r="O80" i="37"/>
  <c r="T91" i="37"/>
  <c r="L107" i="37"/>
  <c r="X119" i="37"/>
  <c r="X133" i="37" s="1"/>
  <c r="T12" i="37"/>
  <c r="J14" i="37"/>
  <c r="X16" i="37"/>
  <c r="X17" i="37" s="1"/>
  <c r="H24" i="37"/>
  <c r="V26" i="37"/>
  <c r="J38" i="37"/>
  <c r="X40" i="37"/>
  <c r="V50" i="37"/>
  <c r="L52" i="37"/>
  <c r="S53" i="37"/>
  <c r="S58" i="37" s="1"/>
  <c r="N66" i="37"/>
  <c r="N67" i="37" s="1"/>
  <c r="N113" i="37" s="1"/>
  <c r="K69" i="37"/>
  <c r="P80" i="37"/>
  <c r="U91" i="37"/>
  <c r="Q8" i="37"/>
  <c r="U12" i="37"/>
  <c r="K14" i="37"/>
  <c r="R15" i="37"/>
  <c r="I24" i="37"/>
  <c r="P25" i="37"/>
  <c r="W26" i="37"/>
  <c r="K38" i="37"/>
  <c r="O42" i="37"/>
  <c r="O43" i="37" s="1"/>
  <c r="O54" i="37" s="1"/>
  <c r="O95" i="37" s="1"/>
  <c r="W50" i="37"/>
  <c r="M52" i="37"/>
  <c r="M58" i="37" s="1"/>
  <c r="H65" i="37"/>
  <c r="H112" i="37" s="1"/>
  <c r="O66" i="37"/>
  <c r="O67" i="37" s="1"/>
  <c r="O113" i="37" s="1"/>
  <c r="L69" i="37"/>
  <c r="S70" i="37"/>
  <c r="W74" i="37"/>
  <c r="L93" i="37"/>
  <c r="L109" i="37" s="1"/>
  <c r="R8" i="37"/>
  <c r="V12" i="37"/>
  <c r="L14" i="37"/>
  <c r="S15" i="37"/>
  <c r="J24" i="37"/>
  <c r="Q25" i="37"/>
  <c r="X26" i="37"/>
  <c r="L38" i="37"/>
  <c r="X50" i="37"/>
  <c r="N52" i="37"/>
  <c r="N58" i="37" s="1"/>
  <c r="N98" i="37" s="1"/>
  <c r="N122" i="37" s="1"/>
  <c r="U53" i="37"/>
  <c r="U58" i="37" s="1"/>
  <c r="I65" i="37"/>
  <c r="I112" i="37" s="1"/>
  <c r="P66" i="37"/>
  <c r="P67" i="37" s="1"/>
  <c r="P113" i="37" s="1"/>
  <c r="M69" i="37"/>
  <c r="T70" i="37"/>
  <c r="X74" i="37"/>
  <c r="X114" i="37" s="1"/>
  <c r="M93" i="37"/>
  <c r="M109" i="37" s="1"/>
  <c r="S8" i="37"/>
  <c r="W12" i="37"/>
  <c r="M14" i="37"/>
  <c r="T15" i="37"/>
  <c r="K24" i="37"/>
  <c r="R25" i="37"/>
  <c r="H27" i="37"/>
  <c r="M38" i="37"/>
  <c r="H51" i="37"/>
  <c r="V53" i="37"/>
  <c r="J65" i="37"/>
  <c r="J112" i="37" s="1"/>
  <c r="Q66" i="37"/>
  <c r="Q67" i="37" s="1"/>
  <c r="Q113" i="37" s="1"/>
  <c r="N69" i="37"/>
  <c r="U70" i="37"/>
  <c r="N93" i="37"/>
  <c r="N109" i="37" s="1"/>
  <c r="H99" i="37"/>
  <c r="O100" i="37"/>
  <c r="T8" i="37"/>
  <c r="X12" i="37"/>
  <c r="N14" i="37"/>
  <c r="U15" i="37"/>
  <c r="L24" i="37"/>
  <c r="L32" i="37" s="1"/>
  <c r="S25" i="37"/>
  <c r="I27" i="37"/>
  <c r="N38" i="37"/>
  <c r="I51" i="37"/>
  <c r="P52" i="37"/>
  <c r="P58" i="37" s="1"/>
  <c r="W53" i="37"/>
  <c r="K65" i="37"/>
  <c r="K112" i="37" s="1"/>
  <c r="R66" i="37"/>
  <c r="R67" i="37" s="1"/>
  <c r="R113" i="37" s="1"/>
  <c r="V70" i="37"/>
  <c r="U87" i="37"/>
  <c r="U116" i="37" s="1"/>
  <c r="I99" i="37"/>
  <c r="P100" i="37"/>
  <c r="L120" i="37"/>
  <c r="L134" i="37" s="1"/>
  <c r="U8" i="37"/>
  <c r="V15" i="37"/>
  <c r="T25" i="37"/>
  <c r="J27" i="37"/>
  <c r="O38" i="37"/>
  <c r="L41" i="37"/>
  <c r="L42" i="37" s="1"/>
  <c r="L43" i="37" s="1"/>
  <c r="L54" i="37" s="1"/>
  <c r="J51" i="37"/>
  <c r="Q52" i="37"/>
  <c r="Q58" i="37" s="1"/>
  <c r="X53" i="37"/>
  <c r="S66" i="37"/>
  <c r="S67" i="37" s="1"/>
  <c r="S113" i="37" s="1"/>
  <c r="W70" i="37"/>
  <c r="Q100" i="37"/>
  <c r="M120" i="37"/>
  <c r="M134" i="37" s="1"/>
  <c r="W15" i="37"/>
  <c r="U25" i="37"/>
  <c r="K27" i="37"/>
  <c r="P38" i="37"/>
  <c r="K51" i="37"/>
  <c r="K58" i="37" s="1"/>
  <c r="T66" i="37"/>
  <c r="T67" i="37" s="1"/>
  <c r="T113" i="37" s="1"/>
  <c r="X70" i="37"/>
  <c r="W87" i="37"/>
  <c r="W116" i="37" s="1"/>
  <c r="R100" i="37"/>
  <c r="N120" i="37"/>
  <c r="N134" i="37" s="1"/>
  <c r="X15" i="37"/>
  <c r="V25" i="37"/>
  <c r="N41" i="37"/>
  <c r="N42" i="37" s="1"/>
  <c r="N43" i="37" s="1"/>
  <c r="L51" i="37"/>
  <c r="U66" i="37"/>
  <c r="U67" i="37" s="1"/>
  <c r="U113" i="37" s="1"/>
  <c r="X87" i="37"/>
  <c r="X116" i="37" s="1"/>
  <c r="P24" i="37"/>
  <c r="O65" i="37"/>
  <c r="O112" i="37" s="1"/>
  <c r="I16" i="37"/>
  <c r="I17" i="37" s="1"/>
  <c r="Q24" i="37"/>
  <c r="W42" i="37"/>
  <c r="W43" i="37" s="1"/>
  <c r="W54" i="37" s="1"/>
  <c r="P65" i="37"/>
  <c r="P112" i="37" s="1"/>
  <c r="J16" i="37"/>
  <c r="J17" i="37" s="1"/>
  <c r="R24" i="37"/>
  <c r="X42" i="37"/>
  <c r="X43" i="37" s="1"/>
  <c r="X54" i="37" s="1"/>
  <c r="H50" i="37"/>
  <c r="Q65" i="37"/>
  <c r="Q112" i="37" s="1"/>
  <c r="X66" i="37"/>
  <c r="X67" i="37" s="1"/>
  <c r="X113" i="37" s="1"/>
  <c r="S24" i="37"/>
  <c r="I50" i="37"/>
  <c r="R65" i="37"/>
  <c r="R112" i="37" s="1"/>
  <c r="S65" i="37"/>
  <c r="S112" i="37" s="1"/>
  <c r="T65" i="37"/>
  <c r="T112" i="37" s="1"/>
  <c r="O19" i="75"/>
  <c r="O62" i="75"/>
  <c r="O71" i="75" s="1"/>
  <c r="Z62" i="75"/>
  <c r="Z71" i="75" s="1"/>
  <c r="Z19" i="75"/>
  <c r="P19" i="75"/>
  <c r="P62" i="75"/>
  <c r="P71" i="75" s="1"/>
  <c r="J62" i="75"/>
  <c r="J71" i="75" s="1"/>
  <c r="J19" i="75"/>
  <c r="Q19" i="75"/>
  <c r="Q62" i="75"/>
  <c r="Q71" i="75" s="1"/>
  <c r="R19" i="75"/>
  <c r="R20" i="75" s="1"/>
  <c r="R62" i="75"/>
  <c r="R71" i="75" s="1"/>
  <c r="S19" i="75"/>
  <c r="S20" i="75" s="1"/>
  <c r="S62" i="75"/>
  <c r="S71" i="75" s="1"/>
  <c r="M62" i="75"/>
  <c r="M71" i="75" s="1"/>
  <c r="M19" i="75"/>
  <c r="T19" i="75"/>
  <c r="T62" i="75"/>
  <c r="T71" i="75" s="1"/>
  <c r="N62" i="75"/>
  <c r="N71" i="75" s="1"/>
  <c r="N19" i="75"/>
  <c r="U19" i="75"/>
  <c r="U62" i="75"/>
  <c r="U71" i="75" s="1"/>
  <c r="P20" i="75"/>
  <c r="P59" i="75"/>
  <c r="P68" i="75" s="1"/>
  <c r="N59" i="75"/>
  <c r="N68" i="75" s="1"/>
  <c r="N57" i="75"/>
  <c r="N66" i="75" s="1"/>
  <c r="N58" i="75"/>
  <c r="N67" i="75" s="1"/>
  <c r="Q59" i="75"/>
  <c r="Q68" i="75" s="1"/>
  <c r="Y19" i="75"/>
  <c r="Y20" i="75" s="1"/>
  <c r="Y62" i="75"/>
  <c r="Y71" i="75" s="1"/>
  <c r="X57" i="75"/>
  <c r="X66" i="75" s="1"/>
  <c r="V63" i="75"/>
  <c r="V72" i="75" s="1"/>
  <c r="N20" i="75"/>
  <c r="U20" i="75"/>
  <c r="X63" i="75"/>
  <c r="X72" i="75" s="1"/>
  <c r="W20" i="75"/>
  <c r="W63" i="75" s="1"/>
  <c r="W72" i="75" s="1"/>
  <c r="J20" i="75"/>
  <c r="Q20" i="75"/>
  <c r="Z20" i="75"/>
  <c r="V57" i="75"/>
  <c r="V66" i="75" s="1"/>
  <c r="V58" i="75"/>
  <c r="V67" i="75" s="1"/>
  <c r="V59" i="75"/>
  <c r="V68" i="75" s="1"/>
  <c r="K62" i="75"/>
  <c r="K71" i="75" s="1"/>
  <c r="K19" i="75"/>
  <c r="L62" i="75"/>
  <c r="L71" i="75" s="1"/>
  <c r="L19" i="75"/>
  <c r="L20" i="75" s="1"/>
  <c r="K6" i="75"/>
  <c r="L6" i="75"/>
  <c r="P58" i="75"/>
  <c r="P67" i="75" s="1"/>
  <c r="M6" i="75"/>
  <c r="K41" i="37" s="1"/>
  <c r="K42" i="37" s="1"/>
  <c r="K43" i="37" s="1"/>
  <c r="K54" i="37" s="1"/>
  <c r="Q58" i="75"/>
  <c r="Q67" i="75" s="1"/>
  <c r="X59" i="75"/>
  <c r="X68" i="75" s="1"/>
  <c r="Y59" i="75"/>
  <c r="Y68" i="75" s="1"/>
  <c r="V62" i="75"/>
  <c r="V71" i="75" s="1"/>
  <c r="O6" i="75"/>
  <c r="Z59" i="75"/>
  <c r="Z68" i="75" s="1"/>
  <c r="W62" i="75"/>
  <c r="W71" i="75" s="1"/>
  <c r="X62" i="75"/>
  <c r="X71" i="75" s="1"/>
  <c r="R6" i="75"/>
  <c r="S6" i="75"/>
  <c r="S57" i="75" s="1"/>
  <c r="S66" i="75" s="1"/>
  <c r="P57" i="75"/>
  <c r="P66" i="75" s="1"/>
  <c r="T6" i="75"/>
  <c r="R10" i="37" s="1"/>
  <c r="R11" i="37" s="1"/>
  <c r="Q57" i="75"/>
  <c r="Q66" i="75" s="1"/>
  <c r="X58" i="75"/>
  <c r="X67" i="75" s="1"/>
  <c r="Y58" i="75"/>
  <c r="Y67" i="75" s="1"/>
  <c r="Z58" i="75"/>
  <c r="Z67" i="75" s="1"/>
  <c r="P168" i="54"/>
  <c r="Q168" i="54"/>
  <c r="I3" i="54"/>
  <c r="I5" i="54" s="1"/>
  <c r="R168" i="54"/>
  <c r="H149" i="54"/>
  <c r="H157" i="54" s="1"/>
  <c r="S168" i="54"/>
  <c r="L230" i="54"/>
  <c r="L237" i="54" s="1"/>
  <c r="L248" i="54" s="1"/>
  <c r="J149" i="54"/>
  <c r="J157" i="54" s="1"/>
  <c r="M233" i="54"/>
  <c r="N233" i="54"/>
  <c r="P3" i="54"/>
  <c r="P5" i="54" s="1"/>
  <c r="P160" i="54"/>
  <c r="P182" i="54" s="1"/>
  <c r="P183" i="54" s="1"/>
  <c r="P188" i="54" s="1"/>
  <c r="H150" i="54"/>
  <c r="H156" i="54" s="1"/>
  <c r="H230" i="54"/>
  <c r="H237" i="54" s="1"/>
  <c r="H248" i="54" s="1"/>
  <c r="O233" i="54"/>
  <c r="M149" i="54"/>
  <c r="M157" i="54" s="1"/>
  <c r="Q3" i="54"/>
  <c r="Q5" i="54" s="1"/>
  <c r="I148" i="54"/>
  <c r="I156" i="54" s="1"/>
  <c r="Q160" i="54"/>
  <c r="Q182" i="54" s="1"/>
  <c r="Q183" i="54" s="1"/>
  <c r="Q188" i="54" s="1"/>
  <c r="I230" i="54"/>
  <c r="I237" i="54" s="1"/>
  <c r="I248" i="54" s="1"/>
  <c r="P230" i="54"/>
  <c r="P237" i="54" s="1"/>
  <c r="P248" i="54" s="1"/>
  <c r="N149" i="54"/>
  <c r="R3" i="54"/>
  <c r="R5" i="54" s="1"/>
  <c r="J148" i="54"/>
  <c r="R160" i="54"/>
  <c r="R182" i="54" s="1"/>
  <c r="R183" i="54" s="1"/>
  <c r="R188" i="54" s="1"/>
  <c r="P150" i="54"/>
  <c r="P156" i="54" s="1"/>
  <c r="J230" i="54"/>
  <c r="J237" i="54" s="1"/>
  <c r="J248" i="54" s="1"/>
  <c r="Q233" i="54"/>
  <c r="O149" i="54"/>
  <c r="O157" i="54" s="1"/>
  <c r="L160" i="54"/>
  <c r="L182" i="54" s="1"/>
  <c r="L183" i="54" s="1"/>
  <c r="L188" i="54" s="1"/>
  <c r="S3" i="54"/>
  <c r="S5" i="54" s="1"/>
  <c r="K148" i="54"/>
  <c r="S160" i="54"/>
  <c r="S182" i="54" s="1"/>
  <c r="S183" i="54" s="1"/>
  <c r="S188" i="54" s="1"/>
  <c r="T148" i="54"/>
  <c r="T156" i="54" s="1"/>
  <c r="Q150" i="54"/>
  <c r="Q156" i="54" s="1"/>
  <c r="K230" i="54"/>
  <c r="K237" i="54" s="1"/>
  <c r="K248" i="54" s="1"/>
  <c r="R233" i="54"/>
  <c r="P149" i="54"/>
  <c r="P157" i="54" s="1"/>
  <c r="M160" i="54"/>
  <c r="M182" i="54" s="1"/>
  <c r="M183" i="54" s="1"/>
  <c r="M188" i="54" s="1"/>
  <c r="L148" i="54"/>
  <c r="U148" i="54"/>
  <c r="U156" i="54" s="1"/>
  <c r="R150" i="54"/>
  <c r="Q152" i="54"/>
  <c r="L178" i="54"/>
  <c r="S233" i="54"/>
  <c r="J3" i="54"/>
  <c r="J5" i="54" s="1"/>
  <c r="Q149" i="54"/>
  <c r="Q157" i="54" s="1"/>
  <c r="N160" i="54"/>
  <c r="N182" i="54" s="1"/>
  <c r="N183" i="54" s="1"/>
  <c r="N188" i="54" s="1"/>
  <c r="M148" i="54"/>
  <c r="V148" i="54"/>
  <c r="V156" i="54" s="1"/>
  <c r="S150" i="54"/>
  <c r="S156" i="54" s="1"/>
  <c r="M235" i="54"/>
  <c r="T233" i="54"/>
  <c r="K3" i="54"/>
  <c r="K5" i="54" s="1"/>
  <c r="R149" i="54"/>
  <c r="H143" i="54"/>
  <c r="O160" i="54"/>
  <c r="O182" i="54" s="1"/>
  <c r="O183" i="54" s="1"/>
  <c r="O188" i="54" s="1"/>
  <c r="N148" i="54"/>
  <c r="W148" i="54"/>
  <c r="P166" i="54"/>
  <c r="N235" i="54"/>
  <c r="N244" i="54" s="1"/>
  <c r="N255" i="54" s="1"/>
  <c r="U233" i="54"/>
  <c r="S149" i="54"/>
  <c r="Q166" i="54"/>
  <c r="O235" i="54"/>
  <c r="O244" i="54" s="1"/>
  <c r="O255" i="54" s="1"/>
  <c r="V233" i="54"/>
  <c r="P148" i="54"/>
  <c r="R166" i="54"/>
  <c r="W233" i="54"/>
  <c r="X234" i="54"/>
  <c r="W149" i="54"/>
  <c r="M143" i="54"/>
  <c r="I233" i="54"/>
  <c r="X149" i="54"/>
  <c r="N143" i="54"/>
  <c r="O3" i="54"/>
  <c r="O5" i="54" s="1"/>
  <c r="W180" i="54"/>
  <c r="T178" i="54"/>
  <c r="T180" i="54" s="1"/>
  <c r="J233" i="54"/>
  <c r="O143" i="54"/>
  <c r="X180" i="54"/>
  <c r="L168" i="54"/>
  <c r="U235" i="54"/>
  <c r="U244" i="54" s="1"/>
  <c r="U255" i="54" s="1"/>
  <c r="H234" i="54"/>
  <c r="P143" i="54"/>
  <c r="M168" i="54"/>
  <c r="V235" i="54"/>
  <c r="V244" i="54" s="1"/>
  <c r="V255" i="54" s="1"/>
  <c r="I234" i="54"/>
  <c r="T3" i="54"/>
  <c r="T5" i="54" s="1"/>
  <c r="Q143" i="54"/>
  <c r="T160" i="54"/>
  <c r="T182" i="54" s="1"/>
  <c r="T183" i="54" s="1"/>
  <c r="W235" i="54"/>
  <c r="W244" i="54" s="1"/>
  <c r="W255" i="54" s="1"/>
  <c r="U3" i="54"/>
  <c r="U5" i="54" s="1"/>
  <c r="R143" i="54"/>
  <c r="U160" i="54"/>
  <c r="U182" i="54" s="1"/>
  <c r="U183" i="54" s="1"/>
  <c r="U188" i="54" s="1"/>
  <c r="O168" i="54"/>
  <c r="P169" i="54"/>
  <c r="P244" i="54" s="1"/>
  <c r="P255" i="54" s="1"/>
  <c r="X235" i="54"/>
  <c r="X244" i="54" s="1"/>
  <c r="X255" i="54" s="1"/>
  <c r="K234" i="54"/>
  <c r="W156" i="54"/>
  <c r="L157" i="54"/>
  <c r="N157" i="54"/>
  <c r="T188" i="54"/>
  <c r="T149" i="54"/>
  <c r="U149" i="54"/>
  <c r="V149" i="54"/>
  <c r="L180" i="54"/>
  <c r="I229" i="54"/>
  <c r="M230" i="54"/>
  <c r="M237" i="54" s="1"/>
  <c r="M248" i="54" s="1"/>
  <c r="I235" i="54"/>
  <c r="J229" i="54"/>
  <c r="N230" i="54"/>
  <c r="N237" i="54" s="1"/>
  <c r="N248" i="54" s="1"/>
  <c r="J235" i="54"/>
  <c r="K229" i="54"/>
  <c r="O230" i="54"/>
  <c r="O237" i="54" s="1"/>
  <c r="O248" i="54" s="1"/>
  <c r="K235" i="54"/>
  <c r="H235" i="54"/>
  <c r="L235" i="54"/>
  <c r="J150" i="54"/>
  <c r="R152" i="54"/>
  <c r="V160" i="54"/>
  <c r="V182" i="54" s="1"/>
  <c r="V183" i="54" s="1"/>
  <c r="V188" i="54" s="1"/>
  <c r="V167" i="54"/>
  <c r="V168" i="54" s="1"/>
  <c r="J179" i="54"/>
  <c r="N229" i="54"/>
  <c r="R230" i="54"/>
  <c r="R237" i="54" s="1"/>
  <c r="R248" i="54" s="1"/>
  <c r="J234" i="54"/>
  <c r="T167" i="54"/>
  <c r="T168" i="54" s="1"/>
  <c r="M229" i="54"/>
  <c r="K150" i="54"/>
  <c r="S152" i="54"/>
  <c r="W160" i="54"/>
  <c r="W182" i="54" s="1"/>
  <c r="W183" i="54" s="1"/>
  <c r="W188" i="54" s="1"/>
  <c r="S166" i="54"/>
  <c r="W167" i="54"/>
  <c r="W168" i="54" s="1"/>
  <c r="K179" i="54"/>
  <c r="O229" i="54"/>
  <c r="S230" i="54"/>
  <c r="S237" i="54" s="1"/>
  <c r="S248" i="54" s="1"/>
  <c r="L229" i="54"/>
  <c r="U167" i="54"/>
  <c r="U168" i="54" s="1"/>
  <c r="L150" i="54"/>
  <c r="T152" i="54"/>
  <c r="X160" i="54"/>
  <c r="X182" i="54" s="1"/>
  <c r="X183" i="54" s="1"/>
  <c r="X188" i="54" s="1"/>
  <c r="T166" i="54"/>
  <c r="X167" i="54"/>
  <c r="X168" i="54" s="1"/>
  <c r="H169" i="54"/>
  <c r="H178" i="54"/>
  <c r="P229" i="54"/>
  <c r="T230" i="54"/>
  <c r="T237" i="54" s="1"/>
  <c r="T248" i="54" s="1"/>
  <c r="L234" i="54"/>
  <c r="H179" i="54"/>
  <c r="Q230" i="54"/>
  <c r="Q237" i="54" s="1"/>
  <c r="Q248" i="54" s="1"/>
  <c r="M150" i="54"/>
  <c r="U152" i="54"/>
  <c r="U166" i="54"/>
  <c r="I169" i="54"/>
  <c r="I178" i="54"/>
  <c r="I180" i="54" s="1"/>
  <c r="Q229" i="54"/>
  <c r="U230" i="54"/>
  <c r="U237" i="54" s="1"/>
  <c r="U248" i="54" s="1"/>
  <c r="M234" i="54"/>
  <c r="N150" i="54"/>
  <c r="V152" i="54"/>
  <c r="V166" i="54"/>
  <c r="J169" i="54"/>
  <c r="J244" i="54" s="1"/>
  <c r="J255" i="54" s="1"/>
  <c r="J178" i="54"/>
  <c r="R229" i="54"/>
  <c r="V230" i="54"/>
  <c r="V237" i="54" s="1"/>
  <c r="V248" i="54" s="1"/>
  <c r="N234" i="54"/>
  <c r="O150" i="54"/>
  <c r="W152" i="54"/>
  <c r="W166" i="54"/>
  <c r="K169" i="54"/>
  <c r="K178" i="54"/>
  <c r="S229" i="54"/>
  <c r="W230" i="54"/>
  <c r="W237" i="54" s="1"/>
  <c r="W248" i="54" s="1"/>
  <c r="O234" i="54"/>
  <c r="X152" i="54"/>
  <c r="H168" i="54"/>
  <c r="L169" i="54"/>
  <c r="T229" i="54"/>
  <c r="X230" i="54"/>
  <c r="X237" i="54" s="1"/>
  <c r="X248" i="54" s="1"/>
  <c r="L233" i="54"/>
  <c r="P234" i="54"/>
  <c r="T235" i="54"/>
  <c r="T244" i="54" s="1"/>
  <c r="T255" i="54" s="1"/>
  <c r="I168" i="54"/>
  <c r="M169" i="54"/>
  <c r="M178" i="54"/>
  <c r="M180" i="54" s="1"/>
  <c r="U229" i="54"/>
  <c r="Q234" i="54"/>
  <c r="H229" i="54"/>
  <c r="J168" i="54"/>
  <c r="N178" i="54"/>
  <c r="N180" i="54" s="1"/>
  <c r="V229" i="54"/>
  <c r="R234" i="54"/>
  <c r="K168" i="54"/>
  <c r="O178" i="54"/>
  <c r="O180" i="54" s="1"/>
  <c r="W229" i="54"/>
  <c r="S234" i="54"/>
  <c r="H160" i="54"/>
  <c r="H182" i="54" s="1"/>
  <c r="H183" i="54" s="1"/>
  <c r="H188" i="54" s="1"/>
  <c r="P178" i="54"/>
  <c r="P180" i="54" s="1"/>
  <c r="X229" i="54"/>
  <c r="P233" i="54"/>
  <c r="I160" i="54"/>
  <c r="I182" i="54" s="1"/>
  <c r="I183" i="54" s="1"/>
  <c r="I188" i="54" s="1"/>
  <c r="Q178" i="54"/>
  <c r="Q180" i="54" s="1"/>
  <c r="U234" i="54"/>
  <c r="J160" i="54"/>
  <c r="J182" i="54" s="1"/>
  <c r="J183" i="54" s="1"/>
  <c r="J188" i="54" s="1"/>
  <c r="V234" i="54"/>
  <c r="K160" i="54"/>
  <c r="K182" i="54" s="1"/>
  <c r="K183" i="54" s="1"/>
  <c r="K188" i="54" s="1"/>
  <c r="S169" i="54"/>
  <c r="S244" i="54" s="1"/>
  <c r="S255" i="54" s="1"/>
  <c r="W234" i="54"/>
  <c r="I152" i="54"/>
  <c r="I157" i="54" s="1"/>
  <c r="G23" i="44"/>
  <c r="G22" i="44"/>
  <c r="L23" i="44"/>
  <c r="L22" i="44"/>
  <c r="J22" i="44"/>
  <c r="J23" i="44"/>
  <c r="I24" i="44"/>
  <c r="J24" i="44"/>
  <c r="AD27" i="43"/>
  <c r="AD26" i="43"/>
  <c r="T2" i="44"/>
  <c r="AX45" i="61"/>
  <c r="AW45" i="61"/>
  <c r="AV45" i="61"/>
  <c r="AU45" i="61"/>
  <c r="AT45" i="61"/>
  <c r="AS45" i="61"/>
  <c r="AR45" i="61"/>
  <c r="AQ45" i="61"/>
  <c r="AP45" i="61"/>
  <c r="AO45" i="61"/>
  <c r="AN45" i="61"/>
  <c r="AM45" i="61"/>
  <c r="AL45" i="61"/>
  <c r="AK45" i="61"/>
  <c r="AJ45" i="61"/>
  <c r="AI45" i="61"/>
  <c r="AH45" i="61"/>
  <c r="AG45" i="61"/>
  <c r="AF45" i="61"/>
  <c r="AE45" i="61"/>
  <c r="AD45" i="61"/>
  <c r="AC45" i="61"/>
  <c r="AB45" i="61"/>
  <c r="AA45" i="61"/>
  <c r="Z45" i="61"/>
  <c r="Y45" i="61"/>
  <c r="X45" i="61"/>
  <c r="W45" i="61"/>
  <c r="V45" i="61"/>
  <c r="U45" i="61"/>
  <c r="T45" i="61"/>
  <c r="S45" i="61"/>
  <c r="R45" i="61"/>
  <c r="Q45" i="61"/>
  <c r="P45" i="61"/>
  <c r="O45" i="61"/>
  <c r="N45" i="61"/>
  <c r="M45" i="61"/>
  <c r="L45" i="61"/>
  <c r="K45" i="61"/>
  <c r="J45" i="61"/>
  <c r="I45" i="61"/>
  <c r="H45" i="61"/>
  <c r="AX26" i="61"/>
  <c r="AW26" i="61"/>
  <c r="AV26" i="61"/>
  <c r="AU26" i="61"/>
  <c r="AT26" i="61"/>
  <c r="AS26" i="61"/>
  <c r="AR26" i="61"/>
  <c r="AQ26" i="61"/>
  <c r="AP26" i="61"/>
  <c r="AO26" i="61"/>
  <c r="AN26" i="61"/>
  <c r="AM26" i="61"/>
  <c r="AL26" i="61"/>
  <c r="AK26" i="61"/>
  <c r="AJ26" i="61"/>
  <c r="AI26" i="61"/>
  <c r="AH26" i="61"/>
  <c r="AG26" i="61"/>
  <c r="AF26" i="61"/>
  <c r="AE26" i="61"/>
  <c r="AD26" i="61"/>
  <c r="AC26" i="61"/>
  <c r="AB26" i="61"/>
  <c r="AA26" i="61"/>
  <c r="Z26" i="61"/>
  <c r="Y26" i="61"/>
  <c r="X26" i="61"/>
  <c r="W26" i="61"/>
  <c r="V26" i="61"/>
  <c r="U26" i="61"/>
  <c r="T26" i="61"/>
  <c r="S26" i="61"/>
  <c r="R26" i="61"/>
  <c r="Q26" i="61"/>
  <c r="P26" i="61"/>
  <c r="O26" i="61"/>
  <c r="N26" i="61"/>
  <c r="M26" i="61"/>
  <c r="L26" i="61"/>
  <c r="K26" i="61"/>
  <c r="J26" i="61"/>
  <c r="I26" i="61"/>
  <c r="H26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AI25" i="61"/>
  <c r="AH25" i="61"/>
  <c r="AG25" i="61"/>
  <c r="AF25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AX24" i="61"/>
  <c r="AW24" i="61"/>
  <c r="AW21" i="61" s="1"/>
  <c r="AV24" i="61"/>
  <c r="AV21" i="61" s="1"/>
  <c r="AU24" i="61"/>
  <c r="AU21" i="61" s="1"/>
  <c r="AT24" i="61"/>
  <c r="AT21" i="61" s="1"/>
  <c r="AS24" i="61"/>
  <c r="AS21" i="61" s="1"/>
  <c r="AR24" i="61"/>
  <c r="AR21" i="61" s="1"/>
  <c r="AQ24" i="61"/>
  <c r="AP24" i="61"/>
  <c r="AO24" i="61"/>
  <c r="AN24" i="61"/>
  <c r="AN21" i="61" s="1"/>
  <c r="AM24" i="61"/>
  <c r="AM21" i="61" s="1"/>
  <c r="AL24" i="61"/>
  <c r="AL21" i="61" s="1"/>
  <c r="AK24" i="61"/>
  <c r="AJ24" i="61"/>
  <c r="AI24" i="61"/>
  <c r="AI21" i="61" s="1"/>
  <c r="AH24" i="61"/>
  <c r="AH21" i="61" s="1"/>
  <c r="AG24" i="61"/>
  <c r="AF24" i="61"/>
  <c r="AE24" i="61"/>
  <c r="AE21" i="61" s="1"/>
  <c r="AD24" i="61"/>
  <c r="AC24" i="61"/>
  <c r="AB24" i="61"/>
  <c r="AA24" i="61"/>
  <c r="Z24" i="61"/>
  <c r="Y24" i="61"/>
  <c r="Y21" i="61" s="1"/>
  <c r="X24" i="61"/>
  <c r="X21" i="61" s="1"/>
  <c r="W24" i="61"/>
  <c r="W21" i="61" s="1"/>
  <c r="V24" i="61"/>
  <c r="V21" i="61" s="1"/>
  <c r="U24" i="61"/>
  <c r="U21" i="61" s="1"/>
  <c r="T24" i="61"/>
  <c r="T21" i="61" s="1"/>
  <c r="S24" i="61"/>
  <c r="R24" i="61"/>
  <c r="Q24" i="61"/>
  <c r="P24" i="61"/>
  <c r="O24" i="61"/>
  <c r="O21" i="61" s="1"/>
  <c r="N24" i="61"/>
  <c r="N21" i="61" s="1"/>
  <c r="M24" i="61"/>
  <c r="L24" i="61"/>
  <c r="K24" i="61"/>
  <c r="K21" i="61" s="1"/>
  <c r="J24" i="61"/>
  <c r="J21" i="61" s="1"/>
  <c r="I24" i="61"/>
  <c r="I21" i="61" s="1"/>
  <c r="H24" i="61"/>
  <c r="H21" i="61" s="1"/>
  <c r="AX23" i="61"/>
  <c r="AW23" i="61"/>
  <c r="AV23" i="61"/>
  <c r="AU23" i="61"/>
  <c r="AT23" i="61"/>
  <c r="AS23" i="61"/>
  <c r="AR23" i="61"/>
  <c r="AQ23" i="61"/>
  <c r="AP23" i="61"/>
  <c r="AO23" i="61"/>
  <c r="AN23" i="61"/>
  <c r="AM23" i="61"/>
  <c r="AL23" i="61"/>
  <c r="AK23" i="61"/>
  <c r="AJ23" i="61"/>
  <c r="AI23" i="61"/>
  <c r="AH23" i="61"/>
  <c r="AG23" i="61"/>
  <c r="AF23" i="61"/>
  <c r="AE23" i="61"/>
  <c r="AD23" i="61"/>
  <c r="AC23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AX22" i="61"/>
  <c r="AW22" i="61"/>
  <c r="AV22" i="61"/>
  <c r="AU22" i="61"/>
  <c r="AT22" i="61"/>
  <c r="AS22" i="61"/>
  <c r="AR22" i="61"/>
  <c r="AQ22" i="61"/>
  <c r="AP22" i="61"/>
  <c r="AO22" i="61"/>
  <c r="AN22" i="61"/>
  <c r="AM22" i="61"/>
  <c r="AL22" i="61"/>
  <c r="AK22" i="61"/>
  <c r="AJ22" i="61"/>
  <c r="AI22" i="61"/>
  <c r="AH22" i="61"/>
  <c r="AG22" i="61"/>
  <c r="AF22" i="61"/>
  <c r="AE22" i="61"/>
  <c r="AD22" i="61"/>
  <c r="AC22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AX21" i="61"/>
  <c r="AQ21" i="61"/>
  <c r="AP21" i="61"/>
  <c r="AO21" i="61"/>
  <c r="AK21" i="61"/>
  <c r="AJ21" i="61"/>
  <c r="AG21" i="61"/>
  <c r="AF21" i="61"/>
  <c r="AD21" i="61"/>
  <c r="AC21" i="61"/>
  <c r="AB21" i="61"/>
  <c r="AA21" i="61"/>
  <c r="Z21" i="61"/>
  <c r="S21" i="61"/>
  <c r="R21" i="61"/>
  <c r="Q21" i="61"/>
  <c r="P21" i="61"/>
  <c r="M21" i="61"/>
  <c r="L21" i="61"/>
  <c r="AX19" i="61"/>
  <c r="AX77" i="61" s="1"/>
  <c r="AX98" i="61" s="1"/>
  <c r="AW19" i="61"/>
  <c r="AW77" i="61" s="1"/>
  <c r="AW98" i="61" s="1"/>
  <c r="AV19" i="61"/>
  <c r="AV77" i="61" s="1"/>
  <c r="AV98" i="61" s="1"/>
  <c r="AU19" i="61"/>
  <c r="AT19" i="61"/>
  <c r="AS19" i="61"/>
  <c r="AR19" i="61"/>
  <c r="AQ19" i="61"/>
  <c r="AP19" i="61"/>
  <c r="AO19" i="61"/>
  <c r="AN19" i="61"/>
  <c r="AM19" i="61"/>
  <c r="AL19" i="61"/>
  <c r="AK19" i="61"/>
  <c r="AJ19" i="61"/>
  <c r="AI19" i="61"/>
  <c r="AI61" i="61" s="1"/>
  <c r="AH19" i="61"/>
  <c r="AE19" i="61"/>
  <c r="AD19" i="61"/>
  <c r="AC19" i="61"/>
  <c r="AC77" i="61" s="1"/>
  <c r="AC98" i="61" s="1"/>
  <c r="AB19" i="61"/>
  <c r="AB77" i="61" s="1"/>
  <c r="AB98" i="61" s="1"/>
  <c r="AA19" i="61"/>
  <c r="AA77" i="61" s="1"/>
  <c r="AA98" i="61" s="1"/>
  <c r="Z19" i="61"/>
  <c r="Z77" i="61" s="1"/>
  <c r="Z98" i="61" s="1"/>
  <c r="Y19" i="61"/>
  <c r="Y77" i="61" s="1"/>
  <c r="Y98" i="61" s="1"/>
  <c r="X19" i="61"/>
  <c r="X77" i="61" s="1"/>
  <c r="X98" i="61" s="1"/>
  <c r="W19" i="61"/>
  <c r="V19" i="61"/>
  <c r="T19" i="61"/>
  <c r="S19" i="61"/>
  <c r="R19" i="61"/>
  <c r="Q19" i="61"/>
  <c r="P19" i="61"/>
  <c r="O19" i="61"/>
  <c r="N19" i="61"/>
  <c r="M19" i="61"/>
  <c r="L19" i="61"/>
  <c r="K19" i="61"/>
  <c r="K61" i="61" s="1"/>
  <c r="I19" i="61"/>
  <c r="H19" i="61"/>
  <c r="AX17" i="61"/>
  <c r="AW17" i="61"/>
  <c r="AV17" i="61"/>
  <c r="AU17" i="61"/>
  <c r="AT17" i="61"/>
  <c r="AS17" i="61"/>
  <c r="AR17" i="61"/>
  <c r="AQ17" i="61"/>
  <c r="AP17" i="61"/>
  <c r="AO17" i="61"/>
  <c r="AN17" i="61"/>
  <c r="AM17" i="61"/>
  <c r="AL17" i="61"/>
  <c r="AK17" i="61"/>
  <c r="AJ17" i="61"/>
  <c r="AI17" i="61"/>
  <c r="AH17" i="61"/>
  <c r="AG17" i="61"/>
  <c r="AF17" i="61"/>
  <c r="AE17" i="61"/>
  <c r="AD17" i="61"/>
  <c r="AC17" i="61"/>
  <c r="AB17" i="61"/>
  <c r="AA17" i="61"/>
  <c r="Z17" i="61"/>
  <c r="Y17" i="61"/>
  <c r="X17" i="61"/>
  <c r="W17" i="61"/>
  <c r="V17" i="61"/>
  <c r="U17" i="61"/>
  <c r="T17" i="61"/>
  <c r="S17" i="61"/>
  <c r="R17" i="61"/>
  <c r="Q17" i="61"/>
  <c r="P17" i="61"/>
  <c r="O17" i="61"/>
  <c r="N17" i="61"/>
  <c r="M17" i="61"/>
  <c r="L17" i="61"/>
  <c r="K17" i="61"/>
  <c r="J17" i="61"/>
  <c r="I17" i="61"/>
  <c r="H17" i="61"/>
  <c r="AX13" i="61"/>
  <c r="AX14" i="61" s="1"/>
  <c r="AW13" i="61"/>
  <c r="AV13" i="61"/>
  <c r="AU13" i="61"/>
  <c r="AT13" i="61"/>
  <c r="AS13" i="61"/>
  <c r="AR13" i="61"/>
  <c r="AQ13" i="61"/>
  <c r="AP13" i="61"/>
  <c r="AO13" i="61"/>
  <c r="AN13" i="61"/>
  <c r="AM13" i="61"/>
  <c r="AL13" i="61"/>
  <c r="AK13" i="61"/>
  <c r="AJ13" i="61"/>
  <c r="AI13" i="61"/>
  <c r="AH13" i="61"/>
  <c r="AG13" i="61"/>
  <c r="AF13" i="61"/>
  <c r="AE13" i="61"/>
  <c r="AD13" i="61"/>
  <c r="AC13" i="61"/>
  <c r="AB13" i="61"/>
  <c r="AA13" i="61"/>
  <c r="Z13" i="61"/>
  <c r="Y13" i="61"/>
  <c r="X13" i="61"/>
  <c r="W13" i="61"/>
  <c r="V13" i="61"/>
  <c r="U13" i="61"/>
  <c r="T13" i="61"/>
  <c r="S13" i="61"/>
  <c r="R13" i="61"/>
  <c r="Q13" i="61"/>
  <c r="P13" i="61"/>
  <c r="O13" i="61"/>
  <c r="N13" i="61"/>
  <c r="M13" i="61"/>
  <c r="L13" i="61"/>
  <c r="K13" i="61"/>
  <c r="J13" i="61"/>
  <c r="I13" i="61"/>
  <c r="H13" i="61"/>
  <c r="AX12" i="61"/>
  <c r="AX41" i="61" s="1"/>
  <c r="AW12" i="61"/>
  <c r="AW41" i="61" s="1"/>
  <c r="AV12" i="61"/>
  <c r="AU12" i="61"/>
  <c r="AT12" i="61"/>
  <c r="AI12" i="61"/>
  <c r="AH12" i="61"/>
  <c r="AE12" i="61"/>
  <c r="AE14" i="61" s="1"/>
  <c r="AD12" i="61"/>
  <c r="AD41" i="61" s="1"/>
  <c r="AC12" i="61"/>
  <c r="AC14" i="61" s="1"/>
  <c r="AB12" i="61"/>
  <c r="AB41" i="61" s="1"/>
  <c r="AA12" i="61"/>
  <c r="AA41" i="61" s="1"/>
  <c r="Z12" i="61"/>
  <c r="Z41" i="61" s="1"/>
  <c r="I12" i="61"/>
  <c r="I14" i="61" s="1"/>
  <c r="AX10" i="61"/>
  <c r="AX11" i="61" s="1"/>
  <c r="AW10" i="61"/>
  <c r="AV10" i="61"/>
  <c r="AV11" i="61" s="1"/>
  <c r="AU10" i="61"/>
  <c r="AU11" i="61" s="1"/>
  <c r="AT10" i="61"/>
  <c r="AS10" i="61"/>
  <c r="AR10" i="61"/>
  <c r="AQ10" i="61"/>
  <c r="AP10" i="61"/>
  <c r="AO10" i="61"/>
  <c r="AN10" i="61"/>
  <c r="AM10" i="61"/>
  <c r="AL10" i="61"/>
  <c r="AK10" i="61"/>
  <c r="AJ10" i="61"/>
  <c r="AI10" i="61"/>
  <c r="AH10" i="61"/>
  <c r="AG10" i="61"/>
  <c r="AF10" i="61"/>
  <c r="AE10" i="61"/>
  <c r="AD10" i="61"/>
  <c r="AC10" i="61"/>
  <c r="AB10" i="61"/>
  <c r="AA10" i="61"/>
  <c r="Z10" i="61"/>
  <c r="Y10" i="61"/>
  <c r="X10" i="61"/>
  <c r="W10" i="61"/>
  <c r="W11" i="61" s="1"/>
  <c r="V10" i="61"/>
  <c r="U10" i="61"/>
  <c r="T10" i="61"/>
  <c r="S10" i="61"/>
  <c r="R10" i="61"/>
  <c r="Q10" i="61"/>
  <c r="P10" i="61"/>
  <c r="O10" i="61"/>
  <c r="N10" i="61"/>
  <c r="M10" i="61"/>
  <c r="L10" i="61"/>
  <c r="K10" i="61"/>
  <c r="J10" i="61"/>
  <c r="J11" i="61" s="1"/>
  <c r="I10" i="61"/>
  <c r="H10" i="61"/>
  <c r="AX9" i="61"/>
  <c r="AW9" i="61"/>
  <c r="AV9" i="61"/>
  <c r="AU9" i="61"/>
  <c r="AT9" i="61"/>
  <c r="AN9" i="61"/>
  <c r="AN11" i="61" s="1"/>
  <c r="AI9" i="61"/>
  <c r="AH9" i="61"/>
  <c r="AF9" i="61"/>
  <c r="AF11" i="61" s="1"/>
  <c r="AE9" i="61"/>
  <c r="AE11" i="61" s="1"/>
  <c r="AD9" i="61"/>
  <c r="AD11" i="61" s="1"/>
  <c r="AC9" i="61"/>
  <c r="AC11" i="61" s="1"/>
  <c r="AB9" i="61"/>
  <c r="AB11" i="61" s="1"/>
  <c r="AA9" i="61"/>
  <c r="AA11" i="61" s="1"/>
  <c r="Z9" i="61"/>
  <c r="Z11" i="61" s="1"/>
  <c r="W9" i="61"/>
  <c r="V9" i="61"/>
  <c r="U9" i="61"/>
  <c r="T9" i="61"/>
  <c r="S9" i="61"/>
  <c r="R9" i="61"/>
  <c r="R11" i="61" s="1"/>
  <c r="Q9" i="61"/>
  <c r="Q11" i="61" s="1"/>
  <c r="P9" i="61"/>
  <c r="P11" i="61" s="1"/>
  <c r="J9" i="61"/>
  <c r="I9" i="61"/>
  <c r="I11" i="61" s="1"/>
  <c r="AA8" i="61"/>
  <c r="W8" i="61"/>
  <c r="AX7" i="61"/>
  <c r="AW7" i="61"/>
  <c r="AV7" i="61"/>
  <c r="AU7" i="61"/>
  <c r="AT7" i="61"/>
  <c r="AS7" i="61"/>
  <c r="AR7" i="61"/>
  <c r="AQ7" i="61"/>
  <c r="AP7" i="61"/>
  <c r="AO7" i="61"/>
  <c r="AN7" i="61"/>
  <c r="AM7" i="61"/>
  <c r="AL7" i="61"/>
  <c r="AK7" i="61"/>
  <c r="AJ7" i="61"/>
  <c r="AI7" i="61"/>
  <c r="AH7" i="61"/>
  <c r="AG7" i="61"/>
  <c r="AF7" i="61"/>
  <c r="AE7" i="61"/>
  <c r="AD7" i="61"/>
  <c r="AC7" i="61"/>
  <c r="AB7" i="61"/>
  <c r="AA7" i="61"/>
  <c r="Z7" i="61"/>
  <c r="Y7" i="61"/>
  <c r="X7" i="61"/>
  <c r="W7" i="61"/>
  <c r="V7" i="61"/>
  <c r="U7" i="61"/>
  <c r="T7" i="61"/>
  <c r="S7" i="61"/>
  <c r="R7" i="61"/>
  <c r="Q7" i="61"/>
  <c r="P7" i="61"/>
  <c r="O7" i="61"/>
  <c r="N7" i="61"/>
  <c r="M7" i="61"/>
  <c r="L7" i="61"/>
  <c r="K7" i="61"/>
  <c r="J7" i="61"/>
  <c r="I7" i="61"/>
  <c r="H7" i="61"/>
  <c r="AX6" i="61"/>
  <c r="AX8" i="61" s="1"/>
  <c r="AW6" i="61"/>
  <c r="AW8" i="61" s="1"/>
  <c r="AV6" i="61"/>
  <c r="AV8" i="61" s="1"/>
  <c r="AU6" i="61"/>
  <c r="AU8" i="61" s="1"/>
  <c r="AT6" i="61"/>
  <c r="AI6" i="61"/>
  <c r="AH6" i="61"/>
  <c r="AF6" i="61"/>
  <c r="AE6" i="61"/>
  <c r="AC6" i="61"/>
  <c r="AB6" i="61"/>
  <c r="AA6" i="61"/>
  <c r="Z6" i="61"/>
  <c r="Z8" i="61" s="1"/>
  <c r="W6" i="61"/>
  <c r="V6" i="61"/>
  <c r="T6" i="61"/>
  <c r="T8" i="61" s="1"/>
  <c r="S6" i="61"/>
  <c r="S8" i="61" s="1"/>
  <c r="R6" i="61"/>
  <c r="R8" i="61" s="1"/>
  <c r="Q6" i="61"/>
  <c r="Q8" i="61" s="1"/>
  <c r="P6" i="61"/>
  <c r="P8" i="61" s="1"/>
  <c r="I6" i="61"/>
  <c r="G151" i="59"/>
  <c r="G149" i="59"/>
  <c r="G148" i="59"/>
  <c r="G150" i="59" s="1"/>
  <c r="G169" i="59" s="1"/>
  <c r="G159" i="59" s="1"/>
  <c r="G147" i="59"/>
  <c r="G146" i="59"/>
  <c r="G145" i="59"/>
  <c r="G144" i="59"/>
  <c r="G143" i="59"/>
  <c r="G142" i="59"/>
  <c r="G141" i="59"/>
  <c r="G140" i="59"/>
  <c r="G139" i="59"/>
  <c r="G138" i="59"/>
  <c r="G137" i="59"/>
  <c r="G136" i="59"/>
  <c r="G135" i="59"/>
  <c r="G134" i="59"/>
  <c r="G128" i="59"/>
  <c r="G127" i="59"/>
  <c r="G126" i="59"/>
  <c r="G125" i="59"/>
  <c r="G124" i="59"/>
  <c r="G123" i="59"/>
  <c r="G129" i="59" s="1"/>
  <c r="G122" i="59"/>
  <c r="G121" i="59"/>
  <c r="G120" i="59"/>
  <c r="G119" i="59"/>
  <c r="G118" i="59"/>
  <c r="G117" i="59"/>
  <c r="G116" i="59"/>
  <c r="G115" i="59"/>
  <c r="G114" i="59"/>
  <c r="G113" i="59"/>
  <c r="G112" i="59"/>
  <c r="G111" i="59"/>
  <c r="G110" i="59"/>
  <c r="G109" i="59"/>
  <c r="G108" i="59"/>
  <c r="G107" i="59"/>
  <c r="G106" i="59"/>
  <c r="G105" i="59"/>
  <c r="G104" i="59"/>
  <c r="G103" i="59"/>
  <c r="G102" i="59"/>
  <c r="G101" i="59"/>
  <c r="G100" i="59"/>
  <c r="G99" i="59"/>
  <c r="G98" i="59"/>
  <c r="G97" i="59"/>
  <c r="G96" i="59"/>
  <c r="G95" i="59"/>
  <c r="G94" i="59"/>
  <c r="G93" i="59"/>
  <c r="G90" i="59"/>
  <c r="G89" i="59"/>
  <c r="G88" i="59"/>
  <c r="G87" i="59"/>
  <c r="G86" i="59"/>
  <c r="G85" i="59"/>
  <c r="G66" i="59"/>
  <c r="G65" i="59"/>
  <c r="G81" i="59" s="1"/>
  <c r="G64" i="59"/>
  <c r="G80" i="59" s="1"/>
  <c r="G63" i="59"/>
  <c r="G79" i="59" s="1"/>
  <c r="G62" i="59"/>
  <c r="G78" i="59" s="1"/>
  <c r="G61" i="59"/>
  <c r="G77" i="59" s="1"/>
  <c r="G60" i="59"/>
  <c r="G14" i="59"/>
  <c r="G11" i="59"/>
  <c r="G9" i="59"/>
  <c r="G222" i="58"/>
  <c r="G195" i="58"/>
  <c r="G194" i="58"/>
  <c r="G193" i="58"/>
  <c r="G196" i="58" s="1"/>
  <c r="G197" i="58" s="1"/>
  <c r="G192" i="58"/>
  <c r="G190" i="58"/>
  <c r="G189" i="58"/>
  <c r="G206" i="58" s="1"/>
  <c r="G214" i="58" s="1"/>
  <c r="G187" i="58"/>
  <c r="G186" i="58"/>
  <c r="G188" i="58" s="1"/>
  <c r="G205" i="58" s="1"/>
  <c r="G213" i="58" s="1"/>
  <c r="G184" i="58"/>
  <c r="G185" i="58" s="1"/>
  <c r="G183" i="58"/>
  <c r="G182" i="58"/>
  <c r="G181" i="58"/>
  <c r="G176" i="58"/>
  <c r="G177" i="58" s="1"/>
  <c r="G172" i="58"/>
  <c r="G171" i="58"/>
  <c r="G170" i="58"/>
  <c r="G165" i="58"/>
  <c r="G164" i="58"/>
  <c r="G166" i="58" s="1"/>
  <c r="G168" i="58" s="1"/>
  <c r="G156" i="58"/>
  <c r="G158" i="58" s="1"/>
  <c r="G155" i="58"/>
  <c r="G154" i="58"/>
  <c r="G122" i="58"/>
  <c r="G133" i="58" s="1"/>
  <c r="G29" i="58"/>
  <c r="G28" i="58"/>
  <c r="G19" i="58"/>
  <c r="G16" i="58"/>
  <c r="G37" i="58" s="1"/>
  <c r="G15" i="58"/>
  <c r="G14" i="58"/>
  <c r="G38" i="58" s="1"/>
  <c r="G41" i="58" s="1"/>
  <c r="G36" i="60"/>
  <c r="G35" i="60"/>
  <c r="G34" i="60"/>
  <c r="G33" i="60"/>
  <c r="G27" i="60"/>
  <c r="G23" i="60" s="1"/>
  <c r="G20" i="60"/>
  <c r="G16" i="60" s="1"/>
  <c r="G13" i="60"/>
  <c r="G9" i="60" s="1"/>
  <c r="K6" i="61"/>
  <c r="AU154" i="43"/>
  <c r="AT154" i="43"/>
  <c r="AS154" i="43"/>
  <c r="AR154" i="43"/>
  <c r="AQ154" i="43"/>
  <c r="AU153" i="43"/>
  <c r="AT153" i="43"/>
  <c r="AS153" i="43"/>
  <c r="AR153" i="43"/>
  <c r="AQ153" i="43"/>
  <c r="AU152" i="43"/>
  <c r="AT152" i="43"/>
  <c r="AS152" i="43"/>
  <c r="AR152" i="43"/>
  <c r="AQ152" i="43"/>
  <c r="AU151" i="43"/>
  <c r="AT151" i="43"/>
  <c r="AS151" i="43"/>
  <c r="AR151" i="43"/>
  <c r="AQ151" i="43"/>
  <c r="AU150" i="43"/>
  <c r="AT150" i="43"/>
  <c r="AS150" i="43"/>
  <c r="AR150" i="43"/>
  <c r="AQ150" i="43"/>
  <c r="AU149" i="43"/>
  <c r="AT149" i="43"/>
  <c r="AS149" i="43"/>
  <c r="AR149" i="43"/>
  <c r="AQ149" i="43"/>
  <c r="AU148" i="43"/>
  <c r="AT148" i="43"/>
  <c r="AS148" i="43"/>
  <c r="AR148" i="43"/>
  <c r="AQ148" i="43"/>
  <c r="AU147" i="43"/>
  <c r="AT147" i="43"/>
  <c r="AS147" i="43"/>
  <c r="AR147" i="43"/>
  <c r="AQ147" i="43"/>
  <c r="AU146" i="43"/>
  <c r="AT146" i="43"/>
  <c r="AS146" i="43"/>
  <c r="AR146" i="43"/>
  <c r="AQ146" i="43"/>
  <c r="AU145" i="43"/>
  <c r="AT145" i="43"/>
  <c r="AS145" i="43"/>
  <c r="AR145" i="43"/>
  <c r="AQ145" i="43"/>
  <c r="AU144" i="43"/>
  <c r="AT144" i="43"/>
  <c r="AS144" i="43"/>
  <c r="AR144" i="43"/>
  <c r="AQ144" i="43"/>
  <c r="AU143" i="43"/>
  <c r="AT143" i="43"/>
  <c r="AS143" i="43"/>
  <c r="AR143" i="43"/>
  <c r="AQ143" i="43"/>
  <c r="AU23" i="43"/>
  <c r="AT23" i="43"/>
  <c r="AS23" i="43"/>
  <c r="AR23" i="43"/>
  <c r="AQ23" i="43"/>
  <c r="AU21" i="43"/>
  <c r="AT21" i="43"/>
  <c r="AS21" i="43"/>
  <c r="AR21" i="43"/>
  <c r="AQ21" i="43"/>
  <c r="AU19" i="43"/>
  <c r="AT19" i="43"/>
  <c r="AS19" i="43"/>
  <c r="AR19" i="43"/>
  <c r="AQ19" i="43"/>
  <c r="AF154" i="43"/>
  <c r="AE154" i="43"/>
  <c r="AD154" i="43"/>
  <c r="AC154" i="43"/>
  <c r="AB154" i="43"/>
  <c r="AA154" i="43"/>
  <c r="Z154" i="43"/>
  <c r="Y154" i="43"/>
  <c r="X154" i="43"/>
  <c r="W154" i="43"/>
  <c r="T154" i="43"/>
  <c r="S154" i="43"/>
  <c r="R154" i="43"/>
  <c r="Q154" i="43"/>
  <c r="P154" i="43"/>
  <c r="O154" i="43"/>
  <c r="N154" i="43"/>
  <c r="M154" i="43"/>
  <c r="G154" i="43"/>
  <c r="F154" i="43"/>
  <c r="AF153" i="43"/>
  <c r="AE153" i="43"/>
  <c r="AD153" i="43"/>
  <c r="AC153" i="43"/>
  <c r="AB153" i="43"/>
  <c r="AA153" i="43"/>
  <c r="Z153" i="43"/>
  <c r="Y153" i="43"/>
  <c r="X153" i="43"/>
  <c r="W153" i="43"/>
  <c r="T153" i="43"/>
  <c r="S153" i="43"/>
  <c r="R153" i="43"/>
  <c r="Q153" i="43"/>
  <c r="P153" i="43"/>
  <c r="O153" i="43"/>
  <c r="N153" i="43"/>
  <c r="M153" i="43"/>
  <c r="G153" i="43"/>
  <c r="F153" i="43"/>
  <c r="AF152" i="43"/>
  <c r="AE152" i="43"/>
  <c r="AD152" i="43"/>
  <c r="AC152" i="43"/>
  <c r="AB152" i="43"/>
  <c r="AA152" i="43"/>
  <c r="Z152" i="43"/>
  <c r="Y152" i="43"/>
  <c r="X152" i="43"/>
  <c r="W152" i="43"/>
  <c r="T152" i="43"/>
  <c r="S152" i="43"/>
  <c r="R152" i="43"/>
  <c r="Q152" i="43"/>
  <c r="P152" i="43"/>
  <c r="O152" i="43"/>
  <c r="N152" i="43"/>
  <c r="M152" i="43"/>
  <c r="G152" i="43"/>
  <c r="F152" i="43"/>
  <c r="AF151" i="43"/>
  <c r="AE151" i="43"/>
  <c r="AD151" i="43"/>
  <c r="AC151" i="43"/>
  <c r="AB151" i="43"/>
  <c r="AA151" i="43"/>
  <c r="Z151" i="43"/>
  <c r="Y151" i="43"/>
  <c r="X151" i="43"/>
  <c r="W151" i="43"/>
  <c r="T151" i="43"/>
  <c r="S151" i="43"/>
  <c r="R151" i="43"/>
  <c r="Q151" i="43"/>
  <c r="P151" i="43"/>
  <c r="O151" i="43"/>
  <c r="N151" i="43"/>
  <c r="M151" i="43"/>
  <c r="G151" i="43"/>
  <c r="F151" i="43"/>
  <c r="AF150" i="43"/>
  <c r="AE150" i="43"/>
  <c r="AD150" i="43"/>
  <c r="AC150" i="43"/>
  <c r="AB150" i="43"/>
  <c r="AA150" i="43"/>
  <c r="Z150" i="43"/>
  <c r="Y150" i="43"/>
  <c r="X150" i="43"/>
  <c r="W150" i="43"/>
  <c r="T150" i="43"/>
  <c r="S150" i="43"/>
  <c r="R150" i="43"/>
  <c r="Q150" i="43"/>
  <c r="P150" i="43"/>
  <c r="O150" i="43"/>
  <c r="N150" i="43"/>
  <c r="M150" i="43"/>
  <c r="G150" i="43"/>
  <c r="F150" i="43"/>
  <c r="AF149" i="43"/>
  <c r="AE149" i="43"/>
  <c r="AD149" i="43"/>
  <c r="AC149" i="43"/>
  <c r="AB149" i="43"/>
  <c r="AA149" i="43"/>
  <c r="Z149" i="43"/>
  <c r="Y149" i="43"/>
  <c r="X149" i="43"/>
  <c r="W149" i="43"/>
  <c r="T149" i="43"/>
  <c r="S149" i="43"/>
  <c r="R149" i="43"/>
  <c r="Q149" i="43"/>
  <c r="P149" i="43"/>
  <c r="O149" i="43"/>
  <c r="N149" i="43"/>
  <c r="M149" i="43"/>
  <c r="G149" i="43"/>
  <c r="F149" i="43"/>
  <c r="AF148" i="43"/>
  <c r="AE148" i="43"/>
  <c r="AD148" i="43"/>
  <c r="AC148" i="43"/>
  <c r="AB148" i="43"/>
  <c r="AA148" i="43"/>
  <c r="Z148" i="43"/>
  <c r="Y148" i="43"/>
  <c r="X148" i="43"/>
  <c r="W148" i="43"/>
  <c r="T148" i="43"/>
  <c r="S148" i="43"/>
  <c r="R148" i="43"/>
  <c r="Q148" i="43"/>
  <c r="P148" i="43"/>
  <c r="O148" i="43"/>
  <c r="N148" i="43"/>
  <c r="M148" i="43"/>
  <c r="G148" i="43"/>
  <c r="F148" i="43"/>
  <c r="AF147" i="43"/>
  <c r="AE147" i="43"/>
  <c r="AD147" i="43"/>
  <c r="AC147" i="43"/>
  <c r="AB147" i="43"/>
  <c r="AA147" i="43"/>
  <c r="Z147" i="43"/>
  <c r="Y147" i="43"/>
  <c r="X147" i="43"/>
  <c r="W147" i="43"/>
  <c r="T147" i="43"/>
  <c r="S147" i="43"/>
  <c r="R147" i="43"/>
  <c r="Q147" i="43"/>
  <c r="P147" i="43"/>
  <c r="O147" i="43"/>
  <c r="N147" i="43"/>
  <c r="M147" i="43"/>
  <c r="G147" i="43"/>
  <c r="F147" i="43"/>
  <c r="AF146" i="43"/>
  <c r="AE146" i="43"/>
  <c r="AD146" i="43"/>
  <c r="AC146" i="43"/>
  <c r="AB146" i="43"/>
  <c r="AA146" i="43"/>
  <c r="Z146" i="43"/>
  <c r="Y146" i="43"/>
  <c r="X146" i="43"/>
  <c r="W146" i="43"/>
  <c r="T146" i="43"/>
  <c r="S146" i="43"/>
  <c r="R146" i="43"/>
  <c r="Q146" i="43"/>
  <c r="P146" i="43"/>
  <c r="O146" i="43"/>
  <c r="N146" i="43"/>
  <c r="M146" i="43"/>
  <c r="G146" i="43"/>
  <c r="F146" i="43"/>
  <c r="AF145" i="43"/>
  <c r="AE145" i="43"/>
  <c r="AD145" i="43"/>
  <c r="AC145" i="43"/>
  <c r="AB145" i="43"/>
  <c r="AA145" i="43"/>
  <c r="Z145" i="43"/>
  <c r="Y145" i="43"/>
  <c r="X145" i="43"/>
  <c r="W145" i="43"/>
  <c r="T145" i="43"/>
  <c r="S145" i="43"/>
  <c r="R145" i="43"/>
  <c r="Q145" i="43"/>
  <c r="P145" i="43"/>
  <c r="O145" i="43"/>
  <c r="N145" i="43"/>
  <c r="M145" i="43"/>
  <c r="G145" i="43"/>
  <c r="F145" i="43"/>
  <c r="AF144" i="43"/>
  <c r="AE144" i="43"/>
  <c r="AD144" i="43"/>
  <c r="AC144" i="43"/>
  <c r="AB144" i="43"/>
  <c r="AA144" i="43"/>
  <c r="Z144" i="43"/>
  <c r="Y144" i="43"/>
  <c r="X144" i="43"/>
  <c r="W144" i="43"/>
  <c r="T144" i="43"/>
  <c r="S144" i="43"/>
  <c r="R144" i="43"/>
  <c r="Q144" i="43"/>
  <c r="P144" i="43"/>
  <c r="O144" i="43"/>
  <c r="N144" i="43"/>
  <c r="M144" i="43"/>
  <c r="G144" i="43"/>
  <c r="F144" i="43"/>
  <c r="AF143" i="43"/>
  <c r="AE143" i="43"/>
  <c r="AD143" i="43"/>
  <c r="AC143" i="43"/>
  <c r="AB143" i="43"/>
  <c r="AA143" i="43"/>
  <c r="Z143" i="43"/>
  <c r="Y143" i="43"/>
  <c r="X143" i="43"/>
  <c r="W143" i="43"/>
  <c r="T143" i="43"/>
  <c r="S143" i="43"/>
  <c r="R143" i="43"/>
  <c r="Q143" i="43"/>
  <c r="P143" i="43"/>
  <c r="O143" i="43"/>
  <c r="N143" i="43"/>
  <c r="M143" i="43"/>
  <c r="G143" i="43"/>
  <c r="F143" i="43"/>
  <c r="AF23" i="43"/>
  <c r="AE23" i="43"/>
  <c r="AD23" i="43"/>
  <c r="AC23" i="43"/>
  <c r="AB23" i="43"/>
  <c r="AA23" i="43"/>
  <c r="Z23" i="43"/>
  <c r="Y23" i="43"/>
  <c r="X23" i="43"/>
  <c r="W23" i="43"/>
  <c r="T23" i="43"/>
  <c r="S23" i="43"/>
  <c r="R23" i="43"/>
  <c r="Q23" i="43"/>
  <c r="P23" i="43"/>
  <c r="O23" i="43"/>
  <c r="N23" i="43"/>
  <c r="M23" i="43"/>
  <c r="G23" i="43"/>
  <c r="F23" i="43"/>
  <c r="AF21" i="43"/>
  <c r="AE21" i="43"/>
  <c r="AD21" i="43"/>
  <c r="AC21" i="43"/>
  <c r="AB21" i="43"/>
  <c r="AA21" i="43"/>
  <c r="Z21" i="43"/>
  <c r="Y21" i="43"/>
  <c r="X21" i="43"/>
  <c r="W21" i="43"/>
  <c r="T21" i="43"/>
  <c r="S21" i="43"/>
  <c r="R21" i="43"/>
  <c r="Q21" i="43"/>
  <c r="P21" i="43"/>
  <c r="O21" i="43"/>
  <c r="N21" i="43"/>
  <c r="M21" i="43"/>
  <c r="G21" i="43"/>
  <c r="F21" i="43"/>
  <c r="AF19" i="43"/>
  <c r="AE19" i="43"/>
  <c r="AD19" i="43"/>
  <c r="AC19" i="43"/>
  <c r="AB19" i="43"/>
  <c r="AA19" i="43"/>
  <c r="Z19" i="43"/>
  <c r="Y19" i="43"/>
  <c r="X19" i="43"/>
  <c r="W19" i="43"/>
  <c r="T19" i="43"/>
  <c r="S19" i="43"/>
  <c r="R19" i="43"/>
  <c r="Q19" i="43"/>
  <c r="P19" i="43"/>
  <c r="O19" i="43"/>
  <c r="N19" i="43"/>
  <c r="M19" i="43"/>
  <c r="G19" i="43"/>
  <c r="F19" i="43"/>
  <c r="V2" i="44"/>
  <c r="R2" i="44"/>
  <c r="Q68" i="44"/>
  <c r="Q2" i="44"/>
  <c r="N68" i="44"/>
  <c r="N2" i="44"/>
  <c r="K68" i="44"/>
  <c r="K2" i="44"/>
  <c r="X112" i="44"/>
  <c r="W112" i="44"/>
  <c r="V112" i="44"/>
  <c r="U112" i="44"/>
  <c r="T112" i="44"/>
  <c r="S112" i="44"/>
  <c r="R112" i="44"/>
  <c r="Q112" i="44"/>
  <c r="P112" i="44"/>
  <c r="X77" i="44"/>
  <c r="W77" i="44"/>
  <c r="V77" i="44"/>
  <c r="U77" i="44"/>
  <c r="W5" i="75" s="1"/>
  <c r="T77" i="44"/>
  <c r="S77" i="44"/>
  <c r="U5" i="75" s="1"/>
  <c r="R77" i="44"/>
  <c r="Q77" i="44"/>
  <c r="P77" i="44"/>
  <c r="R5" i="75" s="1"/>
  <c r="X28" i="44"/>
  <c r="W28" i="44"/>
  <c r="V28" i="44"/>
  <c r="U28" i="44"/>
  <c r="T28" i="44"/>
  <c r="S28" i="44"/>
  <c r="R28" i="44"/>
  <c r="Q28" i="44"/>
  <c r="P28" i="44"/>
  <c r="X24" i="44"/>
  <c r="W24" i="44"/>
  <c r="V24" i="44"/>
  <c r="U24" i="44"/>
  <c r="T24" i="44"/>
  <c r="S24" i="44"/>
  <c r="R24" i="44"/>
  <c r="Q24" i="44"/>
  <c r="P24" i="44"/>
  <c r="X20" i="44"/>
  <c r="W20" i="44"/>
  <c r="V20" i="44"/>
  <c r="U20" i="44"/>
  <c r="T20" i="44"/>
  <c r="S20" i="44"/>
  <c r="R20" i="44"/>
  <c r="Q20" i="44"/>
  <c r="P20" i="44"/>
  <c r="X19" i="44"/>
  <c r="W19" i="44"/>
  <c r="V19" i="44"/>
  <c r="U19" i="44"/>
  <c r="T19" i="44"/>
  <c r="S19" i="44"/>
  <c r="R19" i="44"/>
  <c r="Q19" i="44"/>
  <c r="P19" i="44"/>
  <c r="X18" i="44"/>
  <c r="W18" i="44"/>
  <c r="V18" i="44"/>
  <c r="U18" i="44"/>
  <c r="T18" i="44"/>
  <c r="S18" i="44"/>
  <c r="R18" i="44"/>
  <c r="Q18" i="44"/>
  <c r="P18" i="44"/>
  <c r="X16" i="44"/>
  <c r="W16" i="44"/>
  <c r="V16" i="44"/>
  <c r="U16" i="44"/>
  <c r="T16" i="44"/>
  <c r="S16" i="44"/>
  <c r="R16" i="44"/>
  <c r="Q16" i="44"/>
  <c r="P16" i="44"/>
  <c r="X15" i="44"/>
  <c r="W15" i="44"/>
  <c r="V15" i="44"/>
  <c r="U15" i="44"/>
  <c r="T15" i="44"/>
  <c r="S15" i="44"/>
  <c r="R15" i="44"/>
  <c r="Q15" i="44"/>
  <c r="P15" i="44"/>
  <c r="X14" i="44"/>
  <c r="W14" i="44"/>
  <c r="V14" i="44"/>
  <c r="U14" i="44"/>
  <c r="T14" i="44"/>
  <c r="S14" i="44"/>
  <c r="R14" i="44"/>
  <c r="Q14" i="44"/>
  <c r="P14" i="44"/>
  <c r="O389" i="133"/>
  <c r="O386" i="133"/>
  <c r="O383" i="133" a="1"/>
  <c r="O383" i="133" s="1"/>
  <c r="O362" i="133" a="1"/>
  <c r="O362" i="133" s="1"/>
  <c r="O355" i="133" a="1"/>
  <c r="O355" i="133" s="1"/>
  <c r="O348" i="133" a="1"/>
  <c r="O348" i="133" s="1"/>
  <c r="O315" i="133"/>
  <c r="O306" i="133"/>
  <c r="O312" i="133" s="1"/>
  <c r="O302" i="133"/>
  <c r="O299" i="133"/>
  <c r="O304" i="133" s="1"/>
  <c r="O295" i="133"/>
  <c r="O292" i="133"/>
  <c r="O293" i="133" s="1"/>
  <c r="O290" i="133" a="1"/>
  <c r="O290" i="133" s="1"/>
  <c r="O289" i="133"/>
  <c r="O280" i="133" a="1"/>
  <c r="O280" i="133" s="1"/>
  <c r="O279" i="133"/>
  <c r="O278" i="133"/>
  <c r="X389" i="133"/>
  <c r="X386" i="133"/>
  <c r="X383" i="133" a="1"/>
  <c r="X383" i="133" s="1"/>
  <c r="X362" i="133" a="1"/>
  <c r="X362" i="133" s="1"/>
  <c r="X355" i="133" a="1"/>
  <c r="X355" i="133" s="1"/>
  <c r="X348" i="133" a="1"/>
  <c r="X348" i="133" s="1"/>
  <c r="X315" i="133"/>
  <c r="X306" i="133"/>
  <c r="X312" i="133" s="1"/>
  <c r="X302" i="133"/>
  <c r="X299" i="133"/>
  <c r="X295" i="133"/>
  <c r="X292" i="133"/>
  <c r="X293" i="133" s="1"/>
  <c r="X290" i="133" a="1"/>
  <c r="X290" i="133" s="1"/>
  <c r="X289" i="133"/>
  <c r="X280" i="133" a="1"/>
  <c r="X280" i="133" s="1"/>
  <c r="X279" i="133"/>
  <c r="X278" i="133"/>
  <c r="W389" i="133"/>
  <c r="W386" i="133"/>
  <c r="W383" i="133" a="1"/>
  <c r="W383" i="133" s="1"/>
  <c r="W362" i="133" a="1"/>
  <c r="W362" i="133" s="1"/>
  <c r="W355" i="133" a="1"/>
  <c r="W355" i="133" s="1"/>
  <c r="W348" i="133" a="1"/>
  <c r="W348" i="133" s="1"/>
  <c r="W315" i="133"/>
  <c r="W306" i="133"/>
  <c r="W312" i="133" s="1"/>
  <c r="W302" i="133"/>
  <c r="W299" i="133"/>
  <c r="W304" i="133" s="1"/>
  <c r="W295" i="133"/>
  <c r="W292" i="133"/>
  <c r="W293" i="133" s="1"/>
  <c r="W290" i="133" a="1"/>
  <c r="W290" i="133" s="1"/>
  <c r="W289" i="133"/>
  <c r="W280" i="133" a="1"/>
  <c r="W280" i="133" s="1"/>
  <c r="W279" i="133"/>
  <c r="W278" i="133"/>
  <c r="V389" i="133"/>
  <c r="V386" i="133"/>
  <c r="V383" i="133" a="1"/>
  <c r="V383" i="133" s="1"/>
  <c r="V362" i="133" a="1"/>
  <c r="V362" i="133" s="1"/>
  <c r="V355" i="133" a="1"/>
  <c r="V355" i="133" s="1"/>
  <c r="V348" i="133" a="1"/>
  <c r="V348" i="133" s="1"/>
  <c r="V315" i="133"/>
  <c r="V306" i="133"/>
  <c r="V312" i="133" s="1"/>
  <c r="V302" i="133"/>
  <c r="V299" i="133"/>
  <c r="V304" i="133" s="1"/>
  <c r="V295" i="133"/>
  <c r="V292" i="133"/>
  <c r="V293" i="133" s="1"/>
  <c r="V290" i="133" a="1"/>
  <c r="V290" i="133" s="1"/>
  <c r="V289" i="133"/>
  <c r="V280" i="133" a="1"/>
  <c r="V280" i="133" s="1"/>
  <c r="V279" i="133"/>
  <c r="V278" i="133"/>
  <c r="U389" i="133"/>
  <c r="U386" i="133"/>
  <c r="U383" i="133" a="1"/>
  <c r="U383" i="133" s="1"/>
  <c r="U362" i="133" a="1"/>
  <c r="U362" i="133" s="1"/>
  <c r="U355" i="133" a="1"/>
  <c r="U355" i="133" s="1"/>
  <c r="U348" i="133" a="1"/>
  <c r="U348" i="133" s="1"/>
  <c r="U315" i="133"/>
  <c r="U306" i="133"/>
  <c r="U312" i="133" s="1"/>
  <c r="U302" i="133"/>
  <c r="U299" i="133"/>
  <c r="U304" i="133" s="1"/>
  <c r="U295" i="133"/>
  <c r="U292" i="133"/>
  <c r="U293" i="133" s="1"/>
  <c r="U290" i="133" a="1"/>
  <c r="U290" i="133" s="1"/>
  <c r="U289" i="133"/>
  <c r="U280" i="133" a="1"/>
  <c r="U280" i="133" s="1"/>
  <c r="U279" i="133"/>
  <c r="U278" i="133"/>
  <c r="T389" i="133"/>
  <c r="T386" i="133"/>
  <c r="T383" i="133" a="1"/>
  <c r="T383" i="133" s="1"/>
  <c r="T362" i="133" a="1"/>
  <c r="T362" i="133" s="1"/>
  <c r="T355" i="133" a="1"/>
  <c r="T355" i="133" s="1"/>
  <c r="T348" i="133" a="1"/>
  <c r="T348" i="133" s="1"/>
  <c r="T315" i="133"/>
  <c r="T306" i="133"/>
  <c r="T312" i="133" s="1"/>
  <c r="T302" i="133"/>
  <c r="T299" i="133"/>
  <c r="T304" i="133" s="1"/>
  <c r="T295" i="133"/>
  <c r="T292" i="133"/>
  <c r="T293" i="133" s="1"/>
  <c r="T290" i="133" a="1"/>
  <c r="T290" i="133" s="1"/>
  <c r="T289" i="133"/>
  <c r="T280" i="133" a="1"/>
  <c r="T280" i="133" s="1"/>
  <c r="T279" i="133"/>
  <c r="T278" i="133"/>
  <c r="S389" i="133"/>
  <c r="S386" i="133"/>
  <c r="S383" i="133" a="1"/>
  <c r="S383" i="133" s="1"/>
  <c r="S362" i="133" a="1"/>
  <c r="S362" i="133" s="1"/>
  <c r="S355" i="133" a="1"/>
  <c r="S355" i="133" s="1"/>
  <c r="S348" i="133" a="1"/>
  <c r="S348" i="133" s="1"/>
  <c r="S315" i="133"/>
  <c r="S306" i="133"/>
  <c r="S312" i="133" s="1"/>
  <c r="S302" i="133"/>
  <c r="S299" i="133"/>
  <c r="S295" i="133"/>
  <c r="S292" i="133"/>
  <c r="S293" i="133" s="1"/>
  <c r="S290" i="133" a="1"/>
  <c r="S290" i="133" s="1"/>
  <c r="S289" i="133"/>
  <c r="S280" i="133" a="1"/>
  <c r="S280" i="133" s="1"/>
  <c r="S279" i="133"/>
  <c r="S278" i="133"/>
  <c r="R389" i="133"/>
  <c r="R386" i="133"/>
  <c r="R383" i="133" a="1"/>
  <c r="R383" i="133" s="1"/>
  <c r="R362" i="133" a="1"/>
  <c r="R362" i="133" s="1"/>
  <c r="R355" i="133" a="1"/>
  <c r="R355" i="133" s="1"/>
  <c r="R348" i="133" a="1"/>
  <c r="R348" i="133" s="1"/>
  <c r="R315" i="133"/>
  <c r="R306" i="133"/>
  <c r="R312" i="133" s="1"/>
  <c r="R302" i="133"/>
  <c r="R299" i="133"/>
  <c r="R295" i="133"/>
  <c r="R292" i="133"/>
  <c r="R293" i="133" s="1"/>
  <c r="R290" i="133" a="1"/>
  <c r="R290" i="133" s="1"/>
  <c r="R289" i="133"/>
  <c r="R280" i="133" a="1"/>
  <c r="R280" i="133" s="1"/>
  <c r="R279" i="133"/>
  <c r="R278" i="133"/>
  <c r="Q389" i="133"/>
  <c r="Q386" i="133"/>
  <c r="Q383" i="133" a="1"/>
  <c r="Q383" i="133" s="1"/>
  <c r="Q362" i="133" a="1"/>
  <c r="Q362" i="133" s="1"/>
  <c r="Q355" i="133" a="1"/>
  <c r="Q355" i="133" s="1"/>
  <c r="Q348" i="133" a="1"/>
  <c r="Q348" i="133" s="1"/>
  <c r="Q315" i="133"/>
  <c r="Q306" i="133"/>
  <c r="Q312" i="133" s="1"/>
  <c r="Q302" i="133"/>
  <c r="Q299" i="133"/>
  <c r="Q295" i="133"/>
  <c r="Q292" i="133"/>
  <c r="Q293" i="133" s="1"/>
  <c r="Q290" i="133" a="1"/>
  <c r="Q290" i="133" s="1"/>
  <c r="Q289" i="133"/>
  <c r="Q280" i="133" a="1"/>
  <c r="Q280" i="133" s="1"/>
  <c r="Q279" i="133"/>
  <c r="Q278" i="133"/>
  <c r="P389" i="133"/>
  <c r="P386" i="133"/>
  <c r="P383" i="133" a="1"/>
  <c r="P383" i="133" s="1"/>
  <c r="P362" i="133" a="1"/>
  <c r="P362" i="133" s="1"/>
  <c r="P355" i="133" a="1"/>
  <c r="P355" i="133" s="1"/>
  <c r="P348" i="133" a="1"/>
  <c r="P348" i="133" s="1"/>
  <c r="P315" i="133"/>
  <c r="P306" i="133"/>
  <c r="P312" i="133" s="1"/>
  <c r="P302" i="133"/>
  <c r="P299" i="133"/>
  <c r="P295" i="133"/>
  <c r="P292" i="133"/>
  <c r="P293" i="133" s="1"/>
  <c r="P290" i="133" a="1"/>
  <c r="P290" i="133" s="1"/>
  <c r="P289" i="133"/>
  <c r="P280" i="133" a="1"/>
  <c r="P280" i="133" s="1"/>
  <c r="P279" i="133"/>
  <c r="P278" i="133"/>
  <c r="N389" i="133"/>
  <c r="N386" i="133"/>
  <c r="N383" i="133" a="1"/>
  <c r="N383" i="133" s="1"/>
  <c r="N362" i="133" a="1"/>
  <c r="N362" i="133" s="1"/>
  <c r="N355" i="133" a="1"/>
  <c r="N355" i="133" s="1"/>
  <c r="N348" i="133" a="1"/>
  <c r="N348" i="133" s="1"/>
  <c r="N315" i="133"/>
  <c r="N306" i="133"/>
  <c r="N312" i="133" s="1"/>
  <c r="N302" i="133"/>
  <c r="N299" i="133"/>
  <c r="N295" i="133"/>
  <c r="N292" i="133"/>
  <c r="N293" i="133" s="1"/>
  <c r="N290" i="133" a="1"/>
  <c r="N290" i="133" s="1"/>
  <c r="N289" i="133"/>
  <c r="N280" i="133" a="1"/>
  <c r="N280" i="133" s="1"/>
  <c r="N279" i="133"/>
  <c r="N278" i="133"/>
  <c r="M98" i="37" l="1"/>
  <c r="M122" i="37" s="1"/>
  <c r="R129" i="37"/>
  <c r="W123" i="37"/>
  <c r="X123" i="37"/>
  <c r="Q129" i="37"/>
  <c r="L58" i="37"/>
  <c r="T61" i="37"/>
  <c r="G93" i="56"/>
  <c r="H107" i="37"/>
  <c r="T60" i="37"/>
  <c r="V32" i="37"/>
  <c r="J123" i="37"/>
  <c r="T63" i="37"/>
  <c r="T96" i="37" s="1"/>
  <c r="T59" i="37"/>
  <c r="T62" i="37"/>
  <c r="O82" i="56"/>
  <c r="O85" i="56" s="1"/>
  <c r="N82" i="56"/>
  <c r="N85" i="56" s="1"/>
  <c r="I103" i="56"/>
  <c r="I108" i="56" s="1"/>
  <c r="W103" i="56"/>
  <c r="S93" i="56"/>
  <c r="S106" i="56" s="1"/>
  <c r="V103" i="56"/>
  <c r="V108" i="56" s="1"/>
  <c r="AW11" i="61"/>
  <c r="AH11" i="61"/>
  <c r="AI11" i="61"/>
  <c r="AD22" i="60"/>
  <c r="AB15" i="60"/>
  <c r="AB32" i="60" s="1"/>
  <c r="AT31" i="60"/>
  <c r="AU31" i="60"/>
  <c r="AD6" i="61"/>
  <c r="V8" i="61"/>
  <c r="AT11" i="61"/>
  <c r="O29" i="60"/>
  <c r="O32" i="60" s="1"/>
  <c r="I93" i="56"/>
  <c r="T93" i="56"/>
  <c r="T106" i="56" s="1"/>
  <c r="P93" i="56"/>
  <c r="P106" i="56" s="1"/>
  <c r="J93" i="56"/>
  <c r="J94" i="56" s="1"/>
  <c r="M86" i="56"/>
  <c r="M96" i="56" s="1"/>
  <c r="M101" i="56" s="1"/>
  <c r="O156" i="54"/>
  <c r="J111" i="56"/>
  <c r="J117" i="56" s="1"/>
  <c r="T157" i="54"/>
  <c r="T239" i="54" s="1"/>
  <c r="T250" i="54" s="1"/>
  <c r="P111" i="56"/>
  <c r="P117" i="56" s="1"/>
  <c r="L159" i="54"/>
  <c r="J86" i="56"/>
  <c r="J96" i="56" s="1"/>
  <c r="J101" i="56" s="1"/>
  <c r="J114" i="56" s="1"/>
  <c r="I244" i="54"/>
  <c r="I255" i="54" s="1"/>
  <c r="V58" i="37"/>
  <c r="V98" i="37" s="1"/>
  <c r="V122" i="37" s="1"/>
  <c r="T58" i="75"/>
  <c r="T67" i="75" s="1"/>
  <c r="S59" i="75"/>
  <c r="S68" i="75" s="1"/>
  <c r="S58" i="75"/>
  <c r="S67" i="75" s="1"/>
  <c r="R32" i="37"/>
  <c r="R98" i="37" s="1"/>
  <c r="R122" i="37" s="1"/>
  <c r="R156" i="54"/>
  <c r="W157" i="54"/>
  <c r="W239" i="54" s="1"/>
  <c r="W250" i="54" s="1"/>
  <c r="H244" i="54"/>
  <c r="H255" i="54" s="1"/>
  <c r="R157" i="54"/>
  <c r="T159" i="54"/>
  <c r="W32" i="37"/>
  <c r="R159" i="54"/>
  <c r="P33" i="37"/>
  <c r="V17" i="56"/>
  <c r="W215" i="54"/>
  <c r="W219" i="54"/>
  <c r="V21" i="56"/>
  <c r="U17" i="56"/>
  <c r="V215" i="54"/>
  <c r="U21" i="56"/>
  <c r="V219" i="54"/>
  <c r="T17" i="56"/>
  <c r="U215" i="54"/>
  <c r="T21" i="56"/>
  <c r="U219" i="54"/>
  <c r="U216" i="54"/>
  <c r="T18" i="56"/>
  <c r="T22" i="56"/>
  <c r="U220" i="54"/>
  <c r="T215" i="54"/>
  <c r="S17" i="56"/>
  <c r="S21" i="56"/>
  <c r="T219" i="54"/>
  <c r="S215" i="54"/>
  <c r="R17" i="56"/>
  <c r="R21" i="56"/>
  <c r="S219" i="54"/>
  <c r="R215" i="54"/>
  <c r="Q17" i="56"/>
  <c r="Q21" i="56"/>
  <c r="R219" i="54"/>
  <c r="Q215" i="54"/>
  <c r="P17" i="56"/>
  <c r="Q219" i="54"/>
  <c r="P21" i="56"/>
  <c r="P215" i="54"/>
  <c r="O17" i="56"/>
  <c r="P219" i="54"/>
  <c r="O21" i="56"/>
  <c r="U157" i="54"/>
  <c r="X110" i="37"/>
  <c r="X131" i="37" s="1"/>
  <c r="X95" i="37"/>
  <c r="K95" i="37"/>
  <c r="K110" i="37"/>
  <c r="K131" i="37" s="1"/>
  <c r="W110" i="37"/>
  <c r="W131" i="37" s="1"/>
  <c r="W95" i="37"/>
  <c r="L95" i="37"/>
  <c r="L110" i="37"/>
  <c r="L131" i="37" s="1"/>
  <c r="T110" i="37"/>
  <c r="T131" i="37" s="1"/>
  <c r="T95" i="37"/>
  <c r="N56" i="37"/>
  <c r="N54" i="37"/>
  <c r="K159" i="54"/>
  <c r="J156" i="54"/>
  <c r="J153" i="54" s="1"/>
  <c r="J155" i="54" s="1"/>
  <c r="V111" i="56"/>
  <c r="V117" i="56" s="1"/>
  <c r="Q159" i="54"/>
  <c r="X32" i="37"/>
  <c r="I239" i="54"/>
  <c r="I250" i="54" s="1"/>
  <c r="T59" i="75"/>
  <c r="T68" i="75" s="1"/>
  <c r="J32" i="37"/>
  <c r="U111" i="56"/>
  <c r="U117" i="56" s="1"/>
  <c r="M244" i="54"/>
  <c r="M255" i="54" s="1"/>
  <c r="P159" i="54"/>
  <c r="Q10" i="37"/>
  <c r="Q11" i="37" s="1"/>
  <c r="Q41" i="37"/>
  <c r="Q42" i="37" s="1"/>
  <c r="Q43" i="37" s="1"/>
  <c r="N159" i="54"/>
  <c r="S159" i="54"/>
  <c r="T57" i="75"/>
  <c r="T66" i="75" s="1"/>
  <c r="R41" i="37"/>
  <c r="R42" i="37" s="1"/>
  <c r="R43" i="37" s="1"/>
  <c r="R54" i="37" s="1"/>
  <c r="J58" i="37"/>
  <c r="K32" i="37"/>
  <c r="K98" i="37" s="1"/>
  <c r="K122" i="37" s="1"/>
  <c r="T111" i="56"/>
  <c r="T117" i="56" s="1"/>
  <c r="O110" i="37"/>
  <c r="O131" i="37" s="1"/>
  <c r="T32" i="37"/>
  <c r="T98" i="37" s="1"/>
  <c r="T122" i="37" s="1"/>
  <c r="K156" i="54"/>
  <c r="M156" i="54"/>
  <c r="I159" i="54"/>
  <c r="U86" i="56"/>
  <c r="M59" i="75"/>
  <c r="M68" i="75" s="1"/>
  <c r="K10" i="37"/>
  <c r="K11" i="37" s="1"/>
  <c r="Q32" i="37"/>
  <c r="W58" i="37"/>
  <c r="H180" i="54"/>
  <c r="H123" i="37"/>
  <c r="AV14" i="61"/>
  <c r="AV47" i="61" s="1"/>
  <c r="AD14" i="61"/>
  <c r="AD47" i="61" s="1"/>
  <c r="AA169" i="58"/>
  <c r="AF191" i="58"/>
  <c r="AF221" i="58"/>
  <c r="AF211" i="58" s="1"/>
  <c r="AW14" i="61"/>
  <c r="AT22" i="60"/>
  <c r="AX61" i="61"/>
  <c r="AU15" i="60"/>
  <c r="AU32" i="60" s="1"/>
  <c r="AT8" i="61"/>
  <c r="AT15" i="60"/>
  <c r="AT32" i="60" s="1"/>
  <c r="AW15" i="60"/>
  <c r="AW31" i="60"/>
  <c r="AW29" i="60"/>
  <c r="AV15" i="60"/>
  <c r="AV32" i="60" s="1"/>
  <c r="AE15" i="60"/>
  <c r="AC15" i="60"/>
  <c r="AC32" i="60" s="1"/>
  <c r="AH29" i="60"/>
  <c r="AH8" i="61"/>
  <c r="AE22" i="60"/>
  <c r="AI8" i="61"/>
  <c r="AH15" i="60"/>
  <c r="AF15" i="60"/>
  <c r="AA15" i="60"/>
  <c r="AA32" i="60" s="1"/>
  <c r="AC31" i="60"/>
  <c r="AD15" i="60"/>
  <c r="AD32" i="60" s="1"/>
  <c r="AA14" i="61"/>
  <c r="AA47" i="61" s="1"/>
  <c r="AG15" i="60"/>
  <c r="AG32" i="60" s="1"/>
  <c r="AB14" i="61"/>
  <c r="Z14" i="61"/>
  <c r="AD31" i="60"/>
  <c r="S29" i="60"/>
  <c r="S32" i="60" s="1"/>
  <c r="T29" i="60"/>
  <c r="T32" i="60" s="1"/>
  <c r="S11" i="61"/>
  <c r="T11" i="61"/>
  <c r="U29" i="60"/>
  <c r="U32" i="60" s="1"/>
  <c r="U11" i="61"/>
  <c r="V11" i="61"/>
  <c r="V29" i="60"/>
  <c r="V32" i="60" s="1"/>
  <c r="P29" i="60"/>
  <c r="P32" i="60" s="1"/>
  <c r="Q29" i="60"/>
  <c r="Q32" i="60" s="1"/>
  <c r="R29" i="60"/>
  <c r="R32" i="60" s="1"/>
  <c r="I8" i="61"/>
  <c r="I32" i="61" s="1"/>
  <c r="I38" i="61" s="1"/>
  <c r="I40" i="61" s="1"/>
  <c r="U10" i="37"/>
  <c r="U11" i="37" s="1"/>
  <c r="U41" i="37"/>
  <c r="U42" i="37" s="1"/>
  <c r="U43" i="37" s="1"/>
  <c r="U54" i="37" s="1"/>
  <c r="W57" i="75"/>
  <c r="W66" i="75" s="1"/>
  <c r="W58" i="75"/>
  <c r="W67" i="75" s="1"/>
  <c r="W59" i="75"/>
  <c r="W68" i="75" s="1"/>
  <c r="U32" i="37"/>
  <c r="U98" i="37" s="1"/>
  <c r="U122" i="37" s="1"/>
  <c r="P10" i="37"/>
  <c r="P11" i="37" s="1"/>
  <c r="P41" i="37"/>
  <c r="P42" i="37" s="1"/>
  <c r="P43" i="37" s="1"/>
  <c r="P54" i="37" s="1"/>
  <c r="R57" i="75"/>
  <c r="R66" i="75" s="1"/>
  <c r="R58" i="75"/>
  <c r="R67" i="75" s="1"/>
  <c r="R59" i="75"/>
  <c r="R68" i="75" s="1"/>
  <c r="P114" i="37"/>
  <c r="S10" i="37"/>
  <c r="S11" i="37" s="1"/>
  <c r="U58" i="75"/>
  <c r="U67" i="75" s="1"/>
  <c r="U57" i="75"/>
  <c r="U66" i="75" s="1"/>
  <c r="U59" i="75"/>
  <c r="U68" i="75" s="1"/>
  <c r="S41" i="37"/>
  <c r="S42" i="37" s="1"/>
  <c r="S43" i="37" s="1"/>
  <c r="S54" i="37" s="1"/>
  <c r="M129" i="37"/>
  <c r="H32" i="37"/>
  <c r="G105" i="56"/>
  <c r="U108" i="56"/>
  <c r="H108" i="56"/>
  <c r="H113" i="56"/>
  <c r="T82" i="56"/>
  <c r="T85" i="56" s="1"/>
  <c r="G94" i="56"/>
  <c r="G106" i="56"/>
  <c r="R106" i="56"/>
  <c r="R94" i="56"/>
  <c r="G108" i="56"/>
  <c r="I94" i="56"/>
  <c r="I106" i="56"/>
  <c r="H94" i="56"/>
  <c r="H106" i="56"/>
  <c r="S82" i="56"/>
  <c r="S85" i="56" s="1"/>
  <c r="V106" i="56"/>
  <c r="V94" i="56"/>
  <c r="Q82" i="56"/>
  <c r="Q85" i="56" s="1"/>
  <c r="Q105" i="56"/>
  <c r="I82" i="56"/>
  <c r="I85" i="56" s="1"/>
  <c r="W86" i="56"/>
  <c r="I105" i="56"/>
  <c r="O111" i="56"/>
  <c r="O117" i="56" s="1"/>
  <c r="R82" i="56"/>
  <c r="R85" i="56" s="1"/>
  <c r="G82" i="56"/>
  <c r="G85" i="56" s="1"/>
  <c r="R111" i="56"/>
  <c r="R117" i="56" s="1"/>
  <c r="K111" i="56"/>
  <c r="K117" i="56" s="1"/>
  <c r="W106" i="56"/>
  <c r="W94" i="56"/>
  <c r="U106" i="56"/>
  <c r="U94" i="56"/>
  <c r="K82" i="56"/>
  <c r="K85" i="56" s="1"/>
  <c r="S105" i="56"/>
  <c r="I111" i="56"/>
  <c r="I117" i="56" s="1"/>
  <c r="S108" i="56"/>
  <c r="S113" i="56"/>
  <c r="L108" i="56"/>
  <c r="L113" i="56"/>
  <c r="N104" i="56"/>
  <c r="N93" i="56"/>
  <c r="N111" i="56"/>
  <c r="N117" i="56" s="1"/>
  <c r="H111" i="56"/>
  <c r="H117" i="56" s="1"/>
  <c r="P108" i="56"/>
  <c r="L104" i="56"/>
  <c r="K108" i="56"/>
  <c r="K113" i="56"/>
  <c r="Q111" i="56"/>
  <c r="Q117" i="56" s="1"/>
  <c r="V86" i="56"/>
  <c r="M111" i="56"/>
  <c r="M117" i="56" s="1"/>
  <c r="H82" i="56"/>
  <c r="H85" i="56" s="1"/>
  <c r="K104" i="56"/>
  <c r="K93" i="56"/>
  <c r="S111" i="56"/>
  <c r="S117" i="56" s="1"/>
  <c r="O108" i="56"/>
  <c r="J108" i="56"/>
  <c r="J113" i="56"/>
  <c r="K105" i="56"/>
  <c r="Q108" i="56"/>
  <c r="Q113" i="56"/>
  <c r="O104" i="56"/>
  <c r="O93" i="56"/>
  <c r="T105" i="56"/>
  <c r="W102" i="56"/>
  <c r="W35" i="56"/>
  <c r="W34" i="56"/>
  <c r="L82" i="56"/>
  <c r="L85" i="56" s="1"/>
  <c r="M92" i="56"/>
  <c r="M93" i="56" s="1"/>
  <c r="Q93" i="56"/>
  <c r="Q104" i="56"/>
  <c r="L111" i="56"/>
  <c r="L117" i="56" s="1"/>
  <c r="P86" i="56"/>
  <c r="M104" i="56"/>
  <c r="L92" i="56"/>
  <c r="L93" i="56" s="1"/>
  <c r="G111" i="56"/>
  <c r="G117" i="56" s="1"/>
  <c r="M108" i="56"/>
  <c r="I56" i="37"/>
  <c r="K61" i="37"/>
  <c r="K126" i="37" s="1"/>
  <c r="K62" i="37"/>
  <c r="K105" i="37" s="1"/>
  <c r="K59" i="37"/>
  <c r="K56" i="37"/>
  <c r="K63" i="37"/>
  <c r="K96" i="37" s="1"/>
  <c r="K60" i="37"/>
  <c r="K128" i="37" s="1"/>
  <c r="W125" i="37"/>
  <c r="W101" i="37"/>
  <c r="W62" i="37"/>
  <c r="W59" i="37"/>
  <c r="W63" i="37"/>
  <c r="W96" i="37" s="1"/>
  <c r="W60" i="37"/>
  <c r="W61" i="37"/>
  <c r="W107" i="37"/>
  <c r="W129" i="37"/>
  <c r="L124" i="37"/>
  <c r="L100" i="37"/>
  <c r="L61" i="37"/>
  <c r="L126" i="37" s="1"/>
  <c r="L62" i="37"/>
  <c r="L59" i="37"/>
  <c r="L56" i="37"/>
  <c r="L63" i="37"/>
  <c r="L96" i="37" s="1"/>
  <c r="L60" i="37"/>
  <c r="L104" i="37" s="1"/>
  <c r="J56" i="37"/>
  <c r="P125" i="37"/>
  <c r="P101" i="37"/>
  <c r="L105" i="37"/>
  <c r="K33" i="37"/>
  <c r="Q98" i="37"/>
  <c r="Q122" i="37" s="1"/>
  <c r="Q33" i="37"/>
  <c r="L130" i="37"/>
  <c r="L108" i="37"/>
  <c r="I36" i="37"/>
  <c r="I33" i="37"/>
  <c r="I37" i="37"/>
  <c r="I34" i="37"/>
  <c r="I35" i="37"/>
  <c r="R34" i="37"/>
  <c r="R35" i="37"/>
  <c r="R36" i="37"/>
  <c r="R33" i="37"/>
  <c r="R37" i="37"/>
  <c r="L101" i="37"/>
  <c r="L125" i="37"/>
  <c r="J36" i="37"/>
  <c r="J33" i="37"/>
  <c r="J37" i="37"/>
  <c r="J34" i="37"/>
  <c r="J35" i="37"/>
  <c r="N61" i="37"/>
  <c r="N126" i="37" s="1"/>
  <c r="N62" i="37"/>
  <c r="N105" i="37" s="1"/>
  <c r="N59" i="37"/>
  <c r="N97" i="37" s="1"/>
  <c r="N121" i="37" s="1"/>
  <c r="N63" i="37"/>
  <c r="N96" i="37" s="1"/>
  <c r="N60" i="37"/>
  <c r="L98" i="37"/>
  <c r="L122" i="37" s="1"/>
  <c r="H108" i="37"/>
  <c r="H130" i="37"/>
  <c r="S107" i="37"/>
  <c r="S129" i="37"/>
  <c r="P32" i="37"/>
  <c r="P98" i="37" s="1"/>
  <c r="P122" i="37" s="1"/>
  <c r="T107" i="37"/>
  <c r="T129" i="37"/>
  <c r="X35" i="37"/>
  <c r="X36" i="37"/>
  <c r="X33" i="37"/>
  <c r="X37" i="37"/>
  <c r="X34" i="37"/>
  <c r="V35" i="37"/>
  <c r="V36" i="37"/>
  <c r="V105" i="37" s="1"/>
  <c r="V33" i="37"/>
  <c r="V97" i="37" s="1"/>
  <c r="V121" i="37" s="1"/>
  <c r="V37" i="37"/>
  <c r="V34" i="37"/>
  <c r="T34" i="37"/>
  <c r="T35" i="37"/>
  <c r="T37" i="37"/>
  <c r="T36" i="37"/>
  <c r="T105" i="37" s="1"/>
  <c r="T33" i="37"/>
  <c r="T97" i="37" s="1"/>
  <c r="T121" i="37" s="1"/>
  <c r="L33" i="37"/>
  <c r="H125" i="37"/>
  <c r="H101" i="37"/>
  <c r="M124" i="37"/>
  <c r="M100" i="37"/>
  <c r="O61" i="37"/>
  <c r="O126" i="37" s="1"/>
  <c r="O62" i="37"/>
  <c r="O105" i="37" s="1"/>
  <c r="O59" i="37"/>
  <c r="O97" i="37" s="1"/>
  <c r="O121" i="37" s="1"/>
  <c r="O56" i="37"/>
  <c r="O63" i="37"/>
  <c r="O96" i="37" s="1"/>
  <c r="O60" i="37"/>
  <c r="O104" i="37" s="1"/>
  <c r="J108" i="37"/>
  <c r="J130" i="37"/>
  <c r="V86" i="37"/>
  <c r="V87" i="37"/>
  <c r="V116" i="37" s="1"/>
  <c r="V119" i="37"/>
  <c r="V133" i="37" s="1"/>
  <c r="V85" i="37"/>
  <c r="T130" i="37"/>
  <c r="T108" i="37"/>
  <c r="M108" i="37"/>
  <c r="M130" i="37"/>
  <c r="T125" i="37"/>
  <c r="T101" i="37"/>
  <c r="J125" i="37"/>
  <c r="J101" i="37"/>
  <c r="R92" i="37"/>
  <c r="R120" i="37"/>
  <c r="R134" i="37" s="1"/>
  <c r="R93" i="37"/>
  <c r="R109" i="37" s="1"/>
  <c r="R94" i="37"/>
  <c r="R115" i="37" s="1"/>
  <c r="P92" i="37"/>
  <c r="P102" i="37" s="1"/>
  <c r="P120" i="37"/>
  <c r="P134" i="37" s="1"/>
  <c r="P93" i="37"/>
  <c r="P109" i="37" s="1"/>
  <c r="P94" i="37"/>
  <c r="P115" i="37" s="1"/>
  <c r="S125" i="37"/>
  <c r="S101" i="37"/>
  <c r="M125" i="37"/>
  <c r="M101" i="37"/>
  <c r="W56" i="37"/>
  <c r="T120" i="37"/>
  <c r="T134" i="37" s="1"/>
  <c r="T93" i="37"/>
  <c r="T109" i="37" s="1"/>
  <c r="T94" i="37"/>
  <c r="T115" i="37" s="1"/>
  <c r="T92" i="37"/>
  <c r="X125" i="37"/>
  <c r="X101" i="37"/>
  <c r="Q130" i="37"/>
  <c r="Q108" i="37"/>
  <c r="P130" i="37"/>
  <c r="P108" i="37"/>
  <c r="X58" i="37"/>
  <c r="X98" i="37" s="1"/>
  <c r="X122" i="37" s="1"/>
  <c r="I32" i="37"/>
  <c r="O99" i="37"/>
  <c r="Q125" i="37"/>
  <c r="Q101" i="37"/>
  <c r="S56" i="37"/>
  <c r="U107" i="37"/>
  <c r="U129" i="37"/>
  <c r="S130" i="37"/>
  <c r="S108" i="37"/>
  <c r="N124" i="37"/>
  <c r="N100" i="37"/>
  <c r="N130" i="37"/>
  <c r="N108" i="37"/>
  <c r="N125" i="37"/>
  <c r="N101" i="37"/>
  <c r="K123" i="37"/>
  <c r="P56" i="37"/>
  <c r="X107" i="37"/>
  <c r="X129" i="37"/>
  <c r="S34" i="37"/>
  <c r="S35" i="37"/>
  <c r="S36" i="37"/>
  <c r="S33" i="37"/>
  <c r="S37" i="37"/>
  <c r="H33" i="37"/>
  <c r="I123" i="37"/>
  <c r="I58" i="37"/>
  <c r="W35" i="37"/>
  <c r="W36" i="37"/>
  <c r="W34" i="37"/>
  <c r="W33" i="37"/>
  <c r="W37" i="37"/>
  <c r="U35" i="37"/>
  <c r="U36" i="37"/>
  <c r="U33" i="37"/>
  <c r="U37" i="37"/>
  <c r="U34" i="37"/>
  <c r="S32" i="37"/>
  <c r="S98" i="37" s="1"/>
  <c r="S122" i="37" s="1"/>
  <c r="V107" i="37"/>
  <c r="V129" i="37"/>
  <c r="U120" i="37"/>
  <c r="U134" i="37" s="1"/>
  <c r="U93" i="37"/>
  <c r="U109" i="37" s="1"/>
  <c r="U94" i="37"/>
  <c r="U115" i="37" s="1"/>
  <c r="U92" i="37"/>
  <c r="O130" i="37"/>
  <c r="O108" i="37"/>
  <c r="S120" i="37"/>
  <c r="S134" i="37" s="1"/>
  <c r="S93" i="37"/>
  <c r="S109" i="37" s="1"/>
  <c r="S94" i="37"/>
  <c r="S115" i="37" s="1"/>
  <c r="S92" i="37"/>
  <c r="V123" i="37"/>
  <c r="P99" i="37"/>
  <c r="O125" i="37"/>
  <c r="O101" i="37"/>
  <c r="K130" i="37"/>
  <c r="K108" i="37"/>
  <c r="W114" i="37"/>
  <c r="R130" i="37"/>
  <c r="R108" i="37"/>
  <c r="K124" i="37"/>
  <c r="K100" i="37"/>
  <c r="O92" i="37"/>
  <c r="O102" i="37" s="1"/>
  <c r="O120" i="37"/>
  <c r="O134" i="37" s="1"/>
  <c r="O93" i="37"/>
  <c r="O109" i="37" s="1"/>
  <c r="O94" i="37"/>
  <c r="O115" i="37" s="1"/>
  <c r="K125" i="37"/>
  <c r="K101" i="37"/>
  <c r="I108" i="37"/>
  <c r="I130" i="37"/>
  <c r="H58" i="37"/>
  <c r="H98" i="37" s="1"/>
  <c r="H122" i="37" s="1"/>
  <c r="U125" i="37"/>
  <c r="U101" i="37"/>
  <c r="I125" i="37"/>
  <c r="I101" i="37"/>
  <c r="X62" i="37"/>
  <c r="X59" i="37"/>
  <c r="X63" i="37"/>
  <c r="X96" i="37" s="1"/>
  <c r="X60" i="37"/>
  <c r="X61" i="37"/>
  <c r="Q92" i="37"/>
  <c r="Q120" i="37"/>
  <c r="Q134" i="37" s="1"/>
  <c r="Q93" i="37"/>
  <c r="Q109" i="37" s="1"/>
  <c r="Q94" i="37"/>
  <c r="Q115" i="37" s="1"/>
  <c r="R125" i="37"/>
  <c r="R101" i="37"/>
  <c r="R56" i="37"/>
  <c r="Y63" i="75"/>
  <c r="Y72" i="75" s="1"/>
  <c r="M58" i="75"/>
  <c r="M67" i="75" s="1"/>
  <c r="S63" i="75"/>
  <c r="S72" i="75" s="1"/>
  <c r="M57" i="75"/>
  <c r="M66" i="75" s="1"/>
  <c r="R63" i="75"/>
  <c r="R72" i="75" s="1"/>
  <c r="L63" i="75"/>
  <c r="L72" i="75" s="1"/>
  <c r="Q63" i="75"/>
  <c r="Q72" i="75" s="1"/>
  <c r="J63" i="75"/>
  <c r="J72" i="75" s="1"/>
  <c r="K20" i="75"/>
  <c r="K63" i="75" s="1"/>
  <c r="K72" i="75" s="1"/>
  <c r="P63" i="75"/>
  <c r="P72" i="75" s="1"/>
  <c r="Z63" i="75"/>
  <c r="Z72" i="75" s="1"/>
  <c r="T20" i="75"/>
  <c r="T63" i="75" s="1"/>
  <c r="T72" i="75" s="1"/>
  <c r="U63" i="75"/>
  <c r="U72" i="75" s="1"/>
  <c r="M20" i="75"/>
  <c r="M63" i="75" s="1"/>
  <c r="M72" i="75" s="1"/>
  <c r="N63" i="75"/>
  <c r="N72" i="75" s="1"/>
  <c r="O20" i="75"/>
  <c r="O63" i="75" s="1"/>
  <c r="O72" i="75" s="1"/>
  <c r="Q161" i="54"/>
  <c r="Q162" i="54" s="1"/>
  <c r="Q170" i="54" s="1"/>
  <c r="Q153" i="54"/>
  <c r="Q155" i="54" s="1"/>
  <c r="U239" i="54"/>
  <c r="U250" i="54" s="1"/>
  <c r="Q239" i="54"/>
  <c r="Q250" i="54" s="1"/>
  <c r="L156" i="54"/>
  <c r="L153" i="54" s="1"/>
  <c r="L155" i="54" s="1"/>
  <c r="O159" i="54"/>
  <c r="N156" i="54"/>
  <c r="N153" i="54" s="1"/>
  <c r="N155" i="54" s="1"/>
  <c r="S157" i="54"/>
  <c r="S239" i="54" s="1"/>
  <c r="S250" i="54" s="1"/>
  <c r="M159" i="54"/>
  <c r="X157" i="54"/>
  <c r="X239" i="54" s="1"/>
  <c r="X250" i="54" s="1"/>
  <c r="U159" i="54"/>
  <c r="M153" i="54"/>
  <c r="M155" i="54" s="1"/>
  <c r="M161" i="54"/>
  <c r="O153" i="54"/>
  <c r="O155" i="54" s="1"/>
  <c r="O161" i="54"/>
  <c r="O162" i="54" s="1"/>
  <c r="R239" i="54"/>
  <c r="R250" i="54" s="1"/>
  <c r="R161" i="54"/>
  <c r="R162" i="54" s="1"/>
  <c r="R153" i="54"/>
  <c r="R155" i="54" s="1"/>
  <c r="K153" i="54"/>
  <c r="K155" i="54" s="1"/>
  <c r="K161" i="54"/>
  <c r="W153" i="54"/>
  <c r="W155" i="54" s="1"/>
  <c r="W161" i="54"/>
  <c r="V159" i="54"/>
  <c r="H159" i="54"/>
  <c r="X231" i="54"/>
  <c r="X232" i="54"/>
  <c r="L231" i="54"/>
  <c r="L232" i="54"/>
  <c r="K231" i="54"/>
  <c r="K232" i="54"/>
  <c r="M239" i="54"/>
  <c r="M250" i="54" s="1"/>
  <c r="T232" i="54"/>
  <c r="T231" i="54"/>
  <c r="I153" i="54"/>
  <c r="I155" i="54" s="1"/>
  <c r="I161" i="54"/>
  <c r="I162" i="54" s="1"/>
  <c r="L244" i="54"/>
  <c r="L255" i="54" s="1"/>
  <c r="O231" i="54"/>
  <c r="O232" i="54"/>
  <c r="Q232" i="54"/>
  <c r="Q231" i="54"/>
  <c r="K180" i="54"/>
  <c r="W231" i="54"/>
  <c r="W232" i="54"/>
  <c r="J231" i="54"/>
  <c r="J232" i="54"/>
  <c r="O239" i="54"/>
  <c r="O250" i="54" s="1"/>
  <c r="L239" i="54"/>
  <c r="L250" i="54" s="1"/>
  <c r="U153" i="54"/>
  <c r="U155" i="54" s="1"/>
  <c r="U161" i="54"/>
  <c r="H153" i="54"/>
  <c r="H155" i="54" s="1"/>
  <c r="H161" i="54"/>
  <c r="H239" i="54"/>
  <c r="H250" i="54" s="1"/>
  <c r="R232" i="54"/>
  <c r="R231" i="54"/>
  <c r="S232" i="54"/>
  <c r="S231" i="54"/>
  <c r="I231" i="54"/>
  <c r="I232" i="54"/>
  <c r="V231" i="54"/>
  <c r="V232" i="54"/>
  <c r="K244" i="54"/>
  <c r="K255" i="54" s="1"/>
  <c r="M231" i="54"/>
  <c r="M232" i="54"/>
  <c r="K239" i="54"/>
  <c r="K250" i="54" s="1"/>
  <c r="T161" i="54"/>
  <c r="T162" i="54" s="1"/>
  <c r="T153" i="54"/>
  <c r="T155" i="54" s="1"/>
  <c r="P161" i="54"/>
  <c r="P162" i="54" s="1"/>
  <c r="P153" i="54"/>
  <c r="P155" i="54" s="1"/>
  <c r="P239" i="54"/>
  <c r="P250" i="54" s="1"/>
  <c r="H231" i="54"/>
  <c r="H232" i="54"/>
  <c r="N231" i="54"/>
  <c r="N232" i="54"/>
  <c r="J159" i="54"/>
  <c r="X159" i="54"/>
  <c r="J180" i="54"/>
  <c r="V157" i="54"/>
  <c r="V239" i="54" s="1"/>
  <c r="V250" i="54" s="1"/>
  <c r="P232" i="54"/>
  <c r="P231" i="54"/>
  <c r="U231" i="54"/>
  <c r="U232" i="54"/>
  <c r="W159" i="54"/>
  <c r="G91" i="59"/>
  <c r="AK6" i="61"/>
  <c r="AK8" i="61" s="1"/>
  <c r="AL6" i="61"/>
  <c r="AM6" i="61"/>
  <c r="AR6" i="61"/>
  <c r="AR8" i="61" s="1"/>
  <c r="AJ8" i="61"/>
  <c r="AK9" i="61"/>
  <c r="AK11" i="61" s="1"/>
  <c r="AL8" i="61"/>
  <c r="AM9" i="61"/>
  <c r="AM11" i="61" s="1"/>
  <c r="AM8" i="61"/>
  <c r="AJ6" i="61"/>
  <c r="AJ12" i="61"/>
  <c r="AJ48" i="61" s="1"/>
  <c r="AK12" i="61"/>
  <c r="Y9" i="61"/>
  <c r="Y11" i="61" s="1"/>
  <c r="X12" i="61"/>
  <c r="Y12" i="61"/>
  <c r="Y41" i="61" s="1"/>
  <c r="X9" i="61"/>
  <c r="X11" i="61" s="1"/>
  <c r="L6" i="61"/>
  <c r="L8" i="61" s="1"/>
  <c r="M6" i="61"/>
  <c r="N6" i="61"/>
  <c r="K12" i="61"/>
  <c r="K41" i="61" s="1"/>
  <c r="O6" i="61"/>
  <c r="O8" i="61" s="1"/>
  <c r="N9" i="61"/>
  <c r="N11" i="61" s="1"/>
  <c r="O9" i="61"/>
  <c r="O11" i="61" s="1"/>
  <c r="M8" i="61"/>
  <c r="K8" i="61"/>
  <c r="N8" i="61"/>
  <c r="L12" i="61"/>
  <c r="L48" i="61" s="1"/>
  <c r="M12" i="61"/>
  <c r="M48" i="61" s="1"/>
  <c r="I4" i="61"/>
  <c r="I33" i="61"/>
  <c r="I79" i="61" s="1"/>
  <c r="AV32" i="61"/>
  <c r="AV18" i="61" s="1"/>
  <c r="AW32" i="61"/>
  <c r="K48" i="61"/>
  <c r="AI48" i="61"/>
  <c r="AI41" i="61"/>
  <c r="AX32" i="61"/>
  <c r="AX46" i="61" s="1"/>
  <c r="AX83" i="61" s="1"/>
  <c r="AX100" i="61" s="1"/>
  <c r="AK48" i="61"/>
  <c r="AK41" i="61"/>
  <c r="P61" i="61"/>
  <c r="P77" i="61"/>
  <c r="P98" i="61" s="1"/>
  <c r="AN61" i="61"/>
  <c r="AN77" i="61"/>
  <c r="AN98" i="61" s="1"/>
  <c r="AH61" i="61"/>
  <c r="AH77" i="61"/>
  <c r="AH98" i="61" s="1"/>
  <c r="Q61" i="61"/>
  <c r="Q77" i="61"/>
  <c r="Q98" i="61" s="1"/>
  <c r="AO61" i="61"/>
  <c r="AO77" i="61"/>
  <c r="AO98" i="61" s="1"/>
  <c r="R61" i="61"/>
  <c r="R77" i="61"/>
  <c r="R98" i="61" s="1"/>
  <c r="AP61" i="61"/>
  <c r="AP77" i="61"/>
  <c r="AP98" i="61" s="1"/>
  <c r="Z32" i="61"/>
  <c r="Z46" i="61" s="1"/>
  <c r="Z83" i="61" s="1"/>
  <c r="Z100" i="61" s="1"/>
  <c r="S61" i="61"/>
  <c r="S77" i="61"/>
  <c r="S98" i="61" s="1"/>
  <c r="AQ61" i="61"/>
  <c r="AQ77" i="61"/>
  <c r="AQ98" i="61" s="1"/>
  <c r="AA32" i="61"/>
  <c r="AA46" i="61" s="1"/>
  <c r="AA83" i="61" s="1"/>
  <c r="AA100" i="61" s="1"/>
  <c r="T61" i="61"/>
  <c r="T77" i="61"/>
  <c r="T98" i="61" s="1"/>
  <c r="AR61" i="61"/>
  <c r="AR77" i="61"/>
  <c r="AR98" i="61" s="1"/>
  <c r="AS61" i="61"/>
  <c r="AS77" i="61"/>
  <c r="AS98" i="61" s="1"/>
  <c r="AT41" i="61"/>
  <c r="AT48" i="61"/>
  <c r="V61" i="61"/>
  <c r="V77" i="61"/>
  <c r="V98" i="61" s="1"/>
  <c r="AT61" i="61"/>
  <c r="AT77" i="61"/>
  <c r="AT98" i="61" s="1"/>
  <c r="AH48" i="61"/>
  <c r="AH41" i="61"/>
  <c r="AU41" i="61"/>
  <c r="AU48" i="61"/>
  <c r="W61" i="61"/>
  <c r="W77" i="61"/>
  <c r="W98" i="61" s="1"/>
  <c r="AU61" i="61"/>
  <c r="AU77" i="61"/>
  <c r="AU98" i="61" s="1"/>
  <c r="AT14" i="61"/>
  <c r="AT32" i="61" s="1"/>
  <c r="AU14" i="61"/>
  <c r="AU32" i="61" s="1"/>
  <c r="AB8" i="61"/>
  <c r="AC41" i="61"/>
  <c r="AC48" i="61"/>
  <c r="AH14" i="61"/>
  <c r="AC8" i="61"/>
  <c r="AC32" i="61" s="1"/>
  <c r="AD48" i="61"/>
  <c r="K14" i="61"/>
  <c r="AI14" i="61"/>
  <c r="AD77" i="61"/>
  <c r="AD98" i="61" s="1"/>
  <c r="AD61" i="61"/>
  <c r="AD8" i="61"/>
  <c r="AE48" i="61"/>
  <c r="AE41" i="61"/>
  <c r="AE77" i="61"/>
  <c r="AE98" i="61" s="1"/>
  <c r="AE61" i="61"/>
  <c r="AE8" i="61"/>
  <c r="AE32" i="61" s="1"/>
  <c r="AE18" i="61" s="1"/>
  <c r="AK14" i="61"/>
  <c r="H77" i="61"/>
  <c r="H98" i="61" s="1"/>
  <c r="H61" i="61"/>
  <c r="AF8" i="61"/>
  <c r="I48" i="61"/>
  <c r="I41" i="61"/>
  <c r="I77" i="61"/>
  <c r="I98" i="61" s="1"/>
  <c r="I61" i="61"/>
  <c r="X48" i="61"/>
  <c r="AV48" i="61"/>
  <c r="Y48" i="61"/>
  <c r="AW48" i="61"/>
  <c r="Z48" i="61"/>
  <c r="AX48" i="61"/>
  <c r="AA48" i="61"/>
  <c r="AB48" i="61"/>
  <c r="X61" i="61"/>
  <c r="Y61" i="61"/>
  <c r="AW47" i="61"/>
  <c r="Z61" i="61"/>
  <c r="Z47" i="61"/>
  <c r="AX47" i="61"/>
  <c r="AA61" i="61"/>
  <c r="AB61" i="61"/>
  <c r="AB47" i="61"/>
  <c r="AC61" i="61"/>
  <c r="K77" i="61"/>
  <c r="K98" i="61" s="1"/>
  <c r="X41" i="61"/>
  <c r="AV41" i="61"/>
  <c r="L61" i="61"/>
  <c r="L77" i="61"/>
  <c r="L98" i="61" s="1"/>
  <c r="AJ61" i="61"/>
  <c r="AJ77" i="61"/>
  <c r="AJ98" i="61" s="1"/>
  <c r="AI77" i="61"/>
  <c r="AI98" i="61" s="1"/>
  <c r="M61" i="61"/>
  <c r="M77" i="61"/>
  <c r="M98" i="61" s="1"/>
  <c r="AK61" i="61"/>
  <c r="AK77" i="61"/>
  <c r="AK98" i="61" s="1"/>
  <c r="N61" i="61"/>
  <c r="N77" i="61"/>
  <c r="N98" i="61" s="1"/>
  <c r="AL61" i="61"/>
  <c r="AL77" i="61"/>
  <c r="AL98" i="61" s="1"/>
  <c r="AV61" i="61"/>
  <c r="O61" i="61"/>
  <c r="O77" i="61"/>
  <c r="O98" i="61" s="1"/>
  <c r="AM61" i="61"/>
  <c r="AM77" i="61"/>
  <c r="AM98" i="61" s="1"/>
  <c r="AW61" i="61"/>
  <c r="G133" i="59"/>
  <c r="G132" i="59"/>
  <c r="G131" i="59"/>
  <c r="G92" i="59"/>
  <c r="G130" i="59"/>
  <c r="G198" i="58"/>
  <c r="G202" i="58" s="1"/>
  <c r="G84" i="58"/>
  <c r="G59" i="58"/>
  <c r="G70" i="58"/>
  <c r="G148" i="58"/>
  <c r="G153" i="58"/>
  <c r="G149" i="58"/>
  <c r="G145" i="58"/>
  <c r="G150" i="58"/>
  <c r="G152" i="58"/>
  <c r="G146" i="58"/>
  <c r="G144" i="58"/>
  <c r="G151" i="58"/>
  <c r="G147" i="58"/>
  <c r="G77" i="58"/>
  <c r="G74" i="58"/>
  <c r="G79" i="58"/>
  <c r="G75" i="58"/>
  <c r="G71" i="58"/>
  <c r="G78" i="58"/>
  <c r="G72" i="58"/>
  <c r="G76" i="58"/>
  <c r="G73" i="58"/>
  <c r="G157" i="58"/>
  <c r="G159" i="58" s="1"/>
  <c r="G219" i="58" s="1"/>
  <c r="G209" i="58" s="1"/>
  <c r="G173" i="58"/>
  <c r="G174" i="58"/>
  <c r="G167" i="58"/>
  <c r="G169" i="58" s="1"/>
  <c r="G178" i="58"/>
  <c r="G179" i="58" s="1"/>
  <c r="G180" i="58" s="1"/>
  <c r="S12" i="61"/>
  <c r="S14" i="61" s="1"/>
  <c r="S32" i="61" s="1"/>
  <c r="AQ12" i="61"/>
  <c r="AQ41" i="61" s="1"/>
  <c r="AS12" i="61"/>
  <c r="AS41" i="61" s="1"/>
  <c r="AP9" i="61"/>
  <c r="AP11" i="61" s="1"/>
  <c r="AQ9" i="61"/>
  <c r="AQ11" i="61" s="1"/>
  <c r="AR9" i="61"/>
  <c r="AR11" i="61" s="1"/>
  <c r="AS9" i="61"/>
  <c r="AS11" i="61" s="1"/>
  <c r="AG6" i="61"/>
  <c r="AG8" i="61" s="1"/>
  <c r="AR12" i="61"/>
  <c r="AR14" i="61" s="1"/>
  <c r="G19" i="60"/>
  <c r="G17" i="60"/>
  <c r="G18" i="60" s="1"/>
  <c r="H9" i="61" s="1"/>
  <c r="H11" i="61" s="1"/>
  <c r="AG9" i="61"/>
  <c r="AG11" i="61" s="1"/>
  <c r="K9" i="61"/>
  <c r="K11" i="61" s="1"/>
  <c r="G10" i="60"/>
  <c r="G11" i="60" s="1"/>
  <c r="G12" i="60"/>
  <c r="G15" i="60" s="1"/>
  <c r="G24" i="60"/>
  <c r="G25" i="60" s="1"/>
  <c r="G26" i="60"/>
  <c r="G7" i="60"/>
  <c r="L9" i="61"/>
  <c r="L11" i="61" s="1"/>
  <c r="AJ9" i="61"/>
  <c r="AJ11" i="61" s="1"/>
  <c r="G30" i="60"/>
  <c r="O291" i="133"/>
  <c r="X304" i="133"/>
  <c r="R304" i="133"/>
  <c r="X291" i="133"/>
  <c r="Q304" i="133"/>
  <c r="S304" i="133"/>
  <c r="N304" i="133"/>
  <c r="T291" i="133"/>
  <c r="P291" i="133"/>
  <c r="P304" i="133"/>
  <c r="S291" i="133"/>
  <c r="W291" i="133"/>
  <c r="R291" i="133"/>
  <c r="V291" i="133"/>
  <c r="N291" i="133"/>
  <c r="Q291" i="133"/>
  <c r="U291" i="133"/>
  <c r="N86" i="56" l="1"/>
  <c r="P62" i="37"/>
  <c r="P105" i="37" s="1"/>
  <c r="O86" i="56"/>
  <c r="W98" i="37"/>
  <c r="W122" i="37" s="1"/>
  <c r="K106" i="37"/>
  <c r="K104" i="37"/>
  <c r="H96" i="56"/>
  <c r="H101" i="56" s="1"/>
  <c r="U96" i="56"/>
  <c r="U101" i="56" s="1"/>
  <c r="W96" i="56"/>
  <c r="W101" i="56" s="1"/>
  <c r="T94" i="56"/>
  <c r="M115" i="56"/>
  <c r="M110" i="56"/>
  <c r="P94" i="56"/>
  <c r="M114" i="56"/>
  <c r="S94" i="56"/>
  <c r="S96" i="56" s="1"/>
  <c r="S101" i="56" s="1"/>
  <c r="S114" i="56" s="1"/>
  <c r="J106" i="56"/>
  <c r="W108" i="56"/>
  <c r="V96" i="56"/>
  <c r="V101" i="56" s="1"/>
  <c r="AD32" i="61"/>
  <c r="AD18" i="61" s="1"/>
  <c r="AW32" i="60"/>
  <c r="AI32" i="61"/>
  <c r="G21" i="60"/>
  <c r="AH32" i="61"/>
  <c r="G14" i="60"/>
  <c r="H6" i="61"/>
  <c r="H8" i="61" s="1"/>
  <c r="G28" i="60"/>
  <c r="H12" i="61"/>
  <c r="R96" i="56"/>
  <c r="R101" i="56" s="1"/>
  <c r="J115" i="56"/>
  <c r="J110" i="56"/>
  <c r="J107" i="56"/>
  <c r="J116" i="56" s="1"/>
  <c r="J119" i="56"/>
  <c r="H86" i="56"/>
  <c r="R62" i="37"/>
  <c r="I86" i="56"/>
  <c r="I96" i="56" s="1"/>
  <c r="I101" i="56" s="1"/>
  <c r="K127" i="37"/>
  <c r="O106" i="37"/>
  <c r="P60" i="37"/>
  <c r="P104" i="37" s="1"/>
  <c r="L128" i="37"/>
  <c r="R63" i="37"/>
  <c r="R96" i="37" s="1"/>
  <c r="R59" i="37"/>
  <c r="R97" i="37" s="1"/>
  <c r="R121" i="37" s="1"/>
  <c r="P63" i="37"/>
  <c r="P96" i="37" s="1"/>
  <c r="P59" i="37"/>
  <c r="P97" i="37" s="1"/>
  <c r="P121" i="37" s="1"/>
  <c r="P61" i="37"/>
  <c r="P126" i="37" s="1"/>
  <c r="K86" i="56"/>
  <c r="N128" i="37"/>
  <c r="N103" i="37"/>
  <c r="U162" i="54"/>
  <c r="J98" i="37"/>
  <c r="J122" i="37" s="1"/>
  <c r="J239" i="54"/>
  <c r="J250" i="54" s="1"/>
  <c r="S61" i="37"/>
  <c r="S103" i="37" s="1"/>
  <c r="K162" i="54"/>
  <c r="K170" i="54" s="1"/>
  <c r="I98" i="37"/>
  <c r="I122" i="37" s="1"/>
  <c r="S60" i="37"/>
  <c r="S63" i="37"/>
  <c r="S96" i="37" s="1"/>
  <c r="J161" i="54"/>
  <c r="R61" i="37"/>
  <c r="O103" i="37"/>
  <c r="R60" i="37"/>
  <c r="R128" i="37" s="1"/>
  <c r="J162" i="54"/>
  <c r="J170" i="54" s="1"/>
  <c r="Q164" i="54"/>
  <c r="S110" i="37"/>
  <c r="S131" i="37" s="1"/>
  <c r="S95" i="37"/>
  <c r="X153" i="54"/>
  <c r="X155" i="54" s="1"/>
  <c r="X161" i="54"/>
  <c r="X162" i="54" s="1"/>
  <c r="W111" i="56"/>
  <c r="W117" i="56" s="1"/>
  <c r="O127" i="37"/>
  <c r="R110" i="37"/>
  <c r="R131" i="37" s="1"/>
  <c r="R95" i="37"/>
  <c r="N95" i="37"/>
  <c r="N110" i="37"/>
  <c r="N131" i="37" s="1"/>
  <c r="H162" i="54"/>
  <c r="H164" i="54" s="1"/>
  <c r="S59" i="37"/>
  <c r="S97" i="37" s="1"/>
  <c r="S121" i="37" s="1"/>
  <c r="P110" i="37"/>
  <c r="P131" i="37" s="1"/>
  <c r="P95" i="37"/>
  <c r="Q54" i="37"/>
  <c r="Q61" i="37"/>
  <c r="Q62" i="37"/>
  <c r="Q105" i="37" s="1"/>
  <c r="Q59" i="37"/>
  <c r="Q97" i="37" s="1"/>
  <c r="Q121" i="37" s="1"/>
  <c r="Q63" i="37"/>
  <c r="Q60" i="37"/>
  <c r="Q104" i="37" s="1"/>
  <c r="S62" i="37"/>
  <c r="S105" i="37" s="1"/>
  <c r="L97" i="37"/>
  <c r="L121" i="37" s="1"/>
  <c r="L127" i="37"/>
  <c r="N127" i="37"/>
  <c r="L106" i="37"/>
  <c r="N106" i="37"/>
  <c r="U110" i="37"/>
  <c r="U131" i="37" s="1"/>
  <c r="U95" i="37"/>
  <c r="W97" i="37"/>
  <c r="W121" i="37" s="1"/>
  <c r="W105" i="37"/>
  <c r="I47" i="61"/>
  <c r="I18" i="61"/>
  <c r="I2" i="61"/>
  <c r="I5" i="61"/>
  <c r="I3" i="61"/>
  <c r="I46" i="61"/>
  <c r="I83" i="61" s="1"/>
  <c r="I100" i="61" s="1"/>
  <c r="I15" i="61"/>
  <c r="I16" i="61" s="1"/>
  <c r="I62" i="61" s="1"/>
  <c r="I84" i="61" s="1"/>
  <c r="AU47" i="61"/>
  <c r="AD46" i="61"/>
  <c r="AD83" i="61" s="1"/>
  <c r="AD100" i="61" s="1"/>
  <c r="AI47" i="61"/>
  <c r="AA191" i="58"/>
  <c r="AA221" i="58"/>
  <c r="AA211" i="58" s="1"/>
  <c r="AH47" i="61"/>
  <c r="AH51" i="61" s="1"/>
  <c r="AH76" i="61" s="1"/>
  <c r="AH97" i="61" s="1"/>
  <c r="AC47" i="61"/>
  <c r="AC51" i="61" s="1"/>
  <c r="AC76" i="61" s="1"/>
  <c r="AC97" i="61" s="1"/>
  <c r="AH32" i="60"/>
  <c r="U62" i="37"/>
  <c r="U105" i="37" s="1"/>
  <c r="U59" i="37"/>
  <c r="U97" i="37" s="1"/>
  <c r="U121" i="37" s="1"/>
  <c r="U63" i="37"/>
  <c r="U96" i="37" s="1"/>
  <c r="U60" i="37"/>
  <c r="U61" i="37"/>
  <c r="U103" i="37" s="1"/>
  <c r="U56" i="37"/>
  <c r="P123" i="37"/>
  <c r="M106" i="56"/>
  <c r="M94" i="56"/>
  <c r="M107" i="56" s="1"/>
  <c r="K106" i="56"/>
  <c r="K94" i="56"/>
  <c r="Q86" i="56"/>
  <c r="L86" i="56"/>
  <c r="T86" i="56"/>
  <c r="S86" i="56"/>
  <c r="L106" i="56"/>
  <c r="L94" i="56"/>
  <c r="O106" i="56"/>
  <c r="O94" i="56"/>
  <c r="G86" i="56"/>
  <c r="G96" i="56" s="1"/>
  <c r="G101" i="56" s="1"/>
  <c r="G114" i="56" s="1"/>
  <c r="R86" i="56"/>
  <c r="Q106" i="56"/>
  <c r="Q94" i="56"/>
  <c r="N106" i="56"/>
  <c r="N94" i="56"/>
  <c r="V125" i="37"/>
  <c r="V101" i="37"/>
  <c r="R105" i="37"/>
  <c r="O128" i="37"/>
  <c r="R103" i="37"/>
  <c r="R126" i="37"/>
  <c r="S102" i="37"/>
  <c r="S123" i="37"/>
  <c r="W127" i="37"/>
  <c r="W106" i="37"/>
  <c r="V108" i="37"/>
  <c r="V130" i="37"/>
  <c r="Q102" i="37"/>
  <c r="Q123" i="37"/>
  <c r="W128" i="37"/>
  <c r="W104" i="37"/>
  <c r="O123" i="37"/>
  <c r="T106" i="37"/>
  <c r="T127" i="37"/>
  <c r="W103" i="37"/>
  <c r="W126" i="37"/>
  <c r="T103" i="37"/>
  <c r="T126" i="37"/>
  <c r="T128" i="37"/>
  <c r="T104" i="37"/>
  <c r="V128" i="37"/>
  <c r="V104" i="37"/>
  <c r="V127" i="37"/>
  <c r="V106" i="37"/>
  <c r="U102" i="37"/>
  <c r="U123" i="37"/>
  <c r="R102" i="37"/>
  <c r="R123" i="37"/>
  <c r="S106" i="37"/>
  <c r="S127" i="37"/>
  <c r="V103" i="37"/>
  <c r="V126" i="37"/>
  <c r="X128" i="37"/>
  <c r="X104" i="37"/>
  <c r="X106" i="37"/>
  <c r="X127" i="37"/>
  <c r="X97" i="37"/>
  <c r="X121" i="37" s="1"/>
  <c r="L103" i="37"/>
  <c r="T102" i="37"/>
  <c r="T123" i="37"/>
  <c r="X105" i="37"/>
  <c r="K103" i="37"/>
  <c r="X126" i="37"/>
  <c r="X103" i="37"/>
  <c r="N104" i="37"/>
  <c r="K97" i="37"/>
  <c r="K121" i="37" s="1"/>
  <c r="M162" i="54"/>
  <c r="M170" i="54" s="1"/>
  <c r="S153" i="54"/>
  <c r="S155" i="54" s="1"/>
  <c r="S161" i="54"/>
  <c r="S162" i="54" s="1"/>
  <c r="S170" i="54" s="1"/>
  <c r="N239" i="54"/>
  <c r="N250" i="54" s="1"/>
  <c r="L161" i="54"/>
  <c r="L162" i="54" s="1"/>
  <c r="L170" i="54" s="1"/>
  <c r="N161" i="54"/>
  <c r="N162" i="54" s="1"/>
  <c r="N170" i="54" s="1"/>
  <c r="O170" i="54"/>
  <c r="O164" i="54"/>
  <c r="T170" i="54"/>
  <c r="T164" i="54"/>
  <c r="J164" i="54"/>
  <c r="R170" i="54"/>
  <c r="R164" i="54"/>
  <c r="I170" i="54"/>
  <c r="I164" i="54"/>
  <c r="U170" i="54"/>
  <c r="U164" i="54"/>
  <c r="Q246" i="54"/>
  <c r="Q257" i="54" s="1"/>
  <c r="Q243" i="54"/>
  <c r="Q254" i="54" s="1"/>
  <c r="V161" i="54"/>
  <c r="V162" i="54" s="1"/>
  <c r="V153" i="54"/>
  <c r="V155" i="54" s="1"/>
  <c r="P170" i="54"/>
  <c r="P164" i="54"/>
  <c r="W162" i="54"/>
  <c r="J6" i="61"/>
  <c r="J8" i="61" s="1"/>
  <c r="AJ14" i="61"/>
  <c r="AJ41" i="61"/>
  <c r="M14" i="61"/>
  <c r="L14" i="61"/>
  <c r="AJ32" i="61"/>
  <c r="AJ15" i="61" s="1"/>
  <c r="AJ16" i="61" s="1"/>
  <c r="AJ62" i="61" s="1"/>
  <c r="AJ84" i="61" s="1"/>
  <c r="AJ47" i="61"/>
  <c r="AJ51" i="61" s="1"/>
  <c r="AJ76" i="61" s="1"/>
  <c r="AJ97" i="61" s="1"/>
  <c r="AR32" i="61"/>
  <c r="AS14" i="61"/>
  <c r="AK32" i="61"/>
  <c r="AK33" i="61" s="1"/>
  <c r="AK79" i="61" s="1"/>
  <c r="AN6" i="61"/>
  <c r="AN8" i="61" s="1"/>
  <c r="AO9" i="61"/>
  <c r="AO11" i="61" s="1"/>
  <c r="AR48" i="61"/>
  <c r="AR47" i="61"/>
  <c r="AR50" i="61" s="1"/>
  <c r="AR68" i="61" s="1"/>
  <c r="AR89" i="61" s="1"/>
  <c r="AR41" i="61"/>
  <c r="AP6" i="61"/>
  <c r="AP8" i="61" s="1"/>
  <c r="AP12" i="61"/>
  <c r="AO12" i="61"/>
  <c r="AQ14" i="61"/>
  <c r="AN12" i="61"/>
  <c r="AM12" i="61"/>
  <c r="AL12" i="61"/>
  <c r="AQ48" i="61"/>
  <c r="AQ6" i="61"/>
  <c r="AQ8" i="61" s="1"/>
  <c r="AO6" i="61"/>
  <c r="AO8" i="61" s="1"/>
  <c r="AL9" i="61"/>
  <c r="AL11" i="61" s="1"/>
  <c r="AS48" i="61"/>
  <c r="Y6" i="61"/>
  <c r="Y8" i="61" s="1"/>
  <c r="X14" i="61"/>
  <c r="Y14" i="61"/>
  <c r="Y47" i="61" s="1"/>
  <c r="L47" i="61"/>
  <c r="L51" i="61" s="1"/>
  <c r="L76" i="61" s="1"/>
  <c r="L97" i="61" s="1"/>
  <c r="M41" i="61"/>
  <c r="M9" i="61"/>
  <c r="M11" i="61" s="1"/>
  <c r="M32" i="61" s="1"/>
  <c r="K47" i="61"/>
  <c r="K51" i="61" s="1"/>
  <c r="K76" i="61" s="1"/>
  <c r="K97" i="61" s="1"/>
  <c r="L41" i="61"/>
  <c r="S48" i="61"/>
  <c r="S47" i="61"/>
  <c r="S41" i="61"/>
  <c r="W12" i="61"/>
  <c r="V12" i="61"/>
  <c r="Q12" i="61"/>
  <c r="P12" i="61"/>
  <c r="U12" i="61"/>
  <c r="T12" i="61"/>
  <c r="O12" i="61"/>
  <c r="R12" i="61"/>
  <c r="N12" i="61"/>
  <c r="AH4" i="61"/>
  <c r="AH33" i="61"/>
  <c r="AH79" i="61" s="1"/>
  <c r="AH38" i="61"/>
  <c r="AH46" i="61"/>
  <c r="AH83" i="61" s="1"/>
  <c r="AH100" i="61" s="1"/>
  <c r="AH3" i="61"/>
  <c r="AH5" i="61"/>
  <c r="AH15" i="61"/>
  <c r="AH16" i="61" s="1"/>
  <c r="AH62" i="61" s="1"/>
  <c r="AH84" i="61" s="1"/>
  <c r="AH2" i="61"/>
  <c r="AH18" i="61"/>
  <c r="AU2" i="61"/>
  <c r="AU46" i="61"/>
  <c r="AU83" i="61" s="1"/>
  <c r="AU100" i="61" s="1"/>
  <c r="AU33" i="61"/>
  <c r="AU79" i="61" s="1"/>
  <c r="AU38" i="61"/>
  <c r="AU15" i="61"/>
  <c r="AU16" i="61" s="1"/>
  <c r="AU62" i="61" s="1"/>
  <c r="AU84" i="61" s="1"/>
  <c r="AU4" i="61"/>
  <c r="AU5" i="61"/>
  <c r="AU3" i="61"/>
  <c r="AU18" i="61"/>
  <c r="AT46" i="61"/>
  <c r="AT83" i="61" s="1"/>
  <c r="AT100" i="61" s="1"/>
  <c r="AT33" i="61"/>
  <c r="AT79" i="61" s="1"/>
  <c r="AT38" i="61"/>
  <c r="AT5" i="61"/>
  <c r="AT2" i="61"/>
  <c r="AT15" i="61"/>
  <c r="AT16" i="61" s="1"/>
  <c r="AT62" i="61" s="1"/>
  <c r="AT84" i="61" s="1"/>
  <c r="AT4" i="61"/>
  <c r="AT3" i="61"/>
  <c r="AT18" i="61"/>
  <c r="AE27" i="61"/>
  <c r="AE63" i="61" s="1"/>
  <c r="AE85" i="61" s="1"/>
  <c r="AE28" i="61"/>
  <c r="AE70" i="61" s="1"/>
  <c r="AE91" i="61" s="1"/>
  <c r="AE29" i="61"/>
  <c r="AE69" i="61" s="1"/>
  <c r="AE90" i="61" s="1"/>
  <c r="AE20" i="61"/>
  <c r="AE30" i="61"/>
  <c r="AE71" i="61" s="1"/>
  <c r="AE92" i="61" s="1"/>
  <c r="AE31" i="61"/>
  <c r="AE72" i="61" s="1"/>
  <c r="AE93" i="61" s="1"/>
  <c r="AJ4" i="61"/>
  <c r="AJ33" i="61"/>
  <c r="AJ79" i="61" s="1"/>
  <c r="AJ38" i="61"/>
  <c r="AJ46" i="61"/>
  <c r="AJ83" i="61" s="1"/>
  <c r="AJ100" i="61" s="1"/>
  <c r="AJ3" i="61"/>
  <c r="AJ5" i="61"/>
  <c r="AA33" i="61"/>
  <c r="AA79" i="61" s="1"/>
  <c r="AA38" i="61"/>
  <c r="AA3" i="61"/>
  <c r="AA5" i="61"/>
  <c r="AA18" i="61"/>
  <c r="AA15" i="61"/>
  <c r="AA16" i="61" s="1"/>
  <c r="AA62" i="61" s="1"/>
  <c r="AA84" i="61" s="1"/>
  <c r="AA2" i="61"/>
  <c r="AA4" i="61"/>
  <c r="AW2" i="61"/>
  <c r="AW46" i="61"/>
  <c r="AW83" i="61" s="1"/>
  <c r="AW100" i="61" s="1"/>
  <c r="AW4" i="61"/>
  <c r="AW33" i="61"/>
  <c r="AW79" i="61" s="1"/>
  <c r="AW38" i="61"/>
  <c r="AW15" i="61"/>
  <c r="AW16" i="61" s="1"/>
  <c r="AW62" i="61" s="1"/>
  <c r="AW84" i="61" s="1"/>
  <c r="AW18" i="61"/>
  <c r="AW3" i="61"/>
  <c r="AW5" i="61"/>
  <c r="L32" i="61"/>
  <c r="AI4" i="61"/>
  <c r="AI33" i="61"/>
  <c r="AI79" i="61" s="1"/>
  <c r="AI38" i="61"/>
  <c r="AI46" i="61"/>
  <c r="AI83" i="61" s="1"/>
  <c r="AI100" i="61" s="1"/>
  <c r="AI3" i="61"/>
  <c r="AI5" i="61"/>
  <c r="AI15" i="61"/>
  <c r="AI16" i="61" s="1"/>
  <c r="AI62" i="61" s="1"/>
  <c r="AI84" i="61" s="1"/>
  <c r="AI2" i="61"/>
  <c r="AD51" i="61"/>
  <c r="AD76" i="61" s="1"/>
  <c r="AD97" i="61" s="1"/>
  <c r="AD49" i="61"/>
  <c r="AD81" i="61" s="1"/>
  <c r="AD50" i="61"/>
  <c r="AD68" i="61" s="1"/>
  <c r="AD89" i="61" s="1"/>
  <c r="K32" i="61"/>
  <c r="AC3" i="61"/>
  <c r="AC33" i="61"/>
  <c r="AC79" i="61" s="1"/>
  <c r="AC38" i="61"/>
  <c r="AC15" i="61"/>
  <c r="AC16" i="61" s="1"/>
  <c r="AC62" i="61" s="1"/>
  <c r="AC84" i="61" s="1"/>
  <c r="AC5" i="61"/>
  <c r="AC18" i="61"/>
  <c r="AC2" i="61"/>
  <c r="AC4" i="61"/>
  <c r="AH50" i="61"/>
  <c r="AH68" i="61" s="1"/>
  <c r="AH89" i="61" s="1"/>
  <c r="AE3" i="61"/>
  <c r="AE33" i="61"/>
  <c r="AE79" i="61" s="1"/>
  <c r="AE38" i="61"/>
  <c r="AE40" i="61" s="1"/>
  <c r="AE5" i="61"/>
  <c r="AE46" i="61"/>
  <c r="AE83" i="61" s="1"/>
  <c r="AE100" i="61" s="1"/>
  <c r="AE15" i="61"/>
  <c r="AE16" i="61" s="1"/>
  <c r="AE62" i="61" s="1"/>
  <c r="AE84" i="61" s="1"/>
  <c r="AE2" i="61"/>
  <c r="AE4" i="61"/>
  <c r="AJ49" i="61"/>
  <c r="AJ81" i="61" s="1"/>
  <c r="AJ50" i="61"/>
  <c r="AJ68" i="61" s="1"/>
  <c r="AJ89" i="61" s="1"/>
  <c r="AV2" i="61"/>
  <c r="AV46" i="61"/>
  <c r="AV83" i="61" s="1"/>
  <c r="AV100" i="61" s="1"/>
  <c r="AV33" i="61"/>
  <c r="AV79" i="61" s="1"/>
  <c r="AV38" i="61"/>
  <c r="AV15" i="61"/>
  <c r="AV16" i="61" s="1"/>
  <c r="AV62" i="61" s="1"/>
  <c r="AV84" i="61" s="1"/>
  <c r="AV4" i="61"/>
  <c r="AV3" i="61"/>
  <c r="AV5" i="61"/>
  <c r="AC46" i="61"/>
  <c r="AC83" i="61" s="1"/>
  <c r="AC100" i="61" s="1"/>
  <c r="AI18" i="61"/>
  <c r="I51" i="61"/>
  <c r="I76" i="61" s="1"/>
  <c r="I97" i="61" s="1"/>
  <c r="I49" i="61"/>
  <c r="I81" i="61" s="1"/>
  <c r="I50" i="61"/>
  <c r="I68" i="61" s="1"/>
  <c r="I89" i="61" s="1"/>
  <c r="AT47" i="61"/>
  <c r="AB32" i="61"/>
  <c r="AU50" i="61"/>
  <c r="AU68" i="61" s="1"/>
  <c r="AU89" i="61" s="1"/>
  <c r="AU51" i="61"/>
  <c r="AU76" i="61" s="1"/>
  <c r="AU97" i="61" s="1"/>
  <c r="AU49" i="61"/>
  <c r="AU81" i="61" s="1"/>
  <c r="AB51" i="61"/>
  <c r="AB76" i="61" s="1"/>
  <c r="AB97" i="61" s="1"/>
  <c r="AB49" i="61"/>
  <c r="AB81" i="61" s="1"/>
  <c r="AB50" i="61"/>
  <c r="AB68" i="61" s="1"/>
  <c r="AB89" i="61" s="1"/>
  <c r="AX2" i="61"/>
  <c r="AX4" i="61"/>
  <c r="AX33" i="61"/>
  <c r="AX79" i="61" s="1"/>
  <c r="AX38" i="61"/>
  <c r="AX15" i="61"/>
  <c r="AX16" i="61" s="1"/>
  <c r="AX62" i="61" s="1"/>
  <c r="AX84" i="61" s="1"/>
  <c r="AX18" i="61"/>
  <c r="AX3" i="61"/>
  <c r="AX5" i="61"/>
  <c r="I53" i="61"/>
  <c r="I57" i="61"/>
  <c r="I55" i="61"/>
  <c r="AA51" i="61"/>
  <c r="AA76" i="61" s="1"/>
  <c r="AA97" i="61" s="1"/>
  <c r="AA49" i="61"/>
  <c r="AA81" i="61" s="1"/>
  <c r="AA50" i="61"/>
  <c r="AA68" i="61" s="1"/>
  <c r="AA89" i="61" s="1"/>
  <c r="I28" i="61"/>
  <c r="I70" i="61" s="1"/>
  <c r="I91" i="61" s="1"/>
  <c r="I29" i="61"/>
  <c r="I69" i="61" s="1"/>
  <c r="I90" i="61" s="1"/>
  <c r="I20" i="61"/>
  <c r="I30" i="61"/>
  <c r="I71" i="61" s="1"/>
  <c r="I92" i="61" s="1"/>
  <c r="I31" i="61"/>
  <c r="I72" i="61" s="1"/>
  <c r="I93" i="61" s="1"/>
  <c r="I27" i="61"/>
  <c r="I63" i="61" s="1"/>
  <c r="I85" i="61" s="1"/>
  <c r="AX50" i="61"/>
  <c r="AX68" i="61" s="1"/>
  <c r="AX89" i="61" s="1"/>
  <c r="AX51" i="61"/>
  <c r="AX76" i="61" s="1"/>
  <c r="AX97" i="61" s="1"/>
  <c r="AX49" i="61"/>
  <c r="AX81" i="61" s="1"/>
  <c r="AE47" i="61"/>
  <c r="AR49" i="61"/>
  <c r="AR81" i="61" s="1"/>
  <c r="Z4" i="61"/>
  <c r="Z33" i="61"/>
  <c r="Z79" i="61" s="1"/>
  <c r="Z38" i="61"/>
  <c r="Z3" i="61"/>
  <c r="Z5" i="61"/>
  <c r="Z18" i="61"/>
  <c r="Z15" i="61"/>
  <c r="Z16" i="61" s="1"/>
  <c r="Z62" i="61" s="1"/>
  <c r="Z84" i="61" s="1"/>
  <c r="Z2" i="61"/>
  <c r="Z50" i="61"/>
  <c r="Z68" i="61" s="1"/>
  <c r="Z89" i="61" s="1"/>
  <c r="Z51" i="61"/>
  <c r="Z76" i="61" s="1"/>
  <c r="Z97" i="61" s="1"/>
  <c r="Z49" i="61"/>
  <c r="Z81" i="61" s="1"/>
  <c r="AD27" i="61"/>
  <c r="AD63" i="61" s="1"/>
  <c r="AD85" i="61" s="1"/>
  <c r="AD28" i="61"/>
  <c r="AD70" i="61" s="1"/>
  <c r="AD91" i="61" s="1"/>
  <c r="AD29" i="61"/>
  <c r="AD69" i="61" s="1"/>
  <c r="AD90" i="61" s="1"/>
  <c r="AD20" i="61"/>
  <c r="AD30" i="61"/>
  <c r="AD71" i="61" s="1"/>
  <c r="AD92" i="61" s="1"/>
  <c r="AD31" i="61"/>
  <c r="AD72" i="61" s="1"/>
  <c r="AD93" i="61" s="1"/>
  <c r="AD3" i="61"/>
  <c r="AD33" i="61"/>
  <c r="AD79" i="61" s="1"/>
  <c r="AD38" i="61"/>
  <c r="AD5" i="61"/>
  <c r="AD15" i="61"/>
  <c r="AD16" i="61" s="1"/>
  <c r="AD62" i="61" s="1"/>
  <c r="AD84" i="61" s="1"/>
  <c r="AD2" i="61"/>
  <c r="AD4" i="61"/>
  <c r="AV31" i="61"/>
  <c r="AV72" i="61" s="1"/>
  <c r="AV93" i="61" s="1"/>
  <c r="AV28" i="61"/>
  <c r="AV70" i="61" s="1"/>
  <c r="AV91" i="61" s="1"/>
  <c r="AV29" i="61"/>
  <c r="AV69" i="61" s="1"/>
  <c r="AV90" i="61" s="1"/>
  <c r="AV30" i="61"/>
  <c r="AV71" i="61" s="1"/>
  <c r="AV92" i="61" s="1"/>
  <c r="AV20" i="61"/>
  <c r="AV27" i="61"/>
  <c r="AV63" i="61" s="1"/>
  <c r="AV85" i="61" s="1"/>
  <c r="S15" i="61"/>
  <c r="S16" i="61" s="1"/>
  <c r="S62" i="61" s="1"/>
  <c r="S84" i="61" s="1"/>
  <c r="S33" i="61"/>
  <c r="S79" i="61" s="1"/>
  <c r="S38" i="61"/>
  <c r="S2" i="61"/>
  <c r="S4" i="61"/>
  <c r="S3" i="61"/>
  <c r="S18" i="61"/>
  <c r="S5" i="61"/>
  <c r="AK47" i="61"/>
  <c r="I39" i="61"/>
  <c r="I35" i="61"/>
  <c r="I66" i="61" s="1"/>
  <c r="I36" i="61"/>
  <c r="AW50" i="61"/>
  <c r="AW68" i="61" s="1"/>
  <c r="AW89" i="61" s="1"/>
  <c r="AW51" i="61"/>
  <c r="AW76" i="61" s="1"/>
  <c r="AW97" i="61" s="1"/>
  <c r="AW49" i="61"/>
  <c r="AW81" i="61" s="1"/>
  <c r="AI51" i="61"/>
  <c r="AI76" i="61" s="1"/>
  <c r="AI97" i="61" s="1"/>
  <c r="AI49" i="61"/>
  <c r="AI81" i="61" s="1"/>
  <c r="AI50" i="61"/>
  <c r="AI68" i="61" s="1"/>
  <c r="AI89" i="61" s="1"/>
  <c r="S46" i="61"/>
  <c r="S83" i="61" s="1"/>
  <c r="S100" i="61" s="1"/>
  <c r="AJ18" i="61"/>
  <c r="AV50" i="61"/>
  <c r="AV68" i="61" s="1"/>
  <c r="AV89" i="61" s="1"/>
  <c r="AV51" i="61"/>
  <c r="AV76" i="61" s="1"/>
  <c r="AV97" i="61" s="1"/>
  <c r="AV49" i="61"/>
  <c r="AV81" i="61" s="1"/>
  <c r="M47" i="61"/>
  <c r="G191" i="58"/>
  <c r="G175" i="58"/>
  <c r="G221" i="58" s="1"/>
  <c r="G211" i="58" s="1"/>
  <c r="G29" i="60"/>
  <c r="G31" i="60"/>
  <c r="G22" i="60"/>
  <c r="U128" i="37" l="1"/>
  <c r="P106" i="37"/>
  <c r="R127" i="37"/>
  <c r="S128" i="37"/>
  <c r="V110" i="56"/>
  <c r="V115" i="56"/>
  <c r="V114" i="56"/>
  <c r="V107" i="56"/>
  <c r="I115" i="56"/>
  <c r="I110" i="56"/>
  <c r="I114" i="56"/>
  <c r="O96" i="56"/>
  <c r="O101" i="56" s="1"/>
  <c r="P96" i="56"/>
  <c r="P101" i="56" s="1"/>
  <c r="L96" i="56"/>
  <c r="L101" i="56" s="1"/>
  <c r="G107" i="56"/>
  <c r="T96" i="56"/>
  <c r="T101" i="56" s="1"/>
  <c r="T107" i="56" s="1"/>
  <c r="W110" i="56"/>
  <c r="W115" i="56"/>
  <c r="N96" i="56"/>
  <c r="N101" i="56" s="1"/>
  <c r="N107" i="56" s="1"/>
  <c r="W107" i="56"/>
  <c r="I107" i="56"/>
  <c r="U110" i="56"/>
  <c r="U115" i="56"/>
  <c r="U114" i="56"/>
  <c r="K96" i="56"/>
  <c r="K101" i="56" s="1"/>
  <c r="U107" i="56"/>
  <c r="G110" i="56"/>
  <c r="G115" i="56"/>
  <c r="H110" i="56"/>
  <c r="H115" i="56"/>
  <c r="H114" i="56"/>
  <c r="H107" i="56"/>
  <c r="W114" i="56"/>
  <c r="AH49" i="61"/>
  <c r="AH81" i="61" s="1"/>
  <c r="AK3" i="61"/>
  <c r="H14" i="61"/>
  <c r="H48" i="61"/>
  <c r="H47" i="61"/>
  <c r="H41" i="61"/>
  <c r="AC50" i="61"/>
  <c r="AC68" i="61" s="1"/>
  <c r="AC89" i="61" s="1"/>
  <c r="H32" i="61"/>
  <c r="AC49" i="61"/>
  <c r="AC81" i="61" s="1"/>
  <c r="AR51" i="61"/>
  <c r="AR76" i="61" s="1"/>
  <c r="AR97" i="61" s="1"/>
  <c r="AJ2" i="61"/>
  <c r="R115" i="56"/>
  <c r="R110" i="56"/>
  <c r="R114" i="56"/>
  <c r="R107" i="56"/>
  <c r="Q96" i="56"/>
  <c r="Q101" i="56" s="1"/>
  <c r="S115" i="56"/>
  <c r="S110" i="56"/>
  <c r="S107" i="56"/>
  <c r="P127" i="37"/>
  <c r="P103" i="37"/>
  <c r="K164" i="54"/>
  <c r="S104" i="37"/>
  <c r="S126" i="37"/>
  <c r="R106" i="37"/>
  <c r="P128" i="37"/>
  <c r="L164" i="54"/>
  <c r="M164" i="54"/>
  <c r="R104" i="37"/>
  <c r="N164" i="54"/>
  <c r="N243" i="54" s="1"/>
  <c r="N254" i="54" s="1"/>
  <c r="X170" i="54"/>
  <c r="X164" i="54"/>
  <c r="Q103" i="37"/>
  <c r="Q126" i="37"/>
  <c r="Q110" i="37"/>
  <c r="Q131" i="37" s="1"/>
  <c r="Q95" i="37"/>
  <c r="Q128" i="37"/>
  <c r="S164" i="54"/>
  <c r="H170" i="54"/>
  <c r="Q96" i="37"/>
  <c r="Q106" i="37"/>
  <c r="Q127" i="37"/>
  <c r="U104" i="37"/>
  <c r="AK15" i="61"/>
  <c r="AK16" i="61" s="1"/>
  <c r="AK62" i="61" s="1"/>
  <c r="AK84" i="61" s="1"/>
  <c r="AK5" i="61"/>
  <c r="U126" i="37"/>
  <c r="U106" i="37"/>
  <c r="U127" i="37"/>
  <c r="M116" i="56"/>
  <c r="M119" i="56"/>
  <c r="V170" i="54"/>
  <c r="V164" i="54"/>
  <c r="S246" i="54"/>
  <c r="S257" i="54" s="1"/>
  <c r="S243" i="54"/>
  <c r="S254" i="54" s="1"/>
  <c r="H246" i="54"/>
  <c r="H257" i="54" s="1"/>
  <c r="H243" i="54"/>
  <c r="H254" i="54" s="1"/>
  <c r="R246" i="54"/>
  <c r="R257" i="54" s="1"/>
  <c r="R243" i="54"/>
  <c r="R254" i="54" s="1"/>
  <c r="W170" i="54"/>
  <c r="W164" i="54"/>
  <c r="P243" i="54"/>
  <c r="P254" i="54" s="1"/>
  <c r="P246" i="54"/>
  <c r="P257" i="54" s="1"/>
  <c r="K243" i="54"/>
  <c r="K254" i="54" s="1"/>
  <c r="K246" i="54"/>
  <c r="K257" i="54" s="1"/>
  <c r="L243" i="54"/>
  <c r="L254" i="54" s="1"/>
  <c r="L246" i="54"/>
  <c r="L257" i="54" s="1"/>
  <c r="J243" i="54"/>
  <c r="J254" i="54" s="1"/>
  <c r="J246" i="54"/>
  <c r="J257" i="54" s="1"/>
  <c r="M243" i="54"/>
  <c r="M254" i="54" s="1"/>
  <c r="M246" i="54"/>
  <c r="M257" i="54" s="1"/>
  <c r="U246" i="54"/>
  <c r="U257" i="54" s="1"/>
  <c r="U243" i="54"/>
  <c r="U254" i="54" s="1"/>
  <c r="T246" i="54"/>
  <c r="T257" i="54" s="1"/>
  <c r="T243" i="54"/>
  <c r="T254" i="54" s="1"/>
  <c r="I246" i="54"/>
  <c r="I257" i="54" s="1"/>
  <c r="I243" i="54"/>
  <c r="I254" i="54" s="1"/>
  <c r="O243" i="54"/>
  <c r="O254" i="54" s="1"/>
  <c r="O246" i="54"/>
  <c r="O257" i="54" s="1"/>
  <c r="X246" i="54"/>
  <c r="X257" i="54" s="1"/>
  <c r="X243" i="54"/>
  <c r="X254" i="54" s="1"/>
  <c r="U6" i="61"/>
  <c r="U8" i="61" s="1"/>
  <c r="AK18" i="61"/>
  <c r="AK27" i="61" s="1"/>
  <c r="AK63" i="61" s="1"/>
  <c r="AK85" i="61" s="1"/>
  <c r="AK4" i="61"/>
  <c r="AK2" i="61"/>
  <c r="L50" i="61"/>
  <c r="L68" i="61" s="1"/>
  <c r="L89" i="61" s="1"/>
  <c r="L49" i="61"/>
  <c r="L81" i="61" s="1"/>
  <c r="AO48" i="61"/>
  <c r="AO14" i="61"/>
  <c r="AO32" i="61" s="1"/>
  <c r="AO41" i="61"/>
  <c r="AO47" i="61"/>
  <c r="AP41" i="61"/>
  <c r="AP14" i="61"/>
  <c r="AP48" i="61"/>
  <c r="AP47" i="61"/>
  <c r="AP32" i="61"/>
  <c r="AS6" i="61"/>
  <c r="AS8" i="61" s="1"/>
  <c r="AS32" i="61" s="1"/>
  <c r="AQ32" i="61"/>
  <c r="AQ47" i="61"/>
  <c r="AL48" i="61"/>
  <c r="AL41" i="61"/>
  <c r="AL14" i="61"/>
  <c r="AM48" i="61"/>
  <c r="AM14" i="61"/>
  <c r="AM32" i="61" s="1"/>
  <c r="AM41" i="61"/>
  <c r="AK46" i="61"/>
  <c r="AK83" i="61" s="1"/>
  <c r="AK100" i="61" s="1"/>
  <c r="AK38" i="61"/>
  <c r="AK35" i="61" s="1"/>
  <c r="AK66" i="61" s="1"/>
  <c r="AR33" i="61"/>
  <c r="AR79" i="61" s="1"/>
  <c r="AR38" i="61"/>
  <c r="AR5" i="61"/>
  <c r="AR2" i="61"/>
  <c r="AR15" i="61"/>
  <c r="AR16" i="61" s="1"/>
  <c r="AR62" i="61" s="1"/>
  <c r="AR84" i="61" s="1"/>
  <c r="AR4" i="61"/>
  <c r="AR3" i="61"/>
  <c r="AR18" i="61"/>
  <c r="AR46" i="61"/>
  <c r="AR83" i="61" s="1"/>
  <c r="AR100" i="61" s="1"/>
  <c r="AN48" i="61"/>
  <c r="AN41" i="61"/>
  <c r="AN14" i="61"/>
  <c r="Y50" i="61"/>
  <c r="Y68" i="61" s="1"/>
  <c r="Y89" i="61" s="1"/>
  <c r="Y51" i="61"/>
  <c r="Y76" i="61" s="1"/>
  <c r="Y97" i="61" s="1"/>
  <c r="Y49" i="61"/>
  <c r="Y81" i="61" s="1"/>
  <c r="X6" i="61"/>
  <c r="X8" i="61" s="1"/>
  <c r="X32" i="61" s="1"/>
  <c r="Y32" i="61"/>
  <c r="S49" i="61"/>
  <c r="S81" i="61" s="1"/>
  <c r="M33" i="61"/>
  <c r="M79" i="61" s="1"/>
  <c r="M38" i="61"/>
  <c r="M39" i="61" s="1"/>
  <c r="M46" i="61"/>
  <c r="M83" i="61" s="1"/>
  <c r="M100" i="61" s="1"/>
  <c r="M15" i="61"/>
  <c r="M16" i="61" s="1"/>
  <c r="M62" i="61" s="1"/>
  <c r="M84" i="61" s="1"/>
  <c r="M2" i="61"/>
  <c r="M53" i="61" s="1"/>
  <c r="M5" i="61"/>
  <c r="M4" i="61"/>
  <c r="M3" i="61"/>
  <c r="M18" i="61"/>
  <c r="M30" i="61" s="1"/>
  <c r="M71" i="61" s="1"/>
  <c r="M92" i="61" s="1"/>
  <c r="S51" i="61"/>
  <c r="S76" i="61" s="1"/>
  <c r="S97" i="61" s="1"/>
  <c r="S50" i="61"/>
  <c r="S68" i="61" s="1"/>
  <c r="S89" i="61" s="1"/>
  <c r="K50" i="61"/>
  <c r="K68" i="61" s="1"/>
  <c r="K89" i="61" s="1"/>
  <c r="K49" i="61"/>
  <c r="K81" i="61" s="1"/>
  <c r="N48" i="61"/>
  <c r="N41" i="61"/>
  <c r="N14" i="61"/>
  <c r="N32" i="61" s="1"/>
  <c r="R14" i="61"/>
  <c r="R32" i="61" s="1"/>
  <c r="R48" i="61"/>
  <c r="R41" i="61"/>
  <c r="O14" i="61"/>
  <c r="O32" i="61" s="1"/>
  <c r="O48" i="61"/>
  <c r="O41" i="61"/>
  <c r="T14" i="61"/>
  <c r="T32" i="61" s="1"/>
  <c r="T41" i="61"/>
  <c r="T48" i="61"/>
  <c r="U14" i="61"/>
  <c r="U41" i="61"/>
  <c r="U48" i="61"/>
  <c r="P14" i="61"/>
  <c r="P32" i="61" s="1"/>
  <c r="P48" i="61"/>
  <c r="P41" i="61"/>
  <c r="Q48" i="61"/>
  <c r="Q14" i="61"/>
  <c r="Q32" i="61" s="1"/>
  <c r="Q47" i="61"/>
  <c r="Q41" i="61"/>
  <c r="V41" i="61"/>
  <c r="V48" i="61"/>
  <c r="V14" i="61"/>
  <c r="W41" i="61"/>
  <c r="W48" i="61"/>
  <c r="W14" i="61"/>
  <c r="W32" i="61" s="1"/>
  <c r="S39" i="61"/>
  <c r="S35" i="61"/>
  <c r="S66" i="61" s="1"/>
  <c r="S36" i="61"/>
  <c r="S40" i="61"/>
  <c r="AC55" i="61"/>
  <c r="AC53" i="61"/>
  <c r="AC57" i="61"/>
  <c r="AA31" i="61"/>
  <c r="AA72" i="61" s="1"/>
  <c r="AA93" i="61" s="1"/>
  <c r="AA27" i="61"/>
  <c r="AA63" i="61" s="1"/>
  <c r="AA85" i="61" s="1"/>
  <c r="AA28" i="61"/>
  <c r="AA70" i="61" s="1"/>
  <c r="AA91" i="61" s="1"/>
  <c r="AA29" i="61"/>
  <c r="AA69" i="61" s="1"/>
  <c r="AA90" i="61" s="1"/>
  <c r="AA30" i="61"/>
  <c r="AA71" i="61" s="1"/>
  <c r="AA92" i="61" s="1"/>
  <c r="AA20" i="61"/>
  <c r="AI28" i="61"/>
  <c r="AI70" i="61" s="1"/>
  <c r="AI91" i="61" s="1"/>
  <c r="AI29" i="61"/>
  <c r="AI69" i="61" s="1"/>
  <c r="AI90" i="61" s="1"/>
  <c r="AI30" i="61"/>
  <c r="AI71" i="61" s="1"/>
  <c r="AI92" i="61" s="1"/>
  <c r="AI31" i="61"/>
  <c r="AI72" i="61" s="1"/>
  <c r="AI93" i="61" s="1"/>
  <c r="AI27" i="61"/>
  <c r="AI63" i="61" s="1"/>
  <c r="AI85" i="61" s="1"/>
  <c r="AI20" i="61"/>
  <c r="AV57" i="61"/>
  <c r="AV53" i="61"/>
  <c r="AV55" i="61"/>
  <c r="AC27" i="61"/>
  <c r="AC63" i="61" s="1"/>
  <c r="AC85" i="61" s="1"/>
  <c r="AC28" i="61"/>
  <c r="AC70" i="61" s="1"/>
  <c r="AC91" i="61" s="1"/>
  <c r="AC29" i="61"/>
  <c r="AC69" i="61" s="1"/>
  <c r="AC90" i="61" s="1"/>
  <c r="AC20" i="61"/>
  <c r="AC30" i="61"/>
  <c r="AC71" i="61" s="1"/>
  <c r="AC92" i="61" s="1"/>
  <c r="AC31" i="61"/>
  <c r="AC72" i="61" s="1"/>
  <c r="AC93" i="61" s="1"/>
  <c r="AT50" i="61"/>
  <c r="AT68" i="61" s="1"/>
  <c r="AT89" i="61" s="1"/>
  <c r="AT51" i="61"/>
  <c r="AT76" i="61" s="1"/>
  <c r="AT97" i="61" s="1"/>
  <c r="AT49" i="61"/>
  <c r="AT81" i="61" s="1"/>
  <c r="AA36" i="61"/>
  <c r="AA39" i="61"/>
  <c r="AA35" i="61"/>
  <c r="AA66" i="61" s="1"/>
  <c r="AA40" i="61"/>
  <c r="AA57" i="61"/>
  <c r="AA55" i="61"/>
  <c r="AA53" i="61"/>
  <c r="AC39" i="61"/>
  <c r="AC35" i="61"/>
  <c r="AC66" i="61" s="1"/>
  <c r="AC36" i="61"/>
  <c r="AI55" i="61"/>
  <c r="AI53" i="61"/>
  <c r="AI57" i="61"/>
  <c r="AU31" i="61"/>
  <c r="AU72" i="61" s="1"/>
  <c r="AU93" i="61" s="1"/>
  <c r="AU27" i="61"/>
  <c r="AU63" i="61" s="1"/>
  <c r="AU85" i="61" s="1"/>
  <c r="AU28" i="61"/>
  <c r="AU70" i="61" s="1"/>
  <c r="AU91" i="61" s="1"/>
  <c r="AU30" i="61"/>
  <c r="AU71" i="61" s="1"/>
  <c r="AU92" i="61" s="1"/>
  <c r="AU20" i="61"/>
  <c r="AU29" i="61"/>
  <c r="AU69" i="61" s="1"/>
  <c r="AU90" i="61" s="1"/>
  <c r="M49" i="61"/>
  <c r="M81" i="61" s="1"/>
  <c r="M50" i="61"/>
  <c r="M68" i="61" s="1"/>
  <c r="M89" i="61" s="1"/>
  <c r="M51" i="61"/>
  <c r="M76" i="61" s="1"/>
  <c r="M97" i="61" s="1"/>
  <c r="AK51" i="61"/>
  <c r="AK76" i="61" s="1"/>
  <c r="AK97" i="61" s="1"/>
  <c r="AK49" i="61"/>
  <c r="AK81" i="61" s="1"/>
  <c r="AK50" i="61"/>
  <c r="AK68" i="61" s="1"/>
  <c r="AK89" i="61" s="1"/>
  <c r="K4" i="61"/>
  <c r="K33" i="61"/>
  <c r="K79" i="61" s="1"/>
  <c r="K38" i="61"/>
  <c r="K46" i="61"/>
  <c r="K83" i="61" s="1"/>
  <c r="K100" i="61" s="1"/>
  <c r="K5" i="61"/>
  <c r="K15" i="61"/>
  <c r="K16" i="61" s="1"/>
  <c r="K62" i="61" s="1"/>
  <c r="K84" i="61" s="1"/>
  <c r="K2" i="61"/>
  <c r="K3" i="61"/>
  <c r="K18" i="61"/>
  <c r="I42" i="61"/>
  <c r="I78" i="61" s="1"/>
  <c r="I82" i="61"/>
  <c r="I99" i="61" s="1"/>
  <c r="I43" i="61"/>
  <c r="I67" i="61" s="1"/>
  <c r="I88" i="61" s="1"/>
  <c r="I44" i="61"/>
  <c r="I75" i="61" s="1"/>
  <c r="I96" i="61" s="1"/>
  <c r="AJ28" i="61"/>
  <c r="AJ70" i="61" s="1"/>
  <c r="AJ91" i="61" s="1"/>
  <c r="AJ29" i="61"/>
  <c r="AJ69" i="61" s="1"/>
  <c r="AJ90" i="61" s="1"/>
  <c r="AJ30" i="61"/>
  <c r="AJ71" i="61" s="1"/>
  <c r="AJ92" i="61" s="1"/>
  <c r="AJ31" i="61"/>
  <c r="AJ72" i="61" s="1"/>
  <c r="AJ93" i="61" s="1"/>
  <c r="AJ27" i="61"/>
  <c r="AJ63" i="61" s="1"/>
  <c r="AJ85" i="61" s="1"/>
  <c r="AJ20" i="61"/>
  <c r="AC40" i="61"/>
  <c r="L4" i="61"/>
  <c r="L33" i="61"/>
  <c r="L79" i="61" s="1"/>
  <c r="L38" i="61"/>
  <c r="L46" i="61"/>
  <c r="L83" i="61" s="1"/>
  <c r="L100" i="61" s="1"/>
  <c r="L5" i="61"/>
  <c r="L15" i="61"/>
  <c r="L16" i="61" s="1"/>
  <c r="L62" i="61" s="1"/>
  <c r="L84" i="61" s="1"/>
  <c r="L2" i="61"/>
  <c r="L3" i="61"/>
  <c r="L18" i="61"/>
  <c r="AT35" i="61"/>
  <c r="AT66" i="61" s="1"/>
  <c r="AT36" i="61"/>
  <c r="AT39" i="61"/>
  <c r="AT40" i="61"/>
  <c r="I73" i="61"/>
  <c r="I94" i="61" s="1"/>
  <c r="I37" i="61"/>
  <c r="I80" i="61" s="1"/>
  <c r="I34" i="61"/>
  <c r="Z57" i="61"/>
  <c r="Z55" i="61"/>
  <c r="Z53" i="61"/>
  <c r="AI39" i="61"/>
  <c r="AI35" i="61"/>
  <c r="AI66" i="61" s="1"/>
  <c r="AI36" i="61"/>
  <c r="AI40" i="61"/>
  <c r="AU35" i="61"/>
  <c r="AU66" i="61" s="1"/>
  <c r="AU36" i="61"/>
  <c r="AU39" i="61"/>
  <c r="AU40" i="61"/>
  <c r="Z31" i="61"/>
  <c r="Z72" i="61" s="1"/>
  <c r="Z93" i="61" s="1"/>
  <c r="Z27" i="61"/>
  <c r="Z63" i="61" s="1"/>
  <c r="Z85" i="61" s="1"/>
  <c r="Z28" i="61"/>
  <c r="Z70" i="61" s="1"/>
  <c r="Z91" i="61" s="1"/>
  <c r="Z29" i="61"/>
  <c r="Z69" i="61" s="1"/>
  <c r="Z90" i="61" s="1"/>
  <c r="Z30" i="61"/>
  <c r="Z71" i="61" s="1"/>
  <c r="Z92" i="61" s="1"/>
  <c r="Z20" i="61"/>
  <c r="AW31" i="61"/>
  <c r="AW72" i="61" s="1"/>
  <c r="AW93" i="61" s="1"/>
  <c r="AW27" i="61"/>
  <c r="AW63" i="61" s="1"/>
  <c r="AW85" i="61" s="1"/>
  <c r="AW28" i="61"/>
  <c r="AW70" i="61" s="1"/>
  <c r="AW91" i="61" s="1"/>
  <c r="AW29" i="61"/>
  <c r="AW69" i="61" s="1"/>
  <c r="AW90" i="61" s="1"/>
  <c r="AW30" i="61"/>
  <c r="AW71" i="61" s="1"/>
  <c r="AW92" i="61" s="1"/>
  <c r="AW20" i="61"/>
  <c r="AU57" i="61"/>
  <c r="AU53" i="61"/>
  <c r="AU55" i="61"/>
  <c r="AV36" i="61"/>
  <c r="AV39" i="61"/>
  <c r="AV35" i="61"/>
  <c r="AV66" i="61" s="1"/>
  <c r="AV40" i="61"/>
  <c r="I60" i="61"/>
  <c r="I74" i="61" s="1"/>
  <c r="I95" i="61" s="1"/>
  <c r="I58" i="61"/>
  <c r="I64" i="61" s="1"/>
  <c r="I86" i="61" s="1"/>
  <c r="I59" i="61"/>
  <c r="I65" i="61" s="1"/>
  <c r="I87" i="61" s="1"/>
  <c r="AX31" i="61"/>
  <c r="AX72" i="61" s="1"/>
  <c r="AX93" i="61" s="1"/>
  <c r="AX27" i="61"/>
  <c r="AX63" i="61" s="1"/>
  <c r="AX85" i="61" s="1"/>
  <c r="AX28" i="61"/>
  <c r="AX70" i="61" s="1"/>
  <c r="AX91" i="61" s="1"/>
  <c r="AX29" i="61"/>
  <c r="AX69" i="61" s="1"/>
  <c r="AX90" i="61" s="1"/>
  <c r="AX30" i="61"/>
  <c r="AX71" i="61" s="1"/>
  <c r="AX92" i="61" s="1"/>
  <c r="AX20" i="61"/>
  <c r="AB3" i="61"/>
  <c r="AB33" i="61"/>
  <c r="AB79" i="61" s="1"/>
  <c r="AB38" i="61"/>
  <c r="AB5" i="61"/>
  <c r="AB18" i="61"/>
  <c r="AB15" i="61"/>
  <c r="AB16" i="61" s="1"/>
  <c r="AB62" i="61" s="1"/>
  <c r="AB84" i="61" s="1"/>
  <c r="AB2" i="61"/>
  <c r="AB4" i="61"/>
  <c r="AB46" i="61"/>
  <c r="AB83" i="61" s="1"/>
  <c r="AB100" i="61" s="1"/>
  <c r="AW36" i="61"/>
  <c r="AW39" i="61"/>
  <c r="AW35" i="61"/>
  <c r="AW66" i="61" s="1"/>
  <c r="AW40" i="61"/>
  <c r="AH28" i="61"/>
  <c r="AH70" i="61" s="1"/>
  <c r="AH91" i="61" s="1"/>
  <c r="AH29" i="61"/>
  <c r="AH69" i="61" s="1"/>
  <c r="AH90" i="61" s="1"/>
  <c r="AH20" i="61"/>
  <c r="AH30" i="61"/>
  <c r="AH71" i="61" s="1"/>
  <c r="AH92" i="61" s="1"/>
  <c r="AH31" i="61"/>
  <c r="AH72" i="61" s="1"/>
  <c r="AH93" i="61" s="1"/>
  <c r="AH27" i="61"/>
  <c r="AH63" i="61" s="1"/>
  <c r="AH85" i="61" s="1"/>
  <c r="S55" i="61"/>
  <c r="S57" i="61"/>
  <c r="S53" i="61"/>
  <c r="AH55" i="61"/>
  <c r="AH53" i="61"/>
  <c r="AH57" i="61"/>
  <c r="AK53" i="61"/>
  <c r="AK57" i="61"/>
  <c r="AK55" i="61"/>
  <c r="AT30" i="61"/>
  <c r="AT71" i="61" s="1"/>
  <c r="AT92" i="61" s="1"/>
  <c r="AT31" i="61"/>
  <c r="AT72" i="61" s="1"/>
  <c r="AT93" i="61" s="1"/>
  <c r="AT28" i="61"/>
  <c r="AT70" i="61" s="1"/>
  <c r="AT91" i="61" s="1"/>
  <c r="AT29" i="61"/>
  <c r="AT69" i="61" s="1"/>
  <c r="AT90" i="61" s="1"/>
  <c r="AT20" i="61"/>
  <c r="AT27" i="61"/>
  <c r="AT63" i="61" s="1"/>
  <c r="AT85" i="61" s="1"/>
  <c r="AW57" i="61"/>
  <c r="AW53" i="61"/>
  <c r="AW55" i="61"/>
  <c r="AJ55" i="61"/>
  <c r="AJ53" i="61"/>
  <c r="AJ57" i="61"/>
  <c r="AD55" i="61"/>
  <c r="AD53" i="61"/>
  <c r="AD57" i="61"/>
  <c r="AX57" i="61"/>
  <c r="AX53" i="61"/>
  <c r="AX55" i="61"/>
  <c r="AE55" i="61"/>
  <c r="AE53" i="61"/>
  <c r="AE57" i="61"/>
  <c r="AE39" i="61"/>
  <c r="AE35" i="61"/>
  <c r="AE66" i="61" s="1"/>
  <c r="AE36" i="61"/>
  <c r="AX36" i="61"/>
  <c r="AX39" i="61"/>
  <c r="AX35" i="61"/>
  <c r="AX66" i="61" s="1"/>
  <c r="AX40" i="61"/>
  <c r="AH39" i="61"/>
  <c r="AH35" i="61"/>
  <c r="AH66" i="61" s="1"/>
  <c r="AH36" i="61"/>
  <c r="AH40" i="61"/>
  <c r="AJ39" i="61"/>
  <c r="AJ35" i="61"/>
  <c r="AJ66" i="61" s="1"/>
  <c r="AJ36" i="61"/>
  <c r="AJ40" i="61"/>
  <c r="Z36" i="61"/>
  <c r="Z39" i="61"/>
  <c r="Z35" i="61"/>
  <c r="Z66" i="61" s="1"/>
  <c r="Z40" i="61"/>
  <c r="S20" i="61"/>
  <c r="S30" i="61"/>
  <c r="S71" i="61" s="1"/>
  <c r="S92" i="61" s="1"/>
  <c r="S31" i="61"/>
  <c r="S72" i="61" s="1"/>
  <c r="S93" i="61" s="1"/>
  <c r="S27" i="61"/>
  <c r="S63" i="61" s="1"/>
  <c r="S85" i="61" s="1"/>
  <c r="S28" i="61"/>
  <c r="S70" i="61" s="1"/>
  <c r="S91" i="61" s="1"/>
  <c r="S29" i="61"/>
  <c r="S69" i="61" s="1"/>
  <c r="S90" i="61" s="1"/>
  <c r="AE51" i="61"/>
  <c r="AE76" i="61" s="1"/>
  <c r="AE97" i="61" s="1"/>
  <c r="AE49" i="61"/>
  <c r="AE81" i="61" s="1"/>
  <c r="AE50" i="61"/>
  <c r="AE68" i="61" s="1"/>
  <c r="AE89" i="61" s="1"/>
  <c r="AT55" i="61"/>
  <c r="AT57" i="61"/>
  <c r="AT53" i="61"/>
  <c r="AK39" i="61"/>
  <c r="AK36" i="61"/>
  <c r="AK40" i="61"/>
  <c r="AD39" i="61"/>
  <c r="AD35" i="61"/>
  <c r="AD66" i="61" s="1"/>
  <c r="AD36" i="61"/>
  <c r="AD40" i="61"/>
  <c r="G32" i="60"/>
  <c r="N116" i="56" l="1"/>
  <c r="N119" i="56"/>
  <c r="T116" i="56"/>
  <c r="T119" i="56"/>
  <c r="G116" i="56"/>
  <c r="G119" i="56"/>
  <c r="L115" i="56"/>
  <c r="L110" i="56"/>
  <c r="L114" i="56"/>
  <c r="L107" i="56"/>
  <c r="P115" i="56"/>
  <c r="P110" i="56"/>
  <c r="P114" i="56"/>
  <c r="H116" i="56"/>
  <c r="H119" i="56"/>
  <c r="P107" i="56"/>
  <c r="W116" i="56"/>
  <c r="W119" i="56"/>
  <c r="O115" i="56"/>
  <c r="O110" i="56"/>
  <c r="O114" i="56"/>
  <c r="O107" i="56"/>
  <c r="T110" i="56"/>
  <c r="T115" i="56"/>
  <c r="T114" i="56"/>
  <c r="U116" i="56"/>
  <c r="U119" i="56"/>
  <c r="V116" i="56"/>
  <c r="V119" i="56"/>
  <c r="N115" i="56"/>
  <c r="N110" i="56"/>
  <c r="N114" i="56"/>
  <c r="K115" i="56"/>
  <c r="K110" i="56"/>
  <c r="K114" i="56"/>
  <c r="I116" i="56"/>
  <c r="I119" i="56"/>
  <c r="K107" i="56"/>
  <c r="M29" i="61"/>
  <c r="M69" i="61" s="1"/>
  <c r="M90" i="61" s="1"/>
  <c r="T47" i="61"/>
  <c r="H18" i="61"/>
  <c r="H33" i="61"/>
  <c r="H79" i="61" s="1"/>
  <c r="H38" i="61"/>
  <c r="H15" i="61"/>
  <c r="H16" i="61" s="1"/>
  <c r="H62" i="61" s="1"/>
  <c r="H84" i="61" s="1"/>
  <c r="H4" i="61"/>
  <c r="H46" i="61"/>
  <c r="H83" i="61" s="1"/>
  <c r="H100" i="61" s="1"/>
  <c r="H3" i="61"/>
  <c r="H5" i="61"/>
  <c r="H2" i="61"/>
  <c r="H50" i="61"/>
  <c r="H68" i="61" s="1"/>
  <c r="H89" i="61" s="1"/>
  <c r="H51" i="61"/>
  <c r="H76" i="61" s="1"/>
  <c r="H97" i="61" s="1"/>
  <c r="H49" i="61"/>
  <c r="H81" i="61" s="1"/>
  <c r="R116" i="56"/>
  <c r="R119" i="56"/>
  <c r="Q115" i="56"/>
  <c r="Q110" i="56"/>
  <c r="Q114" i="56"/>
  <c r="Q107" i="56"/>
  <c r="S116" i="56"/>
  <c r="S119" i="56"/>
  <c r="N246" i="54"/>
  <c r="N257" i="54" s="1"/>
  <c r="AK31" i="61"/>
  <c r="AK72" i="61" s="1"/>
  <c r="AK93" i="61" s="1"/>
  <c r="AK30" i="61"/>
  <c r="AK71" i="61" s="1"/>
  <c r="AK92" i="61" s="1"/>
  <c r="AK29" i="61"/>
  <c r="AK69" i="61" s="1"/>
  <c r="AK90" i="61" s="1"/>
  <c r="AK28" i="61"/>
  <c r="AK70" i="61" s="1"/>
  <c r="AK91" i="61" s="1"/>
  <c r="AK20" i="61"/>
  <c r="W246" i="54"/>
  <c r="W257" i="54" s="1"/>
  <c r="W243" i="54"/>
  <c r="W254" i="54" s="1"/>
  <c r="V246" i="54"/>
  <c r="V257" i="54" s="1"/>
  <c r="V243" i="54"/>
  <c r="V254" i="54" s="1"/>
  <c r="U32" i="61"/>
  <c r="U18" i="61" s="1"/>
  <c r="U19" i="61" s="1"/>
  <c r="U47" i="61"/>
  <c r="U49" i="61" s="1"/>
  <c r="U81" i="61" s="1"/>
  <c r="M40" i="61"/>
  <c r="M36" i="61"/>
  <c r="AL32" i="61"/>
  <c r="AL47" i="61"/>
  <c r="AN32" i="61"/>
  <c r="AN47" i="61"/>
  <c r="AQ49" i="61"/>
  <c r="AQ81" i="61" s="1"/>
  <c r="AQ50" i="61"/>
  <c r="AQ68" i="61" s="1"/>
  <c r="AQ89" i="61" s="1"/>
  <c r="AQ51" i="61"/>
  <c r="AQ76" i="61" s="1"/>
  <c r="AQ97" i="61" s="1"/>
  <c r="AQ38" i="61"/>
  <c r="AQ5" i="61"/>
  <c r="AQ18" i="61"/>
  <c r="AQ2" i="61"/>
  <c r="AQ4" i="61"/>
  <c r="AQ3" i="61"/>
  <c r="AQ46" i="61"/>
  <c r="AQ83" i="61" s="1"/>
  <c r="AQ100" i="61" s="1"/>
  <c r="AQ15" i="61"/>
  <c r="AQ16" i="61" s="1"/>
  <c r="AQ62" i="61" s="1"/>
  <c r="AQ84" i="61" s="1"/>
  <c r="AQ33" i="61"/>
  <c r="AQ79" i="61" s="1"/>
  <c r="AS18" i="61"/>
  <c r="AS33" i="61"/>
  <c r="AS79" i="61" s="1"/>
  <c r="AS38" i="61"/>
  <c r="AS4" i="61"/>
  <c r="AS5" i="61"/>
  <c r="AS2" i="61"/>
  <c r="AS15" i="61"/>
  <c r="AS16" i="61" s="1"/>
  <c r="AS62" i="61" s="1"/>
  <c r="AS84" i="61" s="1"/>
  <c r="AS46" i="61"/>
  <c r="AS83" i="61" s="1"/>
  <c r="AS100" i="61" s="1"/>
  <c r="AS3" i="61"/>
  <c r="P47" i="61"/>
  <c r="P51" i="61" s="1"/>
  <c r="P76" i="61" s="1"/>
  <c r="P97" i="61" s="1"/>
  <c r="AR20" i="61"/>
  <c r="AR30" i="61"/>
  <c r="AR71" i="61" s="1"/>
  <c r="AR92" i="61" s="1"/>
  <c r="AR31" i="61"/>
  <c r="AR72" i="61" s="1"/>
  <c r="AR93" i="61" s="1"/>
  <c r="AR27" i="61"/>
  <c r="AR63" i="61" s="1"/>
  <c r="AR85" i="61" s="1"/>
  <c r="AR28" i="61"/>
  <c r="AR70" i="61" s="1"/>
  <c r="AR91" i="61" s="1"/>
  <c r="AR29" i="61"/>
  <c r="AR69" i="61" s="1"/>
  <c r="AR90" i="61" s="1"/>
  <c r="AP46" i="61"/>
  <c r="AP83" i="61" s="1"/>
  <c r="AP100" i="61" s="1"/>
  <c r="AP15" i="61"/>
  <c r="AP16" i="61" s="1"/>
  <c r="AP62" i="61" s="1"/>
  <c r="AP84" i="61" s="1"/>
  <c r="AP5" i="61"/>
  <c r="AP33" i="61"/>
  <c r="AP79" i="61" s="1"/>
  <c r="AP38" i="61"/>
  <c r="AP18" i="61"/>
  <c r="AP2" i="61"/>
  <c r="AP4" i="61"/>
  <c r="AP3" i="61"/>
  <c r="AO18" i="61"/>
  <c r="AO46" i="61"/>
  <c r="AO83" i="61" s="1"/>
  <c r="AO100" i="61" s="1"/>
  <c r="AO5" i="61"/>
  <c r="AO15" i="61"/>
  <c r="AO16" i="61" s="1"/>
  <c r="AO62" i="61" s="1"/>
  <c r="AO84" i="61" s="1"/>
  <c r="AO33" i="61"/>
  <c r="AO79" i="61" s="1"/>
  <c r="AO38" i="61"/>
  <c r="AO2" i="61"/>
  <c r="AO4" i="61"/>
  <c r="AO3" i="61"/>
  <c r="AP50" i="61"/>
  <c r="AP68" i="61" s="1"/>
  <c r="AP89" i="61" s="1"/>
  <c r="AP49" i="61"/>
  <c r="AP81" i="61" s="1"/>
  <c r="AP51" i="61"/>
  <c r="AP76" i="61" s="1"/>
  <c r="AP97" i="61" s="1"/>
  <c r="AM5" i="61"/>
  <c r="AM15" i="61"/>
  <c r="AM16" i="61" s="1"/>
  <c r="AM62" i="61" s="1"/>
  <c r="AM84" i="61" s="1"/>
  <c r="AM46" i="61"/>
  <c r="AM83" i="61" s="1"/>
  <c r="AM100" i="61" s="1"/>
  <c r="AM3" i="61"/>
  <c r="AM2" i="61"/>
  <c r="AM18" i="61"/>
  <c r="AM38" i="61"/>
  <c r="AM4" i="61"/>
  <c r="AM33" i="61"/>
  <c r="AM79" i="61" s="1"/>
  <c r="AR55" i="61"/>
  <c r="AR57" i="61"/>
  <c r="AR53" i="61"/>
  <c r="AR39" i="61"/>
  <c r="AR35" i="61"/>
  <c r="AR66" i="61" s="1"/>
  <c r="AR36" i="61"/>
  <c r="AR40" i="61"/>
  <c r="AO49" i="61"/>
  <c r="AO81" i="61" s="1"/>
  <c r="AO50" i="61"/>
  <c r="AO68" i="61" s="1"/>
  <c r="AO89" i="61" s="1"/>
  <c r="AO51" i="61"/>
  <c r="AO76" i="61" s="1"/>
  <c r="AO97" i="61" s="1"/>
  <c r="AM47" i="61"/>
  <c r="M35" i="61"/>
  <c r="M66" i="61" s="1"/>
  <c r="AS47" i="61"/>
  <c r="O47" i="61"/>
  <c r="O49" i="61" s="1"/>
  <c r="O81" i="61" s="1"/>
  <c r="R47" i="61"/>
  <c r="R51" i="61" s="1"/>
  <c r="R76" i="61" s="1"/>
  <c r="R97" i="61" s="1"/>
  <c r="M55" i="61"/>
  <c r="M59" i="61" s="1"/>
  <c r="M65" i="61" s="1"/>
  <c r="M87" i="61" s="1"/>
  <c r="M57" i="61"/>
  <c r="M60" i="61" s="1"/>
  <c r="M74" i="61" s="1"/>
  <c r="M95" i="61" s="1"/>
  <c r="Y33" i="61"/>
  <c r="Y79" i="61" s="1"/>
  <c r="Y38" i="61"/>
  <c r="Y3" i="61"/>
  <c r="Y5" i="61"/>
  <c r="Y18" i="61"/>
  <c r="Y15" i="61"/>
  <c r="Y16" i="61" s="1"/>
  <c r="Y62" i="61" s="1"/>
  <c r="Y84" i="61" s="1"/>
  <c r="Y4" i="61"/>
  <c r="Y2" i="61"/>
  <c r="Y46" i="61"/>
  <c r="Y83" i="61" s="1"/>
  <c r="Y100" i="61" s="1"/>
  <c r="X2" i="61"/>
  <c r="X46" i="61"/>
  <c r="X83" i="61" s="1"/>
  <c r="X100" i="61" s="1"/>
  <c r="X33" i="61"/>
  <c r="X79" i="61" s="1"/>
  <c r="X38" i="61"/>
  <c r="X4" i="61"/>
  <c r="X18" i="61"/>
  <c r="X3" i="61"/>
  <c r="X5" i="61"/>
  <c r="X15" i="61"/>
  <c r="X16" i="61" s="1"/>
  <c r="X62" i="61" s="1"/>
  <c r="X84" i="61" s="1"/>
  <c r="M27" i="61"/>
  <c r="M63" i="61" s="1"/>
  <c r="M85" i="61" s="1"/>
  <c r="M28" i="61"/>
  <c r="M70" i="61" s="1"/>
  <c r="M91" i="61" s="1"/>
  <c r="X47" i="61"/>
  <c r="M20" i="61"/>
  <c r="M31" i="61"/>
  <c r="M72" i="61" s="1"/>
  <c r="M93" i="61" s="1"/>
  <c r="N47" i="61"/>
  <c r="P15" i="61"/>
  <c r="P16" i="61" s="1"/>
  <c r="P62" i="61" s="1"/>
  <c r="P84" i="61" s="1"/>
  <c r="P2" i="61"/>
  <c r="P33" i="61"/>
  <c r="P79" i="61" s="1"/>
  <c r="P38" i="61"/>
  <c r="P40" i="61" s="1"/>
  <c r="P18" i="61"/>
  <c r="P4" i="61"/>
  <c r="P3" i="61"/>
  <c r="P46" i="61"/>
  <c r="P83" i="61" s="1"/>
  <c r="P100" i="61" s="1"/>
  <c r="P5" i="61"/>
  <c r="T49" i="61"/>
  <c r="T81" i="61" s="1"/>
  <c r="T50" i="61"/>
  <c r="T68" i="61" s="1"/>
  <c r="T89" i="61" s="1"/>
  <c r="T51" i="61"/>
  <c r="T76" i="61" s="1"/>
  <c r="T97" i="61" s="1"/>
  <c r="T18" i="61"/>
  <c r="T46" i="61"/>
  <c r="T83" i="61" s="1"/>
  <c r="T100" i="61" s="1"/>
  <c r="T5" i="61"/>
  <c r="T15" i="61"/>
  <c r="T16" i="61" s="1"/>
  <c r="T62" i="61" s="1"/>
  <c r="T84" i="61" s="1"/>
  <c r="T33" i="61"/>
  <c r="T79" i="61" s="1"/>
  <c r="T38" i="61"/>
  <c r="T2" i="61"/>
  <c r="T4" i="61"/>
  <c r="T3" i="61"/>
  <c r="W2" i="61"/>
  <c r="W46" i="61"/>
  <c r="W83" i="61" s="1"/>
  <c r="W100" i="61" s="1"/>
  <c r="W33" i="61"/>
  <c r="W79" i="61" s="1"/>
  <c r="W38" i="61"/>
  <c r="W4" i="61"/>
  <c r="W3" i="61"/>
  <c r="W5" i="61"/>
  <c r="W15" i="61"/>
  <c r="W16" i="61" s="1"/>
  <c r="W62" i="61" s="1"/>
  <c r="W84" i="61" s="1"/>
  <c r="W18" i="61"/>
  <c r="W47" i="61"/>
  <c r="O5" i="61"/>
  <c r="O15" i="61"/>
  <c r="O16" i="61" s="1"/>
  <c r="O62" i="61" s="1"/>
  <c r="O84" i="61" s="1"/>
  <c r="O46" i="61"/>
  <c r="O83" i="61" s="1"/>
  <c r="O100" i="61" s="1"/>
  <c r="O18" i="61"/>
  <c r="O33" i="61"/>
  <c r="O79" i="61" s="1"/>
  <c r="O2" i="61"/>
  <c r="O4" i="61"/>
  <c r="O38" i="61"/>
  <c r="O3" i="61"/>
  <c r="V32" i="61"/>
  <c r="V47" i="61"/>
  <c r="R15" i="61"/>
  <c r="R16" i="61" s="1"/>
  <c r="R62" i="61" s="1"/>
  <c r="R84" i="61" s="1"/>
  <c r="R33" i="61"/>
  <c r="R79" i="61" s="1"/>
  <c r="R38" i="61"/>
  <c r="R2" i="61"/>
  <c r="R4" i="61"/>
  <c r="R3" i="61"/>
  <c r="R18" i="61"/>
  <c r="R5" i="61"/>
  <c r="R46" i="61"/>
  <c r="R83" i="61" s="1"/>
  <c r="R100" i="61" s="1"/>
  <c r="Q50" i="61"/>
  <c r="Q68" i="61" s="1"/>
  <c r="Q89" i="61" s="1"/>
  <c r="Q49" i="61"/>
  <c r="Q81" i="61" s="1"/>
  <c r="Q51" i="61"/>
  <c r="Q76" i="61" s="1"/>
  <c r="Q97" i="61" s="1"/>
  <c r="N38" i="61"/>
  <c r="N5" i="61"/>
  <c r="N46" i="61"/>
  <c r="N83" i="61" s="1"/>
  <c r="N100" i="61" s="1"/>
  <c r="N33" i="61"/>
  <c r="N79" i="61" s="1"/>
  <c r="N15" i="61"/>
  <c r="N16" i="61" s="1"/>
  <c r="N62" i="61" s="1"/>
  <c r="N84" i="61" s="1"/>
  <c r="N2" i="61"/>
  <c r="N4" i="61"/>
  <c r="N3" i="61"/>
  <c r="N18" i="61"/>
  <c r="Q46" i="61"/>
  <c r="Q83" i="61" s="1"/>
  <c r="Q100" i="61" s="1"/>
  <c r="Q5" i="61"/>
  <c r="Q15" i="61"/>
  <c r="Q16" i="61" s="1"/>
  <c r="Q62" i="61" s="1"/>
  <c r="Q84" i="61" s="1"/>
  <c r="Q33" i="61"/>
  <c r="Q79" i="61" s="1"/>
  <c r="Q38" i="61"/>
  <c r="Q2" i="61"/>
  <c r="Q4" i="61"/>
  <c r="Q3" i="61"/>
  <c r="Q18" i="61"/>
  <c r="K53" i="61"/>
  <c r="K57" i="61"/>
  <c r="K55" i="61"/>
  <c r="AA82" i="61"/>
  <c r="AA99" i="61" s="1"/>
  <c r="AA42" i="61"/>
  <c r="AA78" i="61" s="1"/>
  <c r="AA43" i="61"/>
  <c r="AA67" i="61" s="1"/>
  <c r="AA88" i="61" s="1"/>
  <c r="AA44" i="61"/>
  <c r="AA75" i="61" s="1"/>
  <c r="AA96" i="61" s="1"/>
  <c r="AW58" i="61"/>
  <c r="AW64" i="61" s="1"/>
  <c r="AW86" i="61" s="1"/>
  <c r="AW59" i="61"/>
  <c r="AW65" i="61" s="1"/>
  <c r="AW87" i="61" s="1"/>
  <c r="AW60" i="61"/>
  <c r="AW74" i="61" s="1"/>
  <c r="AW95" i="61" s="1"/>
  <c r="AA73" i="61"/>
  <c r="AA94" i="61" s="1"/>
  <c r="AA37" i="61"/>
  <c r="AA80" i="61" s="1"/>
  <c r="AA34" i="61"/>
  <c r="AH59" i="61"/>
  <c r="AH65" i="61" s="1"/>
  <c r="AH87" i="61" s="1"/>
  <c r="AH60" i="61"/>
  <c r="AH74" i="61" s="1"/>
  <c r="AH95" i="61" s="1"/>
  <c r="AH58" i="61"/>
  <c r="AH64" i="61" s="1"/>
  <c r="AH86" i="61" s="1"/>
  <c r="K39" i="61"/>
  <c r="K35" i="61"/>
  <c r="K66" i="61" s="1"/>
  <c r="K36" i="61"/>
  <c r="K40" i="61"/>
  <c r="AV59" i="61"/>
  <c r="AV65" i="61" s="1"/>
  <c r="AV87" i="61" s="1"/>
  <c r="AV60" i="61"/>
  <c r="AV74" i="61" s="1"/>
  <c r="AV95" i="61" s="1"/>
  <c r="AV58" i="61"/>
  <c r="AV64" i="61" s="1"/>
  <c r="AV86" i="61" s="1"/>
  <c r="AK59" i="61"/>
  <c r="AK65" i="61" s="1"/>
  <c r="AK87" i="61" s="1"/>
  <c r="AK60" i="61"/>
  <c r="AK74" i="61" s="1"/>
  <c r="AK95" i="61" s="1"/>
  <c r="AK58" i="61"/>
  <c r="AK64" i="61" s="1"/>
  <c r="AK86" i="61" s="1"/>
  <c r="AT82" i="61"/>
  <c r="AT99" i="61" s="1"/>
  <c r="AT42" i="61"/>
  <c r="AT78" i="61" s="1"/>
  <c r="AT43" i="61"/>
  <c r="AT67" i="61" s="1"/>
  <c r="AT88" i="61" s="1"/>
  <c r="AT44" i="61"/>
  <c r="AT75" i="61" s="1"/>
  <c r="AT96" i="61" s="1"/>
  <c r="AE58" i="61"/>
  <c r="AE64" i="61" s="1"/>
  <c r="AE86" i="61" s="1"/>
  <c r="AE60" i="61"/>
  <c r="AE74" i="61" s="1"/>
  <c r="AE95" i="61" s="1"/>
  <c r="AE59" i="61"/>
  <c r="AE65" i="61" s="1"/>
  <c r="AE87" i="61" s="1"/>
  <c r="Z82" i="61"/>
  <c r="Z99" i="61" s="1"/>
  <c r="Z42" i="61"/>
  <c r="Z78" i="61" s="1"/>
  <c r="Z43" i="61"/>
  <c r="Z67" i="61" s="1"/>
  <c r="Z88" i="61" s="1"/>
  <c r="Z44" i="61"/>
  <c r="Z75" i="61" s="1"/>
  <c r="Z96" i="61" s="1"/>
  <c r="AT73" i="61"/>
  <c r="AT94" i="61" s="1"/>
  <c r="AT37" i="61"/>
  <c r="AT80" i="61" s="1"/>
  <c r="AT34" i="61"/>
  <c r="Z73" i="61"/>
  <c r="Z94" i="61" s="1"/>
  <c r="Z37" i="61"/>
  <c r="Z80" i="61" s="1"/>
  <c r="Z34" i="61"/>
  <c r="AV82" i="61"/>
  <c r="AV99" i="61" s="1"/>
  <c r="AV42" i="61"/>
  <c r="AV78" i="61" s="1"/>
  <c r="AV43" i="61"/>
  <c r="AV67" i="61" s="1"/>
  <c r="AV88" i="61" s="1"/>
  <c r="AV44" i="61"/>
  <c r="AV75" i="61" s="1"/>
  <c r="AV96" i="61" s="1"/>
  <c r="AV73" i="61"/>
  <c r="AV94" i="61" s="1"/>
  <c r="AV37" i="61"/>
  <c r="AV80" i="61" s="1"/>
  <c r="AV34" i="61"/>
  <c r="AI59" i="61"/>
  <c r="AI65" i="61" s="1"/>
  <c r="AI87" i="61" s="1"/>
  <c r="AI60" i="61"/>
  <c r="AI74" i="61" s="1"/>
  <c r="AI95" i="61" s="1"/>
  <c r="AI58" i="61"/>
  <c r="AI64" i="61" s="1"/>
  <c r="AI86" i="61" s="1"/>
  <c r="AW82" i="61"/>
  <c r="AW99" i="61" s="1"/>
  <c r="AW42" i="61"/>
  <c r="AW78" i="61" s="1"/>
  <c r="AW43" i="61"/>
  <c r="AW67" i="61" s="1"/>
  <c r="AW88" i="61" s="1"/>
  <c r="AW44" i="61"/>
  <c r="AW75" i="61" s="1"/>
  <c r="AW96" i="61" s="1"/>
  <c r="AD73" i="61"/>
  <c r="AD94" i="61" s="1"/>
  <c r="AD37" i="61"/>
  <c r="AD80" i="61" s="1"/>
  <c r="AD34" i="61"/>
  <c r="AX82" i="61"/>
  <c r="AX99" i="61" s="1"/>
  <c r="AX42" i="61"/>
  <c r="AX78" i="61" s="1"/>
  <c r="AX43" i="61"/>
  <c r="AX67" i="61" s="1"/>
  <c r="AX88" i="61" s="1"/>
  <c r="AX44" i="61"/>
  <c r="AX75" i="61" s="1"/>
  <c r="AX96" i="61" s="1"/>
  <c r="AW73" i="61"/>
  <c r="AW94" i="61" s="1"/>
  <c r="AW37" i="61"/>
  <c r="AW80" i="61" s="1"/>
  <c r="AW34" i="61"/>
  <c r="AU58" i="61"/>
  <c r="AU64" i="61" s="1"/>
  <c r="AU86" i="61" s="1"/>
  <c r="AU59" i="61"/>
  <c r="AU65" i="61" s="1"/>
  <c r="AU87" i="61" s="1"/>
  <c r="AU60" i="61"/>
  <c r="AU74" i="61" s="1"/>
  <c r="AU95" i="61" s="1"/>
  <c r="AC73" i="61"/>
  <c r="AC94" i="61" s="1"/>
  <c r="AC37" i="61"/>
  <c r="AC80" i="61" s="1"/>
  <c r="AC34" i="61"/>
  <c r="S73" i="61"/>
  <c r="S94" i="61" s="1"/>
  <c r="S37" i="61"/>
  <c r="S80" i="61" s="1"/>
  <c r="S34" i="61"/>
  <c r="AH82" i="61"/>
  <c r="AH99" i="61" s="1"/>
  <c r="AH42" i="61"/>
  <c r="AH78" i="61" s="1"/>
  <c r="AH43" i="61"/>
  <c r="AH67" i="61" s="1"/>
  <c r="AH88" i="61" s="1"/>
  <c r="AH44" i="61"/>
  <c r="AH75" i="61" s="1"/>
  <c r="AH96" i="61" s="1"/>
  <c r="AX73" i="61"/>
  <c r="AX94" i="61" s="1"/>
  <c r="AX37" i="61"/>
  <c r="AX80" i="61" s="1"/>
  <c r="AX34" i="61"/>
  <c r="L28" i="61"/>
  <c r="L70" i="61" s="1"/>
  <c r="L91" i="61" s="1"/>
  <c r="L29" i="61"/>
  <c r="L69" i="61" s="1"/>
  <c r="L90" i="61" s="1"/>
  <c r="L30" i="61"/>
  <c r="L71" i="61" s="1"/>
  <c r="L92" i="61" s="1"/>
  <c r="L31" i="61"/>
  <c r="L72" i="61" s="1"/>
  <c r="L93" i="61" s="1"/>
  <c r="L20" i="61"/>
  <c r="L27" i="61"/>
  <c r="L63" i="61" s="1"/>
  <c r="L85" i="61" s="1"/>
  <c r="AD82" i="61"/>
  <c r="AD99" i="61" s="1"/>
  <c r="AD42" i="61"/>
  <c r="AD78" i="61" s="1"/>
  <c r="AD43" i="61"/>
  <c r="AD67" i="61" s="1"/>
  <c r="AD88" i="61" s="1"/>
  <c r="AD44" i="61"/>
  <c r="AD75" i="61" s="1"/>
  <c r="AD96" i="61" s="1"/>
  <c r="AU82" i="61"/>
  <c r="AU99" i="61" s="1"/>
  <c r="AU42" i="61"/>
  <c r="AU78" i="61" s="1"/>
  <c r="AU43" i="61"/>
  <c r="AU67" i="61" s="1"/>
  <c r="AU88" i="61" s="1"/>
  <c r="AU44" i="61"/>
  <c r="AU75" i="61" s="1"/>
  <c r="AU96" i="61" s="1"/>
  <c r="M73" i="61"/>
  <c r="M94" i="61" s="1"/>
  <c r="M34" i="61"/>
  <c r="M37" i="61"/>
  <c r="M80" i="61" s="1"/>
  <c r="AC82" i="61"/>
  <c r="AC99" i="61" s="1"/>
  <c r="AC42" i="61"/>
  <c r="AC78" i="61" s="1"/>
  <c r="AC43" i="61"/>
  <c r="AC67" i="61" s="1"/>
  <c r="AC88" i="61" s="1"/>
  <c r="AC44" i="61"/>
  <c r="AC75" i="61" s="1"/>
  <c r="AC96" i="61" s="1"/>
  <c r="S82" i="61"/>
  <c r="S99" i="61" s="1"/>
  <c r="S44" i="61"/>
  <c r="S75" i="61" s="1"/>
  <c r="S96" i="61" s="1"/>
  <c r="S42" i="61"/>
  <c r="S78" i="61" s="1"/>
  <c r="S43" i="61"/>
  <c r="S67" i="61" s="1"/>
  <c r="S88" i="61" s="1"/>
  <c r="S60" i="61"/>
  <c r="S74" i="61" s="1"/>
  <c r="S95" i="61" s="1"/>
  <c r="S59" i="61"/>
  <c r="S65" i="61" s="1"/>
  <c r="S87" i="61" s="1"/>
  <c r="S58" i="61"/>
  <c r="S64" i="61" s="1"/>
  <c r="S86" i="61" s="1"/>
  <c r="AB55" i="61"/>
  <c r="AB53" i="61"/>
  <c r="AB57" i="61"/>
  <c r="AU73" i="61"/>
  <c r="AU94" i="61" s="1"/>
  <c r="AU37" i="61"/>
  <c r="AU80" i="61" s="1"/>
  <c r="AU34" i="61"/>
  <c r="L53" i="61"/>
  <c r="L57" i="61"/>
  <c r="L55" i="61"/>
  <c r="Z59" i="61"/>
  <c r="Z65" i="61" s="1"/>
  <c r="Z87" i="61" s="1"/>
  <c r="Z60" i="61"/>
  <c r="Z74" i="61" s="1"/>
  <c r="Z95" i="61" s="1"/>
  <c r="Z58" i="61"/>
  <c r="Z64" i="61" s="1"/>
  <c r="Z86" i="61" s="1"/>
  <c r="M82" i="61"/>
  <c r="M99" i="61" s="1"/>
  <c r="M43" i="61"/>
  <c r="M67" i="61" s="1"/>
  <c r="M88" i="61" s="1"/>
  <c r="M44" i="61"/>
  <c r="M75" i="61" s="1"/>
  <c r="M96" i="61" s="1"/>
  <c r="M42" i="61"/>
  <c r="M78" i="61" s="1"/>
  <c r="AB27" i="61"/>
  <c r="AB63" i="61" s="1"/>
  <c r="AB85" i="61" s="1"/>
  <c r="AB28" i="61"/>
  <c r="AB70" i="61" s="1"/>
  <c r="AB91" i="61" s="1"/>
  <c r="AB29" i="61"/>
  <c r="AB69" i="61" s="1"/>
  <c r="AB90" i="61" s="1"/>
  <c r="AB31" i="61"/>
  <c r="AB72" i="61" s="1"/>
  <c r="AB93" i="61" s="1"/>
  <c r="AB30" i="61"/>
  <c r="AB71" i="61" s="1"/>
  <c r="AB92" i="61" s="1"/>
  <c r="AB20" i="61"/>
  <c r="AI73" i="61"/>
  <c r="AI94" i="61" s="1"/>
  <c r="AI34" i="61"/>
  <c r="AI37" i="61"/>
  <c r="AI80" i="61" s="1"/>
  <c r="AJ73" i="61"/>
  <c r="AJ94" i="61" s="1"/>
  <c r="AJ34" i="61"/>
  <c r="AJ37" i="61"/>
  <c r="AJ80" i="61" s="1"/>
  <c r="AD58" i="61"/>
  <c r="AD64" i="61" s="1"/>
  <c r="AD86" i="61" s="1"/>
  <c r="AD59" i="61"/>
  <c r="AD65" i="61" s="1"/>
  <c r="AD87" i="61" s="1"/>
  <c r="AD60" i="61"/>
  <c r="AD74" i="61" s="1"/>
  <c r="AD95" i="61" s="1"/>
  <c r="AB36" i="61"/>
  <c r="AB39" i="61"/>
  <c r="AB35" i="61"/>
  <c r="AB66" i="61" s="1"/>
  <c r="AB40" i="61"/>
  <c r="L39" i="61"/>
  <c r="L35" i="61"/>
  <c r="L66" i="61" s="1"/>
  <c r="L36" i="61"/>
  <c r="L40" i="61"/>
  <c r="K28" i="61"/>
  <c r="K70" i="61" s="1"/>
  <c r="K91" i="61" s="1"/>
  <c r="K29" i="61"/>
  <c r="K69" i="61" s="1"/>
  <c r="K90" i="61" s="1"/>
  <c r="K30" i="61"/>
  <c r="K71" i="61" s="1"/>
  <c r="K92" i="61" s="1"/>
  <c r="K31" i="61"/>
  <c r="K72" i="61" s="1"/>
  <c r="K93" i="61" s="1"/>
  <c r="K20" i="61"/>
  <c r="K27" i="61"/>
  <c r="K63" i="61" s="1"/>
  <c r="K85" i="61" s="1"/>
  <c r="AX59" i="61"/>
  <c r="AX65" i="61" s="1"/>
  <c r="AX87" i="61" s="1"/>
  <c r="AX60" i="61"/>
  <c r="AX74" i="61" s="1"/>
  <c r="AX95" i="61" s="1"/>
  <c r="AX58" i="61"/>
  <c r="AX64" i="61" s="1"/>
  <c r="AX86" i="61" s="1"/>
  <c r="AI82" i="61"/>
  <c r="AI99" i="61" s="1"/>
  <c r="AI43" i="61"/>
  <c r="AI67" i="61" s="1"/>
  <c r="AI88" i="61" s="1"/>
  <c r="AI44" i="61"/>
  <c r="AI75" i="61" s="1"/>
  <c r="AI96" i="61" s="1"/>
  <c r="AI42" i="61"/>
  <c r="AI78" i="61" s="1"/>
  <c r="AJ82" i="61"/>
  <c r="AJ99" i="61" s="1"/>
  <c r="AJ43" i="61"/>
  <c r="AJ67" i="61" s="1"/>
  <c r="AJ88" i="61" s="1"/>
  <c r="AJ44" i="61"/>
  <c r="AJ75" i="61" s="1"/>
  <c r="AJ96" i="61" s="1"/>
  <c r="AJ42" i="61"/>
  <c r="AJ78" i="61" s="1"/>
  <c r="AC58" i="61"/>
  <c r="AC64" i="61" s="1"/>
  <c r="AC86" i="61" s="1"/>
  <c r="AC59" i="61"/>
  <c r="AC65" i="61" s="1"/>
  <c r="AC87" i="61" s="1"/>
  <c r="AC60" i="61"/>
  <c r="AC74" i="61" s="1"/>
  <c r="AC95" i="61" s="1"/>
  <c r="AT58" i="61"/>
  <c r="AT64" i="61" s="1"/>
  <c r="AT86" i="61" s="1"/>
  <c r="AT59" i="61"/>
  <c r="AT65" i="61" s="1"/>
  <c r="AT87" i="61" s="1"/>
  <c r="AT60" i="61"/>
  <c r="AT74" i="61" s="1"/>
  <c r="AT95" i="61" s="1"/>
  <c r="AE82" i="61"/>
  <c r="AE99" i="61" s="1"/>
  <c r="AE42" i="61"/>
  <c r="AE78" i="61" s="1"/>
  <c r="AE43" i="61"/>
  <c r="AE67" i="61" s="1"/>
  <c r="AE88" i="61" s="1"/>
  <c r="AE44" i="61"/>
  <c r="AE75" i="61" s="1"/>
  <c r="AE96" i="61" s="1"/>
  <c r="AJ59" i="61"/>
  <c r="AJ65" i="61" s="1"/>
  <c r="AJ87" i="61" s="1"/>
  <c r="AJ60" i="61"/>
  <c r="AJ74" i="61" s="1"/>
  <c r="AJ95" i="61" s="1"/>
  <c r="AJ58" i="61"/>
  <c r="AJ64" i="61" s="1"/>
  <c r="AJ86" i="61" s="1"/>
  <c r="AA59" i="61"/>
  <c r="AA65" i="61" s="1"/>
  <c r="AA87" i="61" s="1"/>
  <c r="AA60" i="61"/>
  <c r="AA74" i="61" s="1"/>
  <c r="AA95" i="61" s="1"/>
  <c r="AA58" i="61"/>
  <c r="AA64" i="61" s="1"/>
  <c r="AA86" i="61" s="1"/>
  <c r="AK73" i="61"/>
  <c r="AK94" i="61" s="1"/>
  <c r="AK34" i="61"/>
  <c r="AK37" i="61"/>
  <c r="AK80" i="61" s="1"/>
  <c r="AE73" i="61"/>
  <c r="AE94" i="61" s="1"/>
  <c r="AE37" i="61"/>
  <c r="AE80" i="61" s="1"/>
  <c r="AE34" i="61"/>
  <c r="AK82" i="61"/>
  <c r="AK99" i="61" s="1"/>
  <c r="AK43" i="61"/>
  <c r="AK67" i="61" s="1"/>
  <c r="AK88" i="61" s="1"/>
  <c r="AK44" i="61"/>
  <c r="AK75" i="61" s="1"/>
  <c r="AK96" i="61" s="1"/>
  <c r="AK42" i="61"/>
  <c r="AK78" i="61" s="1"/>
  <c r="AH73" i="61"/>
  <c r="AH94" i="61" s="1"/>
  <c r="AH34" i="61"/>
  <c r="AH37" i="61"/>
  <c r="AH80" i="61" s="1"/>
  <c r="K116" i="56" l="1"/>
  <c r="K119" i="56"/>
  <c r="O119" i="56"/>
  <c r="O116" i="56"/>
  <c r="L119" i="56"/>
  <c r="L116" i="56"/>
  <c r="P116" i="56"/>
  <c r="P119" i="56"/>
  <c r="R50" i="61"/>
  <c r="R68" i="61" s="1"/>
  <c r="R89" i="61" s="1"/>
  <c r="R49" i="61"/>
  <c r="R81" i="61" s="1"/>
  <c r="H57" i="61"/>
  <c r="H53" i="61"/>
  <c r="H55" i="61"/>
  <c r="M58" i="61"/>
  <c r="M64" i="61" s="1"/>
  <c r="M86" i="61" s="1"/>
  <c r="H39" i="61"/>
  <c r="H35" i="61"/>
  <c r="H66" i="61" s="1"/>
  <c r="H36" i="61"/>
  <c r="H40" i="61"/>
  <c r="H28" i="61"/>
  <c r="H70" i="61" s="1"/>
  <c r="H91" i="61" s="1"/>
  <c r="H29" i="61"/>
  <c r="H69" i="61" s="1"/>
  <c r="H90" i="61" s="1"/>
  <c r="H20" i="61"/>
  <c r="H30" i="61"/>
  <c r="H71" i="61" s="1"/>
  <c r="H92" i="61" s="1"/>
  <c r="H31" i="61"/>
  <c r="H72" i="61" s="1"/>
  <c r="H93" i="61" s="1"/>
  <c r="H27" i="61"/>
  <c r="H63" i="61" s="1"/>
  <c r="H85" i="61" s="1"/>
  <c r="Q116" i="56"/>
  <c r="Q119" i="56"/>
  <c r="O51" i="61"/>
  <c r="O76" i="61" s="1"/>
  <c r="O97" i="61" s="1"/>
  <c r="O50" i="61"/>
  <c r="O68" i="61" s="1"/>
  <c r="O89" i="61" s="1"/>
  <c r="U15" i="61"/>
  <c r="U16" i="61" s="1"/>
  <c r="U62" i="61" s="1"/>
  <c r="U84" i="61" s="1"/>
  <c r="U38" i="61"/>
  <c r="U39" i="61" s="1"/>
  <c r="U33" i="61"/>
  <c r="U79" i="61" s="1"/>
  <c r="U46" i="61"/>
  <c r="U83" i="61" s="1"/>
  <c r="U100" i="61" s="1"/>
  <c r="P50" i="61"/>
  <c r="P68" i="61" s="1"/>
  <c r="P89" i="61" s="1"/>
  <c r="U61" i="61"/>
  <c r="U77" i="61"/>
  <c r="U98" i="61" s="1"/>
  <c r="U51" i="61"/>
  <c r="U76" i="61" s="1"/>
  <c r="U97" i="61" s="1"/>
  <c r="U50" i="61"/>
  <c r="U68" i="61" s="1"/>
  <c r="U89" i="61" s="1"/>
  <c r="P49" i="61"/>
  <c r="P81" i="61" s="1"/>
  <c r="AO39" i="61"/>
  <c r="AO35" i="61"/>
  <c r="AO66" i="61" s="1"/>
  <c r="AO36" i="61"/>
  <c r="AO40" i="61"/>
  <c r="AS57" i="61"/>
  <c r="AS55" i="61"/>
  <c r="AS53" i="61"/>
  <c r="AR73" i="61"/>
  <c r="AR94" i="61" s="1"/>
  <c r="AR37" i="61"/>
  <c r="AR80" i="61" s="1"/>
  <c r="AR34" i="61"/>
  <c r="AS36" i="61"/>
  <c r="AS39" i="61"/>
  <c r="AS40" i="61"/>
  <c r="AS35" i="61"/>
  <c r="AS66" i="61" s="1"/>
  <c r="AR44" i="61"/>
  <c r="AR75" i="61" s="1"/>
  <c r="AR96" i="61" s="1"/>
  <c r="AR42" i="61"/>
  <c r="AR78" i="61" s="1"/>
  <c r="AR82" i="61"/>
  <c r="AR99" i="61" s="1"/>
  <c r="AR43" i="61"/>
  <c r="AR67" i="61" s="1"/>
  <c r="AR88" i="61" s="1"/>
  <c r="AO29" i="61"/>
  <c r="AO69" i="61" s="1"/>
  <c r="AO90" i="61" s="1"/>
  <c r="AO20" i="61"/>
  <c r="AO30" i="61"/>
  <c r="AO71" i="61" s="1"/>
  <c r="AO92" i="61" s="1"/>
  <c r="AO31" i="61"/>
  <c r="AO72" i="61" s="1"/>
  <c r="AO93" i="61" s="1"/>
  <c r="AO27" i="61"/>
  <c r="AO63" i="61" s="1"/>
  <c r="AO85" i="61" s="1"/>
  <c r="AO28" i="61"/>
  <c r="AO70" i="61" s="1"/>
  <c r="AO91" i="61" s="1"/>
  <c r="AR58" i="61"/>
  <c r="AR64" i="61" s="1"/>
  <c r="AR86" i="61" s="1"/>
  <c r="AR60" i="61"/>
  <c r="AR74" i="61" s="1"/>
  <c r="AR95" i="61" s="1"/>
  <c r="AR59" i="61"/>
  <c r="AR65" i="61" s="1"/>
  <c r="AR87" i="61" s="1"/>
  <c r="AS30" i="61"/>
  <c r="AS71" i="61" s="1"/>
  <c r="AS92" i="61" s="1"/>
  <c r="AS31" i="61"/>
  <c r="AS72" i="61" s="1"/>
  <c r="AS93" i="61" s="1"/>
  <c r="AS27" i="61"/>
  <c r="AS63" i="61" s="1"/>
  <c r="AS85" i="61" s="1"/>
  <c r="AS28" i="61"/>
  <c r="AS70" i="61" s="1"/>
  <c r="AS91" i="61" s="1"/>
  <c r="AS20" i="61"/>
  <c r="AS29" i="61"/>
  <c r="AS69" i="61" s="1"/>
  <c r="AS90" i="61" s="1"/>
  <c r="AP57" i="61"/>
  <c r="AP53" i="61"/>
  <c r="AP55" i="61"/>
  <c r="AP30" i="61"/>
  <c r="AP71" i="61" s="1"/>
  <c r="AP92" i="61" s="1"/>
  <c r="AP27" i="61"/>
  <c r="AP63" i="61" s="1"/>
  <c r="AP85" i="61" s="1"/>
  <c r="AP28" i="61"/>
  <c r="AP70" i="61" s="1"/>
  <c r="AP91" i="61" s="1"/>
  <c r="AP29" i="61"/>
  <c r="AP69" i="61" s="1"/>
  <c r="AP90" i="61" s="1"/>
  <c r="AP20" i="61"/>
  <c r="AP31" i="61"/>
  <c r="AP72" i="61" s="1"/>
  <c r="AP93" i="61" s="1"/>
  <c r="AP39" i="61"/>
  <c r="AP36" i="61"/>
  <c r="AP35" i="61"/>
  <c r="AP66" i="61" s="1"/>
  <c r="AP40" i="61"/>
  <c r="AM39" i="61"/>
  <c r="AM35" i="61"/>
  <c r="AM66" i="61" s="1"/>
  <c r="AM36" i="61"/>
  <c r="AM29" i="61"/>
  <c r="AM69" i="61" s="1"/>
  <c r="AM90" i="61" s="1"/>
  <c r="AM30" i="61"/>
  <c r="AM71" i="61" s="1"/>
  <c r="AM92" i="61" s="1"/>
  <c r="AM31" i="61"/>
  <c r="AM72" i="61" s="1"/>
  <c r="AM93" i="61" s="1"/>
  <c r="AM27" i="61"/>
  <c r="AM63" i="61" s="1"/>
  <c r="AM85" i="61" s="1"/>
  <c r="AM28" i="61"/>
  <c r="AM70" i="61" s="1"/>
  <c r="AM91" i="61" s="1"/>
  <c r="AM20" i="61"/>
  <c r="AQ55" i="61"/>
  <c r="AQ57" i="61"/>
  <c r="AQ53" i="61"/>
  <c r="AM53" i="61"/>
  <c r="AM57" i="61"/>
  <c r="AM55" i="61"/>
  <c r="AQ20" i="61"/>
  <c r="AQ30" i="61"/>
  <c r="AQ71" i="61" s="1"/>
  <c r="AQ92" i="61" s="1"/>
  <c r="AQ31" i="61"/>
  <c r="AQ72" i="61" s="1"/>
  <c r="AQ93" i="61" s="1"/>
  <c r="AQ27" i="61"/>
  <c r="AQ63" i="61" s="1"/>
  <c r="AQ85" i="61" s="1"/>
  <c r="AQ28" i="61"/>
  <c r="AQ70" i="61" s="1"/>
  <c r="AQ91" i="61" s="1"/>
  <c r="AQ29" i="61"/>
  <c r="AQ69" i="61" s="1"/>
  <c r="AQ90" i="61" s="1"/>
  <c r="AQ39" i="61"/>
  <c r="AQ35" i="61"/>
  <c r="AQ66" i="61" s="1"/>
  <c r="AQ36" i="61"/>
  <c r="AQ40" i="61"/>
  <c r="AM40" i="61"/>
  <c r="AN49" i="61"/>
  <c r="AN81" i="61" s="1"/>
  <c r="AN50" i="61"/>
  <c r="AN68" i="61" s="1"/>
  <c r="AN89" i="61" s="1"/>
  <c r="AN51" i="61"/>
  <c r="AN76" i="61" s="1"/>
  <c r="AN97" i="61" s="1"/>
  <c r="AS49" i="61"/>
  <c r="AS81" i="61" s="1"/>
  <c r="AS50" i="61"/>
  <c r="AS68" i="61" s="1"/>
  <c r="AS89" i="61" s="1"/>
  <c r="AS51" i="61"/>
  <c r="AS76" i="61" s="1"/>
  <c r="AS97" i="61" s="1"/>
  <c r="AN46" i="61"/>
  <c r="AN83" i="61" s="1"/>
  <c r="AN100" i="61" s="1"/>
  <c r="AN15" i="61"/>
  <c r="AN16" i="61" s="1"/>
  <c r="AN62" i="61" s="1"/>
  <c r="AN84" i="61" s="1"/>
  <c r="AN2" i="61"/>
  <c r="AN33" i="61"/>
  <c r="AN79" i="61" s="1"/>
  <c r="AN38" i="61"/>
  <c r="AN18" i="61"/>
  <c r="AN4" i="61"/>
  <c r="AN3" i="61"/>
  <c r="AN5" i="61"/>
  <c r="AL49" i="61"/>
  <c r="AL81" i="61" s="1"/>
  <c r="AL50" i="61"/>
  <c r="AL68" i="61" s="1"/>
  <c r="AL89" i="61" s="1"/>
  <c r="AL51" i="61"/>
  <c r="AL76" i="61" s="1"/>
  <c r="AL97" i="61" s="1"/>
  <c r="AM49" i="61"/>
  <c r="AM81" i="61" s="1"/>
  <c r="AM50" i="61"/>
  <c r="AM68" i="61" s="1"/>
  <c r="AM89" i="61" s="1"/>
  <c r="AM51" i="61"/>
  <c r="AM76" i="61" s="1"/>
  <c r="AM97" i="61" s="1"/>
  <c r="AL38" i="61"/>
  <c r="AL5" i="61"/>
  <c r="AL46" i="61"/>
  <c r="AL83" i="61" s="1"/>
  <c r="AL100" i="61" s="1"/>
  <c r="AL3" i="61"/>
  <c r="AL15" i="61"/>
  <c r="AL16" i="61" s="1"/>
  <c r="AL62" i="61" s="1"/>
  <c r="AL84" i="61" s="1"/>
  <c r="AL2" i="61"/>
  <c r="AL4" i="61"/>
  <c r="AL33" i="61"/>
  <c r="AL79" i="61" s="1"/>
  <c r="AL18" i="61"/>
  <c r="AO55" i="61"/>
  <c r="AO57" i="61"/>
  <c r="AO53" i="61"/>
  <c r="X50" i="61"/>
  <c r="X68" i="61" s="1"/>
  <c r="X89" i="61" s="1"/>
  <c r="X51" i="61"/>
  <c r="X76" i="61" s="1"/>
  <c r="X97" i="61" s="1"/>
  <c r="X49" i="61"/>
  <c r="X81" i="61" s="1"/>
  <c r="X28" i="61"/>
  <c r="X70" i="61" s="1"/>
  <c r="X91" i="61" s="1"/>
  <c r="X31" i="61"/>
  <c r="X72" i="61" s="1"/>
  <c r="X93" i="61" s="1"/>
  <c r="X29" i="61"/>
  <c r="X69" i="61" s="1"/>
  <c r="X90" i="61" s="1"/>
  <c r="X30" i="61"/>
  <c r="X71" i="61" s="1"/>
  <c r="X92" i="61" s="1"/>
  <c r="X27" i="61"/>
  <c r="X63" i="61" s="1"/>
  <c r="X85" i="61" s="1"/>
  <c r="X20" i="61"/>
  <c r="X36" i="61"/>
  <c r="X39" i="61"/>
  <c r="X35" i="61"/>
  <c r="X66" i="61" s="1"/>
  <c r="X40" i="61"/>
  <c r="X57" i="61"/>
  <c r="X55" i="61"/>
  <c r="X53" i="61"/>
  <c r="Y57" i="61"/>
  <c r="Y55" i="61"/>
  <c r="Y53" i="61"/>
  <c r="Y31" i="61"/>
  <c r="Y72" i="61" s="1"/>
  <c r="Y93" i="61" s="1"/>
  <c r="Y27" i="61"/>
  <c r="Y63" i="61" s="1"/>
  <c r="Y85" i="61" s="1"/>
  <c r="Y28" i="61"/>
  <c r="Y70" i="61" s="1"/>
  <c r="Y91" i="61" s="1"/>
  <c r="Y29" i="61"/>
  <c r="Y69" i="61" s="1"/>
  <c r="Y90" i="61" s="1"/>
  <c r="Y30" i="61"/>
  <c r="Y71" i="61" s="1"/>
  <c r="Y92" i="61" s="1"/>
  <c r="Y20" i="61"/>
  <c r="Y36" i="61"/>
  <c r="Y39" i="61"/>
  <c r="Y35" i="61"/>
  <c r="Y66" i="61" s="1"/>
  <c r="Y40" i="61"/>
  <c r="N49" i="61"/>
  <c r="N81" i="61" s="1"/>
  <c r="N50" i="61"/>
  <c r="N68" i="61" s="1"/>
  <c r="N89" i="61" s="1"/>
  <c r="N51" i="61"/>
  <c r="N76" i="61" s="1"/>
  <c r="N97" i="61" s="1"/>
  <c r="Q29" i="61"/>
  <c r="Q69" i="61" s="1"/>
  <c r="Q90" i="61" s="1"/>
  <c r="Q30" i="61"/>
  <c r="Q71" i="61" s="1"/>
  <c r="Q92" i="61" s="1"/>
  <c r="Q31" i="61"/>
  <c r="Q72" i="61" s="1"/>
  <c r="Q93" i="61" s="1"/>
  <c r="Q27" i="61"/>
  <c r="Q63" i="61" s="1"/>
  <c r="Q85" i="61" s="1"/>
  <c r="Q28" i="61"/>
  <c r="Q70" i="61" s="1"/>
  <c r="Q91" i="61" s="1"/>
  <c r="Q20" i="61"/>
  <c r="R20" i="61"/>
  <c r="R28" i="61"/>
  <c r="R70" i="61" s="1"/>
  <c r="R91" i="61" s="1"/>
  <c r="R31" i="61"/>
  <c r="R72" i="61" s="1"/>
  <c r="R93" i="61" s="1"/>
  <c r="R27" i="61"/>
  <c r="R63" i="61" s="1"/>
  <c r="R85" i="61" s="1"/>
  <c r="R29" i="61"/>
  <c r="R69" i="61" s="1"/>
  <c r="R90" i="61" s="1"/>
  <c r="R30" i="61"/>
  <c r="R71" i="61" s="1"/>
  <c r="R92" i="61" s="1"/>
  <c r="W31" i="61"/>
  <c r="W72" i="61" s="1"/>
  <c r="W93" i="61" s="1"/>
  <c r="W27" i="61"/>
  <c r="W63" i="61" s="1"/>
  <c r="W85" i="61" s="1"/>
  <c r="W28" i="61"/>
  <c r="W70" i="61" s="1"/>
  <c r="W91" i="61" s="1"/>
  <c r="W30" i="61"/>
  <c r="W71" i="61" s="1"/>
  <c r="W92" i="61" s="1"/>
  <c r="W20" i="61"/>
  <c r="W29" i="61"/>
  <c r="W69" i="61" s="1"/>
  <c r="W90" i="61" s="1"/>
  <c r="Q53" i="61"/>
  <c r="Q57" i="61"/>
  <c r="Q55" i="61"/>
  <c r="Q39" i="61"/>
  <c r="Q35" i="61"/>
  <c r="Q66" i="61" s="1"/>
  <c r="Q36" i="61"/>
  <c r="Q40" i="61"/>
  <c r="R57" i="61"/>
  <c r="R53" i="61"/>
  <c r="R55" i="61"/>
  <c r="R39" i="61"/>
  <c r="R35" i="61"/>
  <c r="R66" i="61" s="1"/>
  <c r="R40" i="61"/>
  <c r="R36" i="61"/>
  <c r="W36" i="61"/>
  <c r="W39" i="61"/>
  <c r="W35" i="61"/>
  <c r="W66" i="61" s="1"/>
  <c r="N29" i="61"/>
  <c r="N69" i="61" s="1"/>
  <c r="N90" i="61" s="1"/>
  <c r="N30" i="61"/>
  <c r="N71" i="61" s="1"/>
  <c r="N92" i="61" s="1"/>
  <c r="N31" i="61"/>
  <c r="N72" i="61" s="1"/>
  <c r="N93" i="61" s="1"/>
  <c r="N27" i="61"/>
  <c r="N63" i="61" s="1"/>
  <c r="N85" i="61" s="1"/>
  <c r="N20" i="61"/>
  <c r="N28" i="61"/>
  <c r="N70" i="61" s="1"/>
  <c r="N91" i="61" s="1"/>
  <c r="W55" i="61"/>
  <c r="W57" i="61"/>
  <c r="W53" i="61"/>
  <c r="U30" i="61"/>
  <c r="U71" i="61" s="1"/>
  <c r="U92" i="61" s="1"/>
  <c r="U31" i="61"/>
  <c r="U72" i="61" s="1"/>
  <c r="U93" i="61" s="1"/>
  <c r="U27" i="61"/>
  <c r="U63" i="61" s="1"/>
  <c r="U85" i="61" s="1"/>
  <c r="U28" i="61"/>
  <c r="U70" i="61" s="1"/>
  <c r="U91" i="61" s="1"/>
  <c r="U20" i="61"/>
  <c r="U29" i="61"/>
  <c r="U69" i="61" s="1"/>
  <c r="U90" i="61" s="1"/>
  <c r="V50" i="61"/>
  <c r="V68" i="61" s="1"/>
  <c r="V89" i="61" s="1"/>
  <c r="V51" i="61"/>
  <c r="V76" i="61" s="1"/>
  <c r="V97" i="61" s="1"/>
  <c r="V49" i="61"/>
  <c r="V81" i="61" s="1"/>
  <c r="V46" i="61"/>
  <c r="V83" i="61" s="1"/>
  <c r="V100" i="61" s="1"/>
  <c r="V33" i="61"/>
  <c r="V79" i="61" s="1"/>
  <c r="V38" i="61"/>
  <c r="V4" i="61"/>
  <c r="V3" i="61"/>
  <c r="V5" i="61"/>
  <c r="V18" i="61"/>
  <c r="V15" i="61"/>
  <c r="V16" i="61" s="1"/>
  <c r="V62" i="61" s="1"/>
  <c r="V84" i="61" s="1"/>
  <c r="V2" i="61"/>
  <c r="N57" i="61"/>
  <c r="N53" i="61"/>
  <c r="N55" i="61"/>
  <c r="T55" i="61"/>
  <c r="T57" i="61"/>
  <c r="T53" i="61"/>
  <c r="O40" i="61"/>
  <c r="O39" i="61"/>
  <c r="O35" i="61"/>
  <c r="O66" i="61" s="1"/>
  <c r="O36" i="61"/>
  <c r="T35" i="61"/>
  <c r="T66" i="61" s="1"/>
  <c r="T36" i="61"/>
  <c r="T39" i="61"/>
  <c r="T40" i="61"/>
  <c r="O55" i="61"/>
  <c r="O53" i="61"/>
  <c r="O57" i="61"/>
  <c r="N36" i="61"/>
  <c r="N40" i="61"/>
  <c r="N35" i="61"/>
  <c r="N66" i="61" s="1"/>
  <c r="N39" i="61"/>
  <c r="O28" i="61"/>
  <c r="O70" i="61" s="1"/>
  <c r="O91" i="61" s="1"/>
  <c r="O29" i="61"/>
  <c r="O69" i="61" s="1"/>
  <c r="O90" i="61" s="1"/>
  <c r="O30" i="61"/>
  <c r="O71" i="61" s="1"/>
  <c r="O92" i="61" s="1"/>
  <c r="O31" i="61"/>
  <c r="O72" i="61" s="1"/>
  <c r="O93" i="61" s="1"/>
  <c r="O27" i="61"/>
  <c r="O63" i="61" s="1"/>
  <c r="O85" i="61" s="1"/>
  <c r="O20" i="61"/>
  <c r="P29" i="61"/>
  <c r="P69" i="61" s="1"/>
  <c r="P90" i="61" s="1"/>
  <c r="P31" i="61"/>
  <c r="P72" i="61" s="1"/>
  <c r="P93" i="61" s="1"/>
  <c r="P20" i="61"/>
  <c r="P30" i="61"/>
  <c r="P71" i="61" s="1"/>
  <c r="P92" i="61" s="1"/>
  <c r="P27" i="61"/>
  <c r="P63" i="61" s="1"/>
  <c r="P85" i="61" s="1"/>
  <c r="P28" i="61"/>
  <c r="P70" i="61" s="1"/>
  <c r="P91" i="61" s="1"/>
  <c r="T20" i="61"/>
  <c r="T30" i="61"/>
  <c r="T71" i="61" s="1"/>
  <c r="T92" i="61" s="1"/>
  <c r="T31" i="61"/>
  <c r="T72" i="61" s="1"/>
  <c r="T93" i="61" s="1"/>
  <c r="T27" i="61"/>
  <c r="T63" i="61" s="1"/>
  <c r="T85" i="61" s="1"/>
  <c r="T28" i="61"/>
  <c r="T70" i="61" s="1"/>
  <c r="T91" i="61" s="1"/>
  <c r="T29" i="61"/>
  <c r="T69" i="61" s="1"/>
  <c r="T90" i="61" s="1"/>
  <c r="P39" i="61"/>
  <c r="P35" i="61"/>
  <c r="P66" i="61" s="1"/>
  <c r="P36" i="61"/>
  <c r="P57" i="61"/>
  <c r="P53" i="61"/>
  <c r="P55" i="61"/>
  <c r="W40" i="61"/>
  <c r="W51" i="61"/>
  <c r="W76" i="61" s="1"/>
  <c r="W97" i="61" s="1"/>
  <c r="W50" i="61"/>
  <c r="W68" i="61" s="1"/>
  <c r="W89" i="61" s="1"/>
  <c r="W49" i="61"/>
  <c r="W81" i="61" s="1"/>
  <c r="AB59" i="61"/>
  <c r="AB65" i="61" s="1"/>
  <c r="AB87" i="61" s="1"/>
  <c r="AB60" i="61"/>
  <c r="AB74" i="61" s="1"/>
  <c r="AB95" i="61" s="1"/>
  <c r="AB58" i="61"/>
  <c r="AB64" i="61" s="1"/>
  <c r="AB86" i="61" s="1"/>
  <c r="AB82" i="61"/>
  <c r="AB99" i="61" s="1"/>
  <c r="AB42" i="61"/>
  <c r="AB78" i="61" s="1"/>
  <c r="AB43" i="61"/>
  <c r="AB67" i="61" s="1"/>
  <c r="AB88" i="61" s="1"/>
  <c r="AB44" i="61"/>
  <c r="AB75" i="61" s="1"/>
  <c r="AB96" i="61" s="1"/>
  <c r="AB73" i="61"/>
  <c r="AB94" i="61" s="1"/>
  <c r="AB37" i="61"/>
  <c r="AB80" i="61" s="1"/>
  <c r="AB34" i="61"/>
  <c r="K73" i="61"/>
  <c r="K94" i="61" s="1"/>
  <c r="K34" i="61"/>
  <c r="K37" i="61"/>
  <c r="K80" i="61" s="1"/>
  <c r="K59" i="61"/>
  <c r="K65" i="61" s="1"/>
  <c r="K87" i="61" s="1"/>
  <c r="K60" i="61"/>
  <c r="K74" i="61" s="1"/>
  <c r="K95" i="61" s="1"/>
  <c r="K58" i="61"/>
  <c r="K64" i="61" s="1"/>
  <c r="K86" i="61" s="1"/>
  <c r="K82" i="61"/>
  <c r="K99" i="61" s="1"/>
  <c r="K43" i="61"/>
  <c r="K67" i="61" s="1"/>
  <c r="K88" i="61" s="1"/>
  <c r="K44" i="61"/>
  <c r="K75" i="61" s="1"/>
  <c r="K96" i="61" s="1"/>
  <c r="K42" i="61"/>
  <c r="K78" i="61" s="1"/>
  <c r="L82" i="61"/>
  <c r="L99" i="61" s="1"/>
  <c r="L43" i="61"/>
  <c r="L67" i="61" s="1"/>
  <c r="L88" i="61" s="1"/>
  <c r="L44" i="61"/>
  <c r="L75" i="61" s="1"/>
  <c r="L96" i="61" s="1"/>
  <c r="L42" i="61"/>
  <c r="L78" i="61" s="1"/>
  <c r="L59" i="61"/>
  <c r="L65" i="61" s="1"/>
  <c r="L87" i="61" s="1"/>
  <c r="L60" i="61"/>
  <c r="L74" i="61" s="1"/>
  <c r="L95" i="61" s="1"/>
  <c r="L58" i="61"/>
  <c r="L64" i="61" s="1"/>
  <c r="L86" i="61" s="1"/>
  <c r="L73" i="61"/>
  <c r="L94" i="61" s="1"/>
  <c r="L34" i="61"/>
  <c r="L37" i="61"/>
  <c r="L80" i="61" s="1"/>
  <c r="U36" i="61" l="1"/>
  <c r="U35" i="61"/>
  <c r="U66" i="61" s="1"/>
  <c r="H37" i="61"/>
  <c r="H80" i="61" s="1"/>
  <c r="H73" i="61"/>
  <c r="H94" i="61" s="1"/>
  <c r="H34" i="61"/>
  <c r="U40" i="61"/>
  <c r="H82" i="61"/>
  <c r="H99" i="61" s="1"/>
  <c r="H42" i="61"/>
  <c r="H78" i="61" s="1"/>
  <c r="H43" i="61"/>
  <c r="H67" i="61" s="1"/>
  <c r="H88" i="61" s="1"/>
  <c r="H44" i="61"/>
  <c r="H75" i="61" s="1"/>
  <c r="H96" i="61" s="1"/>
  <c r="H58" i="61"/>
  <c r="H64" i="61" s="1"/>
  <c r="H86" i="61" s="1"/>
  <c r="H60" i="61"/>
  <c r="H74" i="61" s="1"/>
  <c r="H95" i="61" s="1"/>
  <c r="H59" i="61"/>
  <c r="H65" i="61" s="1"/>
  <c r="H87" i="61" s="1"/>
  <c r="AM43" i="61"/>
  <c r="AM67" i="61" s="1"/>
  <c r="AM88" i="61" s="1"/>
  <c r="AM82" i="61"/>
  <c r="AM99" i="61" s="1"/>
  <c r="AM44" i="61"/>
  <c r="AM75" i="61" s="1"/>
  <c r="AM96" i="61" s="1"/>
  <c r="AM42" i="61"/>
  <c r="AM78" i="61" s="1"/>
  <c r="AQ73" i="61"/>
  <c r="AQ94" i="61" s="1"/>
  <c r="AQ37" i="61"/>
  <c r="AQ80" i="61" s="1"/>
  <c r="AQ34" i="61"/>
  <c r="AQ82" i="61"/>
  <c r="AQ99" i="61" s="1"/>
  <c r="AQ44" i="61"/>
  <c r="AQ75" i="61" s="1"/>
  <c r="AQ96" i="61" s="1"/>
  <c r="AQ42" i="61"/>
  <c r="AQ78" i="61" s="1"/>
  <c r="AQ43" i="61"/>
  <c r="AQ67" i="61" s="1"/>
  <c r="AQ88" i="61" s="1"/>
  <c r="AP73" i="61"/>
  <c r="AP94" i="61" s="1"/>
  <c r="AP34" i="61"/>
  <c r="AP37" i="61"/>
  <c r="AP80" i="61" s="1"/>
  <c r="AP42" i="61"/>
  <c r="AP78" i="61" s="1"/>
  <c r="AP43" i="61"/>
  <c r="AP67" i="61" s="1"/>
  <c r="AP88" i="61" s="1"/>
  <c r="AP82" i="61"/>
  <c r="AP99" i="61" s="1"/>
  <c r="AP44" i="61"/>
  <c r="AP75" i="61" s="1"/>
  <c r="AP96" i="61" s="1"/>
  <c r="AN29" i="61"/>
  <c r="AN69" i="61" s="1"/>
  <c r="AN90" i="61" s="1"/>
  <c r="AN20" i="61"/>
  <c r="AN30" i="61"/>
  <c r="AN71" i="61" s="1"/>
  <c r="AN92" i="61" s="1"/>
  <c r="AN31" i="61"/>
  <c r="AN72" i="61" s="1"/>
  <c r="AN93" i="61" s="1"/>
  <c r="AN27" i="61"/>
  <c r="AN63" i="61" s="1"/>
  <c r="AN85" i="61" s="1"/>
  <c r="AN28" i="61"/>
  <c r="AN70" i="61" s="1"/>
  <c r="AN91" i="61" s="1"/>
  <c r="AS82" i="61"/>
  <c r="AS99" i="61" s="1"/>
  <c r="AS42" i="61"/>
  <c r="AS78" i="61" s="1"/>
  <c r="AS43" i="61"/>
  <c r="AS67" i="61" s="1"/>
  <c r="AS88" i="61" s="1"/>
  <c r="AS44" i="61"/>
  <c r="AS75" i="61" s="1"/>
  <c r="AS96" i="61" s="1"/>
  <c r="AN39" i="61"/>
  <c r="AN35" i="61"/>
  <c r="AN66" i="61" s="1"/>
  <c r="AN36" i="61"/>
  <c r="AN40" i="61"/>
  <c r="AM58" i="61"/>
  <c r="AM64" i="61" s="1"/>
  <c r="AM86" i="61" s="1"/>
  <c r="AM60" i="61"/>
  <c r="AM74" i="61" s="1"/>
  <c r="AM95" i="61" s="1"/>
  <c r="AM59" i="61"/>
  <c r="AM65" i="61" s="1"/>
  <c r="AM87" i="61" s="1"/>
  <c r="AP60" i="61"/>
  <c r="AP74" i="61" s="1"/>
  <c r="AP95" i="61" s="1"/>
  <c r="AP59" i="61"/>
  <c r="AP65" i="61" s="1"/>
  <c r="AP87" i="61" s="1"/>
  <c r="AP58" i="61"/>
  <c r="AP64" i="61" s="1"/>
  <c r="AP86" i="61" s="1"/>
  <c r="AS37" i="61"/>
  <c r="AS80" i="61" s="1"/>
  <c r="AS34" i="61"/>
  <c r="AS73" i="61"/>
  <c r="AS94" i="61" s="1"/>
  <c r="AQ58" i="61"/>
  <c r="AQ64" i="61" s="1"/>
  <c r="AQ86" i="61" s="1"/>
  <c r="AQ60" i="61"/>
  <c r="AQ74" i="61" s="1"/>
  <c r="AQ95" i="61" s="1"/>
  <c r="AQ59" i="61"/>
  <c r="AQ65" i="61" s="1"/>
  <c r="AQ87" i="61" s="1"/>
  <c r="AO60" i="61"/>
  <c r="AO74" i="61" s="1"/>
  <c r="AO95" i="61" s="1"/>
  <c r="AO59" i="61"/>
  <c r="AO65" i="61" s="1"/>
  <c r="AO87" i="61" s="1"/>
  <c r="AO58" i="61"/>
  <c r="AO64" i="61" s="1"/>
  <c r="AO86" i="61" s="1"/>
  <c r="AN53" i="61"/>
  <c r="AN57" i="61"/>
  <c r="AN55" i="61"/>
  <c r="AS58" i="61"/>
  <c r="AS64" i="61" s="1"/>
  <c r="AS86" i="61" s="1"/>
  <c r="AS59" i="61"/>
  <c r="AS65" i="61" s="1"/>
  <c r="AS87" i="61" s="1"/>
  <c r="AS60" i="61"/>
  <c r="AS74" i="61" s="1"/>
  <c r="AS95" i="61" s="1"/>
  <c r="AL39" i="61"/>
  <c r="AL40" i="61"/>
  <c r="AL35" i="61"/>
  <c r="AL66" i="61" s="1"/>
  <c r="AL36" i="61"/>
  <c r="AL29" i="61"/>
  <c r="AL69" i="61" s="1"/>
  <c r="AL90" i="61" s="1"/>
  <c r="AL30" i="61"/>
  <c r="AL71" i="61" s="1"/>
  <c r="AL92" i="61" s="1"/>
  <c r="AL31" i="61"/>
  <c r="AL72" i="61" s="1"/>
  <c r="AL93" i="61" s="1"/>
  <c r="AL27" i="61"/>
  <c r="AL63" i="61" s="1"/>
  <c r="AL85" i="61" s="1"/>
  <c r="AL28" i="61"/>
  <c r="AL70" i="61" s="1"/>
  <c r="AL91" i="61" s="1"/>
  <c r="AL20" i="61"/>
  <c r="AL53" i="61"/>
  <c r="AL57" i="61"/>
  <c r="AL55" i="61"/>
  <c r="AO37" i="61"/>
  <c r="AO80" i="61" s="1"/>
  <c r="AO34" i="61"/>
  <c r="AO73" i="61"/>
  <c r="AO94" i="61" s="1"/>
  <c r="AM73" i="61"/>
  <c r="AM94" i="61" s="1"/>
  <c r="AM34" i="61"/>
  <c r="AM37" i="61"/>
  <c r="AM80" i="61" s="1"/>
  <c r="AO82" i="61"/>
  <c r="AO99" i="61" s="1"/>
  <c r="AO44" i="61"/>
  <c r="AO75" i="61" s="1"/>
  <c r="AO96" i="61" s="1"/>
  <c r="AO42" i="61"/>
  <c r="AO78" i="61" s="1"/>
  <c r="AO43" i="61"/>
  <c r="AO67" i="61" s="1"/>
  <c r="AO88" i="61" s="1"/>
  <c r="Y60" i="61"/>
  <c r="Y74" i="61" s="1"/>
  <c r="Y95" i="61" s="1"/>
  <c r="Y59" i="61"/>
  <c r="Y65" i="61" s="1"/>
  <c r="Y87" i="61" s="1"/>
  <c r="Y58" i="61"/>
  <c r="Y64" i="61" s="1"/>
  <c r="Y86" i="61" s="1"/>
  <c r="X59" i="61"/>
  <c r="X65" i="61" s="1"/>
  <c r="X87" i="61" s="1"/>
  <c r="X60" i="61"/>
  <c r="X74" i="61" s="1"/>
  <c r="X95" i="61" s="1"/>
  <c r="X58" i="61"/>
  <c r="X64" i="61" s="1"/>
  <c r="X86" i="61" s="1"/>
  <c r="X42" i="61"/>
  <c r="X78" i="61" s="1"/>
  <c r="X43" i="61"/>
  <c r="X67" i="61" s="1"/>
  <c r="X88" i="61" s="1"/>
  <c r="X44" i="61"/>
  <c r="X75" i="61" s="1"/>
  <c r="X96" i="61" s="1"/>
  <c r="X82" i="61"/>
  <c r="X99" i="61" s="1"/>
  <c r="X37" i="61"/>
  <c r="X80" i="61" s="1"/>
  <c r="X73" i="61"/>
  <c r="X94" i="61" s="1"/>
  <c r="X34" i="61"/>
  <c r="Y42" i="61"/>
  <c r="Y78" i="61" s="1"/>
  <c r="Y43" i="61"/>
  <c r="Y67" i="61" s="1"/>
  <c r="Y88" i="61" s="1"/>
  <c r="Y44" i="61"/>
  <c r="Y75" i="61" s="1"/>
  <c r="Y96" i="61" s="1"/>
  <c r="Y82" i="61"/>
  <c r="Y99" i="61" s="1"/>
  <c r="Y73" i="61"/>
  <c r="Y94" i="61" s="1"/>
  <c r="Y37" i="61"/>
  <c r="Y80" i="61" s="1"/>
  <c r="Y34" i="61"/>
  <c r="N59" i="61"/>
  <c r="N65" i="61" s="1"/>
  <c r="N87" i="61" s="1"/>
  <c r="N58" i="61"/>
  <c r="N64" i="61" s="1"/>
  <c r="N86" i="61" s="1"/>
  <c r="N60" i="61"/>
  <c r="N74" i="61" s="1"/>
  <c r="N95" i="61" s="1"/>
  <c r="V28" i="61"/>
  <c r="V70" i="61" s="1"/>
  <c r="V91" i="61" s="1"/>
  <c r="V30" i="61"/>
  <c r="V71" i="61" s="1"/>
  <c r="V92" i="61" s="1"/>
  <c r="V31" i="61"/>
  <c r="V72" i="61" s="1"/>
  <c r="V93" i="61" s="1"/>
  <c r="V29" i="61"/>
  <c r="V69" i="61" s="1"/>
  <c r="V90" i="61" s="1"/>
  <c r="V20" i="61"/>
  <c r="V27" i="61"/>
  <c r="V63" i="61" s="1"/>
  <c r="V85" i="61" s="1"/>
  <c r="N82" i="61"/>
  <c r="N99" i="61" s="1"/>
  <c r="N43" i="61"/>
  <c r="N67" i="61" s="1"/>
  <c r="N88" i="61" s="1"/>
  <c r="N44" i="61"/>
  <c r="N75" i="61" s="1"/>
  <c r="N96" i="61" s="1"/>
  <c r="N42" i="61"/>
  <c r="N78" i="61" s="1"/>
  <c r="U73" i="61"/>
  <c r="U94" i="61" s="1"/>
  <c r="U37" i="61"/>
  <c r="U80" i="61" s="1"/>
  <c r="U34" i="61"/>
  <c r="W44" i="61"/>
  <c r="W75" i="61" s="1"/>
  <c r="W96" i="61" s="1"/>
  <c r="W82" i="61"/>
  <c r="W99" i="61" s="1"/>
  <c r="W42" i="61"/>
  <c r="W78" i="61" s="1"/>
  <c r="W43" i="61"/>
  <c r="W67" i="61" s="1"/>
  <c r="W88" i="61" s="1"/>
  <c r="V57" i="61"/>
  <c r="V55" i="61"/>
  <c r="V53" i="61"/>
  <c r="U82" i="61"/>
  <c r="U99" i="61" s="1"/>
  <c r="U44" i="61"/>
  <c r="U75" i="61" s="1"/>
  <c r="U96" i="61" s="1"/>
  <c r="U42" i="61"/>
  <c r="U78" i="61" s="1"/>
  <c r="U43" i="61"/>
  <c r="U67" i="61" s="1"/>
  <c r="U88" i="61" s="1"/>
  <c r="P73" i="61"/>
  <c r="P94" i="61" s="1"/>
  <c r="P34" i="61"/>
  <c r="P37" i="61"/>
  <c r="P80" i="61" s="1"/>
  <c r="O58" i="61"/>
  <c r="O64" i="61" s="1"/>
  <c r="O86" i="61" s="1"/>
  <c r="O60" i="61"/>
  <c r="O74" i="61" s="1"/>
  <c r="O95" i="61" s="1"/>
  <c r="O59" i="61"/>
  <c r="O65" i="61" s="1"/>
  <c r="O87" i="61" s="1"/>
  <c r="R60" i="61"/>
  <c r="R74" i="61" s="1"/>
  <c r="R95" i="61" s="1"/>
  <c r="R59" i="61"/>
  <c r="R65" i="61" s="1"/>
  <c r="R87" i="61" s="1"/>
  <c r="R58" i="61"/>
  <c r="R64" i="61" s="1"/>
  <c r="R86" i="61" s="1"/>
  <c r="T73" i="61"/>
  <c r="T94" i="61" s="1"/>
  <c r="T37" i="61"/>
  <c r="T80" i="61" s="1"/>
  <c r="T34" i="61"/>
  <c r="O42" i="61"/>
  <c r="O78" i="61" s="1"/>
  <c r="O82" i="61"/>
  <c r="O99" i="61" s="1"/>
  <c r="O43" i="61"/>
  <c r="O67" i="61" s="1"/>
  <c r="O88" i="61" s="1"/>
  <c r="O44" i="61"/>
  <c r="O75" i="61" s="1"/>
  <c r="O96" i="61" s="1"/>
  <c r="W73" i="61"/>
  <c r="W94" i="61" s="1"/>
  <c r="W37" i="61"/>
  <c r="W80" i="61" s="1"/>
  <c r="W34" i="61"/>
  <c r="R73" i="61"/>
  <c r="R94" i="61" s="1"/>
  <c r="R34" i="61"/>
  <c r="R37" i="61"/>
  <c r="R80" i="61" s="1"/>
  <c r="T44" i="61"/>
  <c r="T75" i="61" s="1"/>
  <c r="T96" i="61" s="1"/>
  <c r="T43" i="61"/>
  <c r="T67" i="61" s="1"/>
  <c r="T88" i="61" s="1"/>
  <c r="T82" i="61"/>
  <c r="T99" i="61" s="1"/>
  <c r="T42" i="61"/>
  <c r="T78" i="61" s="1"/>
  <c r="T60" i="61"/>
  <c r="T74" i="61" s="1"/>
  <c r="T95" i="61" s="1"/>
  <c r="T58" i="61"/>
  <c r="T64" i="61" s="1"/>
  <c r="T86" i="61" s="1"/>
  <c r="T59" i="61"/>
  <c r="T65" i="61" s="1"/>
  <c r="T87" i="61" s="1"/>
  <c r="W58" i="61"/>
  <c r="W64" i="61" s="1"/>
  <c r="W86" i="61" s="1"/>
  <c r="W60" i="61"/>
  <c r="W74" i="61" s="1"/>
  <c r="W95" i="61" s="1"/>
  <c r="W59" i="61"/>
  <c r="W65" i="61" s="1"/>
  <c r="W87" i="61" s="1"/>
  <c r="Q73" i="61"/>
  <c r="Q94" i="61" s="1"/>
  <c r="Q34" i="61"/>
  <c r="Q37" i="61"/>
  <c r="Q80" i="61" s="1"/>
  <c r="Q58" i="61"/>
  <c r="Q64" i="61" s="1"/>
  <c r="Q86" i="61" s="1"/>
  <c r="Q60" i="61"/>
  <c r="Q74" i="61" s="1"/>
  <c r="Q95" i="61" s="1"/>
  <c r="Q59" i="61"/>
  <c r="Q65" i="61" s="1"/>
  <c r="Q87" i="61" s="1"/>
  <c r="P60" i="61"/>
  <c r="P74" i="61" s="1"/>
  <c r="P95" i="61" s="1"/>
  <c r="P59" i="61"/>
  <c r="P65" i="61" s="1"/>
  <c r="P87" i="61" s="1"/>
  <c r="P58" i="61"/>
  <c r="P64" i="61" s="1"/>
  <c r="P86" i="61" s="1"/>
  <c r="N73" i="61"/>
  <c r="N94" i="61" s="1"/>
  <c r="N34" i="61"/>
  <c r="N37" i="61"/>
  <c r="N80" i="61" s="1"/>
  <c r="O73" i="61"/>
  <c r="O94" i="61" s="1"/>
  <c r="O34" i="61"/>
  <c r="O37" i="61"/>
  <c r="O80" i="61" s="1"/>
  <c r="V35" i="61"/>
  <c r="V66" i="61" s="1"/>
  <c r="V40" i="61"/>
  <c r="V36" i="61"/>
  <c r="V39" i="61"/>
  <c r="P82" i="61"/>
  <c r="P99" i="61" s="1"/>
  <c r="P44" i="61"/>
  <c r="P75" i="61" s="1"/>
  <c r="P96" i="61" s="1"/>
  <c r="P42" i="61"/>
  <c r="P78" i="61" s="1"/>
  <c r="P43" i="61"/>
  <c r="P67" i="61" s="1"/>
  <c r="P88" i="61" s="1"/>
  <c r="R82" i="61"/>
  <c r="R99" i="61" s="1"/>
  <c r="R44" i="61"/>
  <c r="R75" i="61" s="1"/>
  <c r="R96" i="61" s="1"/>
  <c r="R42" i="61"/>
  <c r="R78" i="61" s="1"/>
  <c r="R43" i="61"/>
  <c r="R67" i="61" s="1"/>
  <c r="R88" i="61" s="1"/>
  <c r="Q82" i="61"/>
  <c r="Q99" i="61" s="1"/>
  <c r="Q44" i="61"/>
  <c r="Q75" i="61" s="1"/>
  <c r="Q96" i="61" s="1"/>
  <c r="Q42" i="61"/>
  <c r="Q78" i="61" s="1"/>
  <c r="Q43" i="61"/>
  <c r="Q67" i="61" s="1"/>
  <c r="Q88" i="61" s="1"/>
  <c r="F71" i="47"/>
  <c r="AN60" i="61" l="1"/>
  <c r="AN74" i="61" s="1"/>
  <c r="AN95" i="61" s="1"/>
  <c r="AN58" i="61"/>
  <c r="AN64" i="61" s="1"/>
  <c r="AN86" i="61" s="1"/>
  <c r="AN59" i="61"/>
  <c r="AN65" i="61" s="1"/>
  <c r="AN87" i="61" s="1"/>
  <c r="AL58" i="61"/>
  <c r="AL64" i="61" s="1"/>
  <c r="AL86" i="61" s="1"/>
  <c r="AL60" i="61"/>
  <c r="AL74" i="61" s="1"/>
  <c r="AL95" i="61" s="1"/>
  <c r="AL59" i="61"/>
  <c r="AL65" i="61" s="1"/>
  <c r="AL87" i="61" s="1"/>
  <c r="AL73" i="61"/>
  <c r="AL94" i="61" s="1"/>
  <c r="AL34" i="61"/>
  <c r="AL37" i="61"/>
  <c r="AL80" i="61" s="1"/>
  <c r="AN37" i="61"/>
  <c r="AN80" i="61" s="1"/>
  <c r="AN34" i="61"/>
  <c r="AN73" i="61"/>
  <c r="AN94" i="61" s="1"/>
  <c r="AL42" i="61"/>
  <c r="AL78" i="61" s="1"/>
  <c r="AL44" i="61"/>
  <c r="AL75" i="61" s="1"/>
  <c r="AL96" i="61" s="1"/>
  <c r="AL82" i="61"/>
  <c r="AL99" i="61" s="1"/>
  <c r="AL43" i="61"/>
  <c r="AL67" i="61" s="1"/>
  <c r="AL88" i="61" s="1"/>
  <c r="AN44" i="61"/>
  <c r="AN75" i="61" s="1"/>
  <c r="AN96" i="61" s="1"/>
  <c r="AN42" i="61"/>
  <c r="AN78" i="61" s="1"/>
  <c r="AN43" i="61"/>
  <c r="AN67" i="61" s="1"/>
  <c r="AN88" i="61" s="1"/>
  <c r="AN82" i="61"/>
  <c r="AN99" i="61" s="1"/>
  <c r="V42" i="61"/>
  <c r="V78" i="61" s="1"/>
  <c r="V82" i="61"/>
  <c r="V99" i="61" s="1"/>
  <c r="V44" i="61"/>
  <c r="V75" i="61" s="1"/>
  <c r="V96" i="61" s="1"/>
  <c r="V43" i="61"/>
  <c r="V67" i="61" s="1"/>
  <c r="V88" i="61" s="1"/>
  <c r="V73" i="61"/>
  <c r="V94" i="61" s="1"/>
  <c r="V37" i="61"/>
  <c r="V80" i="61" s="1"/>
  <c r="V34" i="61"/>
  <c r="V58" i="61"/>
  <c r="V64" i="61" s="1"/>
  <c r="V86" i="61" s="1"/>
  <c r="V60" i="61"/>
  <c r="V74" i="61" s="1"/>
  <c r="V95" i="61" s="1"/>
  <c r="V59" i="61"/>
  <c r="V65" i="61" s="1"/>
  <c r="V87" i="61" s="1"/>
  <c r="M17" i="55"/>
  <c r="K17" i="55"/>
  <c r="M15" i="55"/>
  <c r="K15" i="55"/>
  <c r="L52" i="40" l="1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D52" i="40"/>
  <c r="D51" i="40"/>
  <c r="D50" i="40"/>
  <c r="D49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I10" i="40" a="1"/>
  <c r="I10" i="40" s="1"/>
  <c r="D10" i="40"/>
  <c r="I9" i="40" a="1"/>
  <c r="I9" i="40" s="1"/>
  <c r="D9" i="40"/>
  <c r="H302" i="133" l="1"/>
  <c r="I302" i="133"/>
  <c r="J302" i="133"/>
  <c r="K302" i="133"/>
  <c r="L302" i="133"/>
  <c r="M302" i="133"/>
  <c r="G302" i="133"/>
  <c r="H299" i="133"/>
  <c r="I299" i="133"/>
  <c r="J299" i="133"/>
  <c r="K299" i="133"/>
  <c r="L299" i="133"/>
  <c r="M299" i="133"/>
  <c r="G299" i="133"/>
  <c r="M306" i="133" l="1"/>
  <c r="M312" i="133" s="1"/>
  <c r="L306" i="133"/>
  <c r="L312" i="133" s="1"/>
  <c r="K306" i="133"/>
  <c r="K312" i="133" s="1"/>
  <c r="J306" i="133"/>
  <c r="J312" i="133" s="1"/>
  <c r="I306" i="133"/>
  <c r="I312" i="133" s="1"/>
  <c r="H306" i="133"/>
  <c r="H312" i="133" s="1"/>
  <c r="G306" i="133"/>
  <c r="G312" i="133" s="1"/>
  <c r="M292" i="133"/>
  <c r="M293" i="133" s="1"/>
  <c r="L292" i="133"/>
  <c r="L293" i="133" s="1"/>
  <c r="K292" i="133"/>
  <c r="K293" i="133" s="1"/>
  <c r="J292" i="133"/>
  <c r="J293" i="133" s="1"/>
  <c r="I292" i="133"/>
  <c r="I293" i="133" s="1"/>
  <c r="H292" i="133"/>
  <c r="H293" i="133" s="1"/>
  <c r="G292" i="133"/>
  <c r="G293" i="133" s="1"/>
  <c r="M389" i="133"/>
  <c r="L389" i="133"/>
  <c r="K389" i="133"/>
  <c r="J389" i="133"/>
  <c r="I389" i="133"/>
  <c r="H389" i="133"/>
  <c r="G389" i="133"/>
  <c r="M386" i="133"/>
  <c r="L386" i="133"/>
  <c r="K386" i="133"/>
  <c r="J386" i="133"/>
  <c r="I386" i="133"/>
  <c r="H386" i="133"/>
  <c r="G386" i="133"/>
  <c r="M362" i="133" a="1"/>
  <c r="M362" i="133" s="1"/>
  <c r="L362" i="133" a="1"/>
  <c r="L362" i="133" s="1"/>
  <c r="K362" i="133" a="1"/>
  <c r="K362" i="133" s="1"/>
  <c r="J362" i="133" a="1"/>
  <c r="J362" i="133" s="1"/>
  <c r="I362" i="133" a="1"/>
  <c r="I362" i="133" s="1"/>
  <c r="H362" i="133" a="1"/>
  <c r="H362" i="133" s="1"/>
  <c r="G362" i="133" a="1"/>
  <c r="G362" i="133" s="1"/>
  <c r="M315" i="133"/>
  <c r="L315" i="133"/>
  <c r="K315" i="133"/>
  <c r="J315" i="133"/>
  <c r="I315" i="133"/>
  <c r="H315" i="133"/>
  <c r="G315" i="133"/>
  <c r="M290" i="133" a="1"/>
  <c r="M290" i="133" s="1"/>
  <c r="L290" i="133" a="1"/>
  <c r="L290" i="133" s="1"/>
  <c r="K290" i="133" a="1"/>
  <c r="K290" i="133" s="1"/>
  <c r="J290" i="133" a="1"/>
  <c r="J290" i="133" s="1"/>
  <c r="I290" i="133" a="1"/>
  <c r="I290" i="133" s="1"/>
  <c r="H290" i="133" a="1"/>
  <c r="H290" i="133" s="1"/>
  <c r="M289" i="133"/>
  <c r="L289" i="133"/>
  <c r="K289" i="133"/>
  <c r="J289" i="133"/>
  <c r="I289" i="133"/>
  <c r="H289" i="133"/>
  <c r="G290" i="133" a="1"/>
  <c r="G290" i="133" s="1"/>
  <c r="G289" i="133"/>
  <c r="F138" i="47" l="1"/>
  <c r="P54" i="155"/>
  <c r="Q54" i="155"/>
  <c r="W73" i="43" a="1"/>
  <c r="W73" i="43" l="1"/>
  <c r="Y83" i="59" s="1"/>
  <c r="X73" i="43" a="1"/>
  <c r="AQ73" i="43" a="1"/>
  <c r="Y168" i="59" l="1"/>
  <c r="Y158" i="59" s="1"/>
  <c r="AQ73" i="43"/>
  <c r="AS83" i="59" s="1"/>
  <c r="X73" i="43"/>
  <c r="Z83" i="59" s="1"/>
  <c r="AS168" i="59" l="1"/>
  <c r="AS158" i="59" s="1"/>
  <c r="Z168" i="59"/>
  <c r="Z158" i="59" s="1"/>
  <c r="Y73" i="43" a="1"/>
  <c r="Y73" i="43" l="1"/>
  <c r="AA83" i="59" s="1"/>
  <c r="AA168" i="59" s="1"/>
  <c r="AA158" i="59" s="1"/>
  <c r="B463" i="12"/>
  <c r="H65" i="75"/>
  <c r="H74" i="75" s="1"/>
  <c r="H64" i="75"/>
  <c r="H73" i="75" s="1"/>
  <c r="H62" i="75"/>
  <c r="H71" i="75" s="1"/>
  <c r="H61" i="75"/>
  <c r="H70" i="75" s="1"/>
  <c r="H60" i="75"/>
  <c r="H69" i="75" s="1"/>
  <c r="G212" i="54"/>
  <c r="G213" i="54"/>
  <c r="G214" i="54"/>
  <c r="G218" i="54"/>
  <c r="C463" i="12" l="1"/>
  <c r="M383" i="133" a="1"/>
  <c r="M383" i="133" s="1"/>
  <c r="L383" i="133" a="1"/>
  <c r="L383" i="133" s="1"/>
  <c r="K383" i="133" a="1"/>
  <c r="K383" i="133" s="1"/>
  <c r="J383" i="133" a="1"/>
  <c r="J383" i="133" s="1"/>
  <c r="I383" i="133" a="1"/>
  <c r="I383" i="133" s="1"/>
  <c r="H383" i="133" a="1"/>
  <c r="H383" i="133" s="1"/>
  <c r="M355" i="133" a="1"/>
  <c r="M355" i="133" s="1"/>
  <c r="L355" i="133" a="1"/>
  <c r="L355" i="133" s="1"/>
  <c r="K355" i="133" a="1"/>
  <c r="K355" i="133" s="1"/>
  <c r="J355" i="133" a="1"/>
  <c r="J355" i="133" s="1"/>
  <c r="I355" i="133" a="1"/>
  <c r="I355" i="133" s="1"/>
  <c r="H355" i="133" a="1"/>
  <c r="H355" i="133" s="1"/>
  <c r="M348" i="133" a="1"/>
  <c r="M348" i="133" s="1"/>
  <c r="L348" i="133" a="1"/>
  <c r="L348" i="133" s="1"/>
  <c r="K348" i="133" a="1"/>
  <c r="K348" i="133" s="1"/>
  <c r="J348" i="133" a="1"/>
  <c r="J348" i="133" s="1"/>
  <c r="I348" i="133" a="1"/>
  <c r="I348" i="133" s="1"/>
  <c r="H348" i="133" a="1"/>
  <c r="H348" i="133" s="1"/>
  <c r="M304" i="133"/>
  <c r="M295" i="133"/>
  <c r="L295" i="133"/>
  <c r="K295" i="133"/>
  <c r="J295" i="133"/>
  <c r="I295" i="133"/>
  <c r="H295" i="133"/>
  <c r="M280" i="133" a="1"/>
  <c r="M280" i="133" s="1"/>
  <c r="L280" i="133" a="1"/>
  <c r="L280" i="133" s="1"/>
  <c r="K280" i="133" a="1"/>
  <c r="K280" i="133" s="1"/>
  <c r="J280" i="133" a="1"/>
  <c r="J280" i="133" s="1"/>
  <c r="I280" i="133" a="1"/>
  <c r="I280" i="133" s="1"/>
  <c r="H280" i="133" a="1"/>
  <c r="H280" i="133" s="1"/>
  <c r="M279" i="133"/>
  <c r="L279" i="133"/>
  <c r="K279" i="133"/>
  <c r="J279" i="133"/>
  <c r="I279" i="133"/>
  <c r="H279" i="133"/>
  <c r="M278" i="133"/>
  <c r="M291" i="133" s="1"/>
  <c r="L278" i="133"/>
  <c r="L291" i="133" s="1"/>
  <c r="K278" i="133"/>
  <c r="K291" i="133" s="1"/>
  <c r="J278" i="133"/>
  <c r="J291" i="133" s="1"/>
  <c r="I278" i="133"/>
  <c r="I291" i="133" s="1"/>
  <c r="H278" i="133"/>
  <c r="H291" i="133" s="1"/>
  <c r="Z73" i="43" a="1"/>
  <c r="AR73" i="43" a="1"/>
  <c r="Z73" i="43" l="1"/>
  <c r="AB83" i="59" s="1"/>
  <c r="AB168" i="59" s="1"/>
  <c r="AB158" i="59" s="1"/>
  <c r="AR73" i="43"/>
  <c r="AT83" i="59" s="1"/>
  <c r="H304" i="133"/>
  <c r="I304" i="133"/>
  <c r="J304" i="133"/>
  <c r="K304" i="133"/>
  <c r="L304" i="133"/>
  <c r="AT168" i="59" l="1"/>
  <c r="AT158" i="59" s="1"/>
  <c r="M73" i="43" a="1"/>
  <c r="AS73" i="43" a="1"/>
  <c r="AS73" i="43" l="1"/>
  <c r="AU83" i="59" s="1"/>
  <c r="M73" i="43"/>
  <c r="O83" i="59" s="1"/>
  <c r="O77" i="44"/>
  <c r="M77" i="44"/>
  <c r="O5" i="75" s="1"/>
  <c r="L77" i="44"/>
  <c r="O112" i="44"/>
  <c r="N112" i="44"/>
  <c r="M112" i="44"/>
  <c r="L112" i="44"/>
  <c r="K112" i="44"/>
  <c r="N77" i="44"/>
  <c r="K77" i="44"/>
  <c r="O28" i="44"/>
  <c r="N28" i="44"/>
  <c r="M28" i="44"/>
  <c r="L28" i="44"/>
  <c r="K28" i="44"/>
  <c r="O24" i="44"/>
  <c r="N24" i="44"/>
  <c r="M24" i="44"/>
  <c r="L24" i="44"/>
  <c r="K24" i="44"/>
  <c r="O20" i="44"/>
  <c r="N20" i="44"/>
  <c r="M20" i="44"/>
  <c r="L20" i="44"/>
  <c r="K20" i="44"/>
  <c r="O19" i="44"/>
  <c r="N19" i="44"/>
  <c r="M19" i="44"/>
  <c r="L19" i="44"/>
  <c r="K19" i="44"/>
  <c r="O18" i="44"/>
  <c r="N18" i="44"/>
  <c r="M18" i="44"/>
  <c r="L18" i="44"/>
  <c r="K18" i="44"/>
  <c r="O16" i="44"/>
  <c r="N16" i="44"/>
  <c r="M16" i="44"/>
  <c r="L16" i="44"/>
  <c r="K16" i="44"/>
  <c r="O15" i="44"/>
  <c r="N15" i="44"/>
  <c r="M15" i="44"/>
  <c r="L15" i="44"/>
  <c r="K15" i="44"/>
  <c r="O14" i="44"/>
  <c r="N14" i="44"/>
  <c r="M14" i="44"/>
  <c r="L14" i="44"/>
  <c r="K14" i="44"/>
  <c r="AA73" i="43" a="1"/>
  <c r="AA73" i="43" l="1"/>
  <c r="AC83" i="59" s="1"/>
  <c r="AC168" i="59" s="1"/>
  <c r="AC158" i="59" s="1"/>
  <c r="O220" i="54"/>
  <c r="N22" i="56"/>
  <c r="O216" i="54"/>
  <c r="N18" i="56"/>
  <c r="N17" i="56"/>
  <c r="O215" i="54"/>
  <c r="N21" i="56"/>
  <c r="O219" i="54"/>
  <c r="M21" i="56"/>
  <c r="N219" i="54"/>
  <c r="M17" i="56"/>
  <c r="N215" i="54"/>
  <c r="J17" i="56"/>
  <c r="K215" i="54"/>
  <c r="J21" i="56"/>
  <c r="K219" i="54"/>
  <c r="AU168" i="59"/>
  <c r="AU158" i="59" s="1"/>
  <c r="O168" i="59"/>
  <c r="O158" i="59" s="1"/>
  <c r="O59" i="75"/>
  <c r="O68" i="75" s="1"/>
  <c r="M41" i="37"/>
  <c r="M42" i="37" s="1"/>
  <c r="M43" i="37" s="1"/>
  <c r="M54" i="37" s="1"/>
  <c r="M10" i="37"/>
  <c r="M11" i="37" s="1"/>
  <c r="O58" i="75"/>
  <c r="O67" i="75" s="1"/>
  <c r="O57" i="75"/>
  <c r="O66" i="75" s="1"/>
  <c r="N73" i="43" a="1"/>
  <c r="M95" i="37" l="1"/>
  <c r="M110" i="37"/>
  <c r="M131" i="37" s="1"/>
  <c r="M56" i="37"/>
  <c r="M61" i="37"/>
  <c r="M62" i="37"/>
  <c r="M105" i="37" s="1"/>
  <c r="M59" i="37"/>
  <c r="M97" i="37" s="1"/>
  <c r="M121" i="37" s="1"/>
  <c r="M63" i="37"/>
  <c r="M60" i="37"/>
  <c r="N73" i="43"/>
  <c r="P83" i="59" s="1"/>
  <c r="AT73" i="43" a="1"/>
  <c r="AB73" i="43" a="1"/>
  <c r="AB73" i="43" l="1"/>
  <c r="AD83" i="59" s="1"/>
  <c r="AD168" i="59" s="1"/>
  <c r="AD158" i="59" s="1"/>
  <c r="P168" i="59"/>
  <c r="P158" i="59" s="1"/>
  <c r="M128" i="37"/>
  <c r="M104" i="37"/>
  <c r="M96" i="37"/>
  <c r="M127" i="37"/>
  <c r="M106" i="37"/>
  <c r="M126" i="37"/>
  <c r="M103" i="37"/>
  <c r="AT73" i="43"/>
  <c r="AV83" i="59" s="1"/>
  <c r="O73" i="43" a="1"/>
  <c r="AV168" i="59" l="1"/>
  <c r="AV158" i="59" s="1"/>
  <c r="O73" i="43"/>
  <c r="Q83" i="59" s="1"/>
  <c r="G2" i="63"/>
  <c r="P73" i="43" a="1"/>
  <c r="AC73" i="43" a="1"/>
  <c r="AC73" i="43" l="1"/>
  <c r="AE83" i="59" s="1"/>
  <c r="AE168" i="59" s="1"/>
  <c r="AE158" i="59" s="1"/>
  <c r="Q168" i="59"/>
  <c r="Q158" i="59" s="1"/>
  <c r="P73" i="43"/>
  <c r="R83" i="59" s="1"/>
  <c r="R168" i="59" l="1"/>
  <c r="R158" i="59" s="1"/>
  <c r="Q73" i="43" a="1"/>
  <c r="AD73" i="43" a="1"/>
  <c r="AD73" i="43" l="1"/>
  <c r="AF83" i="59" s="1"/>
  <c r="AF168" i="59" s="1"/>
  <c r="AF158" i="59" s="1"/>
  <c r="Q73" i="43"/>
  <c r="S83" i="59" s="1"/>
  <c r="S168" i="59" s="1"/>
  <c r="S158" i="59" s="1"/>
  <c r="I85" i="63"/>
  <c r="H85" i="63"/>
  <c r="I61" i="63"/>
  <c r="I69" i="63" s="1"/>
  <c r="I109" i="63" s="1"/>
  <c r="I129" i="63" s="1"/>
  <c r="H61" i="63"/>
  <c r="H69" i="63" s="1"/>
  <c r="H109" i="63" s="1"/>
  <c r="H129" i="63" s="1"/>
  <c r="I60" i="63"/>
  <c r="I68" i="63" s="1"/>
  <c r="I112" i="63" s="1"/>
  <c r="I132" i="63" s="1"/>
  <c r="H60" i="63"/>
  <c r="H68" i="63" s="1"/>
  <c r="H112" i="63" s="1"/>
  <c r="H132" i="63" s="1"/>
  <c r="I59" i="63"/>
  <c r="I67" i="63" s="1"/>
  <c r="I111" i="63" s="1"/>
  <c r="I131" i="63" s="1"/>
  <c r="H59" i="63"/>
  <c r="H67" i="63" s="1"/>
  <c r="H111" i="63" s="1"/>
  <c r="H131" i="63" s="1"/>
  <c r="I54" i="63"/>
  <c r="I56" i="63" s="1"/>
  <c r="H54" i="63"/>
  <c r="H55" i="63" s="1"/>
  <c r="I48" i="63"/>
  <c r="I49" i="63" s="1"/>
  <c r="I98" i="63" s="1"/>
  <c r="I118" i="63" s="1"/>
  <c r="H48" i="63"/>
  <c r="H50" i="63" s="1"/>
  <c r="I45" i="63"/>
  <c r="I46" i="63" s="1"/>
  <c r="H45" i="63"/>
  <c r="H46" i="63" s="1"/>
  <c r="I42" i="63"/>
  <c r="I44" i="63" s="1"/>
  <c r="H42" i="63"/>
  <c r="H43" i="63" s="1"/>
  <c r="I39" i="63"/>
  <c r="I40" i="63" s="1"/>
  <c r="H39" i="63"/>
  <c r="H41" i="63" s="1"/>
  <c r="I33" i="63"/>
  <c r="I34" i="63" s="1"/>
  <c r="I35" i="63" s="1"/>
  <c r="H33" i="63"/>
  <c r="H34" i="63" s="1"/>
  <c r="H35" i="63" s="1"/>
  <c r="I28" i="63"/>
  <c r="I29" i="63" s="1"/>
  <c r="I30" i="63" s="1"/>
  <c r="H28" i="63"/>
  <c r="H29" i="63" s="1"/>
  <c r="H30" i="63" s="1"/>
  <c r="I25" i="63"/>
  <c r="H25" i="63"/>
  <c r="I23" i="63"/>
  <c r="I24" i="63" s="1"/>
  <c r="H23" i="63"/>
  <c r="H24" i="63" s="1"/>
  <c r="I9" i="63"/>
  <c r="H9" i="63"/>
  <c r="I3" i="63"/>
  <c r="I6" i="63" s="1"/>
  <c r="H3" i="63"/>
  <c r="H6" i="63" s="1"/>
  <c r="I2" i="63"/>
  <c r="I71" i="63" s="1"/>
  <c r="H2" i="63"/>
  <c r="H71" i="63" s="1"/>
  <c r="I1" i="63"/>
  <c r="H1" i="63"/>
  <c r="H6" i="47"/>
  <c r="H18" i="47" s="1"/>
  <c r="H19" i="47" s="1"/>
  <c r="G6" i="47"/>
  <c r="G10" i="47" s="1"/>
  <c r="F6" i="47"/>
  <c r="H118" i="47"/>
  <c r="G118" i="47"/>
  <c r="H117" i="47"/>
  <c r="G117" i="47"/>
  <c r="H116" i="47"/>
  <c r="G116" i="47"/>
  <c r="H111" i="47"/>
  <c r="G111" i="47"/>
  <c r="H107" i="47"/>
  <c r="H110" i="47" s="1"/>
  <c r="G107" i="47"/>
  <c r="G110" i="47" s="1"/>
  <c r="H95" i="47"/>
  <c r="G95" i="47"/>
  <c r="H91" i="47"/>
  <c r="H93" i="47" s="1"/>
  <c r="G91" i="47"/>
  <c r="G93" i="47" s="1"/>
  <c r="H86" i="47"/>
  <c r="H88" i="47" s="1"/>
  <c r="H137" i="47" s="1"/>
  <c r="G86" i="47"/>
  <c r="G88" i="47" s="1"/>
  <c r="G137" i="47" s="1"/>
  <c r="H85" i="47"/>
  <c r="H87" i="47" s="1"/>
  <c r="G85" i="47"/>
  <c r="G87" i="47" s="1"/>
  <c r="H84" i="47"/>
  <c r="G84" i="47"/>
  <c r="H80" i="47"/>
  <c r="H83" i="47" s="1"/>
  <c r="G80" i="47"/>
  <c r="G83" i="47" s="1"/>
  <c r="H77" i="47"/>
  <c r="G77" i="47"/>
  <c r="H76" i="47"/>
  <c r="G76" i="47"/>
  <c r="H75" i="47"/>
  <c r="G75" i="47"/>
  <c r="H74" i="47"/>
  <c r="G74" i="47"/>
  <c r="H73" i="47"/>
  <c r="H134" i="47" s="1"/>
  <c r="G73" i="47"/>
  <c r="G124" i="47" s="1"/>
  <c r="H72" i="47"/>
  <c r="H133" i="47" s="1"/>
  <c r="G72" i="47"/>
  <c r="G133" i="47" s="1"/>
  <c r="H71" i="47"/>
  <c r="H131" i="47" s="1"/>
  <c r="H150" i="47" s="1"/>
  <c r="G71" i="47"/>
  <c r="G131" i="47" s="1"/>
  <c r="G150" i="47" s="1"/>
  <c r="H70" i="47"/>
  <c r="G70" i="47"/>
  <c r="H69" i="47"/>
  <c r="G69" i="47"/>
  <c r="H63" i="47"/>
  <c r="H96" i="47" s="1"/>
  <c r="G63" i="47"/>
  <c r="G96" i="47" s="1"/>
  <c r="H60" i="47"/>
  <c r="H61" i="47" s="1"/>
  <c r="H62" i="47" s="1"/>
  <c r="G60" i="47"/>
  <c r="G61" i="47" s="1"/>
  <c r="G62" i="47" s="1"/>
  <c r="H58" i="47"/>
  <c r="H59" i="47" s="1"/>
  <c r="G58" i="47"/>
  <c r="G59" i="47" s="1"/>
  <c r="H53" i="47"/>
  <c r="H54" i="47" s="1"/>
  <c r="G53" i="47"/>
  <c r="G54" i="47" s="1"/>
  <c r="H47" i="47"/>
  <c r="H48" i="47" s="1"/>
  <c r="H122" i="47" s="1"/>
  <c r="G47" i="47"/>
  <c r="G48" i="47" s="1"/>
  <c r="G122" i="47" s="1"/>
  <c r="H43" i="47"/>
  <c r="G43" i="47"/>
  <c r="H41" i="47"/>
  <c r="G41" i="47"/>
  <c r="H37" i="47"/>
  <c r="G37" i="47"/>
  <c r="H33" i="47"/>
  <c r="G33" i="47"/>
  <c r="H26" i="47"/>
  <c r="H39" i="47" s="1"/>
  <c r="H40" i="47" s="1"/>
  <c r="G26" i="47"/>
  <c r="G39" i="47" s="1"/>
  <c r="G40" i="47" s="1"/>
  <c r="H14" i="47"/>
  <c r="H15" i="47" s="1"/>
  <c r="G14" i="47"/>
  <c r="G15" i="47" s="1"/>
  <c r="H103" i="63" l="1"/>
  <c r="H123" i="63" s="1"/>
  <c r="H47" i="63"/>
  <c r="H10" i="47"/>
  <c r="H4" i="63"/>
  <c r="H8" i="63" s="1"/>
  <c r="I4" i="63"/>
  <c r="I8" i="63" s="1"/>
  <c r="I58" i="63" s="1"/>
  <c r="G18" i="47"/>
  <c r="G19" i="47" s="1"/>
  <c r="H44" i="63"/>
  <c r="H106" i="63" s="1"/>
  <c r="H126" i="63" s="1"/>
  <c r="I47" i="63"/>
  <c r="H56" i="63"/>
  <c r="H58" i="63"/>
  <c r="H57" i="63"/>
  <c r="H52" i="63" s="1"/>
  <c r="H53" i="63" s="1"/>
  <c r="H107" i="63" s="1"/>
  <c r="H127" i="63" s="1"/>
  <c r="H114" i="63"/>
  <c r="H134" i="63" s="1"/>
  <c r="H49" i="63"/>
  <c r="H98" i="63" s="1"/>
  <c r="H118" i="63" s="1"/>
  <c r="I78" i="63"/>
  <c r="I114" i="63"/>
  <c r="I134" i="63" s="1"/>
  <c r="H51" i="63"/>
  <c r="H63" i="63"/>
  <c r="H100" i="63" s="1"/>
  <c r="H120" i="63" s="1"/>
  <c r="H80" i="63"/>
  <c r="H78" i="63"/>
  <c r="I51" i="63"/>
  <c r="I108" i="63" s="1"/>
  <c r="I128" i="63" s="1"/>
  <c r="I63" i="63"/>
  <c r="I100" i="63" s="1"/>
  <c r="I120" i="63" s="1"/>
  <c r="I80" i="63"/>
  <c r="H82" i="63"/>
  <c r="I82" i="63"/>
  <c r="H65" i="63"/>
  <c r="H105" i="63" s="1"/>
  <c r="H125" i="63" s="1"/>
  <c r="I41" i="63"/>
  <c r="I65" i="63"/>
  <c r="I105" i="63" s="1"/>
  <c r="I125" i="63" s="1"/>
  <c r="I50" i="63"/>
  <c r="H73" i="63"/>
  <c r="H75" i="63"/>
  <c r="H40" i="63"/>
  <c r="H102" i="63" s="1"/>
  <c r="H122" i="63" s="1"/>
  <c r="I43" i="63"/>
  <c r="I102" i="63" s="1"/>
  <c r="I122" i="63" s="1"/>
  <c r="I55" i="63"/>
  <c r="H5" i="63"/>
  <c r="I5" i="63"/>
  <c r="I75" i="63"/>
  <c r="I73" i="63"/>
  <c r="H100" i="47"/>
  <c r="H99" i="47"/>
  <c r="H101" i="47" s="1"/>
  <c r="H102" i="47" s="1"/>
  <c r="H140" i="47" s="1"/>
  <c r="H120" i="47"/>
  <c r="H136" i="47" s="1"/>
  <c r="G115" i="47"/>
  <c r="G143" i="47" s="1"/>
  <c r="G155" i="47" s="1"/>
  <c r="G56" i="47"/>
  <c r="G57" i="47" s="1"/>
  <c r="H119" i="47"/>
  <c r="H130" i="47" s="1"/>
  <c r="H121" i="47"/>
  <c r="H141" i="47" s="1"/>
  <c r="H153" i="47" s="1"/>
  <c r="H124" i="47"/>
  <c r="H56" i="47"/>
  <c r="H57" i="47" s="1"/>
  <c r="H21" i="47"/>
  <c r="H23" i="47"/>
  <c r="H109" i="47" s="1"/>
  <c r="H94" i="47"/>
  <c r="H97" i="47" s="1"/>
  <c r="H98" i="47" s="1"/>
  <c r="H139" i="47" s="1"/>
  <c r="H152" i="47" s="1"/>
  <c r="G120" i="47"/>
  <c r="G136" i="47" s="1"/>
  <c r="G134" i="47"/>
  <c r="G119" i="47"/>
  <c r="G130" i="47" s="1"/>
  <c r="G121" i="47"/>
  <c r="G141" i="47" s="1"/>
  <c r="G100" i="47"/>
  <c r="G21" i="47"/>
  <c r="G23" i="47"/>
  <c r="G94" i="47"/>
  <c r="G97" i="47" s="1"/>
  <c r="G98" i="47" s="1"/>
  <c r="G139" i="47" s="1"/>
  <c r="G152" i="47" s="1"/>
  <c r="G99" i="47"/>
  <c r="H123" i="47"/>
  <c r="H128" i="47"/>
  <c r="H148" i="47" s="1"/>
  <c r="G109" i="47"/>
  <c r="G128" i="47"/>
  <c r="G148" i="47" s="1"/>
  <c r="G123" i="47"/>
  <c r="H64" i="47"/>
  <c r="H65" i="47" s="1"/>
  <c r="H66" i="47" s="1"/>
  <c r="H67" i="47" s="1"/>
  <c r="G28" i="47"/>
  <c r="G125" i="47" s="1"/>
  <c r="G144" i="47" s="1"/>
  <c r="H31" i="47"/>
  <c r="G11" i="47"/>
  <c r="G126" i="47" s="1"/>
  <c r="G145" i="47" s="1"/>
  <c r="H115" i="47"/>
  <c r="H143" i="47" s="1"/>
  <c r="H155" i="47" s="1"/>
  <c r="G64" i="47"/>
  <c r="G65" i="47" s="1"/>
  <c r="G66" i="47" s="1"/>
  <c r="G67" i="47" s="1"/>
  <c r="H28" i="47"/>
  <c r="H125" i="47" s="1"/>
  <c r="H144" i="47" s="1"/>
  <c r="G35" i="47"/>
  <c r="H11" i="47"/>
  <c r="H126" i="47" s="1"/>
  <c r="H145" i="47" s="1"/>
  <c r="H35" i="47"/>
  <c r="G31" i="47"/>
  <c r="R73" i="43" a="1"/>
  <c r="AE73" i="43" a="1"/>
  <c r="AE73" i="43" l="1"/>
  <c r="AG83" i="59" s="1"/>
  <c r="AG168" i="59" s="1"/>
  <c r="AG158" i="59" s="1"/>
  <c r="R73" i="43"/>
  <c r="T83" i="59" s="1"/>
  <c r="T168" i="59" s="1"/>
  <c r="T158" i="59" s="1"/>
  <c r="I106" i="63"/>
  <c r="I126" i="63" s="1"/>
  <c r="H108" i="63"/>
  <c r="H128" i="63" s="1"/>
  <c r="I57" i="63"/>
  <c r="I52" i="63" s="1"/>
  <c r="I53" i="63" s="1"/>
  <c r="I107" i="63" s="1"/>
  <c r="I127" i="63" s="1"/>
  <c r="I103" i="63"/>
  <c r="I123" i="63" s="1"/>
  <c r="H76" i="63"/>
  <c r="H95" i="63" s="1"/>
  <c r="H94" i="63" s="1"/>
  <c r="I76" i="63"/>
  <c r="I95" i="63" s="1"/>
  <c r="I115" i="63" s="1"/>
  <c r="H97" i="63"/>
  <c r="H117" i="63" s="1"/>
  <c r="H101" i="63"/>
  <c r="H121" i="63" s="1"/>
  <c r="H96" i="63"/>
  <c r="H116" i="63" s="1"/>
  <c r="I113" i="63"/>
  <c r="I133" i="63" s="1"/>
  <c r="I62" i="63"/>
  <c r="I99" i="63" s="1"/>
  <c r="I119" i="63" s="1"/>
  <c r="I66" i="63"/>
  <c r="I110" i="63" s="1"/>
  <c r="I130" i="63" s="1"/>
  <c r="I64" i="63"/>
  <c r="I104" i="63" s="1"/>
  <c r="I124" i="63" s="1"/>
  <c r="H62" i="63"/>
  <c r="H99" i="63" s="1"/>
  <c r="H119" i="63" s="1"/>
  <c r="H66" i="63"/>
  <c r="H110" i="63" s="1"/>
  <c r="H130" i="63" s="1"/>
  <c r="H113" i="63"/>
  <c r="H133" i="63" s="1"/>
  <c r="H64" i="63"/>
  <c r="H104" i="63" s="1"/>
  <c r="H124" i="63" s="1"/>
  <c r="I97" i="63"/>
  <c r="I117" i="63" s="1"/>
  <c r="I96" i="63"/>
  <c r="I116" i="63" s="1"/>
  <c r="I101" i="63"/>
  <c r="I121" i="63" s="1"/>
  <c r="G101" i="47"/>
  <c r="G102" i="47" s="1"/>
  <c r="G140" i="47" s="1"/>
  <c r="G153" i="47" s="1"/>
  <c r="G32" i="47"/>
  <c r="G132" i="47"/>
  <c r="G114" i="47"/>
  <c r="G138" i="47" s="1"/>
  <c r="G151" i="47" s="1"/>
  <c r="G108" i="47"/>
  <c r="G142" i="47" s="1"/>
  <c r="G154" i="47" s="1"/>
  <c r="G113" i="47"/>
  <c r="G135" i="47" s="1"/>
  <c r="G112" i="47"/>
  <c r="G129" i="47" s="1"/>
  <c r="G149" i="47" s="1"/>
  <c r="G36" i="47"/>
  <c r="G127" i="47"/>
  <c r="G146" i="47" s="1"/>
  <c r="H36" i="47"/>
  <c r="H127" i="47"/>
  <c r="H146" i="47" s="1"/>
  <c r="H32" i="47"/>
  <c r="H132" i="47"/>
  <c r="H108" i="47"/>
  <c r="H142" i="47" s="1"/>
  <c r="H154" i="47" s="1"/>
  <c r="H114" i="47"/>
  <c r="H138" i="47" s="1"/>
  <c r="H151" i="47" s="1"/>
  <c r="H112" i="47"/>
  <c r="H129" i="47" s="1"/>
  <c r="H149" i="47" s="1"/>
  <c r="H113" i="47"/>
  <c r="H135" i="47" s="1"/>
  <c r="B632" i="12"/>
  <c r="C632" i="12" l="1"/>
  <c r="D632" i="12"/>
  <c r="H115" i="63"/>
  <c r="I94" i="63"/>
  <c r="G147" i="47"/>
  <c r="H147" i="47"/>
  <c r="A111" i="78"/>
  <c r="G111" i="78" s="1"/>
  <c r="A110" i="78"/>
  <c r="D110" i="78" s="1"/>
  <c r="A109" i="78"/>
  <c r="G109" i="78" s="1"/>
  <c r="A108" i="78"/>
  <c r="E108" i="78" s="1"/>
  <c r="A107" i="78"/>
  <c r="G107" i="78" s="1"/>
  <c r="A106" i="78"/>
  <c r="G106" i="78" s="1"/>
  <c r="A105" i="78"/>
  <c r="F105" i="78" s="1"/>
  <c r="A104" i="78"/>
  <c r="G104" i="78" s="1"/>
  <c r="A103" i="78"/>
  <c r="B103" i="78" s="1"/>
  <c r="A102" i="78"/>
  <c r="G102" i="78" s="1"/>
  <c r="A101" i="78"/>
  <c r="C101" i="78" s="1"/>
  <c r="A100" i="78"/>
  <c r="G100" i="78" s="1"/>
  <c r="A99" i="78"/>
  <c r="G99" i="78" s="1"/>
  <c r="A98" i="78"/>
  <c r="D98" i="78" s="1"/>
  <c r="A97" i="78"/>
  <c r="G97" i="78" s="1"/>
  <c r="A96" i="78"/>
  <c r="E96" i="78" s="1"/>
  <c r="A95" i="78"/>
  <c r="G95" i="78" s="1"/>
  <c r="A94" i="78"/>
  <c r="E94" i="78" s="1"/>
  <c r="AF73" i="43" a="1"/>
  <c r="T73" i="43" a="1"/>
  <c r="S73" i="43" a="1"/>
  <c r="AU73" i="43" a="1"/>
  <c r="AU73" i="43" l="1"/>
  <c r="AW83" i="59" s="1"/>
  <c r="AW168" i="59" s="1"/>
  <c r="AW158" i="59" s="1"/>
  <c r="AF73" i="43"/>
  <c r="AH83" i="59" s="1"/>
  <c r="AH168" i="59" s="1"/>
  <c r="AH158" i="59" s="1"/>
  <c r="T73" i="43"/>
  <c r="V83" i="59" s="1"/>
  <c r="V168" i="59" s="1"/>
  <c r="V158" i="59" s="1"/>
  <c r="S73" i="43"/>
  <c r="U83" i="59" s="1"/>
  <c r="U168" i="59" s="1"/>
  <c r="U158" i="59" s="1"/>
  <c r="G105" i="78"/>
  <c r="G110" i="78"/>
  <c r="E109" i="78"/>
  <c r="B110" i="78"/>
  <c r="G98" i="78"/>
  <c r="E97" i="78"/>
  <c r="B98" i="78"/>
  <c r="E98" i="78"/>
  <c r="E110" i="78"/>
  <c r="F98" i="78"/>
  <c r="F110" i="78"/>
  <c r="C102" i="78"/>
  <c r="D103" i="78"/>
  <c r="C103" i="78"/>
  <c r="E103" i="78"/>
  <c r="F103" i="78"/>
  <c r="G103" i="78"/>
  <c r="F96" i="78"/>
  <c r="D101" i="78"/>
  <c r="B106" i="78"/>
  <c r="F108" i="78"/>
  <c r="D96" i="78"/>
  <c r="G96" i="78"/>
  <c r="E101" i="78"/>
  <c r="D94" i="78"/>
  <c r="B99" i="78"/>
  <c r="F101" i="78"/>
  <c r="D106" i="78"/>
  <c r="B111" i="78"/>
  <c r="C96" i="78"/>
  <c r="B101" i="78"/>
  <c r="E106" i="78"/>
  <c r="C111" i="78"/>
  <c r="D108" i="78"/>
  <c r="B94" i="78"/>
  <c r="C106" i="78"/>
  <c r="F94" i="78"/>
  <c r="D99" i="78"/>
  <c r="B104" i="78"/>
  <c r="F106" i="78"/>
  <c r="D111" i="78"/>
  <c r="G101" i="78"/>
  <c r="G94" i="78"/>
  <c r="E99" i="78"/>
  <c r="C104" i="78"/>
  <c r="E111" i="78"/>
  <c r="B96" i="78"/>
  <c r="C94" i="78"/>
  <c r="G108" i="78"/>
  <c r="B97" i="78"/>
  <c r="F99" i="78"/>
  <c r="D104" i="78"/>
  <c r="B109" i="78"/>
  <c r="F111" i="78"/>
  <c r="C99" i="78"/>
  <c r="C97" i="78"/>
  <c r="E104" i="78"/>
  <c r="C109" i="78"/>
  <c r="D97" i="78"/>
  <c r="B102" i="78"/>
  <c r="F104" i="78"/>
  <c r="D109" i="78"/>
  <c r="B95" i="78"/>
  <c r="F97" i="78"/>
  <c r="D102" i="78"/>
  <c r="B107" i="78"/>
  <c r="F109" i="78"/>
  <c r="C107" i="78"/>
  <c r="B108" i="78"/>
  <c r="C95" i="78"/>
  <c r="E102" i="78"/>
  <c r="D95" i="78"/>
  <c r="B100" i="78"/>
  <c r="F102" i="78"/>
  <c r="D107" i="78"/>
  <c r="E95" i="78"/>
  <c r="F95" i="78"/>
  <c r="D100" i="78"/>
  <c r="B105" i="78"/>
  <c r="F107" i="78"/>
  <c r="C100" i="78"/>
  <c r="E107" i="78"/>
  <c r="E100" i="78"/>
  <c r="C105" i="78"/>
  <c r="C108" i="78"/>
  <c r="F100" i="78"/>
  <c r="D105" i="78"/>
  <c r="C98" i="78"/>
  <c r="E105" i="78"/>
  <c r="C110" i="78"/>
  <c r="G15" i="121" l="1"/>
  <c r="G14" i="121"/>
  <c r="AZ222" i="58" l="1"/>
  <c r="AZ195" i="58"/>
  <c r="AZ193" i="58"/>
  <c r="AZ192" i="58"/>
  <c r="AZ190" i="58"/>
  <c r="AZ189" i="58"/>
  <c r="AZ206" i="58" s="1"/>
  <c r="AZ214" i="58" s="1"/>
  <c r="AZ187" i="58"/>
  <c r="AZ186" i="58"/>
  <c r="AZ183" i="58"/>
  <c r="AZ182" i="58"/>
  <c r="AZ181" i="58"/>
  <c r="AZ176" i="58"/>
  <c r="AZ178" i="58" s="1"/>
  <c r="AZ172" i="58"/>
  <c r="AZ174" i="58" s="1"/>
  <c r="AZ171" i="58"/>
  <c r="AZ170" i="58"/>
  <c r="AZ164" i="58"/>
  <c r="AZ166" i="58" s="1"/>
  <c r="AZ154" i="58"/>
  <c r="AZ122" i="58"/>
  <c r="AZ133" i="58" s="1"/>
  <c r="AZ36" i="58"/>
  <c r="AZ29" i="58"/>
  <c r="AZ28" i="58"/>
  <c r="AZ19" i="58"/>
  <c r="AZ16" i="58"/>
  <c r="AZ37" i="58" s="1"/>
  <c r="AZ15" i="58"/>
  <c r="AZ14" i="58"/>
  <c r="AZ38" i="58" s="1"/>
  <c r="AZ41" i="58" s="1"/>
  <c r="AZ7" i="58"/>
  <c r="AZ6" i="58"/>
  <c r="AZ4" i="58"/>
  <c r="AZ3" i="58"/>
  <c r="AZ1" i="58"/>
  <c r="AX222" i="58"/>
  <c r="AX195" i="58"/>
  <c r="AX193" i="58"/>
  <c r="AX192" i="58"/>
  <c r="AX190" i="58"/>
  <c r="AX189" i="58"/>
  <c r="AX187" i="58"/>
  <c r="AX186" i="58"/>
  <c r="AX183" i="58"/>
  <c r="AX182" i="58"/>
  <c r="AX181" i="58"/>
  <c r="AX176" i="58"/>
  <c r="AX178" i="58" s="1"/>
  <c r="AX172" i="58"/>
  <c r="AX174" i="58" s="1"/>
  <c r="AX171" i="58"/>
  <c r="AX170" i="58"/>
  <c r="AX164" i="58"/>
  <c r="AX166" i="58" s="1"/>
  <c r="AX154" i="58"/>
  <c r="AX122" i="58"/>
  <c r="AX133" i="58" s="1"/>
  <c r="AX36" i="58"/>
  <c r="AX29" i="58"/>
  <c r="AX28" i="58"/>
  <c r="AX19" i="58"/>
  <c r="AX16" i="58"/>
  <c r="AX37" i="58" s="1"/>
  <c r="AX15" i="58"/>
  <c r="AX14" i="58"/>
  <c r="AX38" i="58" s="1"/>
  <c r="AX41" i="58" s="1"/>
  <c r="AX7" i="58"/>
  <c r="AX6" i="58"/>
  <c r="AX3" i="58"/>
  <c r="AX1" i="58"/>
  <c r="AZ143" i="59"/>
  <c r="AZ142" i="59"/>
  <c r="AZ141" i="59"/>
  <c r="AZ140" i="59"/>
  <c r="AZ139" i="59"/>
  <c r="AZ138" i="59"/>
  <c r="AZ136" i="59"/>
  <c r="AZ135" i="59"/>
  <c r="AZ134" i="59"/>
  <c r="AZ7" i="59"/>
  <c r="AZ6" i="59"/>
  <c r="AZ4" i="59"/>
  <c r="AZ3" i="59"/>
  <c r="AZ1" i="59"/>
  <c r="AX143" i="59"/>
  <c r="AX142" i="59"/>
  <c r="AX141" i="59"/>
  <c r="AX140" i="59"/>
  <c r="AX139" i="59"/>
  <c r="AX138" i="59"/>
  <c r="AX136" i="59"/>
  <c r="AX135" i="59"/>
  <c r="AX134" i="59"/>
  <c r="AX7" i="59"/>
  <c r="AX6" i="59"/>
  <c r="AX3" i="59"/>
  <c r="AX1" i="59"/>
  <c r="AX206" i="58" l="1"/>
  <c r="AX214" i="58" s="1"/>
  <c r="AZ188" i="58"/>
  <c r="AZ205" i="58" s="1"/>
  <c r="AZ213" i="58" s="1"/>
  <c r="AX184" i="58"/>
  <c r="AX185" i="58" s="1"/>
  <c r="AX188" i="58"/>
  <c r="AX205" i="58" s="1"/>
  <c r="AX213" i="58" s="1"/>
  <c r="AZ184" i="58"/>
  <c r="AZ185" i="58" s="1"/>
  <c r="AZ198" i="58"/>
  <c r="AZ202" i="58" s="1"/>
  <c r="AZ84" i="58"/>
  <c r="AZ59" i="58"/>
  <c r="AZ177" i="58"/>
  <c r="AZ179" i="58" s="1"/>
  <c r="AZ180" i="58" s="1"/>
  <c r="AZ156" i="58"/>
  <c r="AZ158" i="58" s="1"/>
  <c r="AZ60" i="58"/>
  <c r="AZ61" i="58"/>
  <c r="AZ134" i="58"/>
  <c r="AZ62" i="58"/>
  <c r="AZ135" i="58"/>
  <c r="AZ63" i="58"/>
  <c r="AZ136" i="58"/>
  <c r="AZ160" i="58"/>
  <c r="AZ64" i="58"/>
  <c r="AZ137" i="58"/>
  <c r="AZ65" i="58"/>
  <c r="AZ138" i="58"/>
  <c r="AZ66" i="58"/>
  <c r="AZ139" i="58"/>
  <c r="AZ67" i="58"/>
  <c r="AZ140" i="58"/>
  <c r="AZ68" i="58"/>
  <c r="AZ141" i="58"/>
  <c r="AZ165" i="58"/>
  <c r="AZ69" i="58"/>
  <c r="AZ142" i="58"/>
  <c r="AZ143" i="58"/>
  <c r="AZ167" i="58"/>
  <c r="AZ168" i="58"/>
  <c r="AZ194" i="58"/>
  <c r="AZ196" i="58" s="1"/>
  <c r="AZ197" i="58" s="1"/>
  <c r="AZ173" i="58"/>
  <c r="AZ175" i="58" s="1"/>
  <c r="AX198" i="58"/>
  <c r="AX202" i="58" s="1"/>
  <c r="AX84" i="58"/>
  <c r="AX59" i="58"/>
  <c r="AX177" i="58"/>
  <c r="AX179" i="58" s="1"/>
  <c r="AX180" i="58" s="1"/>
  <c r="AX156" i="58"/>
  <c r="AX157" i="58" s="1"/>
  <c r="AX60" i="58"/>
  <c r="AX61" i="58"/>
  <c r="AX134" i="58"/>
  <c r="AX62" i="58"/>
  <c r="AX135" i="58"/>
  <c r="AX63" i="58"/>
  <c r="AX136" i="58"/>
  <c r="AX160" i="58"/>
  <c r="AX64" i="58"/>
  <c r="AX137" i="58"/>
  <c r="AX65" i="58"/>
  <c r="AX138" i="58"/>
  <c r="AX66" i="58"/>
  <c r="AX139" i="58"/>
  <c r="AX67" i="58"/>
  <c r="AX140" i="58"/>
  <c r="AX68" i="58"/>
  <c r="AX141" i="58"/>
  <c r="AX165" i="58"/>
  <c r="AX69" i="58"/>
  <c r="AX142" i="58"/>
  <c r="AX143" i="58"/>
  <c r="AX167" i="58"/>
  <c r="AX168" i="58"/>
  <c r="AX194" i="58"/>
  <c r="AX196" i="58" s="1"/>
  <c r="AX197" i="58" s="1"/>
  <c r="AX173" i="58"/>
  <c r="AX175" i="58" s="1"/>
  <c r="F73" i="43" a="1"/>
  <c r="F73" i="43" l="1"/>
  <c r="H83" i="59" s="1"/>
  <c r="AX158" i="58"/>
  <c r="AX159" i="58" s="1"/>
  <c r="AX219" i="58" s="1"/>
  <c r="AX209" i="58" s="1"/>
  <c r="AZ157" i="58"/>
  <c r="AZ159" i="58" s="1"/>
  <c r="AZ219" i="58" s="1"/>
  <c r="AZ209" i="58" s="1"/>
  <c r="AZ169" i="58"/>
  <c r="AZ162" i="58"/>
  <c r="AZ161" i="58"/>
  <c r="AX162" i="58"/>
  <c r="AX161" i="58"/>
  <c r="AX169" i="58"/>
  <c r="H168" i="59" l="1"/>
  <c r="H158" i="59" s="1"/>
  <c r="AX163" i="58"/>
  <c r="AX217" i="58" s="1"/>
  <c r="AX207" i="58" s="1"/>
  <c r="AZ163" i="58"/>
  <c r="AZ221" i="58"/>
  <c r="AZ211" i="58" s="1"/>
  <c r="AZ191" i="58"/>
  <c r="AX221" i="58"/>
  <c r="AX211" i="58" s="1"/>
  <c r="AX191" i="58"/>
  <c r="G73" i="43" a="1"/>
  <c r="G73" i="43" l="1"/>
  <c r="I83" i="59" s="1"/>
  <c r="AX220" i="58"/>
  <c r="AX210" i="58" s="1"/>
  <c r="AX218" i="58"/>
  <c r="AX208" i="58" s="1"/>
  <c r="AX40" i="58"/>
  <c r="AZ220" i="58"/>
  <c r="AZ210" i="58" s="1"/>
  <c r="AZ218" i="58"/>
  <c r="AZ208" i="58" s="1"/>
  <c r="AZ217" i="58"/>
  <c r="AZ207" i="58" s="1"/>
  <c r="AZ40" i="58"/>
  <c r="I168" i="59" l="1"/>
  <c r="I158" i="59" s="1"/>
  <c r="H675" i="120"/>
  <c r="I675" i="120"/>
  <c r="I675" i="12"/>
  <c r="J112" i="44"/>
  <c r="J77" i="44"/>
  <c r="L5" i="75" s="1"/>
  <c r="J28" i="44"/>
  <c r="J20" i="44"/>
  <c r="J19" i="44"/>
  <c r="J18" i="44"/>
  <c r="J16" i="44"/>
  <c r="J15" i="44"/>
  <c r="J14" i="44"/>
  <c r="I77" i="44"/>
  <c r="K5" i="75" s="1"/>
  <c r="I112" i="44"/>
  <c r="K34" i="75" s="1"/>
  <c r="K37" i="75" s="1"/>
  <c r="I28" i="44"/>
  <c r="I20" i="44"/>
  <c r="I19" i="44"/>
  <c r="I18" i="44"/>
  <c r="I16" i="44"/>
  <c r="I15" i="44"/>
  <c r="I14" i="44"/>
  <c r="L59" i="75" l="1"/>
  <c r="L68" i="75" s="1"/>
  <c r="J10" i="37"/>
  <c r="J11" i="37" s="1"/>
  <c r="L58" i="75"/>
  <c r="L67" i="75" s="1"/>
  <c r="J41" i="37"/>
  <c r="J42" i="37" s="1"/>
  <c r="J43" i="37" s="1"/>
  <c r="L57" i="75"/>
  <c r="L66" i="75" s="1"/>
  <c r="I10" i="37"/>
  <c r="I11" i="37" s="1"/>
  <c r="I41" i="37"/>
  <c r="I42" i="37" s="1"/>
  <c r="I43" i="37" s="1"/>
  <c r="K59" i="75"/>
  <c r="K68" i="75" s="1"/>
  <c r="K58" i="75"/>
  <c r="K67" i="75" s="1"/>
  <c r="K57" i="75"/>
  <c r="K66" i="75" s="1"/>
  <c r="I17" i="56"/>
  <c r="J215" i="54"/>
  <c r="I21" i="56"/>
  <c r="J219" i="54"/>
  <c r="I216" i="54"/>
  <c r="H18" i="56"/>
  <c r="I220" i="54"/>
  <c r="H22" i="56"/>
  <c r="J675" i="12"/>
  <c r="J675" i="120"/>
  <c r="G355" i="133" a="1"/>
  <c r="G355" i="133" s="1"/>
  <c r="J54" i="37" l="1"/>
  <c r="J61" i="37"/>
  <c r="J59" i="37"/>
  <c r="J97" i="37" s="1"/>
  <c r="J121" i="37" s="1"/>
  <c r="J62" i="37"/>
  <c r="J105" i="37" s="1"/>
  <c r="J63" i="37"/>
  <c r="J60" i="37"/>
  <c r="I54" i="37"/>
  <c r="I63" i="37"/>
  <c r="I59" i="37"/>
  <c r="I97" i="37" s="1"/>
  <c r="I121" i="37" s="1"/>
  <c r="I62" i="37"/>
  <c r="I105" i="37" s="1"/>
  <c r="I61" i="37"/>
  <c r="I60" i="37"/>
  <c r="H28" i="44"/>
  <c r="G28" i="44"/>
  <c r="F29" i="56" s="1"/>
  <c r="F30" i="56" s="1"/>
  <c r="G383" i="133" a="1"/>
  <c r="G383" i="133" s="1"/>
  <c r="G348" i="133" a="1"/>
  <c r="G348" i="133" s="1"/>
  <c r="G295" i="133"/>
  <c r="G280" i="133" a="1"/>
  <c r="G280" i="133" s="1"/>
  <c r="G279" i="133"/>
  <c r="G278" i="133"/>
  <c r="G291" i="133" s="1"/>
  <c r="G240" i="54"/>
  <c r="G251" i="54" s="1"/>
  <c r="G236" i="54"/>
  <c r="G228" i="54"/>
  <c r="G227" i="54"/>
  <c r="G226" i="54"/>
  <c r="G225" i="54"/>
  <c r="G224" i="54"/>
  <c r="G223" i="54"/>
  <c r="G211" i="54"/>
  <c r="G197" i="54"/>
  <c r="G192" i="54"/>
  <c r="G179" i="54"/>
  <c r="G174" i="54"/>
  <c r="G175" i="54" s="1"/>
  <c r="G176" i="54" s="1"/>
  <c r="G238" i="54" s="1"/>
  <c r="G249" i="54" s="1"/>
  <c r="G165" i="54"/>
  <c r="G169" i="54" s="1"/>
  <c r="G158" i="54"/>
  <c r="G152" i="54"/>
  <c r="G151" i="54"/>
  <c r="G147" i="54"/>
  <c r="G146" i="54"/>
  <c r="G141" i="54"/>
  <c r="G140" i="54"/>
  <c r="G150" i="54" s="1"/>
  <c r="G139" i="54"/>
  <c r="G131" i="54"/>
  <c r="G126" i="54"/>
  <c r="G125" i="54"/>
  <c r="G124" i="54"/>
  <c r="G123" i="54"/>
  <c r="G122" i="54"/>
  <c r="G119" i="54"/>
  <c r="G118" i="54"/>
  <c r="G117" i="54"/>
  <c r="G116" i="54"/>
  <c r="G112" i="54"/>
  <c r="G111" i="54"/>
  <c r="G110" i="54"/>
  <c r="G109" i="54"/>
  <c r="G108" i="54"/>
  <c r="G105" i="54"/>
  <c r="G104" i="54"/>
  <c r="G103" i="54"/>
  <c r="G102" i="54"/>
  <c r="G101" i="54"/>
  <c r="G98" i="54"/>
  <c r="G97" i="54"/>
  <c r="G96" i="54"/>
  <c r="G95" i="54"/>
  <c r="G94" i="54"/>
  <c r="G91" i="54"/>
  <c r="G89" i="54" s="1"/>
  <c r="G90" i="54"/>
  <c r="G88" i="54"/>
  <c r="G87" i="54"/>
  <c r="G86" i="54"/>
  <c r="G83" i="54"/>
  <c r="G82" i="54"/>
  <c r="G81" i="54"/>
  <c r="G80" i="54"/>
  <c r="G79" i="54"/>
  <c r="G76" i="54"/>
  <c r="G75" i="54"/>
  <c r="G74" i="54"/>
  <c r="G73" i="54"/>
  <c r="G72" i="54"/>
  <c r="G69" i="54"/>
  <c r="G68" i="54"/>
  <c r="G67" i="54"/>
  <c r="G66" i="54"/>
  <c r="G65" i="54"/>
  <c r="G62" i="54"/>
  <c r="G61" i="54"/>
  <c r="G60" i="54"/>
  <c r="G59" i="54"/>
  <c r="G58" i="54"/>
  <c r="G55" i="54"/>
  <c r="G54" i="54"/>
  <c r="G53" i="54"/>
  <c r="G52" i="54"/>
  <c r="G51" i="54"/>
  <c r="G48" i="54"/>
  <c r="G47" i="54"/>
  <c r="G46" i="54"/>
  <c r="G45" i="54"/>
  <c r="G44" i="54"/>
  <c r="G41" i="54"/>
  <c r="G40" i="54"/>
  <c r="G39" i="54"/>
  <c r="G38" i="54"/>
  <c r="G33" i="54"/>
  <c r="G31" i="54"/>
  <c r="G29" i="54"/>
  <c r="G30" i="54" s="1"/>
  <c r="G24" i="54"/>
  <c r="G25" i="54" s="1"/>
  <c r="G1" i="54"/>
  <c r="I56" i="75"/>
  <c r="I55" i="75"/>
  <c r="I54" i="75"/>
  <c r="I53" i="75"/>
  <c r="I52" i="75"/>
  <c r="I51" i="75"/>
  <c r="I50" i="75"/>
  <c r="I49" i="75"/>
  <c r="I47" i="75"/>
  <c r="I46" i="75"/>
  <c r="I44" i="75"/>
  <c r="I43" i="75"/>
  <c r="I42" i="75"/>
  <c r="I40" i="75"/>
  <c r="I39" i="75"/>
  <c r="I38" i="75"/>
  <c r="I36" i="75"/>
  <c r="I35" i="75"/>
  <c r="I32" i="75"/>
  <c r="I31" i="75"/>
  <c r="I30" i="75"/>
  <c r="I29" i="75"/>
  <c r="I28" i="75"/>
  <c r="I26" i="75"/>
  <c r="I25" i="75"/>
  <c r="I24" i="75"/>
  <c r="I23" i="75"/>
  <c r="I22" i="75"/>
  <c r="I21" i="75"/>
  <c r="I18" i="75"/>
  <c r="I17" i="75"/>
  <c r="I16" i="75"/>
  <c r="I14" i="75"/>
  <c r="I13" i="75"/>
  <c r="I12" i="75"/>
  <c r="I11" i="75"/>
  <c r="I10" i="75"/>
  <c r="I9" i="75"/>
  <c r="I8" i="75"/>
  <c r="I7" i="75"/>
  <c r="I4" i="75"/>
  <c r="I3" i="75"/>
  <c r="I1" i="75"/>
  <c r="G90" i="37"/>
  <c r="G84" i="37"/>
  <c r="G89" i="37" s="1"/>
  <c r="G118" i="37" s="1"/>
  <c r="G83" i="37"/>
  <c r="G88" i="37" s="1"/>
  <c r="G117" i="37" s="1"/>
  <c r="G81" i="37"/>
  <c r="G78" i="37"/>
  <c r="G77" i="37"/>
  <c r="G76" i="37"/>
  <c r="G75" i="37"/>
  <c r="G72" i="37"/>
  <c r="G74" i="37" s="1"/>
  <c r="G68" i="37"/>
  <c r="G70" i="37" s="1"/>
  <c r="G64" i="37"/>
  <c r="G49" i="37"/>
  <c r="G53" i="37" s="1"/>
  <c r="G48" i="37"/>
  <c r="G57" i="37" s="1"/>
  <c r="G47" i="37"/>
  <c r="G46" i="37"/>
  <c r="G55" i="37" s="1"/>
  <c r="G45" i="37"/>
  <c r="G44" i="37"/>
  <c r="G39" i="37"/>
  <c r="G23" i="37"/>
  <c r="G27" i="37" s="1"/>
  <c r="G22" i="37"/>
  <c r="G31" i="37" s="1"/>
  <c r="G21" i="37"/>
  <c r="G20" i="37"/>
  <c r="G19" i="37"/>
  <c r="G18" i="37"/>
  <c r="G13" i="37"/>
  <c r="G7" i="37"/>
  <c r="G6" i="37"/>
  <c r="G5" i="37"/>
  <c r="G4" i="37"/>
  <c r="G3" i="37"/>
  <c r="G1" i="37"/>
  <c r="F87" i="56"/>
  <c r="F89" i="56" s="1"/>
  <c r="F76" i="56"/>
  <c r="F73" i="56"/>
  <c r="F71" i="56"/>
  <c r="F75" i="56" s="1"/>
  <c r="F68" i="56"/>
  <c r="F66" i="56"/>
  <c r="F70" i="56" s="1"/>
  <c r="F63" i="56"/>
  <c r="F61" i="56"/>
  <c r="F62" i="56" s="1"/>
  <c r="F64" i="56" s="1"/>
  <c r="F58" i="56"/>
  <c r="F56" i="56"/>
  <c r="F60" i="56" s="1"/>
  <c r="F53" i="56"/>
  <c r="F51" i="56"/>
  <c r="F55" i="56" s="1"/>
  <c r="F48" i="56"/>
  <c r="F46" i="56"/>
  <c r="F50" i="56" s="1"/>
  <c r="F41" i="56"/>
  <c r="F44" i="56" s="1"/>
  <c r="F36" i="56"/>
  <c r="F38" i="56" s="1"/>
  <c r="F26" i="56"/>
  <c r="F25" i="56"/>
  <c r="F24" i="56"/>
  <c r="F20" i="56"/>
  <c r="F16" i="56"/>
  <c r="F15" i="56"/>
  <c r="F14" i="56"/>
  <c r="F11" i="56"/>
  <c r="F9" i="56"/>
  <c r="F7" i="56"/>
  <c r="F6" i="56"/>
  <c r="F5" i="56"/>
  <c r="F4" i="56"/>
  <c r="F3" i="56"/>
  <c r="F1" i="56"/>
  <c r="F8" i="56"/>
  <c r="F13" i="56" s="1"/>
  <c r="H112" i="44"/>
  <c r="G112" i="44"/>
  <c r="I34" i="75" s="1"/>
  <c r="H77" i="44"/>
  <c r="J5" i="75" s="1"/>
  <c r="G77" i="44"/>
  <c r="G24" i="44"/>
  <c r="F27" i="56" s="1"/>
  <c r="H20" i="44"/>
  <c r="G20" i="44"/>
  <c r="G221" i="54" s="1"/>
  <c r="H19" i="44"/>
  <c r="G19" i="44"/>
  <c r="F22" i="56" s="1"/>
  <c r="H18" i="44"/>
  <c r="G18" i="44"/>
  <c r="H16" i="44"/>
  <c r="G16" i="44"/>
  <c r="G217" i="54" s="1"/>
  <c r="H15" i="44"/>
  <c r="G15" i="44"/>
  <c r="G216" i="54" s="1"/>
  <c r="H14" i="44"/>
  <c r="G14" i="44"/>
  <c r="G215" i="54" s="1"/>
  <c r="E154" i="43"/>
  <c r="E153" i="43"/>
  <c r="E152" i="43"/>
  <c r="G38" i="59" s="1"/>
  <c r="E151" i="43"/>
  <c r="G48" i="59" s="1"/>
  <c r="E150" i="43"/>
  <c r="G36" i="59" s="1"/>
  <c r="E149" i="43"/>
  <c r="G46" i="59" s="1"/>
  <c r="E148" i="43"/>
  <c r="E147" i="43"/>
  <c r="E146" i="43"/>
  <c r="E145" i="43"/>
  <c r="E144" i="43"/>
  <c r="G10" i="59" s="1"/>
  <c r="E143" i="43"/>
  <c r="G13" i="59" s="1"/>
  <c r="E23" i="43"/>
  <c r="E21" i="43"/>
  <c r="E19" i="43"/>
  <c r="E2" i="43"/>
  <c r="F2" i="43" s="1"/>
  <c r="J22" i="155"/>
  <c r="I22" i="155"/>
  <c r="H22" i="155"/>
  <c r="G22" i="155"/>
  <c r="E22" i="155"/>
  <c r="D22" i="155"/>
  <c r="C22" i="155"/>
  <c r="J21" i="155"/>
  <c r="I21" i="155"/>
  <c r="H21" i="155"/>
  <c r="G21" i="155"/>
  <c r="E21" i="155"/>
  <c r="D21" i="155"/>
  <c r="C21" i="155"/>
  <c r="J20" i="155"/>
  <c r="I20" i="155"/>
  <c r="H20" i="155"/>
  <c r="G20" i="155"/>
  <c r="E20" i="155"/>
  <c r="D20" i="155"/>
  <c r="C20" i="155"/>
  <c r="J19" i="155"/>
  <c r="I19" i="155"/>
  <c r="H19" i="155"/>
  <c r="G19" i="155"/>
  <c r="E19" i="155"/>
  <c r="D19" i="155"/>
  <c r="C19" i="155"/>
  <c r="J18" i="155"/>
  <c r="I18" i="155"/>
  <c r="H18" i="155"/>
  <c r="G18" i="155"/>
  <c r="E18" i="155"/>
  <c r="D18" i="155"/>
  <c r="C18" i="155"/>
  <c r="I10" i="155"/>
  <c r="G10" i="155"/>
  <c r="I9" i="155"/>
  <c r="G9" i="155"/>
  <c r="I8" i="155"/>
  <c r="G8" i="155"/>
  <c r="I87" i="155"/>
  <c r="K87" i="155" s="1"/>
  <c r="H87" i="155"/>
  <c r="J87" i="155" s="1"/>
  <c r="G87" i="155"/>
  <c r="L87" i="155" s="1"/>
  <c r="C87" i="155"/>
  <c r="E87" i="155" s="1"/>
  <c r="B87" i="155"/>
  <c r="F87" i="155" s="1"/>
  <c r="L81" i="155"/>
  <c r="K81" i="155"/>
  <c r="F81" i="155"/>
  <c r="E81" i="155"/>
  <c r="G64" i="155"/>
  <c r="H64" i="155" s="1"/>
  <c r="G59" i="155"/>
  <c r="H59" i="155" s="1"/>
  <c r="D50" i="155"/>
  <c r="C50" i="155"/>
  <c r="L49" i="155"/>
  <c r="L50" i="155" s="1"/>
  <c r="K49" i="155"/>
  <c r="K50" i="155" s="1"/>
  <c r="J49" i="155"/>
  <c r="J50" i="155" s="1"/>
  <c r="I49" i="155"/>
  <c r="I50" i="155" s="1"/>
  <c r="H49" i="155"/>
  <c r="H50" i="155" s="1"/>
  <c r="G49" i="155"/>
  <c r="G50" i="155" s="1"/>
  <c r="F49" i="155"/>
  <c r="F50" i="155" s="1"/>
  <c r="E49" i="155"/>
  <c r="E50" i="155" s="1"/>
  <c r="D49" i="155"/>
  <c r="C49" i="155"/>
  <c r="K40" i="155"/>
  <c r="J40" i="155"/>
  <c r="I40" i="155"/>
  <c r="H40" i="155"/>
  <c r="G40" i="155"/>
  <c r="L39" i="155"/>
  <c r="L40" i="155" s="1"/>
  <c r="K39" i="155"/>
  <c r="J39" i="155"/>
  <c r="I39" i="155"/>
  <c r="H39" i="155"/>
  <c r="G39" i="155"/>
  <c r="F39" i="155"/>
  <c r="F40" i="155" s="1"/>
  <c r="E39" i="155"/>
  <c r="E40" i="155" s="1"/>
  <c r="D39" i="155"/>
  <c r="D40" i="155" s="1"/>
  <c r="C39" i="155"/>
  <c r="C40" i="155" s="1"/>
  <c r="J33" i="155"/>
  <c r="K22" i="155"/>
  <c r="F22" i="155"/>
  <c r="K21" i="155"/>
  <c r="F21" i="155"/>
  <c r="K20" i="155"/>
  <c r="F20" i="155"/>
  <c r="K19" i="155"/>
  <c r="F19" i="155"/>
  <c r="K18" i="155"/>
  <c r="F18" i="155"/>
  <c r="F67" i="43" a="1"/>
  <c r="F63" i="43" a="1"/>
  <c r="F70" i="43" a="1"/>
  <c r="F66" i="43" a="1"/>
  <c r="F64" i="43" a="1"/>
  <c r="E6" i="43" a="1"/>
  <c r="F6" i="43" a="1"/>
  <c r="F69" i="43" a="1"/>
  <c r="F68" i="43" a="1"/>
  <c r="F72" i="43" a="1"/>
  <c r="F65" i="43" a="1"/>
  <c r="F71" i="43" a="1"/>
  <c r="F1" i="43" a="1"/>
  <c r="F3" i="43" a="1"/>
  <c r="E7" i="43" a="1"/>
  <c r="F4" i="43" a="1"/>
  <c r="F5" i="43" a="1"/>
  <c r="E5" i="43" a="1"/>
  <c r="F7" i="43" a="1"/>
  <c r="J128" i="37" l="1"/>
  <c r="J104" i="37"/>
  <c r="J96" i="37"/>
  <c r="J106" i="37"/>
  <c r="J127" i="37"/>
  <c r="J126" i="37"/>
  <c r="J103" i="37"/>
  <c r="J95" i="37"/>
  <c r="J110" i="37"/>
  <c r="J131" i="37" s="1"/>
  <c r="I104" i="37"/>
  <c r="I128" i="37"/>
  <c r="I126" i="37"/>
  <c r="I103" i="37"/>
  <c r="I96" i="37"/>
  <c r="I127" i="37"/>
  <c r="I106" i="37"/>
  <c r="I95" i="37"/>
  <c r="I110" i="37"/>
  <c r="I131" i="37" s="1"/>
  <c r="F64" i="43"/>
  <c r="F7" i="43"/>
  <c r="H6" i="59" s="1"/>
  <c r="F5" i="43"/>
  <c r="F4" i="43"/>
  <c r="F3" i="43"/>
  <c r="F1" i="43"/>
  <c r="H1" i="59" s="1"/>
  <c r="F6" i="43"/>
  <c r="F63" i="43"/>
  <c r="H67" i="59" s="1"/>
  <c r="F69" i="43"/>
  <c r="H74" i="59" s="1"/>
  <c r="F67" i="43"/>
  <c r="H72" i="59" s="1"/>
  <c r="F65" i="43"/>
  <c r="H69" i="59" s="1"/>
  <c r="F68" i="43"/>
  <c r="H73" i="59" s="1"/>
  <c r="F66" i="43"/>
  <c r="H71" i="59" s="1"/>
  <c r="F71" i="43"/>
  <c r="H76" i="59" s="1"/>
  <c r="F70" i="43"/>
  <c r="F72" i="43"/>
  <c r="H82" i="59" s="1"/>
  <c r="H166" i="59" s="1"/>
  <c r="H156" i="59" s="1"/>
  <c r="G2" i="43"/>
  <c r="F21" i="56"/>
  <c r="G219" i="54"/>
  <c r="F79" i="56"/>
  <c r="F78" i="56"/>
  <c r="I64" i="75"/>
  <c r="I73" i="75" s="1"/>
  <c r="G220" i="54"/>
  <c r="I2" i="75"/>
  <c r="I5" i="75" s="1"/>
  <c r="G2" i="37"/>
  <c r="G8" i="37" s="1"/>
  <c r="F18" i="56"/>
  <c r="F2" i="56"/>
  <c r="G80" i="37"/>
  <c r="G99" i="37" s="1"/>
  <c r="G79" i="37"/>
  <c r="G111" i="37" s="1"/>
  <c r="G132" i="37" s="1"/>
  <c r="G82" i="37"/>
  <c r="G119" i="37" s="1"/>
  <c r="G133" i="37" s="1"/>
  <c r="G73" i="37"/>
  <c r="G129" i="37" s="1"/>
  <c r="G178" i="54"/>
  <c r="G180" i="54" s="1"/>
  <c r="G235" i="54"/>
  <c r="G244" i="54" s="1"/>
  <c r="G255" i="54" s="1"/>
  <c r="I48" i="75"/>
  <c r="I61" i="75" s="1"/>
  <c r="I70" i="75" s="1"/>
  <c r="I65" i="75"/>
  <c r="I74" i="75" s="1"/>
  <c r="I27" i="75"/>
  <c r="G9" i="37"/>
  <c r="G14" i="37"/>
  <c r="F52" i="56"/>
  <c r="F54" i="56" s="1"/>
  <c r="F91" i="56"/>
  <c r="F31" i="56"/>
  <c r="F32" i="56" s="1"/>
  <c r="F33" i="56" s="1"/>
  <c r="F102" i="56" s="1"/>
  <c r="F39" i="56"/>
  <c r="F65" i="56"/>
  <c r="G65" i="37"/>
  <c r="G112" i="37" s="1"/>
  <c r="I41" i="75"/>
  <c r="F47" i="56"/>
  <c r="F49" i="56" s="1"/>
  <c r="G71" i="37"/>
  <c r="G114" i="37" s="1"/>
  <c r="G91" i="37"/>
  <c r="G94" i="37" s="1"/>
  <c r="G115" i="37" s="1"/>
  <c r="I15" i="75"/>
  <c r="I62" i="75" s="1"/>
  <c r="I71" i="75" s="1"/>
  <c r="I45" i="75"/>
  <c r="G2" i="54"/>
  <c r="I37" i="75"/>
  <c r="I33" i="75"/>
  <c r="F90" i="56"/>
  <c r="I60" i="75"/>
  <c r="I69" i="75" s="1"/>
  <c r="G143" i="54"/>
  <c r="G3" i="54"/>
  <c r="G5" i="54" s="1"/>
  <c r="G160" i="54"/>
  <c r="G182" i="54" s="1"/>
  <c r="G183" i="54" s="1"/>
  <c r="G188" i="54" s="1"/>
  <c r="G234" i="54"/>
  <c r="G230" i="54"/>
  <c r="G237" i="54" s="1"/>
  <c r="G248" i="54" s="1"/>
  <c r="G148" i="54"/>
  <c r="G156" i="54" s="1"/>
  <c r="G229" i="54"/>
  <c r="G232" i="54" s="1"/>
  <c r="G149" i="54"/>
  <c r="G157" i="54" s="1"/>
  <c r="G167" i="54"/>
  <c r="G168" i="54" s="1"/>
  <c r="F10" i="56"/>
  <c r="F12" i="56" s="1"/>
  <c r="F113" i="56" s="1"/>
  <c r="F17" i="56"/>
  <c r="F23" i="56"/>
  <c r="F19" i="56"/>
  <c r="F28" i="56"/>
  <c r="F112" i="56" s="1"/>
  <c r="G304" i="133"/>
  <c r="G166" i="54"/>
  <c r="G233" i="54"/>
  <c r="G24" i="37"/>
  <c r="G40" i="37"/>
  <c r="G25" i="37"/>
  <c r="G26" i="37"/>
  <c r="G50" i="37"/>
  <c r="G66" i="37"/>
  <c r="G67" i="37" s="1"/>
  <c r="G113" i="37" s="1"/>
  <c r="G51" i="37"/>
  <c r="G12" i="37"/>
  <c r="G52" i="37"/>
  <c r="G69" i="37"/>
  <c r="F72" i="56"/>
  <c r="F74" i="56" s="1"/>
  <c r="F57" i="56"/>
  <c r="F59" i="56" s="1"/>
  <c r="F42" i="56"/>
  <c r="F45" i="56" s="1"/>
  <c r="F104" i="56" s="1"/>
  <c r="Y104" i="56" s="1"/>
  <c r="Z104" i="56" s="1"/>
  <c r="F43" i="56"/>
  <c r="F67" i="56"/>
  <c r="F69" i="56" s="1"/>
  <c r="F37" i="56"/>
  <c r="F77" i="56"/>
  <c r="F88" i="56"/>
  <c r="E6" i="43"/>
  <c r="E7" i="43"/>
  <c r="E5" i="43"/>
  <c r="G4" i="59" s="1"/>
  <c r="D87" i="155"/>
  <c r="G65" i="43" a="1"/>
  <c r="G1" i="43" a="1"/>
  <c r="G70" i="43" a="1"/>
  <c r="G4" i="43" a="1"/>
  <c r="G7" i="43" a="1"/>
  <c r="G72" i="43" a="1"/>
  <c r="G69" i="43" a="1"/>
  <c r="E4" i="43" a="1"/>
  <c r="G67" i="43" a="1"/>
  <c r="G6" i="43" a="1"/>
  <c r="G3" i="43" a="1"/>
  <c r="G66" i="43" a="1"/>
  <c r="G64" i="43" a="1"/>
  <c r="G63" i="43" a="1"/>
  <c r="G5" i="43" a="1"/>
  <c r="G71" i="43" a="1"/>
  <c r="G68" i="43" a="1"/>
  <c r="H75" i="59" l="1"/>
  <c r="H2" i="58"/>
  <c r="H2" i="59"/>
  <c r="H3" i="58"/>
  <c r="H3" i="59"/>
  <c r="H4" i="58"/>
  <c r="H4" i="59"/>
  <c r="H59" i="59"/>
  <c r="H58" i="59"/>
  <c r="H57" i="59"/>
  <c r="H56" i="59"/>
  <c r="H1" i="60"/>
  <c r="H1" i="58"/>
  <c r="H5" i="60"/>
  <c r="H6" i="58"/>
  <c r="H2" i="60"/>
  <c r="H3" i="60"/>
  <c r="H4" i="60"/>
  <c r="I1" i="61"/>
  <c r="G6" i="58"/>
  <c r="G160" i="58" s="1"/>
  <c r="G6" i="59"/>
  <c r="G42" i="59"/>
  <c r="G47" i="59"/>
  <c r="G23" i="59"/>
  <c r="G52" i="59"/>
  <c r="G28" i="59"/>
  <c r="G33" i="59"/>
  <c r="G43" i="59"/>
  <c r="G53" i="59"/>
  <c r="G54" i="59"/>
  <c r="G35" i="59"/>
  <c r="G45" i="59"/>
  <c r="G50" i="59"/>
  <c r="G55" i="59"/>
  <c r="G34" i="59"/>
  <c r="G22" i="59"/>
  <c r="G19" i="59"/>
  <c r="G51" i="59"/>
  <c r="G29" i="59"/>
  <c r="G25" i="59"/>
  <c r="G20" i="59"/>
  <c r="G27" i="59"/>
  <c r="G37" i="59"/>
  <c r="G40" i="59"/>
  <c r="G17" i="59"/>
  <c r="G44" i="59"/>
  <c r="G41" i="59"/>
  <c r="G18" i="59"/>
  <c r="G30" i="59"/>
  <c r="G24" i="59"/>
  <c r="G32" i="59"/>
  <c r="G4" i="60"/>
  <c r="G4" i="58"/>
  <c r="G5" i="60"/>
  <c r="F8" i="43"/>
  <c r="G69" i="43"/>
  <c r="I74" i="59" s="1"/>
  <c r="G63" i="43"/>
  <c r="I67" i="59" s="1"/>
  <c r="G6" i="43"/>
  <c r="G1" i="43"/>
  <c r="I1" i="59" s="1"/>
  <c r="G64" i="43"/>
  <c r="G7" i="43"/>
  <c r="I6" i="59" s="1"/>
  <c r="G3" i="43"/>
  <c r="I2" i="59" s="1"/>
  <c r="G4" i="43"/>
  <c r="I3" i="59" s="1"/>
  <c r="G5" i="43"/>
  <c r="I4" i="59" s="1"/>
  <c r="G65" i="43"/>
  <c r="I69" i="59" s="1"/>
  <c r="G68" i="43"/>
  <c r="I73" i="59" s="1"/>
  <c r="G67" i="43"/>
  <c r="I72" i="59" s="1"/>
  <c r="G66" i="43"/>
  <c r="I71" i="59" s="1"/>
  <c r="G70" i="43"/>
  <c r="G71" i="43"/>
  <c r="I76" i="59" s="1"/>
  <c r="G72" i="43"/>
  <c r="I82" i="59" s="1"/>
  <c r="I166" i="59" s="1"/>
  <c r="I156" i="59" s="1"/>
  <c r="H2" i="43"/>
  <c r="F10" i="43"/>
  <c r="H8" i="58" s="1"/>
  <c r="F11" i="43"/>
  <c r="F118" i="56"/>
  <c r="F109" i="56"/>
  <c r="G107" i="37"/>
  <c r="G86" i="37"/>
  <c r="G108" i="37" s="1"/>
  <c r="G38" i="37"/>
  <c r="G87" i="37"/>
  <c r="G116" i="37" s="1"/>
  <c r="G85" i="37"/>
  <c r="G101" i="37" s="1"/>
  <c r="F80" i="56"/>
  <c r="F105" i="56" s="1"/>
  <c r="F40" i="56"/>
  <c r="F103" i="56" s="1"/>
  <c r="G92" i="37"/>
  <c r="G102" i="37" s="1"/>
  <c r="F35" i="56"/>
  <c r="F34" i="56"/>
  <c r="G231" i="54"/>
  <c r="G159" i="54"/>
  <c r="F92" i="56"/>
  <c r="F93" i="56" s="1"/>
  <c r="F106" i="56" s="1"/>
  <c r="I19" i="75"/>
  <c r="I20" i="75" s="1"/>
  <c r="I63" i="75" s="1"/>
  <c r="I72" i="75" s="1"/>
  <c r="G120" i="37"/>
  <c r="G134" i="37" s="1"/>
  <c r="G93" i="37"/>
  <c r="G109" i="37" s="1"/>
  <c r="G153" i="54"/>
  <c r="G155" i="54" s="1"/>
  <c r="G161" i="54"/>
  <c r="G162" i="54" s="1"/>
  <c r="G239" i="54"/>
  <c r="G250" i="54" s="1"/>
  <c r="G58" i="37"/>
  <c r="G124" i="37"/>
  <c r="G100" i="37"/>
  <c r="G32" i="37"/>
  <c r="E8" i="43"/>
  <c r="E4" i="43"/>
  <c r="G3" i="59" s="1"/>
  <c r="H1" i="43" a="1"/>
  <c r="I59" i="59" l="1"/>
  <c r="I58" i="59"/>
  <c r="I57" i="59"/>
  <c r="I56" i="59"/>
  <c r="H7" i="58"/>
  <c r="H7" i="59"/>
  <c r="H84" i="59" s="1"/>
  <c r="H51" i="59"/>
  <c r="H27" i="59"/>
  <c r="H50" i="59"/>
  <c r="H53" i="59"/>
  <c r="H37" i="59"/>
  <c r="H25" i="59"/>
  <c r="H41" i="59"/>
  <c r="H24" i="59"/>
  <c r="H29" i="59"/>
  <c r="H47" i="59"/>
  <c r="H35" i="59"/>
  <c r="H23" i="59"/>
  <c r="H17" i="59"/>
  <c r="H34" i="59"/>
  <c r="H22" i="59"/>
  <c r="H45" i="59"/>
  <c r="H33" i="59"/>
  <c r="H44" i="59"/>
  <c r="H32" i="59"/>
  <c r="H20" i="59"/>
  <c r="H55" i="59"/>
  <c r="H43" i="59"/>
  <c r="H19" i="59"/>
  <c r="H54" i="59"/>
  <c r="H42" i="59"/>
  <c r="H30" i="59"/>
  <c r="H18" i="59"/>
  <c r="H52" i="59"/>
  <c r="H40" i="59"/>
  <c r="H28" i="59"/>
  <c r="I51" i="59"/>
  <c r="I27" i="59"/>
  <c r="I50" i="59"/>
  <c r="I37" i="59"/>
  <c r="I25" i="59"/>
  <c r="I24" i="59"/>
  <c r="I47" i="59"/>
  <c r="I35" i="59"/>
  <c r="I23" i="59"/>
  <c r="I34" i="59"/>
  <c r="I22" i="59"/>
  <c r="I45" i="59"/>
  <c r="I33" i="59"/>
  <c r="I44" i="59"/>
  <c r="I32" i="59"/>
  <c r="I20" i="59"/>
  <c r="I55" i="59"/>
  <c r="I43" i="59"/>
  <c r="I19" i="59"/>
  <c r="I54" i="59"/>
  <c r="I42" i="59"/>
  <c r="I30" i="59"/>
  <c r="I18" i="59"/>
  <c r="I53" i="59"/>
  <c r="I41" i="59"/>
  <c r="I29" i="59"/>
  <c r="I17" i="59"/>
  <c r="I52" i="59"/>
  <c r="I40" i="59"/>
  <c r="I28" i="59"/>
  <c r="I75" i="59"/>
  <c r="H9" i="58"/>
  <c r="H10" i="58" s="1"/>
  <c r="H160" i="58"/>
  <c r="H82" i="58"/>
  <c r="I3" i="60"/>
  <c r="I3" i="58"/>
  <c r="I2" i="60"/>
  <c r="I41" i="60" s="1"/>
  <c r="I2" i="58"/>
  <c r="I5" i="60"/>
  <c r="I6" i="58"/>
  <c r="I4" i="60"/>
  <c r="I4" i="58"/>
  <c r="I1" i="60"/>
  <c r="I1" i="58"/>
  <c r="H41" i="60"/>
  <c r="H37" i="60"/>
  <c r="H38" i="60" s="1"/>
  <c r="H39" i="60" s="1"/>
  <c r="H40" i="60"/>
  <c r="H8" i="60"/>
  <c r="F111" i="56"/>
  <c r="F117" i="56" s="1"/>
  <c r="J1" i="61"/>
  <c r="G7" i="58"/>
  <c r="G7" i="59"/>
  <c r="G57" i="59"/>
  <c r="G58" i="59"/>
  <c r="G59" i="59"/>
  <c r="G56" i="59"/>
  <c r="F12" i="43"/>
  <c r="F9" i="43" s="1"/>
  <c r="G161" i="58"/>
  <c r="G162" i="58"/>
  <c r="G3" i="60"/>
  <c r="G3" i="58"/>
  <c r="G8" i="43"/>
  <c r="H1" i="43"/>
  <c r="G10" i="43"/>
  <c r="G11" i="43"/>
  <c r="I2" i="43"/>
  <c r="F108" i="56"/>
  <c r="G130" i="37"/>
  <c r="G123" i="37"/>
  <c r="G125" i="37"/>
  <c r="F82" i="56"/>
  <c r="F85" i="56" s="1"/>
  <c r="Y103" i="56"/>
  <c r="G164" i="54"/>
  <c r="G170" i="54"/>
  <c r="G98" i="37"/>
  <c r="G122" i="37" s="1"/>
  <c r="F94" i="56"/>
  <c r="I1" i="43" a="1"/>
  <c r="H8" i="59" l="1"/>
  <c r="H5" i="58"/>
  <c r="H12" i="58" s="1"/>
  <c r="H11" i="58" s="1"/>
  <c r="H113" i="58" s="1"/>
  <c r="H5" i="59"/>
  <c r="H68" i="59"/>
  <c r="H160" i="59"/>
  <c r="H170" i="59" s="1"/>
  <c r="I7" i="58"/>
  <c r="I7" i="59"/>
  <c r="I8" i="60"/>
  <c r="I40" i="60"/>
  <c r="I37" i="60"/>
  <c r="I38" i="60" s="1"/>
  <c r="I39" i="60" s="1"/>
  <c r="I8" i="58"/>
  <c r="I160" i="58"/>
  <c r="I82" i="58"/>
  <c r="H162" i="58"/>
  <c r="H161" i="58"/>
  <c r="G163" i="58"/>
  <c r="G217" i="58" s="1"/>
  <c r="G207" i="58" s="1"/>
  <c r="K1" i="61"/>
  <c r="G84" i="59"/>
  <c r="G12" i="43"/>
  <c r="G9" i="43" s="1"/>
  <c r="I1" i="43"/>
  <c r="J2" i="43"/>
  <c r="F86" i="56"/>
  <c r="F96" i="56" s="1"/>
  <c r="F101" i="56" s="1"/>
  <c r="G246" i="54"/>
  <c r="G257" i="54" s="1"/>
  <c r="G243" i="54"/>
  <c r="G254" i="54" s="1"/>
  <c r="J1" i="43" a="1"/>
  <c r="I5" i="58" l="1"/>
  <c r="I12" i="58" s="1"/>
  <c r="I5" i="59"/>
  <c r="H70" i="59"/>
  <c r="H167" i="59" s="1"/>
  <c r="H157" i="59" s="1"/>
  <c r="H15" i="59"/>
  <c r="H12" i="59"/>
  <c r="H21" i="59"/>
  <c r="H31" i="59"/>
  <c r="H49" i="59"/>
  <c r="H39" i="59"/>
  <c r="H16" i="59"/>
  <c r="H26" i="59"/>
  <c r="I84" i="59"/>
  <c r="H163" i="58"/>
  <c r="I162" i="58"/>
  <c r="I161" i="58"/>
  <c r="H125" i="58"/>
  <c r="H136" i="58" s="1"/>
  <c r="H97" i="58"/>
  <c r="H124" i="58"/>
  <c r="H135" i="58" s="1"/>
  <c r="H88" i="58"/>
  <c r="H87" i="58" s="1"/>
  <c r="H123" i="58"/>
  <c r="H13" i="58"/>
  <c r="H20" i="58" s="1"/>
  <c r="H31" i="58"/>
  <c r="I9" i="58"/>
  <c r="I8" i="59" s="1"/>
  <c r="H17" i="58"/>
  <c r="H18" i="58" s="1"/>
  <c r="H24" i="58" s="1"/>
  <c r="G220" i="58"/>
  <c r="G210" i="58" s="1"/>
  <c r="F115" i="56"/>
  <c r="F110" i="56"/>
  <c r="F114" i="56"/>
  <c r="F107" i="56"/>
  <c r="G218" i="58"/>
  <c r="G208" i="58" s="1"/>
  <c r="G40" i="58"/>
  <c r="L1" i="61"/>
  <c r="G160" i="59"/>
  <c r="G170" i="59" s="1"/>
  <c r="J1" i="43"/>
  <c r="K2" i="43"/>
  <c r="F90" i="59"/>
  <c r="F89" i="59"/>
  <c r="F88" i="59"/>
  <c r="F87" i="59"/>
  <c r="F86" i="59"/>
  <c r="F85" i="59"/>
  <c r="BP90" i="59"/>
  <c r="BP89" i="59"/>
  <c r="BP88" i="59"/>
  <c r="BQ87" i="59"/>
  <c r="BP87" i="59"/>
  <c r="BO87" i="59"/>
  <c r="BP86" i="59"/>
  <c r="BQ85" i="59"/>
  <c r="BP85" i="59"/>
  <c r="BO85" i="59"/>
  <c r="K1" i="43" a="1"/>
  <c r="H164" i="59" l="1"/>
  <c r="H154" i="59" s="1"/>
  <c r="H165" i="59"/>
  <c r="H155" i="59" s="1"/>
  <c r="I68" i="59"/>
  <c r="I160" i="59"/>
  <c r="I170" i="59" s="1"/>
  <c r="H171" i="59"/>
  <c r="H161" i="59" s="1"/>
  <c r="H163" i="59"/>
  <c r="H153" i="59" s="1"/>
  <c r="H162" i="59"/>
  <c r="H152" i="59" s="1"/>
  <c r="I15" i="59"/>
  <c r="I26" i="59"/>
  <c r="I49" i="59"/>
  <c r="I12" i="59"/>
  <c r="I16" i="59"/>
  <c r="I21" i="59"/>
  <c r="I39" i="59"/>
  <c r="I31" i="59"/>
  <c r="I10" i="58"/>
  <c r="I11" i="58" s="1"/>
  <c r="I113" i="58" s="1"/>
  <c r="H25" i="58"/>
  <c r="H98" i="58"/>
  <c r="H104" i="58"/>
  <c r="H33" i="58"/>
  <c r="H32" i="58"/>
  <c r="H34" i="58" s="1"/>
  <c r="I163" i="58"/>
  <c r="H42" i="58"/>
  <c r="H21" i="58"/>
  <c r="H22" i="58" s="1"/>
  <c r="H57" i="58"/>
  <c r="H69" i="58" s="1"/>
  <c r="H56" i="58"/>
  <c r="H68" i="58" s="1"/>
  <c r="H134" i="58"/>
  <c r="H114" i="58"/>
  <c r="H115" i="58"/>
  <c r="H40" i="58"/>
  <c r="H220" i="58"/>
  <c r="H210" i="58" s="1"/>
  <c r="H218" i="58"/>
  <c r="H208" i="58" s="1"/>
  <c r="H217" i="58"/>
  <c r="H207" i="58" s="1"/>
  <c r="F116" i="56"/>
  <c r="F119" i="56"/>
  <c r="M1" i="61"/>
  <c r="K1" i="43"/>
  <c r="L2" i="43"/>
  <c r="F92" i="59"/>
  <c r="BM90" i="59"/>
  <c r="F91" i="59"/>
  <c r="BM86" i="59"/>
  <c r="BM88" i="59"/>
  <c r="BM87" i="59"/>
  <c r="BM85" i="59"/>
  <c r="L1" i="43" a="1"/>
  <c r="I17" i="58" l="1"/>
  <c r="I18" i="58" s="1"/>
  <c r="I24" i="58" s="1"/>
  <c r="H36" i="58"/>
  <c r="H39" i="58" s="1"/>
  <c r="I31" i="58"/>
  <c r="I32" i="58" s="1"/>
  <c r="I34" i="58" s="1"/>
  <c r="I88" i="58"/>
  <c r="I87" i="58" s="1"/>
  <c r="I13" i="58"/>
  <c r="I20" i="58" s="1"/>
  <c r="I42" i="58" s="1"/>
  <c r="I123" i="58"/>
  <c r="I134" i="58" s="1"/>
  <c r="I125" i="58"/>
  <c r="I136" i="58" s="1"/>
  <c r="I124" i="58"/>
  <c r="I135" i="58" s="1"/>
  <c r="I97" i="58"/>
  <c r="I171" i="59"/>
  <c r="I161" i="59" s="1"/>
  <c r="I70" i="59"/>
  <c r="I167" i="59" s="1"/>
  <c r="I157" i="59" s="1"/>
  <c r="I25" i="58"/>
  <c r="H54" i="58"/>
  <c r="H66" i="58" s="1"/>
  <c r="H55" i="58"/>
  <c r="H67" i="58" s="1"/>
  <c r="H43" i="58"/>
  <c r="I114" i="58"/>
  <c r="I115" i="58"/>
  <c r="H23" i="58"/>
  <c r="H35" i="58"/>
  <c r="H119" i="58"/>
  <c r="H118" i="58"/>
  <c r="I220" i="58"/>
  <c r="I210" i="58" s="1"/>
  <c r="I40" i="58"/>
  <c r="I218" i="58"/>
  <c r="I208" i="58" s="1"/>
  <c r="I217" i="58"/>
  <c r="I207" i="58" s="1"/>
  <c r="H106" i="58"/>
  <c r="H105" i="58"/>
  <c r="H117" i="58"/>
  <c r="H116" i="58"/>
  <c r="H109" i="58"/>
  <c r="H110" i="58" s="1"/>
  <c r="H26" i="58"/>
  <c r="H27" i="58" s="1"/>
  <c r="I56" i="58"/>
  <c r="I68" i="58" s="1"/>
  <c r="I57" i="58"/>
  <c r="I69" i="58" s="1"/>
  <c r="N1" i="61"/>
  <c r="L1" i="43"/>
  <c r="M2" i="43"/>
  <c r="BN85" i="59"/>
  <c r="BN90" i="59"/>
  <c r="BN87" i="59"/>
  <c r="BN86" i="59"/>
  <c r="BN88" i="59"/>
  <c r="M1" i="43" a="1"/>
  <c r="M64" i="43" a="1"/>
  <c r="M69" i="43" a="1"/>
  <c r="M6" i="43" a="1"/>
  <c r="M4" i="43" a="1"/>
  <c r="M72" i="43" a="1"/>
  <c r="M67" i="43" a="1"/>
  <c r="M63" i="43" a="1"/>
  <c r="M65" i="43" a="1"/>
  <c r="M70" i="43" a="1"/>
  <c r="M68" i="43" a="1"/>
  <c r="M66" i="43" a="1"/>
  <c r="M5" i="43" a="1"/>
  <c r="M71" i="43" a="1"/>
  <c r="M7" i="43" a="1"/>
  <c r="M3" i="43" a="1"/>
  <c r="I164" i="59" l="1"/>
  <c r="I154" i="59" s="1"/>
  <c r="I21" i="58"/>
  <c r="I22" i="58" s="1"/>
  <c r="I33" i="58"/>
  <c r="I36" i="58" s="1"/>
  <c r="I162" i="59"/>
  <c r="I152" i="59" s="1"/>
  <c r="I163" i="59"/>
  <c r="I153" i="59" s="1"/>
  <c r="I165" i="59"/>
  <c r="I155" i="59" s="1"/>
  <c r="H83" i="58"/>
  <c r="H126" i="58"/>
  <c r="H99" i="58"/>
  <c r="I116" i="58"/>
  <c r="I117" i="58"/>
  <c r="I104" i="58"/>
  <c r="I98" i="58"/>
  <c r="H112" i="58"/>
  <c r="H111" i="58"/>
  <c r="I23" i="58"/>
  <c r="I26" i="58"/>
  <c r="I27" i="58" s="1"/>
  <c r="H44" i="58"/>
  <c r="H51" i="58"/>
  <c r="H50" i="58"/>
  <c r="H62" i="58" s="1"/>
  <c r="H49" i="58"/>
  <c r="H61" i="58" s="1"/>
  <c r="H48" i="58"/>
  <c r="H45" i="58"/>
  <c r="H53" i="58"/>
  <c r="H65" i="58" s="1"/>
  <c r="H108" i="58"/>
  <c r="H107" i="58"/>
  <c r="I35" i="58"/>
  <c r="I119" i="58"/>
  <c r="I118" i="58"/>
  <c r="I39" i="58"/>
  <c r="I44" i="58" s="1"/>
  <c r="I55" i="58"/>
  <c r="I67" i="58" s="1"/>
  <c r="O1" i="61"/>
  <c r="M5" i="43"/>
  <c r="M69" i="43"/>
  <c r="O74" i="59" s="1"/>
  <c r="M3" i="43"/>
  <c r="M63" i="43"/>
  <c r="O67" i="59" s="1"/>
  <c r="M6" i="43"/>
  <c r="M64" i="43"/>
  <c r="M7" i="43"/>
  <c r="O6" i="59" s="1"/>
  <c r="M1" i="43"/>
  <c r="O1" i="59" s="1"/>
  <c r="M4" i="43"/>
  <c r="M68" i="43"/>
  <c r="O73" i="59" s="1"/>
  <c r="M67" i="43"/>
  <c r="O72" i="59" s="1"/>
  <c r="M65" i="43"/>
  <c r="O69" i="59" s="1"/>
  <c r="M66" i="43"/>
  <c r="O71" i="59" s="1"/>
  <c r="M71" i="43"/>
  <c r="O76" i="59" s="1"/>
  <c r="M70" i="43"/>
  <c r="M72" i="43"/>
  <c r="O82" i="59" s="1"/>
  <c r="O166" i="59" s="1"/>
  <c r="O156" i="59" s="1"/>
  <c r="N2" i="43"/>
  <c r="N70" i="43" a="1"/>
  <c r="N3" i="43" a="1"/>
  <c r="N71" i="43" a="1"/>
  <c r="N63" i="43" a="1"/>
  <c r="N64" i="43" a="1"/>
  <c r="N7" i="43" a="1"/>
  <c r="N1" i="43" a="1"/>
  <c r="N5" i="43" a="1"/>
  <c r="N69" i="43" a="1"/>
  <c r="N68" i="43" a="1"/>
  <c r="N72" i="43" a="1"/>
  <c r="N67" i="43" a="1"/>
  <c r="N65" i="43" a="1"/>
  <c r="N66" i="43" a="1"/>
  <c r="N6" i="43" a="1"/>
  <c r="N4" i="43" a="1"/>
  <c r="I43" i="58" l="1"/>
  <c r="I54" i="58"/>
  <c r="I66" i="58" s="1"/>
  <c r="I99" i="58"/>
  <c r="I102" i="58" s="1"/>
  <c r="O75" i="59"/>
  <c r="O4" i="58"/>
  <c r="O4" i="59"/>
  <c r="O3" i="58"/>
  <c r="O3" i="59"/>
  <c r="O57" i="59"/>
  <c r="O58" i="59"/>
  <c r="O59" i="59"/>
  <c r="O56" i="59"/>
  <c r="O2" i="58"/>
  <c r="O2" i="59"/>
  <c r="O1" i="60"/>
  <c r="O1" i="58"/>
  <c r="H46" i="58"/>
  <c r="H85" i="58" s="1"/>
  <c r="O5" i="60"/>
  <c r="O6" i="58"/>
  <c r="I53" i="58"/>
  <c r="I65" i="58" s="1"/>
  <c r="H60" i="58"/>
  <c r="I50" i="58"/>
  <c r="I62" i="58" s="1"/>
  <c r="I49" i="58"/>
  <c r="I61" i="58" s="1"/>
  <c r="I48" i="58"/>
  <c r="I45" i="58"/>
  <c r="I46" i="58" s="1"/>
  <c r="I51" i="58"/>
  <c r="H63" i="58"/>
  <c r="H52" i="58"/>
  <c r="H64" i="58" s="1"/>
  <c r="I103" i="58"/>
  <c r="I106" i="58"/>
  <c r="I105" i="58"/>
  <c r="I109" i="58"/>
  <c r="I110" i="58" s="1"/>
  <c r="I83" i="58"/>
  <c r="I126" i="58"/>
  <c r="H102" i="58"/>
  <c r="H101" i="58"/>
  <c r="H103" i="58"/>
  <c r="H100" i="58"/>
  <c r="H137" i="58"/>
  <c r="H93" i="58"/>
  <c r="H203" i="58"/>
  <c r="O3" i="60"/>
  <c r="O2" i="60"/>
  <c r="O4" i="60"/>
  <c r="J12" i="61"/>
  <c r="P1" i="61"/>
  <c r="M8" i="43"/>
  <c r="N6" i="43"/>
  <c r="N7" i="43"/>
  <c r="P6" i="59" s="1"/>
  <c r="N63" i="43"/>
  <c r="P67" i="59" s="1"/>
  <c r="N64" i="43"/>
  <c r="N4" i="43"/>
  <c r="N3" i="43"/>
  <c r="N69" i="43"/>
  <c r="P74" i="59" s="1"/>
  <c r="N1" i="43"/>
  <c r="P1" i="59" s="1"/>
  <c r="N5" i="43"/>
  <c r="N67" i="43"/>
  <c r="P72" i="59" s="1"/>
  <c r="N68" i="43"/>
  <c r="P73" i="59" s="1"/>
  <c r="N65" i="43"/>
  <c r="P69" i="59" s="1"/>
  <c r="N66" i="43"/>
  <c r="P71" i="59" s="1"/>
  <c r="N70" i="43"/>
  <c r="N71" i="43"/>
  <c r="P76" i="59" s="1"/>
  <c r="N72" i="43"/>
  <c r="P82" i="59" s="1"/>
  <c r="P166" i="59" s="1"/>
  <c r="P156" i="59" s="1"/>
  <c r="O2" i="43"/>
  <c r="M10" i="43"/>
  <c r="O8" i="58" s="1"/>
  <c r="M11" i="43"/>
  <c r="F5" i="156"/>
  <c r="G5" i="156" s="1"/>
  <c r="I5" i="156" s="1"/>
  <c r="F6" i="156"/>
  <c r="G6" i="156" s="1"/>
  <c r="H6" i="156"/>
  <c r="F7" i="156"/>
  <c r="G7" i="156"/>
  <c r="H7" i="156"/>
  <c r="F8" i="156"/>
  <c r="G8" i="156" s="1"/>
  <c r="F9" i="156"/>
  <c r="G9" i="156"/>
  <c r="H9" i="156"/>
  <c r="F10" i="156"/>
  <c r="G10" i="156" s="1"/>
  <c r="H10" i="156"/>
  <c r="F11" i="156"/>
  <c r="G11" i="156"/>
  <c r="H11" i="156"/>
  <c r="F12" i="156"/>
  <c r="G12" i="156"/>
  <c r="H12" i="156"/>
  <c r="F13" i="156"/>
  <c r="G13" i="156"/>
  <c r="H13" i="156"/>
  <c r="F14" i="156"/>
  <c r="G14" i="156" s="1"/>
  <c r="H14" i="156"/>
  <c r="F15" i="156"/>
  <c r="G15" i="156"/>
  <c r="H15" i="156"/>
  <c r="F16" i="156"/>
  <c r="G16" i="156" s="1"/>
  <c r="H16" i="156"/>
  <c r="F17" i="156"/>
  <c r="G17" i="156"/>
  <c r="H17" i="156"/>
  <c r="F18" i="156"/>
  <c r="G18" i="156"/>
  <c r="H18" i="156"/>
  <c r="F19" i="156"/>
  <c r="H19" i="156" s="1"/>
  <c r="G19" i="156"/>
  <c r="F20" i="156"/>
  <c r="G20" i="156"/>
  <c r="H20" i="156"/>
  <c r="F21" i="156"/>
  <c r="G21" i="156"/>
  <c r="H21" i="156"/>
  <c r="F22" i="156"/>
  <c r="G22" i="156" s="1"/>
  <c r="H22" i="156"/>
  <c r="F23" i="156"/>
  <c r="H23" i="156" s="1"/>
  <c r="F24" i="156"/>
  <c r="G24" i="156" s="1"/>
  <c r="F25" i="156"/>
  <c r="G25" i="156"/>
  <c r="H25" i="156"/>
  <c r="F26" i="156"/>
  <c r="G26" i="156"/>
  <c r="H26" i="156"/>
  <c r="F27" i="156"/>
  <c r="G27" i="156" s="1"/>
  <c r="F28" i="156"/>
  <c r="G28" i="156" s="1"/>
  <c r="H28" i="156"/>
  <c r="F29" i="156"/>
  <c r="G29" i="156" s="1"/>
  <c r="F30" i="156"/>
  <c r="G30" i="156"/>
  <c r="H30" i="156"/>
  <c r="F31" i="156"/>
  <c r="G31" i="156"/>
  <c r="H31" i="156"/>
  <c r="F32" i="156"/>
  <c r="G32" i="156"/>
  <c r="H32" i="156"/>
  <c r="F33" i="156"/>
  <c r="G33" i="156" s="1"/>
  <c r="H33" i="156"/>
  <c r="F34" i="156"/>
  <c r="G34" i="156" s="1"/>
  <c r="H34" i="156"/>
  <c r="F35" i="156"/>
  <c r="G35" i="156"/>
  <c r="H35" i="156"/>
  <c r="F36" i="156"/>
  <c r="G36" i="156" s="1"/>
  <c r="H36" i="156"/>
  <c r="F37" i="156"/>
  <c r="G37" i="156"/>
  <c r="H37" i="156"/>
  <c r="F38" i="156"/>
  <c r="G38" i="156"/>
  <c r="H38" i="156"/>
  <c r="F39" i="156"/>
  <c r="G39" i="156"/>
  <c r="H39" i="156"/>
  <c r="F40" i="156"/>
  <c r="G40" i="156"/>
  <c r="H40" i="156"/>
  <c r="F41" i="156"/>
  <c r="G41" i="156"/>
  <c r="H41" i="156"/>
  <c r="F42" i="156"/>
  <c r="G42" i="156"/>
  <c r="H42" i="156"/>
  <c r="O72" i="43" a="1"/>
  <c r="O64" i="43" a="1"/>
  <c r="O71" i="43" a="1"/>
  <c r="O5" i="43" a="1"/>
  <c r="O1" i="43" a="1"/>
  <c r="O66" i="43" a="1"/>
  <c r="O70" i="43" a="1"/>
  <c r="O3" i="43" a="1"/>
  <c r="O65" i="43" a="1"/>
  <c r="O63" i="43" a="1"/>
  <c r="O6" i="43" a="1"/>
  <c r="O7" i="43" a="1"/>
  <c r="O4" i="43" a="1"/>
  <c r="O69" i="43" a="1"/>
  <c r="O68" i="43" a="1"/>
  <c r="O67" i="43" a="1"/>
  <c r="I100" i="58" l="1"/>
  <c r="I101" i="58"/>
  <c r="H120" i="58"/>
  <c r="H127" i="58" s="1"/>
  <c r="H138" i="58" s="1"/>
  <c r="O22" i="59"/>
  <c r="O37" i="59"/>
  <c r="O55" i="59"/>
  <c r="O54" i="59"/>
  <c r="O51" i="59"/>
  <c r="O45" i="59"/>
  <c r="O42" i="59"/>
  <c r="O33" i="59"/>
  <c r="O30" i="59"/>
  <c r="O27" i="59"/>
  <c r="O24" i="59"/>
  <c r="O18" i="59"/>
  <c r="O40" i="59"/>
  <c r="O34" i="59"/>
  <c r="O28" i="59"/>
  <c r="O19" i="59"/>
  <c r="O53" i="59"/>
  <c r="O50" i="59"/>
  <c r="O47" i="59"/>
  <c r="O44" i="59"/>
  <c r="O41" i="59"/>
  <c r="O35" i="59"/>
  <c r="O32" i="59"/>
  <c r="O29" i="59"/>
  <c r="O23" i="59"/>
  <c r="O20" i="59"/>
  <c r="O17" i="59"/>
  <c r="O52" i="59"/>
  <c r="O43" i="59"/>
  <c r="O25" i="59"/>
  <c r="P4" i="58"/>
  <c r="P4" i="59"/>
  <c r="O7" i="58"/>
  <c r="O7" i="59"/>
  <c r="O84" i="59" s="1"/>
  <c r="P57" i="59"/>
  <c r="P59" i="59"/>
  <c r="P56" i="59"/>
  <c r="P58" i="59"/>
  <c r="P75" i="59"/>
  <c r="P2" i="58"/>
  <c r="P2" i="59"/>
  <c r="P3" i="58"/>
  <c r="P3" i="59"/>
  <c r="O9" i="58"/>
  <c r="O10" i="58" s="1"/>
  <c r="P1" i="60"/>
  <c r="P1" i="58"/>
  <c r="O160" i="58"/>
  <c r="O82" i="58"/>
  <c r="P5" i="60"/>
  <c r="P6" i="58"/>
  <c r="I108" i="58"/>
  <c r="I107" i="58"/>
  <c r="I112" i="58"/>
  <c r="I111" i="58"/>
  <c r="I137" i="58"/>
  <c r="H94" i="58"/>
  <c r="H92" i="58"/>
  <c r="I63" i="58"/>
  <c r="I52" i="58"/>
  <c r="I64" i="58" s="1"/>
  <c r="H86" i="58"/>
  <c r="H216" i="58"/>
  <c r="I120" i="58"/>
  <c r="I199" i="58" s="1"/>
  <c r="I60" i="58"/>
  <c r="I85" i="58"/>
  <c r="I93" i="58"/>
  <c r="I203" i="58"/>
  <c r="H128" i="58"/>
  <c r="H139" i="58" s="1"/>
  <c r="H89" i="58"/>
  <c r="H199" i="58"/>
  <c r="H80" i="58"/>
  <c r="H81" i="58" s="1"/>
  <c r="H47" i="58"/>
  <c r="H58" i="58"/>
  <c r="P3" i="60"/>
  <c r="P4" i="60"/>
  <c r="P2" i="60"/>
  <c r="O8" i="60"/>
  <c r="O41" i="60"/>
  <c r="O40" i="60"/>
  <c r="O37" i="60"/>
  <c r="O38" i="60" s="1"/>
  <c r="O39" i="60" s="1"/>
  <c r="J14" i="61"/>
  <c r="J32" i="61" s="1"/>
  <c r="J48" i="61"/>
  <c r="J47" i="61"/>
  <c r="Q1" i="61"/>
  <c r="N8" i="43"/>
  <c r="O3" i="43"/>
  <c r="O4" i="43"/>
  <c r="O1" i="43"/>
  <c r="Q1" i="59" s="1"/>
  <c r="O5" i="43"/>
  <c r="O69" i="43"/>
  <c r="Q74" i="59" s="1"/>
  <c r="O63" i="43"/>
  <c r="Q67" i="59" s="1"/>
  <c r="O6" i="43"/>
  <c r="O64" i="43"/>
  <c r="O7" i="43"/>
  <c r="Q6" i="59" s="1"/>
  <c r="O68" i="43"/>
  <c r="Q73" i="59" s="1"/>
  <c r="O65" i="43"/>
  <c r="Q69" i="59" s="1"/>
  <c r="O67" i="43"/>
  <c r="Q72" i="59" s="1"/>
  <c r="O66" i="43"/>
  <c r="Q71" i="59" s="1"/>
  <c r="O71" i="43"/>
  <c r="Q76" i="59" s="1"/>
  <c r="O70" i="43"/>
  <c r="O72" i="43"/>
  <c r="Q82" i="59" s="1"/>
  <c r="Q166" i="59" s="1"/>
  <c r="Q156" i="59" s="1"/>
  <c r="M12" i="43"/>
  <c r="M9" i="43" s="1"/>
  <c r="P2" i="43"/>
  <c r="N10" i="43"/>
  <c r="N11" i="43"/>
  <c r="I6" i="156"/>
  <c r="I7" i="156" s="1"/>
  <c r="I8" i="156" s="1"/>
  <c r="I9" i="156" s="1"/>
  <c r="I10" i="156" s="1"/>
  <c r="I11" i="156" s="1"/>
  <c r="I12" i="156" s="1"/>
  <c r="I13" i="156" s="1"/>
  <c r="I14" i="156" s="1"/>
  <c r="I15" i="156" s="1"/>
  <c r="I16" i="156" s="1"/>
  <c r="I17" i="156" s="1"/>
  <c r="I18" i="156" s="1"/>
  <c r="I19" i="156" s="1"/>
  <c r="I20" i="156" s="1"/>
  <c r="I21" i="156" s="1"/>
  <c r="I22" i="156" s="1"/>
  <c r="I23" i="156" s="1"/>
  <c r="I24" i="156" s="1"/>
  <c r="I25" i="156" s="1"/>
  <c r="I26" i="156" s="1"/>
  <c r="I27" i="156" s="1"/>
  <c r="I28" i="156" s="1"/>
  <c r="I29" i="156" s="1"/>
  <c r="I30" i="156" s="1"/>
  <c r="I31" i="156" s="1"/>
  <c r="I32" i="156" s="1"/>
  <c r="I33" i="156" s="1"/>
  <c r="I34" i="156" s="1"/>
  <c r="I35" i="156" s="1"/>
  <c r="I36" i="156" s="1"/>
  <c r="I37" i="156" s="1"/>
  <c r="I38" i="156" s="1"/>
  <c r="I39" i="156" s="1"/>
  <c r="I40" i="156" s="1"/>
  <c r="I41" i="156" s="1"/>
  <c r="I42" i="156" s="1"/>
  <c r="G23" i="156"/>
  <c r="H27" i="156"/>
  <c r="H8" i="156"/>
  <c r="H29" i="156"/>
  <c r="H5" i="156"/>
  <c r="J5" i="156" s="1"/>
  <c r="J6" i="156" s="1"/>
  <c r="J7" i="156" s="1"/>
  <c r="J8" i="156" s="1"/>
  <c r="J9" i="156" s="1"/>
  <c r="J10" i="156" s="1"/>
  <c r="J11" i="156" s="1"/>
  <c r="J12" i="156" s="1"/>
  <c r="J13" i="156" s="1"/>
  <c r="J14" i="156" s="1"/>
  <c r="J15" i="156" s="1"/>
  <c r="J16" i="156" s="1"/>
  <c r="J17" i="156" s="1"/>
  <c r="J18" i="156" s="1"/>
  <c r="J19" i="156" s="1"/>
  <c r="J20" i="156" s="1"/>
  <c r="J21" i="156" s="1"/>
  <c r="J22" i="156" s="1"/>
  <c r="J23" i="156" s="1"/>
  <c r="J24" i="156" s="1"/>
  <c r="J25" i="156" s="1"/>
  <c r="J26" i="156" s="1"/>
  <c r="J27" i="156" s="1"/>
  <c r="J28" i="156" s="1"/>
  <c r="J29" i="156" s="1"/>
  <c r="J30" i="156" s="1"/>
  <c r="J31" i="156" s="1"/>
  <c r="J32" i="156" s="1"/>
  <c r="J33" i="156" s="1"/>
  <c r="J34" i="156" s="1"/>
  <c r="J35" i="156" s="1"/>
  <c r="J36" i="156" s="1"/>
  <c r="J37" i="156" s="1"/>
  <c r="J38" i="156" s="1"/>
  <c r="J39" i="156" s="1"/>
  <c r="J40" i="156" s="1"/>
  <c r="J41" i="156" s="1"/>
  <c r="J42" i="156" s="1"/>
  <c r="H24" i="156"/>
  <c r="P63" i="43" a="1"/>
  <c r="P72" i="43" a="1"/>
  <c r="P70" i="43" a="1"/>
  <c r="P65" i="43" a="1"/>
  <c r="P66" i="43" a="1"/>
  <c r="P68" i="43" a="1"/>
  <c r="P4" i="43" a="1"/>
  <c r="P64" i="43" a="1"/>
  <c r="P71" i="43" a="1"/>
  <c r="P6" i="43" a="1"/>
  <c r="P69" i="43" a="1"/>
  <c r="P5" i="43" a="1"/>
  <c r="P1" i="43" a="1"/>
  <c r="P7" i="43" a="1"/>
  <c r="P67" i="43" a="1"/>
  <c r="P3" i="43" a="1"/>
  <c r="I127" i="58" l="1"/>
  <c r="I138" i="58" s="1"/>
  <c r="H129" i="58"/>
  <c r="H140" i="58" s="1"/>
  <c r="H95" i="58"/>
  <c r="H96" i="58" s="1"/>
  <c r="H212" i="58" s="1"/>
  <c r="H204" i="58" s="1"/>
  <c r="P8" i="58"/>
  <c r="P9" i="58" s="1"/>
  <c r="P10" i="58" s="1"/>
  <c r="O5" i="58"/>
  <c r="O12" i="58" s="1"/>
  <c r="O11" i="58" s="1"/>
  <c r="O113" i="58" s="1"/>
  <c r="O5" i="59"/>
  <c r="P54" i="59"/>
  <c r="P51" i="59"/>
  <c r="P45" i="59"/>
  <c r="P42" i="59"/>
  <c r="P33" i="59"/>
  <c r="P30" i="59"/>
  <c r="P27" i="59"/>
  <c r="P24" i="59"/>
  <c r="P18" i="59"/>
  <c r="P53" i="59"/>
  <c r="P50" i="59"/>
  <c r="P47" i="59"/>
  <c r="P44" i="59"/>
  <c r="P41" i="59"/>
  <c r="P35" i="59"/>
  <c r="P32" i="59"/>
  <c r="P29" i="59"/>
  <c r="P23" i="59"/>
  <c r="P20" i="59"/>
  <c r="P17" i="59"/>
  <c r="P55" i="59"/>
  <c r="P52" i="59"/>
  <c r="P43" i="59"/>
  <c r="P40" i="59"/>
  <c r="P37" i="59"/>
  <c r="P34" i="59"/>
  <c r="P28" i="59"/>
  <c r="P25" i="59"/>
  <c r="P22" i="59"/>
  <c r="P19" i="59"/>
  <c r="Q57" i="59"/>
  <c r="Q59" i="59"/>
  <c r="Q56" i="59"/>
  <c r="Q58" i="59"/>
  <c r="O68" i="59"/>
  <c r="O160" i="59"/>
  <c r="O170" i="59" s="1"/>
  <c r="Q75" i="59"/>
  <c r="Q4" i="58"/>
  <c r="Q4" i="59"/>
  <c r="Q2" i="58"/>
  <c r="Q2" i="59"/>
  <c r="O8" i="59"/>
  <c r="Q3" i="58"/>
  <c r="Q3" i="59"/>
  <c r="P7" i="58"/>
  <c r="P7" i="59"/>
  <c r="P84" i="59" s="1"/>
  <c r="I80" i="58"/>
  <c r="I81" i="58" s="1"/>
  <c r="Q5" i="60"/>
  <c r="Q6" i="58"/>
  <c r="P160" i="58"/>
  <c r="P82" i="58"/>
  <c r="O162" i="58"/>
  <c r="O161" i="58"/>
  <c r="Q1" i="60"/>
  <c r="Q1" i="58"/>
  <c r="I47" i="58"/>
  <c r="I58" i="58"/>
  <c r="H90" i="58"/>
  <c r="H91" i="58" s="1"/>
  <c r="H201" i="58" s="1"/>
  <c r="I128" i="58"/>
  <c r="I129" i="58" s="1"/>
  <c r="I140" i="58" s="1"/>
  <c r="H130" i="58"/>
  <c r="I89" i="58"/>
  <c r="I92" i="58"/>
  <c r="I94" i="58"/>
  <c r="I86" i="58"/>
  <c r="I216" i="58"/>
  <c r="P8" i="60"/>
  <c r="P41" i="60"/>
  <c r="P40" i="60"/>
  <c r="P37" i="60"/>
  <c r="P38" i="60" s="1"/>
  <c r="P39" i="60" s="1"/>
  <c r="Q2" i="60"/>
  <c r="Q4" i="60"/>
  <c r="Q3" i="60"/>
  <c r="J51" i="61"/>
  <c r="J76" i="61" s="1"/>
  <c r="J97" i="61" s="1"/>
  <c r="J49" i="61"/>
  <c r="J81" i="61" s="1"/>
  <c r="J50" i="61"/>
  <c r="J68" i="61" s="1"/>
  <c r="J89" i="61" s="1"/>
  <c r="J18" i="61"/>
  <c r="J19" i="61" s="1"/>
  <c r="J15" i="61"/>
  <c r="J16" i="61" s="1"/>
  <c r="J62" i="61" s="1"/>
  <c r="J84" i="61" s="1"/>
  <c r="J38" i="61"/>
  <c r="J33" i="61"/>
  <c r="J79" i="61" s="1"/>
  <c r="J46" i="61"/>
  <c r="J83" i="61" s="1"/>
  <c r="J100" i="61" s="1"/>
  <c r="J5" i="61"/>
  <c r="J4" i="61"/>
  <c r="J2" i="61"/>
  <c r="J3" i="61"/>
  <c r="R1" i="61"/>
  <c r="O8" i="43"/>
  <c r="P1" i="43"/>
  <c r="R1" i="59" s="1"/>
  <c r="P3" i="43"/>
  <c r="P5" i="43"/>
  <c r="P69" i="43"/>
  <c r="R74" i="59" s="1"/>
  <c r="P63" i="43"/>
  <c r="R67" i="59" s="1"/>
  <c r="P6" i="43"/>
  <c r="P4" i="43"/>
  <c r="P64" i="43"/>
  <c r="P7" i="43"/>
  <c r="R6" i="59" s="1"/>
  <c r="P67" i="43"/>
  <c r="R72" i="59" s="1"/>
  <c r="P68" i="43"/>
  <c r="R73" i="59" s="1"/>
  <c r="P65" i="43"/>
  <c r="R69" i="59" s="1"/>
  <c r="P66" i="43"/>
  <c r="R71" i="59" s="1"/>
  <c r="P70" i="43"/>
  <c r="P71" i="43"/>
  <c r="R76" i="59" s="1"/>
  <c r="P72" i="43"/>
  <c r="R82" i="59" s="1"/>
  <c r="R166" i="59" s="1"/>
  <c r="R156" i="59" s="1"/>
  <c r="N12" i="43"/>
  <c r="N9" i="43" s="1"/>
  <c r="Q2" i="43"/>
  <c r="O10" i="43"/>
  <c r="O11" i="43"/>
  <c r="BM89" i="59"/>
  <c r="Q72" i="43" a="1"/>
  <c r="Q63" i="43" a="1"/>
  <c r="Q7" i="43" a="1"/>
  <c r="Q5" i="43" a="1"/>
  <c r="Q66" i="43" a="1"/>
  <c r="Q1" i="43" a="1"/>
  <c r="Q3" i="43" a="1"/>
  <c r="Q6" i="43" a="1"/>
  <c r="Q68" i="43" a="1"/>
  <c r="Q71" i="43" a="1"/>
  <c r="Q4" i="43" a="1"/>
  <c r="Q69" i="43" a="1"/>
  <c r="Q65" i="43" a="1"/>
  <c r="Q70" i="43" a="1"/>
  <c r="Q67" i="43" a="1"/>
  <c r="Q64" i="43" a="1"/>
  <c r="Q8" i="58" l="1"/>
  <c r="O70" i="59"/>
  <c r="O165" i="59" s="1"/>
  <c r="O155" i="59" s="1"/>
  <c r="P5" i="58"/>
  <c r="P12" i="58" s="1"/>
  <c r="P11" i="58" s="1"/>
  <c r="P113" i="58" s="1"/>
  <c r="P5" i="59"/>
  <c r="P68" i="59"/>
  <c r="P160" i="59"/>
  <c r="P170" i="59" s="1"/>
  <c r="R4" i="58"/>
  <c r="R4" i="59"/>
  <c r="Q7" i="58"/>
  <c r="Q7" i="59"/>
  <c r="Q84" i="59" s="1"/>
  <c r="Q54" i="59"/>
  <c r="Q51" i="59"/>
  <c r="Q45" i="59"/>
  <c r="Q42" i="59"/>
  <c r="Q33" i="59"/>
  <c r="Q30" i="59"/>
  <c r="Q27" i="59"/>
  <c r="Q24" i="59"/>
  <c r="Q18" i="59"/>
  <c r="Q53" i="59"/>
  <c r="Q50" i="59"/>
  <c r="Q47" i="59"/>
  <c r="Q44" i="59"/>
  <c r="Q41" i="59"/>
  <c r="Q35" i="59"/>
  <c r="Q32" i="59"/>
  <c r="Q29" i="59"/>
  <c r="Q23" i="59"/>
  <c r="Q20" i="59"/>
  <c r="Q17" i="59"/>
  <c r="Q55" i="59"/>
  <c r="Q52" i="59"/>
  <c r="Q43" i="59"/>
  <c r="Q40" i="59"/>
  <c r="Q37" i="59"/>
  <c r="Q34" i="59"/>
  <c r="Q28" i="59"/>
  <c r="Q25" i="59"/>
  <c r="Q22" i="59"/>
  <c r="Q19" i="59"/>
  <c r="R2" i="58"/>
  <c r="R2" i="59"/>
  <c r="P8" i="59"/>
  <c r="R57" i="59"/>
  <c r="R59" i="59"/>
  <c r="R56" i="59"/>
  <c r="R58" i="59"/>
  <c r="R3" i="58"/>
  <c r="R3" i="59"/>
  <c r="R75" i="59"/>
  <c r="O49" i="59"/>
  <c r="O15" i="59"/>
  <c r="O16" i="59"/>
  <c r="O26" i="59"/>
  <c r="O21" i="59"/>
  <c r="O31" i="59"/>
  <c r="O12" i="59"/>
  <c r="O39" i="59"/>
  <c r="Q9" i="58"/>
  <c r="Q10" i="58" s="1"/>
  <c r="R1" i="60"/>
  <c r="R1" i="58"/>
  <c r="O163" i="58"/>
  <c r="I95" i="58"/>
  <c r="I96" i="58" s="1"/>
  <c r="I212" i="58" s="1"/>
  <c r="I204" i="58" s="1"/>
  <c r="I130" i="58"/>
  <c r="I141" i="58" s="1"/>
  <c r="O123" i="58"/>
  <c r="O88" i="58"/>
  <c r="O87" i="58" s="1"/>
  <c r="O31" i="58"/>
  <c r="O125" i="58"/>
  <c r="O136" i="58" s="1"/>
  <c r="O13" i="58"/>
  <c r="O20" i="58" s="1"/>
  <c r="O124" i="58"/>
  <c r="O135" i="58" s="1"/>
  <c r="P162" i="58"/>
  <c r="P161" i="58"/>
  <c r="Q160" i="58"/>
  <c r="Q82" i="58"/>
  <c r="R5" i="60"/>
  <c r="R6" i="58"/>
  <c r="O17" i="58"/>
  <c r="O18" i="58" s="1"/>
  <c r="O24" i="58" s="1"/>
  <c r="I90" i="58"/>
  <c r="I91" i="58" s="1"/>
  <c r="I201" i="58" s="1"/>
  <c r="H141" i="58"/>
  <c r="H131" i="58"/>
  <c r="H142" i="58" s="1"/>
  <c r="I139" i="58"/>
  <c r="H215" i="58"/>
  <c r="H200" i="58"/>
  <c r="Q8" i="60"/>
  <c r="Q41" i="60"/>
  <c r="Q40" i="60"/>
  <c r="Q37" i="60"/>
  <c r="Q38" i="60" s="1"/>
  <c r="Q39" i="60" s="1"/>
  <c r="R3" i="60"/>
  <c r="R4" i="60"/>
  <c r="R2" i="60"/>
  <c r="J77" i="61"/>
  <c r="J98" i="61" s="1"/>
  <c r="J61" i="61"/>
  <c r="J53" i="61"/>
  <c r="J55" i="61"/>
  <c r="J57" i="61"/>
  <c r="J39" i="61"/>
  <c r="J35" i="61"/>
  <c r="J66" i="61" s="1"/>
  <c r="J36" i="61"/>
  <c r="J41" i="61"/>
  <c r="J40" i="61"/>
  <c r="J27" i="61"/>
  <c r="J63" i="61" s="1"/>
  <c r="J85" i="61" s="1"/>
  <c r="J29" i="61"/>
  <c r="J69" i="61" s="1"/>
  <c r="J90" i="61" s="1"/>
  <c r="J28" i="61"/>
  <c r="J70" i="61" s="1"/>
  <c r="J91" i="61" s="1"/>
  <c r="J31" i="61"/>
  <c r="J72" i="61" s="1"/>
  <c r="J93" i="61" s="1"/>
  <c r="J20" i="61"/>
  <c r="J30" i="61"/>
  <c r="J71" i="61" s="1"/>
  <c r="J92" i="61" s="1"/>
  <c r="S1" i="61"/>
  <c r="P8" i="43"/>
  <c r="O12" i="43"/>
  <c r="O9" i="43" s="1"/>
  <c r="Q3" i="43"/>
  <c r="Q67" i="43"/>
  <c r="S72" i="59" s="1"/>
  <c r="Q4" i="43"/>
  <c r="Q68" i="43"/>
  <c r="S73" i="59" s="1"/>
  <c r="Q5" i="43"/>
  <c r="Q69" i="43"/>
  <c r="S74" i="59" s="1"/>
  <c r="Q63" i="43"/>
  <c r="S67" i="59" s="1"/>
  <c r="Q6" i="43"/>
  <c r="Q70" i="43"/>
  <c r="Q64" i="43"/>
  <c r="Q7" i="43"/>
  <c r="S6" i="59" s="1"/>
  <c r="Q1" i="43"/>
  <c r="S1" i="59" s="1"/>
  <c r="Q66" i="43"/>
  <c r="S71" i="59" s="1"/>
  <c r="Q71" i="43"/>
  <c r="S76" i="59" s="1"/>
  <c r="Q65" i="43"/>
  <c r="S69" i="59" s="1"/>
  <c r="Q72" i="43"/>
  <c r="S82" i="59" s="1"/>
  <c r="S166" i="59" s="1"/>
  <c r="S156" i="59" s="1"/>
  <c r="R2" i="43"/>
  <c r="P10" i="43"/>
  <c r="P11" i="43"/>
  <c r="BM91" i="59"/>
  <c r="BN91" i="59" s="1"/>
  <c r="BN89" i="59"/>
  <c r="BM92" i="59"/>
  <c r="BN92" i="59" s="1"/>
  <c r="R67" i="43" a="1"/>
  <c r="R63" i="43" a="1"/>
  <c r="R4" i="43" a="1"/>
  <c r="R70" i="43" a="1"/>
  <c r="R5" i="43" a="1"/>
  <c r="R6" i="43" a="1"/>
  <c r="R69" i="43" a="1"/>
  <c r="R72" i="43" a="1"/>
  <c r="R65" i="43" a="1"/>
  <c r="R68" i="43" a="1"/>
  <c r="R1" i="43" a="1"/>
  <c r="R71" i="43" a="1"/>
  <c r="R7" i="43" a="1"/>
  <c r="R3" i="43" a="1"/>
  <c r="R64" i="43" a="1"/>
  <c r="R66" i="43" a="1"/>
  <c r="O164" i="59" l="1"/>
  <c r="O154" i="59" s="1"/>
  <c r="O167" i="59"/>
  <c r="O157" i="59" s="1"/>
  <c r="Q8" i="59"/>
  <c r="R8" i="58"/>
  <c r="P123" i="58"/>
  <c r="P134" i="58" s="1"/>
  <c r="P125" i="58"/>
  <c r="P136" i="58" s="1"/>
  <c r="P124" i="58"/>
  <c r="P135" i="58" s="1"/>
  <c r="P97" i="58"/>
  <c r="P104" i="58" s="1"/>
  <c r="P13" i="58"/>
  <c r="P20" i="58" s="1"/>
  <c r="P57" i="58" s="1"/>
  <c r="P69" i="58" s="1"/>
  <c r="P31" i="58"/>
  <c r="P32" i="58" s="1"/>
  <c r="P34" i="58" s="1"/>
  <c r="P88" i="58"/>
  <c r="P87" i="58" s="1"/>
  <c r="P17" i="58"/>
  <c r="P18" i="58" s="1"/>
  <c r="P24" i="58" s="1"/>
  <c r="P25" i="58" s="1"/>
  <c r="P26" i="58" s="1"/>
  <c r="O171" i="59"/>
  <c r="O161" i="59" s="1"/>
  <c r="O163" i="59"/>
  <c r="O153" i="59" s="1"/>
  <c r="O162" i="59"/>
  <c r="O152" i="59" s="1"/>
  <c r="S75" i="59"/>
  <c r="Q5" i="58"/>
  <c r="Q12" i="58" s="1"/>
  <c r="Q5" i="59"/>
  <c r="R7" i="58"/>
  <c r="R7" i="59"/>
  <c r="R84" i="59" s="1"/>
  <c r="Q68" i="59"/>
  <c r="Q160" i="59"/>
  <c r="Q170" i="59" s="1"/>
  <c r="R54" i="59"/>
  <c r="R51" i="59"/>
  <c r="R45" i="59"/>
  <c r="R42" i="59"/>
  <c r="R33" i="59"/>
  <c r="R30" i="59"/>
  <c r="R27" i="59"/>
  <c r="R24" i="59"/>
  <c r="R18" i="59"/>
  <c r="R53" i="59"/>
  <c r="R50" i="59"/>
  <c r="R47" i="59"/>
  <c r="R44" i="59"/>
  <c r="R41" i="59"/>
  <c r="R35" i="59"/>
  <c r="R32" i="59"/>
  <c r="R29" i="59"/>
  <c r="R23" i="59"/>
  <c r="R20" i="59"/>
  <c r="R17" i="59"/>
  <c r="R55" i="59"/>
  <c r="R52" i="59"/>
  <c r="R43" i="59"/>
  <c r="R40" i="59"/>
  <c r="R37" i="59"/>
  <c r="R34" i="59"/>
  <c r="R28" i="59"/>
  <c r="R25" i="59"/>
  <c r="R22" i="59"/>
  <c r="R19" i="59"/>
  <c r="P70" i="59"/>
  <c r="P165" i="59" s="1"/>
  <c r="P155" i="59" s="1"/>
  <c r="S3" i="58"/>
  <c r="S3" i="59"/>
  <c r="P16" i="59"/>
  <c r="P39" i="59"/>
  <c r="P49" i="59"/>
  <c r="P26" i="59"/>
  <c r="P21" i="59"/>
  <c r="P31" i="59"/>
  <c r="P15" i="59"/>
  <c r="P12" i="59"/>
  <c r="S2" i="58"/>
  <c r="S2" i="59"/>
  <c r="S4" i="58"/>
  <c r="S4" i="59"/>
  <c r="S57" i="59"/>
  <c r="S59" i="59"/>
  <c r="S56" i="59"/>
  <c r="S58" i="59"/>
  <c r="H132" i="58"/>
  <c r="H143" i="58" s="1"/>
  <c r="P163" i="58"/>
  <c r="P218" i="58" s="1"/>
  <c r="P208" i="58" s="1"/>
  <c r="O25" i="58"/>
  <c r="S5" i="60"/>
  <c r="S6" i="58"/>
  <c r="O217" i="58"/>
  <c r="O207" i="58" s="1"/>
  <c r="O218" i="58"/>
  <c r="O208" i="58" s="1"/>
  <c r="O40" i="58"/>
  <c r="O220" i="58"/>
  <c r="O210" i="58" s="1"/>
  <c r="S1" i="60"/>
  <c r="S1" i="58"/>
  <c r="Q162" i="58"/>
  <c r="Q161" i="58"/>
  <c r="R160" i="58"/>
  <c r="R82" i="58"/>
  <c r="P33" i="58"/>
  <c r="O57" i="58"/>
  <c r="O69" i="58" s="1"/>
  <c r="O42" i="58"/>
  <c r="O56" i="58"/>
  <c r="O68" i="58" s="1"/>
  <c r="O21" i="58"/>
  <c r="O22" i="58" s="1"/>
  <c r="O114" i="58"/>
  <c r="O115" i="58"/>
  <c r="O134" i="58"/>
  <c r="O97" i="58"/>
  <c r="P115" i="58"/>
  <c r="R9" i="58"/>
  <c r="R10" i="58" s="1"/>
  <c r="O33" i="58"/>
  <c r="O32" i="58"/>
  <c r="O34" i="58" s="1"/>
  <c r="I131" i="58"/>
  <c r="I132" i="58" s="1"/>
  <c r="I215" i="58"/>
  <c r="I200" i="58"/>
  <c r="R41" i="60"/>
  <c r="R8" i="60"/>
  <c r="R40" i="60"/>
  <c r="R37" i="60"/>
  <c r="R38" i="60" s="1"/>
  <c r="R39" i="60" s="1"/>
  <c r="S4" i="60"/>
  <c r="S3" i="60"/>
  <c r="S2" i="60"/>
  <c r="J34" i="61"/>
  <c r="J37" i="61"/>
  <c r="J80" i="61" s="1"/>
  <c r="J73" i="61"/>
  <c r="J94" i="61" s="1"/>
  <c r="J82" i="61"/>
  <c r="J99" i="61" s="1"/>
  <c r="J43" i="61"/>
  <c r="J67" i="61" s="1"/>
  <c r="J88" i="61" s="1"/>
  <c r="J42" i="61"/>
  <c r="J78" i="61" s="1"/>
  <c r="J44" i="61"/>
  <c r="J75" i="61" s="1"/>
  <c r="J96" i="61" s="1"/>
  <c r="J58" i="61"/>
  <c r="J64" i="61" s="1"/>
  <c r="J86" i="61" s="1"/>
  <c r="J59" i="61"/>
  <c r="J65" i="61" s="1"/>
  <c r="J87" i="61" s="1"/>
  <c r="J60" i="61"/>
  <c r="J74" i="61" s="1"/>
  <c r="J95" i="61" s="1"/>
  <c r="T1" i="61"/>
  <c r="Q8" i="43"/>
  <c r="P12" i="43"/>
  <c r="P9" i="43" s="1"/>
  <c r="R65" i="43"/>
  <c r="T69" i="59" s="1"/>
  <c r="R66" i="43"/>
  <c r="T71" i="59" s="1"/>
  <c r="R3" i="43"/>
  <c r="T2" i="59" s="1"/>
  <c r="R5" i="43"/>
  <c r="T4" i="59" s="1"/>
  <c r="R67" i="43"/>
  <c r="T72" i="59" s="1"/>
  <c r="R1" i="43"/>
  <c r="T1" i="59" s="1"/>
  <c r="R68" i="43"/>
  <c r="T73" i="59" s="1"/>
  <c r="R69" i="43"/>
  <c r="T74" i="59" s="1"/>
  <c r="R63" i="43"/>
  <c r="T67" i="59" s="1"/>
  <c r="R6" i="43"/>
  <c r="R64" i="43"/>
  <c r="R7" i="43"/>
  <c r="R4" i="43"/>
  <c r="T3" i="59" s="1"/>
  <c r="R71" i="43"/>
  <c r="T76" i="59" s="1"/>
  <c r="R70" i="43"/>
  <c r="R72" i="43"/>
  <c r="T82" i="59" s="1"/>
  <c r="T166" i="59" s="1"/>
  <c r="T156" i="59" s="1"/>
  <c r="S2" i="43"/>
  <c r="Q10" i="43"/>
  <c r="Q11" i="43"/>
  <c r="B3" i="120"/>
  <c r="B4" i="120"/>
  <c r="C8" i="120"/>
  <c r="B8" i="120"/>
  <c r="S5" i="43" a="1"/>
  <c r="S65" i="43" a="1"/>
  <c r="S4" i="43" a="1"/>
  <c r="S68" i="43" a="1"/>
  <c r="S63" i="43" a="1"/>
  <c r="S7" i="43" a="1"/>
  <c r="S66" i="43" a="1"/>
  <c r="S67" i="43" a="1"/>
  <c r="S3" i="43" a="1"/>
  <c r="S1" i="43" a="1"/>
  <c r="S64" i="43" a="1"/>
  <c r="S69" i="43" a="1"/>
  <c r="S70" i="43" a="1"/>
  <c r="S72" i="43" a="1"/>
  <c r="S6" i="43" a="1"/>
  <c r="S71" i="43" a="1"/>
  <c r="P164" i="59" l="1"/>
  <c r="P154" i="59" s="1"/>
  <c r="P36" i="58"/>
  <c r="O36" i="58"/>
  <c r="O39" i="58" s="1"/>
  <c r="O51" i="58" s="1"/>
  <c r="O63" i="58" s="1"/>
  <c r="P220" i="58"/>
  <c r="P210" i="58" s="1"/>
  <c r="P217" i="58"/>
  <c r="P207" i="58" s="1"/>
  <c r="P40" i="58"/>
  <c r="P167" i="59"/>
  <c r="P157" i="59" s="1"/>
  <c r="P114" i="58"/>
  <c r="P117" i="58" s="1"/>
  <c r="I142" i="58"/>
  <c r="H121" i="58"/>
  <c r="R8" i="59"/>
  <c r="P21" i="58"/>
  <c r="P54" i="58" s="1"/>
  <c r="P66" i="58" s="1"/>
  <c r="P56" i="58"/>
  <c r="P68" i="58" s="1"/>
  <c r="P42" i="58"/>
  <c r="S8" i="58"/>
  <c r="S9" i="58" s="1"/>
  <c r="S10" i="58" s="1"/>
  <c r="Q70" i="59"/>
  <c r="Q167" i="59" s="1"/>
  <c r="Q157" i="59" s="1"/>
  <c r="R68" i="59"/>
  <c r="R160" i="59"/>
  <c r="R170" i="59" s="1"/>
  <c r="Q12" i="59"/>
  <c r="Q49" i="59"/>
  <c r="Q21" i="59"/>
  <c r="Q16" i="59"/>
  <c r="Q31" i="59"/>
  <c r="Q15" i="59"/>
  <c r="Q26" i="59"/>
  <c r="Q39" i="59"/>
  <c r="R5" i="58"/>
  <c r="R12" i="58" s="1"/>
  <c r="R11" i="58" s="1"/>
  <c r="R113" i="58" s="1"/>
  <c r="R5" i="59"/>
  <c r="S7" i="58"/>
  <c r="S7" i="59"/>
  <c r="S84" i="59" s="1"/>
  <c r="Q11" i="58"/>
  <c r="Q113" i="58" s="1"/>
  <c r="T54" i="59"/>
  <c r="T51" i="59"/>
  <c r="T45" i="59"/>
  <c r="T42" i="59"/>
  <c r="T39" i="59"/>
  <c r="T30" i="59"/>
  <c r="T27" i="59"/>
  <c r="T24" i="59"/>
  <c r="T21" i="59"/>
  <c r="T15" i="59"/>
  <c r="T12" i="59"/>
  <c r="T50" i="59"/>
  <c r="T47" i="59"/>
  <c r="T44" i="59"/>
  <c r="T41" i="59"/>
  <c r="T35" i="59"/>
  <c r="T32" i="59"/>
  <c r="T29" i="59"/>
  <c r="T26" i="59"/>
  <c r="T20" i="59"/>
  <c r="T17" i="59"/>
  <c r="T55" i="59"/>
  <c r="T52" i="59"/>
  <c r="T49" i="59"/>
  <c r="T40" i="59"/>
  <c r="T37" i="59"/>
  <c r="T34" i="59"/>
  <c r="T31" i="59"/>
  <c r="T25" i="59"/>
  <c r="T22" i="59"/>
  <c r="T19" i="59"/>
  <c r="T16" i="59"/>
  <c r="S54" i="59"/>
  <c r="S51" i="59"/>
  <c r="S45" i="59"/>
  <c r="S42" i="59"/>
  <c r="S33" i="59"/>
  <c r="S30" i="59"/>
  <c r="S27" i="59"/>
  <c r="S24" i="59"/>
  <c r="S18" i="59"/>
  <c r="S53" i="59"/>
  <c r="S50" i="59"/>
  <c r="S47" i="59"/>
  <c r="S44" i="59"/>
  <c r="S41" i="59"/>
  <c r="S35" i="59"/>
  <c r="S32" i="59"/>
  <c r="S29" i="59"/>
  <c r="S23" i="59"/>
  <c r="S20" i="59"/>
  <c r="S17" i="59"/>
  <c r="S55" i="59"/>
  <c r="S52" i="59"/>
  <c r="S43" i="59"/>
  <c r="S40" i="59"/>
  <c r="S37" i="59"/>
  <c r="S34" i="59"/>
  <c r="S28" i="59"/>
  <c r="S25" i="59"/>
  <c r="S22" i="59"/>
  <c r="S19" i="59"/>
  <c r="T6" i="58"/>
  <c r="T160" i="58" s="1"/>
  <c r="T6" i="59"/>
  <c r="T75" i="59" s="1"/>
  <c r="P171" i="59"/>
  <c r="P161" i="59" s="1"/>
  <c r="P163" i="59"/>
  <c r="P153" i="59" s="1"/>
  <c r="P162" i="59"/>
  <c r="P152" i="59" s="1"/>
  <c r="P98" i="58"/>
  <c r="I143" i="58"/>
  <c r="Q163" i="58"/>
  <c r="Q220" i="58" s="1"/>
  <c r="Q210" i="58" s="1"/>
  <c r="P105" i="58"/>
  <c r="P106" i="58"/>
  <c r="O55" i="58"/>
  <c r="O67" i="58" s="1"/>
  <c r="O54" i="58"/>
  <c r="O66" i="58" s="1"/>
  <c r="O43" i="58"/>
  <c r="S160" i="58"/>
  <c r="S82" i="58"/>
  <c r="O23" i="58"/>
  <c r="T2" i="60"/>
  <c r="T37" i="60" s="1"/>
  <c r="T38" i="60" s="1"/>
  <c r="T39" i="60" s="1"/>
  <c r="T2" i="58"/>
  <c r="O104" i="58"/>
  <c r="O98" i="58"/>
  <c r="T4" i="60"/>
  <c r="T4" i="58"/>
  <c r="P35" i="58"/>
  <c r="P39" i="58"/>
  <c r="P118" i="58"/>
  <c r="P119" i="58"/>
  <c r="R162" i="58"/>
  <c r="R161" i="58"/>
  <c r="O26" i="58"/>
  <c r="O27" i="58" s="1"/>
  <c r="T3" i="60"/>
  <c r="T3" i="58"/>
  <c r="O35" i="58"/>
  <c r="O118" i="58"/>
  <c r="O119" i="58"/>
  <c r="P27" i="58"/>
  <c r="T1" i="60"/>
  <c r="T1" i="58"/>
  <c r="P109" i="58"/>
  <c r="P110" i="58" s="1"/>
  <c r="O117" i="58"/>
  <c r="O116" i="58"/>
  <c r="S41" i="60"/>
  <c r="S8" i="60"/>
  <c r="S40" i="60"/>
  <c r="S37" i="60"/>
  <c r="S38" i="60" s="1"/>
  <c r="S39" i="60" s="1"/>
  <c r="U5" i="61"/>
  <c r="T5" i="60"/>
  <c r="U3" i="61"/>
  <c r="U4" i="61"/>
  <c r="U2" i="61"/>
  <c r="U1" i="61"/>
  <c r="R8" i="43"/>
  <c r="S7" i="43"/>
  <c r="U6" i="59" s="1"/>
  <c r="S65" i="43"/>
  <c r="U69" i="59" s="1"/>
  <c r="S6" i="43"/>
  <c r="S1" i="43"/>
  <c r="U1" i="59" s="1"/>
  <c r="S4" i="43"/>
  <c r="S66" i="43"/>
  <c r="U71" i="59" s="1"/>
  <c r="S3" i="43"/>
  <c r="S64" i="43"/>
  <c r="S67" i="43"/>
  <c r="U72" i="59" s="1"/>
  <c r="S68" i="43"/>
  <c r="U73" i="59" s="1"/>
  <c r="S5" i="43"/>
  <c r="S63" i="43"/>
  <c r="U67" i="59" s="1"/>
  <c r="S69" i="43"/>
  <c r="U74" i="59" s="1"/>
  <c r="S70" i="43"/>
  <c r="S71" i="43"/>
  <c r="U76" i="59" s="1"/>
  <c r="S72" i="43"/>
  <c r="U82" i="59" s="1"/>
  <c r="U166" i="59" s="1"/>
  <c r="U156" i="59" s="1"/>
  <c r="T2" i="43"/>
  <c r="Q12" i="43"/>
  <c r="Q9" i="43" s="1"/>
  <c r="R11" i="43"/>
  <c r="R10" i="43"/>
  <c r="A93" i="78"/>
  <c r="C93" i="78" s="1"/>
  <c r="A92" i="78"/>
  <c r="D92" i="78" s="1"/>
  <c r="A91" i="78"/>
  <c r="G91" i="78" s="1"/>
  <c r="A90" i="78"/>
  <c r="F90" i="78" s="1"/>
  <c r="C20" i="120"/>
  <c r="T66" i="43" a="1"/>
  <c r="T69" i="43" a="1"/>
  <c r="T71" i="43" a="1"/>
  <c r="T1" i="43" a="1"/>
  <c r="T68" i="43" a="1"/>
  <c r="T3" i="43" a="1"/>
  <c r="T65" i="43" a="1"/>
  <c r="T63" i="43" a="1"/>
  <c r="T7" i="43" a="1"/>
  <c r="T6" i="43" a="1"/>
  <c r="T4" i="43" a="1"/>
  <c r="T5" i="43" a="1"/>
  <c r="T67" i="43" a="1"/>
  <c r="T72" i="43" a="1"/>
  <c r="T70" i="43" a="1"/>
  <c r="T64" i="43" a="1"/>
  <c r="P22" i="58" l="1"/>
  <c r="P116" i="58"/>
  <c r="Q165" i="59"/>
  <c r="Q155" i="59" s="1"/>
  <c r="Q164" i="59"/>
  <c r="Q154" i="59" s="1"/>
  <c r="P43" i="58"/>
  <c r="I121" i="58"/>
  <c r="P55" i="58"/>
  <c r="P67" i="58" s="1"/>
  <c r="R123" i="58"/>
  <c r="R134" i="58" s="1"/>
  <c r="R31" i="58"/>
  <c r="R33" i="58" s="1"/>
  <c r="R125" i="58"/>
  <c r="R136" i="58" s="1"/>
  <c r="Q218" i="58"/>
  <c r="Q208" i="58" s="1"/>
  <c r="R124" i="58"/>
  <c r="R135" i="58" s="1"/>
  <c r="R13" i="58"/>
  <c r="R20" i="58" s="1"/>
  <c r="U57" i="59"/>
  <c r="U59" i="59"/>
  <c r="U56" i="59"/>
  <c r="U58" i="59"/>
  <c r="Q31" i="58"/>
  <c r="Q123" i="58"/>
  <c r="Q134" i="58" s="1"/>
  <c r="Q97" i="58"/>
  <c r="Q88" i="58"/>
  <c r="Q87" i="58" s="1"/>
  <c r="Q124" i="58"/>
  <c r="Q135" i="58" s="1"/>
  <c r="Q13" i="58"/>
  <c r="Q20" i="58" s="1"/>
  <c r="Q125" i="58"/>
  <c r="Q136" i="58" s="1"/>
  <c r="S68" i="59"/>
  <c r="S160" i="59"/>
  <c r="S170" i="59" s="1"/>
  <c r="R15" i="59"/>
  <c r="R39" i="59"/>
  <c r="R49" i="59"/>
  <c r="R31" i="59"/>
  <c r="R12" i="59"/>
  <c r="R26" i="59"/>
  <c r="R21" i="59"/>
  <c r="R16" i="59"/>
  <c r="S8" i="59"/>
  <c r="T7" i="58"/>
  <c r="T7" i="59"/>
  <c r="Q171" i="59"/>
  <c r="Q161" i="59" s="1"/>
  <c r="Q163" i="59"/>
  <c r="Q153" i="59" s="1"/>
  <c r="Q162" i="59"/>
  <c r="Q152" i="59" s="1"/>
  <c r="R70" i="59"/>
  <c r="R165" i="59" s="1"/>
  <c r="R155" i="59" s="1"/>
  <c r="T57" i="59"/>
  <c r="T59" i="59"/>
  <c r="T56" i="59"/>
  <c r="T58" i="59"/>
  <c r="U75" i="59"/>
  <c r="Q40" i="58"/>
  <c r="Q217" i="58"/>
  <c r="Q207" i="58" s="1"/>
  <c r="S5" i="58"/>
  <c r="S12" i="58" s="1"/>
  <c r="S11" i="58" s="1"/>
  <c r="S113" i="58" s="1"/>
  <c r="S5" i="59"/>
  <c r="U4" i="58"/>
  <c r="U4" i="59"/>
  <c r="U2" i="58"/>
  <c r="U2" i="59"/>
  <c r="U3" i="58"/>
  <c r="U3" i="59"/>
  <c r="Q17" i="58"/>
  <c r="Q18" i="58" s="1"/>
  <c r="Q24" i="58" s="1"/>
  <c r="Q25" i="58" s="1"/>
  <c r="Q26" i="58" s="1"/>
  <c r="Q27" i="58" s="1"/>
  <c r="R97" i="58"/>
  <c r="R104" i="58" s="1"/>
  <c r="T8" i="60"/>
  <c r="T40" i="60"/>
  <c r="T41" i="60"/>
  <c r="R17" i="58"/>
  <c r="R18" i="58" s="1"/>
  <c r="R24" i="58" s="1"/>
  <c r="R25" i="58" s="1"/>
  <c r="R26" i="58" s="1"/>
  <c r="R27" i="58" s="1"/>
  <c r="R88" i="58"/>
  <c r="R87" i="58" s="1"/>
  <c r="O83" i="58"/>
  <c r="O126" i="58"/>
  <c r="P111" i="58"/>
  <c r="P112" i="58"/>
  <c r="P108" i="58"/>
  <c r="P107" i="58"/>
  <c r="O105" i="58"/>
  <c r="O106" i="58"/>
  <c r="O109" i="58"/>
  <c r="O110" i="58" s="1"/>
  <c r="U1" i="60"/>
  <c r="U1" i="58"/>
  <c r="O99" i="58"/>
  <c r="O100" i="58" s="1"/>
  <c r="R163" i="58"/>
  <c r="T8" i="58"/>
  <c r="S162" i="58"/>
  <c r="S161" i="58"/>
  <c r="O48" i="58"/>
  <c r="O45" i="58"/>
  <c r="O49" i="58"/>
  <c r="O61" i="58" s="1"/>
  <c r="O50" i="58"/>
  <c r="O62" i="58" s="1"/>
  <c r="P83" i="58"/>
  <c r="P126" i="58"/>
  <c r="P99" i="58"/>
  <c r="P51" i="58"/>
  <c r="P63" i="58" s="1"/>
  <c r="P44" i="58"/>
  <c r="R57" i="58"/>
  <c r="R69" i="58" s="1"/>
  <c r="R42" i="58"/>
  <c r="R56" i="58"/>
  <c r="R68" i="58" s="1"/>
  <c r="R21" i="58"/>
  <c r="U5" i="60"/>
  <c r="U6" i="58"/>
  <c r="R114" i="58"/>
  <c r="R115" i="58"/>
  <c r="T82" i="58"/>
  <c r="O44" i="58"/>
  <c r="T162" i="58"/>
  <c r="T161" i="58"/>
  <c r="P23" i="58"/>
  <c r="U4" i="60"/>
  <c r="U2" i="60"/>
  <c r="U3" i="60"/>
  <c r="U53" i="61"/>
  <c r="U55" i="61"/>
  <c r="U57" i="61"/>
  <c r="V1" i="61"/>
  <c r="S8" i="43"/>
  <c r="R12" i="43"/>
  <c r="R9" i="43" s="1"/>
  <c r="T69" i="43"/>
  <c r="V74" i="59" s="1"/>
  <c r="T68" i="43"/>
  <c r="V73" i="59" s="1"/>
  <c r="T65" i="43"/>
  <c r="V69" i="59" s="1"/>
  <c r="T6" i="43"/>
  <c r="T1" i="43"/>
  <c r="V1" i="59" s="1"/>
  <c r="T3" i="43"/>
  <c r="T5" i="43"/>
  <c r="T64" i="43"/>
  <c r="T63" i="43"/>
  <c r="V67" i="59" s="1"/>
  <c r="T67" i="43"/>
  <c r="V72" i="59" s="1"/>
  <c r="T4" i="43"/>
  <c r="T7" i="43"/>
  <c r="V6" i="59" s="1"/>
  <c r="T66" i="43"/>
  <c r="V71" i="59" s="1"/>
  <c r="T70" i="43"/>
  <c r="T71" i="43"/>
  <c r="V76" i="59" s="1"/>
  <c r="T72" i="43"/>
  <c r="V82" i="59" s="1"/>
  <c r="V166" i="59" s="1"/>
  <c r="V156" i="59" s="1"/>
  <c r="U2" i="43"/>
  <c r="S10" i="43"/>
  <c r="S11" i="43"/>
  <c r="E92" i="78"/>
  <c r="F92" i="78"/>
  <c r="G92" i="78"/>
  <c r="C90" i="78"/>
  <c r="B90" i="78"/>
  <c r="D90" i="78"/>
  <c r="D93" i="78"/>
  <c r="F93" i="78"/>
  <c r="G90" i="78"/>
  <c r="B93" i="78"/>
  <c r="B91" i="78"/>
  <c r="C91" i="78"/>
  <c r="G93" i="78"/>
  <c r="E91" i="78"/>
  <c r="E93" i="78"/>
  <c r="F91" i="78"/>
  <c r="E90" i="78"/>
  <c r="D91" i="78"/>
  <c r="B92" i="78"/>
  <c r="C92" i="78"/>
  <c r="U1" i="43" a="1"/>
  <c r="R164" i="59" l="1"/>
  <c r="R154" i="59" s="1"/>
  <c r="R167" i="59"/>
  <c r="R157" i="59" s="1"/>
  <c r="R98" i="58"/>
  <c r="R32" i="58"/>
  <c r="R34" i="58" s="1"/>
  <c r="R36" i="58" s="1"/>
  <c r="R39" i="58" s="1"/>
  <c r="O46" i="58"/>
  <c r="O120" i="58" s="1"/>
  <c r="O199" i="58" s="1"/>
  <c r="U8" i="58"/>
  <c r="U9" i="58" s="1"/>
  <c r="U10" i="58" s="1"/>
  <c r="S88" i="58"/>
  <c r="S87" i="58" s="1"/>
  <c r="S124" i="58"/>
  <c r="S135" i="58" s="1"/>
  <c r="S31" i="58"/>
  <c r="S32" i="58" s="1"/>
  <c r="S34" i="58" s="1"/>
  <c r="S97" i="58"/>
  <c r="S104" i="58" s="1"/>
  <c r="S109" i="58" s="1"/>
  <c r="S110" i="58" s="1"/>
  <c r="S123" i="58"/>
  <c r="S134" i="58" s="1"/>
  <c r="S125" i="58"/>
  <c r="S136" i="58" s="1"/>
  <c r="S13" i="58"/>
  <c r="S20" i="58" s="1"/>
  <c r="S42" i="58" s="1"/>
  <c r="R171" i="59"/>
  <c r="R161" i="59" s="1"/>
  <c r="R162" i="59"/>
  <c r="R152" i="59" s="1"/>
  <c r="R163" i="59"/>
  <c r="R153" i="59" s="1"/>
  <c r="S16" i="59"/>
  <c r="S26" i="59"/>
  <c r="S39" i="59"/>
  <c r="S49" i="59"/>
  <c r="S12" i="59"/>
  <c r="S21" i="59"/>
  <c r="S31" i="59"/>
  <c r="S15" i="59"/>
  <c r="T5" i="58"/>
  <c r="T12" i="58" s="1"/>
  <c r="T5" i="59"/>
  <c r="S70" i="59"/>
  <c r="S167" i="59" s="1"/>
  <c r="S157" i="59" s="1"/>
  <c r="V2" i="58"/>
  <c r="V2" i="59"/>
  <c r="U7" i="58"/>
  <c r="U7" i="59"/>
  <c r="U84" i="59" s="1"/>
  <c r="Q56" i="58"/>
  <c r="Q68" i="58" s="1"/>
  <c r="Q57" i="58"/>
  <c r="Q69" i="58" s="1"/>
  <c r="Q21" i="58"/>
  <c r="Q42" i="58"/>
  <c r="Q98" i="58"/>
  <c r="Q104" i="58"/>
  <c r="Q109" i="58" s="1"/>
  <c r="Q110" i="58" s="1"/>
  <c r="Q115" i="58"/>
  <c r="Q114" i="58"/>
  <c r="Q32" i="58"/>
  <c r="Q34" i="58" s="1"/>
  <c r="Q33" i="58"/>
  <c r="V4" i="58"/>
  <c r="V4" i="59"/>
  <c r="S17" i="58"/>
  <c r="S18" i="58" s="1"/>
  <c r="S24" i="58" s="1"/>
  <c r="S25" i="58" s="1"/>
  <c r="S26" i="58" s="1"/>
  <c r="S27" i="58" s="1"/>
  <c r="V3" i="58"/>
  <c r="V3" i="59"/>
  <c r="V75" i="59"/>
  <c r="U54" i="59"/>
  <c r="U51" i="59"/>
  <c r="U45" i="59"/>
  <c r="U42" i="59"/>
  <c r="U39" i="59"/>
  <c r="U30" i="59"/>
  <c r="U27" i="59"/>
  <c r="U24" i="59"/>
  <c r="U21" i="59"/>
  <c r="U15" i="59"/>
  <c r="U12" i="59"/>
  <c r="U50" i="59"/>
  <c r="U47" i="59"/>
  <c r="U44" i="59"/>
  <c r="U41" i="59"/>
  <c r="U35" i="59"/>
  <c r="U32" i="59"/>
  <c r="U29" i="59"/>
  <c r="U26" i="59"/>
  <c r="U20" i="59"/>
  <c r="U17" i="59"/>
  <c r="U55" i="59"/>
  <c r="U52" i="59"/>
  <c r="U49" i="59"/>
  <c r="U40" i="59"/>
  <c r="U37" i="59"/>
  <c r="U34" i="59"/>
  <c r="U31" i="59"/>
  <c r="U25" i="59"/>
  <c r="U22" i="59"/>
  <c r="U19" i="59"/>
  <c r="U16" i="59"/>
  <c r="T84" i="59"/>
  <c r="V57" i="59"/>
  <c r="V59" i="59"/>
  <c r="V56" i="59"/>
  <c r="V58" i="59"/>
  <c r="S163" i="58"/>
  <c r="S217" i="58" s="1"/>
  <c r="S207" i="58" s="1"/>
  <c r="O137" i="58"/>
  <c r="O93" i="58"/>
  <c r="O203" i="58"/>
  <c r="P102" i="58"/>
  <c r="P101" i="58"/>
  <c r="P103" i="58"/>
  <c r="P100" i="58"/>
  <c r="P137" i="58"/>
  <c r="P93" i="58"/>
  <c r="P203" i="58"/>
  <c r="R105" i="58"/>
  <c r="R106" i="58"/>
  <c r="O112" i="58"/>
  <c r="O111" i="58"/>
  <c r="V1" i="60"/>
  <c r="V1" i="58"/>
  <c r="O108" i="58"/>
  <c r="O107" i="58"/>
  <c r="P48" i="58"/>
  <c r="P45" i="58"/>
  <c r="P46" i="58" s="1"/>
  <c r="P85" i="58" s="1"/>
  <c r="P50" i="58"/>
  <c r="P62" i="58" s="1"/>
  <c r="P49" i="58"/>
  <c r="P61" i="58" s="1"/>
  <c r="P53" i="58"/>
  <c r="R109" i="58"/>
  <c r="R110" i="58" s="1"/>
  <c r="O60" i="58"/>
  <c r="O103" i="58"/>
  <c r="R117" i="58"/>
  <c r="R116" i="58"/>
  <c r="O101" i="58"/>
  <c r="U160" i="58"/>
  <c r="U82" i="58"/>
  <c r="O102" i="58"/>
  <c r="S114" i="58"/>
  <c r="S115" i="58"/>
  <c r="R22" i="58"/>
  <c r="T9" i="58"/>
  <c r="T10" i="58" s="1"/>
  <c r="V5" i="60"/>
  <c r="V6" i="58"/>
  <c r="O53" i="58"/>
  <c r="R218" i="58"/>
  <c r="R208" i="58" s="1"/>
  <c r="R220" i="58"/>
  <c r="R210" i="58" s="1"/>
  <c r="R217" i="58"/>
  <c r="R207" i="58" s="1"/>
  <c r="R40" i="58"/>
  <c r="T163" i="58"/>
  <c r="R54" i="58"/>
  <c r="R66" i="58" s="1"/>
  <c r="R55" i="58"/>
  <c r="R67" i="58" s="1"/>
  <c r="R43" i="58"/>
  <c r="U41" i="60"/>
  <c r="U8" i="60"/>
  <c r="U40" i="60"/>
  <c r="U37" i="60"/>
  <c r="U38" i="60" s="1"/>
  <c r="U39" i="60" s="1"/>
  <c r="V4" i="60"/>
  <c r="V2" i="60"/>
  <c r="V3" i="60"/>
  <c r="U58" i="61"/>
  <c r="U64" i="61" s="1"/>
  <c r="U86" i="61" s="1"/>
  <c r="U59" i="61"/>
  <c r="U65" i="61" s="1"/>
  <c r="U87" i="61" s="1"/>
  <c r="U60" i="61"/>
  <c r="U74" i="61" s="1"/>
  <c r="U95" i="61" s="1"/>
  <c r="W1" i="61"/>
  <c r="T8" i="43"/>
  <c r="U1" i="43"/>
  <c r="S12" i="43"/>
  <c r="S9" i="43" s="1"/>
  <c r="V2" i="43"/>
  <c r="T10" i="43"/>
  <c r="T11" i="43"/>
  <c r="C18" i="12"/>
  <c r="V1" i="43" a="1"/>
  <c r="R119" i="58" l="1"/>
  <c r="R35" i="58"/>
  <c r="S33" i="58"/>
  <c r="S36" i="58" s="1"/>
  <c r="O85" i="58"/>
  <c r="O216" i="58" s="1"/>
  <c r="R118" i="58"/>
  <c r="V8" i="58"/>
  <c r="V9" i="58" s="1"/>
  <c r="V10" i="58" s="1"/>
  <c r="O127" i="58"/>
  <c r="O138" i="58" s="1"/>
  <c r="Q36" i="58"/>
  <c r="Q39" i="58" s="1"/>
  <c r="S164" i="59"/>
  <c r="S154" i="59" s="1"/>
  <c r="S57" i="58"/>
  <c r="S69" i="58" s="1"/>
  <c r="S98" i="58"/>
  <c r="T8" i="59"/>
  <c r="S165" i="59"/>
  <c r="S155" i="59" s="1"/>
  <c r="T33" i="59"/>
  <c r="T43" i="59"/>
  <c r="T18" i="59"/>
  <c r="T28" i="59"/>
  <c r="T53" i="59"/>
  <c r="T23" i="59"/>
  <c r="V54" i="59"/>
  <c r="V51" i="59"/>
  <c r="V45" i="59"/>
  <c r="V42" i="59"/>
  <c r="V39" i="59"/>
  <c r="V30" i="59"/>
  <c r="V27" i="59"/>
  <c r="V24" i="59"/>
  <c r="V21" i="59"/>
  <c r="V15" i="59"/>
  <c r="V12" i="59"/>
  <c r="V50" i="59"/>
  <c r="V47" i="59"/>
  <c r="V44" i="59"/>
  <c r="V41" i="59"/>
  <c r="V35" i="59"/>
  <c r="V32" i="59"/>
  <c r="V29" i="59"/>
  <c r="V26" i="59"/>
  <c r="V20" i="59"/>
  <c r="V17" i="59"/>
  <c r="V55" i="59"/>
  <c r="V52" i="59"/>
  <c r="V49" i="59"/>
  <c r="V40" i="59"/>
  <c r="V37" i="59"/>
  <c r="V34" i="59"/>
  <c r="V31" i="59"/>
  <c r="V25" i="59"/>
  <c r="V22" i="59"/>
  <c r="V19" i="59"/>
  <c r="V16" i="59"/>
  <c r="Q118" i="58"/>
  <c r="Q35" i="58"/>
  <c r="Q119" i="58"/>
  <c r="S171" i="59"/>
  <c r="S161" i="59" s="1"/>
  <c r="S163" i="59"/>
  <c r="S153" i="59" s="1"/>
  <c r="S162" i="59"/>
  <c r="S152" i="59" s="1"/>
  <c r="Q116" i="58"/>
  <c r="Q117" i="58"/>
  <c r="T11" i="58"/>
  <c r="Q55" i="58"/>
  <c r="Q67" i="58" s="1"/>
  <c r="Q54" i="58"/>
  <c r="Q66" i="58" s="1"/>
  <c r="Q43" i="58"/>
  <c r="Q22" i="58"/>
  <c r="S220" i="58"/>
  <c r="S210" i="58" s="1"/>
  <c r="U68" i="59"/>
  <c r="U160" i="59"/>
  <c r="U170" i="59" s="1"/>
  <c r="S40" i="58"/>
  <c r="S218" i="58"/>
  <c r="S208" i="58" s="1"/>
  <c r="S21" i="58"/>
  <c r="S54" i="58" s="1"/>
  <c r="S66" i="58" s="1"/>
  <c r="V7" i="58"/>
  <c r="V7" i="59"/>
  <c r="V84" i="59" s="1"/>
  <c r="Q105" i="58"/>
  <c r="Q106" i="58"/>
  <c r="S56" i="58"/>
  <c r="S68" i="58" s="1"/>
  <c r="U8" i="59"/>
  <c r="T68" i="59"/>
  <c r="T160" i="59"/>
  <c r="T170" i="59" s="1"/>
  <c r="U5" i="58"/>
  <c r="U12" i="58" s="1"/>
  <c r="U11" i="58" s="1"/>
  <c r="U113" i="58" s="1"/>
  <c r="U5" i="59"/>
  <c r="O128" i="58"/>
  <c r="O139" i="58" s="1"/>
  <c r="R108" i="58"/>
  <c r="R107" i="58"/>
  <c r="O94" i="58"/>
  <c r="O92" i="58"/>
  <c r="S35" i="58"/>
  <c r="S39" i="58"/>
  <c r="O65" i="58"/>
  <c r="O52" i="58"/>
  <c r="S117" i="58"/>
  <c r="S116" i="58"/>
  <c r="P216" i="58"/>
  <c r="P86" i="58"/>
  <c r="P92" i="58"/>
  <c r="P94" i="58"/>
  <c r="R51" i="58"/>
  <c r="R63" i="58" s="1"/>
  <c r="R44" i="58"/>
  <c r="R53" i="58" s="1"/>
  <c r="P65" i="58"/>
  <c r="P52" i="58"/>
  <c r="P64" i="58" s="1"/>
  <c r="P120" i="58"/>
  <c r="R23" i="58"/>
  <c r="P60" i="58"/>
  <c r="R111" i="58"/>
  <c r="R112" i="58"/>
  <c r="T218" i="58"/>
  <c r="T208" i="58" s="1"/>
  <c r="T220" i="58"/>
  <c r="T210" i="58" s="1"/>
  <c r="T217" i="58"/>
  <c r="T207" i="58" s="1"/>
  <c r="T40" i="58"/>
  <c r="V160" i="58"/>
  <c r="V82" i="58"/>
  <c r="U162" i="58"/>
  <c r="U161" i="58"/>
  <c r="R83" i="58"/>
  <c r="R126" i="58"/>
  <c r="R99" i="58"/>
  <c r="S105" i="58"/>
  <c r="S106" i="58"/>
  <c r="O89" i="58"/>
  <c r="V41" i="60"/>
  <c r="V8" i="60"/>
  <c r="V40" i="60"/>
  <c r="V37" i="60"/>
  <c r="V38" i="60" s="1"/>
  <c r="V39" i="60" s="1"/>
  <c r="X1" i="61"/>
  <c r="V1" i="43"/>
  <c r="T12" i="43"/>
  <c r="T9" i="43" s="1"/>
  <c r="W2" i="43"/>
  <c r="W1" i="43" a="1"/>
  <c r="W66" i="43" a="1"/>
  <c r="W65" i="43" a="1"/>
  <c r="W64" i="43" a="1"/>
  <c r="W72" i="43" a="1"/>
  <c r="W5" i="43" a="1"/>
  <c r="W6" i="43" a="1"/>
  <c r="W7" i="43" a="1"/>
  <c r="W70" i="43" a="1"/>
  <c r="W69" i="43" a="1"/>
  <c r="W3" i="43" a="1"/>
  <c r="W68" i="43" a="1"/>
  <c r="W4" i="43" a="1"/>
  <c r="W67" i="43" a="1"/>
  <c r="W71" i="43" a="1"/>
  <c r="W63" i="43" a="1"/>
  <c r="O86" i="58" l="1"/>
  <c r="S119" i="58"/>
  <c r="S118" i="58"/>
  <c r="T31" i="58"/>
  <c r="T32" i="58" s="1"/>
  <c r="T34" i="58" s="1"/>
  <c r="T113" i="58"/>
  <c r="T115" i="58" s="1"/>
  <c r="P199" i="58"/>
  <c r="P127" i="58"/>
  <c r="P138" i="58" s="1"/>
  <c r="P80" i="58"/>
  <c r="P81" i="58" s="1"/>
  <c r="T88" i="58"/>
  <c r="T87" i="58" s="1"/>
  <c r="T124" i="58"/>
  <c r="T135" i="58" s="1"/>
  <c r="T125" i="58"/>
  <c r="T136" i="58" s="1"/>
  <c r="T13" i="58"/>
  <c r="T20" i="58" s="1"/>
  <c r="T57" i="58" s="1"/>
  <c r="T69" i="58" s="1"/>
  <c r="T123" i="58"/>
  <c r="T134" i="58" s="1"/>
  <c r="U17" i="58"/>
  <c r="U18" i="58" s="1"/>
  <c r="U24" i="58" s="1"/>
  <c r="U25" i="58" s="1"/>
  <c r="U26" i="58" s="1"/>
  <c r="U123" i="58"/>
  <c r="U134" i="58" s="1"/>
  <c r="U125" i="58"/>
  <c r="U136" i="58" s="1"/>
  <c r="U97" i="58"/>
  <c r="U13" i="58"/>
  <c r="U20" i="58" s="1"/>
  <c r="U57" i="58" s="1"/>
  <c r="U69" i="58" s="1"/>
  <c r="U124" i="58"/>
  <c r="U135" i="58" s="1"/>
  <c r="U31" i="58"/>
  <c r="U32" i="58" s="1"/>
  <c r="U34" i="58" s="1"/>
  <c r="U88" i="58"/>
  <c r="U87" i="58" s="1"/>
  <c r="O129" i="58"/>
  <c r="O140" i="58" s="1"/>
  <c r="Q83" i="58"/>
  <c r="Q99" i="58"/>
  <c r="Q126" i="58"/>
  <c r="V5" i="58"/>
  <c r="V12" i="58" s="1"/>
  <c r="V5" i="59"/>
  <c r="Q44" i="58"/>
  <c r="Q53" i="58" s="1"/>
  <c r="Q65" i="58" s="1"/>
  <c r="Q51" i="58"/>
  <c r="Q63" i="58" s="1"/>
  <c r="U70" i="59"/>
  <c r="U165" i="59" s="1"/>
  <c r="U155" i="59" s="1"/>
  <c r="V68" i="59"/>
  <c r="V160" i="59"/>
  <c r="V170" i="59" s="1"/>
  <c r="Q23" i="58"/>
  <c r="S55" i="58"/>
  <c r="S67" i="58" s="1"/>
  <c r="V8" i="59"/>
  <c r="Q108" i="58"/>
  <c r="Q107" i="58"/>
  <c r="U33" i="59"/>
  <c r="U43" i="59"/>
  <c r="U18" i="59"/>
  <c r="U28" i="59"/>
  <c r="U53" i="59"/>
  <c r="U23" i="59"/>
  <c r="S22" i="58"/>
  <c r="S23" i="58" s="1"/>
  <c r="S49" i="58" s="1"/>
  <c r="S61" i="58" s="1"/>
  <c r="S43" i="58"/>
  <c r="T171" i="59"/>
  <c r="T161" i="59" s="1"/>
  <c r="T70" i="59"/>
  <c r="T167" i="59" s="1"/>
  <c r="T157" i="59" s="1"/>
  <c r="T17" i="58"/>
  <c r="T18" i="58" s="1"/>
  <c r="T24" i="58" s="1"/>
  <c r="T25" i="58" s="1"/>
  <c r="T26" i="58" s="1"/>
  <c r="Q112" i="58"/>
  <c r="Q111" i="58"/>
  <c r="O95" i="58"/>
  <c r="O96" i="58" s="1"/>
  <c r="O212" i="58" s="1"/>
  <c r="O204" i="58" s="1"/>
  <c r="P95" i="58"/>
  <c r="P96" i="58" s="1"/>
  <c r="P212" i="58" s="1"/>
  <c r="P204" i="58" s="1"/>
  <c r="R65" i="58"/>
  <c r="R52" i="58"/>
  <c r="R64" i="58" s="1"/>
  <c r="S108" i="58"/>
  <c r="S107" i="58"/>
  <c r="O64" i="58"/>
  <c r="O80" i="58"/>
  <c r="O81" i="58" s="1"/>
  <c r="S83" i="58"/>
  <c r="S126" i="58"/>
  <c r="S99" i="58"/>
  <c r="P47" i="58"/>
  <c r="P58" i="58"/>
  <c r="R103" i="58"/>
  <c r="R102" i="58"/>
  <c r="R101" i="58"/>
  <c r="R100" i="58"/>
  <c r="O90" i="58"/>
  <c r="O91" i="58" s="1"/>
  <c r="S111" i="58"/>
  <c r="S112" i="58"/>
  <c r="V162" i="58"/>
  <c r="V161" i="58"/>
  <c r="R48" i="58"/>
  <c r="R45" i="58"/>
  <c r="R46" i="58" s="1"/>
  <c r="R50" i="58"/>
  <c r="R62" i="58" s="1"/>
  <c r="R49" i="58"/>
  <c r="R61" i="58" s="1"/>
  <c r="U163" i="58"/>
  <c r="P89" i="58"/>
  <c r="R137" i="58"/>
  <c r="R93" i="58"/>
  <c r="R203" i="58"/>
  <c r="Y1" i="61"/>
  <c r="W71" i="43"/>
  <c r="Y76" i="59" s="1"/>
  <c r="W65" i="43"/>
  <c r="Y69" i="59" s="1"/>
  <c r="W72" i="43"/>
  <c r="Y82" i="59" s="1"/>
  <c r="Y166" i="59" s="1"/>
  <c r="Y156" i="59" s="1"/>
  <c r="W66" i="43"/>
  <c r="Y71" i="59" s="1"/>
  <c r="W3" i="43"/>
  <c r="W67" i="43"/>
  <c r="Y72" i="59" s="1"/>
  <c r="W4" i="43"/>
  <c r="W1" i="43"/>
  <c r="Y1" i="59" s="1"/>
  <c r="W68" i="43"/>
  <c r="Y73" i="59" s="1"/>
  <c r="W5" i="43"/>
  <c r="W69" i="43"/>
  <c r="Y74" i="59" s="1"/>
  <c r="W63" i="43"/>
  <c r="Y67" i="59" s="1"/>
  <c r="W6" i="43"/>
  <c r="W70" i="43"/>
  <c r="W64" i="43"/>
  <c r="W7" i="43"/>
  <c r="Y6" i="59" s="1"/>
  <c r="X2" i="43"/>
  <c r="Z145" i="54"/>
  <c r="X66" i="43" a="1"/>
  <c r="X71" i="43" a="1"/>
  <c r="X1" i="43" a="1"/>
  <c r="X65" i="43" a="1"/>
  <c r="X70" i="43" a="1"/>
  <c r="X67" i="43" a="1"/>
  <c r="X69" i="43" a="1"/>
  <c r="X7" i="43" a="1"/>
  <c r="X3" i="43" a="1"/>
  <c r="X5" i="43" a="1"/>
  <c r="X68" i="43" a="1"/>
  <c r="X72" i="43" a="1"/>
  <c r="X6" i="43" a="1"/>
  <c r="X4" i="43" a="1"/>
  <c r="X63" i="43" a="1"/>
  <c r="X64" i="43" a="1"/>
  <c r="T114" i="58" l="1"/>
  <c r="T164" i="59"/>
  <c r="T154" i="59" s="1"/>
  <c r="T162" i="59"/>
  <c r="T152" i="59" s="1"/>
  <c r="T97" i="58"/>
  <c r="T104" i="58" s="1"/>
  <c r="T109" i="58" s="1"/>
  <c r="T110" i="58" s="1"/>
  <c r="T163" i="59"/>
  <c r="T153" i="59" s="1"/>
  <c r="T21" i="58"/>
  <c r="T56" i="58"/>
  <c r="T68" i="58" s="1"/>
  <c r="T42" i="58"/>
  <c r="T33" i="58"/>
  <c r="T36" i="58" s="1"/>
  <c r="T39" i="58" s="1"/>
  <c r="U164" i="59"/>
  <c r="U154" i="59" s="1"/>
  <c r="P128" i="58"/>
  <c r="T165" i="59"/>
  <c r="T155" i="59" s="1"/>
  <c r="U114" i="58"/>
  <c r="U117" i="58" s="1"/>
  <c r="U115" i="58"/>
  <c r="U42" i="58"/>
  <c r="U56" i="58"/>
  <c r="U68" i="58" s="1"/>
  <c r="U21" i="58"/>
  <c r="U22" i="58" s="1"/>
  <c r="O130" i="58"/>
  <c r="O141" i="58" s="1"/>
  <c r="U167" i="59"/>
  <c r="U157" i="59" s="1"/>
  <c r="U33" i="58"/>
  <c r="S44" i="58"/>
  <c r="S51" i="58"/>
  <c r="S63" i="58" s="1"/>
  <c r="U104" i="58"/>
  <c r="U105" i="58" s="1"/>
  <c r="U98" i="58"/>
  <c r="Y59" i="59"/>
  <c r="Y56" i="59"/>
  <c r="Y58" i="59"/>
  <c r="Y57" i="59"/>
  <c r="S48" i="58"/>
  <c r="S60" i="58" s="1"/>
  <c r="Y4" i="58"/>
  <c r="Y4" i="59"/>
  <c r="S45" i="58"/>
  <c r="Y75" i="59"/>
  <c r="Q52" i="58"/>
  <c r="Q64" i="58" s="1"/>
  <c r="Y3" i="58"/>
  <c r="Y3" i="59"/>
  <c r="S50" i="58"/>
  <c r="S62" i="58" s="1"/>
  <c r="Y2" i="58"/>
  <c r="Y2" i="59"/>
  <c r="V11" i="58"/>
  <c r="Q50" i="58"/>
  <c r="Q62" i="58" s="1"/>
  <c r="Q48" i="58"/>
  <c r="Q60" i="58" s="1"/>
  <c r="Q49" i="58"/>
  <c r="Q61" i="58" s="1"/>
  <c r="Q45" i="58"/>
  <c r="Q46" i="58" s="1"/>
  <c r="V70" i="59"/>
  <c r="V167" i="59" s="1"/>
  <c r="V157" i="59" s="1"/>
  <c r="V23" i="59"/>
  <c r="V33" i="59"/>
  <c r="V43" i="59"/>
  <c r="V18" i="59"/>
  <c r="V28" i="59"/>
  <c r="V53" i="59"/>
  <c r="Q137" i="58"/>
  <c r="Q103" i="58"/>
  <c r="Q100" i="58"/>
  <c r="Q102" i="58"/>
  <c r="Q101" i="58"/>
  <c r="Q93" i="58"/>
  <c r="Q203" i="58"/>
  <c r="U171" i="59"/>
  <c r="U161" i="59" s="1"/>
  <c r="U162" i="59"/>
  <c r="U152" i="59" s="1"/>
  <c r="U163" i="59"/>
  <c r="U153" i="59" s="1"/>
  <c r="Y5" i="60"/>
  <c r="Y6" i="58"/>
  <c r="Y1" i="60"/>
  <c r="Y1" i="58"/>
  <c r="R120" i="58"/>
  <c r="R80" i="58"/>
  <c r="R81" i="58" s="1"/>
  <c r="R60" i="58"/>
  <c r="V163" i="58"/>
  <c r="O58" i="58"/>
  <c r="O47" i="58"/>
  <c r="U27" i="58"/>
  <c r="T117" i="58"/>
  <c r="T116" i="58"/>
  <c r="T54" i="58"/>
  <c r="T66" i="58" s="1"/>
  <c r="T55" i="58"/>
  <c r="T67" i="58" s="1"/>
  <c r="T43" i="58"/>
  <c r="T22" i="58"/>
  <c r="T23" i="58" s="1"/>
  <c r="T27" i="58"/>
  <c r="R92" i="58"/>
  <c r="R94" i="58"/>
  <c r="S53" i="58"/>
  <c r="R85" i="58"/>
  <c r="P90" i="58"/>
  <c r="P91" i="58" s="1"/>
  <c r="S103" i="58"/>
  <c r="S102" i="58"/>
  <c r="S101" i="58"/>
  <c r="S100" i="58"/>
  <c r="U218" i="58"/>
  <c r="U208" i="58" s="1"/>
  <c r="U220" i="58"/>
  <c r="U210" i="58" s="1"/>
  <c r="U217" i="58"/>
  <c r="U207" i="58" s="1"/>
  <c r="U40" i="58"/>
  <c r="S137" i="58"/>
  <c r="O215" i="58"/>
  <c r="O200" i="58"/>
  <c r="S93" i="58"/>
  <c r="S203" i="58"/>
  <c r="T106" i="58"/>
  <c r="O201" i="58"/>
  <c r="Y4" i="60"/>
  <c r="Y3" i="60"/>
  <c r="Y2" i="60"/>
  <c r="Z1" i="61"/>
  <c r="W8" i="43"/>
  <c r="X65" i="43"/>
  <c r="Z69" i="59" s="1"/>
  <c r="X72" i="43"/>
  <c r="Z82" i="59" s="1"/>
  <c r="Z166" i="59" s="1"/>
  <c r="Z156" i="59" s="1"/>
  <c r="X66" i="43"/>
  <c r="Z71" i="59" s="1"/>
  <c r="X3" i="43"/>
  <c r="X67" i="43"/>
  <c r="Z72" i="59" s="1"/>
  <c r="X4" i="43"/>
  <c r="X1" i="43"/>
  <c r="Z1" i="59" s="1"/>
  <c r="X68" i="43"/>
  <c r="Z73" i="59" s="1"/>
  <c r="X5" i="43"/>
  <c r="X71" i="43"/>
  <c r="Z76" i="59" s="1"/>
  <c r="X69" i="43"/>
  <c r="Z74" i="59" s="1"/>
  <c r="X63" i="43"/>
  <c r="Z67" i="59" s="1"/>
  <c r="X6" i="43"/>
  <c r="X7" i="43"/>
  <c r="Z6" i="59" s="1"/>
  <c r="X70" i="43"/>
  <c r="X64" i="43"/>
  <c r="Y2" i="43"/>
  <c r="W11" i="43"/>
  <c r="W10" i="43"/>
  <c r="AC161" i="54"/>
  <c r="Y67" i="43" a="1"/>
  <c r="Y7" i="43" a="1"/>
  <c r="Y71" i="43" a="1"/>
  <c r="Y1" i="43" a="1"/>
  <c r="Y69" i="43" a="1"/>
  <c r="Y4" i="43" a="1"/>
  <c r="Y72" i="43" a="1"/>
  <c r="Y64" i="43" a="1"/>
  <c r="Y70" i="43" a="1"/>
  <c r="Y5" i="43" a="1"/>
  <c r="Y63" i="43" a="1"/>
  <c r="Y65" i="43" a="1"/>
  <c r="Y66" i="43" a="1"/>
  <c r="Y6" i="43" a="1"/>
  <c r="Y68" i="43" a="1"/>
  <c r="Y3" i="43" a="1"/>
  <c r="T105" i="58" l="1"/>
  <c r="T108" i="58" s="1"/>
  <c r="T98" i="58"/>
  <c r="T118" i="58"/>
  <c r="T119" i="58"/>
  <c r="T35" i="58"/>
  <c r="V164" i="59"/>
  <c r="V154" i="59" s="1"/>
  <c r="O131" i="58"/>
  <c r="O142" i="58" s="1"/>
  <c r="U43" i="58"/>
  <c r="U116" i="58"/>
  <c r="V88" i="58"/>
  <c r="V87" i="58" s="1"/>
  <c r="V113" i="58"/>
  <c r="V97" i="58" s="1"/>
  <c r="V104" i="58" s="1"/>
  <c r="V105" i="58" s="1"/>
  <c r="U55" i="58"/>
  <c r="U67" i="58" s="1"/>
  <c r="S46" i="58"/>
  <c r="S85" i="58" s="1"/>
  <c r="S216" i="58" s="1"/>
  <c r="U54" i="58"/>
  <c r="U66" i="58" s="1"/>
  <c r="U35" i="58"/>
  <c r="U36" i="58"/>
  <c r="U39" i="58" s="1"/>
  <c r="U126" i="58" s="1"/>
  <c r="R127" i="58"/>
  <c r="R138" i="58" s="1"/>
  <c r="P139" i="58"/>
  <c r="P129" i="58"/>
  <c r="V165" i="59"/>
  <c r="V155" i="59" s="1"/>
  <c r="U118" i="58"/>
  <c r="U119" i="58"/>
  <c r="U109" i="58"/>
  <c r="U110" i="58" s="1"/>
  <c r="U106" i="58"/>
  <c r="U112" i="58" s="1"/>
  <c r="S120" i="58"/>
  <c r="Z75" i="59"/>
  <c r="V13" i="58"/>
  <c r="V20" i="58" s="1"/>
  <c r="V42" i="58" s="1"/>
  <c r="V124" i="58"/>
  <c r="V135" i="58" s="1"/>
  <c r="V31" i="58"/>
  <c r="Z2" i="58"/>
  <c r="Z2" i="59"/>
  <c r="Y47" i="59"/>
  <c r="Y35" i="59"/>
  <c r="Y23" i="59"/>
  <c r="Y54" i="59"/>
  <c r="Y42" i="59"/>
  <c r="Y30" i="59"/>
  <c r="Y18" i="59"/>
  <c r="Y40" i="59"/>
  <c r="Y49" i="59"/>
  <c r="Y37" i="59"/>
  <c r="Y25" i="59"/>
  <c r="Y52" i="59"/>
  <c r="Y44" i="59"/>
  <c r="Y20" i="59"/>
  <c r="Y39" i="59"/>
  <c r="Y15" i="59"/>
  <c r="Y34" i="59"/>
  <c r="Y53" i="59"/>
  <c r="Y29" i="59"/>
  <c r="Y16" i="59"/>
  <c r="Y24" i="59"/>
  <c r="Y12" i="59"/>
  <c r="Y28" i="59"/>
  <c r="Y55" i="59"/>
  <c r="Y43" i="59"/>
  <c r="Y31" i="59"/>
  <c r="Y19" i="59"/>
  <c r="Y50" i="59"/>
  <c r="Y26" i="59"/>
  <c r="Y45" i="59"/>
  <c r="Y33" i="59"/>
  <c r="Y21" i="59"/>
  <c r="Z4" i="58"/>
  <c r="Z4" i="59"/>
  <c r="Q80" i="58"/>
  <c r="Q81" i="58" s="1"/>
  <c r="Y7" i="58"/>
  <c r="Y7" i="59"/>
  <c r="Y84" i="59" s="1"/>
  <c r="Z3" i="58"/>
  <c r="Z3" i="59"/>
  <c r="Z59" i="59"/>
  <c r="Z56" i="59"/>
  <c r="Z58" i="59"/>
  <c r="Z57" i="59"/>
  <c r="V125" i="58"/>
  <c r="V136" i="58" s="1"/>
  <c r="Y8" i="58"/>
  <c r="Y9" i="58" s="1"/>
  <c r="Y10" i="58" s="1"/>
  <c r="V17" i="58"/>
  <c r="V18" i="58" s="1"/>
  <c r="V24" i="58" s="1"/>
  <c r="V25" i="58" s="1"/>
  <c r="V26" i="58" s="1"/>
  <c r="V27" i="58" s="1"/>
  <c r="V123" i="58"/>
  <c r="V134" i="58" s="1"/>
  <c r="Q85" i="58"/>
  <c r="Q120" i="58"/>
  <c r="V171" i="59"/>
  <c r="V161" i="59" s="1"/>
  <c r="V162" i="59"/>
  <c r="V152" i="59" s="1"/>
  <c r="V163" i="59"/>
  <c r="V153" i="59" s="1"/>
  <c r="Q92" i="58"/>
  <c r="Q94" i="58"/>
  <c r="R199" i="58"/>
  <c r="Z5" i="60"/>
  <c r="Z6" i="58"/>
  <c r="Z1" i="60"/>
  <c r="Z1" i="58"/>
  <c r="Y160" i="58"/>
  <c r="Y82" i="58"/>
  <c r="V218" i="58"/>
  <c r="V208" i="58" s="1"/>
  <c r="V220" i="58"/>
  <c r="V210" i="58" s="1"/>
  <c r="V217" i="58"/>
  <c r="V207" i="58" s="1"/>
  <c r="V40" i="58"/>
  <c r="R58" i="58"/>
  <c r="R47" i="58"/>
  <c r="R95" i="58"/>
  <c r="R96" i="58" s="1"/>
  <c r="R212" i="58" s="1"/>
  <c r="R204" i="58" s="1"/>
  <c r="T111" i="58"/>
  <c r="T112" i="58"/>
  <c r="T107" i="58"/>
  <c r="T83" i="58"/>
  <c r="T99" i="58"/>
  <c r="T126" i="58"/>
  <c r="T48" i="58"/>
  <c r="T45" i="58"/>
  <c r="T50" i="58"/>
  <c r="T62" i="58" s="1"/>
  <c r="T49" i="58"/>
  <c r="T61" i="58" s="1"/>
  <c r="S92" i="58"/>
  <c r="S94" i="58"/>
  <c r="P215" i="58"/>
  <c r="P200" i="58"/>
  <c r="Q58" i="58"/>
  <c r="Q47" i="58"/>
  <c r="P201" i="58"/>
  <c r="R89" i="58"/>
  <c r="U99" i="58"/>
  <c r="T51" i="58"/>
  <c r="T63" i="58" s="1"/>
  <c r="T44" i="58"/>
  <c r="R216" i="58"/>
  <c r="R86" i="58"/>
  <c r="S65" i="58"/>
  <c r="S52" i="58"/>
  <c r="U23" i="58"/>
  <c r="Z4" i="60"/>
  <c r="Z2" i="60"/>
  <c r="Z3" i="60"/>
  <c r="Y37" i="60"/>
  <c r="Y38" i="60" s="1"/>
  <c r="Y39" i="60" s="1"/>
  <c r="Y8" i="60"/>
  <c r="Y41" i="60"/>
  <c r="Y40" i="60"/>
  <c r="AA1" i="61"/>
  <c r="X8" i="43"/>
  <c r="W12" i="43"/>
  <c r="W9" i="43" s="1"/>
  <c r="Y66" i="43"/>
  <c r="AA71" i="59" s="1"/>
  <c r="Y64" i="43"/>
  <c r="Y3" i="43"/>
  <c r="Y1" i="43"/>
  <c r="AA1" i="59" s="1"/>
  <c r="Y6" i="43"/>
  <c r="Y67" i="43"/>
  <c r="AA72" i="59" s="1"/>
  <c r="Y72" i="43"/>
  <c r="AA82" i="59" s="1"/>
  <c r="AA166" i="59" s="1"/>
  <c r="AA156" i="59" s="1"/>
  <c r="Y4" i="43"/>
  <c r="Y63" i="43"/>
  <c r="AA67" i="59" s="1"/>
  <c r="Y70" i="43"/>
  <c r="Y7" i="43"/>
  <c r="AA6" i="59" s="1"/>
  <c r="Y68" i="43"/>
  <c r="AA73" i="59" s="1"/>
  <c r="Y5" i="43"/>
  <c r="Y69" i="43"/>
  <c r="AA74" i="59" s="1"/>
  <c r="Y65" i="43"/>
  <c r="AA69" i="59" s="1"/>
  <c r="Y71" i="43"/>
  <c r="AA76" i="59" s="1"/>
  <c r="Z2" i="43"/>
  <c r="X10" i="43"/>
  <c r="X11" i="43"/>
  <c r="K77" i="39"/>
  <c r="Z4" i="43" a="1"/>
  <c r="Z65" i="43" a="1"/>
  <c r="Z5" i="43" a="1"/>
  <c r="Z3" i="43" a="1"/>
  <c r="Z1" i="43" a="1"/>
  <c r="Z69" i="43" a="1"/>
  <c r="Z64" i="43" a="1"/>
  <c r="Z68" i="43" a="1"/>
  <c r="Z7" i="43" a="1"/>
  <c r="Z67" i="43" a="1"/>
  <c r="Z70" i="43" a="1"/>
  <c r="Z63" i="43" a="1"/>
  <c r="Z71" i="43" a="1"/>
  <c r="Z6" i="43" a="1"/>
  <c r="Z72" i="43" a="1"/>
  <c r="Z66" i="43" a="1"/>
  <c r="O132" i="58" l="1"/>
  <c r="O143" i="58" s="1"/>
  <c r="U51" i="58"/>
  <c r="U63" i="58" s="1"/>
  <c r="U107" i="58"/>
  <c r="U108" i="58"/>
  <c r="U44" i="58"/>
  <c r="U53" i="58" s="1"/>
  <c r="U65" i="58" s="1"/>
  <c r="U83" i="58"/>
  <c r="U93" i="58" s="1"/>
  <c r="V57" i="58"/>
  <c r="V69" i="58" s="1"/>
  <c r="V56" i="58"/>
  <c r="V68" i="58" s="1"/>
  <c r="S89" i="58"/>
  <c r="S90" i="58" s="1"/>
  <c r="S91" i="58" s="1"/>
  <c r="S127" i="58"/>
  <c r="R128" i="58"/>
  <c r="Q89" i="58"/>
  <c r="Q90" i="58" s="1"/>
  <c r="Q91" i="58" s="1"/>
  <c r="Q215" i="58" s="1"/>
  <c r="Q127" i="58"/>
  <c r="Q138" i="58" s="1"/>
  <c r="P140" i="58"/>
  <c r="P130" i="58"/>
  <c r="S199" i="58"/>
  <c r="U111" i="58"/>
  <c r="Z8" i="58"/>
  <c r="Z9" i="58" s="1"/>
  <c r="Z10" i="58" s="1"/>
  <c r="S86" i="58"/>
  <c r="V98" i="58"/>
  <c r="V114" i="58"/>
  <c r="V117" i="58" s="1"/>
  <c r="V109" i="58"/>
  <c r="V110" i="58" s="1"/>
  <c r="Y5" i="58"/>
  <c r="Y12" i="58" s="1"/>
  <c r="Y11" i="58" s="1"/>
  <c r="Y5" i="59"/>
  <c r="AA2" i="58"/>
  <c r="AA2" i="59"/>
  <c r="V32" i="58"/>
  <c r="V34" i="58" s="1"/>
  <c r="V33" i="58"/>
  <c r="Y160" i="59"/>
  <c r="Y170" i="59" s="1"/>
  <c r="Y68" i="59"/>
  <c r="Z7" i="58"/>
  <c r="Z7" i="59"/>
  <c r="Z84" i="59" s="1"/>
  <c r="V106" i="58"/>
  <c r="V112" i="58" s="1"/>
  <c r="Z47" i="59"/>
  <c r="Z35" i="59"/>
  <c r="Z23" i="59"/>
  <c r="Z54" i="59"/>
  <c r="Z42" i="59"/>
  <c r="Z30" i="59"/>
  <c r="Z18" i="59"/>
  <c r="Z37" i="59"/>
  <c r="Z25" i="59"/>
  <c r="Z44" i="59"/>
  <c r="Z32" i="59"/>
  <c r="Z20" i="59"/>
  <c r="Z51" i="59"/>
  <c r="Z27" i="59"/>
  <c r="Z34" i="59"/>
  <c r="Z22" i="59"/>
  <c r="Z53" i="59"/>
  <c r="Z41" i="59"/>
  <c r="Z29" i="59"/>
  <c r="Z17" i="59"/>
  <c r="Z24" i="59"/>
  <c r="Z55" i="59"/>
  <c r="Z43" i="59"/>
  <c r="Z19" i="59"/>
  <c r="Z50" i="59"/>
  <c r="Z45" i="59"/>
  <c r="Z33" i="59"/>
  <c r="Z52" i="59"/>
  <c r="Z40" i="59"/>
  <c r="Z28" i="59"/>
  <c r="AA4" i="58"/>
  <c r="AA4" i="59"/>
  <c r="AA56" i="59"/>
  <c r="AA58" i="59"/>
  <c r="AA59" i="59"/>
  <c r="AA57" i="59"/>
  <c r="AA75" i="59"/>
  <c r="AA3" i="58"/>
  <c r="AA3" i="59"/>
  <c r="V115" i="58"/>
  <c r="Y8" i="59"/>
  <c r="V21" i="58"/>
  <c r="V43" i="58" s="1"/>
  <c r="Q95" i="58"/>
  <c r="Q96" i="58" s="1"/>
  <c r="Q212" i="58" s="1"/>
  <c r="Q204" i="58" s="1"/>
  <c r="Q199" i="58"/>
  <c r="Q86" i="58"/>
  <c r="Q216" i="58"/>
  <c r="T46" i="58"/>
  <c r="T85" i="58" s="1"/>
  <c r="S95" i="58"/>
  <c r="S96" i="58" s="1"/>
  <c r="S212" i="58" s="1"/>
  <c r="S204" i="58" s="1"/>
  <c r="Y162" i="58"/>
  <c r="Y161" i="58"/>
  <c r="AA5" i="60"/>
  <c r="AA6" i="58"/>
  <c r="AA1" i="60"/>
  <c r="AA1" i="58"/>
  <c r="Z160" i="58"/>
  <c r="Z82" i="58"/>
  <c r="T137" i="58"/>
  <c r="T127" i="58"/>
  <c r="T138" i="58" s="1"/>
  <c r="U48" i="58"/>
  <c r="U45" i="58"/>
  <c r="U50" i="58"/>
  <c r="U62" i="58" s="1"/>
  <c r="U49" i="58"/>
  <c r="U61" i="58" s="1"/>
  <c r="T101" i="58"/>
  <c r="T103" i="58"/>
  <c r="T102" i="58"/>
  <c r="T100" i="58"/>
  <c r="T53" i="58"/>
  <c r="T93" i="58"/>
  <c r="T203" i="58"/>
  <c r="O121" i="58"/>
  <c r="R90" i="58"/>
  <c r="R91" i="58" s="1"/>
  <c r="R201" i="58" s="1"/>
  <c r="U102" i="58"/>
  <c r="U101" i="58"/>
  <c r="U103" i="58"/>
  <c r="U100" i="58"/>
  <c r="S64" i="58"/>
  <c r="S80" i="58"/>
  <c r="S81" i="58" s="1"/>
  <c r="U137" i="58"/>
  <c r="U127" i="58"/>
  <c r="U138" i="58" s="1"/>
  <c r="T60" i="58"/>
  <c r="AA2" i="60"/>
  <c r="Z37" i="60"/>
  <c r="Z38" i="60" s="1"/>
  <c r="Z39" i="60" s="1"/>
  <c r="Z8" i="60"/>
  <c r="Z41" i="60"/>
  <c r="Z40" i="60"/>
  <c r="AA3" i="60"/>
  <c r="AA4" i="60"/>
  <c r="AB1" i="61"/>
  <c r="Y8" i="43"/>
  <c r="X12" i="43"/>
  <c r="X9" i="43" s="1"/>
  <c r="Z1" i="43"/>
  <c r="AB1" i="59" s="1"/>
  <c r="Z72" i="43"/>
  <c r="AB82" i="59" s="1"/>
  <c r="AB166" i="59" s="1"/>
  <c r="AB156" i="59" s="1"/>
  <c r="Z66" i="43"/>
  <c r="AB71" i="59" s="1"/>
  <c r="Z68" i="43"/>
  <c r="AB73" i="59" s="1"/>
  <c r="Z5" i="43"/>
  <c r="Z67" i="43"/>
  <c r="AB72" i="59" s="1"/>
  <c r="Z69" i="43"/>
  <c r="AB74" i="59" s="1"/>
  <c r="Z63" i="43"/>
  <c r="AB67" i="59" s="1"/>
  <c r="Z6" i="43"/>
  <c r="Z70" i="43"/>
  <c r="Z64" i="43"/>
  <c r="Z7" i="43"/>
  <c r="AB6" i="59" s="1"/>
  <c r="Z4" i="43"/>
  <c r="Z71" i="43"/>
  <c r="AB76" i="59" s="1"/>
  <c r="Z65" i="43"/>
  <c r="AB69" i="59" s="1"/>
  <c r="Z3" i="43"/>
  <c r="AA2" i="43"/>
  <c r="Y10" i="43"/>
  <c r="Y11" i="43"/>
  <c r="L81" i="39"/>
  <c r="M81" i="39"/>
  <c r="N81" i="39"/>
  <c r="AA66" i="43" a="1"/>
  <c r="AA70" i="43" a="1"/>
  <c r="AA7" i="43" a="1"/>
  <c r="AA5" i="43" a="1"/>
  <c r="AA68" i="43" a="1"/>
  <c r="AA6" i="43" a="1"/>
  <c r="AA3" i="43" a="1"/>
  <c r="AA65" i="43" a="1"/>
  <c r="AA4" i="43" a="1"/>
  <c r="AA63" i="43" a="1"/>
  <c r="AA69" i="43" a="1"/>
  <c r="AA71" i="43" a="1"/>
  <c r="AA67" i="43" a="1"/>
  <c r="AA1" i="43" a="1"/>
  <c r="AA64" i="43" a="1"/>
  <c r="AA72" i="43" a="1"/>
  <c r="U203" i="58" l="1"/>
  <c r="AA8" i="58"/>
  <c r="Q201" i="58"/>
  <c r="V116" i="58"/>
  <c r="U52" i="58"/>
  <c r="U64" i="58" s="1"/>
  <c r="U46" i="58"/>
  <c r="U85" i="58" s="1"/>
  <c r="U216" i="58" s="1"/>
  <c r="Y17" i="58"/>
  <c r="Y18" i="58" s="1"/>
  <c r="Y24" i="58" s="1"/>
  <c r="Y25" i="58" s="1"/>
  <c r="Y26" i="58" s="1"/>
  <c r="Y27" i="58" s="1"/>
  <c r="Y113" i="58"/>
  <c r="Y114" i="58" s="1"/>
  <c r="Q200" i="58"/>
  <c r="V36" i="58"/>
  <c r="V39" i="58" s="1"/>
  <c r="S138" i="58"/>
  <c r="S128" i="58"/>
  <c r="Q128" i="58"/>
  <c r="Q139" i="58" s="1"/>
  <c r="R139" i="58"/>
  <c r="R129" i="58"/>
  <c r="P141" i="58"/>
  <c r="P131" i="58"/>
  <c r="Y124" i="58"/>
  <c r="Y135" i="58" s="1"/>
  <c r="Y123" i="58"/>
  <c r="Y134" i="58" s="1"/>
  <c r="Y97" i="58"/>
  <c r="Y13" i="58"/>
  <c r="Y20" i="58" s="1"/>
  <c r="Y42" i="58" s="1"/>
  <c r="Y31" i="58"/>
  <c r="Y32" i="58" s="1"/>
  <c r="Y34" i="58" s="1"/>
  <c r="Y88" i="58"/>
  <c r="Y87" i="58" s="1"/>
  <c r="T120" i="58"/>
  <c r="T199" i="58" s="1"/>
  <c r="V107" i="58"/>
  <c r="AB75" i="59"/>
  <c r="Z68" i="59"/>
  <c r="Z160" i="59"/>
  <c r="Z170" i="59" s="1"/>
  <c r="V55" i="58"/>
  <c r="V67" i="58" s="1"/>
  <c r="V54" i="58"/>
  <c r="V66" i="58" s="1"/>
  <c r="V22" i="58"/>
  <c r="Y70" i="59"/>
  <c r="Y164" i="59" s="1"/>
  <c r="Y154" i="59" s="1"/>
  <c r="Z5" i="58"/>
  <c r="Z12" i="58" s="1"/>
  <c r="Z11" i="58" s="1"/>
  <c r="Z113" i="58" s="1"/>
  <c r="Z5" i="59"/>
  <c r="Y125" i="58"/>
  <c r="Y136" i="58" s="1"/>
  <c r="AB56" i="59"/>
  <c r="AB58" i="59"/>
  <c r="AB57" i="59"/>
  <c r="AB59" i="59"/>
  <c r="AA7" i="58"/>
  <c r="AA7" i="59"/>
  <c r="AA84" i="59" s="1"/>
  <c r="V35" i="58"/>
  <c r="V118" i="58"/>
  <c r="V119" i="58"/>
  <c r="AA54" i="59"/>
  <c r="AA42" i="59"/>
  <c r="AA30" i="59"/>
  <c r="AA18" i="59"/>
  <c r="AA37" i="59"/>
  <c r="AA25" i="59"/>
  <c r="AA23" i="59"/>
  <c r="AA44" i="59"/>
  <c r="AA32" i="59"/>
  <c r="AA20" i="59"/>
  <c r="AA51" i="59"/>
  <c r="AA27" i="59"/>
  <c r="AA34" i="59"/>
  <c r="AA22" i="59"/>
  <c r="AA47" i="59"/>
  <c r="AA53" i="59"/>
  <c r="AA41" i="59"/>
  <c r="AA29" i="59"/>
  <c r="AA17" i="59"/>
  <c r="AA24" i="59"/>
  <c r="AA55" i="59"/>
  <c r="AA43" i="59"/>
  <c r="AA19" i="59"/>
  <c r="AA50" i="59"/>
  <c r="AA45" i="59"/>
  <c r="AA33" i="59"/>
  <c r="AA52" i="59"/>
  <c r="AA40" i="59"/>
  <c r="AA28" i="59"/>
  <c r="AA35" i="59"/>
  <c r="V108" i="58"/>
  <c r="AB3" i="58"/>
  <c r="AB3" i="59"/>
  <c r="Z8" i="59"/>
  <c r="V111" i="58"/>
  <c r="AB4" i="58"/>
  <c r="AB4" i="59"/>
  <c r="Y51" i="59"/>
  <c r="Y27" i="59"/>
  <c r="Y22" i="59"/>
  <c r="Y41" i="59"/>
  <c r="Y32" i="59"/>
  <c r="Y17" i="59"/>
  <c r="AB2" i="58"/>
  <c r="AB2" i="59"/>
  <c r="AB5" i="60"/>
  <c r="AB6" i="58"/>
  <c r="AA160" i="58"/>
  <c r="AA82" i="58"/>
  <c r="Y163" i="58"/>
  <c r="AA9" i="58"/>
  <c r="AA10" i="58" s="1"/>
  <c r="Z162" i="58"/>
  <c r="Z161" i="58"/>
  <c r="AB1" i="60"/>
  <c r="AB1" i="58"/>
  <c r="U60" i="58"/>
  <c r="S215" i="58"/>
  <c r="S200" i="58"/>
  <c r="S47" i="58"/>
  <c r="S58" i="58"/>
  <c r="S201" i="58"/>
  <c r="U92" i="58"/>
  <c r="U94" i="58"/>
  <c r="T216" i="58"/>
  <c r="T86" i="58"/>
  <c r="T92" i="58"/>
  <c r="T94" i="58"/>
  <c r="T65" i="58"/>
  <c r="T52" i="58"/>
  <c r="R215" i="58"/>
  <c r="R200" i="58"/>
  <c r="AB4" i="60"/>
  <c r="AB3" i="60"/>
  <c r="AB2" i="60"/>
  <c r="AA8" i="60"/>
  <c r="AA37" i="60"/>
  <c r="AA38" i="60" s="1"/>
  <c r="AA39" i="60" s="1"/>
  <c r="AA41" i="60"/>
  <c r="AA40" i="60"/>
  <c r="AC1" i="61"/>
  <c r="Z8" i="43"/>
  <c r="Y12" i="43"/>
  <c r="Y9" i="43" s="1"/>
  <c r="AA67" i="43"/>
  <c r="AC72" i="59" s="1"/>
  <c r="AA4" i="43"/>
  <c r="AA1" i="43"/>
  <c r="AC1" i="59" s="1"/>
  <c r="AA68" i="43"/>
  <c r="AC73" i="59" s="1"/>
  <c r="AA5" i="43"/>
  <c r="AA69" i="43"/>
  <c r="AC74" i="59" s="1"/>
  <c r="AA63" i="43"/>
  <c r="AC67" i="59" s="1"/>
  <c r="AA6" i="43"/>
  <c r="AA70" i="43"/>
  <c r="AA64" i="43"/>
  <c r="AA7" i="43"/>
  <c r="AC6" i="59" s="1"/>
  <c r="AA71" i="43"/>
  <c r="AC76" i="59" s="1"/>
  <c r="AA65" i="43"/>
  <c r="AC69" i="59" s="1"/>
  <c r="AA72" i="43"/>
  <c r="AC82" i="59" s="1"/>
  <c r="AC166" i="59" s="1"/>
  <c r="AC156" i="59" s="1"/>
  <c r="AA66" i="43"/>
  <c r="AC71" i="59" s="1"/>
  <c r="AA3" i="43"/>
  <c r="AB2" i="43"/>
  <c r="Z11" i="43"/>
  <c r="Z10" i="43"/>
  <c r="B3" i="121"/>
  <c r="AB64" i="43" a="1"/>
  <c r="AB6" i="43" a="1"/>
  <c r="AB68" i="43" a="1"/>
  <c r="AB66" i="43" a="1"/>
  <c r="AB1" i="43" a="1"/>
  <c r="AB7" i="43" a="1"/>
  <c r="AB4" i="43" a="1"/>
  <c r="AB3" i="43" a="1"/>
  <c r="AB69" i="43" a="1"/>
  <c r="AB65" i="43" a="1"/>
  <c r="AB70" i="43" a="1"/>
  <c r="AB63" i="43" a="1"/>
  <c r="AB5" i="43" a="1"/>
  <c r="AB72" i="43" a="1"/>
  <c r="AB71" i="43" a="1"/>
  <c r="AB67" i="43" a="1"/>
  <c r="U80" i="58" l="1"/>
  <c r="U81" i="58" s="1"/>
  <c r="Q129" i="58"/>
  <c r="Q130" i="58" s="1"/>
  <c r="Q141" i="58" s="1"/>
  <c r="U120" i="58"/>
  <c r="U199" i="58" s="1"/>
  <c r="U86" i="58"/>
  <c r="Y33" i="58"/>
  <c r="Y36" i="58" s="1"/>
  <c r="Y39" i="58" s="1"/>
  <c r="Y115" i="58"/>
  <c r="S139" i="58"/>
  <c r="S129" i="58"/>
  <c r="Y57" i="58"/>
  <c r="Y69" i="58" s="1"/>
  <c r="R140" i="58"/>
  <c r="R130" i="58"/>
  <c r="Y21" i="58"/>
  <c r="Y22" i="58" s="1"/>
  <c r="T89" i="58"/>
  <c r="T90" i="58" s="1"/>
  <c r="T91" i="58" s="1"/>
  <c r="Y56" i="58"/>
  <c r="Y68" i="58" s="1"/>
  <c r="P142" i="58"/>
  <c r="P132" i="58"/>
  <c r="P143" i="58" s="1"/>
  <c r="T128" i="58"/>
  <c r="T129" i="58" s="1"/>
  <c r="T140" i="58" s="1"/>
  <c r="Y165" i="59"/>
  <c r="Y155" i="59" s="1"/>
  <c r="Y167" i="59"/>
  <c r="Y157" i="59" s="1"/>
  <c r="AB8" i="58"/>
  <c r="AB9" i="58" s="1"/>
  <c r="AB10" i="58" s="1"/>
  <c r="Z17" i="58"/>
  <c r="Z18" i="58" s="1"/>
  <c r="Z24" i="58" s="1"/>
  <c r="Z25" i="58" s="1"/>
  <c r="Z26" i="58" s="1"/>
  <c r="Z27" i="58" s="1"/>
  <c r="Z125" i="58"/>
  <c r="Z136" i="58" s="1"/>
  <c r="Z31" i="58"/>
  <c r="Z33" i="58" s="1"/>
  <c r="Z88" i="58"/>
  <c r="Z87" i="58" s="1"/>
  <c r="Z13" i="58"/>
  <c r="Z20" i="58" s="1"/>
  <c r="Z21" i="58" s="1"/>
  <c r="Z123" i="58"/>
  <c r="Z134" i="58" s="1"/>
  <c r="Z115" i="58"/>
  <c r="Z124" i="58"/>
  <c r="Z135" i="58" s="1"/>
  <c r="AA8" i="59"/>
  <c r="Z26" i="59"/>
  <c r="Z21" i="59"/>
  <c r="Z16" i="59"/>
  <c r="Z39" i="59"/>
  <c r="Z15" i="59"/>
  <c r="Z12" i="59"/>
  <c r="Z31" i="59"/>
  <c r="Z49" i="59"/>
  <c r="V44" i="58"/>
  <c r="V53" i="58" s="1"/>
  <c r="V65" i="58" s="1"/>
  <c r="V51" i="58"/>
  <c r="V63" i="58" s="1"/>
  <c r="AA5" i="58"/>
  <c r="AA12" i="58" s="1"/>
  <c r="AA11" i="58" s="1"/>
  <c r="AA113" i="58" s="1"/>
  <c r="AA5" i="59"/>
  <c r="AB7" i="58"/>
  <c r="AB7" i="59"/>
  <c r="AB84" i="59" s="1"/>
  <c r="Y171" i="59"/>
  <c r="Y161" i="59" s="1"/>
  <c r="Y162" i="59"/>
  <c r="Y152" i="59" s="1"/>
  <c r="Y163" i="59"/>
  <c r="Y153" i="59" s="1"/>
  <c r="AC3" i="58"/>
  <c r="AC3" i="59"/>
  <c r="Z70" i="59"/>
  <c r="Z165" i="59" s="1"/>
  <c r="Z155" i="59" s="1"/>
  <c r="Q140" i="58"/>
  <c r="V23" i="58"/>
  <c r="V99" i="58"/>
  <c r="V83" i="58"/>
  <c r="V126" i="58"/>
  <c r="AC4" i="58"/>
  <c r="AC4" i="59"/>
  <c r="AC2" i="58"/>
  <c r="AC2" i="59"/>
  <c r="AC56" i="59"/>
  <c r="AC58" i="59"/>
  <c r="AC57" i="59"/>
  <c r="AC59" i="59"/>
  <c r="AB54" i="59"/>
  <c r="AB42" i="59"/>
  <c r="AB30" i="59"/>
  <c r="AB18" i="59"/>
  <c r="AB37" i="59"/>
  <c r="AB25" i="59"/>
  <c r="AB44" i="59"/>
  <c r="AB32" i="59"/>
  <c r="AB20" i="59"/>
  <c r="AB51" i="59"/>
  <c r="AB27" i="59"/>
  <c r="AB34" i="59"/>
  <c r="AB22" i="59"/>
  <c r="AB53" i="59"/>
  <c r="AB41" i="59"/>
  <c r="AB29" i="59"/>
  <c r="AB17" i="59"/>
  <c r="AB24" i="59"/>
  <c r="AB55" i="59"/>
  <c r="AB43" i="59"/>
  <c r="AB19" i="59"/>
  <c r="AB50" i="59"/>
  <c r="AB45" i="59"/>
  <c r="AB33" i="59"/>
  <c r="AB52" i="59"/>
  <c r="AB40" i="59"/>
  <c r="AB28" i="59"/>
  <c r="AB47" i="59"/>
  <c r="AB35" i="59"/>
  <c r="AB23" i="59"/>
  <c r="AC75" i="59"/>
  <c r="AA68" i="59"/>
  <c r="AA160" i="59"/>
  <c r="AA170" i="59" s="1"/>
  <c r="Y35" i="58"/>
  <c r="Y218" i="58"/>
  <c r="Y208" i="58" s="1"/>
  <c r="Y220" i="58"/>
  <c r="Y210" i="58" s="1"/>
  <c r="Y40" i="58"/>
  <c r="Y217" i="58"/>
  <c r="Y207" i="58" s="1"/>
  <c r="Y98" i="58"/>
  <c r="Y104" i="58"/>
  <c r="AA162" i="58"/>
  <c r="AA161" i="58"/>
  <c r="AB160" i="58"/>
  <c r="AB82" i="58"/>
  <c r="Y117" i="58"/>
  <c r="Y116" i="58"/>
  <c r="AC5" i="60"/>
  <c r="AC6" i="58"/>
  <c r="AC1" i="60"/>
  <c r="AC1" i="58"/>
  <c r="Z163" i="58"/>
  <c r="U47" i="58"/>
  <c r="U58" i="58"/>
  <c r="T95" i="58"/>
  <c r="T96" i="58" s="1"/>
  <c r="T212" i="58" s="1"/>
  <c r="T204" i="58" s="1"/>
  <c r="U95" i="58"/>
  <c r="U96" i="58" s="1"/>
  <c r="U212" i="58" s="1"/>
  <c r="U204" i="58" s="1"/>
  <c r="U89" i="58"/>
  <c r="U128" i="58"/>
  <c r="T64" i="58"/>
  <c r="T80" i="58"/>
  <c r="T81" i="58" s="1"/>
  <c r="AB8" i="60"/>
  <c r="AB41" i="60"/>
  <c r="AB40" i="60"/>
  <c r="AB37" i="60"/>
  <c r="AB38" i="60" s="1"/>
  <c r="AB39" i="60" s="1"/>
  <c r="AC4" i="60"/>
  <c r="AC3" i="60"/>
  <c r="AC2" i="60"/>
  <c r="AD1" i="61"/>
  <c r="AA8" i="43"/>
  <c r="Z12" i="43"/>
  <c r="Z9" i="43" s="1"/>
  <c r="AB68" i="43"/>
  <c r="AD73" i="59" s="1"/>
  <c r="AB5" i="43"/>
  <c r="AB72" i="43"/>
  <c r="AD82" i="59" s="1"/>
  <c r="AD166" i="59" s="1"/>
  <c r="AD156" i="59" s="1"/>
  <c r="AB69" i="43"/>
  <c r="AD74" i="59" s="1"/>
  <c r="AB63" i="43"/>
  <c r="AD67" i="59" s="1"/>
  <c r="AB6" i="43"/>
  <c r="AB70" i="43"/>
  <c r="AB64" i="43"/>
  <c r="AB7" i="43"/>
  <c r="AD6" i="59" s="1"/>
  <c r="AB67" i="43"/>
  <c r="AD72" i="59" s="1"/>
  <c r="AB4" i="43"/>
  <c r="AB71" i="43"/>
  <c r="AD76" i="59" s="1"/>
  <c r="AB1" i="43"/>
  <c r="AD1" i="59" s="1"/>
  <c r="AB65" i="43"/>
  <c r="AD69" i="59" s="1"/>
  <c r="AB66" i="43"/>
  <c r="AD71" i="59" s="1"/>
  <c r="AB3" i="43"/>
  <c r="AC2" i="43"/>
  <c r="AA10" i="43"/>
  <c r="AA11" i="43"/>
  <c r="H2" i="39"/>
  <c r="G2" i="39"/>
  <c r="W9" i="39"/>
  <c r="V9" i="39"/>
  <c r="U9" i="39"/>
  <c r="T9" i="39"/>
  <c r="S9" i="39"/>
  <c r="R9" i="39"/>
  <c r="Q9" i="39"/>
  <c r="P9" i="39"/>
  <c r="O9" i="39"/>
  <c r="W13" i="39"/>
  <c r="V13" i="39"/>
  <c r="U13" i="39"/>
  <c r="T13" i="39"/>
  <c r="S13" i="39"/>
  <c r="R13" i="39"/>
  <c r="Q13" i="39"/>
  <c r="P13" i="39"/>
  <c r="O13" i="39"/>
  <c r="W17" i="39"/>
  <c r="V17" i="39"/>
  <c r="U17" i="39"/>
  <c r="T17" i="39"/>
  <c r="S17" i="39"/>
  <c r="R17" i="39"/>
  <c r="Q17" i="39"/>
  <c r="P17" i="39"/>
  <c r="O17" i="39"/>
  <c r="W21" i="39"/>
  <c r="V21" i="39"/>
  <c r="U21" i="39"/>
  <c r="T21" i="39"/>
  <c r="S21" i="39"/>
  <c r="R21" i="39"/>
  <c r="Q21" i="39"/>
  <c r="P21" i="39"/>
  <c r="O21" i="39"/>
  <c r="W25" i="39"/>
  <c r="V25" i="39"/>
  <c r="U25" i="39"/>
  <c r="T25" i="39"/>
  <c r="S25" i="39"/>
  <c r="R25" i="39"/>
  <c r="Q25" i="39"/>
  <c r="P25" i="39"/>
  <c r="O25" i="39"/>
  <c r="W29" i="39"/>
  <c r="V29" i="39"/>
  <c r="U29" i="39"/>
  <c r="T29" i="39"/>
  <c r="S29" i="39"/>
  <c r="R29" i="39"/>
  <c r="Q29" i="39"/>
  <c r="P29" i="39"/>
  <c r="O29" i="39"/>
  <c r="W33" i="39"/>
  <c r="V33" i="39"/>
  <c r="U33" i="39"/>
  <c r="T33" i="39"/>
  <c r="S33" i="39"/>
  <c r="R33" i="39"/>
  <c r="Q33" i="39"/>
  <c r="P33" i="39"/>
  <c r="O33" i="39"/>
  <c r="W37" i="39"/>
  <c r="V37" i="39"/>
  <c r="U37" i="39"/>
  <c r="T37" i="39"/>
  <c r="S37" i="39"/>
  <c r="R37" i="39"/>
  <c r="Q37" i="39"/>
  <c r="P37" i="39"/>
  <c r="O37" i="39"/>
  <c r="W41" i="39"/>
  <c r="V41" i="39"/>
  <c r="U41" i="39"/>
  <c r="T41" i="39"/>
  <c r="S41" i="39"/>
  <c r="R41" i="39"/>
  <c r="Q41" i="39"/>
  <c r="P41" i="39"/>
  <c r="O41" i="39"/>
  <c r="W45" i="39"/>
  <c r="V45" i="39"/>
  <c r="U45" i="39"/>
  <c r="T45" i="39"/>
  <c r="S45" i="39"/>
  <c r="R45" i="39"/>
  <c r="Q45" i="39"/>
  <c r="P45" i="39"/>
  <c r="O45" i="39"/>
  <c r="W49" i="39"/>
  <c r="V49" i="39"/>
  <c r="U49" i="39"/>
  <c r="T49" i="39"/>
  <c r="S49" i="39"/>
  <c r="R49" i="39"/>
  <c r="Q49" i="39"/>
  <c r="P49" i="39"/>
  <c r="O49" i="39"/>
  <c r="W53" i="39"/>
  <c r="V53" i="39"/>
  <c r="U53" i="39"/>
  <c r="T53" i="39"/>
  <c r="S53" i="39"/>
  <c r="R53" i="39"/>
  <c r="Q53" i="39"/>
  <c r="P53" i="39"/>
  <c r="O53" i="39"/>
  <c r="W57" i="39"/>
  <c r="V57" i="39"/>
  <c r="U57" i="39"/>
  <c r="T57" i="39"/>
  <c r="S57" i="39"/>
  <c r="R57" i="39"/>
  <c r="Q57" i="39"/>
  <c r="P57" i="39"/>
  <c r="O57" i="39"/>
  <c r="W61" i="39"/>
  <c r="V61" i="39"/>
  <c r="U61" i="39"/>
  <c r="T61" i="39"/>
  <c r="S61" i="39"/>
  <c r="R61" i="39"/>
  <c r="Q61" i="39"/>
  <c r="P61" i="39"/>
  <c r="O61" i="39"/>
  <c r="W65" i="39"/>
  <c r="V65" i="39"/>
  <c r="U65" i="39"/>
  <c r="T65" i="39"/>
  <c r="S65" i="39"/>
  <c r="R65" i="39"/>
  <c r="Q65" i="39"/>
  <c r="P65" i="39"/>
  <c r="O65" i="39"/>
  <c r="W73" i="39"/>
  <c r="V73" i="39"/>
  <c r="U73" i="39"/>
  <c r="T73" i="39"/>
  <c r="S73" i="39"/>
  <c r="R73" i="39"/>
  <c r="Q73" i="39"/>
  <c r="P73" i="39"/>
  <c r="O73" i="39"/>
  <c r="W77" i="39"/>
  <c r="V77" i="39"/>
  <c r="U77" i="39"/>
  <c r="T77" i="39"/>
  <c r="S77" i="39"/>
  <c r="R77" i="39"/>
  <c r="Q77" i="39"/>
  <c r="P77" i="39"/>
  <c r="O77" i="39"/>
  <c r="W81" i="39"/>
  <c r="V81" i="39"/>
  <c r="U81" i="39"/>
  <c r="T81" i="39"/>
  <c r="S81" i="39"/>
  <c r="R81" i="39"/>
  <c r="Q81" i="39"/>
  <c r="P81" i="39"/>
  <c r="O81" i="39"/>
  <c r="W85" i="39"/>
  <c r="V85" i="39"/>
  <c r="U85" i="39"/>
  <c r="T85" i="39"/>
  <c r="S85" i="39"/>
  <c r="R85" i="39"/>
  <c r="Q85" i="39"/>
  <c r="P85" i="39"/>
  <c r="O85" i="39"/>
  <c r="H790" i="12"/>
  <c r="B2" i="120"/>
  <c r="B1" i="120"/>
  <c r="C4" i="120"/>
  <c r="AC70" i="43" a="1"/>
  <c r="AC7" i="43" a="1"/>
  <c r="AC1" i="43" a="1"/>
  <c r="AC67" i="43" a="1"/>
  <c r="AC69" i="43" a="1"/>
  <c r="AC71" i="43" a="1"/>
  <c r="AC5" i="43" a="1"/>
  <c r="AC68" i="43" a="1"/>
  <c r="AC72" i="43" a="1"/>
  <c r="AC4" i="43" a="1"/>
  <c r="AC63" i="43" a="1"/>
  <c r="AC65" i="43" a="1"/>
  <c r="AC66" i="43" a="1"/>
  <c r="AC64" i="43" a="1"/>
  <c r="AC3" i="43" a="1"/>
  <c r="AC6" i="43" a="1"/>
  <c r="Y55" i="58" l="1"/>
  <c r="Y67" i="58" s="1"/>
  <c r="Y43" i="58"/>
  <c r="Y54" i="58"/>
  <c r="Y66" i="58" s="1"/>
  <c r="Q131" i="58"/>
  <c r="Q132" i="58" s="1"/>
  <c r="Q143" i="58" s="1"/>
  <c r="Y118" i="58"/>
  <c r="Y119" i="58"/>
  <c r="P121" i="58"/>
  <c r="Z56" i="58"/>
  <c r="Z68" i="58" s="1"/>
  <c r="Z42" i="58"/>
  <c r="Z57" i="58"/>
  <c r="Z69" i="58" s="1"/>
  <c r="S140" i="58"/>
  <c r="S130" i="58"/>
  <c r="R141" i="58"/>
  <c r="R131" i="58"/>
  <c r="R142" i="58" s="1"/>
  <c r="Z97" i="58"/>
  <c r="Z104" i="58" s="1"/>
  <c r="T139" i="58"/>
  <c r="AC8" i="58"/>
  <c r="AC9" i="58" s="1"/>
  <c r="AC10" i="58" s="1"/>
  <c r="Z32" i="58"/>
  <c r="Z34" i="58" s="1"/>
  <c r="Z118" i="58" s="1"/>
  <c r="Z167" i="59"/>
  <c r="Z157" i="59" s="1"/>
  <c r="Z114" i="58"/>
  <c r="Z116" i="58" s="1"/>
  <c r="Z164" i="59"/>
  <c r="Z154" i="59" s="1"/>
  <c r="AA124" i="58"/>
  <c r="AA135" i="58" s="1"/>
  <c r="AA123" i="58"/>
  <c r="AA134" i="58" s="1"/>
  <c r="AA125" i="58"/>
  <c r="AA136" i="58" s="1"/>
  <c r="AA114" i="58"/>
  <c r="AA31" i="58"/>
  <c r="AA32" i="58" s="1"/>
  <c r="AA34" i="58" s="1"/>
  <c r="AA13" i="58"/>
  <c r="AA20" i="58" s="1"/>
  <c r="AA57" i="58" s="1"/>
  <c r="AA69" i="58" s="1"/>
  <c r="AA88" i="58"/>
  <c r="AA87" i="58" s="1"/>
  <c r="AA17" i="58"/>
  <c r="AA18" i="58" s="1"/>
  <c r="AA24" i="58" s="1"/>
  <c r="AA25" i="58" s="1"/>
  <c r="AD75" i="59"/>
  <c r="AB5" i="58"/>
  <c r="AB12" i="58" s="1"/>
  <c r="AB11" i="58" s="1"/>
  <c r="AB113" i="58" s="1"/>
  <c r="AB5" i="59"/>
  <c r="AB68" i="59"/>
  <c r="AB160" i="59"/>
  <c r="AB170" i="59" s="1"/>
  <c r="AD4" i="58"/>
  <c r="AD4" i="59"/>
  <c r="AA12" i="59"/>
  <c r="AA15" i="59"/>
  <c r="AA31" i="59"/>
  <c r="AA49" i="59"/>
  <c r="AA21" i="59"/>
  <c r="AA26" i="59"/>
  <c r="AA16" i="59"/>
  <c r="AA39" i="59"/>
  <c r="AD2" i="58"/>
  <c r="AD2" i="59"/>
  <c r="AA70" i="59"/>
  <c r="AA165" i="59" s="1"/>
  <c r="AA155" i="59" s="1"/>
  <c r="AC49" i="59"/>
  <c r="AC37" i="59"/>
  <c r="AC25" i="59"/>
  <c r="AC44" i="59"/>
  <c r="AC20" i="59"/>
  <c r="AC39" i="59"/>
  <c r="AC15" i="59"/>
  <c r="AC34" i="59"/>
  <c r="AC42" i="59"/>
  <c r="AC53" i="59"/>
  <c r="AC29" i="59"/>
  <c r="AC24" i="59"/>
  <c r="AC12" i="59"/>
  <c r="AC55" i="59"/>
  <c r="AC43" i="59"/>
  <c r="AC31" i="59"/>
  <c r="AC19" i="59"/>
  <c r="AC50" i="59"/>
  <c r="AC26" i="59"/>
  <c r="AC30" i="59"/>
  <c r="AC45" i="59"/>
  <c r="AC33" i="59"/>
  <c r="AC21" i="59"/>
  <c r="AC54" i="59"/>
  <c r="AC52" i="59"/>
  <c r="AC40" i="59"/>
  <c r="AC28" i="59"/>
  <c r="AC16" i="59"/>
  <c r="AC18" i="59"/>
  <c r="AC47" i="59"/>
  <c r="AC35" i="59"/>
  <c r="AC23" i="59"/>
  <c r="V137" i="58"/>
  <c r="V127" i="58"/>
  <c r="V138" i="58" s="1"/>
  <c r="Z171" i="59"/>
  <c r="Z161" i="59" s="1"/>
  <c r="Z162" i="59"/>
  <c r="Z152" i="59" s="1"/>
  <c r="Z163" i="59"/>
  <c r="Z153" i="59" s="1"/>
  <c r="V93" i="58"/>
  <c r="V203" i="58"/>
  <c r="AD56" i="59"/>
  <c r="AD58" i="59"/>
  <c r="AD57" i="59"/>
  <c r="AD59" i="59"/>
  <c r="V101" i="58"/>
  <c r="V103" i="58"/>
  <c r="V100" i="58"/>
  <c r="V102" i="58"/>
  <c r="V52" i="58"/>
  <c r="V64" i="58" s="1"/>
  <c r="V45" i="58"/>
  <c r="V46" i="58" s="1"/>
  <c r="V50" i="58"/>
  <c r="V62" i="58" s="1"/>
  <c r="V49" i="58"/>
  <c r="V61" i="58" s="1"/>
  <c r="V48" i="58"/>
  <c r="V60" i="58" s="1"/>
  <c r="AC7" i="58"/>
  <c r="AC7" i="59"/>
  <c r="AC84" i="59" s="1"/>
  <c r="AD3" i="58"/>
  <c r="AD3" i="59"/>
  <c r="AB8" i="59"/>
  <c r="Q142" i="58"/>
  <c r="Q121" i="58" s="1"/>
  <c r="Y44" i="58"/>
  <c r="Y53" i="58" s="1"/>
  <c r="Y65" i="58" s="1"/>
  <c r="Y51" i="58"/>
  <c r="Y63" i="58" s="1"/>
  <c r="Y23" i="58"/>
  <c r="Z55" i="58"/>
  <c r="Z67" i="58" s="1"/>
  <c r="Z54" i="58"/>
  <c r="Z66" i="58" s="1"/>
  <c r="Z43" i="58"/>
  <c r="Z22" i="58"/>
  <c r="Z218" i="58"/>
  <c r="Z208" i="58" s="1"/>
  <c r="Z220" i="58"/>
  <c r="Z210" i="58" s="1"/>
  <c r="Z40" i="58"/>
  <c r="Z217" i="58"/>
  <c r="Z207" i="58" s="1"/>
  <c r="Y83" i="58"/>
  <c r="Y126" i="58"/>
  <c r="Y105" i="58"/>
  <c r="Y106" i="58"/>
  <c r="Y109" i="58"/>
  <c r="Y110" i="58" s="1"/>
  <c r="AD1" i="60"/>
  <c r="AD1" i="58"/>
  <c r="T130" i="58"/>
  <c r="T141" i="58" s="1"/>
  <c r="AC160" i="58"/>
  <c r="AC82" i="58"/>
  <c r="AB162" i="58"/>
  <c r="AB161" i="58"/>
  <c r="AD5" i="60"/>
  <c r="AD6" i="58"/>
  <c r="AA163" i="58"/>
  <c r="Y99" i="58"/>
  <c r="Y100" i="58" s="1"/>
  <c r="U139" i="58"/>
  <c r="U129" i="58"/>
  <c r="U140" i="58" s="1"/>
  <c r="U90" i="58"/>
  <c r="U91" i="58" s="1"/>
  <c r="U201" i="58" s="1"/>
  <c r="T215" i="58"/>
  <c r="T200" i="58"/>
  <c r="T201" i="58"/>
  <c r="T47" i="58"/>
  <c r="T58" i="58"/>
  <c r="AC41" i="60"/>
  <c r="AC8" i="60"/>
  <c r="AC40" i="60"/>
  <c r="AC37" i="60"/>
  <c r="AC38" i="60" s="1"/>
  <c r="AC39" i="60" s="1"/>
  <c r="AD3" i="60"/>
  <c r="AD2" i="60"/>
  <c r="AD4" i="60"/>
  <c r="AE1" i="61"/>
  <c r="AB8" i="43"/>
  <c r="AC6" i="43"/>
  <c r="AC1" i="43"/>
  <c r="AE1" i="59" s="1"/>
  <c r="AC68" i="43"/>
  <c r="AE73" i="59" s="1"/>
  <c r="AC70" i="43"/>
  <c r="AC64" i="43"/>
  <c r="AC4" i="43"/>
  <c r="AC7" i="43"/>
  <c r="AE6" i="59" s="1"/>
  <c r="AC3" i="43"/>
  <c r="AC67" i="43"/>
  <c r="AE72" i="59" s="1"/>
  <c r="AC71" i="43"/>
  <c r="AE76" i="59" s="1"/>
  <c r="AC63" i="43"/>
  <c r="AE67" i="59" s="1"/>
  <c r="AC65" i="43"/>
  <c r="AE69" i="59" s="1"/>
  <c r="AC72" i="43"/>
  <c r="AE82" i="59" s="1"/>
  <c r="AE166" i="59" s="1"/>
  <c r="AE156" i="59" s="1"/>
  <c r="AC66" i="43"/>
  <c r="AE71" i="59" s="1"/>
  <c r="AC5" i="43"/>
  <c r="AC69" i="43"/>
  <c r="AE74" i="59" s="1"/>
  <c r="AD2" i="43"/>
  <c r="AB10" i="43"/>
  <c r="AB11" i="43"/>
  <c r="AA12" i="43"/>
  <c r="AA9" i="43" s="1"/>
  <c r="C7" i="120"/>
  <c r="AD64" i="43" a="1"/>
  <c r="AD63" i="43" a="1"/>
  <c r="AD65" i="43" a="1"/>
  <c r="AD69" i="43" a="1"/>
  <c r="AD1" i="43" a="1"/>
  <c r="AD4" i="43" a="1"/>
  <c r="AD72" i="43" a="1"/>
  <c r="AD68" i="43" a="1"/>
  <c r="AD3" i="43" a="1"/>
  <c r="AD70" i="43" a="1"/>
  <c r="AD7" i="43" a="1"/>
  <c r="AD5" i="43" a="1"/>
  <c r="AD6" i="43" a="1"/>
  <c r="AD67" i="43" a="1"/>
  <c r="AD71" i="43" a="1"/>
  <c r="AD66" i="43" a="1"/>
  <c r="Z98" i="58" l="1"/>
  <c r="Z35" i="58"/>
  <c r="Z119" i="58"/>
  <c r="R132" i="58"/>
  <c r="R143" i="58" s="1"/>
  <c r="R121" i="58" s="1"/>
  <c r="Z117" i="58"/>
  <c r="Z36" i="58"/>
  <c r="Z39" i="58" s="1"/>
  <c r="S141" i="58"/>
  <c r="S131" i="58"/>
  <c r="AA97" i="58"/>
  <c r="AA98" i="58" s="1"/>
  <c r="AA115" i="58"/>
  <c r="AA116" i="58" s="1"/>
  <c r="AB123" i="58"/>
  <c r="AB134" i="58" s="1"/>
  <c r="AA164" i="59"/>
  <c r="AA154" i="59" s="1"/>
  <c r="AA167" i="59"/>
  <c r="AA157" i="59" s="1"/>
  <c r="AB125" i="58"/>
  <c r="AB136" i="58" s="1"/>
  <c r="AA33" i="58"/>
  <c r="AA36" i="58" s="1"/>
  <c r="V47" i="58"/>
  <c r="AA21" i="58"/>
  <c r="AA22" i="58" s="1"/>
  <c r="AA56" i="58"/>
  <c r="AA68" i="58" s="1"/>
  <c r="AA42" i="58"/>
  <c r="AB124" i="58"/>
  <c r="AB135" i="58" s="1"/>
  <c r="AB17" i="58"/>
  <c r="AB18" i="58" s="1"/>
  <c r="AB24" i="58" s="1"/>
  <c r="AB25" i="58" s="1"/>
  <c r="V58" i="58"/>
  <c r="AD8" i="58"/>
  <c r="AD9" i="58" s="1"/>
  <c r="AD10" i="58" s="1"/>
  <c r="V80" i="58"/>
  <c r="V81" i="58" s="1"/>
  <c r="AE75" i="59"/>
  <c r="AC68" i="59"/>
  <c r="AC160" i="59"/>
  <c r="AC170" i="59" s="1"/>
  <c r="AA171" i="59"/>
  <c r="AA161" i="59" s="1"/>
  <c r="AA163" i="59"/>
  <c r="AA153" i="59" s="1"/>
  <c r="AA162" i="59"/>
  <c r="AA152" i="59" s="1"/>
  <c r="V92" i="58"/>
  <c r="V94" i="58"/>
  <c r="AD49" i="59"/>
  <c r="AD37" i="59"/>
  <c r="AD25" i="59"/>
  <c r="AD44" i="59"/>
  <c r="AD20" i="59"/>
  <c r="AD39" i="59"/>
  <c r="AD15" i="59"/>
  <c r="AD34" i="59"/>
  <c r="AD53" i="59"/>
  <c r="AD29" i="59"/>
  <c r="AD24" i="59"/>
  <c r="AD12" i="59"/>
  <c r="AD55" i="59"/>
  <c r="AD43" i="59"/>
  <c r="AD31" i="59"/>
  <c r="AD19" i="59"/>
  <c r="AD50" i="59"/>
  <c r="AD26" i="59"/>
  <c r="AD45" i="59"/>
  <c r="AD33" i="59"/>
  <c r="AD21" i="59"/>
  <c r="AD52" i="59"/>
  <c r="AD40" i="59"/>
  <c r="AD28" i="59"/>
  <c r="AD16" i="59"/>
  <c r="AD47" i="59"/>
  <c r="AD35" i="59"/>
  <c r="AD23" i="59"/>
  <c r="AD54" i="59"/>
  <c r="AD42" i="59"/>
  <c r="AD30" i="59"/>
  <c r="AD18" i="59"/>
  <c r="AE4" i="58"/>
  <c r="AE4" i="59"/>
  <c r="V120" i="58"/>
  <c r="V199" i="58" s="1"/>
  <c r="V85" i="58"/>
  <c r="AC8" i="59"/>
  <c r="AB70" i="59"/>
  <c r="AB165" i="59" s="1"/>
  <c r="AB155" i="59" s="1"/>
  <c r="AB31" i="59"/>
  <c r="AB16" i="59"/>
  <c r="AB39" i="59"/>
  <c r="AB15" i="59"/>
  <c r="AB21" i="59"/>
  <c r="AB12" i="59"/>
  <c r="AB49" i="59"/>
  <c r="AB26" i="59"/>
  <c r="AE2" i="58"/>
  <c r="AE2" i="59"/>
  <c r="AB88" i="58"/>
  <c r="AB87" i="58" s="1"/>
  <c r="AE56" i="59"/>
  <c r="AE58" i="59"/>
  <c r="AE57" i="59"/>
  <c r="AE59" i="59"/>
  <c r="AE3" i="58"/>
  <c r="AE3" i="59"/>
  <c r="AB13" i="58"/>
  <c r="AB20" i="58" s="1"/>
  <c r="AB56" i="58" s="1"/>
  <c r="AB68" i="58" s="1"/>
  <c r="AD7" i="58"/>
  <c r="AD7" i="59"/>
  <c r="AD84" i="59" s="1"/>
  <c r="AB31" i="58"/>
  <c r="AB33" i="58" s="1"/>
  <c r="AC5" i="58"/>
  <c r="AC12" i="58" s="1"/>
  <c r="AC11" i="58" s="1"/>
  <c r="AC5" i="59"/>
  <c r="T131" i="58"/>
  <c r="T142" i="58" s="1"/>
  <c r="Y52" i="58"/>
  <c r="Y64" i="58" s="1"/>
  <c r="AA117" i="58"/>
  <c r="Y103" i="58"/>
  <c r="Y101" i="58"/>
  <c r="Y102" i="58"/>
  <c r="AB163" i="58"/>
  <c r="Y112" i="58"/>
  <c r="Y111" i="58"/>
  <c r="Y107" i="58"/>
  <c r="Y108" i="58"/>
  <c r="AA26" i="58"/>
  <c r="AA27" i="58" s="1"/>
  <c r="AC162" i="58"/>
  <c r="AC161" i="58"/>
  <c r="Y137" i="58"/>
  <c r="Y127" i="58"/>
  <c r="Y138" i="58" s="1"/>
  <c r="Y93" i="58"/>
  <c r="Y203" i="58"/>
  <c r="AE1" i="60"/>
  <c r="AE1" i="58"/>
  <c r="AB114" i="58"/>
  <c r="AB115" i="58"/>
  <c r="Z23" i="58"/>
  <c r="AA220" i="58"/>
  <c r="AA210" i="58" s="1"/>
  <c r="AA40" i="58"/>
  <c r="AA217" i="58"/>
  <c r="AA207" i="58" s="1"/>
  <c r="AA218" i="58"/>
  <c r="AA208" i="58" s="1"/>
  <c r="AB97" i="58"/>
  <c r="Z99" i="58"/>
  <c r="AD160" i="58"/>
  <c r="AD82" i="58"/>
  <c r="Z105" i="58"/>
  <c r="Z106" i="58"/>
  <c r="Z109" i="58"/>
  <c r="Z110" i="58" s="1"/>
  <c r="AE5" i="60"/>
  <c r="AE6" i="58"/>
  <c r="Y50" i="58"/>
  <c r="Y62" i="58" s="1"/>
  <c r="Y45" i="58"/>
  <c r="Y46" i="58" s="1"/>
  <c r="Y49" i="58"/>
  <c r="Y61" i="58" s="1"/>
  <c r="Y48" i="58"/>
  <c r="U215" i="58"/>
  <c r="U200" i="58"/>
  <c r="U130" i="58"/>
  <c r="AE3" i="60"/>
  <c r="AD41" i="60"/>
  <c r="AD8" i="60"/>
  <c r="AD40" i="60"/>
  <c r="AD37" i="60"/>
  <c r="AD38" i="60" s="1"/>
  <c r="AD39" i="60" s="1"/>
  <c r="AE4" i="60"/>
  <c r="AE2" i="60"/>
  <c r="AF1" i="61"/>
  <c r="AC8" i="43"/>
  <c r="AB12" i="43"/>
  <c r="AB9" i="43" s="1"/>
  <c r="AD6" i="43"/>
  <c r="AD71" i="43"/>
  <c r="AF76" i="59" s="1"/>
  <c r="AD72" i="43"/>
  <c r="AF82" i="59" s="1"/>
  <c r="AF166" i="59" s="1"/>
  <c r="AF156" i="59" s="1"/>
  <c r="AD5" i="43"/>
  <c r="AF4" i="59" s="1"/>
  <c r="AD7" i="43"/>
  <c r="AD65" i="43"/>
  <c r="AF69" i="59" s="1"/>
  <c r="AD3" i="43"/>
  <c r="AF2" i="59" s="1"/>
  <c r="AD70" i="43"/>
  <c r="AD4" i="43"/>
  <c r="AF3" i="59" s="1"/>
  <c r="AD66" i="43"/>
  <c r="AF71" i="59" s="1"/>
  <c r="AD67" i="43"/>
  <c r="AF72" i="59" s="1"/>
  <c r="AD69" i="43"/>
  <c r="AF74" i="59" s="1"/>
  <c r="AD64" i="43"/>
  <c r="AD68" i="43"/>
  <c r="AF73" i="59" s="1"/>
  <c r="AD1" i="43"/>
  <c r="AF1" i="59" s="1"/>
  <c r="AD63" i="43"/>
  <c r="AF67" i="59" s="1"/>
  <c r="AE2" i="43"/>
  <c r="AC10" i="43"/>
  <c r="AC11" i="43"/>
  <c r="E630" i="120"/>
  <c r="AE65" i="43" a="1"/>
  <c r="AE72" i="43" a="1"/>
  <c r="AE68" i="43" a="1"/>
  <c r="AE66" i="43" a="1"/>
  <c r="AE71" i="43" a="1"/>
  <c r="AE1" i="43" a="1"/>
  <c r="AE7" i="43" a="1"/>
  <c r="AE64" i="43" a="1"/>
  <c r="AE69" i="43" a="1"/>
  <c r="AE70" i="43" a="1"/>
  <c r="AE63" i="43" a="1"/>
  <c r="AE5" i="43" a="1"/>
  <c r="AE67" i="43" a="1"/>
  <c r="AE4" i="43" a="1"/>
  <c r="AE6" i="43" a="1"/>
  <c r="AE3" i="43" a="1"/>
  <c r="Z103" i="58" l="1"/>
  <c r="AA104" i="58"/>
  <c r="AA118" i="58"/>
  <c r="AA39" i="58"/>
  <c r="AA99" i="58" s="1"/>
  <c r="AA119" i="58"/>
  <c r="AA35" i="58"/>
  <c r="Z44" i="58"/>
  <c r="Z53" i="58" s="1"/>
  <c r="Z65" i="58" s="1"/>
  <c r="Z51" i="58"/>
  <c r="Z63" i="58" s="1"/>
  <c r="Z83" i="58"/>
  <c r="Z93" i="58" s="1"/>
  <c r="Z126" i="58"/>
  <c r="Z137" i="58" s="1"/>
  <c r="AC13" i="58"/>
  <c r="AC20" i="58" s="1"/>
  <c r="AC57" i="58" s="1"/>
  <c r="AC69" i="58" s="1"/>
  <c r="AC113" i="58"/>
  <c r="AC97" i="58" s="1"/>
  <c r="AA55" i="58"/>
  <c r="AA67" i="58" s="1"/>
  <c r="AA54" i="58"/>
  <c r="AA66" i="58" s="1"/>
  <c r="S142" i="58"/>
  <c r="S132" i="58"/>
  <c r="S143" i="58" s="1"/>
  <c r="AA43" i="58"/>
  <c r="AC31" i="58"/>
  <c r="AC32" i="58" s="1"/>
  <c r="AC34" i="58" s="1"/>
  <c r="AB164" i="59"/>
  <c r="AB154" i="59" s="1"/>
  <c r="AC125" i="58"/>
  <c r="AC136" i="58" s="1"/>
  <c r="AB32" i="58"/>
  <c r="AB34" i="58" s="1"/>
  <c r="AB36" i="58" s="1"/>
  <c r="AB39" i="58" s="1"/>
  <c r="AB99" i="58" s="1"/>
  <c r="AC123" i="58"/>
  <c r="AC134" i="58" s="1"/>
  <c r="AC124" i="58"/>
  <c r="AC135" i="58" s="1"/>
  <c r="AB21" i="58"/>
  <c r="AB54" i="58" s="1"/>
  <c r="AB66" i="58" s="1"/>
  <c r="V95" i="58"/>
  <c r="V96" i="58" s="1"/>
  <c r="V212" i="58" s="1"/>
  <c r="V204" i="58" s="1"/>
  <c r="AB167" i="59"/>
  <c r="AB157" i="59" s="1"/>
  <c r="AD8" i="59"/>
  <c r="AC17" i="58"/>
  <c r="AC18" i="58" s="1"/>
  <c r="AC24" i="58" s="1"/>
  <c r="AC25" i="58" s="1"/>
  <c r="Z101" i="58"/>
  <c r="Z102" i="58"/>
  <c r="Z100" i="58"/>
  <c r="AB171" i="59"/>
  <c r="AB161" i="59" s="1"/>
  <c r="AB163" i="59"/>
  <c r="AB153" i="59" s="1"/>
  <c r="AB162" i="59"/>
  <c r="AB152" i="59" s="1"/>
  <c r="AC17" i="59"/>
  <c r="AC32" i="59"/>
  <c r="AC41" i="59"/>
  <c r="AC51" i="59"/>
  <c r="AC27" i="59"/>
  <c r="AC22" i="59"/>
  <c r="AE7" i="58"/>
  <c r="AE7" i="59"/>
  <c r="AE84" i="59" s="1"/>
  <c r="AD5" i="58"/>
  <c r="AD12" i="58" s="1"/>
  <c r="AD5" i="59"/>
  <c r="AD68" i="59"/>
  <c r="AD160" i="59"/>
  <c r="AD170" i="59" s="1"/>
  <c r="AF6" i="58"/>
  <c r="AF160" i="58" s="1"/>
  <c r="AF6" i="59"/>
  <c r="AF75" i="59" s="1"/>
  <c r="V86" i="58"/>
  <c r="V216" i="58"/>
  <c r="AF44" i="59"/>
  <c r="AF32" i="59"/>
  <c r="AF20" i="59"/>
  <c r="AF51" i="59"/>
  <c r="AF39" i="59"/>
  <c r="AF27" i="59"/>
  <c r="AF15" i="59"/>
  <c r="AF34" i="59"/>
  <c r="AF22" i="59"/>
  <c r="AF41" i="59"/>
  <c r="AF29" i="59"/>
  <c r="AF17" i="59"/>
  <c r="AF24" i="59"/>
  <c r="AF12" i="59"/>
  <c r="AF55" i="59"/>
  <c r="AF31" i="59"/>
  <c r="AF19" i="59"/>
  <c r="AF50" i="59"/>
  <c r="AF26" i="59"/>
  <c r="AF45" i="59"/>
  <c r="AF21" i="59"/>
  <c r="AF52" i="59"/>
  <c r="AF40" i="59"/>
  <c r="AF16" i="59"/>
  <c r="AF47" i="59"/>
  <c r="AF35" i="59"/>
  <c r="AF54" i="59"/>
  <c r="AF42" i="59"/>
  <c r="AF30" i="59"/>
  <c r="AF49" i="59"/>
  <c r="AF37" i="59"/>
  <c r="AF25" i="59"/>
  <c r="V89" i="58"/>
  <c r="V90" i="58" s="1"/>
  <c r="V91" i="58" s="1"/>
  <c r="V215" i="58" s="1"/>
  <c r="V128" i="58"/>
  <c r="AC70" i="59"/>
  <c r="AC164" i="59" s="1"/>
  <c r="AC154" i="59" s="1"/>
  <c r="AE44" i="59"/>
  <c r="AE20" i="59"/>
  <c r="AE37" i="59"/>
  <c r="AE39" i="59"/>
  <c r="AE15" i="59"/>
  <c r="AE34" i="59"/>
  <c r="AE53" i="59"/>
  <c r="AE29" i="59"/>
  <c r="AE24" i="59"/>
  <c r="AE12" i="59"/>
  <c r="AE55" i="59"/>
  <c r="AE43" i="59"/>
  <c r="AE31" i="59"/>
  <c r="AE19" i="59"/>
  <c r="AE25" i="59"/>
  <c r="AE50" i="59"/>
  <c r="AE26" i="59"/>
  <c r="AE49" i="59"/>
  <c r="AE45" i="59"/>
  <c r="AE33" i="59"/>
  <c r="AE21" i="59"/>
  <c r="AE52" i="59"/>
  <c r="AE40" i="59"/>
  <c r="AE28" i="59"/>
  <c r="AE16" i="59"/>
  <c r="AE47" i="59"/>
  <c r="AE35" i="59"/>
  <c r="AE23" i="59"/>
  <c r="AE54" i="59"/>
  <c r="AE42" i="59"/>
  <c r="AE30" i="59"/>
  <c r="AE18" i="59"/>
  <c r="AB42" i="58"/>
  <c r="AE8" i="58"/>
  <c r="AE9" i="58" s="1"/>
  <c r="AB57" i="58"/>
  <c r="AB69" i="58" s="1"/>
  <c r="AC88" i="58"/>
  <c r="AC87" i="58" s="1"/>
  <c r="T132" i="58"/>
  <c r="Y120" i="58"/>
  <c r="Y199" i="58" s="1"/>
  <c r="Y85" i="58"/>
  <c r="AA100" i="58"/>
  <c r="AA102" i="58"/>
  <c r="AA101" i="58"/>
  <c r="AA103" i="58"/>
  <c r="AA105" i="58"/>
  <c r="AA106" i="58"/>
  <c r="AA109" i="58"/>
  <c r="AA110" i="58" s="1"/>
  <c r="AE82" i="58"/>
  <c r="AE160" i="58"/>
  <c r="Z112" i="58"/>
  <c r="Z111" i="58"/>
  <c r="AC163" i="58"/>
  <c r="Z107" i="58"/>
  <c r="Z108" i="58"/>
  <c r="AD162" i="58"/>
  <c r="AD161" i="58"/>
  <c r="Y80" i="58"/>
  <c r="Y81" i="58" s="1"/>
  <c r="Y60" i="58"/>
  <c r="AF2" i="60"/>
  <c r="AF41" i="60" s="1"/>
  <c r="AF2" i="58"/>
  <c r="AA44" i="58"/>
  <c r="AA53" i="58" s="1"/>
  <c r="AA65" i="58" s="1"/>
  <c r="AA51" i="58"/>
  <c r="AA63" i="58" s="1"/>
  <c r="AA23" i="58"/>
  <c r="AA83" i="58"/>
  <c r="AA126" i="58"/>
  <c r="Z203" i="58"/>
  <c r="AB26" i="58"/>
  <c r="AB27" i="58" s="1"/>
  <c r="Z50" i="58"/>
  <c r="Z62" i="58" s="1"/>
  <c r="Z45" i="58"/>
  <c r="Z46" i="58" s="1"/>
  <c r="Z49" i="58"/>
  <c r="Z61" i="58" s="1"/>
  <c r="Z48" i="58"/>
  <c r="AF4" i="60"/>
  <c r="AF4" i="58"/>
  <c r="Y92" i="58"/>
  <c r="Y94" i="58"/>
  <c r="AF3" i="60"/>
  <c r="AF3" i="58"/>
  <c r="AB104" i="58"/>
  <c r="AB98" i="58"/>
  <c r="AB117" i="58"/>
  <c r="AB116" i="58"/>
  <c r="AF1" i="60"/>
  <c r="AF1" i="58"/>
  <c r="AB220" i="58"/>
  <c r="AB210" i="58" s="1"/>
  <c r="AB40" i="58"/>
  <c r="AB217" i="58"/>
  <c r="AB207" i="58" s="1"/>
  <c r="AB218" i="58"/>
  <c r="AB208" i="58" s="1"/>
  <c r="U141" i="58"/>
  <c r="U131" i="58"/>
  <c r="U142" i="58" s="1"/>
  <c r="AE8" i="60"/>
  <c r="AE41" i="60"/>
  <c r="AE40" i="60"/>
  <c r="AE37" i="60"/>
  <c r="AE38" i="60" s="1"/>
  <c r="AE39" i="60" s="1"/>
  <c r="AF5" i="60"/>
  <c r="AG1" i="61"/>
  <c r="AD8" i="43"/>
  <c r="AE65" i="43"/>
  <c r="AG69" i="59" s="1"/>
  <c r="AE64" i="43"/>
  <c r="AE72" i="43"/>
  <c r="AG82" i="59" s="1"/>
  <c r="AG166" i="59" s="1"/>
  <c r="AG156" i="59" s="1"/>
  <c r="AE5" i="43"/>
  <c r="AE7" i="43"/>
  <c r="AG6" i="59" s="1"/>
  <c r="AE66" i="43"/>
  <c r="AG71" i="59" s="1"/>
  <c r="AE4" i="43"/>
  <c r="AE63" i="43"/>
  <c r="AG67" i="59" s="1"/>
  <c r="AE3" i="43"/>
  <c r="AE67" i="43"/>
  <c r="AG72" i="59" s="1"/>
  <c r="AE71" i="43"/>
  <c r="AG76" i="59" s="1"/>
  <c r="AE69" i="43"/>
  <c r="AG74" i="59" s="1"/>
  <c r="AE68" i="43"/>
  <c r="AG73" i="59" s="1"/>
  <c r="AE1" i="43"/>
  <c r="AG1" i="59" s="1"/>
  <c r="AE6" i="43"/>
  <c r="AE70" i="43"/>
  <c r="AF2" i="43"/>
  <c r="AG2" i="43" s="1"/>
  <c r="AD11" i="43"/>
  <c r="AD10" i="43"/>
  <c r="AC12" i="43"/>
  <c r="AC9" i="43" s="1"/>
  <c r="G31" i="132"/>
  <c r="I11" i="132"/>
  <c r="I13" i="132" s="1"/>
  <c r="I5" i="132"/>
  <c r="I7" i="132" s="1"/>
  <c r="I25" i="132"/>
  <c r="I23" i="132"/>
  <c r="G25" i="132"/>
  <c r="G23" i="132"/>
  <c r="G5" i="132"/>
  <c r="G7" i="132" s="1"/>
  <c r="AF65" i="43" a="1"/>
  <c r="AF66" i="43" a="1"/>
  <c r="AF72" i="43" a="1"/>
  <c r="AF4" i="43" a="1"/>
  <c r="AF3" i="43" a="1"/>
  <c r="AG1" i="43" a="1"/>
  <c r="AF64" i="43" a="1"/>
  <c r="AF63" i="43" a="1"/>
  <c r="AF7" i="43" a="1"/>
  <c r="AF6" i="43" a="1"/>
  <c r="AF67" i="43" a="1"/>
  <c r="AF71" i="43" a="1"/>
  <c r="AF68" i="43" a="1"/>
  <c r="AF5" i="43" a="1"/>
  <c r="AF70" i="43" a="1"/>
  <c r="AF69" i="43" a="1"/>
  <c r="AF1" i="43" a="1"/>
  <c r="AC115" i="58" l="1"/>
  <c r="AC114" i="58"/>
  <c r="AB119" i="58"/>
  <c r="AB35" i="58"/>
  <c r="AC56" i="58"/>
  <c r="AC68" i="58" s="1"/>
  <c r="AC42" i="58"/>
  <c r="AC21" i="58"/>
  <c r="AC54" i="58" s="1"/>
  <c r="AC66" i="58" s="1"/>
  <c r="Z52" i="58"/>
  <c r="Z64" i="58" s="1"/>
  <c r="AC33" i="58"/>
  <c r="AC36" i="58" s="1"/>
  <c r="AC39" i="58" s="1"/>
  <c r="S121" i="58"/>
  <c r="AB43" i="58"/>
  <c r="AB55" i="58"/>
  <c r="AB67" i="58" s="1"/>
  <c r="AB118" i="58"/>
  <c r="AB22" i="58"/>
  <c r="AB44" i="58" s="1"/>
  <c r="AB53" i="58" s="1"/>
  <c r="AB65" i="58" s="1"/>
  <c r="AC167" i="59"/>
  <c r="AC157" i="59" s="1"/>
  <c r="AC165" i="59"/>
  <c r="AC155" i="59" s="1"/>
  <c r="V201" i="58"/>
  <c r="V200" i="58"/>
  <c r="AD11" i="58"/>
  <c r="AD113" i="58" s="1"/>
  <c r="AF82" i="58"/>
  <c r="AE10" i="58"/>
  <c r="AE8" i="59"/>
  <c r="AF56" i="59"/>
  <c r="AF58" i="59"/>
  <c r="AF57" i="59"/>
  <c r="AF59" i="59"/>
  <c r="V129" i="58"/>
  <c r="V139" i="58"/>
  <c r="AD70" i="59"/>
  <c r="AD167" i="59" s="1"/>
  <c r="AD157" i="59" s="1"/>
  <c r="AE5" i="58"/>
  <c r="AE12" i="58" s="1"/>
  <c r="AE5" i="59"/>
  <c r="AD22" i="59"/>
  <c r="AD41" i="59"/>
  <c r="AD17" i="59"/>
  <c r="AD32" i="59"/>
  <c r="AD51" i="59"/>
  <c r="AD27" i="59"/>
  <c r="AE68" i="59"/>
  <c r="AE160" i="59"/>
  <c r="AE170" i="59" s="1"/>
  <c r="AG2" i="58"/>
  <c r="AG2" i="59"/>
  <c r="AG75" i="59"/>
  <c r="AG3" i="58"/>
  <c r="AG3" i="59"/>
  <c r="AC162" i="59"/>
  <c r="AC152" i="59" s="1"/>
  <c r="AC171" i="59"/>
  <c r="AC161" i="59" s="1"/>
  <c r="AC163" i="59"/>
  <c r="AC153" i="59" s="1"/>
  <c r="AG58" i="59"/>
  <c r="AG56" i="59"/>
  <c r="AG57" i="59"/>
  <c r="AG59" i="59"/>
  <c r="AF7" i="58"/>
  <c r="AF7" i="59"/>
  <c r="AG4" i="58"/>
  <c r="AG4" i="59"/>
  <c r="AF37" i="60"/>
  <c r="AF38" i="60" s="1"/>
  <c r="AF39" i="60" s="1"/>
  <c r="AF40" i="60"/>
  <c r="AF8" i="60"/>
  <c r="T143" i="58"/>
  <c r="T121" i="58" s="1"/>
  <c r="AE162" i="58"/>
  <c r="AE161" i="58"/>
  <c r="AB100" i="58"/>
  <c r="AB102" i="58"/>
  <c r="AB101" i="58"/>
  <c r="AB103" i="58"/>
  <c r="AB83" i="58"/>
  <c r="AB126" i="58"/>
  <c r="AC26" i="58"/>
  <c r="AC27" i="58" s="1"/>
  <c r="AB51" i="58"/>
  <c r="AB63" i="58" s="1"/>
  <c r="Y86" i="58"/>
  <c r="Y216" i="58"/>
  <c r="AC55" i="58"/>
  <c r="AC67" i="58" s="1"/>
  <c r="AA137" i="58"/>
  <c r="AC104" i="58"/>
  <c r="AC98" i="58"/>
  <c r="AD163" i="58"/>
  <c r="Y89" i="58"/>
  <c r="Y95" i="58"/>
  <c r="Y96" i="58" s="1"/>
  <c r="Y212" i="58" s="1"/>
  <c r="Y204" i="58" s="1"/>
  <c r="AA45" i="58"/>
  <c r="AA46" i="58" s="1"/>
  <c r="AA85" i="58" s="1"/>
  <c r="AA49" i="58"/>
  <c r="AA61" i="58" s="1"/>
  <c r="AA48" i="58"/>
  <c r="AA50" i="58"/>
  <c r="AA62" i="58" s="1"/>
  <c r="AF162" i="58"/>
  <c r="AF161" i="58"/>
  <c r="Z60" i="58"/>
  <c r="AA52" i="58"/>
  <c r="AA64" i="58" s="1"/>
  <c r="AA93" i="58"/>
  <c r="AA203" i="58"/>
  <c r="AA112" i="58"/>
  <c r="AA111" i="58"/>
  <c r="AC116" i="58"/>
  <c r="AC117" i="58"/>
  <c r="AA107" i="58"/>
  <c r="AA108" i="58"/>
  <c r="AG5" i="60"/>
  <c r="AG6" i="58"/>
  <c r="AF8" i="58"/>
  <c r="AC220" i="58"/>
  <c r="AC210" i="58" s="1"/>
  <c r="AC40" i="58"/>
  <c r="AC217" i="58"/>
  <c r="AC207" i="58" s="1"/>
  <c r="AC218" i="58"/>
  <c r="AC208" i="58" s="1"/>
  <c r="Y128" i="58"/>
  <c r="AG1" i="60"/>
  <c r="AG1" i="58"/>
  <c r="AB105" i="58"/>
  <c r="AB106" i="58"/>
  <c r="AB109" i="58"/>
  <c r="AB110" i="58" s="1"/>
  <c r="Z120" i="58"/>
  <c r="Z85" i="58"/>
  <c r="Y47" i="58"/>
  <c r="Y58" i="58"/>
  <c r="Z92" i="58"/>
  <c r="Z94" i="58"/>
  <c r="U132" i="58"/>
  <c r="AG4" i="60"/>
  <c r="AG3" i="60"/>
  <c r="AG2" i="60"/>
  <c r="AH1" i="61"/>
  <c r="AE8" i="43"/>
  <c r="AG1" i="43"/>
  <c r="AH2" i="43"/>
  <c r="AF66" i="43"/>
  <c r="AH71" i="59" s="1"/>
  <c r="AF63" i="43"/>
  <c r="AH67" i="59" s="1"/>
  <c r="AF7" i="43"/>
  <c r="AH6" i="59" s="1"/>
  <c r="AF3" i="43"/>
  <c r="AF4" i="43"/>
  <c r="AF64" i="43"/>
  <c r="AF5" i="43"/>
  <c r="AF1" i="43"/>
  <c r="AH1" i="59" s="1"/>
  <c r="AF6" i="43"/>
  <c r="AF68" i="43"/>
  <c r="AH73" i="59" s="1"/>
  <c r="AF67" i="43"/>
  <c r="AH72" i="59" s="1"/>
  <c r="AF71" i="43"/>
  <c r="AH76" i="59" s="1"/>
  <c r="AF70" i="43"/>
  <c r="AF65" i="43"/>
  <c r="AH69" i="59" s="1"/>
  <c r="AF69" i="43"/>
  <c r="AH74" i="59" s="1"/>
  <c r="AF72" i="43"/>
  <c r="AH82" i="59" s="1"/>
  <c r="AH166" i="59" s="1"/>
  <c r="AH156" i="59" s="1"/>
  <c r="AD12" i="43"/>
  <c r="AD9" i="43" s="1"/>
  <c r="AE11" i="43"/>
  <c r="AE10" i="43"/>
  <c r="Y84" i="56"/>
  <c r="Z84" i="56" s="1"/>
  <c r="AH1" i="43" a="1"/>
  <c r="AC118" i="58" l="1"/>
  <c r="Z80" i="58"/>
  <c r="Z81" i="58" s="1"/>
  <c r="AC22" i="58"/>
  <c r="AC35" i="58"/>
  <c r="AC43" i="58"/>
  <c r="AC119" i="58"/>
  <c r="AB23" i="58"/>
  <c r="AB49" i="58" s="1"/>
  <c r="AB61" i="58" s="1"/>
  <c r="AE11" i="58"/>
  <c r="AE113" i="58" s="1"/>
  <c r="AE114" i="58" s="1"/>
  <c r="AD164" i="59"/>
  <c r="AD154" i="59" s="1"/>
  <c r="AD88" i="58"/>
  <c r="AD87" i="58" s="1"/>
  <c r="AD13" i="58"/>
  <c r="AD20" i="58" s="1"/>
  <c r="AD42" i="58" s="1"/>
  <c r="AD165" i="59"/>
  <c r="AD155" i="59" s="1"/>
  <c r="AG8" i="58"/>
  <c r="AG9" i="58" s="1"/>
  <c r="AG10" i="58" s="1"/>
  <c r="AD31" i="58"/>
  <c r="AD32" i="58" s="1"/>
  <c r="AD34" i="58" s="1"/>
  <c r="Z199" i="58"/>
  <c r="Z127" i="58"/>
  <c r="Z138" i="58" s="1"/>
  <c r="AD123" i="58"/>
  <c r="AD134" i="58" s="1"/>
  <c r="AD125" i="58"/>
  <c r="AD136" i="58" s="1"/>
  <c r="AD124" i="58"/>
  <c r="AD135" i="58" s="1"/>
  <c r="AD17" i="58"/>
  <c r="AD18" i="58" s="1"/>
  <c r="AD24" i="58" s="1"/>
  <c r="AD25" i="58" s="1"/>
  <c r="AE31" i="58"/>
  <c r="AE33" i="58" s="1"/>
  <c r="AE13" i="58"/>
  <c r="AE20" i="58" s="1"/>
  <c r="AE42" i="58" s="1"/>
  <c r="AE124" i="58"/>
  <c r="AE135" i="58" s="1"/>
  <c r="AE123" i="58"/>
  <c r="AE134" i="58" s="1"/>
  <c r="AF84" i="59"/>
  <c r="AD162" i="59"/>
  <c r="AD152" i="59" s="1"/>
  <c r="AD163" i="59"/>
  <c r="AD153" i="59" s="1"/>
  <c r="AD171" i="59"/>
  <c r="AD161" i="59" s="1"/>
  <c r="AE51" i="59"/>
  <c r="AE32" i="59"/>
  <c r="AE27" i="59"/>
  <c r="AE22" i="59"/>
  <c r="AE41" i="59"/>
  <c r="AE17" i="59"/>
  <c r="AH2" i="58"/>
  <c r="AH2" i="59"/>
  <c r="AH3" i="58"/>
  <c r="AH3" i="59"/>
  <c r="AH58" i="59"/>
  <c r="AH57" i="59"/>
  <c r="AH59" i="59"/>
  <c r="AH56" i="59"/>
  <c r="V140" i="58"/>
  <c r="V130" i="58"/>
  <c r="V141" i="58" s="1"/>
  <c r="AH4" i="58"/>
  <c r="AH4" i="59"/>
  <c r="AG7" i="58"/>
  <c r="AG7" i="59"/>
  <c r="AG84" i="59" s="1"/>
  <c r="AE70" i="59"/>
  <c r="AE165" i="59" s="1"/>
  <c r="AE155" i="59" s="1"/>
  <c r="AH75" i="59"/>
  <c r="AF5" i="58"/>
  <c r="AF12" i="58" s="1"/>
  <c r="AF5" i="59"/>
  <c r="AG51" i="59"/>
  <c r="AG39" i="59"/>
  <c r="AG27" i="59"/>
  <c r="AG15" i="59"/>
  <c r="AG34" i="59"/>
  <c r="AG22" i="59"/>
  <c r="AG41" i="59"/>
  <c r="AG29" i="59"/>
  <c r="AG17" i="59"/>
  <c r="AG24" i="59"/>
  <c r="AG12" i="59"/>
  <c r="AG32" i="59"/>
  <c r="AG55" i="59"/>
  <c r="AG31" i="59"/>
  <c r="AG19" i="59"/>
  <c r="AG50" i="59"/>
  <c r="AG26" i="59"/>
  <c r="AG45" i="59"/>
  <c r="AG21" i="59"/>
  <c r="AG52" i="59"/>
  <c r="AG40" i="59"/>
  <c r="AG16" i="59"/>
  <c r="AG47" i="59"/>
  <c r="AG35" i="59"/>
  <c r="AG20" i="59"/>
  <c r="AG54" i="59"/>
  <c r="AG42" i="59"/>
  <c r="AG30" i="59"/>
  <c r="AG44" i="59"/>
  <c r="AG49" i="59"/>
  <c r="AG37" i="59"/>
  <c r="AG25" i="59"/>
  <c r="AC44" i="58"/>
  <c r="AC53" i="58" s="1"/>
  <c r="AC65" i="58" s="1"/>
  <c r="AC51" i="58"/>
  <c r="AC63" i="58" s="1"/>
  <c r="AC23" i="58"/>
  <c r="AE163" i="58"/>
  <c r="Z47" i="58"/>
  <c r="Z58" i="58"/>
  <c r="Z86" i="58"/>
  <c r="Z216" i="58"/>
  <c r="AF163" i="58"/>
  <c r="Z89" i="58"/>
  <c r="AA80" i="58"/>
  <c r="AA81" i="58" s="1"/>
  <c r="AA60" i="58"/>
  <c r="AB45" i="58"/>
  <c r="AB46" i="58" s="1"/>
  <c r="AA120" i="58"/>
  <c r="AH1" i="60"/>
  <c r="AH1" i="58"/>
  <c r="AC83" i="58"/>
  <c r="AC126" i="58"/>
  <c r="AB107" i="58"/>
  <c r="AB108" i="58"/>
  <c r="AA92" i="58"/>
  <c r="AA94" i="58"/>
  <c r="Y90" i="58"/>
  <c r="Y91" i="58" s="1"/>
  <c r="AF9" i="58"/>
  <c r="AF10" i="58" s="1"/>
  <c r="AB52" i="58"/>
  <c r="AB64" i="58" s="1"/>
  <c r="AB93" i="58"/>
  <c r="AB203" i="58"/>
  <c r="AH5" i="60"/>
  <c r="AH6" i="58"/>
  <c r="AA216" i="58"/>
  <c r="AA86" i="58"/>
  <c r="AD220" i="58"/>
  <c r="AD210" i="58" s="1"/>
  <c r="AD40" i="58"/>
  <c r="AD217" i="58"/>
  <c r="AD207" i="58" s="1"/>
  <c r="AD218" i="58"/>
  <c r="AD208" i="58" s="1"/>
  <c r="AC106" i="58"/>
  <c r="AC105" i="58"/>
  <c r="AC109" i="58"/>
  <c r="AC110" i="58" s="1"/>
  <c r="AG82" i="58"/>
  <c r="AG160" i="58"/>
  <c r="Y139" i="58"/>
  <c r="Y129" i="58"/>
  <c r="Y140" i="58" s="1"/>
  <c r="AB112" i="58"/>
  <c r="AB111" i="58"/>
  <c r="Z95" i="58"/>
  <c r="Z96" i="58" s="1"/>
  <c r="Z212" i="58" s="1"/>
  <c r="Z204" i="58" s="1"/>
  <c r="AC99" i="58"/>
  <c r="AC102" i="58" s="1"/>
  <c r="AB137" i="58"/>
  <c r="U143" i="58"/>
  <c r="U121" i="58" s="1"/>
  <c r="AH3" i="60"/>
  <c r="AG8" i="60"/>
  <c r="AG41" i="60"/>
  <c r="AG40" i="60"/>
  <c r="AG37" i="60"/>
  <c r="AG38" i="60" s="1"/>
  <c r="AG39" i="60" s="1"/>
  <c r="AH4" i="60"/>
  <c r="AH2" i="60"/>
  <c r="AJ1" i="61"/>
  <c r="AI1" i="61"/>
  <c r="AF8" i="43"/>
  <c r="AH1" i="43"/>
  <c r="AI2" i="43"/>
  <c r="AE12" i="43"/>
  <c r="AE9" i="43" s="1"/>
  <c r="AF10" i="43"/>
  <c r="AF11" i="43"/>
  <c r="H132" i="12"/>
  <c r="AI1" i="43" a="1"/>
  <c r="AE17" i="58" l="1"/>
  <c r="AE18" i="58" s="1"/>
  <c r="AE24" i="58" s="1"/>
  <c r="AE25" i="58" s="1"/>
  <c r="AE26" i="58" s="1"/>
  <c r="AE27" i="58" s="1"/>
  <c r="AE125" i="58"/>
  <c r="AE136" i="58" s="1"/>
  <c r="AE88" i="58"/>
  <c r="AE87" i="58" s="1"/>
  <c r="AD56" i="58"/>
  <c r="AD68" i="58" s="1"/>
  <c r="AD21" i="58"/>
  <c r="AD22" i="58" s="1"/>
  <c r="AD23" i="58" s="1"/>
  <c r="AD49" i="58" s="1"/>
  <c r="AD61" i="58" s="1"/>
  <c r="V131" i="58"/>
  <c r="V142" i="58" s="1"/>
  <c r="AB50" i="58"/>
  <c r="AB62" i="58" s="1"/>
  <c r="AB48" i="58"/>
  <c r="AH8" i="58"/>
  <c r="AD57" i="58"/>
  <c r="AD69" i="58" s="1"/>
  <c r="AE164" i="59"/>
  <c r="AE154" i="59" s="1"/>
  <c r="AE167" i="59"/>
  <c r="AE157" i="59" s="1"/>
  <c r="Z128" i="58"/>
  <c r="Z139" i="58" s="1"/>
  <c r="AE32" i="58"/>
  <c r="AE34" i="58" s="1"/>
  <c r="AE36" i="58" s="1"/>
  <c r="AE39" i="58" s="1"/>
  <c r="AD33" i="58"/>
  <c r="AA199" i="58"/>
  <c r="AA127" i="58"/>
  <c r="AA138" i="58" s="1"/>
  <c r="AE57" i="58"/>
  <c r="AE69" i="58" s="1"/>
  <c r="AE21" i="58"/>
  <c r="AE22" i="58" s="1"/>
  <c r="AE56" i="58"/>
  <c r="AE68" i="58" s="1"/>
  <c r="AE97" i="58"/>
  <c r="AE104" i="58" s="1"/>
  <c r="AD54" i="58"/>
  <c r="AD66" i="58" s="1"/>
  <c r="AE115" i="58"/>
  <c r="AE116" i="58" s="1"/>
  <c r="V132" i="58"/>
  <c r="V143" i="58" s="1"/>
  <c r="V121" i="58" s="1"/>
  <c r="AD26" i="58"/>
  <c r="AD27" i="58" s="1"/>
  <c r="AD97" i="58"/>
  <c r="AD99" i="58" s="1"/>
  <c r="AD115" i="58"/>
  <c r="AD114" i="58"/>
  <c r="AE163" i="59"/>
  <c r="AE153" i="59" s="1"/>
  <c r="AE162" i="59"/>
  <c r="AE152" i="59" s="1"/>
  <c r="AE171" i="59"/>
  <c r="AE161" i="59" s="1"/>
  <c r="AC100" i="58"/>
  <c r="AF11" i="58"/>
  <c r="AF8" i="59"/>
  <c r="AH51" i="59"/>
  <c r="AH39" i="59"/>
  <c r="AH27" i="59"/>
  <c r="AH15" i="59"/>
  <c r="AH34" i="59"/>
  <c r="AH22" i="59"/>
  <c r="AH41" i="59"/>
  <c r="AH29" i="59"/>
  <c r="AH17" i="59"/>
  <c r="AH24" i="59"/>
  <c r="AH12" i="59"/>
  <c r="AH55" i="59"/>
  <c r="AH31" i="59"/>
  <c r="AH19" i="59"/>
  <c r="AH50" i="59"/>
  <c r="AH26" i="59"/>
  <c r="AH45" i="59"/>
  <c r="AH21" i="59"/>
  <c r="AH52" i="59"/>
  <c r="AH40" i="59"/>
  <c r="AH16" i="59"/>
  <c r="AH47" i="59"/>
  <c r="AH35" i="59"/>
  <c r="AH54" i="59"/>
  <c r="AH42" i="59"/>
  <c r="AH30" i="59"/>
  <c r="AH49" i="59"/>
  <c r="AH37" i="59"/>
  <c r="AH25" i="59"/>
  <c r="AH44" i="59"/>
  <c r="AH32" i="59"/>
  <c r="AH20" i="59"/>
  <c r="AF68" i="59"/>
  <c r="AF160" i="59"/>
  <c r="AF170" i="59" s="1"/>
  <c r="AG5" i="58"/>
  <c r="AG12" i="58" s="1"/>
  <c r="AG11" i="58" s="1"/>
  <c r="AG113" i="58" s="1"/>
  <c r="AG5" i="59"/>
  <c r="AG8" i="59"/>
  <c r="AF28" i="59"/>
  <c r="AF23" i="59"/>
  <c r="AF33" i="59"/>
  <c r="AF53" i="59"/>
  <c r="AF18" i="59"/>
  <c r="AF43" i="59"/>
  <c r="AG68" i="59"/>
  <c r="AG160" i="59"/>
  <c r="AG170" i="59" s="1"/>
  <c r="AH7" i="58"/>
  <c r="AH7" i="59"/>
  <c r="AH84" i="59" s="1"/>
  <c r="AC103" i="58"/>
  <c r="AC101" i="58"/>
  <c r="AH9" i="58"/>
  <c r="AH10" i="58" s="1"/>
  <c r="AC107" i="58"/>
  <c r="AC108" i="58"/>
  <c r="AB60" i="58"/>
  <c r="AC49" i="58"/>
  <c r="AC61" i="58" s="1"/>
  <c r="AC48" i="58"/>
  <c r="AC50" i="58"/>
  <c r="AC62" i="58" s="1"/>
  <c r="AC45" i="58"/>
  <c r="AC46" i="58" s="1"/>
  <c r="AB120" i="58"/>
  <c r="AB127" i="58" s="1"/>
  <c r="AB138" i="58" s="1"/>
  <c r="Y215" i="58"/>
  <c r="Y200" i="58"/>
  <c r="AA47" i="58"/>
  <c r="AA58" i="58"/>
  <c r="AC52" i="58"/>
  <c r="AC64" i="58" s="1"/>
  <c r="AE117" i="58"/>
  <c r="AC137" i="58"/>
  <c r="AC127" i="58"/>
  <c r="AC138" i="58" s="1"/>
  <c r="AC93" i="58"/>
  <c r="AC203" i="58"/>
  <c r="AA95" i="58"/>
  <c r="AA96" i="58" s="1"/>
  <c r="AA212" i="58" s="1"/>
  <c r="AA204" i="58" s="1"/>
  <c r="AH82" i="58"/>
  <c r="AH160" i="58"/>
  <c r="Z90" i="58"/>
  <c r="Z91" i="58" s="1"/>
  <c r="Z201" i="58" s="1"/>
  <c r="Y201" i="58"/>
  <c r="Y130" i="58"/>
  <c r="Y131" i="58" s="1"/>
  <c r="Y142" i="58" s="1"/>
  <c r="AC112" i="58"/>
  <c r="AC111" i="58"/>
  <c r="AD48" i="58"/>
  <c r="AD50" i="58"/>
  <c r="AD62" i="58" s="1"/>
  <c r="AD45" i="58"/>
  <c r="AF217" i="58"/>
  <c r="AF207" i="58" s="1"/>
  <c r="AF218" i="58"/>
  <c r="AF208" i="58" s="1"/>
  <c r="AF220" i="58"/>
  <c r="AF210" i="58" s="1"/>
  <c r="AF40" i="58"/>
  <c r="AB85" i="58"/>
  <c r="AB92" i="58"/>
  <c r="AB94" i="58"/>
  <c r="AA89" i="58"/>
  <c r="AE217" i="58"/>
  <c r="AE207" i="58" s="1"/>
  <c r="AE218" i="58"/>
  <c r="AE208" i="58" s="1"/>
  <c r="AE40" i="58"/>
  <c r="AE220" i="58"/>
  <c r="AE210" i="58" s="1"/>
  <c r="AG162" i="58"/>
  <c r="AG161" i="58"/>
  <c r="AH41" i="60"/>
  <c r="AH40" i="60"/>
  <c r="AH8" i="60"/>
  <c r="AH37" i="60"/>
  <c r="AH38" i="60" s="1"/>
  <c r="AH39" i="60" s="1"/>
  <c r="AK1" i="61"/>
  <c r="AI1" i="43"/>
  <c r="AJ2" i="43"/>
  <c r="AF12" i="43"/>
  <c r="AF9" i="43" s="1"/>
  <c r="J35" i="132"/>
  <c r="K35" i="132" s="1"/>
  <c r="J44" i="132"/>
  <c r="K44" i="132" s="1"/>
  <c r="J43" i="132"/>
  <c r="H343" i="12" s="1"/>
  <c r="L49" i="132"/>
  <c r="E344" i="120"/>
  <c r="B344" i="120"/>
  <c r="E343" i="120"/>
  <c r="B343" i="120"/>
  <c r="E296" i="120"/>
  <c r="B16" i="119"/>
  <c r="AJ1" i="43" a="1"/>
  <c r="AB80" i="58" l="1"/>
  <c r="AB81" i="58" s="1"/>
  <c r="AE118" i="58"/>
  <c r="AE119" i="58"/>
  <c r="AD55" i="58"/>
  <c r="AD67" i="58" s="1"/>
  <c r="AD43" i="58"/>
  <c r="AE35" i="58"/>
  <c r="Z129" i="58"/>
  <c r="Z140" i="58" s="1"/>
  <c r="AA128" i="58"/>
  <c r="AA129" i="58" s="1"/>
  <c r="AA140" i="58" s="1"/>
  <c r="AE43" i="58"/>
  <c r="AE55" i="58"/>
  <c r="AE67" i="58" s="1"/>
  <c r="AE54" i="58"/>
  <c r="AE66" i="58" s="1"/>
  <c r="AE44" i="58"/>
  <c r="AE53" i="58" s="1"/>
  <c r="AE65" i="58" s="1"/>
  <c r="G344" i="120"/>
  <c r="I344" i="120" s="1"/>
  <c r="F344" i="120"/>
  <c r="D344" i="120"/>
  <c r="C344" i="120"/>
  <c r="G343" i="120"/>
  <c r="I343" i="120" s="1"/>
  <c r="F343" i="120"/>
  <c r="D343" i="120"/>
  <c r="C343" i="120"/>
  <c r="AE98" i="58"/>
  <c r="AE23" i="58"/>
  <c r="AE45" i="58" s="1"/>
  <c r="AD36" i="58"/>
  <c r="AD39" i="58" s="1"/>
  <c r="AD118" i="58"/>
  <c r="AD35" i="58"/>
  <c r="AD119" i="58"/>
  <c r="AF17" i="58"/>
  <c r="AF18" i="58" s="1"/>
  <c r="AF24" i="58" s="1"/>
  <c r="AF25" i="58" s="1"/>
  <c r="AF26" i="58" s="1"/>
  <c r="AF113" i="58"/>
  <c r="AF114" i="58" s="1"/>
  <c r="AF124" i="58"/>
  <c r="AF135" i="58" s="1"/>
  <c r="AF13" i="58"/>
  <c r="AF20" i="58" s="1"/>
  <c r="AF21" i="58" s="1"/>
  <c r="AF31" i="58"/>
  <c r="AF33" i="58" s="1"/>
  <c r="AF125" i="58"/>
  <c r="AF136" i="58" s="1"/>
  <c r="AF123" i="58"/>
  <c r="AF134" i="58" s="1"/>
  <c r="AH8" i="59"/>
  <c r="AD117" i="58"/>
  <c r="AD116" i="58"/>
  <c r="AD104" i="58"/>
  <c r="AD98" i="58"/>
  <c r="AF88" i="58"/>
  <c r="AF87" i="58" s="1"/>
  <c r="AH68" i="59"/>
  <c r="AH160" i="59"/>
  <c r="AH170" i="59" s="1"/>
  <c r="AG70" i="59"/>
  <c r="AG165" i="59" s="1"/>
  <c r="AG155" i="59" s="1"/>
  <c r="AF171" i="59"/>
  <c r="AF161" i="59" s="1"/>
  <c r="AH5" i="58"/>
  <c r="AH12" i="58" s="1"/>
  <c r="AH11" i="58" s="1"/>
  <c r="AH113" i="58" s="1"/>
  <c r="AH5" i="59"/>
  <c r="AG28" i="59"/>
  <c r="AG23" i="59"/>
  <c r="AG53" i="59"/>
  <c r="AG18" i="59"/>
  <c r="AG43" i="59"/>
  <c r="AG33" i="59"/>
  <c r="AF70" i="59"/>
  <c r="AF162" i="59" s="1"/>
  <c r="AF152" i="59" s="1"/>
  <c r="AG163" i="58"/>
  <c r="AG218" i="58" s="1"/>
  <c r="AG208" i="58" s="1"/>
  <c r="AE99" i="58"/>
  <c r="AB95" i="58"/>
  <c r="AB96" i="58" s="1"/>
  <c r="AB212" i="58" s="1"/>
  <c r="AB204" i="58" s="1"/>
  <c r="AC120" i="58"/>
  <c r="AC199" i="58" s="1"/>
  <c r="AC85" i="58"/>
  <c r="AH162" i="58"/>
  <c r="AH161" i="58"/>
  <c r="AC80" i="58"/>
  <c r="AC81" i="58" s="1"/>
  <c r="AC60" i="58"/>
  <c r="AB47" i="58"/>
  <c r="AB58" i="58"/>
  <c r="AE106" i="58"/>
  <c r="AE105" i="58"/>
  <c r="AE109" i="58"/>
  <c r="AE110" i="58" s="1"/>
  <c r="AE51" i="58"/>
  <c r="AE83" i="58"/>
  <c r="AE126" i="58"/>
  <c r="AG123" i="58"/>
  <c r="AG125" i="58"/>
  <c r="AG136" i="58" s="1"/>
  <c r="AG97" i="58"/>
  <c r="AG31" i="58"/>
  <c r="AG13" i="58"/>
  <c r="AG20" i="58" s="1"/>
  <c r="AG124" i="58"/>
  <c r="AG135" i="58" s="1"/>
  <c r="AG88" i="58"/>
  <c r="AG87" i="58" s="1"/>
  <c r="AB89" i="58"/>
  <c r="AB216" i="58"/>
  <c r="AB86" i="58"/>
  <c r="AG17" i="58"/>
  <c r="AG18" i="58" s="1"/>
  <c r="AG24" i="58" s="1"/>
  <c r="AC92" i="58"/>
  <c r="AC94" i="58"/>
  <c r="AB128" i="58"/>
  <c r="AD60" i="58"/>
  <c r="AA90" i="58"/>
  <c r="AA91" i="58" s="1"/>
  <c r="AA201" i="58" s="1"/>
  <c r="Y141" i="58"/>
  <c r="Y132" i="58"/>
  <c r="Y143" i="58" s="1"/>
  <c r="Z215" i="58"/>
  <c r="Z200" i="58"/>
  <c r="AB199" i="58"/>
  <c r="AE23" i="60"/>
  <c r="AL1" i="61"/>
  <c r="AJ1" i="43"/>
  <c r="AK2" i="43"/>
  <c r="E173" i="12"/>
  <c r="E440" i="12"/>
  <c r="E405" i="12"/>
  <c r="H344" i="12"/>
  <c r="K43" i="132"/>
  <c r="AK1" i="43" a="1"/>
  <c r="AE48" i="58" l="1"/>
  <c r="AE60" i="58" s="1"/>
  <c r="Z130" i="58"/>
  <c r="Z141" i="58" s="1"/>
  <c r="AA139" i="58"/>
  <c r="AA130" i="58"/>
  <c r="AA141" i="58" s="1"/>
  <c r="AE49" i="58"/>
  <c r="AE61" i="58" s="1"/>
  <c r="AE46" i="58"/>
  <c r="AE50" i="58"/>
  <c r="AE62" i="58" s="1"/>
  <c r="AG164" i="59"/>
  <c r="AG154" i="59" s="1"/>
  <c r="AE102" i="58"/>
  <c r="AF97" i="58"/>
  <c r="AF104" i="58" s="1"/>
  <c r="AG40" i="58"/>
  <c r="AF56" i="58"/>
  <c r="AF68" i="58" s="1"/>
  <c r="AF42" i="58"/>
  <c r="AG217" i="58"/>
  <c r="AG207" i="58" s="1"/>
  <c r="AG220" i="58"/>
  <c r="AG210" i="58" s="1"/>
  <c r="AD51" i="58"/>
  <c r="AD44" i="58"/>
  <c r="AD126" i="58"/>
  <c r="AD83" i="58"/>
  <c r="AF32" i="58"/>
  <c r="AF34" i="58" s="1"/>
  <c r="AF36" i="58" s="1"/>
  <c r="AF39" i="58" s="1"/>
  <c r="AF57" i="58"/>
  <c r="AF69" i="58" s="1"/>
  <c r="AC128" i="58"/>
  <c r="AC139" i="58" s="1"/>
  <c r="AA131" i="58"/>
  <c r="AA142" i="58" s="1"/>
  <c r="AG167" i="59"/>
  <c r="AG157" i="59" s="1"/>
  <c r="AF115" i="58"/>
  <c r="AF116" i="58" s="1"/>
  <c r="Z131" i="58"/>
  <c r="Z142" i="58" s="1"/>
  <c r="AE100" i="58"/>
  <c r="AE103" i="58"/>
  <c r="AE101" i="58"/>
  <c r="AF167" i="59"/>
  <c r="AF157" i="59" s="1"/>
  <c r="AF165" i="59"/>
  <c r="AF155" i="59" s="1"/>
  <c r="AF164" i="59"/>
  <c r="AF154" i="59" s="1"/>
  <c r="AD100" i="58"/>
  <c r="AD103" i="58"/>
  <c r="AD102" i="58"/>
  <c r="AD101" i="58"/>
  <c r="AD105" i="58"/>
  <c r="AD109" i="58"/>
  <c r="AD110" i="58" s="1"/>
  <c r="AD106" i="58"/>
  <c r="AF163" i="59"/>
  <c r="AF153" i="59" s="1"/>
  <c r="AG171" i="59"/>
  <c r="AG161" i="59" s="1"/>
  <c r="AG163" i="59"/>
  <c r="AG153" i="59" s="1"/>
  <c r="AG162" i="59"/>
  <c r="AG152" i="59" s="1"/>
  <c r="AH33" i="59"/>
  <c r="AH28" i="59"/>
  <c r="AH23" i="59"/>
  <c r="AH53" i="59"/>
  <c r="AH18" i="59"/>
  <c r="AH43" i="59"/>
  <c r="AH70" i="59"/>
  <c r="AH164" i="59" s="1"/>
  <c r="AH154" i="59" s="1"/>
  <c r="Y121" i="58"/>
  <c r="AG25" i="58"/>
  <c r="AG26" i="58" s="1"/>
  <c r="AG27" i="58" s="1"/>
  <c r="AF117" i="58"/>
  <c r="AE111" i="58"/>
  <c r="AE112" i="58"/>
  <c r="AC47" i="58"/>
  <c r="AC58" i="58"/>
  <c r="AE107" i="58"/>
  <c r="AE108" i="58"/>
  <c r="AE85" i="58"/>
  <c r="AE93" i="58"/>
  <c r="AE203" i="58"/>
  <c r="AH123" i="58"/>
  <c r="AH125" i="58"/>
  <c r="AH136" i="58" s="1"/>
  <c r="AH31" i="58"/>
  <c r="AH13" i="58"/>
  <c r="AH20" i="58" s="1"/>
  <c r="AH124" i="58"/>
  <c r="AH135" i="58" s="1"/>
  <c r="AH88" i="58"/>
  <c r="AH87" i="58" s="1"/>
  <c r="AE137" i="58"/>
  <c r="AE127" i="58"/>
  <c r="AE138" i="58" s="1"/>
  <c r="AE63" i="58"/>
  <c r="AE52" i="58"/>
  <c r="AB90" i="58"/>
  <c r="AB91" i="58" s="1"/>
  <c r="AH163" i="58"/>
  <c r="AF27" i="58"/>
  <c r="AG134" i="58"/>
  <c r="AB139" i="58"/>
  <c r="AB129" i="58"/>
  <c r="AB140" i="58" s="1"/>
  <c r="AF54" i="58"/>
  <c r="AF66" i="58" s="1"/>
  <c r="AF55" i="58"/>
  <c r="AF67" i="58" s="1"/>
  <c r="AF43" i="58"/>
  <c r="AF22" i="58"/>
  <c r="AG42" i="58"/>
  <c r="AG56" i="58"/>
  <c r="AG68" i="58" s="1"/>
  <c r="AG21" i="58"/>
  <c r="AG22" i="58" s="1"/>
  <c r="AG57" i="58"/>
  <c r="AG69" i="58" s="1"/>
  <c r="AC216" i="58"/>
  <c r="AC86" i="58"/>
  <c r="AG104" i="58"/>
  <c r="AG99" i="58"/>
  <c r="AG98" i="58"/>
  <c r="AH17" i="58"/>
  <c r="AH18" i="58" s="1"/>
  <c r="AH24" i="58" s="1"/>
  <c r="AG32" i="58"/>
  <c r="AG34" i="58" s="1"/>
  <c r="AG33" i="58"/>
  <c r="AC95" i="58"/>
  <c r="AC96" i="58" s="1"/>
  <c r="AC212" i="58" s="1"/>
  <c r="AC204" i="58" s="1"/>
  <c r="AE120" i="58"/>
  <c r="AE199" i="58" s="1"/>
  <c r="AA215" i="58"/>
  <c r="AA200" i="58"/>
  <c r="AG114" i="58"/>
  <c r="AG115" i="58"/>
  <c r="AC89" i="58"/>
  <c r="AE24" i="60"/>
  <c r="AE25" i="60" s="1"/>
  <c r="AE26" i="60"/>
  <c r="AM1" i="61"/>
  <c r="AK1" i="43"/>
  <c r="AL2" i="43"/>
  <c r="AL1" i="43" a="1"/>
  <c r="AF98" i="58" l="1"/>
  <c r="AF99" i="58"/>
  <c r="AC129" i="58"/>
  <c r="AC140" i="58" s="1"/>
  <c r="AG36" i="58"/>
  <c r="AG39" i="58" s="1"/>
  <c r="AG106" i="58" s="1"/>
  <c r="Z132" i="58"/>
  <c r="AF118" i="58"/>
  <c r="AF35" i="58"/>
  <c r="AA132" i="58"/>
  <c r="AA143" i="58" s="1"/>
  <c r="AF119" i="58"/>
  <c r="AD203" i="58"/>
  <c r="AD93" i="58"/>
  <c r="AD137" i="58"/>
  <c r="AD127" i="58"/>
  <c r="AD53" i="58"/>
  <c r="AD65" i="58" s="1"/>
  <c r="AD46" i="58"/>
  <c r="AD120" i="58" s="1"/>
  <c r="AD63" i="58"/>
  <c r="AH167" i="59"/>
  <c r="AH157" i="59" s="1"/>
  <c r="AH165" i="59"/>
  <c r="AH155" i="59" s="1"/>
  <c r="AD111" i="58"/>
  <c r="AD112" i="58"/>
  <c r="AD107" i="58"/>
  <c r="AD108" i="58"/>
  <c r="AE29" i="60"/>
  <c r="AE32" i="60" s="1"/>
  <c r="AH171" i="59"/>
  <c r="AH161" i="59" s="1"/>
  <c r="AH163" i="59"/>
  <c r="AH153" i="59" s="1"/>
  <c r="AH162" i="59"/>
  <c r="AH152" i="59" s="1"/>
  <c r="AC130" i="58"/>
  <c r="AC141" i="58" s="1"/>
  <c r="AH25" i="58"/>
  <c r="AH26" i="58" s="1"/>
  <c r="AE64" i="58"/>
  <c r="AE47" i="58" s="1"/>
  <c r="AE80" i="58"/>
  <c r="AE81" i="58" s="1"/>
  <c r="AE92" i="58"/>
  <c r="AE94" i="58"/>
  <c r="AE216" i="58"/>
  <c r="AE86" i="58"/>
  <c r="AC90" i="58"/>
  <c r="AC91" i="58" s="1"/>
  <c r="AC201" i="58" s="1"/>
  <c r="AG35" i="58"/>
  <c r="AG118" i="58"/>
  <c r="AG119" i="58"/>
  <c r="AB130" i="58"/>
  <c r="AG102" i="58"/>
  <c r="AG101" i="58"/>
  <c r="AG103" i="58"/>
  <c r="AG100" i="58"/>
  <c r="AH42" i="58"/>
  <c r="AH56" i="58"/>
  <c r="AH68" i="58" s="1"/>
  <c r="AH21" i="58"/>
  <c r="AH22" i="58" s="1"/>
  <c r="AH57" i="58"/>
  <c r="AH69" i="58" s="1"/>
  <c r="AH217" i="58"/>
  <c r="AH207" i="58" s="1"/>
  <c r="AH218" i="58"/>
  <c r="AH208" i="58" s="1"/>
  <c r="AH220" i="58"/>
  <c r="AH210" i="58" s="1"/>
  <c r="AH40" i="58"/>
  <c r="AH32" i="58"/>
  <c r="AH34" i="58" s="1"/>
  <c r="AH33" i="58"/>
  <c r="AE128" i="58"/>
  <c r="AE139" i="58" s="1"/>
  <c r="AG105" i="58"/>
  <c r="Z143" i="58"/>
  <c r="Z121" i="58" s="1"/>
  <c r="AF106" i="58"/>
  <c r="AF105" i="58"/>
  <c r="AF109" i="58"/>
  <c r="AF110" i="58" s="1"/>
  <c r="AG116" i="58"/>
  <c r="AG117" i="58"/>
  <c r="AG23" i="58"/>
  <c r="AG54" i="58"/>
  <c r="AG66" i="58" s="1"/>
  <c r="AG55" i="58"/>
  <c r="AG67" i="58" s="1"/>
  <c r="AG43" i="58"/>
  <c r="AH114" i="58"/>
  <c r="AH115" i="58"/>
  <c r="AH134" i="58"/>
  <c r="AE89" i="58"/>
  <c r="AA121" i="58"/>
  <c r="AB215" i="58"/>
  <c r="AB200" i="58"/>
  <c r="AH97" i="58"/>
  <c r="AF102" i="58"/>
  <c r="AG109" i="58"/>
  <c r="AG110" i="58" s="1"/>
  <c r="AF44" i="58"/>
  <c r="AF53" i="58" s="1"/>
  <c r="AF65" i="58" s="1"/>
  <c r="AF51" i="58"/>
  <c r="AF63" i="58" s="1"/>
  <c r="AF23" i="58"/>
  <c r="AB201" i="58"/>
  <c r="AF83" i="58"/>
  <c r="AF126" i="58"/>
  <c r="AF23" i="60"/>
  <c r="AE28" i="60"/>
  <c r="AE31" i="60" s="1"/>
  <c r="AF12" i="61"/>
  <c r="AN1" i="61"/>
  <c r="AL1" i="43"/>
  <c r="AM2" i="43"/>
  <c r="AM1" i="43" a="1"/>
  <c r="AF103" i="58" l="1"/>
  <c r="AF101" i="58"/>
  <c r="AF100" i="58"/>
  <c r="AD52" i="58"/>
  <c r="AD64" i="58" s="1"/>
  <c r="AD58" i="58" s="1"/>
  <c r="AD138" i="58"/>
  <c r="AD128" i="58"/>
  <c r="AD92" i="58"/>
  <c r="AD94" i="58"/>
  <c r="AE58" i="58"/>
  <c r="AD199" i="58"/>
  <c r="AD89" i="58"/>
  <c r="AD90" i="58" s="1"/>
  <c r="AD91" i="58" s="1"/>
  <c r="AD201" i="58" s="1"/>
  <c r="AD85" i="58"/>
  <c r="AH36" i="58"/>
  <c r="AH39" i="58" s="1"/>
  <c r="AH51" i="58" s="1"/>
  <c r="AH63" i="58" s="1"/>
  <c r="AC131" i="58"/>
  <c r="AG44" i="58"/>
  <c r="AG53" i="58" s="1"/>
  <c r="AG51" i="58"/>
  <c r="AG63" i="58" s="1"/>
  <c r="AE129" i="58"/>
  <c r="AE140" i="58" s="1"/>
  <c r="AH23" i="58"/>
  <c r="AH49" i="58" s="1"/>
  <c r="AH61" i="58" s="1"/>
  <c r="AH35" i="58"/>
  <c r="AH119" i="58"/>
  <c r="AH118" i="58"/>
  <c r="AF52" i="58"/>
  <c r="AF64" i="58" s="1"/>
  <c r="AF49" i="58"/>
  <c r="AF61" i="58" s="1"/>
  <c r="AF48" i="58"/>
  <c r="AF50" i="58"/>
  <c r="AF62" i="58" s="1"/>
  <c r="AF45" i="58"/>
  <c r="AF46" i="58" s="1"/>
  <c r="AH116" i="58"/>
  <c r="AH117" i="58"/>
  <c r="AH54" i="58"/>
  <c r="AH66" i="58" s="1"/>
  <c r="AH55" i="58"/>
  <c r="AH67" i="58" s="1"/>
  <c r="AH43" i="58"/>
  <c r="AE95" i="58"/>
  <c r="AE96" i="58" s="1"/>
  <c r="AE212" i="58" s="1"/>
  <c r="AE204" i="58" s="1"/>
  <c r="AC215" i="58"/>
  <c r="AC200" i="58"/>
  <c r="AH104" i="58"/>
  <c r="AH99" i="58"/>
  <c r="AH98" i="58"/>
  <c r="AF111" i="58"/>
  <c r="AF112" i="58"/>
  <c r="AG108" i="58"/>
  <c r="AG107" i="58"/>
  <c r="AB141" i="58"/>
  <c r="AB131" i="58"/>
  <c r="AH27" i="58"/>
  <c r="AE90" i="58"/>
  <c r="AE91" i="58" s="1"/>
  <c r="AF107" i="58"/>
  <c r="AF108" i="58"/>
  <c r="AF137" i="58"/>
  <c r="AF127" i="58"/>
  <c r="AF138" i="58" s="1"/>
  <c r="AG111" i="58"/>
  <c r="AG112" i="58"/>
  <c r="AG49" i="58"/>
  <c r="AG61" i="58" s="1"/>
  <c r="AG48" i="58"/>
  <c r="AG50" i="58"/>
  <c r="AG62" i="58" s="1"/>
  <c r="AG45" i="58"/>
  <c r="AF93" i="58"/>
  <c r="AF203" i="58"/>
  <c r="AG83" i="58"/>
  <c r="AG126" i="58"/>
  <c r="AF14" i="61"/>
  <c r="AF32" i="61" s="1"/>
  <c r="AF24" i="60"/>
  <c r="AF25" i="60" s="1"/>
  <c r="AF26" i="60"/>
  <c r="AO1" i="61"/>
  <c r="AM1" i="43"/>
  <c r="AN2" i="43"/>
  <c r="E352" i="120"/>
  <c r="E351" i="120"/>
  <c r="M391" i="120"/>
  <c r="E391" i="120"/>
  <c r="B391" i="120"/>
  <c r="AN1" i="43" a="1"/>
  <c r="AD80" i="58" l="1"/>
  <c r="AD81" i="58" s="1"/>
  <c r="G391" i="120"/>
  <c r="I391" i="120" s="1"/>
  <c r="F391" i="120"/>
  <c r="D391" i="120"/>
  <c r="C391" i="120"/>
  <c r="AD215" i="58"/>
  <c r="AD200" i="58"/>
  <c r="AD86" i="58"/>
  <c r="AD216" i="58"/>
  <c r="AD95" i="58"/>
  <c r="AD96" i="58" s="1"/>
  <c r="AD212" i="58" s="1"/>
  <c r="AD204" i="58" s="1"/>
  <c r="AD47" i="58"/>
  <c r="AD129" i="58"/>
  <c r="AD130" i="58" s="1"/>
  <c r="AD141" i="58" s="1"/>
  <c r="AD139" i="58"/>
  <c r="AF47" i="61"/>
  <c r="AH45" i="58"/>
  <c r="AE130" i="58"/>
  <c r="AE141" i="58" s="1"/>
  <c r="AH50" i="58"/>
  <c r="AH62" i="58" s="1"/>
  <c r="AH48" i="58"/>
  <c r="AH60" i="58" s="1"/>
  <c r="AC142" i="58"/>
  <c r="AC132" i="58"/>
  <c r="AG46" i="58"/>
  <c r="AG85" i="58" s="1"/>
  <c r="AG65" i="58"/>
  <c r="AG52" i="58"/>
  <c r="AG64" i="58" s="1"/>
  <c r="AF120" i="58"/>
  <c r="AF199" i="58" s="1"/>
  <c r="AF85" i="58"/>
  <c r="AB142" i="58"/>
  <c r="AB132" i="58"/>
  <c r="AB143" i="58" s="1"/>
  <c r="AG137" i="58"/>
  <c r="AG127" i="58"/>
  <c r="AG138" i="58" s="1"/>
  <c r="AF80" i="58"/>
  <c r="AF81" i="58" s="1"/>
  <c r="AF60" i="58"/>
  <c r="AG93" i="58"/>
  <c r="AG203" i="58"/>
  <c r="AH102" i="58"/>
  <c r="AH101" i="58"/>
  <c r="AH103" i="58"/>
  <c r="AH100" i="58"/>
  <c r="AG60" i="58"/>
  <c r="AH83" i="58"/>
  <c r="AH126" i="58"/>
  <c r="AE215" i="58"/>
  <c r="AE200" i="58"/>
  <c r="AH106" i="58"/>
  <c r="AH105" i="58"/>
  <c r="AH109" i="58"/>
  <c r="AH110" i="58" s="1"/>
  <c r="AH44" i="58"/>
  <c r="AF92" i="58"/>
  <c r="AF94" i="58"/>
  <c r="AF48" i="61"/>
  <c r="AE201" i="58"/>
  <c r="AF29" i="60"/>
  <c r="AF32" i="60" s="1"/>
  <c r="AF28" i="60"/>
  <c r="AF31" i="60" s="1"/>
  <c r="AG12" i="61"/>
  <c r="AF4" i="61"/>
  <c r="AF18" i="61"/>
  <c r="AF46" i="61"/>
  <c r="AF83" i="61" s="1"/>
  <c r="AF100" i="61" s="1"/>
  <c r="AF3" i="61"/>
  <c r="AF38" i="61"/>
  <c r="AF33" i="61"/>
  <c r="AF79" i="61" s="1"/>
  <c r="AF15" i="61"/>
  <c r="AF16" i="61" s="1"/>
  <c r="AF62" i="61" s="1"/>
  <c r="AF84" i="61" s="1"/>
  <c r="AF2" i="61"/>
  <c r="AF5" i="61"/>
  <c r="AP1" i="61"/>
  <c r="AN1" i="43"/>
  <c r="AO2" i="43"/>
  <c r="AO1" i="43" a="1"/>
  <c r="AB121" i="58" l="1"/>
  <c r="AE131" i="58"/>
  <c r="AE142" i="58" s="1"/>
  <c r="AF51" i="61"/>
  <c r="AF76" i="61" s="1"/>
  <c r="AF97" i="61" s="1"/>
  <c r="AG120" i="58"/>
  <c r="AG199" i="58" s="1"/>
  <c r="AD140" i="58"/>
  <c r="AD131" i="58"/>
  <c r="AG80" i="58"/>
  <c r="AG81" i="58" s="1"/>
  <c r="AC143" i="58"/>
  <c r="AC121" i="58" s="1"/>
  <c r="AG216" i="58"/>
  <c r="AG86" i="58"/>
  <c r="AF47" i="58"/>
  <c r="AF58" i="58"/>
  <c r="AH111" i="58"/>
  <c r="AH112" i="58"/>
  <c r="AH137" i="58"/>
  <c r="AH127" i="58"/>
  <c r="AH138" i="58" s="1"/>
  <c r="AF95" i="58"/>
  <c r="AF96" i="58" s="1"/>
  <c r="AF212" i="58" s="1"/>
  <c r="AF204" i="58" s="1"/>
  <c r="AH93" i="58"/>
  <c r="AH203" i="58"/>
  <c r="AF216" i="58"/>
  <c r="AF86" i="58"/>
  <c r="AG92" i="58"/>
  <c r="AG94" i="58"/>
  <c r="AH46" i="58"/>
  <c r="AH85" i="58" s="1"/>
  <c r="AH53" i="58"/>
  <c r="AF49" i="61"/>
  <c r="AF81" i="61" s="1"/>
  <c r="AG47" i="58"/>
  <c r="AG58" i="58"/>
  <c r="AH107" i="58"/>
  <c r="AH108" i="58"/>
  <c r="AF50" i="61"/>
  <c r="AF68" i="61" s="1"/>
  <c r="AF89" i="61" s="1"/>
  <c r="AF89" i="58"/>
  <c r="AF128" i="58"/>
  <c r="AF19" i="61"/>
  <c r="AF27" i="61"/>
  <c r="AF63" i="61" s="1"/>
  <c r="AF85" i="61" s="1"/>
  <c r="AF28" i="61"/>
  <c r="AF70" i="61" s="1"/>
  <c r="AF91" i="61" s="1"/>
  <c r="AF31" i="61"/>
  <c r="AF72" i="61" s="1"/>
  <c r="AF93" i="61" s="1"/>
  <c r="AF29" i="61"/>
  <c r="AF69" i="61" s="1"/>
  <c r="AF90" i="61" s="1"/>
  <c r="AF20" i="61"/>
  <c r="AF30" i="61"/>
  <c r="AF71" i="61" s="1"/>
  <c r="AF92" i="61" s="1"/>
  <c r="AG14" i="61"/>
  <c r="AG32" i="61" s="1"/>
  <c r="AG47" i="61"/>
  <c r="AF55" i="61"/>
  <c r="AF53" i="61"/>
  <c r="AF57" i="61"/>
  <c r="AF36" i="61"/>
  <c r="AF35" i="61"/>
  <c r="AF66" i="61" s="1"/>
  <c r="AF39" i="61"/>
  <c r="AF41" i="61"/>
  <c r="AF40" i="61"/>
  <c r="AQ1" i="61"/>
  <c r="AO1" i="43"/>
  <c r="AP2" i="43"/>
  <c r="AP1" i="43" a="1"/>
  <c r="AE132" i="58" l="1"/>
  <c r="AE143" i="58" s="1"/>
  <c r="AG89" i="58"/>
  <c r="AG128" i="58"/>
  <c r="AG139" i="58" s="1"/>
  <c r="AD142" i="58"/>
  <c r="AD132" i="58"/>
  <c r="AD143" i="58" s="1"/>
  <c r="AD121" i="58" s="1"/>
  <c r="AG129" i="58"/>
  <c r="AG140" i="58" s="1"/>
  <c r="AF90" i="58"/>
  <c r="AF91" i="58" s="1"/>
  <c r="AF201" i="58" s="1"/>
  <c r="AH216" i="58"/>
  <c r="AH86" i="58"/>
  <c r="AH92" i="58"/>
  <c r="AH94" i="58"/>
  <c r="AF139" i="58"/>
  <c r="AF129" i="58"/>
  <c r="AF140" i="58" s="1"/>
  <c r="AH65" i="58"/>
  <c r="AH52" i="58"/>
  <c r="AH120" i="58"/>
  <c r="AH128" i="58" s="1"/>
  <c r="AG95" i="58"/>
  <c r="AG96" i="58" s="1"/>
  <c r="AG212" i="58" s="1"/>
  <c r="AG204" i="58" s="1"/>
  <c r="AG90" i="58"/>
  <c r="AG91" i="58" s="1"/>
  <c r="AG48" i="61"/>
  <c r="AG50" i="61" s="1"/>
  <c r="AG68" i="61" s="1"/>
  <c r="AG89" i="61" s="1"/>
  <c r="AF58" i="61"/>
  <c r="AF64" i="61" s="1"/>
  <c r="AF86" i="61" s="1"/>
  <c r="AF59" i="61"/>
  <c r="AF65" i="61" s="1"/>
  <c r="AF87" i="61" s="1"/>
  <c r="AF60" i="61"/>
  <c r="AF74" i="61" s="1"/>
  <c r="AF95" i="61" s="1"/>
  <c r="AF82" i="61"/>
  <c r="AF99" i="61" s="1"/>
  <c r="AF44" i="61"/>
  <c r="AF75" i="61" s="1"/>
  <c r="AF96" i="61" s="1"/>
  <c r="AF42" i="61"/>
  <c r="AF78" i="61" s="1"/>
  <c r="AF43" i="61"/>
  <c r="AF67" i="61" s="1"/>
  <c r="AF88" i="61" s="1"/>
  <c r="AF61" i="61"/>
  <c r="AF77" i="61"/>
  <c r="AF98" i="61" s="1"/>
  <c r="AF73" i="61"/>
  <c r="AF94" i="61" s="1"/>
  <c r="AF37" i="61"/>
  <c r="AF80" i="61" s="1"/>
  <c r="AF34" i="61"/>
  <c r="AG46" i="61"/>
  <c r="AG83" i="61" s="1"/>
  <c r="AG100" i="61" s="1"/>
  <c r="AG15" i="61"/>
  <c r="AG16" i="61" s="1"/>
  <c r="AG62" i="61" s="1"/>
  <c r="AG84" i="61" s="1"/>
  <c r="AG18" i="61"/>
  <c r="AG33" i="61"/>
  <c r="AG79" i="61" s="1"/>
  <c r="AG38" i="61"/>
  <c r="AG2" i="61"/>
  <c r="AG4" i="61"/>
  <c r="AG3" i="61"/>
  <c r="AG5" i="61"/>
  <c r="AR1" i="61"/>
  <c r="AP1" i="43"/>
  <c r="AQ2" i="43"/>
  <c r="J87" i="132"/>
  <c r="K87" i="132" s="1"/>
  <c r="J86" i="132"/>
  <c r="K86" i="132" s="1"/>
  <c r="J85" i="132"/>
  <c r="K85" i="132" s="1"/>
  <c r="AQ4" i="43" a="1"/>
  <c r="AQ70" i="43" a="1"/>
  <c r="AQ63" i="43" a="1"/>
  <c r="AQ64" i="43" a="1"/>
  <c r="AQ7" i="43" a="1"/>
  <c r="AQ66" i="43" a="1"/>
  <c r="AQ3" i="43" a="1"/>
  <c r="AQ68" i="43" a="1"/>
  <c r="AQ65" i="43" a="1"/>
  <c r="AQ72" i="43" a="1"/>
  <c r="AQ67" i="43" a="1"/>
  <c r="AQ69" i="43" a="1"/>
  <c r="AQ5" i="43" a="1"/>
  <c r="AQ71" i="43" a="1"/>
  <c r="AQ1" i="43" a="1"/>
  <c r="AQ6" i="43" a="1"/>
  <c r="AE121" i="58" l="1"/>
  <c r="AG130" i="58"/>
  <c r="AG141" i="58" s="1"/>
  <c r="AF130" i="58"/>
  <c r="AF141" i="58" s="1"/>
  <c r="AG49" i="61"/>
  <c r="AG81" i="61" s="1"/>
  <c r="AG51" i="61"/>
  <c r="AG76" i="61" s="1"/>
  <c r="AG97" i="61" s="1"/>
  <c r="AG131" i="58"/>
  <c r="AH139" i="58"/>
  <c r="AH129" i="58"/>
  <c r="AH140" i="58" s="1"/>
  <c r="AH199" i="58"/>
  <c r="AG200" i="58"/>
  <c r="AG215" i="58"/>
  <c r="AH89" i="58"/>
  <c r="AH95" i="58"/>
  <c r="AH96" i="58" s="1"/>
  <c r="AH212" i="58" s="1"/>
  <c r="AH204" i="58" s="1"/>
  <c r="AF215" i="58"/>
  <c r="AF200" i="58"/>
  <c r="AG201" i="58"/>
  <c r="AH64" i="58"/>
  <c r="AH80" i="58"/>
  <c r="AH81" i="58" s="1"/>
  <c r="AG55" i="61"/>
  <c r="AG53" i="61"/>
  <c r="AG57" i="61"/>
  <c r="AG39" i="61"/>
  <c r="AG35" i="61"/>
  <c r="AG66" i="61" s="1"/>
  <c r="AG36" i="61"/>
  <c r="AG40" i="61"/>
  <c r="AG41" i="61"/>
  <c r="AG19" i="61"/>
  <c r="AG28" i="61"/>
  <c r="AG70" i="61" s="1"/>
  <c r="AG91" i="61" s="1"/>
  <c r="AG27" i="61"/>
  <c r="AG63" i="61" s="1"/>
  <c r="AG85" i="61" s="1"/>
  <c r="AG20" i="61"/>
  <c r="AG31" i="61"/>
  <c r="AG72" i="61" s="1"/>
  <c r="AG93" i="61" s="1"/>
  <c r="AG30" i="61"/>
  <c r="AG71" i="61" s="1"/>
  <c r="AG92" i="61" s="1"/>
  <c r="AG29" i="61"/>
  <c r="AG69" i="61" s="1"/>
  <c r="AG90" i="61" s="1"/>
  <c r="AS1" i="61"/>
  <c r="AQ64" i="43"/>
  <c r="AQ66" i="43"/>
  <c r="AS71" i="59" s="1"/>
  <c r="AQ7" i="43"/>
  <c r="AS6" i="59" s="1"/>
  <c r="AQ69" i="43"/>
  <c r="AS74" i="59" s="1"/>
  <c r="AQ6" i="43"/>
  <c r="AQ3" i="43"/>
  <c r="AQ1" i="43"/>
  <c r="AS1" i="59" s="1"/>
  <c r="AQ67" i="43"/>
  <c r="AS72" i="59" s="1"/>
  <c r="AQ4" i="43"/>
  <c r="AQ70" i="43"/>
  <c r="AQ65" i="43"/>
  <c r="AS69" i="59" s="1"/>
  <c r="AQ71" i="43"/>
  <c r="AS76" i="59" s="1"/>
  <c r="AQ5" i="43"/>
  <c r="AQ63" i="43"/>
  <c r="AS67" i="59" s="1"/>
  <c r="AQ68" i="43"/>
  <c r="AS73" i="59" s="1"/>
  <c r="AQ72" i="43"/>
  <c r="AS82" i="59" s="1"/>
  <c r="AS166" i="59" s="1"/>
  <c r="AS156" i="59" s="1"/>
  <c r="AR2" i="43"/>
  <c r="H391" i="12"/>
  <c r="H391" i="120" s="1"/>
  <c r="J391" i="120" s="1"/>
  <c r="H390" i="12"/>
  <c r="G39" i="154"/>
  <c r="G44" i="154"/>
  <c r="I44" i="154"/>
  <c r="F49" i="154"/>
  <c r="G82" i="154"/>
  <c r="G87" i="154"/>
  <c r="F92" i="154"/>
  <c r="C124" i="154"/>
  <c r="D124" i="154"/>
  <c r="E124" i="154"/>
  <c r="C129" i="154"/>
  <c r="D129" i="154" s="1"/>
  <c r="C134" i="154"/>
  <c r="D134" i="154" s="1"/>
  <c r="E134" i="154"/>
  <c r="E139" i="154"/>
  <c r="F139" i="154"/>
  <c r="C164" i="154"/>
  <c r="F619" i="154" s="1"/>
  <c r="G619" i="154" s="1"/>
  <c r="D164" i="154"/>
  <c r="E164" i="154"/>
  <c r="C169" i="154"/>
  <c r="F624" i="154" s="1"/>
  <c r="D169" i="154"/>
  <c r="E169" i="154"/>
  <c r="C174" i="154"/>
  <c r="D174" i="154" s="1"/>
  <c r="E179" i="154"/>
  <c r="F179" i="154"/>
  <c r="E208" i="154"/>
  <c r="B212" i="154"/>
  <c r="C212" i="154"/>
  <c r="D212" i="154"/>
  <c r="E212" i="154"/>
  <c r="G212" i="154" s="1"/>
  <c r="F212" i="154"/>
  <c r="E236" i="154"/>
  <c r="E240" i="154" s="1"/>
  <c r="G240" i="154" s="1"/>
  <c r="I236" i="154"/>
  <c r="B240" i="154"/>
  <c r="C240" i="154"/>
  <c r="D240" i="154"/>
  <c r="F240" i="154"/>
  <c r="D263" i="154"/>
  <c r="E263" i="154"/>
  <c r="A283" i="154"/>
  <c r="B283" i="154"/>
  <c r="E300" i="154"/>
  <c r="F300" i="154"/>
  <c r="B321" i="154" s="1"/>
  <c r="E316" i="154"/>
  <c r="F316" i="154"/>
  <c r="B396" i="154"/>
  <c r="C396" i="154"/>
  <c r="D396" i="154"/>
  <c r="F413" i="154"/>
  <c r="C417" i="154" s="1"/>
  <c r="B417" i="154"/>
  <c r="E434" i="154"/>
  <c r="F434" i="154"/>
  <c r="B459" i="154"/>
  <c r="C459" i="154"/>
  <c r="E476" i="154"/>
  <c r="F476" i="154"/>
  <c r="E498" i="154"/>
  <c r="J502" i="154" s="1"/>
  <c r="B502" i="154"/>
  <c r="C502" i="154"/>
  <c r="B531" i="154"/>
  <c r="C531" i="154"/>
  <c r="D531" i="154"/>
  <c r="F572" i="154"/>
  <c r="G572" i="154" s="1"/>
  <c r="I572" i="154"/>
  <c r="J572" i="154"/>
  <c r="K572" i="154"/>
  <c r="J576" i="154"/>
  <c r="E582" i="154"/>
  <c r="F582" i="154" s="1"/>
  <c r="E659" i="154"/>
  <c r="G659" i="154" s="1"/>
  <c r="AR64" i="43" a="1"/>
  <c r="AR5" i="43" a="1"/>
  <c r="AR4" i="43" a="1"/>
  <c r="AR3" i="43" a="1"/>
  <c r="AR69" i="43" a="1"/>
  <c r="AR72" i="43" a="1"/>
  <c r="AR63" i="43" a="1"/>
  <c r="AR6" i="43" a="1"/>
  <c r="AR67" i="43" a="1"/>
  <c r="AR1" i="43" a="1"/>
  <c r="AR66" i="43" a="1"/>
  <c r="AR68" i="43" a="1"/>
  <c r="AR70" i="43" a="1"/>
  <c r="AR65" i="43" a="1"/>
  <c r="AR71" i="43" a="1"/>
  <c r="AR7" i="43" a="1"/>
  <c r="AF131" i="58" l="1"/>
  <c r="AF142" i="58" s="1"/>
  <c r="AS75" i="59"/>
  <c r="AS2" i="58"/>
  <c r="AS2" i="59"/>
  <c r="AS56" i="59"/>
  <c r="AS59" i="59"/>
  <c r="AS58" i="59"/>
  <c r="AS57" i="59"/>
  <c r="AS4" i="58"/>
  <c r="AS4" i="59"/>
  <c r="AS3" i="58"/>
  <c r="AS3" i="59"/>
  <c r="AH130" i="58"/>
  <c r="AH141" i="58" s="1"/>
  <c r="AS1" i="60"/>
  <c r="AS1" i="58"/>
  <c r="AS5" i="60"/>
  <c r="AS6" i="58"/>
  <c r="AG142" i="58"/>
  <c r="AG132" i="58"/>
  <c r="AH90" i="58"/>
  <c r="AH91" i="58" s="1"/>
  <c r="AH201" i="58" s="1"/>
  <c r="AF132" i="58"/>
  <c r="AH58" i="58"/>
  <c r="AH47" i="58"/>
  <c r="AS2" i="60"/>
  <c r="AS3" i="60"/>
  <c r="AS4" i="60"/>
  <c r="AG77" i="61"/>
  <c r="AG98" i="61" s="1"/>
  <c r="AG61" i="61"/>
  <c r="AG44" i="61"/>
  <c r="AG75" i="61" s="1"/>
  <c r="AG96" i="61" s="1"/>
  <c r="AG42" i="61"/>
  <c r="AG78" i="61" s="1"/>
  <c r="AG82" i="61"/>
  <c r="AG99" i="61" s="1"/>
  <c r="AG43" i="61"/>
  <c r="AG67" i="61" s="1"/>
  <c r="AG88" i="61" s="1"/>
  <c r="AG60" i="61"/>
  <c r="AG74" i="61" s="1"/>
  <c r="AG95" i="61" s="1"/>
  <c r="AG59" i="61"/>
  <c r="AG65" i="61" s="1"/>
  <c r="AG87" i="61" s="1"/>
  <c r="AG58" i="61"/>
  <c r="AG64" i="61" s="1"/>
  <c r="AG86" i="61" s="1"/>
  <c r="AG73" i="61"/>
  <c r="AG94" i="61" s="1"/>
  <c r="AG37" i="61"/>
  <c r="AG80" i="61" s="1"/>
  <c r="AG34" i="61"/>
  <c r="AT1" i="61"/>
  <c r="AQ8" i="43"/>
  <c r="AR69" i="43"/>
  <c r="AT74" i="59" s="1"/>
  <c r="AR6" i="43"/>
  <c r="AR1" i="43"/>
  <c r="AT1" i="59" s="1"/>
  <c r="AR4" i="43"/>
  <c r="AR7" i="43"/>
  <c r="AT6" i="59" s="1"/>
  <c r="AR68" i="43"/>
  <c r="AT73" i="59" s="1"/>
  <c r="AR5" i="43"/>
  <c r="AR63" i="43"/>
  <c r="AT67" i="59" s="1"/>
  <c r="AR64" i="43"/>
  <c r="AR3" i="43"/>
  <c r="AR67" i="43"/>
  <c r="AT72" i="59" s="1"/>
  <c r="AR65" i="43"/>
  <c r="AT69" i="59" s="1"/>
  <c r="AR66" i="43"/>
  <c r="AT71" i="59" s="1"/>
  <c r="AR70" i="43"/>
  <c r="AR71" i="43"/>
  <c r="AT76" i="59" s="1"/>
  <c r="AR72" i="43"/>
  <c r="AT82" i="59" s="1"/>
  <c r="AT166" i="59" s="1"/>
  <c r="AT156" i="59" s="1"/>
  <c r="AS2" i="43"/>
  <c r="AQ10" i="43"/>
  <c r="AS8" i="58" s="1"/>
  <c r="AQ11" i="43"/>
  <c r="E629" i="154"/>
  <c r="F629" i="154" s="1"/>
  <c r="C97" i="154"/>
  <c r="E97" i="154" s="1"/>
  <c r="E174" i="154"/>
  <c r="C184" i="154"/>
  <c r="A321" i="154"/>
  <c r="F577" i="154"/>
  <c r="G577" i="154" s="1"/>
  <c r="C633" i="154" s="1"/>
  <c r="E129" i="154"/>
  <c r="D184" i="154" s="1"/>
  <c r="I502" i="154"/>
  <c r="AS7" i="43" a="1"/>
  <c r="AS63" i="43" a="1"/>
  <c r="AS4" i="43" a="1"/>
  <c r="AS70" i="43" a="1"/>
  <c r="AS1" i="43" a="1"/>
  <c r="AS69" i="43" a="1"/>
  <c r="AS68" i="43" a="1"/>
  <c r="AS67" i="43" a="1"/>
  <c r="AS64" i="43" a="1"/>
  <c r="AS5" i="43" a="1"/>
  <c r="AS3" i="43" a="1"/>
  <c r="AS71" i="43" a="1"/>
  <c r="AS72" i="43" a="1"/>
  <c r="AS66" i="43" a="1"/>
  <c r="AS65" i="43" a="1"/>
  <c r="AS6" i="43" a="1"/>
  <c r="AT75" i="59" l="1"/>
  <c r="AS47" i="59"/>
  <c r="AS23" i="59"/>
  <c r="AS42" i="59"/>
  <c r="AS18" i="59"/>
  <c r="AS37" i="59"/>
  <c r="AS32" i="59"/>
  <c r="AS51" i="59"/>
  <c r="AS27" i="59"/>
  <c r="AS22" i="59"/>
  <c r="AS41" i="59"/>
  <c r="AS17" i="59"/>
  <c r="AS55" i="59"/>
  <c r="AS50" i="59"/>
  <c r="AS45" i="59"/>
  <c r="AS40" i="59"/>
  <c r="AS35" i="59"/>
  <c r="AS54" i="59"/>
  <c r="AS30" i="59"/>
  <c r="AS25" i="59"/>
  <c r="AS44" i="59"/>
  <c r="AS20" i="59"/>
  <c r="AS34" i="59"/>
  <c r="AS53" i="59"/>
  <c r="AS29" i="59"/>
  <c r="AS24" i="59"/>
  <c r="AS43" i="59"/>
  <c r="AS19" i="59"/>
  <c r="AS33" i="59"/>
  <c r="AS52" i="59"/>
  <c r="AS28" i="59"/>
  <c r="AT2" i="58"/>
  <c r="AT2" i="59"/>
  <c r="AT4" i="58"/>
  <c r="AT4" i="59"/>
  <c r="AH131" i="58"/>
  <c r="AH142" i="58" s="1"/>
  <c r="AT3" i="58"/>
  <c r="AT3" i="59"/>
  <c r="AS7" i="58"/>
  <c r="AS7" i="59"/>
  <c r="AS84" i="59" s="1"/>
  <c r="AT57" i="59"/>
  <c r="AT56" i="59"/>
  <c r="AT59" i="59"/>
  <c r="AT58" i="59"/>
  <c r="AS9" i="58"/>
  <c r="AS10" i="58" s="1"/>
  <c r="AS160" i="58"/>
  <c r="AS82" i="58"/>
  <c r="AG143" i="58"/>
  <c r="AG121" i="58" s="1"/>
  <c r="AT5" i="60"/>
  <c r="AT6" i="58"/>
  <c r="AT1" i="60"/>
  <c r="AT1" i="58"/>
  <c r="AF143" i="58"/>
  <c r="AF121" i="58" s="1"/>
  <c r="AH200" i="58"/>
  <c r="AH215" i="58"/>
  <c r="AT3" i="60"/>
  <c r="AT4" i="60"/>
  <c r="AT2" i="60"/>
  <c r="AS37" i="60"/>
  <c r="AS38" i="60" s="1"/>
  <c r="AS39" i="60" s="1"/>
  <c r="AS8" i="60"/>
  <c r="AS41" i="60"/>
  <c r="AS40" i="60"/>
  <c r="AU1" i="61"/>
  <c r="AR8" i="43"/>
  <c r="AS4" i="43"/>
  <c r="AS7" i="43"/>
  <c r="AU6" i="59" s="1"/>
  <c r="AS63" i="43"/>
  <c r="AU67" i="59" s="1"/>
  <c r="AS3" i="43"/>
  <c r="AS64" i="43"/>
  <c r="AS69" i="43"/>
  <c r="AU74" i="59" s="1"/>
  <c r="AS6" i="43"/>
  <c r="AS5" i="43"/>
  <c r="AS1" i="43"/>
  <c r="AU1" i="59" s="1"/>
  <c r="AS68" i="43"/>
  <c r="AU73" i="59" s="1"/>
  <c r="AS67" i="43"/>
  <c r="AU72" i="59" s="1"/>
  <c r="AS65" i="43"/>
  <c r="AU69" i="59" s="1"/>
  <c r="AS66" i="43"/>
  <c r="AU71" i="59" s="1"/>
  <c r="AS71" i="43"/>
  <c r="AU76" i="59" s="1"/>
  <c r="AS70" i="43"/>
  <c r="AS72" i="43"/>
  <c r="AU82" i="59" s="1"/>
  <c r="AU166" i="59" s="1"/>
  <c r="AU156" i="59" s="1"/>
  <c r="AT2" i="43"/>
  <c r="AQ12" i="43"/>
  <c r="AQ9" i="43" s="1"/>
  <c r="AR10" i="43"/>
  <c r="AR11" i="43"/>
  <c r="N85" i="39"/>
  <c r="N77" i="39"/>
  <c r="N73" i="39"/>
  <c r="P69" i="39"/>
  <c r="O69" i="39"/>
  <c r="N69" i="39"/>
  <c r="N65" i="39"/>
  <c r="N61" i="39"/>
  <c r="N57" i="39"/>
  <c r="N53" i="39"/>
  <c r="N49" i="39"/>
  <c r="N45" i="39"/>
  <c r="N41" i="39"/>
  <c r="N37" i="39"/>
  <c r="N33" i="39"/>
  <c r="N29" i="39"/>
  <c r="N25" i="39"/>
  <c r="N21" i="39"/>
  <c r="N17" i="39"/>
  <c r="N13" i="39"/>
  <c r="N9" i="39"/>
  <c r="E372" i="120"/>
  <c r="B372" i="120"/>
  <c r="E330" i="120"/>
  <c r="B330" i="120"/>
  <c r="E326" i="120"/>
  <c r="B326" i="120"/>
  <c r="E323" i="120"/>
  <c r="B323" i="120"/>
  <c r="E312" i="120"/>
  <c r="B312" i="120"/>
  <c r="E306" i="120"/>
  <c r="B306" i="120"/>
  <c r="E301" i="120"/>
  <c r="B301" i="120"/>
  <c r="E299" i="120"/>
  <c r="B299" i="120"/>
  <c r="E298" i="120"/>
  <c r="B298" i="120"/>
  <c r="B296" i="120"/>
  <c r="E295" i="120"/>
  <c r="B295" i="120"/>
  <c r="B292" i="120"/>
  <c r="E277" i="120"/>
  <c r="B277" i="120"/>
  <c r="E273" i="120"/>
  <c r="B273" i="120"/>
  <c r="E272" i="120"/>
  <c r="B272" i="120"/>
  <c r="E271" i="120"/>
  <c r="B271" i="120"/>
  <c r="E270" i="120"/>
  <c r="B270" i="120"/>
  <c r="E269" i="120"/>
  <c r="B269" i="120"/>
  <c r="E264" i="120"/>
  <c r="B264" i="120"/>
  <c r="E261" i="120"/>
  <c r="B261" i="120"/>
  <c r="E260" i="120"/>
  <c r="B260" i="120"/>
  <c r="E259" i="120"/>
  <c r="B259" i="120"/>
  <c r="E255" i="120"/>
  <c r="B255" i="120"/>
  <c r="E253" i="120"/>
  <c r="B253" i="120"/>
  <c r="E252" i="120"/>
  <c r="B252" i="120"/>
  <c r="E248" i="120"/>
  <c r="B248" i="120"/>
  <c r="E247" i="120"/>
  <c r="B247" i="120"/>
  <c r="E246" i="120"/>
  <c r="B246" i="120"/>
  <c r="E245" i="120"/>
  <c r="B245" i="120"/>
  <c r="E234" i="120"/>
  <c r="B234" i="120"/>
  <c r="E223" i="120"/>
  <c r="B223" i="120"/>
  <c r="E222" i="120"/>
  <c r="B222" i="120"/>
  <c r="E220" i="120"/>
  <c r="B220" i="120"/>
  <c r="E219" i="120"/>
  <c r="B219" i="120"/>
  <c r="E216" i="120"/>
  <c r="B216" i="120"/>
  <c r="E214" i="120"/>
  <c r="B214" i="120"/>
  <c r="E213" i="120"/>
  <c r="B213" i="120"/>
  <c r="E211" i="120"/>
  <c r="B211" i="120"/>
  <c r="E210" i="120"/>
  <c r="B210" i="120"/>
  <c r="E207" i="120"/>
  <c r="B207" i="120"/>
  <c r="E206" i="120"/>
  <c r="B206" i="120"/>
  <c r="E205" i="120"/>
  <c r="B205" i="120"/>
  <c r="E204" i="120"/>
  <c r="B204" i="120"/>
  <c r="E203" i="120"/>
  <c r="B203" i="120"/>
  <c r="E202" i="120"/>
  <c r="B202" i="120"/>
  <c r="E196" i="120"/>
  <c r="B196" i="120"/>
  <c r="E190" i="120"/>
  <c r="B190" i="120"/>
  <c r="E189" i="120"/>
  <c r="B189" i="120"/>
  <c r="E188" i="120"/>
  <c r="B188" i="120"/>
  <c r="E187" i="120"/>
  <c r="B187" i="120"/>
  <c r="E185" i="120"/>
  <c r="B185" i="120"/>
  <c r="E184" i="120"/>
  <c r="B184" i="120"/>
  <c r="M174" i="120"/>
  <c r="M170" i="120"/>
  <c r="M169" i="120"/>
  <c r="B171" i="120"/>
  <c r="E169" i="120"/>
  <c r="E161" i="120"/>
  <c r="B161" i="120"/>
  <c r="E159" i="120"/>
  <c r="B159" i="120"/>
  <c r="E151" i="120"/>
  <c r="B151" i="120"/>
  <c r="E149" i="120"/>
  <c r="B149" i="120"/>
  <c r="E148" i="120"/>
  <c r="B148" i="120"/>
  <c r="E146" i="120"/>
  <c r="B146" i="120"/>
  <c r="E143" i="120"/>
  <c r="B143" i="120"/>
  <c r="E141" i="120"/>
  <c r="B141" i="120"/>
  <c r="E140" i="120"/>
  <c r="B140" i="120"/>
  <c r="E139" i="120"/>
  <c r="B139" i="120"/>
  <c r="E138" i="120"/>
  <c r="B138" i="120"/>
  <c r="E136" i="120"/>
  <c r="B136" i="120"/>
  <c r="E135" i="120"/>
  <c r="B135" i="120"/>
  <c r="E124" i="120"/>
  <c r="B124" i="120"/>
  <c r="E121" i="120"/>
  <c r="B121" i="120"/>
  <c r="E119" i="120"/>
  <c r="B119" i="120"/>
  <c r="E111" i="120"/>
  <c r="B111" i="120"/>
  <c r="E109" i="120"/>
  <c r="B109" i="120"/>
  <c r="E108" i="120"/>
  <c r="B108" i="120"/>
  <c r="E106" i="120"/>
  <c r="B106" i="120"/>
  <c r="M97" i="120"/>
  <c r="E101" i="120"/>
  <c r="B101" i="120"/>
  <c r="B98" i="120"/>
  <c r="M93" i="120"/>
  <c r="E90" i="120"/>
  <c r="B90" i="120"/>
  <c r="E88" i="120"/>
  <c r="B88" i="120"/>
  <c r="E86" i="120"/>
  <c r="B86" i="120"/>
  <c r="E85" i="120"/>
  <c r="B85" i="120"/>
  <c r="E84" i="120"/>
  <c r="B84" i="120"/>
  <c r="E82" i="120"/>
  <c r="B82" i="120"/>
  <c r="E81" i="120"/>
  <c r="B81" i="120"/>
  <c r="E80" i="120"/>
  <c r="B80" i="120"/>
  <c r="E79" i="120"/>
  <c r="B79" i="120"/>
  <c r="E78" i="120"/>
  <c r="B78" i="120"/>
  <c r="E77" i="120"/>
  <c r="B77" i="120"/>
  <c r="E75" i="120"/>
  <c r="B75" i="120"/>
  <c r="E74" i="120"/>
  <c r="B74" i="120"/>
  <c r="E72" i="120"/>
  <c r="B72" i="120"/>
  <c r="E66" i="120"/>
  <c r="B66" i="120"/>
  <c r="M61" i="120"/>
  <c r="M59" i="120"/>
  <c r="M58" i="120"/>
  <c r="B61" i="120"/>
  <c r="A61" i="120"/>
  <c r="B59" i="120"/>
  <c r="A59" i="120"/>
  <c r="B57" i="120"/>
  <c r="B56" i="120"/>
  <c r="B55" i="120"/>
  <c r="B54" i="120"/>
  <c r="B53" i="120"/>
  <c r="B51" i="120"/>
  <c r="B50" i="120"/>
  <c r="B49" i="120"/>
  <c r="B48" i="120"/>
  <c r="B47" i="120"/>
  <c r="B46" i="120"/>
  <c r="B45" i="120"/>
  <c r="B44" i="120"/>
  <c r="B43" i="120"/>
  <c r="B42" i="120"/>
  <c r="B41" i="120"/>
  <c r="B40" i="120"/>
  <c r="B36" i="120"/>
  <c r="B7" i="120"/>
  <c r="C6" i="120"/>
  <c r="B2" i="155" s="1"/>
  <c r="B6" i="120"/>
  <c r="G2" i="134" s="1"/>
  <c r="B5" i="120"/>
  <c r="P86" i="134"/>
  <c r="P85" i="134" s="1"/>
  <c r="O86" i="134"/>
  <c r="O85" i="134" s="1"/>
  <c r="N86" i="134"/>
  <c r="N85" i="134" s="1"/>
  <c r="M86" i="134"/>
  <c r="L86" i="134"/>
  <c r="K86" i="134"/>
  <c r="J86" i="134"/>
  <c r="I86" i="134"/>
  <c r="H86" i="134"/>
  <c r="G86" i="134"/>
  <c r="F86" i="134"/>
  <c r="P82" i="134"/>
  <c r="P81" i="134" s="1"/>
  <c r="O82" i="134"/>
  <c r="O81" i="134" s="1"/>
  <c r="N82" i="134"/>
  <c r="N81" i="134" s="1"/>
  <c r="M82" i="134"/>
  <c r="L82" i="134"/>
  <c r="K82" i="134"/>
  <c r="J82" i="134"/>
  <c r="I82" i="134"/>
  <c r="H82" i="134"/>
  <c r="G82" i="134"/>
  <c r="F82" i="134"/>
  <c r="P78" i="134"/>
  <c r="P77" i="134" s="1"/>
  <c r="O78" i="134"/>
  <c r="O77" i="134" s="1"/>
  <c r="N78" i="134"/>
  <c r="N77" i="134" s="1"/>
  <c r="M78" i="134"/>
  <c r="L78" i="134"/>
  <c r="K78" i="134"/>
  <c r="J78" i="134"/>
  <c r="I78" i="134"/>
  <c r="H78" i="134"/>
  <c r="G78" i="134"/>
  <c r="F78" i="134"/>
  <c r="P74" i="134"/>
  <c r="P73" i="134" s="1"/>
  <c r="O74" i="134"/>
  <c r="O73" i="134" s="1"/>
  <c r="N74" i="134"/>
  <c r="N73" i="134" s="1"/>
  <c r="M74" i="134"/>
  <c r="L74" i="134"/>
  <c r="K74" i="134"/>
  <c r="J74" i="134"/>
  <c r="I74" i="134"/>
  <c r="H74" i="134"/>
  <c r="G74" i="134"/>
  <c r="F74" i="134"/>
  <c r="P70" i="134"/>
  <c r="P69" i="134" s="1"/>
  <c r="O70" i="134"/>
  <c r="O69" i="134" s="1"/>
  <c r="N70" i="134"/>
  <c r="N69" i="134" s="1"/>
  <c r="M70" i="134"/>
  <c r="L70" i="134"/>
  <c r="K70" i="134"/>
  <c r="J70" i="134"/>
  <c r="I70" i="134"/>
  <c r="H70" i="134"/>
  <c r="G70" i="134"/>
  <c r="F70" i="134"/>
  <c r="P66" i="134"/>
  <c r="P65" i="134" s="1"/>
  <c r="O66" i="134"/>
  <c r="O65" i="134" s="1"/>
  <c r="N66" i="134"/>
  <c r="N65" i="134" s="1"/>
  <c r="M66" i="134"/>
  <c r="L66" i="134"/>
  <c r="K66" i="134"/>
  <c r="J66" i="134"/>
  <c r="I66" i="134"/>
  <c r="H66" i="134"/>
  <c r="G66" i="134"/>
  <c r="F66" i="134"/>
  <c r="P62" i="134"/>
  <c r="P61" i="134" s="1"/>
  <c r="O62" i="134"/>
  <c r="O61" i="134" s="1"/>
  <c r="N62" i="134"/>
  <c r="N61" i="134" s="1"/>
  <c r="M62" i="134"/>
  <c r="L62" i="134"/>
  <c r="K62" i="134"/>
  <c r="J62" i="134"/>
  <c r="I62" i="134"/>
  <c r="H62" i="134"/>
  <c r="G62" i="134"/>
  <c r="F62" i="134"/>
  <c r="P58" i="134"/>
  <c r="P57" i="134" s="1"/>
  <c r="O58" i="134"/>
  <c r="O57" i="134" s="1"/>
  <c r="N58" i="134"/>
  <c r="N57" i="134" s="1"/>
  <c r="M58" i="134"/>
  <c r="L58" i="134"/>
  <c r="K58" i="134"/>
  <c r="J58" i="134"/>
  <c r="I58" i="134"/>
  <c r="H58" i="134"/>
  <c r="G58" i="134"/>
  <c r="F58" i="134"/>
  <c r="P54" i="134"/>
  <c r="P53" i="134" s="1"/>
  <c r="O54" i="134"/>
  <c r="O53" i="134" s="1"/>
  <c r="N54" i="134"/>
  <c r="N53" i="134" s="1"/>
  <c r="M54" i="134"/>
  <c r="L54" i="134"/>
  <c r="K54" i="134"/>
  <c r="J54" i="134"/>
  <c r="I54" i="134"/>
  <c r="H54" i="134"/>
  <c r="G54" i="134"/>
  <c r="F54" i="134"/>
  <c r="P50" i="134"/>
  <c r="P49" i="134" s="1"/>
  <c r="O50" i="134"/>
  <c r="O49" i="134" s="1"/>
  <c r="N50" i="134"/>
  <c r="N49" i="134" s="1"/>
  <c r="M50" i="134"/>
  <c r="L50" i="134"/>
  <c r="K50" i="134"/>
  <c r="J50" i="134"/>
  <c r="I50" i="134"/>
  <c r="H50" i="134"/>
  <c r="G50" i="134"/>
  <c r="F50" i="134"/>
  <c r="P46" i="134"/>
  <c r="P45" i="134" s="1"/>
  <c r="O46" i="134"/>
  <c r="O45" i="134" s="1"/>
  <c r="N46" i="134"/>
  <c r="N45" i="134" s="1"/>
  <c r="M46" i="134"/>
  <c r="L46" i="134"/>
  <c r="K46" i="134"/>
  <c r="J46" i="134"/>
  <c r="I46" i="134"/>
  <c r="H46" i="134"/>
  <c r="G46" i="134"/>
  <c r="F46" i="134"/>
  <c r="P42" i="134"/>
  <c r="P41" i="134" s="1"/>
  <c r="O42" i="134"/>
  <c r="O41" i="134" s="1"/>
  <c r="N42" i="134"/>
  <c r="N41" i="134" s="1"/>
  <c r="M42" i="134"/>
  <c r="L42" i="134"/>
  <c r="K42" i="134"/>
  <c r="J42" i="134"/>
  <c r="I42" i="134"/>
  <c r="H42" i="134"/>
  <c r="G42" i="134"/>
  <c r="F42" i="134"/>
  <c r="P38" i="134"/>
  <c r="P37" i="134" s="1"/>
  <c r="O38" i="134"/>
  <c r="O37" i="134" s="1"/>
  <c r="N38" i="134"/>
  <c r="N37" i="134" s="1"/>
  <c r="M38" i="134"/>
  <c r="L38" i="134"/>
  <c r="K38" i="134"/>
  <c r="J38" i="134"/>
  <c r="I38" i="134"/>
  <c r="H38" i="134"/>
  <c r="G38" i="134"/>
  <c r="F38" i="134"/>
  <c r="P34" i="134"/>
  <c r="P33" i="134" s="1"/>
  <c r="O34" i="134"/>
  <c r="O33" i="134" s="1"/>
  <c r="N34" i="134"/>
  <c r="N33" i="134" s="1"/>
  <c r="M34" i="134"/>
  <c r="M33" i="134" s="1"/>
  <c r="L34" i="134"/>
  <c r="K34" i="134"/>
  <c r="J34" i="134"/>
  <c r="I34" i="134"/>
  <c r="H34" i="134"/>
  <c r="G34" i="134"/>
  <c r="F34" i="134"/>
  <c r="P30" i="134"/>
  <c r="P29" i="134" s="1"/>
  <c r="O30" i="134"/>
  <c r="O29" i="134" s="1"/>
  <c r="N30" i="134"/>
  <c r="N29" i="134" s="1"/>
  <c r="M30" i="134"/>
  <c r="L30" i="134"/>
  <c r="K30" i="134"/>
  <c r="J30" i="134"/>
  <c r="I30" i="134"/>
  <c r="H30" i="134"/>
  <c r="G30" i="134"/>
  <c r="F30" i="134"/>
  <c r="P26" i="134"/>
  <c r="P25" i="134" s="1"/>
  <c r="O26" i="134"/>
  <c r="O25" i="134" s="1"/>
  <c r="N26" i="134"/>
  <c r="N25" i="134" s="1"/>
  <c r="M26" i="134"/>
  <c r="L26" i="134"/>
  <c r="K26" i="134"/>
  <c r="J26" i="134"/>
  <c r="I26" i="134"/>
  <c r="H26" i="134"/>
  <c r="G26" i="134"/>
  <c r="F26" i="134"/>
  <c r="P22" i="134"/>
  <c r="P21" i="134" s="1"/>
  <c r="O22" i="134"/>
  <c r="O21" i="134" s="1"/>
  <c r="N22" i="134"/>
  <c r="N21" i="134" s="1"/>
  <c r="M22" i="134"/>
  <c r="L22" i="134"/>
  <c r="K22" i="134"/>
  <c r="J22" i="134"/>
  <c r="I22" i="134"/>
  <c r="H22" i="134"/>
  <c r="G22" i="134"/>
  <c r="F22" i="134"/>
  <c r="P18" i="134"/>
  <c r="P17" i="134" s="1"/>
  <c r="O18" i="134"/>
  <c r="O17" i="134" s="1"/>
  <c r="N18" i="134"/>
  <c r="N17" i="134" s="1"/>
  <c r="M18" i="134"/>
  <c r="L18" i="134"/>
  <c r="K18" i="134"/>
  <c r="J18" i="134"/>
  <c r="I18" i="134"/>
  <c r="H18" i="134"/>
  <c r="G18" i="134"/>
  <c r="F18" i="134"/>
  <c r="P14" i="134"/>
  <c r="P13" i="134" s="1"/>
  <c r="O14" i="134"/>
  <c r="O13" i="134" s="1"/>
  <c r="N14" i="134"/>
  <c r="N13" i="134" s="1"/>
  <c r="M14" i="134"/>
  <c r="L14" i="134"/>
  <c r="K14" i="134"/>
  <c r="J14" i="134"/>
  <c r="I14" i="134"/>
  <c r="H14" i="134"/>
  <c r="G14" i="134"/>
  <c r="F14" i="134"/>
  <c r="P10" i="134"/>
  <c r="P9" i="134" s="1"/>
  <c r="O10" i="134"/>
  <c r="O9" i="134" s="1"/>
  <c r="N10" i="134"/>
  <c r="N9" i="134" s="1"/>
  <c r="M10" i="134"/>
  <c r="L10" i="134"/>
  <c r="K10" i="134"/>
  <c r="J10" i="134"/>
  <c r="I10" i="134"/>
  <c r="H10" i="134"/>
  <c r="G10" i="134"/>
  <c r="F10" i="134"/>
  <c r="N14" i="55"/>
  <c r="BB1" i="58"/>
  <c r="BA1" i="58"/>
  <c r="AY1" i="58"/>
  <c r="BB143" i="59"/>
  <c r="BA143" i="59"/>
  <c r="AY143" i="59"/>
  <c r="BB142" i="59"/>
  <c r="BA142" i="59"/>
  <c r="AY142" i="59"/>
  <c r="BB141" i="59"/>
  <c r="BA141" i="59"/>
  <c r="AY141" i="59"/>
  <c r="BB140" i="59"/>
  <c r="BA140" i="59"/>
  <c r="AY140" i="59"/>
  <c r="BB139" i="59"/>
  <c r="BA139" i="59"/>
  <c r="AY139" i="59"/>
  <c r="BB138" i="59"/>
  <c r="BA138" i="59"/>
  <c r="AY138" i="59"/>
  <c r="BB136" i="59"/>
  <c r="BA136" i="59"/>
  <c r="AY136" i="59"/>
  <c r="BB135" i="59"/>
  <c r="BA135" i="59"/>
  <c r="AY135" i="59"/>
  <c r="BB134" i="59"/>
  <c r="BA134" i="59"/>
  <c r="AY134" i="59"/>
  <c r="BB7" i="59"/>
  <c r="BA7" i="59"/>
  <c r="AY7" i="59"/>
  <c r="BA4" i="59"/>
  <c r="BB3" i="59"/>
  <c r="BA3" i="59"/>
  <c r="AY3" i="59"/>
  <c r="BB1" i="59"/>
  <c r="BA1" i="59"/>
  <c r="AY1" i="59"/>
  <c r="G1" i="62"/>
  <c r="F1" i="62"/>
  <c r="I4" i="87"/>
  <c r="I3" i="87"/>
  <c r="I76" i="153"/>
  <c r="H76" i="153"/>
  <c r="G76" i="153"/>
  <c r="L76" i="153" s="1"/>
  <c r="C76" i="153"/>
  <c r="B76" i="153"/>
  <c r="L38" i="153"/>
  <c r="K38" i="153"/>
  <c r="J38" i="153"/>
  <c r="I38" i="153"/>
  <c r="H38" i="153"/>
  <c r="G38" i="153"/>
  <c r="F38" i="153"/>
  <c r="E38" i="153"/>
  <c r="D38" i="153"/>
  <c r="C38" i="153"/>
  <c r="I32" i="153"/>
  <c r="J23" i="153"/>
  <c r="J22" i="153"/>
  <c r="J21" i="153"/>
  <c r="J20" i="153"/>
  <c r="J19" i="153"/>
  <c r="J18" i="153"/>
  <c r="J17" i="153"/>
  <c r="L14" i="153"/>
  <c r="J14" i="153"/>
  <c r="L13" i="153"/>
  <c r="J13" i="153"/>
  <c r="L12" i="153"/>
  <c r="J12" i="153"/>
  <c r="AT5" i="43" a="1"/>
  <c r="AT67" i="43" a="1"/>
  <c r="AT71" i="43" a="1"/>
  <c r="AT6" i="43" a="1"/>
  <c r="AT70" i="43" a="1"/>
  <c r="E64" i="43" a="1"/>
  <c r="AT65" i="43" a="1"/>
  <c r="AT72" i="43" a="1"/>
  <c r="AT7" i="43" a="1"/>
  <c r="AT68" i="43" a="1"/>
  <c r="AT63" i="43" a="1"/>
  <c r="AT69" i="43" a="1"/>
  <c r="AT4" i="43" a="1"/>
  <c r="AT3" i="43" a="1"/>
  <c r="AT1" i="43" a="1"/>
  <c r="AT66" i="43" a="1"/>
  <c r="AT64" i="43" a="1"/>
  <c r="G159" i="120" l="1"/>
  <c r="F159" i="120"/>
  <c r="D159" i="120"/>
  <c r="C159" i="120"/>
  <c r="N66" i="120"/>
  <c r="G66" i="120"/>
  <c r="F66" i="120"/>
  <c r="D66" i="120"/>
  <c r="C66" i="120"/>
  <c r="D86" i="120"/>
  <c r="C86" i="120"/>
  <c r="G86" i="120"/>
  <c r="F86" i="120"/>
  <c r="N203" i="120"/>
  <c r="D203" i="120"/>
  <c r="C203" i="120"/>
  <c r="G203" i="120"/>
  <c r="F203" i="120"/>
  <c r="N222" i="120"/>
  <c r="G222" i="120"/>
  <c r="F222" i="120"/>
  <c r="D222" i="120"/>
  <c r="C222" i="120"/>
  <c r="N261" i="120"/>
  <c r="G261" i="120"/>
  <c r="F261" i="120"/>
  <c r="D261" i="120"/>
  <c r="C261" i="120"/>
  <c r="F301" i="120"/>
  <c r="D301" i="120"/>
  <c r="C301" i="120"/>
  <c r="G301" i="120"/>
  <c r="G41" i="120"/>
  <c r="F41" i="120"/>
  <c r="D41" i="120"/>
  <c r="C41" i="120"/>
  <c r="G135" i="120"/>
  <c r="F135" i="120"/>
  <c r="D135" i="120"/>
  <c r="C135" i="120"/>
  <c r="M135" i="120"/>
  <c r="G161" i="120"/>
  <c r="F161" i="120"/>
  <c r="D161" i="120"/>
  <c r="C161" i="120"/>
  <c r="G88" i="120"/>
  <c r="F88" i="120"/>
  <c r="D88" i="120"/>
  <c r="C88" i="120"/>
  <c r="N204" i="120"/>
  <c r="G204" i="120"/>
  <c r="F204" i="120"/>
  <c r="D204" i="120"/>
  <c r="C204" i="120"/>
  <c r="N223" i="120"/>
  <c r="G223" i="120"/>
  <c r="F223" i="120"/>
  <c r="D223" i="120"/>
  <c r="C223" i="120"/>
  <c r="N264" i="120"/>
  <c r="G264" i="120"/>
  <c r="F264" i="120"/>
  <c r="D264" i="120"/>
  <c r="C264" i="120"/>
  <c r="D306" i="120"/>
  <c r="C306" i="120"/>
  <c r="G306" i="120"/>
  <c r="F306" i="120"/>
  <c r="G43" i="120"/>
  <c r="F43" i="120"/>
  <c r="D43" i="120"/>
  <c r="C43" i="120"/>
  <c r="D136" i="120"/>
  <c r="C136" i="120"/>
  <c r="M136" i="120"/>
  <c r="G136" i="120"/>
  <c r="F136" i="120"/>
  <c r="N74" i="120"/>
  <c r="D74" i="120"/>
  <c r="C74" i="120"/>
  <c r="G74" i="120"/>
  <c r="F74" i="120"/>
  <c r="I14" i="120" s="1"/>
  <c r="G90" i="120"/>
  <c r="F90" i="120"/>
  <c r="D90" i="120"/>
  <c r="C90" i="120"/>
  <c r="G171" i="120"/>
  <c r="F171" i="120"/>
  <c r="D171" i="120"/>
  <c r="C171" i="120"/>
  <c r="N205" i="120"/>
  <c r="G205" i="120"/>
  <c r="F205" i="120"/>
  <c r="D205" i="120"/>
  <c r="C205" i="120"/>
  <c r="N234" i="120"/>
  <c r="G234" i="120"/>
  <c r="F234" i="120"/>
  <c r="D234" i="120"/>
  <c r="C234" i="120"/>
  <c r="N269" i="120"/>
  <c r="M269" i="120"/>
  <c r="G269" i="120"/>
  <c r="F269" i="120"/>
  <c r="D269" i="120"/>
  <c r="C269" i="120"/>
  <c r="D312" i="120"/>
  <c r="C312" i="120"/>
  <c r="G312" i="120"/>
  <c r="F312" i="120"/>
  <c r="M138" i="120"/>
  <c r="G138" i="120"/>
  <c r="F138" i="120"/>
  <c r="D138" i="120"/>
  <c r="C138" i="120"/>
  <c r="G46" i="120"/>
  <c r="F46" i="120"/>
  <c r="D46" i="120"/>
  <c r="C46" i="120"/>
  <c r="G75" i="120"/>
  <c r="F75" i="120"/>
  <c r="D75" i="120"/>
  <c r="C75" i="120"/>
  <c r="G206" i="120"/>
  <c r="F206" i="120"/>
  <c r="D206" i="120"/>
  <c r="C206" i="120"/>
  <c r="N206" i="120"/>
  <c r="N245" i="120"/>
  <c r="G245" i="120"/>
  <c r="F245" i="120"/>
  <c r="D245" i="120"/>
  <c r="C245" i="120"/>
  <c r="N270" i="120"/>
  <c r="G270" i="120"/>
  <c r="F270" i="120"/>
  <c r="D270" i="120"/>
  <c r="C270" i="120"/>
  <c r="N323" i="120"/>
  <c r="G323" i="120"/>
  <c r="F323" i="120"/>
  <c r="D323" i="120"/>
  <c r="C323" i="120"/>
  <c r="G40" i="120"/>
  <c r="F40" i="120"/>
  <c r="D40" i="120"/>
  <c r="C40" i="120"/>
  <c r="G42" i="120"/>
  <c r="F42" i="120"/>
  <c r="D42" i="120"/>
  <c r="C42" i="120"/>
  <c r="G47" i="120"/>
  <c r="F47" i="120"/>
  <c r="D47" i="120"/>
  <c r="C47" i="120"/>
  <c r="D98" i="120"/>
  <c r="C98" i="120"/>
  <c r="G98" i="120"/>
  <c r="F98" i="120"/>
  <c r="G139" i="120"/>
  <c r="F139" i="120"/>
  <c r="D139" i="120"/>
  <c r="C139" i="120"/>
  <c r="G36" i="120"/>
  <c r="F36" i="120"/>
  <c r="D36" i="120"/>
  <c r="C36" i="120"/>
  <c r="D44" i="120"/>
  <c r="C44" i="120"/>
  <c r="G44" i="120"/>
  <c r="F44" i="120"/>
  <c r="G48" i="120"/>
  <c r="F48" i="120"/>
  <c r="D48" i="120"/>
  <c r="C48" i="120"/>
  <c r="G77" i="120"/>
  <c r="F77" i="120"/>
  <c r="D77" i="120"/>
  <c r="C77" i="120"/>
  <c r="G101" i="120"/>
  <c r="F101" i="120"/>
  <c r="D101" i="120"/>
  <c r="C101" i="120"/>
  <c r="G184" i="120"/>
  <c r="F184" i="120"/>
  <c r="D184" i="120"/>
  <c r="C184" i="120"/>
  <c r="G207" i="120"/>
  <c r="F207" i="120"/>
  <c r="D207" i="120"/>
  <c r="C207" i="120"/>
  <c r="N207" i="120"/>
  <c r="N246" i="120"/>
  <c r="G246" i="120"/>
  <c r="F246" i="120"/>
  <c r="D246" i="120"/>
  <c r="C246" i="120"/>
  <c r="N271" i="120"/>
  <c r="F271" i="120"/>
  <c r="D271" i="120"/>
  <c r="C271" i="120"/>
  <c r="G271" i="120"/>
  <c r="G326" i="120"/>
  <c r="F326" i="120"/>
  <c r="D326" i="120"/>
  <c r="C326" i="120"/>
  <c r="N72" i="120"/>
  <c r="G72" i="120"/>
  <c r="F72" i="120"/>
  <c r="D72" i="120"/>
  <c r="C72" i="120"/>
  <c r="G45" i="120"/>
  <c r="F45" i="120"/>
  <c r="D45" i="120"/>
  <c r="C45" i="120"/>
  <c r="G49" i="120"/>
  <c r="F49" i="120"/>
  <c r="D49" i="120"/>
  <c r="C49" i="120"/>
  <c r="G140" i="120"/>
  <c r="F140" i="120"/>
  <c r="D140" i="120"/>
  <c r="C140" i="120"/>
  <c r="D50" i="120"/>
  <c r="C50" i="120"/>
  <c r="G50" i="120"/>
  <c r="F50" i="120"/>
  <c r="G78" i="120"/>
  <c r="F78" i="120"/>
  <c r="D78" i="120"/>
  <c r="C78" i="120"/>
  <c r="D185" i="120"/>
  <c r="C185" i="120"/>
  <c r="G185" i="120"/>
  <c r="F185" i="120"/>
  <c r="M210" i="120"/>
  <c r="G210" i="120"/>
  <c r="F210" i="120"/>
  <c r="D210" i="120"/>
  <c r="C210" i="120"/>
  <c r="N247" i="120"/>
  <c r="D247" i="120"/>
  <c r="C247" i="120"/>
  <c r="G247" i="120"/>
  <c r="F247" i="120"/>
  <c r="G272" i="120"/>
  <c r="F272" i="120"/>
  <c r="D272" i="120"/>
  <c r="C272" i="120"/>
  <c r="C330" i="120"/>
  <c r="G330" i="120"/>
  <c r="F330" i="120"/>
  <c r="D330" i="120"/>
  <c r="G51" i="120"/>
  <c r="F51" i="120"/>
  <c r="D51" i="120"/>
  <c r="C51" i="120"/>
  <c r="D106" i="120"/>
  <c r="C106" i="120"/>
  <c r="N106" i="120"/>
  <c r="G106" i="120"/>
  <c r="F106" i="120"/>
  <c r="G141" i="120"/>
  <c r="F141" i="120"/>
  <c r="D141" i="120"/>
  <c r="C141" i="120"/>
  <c r="G187" i="120"/>
  <c r="F187" i="120"/>
  <c r="D187" i="120"/>
  <c r="C187" i="120"/>
  <c r="G211" i="120"/>
  <c r="F211" i="120"/>
  <c r="D211" i="120"/>
  <c r="M211" i="120"/>
  <c r="C211" i="120"/>
  <c r="N248" i="120"/>
  <c r="G248" i="120"/>
  <c r="F248" i="120"/>
  <c r="D248" i="120"/>
  <c r="C248" i="120"/>
  <c r="C273" i="120"/>
  <c r="D273" i="120"/>
  <c r="G273" i="120"/>
  <c r="F273" i="120"/>
  <c r="G372" i="120"/>
  <c r="F372" i="120"/>
  <c r="D372" i="120"/>
  <c r="C372" i="120"/>
  <c r="G54" i="120"/>
  <c r="F54" i="120"/>
  <c r="D54" i="120"/>
  <c r="C54" i="120"/>
  <c r="N108" i="120"/>
  <c r="G108" i="120"/>
  <c r="F108" i="120"/>
  <c r="D108" i="120"/>
  <c r="C108" i="120"/>
  <c r="G143" i="120"/>
  <c r="F143" i="120"/>
  <c r="D143" i="120"/>
  <c r="C143" i="120"/>
  <c r="D124" i="120"/>
  <c r="C124" i="120"/>
  <c r="G124" i="120"/>
  <c r="F124" i="120"/>
  <c r="G55" i="120"/>
  <c r="F55" i="120"/>
  <c r="D55" i="120"/>
  <c r="C55" i="120"/>
  <c r="D80" i="120"/>
  <c r="C80" i="120"/>
  <c r="G80" i="120"/>
  <c r="F80" i="120"/>
  <c r="G188" i="120"/>
  <c r="F188" i="120"/>
  <c r="D188" i="120"/>
  <c r="C188" i="120"/>
  <c r="M213" i="120"/>
  <c r="G213" i="120"/>
  <c r="F213" i="120"/>
  <c r="D213" i="120"/>
  <c r="C213" i="120"/>
  <c r="N252" i="120"/>
  <c r="G252" i="120"/>
  <c r="F252" i="120"/>
  <c r="D252" i="120"/>
  <c r="C252" i="120"/>
  <c r="G277" i="120"/>
  <c r="F277" i="120"/>
  <c r="D277" i="120"/>
  <c r="C277" i="120"/>
  <c r="G109" i="120"/>
  <c r="F109" i="120"/>
  <c r="D109" i="120"/>
  <c r="C109" i="120"/>
  <c r="G146" i="120"/>
  <c r="F146" i="120"/>
  <c r="D146" i="120"/>
  <c r="C146" i="120"/>
  <c r="G57" i="120"/>
  <c r="F57" i="120"/>
  <c r="D57" i="120"/>
  <c r="C57" i="120"/>
  <c r="G81" i="120"/>
  <c r="F81" i="120"/>
  <c r="D81" i="120"/>
  <c r="C81" i="120"/>
  <c r="G189" i="120"/>
  <c r="F189" i="120"/>
  <c r="D189" i="120"/>
  <c r="C189" i="120"/>
  <c r="M214" i="120"/>
  <c r="G214" i="120"/>
  <c r="F214" i="120"/>
  <c r="D214" i="120"/>
  <c r="C214" i="120"/>
  <c r="N253" i="120"/>
  <c r="D253" i="120"/>
  <c r="C253" i="120"/>
  <c r="G253" i="120"/>
  <c r="F253" i="120"/>
  <c r="N111" i="120"/>
  <c r="G111" i="120"/>
  <c r="F111" i="120"/>
  <c r="D111" i="120"/>
  <c r="C111" i="120"/>
  <c r="D148" i="120"/>
  <c r="C148" i="120"/>
  <c r="G148" i="120"/>
  <c r="F148" i="120"/>
  <c r="G295" i="120"/>
  <c r="F295" i="120"/>
  <c r="D295" i="120"/>
  <c r="C295" i="120"/>
  <c r="D56" i="120"/>
  <c r="C56" i="120"/>
  <c r="G56" i="120"/>
  <c r="F56" i="120"/>
  <c r="G82" i="120"/>
  <c r="F82" i="120"/>
  <c r="D82" i="120"/>
  <c r="C82" i="120"/>
  <c r="G190" i="120"/>
  <c r="F190" i="120"/>
  <c r="D190" i="120"/>
  <c r="C190" i="120"/>
  <c r="M216" i="120"/>
  <c r="G216" i="120"/>
  <c r="F216" i="120"/>
  <c r="D216" i="120"/>
  <c r="C216" i="120"/>
  <c r="N255" i="120"/>
  <c r="G255" i="120"/>
  <c r="F255" i="120"/>
  <c r="D255" i="120"/>
  <c r="C255" i="120"/>
  <c r="G119" i="120"/>
  <c r="F119" i="120"/>
  <c r="D119" i="120"/>
  <c r="C119" i="120"/>
  <c r="G149" i="120"/>
  <c r="F149" i="120"/>
  <c r="D149" i="120"/>
  <c r="C149" i="120"/>
  <c r="G296" i="120"/>
  <c r="F296" i="120"/>
  <c r="D296" i="120"/>
  <c r="C296" i="120"/>
  <c r="G79" i="120"/>
  <c r="F79" i="120"/>
  <c r="D79" i="120"/>
  <c r="C79" i="120"/>
  <c r="G84" i="120"/>
  <c r="F84" i="120"/>
  <c r="D84" i="120"/>
  <c r="C84" i="120"/>
  <c r="N196" i="120"/>
  <c r="G196" i="120"/>
  <c r="F196" i="120"/>
  <c r="D196" i="120"/>
  <c r="C196" i="120"/>
  <c r="G219" i="120"/>
  <c r="F219" i="120"/>
  <c r="D219" i="120"/>
  <c r="C219" i="120"/>
  <c r="N219" i="120"/>
  <c r="N259" i="120"/>
  <c r="D259" i="120"/>
  <c r="C259" i="120"/>
  <c r="G259" i="120"/>
  <c r="F259" i="120"/>
  <c r="G298" i="120"/>
  <c r="F298" i="120"/>
  <c r="D298" i="120"/>
  <c r="C298" i="120"/>
  <c r="G53" i="120"/>
  <c r="F53" i="120"/>
  <c r="D53" i="120"/>
  <c r="C53" i="120"/>
  <c r="N121" i="120"/>
  <c r="G121" i="120"/>
  <c r="F121" i="120"/>
  <c r="D121" i="120"/>
  <c r="C121" i="120"/>
  <c r="G151" i="120"/>
  <c r="F151" i="120"/>
  <c r="D151" i="120"/>
  <c r="C151" i="120"/>
  <c r="G85" i="120"/>
  <c r="F85" i="120"/>
  <c r="D85" i="120"/>
  <c r="C85" i="120"/>
  <c r="N202" i="120"/>
  <c r="G202" i="120"/>
  <c r="F202" i="120"/>
  <c r="D202" i="120"/>
  <c r="C202" i="120"/>
  <c r="G220" i="120"/>
  <c r="F220" i="120"/>
  <c r="D220" i="120"/>
  <c r="C220" i="120"/>
  <c r="N220" i="120"/>
  <c r="N260" i="120"/>
  <c r="G260" i="120"/>
  <c r="F260" i="120"/>
  <c r="D260" i="120"/>
  <c r="C260" i="120"/>
  <c r="G299" i="120"/>
  <c r="F299" i="120"/>
  <c r="D299" i="120"/>
  <c r="C299" i="120"/>
  <c r="G292" i="120"/>
  <c r="F292" i="120"/>
  <c r="D292" i="120"/>
  <c r="C292" i="120"/>
  <c r="AS5" i="58"/>
  <c r="AS12" i="58" s="1"/>
  <c r="AS11" i="58" s="1"/>
  <c r="AS113" i="58" s="1"/>
  <c r="AS5" i="59"/>
  <c r="AH132" i="58"/>
  <c r="AH143" i="58" s="1"/>
  <c r="AU4" i="58"/>
  <c r="AU4" i="59"/>
  <c r="AS8" i="59"/>
  <c r="AU2" i="58"/>
  <c r="AU2" i="59"/>
  <c r="AU75" i="59"/>
  <c r="AU56" i="59"/>
  <c r="AU59" i="59"/>
  <c r="AU58" i="59"/>
  <c r="AU57" i="59"/>
  <c r="AU3" i="58"/>
  <c r="AU3" i="59"/>
  <c r="AT42" i="59"/>
  <c r="AT18" i="59"/>
  <c r="AT37" i="59"/>
  <c r="AT12" i="59"/>
  <c r="AT55" i="59"/>
  <c r="AT31" i="59"/>
  <c r="AT50" i="59"/>
  <c r="AT26" i="59"/>
  <c r="AT45" i="59"/>
  <c r="AT21" i="59"/>
  <c r="AT40" i="59"/>
  <c r="AT16" i="59"/>
  <c r="AT35" i="59"/>
  <c r="AT54" i="59"/>
  <c r="AT30" i="59"/>
  <c r="AT49" i="59"/>
  <c r="AT25" i="59"/>
  <c r="AT44" i="59"/>
  <c r="AT20" i="59"/>
  <c r="AT39" i="59"/>
  <c r="AT15" i="59"/>
  <c r="AT34" i="59"/>
  <c r="AT33" i="59"/>
  <c r="AT53" i="59"/>
  <c r="AT29" i="59"/>
  <c r="AT24" i="59"/>
  <c r="AT43" i="59"/>
  <c r="AT19" i="59"/>
  <c r="AT52" i="59"/>
  <c r="AT28" i="59"/>
  <c r="AT47" i="59"/>
  <c r="AT23" i="59"/>
  <c r="AT7" i="58"/>
  <c r="AT7" i="59"/>
  <c r="AT84" i="59" s="1"/>
  <c r="AS68" i="59"/>
  <c r="AS160" i="59"/>
  <c r="AS170" i="59" s="1"/>
  <c r="AT8" i="58"/>
  <c r="AT9" i="58" s="1"/>
  <c r="AU1" i="60"/>
  <c r="AU1" i="58"/>
  <c r="AT160" i="58"/>
  <c r="AT82" i="58"/>
  <c r="AU5" i="60"/>
  <c r="AU6" i="58"/>
  <c r="AS162" i="58"/>
  <c r="AS161" i="58"/>
  <c r="AU2" i="60"/>
  <c r="AU3" i="60"/>
  <c r="AT8" i="60"/>
  <c r="AT37" i="60"/>
  <c r="AT38" i="60" s="1"/>
  <c r="AT39" i="60" s="1"/>
  <c r="AT41" i="60"/>
  <c r="AT40" i="60"/>
  <c r="AU4" i="60"/>
  <c r="AV1" i="61"/>
  <c r="AS8" i="43"/>
  <c r="AR12" i="43"/>
  <c r="AR9" i="43" s="1"/>
  <c r="AT64" i="43"/>
  <c r="AT7" i="43"/>
  <c r="AV6" i="59" s="1"/>
  <c r="AT63" i="43"/>
  <c r="AV67" i="59" s="1"/>
  <c r="AT4" i="43"/>
  <c r="AT5" i="43"/>
  <c r="AT69" i="43"/>
  <c r="AV74" i="59" s="1"/>
  <c r="AT6" i="43"/>
  <c r="AT1" i="43"/>
  <c r="AV1" i="59" s="1"/>
  <c r="AT3" i="43"/>
  <c r="AT68" i="43"/>
  <c r="AV73" i="59" s="1"/>
  <c r="AT67" i="43"/>
  <c r="AV72" i="59" s="1"/>
  <c r="AT65" i="43"/>
  <c r="AV69" i="59" s="1"/>
  <c r="AT66" i="43"/>
  <c r="AV71" i="59" s="1"/>
  <c r="AT71" i="43"/>
  <c r="AV76" i="59" s="1"/>
  <c r="AT70" i="43"/>
  <c r="AT72" i="43"/>
  <c r="AV82" i="59" s="1"/>
  <c r="AV166" i="59" s="1"/>
  <c r="AV156" i="59" s="1"/>
  <c r="AU2" i="43"/>
  <c r="AS10" i="43"/>
  <c r="AS11" i="43"/>
  <c r="E64" i="43"/>
  <c r="G68" i="59" s="1"/>
  <c r="F76" i="153"/>
  <c r="B2" i="153"/>
  <c r="H2" i="134"/>
  <c r="C39" i="153"/>
  <c r="D39" i="153"/>
  <c r="E39" i="153"/>
  <c r="F39" i="153"/>
  <c r="G39" i="153"/>
  <c r="H39" i="153"/>
  <c r="I39" i="153"/>
  <c r="J39" i="153"/>
  <c r="H22" i="153"/>
  <c r="G22" i="153"/>
  <c r="F22" i="153"/>
  <c r="E22" i="153"/>
  <c r="D22" i="153"/>
  <c r="C22" i="153"/>
  <c r="H21" i="153"/>
  <c r="G21" i="153"/>
  <c r="F21" i="153"/>
  <c r="E21" i="153"/>
  <c r="D21" i="153"/>
  <c r="C21" i="153"/>
  <c r="H20" i="153"/>
  <c r="G20" i="153"/>
  <c r="F20" i="153"/>
  <c r="E20" i="153"/>
  <c r="D20" i="153"/>
  <c r="C20" i="153"/>
  <c r="H19" i="153"/>
  <c r="G19" i="153"/>
  <c r="F19" i="153"/>
  <c r="E19" i="153"/>
  <c r="D19" i="153"/>
  <c r="C19" i="153"/>
  <c r="H18" i="153"/>
  <c r="G18" i="153"/>
  <c r="F18" i="153"/>
  <c r="E18" i="153"/>
  <c r="D18" i="153"/>
  <c r="C18" i="153"/>
  <c r="H17" i="153"/>
  <c r="G17" i="153"/>
  <c r="F17" i="153"/>
  <c r="E17" i="153"/>
  <c r="D17" i="153"/>
  <c r="C17" i="153"/>
  <c r="H16" i="153"/>
  <c r="G16" i="153"/>
  <c r="F16" i="153"/>
  <c r="E16" i="153"/>
  <c r="D16" i="153"/>
  <c r="C16" i="153"/>
  <c r="H15" i="153"/>
  <c r="G15" i="153"/>
  <c r="F15" i="153"/>
  <c r="E15" i="153"/>
  <c r="D15" i="153"/>
  <c r="C15" i="153"/>
  <c r="H14" i="153"/>
  <c r="G14" i="153"/>
  <c r="F14" i="153"/>
  <c r="E14" i="153"/>
  <c r="D14" i="153"/>
  <c r="C14" i="153"/>
  <c r="K23" i="153"/>
  <c r="K22" i="153"/>
  <c r="K21" i="153"/>
  <c r="K20" i="153"/>
  <c r="K39" i="153"/>
  <c r="L39" i="153"/>
  <c r="G48" i="153"/>
  <c r="H48" i="153" s="1"/>
  <c r="G53" i="153"/>
  <c r="H53" i="153" s="1"/>
  <c r="E70" i="153"/>
  <c r="F70" i="153"/>
  <c r="K70" i="153"/>
  <c r="L70" i="153"/>
  <c r="D76" i="153"/>
  <c r="E76" i="153"/>
  <c r="J76" i="153"/>
  <c r="K76" i="153"/>
  <c r="AU3" i="43" a="1"/>
  <c r="AU65" i="43" a="1"/>
  <c r="AU7" i="43" a="1"/>
  <c r="AU68" i="43" a="1"/>
  <c r="AU63" i="43" a="1"/>
  <c r="AU6" i="43" a="1"/>
  <c r="AU1" i="43" a="1"/>
  <c r="AU72" i="43" a="1"/>
  <c r="AU5" i="43" a="1"/>
  <c r="AU67" i="43" a="1"/>
  <c r="AU71" i="43" a="1"/>
  <c r="AU70" i="43" a="1"/>
  <c r="AU66" i="43" a="1"/>
  <c r="AU69" i="43" a="1"/>
  <c r="AU4" i="43" a="1"/>
  <c r="AU64" i="43" a="1"/>
  <c r="AU8" i="58" l="1"/>
  <c r="AH121" i="58"/>
  <c r="AS17" i="58"/>
  <c r="AS18" i="58" s="1"/>
  <c r="AS24" i="58" s="1"/>
  <c r="AS25" i="58" s="1"/>
  <c r="AS26" i="58" s="1"/>
  <c r="AS27" i="58" s="1"/>
  <c r="AS123" i="58"/>
  <c r="AS88" i="58"/>
  <c r="AS87" i="58" s="1"/>
  <c r="AS115" i="58"/>
  <c r="AS31" i="58"/>
  <c r="AS33" i="58" s="1"/>
  <c r="AS124" i="58"/>
  <c r="AS135" i="58" s="1"/>
  <c r="AS13" i="58"/>
  <c r="AS20" i="58" s="1"/>
  <c r="AS56" i="58" s="1"/>
  <c r="AS68" i="58" s="1"/>
  <c r="AT10" i="58"/>
  <c r="AT8" i="59"/>
  <c r="AV3" i="58"/>
  <c r="AV3" i="59"/>
  <c r="AT5" i="58"/>
  <c r="AT12" i="58" s="1"/>
  <c r="AT5" i="59"/>
  <c r="AV4" i="58"/>
  <c r="AV4" i="59"/>
  <c r="AV75" i="59"/>
  <c r="AV56" i="59"/>
  <c r="AV59" i="59"/>
  <c r="AV58" i="59"/>
  <c r="AV57" i="59"/>
  <c r="AS70" i="59"/>
  <c r="AS167" i="59" s="1"/>
  <c r="AS157" i="59" s="1"/>
  <c r="AU7" i="58"/>
  <c r="AU7" i="59"/>
  <c r="AU84" i="59" s="1"/>
  <c r="AU37" i="59"/>
  <c r="AU28" i="59"/>
  <c r="AU12" i="59"/>
  <c r="AU55" i="59"/>
  <c r="AU31" i="59"/>
  <c r="AU50" i="59"/>
  <c r="AU26" i="59"/>
  <c r="AU45" i="59"/>
  <c r="AU21" i="59"/>
  <c r="AU40" i="59"/>
  <c r="AU16" i="59"/>
  <c r="AU35" i="59"/>
  <c r="AU54" i="59"/>
  <c r="AU30" i="59"/>
  <c r="AU52" i="59"/>
  <c r="AU49" i="59"/>
  <c r="AU25" i="59"/>
  <c r="AU44" i="59"/>
  <c r="AU20" i="59"/>
  <c r="AU39" i="59"/>
  <c r="AU15" i="59"/>
  <c r="AU34" i="59"/>
  <c r="AU53" i="59"/>
  <c r="AU29" i="59"/>
  <c r="AU24" i="59"/>
  <c r="AU43" i="59"/>
  <c r="AU19" i="59"/>
  <c r="AU33" i="59"/>
  <c r="AU47" i="59"/>
  <c r="AU23" i="59"/>
  <c r="AU42" i="59"/>
  <c r="AU18" i="59"/>
  <c r="AT68" i="59"/>
  <c r="AT160" i="59"/>
  <c r="AT170" i="59" s="1"/>
  <c r="AS125" i="58"/>
  <c r="AS136" i="58" s="1"/>
  <c r="AV2" i="58"/>
  <c r="AV2" i="59"/>
  <c r="AS16" i="59"/>
  <c r="AS21" i="59"/>
  <c r="AS49" i="59"/>
  <c r="AS39" i="59"/>
  <c r="AS15" i="59"/>
  <c r="AS12" i="59"/>
  <c r="AS31" i="59"/>
  <c r="AS26" i="59"/>
  <c r="AT11" i="58"/>
  <c r="AV5" i="60"/>
  <c r="AV6" i="58"/>
  <c r="AU160" i="58"/>
  <c r="AU82" i="58"/>
  <c r="AS134" i="58"/>
  <c r="AU9" i="58"/>
  <c r="AU10" i="58" s="1"/>
  <c r="AT162" i="58"/>
  <c r="AT161" i="58"/>
  <c r="AV1" i="60"/>
  <c r="AV1" i="58"/>
  <c r="AS163" i="58"/>
  <c r="AS97" i="58"/>
  <c r="AV4" i="60"/>
  <c r="AV3" i="60"/>
  <c r="AU41" i="60"/>
  <c r="AU40" i="60"/>
  <c r="AU37" i="60"/>
  <c r="AU38" i="60" s="1"/>
  <c r="AU39" i="60" s="1"/>
  <c r="AU8" i="60"/>
  <c r="AV2" i="60"/>
  <c r="AW1" i="61"/>
  <c r="AT8" i="43"/>
  <c r="AS12" i="43"/>
  <c r="AS9" i="43" s="1"/>
  <c r="AU63" i="43"/>
  <c r="AW67" i="59" s="1"/>
  <c r="AU3" i="43"/>
  <c r="AU7" i="43"/>
  <c r="AW6" i="59" s="1"/>
  <c r="AU5" i="43"/>
  <c r="AU6" i="43"/>
  <c r="AU1" i="43"/>
  <c r="AW1" i="59" s="1"/>
  <c r="AU4" i="43"/>
  <c r="AU64" i="43"/>
  <c r="AU69" i="43"/>
  <c r="AW74" i="59" s="1"/>
  <c r="AU68" i="43"/>
  <c r="AW73" i="59" s="1"/>
  <c r="AU65" i="43"/>
  <c r="AW69" i="59" s="1"/>
  <c r="AU67" i="43"/>
  <c r="AW72" i="59" s="1"/>
  <c r="AU66" i="43"/>
  <c r="AW71" i="59" s="1"/>
  <c r="AU70" i="43"/>
  <c r="AU71" i="43"/>
  <c r="AW76" i="59" s="1"/>
  <c r="AU72" i="43"/>
  <c r="AW82" i="59" s="1"/>
  <c r="AW166" i="59" s="1"/>
  <c r="AW156" i="59" s="1"/>
  <c r="AT10" i="43"/>
  <c r="AT11" i="43"/>
  <c r="K19" i="153"/>
  <c r="AT31" i="58" l="1"/>
  <c r="AT113" i="58"/>
  <c r="AS21" i="58"/>
  <c r="AS22" i="58" s="1"/>
  <c r="AS42" i="58"/>
  <c r="AS57" i="58"/>
  <c r="AS69" i="58" s="1"/>
  <c r="AS32" i="58"/>
  <c r="AS34" i="58" s="1"/>
  <c r="AS36" i="58" s="1"/>
  <c r="AS39" i="58" s="1"/>
  <c r="AS44" i="58" s="1"/>
  <c r="AS114" i="58"/>
  <c r="AS117" i="58" s="1"/>
  <c r="AS164" i="59"/>
  <c r="AS154" i="59" s="1"/>
  <c r="AT88" i="58"/>
  <c r="AT87" i="58" s="1"/>
  <c r="AT123" i="58"/>
  <c r="AT134" i="58" s="1"/>
  <c r="AT124" i="58"/>
  <c r="AT135" i="58" s="1"/>
  <c r="AS165" i="59"/>
  <c r="AS155" i="59" s="1"/>
  <c r="AT13" i="58"/>
  <c r="AT20" i="58" s="1"/>
  <c r="AT125" i="58"/>
  <c r="AT136" i="58" s="1"/>
  <c r="AT17" i="58"/>
  <c r="AT18" i="58" s="1"/>
  <c r="AT24" i="58" s="1"/>
  <c r="AT25" i="58" s="1"/>
  <c r="AT26" i="58" s="1"/>
  <c r="AW75" i="59"/>
  <c r="AW2" i="58"/>
  <c r="AW2" i="59"/>
  <c r="AU5" i="58"/>
  <c r="AU12" i="58" s="1"/>
  <c r="AU11" i="58" s="1"/>
  <c r="AU5" i="59"/>
  <c r="AT70" i="59"/>
  <c r="AT167" i="59" s="1"/>
  <c r="AT157" i="59" s="1"/>
  <c r="AV47" i="59"/>
  <c r="AV12" i="59"/>
  <c r="AV55" i="59"/>
  <c r="AV31" i="59"/>
  <c r="AV50" i="59"/>
  <c r="AV26" i="59"/>
  <c r="AV45" i="59"/>
  <c r="AV21" i="59"/>
  <c r="AV40" i="59"/>
  <c r="AV16" i="59"/>
  <c r="AV35" i="59"/>
  <c r="AV54" i="59"/>
  <c r="AV30" i="59"/>
  <c r="AV49" i="59"/>
  <c r="AV25" i="59"/>
  <c r="AV44" i="59"/>
  <c r="AV20" i="59"/>
  <c r="AV23" i="59"/>
  <c r="AV39" i="59"/>
  <c r="AV15" i="59"/>
  <c r="AV34" i="59"/>
  <c r="AV53" i="59"/>
  <c r="AV29" i="59"/>
  <c r="AV24" i="59"/>
  <c r="AV43" i="59"/>
  <c r="AV19" i="59"/>
  <c r="AV33" i="59"/>
  <c r="AV52" i="59"/>
  <c r="AV28" i="59"/>
  <c r="AV42" i="59"/>
  <c r="AV18" i="59"/>
  <c r="AV37" i="59"/>
  <c r="AT27" i="59"/>
  <c r="AT22" i="59"/>
  <c r="AT41" i="59"/>
  <c r="AT17" i="59"/>
  <c r="AT51" i="59"/>
  <c r="AT32" i="59"/>
  <c r="AU68" i="59"/>
  <c r="AU160" i="59"/>
  <c r="AU170" i="59" s="1"/>
  <c r="AW3" i="58"/>
  <c r="AW3" i="59"/>
  <c r="AU8" i="59"/>
  <c r="AV7" i="58"/>
  <c r="AV7" i="59"/>
  <c r="AV84" i="59" s="1"/>
  <c r="AV8" i="58"/>
  <c r="AV9" i="58" s="1"/>
  <c r="AV10" i="58" s="1"/>
  <c r="AS171" i="59"/>
  <c r="AS161" i="59" s="1"/>
  <c r="AS163" i="59"/>
  <c r="AS153" i="59" s="1"/>
  <c r="AS162" i="59"/>
  <c r="AS152" i="59" s="1"/>
  <c r="AW4" i="58"/>
  <c r="AW4" i="59"/>
  <c r="AW59" i="59"/>
  <c r="AW58" i="59"/>
  <c r="AW57" i="59"/>
  <c r="AW56" i="59"/>
  <c r="AT163" i="58"/>
  <c r="AS55" i="58"/>
  <c r="AS67" i="58" s="1"/>
  <c r="AS54" i="58"/>
  <c r="AS66" i="58" s="1"/>
  <c r="AS43" i="58"/>
  <c r="AV82" i="58"/>
  <c r="AV160" i="58"/>
  <c r="AS23" i="58"/>
  <c r="AS35" i="58"/>
  <c r="AS119" i="58"/>
  <c r="AS118" i="58"/>
  <c r="AT115" i="58"/>
  <c r="AT114" i="58"/>
  <c r="AU162" i="58"/>
  <c r="AU161" i="58"/>
  <c r="AT57" i="58"/>
  <c r="AT69" i="58" s="1"/>
  <c r="AT42" i="58"/>
  <c r="AT56" i="58"/>
  <c r="AT68" i="58" s="1"/>
  <c r="AT21" i="58"/>
  <c r="AW1" i="60"/>
  <c r="AW1" i="58"/>
  <c r="AS98" i="58"/>
  <c r="AS104" i="58"/>
  <c r="AW5" i="60"/>
  <c r="AW6" i="58"/>
  <c r="AS218" i="58"/>
  <c r="AS208" i="58" s="1"/>
  <c r="AS40" i="58"/>
  <c r="AS217" i="58"/>
  <c r="AS207" i="58" s="1"/>
  <c r="AS220" i="58"/>
  <c r="AS210" i="58" s="1"/>
  <c r="AT33" i="58"/>
  <c r="AT32" i="58"/>
  <c r="AT34" i="58" s="1"/>
  <c r="AT97" i="58"/>
  <c r="AV41" i="60"/>
  <c r="AV40" i="60"/>
  <c r="AV8" i="60"/>
  <c r="AV37" i="60"/>
  <c r="AV38" i="60" s="1"/>
  <c r="AV39" i="60" s="1"/>
  <c r="AW4" i="60"/>
  <c r="AW2" i="60"/>
  <c r="AW3" i="60"/>
  <c r="AX1" i="61"/>
  <c r="AU8" i="43"/>
  <c r="AT12" i="43"/>
  <c r="AT9" i="43" s="1"/>
  <c r="AU10" i="43"/>
  <c r="AU11" i="43"/>
  <c r="G45" i="61"/>
  <c r="G26" i="61"/>
  <c r="G25" i="61"/>
  <c r="G24" i="61"/>
  <c r="G21" i="61" s="1"/>
  <c r="G23" i="61"/>
  <c r="G22" i="61"/>
  <c r="G19" i="61"/>
  <c r="G17" i="61"/>
  <c r="G13" i="61"/>
  <c r="G10" i="61"/>
  <c r="G7" i="61"/>
  <c r="F151" i="59"/>
  <c r="F149" i="59"/>
  <c r="F148" i="59"/>
  <c r="F146" i="59"/>
  <c r="F145" i="59"/>
  <c r="F144" i="59"/>
  <c r="F143" i="59"/>
  <c r="F142" i="59"/>
  <c r="F141" i="59"/>
  <c r="F140" i="59"/>
  <c r="F139" i="59"/>
  <c r="F138" i="59"/>
  <c r="F137" i="59"/>
  <c r="F136" i="59"/>
  <c r="F135" i="59"/>
  <c r="F134" i="59"/>
  <c r="F128" i="59"/>
  <c r="F127" i="59"/>
  <c r="F126" i="59"/>
  <c r="F125" i="59"/>
  <c r="F124" i="59"/>
  <c r="F123" i="59"/>
  <c r="F122" i="59"/>
  <c r="F121" i="59"/>
  <c r="F120" i="59"/>
  <c r="F119" i="59"/>
  <c r="F118" i="59"/>
  <c r="F117" i="59"/>
  <c r="F116" i="59"/>
  <c r="F115" i="59"/>
  <c r="F114" i="59"/>
  <c r="F113" i="59"/>
  <c r="F112" i="59"/>
  <c r="F111" i="59"/>
  <c r="F110" i="59"/>
  <c r="F109" i="59"/>
  <c r="F108" i="59"/>
  <c r="F107" i="59"/>
  <c r="F106" i="59"/>
  <c r="F105" i="59"/>
  <c r="F104" i="59"/>
  <c r="F103" i="59"/>
  <c r="F102" i="59"/>
  <c r="F101" i="59"/>
  <c r="F100" i="59"/>
  <c r="F99" i="59"/>
  <c r="F98" i="59"/>
  <c r="F97" i="59"/>
  <c r="F96" i="59"/>
  <c r="F95" i="59"/>
  <c r="F94" i="59"/>
  <c r="F93" i="59"/>
  <c r="F66" i="59"/>
  <c r="F65" i="59"/>
  <c r="F81" i="59" s="1"/>
  <c r="F64" i="59"/>
  <c r="F80" i="59" s="1"/>
  <c r="F63" i="59"/>
  <c r="F79" i="59" s="1"/>
  <c r="F62" i="59"/>
  <c r="F78" i="59" s="1"/>
  <c r="F61" i="59"/>
  <c r="F77" i="59" s="1"/>
  <c r="F60" i="59"/>
  <c r="F222" i="58"/>
  <c r="F195" i="58"/>
  <c r="F193" i="58"/>
  <c r="F192" i="58"/>
  <c r="F190" i="58"/>
  <c r="F189" i="58"/>
  <c r="F187" i="58"/>
  <c r="F186" i="58"/>
  <c r="F183" i="58"/>
  <c r="F182" i="58"/>
  <c r="F181" i="58"/>
  <c r="F176" i="58"/>
  <c r="F177" i="58" s="1"/>
  <c r="F172" i="58"/>
  <c r="F174" i="58" s="1"/>
  <c r="F171" i="58"/>
  <c r="F170" i="58"/>
  <c r="F164" i="58"/>
  <c r="F165" i="58" s="1"/>
  <c r="F154" i="58"/>
  <c r="F156" i="58" s="1"/>
  <c r="F158" i="58" s="1"/>
  <c r="F122" i="58"/>
  <c r="F133" i="58" s="1"/>
  <c r="F29" i="58"/>
  <c r="F28" i="58"/>
  <c r="F19" i="58"/>
  <c r="F16" i="58"/>
  <c r="F37" i="58" s="1"/>
  <c r="F14" i="58"/>
  <c r="F38" i="58" s="1"/>
  <c r="F41" i="58" s="1"/>
  <c r="F59" i="58" s="1"/>
  <c r="F15" i="58"/>
  <c r="AU17" i="58" l="1"/>
  <c r="AU113" i="58"/>
  <c r="AT36" i="58"/>
  <c r="AS116" i="58"/>
  <c r="AW8" i="58"/>
  <c r="AW9" i="58" s="1"/>
  <c r="AW10" i="58" s="1"/>
  <c r="AT164" i="59"/>
  <c r="AT154" i="59" s="1"/>
  <c r="AT165" i="59"/>
  <c r="AT155" i="59" s="1"/>
  <c r="AV68" i="59"/>
  <c r="AV160" i="59"/>
  <c r="AV170" i="59" s="1"/>
  <c r="AV8" i="59"/>
  <c r="AV5" i="58"/>
  <c r="AV12" i="58" s="1"/>
  <c r="AV11" i="58" s="1"/>
  <c r="AV113" i="58" s="1"/>
  <c r="AV5" i="59"/>
  <c r="AU32" i="59"/>
  <c r="AU51" i="59"/>
  <c r="AU27" i="59"/>
  <c r="AU22" i="59"/>
  <c r="AU41" i="59"/>
  <c r="AU17" i="59"/>
  <c r="AT162" i="59"/>
  <c r="AT152" i="59" s="1"/>
  <c r="AT171" i="59"/>
  <c r="AT161" i="59" s="1"/>
  <c r="AT163" i="59"/>
  <c r="AT153" i="59" s="1"/>
  <c r="AW7" i="58"/>
  <c r="AW7" i="59"/>
  <c r="AW84" i="59" s="1"/>
  <c r="AU70" i="59"/>
  <c r="AU165" i="59" s="1"/>
  <c r="AU155" i="59" s="1"/>
  <c r="AW51" i="59"/>
  <c r="AW27" i="59"/>
  <c r="AW22" i="59"/>
  <c r="AW41" i="59"/>
  <c r="AW17" i="59"/>
  <c r="AW12" i="59"/>
  <c r="AW55" i="59"/>
  <c r="AW31" i="59"/>
  <c r="AW50" i="59"/>
  <c r="AW26" i="59"/>
  <c r="AW45" i="59"/>
  <c r="AW21" i="59"/>
  <c r="AW40" i="59"/>
  <c r="AW16" i="59"/>
  <c r="AW35" i="59"/>
  <c r="AW54" i="59"/>
  <c r="AW30" i="59"/>
  <c r="AW49" i="59"/>
  <c r="AW25" i="59"/>
  <c r="AW44" i="59"/>
  <c r="AW20" i="59"/>
  <c r="AW42" i="59"/>
  <c r="AW39" i="59"/>
  <c r="AW15" i="59"/>
  <c r="AW34" i="59"/>
  <c r="AW29" i="59"/>
  <c r="AW24" i="59"/>
  <c r="AW19" i="59"/>
  <c r="AW52" i="59"/>
  <c r="AW47" i="59"/>
  <c r="AW37" i="59"/>
  <c r="AW32" i="59"/>
  <c r="AS53" i="58"/>
  <c r="AS65" i="58" s="1"/>
  <c r="AT27" i="58"/>
  <c r="AT117" i="58"/>
  <c r="AT116" i="58"/>
  <c r="AS83" i="58"/>
  <c r="AS126" i="58"/>
  <c r="AT35" i="58"/>
  <c r="AT39" i="58"/>
  <c r="AT99" i="58" s="1"/>
  <c r="AT119" i="58"/>
  <c r="AT118" i="58"/>
  <c r="AT22" i="58"/>
  <c r="AS50" i="58"/>
  <c r="AS62" i="58" s="1"/>
  <c r="AS45" i="58"/>
  <c r="AS46" i="58" s="1"/>
  <c r="AS49" i="58"/>
  <c r="AS61" i="58" s="1"/>
  <c r="AS48" i="58"/>
  <c r="AV162" i="58"/>
  <c r="AV161" i="58"/>
  <c r="AW82" i="58"/>
  <c r="AW160" i="58"/>
  <c r="AT218" i="58"/>
  <c r="AT208" i="58" s="1"/>
  <c r="AT40" i="58"/>
  <c r="AT217" i="58"/>
  <c r="AT207" i="58" s="1"/>
  <c r="AT220" i="58"/>
  <c r="AT210" i="58" s="1"/>
  <c r="AS99" i="58"/>
  <c r="AS100" i="58" s="1"/>
  <c r="AU163" i="58"/>
  <c r="AS106" i="58"/>
  <c r="AS105" i="58"/>
  <c r="AS109" i="58"/>
  <c r="AS110" i="58" s="1"/>
  <c r="AT54" i="58"/>
  <c r="AT66" i="58" s="1"/>
  <c r="AT43" i="58"/>
  <c r="AT55" i="58"/>
  <c r="AT67" i="58" s="1"/>
  <c r="AT98" i="58"/>
  <c r="AT104" i="58"/>
  <c r="AS51" i="58"/>
  <c r="AU125" i="58"/>
  <c r="AU136" i="58" s="1"/>
  <c r="AU18" i="58"/>
  <c r="AU24" i="58" s="1"/>
  <c r="AU13" i="58"/>
  <c r="AU20" i="58" s="1"/>
  <c r="AU124" i="58"/>
  <c r="AU135" i="58" s="1"/>
  <c r="AU123" i="58"/>
  <c r="AU31" i="58"/>
  <c r="AU88" i="58"/>
  <c r="AU87" i="58" s="1"/>
  <c r="AW41" i="60"/>
  <c r="AW40" i="60"/>
  <c r="AW8" i="60"/>
  <c r="AW37" i="60"/>
  <c r="AW38" i="60" s="1"/>
  <c r="AW39" i="60" s="1"/>
  <c r="AU12" i="43"/>
  <c r="AU9" i="43" s="1"/>
  <c r="G61" i="61"/>
  <c r="G77" i="61"/>
  <c r="G98" i="61" s="1"/>
  <c r="F188" i="58"/>
  <c r="F205" i="58" s="1"/>
  <c r="F213" i="58" s="1"/>
  <c r="F166" i="58"/>
  <c r="F168" i="58" s="1"/>
  <c r="F184" i="58"/>
  <c r="F185" i="58" s="1"/>
  <c r="F206" i="58"/>
  <c r="F214" i="58" s="1"/>
  <c r="F178" i="58"/>
  <c r="F179" i="58" s="1"/>
  <c r="F180" i="58" s="1"/>
  <c r="F150" i="59"/>
  <c r="F9" i="59"/>
  <c r="F173" i="58"/>
  <c r="F175" i="58" s="1"/>
  <c r="F194" i="58"/>
  <c r="F196" i="58" s="1"/>
  <c r="F197" i="58" s="1"/>
  <c r="F133" i="59"/>
  <c r="F147" i="59"/>
  <c r="F130" i="59"/>
  <c r="F131" i="59"/>
  <c r="F132" i="59"/>
  <c r="F129" i="59"/>
  <c r="F84" i="58"/>
  <c r="F198" i="58"/>
  <c r="F202" i="58" s="1"/>
  <c r="AS101" i="58" l="1"/>
  <c r="AS102" i="58"/>
  <c r="AS103" i="58"/>
  <c r="AU167" i="59"/>
  <c r="AU157" i="59" s="1"/>
  <c r="AU164" i="59"/>
  <c r="AU154" i="59" s="1"/>
  <c r="AU171" i="59"/>
  <c r="AU161" i="59" s="1"/>
  <c r="AU162" i="59"/>
  <c r="AU152" i="59" s="1"/>
  <c r="AU163" i="59"/>
  <c r="AU153" i="59" s="1"/>
  <c r="AW68" i="59"/>
  <c r="AW160" i="59"/>
  <c r="AW170" i="59" s="1"/>
  <c r="AW8" i="59"/>
  <c r="AV32" i="59"/>
  <c r="AV51" i="59"/>
  <c r="AV27" i="59"/>
  <c r="AV22" i="59"/>
  <c r="AV41" i="59"/>
  <c r="AV17" i="59"/>
  <c r="AW5" i="58"/>
  <c r="AW12" i="58" s="1"/>
  <c r="AW11" i="58" s="1"/>
  <c r="AW113" i="58" s="1"/>
  <c r="AW5" i="59"/>
  <c r="AV70" i="59"/>
  <c r="AV167" i="59" s="1"/>
  <c r="AV157" i="59" s="1"/>
  <c r="AT106" i="58"/>
  <c r="AT105" i="58"/>
  <c r="AT109" i="58"/>
  <c r="AT110" i="58" s="1"/>
  <c r="AT44" i="58"/>
  <c r="AT53" i="58" s="1"/>
  <c r="AT65" i="58" s="1"/>
  <c r="AT51" i="58"/>
  <c r="AT63" i="58" s="1"/>
  <c r="AS60" i="58"/>
  <c r="AS107" i="58"/>
  <c r="AS108" i="58"/>
  <c r="AU134" i="58"/>
  <c r="AS112" i="58"/>
  <c r="AS111" i="58"/>
  <c r="AT83" i="58"/>
  <c r="AT126" i="58"/>
  <c r="AU40" i="58"/>
  <c r="AU217" i="58"/>
  <c r="AU207" i="58" s="1"/>
  <c r="AU218" i="58"/>
  <c r="AU208" i="58" s="1"/>
  <c r="AU220" i="58"/>
  <c r="AU210" i="58" s="1"/>
  <c r="AV163" i="58"/>
  <c r="AU57" i="58"/>
  <c r="AU69" i="58" s="1"/>
  <c r="AU42" i="58"/>
  <c r="AU56" i="58"/>
  <c r="AU68" i="58" s="1"/>
  <c r="AU21" i="58"/>
  <c r="AS137" i="58"/>
  <c r="AS120" i="58"/>
  <c r="AS199" i="58" s="1"/>
  <c r="AU25" i="58"/>
  <c r="AS93" i="58"/>
  <c r="AS85" i="58"/>
  <c r="AS203" i="58"/>
  <c r="AT102" i="58"/>
  <c r="AT101" i="58"/>
  <c r="AT100" i="58"/>
  <c r="AT103" i="58"/>
  <c r="AU115" i="58"/>
  <c r="AU114" i="58"/>
  <c r="AU33" i="58"/>
  <c r="AU32" i="58"/>
  <c r="AU34" i="58" s="1"/>
  <c r="AU97" i="58"/>
  <c r="AT23" i="58"/>
  <c r="AW162" i="58"/>
  <c r="AW161" i="58"/>
  <c r="AS63" i="58"/>
  <c r="AS52" i="58"/>
  <c r="AS64" i="58" s="1"/>
  <c r="AV125" i="58"/>
  <c r="AV136" i="58" s="1"/>
  <c r="AV13" i="58"/>
  <c r="AV20" i="58" s="1"/>
  <c r="AV124" i="58"/>
  <c r="AV135" i="58" s="1"/>
  <c r="AV88" i="58"/>
  <c r="AV87" i="58" s="1"/>
  <c r="AV123" i="58"/>
  <c r="AV97" i="58"/>
  <c r="AV31" i="58"/>
  <c r="AV17" i="58"/>
  <c r="AV18" i="58" s="1"/>
  <c r="AV24" i="58" s="1"/>
  <c r="F169" i="59"/>
  <c r="F159" i="59" s="1"/>
  <c r="F167" i="58"/>
  <c r="F169" i="58" s="1"/>
  <c r="F191" i="58" s="1"/>
  <c r="AV164" i="59" l="1"/>
  <c r="AV154" i="59" s="1"/>
  <c r="AU36" i="58"/>
  <c r="AU39" i="58" s="1"/>
  <c r="AS127" i="58"/>
  <c r="AS138" i="58" s="1"/>
  <c r="AW125" i="58"/>
  <c r="AW136" i="58" s="1"/>
  <c r="AW17" i="58"/>
  <c r="AW18" i="58" s="1"/>
  <c r="AW24" i="58" s="1"/>
  <c r="AW25" i="58" s="1"/>
  <c r="AS80" i="58"/>
  <c r="AS81" i="58" s="1"/>
  <c r="AW33" i="59"/>
  <c r="AW53" i="59"/>
  <c r="AW28" i="59"/>
  <c r="AW23" i="59"/>
  <c r="AW43" i="59"/>
  <c r="AW18" i="59"/>
  <c r="AV171" i="59"/>
  <c r="AV161" i="59" s="1"/>
  <c r="AV162" i="59"/>
  <c r="AV152" i="59" s="1"/>
  <c r="AV163" i="59"/>
  <c r="AV153" i="59" s="1"/>
  <c r="AV165" i="59"/>
  <c r="AV155" i="59" s="1"/>
  <c r="AW31" i="58"/>
  <c r="AW33" i="58" s="1"/>
  <c r="AW115" i="58"/>
  <c r="AW123" i="58"/>
  <c r="AW88" i="58"/>
  <c r="AW87" i="58" s="1"/>
  <c r="AW70" i="59"/>
  <c r="AW165" i="59" s="1"/>
  <c r="AW155" i="59" s="1"/>
  <c r="AW164" i="59"/>
  <c r="AW154" i="59" s="1"/>
  <c r="AW124" i="58"/>
  <c r="AW135" i="58" s="1"/>
  <c r="AW13" i="58"/>
  <c r="AW20" i="58" s="1"/>
  <c r="AW21" i="58" s="1"/>
  <c r="AW22" i="58" s="1"/>
  <c r="AV25" i="58"/>
  <c r="AV104" i="58"/>
  <c r="AV109" i="58" s="1"/>
  <c r="AV110" i="58" s="1"/>
  <c r="AV98" i="58"/>
  <c r="AV217" i="58"/>
  <c r="AV207" i="58" s="1"/>
  <c r="AV220" i="58"/>
  <c r="AV210" i="58" s="1"/>
  <c r="AV40" i="58"/>
  <c r="AV218" i="58"/>
  <c r="AV208" i="58" s="1"/>
  <c r="AU35" i="58"/>
  <c r="AU118" i="58"/>
  <c r="AU119" i="58"/>
  <c r="AV33" i="58"/>
  <c r="AV32" i="58"/>
  <c r="AV34" i="58" s="1"/>
  <c r="AU22" i="58"/>
  <c r="AU23" i="58" s="1"/>
  <c r="AT107" i="58"/>
  <c r="AT108" i="58"/>
  <c r="AV57" i="58"/>
  <c r="AV69" i="58" s="1"/>
  <c r="AV42" i="58"/>
  <c r="AV56" i="58"/>
  <c r="AV68" i="58" s="1"/>
  <c r="AV21" i="58"/>
  <c r="AV22" i="58" s="1"/>
  <c r="AV23" i="58" s="1"/>
  <c r="AT112" i="58"/>
  <c r="AT111" i="58"/>
  <c r="AU98" i="58"/>
  <c r="AU104" i="58"/>
  <c r="AS92" i="58"/>
  <c r="AS94" i="58"/>
  <c r="AS58" i="58"/>
  <c r="AS47" i="58"/>
  <c r="AT93" i="58"/>
  <c r="AT203" i="58"/>
  <c r="AU26" i="58"/>
  <c r="AU27" i="58" s="1"/>
  <c r="AU116" i="58"/>
  <c r="AU117" i="58"/>
  <c r="AS89" i="58"/>
  <c r="AS216" i="58"/>
  <c r="AS86" i="58"/>
  <c r="AS128" i="58"/>
  <c r="AS139" i="58" s="1"/>
  <c r="AT52" i="58"/>
  <c r="AT64" i="58" s="1"/>
  <c r="AV134" i="58"/>
  <c r="AT45" i="58"/>
  <c r="AT46" i="58" s="1"/>
  <c r="AT85" i="58" s="1"/>
  <c r="AT49" i="58"/>
  <c r="AT61" i="58" s="1"/>
  <c r="AT48" i="58"/>
  <c r="AT50" i="58"/>
  <c r="AT62" i="58" s="1"/>
  <c r="AU54" i="58"/>
  <c r="AU66" i="58" s="1"/>
  <c r="AU43" i="58"/>
  <c r="AU55" i="58"/>
  <c r="AU67" i="58" s="1"/>
  <c r="AT137" i="58"/>
  <c r="AT127" i="58"/>
  <c r="AT138" i="58" s="1"/>
  <c r="AW163" i="58"/>
  <c r="AV115" i="58"/>
  <c r="AV114" i="58"/>
  <c r="F221" i="58"/>
  <c r="F211" i="58" s="1"/>
  <c r="F36" i="60"/>
  <c r="F35" i="60"/>
  <c r="F34" i="60"/>
  <c r="F33" i="60"/>
  <c r="F27" i="60"/>
  <c r="F20" i="60"/>
  <c r="F16" i="60" s="1"/>
  <c r="F19" i="60" s="1"/>
  <c r="F13" i="60"/>
  <c r="F9" i="60" s="1"/>
  <c r="F12" i="60" s="1"/>
  <c r="AV36" i="58" l="1"/>
  <c r="AV39" i="58" s="1"/>
  <c r="AV44" i="58" s="1"/>
  <c r="AW167" i="59"/>
  <c r="AW157" i="59" s="1"/>
  <c r="AS129" i="58"/>
  <c r="AS140" i="58" s="1"/>
  <c r="AW126" i="58"/>
  <c r="AW137" i="58" s="1"/>
  <c r="AW32" i="58"/>
  <c r="AW34" i="58" s="1"/>
  <c r="AW36" i="58" s="1"/>
  <c r="AW39" i="58" s="1"/>
  <c r="AW83" i="58" s="1"/>
  <c r="AW163" i="59"/>
  <c r="AW153" i="59" s="1"/>
  <c r="AW162" i="59"/>
  <c r="AW152" i="59" s="1"/>
  <c r="AW171" i="59"/>
  <c r="AW161" i="59" s="1"/>
  <c r="AW57" i="58"/>
  <c r="AW69" i="58" s="1"/>
  <c r="AW97" i="58"/>
  <c r="AW104" i="58" s="1"/>
  <c r="AW42" i="58"/>
  <c r="AW134" i="58"/>
  <c r="AW56" i="58"/>
  <c r="AW68" i="58" s="1"/>
  <c r="AW114" i="58"/>
  <c r="AW117" i="58" s="1"/>
  <c r="AW44" i="58"/>
  <c r="AW53" i="58"/>
  <c r="AW65" i="58" s="1"/>
  <c r="AW52" i="58"/>
  <c r="AW64" i="58" s="1"/>
  <c r="AW51" i="58"/>
  <c r="AW63" i="58" s="1"/>
  <c r="AV49" i="58"/>
  <c r="AV61" i="58" s="1"/>
  <c r="AV48" i="58"/>
  <c r="AV45" i="58"/>
  <c r="AV50" i="58"/>
  <c r="AV62" i="58" s="1"/>
  <c r="AU49" i="58"/>
  <c r="AU61" i="58" s="1"/>
  <c r="AU48" i="58"/>
  <c r="AU50" i="58"/>
  <c r="AU62" i="58" s="1"/>
  <c r="AU45" i="58"/>
  <c r="AU83" i="58"/>
  <c r="AU126" i="58"/>
  <c r="AT92" i="58"/>
  <c r="AT94" i="58"/>
  <c r="AV35" i="58"/>
  <c r="AV119" i="58"/>
  <c r="AV118" i="58"/>
  <c r="AS95" i="58"/>
  <c r="AS96" i="58" s="1"/>
  <c r="AS212" i="58" s="1"/>
  <c r="AS204" i="58" s="1"/>
  <c r="AT216" i="58"/>
  <c r="AT86" i="58"/>
  <c r="AS90" i="58"/>
  <c r="AS91" i="58" s="1"/>
  <c r="AW26" i="58"/>
  <c r="AW27" i="58" s="1"/>
  <c r="AU106" i="58"/>
  <c r="AU105" i="58"/>
  <c r="AU109" i="58"/>
  <c r="AU110" i="58" s="1"/>
  <c r="AV106" i="58"/>
  <c r="AV105" i="58"/>
  <c r="AW35" i="58"/>
  <c r="AW119" i="58"/>
  <c r="AU44" i="58"/>
  <c r="AU53" i="58" s="1"/>
  <c r="AU65" i="58" s="1"/>
  <c r="AU51" i="58"/>
  <c r="AU63" i="58" s="1"/>
  <c r="AT80" i="58"/>
  <c r="AT81" i="58" s="1"/>
  <c r="AT60" i="58"/>
  <c r="AU99" i="58"/>
  <c r="AU103" i="58" s="1"/>
  <c r="AV116" i="58"/>
  <c r="AV117" i="58"/>
  <c r="AW127" i="58"/>
  <c r="AW128" i="58" s="1"/>
  <c r="AW139" i="58" s="1"/>
  <c r="AV54" i="58"/>
  <c r="AV66" i="58" s="1"/>
  <c r="AV43" i="58"/>
  <c r="AV55" i="58"/>
  <c r="AV67" i="58" s="1"/>
  <c r="AV26" i="58"/>
  <c r="AV27" i="58" s="1"/>
  <c r="AW40" i="58"/>
  <c r="AW217" i="58"/>
  <c r="AW207" i="58" s="1"/>
  <c r="AW220" i="58"/>
  <c r="AW210" i="58" s="1"/>
  <c r="AW218" i="58"/>
  <c r="AW208" i="58" s="1"/>
  <c r="AT120" i="58"/>
  <c r="AT128" i="58" s="1"/>
  <c r="AW23" i="58"/>
  <c r="AS130" i="58"/>
  <c r="AS131" i="58" s="1"/>
  <c r="AS142" i="58" s="1"/>
  <c r="F30" i="60"/>
  <c r="F17" i="60"/>
  <c r="F18" i="60" s="1"/>
  <c r="F7" i="60"/>
  <c r="F10" i="60"/>
  <c r="F11" i="60" s="1"/>
  <c r="AW98" i="58" l="1"/>
  <c r="AW99" i="58"/>
  <c r="AW118" i="58"/>
  <c r="AT199" i="58"/>
  <c r="AW116" i="58"/>
  <c r="AT95" i="58"/>
  <c r="AT96" i="58" s="1"/>
  <c r="AT212" i="58" s="1"/>
  <c r="AT204" i="58" s="1"/>
  <c r="AT139" i="58"/>
  <c r="AT129" i="58"/>
  <c r="AT140" i="58" s="1"/>
  <c r="AV53" i="58"/>
  <c r="AV65" i="58" s="1"/>
  <c r="AU101" i="58"/>
  <c r="AU52" i="58"/>
  <c r="AU64" i="58" s="1"/>
  <c r="AU46" i="58"/>
  <c r="AU120" i="58" s="1"/>
  <c r="AU199" i="58" s="1"/>
  <c r="AU102" i="58"/>
  <c r="AV51" i="58"/>
  <c r="AV63" i="58" s="1"/>
  <c r="AU100" i="58"/>
  <c r="AV46" i="58"/>
  <c r="AV120" i="58" s="1"/>
  <c r="AV199" i="58" s="1"/>
  <c r="AS132" i="58"/>
  <c r="AS143" i="58" s="1"/>
  <c r="AU107" i="58"/>
  <c r="AU108" i="58"/>
  <c r="AU112" i="58"/>
  <c r="AU111" i="58"/>
  <c r="AW106" i="58"/>
  <c r="AW105" i="58"/>
  <c r="AW109" i="58"/>
  <c r="AW110" i="58" s="1"/>
  <c r="AT58" i="58"/>
  <c r="AT47" i="58"/>
  <c r="AW138" i="58"/>
  <c r="AW129" i="58"/>
  <c r="AW140" i="58" s="1"/>
  <c r="AV111" i="58"/>
  <c r="AV112" i="58"/>
  <c r="AU137" i="58"/>
  <c r="AU127" i="58"/>
  <c r="AU138" i="58" s="1"/>
  <c r="AV60" i="58"/>
  <c r="AS215" i="58"/>
  <c r="AS200" i="58"/>
  <c r="AS201" i="58"/>
  <c r="AW93" i="58"/>
  <c r="AW203" i="58"/>
  <c r="AU93" i="58"/>
  <c r="AU203" i="58"/>
  <c r="AU60" i="58"/>
  <c r="AW43" i="58"/>
  <c r="AW55" i="58" s="1"/>
  <c r="AW49" i="58"/>
  <c r="AW61" i="58" s="1"/>
  <c r="AW48" i="58"/>
  <c r="AW50" i="58"/>
  <c r="AW62" i="58" s="1"/>
  <c r="AW45" i="58"/>
  <c r="AT89" i="58"/>
  <c r="AV83" i="58"/>
  <c r="AV126" i="58"/>
  <c r="AV99" i="58"/>
  <c r="AV107" i="58"/>
  <c r="AV108" i="58"/>
  <c r="AS141" i="58"/>
  <c r="F21" i="60"/>
  <c r="G9" i="61"/>
  <c r="G11" i="61" s="1"/>
  <c r="F15" i="60"/>
  <c r="G6" i="61"/>
  <c r="G8" i="61" s="1"/>
  <c r="F14" i="60"/>
  <c r="F22" i="60"/>
  <c r="AV52" i="58" l="1"/>
  <c r="AV64" i="58" s="1"/>
  <c r="AW102" i="58"/>
  <c r="AW103" i="58"/>
  <c r="AW100" i="58"/>
  <c r="AW101" i="58"/>
  <c r="AT130" i="58"/>
  <c r="AT141" i="58" s="1"/>
  <c r="AU80" i="58"/>
  <c r="AU81" i="58" s="1"/>
  <c r="AU85" i="58"/>
  <c r="AU216" i="58" s="1"/>
  <c r="AS121" i="58"/>
  <c r="AW67" i="58"/>
  <c r="AW54" i="58"/>
  <c r="AW66" i="58" s="1"/>
  <c r="AW60" i="58"/>
  <c r="AU58" i="58"/>
  <c r="AU47" i="58"/>
  <c r="AV80" i="58"/>
  <c r="AV81" i="58" s="1"/>
  <c r="AW46" i="58"/>
  <c r="AU92" i="58"/>
  <c r="AU94" i="58"/>
  <c r="AW92" i="58"/>
  <c r="AW94" i="58"/>
  <c r="AW108" i="58"/>
  <c r="AW107" i="58"/>
  <c r="AV58" i="58"/>
  <c r="AV47" i="58"/>
  <c r="AV89" i="58"/>
  <c r="AW111" i="58"/>
  <c r="AW112" i="58"/>
  <c r="AV137" i="58"/>
  <c r="AV127" i="58"/>
  <c r="AV138" i="58" s="1"/>
  <c r="AT90" i="58"/>
  <c r="AT91" i="58" s="1"/>
  <c r="AU128" i="58"/>
  <c r="AU129" i="58" s="1"/>
  <c r="AU140" i="58" s="1"/>
  <c r="AV101" i="58"/>
  <c r="AV100" i="58"/>
  <c r="AV103" i="58"/>
  <c r="AV102" i="58"/>
  <c r="AV93" i="58"/>
  <c r="AV85" i="58"/>
  <c r="AV203" i="58"/>
  <c r="AU89" i="58"/>
  <c r="BI3" i="43"/>
  <c r="BJ3" i="43"/>
  <c r="BK3" i="43"/>
  <c r="AT131" i="58" l="1"/>
  <c r="AT142" i="58" s="1"/>
  <c r="AU86" i="58"/>
  <c r="AW80" i="58"/>
  <c r="AW81" i="58" s="1"/>
  <c r="AU95" i="58"/>
  <c r="AU96" i="58" s="1"/>
  <c r="AU212" i="58" s="1"/>
  <c r="AU204" i="58" s="1"/>
  <c r="AV216" i="58"/>
  <c r="AV86" i="58"/>
  <c r="AT215" i="58"/>
  <c r="AT200" i="58"/>
  <c r="AT201" i="58"/>
  <c r="AW58" i="58"/>
  <c r="AW47" i="58"/>
  <c r="AV92" i="58"/>
  <c r="AV94" i="58"/>
  <c r="AW95" i="58"/>
  <c r="AW96" i="58" s="1"/>
  <c r="AW212" i="58" s="1"/>
  <c r="AW204" i="58" s="1"/>
  <c r="AT132" i="58"/>
  <c r="AW120" i="58"/>
  <c r="AW85" i="58"/>
  <c r="AV128" i="58"/>
  <c r="AU90" i="58"/>
  <c r="AU91" i="58" s="1"/>
  <c r="AU139" i="58"/>
  <c r="AU130" i="58"/>
  <c r="AU141" i="58" s="1"/>
  <c r="AV90" i="58"/>
  <c r="AV91" i="58" s="1"/>
  <c r="AV201" i="58" s="1"/>
  <c r="AW5" i="43"/>
  <c r="AX5" i="43"/>
  <c r="AY4" i="59" s="1"/>
  <c r="BA5" i="43"/>
  <c r="AW12" i="43"/>
  <c r="AX8" i="59" s="1"/>
  <c r="AX12" i="43"/>
  <c r="AY12" i="43"/>
  <c r="AZ8" i="59" s="1"/>
  <c r="AZ12" i="43"/>
  <c r="BB12" i="43"/>
  <c r="BB9" i="43" s="1"/>
  <c r="BC12" i="43"/>
  <c r="BD12" i="43"/>
  <c r="BE12" i="43"/>
  <c r="BF12" i="43"/>
  <c r="BG12" i="43"/>
  <c r="BH12" i="43"/>
  <c r="AW19" i="43"/>
  <c r="AX155" i="58" s="1"/>
  <c r="AX19" i="43"/>
  <c r="AY19" i="43"/>
  <c r="AZ155" i="58" s="1"/>
  <c r="AZ19" i="43"/>
  <c r="BA19" i="43"/>
  <c r="BB19" i="43"/>
  <c r="BC19" i="43"/>
  <c r="BD19" i="43"/>
  <c r="BE19" i="43"/>
  <c r="BF19" i="43"/>
  <c r="BG19" i="43"/>
  <c r="BH19" i="43"/>
  <c r="AW21" i="43"/>
  <c r="AX21" i="43"/>
  <c r="AY21" i="43"/>
  <c r="AZ21" i="43"/>
  <c r="BA21" i="43"/>
  <c r="BB21" i="43"/>
  <c r="BC21" i="43"/>
  <c r="BD21" i="43"/>
  <c r="BE21" i="43"/>
  <c r="BF21" i="43"/>
  <c r="BG21" i="43"/>
  <c r="BH21" i="43"/>
  <c r="AW23" i="43"/>
  <c r="AX23" i="43"/>
  <c r="AY23" i="43"/>
  <c r="AZ23" i="43"/>
  <c r="BA23" i="43"/>
  <c r="BB23" i="43"/>
  <c r="BC23" i="43"/>
  <c r="BD23" i="43"/>
  <c r="BE23" i="43"/>
  <c r="BF23" i="43"/>
  <c r="BG23" i="43"/>
  <c r="BH23" i="43"/>
  <c r="F48" i="59"/>
  <c r="F46" i="59"/>
  <c r="F14" i="59"/>
  <c r="F13" i="59"/>
  <c r="F155" i="58"/>
  <c r="F157" i="58" s="1"/>
  <c r="F159" i="58" s="1"/>
  <c r="F219" i="58" s="1"/>
  <c r="F209" i="58" s="1"/>
  <c r="AV95" i="58" l="1"/>
  <c r="AV96" i="58" s="1"/>
  <c r="AV212" i="58" s="1"/>
  <c r="AV204" i="58" s="1"/>
  <c r="AU215" i="58"/>
  <c r="AU200" i="58"/>
  <c r="AV139" i="58"/>
  <c r="AV129" i="58"/>
  <c r="AV140" i="58" s="1"/>
  <c r="AW89" i="58"/>
  <c r="AW130" i="58"/>
  <c r="AW199" i="58"/>
  <c r="AU201" i="58"/>
  <c r="AW216" i="58"/>
  <c r="AW86" i="58"/>
  <c r="AT143" i="58"/>
  <c r="AT121" i="58" s="1"/>
  <c r="AV215" i="58"/>
  <c r="AV200" i="58"/>
  <c r="AU131" i="58"/>
  <c r="AU132" i="58" s="1"/>
  <c r="AU143" i="58" s="1"/>
  <c r="AX4" i="58"/>
  <c r="AX4" i="59"/>
  <c r="BB148" i="43"/>
  <c r="BB3" i="43" s="1"/>
  <c r="F10" i="59"/>
  <c r="F36" i="59"/>
  <c r="AX9" i="43"/>
  <c r="AY5" i="59" s="1"/>
  <c r="AY8" i="59"/>
  <c r="AW9" i="43"/>
  <c r="BA12" i="43"/>
  <c r="BB4" i="59"/>
  <c r="AY9" i="43"/>
  <c r="AZ9" i="43"/>
  <c r="BA5" i="59" s="1"/>
  <c r="BA8" i="59"/>
  <c r="F38" i="59"/>
  <c r="F11" i="59"/>
  <c r="AW143" i="43"/>
  <c r="AW3" i="43" s="1"/>
  <c r="BE151" i="43"/>
  <c r="BE3" i="43" s="1"/>
  <c r="AY145" i="43"/>
  <c r="AY3" i="43" s="1"/>
  <c r="BG153" i="43"/>
  <c r="BG3" i="43" s="1"/>
  <c r="BH154" i="43"/>
  <c r="BH3" i="43" s="1"/>
  <c r="AZ146" i="43"/>
  <c r="AZ3" i="43" s="1"/>
  <c r="BA2" i="59" s="1"/>
  <c r="BD150" i="43"/>
  <c r="BD3" i="43" s="1"/>
  <c r="BA147" i="43"/>
  <c r="BA3" i="43" s="1"/>
  <c r="BB2" i="59" s="1"/>
  <c r="AX144" i="43"/>
  <c r="AX3" i="43" s="1"/>
  <c r="AY2" i="59" s="1"/>
  <c r="BF152" i="43"/>
  <c r="BF3" i="43" s="1"/>
  <c r="BC149" i="43"/>
  <c r="BC3" i="43" s="1"/>
  <c r="F4" i="59"/>
  <c r="AV130" i="58" l="1"/>
  <c r="AW141" i="58"/>
  <c r="AW131" i="58"/>
  <c r="AW142" i="58" s="1"/>
  <c r="AU142" i="58"/>
  <c r="AU121" i="58" s="1"/>
  <c r="AW90" i="58"/>
  <c r="AW91" i="58" s="1"/>
  <c r="AZ5" i="58"/>
  <c r="AZ12" i="58" s="1"/>
  <c r="AZ5" i="59"/>
  <c r="AX5" i="59"/>
  <c r="AX5" i="58"/>
  <c r="AX12" i="58" s="1"/>
  <c r="AX2" i="59"/>
  <c r="AX2" i="58"/>
  <c r="AZ2" i="58"/>
  <c r="AZ2" i="59"/>
  <c r="BA9" i="43"/>
  <c r="BB5" i="59" s="1"/>
  <c r="BB8" i="59"/>
  <c r="F55" i="59"/>
  <c r="F25" i="59"/>
  <c r="F42" i="59"/>
  <c r="F37" i="59"/>
  <c r="F52" i="59"/>
  <c r="F28" i="59"/>
  <c r="F20" i="59"/>
  <c r="F50" i="59"/>
  <c r="F47" i="59"/>
  <c r="F53" i="59"/>
  <c r="F45" i="59"/>
  <c r="F23" i="59"/>
  <c r="F40" i="59"/>
  <c r="F33" i="59"/>
  <c r="F35" i="59"/>
  <c r="F30" i="59"/>
  <c r="F18" i="59"/>
  <c r="F43" i="59"/>
  <c r="F4" i="58"/>
  <c r="F4" i="60"/>
  <c r="F3" i="59"/>
  <c r="AW132" i="58" l="1"/>
  <c r="AW143" i="58" s="1"/>
  <c r="AV141" i="58"/>
  <c r="AV131" i="58"/>
  <c r="AW215" i="58"/>
  <c r="AW200" i="58"/>
  <c r="AW201" i="58"/>
  <c r="AX8" i="58"/>
  <c r="AX82" i="58"/>
  <c r="AZ8" i="58"/>
  <c r="AZ82" i="58"/>
  <c r="F6" i="58"/>
  <c r="F160" i="58" s="1"/>
  <c r="F6" i="59"/>
  <c r="F3" i="58"/>
  <c r="F3" i="60"/>
  <c r="F5" i="60"/>
  <c r="AW121" i="58" l="1"/>
  <c r="AV142" i="58"/>
  <c r="AV132" i="58"/>
  <c r="AX9" i="58"/>
  <c r="AX10" i="58" s="1"/>
  <c r="AX11" i="58" s="1"/>
  <c r="AZ9" i="58"/>
  <c r="AZ10" i="58" s="1"/>
  <c r="AZ11" i="58" s="1"/>
  <c r="F7" i="58"/>
  <c r="F7" i="59"/>
  <c r="F58" i="59"/>
  <c r="F56" i="59"/>
  <c r="F59" i="59"/>
  <c r="F57" i="59"/>
  <c r="F162" i="58"/>
  <c r="F161" i="58"/>
  <c r="AV143" i="58" l="1"/>
  <c r="AV121" i="58" s="1"/>
  <c r="AX17" i="58"/>
  <c r="AX18" i="58" s="1"/>
  <c r="AX24" i="58" s="1"/>
  <c r="AX13" i="58"/>
  <c r="AX20" i="58" s="1"/>
  <c r="AX88" i="58"/>
  <c r="AX87" i="58" s="1"/>
  <c r="AX113" i="58"/>
  <c r="AX31" i="58"/>
  <c r="AZ113" i="58"/>
  <c r="AZ97" i="58" s="1"/>
  <c r="AZ31" i="58"/>
  <c r="AZ17" i="58"/>
  <c r="AZ18" i="58" s="1"/>
  <c r="AZ24" i="58" s="1"/>
  <c r="AZ88" i="58"/>
  <c r="AZ87" i="58" s="1"/>
  <c r="AZ13" i="58"/>
  <c r="AZ20" i="58" s="1"/>
  <c r="F163" i="58"/>
  <c r="F40" i="58" s="1"/>
  <c r="F84" i="59"/>
  <c r="AX33" i="58" l="1"/>
  <c r="AX32" i="58"/>
  <c r="AX34" i="58" s="1"/>
  <c r="AX97" i="58"/>
  <c r="AX114" i="58"/>
  <c r="AX115" i="58"/>
  <c r="AX25" i="58"/>
  <c r="AX26" i="58" s="1"/>
  <c r="AX27" i="58" s="1"/>
  <c r="AX21" i="58"/>
  <c r="AX42" i="58"/>
  <c r="AX57" i="58"/>
  <c r="AX79" i="58" s="1"/>
  <c r="AX56" i="58"/>
  <c r="AX78" i="58" s="1"/>
  <c r="AX22" i="58"/>
  <c r="AZ98" i="58"/>
  <c r="AZ104" i="58"/>
  <c r="AZ109" i="58" s="1"/>
  <c r="AZ110" i="58" s="1"/>
  <c r="AZ112" i="58" s="1"/>
  <c r="AZ21" i="58"/>
  <c r="AZ22" i="58" s="1"/>
  <c r="AZ56" i="58"/>
  <c r="AZ78" i="58" s="1"/>
  <c r="AZ57" i="58"/>
  <c r="AZ79" i="58" s="1"/>
  <c r="AZ42" i="58"/>
  <c r="AZ25" i="58"/>
  <c r="AZ26" i="58" s="1"/>
  <c r="AZ27" i="58" s="1"/>
  <c r="AZ33" i="58"/>
  <c r="AZ32" i="58"/>
  <c r="AZ34" i="58" s="1"/>
  <c r="AZ115" i="58"/>
  <c r="AZ114" i="58"/>
  <c r="F218" i="58"/>
  <c r="F208" i="58" s="1"/>
  <c r="F220" i="58"/>
  <c r="F210" i="58" s="1"/>
  <c r="F217" i="58"/>
  <c r="F207" i="58" s="1"/>
  <c r="F160" i="59"/>
  <c r="F170" i="59" s="1"/>
  <c r="AZ39" i="58" l="1"/>
  <c r="AX39" i="58"/>
  <c r="AX55" i="58"/>
  <c r="AX77" i="58" s="1"/>
  <c r="AX43" i="58"/>
  <c r="AX54" i="58"/>
  <c r="AX76" i="58" s="1"/>
  <c r="AX23" i="58"/>
  <c r="AX51" i="58"/>
  <c r="AX73" i="58" s="1"/>
  <c r="AX52" i="58"/>
  <c r="AX74" i="58" s="1"/>
  <c r="AX44" i="58"/>
  <c r="AX53" i="58"/>
  <c r="AX75" i="58" s="1"/>
  <c r="AX117" i="58"/>
  <c r="AX116" i="58"/>
  <c r="AX98" i="58"/>
  <c r="AX104" i="58"/>
  <c r="AX119" i="58"/>
  <c r="AX118" i="58"/>
  <c r="AX35" i="58"/>
  <c r="AZ117" i="58"/>
  <c r="AZ116" i="58"/>
  <c r="AZ23" i="58"/>
  <c r="AZ55" i="58"/>
  <c r="AZ77" i="58" s="1"/>
  <c r="AZ43" i="58"/>
  <c r="AZ54" i="58"/>
  <c r="AZ76" i="58" s="1"/>
  <c r="AZ118" i="58"/>
  <c r="AZ35" i="58"/>
  <c r="AZ119" i="58"/>
  <c r="AZ105" i="58"/>
  <c r="AZ106" i="58"/>
  <c r="AZ51" i="58" l="1"/>
  <c r="AZ123" i="58"/>
  <c r="AZ144" i="58" s="1"/>
  <c r="AZ125" i="58"/>
  <c r="AZ146" i="58" s="1"/>
  <c r="AX83" i="58"/>
  <c r="AX125" i="58"/>
  <c r="AX146" i="58" s="1"/>
  <c r="AX123" i="58"/>
  <c r="AX109" i="58"/>
  <c r="AX110" i="58" s="1"/>
  <c r="AX112" i="58" s="1"/>
  <c r="AX106" i="58"/>
  <c r="AX105" i="58"/>
  <c r="AX99" i="58"/>
  <c r="AX100" i="58" s="1"/>
  <c r="AX45" i="58"/>
  <c r="AX46" i="58" s="1"/>
  <c r="AX48" i="58"/>
  <c r="AX50" i="58"/>
  <c r="AX72" i="58" s="1"/>
  <c r="AZ73" i="58"/>
  <c r="AZ44" i="58"/>
  <c r="AZ53" i="58" s="1"/>
  <c r="AZ75" i="58" s="1"/>
  <c r="AZ83" i="58"/>
  <c r="AZ99" i="58"/>
  <c r="AZ50" i="58"/>
  <c r="AZ72" i="58" s="1"/>
  <c r="AZ45" i="58"/>
  <c r="AZ48" i="58"/>
  <c r="AZ108" i="58"/>
  <c r="AZ107" i="58"/>
  <c r="H964" i="120"/>
  <c r="E964" i="120"/>
  <c r="B964" i="120"/>
  <c r="H963" i="120"/>
  <c r="E963" i="120"/>
  <c r="B963" i="120"/>
  <c r="G964" i="120" l="1"/>
  <c r="I964" i="120" s="1"/>
  <c r="J964" i="120" s="1"/>
  <c r="F964" i="120"/>
  <c r="D964" i="120"/>
  <c r="C964" i="120"/>
  <c r="G963" i="120"/>
  <c r="I963" i="120" s="1"/>
  <c r="J963" i="120" s="1"/>
  <c r="F963" i="120"/>
  <c r="D963" i="120"/>
  <c r="C963" i="120"/>
  <c r="AX49" i="58"/>
  <c r="AX71" i="58" s="1"/>
  <c r="AZ49" i="58"/>
  <c r="AZ71" i="58" s="1"/>
  <c r="AX120" i="58"/>
  <c r="AX199" i="58" s="1"/>
  <c r="AX108" i="58"/>
  <c r="AX107" i="58"/>
  <c r="AZ46" i="58"/>
  <c r="AZ120" i="58" s="1"/>
  <c r="AX103" i="58"/>
  <c r="AX101" i="58"/>
  <c r="AX102" i="58"/>
  <c r="AX144" i="58"/>
  <c r="AX70" i="58"/>
  <c r="AX85" i="58"/>
  <c r="AX93" i="58"/>
  <c r="AX203" i="58"/>
  <c r="AZ70" i="58"/>
  <c r="AZ102" i="58"/>
  <c r="AZ100" i="58"/>
  <c r="AZ103" i="58"/>
  <c r="AZ101" i="58"/>
  <c r="AZ93" i="58"/>
  <c r="AZ203" i="58"/>
  <c r="AZ52" i="58"/>
  <c r="AZ74" i="58" s="1"/>
  <c r="AZ85" i="58" l="1"/>
  <c r="AX80" i="58"/>
  <c r="AX81" i="58" s="1"/>
  <c r="AZ89" i="58"/>
  <c r="AZ124" i="58"/>
  <c r="AZ199" i="58"/>
  <c r="AX94" i="58"/>
  <c r="AX92" i="58"/>
  <c r="AX216" i="58"/>
  <c r="AX86" i="58"/>
  <c r="AX58" i="58"/>
  <c r="AX47" i="58"/>
  <c r="AX89" i="58"/>
  <c r="AX90" i="58" s="1"/>
  <c r="AX91" i="58" s="1"/>
  <c r="AX124" i="58"/>
  <c r="AZ94" i="58"/>
  <c r="AZ92" i="58"/>
  <c r="AZ216" i="58"/>
  <c r="AZ86" i="58"/>
  <c r="AZ90" i="58"/>
  <c r="AZ91" i="58" s="1"/>
  <c r="AZ80" i="58"/>
  <c r="AZ81" i="58" s="1"/>
  <c r="AZ47" i="58"/>
  <c r="AZ58" i="58"/>
  <c r="I964" i="12"/>
  <c r="J964" i="12" s="1"/>
  <c r="I963" i="12"/>
  <c r="J963" i="12" s="1"/>
  <c r="I930" i="12"/>
  <c r="J930" i="12" s="1"/>
  <c r="M904" i="120"/>
  <c r="I592" i="12"/>
  <c r="E5" i="74"/>
  <c r="E4" i="121"/>
  <c r="H5" i="134"/>
  <c r="E242" i="120"/>
  <c r="B242" i="120"/>
  <c r="E240" i="120"/>
  <c r="B240" i="120"/>
  <c r="E238" i="120"/>
  <c r="B238" i="120"/>
  <c r="E236" i="120"/>
  <c r="B236" i="120"/>
  <c r="F11" i="62"/>
  <c r="F10" i="62"/>
  <c r="F9" i="62"/>
  <c r="H790" i="120"/>
  <c r="E650" i="120"/>
  <c r="B650" i="120"/>
  <c r="E458" i="120"/>
  <c r="B458" i="120"/>
  <c r="B14" i="119"/>
  <c r="E409" i="12" s="1"/>
  <c r="B15" i="119"/>
  <c r="E819" i="12" s="1"/>
  <c r="B17" i="119"/>
  <c r="E792" i="12" s="1"/>
  <c r="E792" i="120" s="1"/>
  <c r="N13" i="55"/>
  <c r="G84" i="132"/>
  <c r="H326" i="12"/>
  <c r="H326" i="120" s="1"/>
  <c r="G104" i="132"/>
  <c r="W86" i="134"/>
  <c r="W85" i="134" s="1"/>
  <c r="V86" i="134"/>
  <c r="V85" i="134" s="1"/>
  <c r="U86" i="134"/>
  <c r="U85" i="134" s="1"/>
  <c r="T86" i="134"/>
  <c r="T85" i="134" s="1"/>
  <c r="S86" i="134"/>
  <c r="S85" i="134" s="1"/>
  <c r="R86" i="134"/>
  <c r="R85" i="134" s="1"/>
  <c r="Q86" i="134"/>
  <c r="Q85" i="134" s="1"/>
  <c r="W82" i="134"/>
  <c r="W81" i="134" s="1"/>
  <c r="V82" i="134"/>
  <c r="V81" i="134" s="1"/>
  <c r="U82" i="134"/>
  <c r="U81" i="134" s="1"/>
  <c r="T82" i="134"/>
  <c r="T81" i="134" s="1"/>
  <c r="S82" i="134"/>
  <c r="S81" i="134" s="1"/>
  <c r="R82" i="134"/>
  <c r="R81" i="134" s="1"/>
  <c r="Q82" i="134"/>
  <c r="Q81" i="134" s="1"/>
  <c r="W78" i="134"/>
  <c r="W77" i="134" s="1"/>
  <c r="V78" i="134"/>
  <c r="V77" i="134" s="1"/>
  <c r="U78" i="134"/>
  <c r="U77" i="134" s="1"/>
  <c r="T78" i="134"/>
  <c r="T77" i="134" s="1"/>
  <c r="S78" i="134"/>
  <c r="S77" i="134" s="1"/>
  <c r="R78" i="134"/>
  <c r="Q78" i="134"/>
  <c r="Q77" i="134" s="1"/>
  <c r="W74" i="134"/>
  <c r="W73" i="134" s="1"/>
  <c r="V74" i="134"/>
  <c r="V73" i="134" s="1"/>
  <c r="U74" i="134"/>
  <c r="U73" i="134" s="1"/>
  <c r="T74" i="134"/>
  <c r="T73" i="134" s="1"/>
  <c r="S74" i="134"/>
  <c r="S73" i="134" s="1"/>
  <c r="R74" i="134"/>
  <c r="R73" i="134" s="1"/>
  <c r="Q74" i="134"/>
  <c r="Q73" i="134" s="1"/>
  <c r="W70" i="134"/>
  <c r="W69" i="134" s="1"/>
  <c r="V70" i="134"/>
  <c r="V69" i="134" s="1"/>
  <c r="U70" i="134"/>
  <c r="U69" i="134" s="1"/>
  <c r="T70" i="134"/>
  <c r="T69" i="134" s="1"/>
  <c r="S70" i="134"/>
  <c r="S69" i="134" s="1"/>
  <c r="R70" i="134"/>
  <c r="R69" i="134" s="1"/>
  <c r="Q70" i="134"/>
  <c r="Q69" i="134" s="1"/>
  <c r="W66" i="134"/>
  <c r="W65" i="134" s="1"/>
  <c r="V66" i="134"/>
  <c r="V65" i="134" s="1"/>
  <c r="U66" i="134"/>
  <c r="U65" i="134" s="1"/>
  <c r="T66" i="134"/>
  <c r="T65" i="134" s="1"/>
  <c r="S66" i="134"/>
  <c r="S65" i="134" s="1"/>
  <c r="R66" i="134"/>
  <c r="R65" i="134" s="1"/>
  <c r="Q66" i="134"/>
  <c r="Q65" i="134" s="1"/>
  <c r="W62" i="134"/>
  <c r="W61" i="134" s="1"/>
  <c r="V62" i="134"/>
  <c r="V61" i="134" s="1"/>
  <c r="U62" i="134"/>
  <c r="U61" i="134" s="1"/>
  <c r="T62" i="134"/>
  <c r="T61" i="134" s="1"/>
  <c r="S62" i="134"/>
  <c r="S61" i="134" s="1"/>
  <c r="R62" i="134"/>
  <c r="R61" i="134" s="1"/>
  <c r="Q62" i="134"/>
  <c r="Q61" i="134" s="1"/>
  <c r="W58" i="134"/>
  <c r="W57" i="134" s="1"/>
  <c r="V58" i="134"/>
  <c r="V57" i="134" s="1"/>
  <c r="U58" i="134"/>
  <c r="U57" i="134" s="1"/>
  <c r="T58" i="134"/>
  <c r="T57" i="134" s="1"/>
  <c r="S58" i="134"/>
  <c r="S57" i="134" s="1"/>
  <c r="R58" i="134"/>
  <c r="R57" i="134" s="1"/>
  <c r="Q58" i="134"/>
  <c r="W54" i="134"/>
  <c r="W53" i="134" s="1"/>
  <c r="V54" i="134"/>
  <c r="U54" i="134"/>
  <c r="U53" i="134" s="1"/>
  <c r="T54" i="134"/>
  <c r="T53" i="134" s="1"/>
  <c r="S54" i="134"/>
  <c r="S53" i="134" s="1"/>
  <c r="R54" i="134"/>
  <c r="R53" i="134" s="1"/>
  <c r="Q54" i="134"/>
  <c r="Q53" i="134" s="1"/>
  <c r="W50" i="134"/>
  <c r="W49" i="134" s="1"/>
  <c r="V50" i="134"/>
  <c r="V49" i="134" s="1"/>
  <c r="U50" i="134"/>
  <c r="U49" i="134" s="1"/>
  <c r="T50" i="134"/>
  <c r="T49" i="134" s="1"/>
  <c r="S50" i="134"/>
  <c r="S49" i="134" s="1"/>
  <c r="R50" i="134"/>
  <c r="R49" i="134" s="1"/>
  <c r="Q50" i="134"/>
  <c r="Q49" i="134" s="1"/>
  <c r="W46" i="134"/>
  <c r="W45" i="134" s="1"/>
  <c r="V46" i="134"/>
  <c r="V45" i="134" s="1"/>
  <c r="U46" i="134"/>
  <c r="U45" i="134" s="1"/>
  <c r="T46" i="134"/>
  <c r="T45" i="134" s="1"/>
  <c r="S46" i="134"/>
  <c r="S45" i="134" s="1"/>
  <c r="R46" i="134"/>
  <c r="R45" i="134" s="1"/>
  <c r="Q46" i="134"/>
  <c r="Q45" i="134" s="1"/>
  <c r="W42" i="134"/>
  <c r="W41" i="134" s="1"/>
  <c r="V42" i="134"/>
  <c r="V41" i="134" s="1"/>
  <c r="U42" i="134"/>
  <c r="U41" i="134" s="1"/>
  <c r="T42" i="134"/>
  <c r="T41" i="134" s="1"/>
  <c r="S42" i="134"/>
  <c r="S41" i="134" s="1"/>
  <c r="R42" i="134"/>
  <c r="R41" i="134" s="1"/>
  <c r="Q42" i="134"/>
  <c r="Q41" i="134" s="1"/>
  <c r="W38" i="134"/>
  <c r="W37" i="134" s="1"/>
  <c r="V38" i="134"/>
  <c r="V37" i="134" s="1"/>
  <c r="U38" i="134"/>
  <c r="U37" i="134" s="1"/>
  <c r="T38" i="134"/>
  <c r="T37" i="134" s="1"/>
  <c r="S38" i="134"/>
  <c r="S37" i="134" s="1"/>
  <c r="R38" i="134"/>
  <c r="R37" i="134" s="1"/>
  <c r="Q38" i="134"/>
  <c r="Q37" i="134" s="1"/>
  <c r="W34" i="134"/>
  <c r="W33" i="134" s="1"/>
  <c r="V34" i="134"/>
  <c r="V33" i="134" s="1"/>
  <c r="U34" i="134"/>
  <c r="U33" i="134" s="1"/>
  <c r="T34" i="134"/>
  <c r="T33" i="134" s="1"/>
  <c r="S34" i="134"/>
  <c r="S33" i="134" s="1"/>
  <c r="R34" i="134"/>
  <c r="R33" i="134" s="1"/>
  <c r="Q34" i="134"/>
  <c r="Q33" i="134" s="1"/>
  <c r="W30" i="134"/>
  <c r="W29" i="134" s="1"/>
  <c r="V30" i="134"/>
  <c r="V29" i="134" s="1"/>
  <c r="U30" i="134"/>
  <c r="U29" i="134" s="1"/>
  <c r="T30" i="134"/>
  <c r="T29" i="134" s="1"/>
  <c r="S30" i="134"/>
  <c r="S29" i="134" s="1"/>
  <c r="R30" i="134"/>
  <c r="R29" i="134" s="1"/>
  <c r="Q30" i="134"/>
  <c r="W26" i="134"/>
  <c r="V26" i="134"/>
  <c r="V25" i="134" s="1"/>
  <c r="U26" i="134"/>
  <c r="U25" i="134" s="1"/>
  <c r="T26" i="134"/>
  <c r="T25" i="134" s="1"/>
  <c r="S26" i="134"/>
  <c r="S25" i="134" s="1"/>
  <c r="R26" i="134"/>
  <c r="R25" i="134" s="1"/>
  <c r="Q26" i="134"/>
  <c r="Q25" i="134" s="1"/>
  <c r="W22" i="134"/>
  <c r="W21" i="134" s="1"/>
  <c r="V22" i="134"/>
  <c r="V21" i="134" s="1"/>
  <c r="U22" i="134"/>
  <c r="U21" i="134" s="1"/>
  <c r="T22" i="134"/>
  <c r="T21" i="134" s="1"/>
  <c r="S22" i="134"/>
  <c r="S21" i="134" s="1"/>
  <c r="R22" i="134"/>
  <c r="R21" i="134" s="1"/>
  <c r="Q22" i="134"/>
  <c r="Q21" i="134" s="1"/>
  <c r="W18" i="134"/>
  <c r="W17" i="134" s="1"/>
  <c r="V18" i="134"/>
  <c r="V17" i="134" s="1"/>
  <c r="U18" i="134"/>
  <c r="U17" i="134" s="1"/>
  <c r="T18" i="134"/>
  <c r="T17" i="134" s="1"/>
  <c r="S18" i="134"/>
  <c r="S17" i="134" s="1"/>
  <c r="R18" i="134"/>
  <c r="R17" i="134" s="1"/>
  <c r="Q18" i="134"/>
  <c r="Q17" i="134" s="1"/>
  <c r="W14" i="134"/>
  <c r="W13" i="134" s="1"/>
  <c r="V14" i="134"/>
  <c r="V13" i="134" s="1"/>
  <c r="U14" i="134"/>
  <c r="U13" i="134" s="1"/>
  <c r="T14" i="134"/>
  <c r="T13" i="134" s="1"/>
  <c r="S14" i="134"/>
  <c r="S13" i="134" s="1"/>
  <c r="R14" i="134"/>
  <c r="R13" i="134" s="1"/>
  <c r="Q14" i="134"/>
  <c r="Q13" i="134" s="1"/>
  <c r="W10" i="134"/>
  <c r="W9" i="134" s="1"/>
  <c r="V10" i="134"/>
  <c r="V9" i="134" s="1"/>
  <c r="U10" i="134"/>
  <c r="U9" i="134" s="1"/>
  <c r="T10" i="134"/>
  <c r="T9" i="134" s="1"/>
  <c r="S10" i="134"/>
  <c r="S9" i="134" s="1"/>
  <c r="R10" i="134"/>
  <c r="R9" i="134" s="1"/>
  <c r="Q10" i="134"/>
  <c r="Q9" i="134" s="1"/>
  <c r="H943" i="120"/>
  <c r="H946" i="120"/>
  <c r="H957" i="120"/>
  <c r="I32" i="12"/>
  <c r="K61" i="83"/>
  <c r="G105" i="62"/>
  <c r="G106" i="62" s="1"/>
  <c r="G115" i="62"/>
  <c r="G104" i="62"/>
  <c r="G102" i="62"/>
  <c r="G100" i="62"/>
  <c r="G98" i="62"/>
  <c r="G96" i="62"/>
  <c r="G94" i="62"/>
  <c r="G92" i="62"/>
  <c r="G91" i="62"/>
  <c r="G76" i="62"/>
  <c r="G86" i="62" s="1"/>
  <c r="G75" i="62"/>
  <c r="G85" i="62" s="1"/>
  <c r="G71" i="62"/>
  <c r="G81" i="62" s="1"/>
  <c r="G63" i="62"/>
  <c r="G77" i="62" s="1"/>
  <c r="G87" i="62" s="1"/>
  <c r="G62" i="62"/>
  <c r="G59" i="62"/>
  <c r="G56" i="62"/>
  <c r="G57" i="62" s="1"/>
  <c r="G42" i="62"/>
  <c r="G41" i="62"/>
  <c r="G33" i="62"/>
  <c r="G34" i="62" s="1"/>
  <c r="G35" i="62" s="1"/>
  <c r="G31" i="62"/>
  <c r="G27" i="62"/>
  <c r="G22" i="62"/>
  <c r="G26" i="62" s="1"/>
  <c r="G29" i="62" s="1"/>
  <c r="G16" i="62"/>
  <c r="G36" i="62" s="1"/>
  <c r="G37" i="62" s="1"/>
  <c r="G13" i="62"/>
  <c r="G14" i="62" s="1"/>
  <c r="G12" i="62"/>
  <c r="G11" i="62"/>
  <c r="G10" i="62"/>
  <c r="G9" i="62"/>
  <c r="BA26" i="61"/>
  <c r="BA25" i="61"/>
  <c r="BA17" i="61"/>
  <c r="AZ10" i="61"/>
  <c r="BA10" i="61" s="1"/>
  <c r="G65" i="62"/>
  <c r="N4" i="40"/>
  <c r="N2" i="40"/>
  <c r="Z294" i="133"/>
  <c r="AA294" i="133" s="1"/>
  <c r="BM48" i="59"/>
  <c r="BN48" i="59" s="1"/>
  <c r="BM13" i="59"/>
  <c r="H202" i="12" s="1"/>
  <c r="B226" i="120"/>
  <c r="E133" i="120"/>
  <c r="B133" i="120"/>
  <c r="H132" i="120"/>
  <c r="E132" i="120"/>
  <c r="B132" i="120"/>
  <c r="E131" i="120"/>
  <c r="B131" i="120"/>
  <c r="E130" i="120"/>
  <c r="B130" i="120"/>
  <c r="B659" i="12"/>
  <c r="B655" i="12"/>
  <c r="B169" i="12"/>
  <c r="G1" i="134"/>
  <c r="E758" i="120"/>
  <c r="B758" i="120"/>
  <c r="E757" i="120"/>
  <c r="B757" i="120"/>
  <c r="AA23" i="54"/>
  <c r="AA22" i="54"/>
  <c r="B20" i="119"/>
  <c r="B21" i="119"/>
  <c r="Z355" i="133"/>
  <c r="AA355" i="133" s="1"/>
  <c r="AX36" i="60"/>
  <c r="AX35" i="60"/>
  <c r="AX34" i="60"/>
  <c r="BM34" i="60" s="1"/>
  <c r="BN34" i="60" s="1"/>
  <c r="G56" i="118" s="1"/>
  <c r="AX33" i="60"/>
  <c r="BM33" i="60" s="1"/>
  <c r="BN33" i="60" s="1"/>
  <c r="AX27" i="60"/>
  <c r="AX20" i="60"/>
  <c r="AX16" i="60" s="1"/>
  <c r="AX17" i="60" s="1"/>
  <c r="AX18" i="60" s="1"/>
  <c r="AX13" i="60"/>
  <c r="AX9" i="60" s="1"/>
  <c r="AX5" i="60"/>
  <c r="AX3" i="60"/>
  <c r="AX1" i="60"/>
  <c r="A2" i="134"/>
  <c r="A1" i="134"/>
  <c r="B100" i="134"/>
  <c r="D94" i="134"/>
  <c r="E87" i="134"/>
  <c r="E88" i="134" s="1"/>
  <c r="M85" i="134"/>
  <c r="L85" i="134"/>
  <c r="K85" i="134"/>
  <c r="J85" i="134"/>
  <c r="I85" i="134"/>
  <c r="H85" i="134"/>
  <c r="G85" i="134"/>
  <c r="F85" i="134"/>
  <c r="E83" i="134"/>
  <c r="E84" i="134" s="1"/>
  <c r="M81" i="134"/>
  <c r="L81" i="134"/>
  <c r="K81" i="134"/>
  <c r="J81" i="134"/>
  <c r="I81" i="134"/>
  <c r="H81" i="134"/>
  <c r="G81" i="134"/>
  <c r="F81" i="134"/>
  <c r="E79" i="134"/>
  <c r="E80" i="134" s="1"/>
  <c r="M77" i="134"/>
  <c r="L77" i="134"/>
  <c r="K77" i="134"/>
  <c r="J77" i="134"/>
  <c r="I77" i="134"/>
  <c r="H77" i="134"/>
  <c r="G77" i="134"/>
  <c r="F77" i="134"/>
  <c r="E75" i="134"/>
  <c r="E76" i="134" s="1"/>
  <c r="M73" i="134"/>
  <c r="L73" i="134"/>
  <c r="K73" i="134"/>
  <c r="J73" i="134"/>
  <c r="I73" i="134"/>
  <c r="H73" i="134"/>
  <c r="G73" i="134"/>
  <c r="F73" i="134"/>
  <c r="E71" i="134"/>
  <c r="E72" i="134" s="1"/>
  <c r="M69" i="134"/>
  <c r="L69" i="134"/>
  <c r="K69" i="134"/>
  <c r="J69" i="134"/>
  <c r="I69" i="134"/>
  <c r="H69" i="134"/>
  <c r="G69" i="134"/>
  <c r="F69" i="134"/>
  <c r="E67" i="134"/>
  <c r="E68" i="134" s="1"/>
  <c r="M65" i="134"/>
  <c r="L65" i="134"/>
  <c r="K65" i="134"/>
  <c r="J65" i="134"/>
  <c r="I65" i="134"/>
  <c r="H65" i="134"/>
  <c r="G65" i="134"/>
  <c r="F65" i="134"/>
  <c r="E63" i="134"/>
  <c r="E64" i="134" s="1"/>
  <c r="M61" i="134"/>
  <c r="L61" i="134"/>
  <c r="K61" i="134"/>
  <c r="J61" i="134"/>
  <c r="I61" i="134"/>
  <c r="H61" i="134"/>
  <c r="G61" i="134"/>
  <c r="F61" i="134"/>
  <c r="E59" i="134"/>
  <c r="E60" i="134" s="1"/>
  <c r="M57" i="134"/>
  <c r="L57" i="134"/>
  <c r="K57" i="134"/>
  <c r="J57" i="134"/>
  <c r="I57" i="134"/>
  <c r="H57" i="134"/>
  <c r="G57" i="134"/>
  <c r="F57" i="134"/>
  <c r="E55" i="134"/>
  <c r="E56" i="134" s="1"/>
  <c r="M53" i="134"/>
  <c r="L53" i="134"/>
  <c r="K53" i="134"/>
  <c r="J53" i="134"/>
  <c r="I53" i="134"/>
  <c r="H53" i="134"/>
  <c r="G53" i="134"/>
  <c r="F53" i="134"/>
  <c r="E51" i="134"/>
  <c r="E52" i="134" s="1"/>
  <c r="M49" i="134"/>
  <c r="L49" i="134"/>
  <c r="K49" i="134"/>
  <c r="J49" i="134"/>
  <c r="I49" i="134"/>
  <c r="H49" i="134"/>
  <c r="G49" i="134"/>
  <c r="F49" i="134"/>
  <c r="E47" i="134"/>
  <c r="E48" i="134" s="1"/>
  <c r="M45" i="134"/>
  <c r="L45" i="134"/>
  <c r="K45" i="134"/>
  <c r="J45" i="134"/>
  <c r="I45" i="134"/>
  <c r="H45" i="134"/>
  <c r="G45" i="134"/>
  <c r="F45" i="134"/>
  <c r="E43" i="134"/>
  <c r="E44" i="134" s="1"/>
  <c r="M41" i="134"/>
  <c r="L41" i="134"/>
  <c r="K41" i="134"/>
  <c r="J41" i="134"/>
  <c r="I41" i="134"/>
  <c r="H41" i="134"/>
  <c r="G41" i="134"/>
  <c r="F41" i="134"/>
  <c r="E39" i="134"/>
  <c r="E40" i="134" s="1"/>
  <c r="M37" i="134"/>
  <c r="L37" i="134"/>
  <c r="K37" i="134"/>
  <c r="J37" i="134"/>
  <c r="I37" i="134"/>
  <c r="H37" i="134"/>
  <c r="G37" i="134"/>
  <c r="F37" i="134"/>
  <c r="E35" i="134"/>
  <c r="E36" i="134" s="1"/>
  <c r="L33" i="134"/>
  <c r="K33" i="134"/>
  <c r="J33" i="134"/>
  <c r="I33" i="134"/>
  <c r="H33" i="134"/>
  <c r="G33" i="134"/>
  <c r="F33" i="134"/>
  <c r="E31" i="134"/>
  <c r="E32" i="134" s="1"/>
  <c r="M29" i="134"/>
  <c r="L29" i="134"/>
  <c r="K29" i="134"/>
  <c r="J29" i="134"/>
  <c r="I29" i="134"/>
  <c r="H29" i="134"/>
  <c r="G29" i="134"/>
  <c r="F29" i="134"/>
  <c r="E27" i="134"/>
  <c r="E28" i="134" s="1"/>
  <c r="M25" i="134"/>
  <c r="L25" i="134"/>
  <c r="K25" i="134"/>
  <c r="J25" i="134"/>
  <c r="I25" i="134"/>
  <c r="H25" i="134"/>
  <c r="G25" i="134"/>
  <c r="F25" i="134"/>
  <c r="E23" i="134"/>
  <c r="E24" i="134" s="1"/>
  <c r="M21" i="134"/>
  <c r="L21" i="134"/>
  <c r="K21" i="134"/>
  <c r="J21" i="134"/>
  <c r="I21" i="134"/>
  <c r="H21" i="134"/>
  <c r="G21" i="134"/>
  <c r="F21" i="134"/>
  <c r="E19" i="134"/>
  <c r="E20" i="134" s="1"/>
  <c r="M17" i="134"/>
  <c r="L17" i="134"/>
  <c r="K17" i="134"/>
  <c r="J17" i="134"/>
  <c r="I17" i="134"/>
  <c r="H17" i="134"/>
  <c r="G17" i="134"/>
  <c r="F17" i="134"/>
  <c r="E15" i="134"/>
  <c r="E16" i="134" s="1"/>
  <c r="M13" i="134"/>
  <c r="L13" i="134"/>
  <c r="K13" i="134"/>
  <c r="J13" i="134"/>
  <c r="I13" i="134"/>
  <c r="H13" i="134"/>
  <c r="G13" i="134"/>
  <c r="F13" i="134"/>
  <c r="E11" i="134"/>
  <c r="E12" i="134" s="1"/>
  <c r="M9" i="134"/>
  <c r="L9" i="134"/>
  <c r="K9" i="134"/>
  <c r="J9" i="134"/>
  <c r="I9" i="134"/>
  <c r="H9" i="134"/>
  <c r="G9" i="134"/>
  <c r="F9" i="134"/>
  <c r="E142" i="120"/>
  <c r="B142" i="120"/>
  <c r="O30" i="74"/>
  <c r="O28" i="74"/>
  <c r="BJ2" i="60"/>
  <c r="BJ8" i="60" s="1"/>
  <c r="BK2" i="60"/>
  <c r="BK8" i="60" s="1"/>
  <c r="BL2" i="60"/>
  <c r="BL8" i="60" s="1"/>
  <c r="AY4" i="60"/>
  <c r="BB4" i="60"/>
  <c r="BA155" i="58"/>
  <c r="BG155" i="58"/>
  <c r="AY1" i="60"/>
  <c r="AZ1" i="60"/>
  <c r="BA1" i="60"/>
  <c r="BB1" i="60"/>
  <c r="BC1" i="60"/>
  <c r="BD1" i="60"/>
  <c r="BE1" i="60"/>
  <c r="BF1" i="60"/>
  <c r="BG1" i="60"/>
  <c r="BH1" i="60"/>
  <c r="BI1" i="60"/>
  <c r="BJ1" i="60"/>
  <c r="BK1" i="60"/>
  <c r="BL1" i="60"/>
  <c r="AY3" i="60"/>
  <c r="AZ3" i="60"/>
  <c r="BA3" i="60"/>
  <c r="BB3" i="60"/>
  <c r="BC3" i="60"/>
  <c r="BD3" i="60"/>
  <c r="BE3" i="60"/>
  <c r="BF3" i="60"/>
  <c r="BG3" i="60"/>
  <c r="BH3" i="60"/>
  <c r="BI3" i="60"/>
  <c r="BJ3" i="60"/>
  <c r="BK3" i="60"/>
  <c r="BL3" i="60"/>
  <c r="AZ4" i="60"/>
  <c r="BA4" i="60"/>
  <c r="BC4" i="60"/>
  <c r="BD4" i="60"/>
  <c r="BE4" i="60"/>
  <c r="BF4" i="60"/>
  <c r="BG4" i="60"/>
  <c r="BH4" i="60"/>
  <c r="BI4" i="60"/>
  <c r="BJ4" i="60"/>
  <c r="BK4" i="60"/>
  <c r="BL4" i="60"/>
  <c r="AY5" i="60"/>
  <c r="AZ5" i="60"/>
  <c r="BA5" i="60"/>
  <c r="BB5" i="60"/>
  <c r="BC5" i="60"/>
  <c r="BD5" i="60"/>
  <c r="BE5" i="60"/>
  <c r="BF5" i="60"/>
  <c r="BG5" i="60"/>
  <c r="BH5" i="60"/>
  <c r="BI5" i="60"/>
  <c r="BJ5" i="60"/>
  <c r="BK5" i="60"/>
  <c r="BL5" i="60"/>
  <c r="AY13" i="60"/>
  <c r="AY9" i="60" s="1"/>
  <c r="AZ13" i="60"/>
  <c r="BA13" i="60"/>
  <c r="BB13" i="60"/>
  <c r="BB9" i="60" s="1"/>
  <c r="BC13" i="60"/>
  <c r="BC9" i="60" s="1"/>
  <c r="BD13" i="60"/>
  <c r="BD9" i="60" s="1"/>
  <c r="BE13" i="60"/>
  <c r="BE9" i="60" s="1"/>
  <c r="BF13" i="60"/>
  <c r="BF9" i="60" s="1"/>
  <c r="BF12" i="60" s="1"/>
  <c r="BG13" i="60"/>
  <c r="BG9" i="60" s="1"/>
  <c r="BH13" i="60"/>
  <c r="BH9" i="60" s="1"/>
  <c r="BI13" i="60"/>
  <c r="BI9" i="60" s="1"/>
  <c r="BI10" i="60" s="1"/>
  <c r="BI11" i="60" s="1"/>
  <c r="BJ13" i="60"/>
  <c r="BK13" i="60"/>
  <c r="BK9" i="60" s="1"/>
  <c r="BL13" i="60"/>
  <c r="BL9" i="60" s="1"/>
  <c r="AY20" i="60"/>
  <c r="AY16" i="60" s="1"/>
  <c r="AZ20" i="60"/>
  <c r="AZ16" i="60" s="1"/>
  <c r="BA20" i="60"/>
  <c r="BA16" i="60" s="1"/>
  <c r="BB20" i="60"/>
  <c r="BB16" i="60" s="1"/>
  <c r="BC20" i="60"/>
  <c r="BC16" i="60" s="1"/>
  <c r="BD20" i="60"/>
  <c r="BD16" i="60" s="1"/>
  <c r="BE20" i="60"/>
  <c r="BE16" i="60" s="1"/>
  <c r="BE17" i="60" s="1"/>
  <c r="BE18" i="60" s="1"/>
  <c r="BF20" i="60"/>
  <c r="BG20" i="60"/>
  <c r="BG16" i="60" s="1"/>
  <c r="BH20" i="60"/>
  <c r="BH16" i="60" s="1"/>
  <c r="BI20" i="60"/>
  <c r="BI16" i="60" s="1"/>
  <c r="BI19" i="60" s="1"/>
  <c r="BJ20" i="60"/>
  <c r="BJ16" i="60" s="1"/>
  <c r="BK20" i="60"/>
  <c r="BK16" i="60" s="1"/>
  <c r="BL20" i="60"/>
  <c r="BL16" i="60" s="1"/>
  <c r="AY27" i="60"/>
  <c r="AY23" i="60" s="1"/>
  <c r="AZ27" i="60"/>
  <c r="AZ23" i="60" s="1"/>
  <c r="AZ26" i="60" s="1"/>
  <c r="BA27" i="60"/>
  <c r="BA23" i="60" s="1"/>
  <c r="BB27" i="60"/>
  <c r="BB23" i="60" s="1"/>
  <c r="BC27" i="60"/>
  <c r="BD27" i="60"/>
  <c r="BD23" i="60" s="1"/>
  <c r="BE27" i="60"/>
  <c r="BE23" i="60" s="1"/>
  <c r="BF27" i="60"/>
  <c r="BF23" i="60" s="1"/>
  <c r="BG27" i="60"/>
  <c r="BG23" i="60" s="1"/>
  <c r="BG24" i="60" s="1"/>
  <c r="BG25" i="60" s="1"/>
  <c r="BH27" i="60"/>
  <c r="BH23" i="60" s="1"/>
  <c r="BI27" i="60"/>
  <c r="BI23" i="60" s="1"/>
  <c r="BJ27" i="60"/>
  <c r="BJ23" i="60" s="1"/>
  <c r="BK27" i="60"/>
  <c r="BL27" i="60"/>
  <c r="BL23" i="60" s="1"/>
  <c r="AY35" i="60"/>
  <c r="AZ35" i="60"/>
  <c r="BA35" i="60"/>
  <c r="BB35" i="60"/>
  <c r="BC35" i="60"/>
  <c r="BD35" i="60"/>
  <c r="BE35" i="60"/>
  <c r="BF35" i="60"/>
  <c r="BG35" i="60"/>
  <c r="BH35" i="60"/>
  <c r="BI35" i="60"/>
  <c r="BJ35" i="60"/>
  <c r="BK35" i="60"/>
  <c r="BL35" i="60"/>
  <c r="AY36" i="60"/>
  <c r="AZ36" i="60"/>
  <c r="BA36" i="60"/>
  <c r="BB36" i="60"/>
  <c r="BC36" i="60"/>
  <c r="BD36" i="60"/>
  <c r="BE36" i="60"/>
  <c r="BF36" i="60"/>
  <c r="BG36" i="60"/>
  <c r="BH36" i="60"/>
  <c r="BI36" i="60"/>
  <c r="BJ36" i="60"/>
  <c r="BK36" i="60"/>
  <c r="BL36" i="60"/>
  <c r="BI29" i="58"/>
  <c r="BI79" i="58" s="1"/>
  <c r="BH29" i="58"/>
  <c r="BH70" i="58" s="1"/>
  <c r="BG29" i="58"/>
  <c r="BG148" i="58" s="1"/>
  <c r="BF29" i="58"/>
  <c r="BF145" i="58" s="1"/>
  <c r="BE29" i="58"/>
  <c r="BE73" i="58" s="1"/>
  <c r="BD29" i="58"/>
  <c r="BD72" i="58" s="1"/>
  <c r="BC29" i="58"/>
  <c r="BC73" i="58" s="1"/>
  <c r="BB29" i="58"/>
  <c r="BB75" i="58" s="1"/>
  <c r="BA29" i="58"/>
  <c r="AY29" i="58"/>
  <c r="H6" i="134"/>
  <c r="Z2" i="54"/>
  <c r="Z192" i="54"/>
  <c r="AA192" i="54" s="1"/>
  <c r="Z110" i="54"/>
  <c r="Z97" i="54"/>
  <c r="Z76" i="54"/>
  <c r="Z75" i="54"/>
  <c r="Z62" i="54"/>
  <c r="Z59" i="54"/>
  <c r="Z54" i="54"/>
  <c r="AA54" i="54" s="1"/>
  <c r="Z53" i="54"/>
  <c r="Z41" i="54"/>
  <c r="Z114" i="54"/>
  <c r="AA114" i="54" s="1"/>
  <c r="Z36" i="54"/>
  <c r="AA36" i="54" s="1"/>
  <c r="AA21" i="54"/>
  <c r="B35" i="119"/>
  <c r="B34" i="119"/>
  <c r="B33" i="119"/>
  <c r="B32" i="119"/>
  <c r="B31" i="119"/>
  <c r="B30" i="119"/>
  <c r="E883" i="12" s="1"/>
  <c r="B29" i="119"/>
  <c r="B28" i="119"/>
  <c r="B27" i="119"/>
  <c r="B26" i="119"/>
  <c r="B25" i="119"/>
  <c r="B24" i="119"/>
  <c r="B23" i="119"/>
  <c r="B22" i="119"/>
  <c r="E566" i="12" s="1"/>
  <c r="B18" i="119"/>
  <c r="B13" i="119"/>
  <c r="E292" i="12" s="1"/>
  <c r="E292" i="120" s="1"/>
  <c r="E32" i="122"/>
  <c r="E30" i="122"/>
  <c r="E29" i="122"/>
  <c r="H965" i="120"/>
  <c r="E965" i="120"/>
  <c r="B965" i="120"/>
  <c r="H962" i="120"/>
  <c r="E962" i="120"/>
  <c r="B962" i="120"/>
  <c r="H961" i="120"/>
  <c r="E961" i="120"/>
  <c r="B961" i="120"/>
  <c r="E960" i="120"/>
  <c r="B960" i="120"/>
  <c r="H959" i="120"/>
  <c r="E959" i="120"/>
  <c r="B959" i="120"/>
  <c r="H958" i="120"/>
  <c r="E958" i="120"/>
  <c r="B958" i="120"/>
  <c r="E957" i="120"/>
  <c r="B957" i="120"/>
  <c r="H956" i="120"/>
  <c r="E956" i="120"/>
  <c r="B956" i="120"/>
  <c r="E955" i="120"/>
  <c r="B955" i="120"/>
  <c r="H954" i="120"/>
  <c r="E954" i="120"/>
  <c r="B954" i="120"/>
  <c r="E953" i="120"/>
  <c r="B953" i="120"/>
  <c r="E952" i="120"/>
  <c r="B952" i="120"/>
  <c r="H951" i="120"/>
  <c r="E951" i="120"/>
  <c r="B951" i="120"/>
  <c r="H950" i="120"/>
  <c r="E950" i="120"/>
  <c r="B950" i="120"/>
  <c r="H949" i="120"/>
  <c r="E949" i="120"/>
  <c r="B949" i="120"/>
  <c r="H948" i="120"/>
  <c r="E948" i="120"/>
  <c r="B948" i="120"/>
  <c r="H947" i="120"/>
  <c r="E947" i="120"/>
  <c r="B947" i="120"/>
  <c r="E946" i="120"/>
  <c r="B946" i="120"/>
  <c r="H945" i="120"/>
  <c r="E945" i="120"/>
  <c r="B945" i="120"/>
  <c r="H944" i="120"/>
  <c r="E944" i="120"/>
  <c r="B944" i="120"/>
  <c r="E943" i="120"/>
  <c r="B943" i="120"/>
  <c r="E942" i="120"/>
  <c r="B942" i="120"/>
  <c r="H941" i="120"/>
  <c r="E941" i="120"/>
  <c r="B941" i="120"/>
  <c r="H940" i="120"/>
  <c r="E940" i="120"/>
  <c r="B940" i="120"/>
  <c r="H939" i="120"/>
  <c r="E939" i="120"/>
  <c r="B939" i="120"/>
  <c r="E938" i="120"/>
  <c r="B938" i="120"/>
  <c r="E937" i="120"/>
  <c r="B937" i="120"/>
  <c r="E936" i="120"/>
  <c r="B936" i="120"/>
  <c r="E935" i="120"/>
  <c r="B935" i="120"/>
  <c r="H934" i="120"/>
  <c r="E934" i="120"/>
  <c r="B934" i="120"/>
  <c r="H933" i="120"/>
  <c r="E933" i="120"/>
  <c r="B933" i="120"/>
  <c r="E932" i="120"/>
  <c r="B932" i="120"/>
  <c r="E931" i="120"/>
  <c r="B931" i="120"/>
  <c r="E930" i="120"/>
  <c r="B930" i="120"/>
  <c r="H929" i="120"/>
  <c r="E929" i="120"/>
  <c r="B929" i="120"/>
  <c r="E923" i="120"/>
  <c r="B923" i="120"/>
  <c r="E922" i="120"/>
  <c r="B922" i="120"/>
  <c r="E921" i="120"/>
  <c r="B921" i="120"/>
  <c r="E920" i="120"/>
  <c r="B920" i="120"/>
  <c r="H919" i="120"/>
  <c r="E919" i="120"/>
  <c r="B919" i="120"/>
  <c r="E918" i="120"/>
  <c r="B918" i="120"/>
  <c r="E917" i="120"/>
  <c r="B917" i="120"/>
  <c r="H916" i="120"/>
  <c r="E916" i="120"/>
  <c r="B916" i="120"/>
  <c r="E915" i="120"/>
  <c r="B915" i="120"/>
  <c r="H914" i="120"/>
  <c r="E914" i="120"/>
  <c r="B914" i="120"/>
  <c r="E913" i="120"/>
  <c r="B913" i="120"/>
  <c r="E912" i="120"/>
  <c r="B912" i="120"/>
  <c r="E911" i="120"/>
  <c r="B911" i="120"/>
  <c r="E910" i="120"/>
  <c r="B910" i="120"/>
  <c r="E909" i="120"/>
  <c r="B909" i="120"/>
  <c r="E908" i="120"/>
  <c r="B908" i="120"/>
  <c r="H907" i="120"/>
  <c r="E907" i="120"/>
  <c r="B907" i="120"/>
  <c r="H906" i="120"/>
  <c r="E906" i="120"/>
  <c r="B906" i="120"/>
  <c r="E905" i="120"/>
  <c r="B905" i="120"/>
  <c r="H904" i="120"/>
  <c r="E904" i="120"/>
  <c r="B904" i="120"/>
  <c r="E903" i="120"/>
  <c r="B903" i="120"/>
  <c r="E902" i="120"/>
  <c r="B902" i="120"/>
  <c r="E901" i="120"/>
  <c r="B901" i="120"/>
  <c r="E900" i="120"/>
  <c r="B900" i="120"/>
  <c r="E899" i="120"/>
  <c r="B899" i="120"/>
  <c r="E898" i="120"/>
  <c r="B898" i="120"/>
  <c r="E897" i="120"/>
  <c r="B897" i="120"/>
  <c r="E896" i="120"/>
  <c r="B896" i="120"/>
  <c r="M868" i="120"/>
  <c r="M864" i="120"/>
  <c r="M863" i="120"/>
  <c r="M862" i="120"/>
  <c r="M860" i="120"/>
  <c r="M859" i="120"/>
  <c r="M858" i="120"/>
  <c r="M856" i="120"/>
  <c r="M855" i="120"/>
  <c r="M853" i="120"/>
  <c r="M851" i="120"/>
  <c r="M850" i="120"/>
  <c r="M848" i="120"/>
  <c r="M840" i="120"/>
  <c r="B893" i="120"/>
  <c r="B891" i="120"/>
  <c r="B869" i="120"/>
  <c r="E863" i="120"/>
  <c r="E862" i="120"/>
  <c r="E861" i="120"/>
  <c r="B861" i="120"/>
  <c r="E860" i="120"/>
  <c r="B860" i="120"/>
  <c r="E859" i="120"/>
  <c r="B859" i="120"/>
  <c r="E858" i="120"/>
  <c r="B858" i="120"/>
  <c r="E857" i="120"/>
  <c r="B857" i="120"/>
  <c r="E856" i="120"/>
  <c r="E855" i="120"/>
  <c r="E854" i="120"/>
  <c r="B854" i="120"/>
  <c r="E853" i="120"/>
  <c r="E852" i="120"/>
  <c r="B852" i="120"/>
  <c r="E851" i="120"/>
  <c r="E850" i="120"/>
  <c r="E849" i="120"/>
  <c r="B849" i="120"/>
  <c r="E848" i="120"/>
  <c r="E847" i="120"/>
  <c r="B847" i="120"/>
  <c r="E846" i="120"/>
  <c r="B846" i="120"/>
  <c r="E845" i="120"/>
  <c r="B845" i="120"/>
  <c r="E844" i="120"/>
  <c r="B844" i="120"/>
  <c r="E843" i="120"/>
  <c r="B843" i="120"/>
  <c r="E842" i="120"/>
  <c r="B842" i="120"/>
  <c r="E841" i="120"/>
  <c r="B841" i="120"/>
  <c r="E840" i="120"/>
  <c r="E839" i="120"/>
  <c r="B839" i="120"/>
  <c r="E838" i="120"/>
  <c r="B838" i="120"/>
  <c r="E837" i="120"/>
  <c r="B837" i="120"/>
  <c r="E836" i="120"/>
  <c r="B836" i="120"/>
  <c r="E835" i="120"/>
  <c r="B835" i="120"/>
  <c r="E834" i="120"/>
  <c r="B834" i="120"/>
  <c r="M818" i="120"/>
  <c r="M816" i="120"/>
  <c r="M814" i="120"/>
  <c r="M813" i="120"/>
  <c r="M812" i="120"/>
  <c r="M809" i="120"/>
  <c r="B831" i="120"/>
  <c r="B821" i="120"/>
  <c r="B819" i="120"/>
  <c r="E813" i="120"/>
  <c r="E812" i="120"/>
  <c r="E811" i="120"/>
  <c r="B811" i="120"/>
  <c r="E810" i="120"/>
  <c r="B810" i="120"/>
  <c r="E809" i="120"/>
  <c r="B809" i="120"/>
  <c r="E808" i="120"/>
  <c r="B808" i="120"/>
  <c r="E807" i="120"/>
  <c r="B807" i="120"/>
  <c r="E806" i="120"/>
  <c r="B806" i="120"/>
  <c r="E805" i="120"/>
  <c r="B805" i="120"/>
  <c r="E804" i="120"/>
  <c r="B804" i="120"/>
  <c r="E803" i="120"/>
  <c r="B803" i="120"/>
  <c r="E802" i="120"/>
  <c r="B802" i="120"/>
  <c r="E801" i="120"/>
  <c r="B801" i="120"/>
  <c r="E800" i="120"/>
  <c r="B800" i="120"/>
  <c r="E799" i="120"/>
  <c r="B799" i="120"/>
  <c r="E798" i="120"/>
  <c r="B798" i="120"/>
  <c r="E797" i="120"/>
  <c r="B797" i="120"/>
  <c r="M785" i="120"/>
  <c r="M765" i="120"/>
  <c r="M763" i="120"/>
  <c r="M762" i="120"/>
  <c r="M755" i="120"/>
  <c r="B794" i="120"/>
  <c r="E784" i="120"/>
  <c r="B784" i="120"/>
  <c r="E783" i="120"/>
  <c r="B783" i="120"/>
  <c r="E782" i="120"/>
  <c r="B782" i="120"/>
  <c r="E781" i="120"/>
  <c r="B781" i="120"/>
  <c r="E780" i="120"/>
  <c r="B780" i="120"/>
  <c r="E779" i="120"/>
  <c r="B779" i="120"/>
  <c r="E778" i="120"/>
  <c r="B778" i="120"/>
  <c r="E777" i="120"/>
  <c r="B777" i="120"/>
  <c r="E776" i="120"/>
  <c r="B776" i="120"/>
  <c r="E775" i="120"/>
  <c r="B775" i="120"/>
  <c r="E774" i="120"/>
  <c r="B774" i="120"/>
  <c r="E773" i="120"/>
  <c r="B773" i="120"/>
  <c r="E772" i="120"/>
  <c r="B772" i="120"/>
  <c r="E771" i="120"/>
  <c r="B771" i="120"/>
  <c r="E770" i="120"/>
  <c r="B770" i="120"/>
  <c r="E769" i="120"/>
  <c r="B769" i="120"/>
  <c r="E768" i="120"/>
  <c r="B768" i="120"/>
  <c r="E767" i="120"/>
  <c r="B767" i="120"/>
  <c r="E766" i="120"/>
  <c r="B766" i="120"/>
  <c r="E765" i="120"/>
  <c r="H764" i="120"/>
  <c r="E764" i="120"/>
  <c r="B764" i="120"/>
  <c r="E763" i="120"/>
  <c r="E762" i="120"/>
  <c r="E761" i="120"/>
  <c r="B761" i="120"/>
  <c r="E760" i="120"/>
  <c r="B760" i="120"/>
  <c r="E759" i="120"/>
  <c r="B759" i="120"/>
  <c r="E756" i="120"/>
  <c r="B756" i="120"/>
  <c r="E755" i="120"/>
  <c r="B755" i="120"/>
  <c r="E754" i="120"/>
  <c r="B754" i="120"/>
  <c r="E753" i="120"/>
  <c r="B753" i="120"/>
  <c r="M722" i="120"/>
  <c r="M721" i="120"/>
  <c r="M720" i="120"/>
  <c r="M736" i="120"/>
  <c r="M731" i="120"/>
  <c r="B750" i="120"/>
  <c r="E748" i="120"/>
  <c r="B748" i="120"/>
  <c r="E747" i="120"/>
  <c r="B747" i="120"/>
  <c r="E746" i="120"/>
  <c r="B746" i="120"/>
  <c r="E745" i="120"/>
  <c r="B745" i="120"/>
  <c r="E744" i="120"/>
  <c r="B744" i="120"/>
  <c r="E743" i="120"/>
  <c r="B743" i="120"/>
  <c r="E742" i="120"/>
  <c r="B742" i="120"/>
  <c r="E741" i="120"/>
  <c r="B741" i="120"/>
  <c r="E740" i="120"/>
  <c r="B740" i="120"/>
  <c r="E739" i="120"/>
  <c r="B739" i="120"/>
  <c r="E738" i="120"/>
  <c r="B738" i="120"/>
  <c r="E737" i="120"/>
  <c r="B737" i="120"/>
  <c r="E736" i="120"/>
  <c r="E735" i="120"/>
  <c r="B735" i="120"/>
  <c r="E734" i="120"/>
  <c r="B734" i="120"/>
  <c r="E733" i="120"/>
  <c r="B733" i="120"/>
  <c r="E732" i="120"/>
  <c r="B732" i="120"/>
  <c r="E731" i="120"/>
  <c r="E730" i="120"/>
  <c r="B730" i="120"/>
  <c r="E729" i="120"/>
  <c r="B729" i="120"/>
  <c r="E728" i="120"/>
  <c r="B728" i="120"/>
  <c r="E727" i="120"/>
  <c r="B727" i="120"/>
  <c r="E726" i="120"/>
  <c r="B726" i="120"/>
  <c r="E725" i="120"/>
  <c r="B725" i="120"/>
  <c r="E724" i="120"/>
  <c r="B724" i="120"/>
  <c r="E723" i="120"/>
  <c r="B723" i="120"/>
  <c r="E722" i="120"/>
  <c r="E721" i="120"/>
  <c r="E720" i="120"/>
  <c r="M678" i="120"/>
  <c r="M674" i="120"/>
  <c r="M673" i="120"/>
  <c r="M669" i="120"/>
  <c r="M668" i="120"/>
  <c r="M660" i="120"/>
  <c r="M659" i="120"/>
  <c r="M655" i="120"/>
  <c r="M646" i="120"/>
  <c r="B717" i="120"/>
  <c r="B715" i="120"/>
  <c r="B679" i="120"/>
  <c r="E674" i="120"/>
  <c r="E673" i="120"/>
  <c r="E672" i="120"/>
  <c r="B672" i="120"/>
  <c r="E671" i="120"/>
  <c r="B671" i="120"/>
  <c r="E670" i="120"/>
  <c r="B670" i="120"/>
  <c r="E669" i="120"/>
  <c r="B669" i="120"/>
  <c r="E668" i="120"/>
  <c r="B668" i="120"/>
  <c r="E667" i="120"/>
  <c r="B667" i="120"/>
  <c r="E666" i="120"/>
  <c r="B666" i="120"/>
  <c r="E665" i="120"/>
  <c r="B665" i="120"/>
  <c r="E664" i="120"/>
  <c r="B664" i="120"/>
  <c r="E663" i="120"/>
  <c r="B663" i="120"/>
  <c r="E662" i="120"/>
  <c r="B662" i="120"/>
  <c r="E661" i="120"/>
  <c r="B661" i="120"/>
  <c r="E660" i="120"/>
  <c r="E659" i="120"/>
  <c r="E658" i="120"/>
  <c r="B658" i="120"/>
  <c r="E657" i="120"/>
  <c r="B657" i="120"/>
  <c r="E656" i="120"/>
  <c r="B656" i="120"/>
  <c r="E655" i="120"/>
  <c r="E654" i="120"/>
  <c r="B654" i="120"/>
  <c r="E653" i="120"/>
  <c r="B653" i="120"/>
  <c r="E652" i="120"/>
  <c r="B652" i="120"/>
  <c r="E651" i="120"/>
  <c r="B651" i="120"/>
  <c r="E649" i="120"/>
  <c r="B649" i="120"/>
  <c r="E648" i="120"/>
  <c r="B648" i="120"/>
  <c r="E647" i="120"/>
  <c r="B647" i="120"/>
  <c r="E646" i="120"/>
  <c r="M640" i="120"/>
  <c r="M638" i="120"/>
  <c r="M634" i="120"/>
  <c r="M633" i="120"/>
  <c r="M632" i="120"/>
  <c r="M631" i="120"/>
  <c r="B635" i="120"/>
  <c r="E633" i="120"/>
  <c r="E632" i="120"/>
  <c r="E631" i="120"/>
  <c r="B631" i="120"/>
  <c r="E629" i="120"/>
  <c r="B629" i="120"/>
  <c r="E628" i="120"/>
  <c r="B628" i="120"/>
  <c r="E627" i="120"/>
  <c r="B627" i="120"/>
  <c r="E626" i="120"/>
  <c r="B626" i="120"/>
  <c r="E625" i="120"/>
  <c r="B625" i="120"/>
  <c r="M590" i="120"/>
  <c r="M589" i="120"/>
  <c r="E598" i="120"/>
  <c r="B598" i="120"/>
  <c r="E597" i="120"/>
  <c r="B597" i="120"/>
  <c r="E596" i="120"/>
  <c r="B596" i="120"/>
  <c r="E595" i="120"/>
  <c r="B595" i="120"/>
  <c r="E594" i="120"/>
  <c r="B594" i="120"/>
  <c r="E593" i="120"/>
  <c r="B593" i="120"/>
  <c r="E592" i="120"/>
  <c r="B592" i="120"/>
  <c r="E591" i="120"/>
  <c r="B591" i="120"/>
  <c r="E590" i="120"/>
  <c r="E589" i="120"/>
  <c r="E588" i="120"/>
  <c r="B588" i="120"/>
  <c r="E587" i="120"/>
  <c r="B587" i="120"/>
  <c r="E586" i="120"/>
  <c r="B586" i="120"/>
  <c r="E585" i="120"/>
  <c r="B585" i="120"/>
  <c r="E584" i="120"/>
  <c r="B584" i="120"/>
  <c r="E583" i="120"/>
  <c r="B583" i="120"/>
  <c r="M545" i="120"/>
  <c r="M542" i="120"/>
  <c r="M541" i="120"/>
  <c r="M540" i="120"/>
  <c r="M536" i="120"/>
  <c r="M535" i="120"/>
  <c r="M534" i="120"/>
  <c r="M532" i="120"/>
  <c r="M515" i="120"/>
  <c r="M514" i="120"/>
  <c r="B568" i="120"/>
  <c r="E542" i="120"/>
  <c r="B542" i="120"/>
  <c r="E541" i="120"/>
  <c r="E540" i="120"/>
  <c r="E539" i="120"/>
  <c r="B539" i="120"/>
  <c r="E538" i="120"/>
  <c r="B538" i="120"/>
  <c r="E537" i="120"/>
  <c r="B537" i="120"/>
  <c r="E536" i="120"/>
  <c r="E535" i="120"/>
  <c r="E534" i="120"/>
  <c r="E533" i="120"/>
  <c r="B533" i="120"/>
  <c r="E532" i="120"/>
  <c r="E531" i="120"/>
  <c r="B531" i="120"/>
  <c r="E530" i="120"/>
  <c r="B530" i="120"/>
  <c r="E529" i="120"/>
  <c r="B529" i="120"/>
  <c r="E528" i="120"/>
  <c r="B528" i="120"/>
  <c r="E527" i="120"/>
  <c r="B527" i="120"/>
  <c r="E526" i="120"/>
  <c r="B526" i="120"/>
  <c r="E525" i="120"/>
  <c r="B525" i="120"/>
  <c r="E524" i="120"/>
  <c r="B524" i="120"/>
  <c r="E523" i="120"/>
  <c r="B523" i="120"/>
  <c r="E522" i="120"/>
  <c r="B522" i="120"/>
  <c r="E521" i="120"/>
  <c r="B521" i="120"/>
  <c r="E520" i="120"/>
  <c r="B520" i="120"/>
  <c r="E519" i="120"/>
  <c r="B519" i="120"/>
  <c r="E518" i="120"/>
  <c r="B518" i="120"/>
  <c r="E517" i="120"/>
  <c r="B517" i="120"/>
  <c r="E516" i="120"/>
  <c r="B516" i="120"/>
  <c r="E515" i="120"/>
  <c r="E514" i="120"/>
  <c r="B514" i="120"/>
  <c r="E513" i="120"/>
  <c r="B513" i="120"/>
  <c r="E512" i="120"/>
  <c r="B512" i="120"/>
  <c r="E511" i="120"/>
  <c r="B511" i="120"/>
  <c r="E510" i="120"/>
  <c r="B510" i="120"/>
  <c r="E509" i="120"/>
  <c r="B509" i="120"/>
  <c r="E508" i="120"/>
  <c r="B508" i="120"/>
  <c r="E507" i="120"/>
  <c r="B507" i="120"/>
  <c r="M467" i="120"/>
  <c r="M466" i="120"/>
  <c r="M463" i="120"/>
  <c r="M462" i="120"/>
  <c r="M460" i="120"/>
  <c r="M453" i="120"/>
  <c r="M451" i="120"/>
  <c r="B472" i="120"/>
  <c r="E466" i="120"/>
  <c r="E465" i="120"/>
  <c r="B465" i="120"/>
  <c r="E464" i="120"/>
  <c r="B464" i="120"/>
  <c r="E463" i="120"/>
  <c r="E462" i="120"/>
  <c r="E461" i="120"/>
  <c r="B461" i="120"/>
  <c r="E460" i="120"/>
  <c r="E459" i="120"/>
  <c r="B459" i="120"/>
  <c r="E457" i="120"/>
  <c r="B457" i="120"/>
  <c r="E456" i="120"/>
  <c r="B456" i="120"/>
  <c r="E455" i="120"/>
  <c r="B455" i="120"/>
  <c r="E454" i="120"/>
  <c r="B454" i="120"/>
  <c r="E453" i="120"/>
  <c r="B453" i="120"/>
  <c r="E452" i="120"/>
  <c r="B452" i="120"/>
  <c r="E451" i="120"/>
  <c r="B451" i="120"/>
  <c r="E450" i="120"/>
  <c r="B450" i="120"/>
  <c r="E449" i="120"/>
  <c r="B449" i="120"/>
  <c r="M441" i="120"/>
  <c r="M439" i="120"/>
  <c r="M430" i="120"/>
  <c r="E438" i="120"/>
  <c r="B438" i="120"/>
  <c r="E437" i="120"/>
  <c r="B437" i="120"/>
  <c r="E436" i="120"/>
  <c r="B436" i="120"/>
  <c r="E435" i="120"/>
  <c r="B435" i="120"/>
  <c r="E434" i="120"/>
  <c r="B434" i="120"/>
  <c r="E433" i="120"/>
  <c r="B433" i="120"/>
  <c r="E432" i="120"/>
  <c r="B432" i="120"/>
  <c r="E431" i="120"/>
  <c r="B431" i="120"/>
  <c r="E430" i="120"/>
  <c r="B430" i="120"/>
  <c r="E429" i="120"/>
  <c r="B429" i="120"/>
  <c r="E428" i="120"/>
  <c r="B428" i="120"/>
  <c r="E427" i="120"/>
  <c r="B427" i="120"/>
  <c r="E426" i="120"/>
  <c r="B426" i="120"/>
  <c r="E425" i="120"/>
  <c r="B425" i="120"/>
  <c r="E424" i="120"/>
  <c r="B424" i="120"/>
  <c r="E423" i="120"/>
  <c r="B423" i="120"/>
  <c r="E422" i="120"/>
  <c r="B422" i="120"/>
  <c r="E421" i="120"/>
  <c r="B421" i="120"/>
  <c r="E420" i="120"/>
  <c r="B420" i="120"/>
  <c r="E419" i="120"/>
  <c r="B419" i="120"/>
  <c r="E418" i="120"/>
  <c r="B418" i="120"/>
  <c r="E417" i="120"/>
  <c r="B417" i="120"/>
  <c r="E416" i="120"/>
  <c r="B416" i="120"/>
  <c r="E415" i="120"/>
  <c r="B415" i="120"/>
  <c r="E414" i="120"/>
  <c r="B414" i="120"/>
  <c r="M401" i="120"/>
  <c r="M404" i="120"/>
  <c r="M402" i="120"/>
  <c r="M400" i="120"/>
  <c r="M403" i="120"/>
  <c r="M399" i="120"/>
  <c r="M398" i="120"/>
  <c r="M397" i="120"/>
  <c r="M396" i="120"/>
  <c r="M392" i="120"/>
  <c r="M390" i="120"/>
  <c r="B407" i="120"/>
  <c r="B401" i="120"/>
  <c r="E399" i="120"/>
  <c r="E398" i="120"/>
  <c r="B398" i="120"/>
  <c r="E397" i="120"/>
  <c r="E396" i="120"/>
  <c r="E395" i="120"/>
  <c r="B395" i="120"/>
  <c r="E394" i="120"/>
  <c r="B394" i="120"/>
  <c r="E393" i="120"/>
  <c r="B393" i="120"/>
  <c r="E392" i="120"/>
  <c r="E390" i="120"/>
  <c r="E389" i="120"/>
  <c r="B389" i="120"/>
  <c r="E388" i="120"/>
  <c r="B388" i="120"/>
  <c r="E387" i="120"/>
  <c r="B387" i="120"/>
  <c r="E385" i="120"/>
  <c r="B385" i="120"/>
  <c r="E384" i="120"/>
  <c r="B384" i="120"/>
  <c r="E383" i="120"/>
  <c r="B383" i="120"/>
  <c r="E382" i="120"/>
  <c r="B382" i="120"/>
  <c r="E381" i="120"/>
  <c r="B381" i="120"/>
  <c r="E380" i="120"/>
  <c r="B380" i="120"/>
  <c r="E379" i="120"/>
  <c r="B379" i="120"/>
  <c r="E378" i="120"/>
  <c r="B378" i="120"/>
  <c r="E377" i="120"/>
  <c r="B377" i="120"/>
  <c r="E376" i="120"/>
  <c r="B376" i="120"/>
  <c r="E375" i="120"/>
  <c r="B375" i="120"/>
  <c r="E374" i="120"/>
  <c r="B374" i="120"/>
  <c r="E373" i="120"/>
  <c r="B373" i="120"/>
  <c r="E371" i="120"/>
  <c r="B371" i="120"/>
  <c r="E370" i="120"/>
  <c r="B370" i="120"/>
  <c r="E369" i="120"/>
  <c r="B369" i="120"/>
  <c r="E368" i="120"/>
  <c r="B368" i="120"/>
  <c r="E367" i="120"/>
  <c r="B367" i="120"/>
  <c r="E366" i="120"/>
  <c r="B366" i="120"/>
  <c r="E365" i="120"/>
  <c r="B365" i="120"/>
  <c r="E364" i="120"/>
  <c r="B364" i="120"/>
  <c r="E363" i="120"/>
  <c r="B363" i="120"/>
  <c r="E362" i="120"/>
  <c r="B362" i="120"/>
  <c r="E361" i="120"/>
  <c r="B361" i="120"/>
  <c r="E360" i="120"/>
  <c r="B360" i="120"/>
  <c r="E359" i="120"/>
  <c r="B359" i="120"/>
  <c r="E358" i="120"/>
  <c r="B358" i="120"/>
  <c r="E357" i="120"/>
  <c r="B357" i="120"/>
  <c r="E356" i="120"/>
  <c r="B356" i="120"/>
  <c r="E355" i="120"/>
  <c r="B355" i="120"/>
  <c r="E354" i="120"/>
  <c r="B354" i="120"/>
  <c r="E353" i="120"/>
  <c r="B353" i="120"/>
  <c r="B352" i="120"/>
  <c r="B351" i="120"/>
  <c r="E350" i="120"/>
  <c r="B350" i="120"/>
  <c r="E349" i="120"/>
  <c r="E348" i="120"/>
  <c r="E347" i="120"/>
  <c r="E346" i="120"/>
  <c r="B346" i="120"/>
  <c r="M349" i="120"/>
  <c r="M348" i="120"/>
  <c r="M347" i="120"/>
  <c r="M336" i="120"/>
  <c r="M334" i="120"/>
  <c r="E342" i="120"/>
  <c r="B342" i="120"/>
  <c r="E341" i="120"/>
  <c r="B341" i="120"/>
  <c r="E340" i="120"/>
  <c r="B340" i="120"/>
  <c r="E339" i="120"/>
  <c r="B339" i="120"/>
  <c r="E338" i="120"/>
  <c r="B338" i="120"/>
  <c r="E337" i="120"/>
  <c r="B337" i="120"/>
  <c r="E336" i="120"/>
  <c r="B336" i="120"/>
  <c r="E335" i="120"/>
  <c r="B335" i="120"/>
  <c r="E334" i="120"/>
  <c r="E333" i="120"/>
  <c r="B333" i="120"/>
  <c r="E332" i="120"/>
  <c r="B332" i="120"/>
  <c r="E331" i="120"/>
  <c r="B331" i="120"/>
  <c r="E329" i="120"/>
  <c r="B329" i="120"/>
  <c r="E328" i="120"/>
  <c r="B328" i="120"/>
  <c r="E327" i="120"/>
  <c r="B327" i="120"/>
  <c r="E325" i="120"/>
  <c r="B325" i="120"/>
  <c r="E324" i="120"/>
  <c r="B324" i="120"/>
  <c r="M321" i="120"/>
  <c r="E321" i="120"/>
  <c r="E320" i="120"/>
  <c r="B320" i="120"/>
  <c r="E319" i="120"/>
  <c r="B319" i="120"/>
  <c r="E318" i="120"/>
  <c r="B318" i="120"/>
  <c r="E317" i="120"/>
  <c r="B317" i="120"/>
  <c r="E316" i="120"/>
  <c r="B316" i="120"/>
  <c r="H311" i="120"/>
  <c r="E311" i="120"/>
  <c r="B311" i="120"/>
  <c r="E310" i="120"/>
  <c r="B310" i="120"/>
  <c r="E309" i="120"/>
  <c r="B309" i="120"/>
  <c r="E308" i="120"/>
  <c r="B308" i="120"/>
  <c r="E307" i="120"/>
  <c r="B307" i="120"/>
  <c r="E305" i="120"/>
  <c r="B305" i="120"/>
  <c r="H304" i="120"/>
  <c r="E304" i="120"/>
  <c r="B304" i="120"/>
  <c r="H303" i="120"/>
  <c r="E303" i="120"/>
  <c r="B303" i="120"/>
  <c r="H302" i="120"/>
  <c r="E302" i="120"/>
  <c r="B302" i="120"/>
  <c r="E300" i="120"/>
  <c r="B300" i="120"/>
  <c r="H297" i="120"/>
  <c r="E297" i="120"/>
  <c r="B297" i="120"/>
  <c r="E288" i="120"/>
  <c r="B288" i="120"/>
  <c r="E287" i="120"/>
  <c r="B287" i="120"/>
  <c r="E286" i="120"/>
  <c r="B286" i="120"/>
  <c r="E285" i="120"/>
  <c r="B285" i="120"/>
  <c r="E284" i="120"/>
  <c r="B284" i="120"/>
  <c r="E283" i="120"/>
  <c r="B283" i="120"/>
  <c r="E282" i="120"/>
  <c r="B282" i="120"/>
  <c r="E281" i="120"/>
  <c r="B281" i="120"/>
  <c r="E280" i="120"/>
  <c r="B280" i="120"/>
  <c r="E279" i="120"/>
  <c r="B279" i="120"/>
  <c r="E278" i="120"/>
  <c r="B278" i="120"/>
  <c r="E276" i="120"/>
  <c r="B276" i="120"/>
  <c r="E275" i="120"/>
  <c r="B275" i="120"/>
  <c r="E274" i="120"/>
  <c r="B274" i="120"/>
  <c r="E268" i="120"/>
  <c r="B268" i="120"/>
  <c r="E267" i="120"/>
  <c r="B267" i="120"/>
  <c r="E266" i="120"/>
  <c r="B266" i="120"/>
  <c r="E265" i="120"/>
  <c r="B265" i="120"/>
  <c r="E263" i="120"/>
  <c r="B263" i="120"/>
  <c r="E262" i="120"/>
  <c r="B262" i="120"/>
  <c r="E258" i="120"/>
  <c r="B258" i="120"/>
  <c r="E257" i="120"/>
  <c r="B257" i="120"/>
  <c r="E256" i="120"/>
  <c r="B256" i="120"/>
  <c r="E254" i="120"/>
  <c r="B254" i="120"/>
  <c r="E251" i="120"/>
  <c r="B251" i="120"/>
  <c r="E250" i="120"/>
  <c r="B250" i="120"/>
  <c r="E249" i="120"/>
  <c r="B249" i="120"/>
  <c r="E241" i="120"/>
  <c r="B241" i="120"/>
  <c r="E239" i="120"/>
  <c r="B239" i="120"/>
  <c r="E237" i="120"/>
  <c r="B237" i="120"/>
  <c r="E235" i="120"/>
  <c r="B235" i="120"/>
  <c r="E233" i="120"/>
  <c r="B233" i="120"/>
  <c r="E232" i="120"/>
  <c r="B232" i="120"/>
  <c r="E231" i="120"/>
  <c r="B231" i="120"/>
  <c r="E230" i="120"/>
  <c r="B230" i="120"/>
  <c r="E229" i="120"/>
  <c r="B229" i="120"/>
  <c r="E228" i="120"/>
  <c r="B228" i="120"/>
  <c r="E227" i="120"/>
  <c r="B227" i="120"/>
  <c r="E226" i="120"/>
  <c r="E225" i="120"/>
  <c r="B225" i="120"/>
  <c r="E224" i="120"/>
  <c r="B224" i="120"/>
  <c r="E221" i="120"/>
  <c r="B221" i="120"/>
  <c r="E218" i="120"/>
  <c r="B218" i="120"/>
  <c r="E217" i="120"/>
  <c r="B217" i="120"/>
  <c r="E215" i="120"/>
  <c r="B215" i="120"/>
  <c r="E212" i="120"/>
  <c r="B212" i="120"/>
  <c r="E209" i="120"/>
  <c r="B209" i="120"/>
  <c r="E208" i="120"/>
  <c r="B208" i="120"/>
  <c r="E201" i="120"/>
  <c r="B201" i="120"/>
  <c r="E200" i="120"/>
  <c r="B200" i="120"/>
  <c r="E199" i="120"/>
  <c r="B199" i="120"/>
  <c r="E198" i="120"/>
  <c r="B198" i="120"/>
  <c r="E197" i="120"/>
  <c r="B197" i="120"/>
  <c r="E195" i="120"/>
  <c r="B195" i="120"/>
  <c r="E194" i="120"/>
  <c r="B194" i="120"/>
  <c r="E193" i="120"/>
  <c r="B193" i="120"/>
  <c r="E192" i="120"/>
  <c r="B192" i="120"/>
  <c r="E191" i="120"/>
  <c r="B191" i="120"/>
  <c r="E186" i="120"/>
  <c r="B186" i="120"/>
  <c r="M172" i="120"/>
  <c r="M168" i="120"/>
  <c r="M167" i="120"/>
  <c r="E168" i="120"/>
  <c r="E167" i="120"/>
  <c r="B167" i="120"/>
  <c r="E166" i="120"/>
  <c r="B166" i="120"/>
  <c r="E165" i="120"/>
  <c r="B165" i="120"/>
  <c r="E164" i="120"/>
  <c r="B164" i="120"/>
  <c r="E163" i="120"/>
  <c r="B163" i="120"/>
  <c r="E162" i="120"/>
  <c r="B162" i="120"/>
  <c r="E160" i="120"/>
  <c r="B160" i="120"/>
  <c r="E158" i="120"/>
  <c r="B158" i="120"/>
  <c r="E157" i="120"/>
  <c r="B157" i="120"/>
  <c r="E156" i="120"/>
  <c r="B156" i="120"/>
  <c r="E155" i="120"/>
  <c r="B155" i="120"/>
  <c r="E154" i="120"/>
  <c r="B154" i="120"/>
  <c r="E153" i="120"/>
  <c r="B153" i="120"/>
  <c r="E152" i="120"/>
  <c r="B152" i="120"/>
  <c r="E150" i="120"/>
  <c r="B150" i="120"/>
  <c r="E147" i="120"/>
  <c r="B147" i="120"/>
  <c r="E145" i="120"/>
  <c r="B145" i="120"/>
  <c r="E144" i="120"/>
  <c r="B144" i="120"/>
  <c r="E137" i="120"/>
  <c r="B137" i="120"/>
  <c r="E134" i="120"/>
  <c r="B134" i="120"/>
  <c r="E129" i="120"/>
  <c r="B129" i="120"/>
  <c r="E128" i="120"/>
  <c r="B128" i="120"/>
  <c r="E127" i="120"/>
  <c r="B127" i="120"/>
  <c r="E126" i="120"/>
  <c r="B126" i="120"/>
  <c r="E125" i="120"/>
  <c r="B125" i="120"/>
  <c r="E123" i="120"/>
  <c r="B123" i="120"/>
  <c r="E122" i="120"/>
  <c r="B122" i="120"/>
  <c r="E120" i="120"/>
  <c r="B120" i="120"/>
  <c r="E118" i="120"/>
  <c r="B118" i="120"/>
  <c r="E117" i="120"/>
  <c r="B117" i="120"/>
  <c r="E116" i="120"/>
  <c r="B116" i="120"/>
  <c r="E115" i="120"/>
  <c r="B115" i="120"/>
  <c r="E114" i="120"/>
  <c r="B114" i="120"/>
  <c r="E113" i="120"/>
  <c r="B113" i="120"/>
  <c r="E112" i="120"/>
  <c r="B112" i="120"/>
  <c r="E110" i="120"/>
  <c r="B110" i="120"/>
  <c r="E107" i="120"/>
  <c r="B107" i="120"/>
  <c r="E105" i="120"/>
  <c r="B105" i="120"/>
  <c r="E104" i="120"/>
  <c r="B104" i="120"/>
  <c r="E103" i="120"/>
  <c r="B103" i="120"/>
  <c r="E102" i="120"/>
  <c r="B102" i="120"/>
  <c r="M95" i="120"/>
  <c r="M91" i="120"/>
  <c r="B92" i="120"/>
  <c r="E89" i="120"/>
  <c r="B89" i="120"/>
  <c r="E87" i="120"/>
  <c r="B87" i="120"/>
  <c r="E83" i="120"/>
  <c r="B83" i="120"/>
  <c r="E76" i="120"/>
  <c r="B76" i="120"/>
  <c r="E73" i="120"/>
  <c r="B73" i="120"/>
  <c r="E71" i="120"/>
  <c r="B71" i="120"/>
  <c r="E70" i="120"/>
  <c r="B70" i="120"/>
  <c r="E69" i="120"/>
  <c r="B69" i="120"/>
  <c r="E68" i="120"/>
  <c r="B68" i="120"/>
  <c r="E67" i="120"/>
  <c r="B67" i="120"/>
  <c r="E65" i="120"/>
  <c r="B65" i="120"/>
  <c r="H52" i="120"/>
  <c r="B52" i="120"/>
  <c r="B39" i="120"/>
  <c r="B38" i="120"/>
  <c r="B37" i="120"/>
  <c r="I265" i="120"/>
  <c r="H1" i="134"/>
  <c r="D926" i="120"/>
  <c r="I35" i="120"/>
  <c r="C32" i="120"/>
  <c r="B85" i="134" s="1"/>
  <c r="C31" i="120"/>
  <c r="B81" i="134" s="1"/>
  <c r="C30" i="120"/>
  <c r="B77" i="134" s="1"/>
  <c r="C29" i="120"/>
  <c r="B73" i="134" s="1"/>
  <c r="H28" i="120"/>
  <c r="C70" i="134" s="1"/>
  <c r="C28" i="120"/>
  <c r="B69" i="134" s="1"/>
  <c r="C27" i="120"/>
  <c r="B65" i="134" s="1"/>
  <c r="C26" i="120"/>
  <c r="B61" i="134" s="1"/>
  <c r="C25" i="120"/>
  <c r="B57" i="134" s="1"/>
  <c r="C24" i="120"/>
  <c r="B53" i="134" s="1"/>
  <c r="C23" i="120"/>
  <c r="B49" i="134" s="1"/>
  <c r="C22" i="120"/>
  <c r="B45" i="134" s="1"/>
  <c r="C21" i="120"/>
  <c r="B41" i="134" s="1"/>
  <c r="B37" i="134"/>
  <c r="C19" i="120"/>
  <c r="B33" i="134" s="1"/>
  <c r="C18" i="120"/>
  <c r="B29" i="134" s="1"/>
  <c r="C17" i="120"/>
  <c r="B25" i="134" s="1"/>
  <c r="C16" i="120"/>
  <c r="B21" i="134" s="1"/>
  <c r="C15" i="120"/>
  <c r="B17" i="134" s="1"/>
  <c r="C14" i="120"/>
  <c r="B13" i="134" s="1"/>
  <c r="C13" i="120"/>
  <c r="B9" i="134" s="1"/>
  <c r="B13" i="120"/>
  <c r="A9" i="134" s="1"/>
  <c r="D10" i="120"/>
  <c r="Z397" i="133"/>
  <c r="AA397" i="133" s="1"/>
  <c r="Z396" i="133"/>
  <c r="AA396" i="133" s="1"/>
  <c r="Z395" i="133"/>
  <c r="AA395" i="133" s="1"/>
  <c r="Z394" i="133"/>
  <c r="AA394" i="133" s="1"/>
  <c r="Z393" i="133"/>
  <c r="AA393" i="133" s="1"/>
  <c r="Z392" i="133"/>
  <c r="Z391" i="133"/>
  <c r="AA391" i="133" s="1"/>
  <c r="Z390" i="133"/>
  <c r="AA390" i="133" s="1"/>
  <c r="Z2" i="133"/>
  <c r="AA2" i="133" s="1"/>
  <c r="AA3" i="133" s="1"/>
  <c r="Z4" i="133"/>
  <c r="AA4" i="133" s="1"/>
  <c r="AA5" i="133" s="1"/>
  <c r="Z6" i="133"/>
  <c r="AA6" i="133" s="1"/>
  <c r="AA7" i="133" s="1"/>
  <c r="Z8" i="133"/>
  <c r="AA8" i="133" s="1"/>
  <c r="AA9" i="133" s="1"/>
  <c r="Z10" i="133"/>
  <c r="AA10" i="133" s="1"/>
  <c r="AA11" i="133" s="1"/>
  <c r="Z12" i="133"/>
  <c r="AA12" i="133" s="1"/>
  <c r="AA13" i="133" s="1"/>
  <c r="Z14" i="133"/>
  <c r="AA14" i="133" s="1"/>
  <c r="AA15" i="133" s="1"/>
  <c r="Z16" i="133"/>
  <c r="AA16" i="133" s="1"/>
  <c r="AA17" i="133" s="1"/>
  <c r="Z18" i="133"/>
  <c r="AA18" i="133" s="1"/>
  <c r="AA19" i="133" s="1"/>
  <c r="Z20" i="133"/>
  <c r="AA20" i="133" s="1"/>
  <c r="AA21" i="133" s="1"/>
  <c r="Z22" i="133"/>
  <c r="AA22" i="133" s="1"/>
  <c r="AA23" i="133" s="1"/>
  <c r="Z24" i="133"/>
  <c r="AA24" i="133" s="1"/>
  <c r="AA25" i="133" s="1"/>
  <c r="Z26" i="133"/>
  <c r="AA26" i="133" s="1"/>
  <c r="AA27" i="133" s="1"/>
  <c r="Z28" i="133"/>
  <c r="AA28" i="133" s="1"/>
  <c r="AA29" i="133" s="1"/>
  <c r="Z30" i="133"/>
  <c r="AA30" i="133" s="1"/>
  <c r="AA31" i="133" s="1"/>
  <c r="Z32" i="133"/>
  <c r="AA32" i="133" s="1"/>
  <c r="AA33" i="133" s="1"/>
  <c r="Z34" i="133"/>
  <c r="AA34" i="133" s="1"/>
  <c r="AA35" i="133" s="1"/>
  <c r="Z36" i="133"/>
  <c r="AA36" i="133" s="1"/>
  <c r="AA37" i="133" s="1"/>
  <c r="Z38" i="133"/>
  <c r="AA38" i="133" s="1"/>
  <c r="AA39" i="133" s="1"/>
  <c r="Z40" i="133"/>
  <c r="AA40" i="133" s="1"/>
  <c r="AA41" i="133" s="1"/>
  <c r="Z42" i="133"/>
  <c r="AA42" i="133" s="1"/>
  <c r="AA43" i="133" s="1"/>
  <c r="Z44" i="133"/>
  <c r="AA44" i="133" s="1"/>
  <c r="AA45" i="133" s="1"/>
  <c r="Z46" i="133"/>
  <c r="AA46" i="133" s="1"/>
  <c r="AA47" i="133" s="1"/>
  <c r="Z48" i="133"/>
  <c r="AA48" i="133" s="1"/>
  <c r="AA49" i="133" s="1"/>
  <c r="Z50" i="133"/>
  <c r="AA50" i="133" s="1"/>
  <c r="AA51" i="133" s="1"/>
  <c r="Z52" i="133"/>
  <c r="AA52" i="133" s="1"/>
  <c r="AA53" i="133" s="1"/>
  <c r="Z54" i="133"/>
  <c r="AA54" i="133" s="1"/>
  <c r="AA55" i="133" s="1"/>
  <c r="Z56" i="133"/>
  <c r="AA56" i="133" s="1"/>
  <c r="AA57" i="133" s="1"/>
  <c r="Z58" i="133"/>
  <c r="AA58" i="133" s="1"/>
  <c r="AA59" i="133" s="1"/>
  <c r="Z60" i="133"/>
  <c r="AA60" i="133" s="1"/>
  <c r="AA61" i="133" s="1"/>
  <c r="Z62" i="133"/>
  <c r="AA62" i="133" s="1"/>
  <c r="AA63" i="133" s="1"/>
  <c r="Z64" i="133"/>
  <c r="AA64" i="133" s="1"/>
  <c r="AA65" i="133" s="1"/>
  <c r="Z66" i="133"/>
  <c r="AA66" i="133" s="1"/>
  <c r="AA67" i="133" s="1"/>
  <c r="Z68" i="133"/>
  <c r="AA68" i="133" s="1"/>
  <c r="AA69" i="133" s="1"/>
  <c r="Z70" i="133"/>
  <c r="AA70" i="133" s="1"/>
  <c r="AA71" i="133" s="1"/>
  <c r="Z72" i="133"/>
  <c r="AA72" i="133" s="1"/>
  <c r="AA73" i="133" s="1"/>
  <c r="Z74" i="133"/>
  <c r="AA74" i="133" s="1"/>
  <c r="AA75" i="133" s="1"/>
  <c r="Z76" i="133"/>
  <c r="AA76" i="133" s="1"/>
  <c r="AA77" i="133" s="1"/>
  <c r="Z78" i="133"/>
  <c r="AA78" i="133" s="1"/>
  <c r="AA79" i="133" s="1"/>
  <c r="Z80" i="133"/>
  <c r="AA80" i="133" s="1"/>
  <c r="AA81" i="133" s="1"/>
  <c r="Z82" i="133"/>
  <c r="AA82" i="133" s="1"/>
  <c r="AA83" i="133" s="1"/>
  <c r="Z84" i="133"/>
  <c r="AA84" i="133" s="1"/>
  <c r="AA85" i="133" s="1"/>
  <c r="Z86" i="133"/>
  <c r="AA86" i="133" s="1"/>
  <c r="AA87" i="133" s="1"/>
  <c r="Z88" i="133"/>
  <c r="AA88" i="133" s="1"/>
  <c r="AA89" i="133" s="1"/>
  <c r="Z90" i="133"/>
  <c r="AA90" i="133" s="1"/>
  <c r="AA91" i="133" s="1"/>
  <c r="Z92" i="133"/>
  <c r="AA92" i="133" s="1"/>
  <c r="AA93" i="133" s="1"/>
  <c r="Z94" i="133"/>
  <c r="AA94" i="133" s="1"/>
  <c r="AA95" i="133" s="1"/>
  <c r="Z96" i="133"/>
  <c r="AA96" i="133" s="1"/>
  <c r="AA97" i="133" s="1"/>
  <c r="Z98" i="133"/>
  <c r="AA98" i="133" s="1"/>
  <c r="AA99" i="133" s="1"/>
  <c r="Z100" i="133"/>
  <c r="AA100" i="133" s="1"/>
  <c r="AA101" i="133" s="1"/>
  <c r="Z102" i="133"/>
  <c r="AA102" i="133" s="1"/>
  <c r="AA103" i="133" s="1"/>
  <c r="Z104" i="133"/>
  <c r="AA104" i="133" s="1"/>
  <c r="AA105" i="133" s="1"/>
  <c r="Z106" i="133"/>
  <c r="AA106" i="133" s="1"/>
  <c r="AA107" i="133" s="1"/>
  <c r="Z108" i="133"/>
  <c r="AA108" i="133" s="1"/>
  <c r="AA109" i="133" s="1"/>
  <c r="Z110" i="133"/>
  <c r="AA110" i="133" s="1"/>
  <c r="AA111" i="133" s="1"/>
  <c r="Z112" i="133"/>
  <c r="AA112" i="133" s="1"/>
  <c r="AA113" i="133" s="1"/>
  <c r="Z114" i="133"/>
  <c r="AA114" i="133" s="1"/>
  <c r="AA115" i="133" s="1"/>
  <c r="Z116" i="133"/>
  <c r="AA116" i="133" s="1"/>
  <c r="AA117" i="133" s="1"/>
  <c r="Z118" i="133"/>
  <c r="AA118" i="133" s="1"/>
  <c r="AA119" i="133" s="1"/>
  <c r="Z120" i="133"/>
  <c r="AA120" i="133" s="1"/>
  <c r="AA121" i="133" s="1"/>
  <c r="Z122" i="133"/>
  <c r="AA122" i="133" s="1"/>
  <c r="AA123" i="133" s="1"/>
  <c r="Z124" i="133"/>
  <c r="AA124" i="133" s="1"/>
  <c r="AA125" i="133" s="1"/>
  <c r="Z126" i="133"/>
  <c r="AA126" i="133" s="1"/>
  <c r="AA127" i="133" s="1"/>
  <c r="Z128" i="133"/>
  <c r="AA128" i="133" s="1"/>
  <c r="AA129" i="133" s="1"/>
  <c r="Z130" i="133"/>
  <c r="AA130" i="133" s="1"/>
  <c r="AA131" i="133" s="1"/>
  <c r="Z132" i="133"/>
  <c r="AA132" i="133" s="1"/>
  <c r="AA133" i="133" s="1"/>
  <c r="Z134" i="133"/>
  <c r="AA134" i="133" s="1"/>
  <c r="AA135" i="133" s="1"/>
  <c r="Z136" i="133"/>
  <c r="AA136" i="133" s="1"/>
  <c r="AA137" i="133" s="1"/>
  <c r="Z138" i="133"/>
  <c r="AA138" i="133" s="1"/>
  <c r="AA139" i="133" s="1"/>
  <c r="Z140" i="133"/>
  <c r="AA140" i="133" s="1"/>
  <c r="AA141" i="133" s="1"/>
  <c r="Z142" i="133"/>
  <c r="AA142" i="133" s="1"/>
  <c r="AA143" i="133" s="1"/>
  <c r="Z144" i="133"/>
  <c r="AA144" i="133" s="1"/>
  <c r="AA145" i="133" s="1"/>
  <c r="Z146" i="133"/>
  <c r="AA146" i="133" s="1"/>
  <c r="AA147" i="133" s="1"/>
  <c r="Z148" i="133"/>
  <c r="AA148" i="133" s="1"/>
  <c r="AA149" i="133" s="1"/>
  <c r="Z150" i="133"/>
  <c r="AA150" i="133" s="1"/>
  <c r="AA151" i="133" s="1"/>
  <c r="Z152" i="133"/>
  <c r="AA152" i="133" s="1"/>
  <c r="AA153" i="133" s="1"/>
  <c r="Z154" i="133"/>
  <c r="AA154" i="133" s="1"/>
  <c r="AA155" i="133" s="1"/>
  <c r="Z156" i="133"/>
  <c r="AA156" i="133" s="1"/>
  <c r="AA157" i="133" s="1"/>
  <c r="Z158" i="133"/>
  <c r="AA158" i="133" s="1"/>
  <c r="AA159" i="133" s="1"/>
  <c r="Z160" i="133"/>
  <c r="AA160" i="133" s="1"/>
  <c r="AA161" i="133" s="1"/>
  <c r="Z162" i="133"/>
  <c r="AA162" i="133" s="1"/>
  <c r="AA163" i="133" s="1"/>
  <c r="Z164" i="133"/>
  <c r="AA164" i="133" s="1"/>
  <c r="AA165" i="133" s="1"/>
  <c r="Z166" i="133"/>
  <c r="AA166" i="133" s="1"/>
  <c r="AA167" i="133" s="1"/>
  <c r="Z168" i="133"/>
  <c r="AA168" i="133" s="1"/>
  <c r="AA169" i="133" s="1"/>
  <c r="Z170" i="133"/>
  <c r="AA170" i="133" s="1"/>
  <c r="AA171" i="133" s="1"/>
  <c r="Z172" i="133"/>
  <c r="AA172" i="133" s="1"/>
  <c r="AA173" i="133" s="1"/>
  <c r="Z174" i="133"/>
  <c r="AA174" i="133" s="1"/>
  <c r="AA175" i="133" s="1"/>
  <c r="Z176" i="133"/>
  <c r="AA176" i="133" s="1"/>
  <c r="AA177" i="133" s="1"/>
  <c r="Z178" i="133"/>
  <c r="AA178" i="133" s="1"/>
  <c r="AA179" i="133" s="1"/>
  <c r="Z180" i="133"/>
  <c r="AA180" i="133" s="1"/>
  <c r="AA181" i="133" s="1"/>
  <c r="Z182" i="133"/>
  <c r="AA182" i="133" s="1"/>
  <c r="AA183" i="133" s="1"/>
  <c r="Z184" i="133"/>
  <c r="AA184" i="133" s="1"/>
  <c r="AA185" i="133" s="1"/>
  <c r="Z186" i="133"/>
  <c r="AA186" i="133" s="1"/>
  <c r="AA187" i="133" s="1"/>
  <c r="Z188" i="133"/>
  <c r="AA188" i="133" s="1"/>
  <c r="AA189" i="133" s="1"/>
  <c r="Z190" i="133"/>
  <c r="AA190" i="133" s="1"/>
  <c r="AA191" i="133" s="1"/>
  <c r="Z192" i="133"/>
  <c r="AA192" i="133" s="1"/>
  <c r="AA193" i="133" s="1"/>
  <c r="Z194" i="133"/>
  <c r="AA194" i="133" s="1"/>
  <c r="AA195" i="133" s="1"/>
  <c r="Z196" i="133"/>
  <c r="AA196" i="133" s="1"/>
  <c r="AA197" i="133" s="1"/>
  <c r="Z198" i="133"/>
  <c r="AA198" i="133" s="1"/>
  <c r="AA199" i="133" s="1"/>
  <c r="Z200" i="133"/>
  <c r="AA200" i="133" s="1"/>
  <c r="AA201" i="133" s="1"/>
  <c r="Z202" i="133"/>
  <c r="AA202" i="133" s="1"/>
  <c r="AA203" i="133" s="1"/>
  <c r="Z204" i="133"/>
  <c r="AA204" i="133" s="1"/>
  <c r="AA205" i="133" s="1"/>
  <c r="Z206" i="133"/>
  <c r="AA206" i="133" s="1"/>
  <c r="AA207" i="133" s="1"/>
  <c r="Z208" i="133"/>
  <c r="AA208" i="133" s="1"/>
  <c r="AA209" i="133" s="1"/>
  <c r="Z210" i="133"/>
  <c r="AA210" i="133" s="1"/>
  <c r="AA211" i="133" s="1"/>
  <c r="Z212" i="133"/>
  <c r="AA212" i="133" s="1"/>
  <c r="AA213" i="133" s="1"/>
  <c r="Z214" i="133"/>
  <c r="AA214" i="133" s="1"/>
  <c r="AA215" i="133" s="1"/>
  <c r="Z216" i="133"/>
  <c r="AA216" i="133" s="1"/>
  <c r="AA217" i="133" s="1"/>
  <c r="Z218" i="133"/>
  <c r="AA218" i="133" s="1"/>
  <c r="AA219" i="133" s="1"/>
  <c r="Z220" i="133"/>
  <c r="AA220" i="133" s="1"/>
  <c r="AA221" i="133" s="1"/>
  <c r="Z222" i="133"/>
  <c r="AA222" i="133" s="1"/>
  <c r="AA223" i="133" s="1"/>
  <c r="Z224" i="133"/>
  <c r="AA224" i="133" s="1"/>
  <c r="AA225" i="133" s="1"/>
  <c r="Z226" i="133"/>
  <c r="AA226" i="133" s="1"/>
  <c r="AA227" i="133" s="1"/>
  <c r="Z228" i="133"/>
  <c r="AA228" i="133" s="1"/>
  <c r="AA229" i="133" s="1"/>
  <c r="Z230" i="133"/>
  <c r="AA230" i="133" s="1"/>
  <c r="AA231" i="133" s="1"/>
  <c r="Z232" i="133"/>
  <c r="AA232" i="133" s="1"/>
  <c r="AA233" i="133" s="1"/>
  <c r="Z234" i="133"/>
  <c r="AA234" i="133" s="1"/>
  <c r="AA235" i="133" s="1"/>
  <c r="Z236" i="133"/>
  <c r="AA236" i="133" s="1"/>
  <c r="AA237" i="133" s="1"/>
  <c r="Z238" i="133"/>
  <c r="AA238" i="133" s="1"/>
  <c r="AA239" i="133" s="1"/>
  <c r="Z240" i="133"/>
  <c r="AA240" i="133" s="1"/>
  <c r="AA241" i="133" s="1"/>
  <c r="Z242" i="133"/>
  <c r="AA242" i="133" s="1"/>
  <c r="AA243" i="133" s="1"/>
  <c r="Z244" i="133"/>
  <c r="AA244" i="133" s="1"/>
  <c r="AA245" i="133" s="1"/>
  <c r="Z246" i="133"/>
  <c r="AA246" i="133" s="1"/>
  <c r="AA247" i="133" s="1"/>
  <c r="Z248" i="133"/>
  <c r="AA248" i="133" s="1"/>
  <c r="AA249" i="133" s="1"/>
  <c r="Z250" i="133"/>
  <c r="AA250" i="133" s="1"/>
  <c r="AA251" i="133" s="1"/>
  <c r="Z252" i="133"/>
  <c r="AA252" i="133" s="1"/>
  <c r="AA253" i="133" s="1"/>
  <c r="Z254" i="133"/>
  <c r="AA254" i="133" s="1"/>
  <c r="AA255" i="133" s="1"/>
  <c r="Z256" i="133"/>
  <c r="AA256" i="133" s="1"/>
  <c r="AA257" i="133" s="1"/>
  <c r="Z258" i="133"/>
  <c r="AA258" i="133" s="1"/>
  <c r="AA259" i="133" s="1"/>
  <c r="Z260" i="133"/>
  <c r="AA260" i="133" s="1"/>
  <c r="AA261" i="133" s="1"/>
  <c r="Z262" i="133"/>
  <c r="AA262" i="133" s="1"/>
  <c r="AA263" i="133" s="1"/>
  <c r="Z264" i="133"/>
  <c r="AA264" i="133" s="1"/>
  <c r="AA265" i="133" s="1"/>
  <c r="Z266" i="133"/>
  <c r="AA266" i="133" s="1"/>
  <c r="AA267" i="133" s="1"/>
  <c r="Z268" i="133"/>
  <c r="AA268" i="133" s="1"/>
  <c r="AA269" i="133" s="1"/>
  <c r="Z270" i="133"/>
  <c r="AA270" i="133" s="1"/>
  <c r="AA271" i="133" s="1"/>
  <c r="Z272" i="133"/>
  <c r="AA272" i="133" s="1"/>
  <c r="AA273" i="133" s="1"/>
  <c r="Z274" i="133"/>
  <c r="AA274" i="133" s="1"/>
  <c r="AA275" i="133" s="1"/>
  <c r="Z276" i="133"/>
  <c r="AA276" i="133" s="1"/>
  <c r="AA277" i="133" s="1"/>
  <c r="Z278" i="133"/>
  <c r="Z279" i="133"/>
  <c r="Z282" i="133"/>
  <c r="AA282" i="133" s="1"/>
  <c r="Z283" i="133"/>
  <c r="AA283" i="133" s="1"/>
  <c r="Z284" i="133"/>
  <c r="AA284" i="133" s="1"/>
  <c r="Z286" i="133"/>
  <c r="AA286" i="133" s="1"/>
  <c r="Z287" i="133"/>
  <c r="AA287" i="133" s="1"/>
  <c r="Z288" i="133"/>
  <c r="AA288" i="133" s="1"/>
  <c r="Z289" i="133"/>
  <c r="AA289" i="133" s="1"/>
  <c r="Z292" i="133"/>
  <c r="H912" i="12" s="1"/>
  <c r="Z293" i="133"/>
  <c r="H913" i="12" s="1"/>
  <c r="H913" i="120" s="1"/>
  <c r="Z296" i="133"/>
  <c r="AA296" i="133" s="1"/>
  <c r="AA297" i="133" s="1"/>
  <c r="Z308" i="133"/>
  <c r="AA308" i="133" s="1"/>
  <c r="AA309" i="133" s="1"/>
  <c r="Z310" i="133"/>
  <c r="AA310" i="133" s="1"/>
  <c r="AA311" i="133" s="1"/>
  <c r="Z313" i="133"/>
  <c r="AA313" i="133" s="1"/>
  <c r="AA314" i="133" s="1"/>
  <c r="Z315" i="133"/>
  <c r="H900" i="12" s="1"/>
  <c r="H900" i="120" s="1"/>
  <c r="Z316" i="133"/>
  <c r="AA316" i="133" s="1"/>
  <c r="AA317" i="133" s="1"/>
  <c r="Z318" i="133"/>
  <c r="AA318" i="133" s="1"/>
  <c r="AA319" i="133" s="1"/>
  <c r="Z320" i="133"/>
  <c r="AA320" i="133" s="1"/>
  <c r="AA321" i="133" s="1"/>
  <c r="Z322" i="133"/>
  <c r="AA322" i="133" s="1"/>
  <c r="AA323" i="133" s="1"/>
  <c r="Z324" i="133"/>
  <c r="AA324" i="133" s="1"/>
  <c r="AA325" i="133" s="1"/>
  <c r="Z326" i="133"/>
  <c r="AA326" i="133" s="1"/>
  <c r="AA327" i="133" s="1"/>
  <c r="Z328" i="133"/>
  <c r="AA328" i="133" s="1"/>
  <c r="AA329" i="133" s="1"/>
  <c r="Z330" i="133"/>
  <c r="AA330" i="133" s="1"/>
  <c r="AA331" i="133" s="1"/>
  <c r="Z332" i="133"/>
  <c r="AA332" i="133" s="1"/>
  <c r="AA333" i="133" s="1"/>
  <c r="Z334" i="133"/>
  <c r="AA334" i="133" s="1"/>
  <c r="AA335" i="133" s="1"/>
  <c r="Z336" i="133"/>
  <c r="AA336" i="133" s="1"/>
  <c r="AA337" i="133" s="1"/>
  <c r="Z338" i="133"/>
  <c r="AA338" i="133" s="1"/>
  <c r="AA339" i="133" s="1"/>
  <c r="Z340" i="133"/>
  <c r="AA340" i="133" s="1"/>
  <c r="AA341" i="133" s="1"/>
  <c r="Z342" i="133"/>
  <c r="AA342" i="133" s="1"/>
  <c r="AA343" i="133" s="1"/>
  <c r="Z344" i="133"/>
  <c r="AA344" i="133" s="1"/>
  <c r="AA345" i="133" s="1"/>
  <c r="Z346" i="133"/>
  <c r="AA346" i="133" s="1"/>
  <c r="AA347" i="133" s="1"/>
  <c r="Z349" i="133"/>
  <c r="AA349" i="133" s="1"/>
  <c r="AA350" i="133" s="1"/>
  <c r="Z351" i="133"/>
  <c r="AA351" i="133" s="1"/>
  <c r="AA352" i="133" s="1"/>
  <c r="Z353" i="133"/>
  <c r="AA353" i="133" s="1"/>
  <c r="AA354" i="133" s="1"/>
  <c r="Z356" i="133"/>
  <c r="AA356" i="133" s="1"/>
  <c r="AA357" i="133" s="1"/>
  <c r="Z358" i="133"/>
  <c r="AA358" i="133" s="1"/>
  <c r="AA359" i="133" s="1"/>
  <c r="Z360" i="133"/>
  <c r="AA360" i="133" s="1"/>
  <c r="AA361" i="133" s="1"/>
  <c r="Z363" i="133"/>
  <c r="AA363" i="133" s="1"/>
  <c r="AA364" i="133" s="1"/>
  <c r="Z365" i="133"/>
  <c r="AA365" i="133" s="1"/>
  <c r="AA366" i="133" s="1"/>
  <c r="Z367" i="133"/>
  <c r="AA367" i="133" s="1"/>
  <c r="AA368" i="133" s="1"/>
  <c r="Z369" i="133"/>
  <c r="AA369" i="133" s="1"/>
  <c r="AA370" i="133" s="1"/>
  <c r="Z371" i="133"/>
  <c r="AA371" i="133" s="1"/>
  <c r="AA372" i="133" s="1"/>
  <c r="Z373" i="133"/>
  <c r="AA373" i="133" s="1"/>
  <c r="AA374" i="133" s="1"/>
  <c r="Z375" i="133"/>
  <c r="AA375" i="133" s="1"/>
  <c r="AA376" i="133" s="1"/>
  <c r="Z377" i="133"/>
  <c r="AA377" i="133" s="1"/>
  <c r="AA378" i="133" s="1"/>
  <c r="Z379" i="133"/>
  <c r="AA379" i="133" s="1"/>
  <c r="AA380" i="133" s="1"/>
  <c r="Z381" i="133"/>
  <c r="AA381" i="133" s="1"/>
  <c r="AA382" i="133" s="1"/>
  <c r="Z384" i="133"/>
  <c r="AA384" i="133" s="1"/>
  <c r="AA385" i="133" s="1"/>
  <c r="Z387" i="133"/>
  <c r="AA387" i="133" s="1"/>
  <c r="AA388" i="133" s="1"/>
  <c r="Z398" i="133"/>
  <c r="AA398" i="133" s="1"/>
  <c r="Z399" i="133"/>
  <c r="AA399" i="133" s="1"/>
  <c r="Z400" i="133"/>
  <c r="AA400" i="133" s="1"/>
  <c r="Z386" i="133"/>
  <c r="AA386" i="133" s="1"/>
  <c r="Z301" i="133"/>
  <c r="AA302" i="133"/>
  <c r="AA303" i="133" s="1"/>
  <c r="Z298" i="133"/>
  <c r="Z295" i="133"/>
  <c r="AA295" i="133" s="1"/>
  <c r="Z304" i="133"/>
  <c r="AA304" i="133" s="1"/>
  <c r="AA299" i="133"/>
  <c r="AA300" i="133" s="1"/>
  <c r="AB23" i="75"/>
  <c r="H734" i="12" s="1"/>
  <c r="H734" i="120" s="1"/>
  <c r="J39" i="49"/>
  <c r="A89" i="78"/>
  <c r="C89" i="78" s="1"/>
  <c r="A88" i="78"/>
  <c r="B88" i="78" s="1"/>
  <c r="A87" i="78"/>
  <c r="C87" i="78" s="1"/>
  <c r="A86" i="78"/>
  <c r="D86" i="78" s="1"/>
  <c r="A85" i="78"/>
  <c r="E85" i="78" s="1"/>
  <c r="A84" i="78"/>
  <c r="D84" i="78" s="1"/>
  <c r="A83" i="78"/>
  <c r="D83" i="78" s="1"/>
  <c r="A82" i="78"/>
  <c r="G82" i="78" s="1"/>
  <c r="A81" i="78"/>
  <c r="B81" i="78" s="1"/>
  <c r="A80" i="78"/>
  <c r="A79" i="78"/>
  <c r="G79" i="78" s="1"/>
  <c r="A78" i="78"/>
  <c r="G78" i="78" s="1"/>
  <c r="A77" i="78"/>
  <c r="D77" i="78" s="1"/>
  <c r="A76" i="78"/>
  <c r="E76" i="78" s="1"/>
  <c r="A75" i="78"/>
  <c r="E75" i="78" s="1"/>
  <c r="A74" i="78"/>
  <c r="D74" i="78" s="1"/>
  <c r="A73" i="78"/>
  <c r="G73" i="78" s="1"/>
  <c r="A72" i="78"/>
  <c r="C72" i="78" s="1"/>
  <c r="A71" i="78"/>
  <c r="G71" i="78" s="1"/>
  <c r="A70" i="78"/>
  <c r="C70" i="78" s="1"/>
  <c r="A69" i="78"/>
  <c r="C69" i="78" s="1"/>
  <c r="A68" i="78"/>
  <c r="F68" i="78" s="1"/>
  <c r="A67" i="78"/>
  <c r="G67" i="78" s="1"/>
  <c r="A66" i="78"/>
  <c r="E66" i="78" s="1"/>
  <c r="A65" i="78"/>
  <c r="G65" i="78" s="1"/>
  <c r="A64" i="78"/>
  <c r="B64" i="78" s="1"/>
  <c r="A63" i="78"/>
  <c r="C63" i="78" s="1"/>
  <c r="A62" i="78"/>
  <c r="G62" i="78" s="1"/>
  <c r="A61" i="78"/>
  <c r="F61" i="78" s="1"/>
  <c r="A60" i="78"/>
  <c r="E60" i="78" s="1"/>
  <c r="A59" i="78"/>
  <c r="D59" i="78" s="1"/>
  <c r="A58" i="78"/>
  <c r="G58" i="78" s="1"/>
  <c r="A57" i="78"/>
  <c r="C57" i="78" s="1"/>
  <c r="A56" i="78"/>
  <c r="F56" i="78" s="1"/>
  <c r="A55" i="78"/>
  <c r="E55" i="78" s="1"/>
  <c r="A54" i="78"/>
  <c r="D54" i="78" s="1"/>
  <c r="A53" i="78"/>
  <c r="F53" i="78" s="1"/>
  <c r="A52" i="78"/>
  <c r="F52" i="78" s="1"/>
  <c r="A51" i="78"/>
  <c r="E51" i="78" s="1"/>
  <c r="A50" i="78"/>
  <c r="C50" i="78" s="1"/>
  <c r="A49" i="78"/>
  <c r="E49" i="78" s="1"/>
  <c r="A48" i="78"/>
  <c r="D48" i="78" s="1"/>
  <c r="A47" i="78"/>
  <c r="E47" i="78" s="1"/>
  <c r="A46" i="78"/>
  <c r="C46" i="78" s="1"/>
  <c r="A45" i="78"/>
  <c r="F45" i="78" s="1"/>
  <c r="A44" i="78"/>
  <c r="D44" i="78" s="1"/>
  <c r="A43" i="78"/>
  <c r="E43" i="78" s="1"/>
  <c r="A42" i="78"/>
  <c r="C42" i="78" s="1"/>
  <c r="A41" i="78"/>
  <c r="F41" i="78" s="1"/>
  <c r="A40" i="78"/>
  <c r="F40" i="78" s="1"/>
  <c r="A39" i="78"/>
  <c r="F39" i="78" s="1"/>
  <c r="A38" i="78"/>
  <c r="G38" i="78" s="1"/>
  <c r="A37" i="78"/>
  <c r="E37" i="78" s="1"/>
  <c r="A36" i="78"/>
  <c r="G36" i="78" s="1"/>
  <c r="A35" i="78"/>
  <c r="B35" i="78" s="1"/>
  <c r="A34" i="78"/>
  <c r="F34" i="78" s="1"/>
  <c r="A33" i="78"/>
  <c r="E33" i="78" s="1"/>
  <c r="A32" i="78"/>
  <c r="C32" i="78" s="1"/>
  <c r="A31" i="78"/>
  <c r="F31" i="78" s="1"/>
  <c r="A30" i="78"/>
  <c r="D30" i="78" s="1"/>
  <c r="A29" i="78"/>
  <c r="B29" i="78" s="1"/>
  <c r="A28" i="78"/>
  <c r="F28" i="78" s="1"/>
  <c r="A27" i="78"/>
  <c r="C27" i="78" s="1"/>
  <c r="A26" i="78"/>
  <c r="D26" i="78" s="1"/>
  <c r="A25" i="78"/>
  <c r="F25" i="78" s="1"/>
  <c r="A24" i="78"/>
  <c r="C24" i="78" s="1"/>
  <c r="A23" i="78"/>
  <c r="E23" i="78" s="1"/>
  <c r="A22" i="78"/>
  <c r="F22" i="78" s="1"/>
  <c r="A21" i="78"/>
  <c r="B21" i="78" s="1"/>
  <c r="A20" i="78"/>
  <c r="G20" i="78" s="1"/>
  <c r="A19" i="78"/>
  <c r="G19" i="78" s="1"/>
  <c r="A18" i="78"/>
  <c r="F18" i="78" s="1"/>
  <c r="A17" i="78"/>
  <c r="B17" i="78" s="1"/>
  <c r="A16" i="78"/>
  <c r="F16" i="78" s="1"/>
  <c r="A15" i="78"/>
  <c r="B15" i="78" s="1"/>
  <c r="E35" i="39"/>
  <c r="E36" i="39" s="1"/>
  <c r="AA34" i="39"/>
  <c r="X34" i="39"/>
  <c r="Y34" i="39" s="1"/>
  <c r="M33" i="39"/>
  <c r="L33" i="39"/>
  <c r="K33" i="39"/>
  <c r="J33" i="39"/>
  <c r="I33" i="39"/>
  <c r="H33" i="39"/>
  <c r="G33" i="39"/>
  <c r="F33" i="39"/>
  <c r="E27" i="39"/>
  <c r="E28" i="39" s="1"/>
  <c r="AA26" i="39"/>
  <c r="X26" i="39"/>
  <c r="Y26" i="39" s="1"/>
  <c r="M25" i="39"/>
  <c r="L25" i="39"/>
  <c r="K25" i="39"/>
  <c r="J25" i="39"/>
  <c r="I25" i="39"/>
  <c r="H25" i="39"/>
  <c r="G25" i="39"/>
  <c r="F25" i="39"/>
  <c r="E89" i="78"/>
  <c r="G53" i="78"/>
  <c r="B71" i="78"/>
  <c r="N761" i="120"/>
  <c r="N760" i="120"/>
  <c r="C17" i="12"/>
  <c r="E405" i="120"/>
  <c r="E401" i="12"/>
  <c r="G106" i="132"/>
  <c r="J106" i="132" s="1"/>
  <c r="G88" i="132"/>
  <c r="K88" i="132" s="1"/>
  <c r="C19" i="12"/>
  <c r="A15" i="121"/>
  <c r="A14" i="121"/>
  <c r="A13" i="121"/>
  <c r="A12" i="121"/>
  <c r="A11" i="121"/>
  <c r="G102" i="132"/>
  <c r="J102" i="132" s="1"/>
  <c r="H398" i="12" s="1"/>
  <c r="H398" i="120" s="1"/>
  <c r="G99" i="132"/>
  <c r="J99" i="132" s="1"/>
  <c r="K99" i="132" s="1"/>
  <c r="G96" i="132"/>
  <c r="J96" i="132" s="1"/>
  <c r="H396" i="12" s="1"/>
  <c r="H396" i="120" s="1"/>
  <c r="G11" i="132"/>
  <c r="J11" i="132" s="1"/>
  <c r="K11" i="132" s="1"/>
  <c r="F13" i="62"/>
  <c r="F12" i="62"/>
  <c r="I12" i="62" s="1"/>
  <c r="AB30" i="75"/>
  <c r="AC30" i="75" s="1"/>
  <c r="AB21" i="75"/>
  <c r="H732" i="12" s="1"/>
  <c r="H732" i="120" s="1"/>
  <c r="G54" i="83"/>
  <c r="K101" i="132"/>
  <c r="K98" i="132"/>
  <c r="K95" i="132"/>
  <c r="K92" i="132"/>
  <c r="J100" i="132"/>
  <c r="K100" i="132" s="1"/>
  <c r="J93" i="132"/>
  <c r="K93" i="132" s="1"/>
  <c r="J91" i="132"/>
  <c r="H395" i="12" s="1"/>
  <c r="H395" i="120" s="1"/>
  <c r="J90" i="132"/>
  <c r="H394" i="12" s="1"/>
  <c r="H394" i="120" s="1"/>
  <c r="J66" i="132"/>
  <c r="H355" i="12" s="1"/>
  <c r="H355" i="120" s="1"/>
  <c r="J68" i="132"/>
  <c r="H357" i="12" s="1"/>
  <c r="H357" i="120" s="1"/>
  <c r="J67" i="132"/>
  <c r="H356" i="12" s="1"/>
  <c r="H356" i="120" s="1"/>
  <c r="J65" i="132"/>
  <c r="H354" i="12" s="1"/>
  <c r="H354" i="120" s="1"/>
  <c r="H336" i="12"/>
  <c r="H336" i="120" s="1"/>
  <c r="J30" i="132"/>
  <c r="H334" i="12" s="1"/>
  <c r="H334" i="120" s="1"/>
  <c r="K32" i="132"/>
  <c r="K10" i="132"/>
  <c r="K9" i="132"/>
  <c r="K8" i="132"/>
  <c r="J94" i="132"/>
  <c r="K94" i="132" s="1"/>
  <c r="J103" i="132"/>
  <c r="H399" i="12" s="1"/>
  <c r="H399" i="120" s="1"/>
  <c r="J97" i="132"/>
  <c r="H397" i="12" s="1"/>
  <c r="H397" i="120" s="1"/>
  <c r="J89" i="132"/>
  <c r="H393" i="12" s="1"/>
  <c r="H393" i="120" s="1"/>
  <c r="J88" i="132"/>
  <c r="H392" i="12" s="1"/>
  <c r="H392" i="120" s="1"/>
  <c r="H389" i="12"/>
  <c r="H389" i="120" s="1"/>
  <c r="J84" i="132"/>
  <c r="K84" i="132" s="1"/>
  <c r="J83" i="132"/>
  <c r="H387" i="12" s="1"/>
  <c r="H387" i="120" s="1"/>
  <c r="J82" i="132"/>
  <c r="H385" i="12" s="1"/>
  <c r="H385" i="120" s="1"/>
  <c r="J81" i="132"/>
  <c r="H384" i="12" s="1"/>
  <c r="H384" i="120" s="1"/>
  <c r="J80" i="132"/>
  <c r="H383" i="12" s="1"/>
  <c r="H383" i="120" s="1"/>
  <c r="J79" i="132"/>
  <c r="H382" i="12" s="1"/>
  <c r="H382" i="120" s="1"/>
  <c r="J78" i="132"/>
  <c r="H381" i="12" s="1"/>
  <c r="H381" i="120" s="1"/>
  <c r="J77" i="132"/>
  <c r="H380" i="12" s="1"/>
  <c r="H380" i="120" s="1"/>
  <c r="J76" i="132"/>
  <c r="H379" i="12" s="1"/>
  <c r="H379" i="120" s="1"/>
  <c r="J75" i="132"/>
  <c r="H378" i="12" s="1"/>
  <c r="H378" i="120" s="1"/>
  <c r="J74" i="132"/>
  <c r="H377" i="12" s="1"/>
  <c r="H377" i="120" s="1"/>
  <c r="J73" i="132"/>
  <c r="H376" i="12" s="1"/>
  <c r="H376" i="120" s="1"/>
  <c r="J72" i="132"/>
  <c r="H375" i="12" s="1"/>
  <c r="H375" i="120" s="1"/>
  <c r="J71" i="132"/>
  <c r="H374" i="12" s="1"/>
  <c r="H374" i="120" s="1"/>
  <c r="J70" i="132"/>
  <c r="H373" i="12" s="1"/>
  <c r="H373" i="120" s="1"/>
  <c r="J69" i="132"/>
  <c r="H372" i="12" s="1"/>
  <c r="H372" i="120" s="1"/>
  <c r="J64" i="132"/>
  <c r="H371" i="12" s="1"/>
  <c r="H371" i="120" s="1"/>
  <c r="J63" i="132"/>
  <c r="H370" i="12" s="1"/>
  <c r="H370" i="120" s="1"/>
  <c r="J62" i="132"/>
  <c r="H369" i="12" s="1"/>
  <c r="H369" i="120" s="1"/>
  <c r="J61" i="132"/>
  <c r="H368" i="12" s="1"/>
  <c r="H368" i="120" s="1"/>
  <c r="J60" i="132"/>
  <c r="H367" i="12" s="1"/>
  <c r="H367" i="120" s="1"/>
  <c r="J59" i="132"/>
  <c r="H366" i="12" s="1"/>
  <c r="H366" i="120" s="1"/>
  <c r="J58" i="132"/>
  <c r="H365" i="12" s="1"/>
  <c r="H365" i="120" s="1"/>
  <c r="J57" i="132"/>
  <c r="H364" i="12" s="1"/>
  <c r="H364" i="120" s="1"/>
  <c r="J56" i="132"/>
  <c r="H363" i="12" s="1"/>
  <c r="H363" i="120" s="1"/>
  <c r="J55" i="132"/>
  <c r="H362" i="12" s="1"/>
  <c r="H362" i="120" s="1"/>
  <c r="J54" i="132"/>
  <c r="H361" i="12" s="1"/>
  <c r="H361" i="120" s="1"/>
  <c r="J53" i="132"/>
  <c r="H360" i="12" s="1"/>
  <c r="H360" i="120" s="1"/>
  <c r="J52" i="132"/>
  <c r="H359" i="12" s="1"/>
  <c r="H359" i="120" s="1"/>
  <c r="J51" i="132"/>
  <c r="H358" i="12" s="1"/>
  <c r="H358" i="120" s="1"/>
  <c r="J50" i="132"/>
  <c r="H353" i="12" s="1"/>
  <c r="H353" i="120" s="1"/>
  <c r="J49" i="132"/>
  <c r="H350" i="12" s="1"/>
  <c r="J48" i="132"/>
  <c r="H349" i="12" s="1"/>
  <c r="H349" i="120" s="1"/>
  <c r="J47" i="132"/>
  <c r="H348" i="12" s="1"/>
  <c r="H348" i="120" s="1"/>
  <c r="J46" i="132"/>
  <c r="K46" i="132" s="1"/>
  <c r="J45" i="132"/>
  <c r="J42" i="132"/>
  <c r="H342" i="12" s="1"/>
  <c r="H342" i="120" s="1"/>
  <c r="J41" i="132"/>
  <c r="H341" i="12" s="1"/>
  <c r="H341" i="120" s="1"/>
  <c r="J40" i="132"/>
  <c r="H340" i="12" s="1"/>
  <c r="H340" i="120" s="1"/>
  <c r="J39" i="132"/>
  <c r="H339" i="12" s="1"/>
  <c r="H339" i="120" s="1"/>
  <c r="J29" i="132"/>
  <c r="H333" i="12" s="1"/>
  <c r="H333" i="120" s="1"/>
  <c r="J28" i="132"/>
  <c r="H332" i="12" s="1"/>
  <c r="H332" i="120" s="1"/>
  <c r="J27" i="132"/>
  <c r="H331" i="12" s="1"/>
  <c r="H331" i="120" s="1"/>
  <c r="J26" i="132"/>
  <c r="K26" i="132" s="1"/>
  <c r="J25" i="132"/>
  <c r="H329" i="12" s="1"/>
  <c r="H329" i="120" s="1"/>
  <c r="J23" i="132"/>
  <c r="H328" i="12" s="1"/>
  <c r="H328" i="120" s="1"/>
  <c r="J21" i="132"/>
  <c r="H327" i="12" s="1"/>
  <c r="H327" i="120" s="1"/>
  <c r="J18" i="132"/>
  <c r="H324" i="12" s="1"/>
  <c r="O324" i="12" s="1"/>
  <c r="J16" i="132"/>
  <c r="H320" i="12" s="1"/>
  <c r="H320" i="120" s="1"/>
  <c r="J14" i="132"/>
  <c r="H318" i="12" s="1"/>
  <c r="H318" i="120" s="1"/>
  <c r="J12" i="132"/>
  <c r="H317" i="12" s="1"/>
  <c r="H317" i="120" s="1"/>
  <c r="J6" i="132"/>
  <c r="G13" i="132"/>
  <c r="G109" i="132" s="1"/>
  <c r="J109" i="132" s="1"/>
  <c r="B390" i="12"/>
  <c r="K53" i="132"/>
  <c r="K69" i="132"/>
  <c r="K81" i="132"/>
  <c r="K71" i="132"/>
  <c r="K89" i="132"/>
  <c r="K61" i="132"/>
  <c r="K62" i="132"/>
  <c r="K78" i="132"/>
  <c r="K42" i="132"/>
  <c r="K45" i="132"/>
  <c r="K40" i="132"/>
  <c r="K29" i="132"/>
  <c r="J5" i="132"/>
  <c r="J7" i="132"/>
  <c r="H321" i="12" s="1"/>
  <c r="H321" i="120" s="1"/>
  <c r="H390" i="120"/>
  <c r="B349" i="12"/>
  <c r="B348" i="12"/>
  <c r="B347" i="12"/>
  <c r="B403" i="12"/>
  <c r="B399" i="12"/>
  <c r="B397" i="12"/>
  <c r="B396" i="12"/>
  <c r="B392" i="12"/>
  <c r="J15" i="132"/>
  <c r="H319" i="12" s="1"/>
  <c r="H319" i="120" s="1"/>
  <c r="B334" i="12"/>
  <c r="E411" i="12"/>
  <c r="N16" i="55"/>
  <c r="H47" i="12" s="1"/>
  <c r="H47" i="120" s="1"/>
  <c r="B863" i="12"/>
  <c r="B862" i="12"/>
  <c r="B813" i="12"/>
  <c r="B812" i="12"/>
  <c r="B674" i="12"/>
  <c r="B673" i="12"/>
  <c r="B633" i="12"/>
  <c r="B541" i="12"/>
  <c r="B540" i="12"/>
  <c r="B466" i="12"/>
  <c r="I10" i="62"/>
  <c r="J10" i="62" s="1"/>
  <c r="I11" i="62"/>
  <c r="J11" i="62" s="1"/>
  <c r="I13" i="62"/>
  <c r="J13" i="62" s="1"/>
  <c r="I9" i="62"/>
  <c r="J9" i="62" s="1"/>
  <c r="F27" i="62"/>
  <c r="J27" i="62" s="1"/>
  <c r="BL191" i="58"/>
  <c r="BK191" i="58"/>
  <c r="BJ191" i="58"/>
  <c r="BM30" i="58" a="1"/>
  <c r="BM30" i="58" s="1"/>
  <c r="U39" i="49"/>
  <c r="T39" i="49"/>
  <c r="S39" i="49"/>
  <c r="R39" i="49"/>
  <c r="BC1" i="58"/>
  <c r="BD1" i="58"/>
  <c r="BE1" i="58"/>
  <c r="BF1" i="58"/>
  <c r="BG1" i="58"/>
  <c r="BH1" i="58"/>
  <c r="BI1" i="58"/>
  <c r="AY3" i="58"/>
  <c r="BA3" i="58"/>
  <c r="BB3" i="58"/>
  <c r="BC3" i="58"/>
  <c r="BD3" i="58"/>
  <c r="BE3" i="58"/>
  <c r="BF3" i="58"/>
  <c r="BG3" i="58"/>
  <c r="BH3" i="58"/>
  <c r="BI3" i="58"/>
  <c r="BA4" i="58"/>
  <c r="BC4" i="58"/>
  <c r="BD4" i="58"/>
  <c r="BE4" i="58"/>
  <c r="BF4" i="58"/>
  <c r="BG4" i="58"/>
  <c r="BH4" i="58"/>
  <c r="BI4" i="58"/>
  <c r="BD5" i="58"/>
  <c r="BE5" i="58"/>
  <c r="BF5" i="58"/>
  <c r="BG5" i="58"/>
  <c r="BH5" i="58"/>
  <c r="BI5" i="58"/>
  <c r="AY6" i="58"/>
  <c r="AY160" i="58" s="1"/>
  <c r="BA6" i="58"/>
  <c r="BA160" i="58" s="1"/>
  <c r="BA161" i="58" s="1"/>
  <c r="BB6" i="58"/>
  <c r="BB160" i="58" s="1"/>
  <c r="BC6" i="58"/>
  <c r="BC160" i="58" s="1"/>
  <c r="BC162" i="58" s="1"/>
  <c r="BD6" i="58"/>
  <c r="BD160" i="58" s="1"/>
  <c r="BE6" i="58"/>
  <c r="BE160" i="58" s="1"/>
  <c r="BE161" i="58" s="1"/>
  <c r="BF6" i="58"/>
  <c r="BF160" i="58" s="1"/>
  <c r="BG6" i="58"/>
  <c r="BG160" i="58" s="1"/>
  <c r="BH6" i="58"/>
  <c r="BI6" i="58"/>
  <c r="BI160" i="58" s="1"/>
  <c r="AY7" i="58"/>
  <c r="BA7" i="58"/>
  <c r="BB7" i="58"/>
  <c r="BC7" i="58"/>
  <c r="BD7" i="58"/>
  <c r="BE7" i="58"/>
  <c r="BF7" i="58"/>
  <c r="BG7" i="58"/>
  <c r="BH7" i="58"/>
  <c r="BI7" i="58"/>
  <c r="AY14" i="58"/>
  <c r="AY38" i="58" s="1"/>
  <c r="AY41" i="58" s="1"/>
  <c r="BA14" i="58"/>
  <c r="BA38" i="58" s="1"/>
  <c r="BA41" i="58" s="1"/>
  <c r="BB14" i="58"/>
  <c r="BB38" i="58" s="1"/>
  <c r="BB41" i="58" s="1"/>
  <c r="BC14" i="58"/>
  <c r="BC38" i="58" s="1"/>
  <c r="BC41" i="58" s="1"/>
  <c r="BD14" i="58"/>
  <c r="BD38" i="58" s="1"/>
  <c r="BD41" i="58" s="1"/>
  <c r="BE14" i="58"/>
  <c r="BE38" i="58" s="1"/>
  <c r="BE41" i="58" s="1"/>
  <c r="BF14" i="58"/>
  <c r="BF38" i="58" s="1"/>
  <c r="BF41" i="58" s="1"/>
  <c r="BG14" i="58"/>
  <c r="BG38" i="58" s="1"/>
  <c r="BG41" i="58" s="1"/>
  <c r="BG198" i="58" s="1"/>
  <c r="BG202" i="58" s="1"/>
  <c r="BH14" i="58"/>
  <c r="BH38" i="58" s="1"/>
  <c r="BH41" i="58" s="1"/>
  <c r="BI14" i="58"/>
  <c r="BI38" i="58" s="1"/>
  <c r="BI41" i="58" s="1"/>
  <c r="AY15" i="58"/>
  <c r="BA15" i="58"/>
  <c r="BB15" i="58"/>
  <c r="BC15" i="58"/>
  <c r="BD15" i="58"/>
  <c r="BE15" i="58"/>
  <c r="BF15" i="58"/>
  <c r="BG15" i="58"/>
  <c r="BH15" i="58"/>
  <c r="BI15" i="58"/>
  <c r="AY16" i="58"/>
  <c r="AY37" i="58" s="1"/>
  <c r="BA16" i="58"/>
  <c r="BA37" i="58" s="1"/>
  <c r="BB16" i="58"/>
  <c r="BB37" i="58" s="1"/>
  <c r="BC16" i="58"/>
  <c r="BC37" i="58" s="1"/>
  <c r="BD16" i="58"/>
  <c r="BD37" i="58" s="1"/>
  <c r="BE16" i="58"/>
  <c r="BE37" i="58" s="1"/>
  <c r="BF16" i="58"/>
  <c r="BF37" i="58" s="1"/>
  <c r="BG16" i="58"/>
  <c r="BG37" i="58" s="1"/>
  <c r="BH16" i="58"/>
  <c r="BH37" i="58" s="1"/>
  <c r="BI16" i="58"/>
  <c r="BI37" i="58" s="1"/>
  <c r="AY19" i="58"/>
  <c r="BA19" i="58"/>
  <c r="BB19" i="58"/>
  <c r="BC19" i="58"/>
  <c r="BD19" i="58"/>
  <c r="BE19" i="58"/>
  <c r="BF19" i="58"/>
  <c r="BG19" i="58"/>
  <c r="BH19" i="58"/>
  <c r="BI19" i="58"/>
  <c r="AY28" i="58"/>
  <c r="BA28" i="58"/>
  <c r="BB28" i="58"/>
  <c r="BB88" i="58" s="1"/>
  <c r="BB87" i="58" s="1"/>
  <c r="BC28" i="58"/>
  <c r="BC88" i="58" s="1"/>
  <c r="BC87" i="58" s="1"/>
  <c r="BD28" i="58"/>
  <c r="BE28" i="58"/>
  <c r="BF28" i="58"/>
  <c r="BG28" i="58"/>
  <c r="BH28" i="58"/>
  <c r="BH88" i="58" s="1"/>
  <c r="BH87" i="58" s="1"/>
  <c r="BI28" i="58"/>
  <c r="BI88" i="58" s="1"/>
  <c r="BI87" i="58" s="1"/>
  <c r="AY36" i="58"/>
  <c r="BA36" i="58"/>
  <c r="BB36" i="58"/>
  <c r="BC36" i="58"/>
  <c r="BD36" i="58"/>
  <c r="BE36" i="58"/>
  <c r="BF36" i="58"/>
  <c r="BG36" i="58"/>
  <c r="BH36" i="58"/>
  <c r="BI36" i="58"/>
  <c r="AY122" i="58"/>
  <c r="BA122" i="58"/>
  <c r="BB122" i="58"/>
  <c r="BB133" i="58" s="1"/>
  <c r="BC122" i="58"/>
  <c r="BC133" i="58" s="1"/>
  <c r="BD122" i="58"/>
  <c r="BD133" i="58" s="1"/>
  <c r="BE122" i="58"/>
  <c r="BE133" i="58" s="1"/>
  <c r="BF122" i="58"/>
  <c r="BF133" i="58" s="1"/>
  <c r="BG122" i="58"/>
  <c r="BG133" i="58" s="1"/>
  <c r="BH122" i="58"/>
  <c r="BH133" i="58" s="1"/>
  <c r="BI122" i="58"/>
  <c r="BI133" i="58" s="1"/>
  <c r="AY154" i="58"/>
  <c r="AY156" i="58" s="1"/>
  <c r="BA154" i="58"/>
  <c r="BA156" i="58" s="1"/>
  <c r="BB154" i="58"/>
  <c r="BB156" i="58" s="1"/>
  <c r="BC154" i="58"/>
  <c r="BC156" i="58" s="1"/>
  <c r="BD154" i="58"/>
  <c r="BD156" i="58" s="1"/>
  <c r="BE154" i="58"/>
  <c r="BE156" i="58" s="1"/>
  <c r="BF154" i="58"/>
  <c r="BF156" i="58" s="1"/>
  <c r="BG154" i="58"/>
  <c r="BG156" i="58" s="1"/>
  <c r="BH154" i="58"/>
  <c r="BH156" i="58" s="1"/>
  <c r="BI154" i="58"/>
  <c r="BI156" i="58" s="1"/>
  <c r="AY164" i="58"/>
  <c r="AY166" i="58" s="1"/>
  <c r="BA164" i="58"/>
  <c r="BA166" i="58" s="1"/>
  <c r="BB164" i="58"/>
  <c r="BB165" i="58" s="1"/>
  <c r="BC164" i="58"/>
  <c r="BC166" i="58" s="1"/>
  <c r="BD164" i="58"/>
  <c r="BD166" i="58" s="1"/>
  <c r="BE164" i="58"/>
  <c r="BE166" i="58" s="1"/>
  <c r="BF164" i="58"/>
  <c r="BF165" i="58" s="1"/>
  <c r="BG164" i="58"/>
  <c r="BG165" i="58" s="1"/>
  <c r="BH164" i="58"/>
  <c r="BH165" i="58" s="1"/>
  <c r="BI164" i="58"/>
  <c r="BI166" i="58" s="1"/>
  <c r="AY170" i="58"/>
  <c r="BA170" i="58"/>
  <c r="BB170" i="58"/>
  <c r="BC170" i="58"/>
  <c r="BD170" i="58"/>
  <c r="BE170" i="58"/>
  <c r="BF170" i="58"/>
  <c r="BG170" i="58"/>
  <c r="BH170" i="58"/>
  <c r="BI170" i="58"/>
  <c r="AY171" i="58"/>
  <c r="BA171" i="58"/>
  <c r="BB171" i="58"/>
  <c r="BC171" i="58"/>
  <c r="BD171" i="58"/>
  <c r="BE171" i="58"/>
  <c r="BF171" i="58"/>
  <c r="BG171" i="58"/>
  <c r="BH171" i="58"/>
  <c r="BI171" i="58"/>
  <c r="AY172" i="58"/>
  <c r="AY174" i="58" s="1"/>
  <c r="BA172" i="58"/>
  <c r="BA174" i="58" s="1"/>
  <c r="BB172" i="58"/>
  <c r="BB174" i="58" s="1"/>
  <c r="BC172" i="58"/>
  <c r="BC174" i="58" s="1"/>
  <c r="BD172" i="58"/>
  <c r="BD174" i="58" s="1"/>
  <c r="BE172" i="58"/>
  <c r="BE174" i="58" s="1"/>
  <c r="BF172" i="58"/>
  <c r="BF174" i="58" s="1"/>
  <c r="BG172" i="58"/>
  <c r="BG174" i="58" s="1"/>
  <c r="BH172" i="58"/>
  <c r="BH174" i="58" s="1"/>
  <c r="BI172" i="58"/>
  <c r="BI174" i="58" s="1"/>
  <c r="AY176" i="58"/>
  <c r="AY178" i="58" s="1"/>
  <c r="BA176" i="58"/>
  <c r="BA178" i="58" s="1"/>
  <c r="BB176" i="58"/>
  <c r="BB178" i="58" s="1"/>
  <c r="BC176" i="58"/>
  <c r="BC177" i="58" s="1"/>
  <c r="BD176" i="58"/>
  <c r="BD178" i="58" s="1"/>
  <c r="BE176" i="58"/>
  <c r="BE178" i="58" s="1"/>
  <c r="BF176" i="58"/>
  <c r="BF178" i="58" s="1"/>
  <c r="BG176" i="58"/>
  <c r="BG178" i="58" s="1"/>
  <c r="BH176" i="58"/>
  <c r="BH177" i="58" s="1"/>
  <c r="BI176" i="58"/>
  <c r="BI177" i="58" s="1"/>
  <c r="AY181" i="58"/>
  <c r="BA181" i="58"/>
  <c r="BB181" i="58"/>
  <c r="BC181" i="58"/>
  <c r="BD181" i="58"/>
  <c r="BE181" i="58"/>
  <c r="BF181" i="58"/>
  <c r="BG181" i="58"/>
  <c r="BH181" i="58"/>
  <c r="BI181" i="58"/>
  <c r="AY182" i="58"/>
  <c r="BA182" i="58"/>
  <c r="BB182" i="58"/>
  <c r="BC182" i="58"/>
  <c r="BD182" i="58"/>
  <c r="BE182" i="58"/>
  <c r="BF182" i="58"/>
  <c r="BG182" i="58"/>
  <c r="BH182" i="58"/>
  <c r="BI182" i="58"/>
  <c r="AY183" i="58"/>
  <c r="BA183" i="58"/>
  <c r="BB183" i="58"/>
  <c r="BC183" i="58"/>
  <c r="BD183" i="58"/>
  <c r="BE183" i="58"/>
  <c r="BF183" i="58"/>
  <c r="BG183" i="58"/>
  <c r="BH183" i="58"/>
  <c r="BI183" i="58"/>
  <c r="AY186" i="58"/>
  <c r="BA186" i="58"/>
  <c r="BB186" i="58"/>
  <c r="BC186" i="58"/>
  <c r="BD186" i="58"/>
  <c r="BE186" i="58"/>
  <c r="BF186" i="58"/>
  <c r="BG186" i="58"/>
  <c r="BH186" i="58"/>
  <c r="BI186" i="58"/>
  <c r="AY187" i="58"/>
  <c r="BA187" i="58"/>
  <c r="BB187" i="58"/>
  <c r="BC187" i="58"/>
  <c r="BD187" i="58"/>
  <c r="BE187" i="58"/>
  <c r="BF187" i="58"/>
  <c r="BG187" i="58"/>
  <c r="BH187" i="58"/>
  <c r="BI187" i="58"/>
  <c r="AY189" i="58"/>
  <c r="BA189" i="58"/>
  <c r="BB189" i="58"/>
  <c r="BC189" i="58"/>
  <c r="BD189" i="58"/>
  <c r="BE189" i="58"/>
  <c r="BF189" i="58"/>
  <c r="BG189" i="58"/>
  <c r="BH189" i="58"/>
  <c r="BI189" i="58"/>
  <c r="AY190" i="58"/>
  <c r="BA190" i="58"/>
  <c r="BB190" i="58"/>
  <c r="BC190" i="58"/>
  <c r="BD190" i="58"/>
  <c r="BE190" i="58"/>
  <c r="BF190" i="58"/>
  <c r="BG190" i="58"/>
  <c r="BH190" i="58"/>
  <c r="BI190" i="58"/>
  <c r="AY192" i="58"/>
  <c r="BA192" i="58"/>
  <c r="BB192" i="58"/>
  <c r="BC192" i="58"/>
  <c r="BD192" i="58"/>
  <c r="BE192" i="58"/>
  <c r="BF192" i="58"/>
  <c r="BG192" i="58"/>
  <c r="BH192" i="58"/>
  <c r="BI192" i="58"/>
  <c r="AY193" i="58"/>
  <c r="BA193" i="58"/>
  <c r="BB193" i="58"/>
  <c r="BC193" i="58"/>
  <c r="BD193" i="58"/>
  <c r="BE193" i="58"/>
  <c r="BF193" i="58"/>
  <c r="BG193" i="58"/>
  <c r="BH193" i="58"/>
  <c r="BI193" i="58"/>
  <c r="AY195" i="58"/>
  <c r="BA195" i="58"/>
  <c r="BB195" i="58"/>
  <c r="BC195" i="58"/>
  <c r="BD195" i="58"/>
  <c r="BE195" i="58"/>
  <c r="BF195" i="58"/>
  <c r="BG195" i="58"/>
  <c r="BH195" i="58"/>
  <c r="BI195" i="58"/>
  <c r="AY222" i="58"/>
  <c r="BA222" i="58"/>
  <c r="BB222" i="58"/>
  <c r="BC222" i="58"/>
  <c r="BD222" i="58"/>
  <c r="BE222" i="58"/>
  <c r="BF222" i="58"/>
  <c r="BG222" i="58"/>
  <c r="BH222" i="58"/>
  <c r="BI222" i="58"/>
  <c r="BB152" i="58"/>
  <c r="BH72" i="58"/>
  <c r="BH151" i="58"/>
  <c r="BH150" i="58"/>
  <c r="BH147" i="58"/>
  <c r="BH78" i="58"/>
  <c r="BH74" i="58"/>
  <c r="BH75" i="58"/>
  <c r="H3" i="49"/>
  <c r="L39" i="49"/>
  <c r="L57" i="49" s="1"/>
  <c r="K39" i="49"/>
  <c r="K57" i="49" s="1"/>
  <c r="J57" i="49"/>
  <c r="J59" i="49" s="1"/>
  <c r="J61" i="49" s="1"/>
  <c r="I39" i="49"/>
  <c r="I57" i="49" s="1"/>
  <c r="H39" i="49"/>
  <c r="H57" i="49" s="1"/>
  <c r="G39" i="49"/>
  <c r="G57" i="49" s="1"/>
  <c r="J7" i="49"/>
  <c r="F19" i="49"/>
  <c r="U29" i="49"/>
  <c r="U27" i="49"/>
  <c r="U30" i="49" s="1"/>
  <c r="T26" i="49"/>
  <c r="T30" i="49" s="1"/>
  <c r="S29" i="49"/>
  <c r="S28" i="49"/>
  <c r="S30" i="49" s="1"/>
  <c r="R26" i="49"/>
  <c r="R24" i="49"/>
  <c r="R30" i="49" s="1"/>
  <c r="F25" i="49"/>
  <c r="F24" i="49"/>
  <c r="F23" i="49"/>
  <c r="F22" i="49"/>
  <c r="F30" i="49" s="1"/>
  <c r="F21" i="49"/>
  <c r="F20" i="49"/>
  <c r="F18" i="49"/>
  <c r="F12" i="49"/>
  <c r="H17" i="49"/>
  <c r="H30" i="49"/>
  <c r="H49" i="49" s="1"/>
  <c r="G17" i="49"/>
  <c r="G30" i="49"/>
  <c r="G49" i="49" s="1"/>
  <c r="I18" i="49"/>
  <c r="I17" i="49"/>
  <c r="I16" i="49"/>
  <c r="I15" i="49"/>
  <c r="I30" i="49" s="1"/>
  <c r="I13" i="49"/>
  <c r="J12" i="49"/>
  <c r="J11" i="49"/>
  <c r="J10" i="49"/>
  <c r="K9" i="49"/>
  <c r="K8" i="49"/>
  <c r="L7" i="49"/>
  <c r="K7" i="49"/>
  <c r="K30" i="49" s="1"/>
  <c r="Q6" i="49"/>
  <c r="Q30" i="49"/>
  <c r="Q49" i="49" s="1"/>
  <c r="P6" i="49"/>
  <c r="P30" i="49"/>
  <c r="P49" i="49" s="1"/>
  <c r="O6" i="49"/>
  <c r="O30" i="49" s="1"/>
  <c r="N6" i="49"/>
  <c r="N30" i="49" s="1"/>
  <c r="N32" i="49" s="1"/>
  <c r="N54" i="49" s="1"/>
  <c r="M6" i="49"/>
  <c r="M30" i="49" s="1"/>
  <c r="L6" i="49"/>
  <c r="L30" i="49" s="1"/>
  <c r="T3" i="49"/>
  <c r="S3" i="49"/>
  <c r="R3" i="49"/>
  <c r="Q3" i="49"/>
  <c r="P3" i="49"/>
  <c r="O3" i="49"/>
  <c r="N3" i="49"/>
  <c r="M3" i="49"/>
  <c r="L3" i="49"/>
  <c r="K3" i="49"/>
  <c r="J3" i="49"/>
  <c r="G3" i="49"/>
  <c r="F3" i="49"/>
  <c r="T57" i="49"/>
  <c r="S57" i="49"/>
  <c r="S59" i="49" s="1"/>
  <c r="S61" i="49" s="1"/>
  <c r="R57" i="49"/>
  <c r="Q39" i="49"/>
  <c r="Q57" i="49" s="1"/>
  <c r="P39" i="49"/>
  <c r="P57" i="49" s="1"/>
  <c r="O39" i="49"/>
  <c r="O57" i="49" s="1"/>
  <c r="N39" i="49"/>
  <c r="N57" i="49" s="1"/>
  <c r="M39" i="49"/>
  <c r="M57" i="49" s="1"/>
  <c r="T5" i="49"/>
  <c r="S5" i="49"/>
  <c r="S34" i="49" s="1"/>
  <c r="R5" i="49"/>
  <c r="R34" i="49" s="1"/>
  <c r="R58" i="49" s="1"/>
  <c r="Q5" i="49"/>
  <c r="Q41" i="49" s="1"/>
  <c r="P5" i="49"/>
  <c r="P41" i="49" s="1"/>
  <c r="O5" i="49"/>
  <c r="O41" i="49" s="1"/>
  <c r="N5" i="49"/>
  <c r="N41" i="49" s="1"/>
  <c r="M5" i="49"/>
  <c r="M41" i="49" s="1"/>
  <c r="L5" i="49"/>
  <c r="L41" i="49" s="1"/>
  <c r="K5" i="49"/>
  <c r="J5" i="49"/>
  <c r="J41" i="49"/>
  <c r="I5" i="49"/>
  <c r="H5" i="49"/>
  <c r="H41" i="49" s="1"/>
  <c r="T4" i="49"/>
  <c r="S4" i="49"/>
  <c r="R4" i="49"/>
  <c r="Q4" i="49"/>
  <c r="P4" i="49"/>
  <c r="O4" i="49"/>
  <c r="N4" i="49"/>
  <c r="M4" i="49"/>
  <c r="L4" i="49"/>
  <c r="K4" i="49"/>
  <c r="J4" i="49"/>
  <c r="I4" i="49"/>
  <c r="H4" i="49"/>
  <c r="I3" i="49"/>
  <c r="S41" i="49"/>
  <c r="I41" i="49"/>
  <c r="I34" i="49"/>
  <c r="T34" i="49"/>
  <c r="T58" i="49" s="1"/>
  <c r="T41" i="49"/>
  <c r="J34" i="49"/>
  <c r="K41" i="49"/>
  <c r="K34" i="49"/>
  <c r="M34" i="49"/>
  <c r="N34" i="49"/>
  <c r="H34" i="49"/>
  <c r="J30" i="49"/>
  <c r="J49" i="49" s="1"/>
  <c r="S63" i="49"/>
  <c r="R63" i="49"/>
  <c r="R59" i="49"/>
  <c r="R61" i="49" s="1"/>
  <c r="T63" i="49"/>
  <c r="T59" i="49"/>
  <c r="T61" i="49" s="1"/>
  <c r="AA154" i="54"/>
  <c r="AA27" i="54"/>
  <c r="Z26" i="54"/>
  <c r="AA26" i="54" s="1"/>
  <c r="Z28" i="54"/>
  <c r="AA28" i="54" s="1"/>
  <c r="B765" i="12"/>
  <c r="H49" i="12"/>
  <c r="H49" i="120" s="1"/>
  <c r="H935" i="120"/>
  <c r="BC1" i="59"/>
  <c r="BD1" i="59"/>
  <c r="BE1" i="59"/>
  <c r="BF1" i="59"/>
  <c r="BG1" i="59"/>
  <c r="BH1" i="59"/>
  <c r="BI1" i="59"/>
  <c r="BJ2" i="59"/>
  <c r="BK2" i="59"/>
  <c r="BL2" i="59"/>
  <c r="BC3" i="59"/>
  <c r="BD3" i="59"/>
  <c r="BE3" i="59"/>
  <c r="BF3" i="59"/>
  <c r="BG3" i="59"/>
  <c r="BH3" i="59"/>
  <c r="BI3" i="59"/>
  <c r="BC4" i="59"/>
  <c r="BD4" i="59"/>
  <c r="BE4" i="59"/>
  <c r="BF4" i="59"/>
  <c r="BG4" i="59"/>
  <c r="BH4" i="59"/>
  <c r="BI4" i="59"/>
  <c r="BD5" i="59"/>
  <c r="BE5" i="59"/>
  <c r="BF5" i="59"/>
  <c r="BG5" i="59"/>
  <c r="BH5" i="59"/>
  <c r="BI5" i="59"/>
  <c r="AY6" i="59"/>
  <c r="BA6" i="59"/>
  <c r="BB6" i="59"/>
  <c r="BC6" i="59"/>
  <c r="BD6" i="59"/>
  <c r="BE6" i="59"/>
  <c r="BF6" i="59"/>
  <c r="BG6" i="59"/>
  <c r="BH6" i="59"/>
  <c r="BI6" i="59"/>
  <c r="BC7" i="59"/>
  <c r="BD7" i="59"/>
  <c r="BE7" i="59"/>
  <c r="BF7" i="59"/>
  <c r="BG7" i="59"/>
  <c r="BH7" i="59"/>
  <c r="BI7" i="59"/>
  <c r="CU8" i="59"/>
  <c r="CV8" i="59"/>
  <c r="BC134" i="59"/>
  <c r="BD134" i="59"/>
  <c r="BE134" i="59"/>
  <c r="BF134" i="59"/>
  <c r="BG134" i="59"/>
  <c r="BH134" i="59"/>
  <c r="BI134" i="59"/>
  <c r="BJ134" i="59"/>
  <c r="BK134" i="59"/>
  <c r="BL134" i="59"/>
  <c r="BC135" i="59"/>
  <c r="BD135" i="59"/>
  <c r="BE135" i="59"/>
  <c r="BF135" i="59"/>
  <c r="BG135" i="59"/>
  <c r="BH135" i="59"/>
  <c r="BI135" i="59"/>
  <c r="BJ135" i="59"/>
  <c r="BK135" i="59"/>
  <c r="BL135" i="59"/>
  <c r="BC136" i="59"/>
  <c r="BD136" i="59"/>
  <c r="BE136" i="59"/>
  <c r="BF136" i="59"/>
  <c r="BG136" i="59"/>
  <c r="BH136" i="59"/>
  <c r="BI136" i="59"/>
  <c r="BJ136" i="59"/>
  <c r="BK136" i="59"/>
  <c r="BL136" i="59"/>
  <c r="BC138" i="59"/>
  <c r="BD138" i="59"/>
  <c r="BE138" i="59"/>
  <c r="BF138" i="59"/>
  <c r="BG138" i="59"/>
  <c r="BH138" i="59"/>
  <c r="BI138" i="59"/>
  <c r="BJ138" i="59"/>
  <c r="BK138" i="59"/>
  <c r="BL138" i="59"/>
  <c r="BC139" i="59"/>
  <c r="BD139" i="59"/>
  <c r="BE139" i="59"/>
  <c r="BF139" i="59"/>
  <c r="BG139" i="59"/>
  <c r="BH139" i="59"/>
  <c r="BI139" i="59"/>
  <c r="BJ139" i="59"/>
  <c r="BK139" i="59"/>
  <c r="BL139" i="59"/>
  <c r="BC140" i="59"/>
  <c r="BD140" i="59"/>
  <c r="BE140" i="59"/>
  <c r="BF140" i="59"/>
  <c r="BG140" i="59"/>
  <c r="BH140" i="59"/>
  <c r="BI140" i="59"/>
  <c r="BJ140" i="59"/>
  <c r="BK140" i="59"/>
  <c r="BL140" i="59"/>
  <c r="BC141" i="59"/>
  <c r="BD141" i="59"/>
  <c r="BE141" i="59"/>
  <c r="BF141" i="59"/>
  <c r="BG141" i="59"/>
  <c r="BH141" i="59"/>
  <c r="BI141" i="59"/>
  <c r="BJ141" i="59"/>
  <c r="BK141" i="59"/>
  <c r="BL141" i="59"/>
  <c r="BC142" i="59"/>
  <c r="BD142" i="59"/>
  <c r="BE142" i="59"/>
  <c r="BF142" i="59"/>
  <c r="BG142" i="59"/>
  <c r="BH142" i="59"/>
  <c r="BI142" i="59"/>
  <c r="BJ142" i="59"/>
  <c r="BK142" i="59"/>
  <c r="BL142" i="59"/>
  <c r="BC143" i="59"/>
  <c r="BD143" i="59"/>
  <c r="BE143" i="59"/>
  <c r="BF143" i="59"/>
  <c r="BG143" i="59"/>
  <c r="BH143" i="59"/>
  <c r="BI143" i="59"/>
  <c r="BJ143" i="59"/>
  <c r="BK143" i="59"/>
  <c r="BL143" i="59"/>
  <c r="BJ144" i="59"/>
  <c r="BK144" i="59"/>
  <c r="BL144" i="59"/>
  <c r="BJ145" i="59"/>
  <c r="BK145" i="59"/>
  <c r="BL145" i="59"/>
  <c r="BJ146" i="59"/>
  <c r="BK146" i="59"/>
  <c r="BL146" i="59"/>
  <c r="BJ148" i="59"/>
  <c r="BK148" i="59"/>
  <c r="BL148" i="59"/>
  <c r="BJ149" i="59"/>
  <c r="BK149" i="59"/>
  <c r="BL149" i="59"/>
  <c r="N759" i="120"/>
  <c r="M898" i="120"/>
  <c r="M753" i="120"/>
  <c r="L9" i="40"/>
  <c r="C32" i="12"/>
  <c r="C31" i="12"/>
  <c r="B13" i="77" s="1"/>
  <c r="C30" i="12"/>
  <c r="B27" i="77" s="1"/>
  <c r="C29" i="12"/>
  <c r="B73" i="39" s="1"/>
  <c r="C28" i="12"/>
  <c r="C29" i="122" s="1"/>
  <c r="C27" i="12"/>
  <c r="B26" i="77" s="1"/>
  <c r="C26" i="12"/>
  <c r="B61" i="39" s="1"/>
  <c r="C25" i="12"/>
  <c r="B57" i="39" s="1"/>
  <c r="C24" i="12"/>
  <c r="B53" i="39" s="1"/>
  <c r="C23" i="12"/>
  <c r="B35" i="77" s="1"/>
  <c r="C22" i="12"/>
  <c r="C23" i="122" s="1"/>
  <c r="C21" i="12"/>
  <c r="B21" i="77" s="1"/>
  <c r="C20" i="12"/>
  <c r="B37" i="39" s="1"/>
  <c r="B29" i="39"/>
  <c r="C16" i="12"/>
  <c r="B21" i="39" s="1"/>
  <c r="C15" i="12"/>
  <c r="B17" i="39" s="1"/>
  <c r="C14" i="12"/>
  <c r="C13" i="12"/>
  <c r="C14" i="122" s="1"/>
  <c r="B13" i="12"/>
  <c r="A12" i="77" s="1"/>
  <c r="E4" i="74"/>
  <c r="E5" i="121"/>
  <c r="H3" i="122"/>
  <c r="B7" i="119"/>
  <c r="A7" i="119"/>
  <c r="B6" i="119"/>
  <c r="A6" i="119"/>
  <c r="B5" i="119"/>
  <c r="A5" i="119"/>
  <c r="B4" i="119"/>
  <c r="A4" i="119"/>
  <c r="A2" i="119"/>
  <c r="A1" i="119"/>
  <c r="M85" i="39"/>
  <c r="L85" i="39"/>
  <c r="K85" i="39"/>
  <c r="J85" i="39"/>
  <c r="I85" i="39"/>
  <c r="H85" i="39"/>
  <c r="G85" i="39"/>
  <c r="F85" i="39"/>
  <c r="K81" i="39"/>
  <c r="J81" i="39"/>
  <c r="I81" i="39"/>
  <c r="H81" i="39"/>
  <c r="G81" i="39"/>
  <c r="F81" i="39"/>
  <c r="M77" i="39"/>
  <c r="L77" i="39"/>
  <c r="J77" i="39"/>
  <c r="I77" i="39"/>
  <c r="H77" i="39"/>
  <c r="G77" i="39"/>
  <c r="F77" i="39"/>
  <c r="M73" i="39"/>
  <c r="L73" i="39"/>
  <c r="K73" i="39"/>
  <c r="J73" i="39"/>
  <c r="I73" i="39"/>
  <c r="H73" i="39"/>
  <c r="G73" i="39"/>
  <c r="F73" i="39"/>
  <c r="M69" i="39"/>
  <c r="L69" i="39"/>
  <c r="K69" i="39"/>
  <c r="J69" i="39"/>
  <c r="I69" i="39"/>
  <c r="H69" i="39"/>
  <c r="G69" i="39"/>
  <c r="F69" i="39"/>
  <c r="M65" i="39"/>
  <c r="L65" i="39"/>
  <c r="K65" i="39"/>
  <c r="J65" i="39"/>
  <c r="I65" i="39"/>
  <c r="H65" i="39"/>
  <c r="G65" i="39"/>
  <c r="F65" i="39"/>
  <c r="M61" i="39"/>
  <c r="L61" i="39"/>
  <c r="K61" i="39"/>
  <c r="J61" i="39"/>
  <c r="I61" i="39"/>
  <c r="H61" i="39"/>
  <c r="G61" i="39"/>
  <c r="F61" i="39"/>
  <c r="M57" i="39"/>
  <c r="L57" i="39"/>
  <c r="K57" i="39"/>
  <c r="J57" i="39"/>
  <c r="I57" i="39"/>
  <c r="H57" i="39"/>
  <c r="G57" i="39"/>
  <c r="F57" i="39"/>
  <c r="M53" i="39"/>
  <c r="L53" i="39"/>
  <c r="K53" i="39"/>
  <c r="J53" i="39"/>
  <c r="I53" i="39"/>
  <c r="H53" i="39"/>
  <c r="G53" i="39"/>
  <c r="F53" i="39"/>
  <c r="M49" i="39"/>
  <c r="L49" i="39"/>
  <c r="K49" i="39"/>
  <c r="J49" i="39"/>
  <c r="I49" i="39"/>
  <c r="H49" i="39"/>
  <c r="G49" i="39"/>
  <c r="F49" i="39"/>
  <c r="M45" i="39"/>
  <c r="L45" i="39"/>
  <c r="K45" i="39"/>
  <c r="J45" i="39"/>
  <c r="I45" i="39"/>
  <c r="H45" i="39"/>
  <c r="G45" i="39"/>
  <c r="F45" i="39"/>
  <c r="M41" i="39"/>
  <c r="L41" i="39"/>
  <c r="K41" i="39"/>
  <c r="J41" i="39"/>
  <c r="I41" i="39"/>
  <c r="H41" i="39"/>
  <c r="G41" i="39"/>
  <c r="F41" i="39"/>
  <c r="M37" i="39"/>
  <c r="L37" i="39"/>
  <c r="K37" i="39"/>
  <c r="J37" i="39"/>
  <c r="I37" i="39"/>
  <c r="H37" i="39"/>
  <c r="G37" i="39"/>
  <c r="F37" i="39"/>
  <c r="M29" i="39"/>
  <c r="L29" i="39"/>
  <c r="K29" i="39"/>
  <c r="J29" i="39"/>
  <c r="I29" i="39"/>
  <c r="H29" i="39"/>
  <c r="G29" i="39"/>
  <c r="F29" i="39"/>
  <c r="M21" i="39"/>
  <c r="L21" i="39"/>
  <c r="K21" i="39"/>
  <c r="J21" i="39"/>
  <c r="I21" i="39"/>
  <c r="H21" i="39"/>
  <c r="G21" i="39"/>
  <c r="F21" i="39"/>
  <c r="M17" i="39"/>
  <c r="L17" i="39"/>
  <c r="K17" i="39"/>
  <c r="J17" i="39"/>
  <c r="I17" i="39"/>
  <c r="H17" i="39"/>
  <c r="G17" i="39"/>
  <c r="F17" i="39"/>
  <c r="M13" i="39"/>
  <c r="L13" i="39"/>
  <c r="K13" i="39"/>
  <c r="J13" i="39"/>
  <c r="I13" i="39"/>
  <c r="H13" i="39"/>
  <c r="G13" i="39"/>
  <c r="F13" i="39"/>
  <c r="M9" i="39"/>
  <c r="L9" i="39"/>
  <c r="K9" i="39"/>
  <c r="J9" i="39"/>
  <c r="I9" i="39"/>
  <c r="H9" i="39"/>
  <c r="G9" i="39"/>
  <c r="F9" i="39"/>
  <c r="C7" i="122"/>
  <c r="H6" i="122"/>
  <c r="G6" i="122"/>
  <c r="C6" i="122"/>
  <c r="H5" i="122"/>
  <c r="G5" i="122"/>
  <c r="C5" i="122"/>
  <c r="G4" i="122"/>
  <c r="C4" i="122"/>
  <c r="G3" i="122"/>
  <c r="B2" i="122"/>
  <c r="B1" i="122"/>
  <c r="D32" i="77"/>
  <c r="D31" i="77"/>
  <c r="D13" i="77"/>
  <c r="I6" i="77"/>
  <c r="H6" i="77"/>
  <c r="B6" i="77"/>
  <c r="A6" i="77"/>
  <c r="I5" i="77"/>
  <c r="H5" i="77"/>
  <c r="B5" i="77"/>
  <c r="A5" i="77"/>
  <c r="I4" i="77"/>
  <c r="H4" i="77"/>
  <c r="B4" i="77"/>
  <c r="A4" i="77"/>
  <c r="H3" i="77"/>
  <c r="H2" i="77"/>
  <c r="H1" i="77"/>
  <c r="A1" i="77"/>
  <c r="F100" i="47"/>
  <c r="F58" i="47"/>
  <c r="F59" i="47" s="1"/>
  <c r="G40" i="87"/>
  <c r="G49" i="87"/>
  <c r="F40" i="87"/>
  <c r="I40" i="87" s="1"/>
  <c r="H805" i="12" s="1"/>
  <c r="H805" i="120" s="1"/>
  <c r="G33" i="87"/>
  <c r="F33" i="87"/>
  <c r="G22" i="87"/>
  <c r="J22" i="87" s="1"/>
  <c r="F22" i="87"/>
  <c r="G15" i="87"/>
  <c r="F15" i="87"/>
  <c r="J15" i="87" s="1"/>
  <c r="G9" i="87"/>
  <c r="F9" i="87"/>
  <c r="J9" i="87" s="1"/>
  <c r="G8" i="87"/>
  <c r="F8" i="87"/>
  <c r="J8" i="87" s="1"/>
  <c r="G7" i="87"/>
  <c r="G10" i="87" s="1"/>
  <c r="F7" i="87"/>
  <c r="F20" i="87" s="1"/>
  <c r="K16" i="68"/>
  <c r="I16" i="68"/>
  <c r="K15" i="68"/>
  <c r="I15" i="68"/>
  <c r="K14" i="68"/>
  <c r="I14" i="68"/>
  <c r="K13" i="68"/>
  <c r="I13" i="68"/>
  <c r="K12" i="68"/>
  <c r="I12" i="68"/>
  <c r="I3" i="77"/>
  <c r="H4" i="122"/>
  <c r="F10" i="87"/>
  <c r="H2" i="122"/>
  <c r="C3" i="121"/>
  <c r="G61" i="63"/>
  <c r="G63" i="63" s="1"/>
  <c r="H6" i="39"/>
  <c r="G6" i="78"/>
  <c r="I2" i="77"/>
  <c r="G2" i="122"/>
  <c r="G28" i="63"/>
  <c r="G29" i="63" s="1"/>
  <c r="L26" i="63"/>
  <c r="G25" i="63"/>
  <c r="L25" i="63" s="1"/>
  <c r="G23" i="63"/>
  <c r="L23" i="63" s="1"/>
  <c r="L17" i="63"/>
  <c r="L16" i="63"/>
  <c r="L15" i="63"/>
  <c r="L14" i="63"/>
  <c r="L13" i="63"/>
  <c r="L12" i="63"/>
  <c r="L11" i="63"/>
  <c r="L10" i="63"/>
  <c r="L38" i="63"/>
  <c r="L32" i="63"/>
  <c r="L27" i="63"/>
  <c r="B515" i="12"/>
  <c r="F117" i="47"/>
  <c r="K7" i="47"/>
  <c r="F85" i="47"/>
  <c r="F87" i="47" s="1"/>
  <c r="F84" i="47"/>
  <c r="J84" i="47" s="1"/>
  <c r="H523" i="12" s="1"/>
  <c r="H523" i="120" s="1"/>
  <c r="F80" i="47"/>
  <c r="F83" i="47" s="1"/>
  <c r="K83" i="47" s="1"/>
  <c r="F86" i="47"/>
  <c r="F88" i="47" s="1"/>
  <c r="F72" i="47"/>
  <c r="F133" i="47" s="1"/>
  <c r="F76" i="47"/>
  <c r="F75" i="47"/>
  <c r="J75" i="47" s="1"/>
  <c r="F74" i="47"/>
  <c r="J74" i="47" s="1"/>
  <c r="K74" i="47" s="1"/>
  <c r="F131" i="47"/>
  <c r="F150" i="47" s="1"/>
  <c r="F70" i="47"/>
  <c r="J70" i="47" s="1"/>
  <c r="K70" i="47" s="1"/>
  <c r="F69" i="47"/>
  <c r="J69" i="47" s="1"/>
  <c r="K46" i="47"/>
  <c r="K45" i="47"/>
  <c r="K29" i="47"/>
  <c r="F26" i="47"/>
  <c r="F43" i="47" s="1"/>
  <c r="K4" i="47"/>
  <c r="K3" i="47"/>
  <c r="K51" i="47"/>
  <c r="F18" i="47"/>
  <c r="F19" i="47" s="1"/>
  <c r="F14" i="47"/>
  <c r="F10" i="47"/>
  <c r="F11" i="47" s="1"/>
  <c r="F41" i="47"/>
  <c r="J41" i="47" s="1"/>
  <c r="K41" i="47" s="1"/>
  <c r="F60" i="47"/>
  <c r="F61" i="47" s="1"/>
  <c r="F37" i="47"/>
  <c r="F33" i="47"/>
  <c r="J42" i="47"/>
  <c r="K42" i="47" s="1"/>
  <c r="J38" i="47"/>
  <c r="K38" i="47" s="1"/>
  <c r="J34" i="47"/>
  <c r="K34" i="47" s="1"/>
  <c r="J24" i="47"/>
  <c r="K24" i="47" s="1"/>
  <c r="K22" i="47"/>
  <c r="K20" i="47"/>
  <c r="F116" i="47"/>
  <c r="K25" i="47"/>
  <c r="K27" i="47"/>
  <c r="J33" i="47"/>
  <c r="K33" i="47" s="1"/>
  <c r="F107" i="47"/>
  <c r="F110" i="47" s="1"/>
  <c r="K105" i="47"/>
  <c r="K92" i="47"/>
  <c r="K90" i="47"/>
  <c r="K81" i="47"/>
  <c r="K82" i="47" s="1"/>
  <c r="K79" i="47"/>
  <c r="K52" i="47"/>
  <c r="K30" i="47"/>
  <c r="K17" i="47"/>
  <c r="K16" i="47"/>
  <c r="K13" i="47"/>
  <c r="K12" i="47"/>
  <c r="K9" i="47"/>
  <c r="K8" i="47"/>
  <c r="K5" i="47"/>
  <c r="F91" i="47"/>
  <c r="F93" i="47" s="1"/>
  <c r="F118" i="47"/>
  <c r="F111" i="47"/>
  <c r="F53" i="47"/>
  <c r="F63" i="47" s="1"/>
  <c r="F47" i="47"/>
  <c r="F48" i="47" s="1"/>
  <c r="G1" i="63"/>
  <c r="K68" i="47"/>
  <c r="J68" i="47"/>
  <c r="F77" i="47"/>
  <c r="J77" i="47" s="1"/>
  <c r="F73" i="47"/>
  <c r="J73" i="47" s="1"/>
  <c r="H529" i="12" s="1"/>
  <c r="H529" i="120" s="1"/>
  <c r="E79" i="39"/>
  <c r="E80" i="39" s="1"/>
  <c r="AA78" i="39"/>
  <c r="X78" i="39"/>
  <c r="Y78" i="39" s="1"/>
  <c r="E75" i="39"/>
  <c r="E76" i="39" s="1"/>
  <c r="AA74" i="39"/>
  <c r="X74" i="39"/>
  <c r="Y74" i="39" s="1"/>
  <c r="D926" i="12"/>
  <c r="I59" i="87"/>
  <c r="J59" i="87" s="1"/>
  <c r="I57" i="87"/>
  <c r="J57" i="87" s="1"/>
  <c r="I56" i="87"/>
  <c r="J56" i="87"/>
  <c r="I55" i="87"/>
  <c r="J55" i="87" s="1"/>
  <c r="I45" i="87"/>
  <c r="H808" i="12" s="1"/>
  <c r="I38" i="87"/>
  <c r="J38" i="87" s="1"/>
  <c r="J43" i="87"/>
  <c r="J41" i="87"/>
  <c r="J39" i="87"/>
  <c r="J32" i="87"/>
  <c r="J21" i="87"/>
  <c r="J14" i="87"/>
  <c r="G44" i="87"/>
  <c r="G42" i="87"/>
  <c r="G53" i="87"/>
  <c r="F42" i="87"/>
  <c r="I42" i="87" s="1"/>
  <c r="H806" i="12" s="1"/>
  <c r="H806" i="120" s="1"/>
  <c r="F44" i="87"/>
  <c r="J33" i="87"/>
  <c r="J6" i="87"/>
  <c r="G28" i="87"/>
  <c r="G37" i="87" s="1"/>
  <c r="G27" i="87"/>
  <c r="G51" i="87" s="1"/>
  <c r="F28" i="87"/>
  <c r="F52" i="87" s="1"/>
  <c r="H858" i="12"/>
  <c r="H858" i="120" s="1"/>
  <c r="K44" i="83"/>
  <c r="B853" i="12"/>
  <c r="B856" i="12"/>
  <c r="B855" i="12"/>
  <c r="B851" i="12"/>
  <c r="B850" i="12"/>
  <c r="B848" i="12"/>
  <c r="B532" i="12"/>
  <c r="B460" i="12"/>
  <c r="B660" i="12"/>
  <c r="B590" i="12"/>
  <c r="B589" i="12"/>
  <c r="B535" i="12"/>
  <c r="B534" i="12"/>
  <c r="B536" i="12"/>
  <c r="B462" i="12"/>
  <c r="J66" i="83"/>
  <c r="H847" i="12" s="1"/>
  <c r="J65" i="83"/>
  <c r="H846" i="12" s="1"/>
  <c r="J64" i="83"/>
  <c r="H845" i="12" s="1"/>
  <c r="J63" i="83"/>
  <c r="H844" i="12" s="1"/>
  <c r="O844" i="12" s="1"/>
  <c r="G68" i="83"/>
  <c r="J68" i="83" s="1"/>
  <c r="H842" i="12" s="1"/>
  <c r="B659" i="120"/>
  <c r="B3" i="40"/>
  <c r="B2" i="40"/>
  <c r="A1" i="40"/>
  <c r="U57" i="49"/>
  <c r="F39" i="49"/>
  <c r="F57" i="49"/>
  <c r="E39" i="49"/>
  <c r="E57" i="49" s="1"/>
  <c r="E31" i="49"/>
  <c r="E30" i="49"/>
  <c r="U5" i="49"/>
  <c r="G5" i="49"/>
  <c r="F5" i="49"/>
  <c r="E5" i="49"/>
  <c r="U4" i="49"/>
  <c r="G4" i="49"/>
  <c r="F4" i="49"/>
  <c r="E4" i="49"/>
  <c r="U3" i="49"/>
  <c r="E3" i="49"/>
  <c r="J5" i="87"/>
  <c r="J4" i="87"/>
  <c r="J3" i="87"/>
  <c r="I2" i="87"/>
  <c r="J2" i="87" s="1"/>
  <c r="G109" i="83"/>
  <c r="G112" i="83" s="1"/>
  <c r="J108" i="83"/>
  <c r="K108" i="83" s="1"/>
  <c r="J107" i="83"/>
  <c r="K107" i="83" s="1"/>
  <c r="J106" i="83"/>
  <c r="K40" i="118" s="1"/>
  <c r="J105" i="83"/>
  <c r="K53" i="118" s="1"/>
  <c r="J104" i="83"/>
  <c r="J103" i="83"/>
  <c r="J102" i="83"/>
  <c r="J101" i="83"/>
  <c r="G97" i="83"/>
  <c r="G98" i="83" s="1"/>
  <c r="J96" i="83"/>
  <c r="K96" i="83" s="1"/>
  <c r="K95" i="83"/>
  <c r="K92" i="83"/>
  <c r="G91" i="83"/>
  <c r="K91" i="83" s="1"/>
  <c r="J90" i="83"/>
  <c r="K90" i="83" s="1"/>
  <c r="K83" i="83"/>
  <c r="G81" i="83"/>
  <c r="G82" i="83" s="1"/>
  <c r="K80" i="83"/>
  <c r="J79" i="83"/>
  <c r="K79" i="83" s="1"/>
  <c r="K60" i="83"/>
  <c r="K59" i="83"/>
  <c r="K58" i="83"/>
  <c r="K62" i="83"/>
  <c r="G67" i="83"/>
  <c r="G110" i="83" s="1"/>
  <c r="K55" i="83"/>
  <c r="K54" i="83"/>
  <c r="G49" i="83"/>
  <c r="J49" i="83" s="1"/>
  <c r="K49" i="83" s="1"/>
  <c r="G48" i="83"/>
  <c r="K47" i="83"/>
  <c r="K46" i="83"/>
  <c r="J45" i="83"/>
  <c r="K45" i="83" s="1"/>
  <c r="G42" i="83"/>
  <c r="K41" i="83"/>
  <c r="K40" i="83"/>
  <c r="J39" i="83"/>
  <c r="K39" i="83" s="1"/>
  <c r="K38" i="83"/>
  <c r="G36" i="83"/>
  <c r="G37" i="83" s="1"/>
  <c r="J37" i="83" s="1"/>
  <c r="H835" i="12" s="1"/>
  <c r="K35" i="83"/>
  <c r="K34" i="83"/>
  <c r="J33" i="83"/>
  <c r="K33" i="83" s="1"/>
  <c r="G29" i="83"/>
  <c r="G30" i="83" s="1"/>
  <c r="K28" i="83"/>
  <c r="K27" i="83"/>
  <c r="J26" i="83"/>
  <c r="K26" i="83" s="1"/>
  <c r="J25" i="83"/>
  <c r="K66" i="118" s="1"/>
  <c r="J24" i="83"/>
  <c r="J23" i="83"/>
  <c r="K23" i="83" s="1"/>
  <c r="J22" i="83"/>
  <c r="J21" i="83"/>
  <c r="K21" i="83" s="1"/>
  <c r="J20" i="83"/>
  <c r="K20" i="83" s="1"/>
  <c r="J19" i="83"/>
  <c r="K60" i="118" s="1"/>
  <c r="J18" i="83"/>
  <c r="K18" i="83" s="1"/>
  <c r="J17" i="83"/>
  <c r="K58" i="118" s="1"/>
  <c r="J16" i="83"/>
  <c r="K15" i="83"/>
  <c r="G13" i="83"/>
  <c r="G14" i="83" s="1"/>
  <c r="K12" i="83"/>
  <c r="K11" i="83"/>
  <c r="J10" i="83"/>
  <c r="K10" i="83" s="1"/>
  <c r="K8" i="83"/>
  <c r="K7" i="83"/>
  <c r="J6" i="83"/>
  <c r="K6" i="83" s="1"/>
  <c r="J5" i="83"/>
  <c r="K5" i="83" s="1"/>
  <c r="G4" i="83"/>
  <c r="G9" i="83" s="1"/>
  <c r="J3" i="83"/>
  <c r="K3" i="83" s="1"/>
  <c r="J2" i="83"/>
  <c r="H29" i="120" s="1"/>
  <c r="C74" i="134" s="1"/>
  <c r="Z222" i="54"/>
  <c r="AA222" i="54" s="1"/>
  <c r="Z210" i="54"/>
  <c r="AA210" i="54" s="1"/>
  <c r="BB209" i="54"/>
  <c r="AP209" i="54"/>
  <c r="AH209" i="54"/>
  <c r="Z209" i="54"/>
  <c r="H776" i="12" s="1"/>
  <c r="Z208" i="54"/>
  <c r="AA208" i="54" s="1"/>
  <c r="Z207" i="54"/>
  <c r="H773" i="12" s="1"/>
  <c r="H773" i="120" s="1"/>
  <c r="Z206" i="54"/>
  <c r="F206" i="54"/>
  <c r="Z205" i="54"/>
  <c r="H771" i="12" s="1"/>
  <c r="H771" i="120" s="1"/>
  <c r="F205" i="54"/>
  <c r="Z204" i="54"/>
  <c r="AA204" i="54" s="1"/>
  <c r="F204" i="54"/>
  <c r="Z203" i="54"/>
  <c r="H769" i="12" s="1"/>
  <c r="H769" i="120" s="1"/>
  <c r="Z202" i="54"/>
  <c r="AA202" i="54" s="1"/>
  <c r="F202" i="54"/>
  <c r="Z201" i="54"/>
  <c r="H767" i="12" s="1"/>
  <c r="H767" i="120" s="1"/>
  <c r="Z200" i="54"/>
  <c r="H766" i="12" s="1"/>
  <c r="H766" i="120" s="1"/>
  <c r="Z199" i="54"/>
  <c r="H774" i="12" s="1"/>
  <c r="H774" i="120" s="1"/>
  <c r="Z198" i="54"/>
  <c r="H775" i="12" s="1"/>
  <c r="Z196" i="54"/>
  <c r="AA196" i="54" s="1"/>
  <c r="AA195" i="54"/>
  <c r="AA194" i="54"/>
  <c r="AA193" i="54"/>
  <c r="AA191" i="54"/>
  <c r="AA190" i="54"/>
  <c r="AA189" i="54"/>
  <c r="AA186" i="54"/>
  <c r="AA185" i="54"/>
  <c r="AA184" i="54"/>
  <c r="AA181" i="54"/>
  <c r="AA173" i="54"/>
  <c r="AA172" i="54"/>
  <c r="Z171" i="54"/>
  <c r="AA171" i="54" s="1"/>
  <c r="Z163" i="54"/>
  <c r="AA163" i="54" s="1"/>
  <c r="AY152" i="54"/>
  <c r="Z144" i="54"/>
  <c r="Z142" i="54"/>
  <c r="AA142" i="54" s="1"/>
  <c r="Z138" i="54"/>
  <c r="AA138" i="54" s="1"/>
  <c r="AA137" i="54"/>
  <c r="Z136" i="54"/>
  <c r="AA136" i="54" s="1"/>
  <c r="Z135" i="54"/>
  <c r="AA135" i="54" s="1"/>
  <c r="Z134" i="54"/>
  <c r="AA134" i="54" s="1"/>
  <c r="Z133" i="54"/>
  <c r="AA133" i="54" s="1"/>
  <c r="Z132" i="54"/>
  <c r="AA132" i="54" s="1"/>
  <c r="Z130" i="54"/>
  <c r="AA130" i="54" s="1"/>
  <c r="AA129" i="54"/>
  <c r="Z128" i="54"/>
  <c r="AA128" i="54" s="1"/>
  <c r="Z127" i="54"/>
  <c r="AA127" i="54" s="1"/>
  <c r="F125" i="54"/>
  <c r="F124" i="54"/>
  <c r="Z121" i="54"/>
  <c r="AA121" i="54" s="1"/>
  <c r="Z120" i="54"/>
  <c r="AA120" i="54" s="1"/>
  <c r="F118" i="54"/>
  <c r="F117" i="54"/>
  <c r="Z113" i="54"/>
  <c r="AA113" i="54" s="1"/>
  <c r="F111" i="54"/>
  <c r="F110" i="54"/>
  <c r="Z107" i="54"/>
  <c r="AA107" i="54" s="1"/>
  <c r="Z106" i="54"/>
  <c r="AA106" i="54" s="1"/>
  <c r="F104" i="54"/>
  <c r="F103" i="54"/>
  <c r="Z100" i="54"/>
  <c r="AA100" i="54" s="1"/>
  <c r="Z99" i="54"/>
  <c r="AA99" i="54" s="1"/>
  <c r="F97" i="54"/>
  <c r="F96" i="54"/>
  <c r="Z93" i="54"/>
  <c r="AA93" i="54" s="1"/>
  <c r="Z92" i="54"/>
  <c r="AA92" i="54" s="1"/>
  <c r="F89" i="54"/>
  <c r="F88" i="54"/>
  <c r="Z85" i="54"/>
  <c r="AA85" i="54" s="1"/>
  <c r="Z84" i="54"/>
  <c r="AA84" i="54" s="1"/>
  <c r="F81" i="54"/>
  <c r="Z78" i="54"/>
  <c r="AA78" i="54" s="1"/>
  <c r="Z77" i="54"/>
  <c r="AA77" i="54" s="1"/>
  <c r="F75" i="54"/>
  <c r="F74" i="54"/>
  <c r="Z71" i="54"/>
  <c r="AA71" i="54" s="1"/>
  <c r="Z70" i="54"/>
  <c r="AA70" i="54" s="1"/>
  <c r="F67" i="54"/>
  <c r="Z64" i="54"/>
  <c r="AA64" i="54" s="1"/>
  <c r="Z63" i="54"/>
  <c r="AA63" i="54" s="1"/>
  <c r="F61" i="54"/>
  <c r="Z57" i="54"/>
  <c r="AA57" i="54" s="1"/>
  <c r="Z56" i="54"/>
  <c r="AA56" i="54" s="1"/>
  <c r="F53" i="54"/>
  <c r="Z50" i="54"/>
  <c r="AA50" i="54" s="1"/>
  <c r="Z49" i="54"/>
  <c r="AA49" i="54" s="1"/>
  <c r="F47" i="54"/>
  <c r="Z43" i="54"/>
  <c r="AA43" i="54" s="1"/>
  <c r="Z42" i="54"/>
  <c r="AA42" i="54" s="1"/>
  <c r="F40" i="54"/>
  <c r="AA34" i="54"/>
  <c r="AA32" i="54"/>
  <c r="Z19" i="54"/>
  <c r="AA19" i="54" s="1"/>
  <c r="Z18" i="54"/>
  <c r="AA18" i="54" s="1"/>
  <c r="AA17" i="54"/>
  <c r="Z16" i="54"/>
  <c r="AA16" i="54" s="1"/>
  <c r="Z14" i="54"/>
  <c r="AA14" i="54" s="1"/>
  <c r="AA13" i="54"/>
  <c r="Z12" i="54"/>
  <c r="AA12" i="54" s="1"/>
  <c r="Z11" i="54"/>
  <c r="AA11" i="54" s="1"/>
  <c r="Z10" i="54"/>
  <c r="AA10" i="54" s="1"/>
  <c r="AA9" i="54"/>
  <c r="Z8" i="54"/>
  <c r="AA8" i="54" s="1"/>
  <c r="Z7" i="54"/>
  <c r="AA7" i="54" s="1"/>
  <c r="AA6" i="54"/>
  <c r="AA4" i="54"/>
  <c r="AB56" i="75"/>
  <c r="H748" i="12" s="1"/>
  <c r="H748" i="120" s="1"/>
  <c r="AB50" i="75"/>
  <c r="H742" i="12" s="1"/>
  <c r="H742" i="120" s="1"/>
  <c r="AC44" i="75"/>
  <c r="AC42" i="75"/>
  <c r="AC40" i="75"/>
  <c r="AC38" i="75"/>
  <c r="AC36" i="75"/>
  <c r="AC32" i="75"/>
  <c r="H19" i="75"/>
  <c r="AB16" i="75"/>
  <c r="AC16" i="75" s="1"/>
  <c r="AC14" i="75"/>
  <c r="AB12" i="75"/>
  <c r="AC12" i="75" s="1"/>
  <c r="AB9" i="75"/>
  <c r="H724" i="12" s="1"/>
  <c r="AB7" i="75"/>
  <c r="H722" i="12" s="1"/>
  <c r="H722" i="120" s="1"/>
  <c r="AC4" i="75"/>
  <c r="AB3" i="75"/>
  <c r="AA81" i="37"/>
  <c r="Z77" i="37"/>
  <c r="H665" i="12" s="1"/>
  <c r="Z72" i="37"/>
  <c r="H658" i="12" s="1"/>
  <c r="AA48" i="37"/>
  <c r="AA45" i="37"/>
  <c r="AA19" i="37"/>
  <c r="AA7" i="37"/>
  <c r="Z3" i="37"/>
  <c r="Y100" i="56"/>
  <c r="Z100" i="56" s="1"/>
  <c r="Z99" i="56"/>
  <c r="Y98" i="56"/>
  <c r="Z98" i="56" s="1"/>
  <c r="Z97" i="56"/>
  <c r="Z95" i="56"/>
  <c r="Z73" i="56"/>
  <c r="Z68" i="56"/>
  <c r="Y66" i="56"/>
  <c r="Z58" i="56"/>
  <c r="Y41" i="56"/>
  <c r="Y36" i="56"/>
  <c r="Z36" i="56" s="1"/>
  <c r="Y26" i="56"/>
  <c r="Z26" i="56" s="1"/>
  <c r="Y25" i="56"/>
  <c r="I40" i="118" s="1"/>
  <c r="I42" i="118" s="1"/>
  <c r="Y21" i="56"/>
  <c r="Y19" i="56"/>
  <c r="I62" i="118" s="1"/>
  <c r="Y16" i="56"/>
  <c r="I59" i="118" s="1"/>
  <c r="Y15" i="56"/>
  <c r="Y14" i="56"/>
  <c r="Z11" i="56"/>
  <c r="Z7" i="56"/>
  <c r="Z6" i="56"/>
  <c r="Y5" i="56"/>
  <c r="K93" i="63"/>
  <c r="L93" i="63" s="1"/>
  <c r="K92" i="63"/>
  <c r="L92" i="63" s="1"/>
  <c r="K91" i="63"/>
  <c r="L91" i="63" s="1"/>
  <c r="K90" i="63"/>
  <c r="L90" i="63" s="1"/>
  <c r="K89" i="63"/>
  <c r="H594" i="12" s="1"/>
  <c r="H594" i="120" s="1"/>
  <c r="K88" i="63"/>
  <c r="H593" i="12" s="1"/>
  <c r="H593" i="120" s="1"/>
  <c r="K87" i="63"/>
  <c r="G29" i="75" s="1"/>
  <c r="K86" i="63"/>
  <c r="G28" i="75" s="1"/>
  <c r="G85" i="63"/>
  <c r="K85" i="63" s="1"/>
  <c r="K84" i="63"/>
  <c r="L84" i="63" s="1"/>
  <c r="L83" i="63"/>
  <c r="L81" i="63"/>
  <c r="L79" i="63"/>
  <c r="L77" i="63"/>
  <c r="L74" i="63"/>
  <c r="L72" i="63"/>
  <c r="L70" i="63"/>
  <c r="G48" i="63"/>
  <c r="G49" i="63" s="1"/>
  <c r="G45" i="63"/>
  <c r="G47" i="63" s="1"/>
  <c r="G42" i="63"/>
  <c r="G44" i="63" s="1"/>
  <c r="K44" i="63" s="1"/>
  <c r="G39" i="63"/>
  <c r="G41" i="63" s="1"/>
  <c r="G9" i="63"/>
  <c r="L7" i="63"/>
  <c r="L37" i="63"/>
  <c r="G33" i="63"/>
  <c r="G34" i="63" s="1"/>
  <c r="L31" i="63"/>
  <c r="G3" i="63"/>
  <c r="G6" i="63" s="1"/>
  <c r="L6" i="63" s="1"/>
  <c r="G71" i="63"/>
  <c r="J100" i="47"/>
  <c r="K100" i="47" s="1"/>
  <c r="K106" i="47"/>
  <c r="J89" i="47"/>
  <c r="K89" i="47" s="1"/>
  <c r="J78" i="47"/>
  <c r="K78" i="47" s="1"/>
  <c r="J60" i="47"/>
  <c r="K60" i="47" s="1"/>
  <c r="J50" i="47"/>
  <c r="K50" i="47" s="1"/>
  <c r="J44" i="47"/>
  <c r="K44" i="47" s="1"/>
  <c r="BA56" i="61"/>
  <c r="BA54" i="61"/>
  <c r="BA52" i="61"/>
  <c r="J113" i="62"/>
  <c r="J107" i="62"/>
  <c r="F105" i="62"/>
  <c r="F115" i="62" s="1"/>
  <c r="I115" i="62" s="1"/>
  <c r="F47" i="61" s="1"/>
  <c r="F104" i="62"/>
  <c r="I104" i="62" s="1"/>
  <c r="J104" i="62" s="1"/>
  <c r="F102" i="62"/>
  <c r="F98" i="62"/>
  <c r="F100" i="62"/>
  <c r="I97" i="62"/>
  <c r="J97" i="62" s="1"/>
  <c r="F96" i="62"/>
  <c r="I95" i="62"/>
  <c r="J95" i="62" s="1"/>
  <c r="F94" i="62"/>
  <c r="I94" i="62" s="1"/>
  <c r="G42" i="118" s="1"/>
  <c r="J93" i="62"/>
  <c r="F92" i="62"/>
  <c r="I92" i="62" s="1"/>
  <c r="J92" i="62" s="1"/>
  <c r="F91" i="62"/>
  <c r="I91" i="62" s="1"/>
  <c r="J91" i="62" s="1"/>
  <c r="I90" i="62"/>
  <c r="F2" i="61" s="1"/>
  <c r="J89" i="62"/>
  <c r="J88" i="62"/>
  <c r="I88" i="62"/>
  <c r="F76" i="62"/>
  <c r="F75" i="62"/>
  <c r="F71" i="62"/>
  <c r="I71" i="62" s="1"/>
  <c r="F63" i="62"/>
  <c r="F62" i="62"/>
  <c r="I61" i="62"/>
  <c r="J61" i="62" s="1"/>
  <c r="I60" i="62"/>
  <c r="H433" i="12" s="1"/>
  <c r="H433" i="120" s="1"/>
  <c r="W59" i="62"/>
  <c r="J58" i="62"/>
  <c r="F56" i="62"/>
  <c r="F57" i="62"/>
  <c r="J55" i="62"/>
  <c r="I54" i="62"/>
  <c r="J54" i="62" s="1"/>
  <c r="J53" i="62"/>
  <c r="J51" i="62"/>
  <c r="I51" i="62"/>
  <c r="F41" i="62"/>
  <c r="F42" i="62"/>
  <c r="J40" i="62"/>
  <c r="J38" i="62"/>
  <c r="F31" i="62"/>
  <c r="J25" i="62"/>
  <c r="J24" i="62"/>
  <c r="J23" i="62"/>
  <c r="F22" i="62"/>
  <c r="F26" i="62" s="1"/>
  <c r="J21" i="62"/>
  <c r="J20" i="62"/>
  <c r="I19" i="62"/>
  <c r="J19" i="62" s="1"/>
  <c r="I18" i="62"/>
  <c r="I17" i="62"/>
  <c r="J17" i="62" s="1"/>
  <c r="F16" i="62"/>
  <c r="F39" i="62" s="1"/>
  <c r="I8" i="62"/>
  <c r="H418" i="12" s="1"/>
  <c r="H418" i="120" s="1"/>
  <c r="I7" i="62"/>
  <c r="J7" i="62" s="1"/>
  <c r="I6" i="62"/>
  <c r="H416" i="12" s="1"/>
  <c r="I5" i="62"/>
  <c r="H415" i="12" s="1"/>
  <c r="I4" i="62"/>
  <c r="H414" i="12" s="1"/>
  <c r="BL222" i="58"/>
  <c r="BK222" i="58"/>
  <c r="BJ222" i="58"/>
  <c r="BL221" i="58"/>
  <c r="BL211" i="58" s="1"/>
  <c r="BK221" i="58"/>
  <c r="BK211" i="58" s="1"/>
  <c r="BJ221" i="58"/>
  <c r="BJ211" i="58" s="1"/>
  <c r="BL220" i="58"/>
  <c r="BL210" i="58" s="1"/>
  <c r="BK220" i="58"/>
  <c r="BK210" i="58" s="1"/>
  <c r="BJ220" i="58"/>
  <c r="BJ210" i="58" s="1"/>
  <c r="BL219" i="58"/>
  <c r="BL209" i="58" s="1"/>
  <c r="BK219" i="58"/>
  <c r="BK209" i="58" s="1"/>
  <c r="BJ219" i="58"/>
  <c r="BJ209" i="58" s="1"/>
  <c r="BL218" i="58"/>
  <c r="BL208" i="58" s="1"/>
  <c r="BK218" i="58"/>
  <c r="BK208" i="58" s="1"/>
  <c r="BJ218" i="58"/>
  <c r="BJ208" i="58" s="1"/>
  <c r="BL217" i="58"/>
  <c r="BL207" i="58" s="1"/>
  <c r="BK217" i="58"/>
  <c r="BK207" i="58" s="1"/>
  <c r="BJ217" i="58"/>
  <c r="BJ207" i="58" s="1"/>
  <c r="BL216" i="58"/>
  <c r="BK216" i="58"/>
  <c r="BJ216" i="58"/>
  <c r="BL215" i="58"/>
  <c r="BK215" i="58"/>
  <c r="BJ215" i="58"/>
  <c r="BL212" i="58"/>
  <c r="BL204" i="58" s="1"/>
  <c r="BK212" i="58"/>
  <c r="BK204" i="58" s="1"/>
  <c r="BJ212" i="58"/>
  <c r="BJ204" i="58" s="1"/>
  <c r="BL205" i="58"/>
  <c r="BL213" i="58" s="1"/>
  <c r="BK205" i="58"/>
  <c r="BK213" i="58" s="1"/>
  <c r="BJ205" i="58"/>
  <c r="BJ213" i="58" s="1"/>
  <c r="BL201" i="58"/>
  <c r="BK201" i="58"/>
  <c r="BJ201" i="58"/>
  <c r="BL200" i="58"/>
  <c r="BK200" i="58"/>
  <c r="BJ200" i="58"/>
  <c r="BL199" i="58"/>
  <c r="BL203" i="58" s="1"/>
  <c r="BK199" i="58"/>
  <c r="BK203" i="58" s="1"/>
  <c r="BJ199" i="58"/>
  <c r="BJ203" i="58" s="1"/>
  <c r="BL198" i="58"/>
  <c r="BL202" i="58" s="1"/>
  <c r="BK198" i="58"/>
  <c r="BK202" i="58" s="1"/>
  <c r="BJ198" i="58"/>
  <c r="BJ202" i="58" s="1"/>
  <c r="BL190" i="58"/>
  <c r="BK190" i="58"/>
  <c r="BJ190" i="58"/>
  <c r="BL189" i="58"/>
  <c r="BK189" i="58"/>
  <c r="BJ189" i="58"/>
  <c r="BN6" i="60"/>
  <c r="BI155" i="58"/>
  <c r="BH155" i="58"/>
  <c r="BF155" i="58"/>
  <c r="BE155" i="58"/>
  <c r="BD155" i="58"/>
  <c r="BC155" i="58"/>
  <c r="BB155" i="58"/>
  <c r="AY155" i="58"/>
  <c r="BI8" i="59"/>
  <c r="BH8" i="59"/>
  <c r="BG8" i="59"/>
  <c r="BF8" i="59"/>
  <c r="BE8" i="59"/>
  <c r="BD8" i="59"/>
  <c r="BC8" i="59"/>
  <c r="H75" i="118"/>
  <c r="G75" i="118"/>
  <c r="F75" i="118"/>
  <c r="K73" i="118"/>
  <c r="J73" i="118"/>
  <c r="I73" i="118"/>
  <c r="G73" i="118"/>
  <c r="F73" i="118"/>
  <c r="K72" i="118"/>
  <c r="J72" i="118"/>
  <c r="I72" i="118"/>
  <c r="K71" i="118"/>
  <c r="J71" i="118"/>
  <c r="I71" i="118"/>
  <c r="K49" i="118"/>
  <c r="K50" i="118" s="1"/>
  <c r="G49" i="118"/>
  <c r="G50" i="118" s="1"/>
  <c r="F49" i="118"/>
  <c r="N47" i="118"/>
  <c r="K46" i="118"/>
  <c r="J46" i="118"/>
  <c r="J48" i="118" s="1"/>
  <c r="I46" i="118"/>
  <c r="I48" i="118" s="1"/>
  <c r="H46" i="118"/>
  <c r="H48" i="118" s="1"/>
  <c r="F46" i="118"/>
  <c r="F48" i="118" s="1"/>
  <c r="N45" i="118"/>
  <c r="N44" i="118"/>
  <c r="N43" i="118"/>
  <c r="N41" i="118"/>
  <c r="J40" i="118"/>
  <c r="J42" i="118" s="1"/>
  <c r="N38" i="118"/>
  <c r="N37" i="118"/>
  <c r="K36" i="118"/>
  <c r="I36" i="118"/>
  <c r="H36" i="118"/>
  <c r="N35" i="118"/>
  <c r="F34" i="118"/>
  <c r="F36" i="118" s="1"/>
  <c r="N33" i="118"/>
  <c r="N32" i="118"/>
  <c r="N31" i="118"/>
  <c r="K30" i="118"/>
  <c r="J30" i="118"/>
  <c r="I30" i="118"/>
  <c r="H30" i="118"/>
  <c r="F30" i="118"/>
  <c r="N29" i="118"/>
  <c r="N28" i="118"/>
  <c r="N27" i="118"/>
  <c r="N26" i="118"/>
  <c r="K25" i="118"/>
  <c r="J25" i="118"/>
  <c r="H25" i="118"/>
  <c r="F25" i="118"/>
  <c r="N24" i="118"/>
  <c r="N23" i="118"/>
  <c r="N22" i="118"/>
  <c r="N21" i="118"/>
  <c r="K20" i="118"/>
  <c r="I20" i="118"/>
  <c r="H20" i="118"/>
  <c r="F20" i="118"/>
  <c r="N19" i="118"/>
  <c r="N18" i="118"/>
  <c r="N17" i="118"/>
  <c r="N16" i="118"/>
  <c r="K15" i="118"/>
  <c r="I15" i="118"/>
  <c r="H15" i="118"/>
  <c r="F15" i="118"/>
  <c r="N14" i="118"/>
  <c r="N13" i="118"/>
  <c r="N12" i="118"/>
  <c r="N11" i="118"/>
  <c r="F10" i="118"/>
  <c r="N9" i="118"/>
  <c r="N8" i="118"/>
  <c r="N7" i="118"/>
  <c r="N6" i="118"/>
  <c r="F5" i="118"/>
  <c r="N4" i="118"/>
  <c r="N3" i="118"/>
  <c r="N2" i="118"/>
  <c r="N17" i="55"/>
  <c r="N15" i="55"/>
  <c r="N25" i="55" s="1"/>
  <c r="H58" i="12" s="1"/>
  <c r="N11" i="55"/>
  <c r="H43" i="12" s="1"/>
  <c r="H43" i="120" s="1"/>
  <c r="J7" i="55"/>
  <c r="M7" i="55" s="1"/>
  <c r="N4" i="55"/>
  <c r="H31" i="12" s="1"/>
  <c r="D32" i="122" s="1"/>
  <c r="N3" i="55"/>
  <c r="H36" i="12" s="1"/>
  <c r="H36" i="120" s="1"/>
  <c r="H13" i="120" s="1"/>
  <c r="B100" i="39"/>
  <c r="D94" i="39"/>
  <c r="E87" i="39"/>
  <c r="E88" i="39" s="1"/>
  <c r="AA86" i="39"/>
  <c r="X86" i="39"/>
  <c r="Y86" i="39" s="1"/>
  <c r="E83" i="39"/>
  <c r="E84" i="39" s="1"/>
  <c r="AA82" i="39"/>
  <c r="X82" i="39"/>
  <c r="Y82" i="39" s="1"/>
  <c r="E71" i="39"/>
  <c r="E72" i="39" s="1"/>
  <c r="AA70" i="39"/>
  <c r="X70" i="39"/>
  <c r="Y70" i="39" s="1"/>
  <c r="W69" i="39"/>
  <c r="V69" i="39"/>
  <c r="U69" i="39"/>
  <c r="T69" i="39"/>
  <c r="S69" i="39"/>
  <c r="R69" i="39"/>
  <c r="E67" i="39"/>
  <c r="E68" i="39" s="1"/>
  <c r="AA66" i="39"/>
  <c r="X66" i="39"/>
  <c r="Y66" i="39" s="1"/>
  <c r="E63" i="39"/>
  <c r="E64" i="39" s="1"/>
  <c r="AA62" i="39"/>
  <c r="X62" i="39"/>
  <c r="Y62" i="39" s="1"/>
  <c r="E59" i="39"/>
  <c r="E60" i="39" s="1"/>
  <c r="AA58" i="39"/>
  <c r="X58" i="39"/>
  <c r="Y58" i="39" s="1"/>
  <c r="E55" i="39"/>
  <c r="E56" i="39" s="1"/>
  <c r="AA54" i="39"/>
  <c r="X54" i="39"/>
  <c r="Y54" i="39" s="1"/>
  <c r="E51" i="39"/>
  <c r="E52" i="39" s="1"/>
  <c r="AA50" i="39"/>
  <c r="X50" i="39"/>
  <c r="Y50" i="39" s="1"/>
  <c r="E47" i="39"/>
  <c r="E48" i="39" s="1"/>
  <c r="AA46" i="39"/>
  <c r="X46" i="39"/>
  <c r="Y46" i="39" s="1"/>
  <c r="E43" i="39"/>
  <c r="E44" i="39" s="1"/>
  <c r="AA42" i="39"/>
  <c r="X42" i="39"/>
  <c r="Y42" i="39" s="1"/>
  <c r="E39" i="39"/>
  <c r="E40" i="39" s="1"/>
  <c r="AA38" i="39"/>
  <c r="X38" i="39"/>
  <c r="Y38" i="39" s="1"/>
  <c r="E31" i="39"/>
  <c r="E32" i="39" s="1"/>
  <c r="AA30" i="39"/>
  <c r="X30" i="39"/>
  <c r="Y30" i="39" s="1"/>
  <c r="E23" i="39"/>
  <c r="E24" i="39" s="1"/>
  <c r="AA22" i="39"/>
  <c r="X22" i="39"/>
  <c r="Y22" i="39" s="1"/>
  <c r="E19" i="39"/>
  <c r="E20" i="39" s="1"/>
  <c r="AA18" i="39"/>
  <c r="X18" i="39"/>
  <c r="Y18" i="39" s="1"/>
  <c r="E15" i="39"/>
  <c r="E16" i="39" s="1"/>
  <c r="AA14" i="39"/>
  <c r="X14" i="39"/>
  <c r="Y14" i="39" s="1"/>
  <c r="E11" i="39"/>
  <c r="E12" i="39" s="1"/>
  <c r="AA10" i="39"/>
  <c r="X10" i="39"/>
  <c r="Y10" i="39" s="1"/>
  <c r="A2" i="39"/>
  <c r="H1" i="39"/>
  <c r="G1" i="39"/>
  <c r="A1" i="39"/>
  <c r="H28" i="12"/>
  <c r="D29" i="122" s="1"/>
  <c r="B840" i="12"/>
  <c r="B763" i="12"/>
  <c r="B762" i="12"/>
  <c r="H737" i="12"/>
  <c r="H737" i="120" s="1"/>
  <c r="B736" i="12"/>
  <c r="B731" i="12"/>
  <c r="B722" i="12"/>
  <c r="B646" i="12"/>
  <c r="I265" i="12"/>
  <c r="B168" i="12"/>
  <c r="E877" i="12"/>
  <c r="E711" i="12"/>
  <c r="E711" i="120" s="1"/>
  <c r="E829" i="12"/>
  <c r="E871" i="12"/>
  <c r="E96" i="12"/>
  <c r="E96" i="120" s="1"/>
  <c r="U7" i="96"/>
  <c r="T7" i="96"/>
  <c r="U6" i="96"/>
  <c r="T6" i="96"/>
  <c r="S5" i="96"/>
  <c r="S4" i="96"/>
  <c r="A14" i="78"/>
  <c r="F14" i="78" s="1"/>
  <c r="B7" i="78"/>
  <c r="A7" i="78"/>
  <c r="B6" i="78"/>
  <c r="A6" i="78"/>
  <c r="B5" i="78"/>
  <c r="A5" i="78"/>
  <c r="B4" i="78"/>
  <c r="A4" i="78"/>
  <c r="A2" i="78"/>
  <c r="A1" i="78"/>
  <c r="Z305" i="133"/>
  <c r="AA306" i="133"/>
  <c r="AA307" i="133" s="1"/>
  <c r="BB4" i="58"/>
  <c r="J4" i="62"/>
  <c r="BM46" i="59"/>
  <c r="H226" i="12" s="1"/>
  <c r="O226" i="12" s="1"/>
  <c r="J60" i="62"/>
  <c r="G53" i="83"/>
  <c r="G56" i="83" s="1"/>
  <c r="G57" i="83" s="1"/>
  <c r="G75" i="83"/>
  <c r="G76" i="83" s="1"/>
  <c r="G77" i="83" s="1"/>
  <c r="G84" i="83" s="1"/>
  <c r="G85" i="83" s="1"/>
  <c r="G86" i="83" s="1"/>
  <c r="G78" i="63"/>
  <c r="BM14" i="59"/>
  <c r="BN14" i="59" s="1"/>
  <c r="AY4" i="58"/>
  <c r="J20" i="132"/>
  <c r="K20" i="132" s="1"/>
  <c r="E34" i="49"/>
  <c r="E35" i="49"/>
  <c r="F34" i="49"/>
  <c r="F58" i="49" s="1"/>
  <c r="G41" i="49"/>
  <c r="G34" i="49"/>
  <c r="U34" i="49"/>
  <c r="U41" i="49"/>
  <c r="K24" i="83"/>
  <c r="K65" i="118"/>
  <c r="K16" i="83"/>
  <c r="K57" i="118"/>
  <c r="K22" i="83"/>
  <c r="K63" i="118"/>
  <c r="K17" i="83"/>
  <c r="K61" i="118"/>
  <c r="BM62" i="59"/>
  <c r="H247" i="12" s="1"/>
  <c r="BM98" i="59"/>
  <c r="BM110" i="59"/>
  <c r="H282" i="12" s="1"/>
  <c r="H282" i="120" s="1"/>
  <c r="BM122" i="59"/>
  <c r="H281" i="12" s="1"/>
  <c r="H281" i="120" s="1"/>
  <c r="BM105" i="59"/>
  <c r="H267" i="12" s="1"/>
  <c r="BM117" i="59"/>
  <c r="H276" i="12" s="1"/>
  <c r="H276" i="120" s="1"/>
  <c r="BM64" i="59"/>
  <c r="H249" i="12" s="1"/>
  <c r="O249" i="12" s="1"/>
  <c r="BM100" i="59"/>
  <c r="H262" i="12" s="1"/>
  <c r="BM112" i="59"/>
  <c r="H284" i="12" s="1"/>
  <c r="H284" i="120" s="1"/>
  <c r="BM124" i="59"/>
  <c r="BN124" i="59" s="1"/>
  <c r="BM95" i="59"/>
  <c r="BN95" i="59" s="1"/>
  <c r="BM107" i="59"/>
  <c r="H269" i="12" s="1"/>
  <c r="BM119" i="59"/>
  <c r="H278" i="12" s="1"/>
  <c r="H278" i="120" s="1"/>
  <c r="BM66" i="59"/>
  <c r="BN66" i="59" s="1"/>
  <c r="BM102" i="59"/>
  <c r="H264" i="12" s="1"/>
  <c r="BM114" i="59"/>
  <c r="BN114" i="59" s="1"/>
  <c r="BM126" i="59"/>
  <c r="BN126" i="59" s="1"/>
  <c r="BM97" i="59"/>
  <c r="BM109" i="59"/>
  <c r="H271" i="12" s="1"/>
  <c r="BM121" i="59"/>
  <c r="H280" i="12" s="1"/>
  <c r="H280" i="120" s="1"/>
  <c r="BM104" i="59"/>
  <c r="BM116" i="59"/>
  <c r="H275" i="12" s="1"/>
  <c r="H275" i="120" s="1"/>
  <c r="BM128" i="59"/>
  <c r="BN128" i="59" s="1"/>
  <c r="BM93" i="59"/>
  <c r="BN93" i="59" s="1"/>
  <c r="BM63" i="59"/>
  <c r="H248" i="12" s="1"/>
  <c r="BM99" i="59"/>
  <c r="H261" i="12" s="1"/>
  <c r="BM111" i="59"/>
  <c r="H283" i="12" s="1"/>
  <c r="H283" i="120" s="1"/>
  <c r="BM123" i="59"/>
  <c r="BN123" i="59" s="1"/>
  <c r="BM94" i="59"/>
  <c r="BN94" i="59" s="1"/>
  <c r="BM106" i="59"/>
  <c r="H268" i="12" s="1"/>
  <c r="O268" i="12" s="1"/>
  <c r="BM118" i="59"/>
  <c r="BM65" i="59"/>
  <c r="H250" i="12" s="1"/>
  <c r="BM101" i="59"/>
  <c r="H263" i="12" s="1"/>
  <c r="BM113" i="59"/>
  <c r="H272" i="12" s="1"/>
  <c r="H272" i="120" s="1"/>
  <c r="BM125" i="59"/>
  <c r="BN125" i="59" s="1"/>
  <c r="BM60" i="59"/>
  <c r="H245" i="12" s="1"/>
  <c r="BM96" i="59"/>
  <c r="BN96" i="59" s="1"/>
  <c r="BM108" i="59"/>
  <c r="H270" i="12" s="1"/>
  <c r="BM120" i="59"/>
  <c r="H279" i="12" s="1"/>
  <c r="H279" i="120" s="1"/>
  <c r="BM137" i="59"/>
  <c r="BN137" i="59" s="1"/>
  <c r="BM151" i="59"/>
  <c r="BN151" i="59" s="1"/>
  <c r="BM103" i="59"/>
  <c r="BN103" i="59" s="1"/>
  <c r="BM115" i="59"/>
  <c r="H274" i="12" s="1"/>
  <c r="H274" i="120" s="1"/>
  <c r="BM127" i="59"/>
  <c r="BN127" i="59" s="1"/>
  <c r="H597" i="12"/>
  <c r="H597" i="120" s="1"/>
  <c r="J76" i="47"/>
  <c r="J18" i="62"/>
  <c r="H419" i="12"/>
  <c r="H419" i="120" s="1"/>
  <c r="I2" i="62"/>
  <c r="J2" i="62" s="1"/>
  <c r="E179" i="12"/>
  <c r="E179" i="120" s="1"/>
  <c r="E881" i="12"/>
  <c r="E488" i="12"/>
  <c r="E488" i="120" s="1"/>
  <c r="E94" i="12"/>
  <c r="E94" i="120" s="1"/>
  <c r="E639" i="12"/>
  <c r="E639" i="120" s="1"/>
  <c r="E891" i="12"/>
  <c r="E831" i="12"/>
  <c r="E865" i="12"/>
  <c r="E817" i="12"/>
  <c r="E546" i="12"/>
  <c r="E815" i="12"/>
  <c r="E827" i="12"/>
  <c r="E823" i="12"/>
  <c r="E825" i="12"/>
  <c r="H45" i="12"/>
  <c r="H45" i="120" s="1"/>
  <c r="H48" i="12"/>
  <c r="H48" i="120" s="1"/>
  <c r="K104" i="83"/>
  <c r="H857" i="12"/>
  <c r="H857" i="120" s="1"/>
  <c r="K103" i="83"/>
  <c r="H856" i="12"/>
  <c r="H856" i="120" s="1"/>
  <c r="K101" i="83"/>
  <c r="H854" i="12"/>
  <c r="H854" i="120" s="1"/>
  <c r="K102" i="83"/>
  <c r="H855" i="12"/>
  <c r="H855" i="120" s="1"/>
  <c r="E893" i="12"/>
  <c r="E887" i="12"/>
  <c r="E887" i="120" s="1"/>
  <c r="E885" i="12"/>
  <c r="E885" i="120" s="1"/>
  <c r="E562" i="12"/>
  <c r="E873" i="12"/>
  <c r="E875" i="12"/>
  <c r="L14" i="68"/>
  <c r="L13" i="68"/>
  <c r="L16" i="68"/>
  <c r="G32" i="49"/>
  <c r="G54" i="49" s="1"/>
  <c r="F33" i="62"/>
  <c r="F34" i="62" s="1"/>
  <c r="I100" i="62"/>
  <c r="F29" i="61" s="1"/>
  <c r="F69" i="61" s="1"/>
  <c r="F90" i="61" s="1"/>
  <c r="G4" i="63"/>
  <c r="G8" i="63" s="1"/>
  <c r="G59" i="63"/>
  <c r="G67" i="63" s="1"/>
  <c r="G111" i="63" s="1"/>
  <c r="G131" i="63" s="1"/>
  <c r="BA24" i="61"/>
  <c r="L87" i="63"/>
  <c r="J104" i="47"/>
  <c r="K104" i="47" s="1"/>
  <c r="Z31" i="54"/>
  <c r="L12" i="68"/>
  <c r="K105" i="83"/>
  <c r="J48" i="83"/>
  <c r="K48" i="83" s="1"/>
  <c r="J81" i="83"/>
  <c r="K81" i="83" s="1"/>
  <c r="K106" i="83"/>
  <c r="J109" i="83"/>
  <c r="K109" i="83" s="1"/>
  <c r="K2" i="83"/>
  <c r="K25" i="83"/>
  <c r="E440" i="120"/>
  <c r="E173" i="120"/>
  <c r="E500" i="12"/>
  <c r="E500" i="120" s="1"/>
  <c r="E618" i="12"/>
  <c r="E576" i="12"/>
  <c r="E576" i="120" s="1"/>
  <c r="E498" i="12"/>
  <c r="E498" i="120" s="1"/>
  <c r="E709" i="12"/>
  <c r="E616" i="12"/>
  <c r="E494" i="12"/>
  <c r="E494" i="120" s="1"/>
  <c r="E554" i="12"/>
  <c r="E574" i="12"/>
  <c r="E574" i="120" s="1"/>
  <c r="E703" i="12"/>
  <c r="E703" i="120" s="1"/>
  <c r="E786" i="12"/>
  <c r="E786" i="120" s="1"/>
  <c r="E641" i="12"/>
  <c r="E641" i="120" s="1"/>
  <c r="E544" i="12"/>
  <c r="E98" i="12"/>
  <c r="E98" i="120" s="1"/>
  <c r="E570" i="12"/>
  <c r="E600" i="12"/>
  <c r="E683" i="12"/>
  <c r="E683" i="120" s="1"/>
  <c r="E794" i="12"/>
  <c r="E750" i="12"/>
  <c r="E750" i="120" s="1"/>
  <c r="E717" i="12"/>
  <c r="E717" i="120" s="1"/>
  <c r="C3" i="74"/>
  <c r="E550" i="12"/>
  <c r="H550" i="12" s="1"/>
  <c r="E474" i="12"/>
  <c r="E474" i="120" s="1"/>
  <c r="E681" i="12"/>
  <c r="E612" i="12"/>
  <c r="E568" i="12"/>
  <c r="E715" i="12"/>
  <c r="E715" i="120" s="1"/>
  <c r="E602" i="12"/>
  <c r="E60" i="12"/>
  <c r="E60" i="120" s="1"/>
  <c r="E181" i="12"/>
  <c r="E181" i="120" s="1"/>
  <c r="E604" i="12"/>
  <c r="E564" i="12"/>
  <c r="E490" i="12"/>
  <c r="E490" i="120" s="1"/>
  <c r="E695" i="12"/>
  <c r="E695" i="120" s="1"/>
  <c r="E620" i="12"/>
  <c r="E502" i="12"/>
  <c r="E502" i="120" s="1"/>
  <c r="E560" i="12"/>
  <c r="E610" i="12"/>
  <c r="E486" i="12"/>
  <c r="E486" i="120" s="1"/>
  <c r="E693" i="12"/>
  <c r="E693" i="120" s="1"/>
  <c r="E608" i="12"/>
  <c r="E552" i="12"/>
  <c r="B552" i="12" s="1"/>
  <c r="E480" i="12"/>
  <c r="E480" i="120" s="1"/>
  <c r="E476" i="12"/>
  <c r="E476" i="120" s="1"/>
  <c r="E637" i="12"/>
  <c r="E637" i="120" s="1"/>
  <c r="E606" i="12"/>
  <c r="E556" i="12"/>
  <c r="E482" i="12"/>
  <c r="E482" i="120" s="1"/>
  <c r="E478" i="12"/>
  <c r="E478" i="120" s="1"/>
  <c r="E446" i="12"/>
  <c r="E446" i="120" s="1"/>
  <c r="E689" i="12"/>
  <c r="E689" i="120" s="1"/>
  <c r="E685" i="12"/>
  <c r="E685" i="120" s="1"/>
  <c r="E687" i="12"/>
  <c r="E687" i="120" s="1"/>
  <c r="E558" i="12"/>
  <c r="E578" i="12"/>
  <c r="E691" i="12"/>
  <c r="E691" i="120" s="1"/>
  <c r="E707" i="12"/>
  <c r="E707" i="120" s="1"/>
  <c r="I105" i="62"/>
  <c r="F32" i="61" s="1"/>
  <c r="F109" i="62"/>
  <c r="F108" i="62"/>
  <c r="F106" i="62"/>
  <c r="F43" i="62"/>
  <c r="J91" i="47"/>
  <c r="K91" i="47" s="1"/>
  <c r="F36" i="62"/>
  <c r="J36" i="62" s="1"/>
  <c r="J22" i="62"/>
  <c r="I98" i="62"/>
  <c r="J98" i="62" s="1"/>
  <c r="J99" i="62" s="1"/>
  <c r="I102" i="62"/>
  <c r="F30" i="61" s="1"/>
  <c r="F71" i="61" s="1"/>
  <c r="F92" i="61" s="1"/>
  <c r="J47" i="47"/>
  <c r="K47" i="47" s="1"/>
  <c r="J80" i="47"/>
  <c r="K80" i="47" s="1"/>
  <c r="F59" i="62"/>
  <c r="I59" i="62" s="1"/>
  <c r="F20" i="55" s="1"/>
  <c r="J41" i="62"/>
  <c r="BA22" i="61"/>
  <c r="BA23" i="61"/>
  <c r="K22" i="63"/>
  <c r="L22" i="63" s="1"/>
  <c r="K28" i="63"/>
  <c r="L28" i="63" s="1"/>
  <c r="J53" i="47"/>
  <c r="K53" i="47" s="1"/>
  <c r="J86" i="47"/>
  <c r="H525" i="12" s="1"/>
  <c r="H525" i="120" s="1"/>
  <c r="G54" i="63"/>
  <c r="G56" i="63" s="1"/>
  <c r="L33" i="63"/>
  <c r="BA45" i="61"/>
  <c r="L3" i="63"/>
  <c r="AZ7" i="61"/>
  <c r="BA7" i="61" s="1"/>
  <c r="Z115" i="54"/>
  <c r="AA115" i="54" s="1"/>
  <c r="J13" i="83"/>
  <c r="K13" i="83" s="1"/>
  <c r="Z37" i="54"/>
  <c r="AA37" i="54" s="1"/>
  <c r="Z15" i="54"/>
  <c r="AA15" i="54" s="1"/>
  <c r="Z212" i="54"/>
  <c r="J57" i="118" s="1"/>
  <c r="Z216" i="54"/>
  <c r="J61" i="118" s="1"/>
  <c r="Z220" i="54"/>
  <c r="J65" i="118" s="1"/>
  <c r="Z215" i="54"/>
  <c r="J60" i="118" s="1"/>
  <c r="Z219" i="54"/>
  <c r="J64" i="118" s="1"/>
  <c r="Z221" i="54"/>
  <c r="J66" i="118" s="1"/>
  <c r="G43" i="83"/>
  <c r="U63" i="49"/>
  <c r="U59" i="49"/>
  <c r="U61" i="49" s="1"/>
  <c r="Z187" i="54"/>
  <c r="AA187" i="54" s="1"/>
  <c r="G50" i="83"/>
  <c r="G51" i="83" s="1"/>
  <c r="G126" i="83"/>
  <c r="G143" i="83" s="1"/>
  <c r="G93" i="83"/>
  <c r="U58" i="49"/>
  <c r="F63" i="49"/>
  <c r="F59" i="49"/>
  <c r="F61" i="49" s="1"/>
  <c r="E41" i="49"/>
  <c r="F41" i="49"/>
  <c r="E32" i="49"/>
  <c r="E54" i="49" s="1"/>
  <c r="E49" i="49"/>
  <c r="B711" i="120"/>
  <c r="B889" i="120"/>
  <c r="B829" i="120"/>
  <c r="H930" i="120"/>
  <c r="G33" i="49"/>
  <c r="G36" i="49" s="1"/>
  <c r="J100" i="62"/>
  <c r="J101" i="62" s="1"/>
  <c r="I76" i="62"/>
  <c r="H931" i="120"/>
  <c r="G60" i="63"/>
  <c r="G68" i="63" s="1"/>
  <c r="K68" i="63" s="1"/>
  <c r="BM129" i="59"/>
  <c r="BN129" i="59" s="1"/>
  <c r="BM131" i="59"/>
  <c r="BN131" i="59" s="1"/>
  <c r="BM130" i="59"/>
  <c r="BN130" i="59" s="1"/>
  <c r="K76" i="47"/>
  <c r="J116" i="47"/>
  <c r="K116" i="47" s="1"/>
  <c r="G51" i="118"/>
  <c r="G52" i="118" s="1"/>
  <c r="G94" i="83"/>
  <c r="J93" i="83"/>
  <c r="K93" i="83" s="1"/>
  <c r="J42" i="62"/>
  <c r="F112" i="62"/>
  <c r="F111" i="62"/>
  <c r="F110" i="62"/>
  <c r="E33" i="49"/>
  <c r="E36" i="49" s="1"/>
  <c r="B504" i="120"/>
  <c r="B622" i="120"/>
  <c r="B578" i="120"/>
  <c r="B887" i="120"/>
  <c r="B498" i="120"/>
  <c r="B709" i="120"/>
  <c r="B502" i="120"/>
  <c r="B574" i="120"/>
  <c r="B885" i="120"/>
  <c r="B576" i="120"/>
  <c r="B713" i="120"/>
  <c r="B707" i="120"/>
  <c r="B618" i="120"/>
  <c r="B620" i="120"/>
  <c r="B580" i="120"/>
  <c r="B500" i="120"/>
  <c r="H942" i="120"/>
  <c r="G71" i="118"/>
  <c r="G72" i="118"/>
  <c r="H932" i="120"/>
  <c r="J72" i="47"/>
  <c r="K72" i="47" s="1"/>
  <c r="J37" i="47"/>
  <c r="H516" i="12" s="1"/>
  <c r="H516" i="120" s="1"/>
  <c r="J85" i="47"/>
  <c r="H524" i="12" s="1"/>
  <c r="H524" i="120" s="1"/>
  <c r="K55" i="47"/>
  <c r="J117" i="47"/>
  <c r="H538" i="12" s="1"/>
  <c r="H538" i="120" s="1"/>
  <c r="I49" i="118"/>
  <c r="I50" i="118" s="1"/>
  <c r="H730" i="120"/>
  <c r="H937" i="120"/>
  <c r="H936" i="120"/>
  <c r="F27" i="87"/>
  <c r="F51" i="87" s="1"/>
  <c r="I27" i="87"/>
  <c r="J27" i="87" s="1"/>
  <c r="H49" i="118"/>
  <c r="H50" i="118" s="1"/>
  <c r="I28" i="87"/>
  <c r="J28" i="87" s="1"/>
  <c r="Z177" i="54"/>
  <c r="AA177" i="54" s="1"/>
  <c r="J49" i="118"/>
  <c r="J50" i="118" s="1"/>
  <c r="H71" i="118"/>
  <c r="H72" i="118"/>
  <c r="H73" i="118"/>
  <c r="F72" i="118"/>
  <c r="F71" i="118"/>
  <c r="I35" i="12"/>
  <c r="H674" i="120"/>
  <c r="J5" i="55"/>
  <c r="M5" i="55" s="1"/>
  <c r="J6" i="55"/>
  <c r="H167" i="12"/>
  <c r="H167" i="120" s="1"/>
  <c r="J19" i="132"/>
  <c r="H325" i="12" s="1"/>
  <c r="H325" i="120" s="1"/>
  <c r="J17" i="132"/>
  <c r="H323" i="12" s="1"/>
  <c r="H938" i="120"/>
  <c r="I764" i="120"/>
  <c r="I942" i="12"/>
  <c r="J942" i="12" s="1"/>
  <c r="G1" i="122"/>
  <c r="B4" i="74"/>
  <c r="M925" i="12" s="1"/>
  <c r="I1" i="77"/>
  <c r="H5" i="39"/>
  <c r="G5" i="78"/>
  <c r="B4" i="40"/>
  <c r="I773" i="12"/>
  <c r="E33" i="122"/>
  <c r="D14" i="77"/>
  <c r="I932" i="12"/>
  <c r="J932" i="12" s="1"/>
  <c r="I934" i="12"/>
  <c r="J934" i="12" s="1"/>
  <c r="I939" i="12"/>
  <c r="J939" i="12" s="1"/>
  <c r="I929" i="12"/>
  <c r="J929" i="12" s="1"/>
  <c r="I936" i="12"/>
  <c r="J936" i="12" s="1"/>
  <c r="I931" i="12"/>
  <c r="J931" i="12" s="1"/>
  <c r="I937" i="12"/>
  <c r="J937" i="12" s="1"/>
  <c r="I935" i="12"/>
  <c r="J935" i="12" s="1"/>
  <c r="I933" i="12"/>
  <c r="J933" i="12" s="1"/>
  <c r="I940" i="12"/>
  <c r="J940" i="12" s="1"/>
  <c r="I961" i="12"/>
  <c r="J961" i="12" s="1"/>
  <c r="I952" i="12"/>
  <c r="I953" i="12"/>
  <c r="I965" i="12"/>
  <c r="J965" i="12" s="1"/>
  <c r="I946" i="12"/>
  <c r="J946" i="12" s="1"/>
  <c r="I957" i="12"/>
  <c r="I943" i="12"/>
  <c r="J943" i="12" s="1"/>
  <c r="I944" i="12"/>
  <c r="J944" i="12" s="1"/>
  <c r="I959" i="12"/>
  <c r="J959" i="12" s="1"/>
  <c r="I955" i="12"/>
  <c r="I960" i="12"/>
  <c r="I956" i="12"/>
  <c r="J956" i="12" s="1"/>
  <c r="I947" i="12"/>
  <c r="J947" i="12" s="1"/>
  <c r="I948" i="12"/>
  <c r="J948" i="12" s="1"/>
  <c r="I945" i="12"/>
  <c r="J945" i="12" s="1"/>
  <c r="I954" i="12"/>
  <c r="J954" i="12" s="1"/>
  <c r="I950" i="12"/>
  <c r="J950" i="12" s="1"/>
  <c r="I958" i="12"/>
  <c r="J958" i="12" s="1"/>
  <c r="I962" i="12"/>
  <c r="J962" i="12" s="1"/>
  <c r="I949" i="12"/>
  <c r="J949" i="12" s="1"/>
  <c r="I951" i="12"/>
  <c r="J951" i="12" s="1"/>
  <c r="I662" i="12"/>
  <c r="I539" i="12"/>
  <c r="I764" i="12"/>
  <c r="J764" i="12" s="1"/>
  <c r="I941" i="12"/>
  <c r="J941" i="12" s="1"/>
  <c r="I938" i="12"/>
  <c r="J938" i="12" s="1"/>
  <c r="J6" i="47"/>
  <c r="K6" i="47" s="1"/>
  <c r="J14" i="47"/>
  <c r="K14" i="47" s="1"/>
  <c r="J10" i="47"/>
  <c r="K10" i="47" s="1"/>
  <c r="J2" i="47"/>
  <c r="K2" i="47" s="1"/>
  <c r="E63" i="43" a="1"/>
  <c r="E1" i="43" a="1"/>
  <c r="D1" i="43" a="1"/>
  <c r="E3" i="43" a="1"/>
  <c r="C71" i="78" l="1"/>
  <c r="G500" i="120"/>
  <c r="F500" i="120"/>
  <c r="D500" i="120"/>
  <c r="C500" i="120"/>
  <c r="C536" i="12"/>
  <c r="D673" i="12"/>
  <c r="C673" i="12"/>
  <c r="N65" i="120"/>
  <c r="G65" i="120"/>
  <c r="F65" i="120"/>
  <c r="D65" i="120"/>
  <c r="C65" i="120"/>
  <c r="N237" i="120"/>
  <c r="G237" i="120"/>
  <c r="F237" i="120"/>
  <c r="D237" i="120"/>
  <c r="C237" i="120"/>
  <c r="N265" i="120"/>
  <c r="D265" i="120"/>
  <c r="C265" i="120"/>
  <c r="F265" i="120"/>
  <c r="F283" i="120"/>
  <c r="D283" i="120"/>
  <c r="C283" i="120"/>
  <c r="G283" i="120"/>
  <c r="G337" i="120"/>
  <c r="F337" i="120"/>
  <c r="D337" i="120"/>
  <c r="C337" i="120"/>
  <c r="G351" i="120"/>
  <c r="F351" i="120"/>
  <c r="D351" i="120"/>
  <c r="C351" i="120"/>
  <c r="G364" i="120"/>
  <c r="F364" i="120"/>
  <c r="D364" i="120"/>
  <c r="C364" i="120"/>
  <c r="G377" i="120"/>
  <c r="F377" i="120"/>
  <c r="D377" i="120"/>
  <c r="C377" i="120"/>
  <c r="G425" i="120"/>
  <c r="F425" i="120"/>
  <c r="D425" i="120"/>
  <c r="C425" i="120"/>
  <c r="M425" i="120"/>
  <c r="G437" i="120"/>
  <c r="F437" i="120"/>
  <c r="D437" i="120"/>
  <c r="C437" i="120"/>
  <c r="G521" i="120"/>
  <c r="F521" i="120"/>
  <c r="D521" i="120"/>
  <c r="C521" i="120"/>
  <c r="N657" i="120"/>
  <c r="G657" i="120"/>
  <c r="F657" i="120"/>
  <c r="D657" i="120"/>
  <c r="C657" i="120"/>
  <c r="G670" i="120"/>
  <c r="I670" i="120" s="1"/>
  <c r="F670" i="120"/>
  <c r="D670" i="120"/>
  <c r="C670" i="120"/>
  <c r="D838" i="120"/>
  <c r="C838" i="120"/>
  <c r="G838" i="120"/>
  <c r="F838" i="120"/>
  <c r="G852" i="120"/>
  <c r="I852" i="120" s="1"/>
  <c r="F852" i="120"/>
  <c r="D852" i="120"/>
  <c r="C852" i="120"/>
  <c r="M902" i="120"/>
  <c r="G902" i="120"/>
  <c r="F902" i="120"/>
  <c r="D902" i="120"/>
  <c r="C902" i="120"/>
  <c r="G923" i="120"/>
  <c r="F923" i="120"/>
  <c r="D923" i="120"/>
  <c r="C923" i="120"/>
  <c r="M923" i="120"/>
  <c r="G580" i="120"/>
  <c r="I580" i="120" s="1"/>
  <c r="F580" i="120"/>
  <c r="D580" i="120"/>
  <c r="C580" i="120"/>
  <c r="C534" i="12"/>
  <c r="D674" i="12"/>
  <c r="C674" i="12"/>
  <c r="G102" i="120"/>
  <c r="I102" i="120" s="1"/>
  <c r="F102" i="120"/>
  <c r="D102" i="120"/>
  <c r="C102" i="120"/>
  <c r="N118" i="120"/>
  <c r="D118" i="120"/>
  <c r="C118" i="120"/>
  <c r="G118" i="120"/>
  <c r="I118" i="120" s="1"/>
  <c r="F118" i="120"/>
  <c r="G145" i="120"/>
  <c r="F145" i="120"/>
  <c r="D145" i="120"/>
  <c r="C145" i="120"/>
  <c r="G163" i="120"/>
  <c r="F163" i="120"/>
  <c r="D163" i="120"/>
  <c r="C163" i="120"/>
  <c r="G195" i="120"/>
  <c r="F195" i="120"/>
  <c r="D195" i="120"/>
  <c r="C195" i="120"/>
  <c r="D221" i="120"/>
  <c r="C221" i="120"/>
  <c r="N221" i="120"/>
  <c r="G221" i="120"/>
  <c r="F221" i="120"/>
  <c r="G352" i="120"/>
  <c r="F352" i="120"/>
  <c r="D352" i="120"/>
  <c r="C352" i="120"/>
  <c r="G459" i="120"/>
  <c r="F459" i="120"/>
  <c r="D459" i="120"/>
  <c r="C459" i="120"/>
  <c r="G509" i="120"/>
  <c r="F509" i="120"/>
  <c r="D509" i="120"/>
  <c r="C509" i="120"/>
  <c r="G583" i="120"/>
  <c r="I583" i="120" s="1"/>
  <c r="F583" i="120"/>
  <c r="D583" i="120"/>
  <c r="C583" i="120"/>
  <c r="G596" i="120"/>
  <c r="F596" i="120"/>
  <c r="D596" i="120"/>
  <c r="C596" i="120"/>
  <c r="N724" i="120"/>
  <c r="G724" i="120"/>
  <c r="I724" i="120" s="1"/>
  <c r="F724" i="120"/>
  <c r="D724" i="120"/>
  <c r="C724" i="120"/>
  <c r="G737" i="120"/>
  <c r="I737" i="120" s="1"/>
  <c r="J737" i="120" s="1"/>
  <c r="F737" i="120"/>
  <c r="D737" i="120"/>
  <c r="C737" i="120"/>
  <c r="G750" i="120"/>
  <c r="I750" i="120" s="1"/>
  <c r="F750" i="120"/>
  <c r="D750" i="120"/>
  <c r="C750" i="120"/>
  <c r="G777" i="120"/>
  <c r="F777" i="120"/>
  <c r="D777" i="120"/>
  <c r="C777" i="120"/>
  <c r="D798" i="120"/>
  <c r="C798" i="120"/>
  <c r="N798" i="120"/>
  <c r="G798" i="120"/>
  <c r="F798" i="120"/>
  <c r="D810" i="120"/>
  <c r="C810" i="120"/>
  <c r="G810" i="120"/>
  <c r="I810" i="120" s="1"/>
  <c r="F810" i="120"/>
  <c r="G913" i="120"/>
  <c r="I913" i="120" s="1"/>
  <c r="J913" i="120" s="1"/>
  <c r="M913" i="120"/>
  <c r="F913" i="120"/>
  <c r="D913" i="120"/>
  <c r="C913" i="120"/>
  <c r="G939" i="120"/>
  <c r="I939" i="120" s="1"/>
  <c r="J939" i="120" s="1"/>
  <c r="F939" i="120"/>
  <c r="D939" i="120"/>
  <c r="C939" i="120"/>
  <c r="G948" i="120"/>
  <c r="F948" i="120"/>
  <c r="D948" i="120"/>
  <c r="C948" i="120"/>
  <c r="G957" i="120"/>
  <c r="I957" i="120" s="1"/>
  <c r="J957" i="120" s="1"/>
  <c r="F957" i="120"/>
  <c r="D957" i="120"/>
  <c r="C957" i="120"/>
  <c r="N238" i="120"/>
  <c r="G238" i="120"/>
  <c r="F238" i="120"/>
  <c r="D238" i="120"/>
  <c r="C238" i="120"/>
  <c r="G620" i="120"/>
  <c r="I620" i="120" s="1"/>
  <c r="F620" i="120"/>
  <c r="D620" i="120"/>
  <c r="C620" i="120"/>
  <c r="C535" i="12"/>
  <c r="C812" i="12"/>
  <c r="D812" i="12"/>
  <c r="N67" i="120"/>
  <c r="G67" i="120"/>
  <c r="I67" i="120" s="1"/>
  <c r="F67" i="120"/>
  <c r="D67" i="120"/>
  <c r="C67" i="120"/>
  <c r="N239" i="120"/>
  <c r="D239" i="120"/>
  <c r="C239" i="120"/>
  <c r="G239" i="120"/>
  <c r="F239" i="120"/>
  <c r="N266" i="120"/>
  <c r="M266" i="120"/>
  <c r="G266" i="120"/>
  <c r="F266" i="120"/>
  <c r="D266" i="120"/>
  <c r="C266" i="120"/>
  <c r="G284" i="120"/>
  <c r="I284" i="120" s="1"/>
  <c r="J284" i="120" s="1"/>
  <c r="F284" i="120"/>
  <c r="D284" i="120"/>
  <c r="C284" i="120"/>
  <c r="G305" i="120"/>
  <c r="I305" i="120" s="1"/>
  <c r="F305" i="120"/>
  <c r="D305" i="120"/>
  <c r="C305" i="120"/>
  <c r="G338" i="120"/>
  <c r="I338" i="120" s="1"/>
  <c r="F338" i="120"/>
  <c r="D338" i="120"/>
  <c r="C338" i="120"/>
  <c r="G353" i="120"/>
  <c r="I353" i="120" s="1"/>
  <c r="J353" i="120" s="1"/>
  <c r="F353" i="120"/>
  <c r="D353" i="120"/>
  <c r="C353" i="120"/>
  <c r="G365" i="120"/>
  <c r="F365" i="120"/>
  <c r="D365" i="120"/>
  <c r="C365" i="120"/>
  <c r="G378" i="120"/>
  <c r="F378" i="120"/>
  <c r="D378" i="120"/>
  <c r="C378" i="120"/>
  <c r="G393" i="120"/>
  <c r="I393" i="120" s="1"/>
  <c r="J393" i="120" s="1"/>
  <c r="F393" i="120"/>
  <c r="D393" i="120"/>
  <c r="C393" i="120"/>
  <c r="G414" i="120"/>
  <c r="I414" i="120" s="1"/>
  <c r="F414" i="120"/>
  <c r="I20" i="120" s="1"/>
  <c r="D414" i="120"/>
  <c r="C414" i="120"/>
  <c r="N414" i="120"/>
  <c r="G426" i="120"/>
  <c r="I426" i="120" s="1"/>
  <c r="F426" i="120"/>
  <c r="D426" i="120"/>
  <c r="C426" i="120"/>
  <c r="G438" i="120"/>
  <c r="I438" i="120" s="1"/>
  <c r="F438" i="120"/>
  <c r="D438" i="120"/>
  <c r="C438" i="120"/>
  <c r="G522" i="120"/>
  <c r="I522" i="120" s="1"/>
  <c r="F522" i="120"/>
  <c r="D522" i="120"/>
  <c r="C522" i="120"/>
  <c r="N658" i="120"/>
  <c r="G658" i="120"/>
  <c r="F658" i="120"/>
  <c r="D658" i="120"/>
  <c r="C658" i="120"/>
  <c r="G671" i="120"/>
  <c r="I671" i="120" s="1"/>
  <c r="F671" i="120"/>
  <c r="D671" i="120"/>
  <c r="C671" i="120"/>
  <c r="G839" i="120"/>
  <c r="I839" i="120" s="1"/>
  <c r="F839" i="120"/>
  <c r="D839" i="120"/>
  <c r="C839" i="120"/>
  <c r="M903" i="120"/>
  <c r="G903" i="120"/>
  <c r="F903" i="120"/>
  <c r="D903" i="120"/>
  <c r="C903" i="120"/>
  <c r="G929" i="120"/>
  <c r="I929" i="120" s="1"/>
  <c r="J929" i="120" s="1"/>
  <c r="F929" i="120"/>
  <c r="D929" i="120"/>
  <c r="C929" i="120"/>
  <c r="G618" i="120"/>
  <c r="I618" i="120" s="1"/>
  <c r="F618" i="120"/>
  <c r="D618" i="120"/>
  <c r="C618" i="120"/>
  <c r="C589" i="12"/>
  <c r="D813" i="12"/>
  <c r="C813" i="12"/>
  <c r="G103" i="120"/>
  <c r="I103" i="120" s="1"/>
  <c r="F103" i="120"/>
  <c r="D103" i="120"/>
  <c r="C103" i="120"/>
  <c r="N120" i="120"/>
  <c r="M120" i="120"/>
  <c r="G120" i="120"/>
  <c r="I120" i="120" s="1"/>
  <c r="F120" i="120"/>
  <c r="D120" i="120"/>
  <c r="C120" i="120"/>
  <c r="M147" i="120"/>
  <c r="G147" i="120"/>
  <c r="I147" i="120" s="1"/>
  <c r="F147" i="120"/>
  <c r="D147" i="120"/>
  <c r="C147" i="120"/>
  <c r="G164" i="120"/>
  <c r="F164" i="120"/>
  <c r="D164" i="120"/>
  <c r="C164" i="120"/>
  <c r="D197" i="120"/>
  <c r="N197" i="120"/>
  <c r="C197" i="120"/>
  <c r="G197" i="120"/>
  <c r="I197" i="120" s="1"/>
  <c r="F197" i="120"/>
  <c r="N224" i="120"/>
  <c r="G224" i="120"/>
  <c r="I224" i="120" s="1"/>
  <c r="F224" i="120"/>
  <c r="D224" i="120"/>
  <c r="C224" i="120"/>
  <c r="N324" i="120"/>
  <c r="C324" i="120"/>
  <c r="G324" i="120"/>
  <c r="I324" i="120" s="1"/>
  <c r="F324" i="120"/>
  <c r="D324" i="120"/>
  <c r="G510" i="120"/>
  <c r="I510" i="120" s="1"/>
  <c r="F510" i="120"/>
  <c r="D510" i="120"/>
  <c r="C510" i="120"/>
  <c r="G584" i="120"/>
  <c r="F584" i="120"/>
  <c r="D584" i="120"/>
  <c r="C584" i="120"/>
  <c r="F597" i="120"/>
  <c r="D597" i="120"/>
  <c r="C597" i="120"/>
  <c r="G597" i="120"/>
  <c r="I597" i="120" s="1"/>
  <c r="J597" i="120" s="1"/>
  <c r="N725" i="120"/>
  <c r="G725" i="120"/>
  <c r="I725" i="120" s="1"/>
  <c r="F725" i="120"/>
  <c r="D725" i="120"/>
  <c r="C725" i="120"/>
  <c r="G738" i="120"/>
  <c r="I738" i="120" s="1"/>
  <c r="F738" i="120"/>
  <c r="D738" i="120"/>
  <c r="C738" i="120"/>
  <c r="G766" i="120"/>
  <c r="I766" i="120" s="1"/>
  <c r="J766" i="120" s="1"/>
  <c r="F766" i="120"/>
  <c r="D766" i="120"/>
  <c r="C766" i="120"/>
  <c r="G778" i="120"/>
  <c r="I778" i="120" s="1"/>
  <c r="F778" i="120"/>
  <c r="D778" i="120"/>
  <c r="C778" i="120"/>
  <c r="N799" i="120"/>
  <c r="G799" i="120"/>
  <c r="I799" i="120" s="1"/>
  <c r="F799" i="120"/>
  <c r="D799" i="120"/>
  <c r="C799" i="120"/>
  <c r="G811" i="120"/>
  <c r="F811" i="120"/>
  <c r="D811" i="120"/>
  <c r="C811" i="120"/>
  <c r="G854" i="120"/>
  <c r="I854" i="120" s="1"/>
  <c r="J854" i="120" s="1"/>
  <c r="F854" i="120"/>
  <c r="D854" i="120"/>
  <c r="C854" i="120"/>
  <c r="N854" i="120"/>
  <c r="O854" i="120" s="1"/>
  <c r="G914" i="120"/>
  <c r="I914" i="120" s="1"/>
  <c r="J914" i="120" s="1"/>
  <c r="F914" i="120"/>
  <c r="D914" i="120"/>
  <c r="C914" i="120"/>
  <c r="M914" i="120"/>
  <c r="G958" i="120"/>
  <c r="I958" i="120" s="1"/>
  <c r="J958" i="120" s="1"/>
  <c r="F958" i="120"/>
  <c r="D958" i="120"/>
  <c r="C958" i="120"/>
  <c r="D130" i="120"/>
  <c r="C130" i="120"/>
  <c r="G130" i="120"/>
  <c r="I130" i="120" s="1"/>
  <c r="F130" i="120"/>
  <c r="N240" i="120"/>
  <c r="G240" i="120"/>
  <c r="F240" i="120"/>
  <c r="D240" i="120"/>
  <c r="C240" i="120"/>
  <c r="G707" i="120"/>
  <c r="I707" i="120" s="1"/>
  <c r="F707" i="120"/>
  <c r="D707" i="120"/>
  <c r="C707" i="120"/>
  <c r="D590" i="12"/>
  <c r="C590" i="12"/>
  <c r="D862" i="12"/>
  <c r="C862" i="12"/>
  <c r="D68" i="120"/>
  <c r="C68" i="120"/>
  <c r="G68" i="120"/>
  <c r="N68" i="120"/>
  <c r="F68" i="120"/>
  <c r="N241" i="120"/>
  <c r="G241" i="120"/>
  <c r="F241" i="120"/>
  <c r="D241" i="120"/>
  <c r="C241" i="120"/>
  <c r="N267" i="120"/>
  <c r="G267" i="120"/>
  <c r="F267" i="120"/>
  <c r="D267" i="120"/>
  <c r="C267" i="120"/>
  <c r="C285" i="120"/>
  <c r="D285" i="120"/>
  <c r="G285" i="120"/>
  <c r="I285" i="120" s="1"/>
  <c r="F285" i="120"/>
  <c r="G307" i="120"/>
  <c r="I307" i="120" s="1"/>
  <c r="F307" i="120"/>
  <c r="D307" i="120"/>
  <c r="C307" i="120"/>
  <c r="G339" i="120"/>
  <c r="I339" i="120" s="1"/>
  <c r="J339" i="120" s="1"/>
  <c r="F339" i="120"/>
  <c r="D339" i="120"/>
  <c r="C339" i="120"/>
  <c r="G354" i="120"/>
  <c r="F354" i="120"/>
  <c r="D354" i="120"/>
  <c r="C354" i="120"/>
  <c r="G366" i="120"/>
  <c r="F366" i="120"/>
  <c r="D366" i="120"/>
  <c r="C366" i="120"/>
  <c r="C379" i="120"/>
  <c r="G379" i="120"/>
  <c r="I379" i="120" s="1"/>
  <c r="J379" i="120" s="1"/>
  <c r="F379" i="120"/>
  <c r="D379" i="120"/>
  <c r="G394" i="120"/>
  <c r="I394" i="120" s="1"/>
  <c r="J394" i="120" s="1"/>
  <c r="F394" i="120"/>
  <c r="D394" i="120"/>
  <c r="C394" i="120"/>
  <c r="C415" i="120"/>
  <c r="G415" i="120"/>
  <c r="I415" i="120" s="1"/>
  <c r="N415" i="120"/>
  <c r="F415" i="120"/>
  <c r="D415" i="120"/>
  <c r="C427" i="120"/>
  <c r="G427" i="120"/>
  <c r="I427" i="120" s="1"/>
  <c r="F427" i="120"/>
  <c r="D427" i="120"/>
  <c r="C461" i="120"/>
  <c r="G461" i="120"/>
  <c r="I461" i="120" s="1"/>
  <c r="F461" i="120"/>
  <c r="D461" i="120"/>
  <c r="G523" i="120"/>
  <c r="F523" i="120"/>
  <c r="D523" i="120"/>
  <c r="C523" i="120"/>
  <c r="G537" i="120"/>
  <c r="F537" i="120"/>
  <c r="D537" i="120"/>
  <c r="C537" i="120"/>
  <c r="G672" i="120"/>
  <c r="I672" i="120" s="1"/>
  <c r="F672" i="120"/>
  <c r="D672" i="120"/>
  <c r="C672" i="120"/>
  <c r="G904" i="120"/>
  <c r="I904" i="120" s="1"/>
  <c r="J904" i="120" s="1"/>
  <c r="F904" i="120"/>
  <c r="D904" i="120"/>
  <c r="C904" i="120"/>
  <c r="G940" i="120"/>
  <c r="I940" i="120" s="1"/>
  <c r="J940" i="120" s="1"/>
  <c r="F940" i="120"/>
  <c r="D940" i="120"/>
  <c r="C940" i="120"/>
  <c r="C949" i="120"/>
  <c r="G949" i="120"/>
  <c r="I949" i="120" s="1"/>
  <c r="J949" i="120" s="1"/>
  <c r="F949" i="120"/>
  <c r="D949" i="120"/>
  <c r="G713" i="120"/>
  <c r="F713" i="120"/>
  <c r="D713" i="120"/>
  <c r="C713" i="120"/>
  <c r="N660" i="12"/>
  <c r="D660" i="12"/>
  <c r="C660" i="12"/>
  <c r="D863" i="12"/>
  <c r="C863" i="12"/>
  <c r="G104" i="120"/>
  <c r="I104" i="120" s="1"/>
  <c r="F104" i="120"/>
  <c r="I15" i="120" s="1"/>
  <c r="D104" i="120"/>
  <c r="C104" i="120"/>
  <c r="N104" i="120"/>
  <c r="M104" i="120"/>
  <c r="M122" i="120"/>
  <c r="G122" i="120"/>
  <c r="I122" i="120" s="1"/>
  <c r="F122" i="120"/>
  <c r="D122" i="120"/>
  <c r="C122" i="120"/>
  <c r="M150" i="120"/>
  <c r="G150" i="120"/>
  <c r="F150" i="120"/>
  <c r="D150" i="120"/>
  <c r="C150" i="120"/>
  <c r="G165" i="120"/>
  <c r="I165" i="120" s="1"/>
  <c r="F165" i="120"/>
  <c r="D165" i="120"/>
  <c r="C165" i="120"/>
  <c r="N198" i="120"/>
  <c r="G198" i="120"/>
  <c r="I198" i="120" s="1"/>
  <c r="F198" i="120"/>
  <c r="D198" i="120"/>
  <c r="C198" i="120"/>
  <c r="N225" i="120"/>
  <c r="G225" i="120"/>
  <c r="I225" i="120" s="1"/>
  <c r="F225" i="120"/>
  <c r="D225" i="120"/>
  <c r="C225" i="120"/>
  <c r="G325" i="120"/>
  <c r="I325" i="120" s="1"/>
  <c r="J325" i="120" s="1"/>
  <c r="F325" i="120"/>
  <c r="D325" i="120"/>
  <c r="C325" i="120"/>
  <c r="G511" i="120"/>
  <c r="F511" i="120"/>
  <c r="D511" i="120"/>
  <c r="C511" i="120"/>
  <c r="D585" i="120"/>
  <c r="C585" i="120"/>
  <c r="G585" i="120"/>
  <c r="I585" i="120" s="1"/>
  <c r="F585" i="120"/>
  <c r="G598" i="120"/>
  <c r="I598" i="120" s="1"/>
  <c r="F598" i="120"/>
  <c r="D598" i="120"/>
  <c r="C598" i="120"/>
  <c r="N726" i="120"/>
  <c r="G726" i="120"/>
  <c r="I726" i="120" s="1"/>
  <c r="F726" i="120"/>
  <c r="D726" i="120"/>
  <c r="C726" i="120"/>
  <c r="G739" i="120"/>
  <c r="I739" i="120" s="1"/>
  <c r="F739" i="120"/>
  <c r="D739" i="120"/>
  <c r="C739" i="120"/>
  <c r="G767" i="120"/>
  <c r="I767" i="120" s="1"/>
  <c r="J767" i="120" s="1"/>
  <c r="F767" i="120"/>
  <c r="D767" i="120"/>
  <c r="C767" i="120"/>
  <c r="G779" i="120"/>
  <c r="F779" i="120"/>
  <c r="D779" i="120"/>
  <c r="C779" i="120"/>
  <c r="N800" i="120"/>
  <c r="G800" i="120"/>
  <c r="I800" i="120" s="1"/>
  <c r="F800" i="120"/>
  <c r="D800" i="120"/>
  <c r="C800" i="120"/>
  <c r="G841" i="120"/>
  <c r="I841" i="120" s="1"/>
  <c r="F841" i="120"/>
  <c r="D841" i="120"/>
  <c r="C841" i="120"/>
  <c r="N841" i="120"/>
  <c r="G930" i="120"/>
  <c r="I930" i="120" s="1"/>
  <c r="J930" i="120" s="1"/>
  <c r="F930" i="120"/>
  <c r="D930" i="120"/>
  <c r="C930" i="120"/>
  <c r="D142" i="120"/>
  <c r="C142" i="120"/>
  <c r="G142" i="120"/>
  <c r="I142" i="120" s="1"/>
  <c r="F142" i="120"/>
  <c r="G131" i="120"/>
  <c r="F131" i="120"/>
  <c r="D131" i="120"/>
  <c r="C131" i="120"/>
  <c r="N242" i="120"/>
  <c r="G242" i="120"/>
  <c r="F242" i="120"/>
  <c r="D242" i="120"/>
  <c r="C242" i="120"/>
  <c r="C168" i="12"/>
  <c r="C460" i="12"/>
  <c r="N69" i="120"/>
  <c r="G69" i="120"/>
  <c r="I69" i="120" s="1"/>
  <c r="F69" i="120"/>
  <c r="D69" i="120"/>
  <c r="C69" i="120"/>
  <c r="N249" i="120"/>
  <c r="G249" i="120"/>
  <c r="I249" i="120" s="1"/>
  <c r="F249" i="120"/>
  <c r="D249" i="120"/>
  <c r="C249" i="120"/>
  <c r="N268" i="120"/>
  <c r="G268" i="120"/>
  <c r="I268" i="120" s="1"/>
  <c r="F268" i="120"/>
  <c r="D268" i="120"/>
  <c r="C268" i="120"/>
  <c r="G286" i="120"/>
  <c r="F286" i="120"/>
  <c r="D286" i="120"/>
  <c r="C286" i="120"/>
  <c r="G308" i="120"/>
  <c r="I308" i="120" s="1"/>
  <c r="F308" i="120"/>
  <c r="D308" i="120"/>
  <c r="C308" i="120"/>
  <c r="G340" i="120"/>
  <c r="I340" i="120" s="1"/>
  <c r="J340" i="120" s="1"/>
  <c r="F340" i="120"/>
  <c r="D340" i="120"/>
  <c r="C340" i="120"/>
  <c r="C355" i="120"/>
  <c r="G355" i="120"/>
  <c r="I355" i="120" s="1"/>
  <c r="J355" i="120" s="1"/>
  <c r="F355" i="120"/>
  <c r="D355" i="120"/>
  <c r="C367" i="120"/>
  <c r="G367" i="120"/>
  <c r="I367" i="120" s="1"/>
  <c r="J367" i="120" s="1"/>
  <c r="F367" i="120"/>
  <c r="D367" i="120"/>
  <c r="G380" i="120"/>
  <c r="I380" i="120" s="1"/>
  <c r="J380" i="120" s="1"/>
  <c r="F380" i="120"/>
  <c r="D380" i="120"/>
  <c r="C380" i="120"/>
  <c r="G395" i="120"/>
  <c r="F395" i="120"/>
  <c r="D395" i="120"/>
  <c r="C395" i="120"/>
  <c r="G416" i="120"/>
  <c r="I416" i="120" s="1"/>
  <c r="F416" i="120"/>
  <c r="D416" i="120"/>
  <c r="C416" i="120"/>
  <c r="N416" i="120"/>
  <c r="M428" i="120"/>
  <c r="G428" i="120"/>
  <c r="I428" i="120" s="1"/>
  <c r="F428" i="120"/>
  <c r="D428" i="120"/>
  <c r="C428" i="120"/>
  <c r="G524" i="120"/>
  <c r="I524" i="120" s="1"/>
  <c r="J524" i="120" s="1"/>
  <c r="F524" i="120"/>
  <c r="D524" i="120"/>
  <c r="C524" i="120"/>
  <c r="C538" i="120"/>
  <c r="G538" i="120"/>
  <c r="I538" i="120" s="1"/>
  <c r="J538" i="120" s="1"/>
  <c r="F538" i="120"/>
  <c r="D538" i="120"/>
  <c r="F661" i="120"/>
  <c r="D661" i="120"/>
  <c r="C661" i="120"/>
  <c r="N661" i="120"/>
  <c r="G661" i="120"/>
  <c r="I661" i="120" s="1"/>
  <c r="G915" i="120"/>
  <c r="I915" i="120" s="1"/>
  <c r="F915" i="120"/>
  <c r="D915" i="120"/>
  <c r="C915" i="120"/>
  <c r="M915" i="120"/>
  <c r="G959" i="120"/>
  <c r="I959" i="120" s="1"/>
  <c r="J959" i="120" s="1"/>
  <c r="F959" i="120"/>
  <c r="D959" i="120"/>
  <c r="C959" i="120"/>
  <c r="G885" i="120"/>
  <c r="F885" i="120"/>
  <c r="D885" i="120"/>
  <c r="C885" i="120"/>
  <c r="C532" i="12"/>
  <c r="G105" i="120"/>
  <c r="I105" i="120" s="1"/>
  <c r="F105" i="120"/>
  <c r="D105" i="120"/>
  <c r="C105" i="120"/>
  <c r="N105" i="120"/>
  <c r="N123" i="120"/>
  <c r="G123" i="120"/>
  <c r="I123" i="120" s="1"/>
  <c r="F123" i="120"/>
  <c r="D123" i="120"/>
  <c r="C123" i="120"/>
  <c r="M152" i="120"/>
  <c r="G152" i="120"/>
  <c r="I152" i="120" s="1"/>
  <c r="F152" i="120"/>
  <c r="D152" i="120"/>
  <c r="C152" i="120"/>
  <c r="D166" i="120"/>
  <c r="C166" i="120"/>
  <c r="G166" i="120"/>
  <c r="I166" i="120" s="1"/>
  <c r="F166" i="120"/>
  <c r="G199" i="120"/>
  <c r="I199" i="120" s="1"/>
  <c r="F199" i="120"/>
  <c r="D199" i="120"/>
  <c r="C199" i="120"/>
  <c r="N199" i="120"/>
  <c r="G327" i="120"/>
  <c r="I327" i="120" s="1"/>
  <c r="J327" i="120" s="1"/>
  <c r="F327" i="120"/>
  <c r="D327" i="120"/>
  <c r="C327" i="120"/>
  <c r="C449" i="120"/>
  <c r="G449" i="120"/>
  <c r="I449" i="120" s="1"/>
  <c r="F449" i="120"/>
  <c r="D449" i="120"/>
  <c r="G512" i="120"/>
  <c r="I512" i="120" s="1"/>
  <c r="F512" i="120"/>
  <c r="D512" i="120"/>
  <c r="C512" i="120"/>
  <c r="G586" i="120"/>
  <c r="I586" i="120" s="1"/>
  <c r="F586" i="120"/>
  <c r="D586" i="120"/>
  <c r="C586" i="120"/>
  <c r="G647" i="120"/>
  <c r="I647" i="120" s="1"/>
  <c r="F647" i="120"/>
  <c r="D647" i="120"/>
  <c r="N647" i="120"/>
  <c r="C647" i="120"/>
  <c r="G727" i="120"/>
  <c r="I727" i="120" s="1"/>
  <c r="F727" i="120"/>
  <c r="D727" i="120"/>
  <c r="C727" i="120"/>
  <c r="G740" i="120"/>
  <c r="I740" i="120" s="1"/>
  <c r="F740" i="120"/>
  <c r="D740" i="120"/>
  <c r="C740" i="120"/>
  <c r="G753" i="120"/>
  <c r="F753" i="120"/>
  <c r="D753" i="120"/>
  <c r="C753" i="120"/>
  <c r="G768" i="120"/>
  <c r="F768" i="120"/>
  <c r="D768" i="120"/>
  <c r="C768" i="120"/>
  <c r="G780" i="120"/>
  <c r="I780" i="120" s="1"/>
  <c r="F780" i="120"/>
  <c r="D780" i="120"/>
  <c r="C780" i="120"/>
  <c r="N801" i="120"/>
  <c r="G801" i="120"/>
  <c r="I801" i="120" s="1"/>
  <c r="F801" i="120"/>
  <c r="D801" i="120"/>
  <c r="C801" i="120"/>
  <c r="G819" i="120"/>
  <c r="I819" i="120" s="1"/>
  <c r="F819" i="120"/>
  <c r="D819" i="120"/>
  <c r="C819" i="120"/>
  <c r="G842" i="120"/>
  <c r="I842" i="120" s="1"/>
  <c r="F842" i="120"/>
  <c r="D842" i="120"/>
  <c r="C842" i="120"/>
  <c r="N842" i="120"/>
  <c r="N857" i="120"/>
  <c r="O857" i="120" s="1"/>
  <c r="G857" i="120"/>
  <c r="I857" i="120" s="1"/>
  <c r="J857" i="120" s="1"/>
  <c r="F857" i="120"/>
  <c r="D857" i="120"/>
  <c r="C857" i="120"/>
  <c r="M905" i="120"/>
  <c r="G905" i="120"/>
  <c r="I905" i="120" s="1"/>
  <c r="F905" i="120"/>
  <c r="D905" i="120"/>
  <c r="C905" i="120"/>
  <c r="C931" i="120"/>
  <c r="G931" i="120"/>
  <c r="I931" i="120" s="1"/>
  <c r="J931" i="120" s="1"/>
  <c r="F931" i="120"/>
  <c r="D931" i="120"/>
  <c r="G941" i="120"/>
  <c r="I941" i="120" s="1"/>
  <c r="J941" i="120" s="1"/>
  <c r="F941" i="120"/>
  <c r="D941" i="120"/>
  <c r="C941" i="120"/>
  <c r="G950" i="120"/>
  <c r="I950" i="120" s="1"/>
  <c r="J950" i="120" s="1"/>
  <c r="F950" i="120"/>
  <c r="D950" i="120"/>
  <c r="C950" i="120"/>
  <c r="G132" i="120"/>
  <c r="I132" i="120" s="1"/>
  <c r="J132" i="120" s="1"/>
  <c r="F132" i="120"/>
  <c r="D132" i="120"/>
  <c r="C132" i="120"/>
  <c r="D574" i="120"/>
  <c r="C574" i="120"/>
  <c r="G574" i="120"/>
  <c r="I574" i="120" s="1"/>
  <c r="F574" i="120"/>
  <c r="N646" i="12"/>
  <c r="D646" i="12"/>
  <c r="C646" i="12"/>
  <c r="C848" i="12"/>
  <c r="D334" i="12"/>
  <c r="C334" i="12"/>
  <c r="N70" i="120"/>
  <c r="G70" i="120"/>
  <c r="I70" i="120" s="1"/>
  <c r="F70" i="120"/>
  <c r="D70" i="120"/>
  <c r="C70" i="120"/>
  <c r="N227" i="120"/>
  <c r="D227" i="120"/>
  <c r="C227" i="120"/>
  <c r="G227" i="120"/>
  <c r="I227" i="120" s="1"/>
  <c r="F227" i="120"/>
  <c r="N250" i="120"/>
  <c r="G250" i="120"/>
  <c r="I250" i="120" s="1"/>
  <c r="F250" i="120"/>
  <c r="D250" i="120"/>
  <c r="C250" i="120"/>
  <c r="G274" i="120"/>
  <c r="F274" i="120"/>
  <c r="D274" i="120"/>
  <c r="C274" i="120"/>
  <c r="G287" i="120"/>
  <c r="I287" i="120" s="1"/>
  <c r="F287" i="120"/>
  <c r="D287" i="120"/>
  <c r="C287" i="120"/>
  <c r="C309" i="120"/>
  <c r="D309" i="120"/>
  <c r="G309" i="120"/>
  <c r="I309" i="120" s="1"/>
  <c r="F309" i="120"/>
  <c r="G341" i="120"/>
  <c r="I341" i="120" s="1"/>
  <c r="J341" i="120" s="1"/>
  <c r="F341" i="120"/>
  <c r="D341" i="120"/>
  <c r="C341" i="120"/>
  <c r="G356" i="120"/>
  <c r="I356" i="120" s="1"/>
  <c r="J356" i="120" s="1"/>
  <c r="F356" i="120"/>
  <c r="D356" i="120"/>
  <c r="C356" i="120"/>
  <c r="G368" i="120"/>
  <c r="I368" i="120" s="1"/>
  <c r="J368" i="120" s="1"/>
  <c r="F368" i="120"/>
  <c r="D368" i="120"/>
  <c r="C368" i="120"/>
  <c r="G381" i="120"/>
  <c r="F381" i="120"/>
  <c r="D381" i="120"/>
  <c r="C381" i="120"/>
  <c r="G417" i="120"/>
  <c r="F417" i="120"/>
  <c r="D417" i="120"/>
  <c r="C417" i="120"/>
  <c r="N417" i="120"/>
  <c r="G429" i="120"/>
  <c r="I429" i="120" s="1"/>
  <c r="F429" i="120"/>
  <c r="D429" i="120"/>
  <c r="C429" i="120"/>
  <c r="G464" i="120"/>
  <c r="I464" i="120" s="1"/>
  <c r="F464" i="120"/>
  <c r="D464" i="120"/>
  <c r="C464" i="120"/>
  <c r="G525" i="120"/>
  <c r="I525" i="120" s="1"/>
  <c r="J525" i="120" s="1"/>
  <c r="F525" i="120"/>
  <c r="D525" i="120"/>
  <c r="C525" i="120"/>
  <c r="F539" i="120"/>
  <c r="D539" i="120"/>
  <c r="C539" i="120"/>
  <c r="F662" i="120"/>
  <c r="N662" i="120"/>
  <c r="D662" i="120"/>
  <c r="C662" i="120"/>
  <c r="G679" i="120"/>
  <c r="I679" i="120" s="1"/>
  <c r="F679" i="120"/>
  <c r="D679" i="120"/>
  <c r="C679" i="120"/>
  <c r="G821" i="120"/>
  <c r="I821" i="120" s="1"/>
  <c r="F821" i="120"/>
  <c r="D821" i="120"/>
  <c r="C821" i="120"/>
  <c r="G916" i="120"/>
  <c r="I916" i="120" s="1"/>
  <c r="J916" i="120" s="1"/>
  <c r="F916" i="120"/>
  <c r="D916" i="120"/>
  <c r="C916" i="120"/>
  <c r="M916" i="120"/>
  <c r="G502" i="120"/>
  <c r="I502" i="120" s="1"/>
  <c r="F502" i="120"/>
  <c r="D502" i="120"/>
  <c r="C502" i="120"/>
  <c r="N722" i="12"/>
  <c r="O722" i="12" s="1"/>
  <c r="C722" i="12"/>
  <c r="C850" i="12"/>
  <c r="N107" i="120"/>
  <c r="M107" i="120"/>
  <c r="G107" i="120"/>
  <c r="I107" i="120" s="1"/>
  <c r="F107" i="120"/>
  <c r="D107" i="120"/>
  <c r="C107" i="120"/>
  <c r="N125" i="120"/>
  <c r="G125" i="120"/>
  <c r="I125" i="120" s="1"/>
  <c r="F125" i="120"/>
  <c r="D125" i="120"/>
  <c r="C125" i="120"/>
  <c r="G153" i="120"/>
  <c r="I153" i="120" s="1"/>
  <c r="F153" i="120"/>
  <c r="D153" i="120"/>
  <c r="C153" i="120"/>
  <c r="G167" i="120"/>
  <c r="I167" i="120" s="1"/>
  <c r="J167" i="120" s="1"/>
  <c r="F167" i="120"/>
  <c r="D167" i="120"/>
  <c r="C167" i="120"/>
  <c r="N200" i="120"/>
  <c r="G200" i="120"/>
  <c r="I200" i="120" s="1"/>
  <c r="F200" i="120"/>
  <c r="D200" i="120"/>
  <c r="C200" i="120"/>
  <c r="G328" i="120"/>
  <c r="F328" i="120"/>
  <c r="D328" i="120"/>
  <c r="C328" i="120"/>
  <c r="G450" i="120"/>
  <c r="I450" i="120" s="1"/>
  <c r="F450" i="120"/>
  <c r="D450" i="120"/>
  <c r="C450" i="120"/>
  <c r="G513" i="120"/>
  <c r="I513" i="120" s="1"/>
  <c r="F513" i="120"/>
  <c r="D513" i="120"/>
  <c r="C513" i="120"/>
  <c r="G587" i="120"/>
  <c r="I587" i="120" s="1"/>
  <c r="F587" i="120"/>
  <c r="I23" i="120" s="1"/>
  <c r="D587" i="120"/>
  <c r="C587" i="120"/>
  <c r="G625" i="120"/>
  <c r="I625" i="120" s="1"/>
  <c r="F625" i="120"/>
  <c r="D625" i="120"/>
  <c r="C625" i="120"/>
  <c r="G648" i="120"/>
  <c r="I648" i="120" s="1"/>
  <c r="F648" i="120"/>
  <c r="D648" i="120"/>
  <c r="C648" i="120"/>
  <c r="N648" i="120"/>
  <c r="G715" i="120"/>
  <c r="I715" i="120" s="1"/>
  <c r="F715" i="120"/>
  <c r="D715" i="120"/>
  <c r="C715" i="120"/>
  <c r="G728" i="120"/>
  <c r="I728" i="120" s="1"/>
  <c r="F728" i="120"/>
  <c r="D728" i="120"/>
  <c r="C728" i="120"/>
  <c r="G741" i="120"/>
  <c r="I741" i="120" s="1"/>
  <c r="F741" i="120"/>
  <c r="D741" i="120"/>
  <c r="C741" i="120"/>
  <c r="G754" i="120"/>
  <c r="I754" i="120" s="1"/>
  <c r="F754" i="120"/>
  <c r="D754" i="120"/>
  <c r="C754" i="120"/>
  <c r="C769" i="120"/>
  <c r="G769" i="120"/>
  <c r="I769" i="120" s="1"/>
  <c r="J769" i="120" s="1"/>
  <c r="F769" i="120"/>
  <c r="D769" i="120"/>
  <c r="D781" i="120"/>
  <c r="C781" i="120"/>
  <c r="G781" i="120"/>
  <c r="F781" i="120"/>
  <c r="G802" i="120"/>
  <c r="I802" i="120" s="1"/>
  <c r="F802" i="120"/>
  <c r="D802" i="120"/>
  <c r="C802" i="120"/>
  <c r="G831" i="120"/>
  <c r="I831" i="120" s="1"/>
  <c r="F831" i="120"/>
  <c r="D831" i="120"/>
  <c r="C831" i="120"/>
  <c r="G843" i="120"/>
  <c r="I843" i="120" s="1"/>
  <c r="F843" i="120"/>
  <c r="D843" i="120"/>
  <c r="C843" i="120"/>
  <c r="N843" i="120"/>
  <c r="G858" i="120"/>
  <c r="I858" i="120" s="1"/>
  <c r="J858" i="120" s="1"/>
  <c r="F858" i="120"/>
  <c r="D858" i="120"/>
  <c r="C858" i="120"/>
  <c r="D906" i="120"/>
  <c r="M906" i="120"/>
  <c r="C906" i="120"/>
  <c r="G906" i="120"/>
  <c r="F906" i="120"/>
  <c r="G932" i="120"/>
  <c r="F932" i="120"/>
  <c r="D932" i="120"/>
  <c r="C932" i="120"/>
  <c r="G960" i="120"/>
  <c r="I960" i="120" s="1"/>
  <c r="F960" i="120"/>
  <c r="D960" i="120"/>
  <c r="C960" i="120"/>
  <c r="G576" i="120"/>
  <c r="I576" i="120" s="1"/>
  <c r="F576" i="120"/>
  <c r="D576" i="120"/>
  <c r="C576" i="120"/>
  <c r="G709" i="120"/>
  <c r="I709" i="120" s="1"/>
  <c r="F709" i="120"/>
  <c r="D709" i="120"/>
  <c r="C709" i="120"/>
  <c r="C731" i="12"/>
  <c r="D851" i="12"/>
  <c r="C851" i="12"/>
  <c r="D392" i="12"/>
  <c r="C392" i="12"/>
  <c r="D390" i="12"/>
  <c r="C390" i="12"/>
  <c r="N71" i="120"/>
  <c r="G71" i="120"/>
  <c r="I71" i="120" s="1"/>
  <c r="F71" i="120"/>
  <c r="D71" i="120"/>
  <c r="C71" i="120"/>
  <c r="N228" i="120"/>
  <c r="G228" i="120"/>
  <c r="I228" i="120" s="1"/>
  <c r="F228" i="120"/>
  <c r="D228" i="120"/>
  <c r="C228" i="120"/>
  <c r="N251" i="120"/>
  <c r="G251" i="120"/>
  <c r="I251" i="120" s="1"/>
  <c r="F251" i="120"/>
  <c r="D251" i="120"/>
  <c r="C251" i="120"/>
  <c r="G275" i="120"/>
  <c r="I275" i="120" s="1"/>
  <c r="J275" i="120" s="1"/>
  <c r="F275" i="120"/>
  <c r="D275" i="120"/>
  <c r="C275" i="120"/>
  <c r="D288" i="120"/>
  <c r="C288" i="120"/>
  <c r="G288" i="120"/>
  <c r="I288" i="120" s="1"/>
  <c r="F288" i="120"/>
  <c r="G310" i="120"/>
  <c r="I310" i="120" s="1"/>
  <c r="F310" i="120"/>
  <c r="D310" i="120"/>
  <c r="C310" i="120"/>
  <c r="C342" i="120"/>
  <c r="G342" i="120"/>
  <c r="I342" i="120" s="1"/>
  <c r="J342" i="120" s="1"/>
  <c r="F342" i="120"/>
  <c r="D342" i="120"/>
  <c r="G357" i="120"/>
  <c r="I357" i="120" s="1"/>
  <c r="J357" i="120" s="1"/>
  <c r="F357" i="120"/>
  <c r="D357" i="120"/>
  <c r="C357" i="120"/>
  <c r="G369" i="120"/>
  <c r="I369" i="120" s="1"/>
  <c r="J369" i="120" s="1"/>
  <c r="F369" i="120"/>
  <c r="D369" i="120"/>
  <c r="C369" i="120"/>
  <c r="G382" i="120"/>
  <c r="I382" i="120" s="1"/>
  <c r="J382" i="120" s="1"/>
  <c r="F382" i="120"/>
  <c r="D382" i="120"/>
  <c r="C382" i="120"/>
  <c r="C398" i="120"/>
  <c r="G398" i="120"/>
  <c r="I398" i="120" s="1"/>
  <c r="J398" i="120" s="1"/>
  <c r="F398" i="120"/>
  <c r="D398" i="120"/>
  <c r="G418" i="120"/>
  <c r="I418" i="120" s="1"/>
  <c r="J418" i="120" s="1"/>
  <c r="F418" i="120"/>
  <c r="D418" i="120"/>
  <c r="C418" i="120"/>
  <c r="N418" i="120"/>
  <c r="O418" i="120" s="1"/>
  <c r="G430" i="120"/>
  <c r="I430" i="120" s="1"/>
  <c r="F430" i="120"/>
  <c r="D430" i="120"/>
  <c r="C430" i="120"/>
  <c r="G465" i="120"/>
  <c r="I465" i="120" s="1"/>
  <c r="F465" i="120"/>
  <c r="D465" i="120"/>
  <c r="C465" i="120"/>
  <c r="C526" i="120"/>
  <c r="G526" i="120"/>
  <c r="I526" i="120" s="1"/>
  <c r="F526" i="120"/>
  <c r="D526" i="120"/>
  <c r="G663" i="120"/>
  <c r="I663" i="120" s="1"/>
  <c r="F663" i="120"/>
  <c r="D663" i="120"/>
  <c r="C663" i="120"/>
  <c r="N663" i="120"/>
  <c r="G717" i="120"/>
  <c r="I717" i="120" s="1"/>
  <c r="F717" i="120"/>
  <c r="D717" i="120"/>
  <c r="C717" i="120"/>
  <c r="G942" i="120"/>
  <c r="I942" i="120" s="1"/>
  <c r="J942" i="120" s="1"/>
  <c r="F942" i="120"/>
  <c r="D942" i="120"/>
  <c r="C942" i="120"/>
  <c r="G951" i="120"/>
  <c r="I951" i="120" s="1"/>
  <c r="J951" i="120" s="1"/>
  <c r="F951" i="120"/>
  <c r="D951" i="120"/>
  <c r="C951" i="120"/>
  <c r="G133" i="120"/>
  <c r="I133" i="120" s="1"/>
  <c r="F133" i="120"/>
  <c r="D133" i="120"/>
  <c r="C133" i="120"/>
  <c r="G498" i="120"/>
  <c r="I498" i="120" s="1"/>
  <c r="F498" i="120"/>
  <c r="D498" i="120"/>
  <c r="C498" i="120"/>
  <c r="D829" i="120"/>
  <c r="C829" i="120"/>
  <c r="G829" i="120"/>
  <c r="I829" i="120" s="1"/>
  <c r="I828" i="120" s="1"/>
  <c r="F829" i="120"/>
  <c r="D736" i="12"/>
  <c r="C736" i="12"/>
  <c r="N855" i="12"/>
  <c r="O855" i="12" s="1"/>
  <c r="C855" i="12"/>
  <c r="D396" i="12"/>
  <c r="C396" i="12"/>
  <c r="N110" i="120"/>
  <c r="M110" i="120"/>
  <c r="G110" i="120"/>
  <c r="I110" i="120" s="1"/>
  <c r="F110" i="120"/>
  <c r="D110" i="120"/>
  <c r="C110" i="120"/>
  <c r="M126" i="120"/>
  <c r="G126" i="120"/>
  <c r="I126" i="120" s="1"/>
  <c r="F126" i="120"/>
  <c r="D126" i="120"/>
  <c r="C126" i="120"/>
  <c r="M154" i="120"/>
  <c r="D154" i="120"/>
  <c r="C154" i="120"/>
  <c r="G154" i="120"/>
  <c r="I154" i="120" s="1"/>
  <c r="F154" i="120"/>
  <c r="N201" i="120"/>
  <c r="G201" i="120"/>
  <c r="I201" i="120" s="1"/>
  <c r="F201" i="120"/>
  <c r="D201" i="120"/>
  <c r="C201" i="120"/>
  <c r="G329" i="120"/>
  <c r="I329" i="120" s="1"/>
  <c r="J329" i="120" s="1"/>
  <c r="F329" i="120"/>
  <c r="D329" i="120"/>
  <c r="C329" i="120"/>
  <c r="G451" i="120"/>
  <c r="I451" i="120" s="1"/>
  <c r="F451" i="120"/>
  <c r="D451" i="120"/>
  <c r="C451" i="120"/>
  <c r="C514" i="120"/>
  <c r="G514" i="120"/>
  <c r="I514" i="120" s="1"/>
  <c r="F514" i="120"/>
  <c r="D514" i="120"/>
  <c r="G588" i="120"/>
  <c r="I588" i="120" s="1"/>
  <c r="F588" i="120"/>
  <c r="D588" i="120"/>
  <c r="C588" i="120"/>
  <c r="F626" i="120"/>
  <c r="I24" i="120" s="1"/>
  <c r="D626" i="120"/>
  <c r="C626" i="120"/>
  <c r="N626" i="120"/>
  <c r="G626" i="120"/>
  <c r="I626" i="120" s="1"/>
  <c r="F649" i="120"/>
  <c r="D649" i="120"/>
  <c r="C649" i="120"/>
  <c r="N649" i="120"/>
  <c r="G649" i="120"/>
  <c r="I649" i="120" s="1"/>
  <c r="G729" i="120"/>
  <c r="I729" i="120" s="1"/>
  <c r="F729" i="120"/>
  <c r="D729" i="120"/>
  <c r="C729" i="120"/>
  <c r="G742" i="120"/>
  <c r="I742" i="120" s="1"/>
  <c r="J742" i="120" s="1"/>
  <c r="F742" i="120"/>
  <c r="D742" i="120"/>
  <c r="C742" i="120"/>
  <c r="G755" i="120"/>
  <c r="I755" i="120" s="1"/>
  <c r="F755" i="120"/>
  <c r="D755" i="120"/>
  <c r="C755" i="120"/>
  <c r="G770" i="120"/>
  <c r="I770" i="120" s="1"/>
  <c r="F770" i="120"/>
  <c r="D770" i="120"/>
  <c r="C770" i="120"/>
  <c r="G782" i="120"/>
  <c r="I782" i="120" s="1"/>
  <c r="F782" i="120"/>
  <c r="D782" i="120"/>
  <c r="C782" i="120"/>
  <c r="G803" i="120"/>
  <c r="I803" i="120" s="1"/>
  <c r="F803" i="120"/>
  <c r="D803" i="120"/>
  <c r="N803" i="120"/>
  <c r="C803" i="120"/>
  <c r="D844" i="120"/>
  <c r="C844" i="120"/>
  <c r="N844" i="120"/>
  <c r="G844" i="120"/>
  <c r="I844" i="120" s="1"/>
  <c r="F844" i="120"/>
  <c r="G859" i="120"/>
  <c r="F859" i="120"/>
  <c r="D859" i="120"/>
  <c r="C859" i="120"/>
  <c r="G917" i="120"/>
  <c r="I917" i="120" s="1"/>
  <c r="F917" i="120"/>
  <c r="D917" i="120"/>
  <c r="C917" i="120"/>
  <c r="M917" i="120"/>
  <c r="G933" i="120"/>
  <c r="I933" i="120" s="1"/>
  <c r="J933" i="120" s="1"/>
  <c r="F933" i="120"/>
  <c r="D933" i="120"/>
  <c r="C933" i="120"/>
  <c r="C961" i="120"/>
  <c r="G961" i="120"/>
  <c r="I961" i="120" s="1"/>
  <c r="J961" i="120" s="1"/>
  <c r="F961" i="120"/>
  <c r="D961" i="120"/>
  <c r="G887" i="120"/>
  <c r="I887" i="120" s="1"/>
  <c r="I886" i="120" s="1"/>
  <c r="F887" i="120"/>
  <c r="D887" i="120"/>
  <c r="C887" i="120"/>
  <c r="G889" i="120"/>
  <c r="I889" i="120" s="1"/>
  <c r="I888" i="120" s="1"/>
  <c r="F889" i="120"/>
  <c r="D889" i="120"/>
  <c r="C889" i="120"/>
  <c r="N856" i="12"/>
  <c r="O856" i="12" s="1"/>
  <c r="C856" i="12"/>
  <c r="D515" i="12"/>
  <c r="C515" i="12"/>
  <c r="D397" i="12"/>
  <c r="C397" i="12"/>
  <c r="N73" i="120"/>
  <c r="G73" i="120"/>
  <c r="I73" i="120" s="1"/>
  <c r="F73" i="120"/>
  <c r="D73" i="120"/>
  <c r="C73" i="120"/>
  <c r="N229" i="120"/>
  <c r="G229" i="120"/>
  <c r="F229" i="120"/>
  <c r="D229" i="120"/>
  <c r="C229" i="120"/>
  <c r="N254" i="120"/>
  <c r="G254" i="120"/>
  <c r="F254" i="120"/>
  <c r="D254" i="120"/>
  <c r="C254" i="120"/>
  <c r="D276" i="120"/>
  <c r="C276" i="120"/>
  <c r="G276" i="120"/>
  <c r="I276" i="120" s="1"/>
  <c r="J276" i="120" s="1"/>
  <c r="F276" i="120"/>
  <c r="C297" i="120"/>
  <c r="D297" i="120"/>
  <c r="G297" i="120"/>
  <c r="I297" i="120" s="1"/>
  <c r="J297" i="120" s="1"/>
  <c r="F297" i="120"/>
  <c r="G311" i="120"/>
  <c r="I311" i="120" s="1"/>
  <c r="J311" i="120" s="1"/>
  <c r="F311" i="120"/>
  <c r="D311" i="120"/>
  <c r="C311" i="120"/>
  <c r="G358" i="120"/>
  <c r="I358" i="120" s="1"/>
  <c r="J358" i="120" s="1"/>
  <c r="F358" i="120"/>
  <c r="D358" i="120"/>
  <c r="C358" i="120"/>
  <c r="G370" i="120"/>
  <c r="F370" i="120"/>
  <c r="D370" i="120"/>
  <c r="C370" i="120"/>
  <c r="G383" i="120"/>
  <c r="F383" i="120"/>
  <c r="D383" i="120"/>
  <c r="C383" i="120"/>
  <c r="G419" i="120"/>
  <c r="F419" i="120"/>
  <c r="D419" i="120"/>
  <c r="C419" i="120"/>
  <c r="G431" i="120"/>
  <c r="I431" i="120" s="1"/>
  <c r="F431" i="120"/>
  <c r="D431" i="120"/>
  <c r="C431" i="120"/>
  <c r="G527" i="120"/>
  <c r="I527" i="120" s="1"/>
  <c r="F527" i="120"/>
  <c r="D527" i="120"/>
  <c r="C527" i="120"/>
  <c r="G542" i="120"/>
  <c r="I542" i="120" s="1"/>
  <c r="F542" i="120"/>
  <c r="D542" i="120"/>
  <c r="C542" i="120"/>
  <c r="G664" i="120"/>
  <c r="F664" i="120"/>
  <c r="D664" i="120"/>
  <c r="C664" i="120"/>
  <c r="N664" i="120"/>
  <c r="M896" i="120"/>
  <c r="G896" i="120"/>
  <c r="I896" i="120" s="1"/>
  <c r="F896" i="120"/>
  <c r="D896" i="120"/>
  <c r="C896" i="120"/>
  <c r="M907" i="120"/>
  <c r="G907" i="120"/>
  <c r="I907" i="120" s="1"/>
  <c r="J907" i="120" s="1"/>
  <c r="F907" i="120"/>
  <c r="D907" i="120"/>
  <c r="C907" i="120"/>
  <c r="C943" i="120"/>
  <c r="G943" i="120"/>
  <c r="I943" i="120" s="1"/>
  <c r="J943" i="120" s="1"/>
  <c r="F943" i="120"/>
  <c r="D943" i="120"/>
  <c r="N226" i="120"/>
  <c r="G226" i="120"/>
  <c r="I226" i="120" s="1"/>
  <c r="F226" i="120"/>
  <c r="D226" i="120"/>
  <c r="C226" i="120"/>
  <c r="G578" i="120"/>
  <c r="F578" i="120"/>
  <c r="D578" i="120"/>
  <c r="C578" i="120"/>
  <c r="G711" i="120"/>
  <c r="F711" i="120"/>
  <c r="D711" i="120"/>
  <c r="C711" i="120"/>
  <c r="D762" i="12"/>
  <c r="C762" i="12"/>
  <c r="C853" i="12"/>
  <c r="N853" i="12"/>
  <c r="D399" i="12"/>
  <c r="C399" i="12"/>
  <c r="M112" i="120"/>
  <c r="D112" i="120"/>
  <c r="C112" i="120"/>
  <c r="G112" i="120"/>
  <c r="I112" i="120" s="1"/>
  <c r="F112" i="120"/>
  <c r="G127" i="120"/>
  <c r="I127" i="120" s="1"/>
  <c r="F127" i="120"/>
  <c r="D127" i="120"/>
  <c r="C127" i="120"/>
  <c r="G155" i="120"/>
  <c r="F155" i="120"/>
  <c r="D155" i="120"/>
  <c r="C155" i="120"/>
  <c r="G208" i="120"/>
  <c r="I208" i="120" s="1"/>
  <c r="F208" i="120"/>
  <c r="D208" i="120"/>
  <c r="C208" i="120"/>
  <c r="M208" i="120"/>
  <c r="G331" i="120"/>
  <c r="I331" i="120" s="1"/>
  <c r="J331" i="120" s="1"/>
  <c r="F331" i="120"/>
  <c r="D331" i="120"/>
  <c r="C331" i="120"/>
  <c r="G401" i="120"/>
  <c r="I401" i="120" s="1"/>
  <c r="F401" i="120"/>
  <c r="D401" i="120"/>
  <c r="C401" i="120"/>
  <c r="G452" i="120"/>
  <c r="I452" i="120" s="1"/>
  <c r="F452" i="120"/>
  <c r="D452" i="120"/>
  <c r="C452" i="120"/>
  <c r="C472" i="120"/>
  <c r="G472" i="120"/>
  <c r="I472" i="120" s="1"/>
  <c r="F472" i="120"/>
  <c r="D472" i="120"/>
  <c r="G627" i="120"/>
  <c r="I627" i="120" s="1"/>
  <c r="F627" i="120"/>
  <c r="D627" i="120"/>
  <c r="C627" i="120"/>
  <c r="N651" i="120"/>
  <c r="G651" i="120"/>
  <c r="I651" i="120" s="1"/>
  <c r="F651" i="120"/>
  <c r="D651" i="120"/>
  <c r="C651" i="120"/>
  <c r="G730" i="120"/>
  <c r="I730" i="120" s="1"/>
  <c r="J730" i="120" s="1"/>
  <c r="F730" i="120"/>
  <c r="D730" i="120"/>
  <c r="C730" i="120"/>
  <c r="G743" i="120"/>
  <c r="I743" i="120" s="1"/>
  <c r="F743" i="120"/>
  <c r="D743" i="120"/>
  <c r="C743" i="120"/>
  <c r="G756" i="120"/>
  <c r="I756" i="120" s="1"/>
  <c r="F756" i="120"/>
  <c r="D756" i="120"/>
  <c r="C756" i="120"/>
  <c r="G771" i="120"/>
  <c r="I771" i="120" s="1"/>
  <c r="J771" i="120" s="1"/>
  <c r="F771" i="120"/>
  <c r="D771" i="120"/>
  <c r="C771" i="120"/>
  <c r="G783" i="120"/>
  <c r="I783" i="120" s="1"/>
  <c r="F783" i="120"/>
  <c r="D783" i="120"/>
  <c r="C783" i="120"/>
  <c r="D804" i="120"/>
  <c r="C804" i="120"/>
  <c r="G804" i="120"/>
  <c r="I804" i="120" s="1"/>
  <c r="F804" i="120"/>
  <c r="N845" i="120"/>
  <c r="G845" i="120"/>
  <c r="I845" i="120" s="1"/>
  <c r="F845" i="120"/>
  <c r="D845" i="120"/>
  <c r="C845" i="120"/>
  <c r="G860" i="120"/>
  <c r="I860" i="120" s="1"/>
  <c r="F860" i="120"/>
  <c r="D860" i="120"/>
  <c r="C860" i="120"/>
  <c r="D918" i="120"/>
  <c r="C918" i="120"/>
  <c r="M918" i="120"/>
  <c r="G918" i="120"/>
  <c r="I918" i="120" s="1"/>
  <c r="F918" i="120"/>
  <c r="G952" i="120"/>
  <c r="F952" i="120"/>
  <c r="D952" i="120"/>
  <c r="C952" i="120"/>
  <c r="G458" i="120"/>
  <c r="I458" i="120" s="1"/>
  <c r="F458" i="120"/>
  <c r="D458" i="120"/>
  <c r="C458" i="120"/>
  <c r="G622" i="120"/>
  <c r="I622" i="120" s="1"/>
  <c r="F622" i="120"/>
  <c r="D622" i="120"/>
  <c r="C622" i="120"/>
  <c r="N763" i="12"/>
  <c r="D763" i="12"/>
  <c r="C763" i="12"/>
  <c r="D403" i="12"/>
  <c r="C403" i="12"/>
  <c r="G76" i="120"/>
  <c r="I76" i="120" s="1"/>
  <c r="F76" i="120"/>
  <c r="D76" i="120"/>
  <c r="C76" i="120"/>
  <c r="N230" i="120"/>
  <c r="G230" i="120"/>
  <c r="I230" i="120" s="1"/>
  <c r="F230" i="120"/>
  <c r="D230" i="120"/>
  <c r="C230" i="120"/>
  <c r="N256" i="120"/>
  <c r="G256" i="120"/>
  <c r="I256" i="120" s="1"/>
  <c r="F256" i="120"/>
  <c r="D256" i="120"/>
  <c r="C256" i="120"/>
  <c r="G278" i="120"/>
  <c r="I278" i="120" s="1"/>
  <c r="J278" i="120" s="1"/>
  <c r="F278" i="120"/>
  <c r="D278" i="120"/>
  <c r="C278" i="120"/>
  <c r="G359" i="120"/>
  <c r="I359" i="120" s="1"/>
  <c r="J359" i="120" s="1"/>
  <c r="F359" i="120"/>
  <c r="D359" i="120"/>
  <c r="C359" i="120"/>
  <c r="G371" i="120"/>
  <c r="I371" i="120" s="1"/>
  <c r="J371" i="120" s="1"/>
  <c r="F371" i="120"/>
  <c r="D371" i="120"/>
  <c r="C371" i="120"/>
  <c r="G384" i="120"/>
  <c r="I384" i="120" s="1"/>
  <c r="J384" i="120" s="1"/>
  <c r="F384" i="120"/>
  <c r="D384" i="120"/>
  <c r="C384" i="120"/>
  <c r="G407" i="120"/>
  <c r="I407" i="120" s="1"/>
  <c r="F407" i="120"/>
  <c r="D407" i="120"/>
  <c r="C407" i="120"/>
  <c r="G420" i="120"/>
  <c r="I420" i="120" s="1"/>
  <c r="F420" i="120"/>
  <c r="D420" i="120"/>
  <c r="C420" i="120"/>
  <c r="G432" i="120"/>
  <c r="I432" i="120" s="1"/>
  <c r="F432" i="120"/>
  <c r="D432" i="120"/>
  <c r="C432" i="120"/>
  <c r="G516" i="120"/>
  <c r="I516" i="120" s="1"/>
  <c r="J516" i="120" s="1"/>
  <c r="F516" i="120"/>
  <c r="D516" i="120"/>
  <c r="C516" i="120"/>
  <c r="G528" i="120"/>
  <c r="I528" i="120" s="1"/>
  <c r="F528" i="120"/>
  <c r="D528" i="120"/>
  <c r="C528" i="120"/>
  <c r="G568" i="120"/>
  <c r="I568" i="120" s="1"/>
  <c r="F568" i="120"/>
  <c r="D568" i="120"/>
  <c r="C568" i="120"/>
  <c r="G665" i="120"/>
  <c r="I665" i="120" s="1"/>
  <c r="F665" i="120"/>
  <c r="D665" i="120"/>
  <c r="C665" i="120"/>
  <c r="N665" i="120"/>
  <c r="M897" i="120"/>
  <c r="G897" i="120"/>
  <c r="I897" i="120" s="1"/>
  <c r="F897" i="120"/>
  <c r="D897" i="120"/>
  <c r="C897" i="120"/>
  <c r="G934" i="120"/>
  <c r="I934" i="120" s="1"/>
  <c r="J934" i="120" s="1"/>
  <c r="F934" i="120"/>
  <c r="D934" i="120"/>
  <c r="C934" i="120"/>
  <c r="G944" i="120"/>
  <c r="I944" i="120" s="1"/>
  <c r="J944" i="120" s="1"/>
  <c r="F944" i="120"/>
  <c r="D944" i="120"/>
  <c r="C944" i="120"/>
  <c r="G962" i="120"/>
  <c r="I962" i="120" s="1"/>
  <c r="J962" i="120" s="1"/>
  <c r="F962" i="120"/>
  <c r="D962" i="120"/>
  <c r="C962" i="120"/>
  <c r="G504" i="120"/>
  <c r="I504" i="120" s="1"/>
  <c r="F504" i="120"/>
  <c r="D504" i="120"/>
  <c r="C504" i="120"/>
  <c r="C840" i="12"/>
  <c r="N840" i="12"/>
  <c r="D840" i="12"/>
  <c r="N113" i="120"/>
  <c r="G113" i="120"/>
  <c r="I113" i="120" s="1"/>
  <c r="F113" i="120"/>
  <c r="D113" i="120"/>
  <c r="C113" i="120"/>
  <c r="G128" i="120"/>
  <c r="I128" i="120" s="1"/>
  <c r="F128" i="120"/>
  <c r="D128" i="120"/>
  <c r="C128" i="120"/>
  <c r="G156" i="120"/>
  <c r="I156" i="120" s="1"/>
  <c r="F156" i="120"/>
  <c r="D156" i="120"/>
  <c r="C156" i="120"/>
  <c r="G186" i="120"/>
  <c r="I186" i="120" s="1"/>
  <c r="F186" i="120"/>
  <c r="D186" i="120"/>
  <c r="C186" i="120"/>
  <c r="D209" i="120"/>
  <c r="C209" i="120"/>
  <c r="M209" i="120"/>
  <c r="G209" i="120"/>
  <c r="I209" i="120" s="1"/>
  <c r="F209" i="120"/>
  <c r="D300" i="120"/>
  <c r="C300" i="120"/>
  <c r="G300" i="120"/>
  <c r="I300" i="120" s="1"/>
  <c r="F300" i="120"/>
  <c r="G316" i="120"/>
  <c r="I316" i="120" s="1"/>
  <c r="F316" i="120"/>
  <c r="D316" i="120"/>
  <c r="C316" i="120"/>
  <c r="G332" i="120"/>
  <c r="I332" i="120" s="1"/>
  <c r="J332" i="120" s="1"/>
  <c r="F332" i="120"/>
  <c r="D332" i="120"/>
  <c r="C332" i="120"/>
  <c r="G453" i="120"/>
  <c r="I453" i="120" s="1"/>
  <c r="F453" i="120"/>
  <c r="D453" i="120"/>
  <c r="C453" i="120"/>
  <c r="D591" i="120"/>
  <c r="C591" i="120"/>
  <c r="G591" i="120"/>
  <c r="I591" i="120" s="1"/>
  <c r="J591" i="120" s="1"/>
  <c r="F591" i="120"/>
  <c r="G628" i="120"/>
  <c r="I628" i="120" s="1"/>
  <c r="F628" i="120"/>
  <c r="D628" i="120"/>
  <c r="C628" i="120"/>
  <c r="N652" i="120"/>
  <c r="G652" i="120"/>
  <c r="I652" i="120" s="1"/>
  <c r="F652" i="120"/>
  <c r="D652" i="120"/>
  <c r="C652" i="120"/>
  <c r="G744" i="120"/>
  <c r="I744" i="120" s="1"/>
  <c r="F744" i="120"/>
  <c r="D744" i="120"/>
  <c r="C744" i="120"/>
  <c r="G759" i="120"/>
  <c r="I759" i="120" s="1"/>
  <c r="F759" i="120"/>
  <c r="I27" i="120" s="1"/>
  <c r="D759" i="120"/>
  <c r="C759" i="120"/>
  <c r="G772" i="120"/>
  <c r="I772" i="120" s="1"/>
  <c r="F772" i="120"/>
  <c r="D772" i="120"/>
  <c r="C772" i="120"/>
  <c r="G784" i="120"/>
  <c r="I784" i="120" s="1"/>
  <c r="F784" i="120"/>
  <c r="D784" i="120"/>
  <c r="C784" i="120"/>
  <c r="N805" i="120"/>
  <c r="O805" i="120" s="1"/>
  <c r="G805" i="120"/>
  <c r="I805" i="120" s="1"/>
  <c r="J805" i="120" s="1"/>
  <c r="F805" i="120"/>
  <c r="D805" i="120"/>
  <c r="C805" i="120"/>
  <c r="G846" i="120"/>
  <c r="I846" i="120" s="1"/>
  <c r="F846" i="120"/>
  <c r="D846" i="120"/>
  <c r="N846" i="120"/>
  <c r="C846" i="120"/>
  <c r="G861" i="120"/>
  <c r="I861" i="120" s="1"/>
  <c r="F861" i="120"/>
  <c r="D861" i="120"/>
  <c r="C861" i="120"/>
  <c r="G908" i="120"/>
  <c r="I908" i="120" s="1"/>
  <c r="F908" i="120"/>
  <c r="D908" i="120"/>
  <c r="C908" i="120"/>
  <c r="M908" i="120"/>
  <c r="M919" i="120"/>
  <c r="G919" i="120"/>
  <c r="I919" i="120" s="1"/>
  <c r="J919" i="120" s="1"/>
  <c r="F919" i="120"/>
  <c r="D919" i="120"/>
  <c r="C919" i="120"/>
  <c r="G953" i="120"/>
  <c r="I953" i="120" s="1"/>
  <c r="F953" i="120"/>
  <c r="D953" i="120"/>
  <c r="C953" i="120"/>
  <c r="G757" i="120"/>
  <c r="I757" i="120" s="1"/>
  <c r="F757" i="120"/>
  <c r="D757" i="120"/>
  <c r="C757" i="120"/>
  <c r="N650" i="120"/>
  <c r="G650" i="120"/>
  <c r="I650" i="120" s="1"/>
  <c r="F650" i="120"/>
  <c r="D650" i="120"/>
  <c r="C650" i="120"/>
  <c r="D347" i="12"/>
  <c r="C347" i="12"/>
  <c r="G83" i="120"/>
  <c r="I83" i="120" s="1"/>
  <c r="F83" i="120"/>
  <c r="D83" i="120"/>
  <c r="C83" i="120"/>
  <c r="G231" i="120"/>
  <c r="I231" i="120" s="1"/>
  <c r="F231" i="120"/>
  <c r="D231" i="120"/>
  <c r="N231" i="120"/>
  <c r="C231" i="120"/>
  <c r="N257" i="120"/>
  <c r="G257" i="120"/>
  <c r="I257" i="120" s="1"/>
  <c r="F257" i="120"/>
  <c r="D257" i="120"/>
  <c r="C257" i="120"/>
  <c r="C279" i="120"/>
  <c r="D279" i="120"/>
  <c r="G279" i="120"/>
  <c r="I279" i="120" s="1"/>
  <c r="J279" i="120" s="1"/>
  <c r="F279" i="120"/>
  <c r="G360" i="120"/>
  <c r="I360" i="120" s="1"/>
  <c r="J360" i="120" s="1"/>
  <c r="F360" i="120"/>
  <c r="D360" i="120"/>
  <c r="C360" i="120"/>
  <c r="C373" i="120"/>
  <c r="G373" i="120"/>
  <c r="I373" i="120" s="1"/>
  <c r="J373" i="120" s="1"/>
  <c r="F373" i="120"/>
  <c r="D373" i="120"/>
  <c r="C385" i="120"/>
  <c r="G385" i="120"/>
  <c r="I385" i="120" s="1"/>
  <c r="J385" i="120" s="1"/>
  <c r="F385" i="120"/>
  <c r="D385" i="120"/>
  <c r="C421" i="120"/>
  <c r="N421" i="120"/>
  <c r="G421" i="120"/>
  <c r="I421" i="120" s="1"/>
  <c r="F421" i="120"/>
  <c r="D421" i="120"/>
  <c r="C433" i="120"/>
  <c r="G433" i="120"/>
  <c r="I433" i="120" s="1"/>
  <c r="J433" i="120" s="1"/>
  <c r="F433" i="120"/>
  <c r="D433" i="120"/>
  <c r="G517" i="120"/>
  <c r="I517" i="120" s="1"/>
  <c r="F517" i="120"/>
  <c r="D517" i="120"/>
  <c r="C517" i="120"/>
  <c r="G529" i="120"/>
  <c r="F529" i="120"/>
  <c r="D529" i="120"/>
  <c r="C529" i="120"/>
  <c r="G666" i="120"/>
  <c r="I666" i="120" s="1"/>
  <c r="F666" i="120"/>
  <c r="D666" i="120"/>
  <c r="C666" i="120"/>
  <c r="G732" i="120"/>
  <c r="I732" i="120" s="1"/>
  <c r="J732" i="120" s="1"/>
  <c r="F732" i="120"/>
  <c r="D732" i="120"/>
  <c r="C732" i="120"/>
  <c r="G834" i="120"/>
  <c r="I834" i="120" s="1"/>
  <c r="F834" i="120"/>
  <c r="D834" i="120"/>
  <c r="C834" i="120"/>
  <c r="G898" i="120"/>
  <c r="I898" i="120" s="1"/>
  <c r="F898" i="120"/>
  <c r="D898" i="120"/>
  <c r="C898" i="120"/>
  <c r="N659" i="120"/>
  <c r="G659" i="120"/>
  <c r="I659" i="120" s="1"/>
  <c r="F659" i="120"/>
  <c r="D659" i="120"/>
  <c r="C659" i="120"/>
  <c r="D348" i="12"/>
  <c r="C348" i="12"/>
  <c r="G114" i="120"/>
  <c r="I114" i="120" s="1"/>
  <c r="N114" i="120"/>
  <c r="F114" i="120"/>
  <c r="M114" i="120"/>
  <c r="D114" i="120"/>
  <c r="C114" i="120"/>
  <c r="G129" i="120"/>
  <c r="I129" i="120" s="1"/>
  <c r="F129" i="120"/>
  <c r="D129" i="120"/>
  <c r="C129" i="120"/>
  <c r="M157" i="120"/>
  <c r="G157" i="120"/>
  <c r="I157" i="120" s="1"/>
  <c r="F157" i="120"/>
  <c r="D157" i="120"/>
  <c r="C157" i="120"/>
  <c r="D191" i="120"/>
  <c r="C191" i="120"/>
  <c r="G191" i="120"/>
  <c r="I191" i="120" s="1"/>
  <c r="F191" i="120"/>
  <c r="M212" i="120"/>
  <c r="G212" i="120"/>
  <c r="I212" i="120" s="1"/>
  <c r="F212" i="120"/>
  <c r="D212" i="120"/>
  <c r="C212" i="120"/>
  <c r="G302" i="120"/>
  <c r="I302" i="120" s="1"/>
  <c r="J302" i="120" s="1"/>
  <c r="F302" i="120"/>
  <c r="D302" i="120"/>
  <c r="C302" i="120"/>
  <c r="C317" i="120"/>
  <c r="G317" i="120"/>
  <c r="I317" i="120" s="1"/>
  <c r="J317" i="120" s="1"/>
  <c r="F317" i="120"/>
  <c r="D317" i="120"/>
  <c r="G333" i="120"/>
  <c r="I333" i="120" s="1"/>
  <c r="J333" i="120" s="1"/>
  <c r="F333" i="120"/>
  <c r="D333" i="120"/>
  <c r="C333" i="120"/>
  <c r="G346" i="120"/>
  <c r="I346" i="120" s="1"/>
  <c r="F346" i="120"/>
  <c r="D346" i="120"/>
  <c r="C346" i="120"/>
  <c r="G454" i="120"/>
  <c r="I454" i="120" s="1"/>
  <c r="F454" i="120"/>
  <c r="D454" i="120"/>
  <c r="C454" i="120"/>
  <c r="F592" i="120"/>
  <c r="D592" i="120"/>
  <c r="C592" i="120"/>
  <c r="G629" i="120"/>
  <c r="I629" i="120" s="1"/>
  <c r="F629" i="120"/>
  <c r="D629" i="120"/>
  <c r="C629" i="120"/>
  <c r="N653" i="120"/>
  <c r="G653" i="120"/>
  <c r="I653" i="120" s="1"/>
  <c r="F653" i="120"/>
  <c r="D653" i="120"/>
  <c r="C653" i="120"/>
  <c r="G745" i="120"/>
  <c r="I745" i="120" s="1"/>
  <c r="F745" i="120"/>
  <c r="D745" i="120"/>
  <c r="C745" i="120"/>
  <c r="G760" i="120"/>
  <c r="I760" i="120" s="1"/>
  <c r="F760" i="120"/>
  <c r="D760" i="120"/>
  <c r="C760" i="120"/>
  <c r="F773" i="120"/>
  <c r="D773" i="120"/>
  <c r="C773" i="120"/>
  <c r="G794" i="120"/>
  <c r="I794" i="120" s="1"/>
  <c r="F794" i="120"/>
  <c r="D794" i="120"/>
  <c r="C794" i="120"/>
  <c r="G806" i="120"/>
  <c r="I806" i="120" s="1"/>
  <c r="J806" i="120" s="1"/>
  <c r="F806" i="120"/>
  <c r="D806" i="120"/>
  <c r="C806" i="120"/>
  <c r="G847" i="120"/>
  <c r="I847" i="120" s="1"/>
  <c r="F847" i="120"/>
  <c r="D847" i="120"/>
  <c r="C847" i="120"/>
  <c r="N847" i="120"/>
  <c r="G909" i="120"/>
  <c r="I909" i="120" s="1"/>
  <c r="F909" i="120"/>
  <c r="D909" i="120"/>
  <c r="C909" i="120"/>
  <c r="M909" i="120"/>
  <c r="G935" i="120"/>
  <c r="I935" i="120" s="1"/>
  <c r="J935" i="120" s="1"/>
  <c r="F935" i="120"/>
  <c r="D935" i="120"/>
  <c r="C935" i="120"/>
  <c r="G945" i="120"/>
  <c r="I945" i="120" s="1"/>
  <c r="J945" i="120" s="1"/>
  <c r="F945" i="120"/>
  <c r="D945" i="120"/>
  <c r="C945" i="120"/>
  <c r="G954" i="120"/>
  <c r="I954" i="120" s="1"/>
  <c r="J954" i="120" s="1"/>
  <c r="F954" i="120"/>
  <c r="D954" i="120"/>
  <c r="C954" i="120"/>
  <c r="G965" i="120"/>
  <c r="I965" i="120" s="1"/>
  <c r="J965" i="120" s="1"/>
  <c r="F965" i="120"/>
  <c r="D965" i="120"/>
  <c r="C965" i="120"/>
  <c r="G758" i="120"/>
  <c r="I758" i="120" s="1"/>
  <c r="F758" i="120"/>
  <c r="D758" i="120"/>
  <c r="C758" i="120"/>
  <c r="D349" i="12"/>
  <c r="C349" i="12"/>
  <c r="G87" i="120"/>
  <c r="I87" i="120" s="1"/>
  <c r="F87" i="120"/>
  <c r="D87" i="120"/>
  <c r="C87" i="120"/>
  <c r="G232" i="120"/>
  <c r="I232" i="120" s="1"/>
  <c r="F232" i="120"/>
  <c r="D232" i="120"/>
  <c r="C232" i="120"/>
  <c r="N232" i="120"/>
  <c r="N258" i="120"/>
  <c r="G258" i="120"/>
  <c r="I258" i="120" s="1"/>
  <c r="F258" i="120"/>
  <c r="D258" i="120"/>
  <c r="C258" i="120"/>
  <c r="G280" i="120"/>
  <c r="I280" i="120" s="1"/>
  <c r="J280" i="120" s="1"/>
  <c r="F280" i="120"/>
  <c r="D280" i="120"/>
  <c r="C280" i="120"/>
  <c r="C361" i="120"/>
  <c r="G361" i="120"/>
  <c r="I361" i="120" s="1"/>
  <c r="J361" i="120" s="1"/>
  <c r="F361" i="120"/>
  <c r="D361" i="120"/>
  <c r="G374" i="120"/>
  <c r="I374" i="120" s="1"/>
  <c r="J374" i="120" s="1"/>
  <c r="F374" i="120"/>
  <c r="D374" i="120"/>
  <c r="C374" i="120"/>
  <c r="G387" i="120"/>
  <c r="I387" i="120" s="1"/>
  <c r="J387" i="120" s="1"/>
  <c r="J386" i="120" s="1"/>
  <c r="F387" i="120"/>
  <c r="D387" i="120"/>
  <c r="C387" i="120"/>
  <c r="N422" i="120"/>
  <c r="M422" i="120"/>
  <c r="G422" i="120"/>
  <c r="I422" i="120" s="1"/>
  <c r="F422" i="120"/>
  <c r="D422" i="120"/>
  <c r="C422" i="120"/>
  <c r="G434" i="120"/>
  <c r="I434" i="120" s="1"/>
  <c r="F434" i="120"/>
  <c r="D434" i="120"/>
  <c r="C434" i="120"/>
  <c r="G518" i="120"/>
  <c r="I518" i="120" s="1"/>
  <c r="F518" i="120"/>
  <c r="D518" i="120"/>
  <c r="C518" i="120"/>
  <c r="G530" i="120"/>
  <c r="I530" i="120" s="1"/>
  <c r="F530" i="120"/>
  <c r="D530" i="120"/>
  <c r="C530" i="120"/>
  <c r="G667" i="120"/>
  <c r="I667" i="120" s="1"/>
  <c r="F667" i="120"/>
  <c r="D667" i="120"/>
  <c r="C667" i="120"/>
  <c r="G733" i="120"/>
  <c r="I733" i="120" s="1"/>
  <c r="F733" i="120"/>
  <c r="D733" i="120"/>
  <c r="C733" i="120"/>
  <c r="N835" i="120"/>
  <c r="G835" i="120"/>
  <c r="F835" i="120"/>
  <c r="D835" i="120"/>
  <c r="C835" i="120"/>
  <c r="G899" i="120"/>
  <c r="I899" i="120" s="1"/>
  <c r="F899" i="120"/>
  <c r="D899" i="120"/>
  <c r="C899" i="120"/>
  <c r="M899" i="120"/>
  <c r="M920" i="120"/>
  <c r="G920" i="120"/>
  <c r="I920" i="120" s="1"/>
  <c r="F920" i="120"/>
  <c r="D920" i="120"/>
  <c r="C920" i="120"/>
  <c r="G37" i="120"/>
  <c r="I37" i="120" s="1"/>
  <c r="F37" i="120"/>
  <c r="D37" i="120"/>
  <c r="C37" i="120"/>
  <c r="G115" i="120"/>
  <c r="I115" i="120" s="1"/>
  <c r="F115" i="120"/>
  <c r="D115" i="120"/>
  <c r="C115" i="120"/>
  <c r="N115" i="120"/>
  <c r="G134" i="120"/>
  <c r="I134" i="120" s="1"/>
  <c r="F134" i="120"/>
  <c r="M134" i="120"/>
  <c r="D134" i="120"/>
  <c r="C134" i="120"/>
  <c r="G158" i="120"/>
  <c r="I158" i="120" s="1"/>
  <c r="F158" i="120"/>
  <c r="D158" i="120"/>
  <c r="C158" i="120"/>
  <c r="G192" i="120"/>
  <c r="I192" i="120" s="1"/>
  <c r="F192" i="120"/>
  <c r="D192" i="120"/>
  <c r="C192" i="120"/>
  <c r="M215" i="120"/>
  <c r="D215" i="120"/>
  <c r="C215" i="120"/>
  <c r="G215" i="120"/>
  <c r="I215" i="120" s="1"/>
  <c r="F215" i="120"/>
  <c r="G318" i="120"/>
  <c r="I318" i="120" s="1"/>
  <c r="J318" i="120" s="1"/>
  <c r="F318" i="120"/>
  <c r="D318" i="120"/>
  <c r="C318" i="120"/>
  <c r="C455" i="120"/>
  <c r="G455" i="120"/>
  <c r="F455" i="120"/>
  <c r="D455" i="120"/>
  <c r="G593" i="120"/>
  <c r="I593" i="120" s="1"/>
  <c r="J593" i="120" s="1"/>
  <c r="F593" i="120"/>
  <c r="D593" i="120"/>
  <c r="C593" i="120"/>
  <c r="G631" i="120"/>
  <c r="I631" i="120" s="1"/>
  <c r="F631" i="120"/>
  <c r="D631" i="120"/>
  <c r="C631" i="120"/>
  <c r="N654" i="120"/>
  <c r="G654" i="120"/>
  <c r="I654" i="120" s="1"/>
  <c r="F654" i="120"/>
  <c r="D654" i="120"/>
  <c r="C654" i="120"/>
  <c r="G746" i="120"/>
  <c r="I746" i="120" s="1"/>
  <c r="F746" i="120"/>
  <c r="D746" i="120"/>
  <c r="C746" i="120"/>
  <c r="G761" i="120"/>
  <c r="I761" i="120" s="1"/>
  <c r="F761" i="120"/>
  <c r="D761" i="120"/>
  <c r="C761" i="120"/>
  <c r="G774" i="120"/>
  <c r="I774" i="120" s="1"/>
  <c r="J774" i="120" s="1"/>
  <c r="F774" i="120"/>
  <c r="D774" i="120"/>
  <c r="C774" i="120"/>
  <c r="G807" i="120"/>
  <c r="I807" i="120" s="1"/>
  <c r="F807" i="120"/>
  <c r="D807" i="120"/>
  <c r="C807" i="120"/>
  <c r="G869" i="120"/>
  <c r="I869" i="120" s="1"/>
  <c r="F869" i="120"/>
  <c r="D869" i="120"/>
  <c r="C869" i="120"/>
  <c r="G910" i="120"/>
  <c r="I910" i="120" s="1"/>
  <c r="F910" i="120"/>
  <c r="D910" i="120"/>
  <c r="C910" i="120"/>
  <c r="M910" i="120"/>
  <c r="G936" i="120"/>
  <c r="I936" i="120" s="1"/>
  <c r="J936" i="120" s="1"/>
  <c r="F936" i="120"/>
  <c r="D936" i="120"/>
  <c r="C936" i="120"/>
  <c r="D466" i="12"/>
  <c r="C466" i="12"/>
  <c r="D38" i="120"/>
  <c r="C38" i="120"/>
  <c r="G38" i="120"/>
  <c r="I38" i="120" s="1"/>
  <c r="F38" i="120"/>
  <c r="G89" i="120"/>
  <c r="I89" i="120" s="1"/>
  <c r="F89" i="120"/>
  <c r="D89" i="120"/>
  <c r="C89" i="120"/>
  <c r="D233" i="120"/>
  <c r="C233" i="120"/>
  <c r="N233" i="120"/>
  <c r="G233" i="120"/>
  <c r="I233" i="120" s="1"/>
  <c r="F233" i="120"/>
  <c r="N262" i="120"/>
  <c r="G262" i="120"/>
  <c r="I262" i="120" s="1"/>
  <c r="F262" i="120"/>
  <c r="D262" i="120"/>
  <c r="C262" i="120"/>
  <c r="G281" i="120"/>
  <c r="I281" i="120" s="1"/>
  <c r="J281" i="120" s="1"/>
  <c r="F281" i="120"/>
  <c r="D281" i="120"/>
  <c r="C281" i="120"/>
  <c r="C303" i="120"/>
  <c r="D303" i="120"/>
  <c r="G303" i="120"/>
  <c r="I303" i="120" s="1"/>
  <c r="J303" i="120" s="1"/>
  <c r="F303" i="120"/>
  <c r="G335" i="120"/>
  <c r="I335" i="120" s="1"/>
  <c r="F335" i="120"/>
  <c r="D335" i="120"/>
  <c r="C335" i="120"/>
  <c r="G362" i="120"/>
  <c r="I362" i="120" s="1"/>
  <c r="J362" i="120" s="1"/>
  <c r="F362" i="120"/>
  <c r="D362" i="120"/>
  <c r="C362" i="120"/>
  <c r="G375" i="120"/>
  <c r="I375" i="120" s="1"/>
  <c r="J375" i="120" s="1"/>
  <c r="F375" i="120"/>
  <c r="D375" i="120"/>
  <c r="C375" i="120"/>
  <c r="G388" i="120"/>
  <c r="I388" i="120" s="1"/>
  <c r="F388" i="120"/>
  <c r="D388" i="120"/>
  <c r="C388" i="120"/>
  <c r="G423" i="120"/>
  <c r="I423" i="120" s="1"/>
  <c r="F423" i="120"/>
  <c r="N423" i="120"/>
  <c r="D423" i="120"/>
  <c r="C423" i="120"/>
  <c r="G435" i="120"/>
  <c r="I435" i="120" s="1"/>
  <c r="F435" i="120"/>
  <c r="D435" i="120"/>
  <c r="C435" i="120"/>
  <c r="G519" i="120"/>
  <c r="F519" i="120"/>
  <c r="D519" i="120"/>
  <c r="C519" i="120"/>
  <c r="G531" i="120"/>
  <c r="I531" i="120" s="1"/>
  <c r="F531" i="120"/>
  <c r="D531" i="120"/>
  <c r="C531" i="120"/>
  <c r="G668" i="120"/>
  <c r="I668" i="120" s="1"/>
  <c r="F668" i="120"/>
  <c r="D668" i="120"/>
  <c r="C668" i="120"/>
  <c r="G734" i="120"/>
  <c r="I734" i="120" s="1"/>
  <c r="J734" i="120" s="1"/>
  <c r="F734" i="120"/>
  <c r="D734" i="120"/>
  <c r="C734" i="120"/>
  <c r="N836" i="120"/>
  <c r="G836" i="120"/>
  <c r="I836" i="120" s="1"/>
  <c r="F836" i="120"/>
  <c r="D836" i="120"/>
  <c r="C836" i="120"/>
  <c r="G849" i="120"/>
  <c r="I849" i="120" s="1"/>
  <c r="F849" i="120"/>
  <c r="D849" i="120"/>
  <c r="C849" i="120"/>
  <c r="M849" i="120"/>
  <c r="D891" i="120"/>
  <c r="C891" i="120"/>
  <c r="G891" i="120"/>
  <c r="I891" i="120" s="1"/>
  <c r="F891" i="120"/>
  <c r="D900" i="120"/>
  <c r="C900" i="120"/>
  <c r="M900" i="120"/>
  <c r="G900" i="120"/>
  <c r="I900" i="120" s="1"/>
  <c r="J900" i="120" s="1"/>
  <c r="F900" i="120"/>
  <c r="G921" i="120"/>
  <c r="I921" i="120" s="1"/>
  <c r="M921" i="120"/>
  <c r="F921" i="120"/>
  <c r="D921" i="120"/>
  <c r="C921" i="120"/>
  <c r="G946" i="120"/>
  <c r="I946" i="120" s="1"/>
  <c r="J946" i="120" s="1"/>
  <c r="F946" i="120"/>
  <c r="D946" i="120"/>
  <c r="C946" i="120"/>
  <c r="C955" i="120"/>
  <c r="G955" i="120"/>
  <c r="I955" i="120" s="1"/>
  <c r="F955" i="120"/>
  <c r="D955" i="120"/>
  <c r="D169" i="12"/>
  <c r="C169" i="12"/>
  <c r="D765" i="12"/>
  <c r="C765" i="12"/>
  <c r="D540" i="12"/>
  <c r="C540" i="12"/>
  <c r="G39" i="120"/>
  <c r="I39" i="120" s="1"/>
  <c r="F39" i="120"/>
  <c r="D39" i="120"/>
  <c r="C39" i="120"/>
  <c r="G116" i="120"/>
  <c r="I116" i="120" s="1"/>
  <c r="F116" i="120"/>
  <c r="D116" i="120"/>
  <c r="C116" i="120"/>
  <c r="N116" i="120"/>
  <c r="G137" i="120"/>
  <c r="I137" i="120" s="1"/>
  <c r="F137" i="120"/>
  <c r="D137" i="120"/>
  <c r="C137" i="120"/>
  <c r="D160" i="120"/>
  <c r="C160" i="120"/>
  <c r="M160" i="120"/>
  <c r="G160" i="120"/>
  <c r="I160" i="120" s="1"/>
  <c r="F160" i="120"/>
  <c r="G193" i="120"/>
  <c r="I193" i="120" s="1"/>
  <c r="F193" i="120"/>
  <c r="D193" i="120"/>
  <c r="C193" i="120"/>
  <c r="N217" i="120"/>
  <c r="G217" i="120"/>
  <c r="I217" i="120" s="1"/>
  <c r="F217" i="120"/>
  <c r="D217" i="120"/>
  <c r="C217" i="120"/>
  <c r="G319" i="120"/>
  <c r="I319" i="120" s="1"/>
  <c r="J319" i="120" s="1"/>
  <c r="F319" i="120"/>
  <c r="D319" i="120"/>
  <c r="C319" i="120"/>
  <c r="G456" i="120"/>
  <c r="I456" i="120" s="1"/>
  <c r="F456" i="120"/>
  <c r="D456" i="120"/>
  <c r="C456" i="120"/>
  <c r="G507" i="120"/>
  <c r="F507" i="120"/>
  <c r="D507" i="120"/>
  <c r="C507" i="120"/>
  <c r="G594" i="120"/>
  <c r="I594" i="120" s="1"/>
  <c r="J594" i="120" s="1"/>
  <c r="F594" i="120"/>
  <c r="D594" i="120"/>
  <c r="C594" i="120"/>
  <c r="G747" i="120"/>
  <c r="I747" i="120" s="1"/>
  <c r="F747" i="120"/>
  <c r="D747" i="120"/>
  <c r="C747" i="120"/>
  <c r="D775" i="120"/>
  <c r="C775" i="120"/>
  <c r="G775" i="120"/>
  <c r="I775" i="120" s="1"/>
  <c r="F775" i="120"/>
  <c r="N808" i="120"/>
  <c r="G808" i="120"/>
  <c r="I808" i="120" s="1"/>
  <c r="F808" i="120"/>
  <c r="D808" i="120"/>
  <c r="C808" i="120"/>
  <c r="G893" i="120"/>
  <c r="I893" i="120" s="1"/>
  <c r="F893" i="120"/>
  <c r="D893" i="120"/>
  <c r="C893" i="120"/>
  <c r="G911" i="120"/>
  <c r="F911" i="120"/>
  <c r="D911" i="120"/>
  <c r="C911" i="120"/>
  <c r="C937" i="120"/>
  <c r="G937" i="120"/>
  <c r="I937" i="120" s="1"/>
  <c r="J937" i="120" s="1"/>
  <c r="F937" i="120"/>
  <c r="D937" i="120"/>
  <c r="C655" i="12"/>
  <c r="D541" i="12"/>
  <c r="C541" i="12"/>
  <c r="G52" i="120"/>
  <c r="I52" i="120" s="1"/>
  <c r="J52" i="120" s="1"/>
  <c r="F52" i="120"/>
  <c r="D52" i="120"/>
  <c r="C52" i="120"/>
  <c r="G92" i="120"/>
  <c r="I92" i="120" s="1"/>
  <c r="F92" i="120"/>
  <c r="D92" i="120"/>
  <c r="C92" i="120"/>
  <c r="N235" i="120"/>
  <c r="G235" i="120"/>
  <c r="I235" i="120" s="1"/>
  <c r="F235" i="120"/>
  <c r="D235" i="120"/>
  <c r="C235" i="120"/>
  <c r="N263" i="120"/>
  <c r="G263" i="120"/>
  <c r="I263" i="120" s="1"/>
  <c r="F263" i="120"/>
  <c r="D263" i="120"/>
  <c r="C263" i="120"/>
  <c r="D282" i="120"/>
  <c r="C282" i="120"/>
  <c r="G282" i="120"/>
  <c r="I282" i="120" s="1"/>
  <c r="J282" i="120" s="1"/>
  <c r="F282" i="120"/>
  <c r="C336" i="120"/>
  <c r="G336" i="120"/>
  <c r="I336" i="120" s="1"/>
  <c r="J336" i="120" s="1"/>
  <c r="F336" i="120"/>
  <c r="D336" i="120"/>
  <c r="G350" i="120"/>
  <c r="I350" i="120" s="1"/>
  <c r="F350" i="120"/>
  <c r="D350" i="120"/>
  <c r="C350" i="120"/>
  <c r="G363" i="120"/>
  <c r="I363" i="120" s="1"/>
  <c r="J363" i="120" s="1"/>
  <c r="F363" i="120"/>
  <c r="D363" i="120"/>
  <c r="C363" i="120"/>
  <c r="G376" i="120"/>
  <c r="I376" i="120" s="1"/>
  <c r="J376" i="120" s="1"/>
  <c r="F376" i="120"/>
  <c r="D376" i="120"/>
  <c r="C376" i="120"/>
  <c r="G389" i="120"/>
  <c r="I389" i="120" s="1"/>
  <c r="J389" i="120" s="1"/>
  <c r="F389" i="120"/>
  <c r="D389" i="120"/>
  <c r="C389" i="120"/>
  <c r="G424" i="120"/>
  <c r="I424" i="120" s="1"/>
  <c r="F424" i="120"/>
  <c r="D424" i="120"/>
  <c r="C424" i="120"/>
  <c r="G436" i="120"/>
  <c r="I436" i="120" s="1"/>
  <c r="F436" i="120"/>
  <c r="D436" i="120"/>
  <c r="C436" i="120"/>
  <c r="C520" i="120"/>
  <c r="G520" i="120"/>
  <c r="I520" i="120" s="1"/>
  <c r="F520" i="120"/>
  <c r="D520" i="120"/>
  <c r="G656" i="120"/>
  <c r="I656" i="120" s="1"/>
  <c r="F656" i="120"/>
  <c r="D656" i="120"/>
  <c r="C656" i="120"/>
  <c r="G669" i="120"/>
  <c r="I669" i="120" s="1"/>
  <c r="F669" i="120"/>
  <c r="D669" i="120"/>
  <c r="C669" i="120"/>
  <c r="G735" i="120"/>
  <c r="I735" i="120" s="1"/>
  <c r="F735" i="120"/>
  <c r="D735" i="120"/>
  <c r="C735" i="120"/>
  <c r="N837" i="120"/>
  <c r="G837" i="120"/>
  <c r="I837" i="120" s="1"/>
  <c r="F837" i="120"/>
  <c r="D837" i="120"/>
  <c r="C837" i="120"/>
  <c r="M901" i="120"/>
  <c r="G901" i="120"/>
  <c r="I901" i="120" s="1"/>
  <c r="F901" i="120"/>
  <c r="D901" i="120"/>
  <c r="C901" i="120"/>
  <c r="G922" i="120"/>
  <c r="I922" i="120" s="1"/>
  <c r="F922" i="120"/>
  <c r="D922" i="120"/>
  <c r="C922" i="120"/>
  <c r="M922" i="120"/>
  <c r="G947" i="120"/>
  <c r="I947" i="120" s="1"/>
  <c r="J947" i="120" s="1"/>
  <c r="F947" i="120"/>
  <c r="D947" i="120"/>
  <c r="C947" i="120"/>
  <c r="G956" i="120"/>
  <c r="I956" i="120" s="1"/>
  <c r="J956" i="120" s="1"/>
  <c r="F956" i="120"/>
  <c r="D956" i="120"/>
  <c r="C956" i="120"/>
  <c r="C659" i="12"/>
  <c r="N659" i="12"/>
  <c r="C462" i="12"/>
  <c r="D633" i="12"/>
  <c r="C633" i="12"/>
  <c r="G117" i="120"/>
  <c r="I117" i="120" s="1"/>
  <c r="F117" i="120"/>
  <c r="D117" i="120"/>
  <c r="C117" i="120"/>
  <c r="N117" i="120"/>
  <c r="M117" i="120"/>
  <c r="M144" i="120"/>
  <c r="G144" i="120"/>
  <c r="I144" i="120" s="1"/>
  <c r="F144" i="120"/>
  <c r="D144" i="120"/>
  <c r="C144" i="120"/>
  <c r="M162" i="120"/>
  <c r="G162" i="120"/>
  <c r="I162" i="120" s="1"/>
  <c r="F162" i="120"/>
  <c r="D162" i="120"/>
  <c r="C162" i="120"/>
  <c r="G194" i="120"/>
  <c r="I194" i="120" s="1"/>
  <c r="F194" i="120"/>
  <c r="D194" i="120"/>
  <c r="C194" i="120"/>
  <c r="G218" i="120"/>
  <c r="I218" i="120" s="1"/>
  <c r="F218" i="120"/>
  <c r="D218" i="120"/>
  <c r="C218" i="120"/>
  <c r="N218" i="120"/>
  <c r="G304" i="120"/>
  <c r="I304" i="120" s="1"/>
  <c r="J304" i="120" s="1"/>
  <c r="F304" i="120"/>
  <c r="D304" i="120"/>
  <c r="C304" i="120"/>
  <c r="G320" i="120"/>
  <c r="I320" i="120" s="1"/>
  <c r="J320" i="120" s="1"/>
  <c r="F320" i="120"/>
  <c r="D320" i="120"/>
  <c r="C320" i="120"/>
  <c r="G457" i="120"/>
  <c r="I457" i="120" s="1"/>
  <c r="F457" i="120"/>
  <c r="D457" i="120"/>
  <c r="C457" i="120"/>
  <c r="C508" i="120"/>
  <c r="G508" i="120"/>
  <c r="I508" i="120" s="1"/>
  <c r="F508" i="120"/>
  <c r="D508" i="120"/>
  <c r="G533" i="120"/>
  <c r="I533" i="120" s="1"/>
  <c r="F533" i="120"/>
  <c r="D533" i="120"/>
  <c r="C533" i="120"/>
  <c r="G595" i="120"/>
  <c r="I595" i="120" s="1"/>
  <c r="F595" i="120"/>
  <c r="D595" i="120"/>
  <c r="C595" i="120"/>
  <c r="G635" i="120"/>
  <c r="I635" i="120" s="1"/>
  <c r="F635" i="120"/>
  <c r="D635" i="120"/>
  <c r="C635" i="120"/>
  <c r="G723" i="120"/>
  <c r="I723" i="120" s="1"/>
  <c r="F723" i="120"/>
  <c r="D723" i="120"/>
  <c r="C723" i="120"/>
  <c r="N723" i="120"/>
  <c r="G748" i="120"/>
  <c r="I748" i="120" s="1"/>
  <c r="J748" i="120" s="1"/>
  <c r="F748" i="120"/>
  <c r="D748" i="120"/>
  <c r="C748" i="120"/>
  <c r="F764" i="120"/>
  <c r="D764" i="120"/>
  <c r="C764" i="120"/>
  <c r="G776" i="120"/>
  <c r="F776" i="120"/>
  <c r="D776" i="120"/>
  <c r="C776" i="120"/>
  <c r="G797" i="120"/>
  <c r="I797" i="120" s="1"/>
  <c r="F797" i="120"/>
  <c r="D797" i="120"/>
  <c r="C797" i="120"/>
  <c r="N797" i="120"/>
  <c r="G809" i="120"/>
  <c r="I809" i="120" s="1"/>
  <c r="F809" i="120"/>
  <c r="D809" i="120"/>
  <c r="C809" i="120"/>
  <c r="D912" i="120"/>
  <c r="C912" i="120"/>
  <c r="M912" i="120"/>
  <c r="G912" i="120"/>
  <c r="I912" i="120" s="1"/>
  <c r="F912" i="120"/>
  <c r="G938" i="120"/>
  <c r="I938" i="120" s="1"/>
  <c r="J938" i="120" s="1"/>
  <c r="F938" i="120"/>
  <c r="D938" i="120"/>
  <c r="C938" i="120"/>
  <c r="N236" i="120"/>
  <c r="G236" i="120"/>
  <c r="I236" i="120" s="1"/>
  <c r="F236" i="120"/>
  <c r="D236" i="120"/>
  <c r="C236" i="120"/>
  <c r="D552" i="12"/>
  <c r="C552" i="12"/>
  <c r="B552" i="120"/>
  <c r="X245" i="54"/>
  <c r="X256" i="54" s="1"/>
  <c r="W245" i="54"/>
  <c r="W256" i="54" s="1"/>
  <c r="V245" i="54"/>
  <c r="V256" i="54" s="1"/>
  <c r="U245" i="54"/>
  <c r="U256" i="54" s="1"/>
  <c r="T245" i="54"/>
  <c r="T256" i="54" s="1"/>
  <c r="S245" i="54"/>
  <c r="S256" i="54" s="1"/>
  <c r="R245" i="54"/>
  <c r="R256" i="54" s="1"/>
  <c r="Q245" i="54"/>
  <c r="Q256" i="54" s="1"/>
  <c r="P245" i="54"/>
  <c r="P256" i="54" s="1"/>
  <c r="O245" i="54"/>
  <c r="O256" i="54" s="1"/>
  <c r="N245" i="54"/>
  <c r="N256" i="54" s="1"/>
  <c r="M245" i="54"/>
  <c r="M256" i="54" s="1"/>
  <c r="L245" i="54"/>
  <c r="L256" i="54" s="1"/>
  <c r="K245" i="54"/>
  <c r="K256" i="54" s="1"/>
  <c r="J245" i="54"/>
  <c r="J256" i="54" s="1"/>
  <c r="I245" i="54"/>
  <c r="I256" i="54" s="1"/>
  <c r="H245" i="54"/>
  <c r="H256" i="54" s="1"/>
  <c r="Q241" i="54"/>
  <c r="Q252" i="54" s="1"/>
  <c r="K241" i="54"/>
  <c r="K252" i="54" s="1"/>
  <c r="L241" i="54"/>
  <c r="L252" i="54" s="1"/>
  <c r="S241" i="54"/>
  <c r="S252" i="54" s="1"/>
  <c r="I241" i="54"/>
  <c r="I252" i="54" s="1"/>
  <c r="T241" i="54"/>
  <c r="T252" i="54" s="1"/>
  <c r="N241" i="54"/>
  <c r="N252" i="54" s="1"/>
  <c r="O241" i="54"/>
  <c r="O252" i="54" s="1"/>
  <c r="H241" i="54"/>
  <c r="H252" i="54" s="1"/>
  <c r="X241" i="54"/>
  <c r="X252" i="54" s="1"/>
  <c r="R241" i="54"/>
  <c r="R252" i="54" s="1"/>
  <c r="J241" i="54"/>
  <c r="J252" i="54" s="1"/>
  <c r="M241" i="54"/>
  <c r="M252" i="54" s="1"/>
  <c r="U241" i="54"/>
  <c r="U252" i="54" s="1"/>
  <c r="P241" i="54"/>
  <c r="P252" i="54" s="1"/>
  <c r="W241" i="54"/>
  <c r="W252" i="54" s="1"/>
  <c r="V241" i="54"/>
  <c r="V252" i="54" s="1"/>
  <c r="Q242" i="54"/>
  <c r="Q253" i="54" s="1"/>
  <c r="I242" i="54"/>
  <c r="I253" i="54" s="1"/>
  <c r="L242" i="54"/>
  <c r="L253" i="54" s="1"/>
  <c r="S242" i="54"/>
  <c r="S253" i="54" s="1"/>
  <c r="T242" i="54"/>
  <c r="T253" i="54" s="1"/>
  <c r="H242" i="54"/>
  <c r="H253" i="54" s="1"/>
  <c r="N242" i="54"/>
  <c r="N253" i="54" s="1"/>
  <c r="O242" i="54"/>
  <c r="O253" i="54" s="1"/>
  <c r="J242" i="54"/>
  <c r="J253" i="54" s="1"/>
  <c r="X242" i="54"/>
  <c r="X253" i="54" s="1"/>
  <c r="R242" i="54"/>
  <c r="R253" i="54" s="1"/>
  <c r="M242" i="54"/>
  <c r="M253" i="54" s="1"/>
  <c r="P242" i="54"/>
  <c r="P253" i="54" s="1"/>
  <c r="U242" i="54"/>
  <c r="U253" i="54" s="1"/>
  <c r="K242" i="54"/>
  <c r="K253" i="54" s="1"/>
  <c r="W242" i="54"/>
  <c r="W253" i="54" s="1"/>
  <c r="V242" i="54"/>
  <c r="V253" i="54" s="1"/>
  <c r="N247" i="54"/>
  <c r="N258" i="54" s="1"/>
  <c r="T247" i="54"/>
  <c r="T258" i="54" s="1"/>
  <c r="M247" i="54"/>
  <c r="M258" i="54" s="1"/>
  <c r="V247" i="54"/>
  <c r="V258" i="54" s="1"/>
  <c r="L247" i="54"/>
  <c r="L258" i="54" s="1"/>
  <c r="K247" i="54"/>
  <c r="K258" i="54" s="1"/>
  <c r="W247" i="54"/>
  <c r="W258" i="54" s="1"/>
  <c r="X247" i="54"/>
  <c r="X258" i="54" s="1"/>
  <c r="P247" i="54"/>
  <c r="P258" i="54" s="1"/>
  <c r="J247" i="54"/>
  <c r="J258" i="54" s="1"/>
  <c r="U247" i="54"/>
  <c r="U258" i="54" s="1"/>
  <c r="O247" i="54"/>
  <c r="O258" i="54" s="1"/>
  <c r="I247" i="54"/>
  <c r="I258" i="54" s="1"/>
  <c r="S247" i="54"/>
  <c r="S258" i="54" s="1"/>
  <c r="R247" i="54"/>
  <c r="R258" i="54" s="1"/>
  <c r="Q247" i="54"/>
  <c r="Q258" i="54" s="1"/>
  <c r="H247" i="54"/>
  <c r="H258" i="54" s="1"/>
  <c r="AZ95" i="58"/>
  <c r="AZ96" i="58" s="1"/>
  <c r="AZ212" i="58" s="1"/>
  <c r="AZ204" i="58" s="1"/>
  <c r="I584" i="120"/>
  <c r="I539" i="120"/>
  <c r="I328" i="120"/>
  <c r="J328" i="120" s="1"/>
  <c r="I662" i="120"/>
  <c r="I242" i="120"/>
  <c r="I229" i="120"/>
  <c r="I254" i="120"/>
  <c r="I383" i="120"/>
  <c r="J383" i="120" s="1"/>
  <c r="I419" i="120"/>
  <c r="J419" i="120" s="1"/>
  <c r="I859" i="120"/>
  <c r="I713" i="120"/>
  <c r="I952" i="120"/>
  <c r="I455" i="120"/>
  <c r="I592" i="120"/>
  <c r="I507" i="120"/>
  <c r="I283" i="120"/>
  <c r="J283" i="120" s="1"/>
  <c r="I351" i="120"/>
  <c r="I221" i="120"/>
  <c r="I352" i="120"/>
  <c r="I266" i="120"/>
  <c r="I838" i="120"/>
  <c r="I777" i="120"/>
  <c r="I948" i="120"/>
  <c r="J948" i="120" s="1"/>
  <c r="I32" i="120"/>
  <c r="AX95" i="58"/>
  <c r="AX96" i="58" s="1"/>
  <c r="AX212" i="58" s="1"/>
  <c r="AX204" i="58" s="1"/>
  <c r="AZ145" i="58"/>
  <c r="AZ126" i="58"/>
  <c r="AZ127" i="58" s="1"/>
  <c r="AZ148" i="58" s="1"/>
  <c r="AX145" i="58"/>
  <c r="AX126" i="58"/>
  <c r="AX147" i="58" s="1"/>
  <c r="AX201" i="58"/>
  <c r="AX215" i="58"/>
  <c r="AX200" i="58"/>
  <c r="E1" i="43"/>
  <c r="H1" i="61" s="1"/>
  <c r="G16" i="155"/>
  <c r="G17" i="155"/>
  <c r="C17" i="155"/>
  <c r="C16" i="155"/>
  <c r="H17" i="155"/>
  <c r="I17" i="155"/>
  <c r="D17" i="155"/>
  <c r="H16" i="155"/>
  <c r="J17" i="155"/>
  <c r="E17" i="155"/>
  <c r="I16" i="155"/>
  <c r="D16" i="155"/>
  <c r="J16" i="155"/>
  <c r="E16" i="155"/>
  <c r="E13" i="153"/>
  <c r="G13" i="153"/>
  <c r="H13" i="153"/>
  <c r="F13" i="153"/>
  <c r="D13" i="153"/>
  <c r="C13" i="153"/>
  <c r="E3" i="43"/>
  <c r="E63" i="43"/>
  <c r="G67" i="59" s="1"/>
  <c r="G66" i="78"/>
  <c r="C78" i="78"/>
  <c r="B32" i="78"/>
  <c r="F81" i="78"/>
  <c r="C33" i="78"/>
  <c r="E69" i="78"/>
  <c r="D52" i="78"/>
  <c r="E52" i="78"/>
  <c r="C81" i="78"/>
  <c r="G75" i="78"/>
  <c r="D89" i="78"/>
  <c r="E53" i="78"/>
  <c r="C64" i="78"/>
  <c r="D53" i="78"/>
  <c r="G84" i="78"/>
  <c r="E70" i="78"/>
  <c r="E57" i="78"/>
  <c r="D81" i="78"/>
  <c r="G20" i="75"/>
  <c r="L85" i="63"/>
  <c r="K54" i="63"/>
  <c r="H588" i="12" s="1"/>
  <c r="H588" i="120" s="1"/>
  <c r="L86" i="63"/>
  <c r="H537" i="12"/>
  <c r="H537" i="120" s="1"/>
  <c r="J71" i="47"/>
  <c r="H527" i="12" s="1"/>
  <c r="H527" i="120" s="1"/>
  <c r="G43" i="63"/>
  <c r="K42" i="63"/>
  <c r="H584" i="12" s="1"/>
  <c r="H584" i="120" s="1"/>
  <c r="K48" i="63"/>
  <c r="H586" i="12" s="1"/>
  <c r="H586" i="120" s="1"/>
  <c r="K4" i="63"/>
  <c r="L4" i="63" s="1"/>
  <c r="J107" i="47"/>
  <c r="K107" i="47" s="1"/>
  <c r="K37" i="47"/>
  <c r="K60" i="63"/>
  <c r="H591" i="12" s="1"/>
  <c r="H591" i="120" s="1"/>
  <c r="G46" i="63"/>
  <c r="H528" i="12"/>
  <c r="H528" i="120" s="1"/>
  <c r="K45" i="63"/>
  <c r="L45" i="63" s="1"/>
  <c r="L42" i="63"/>
  <c r="AZ215" i="58"/>
  <c r="AZ200" i="58"/>
  <c r="AZ201" i="58"/>
  <c r="D65" i="78"/>
  <c r="E17" i="78"/>
  <c r="D17" i="78"/>
  <c r="D51" i="78"/>
  <c r="B49" i="78"/>
  <c r="G50" i="78"/>
  <c r="G21" i="78"/>
  <c r="F83" i="78"/>
  <c r="C85" i="78"/>
  <c r="F73" i="78"/>
  <c r="F50" i="78"/>
  <c r="B83" i="78"/>
  <c r="G83" i="78"/>
  <c r="B63" i="78"/>
  <c r="D33" i="78"/>
  <c r="B84" i="78"/>
  <c r="E84" i="78"/>
  <c r="D82" i="78"/>
  <c r="F82" i="78"/>
  <c r="C82" i="78"/>
  <c r="E27" i="78"/>
  <c r="F64" i="78"/>
  <c r="D63" i="78"/>
  <c r="D21" i="78"/>
  <c r="B14" i="78"/>
  <c r="F84" i="78"/>
  <c r="G87" i="78"/>
  <c r="C84" i="78"/>
  <c r="C29" i="78"/>
  <c r="F26" i="78"/>
  <c r="E26" i="78"/>
  <c r="D35" i="78"/>
  <c r="E63" i="78"/>
  <c r="G25" i="78"/>
  <c r="F35" i="78"/>
  <c r="F63" i="78"/>
  <c r="D14" i="78"/>
  <c r="B26" i="78"/>
  <c r="G63" i="78"/>
  <c r="B50" i="78"/>
  <c r="F51" i="78"/>
  <c r="B27" i="78"/>
  <c r="D27" i="78"/>
  <c r="D50" i="78"/>
  <c r="G27" i="78"/>
  <c r="E83" i="78"/>
  <c r="G17" i="78"/>
  <c r="B47" i="78"/>
  <c r="G35" i="78"/>
  <c r="E50" i="78"/>
  <c r="C36" i="78"/>
  <c r="K7" i="55"/>
  <c r="BA133" i="58"/>
  <c r="E635" i="12"/>
  <c r="E635" i="120" s="1"/>
  <c r="E821" i="12"/>
  <c r="E92" i="12"/>
  <c r="E92" i="120" s="1"/>
  <c r="E470" i="12"/>
  <c r="E470" i="120" s="1"/>
  <c r="E867" i="12"/>
  <c r="E788" i="12"/>
  <c r="E677" i="12"/>
  <c r="E677" i="120" s="1"/>
  <c r="E869" i="12"/>
  <c r="E444" i="12"/>
  <c r="E444" i="120" s="1"/>
  <c r="E548" i="12"/>
  <c r="E679" i="12"/>
  <c r="E679" i="120" s="1"/>
  <c r="E171" i="12"/>
  <c r="E171" i="120" s="1"/>
  <c r="E643" i="12"/>
  <c r="E643" i="120" s="1"/>
  <c r="E177" i="12"/>
  <c r="E177" i="120" s="1"/>
  <c r="B4" i="153"/>
  <c r="B4" i="155"/>
  <c r="G241" i="54"/>
  <c r="G252" i="54" s="1"/>
  <c r="G242" i="54"/>
  <c r="G253" i="54" s="1"/>
  <c r="G247" i="54"/>
  <c r="G258" i="54" s="1"/>
  <c r="G245" i="54"/>
  <c r="G256" i="54" s="1"/>
  <c r="I529" i="120"/>
  <c r="J529" i="120" s="1"/>
  <c r="I664" i="120"/>
  <c r="I30" i="120"/>
  <c r="I519" i="120"/>
  <c r="I773" i="120"/>
  <c r="J773" i="120" s="1"/>
  <c r="I885" i="120"/>
  <c r="I884" i="120" s="1"/>
  <c r="I835" i="120"/>
  <c r="I65" i="120"/>
  <c r="I237" i="120"/>
  <c r="I337" i="120"/>
  <c r="I364" i="120"/>
  <c r="J364" i="120" s="1"/>
  <c r="I377" i="120"/>
  <c r="J377" i="120" s="1"/>
  <c r="I425" i="120"/>
  <c r="I437" i="120"/>
  <c r="I521" i="120"/>
  <c r="I145" i="120"/>
  <c r="I163" i="120"/>
  <c r="I195" i="120"/>
  <c r="I459" i="120"/>
  <c r="I509" i="120"/>
  <c r="I911" i="120"/>
  <c r="I239" i="120"/>
  <c r="I365" i="120"/>
  <c r="J365" i="120" s="1"/>
  <c r="I378" i="120"/>
  <c r="J378" i="120" s="1"/>
  <c r="I164" i="120"/>
  <c r="I596" i="120"/>
  <c r="I578" i="120"/>
  <c r="I68" i="120"/>
  <c r="I241" i="120"/>
  <c r="I267" i="120"/>
  <c r="I354" i="120"/>
  <c r="J354" i="120" s="1"/>
  <c r="I366" i="120"/>
  <c r="J366" i="120" s="1"/>
  <c r="I523" i="120"/>
  <c r="J523" i="120" s="1"/>
  <c r="I537" i="120"/>
  <c r="I657" i="120"/>
  <c r="I902" i="120"/>
  <c r="I923" i="120"/>
  <c r="I150" i="120"/>
  <c r="I511" i="120"/>
  <c r="I798" i="120"/>
  <c r="I238" i="120"/>
  <c r="I286" i="120"/>
  <c r="I395" i="120"/>
  <c r="J395" i="120" s="1"/>
  <c r="I658" i="120"/>
  <c r="I903" i="120"/>
  <c r="I131" i="120"/>
  <c r="I811" i="120"/>
  <c r="I240" i="120"/>
  <c r="I274" i="120"/>
  <c r="J274" i="120" s="1"/>
  <c r="I381" i="120"/>
  <c r="J381" i="120" s="1"/>
  <c r="I417" i="120"/>
  <c r="I779" i="120"/>
  <c r="I753" i="120"/>
  <c r="I768" i="120"/>
  <c r="I370" i="120"/>
  <c r="J370" i="120" s="1"/>
  <c r="I711" i="120"/>
  <c r="I155" i="120"/>
  <c r="I781" i="120"/>
  <c r="I906" i="120"/>
  <c r="J906" i="120" s="1"/>
  <c r="I932" i="120"/>
  <c r="J932" i="120" s="1"/>
  <c r="H921" i="12"/>
  <c r="H921" i="120" s="1"/>
  <c r="AA203" i="54"/>
  <c r="AY133" i="58"/>
  <c r="O49" i="49"/>
  <c r="O32" i="49"/>
  <c r="O33" i="49" s="1"/>
  <c r="O50" i="49" s="1"/>
  <c r="O35" i="49" s="1"/>
  <c r="E63" i="49"/>
  <c r="E59" i="49"/>
  <c r="E61" i="49" s="1"/>
  <c r="E58" i="49"/>
  <c r="E60" i="49" s="1"/>
  <c r="F49" i="49"/>
  <c r="F32" i="49"/>
  <c r="F54" i="49" s="1"/>
  <c r="K75" i="47"/>
  <c r="H521" i="12"/>
  <c r="H521" i="120" s="1"/>
  <c r="R49" i="49"/>
  <c r="R32" i="49"/>
  <c r="F11" i="87"/>
  <c r="K63" i="132"/>
  <c r="F114" i="62"/>
  <c r="H596" i="12"/>
  <c r="H596" i="120" s="1"/>
  <c r="S58" i="49"/>
  <c r="K76" i="132"/>
  <c r="G70" i="78"/>
  <c r="C83" i="78"/>
  <c r="F72" i="78"/>
  <c r="G30" i="62"/>
  <c r="J94" i="62"/>
  <c r="G39" i="118"/>
  <c r="H598" i="12"/>
  <c r="H598" i="120" s="1"/>
  <c r="K59" i="118"/>
  <c r="L88" i="63"/>
  <c r="P32" i="49"/>
  <c r="P54" i="49" s="1"/>
  <c r="K60" i="132"/>
  <c r="B82" i="78"/>
  <c r="J90" i="62"/>
  <c r="Q32" i="49"/>
  <c r="Q54" i="49" s="1"/>
  <c r="C21" i="78"/>
  <c r="E81" i="78"/>
  <c r="N7" i="55"/>
  <c r="H39" i="12" s="1"/>
  <c r="H39" i="120" s="1"/>
  <c r="K59" i="132"/>
  <c r="J102" i="62"/>
  <c r="J103" i="62" s="1"/>
  <c r="H834" i="12"/>
  <c r="H834" i="120" s="1"/>
  <c r="H420" i="12"/>
  <c r="H420" i="120" s="1"/>
  <c r="H417" i="12"/>
  <c r="H417" i="120" s="1"/>
  <c r="L15" i="68"/>
  <c r="K74" i="132"/>
  <c r="F60" i="78"/>
  <c r="D71" i="78"/>
  <c r="F37" i="87"/>
  <c r="R41" i="49"/>
  <c r="J58" i="47"/>
  <c r="G52" i="87"/>
  <c r="F37" i="62"/>
  <c r="I37" i="62" s="1"/>
  <c r="H426" i="12" s="1"/>
  <c r="H426" i="120" s="1"/>
  <c r="K64" i="118"/>
  <c r="H33" i="49"/>
  <c r="H50" i="49" s="1"/>
  <c r="H35" i="49" s="1"/>
  <c r="L34" i="49"/>
  <c r="C35" i="78"/>
  <c r="E35" i="78"/>
  <c r="G64" i="62"/>
  <c r="G73" i="62" s="1"/>
  <c r="G83" i="62" s="1"/>
  <c r="G55" i="63"/>
  <c r="K55" i="63" s="1"/>
  <c r="L55" i="63" s="1"/>
  <c r="P33" i="49"/>
  <c r="P50" i="49" s="1"/>
  <c r="P35" i="49" s="1"/>
  <c r="F33" i="78"/>
  <c r="G56" i="78"/>
  <c r="G100" i="83"/>
  <c r="M30" i="118"/>
  <c r="H70" i="12" s="1"/>
  <c r="O70" i="12" s="1"/>
  <c r="F29" i="62"/>
  <c r="F53" i="87"/>
  <c r="K27" i="132"/>
  <c r="C60" i="78"/>
  <c r="G81" i="78"/>
  <c r="B43" i="78"/>
  <c r="G51" i="63"/>
  <c r="I44" i="87"/>
  <c r="H807" i="12" s="1"/>
  <c r="H807" i="120" s="1"/>
  <c r="D47" i="78"/>
  <c r="D60" i="78"/>
  <c r="F71" i="78"/>
  <c r="G50" i="63"/>
  <c r="J45" i="87"/>
  <c r="H32" i="49"/>
  <c r="H54" i="49" s="1"/>
  <c r="J58" i="49"/>
  <c r="G60" i="78"/>
  <c r="F69" i="78"/>
  <c r="J105" i="62"/>
  <c r="I16" i="62"/>
  <c r="J16" i="62" s="1"/>
  <c r="K48" i="132"/>
  <c r="B60" i="78"/>
  <c r="E71" i="78"/>
  <c r="I49" i="49"/>
  <c r="I33" i="49"/>
  <c r="I32" i="49"/>
  <c r="I54" i="49" s="1"/>
  <c r="G58" i="49"/>
  <c r="G63" i="49"/>
  <c r="G59" i="49"/>
  <c r="G61" i="49" s="1"/>
  <c r="F46" i="87"/>
  <c r="H59" i="49"/>
  <c r="H61" i="49" s="1"/>
  <c r="H63" i="49"/>
  <c r="H58" i="49"/>
  <c r="I58" i="49"/>
  <c r="I59" i="49"/>
  <c r="I61" i="49" s="1"/>
  <c r="I63" i="49"/>
  <c r="I106" i="62"/>
  <c r="F33" i="61" s="1"/>
  <c r="F79" i="61" s="1"/>
  <c r="K58" i="49"/>
  <c r="K59" i="49"/>
  <c r="K61" i="49" s="1"/>
  <c r="K63" i="49"/>
  <c r="L32" i="49"/>
  <c r="L54" i="49" s="1"/>
  <c r="L49" i="49"/>
  <c r="L58" i="49"/>
  <c r="L59" i="49"/>
  <c r="L61" i="49" s="1"/>
  <c r="L63" i="49"/>
  <c r="M49" i="49"/>
  <c r="M32" i="49"/>
  <c r="M54" i="49" s="1"/>
  <c r="M59" i="49"/>
  <c r="M61" i="49" s="1"/>
  <c r="M63" i="49"/>
  <c r="M58" i="49"/>
  <c r="N59" i="49"/>
  <c r="N61" i="49" s="1"/>
  <c r="N63" i="49"/>
  <c r="N58" i="49"/>
  <c r="O59" i="49"/>
  <c r="O61" i="49" s="1"/>
  <c r="O63" i="49"/>
  <c r="J48" i="47"/>
  <c r="H517" i="12" s="1"/>
  <c r="H517" i="120" s="1"/>
  <c r="P63" i="49"/>
  <c r="P59" i="49"/>
  <c r="P61" i="49" s="1"/>
  <c r="Q63" i="49"/>
  <c r="Q59" i="49"/>
  <c r="Q61" i="49" s="1"/>
  <c r="I52" i="87"/>
  <c r="J52" i="87" s="1"/>
  <c r="F23" i="87"/>
  <c r="G12" i="87"/>
  <c r="G11" i="87"/>
  <c r="G46" i="87" s="1"/>
  <c r="I10" i="87"/>
  <c r="J10" i="87" s="1"/>
  <c r="K32" i="49"/>
  <c r="K54" i="49" s="1"/>
  <c r="K49" i="49"/>
  <c r="I51" i="87"/>
  <c r="J51" i="87" s="1"/>
  <c r="I37" i="87"/>
  <c r="H813" i="12" s="1"/>
  <c r="H813" i="120" s="1"/>
  <c r="S32" i="49"/>
  <c r="S54" i="49" s="1"/>
  <c r="S49" i="49"/>
  <c r="T49" i="49"/>
  <c r="T32" i="49"/>
  <c r="T54" i="49" s="1"/>
  <c r="U49" i="49"/>
  <c r="U32" i="49"/>
  <c r="U54" i="49" s="1"/>
  <c r="H519" i="12"/>
  <c r="H519" i="120" s="1"/>
  <c r="H810" i="12"/>
  <c r="H810" i="120" s="1"/>
  <c r="K71" i="47"/>
  <c r="F21" i="61"/>
  <c r="AZ21" i="61" s="1"/>
  <c r="H457" i="12" s="1"/>
  <c r="H457" i="120" s="1"/>
  <c r="N49" i="49"/>
  <c r="G13" i="87"/>
  <c r="G16" i="87" s="1"/>
  <c r="G17" i="87" s="1"/>
  <c r="G20" i="87"/>
  <c r="G23" i="87" s="1"/>
  <c r="H36" i="49"/>
  <c r="H316" i="12"/>
  <c r="H316" i="120" s="1"/>
  <c r="K58" i="132"/>
  <c r="G33" i="78"/>
  <c r="C41" i="78"/>
  <c r="J6" i="62"/>
  <c r="F31" i="87"/>
  <c r="Q33" i="49"/>
  <c r="J13" i="132"/>
  <c r="K13" i="132" s="1"/>
  <c r="K73" i="132"/>
  <c r="B33" i="78"/>
  <c r="D18" i="78"/>
  <c r="H811" i="12"/>
  <c r="H811" i="120" s="1"/>
  <c r="F77" i="62"/>
  <c r="F120" i="47"/>
  <c r="F136" i="47" s="1"/>
  <c r="J136" i="47" s="1"/>
  <c r="H558" i="12" s="1"/>
  <c r="F12" i="87"/>
  <c r="P34" i="49"/>
  <c r="P58" i="49" s="1"/>
  <c r="P60" i="49" s="1"/>
  <c r="K57" i="132"/>
  <c r="C17" i="78"/>
  <c r="G31" i="78"/>
  <c r="L48" i="63"/>
  <c r="K5" i="118"/>
  <c r="M5" i="118" s="1"/>
  <c r="H65" i="12" s="1"/>
  <c r="O65" i="12" s="1"/>
  <c r="J5" i="62"/>
  <c r="J40" i="87"/>
  <c r="N33" i="49"/>
  <c r="O54" i="49"/>
  <c r="J63" i="49"/>
  <c r="G114" i="62"/>
  <c r="I56" i="62"/>
  <c r="H432" i="12" s="1"/>
  <c r="H432" i="120" s="1"/>
  <c r="K10" i="118"/>
  <c r="F13" i="87"/>
  <c r="O34" i="49"/>
  <c r="O58" i="49" s="1"/>
  <c r="O60" i="49" s="1"/>
  <c r="K23" i="132"/>
  <c r="K56" i="132"/>
  <c r="G109" i="62"/>
  <c r="I109" i="62" s="1"/>
  <c r="F40" i="61" s="1"/>
  <c r="J115" i="62"/>
  <c r="K19" i="83"/>
  <c r="J42" i="87"/>
  <c r="F49" i="87"/>
  <c r="O36" i="49"/>
  <c r="Q34" i="49"/>
  <c r="Q58" i="49" s="1"/>
  <c r="K47" i="132"/>
  <c r="K83" i="132"/>
  <c r="G108" i="62"/>
  <c r="B42" i="78"/>
  <c r="E407" i="12"/>
  <c r="E472" i="12"/>
  <c r="E472" i="120" s="1"/>
  <c r="J59" i="62"/>
  <c r="G31" i="87"/>
  <c r="G34" i="87" s="1"/>
  <c r="G35" i="87" s="1"/>
  <c r="P36" i="49"/>
  <c r="J7" i="87"/>
  <c r="F28" i="47"/>
  <c r="J28" i="47" s="1"/>
  <c r="H510" i="12" s="1"/>
  <c r="H510" i="120" s="1"/>
  <c r="H827" i="12"/>
  <c r="J76" i="62"/>
  <c r="H526" i="12"/>
  <c r="H526" i="120" s="1"/>
  <c r="K41" i="132"/>
  <c r="K103" i="132"/>
  <c r="G37" i="78"/>
  <c r="L89" i="63"/>
  <c r="F31" i="47"/>
  <c r="J31" i="47" s="1"/>
  <c r="K79" i="132"/>
  <c r="C37" i="78"/>
  <c r="G47" i="78"/>
  <c r="F30" i="62"/>
  <c r="G50" i="49"/>
  <c r="G35" i="49" s="1"/>
  <c r="F31" i="61"/>
  <c r="F72" i="61" s="1"/>
  <c r="F93" i="61" s="1"/>
  <c r="F18" i="61"/>
  <c r="K51" i="132"/>
  <c r="K106" i="132"/>
  <c r="H405" i="12"/>
  <c r="H405" i="120" s="1"/>
  <c r="E14" i="78"/>
  <c r="J32" i="49"/>
  <c r="J54" i="49" s="1"/>
  <c r="K86" i="47"/>
  <c r="G40" i="118"/>
  <c r="B66" i="78"/>
  <c r="D42" i="78"/>
  <c r="B19" i="78"/>
  <c r="E41" i="78"/>
  <c r="G55" i="78"/>
  <c r="C53" i="78"/>
  <c r="B65" i="78"/>
  <c r="F17" i="78"/>
  <c r="E65" i="78"/>
  <c r="F65" i="78"/>
  <c r="AA82" i="134"/>
  <c r="X46" i="134"/>
  <c r="Y46" i="134" s="1"/>
  <c r="AA46" i="134"/>
  <c r="X18" i="134"/>
  <c r="Y18" i="134" s="1"/>
  <c r="D85" i="78"/>
  <c r="C43" i="78"/>
  <c r="E21" i="78"/>
  <c r="C31" i="78"/>
  <c r="F75" i="78"/>
  <c r="G85" i="78"/>
  <c r="G43" i="78"/>
  <c r="C15" i="78"/>
  <c r="C55" i="78"/>
  <c r="B89" i="78"/>
  <c r="D43" i="78"/>
  <c r="G41" i="78"/>
  <c r="G29" i="78"/>
  <c r="B75" i="78"/>
  <c r="C44" i="78"/>
  <c r="E29" i="78"/>
  <c r="B51" i="78"/>
  <c r="B20" i="78"/>
  <c r="F66" i="78"/>
  <c r="G44" i="78"/>
  <c r="C52" i="78"/>
  <c r="F29" i="78"/>
  <c r="E20" i="78"/>
  <c r="F44" i="78"/>
  <c r="B44" i="78"/>
  <c r="G77" i="78"/>
  <c r="C51" i="78"/>
  <c r="F85" i="78"/>
  <c r="D66" i="78"/>
  <c r="B53" i="78"/>
  <c r="F42" i="78"/>
  <c r="C45" i="78"/>
  <c r="E64" i="78"/>
  <c r="D31" i="78"/>
  <c r="E42" i="78"/>
  <c r="C18" i="78"/>
  <c r="B31" i="78"/>
  <c r="E28" i="78"/>
  <c r="F77" i="78"/>
  <c r="C19" i="78"/>
  <c r="C75" i="78"/>
  <c r="B52" i="78"/>
  <c r="C77" i="78"/>
  <c r="F19" i="78"/>
  <c r="D75" i="78"/>
  <c r="D20" i="78"/>
  <c r="F20" i="78"/>
  <c r="E44" i="78"/>
  <c r="E67" i="78"/>
  <c r="D46" i="78"/>
  <c r="B67" i="78"/>
  <c r="D67" i="78"/>
  <c r="C22" i="78"/>
  <c r="E46" i="78"/>
  <c r="G23" i="78"/>
  <c r="F23" i="78"/>
  <c r="B22" i="78"/>
  <c r="E36" i="78"/>
  <c r="E22" i="78"/>
  <c r="F43" i="78"/>
  <c r="G22" i="78"/>
  <c r="D22" i="78"/>
  <c r="M25" i="118"/>
  <c r="H69" i="12" s="1"/>
  <c r="O69" i="12" s="1"/>
  <c r="X82" i="134"/>
  <c r="Y82" i="134" s="1"/>
  <c r="Z140" i="54"/>
  <c r="AA140" i="54" s="1"/>
  <c r="A36" i="12"/>
  <c r="A36" i="120" s="1"/>
  <c r="I500" i="120"/>
  <c r="B840" i="120"/>
  <c r="AA18" i="134"/>
  <c r="AA22" i="134"/>
  <c r="X50" i="134"/>
  <c r="Y50" i="134" s="1"/>
  <c r="X86" i="134"/>
  <c r="Y86" i="134" s="1"/>
  <c r="AA50" i="134"/>
  <c r="AA86" i="134"/>
  <c r="X34" i="134"/>
  <c r="Y34" i="134" s="1"/>
  <c r="AA34" i="134"/>
  <c r="X70" i="134"/>
  <c r="Y70" i="134" s="1"/>
  <c r="X78" i="134"/>
  <c r="Y78" i="134" s="1"/>
  <c r="R77" i="134"/>
  <c r="X62" i="134"/>
  <c r="Y62" i="134" s="1"/>
  <c r="AA70" i="134"/>
  <c r="AA26" i="134"/>
  <c r="W25" i="134"/>
  <c r="AA54" i="134"/>
  <c r="V53" i="134"/>
  <c r="AA62" i="134"/>
  <c r="AA58" i="134"/>
  <c r="Q57" i="134"/>
  <c r="X22" i="134"/>
  <c r="Y22" i="134" s="1"/>
  <c r="X10" i="134"/>
  <c r="Y10" i="134" s="1"/>
  <c r="X38" i="134"/>
  <c r="Y38" i="134" s="1"/>
  <c r="AA10" i="134"/>
  <c r="AA38" i="134"/>
  <c r="X74" i="134"/>
  <c r="Y74" i="134" s="1"/>
  <c r="AA74" i="134"/>
  <c r="X66" i="134"/>
  <c r="Y66" i="134" s="1"/>
  <c r="AA66" i="134"/>
  <c r="H352" i="12"/>
  <c r="H352" i="120" s="1"/>
  <c r="E869" i="120"/>
  <c r="BI147" i="58"/>
  <c r="BE158" i="58"/>
  <c r="BG146" i="58"/>
  <c r="BG149" i="58"/>
  <c r="F74" i="59"/>
  <c r="AB4" i="75"/>
  <c r="B68" i="78"/>
  <c r="C47" i="78"/>
  <c r="F37" i="78"/>
  <c r="F67" i="78"/>
  <c r="D29" i="78"/>
  <c r="B41" i="78"/>
  <c r="F47" i="78"/>
  <c r="D87" i="78"/>
  <c r="D68" i="78"/>
  <c r="B45" i="78"/>
  <c r="D57" i="78"/>
  <c r="B77" i="78"/>
  <c r="G45" i="78"/>
  <c r="D45" i="78"/>
  <c r="E82" i="78"/>
  <c r="B37" i="78"/>
  <c r="F57" i="78"/>
  <c r="G69" i="78"/>
  <c r="B85" i="78"/>
  <c r="D36" i="78"/>
  <c r="C59" i="78"/>
  <c r="G57" i="78"/>
  <c r="D15" i="78"/>
  <c r="D28" i="78"/>
  <c r="B57" i="78"/>
  <c r="G16" i="78"/>
  <c r="C20" i="78"/>
  <c r="C67" i="78"/>
  <c r="G15" i="78"/>
  <c r="G28" i="78"/>
  <c r="B25" i="78"/>
  <c r="B55" i="78"/>
  <c r="C16" i="78"/>
  <c r="C66" i="78"/>
  <c r="B59" i="78"/>
  <c r="B16" i="78"/>
  <c r="B40" i="78"/>
  <c r="D40" i="78"/>
  <c r="E77" i="78"/>
  <c r="E40" i="78"/>
  <c r="F55" i="78"/>
  <c r="E74" i="78"/>
  <c r="C28" i="78"/>
  <c r="C26" i="78"/>
  <c r="E16" i="78"/>
  <c r="D37" i="78"/>
  <c r="G68" i="78"/>
  <c r="B36" i="78"/>
  <c r="D38" i="78"/>
  <c r="G26" i="78"/>
  <c r="D16" i="78"/>
  <c r="B79" i="78"/>
  <c r="C74" i="78"/>
  <c r="F49" i="78"/>
  <c r="F27" i="78"/>
  <c r="E48" i="78"/>
  <c r="E87" i="78"/>
  <c r="F46" i="78"/>
  <c r="B74" i="78"/>
  <c r="F89" i="78"/>
  <c r="B28" i="78"/>
  <c r="B48" i="78"/>
  <c r="E45" i="78"/>
  <c r="F87" i="78"/>
  <c r="G59" i="78"/>
  <c r="F74" i="78"/>
  <c r="C40" i="78"/>
  <c r="E68" i="78"/>
  <c r="C65" i="78"/>
  <c r="F36" i="78"/>
  <c r="G46" i="78"/>
  <c r="F79" i="78"/>
  <c r="E59" i="78"/>
  <c r="B23" i="78"/>
  <c r="G42" i="78"/>
  <c r="G14" i="78"/>
  <c r="E15" i="78"/>
  <c r="B76" i="78"/>
  <c r="E88" i="78"/>
  <c r="C88" i="78"/>
  <c r="C39" i="78"/>
  <c r="D88" i="78"/>
  <c r="B69" i="78"/>
  <c r="G51" i="78"/>
  <c r="D69" i="78"/>
  <c r="F88" i="78"/>
  <c r="D41" i="78"/>
  <c r="F76" i="78"/>
  <c r="G76" i="78"/>
  <c r="F15" i="78"/>
  <c r="F59" i="78"/>
  <c r="E31" i="78"/>
  <c r="B87" i="78"/>
  <c r="D19" i="78"/>
  <c r="D76" i="78"/>
  <c r="E19" i="78"/>
  <c r="C76" i="78"/>
  <c r="G40" i="78"/>
  <c r="G52" i="78"/>
  <c r="D39" i="78"/>
  <c r="D23" i="78"/>
  <c r="B46" i="78"/>
  <c r="D55" i="78"/>
  <c r="G39" i="78"/>
  <c r="G18" i="78"/>
  <c r="F21" i="78"/>
  <c r="C68" i="78"/>
  <c r="C23" i="78"/>
  <c r="B18" i="78"/>
  <c r="AA30" i="134"/>
  <c r="Q29" i="134"/>
  <c r="E893" i="120"/>
  <c r="E618" i="120"/>
  <c r="E889" i="12"/>
  <c r="E713" i="12"/>
  <c r="E713" i="120" s="1"/>
  <c r="E622" i="12"/>
  <c r="E580" i="12"/>
  <c r="H580" i="12" s="1"/>
  <c r="E504" i="12"/>
  <c r="E504" i="120" s="1"/>
  <c r="E883" i="120"/>
  <c r="AA199" i="54"/>
  <c r="AA201" i="54"/>
  <c r="BE21" i="60"/>
  <c r="AX21" i="60"/>
  <c r="BG28" i="60"/>
  <c r="BG74" i="58"/>
  <c r="BG150" i="58"/>
  <c r="BG73" i="58"/>
  <c r="BG70" i="58"/>
  <c r="E554" i="120"/>
  <c r="E411" i="120"/>
  <c r="H411" i="12"/>
  <c r="H411" i="120" s="1"/>
  <c r="E606" i="120"/>
  <c r="E790" i="12"/>
  <c r="E790" i="120" s="1"/>
  <c r="E62" i="12"/>
  <c r="E552" i="120"/>
  <c r="E825" i="120"/>
  <c r="H825" i="12"/>
  <c r="H825" i="120" s="1"/>
  <c r="E823" i="120"/>
  <c r="E875" i="120"/>
  <c r="E873" i="120"/>
  <c r="E562" i="120"/>
  <c r="E468" i="12"/>
  <c r="E468" i="120" s="1"/>
  <c r="E442" i="12"/>
  <c r="E442" i="120" s="1"/>
  <c r="E403" i="12"/>
  <c r="E175" i="12"/>
  <c r="E175" i="120" s="1"/>
  <c r="E401" i="120"/>
  <c r="E544" i="120"/>
  <c r="E817" i="120"/>
  <c r="E865" i="120"/>
  <c r="E867" i="120"/>
  <c r="E568" i="120"/>
  <c r="E831" i="120"/>
  <c r="E891" i="120"/>
  <c r="E612" i="120"/>
  <c r="E879" i="12"/>
  <c r="E484" i="12"/>
  <c r="E484" i="120" s="1"/>
  <c r="E610" i="120"/>
  <c r="E560" i="120"/>
  <c r="E558" i="120"/>
  <c r="E570" i="120"/>
  <c r="E877" i="120"/>
  <c r="E578" i="120"/>
  <c r="E620" i="120"/>
  <c r="E550" i="120"/>
  <c r="E600" i="120"/>
  <c r="E564" i="120"/>
  <c r="E815" i="120"/>
  <c r="E546" i="120"/>
  <c r="E701" i="12"/>
  <c r="E701" i="120" s="1"/>
  <c r="E699" i="12"/>
  <c r="E699" i="120" s="1"/>
  <c r="E566" i="120"/>
  <c r="E871" i="120"/>
  <c r="E697" i="12"/>
  <c r="E697" i="120" s="1"/>
  <c r="E492" i="12"/>
  <c r="E492" i="120" s="1"/>
  <c r="E602" i="120"/>
  <c r="Z101" i="54"/>
  <c r="AA101" i="54" s="1"/>
  <c r="H777" i="12"/>
  <c r="H777" i="120" s="1"/>
  <c r="Z122" i="54"/>
  <c r="AA122" i="54" s="1"/>
  <c r="AA9" i="37"/>
  <c r="H909" i="12"/>
  <c r="H909" i="120" s="1"/>
  <c r="H922" i="12"/>
  <c r="H922" i="120" s="1"/>
  <c r="AA392" i="133"/>
  <c r="H770" i="12"/>
  <c r="H770" i="120" s="1"/>
  <c r="Z118" i="54"/>
  <c r="AA118" i="54" s="1"/>
  <c r="AB53" i="75"/>
  <c r="H745" i="12" s="1"/>
  <c r="H745" i="120" s="1"/>
  <c r="AC56" i="75"/>
  <c r="AC50" i="75"/>
  <c r="AA49" i="37"/>
  <c r="Z67" i="37"/>
  <c r="AA67" i="37" s="1"/>
  <c r="Z64" i="37"/>
  <c r="AA64" i="37" s="1"/>
  <c r="AA90" i="37"/>
  <c r="Z76" i="37"/>
  <c r="H664" i="12" s="1"/>
  <c r="H664" i="120" s="1"/>
  <c r="Z51" i="37"/>
  <c r="H652" i="12" s="1"/>
  <c r="O652" i="12" s="1"/>
  <c r="Z75" i="37"/>
  <c r="AA75" i="37" s="1"/>
  <c r="AA40" i="37"/>
  <c r="Z84" i="37"/>
  <c r="AA84" i="37" s="1"/>
  <c r="Z4" i="37"/>
  <c r="Z5" i="37"/>
  <c r="Z70" i="37"/>
  <c r="AA70" i="37" s="1"/>
  <c r="AA39" i="37"/>
  <c r="AA12" i="37"/>
  <c r="Y18" i="56"/>
  <c r="M61" i="118" s="1"/>
  <c r="H81" i="12" s="1"/>
  <c r="H81" i="120" s="1"/>
  <c r="Z38" i="56"/>
  <c r="Y39" i="56"/>
  <c r="Z39" i="56" s="1"/>
  <c r="Z66" i="56"/>
  <c r="Z3" i="56"/>
  <c r="Z70" i="56"/>
  <c r="Z31" i="56"/>
  <c r="N3" i="40"/>
  <c r="N1" i="40" s="1"/>
  <c r="B17" i="77"/>
  <c r="B58" i="12"/>
  <c r="H58" i="120"/>
  <c r="H60" i="120" s="1"/>
  <c r="H46" i="12"/>
  <c r="H46" i="120" s="1"/>
  <c r="B169" i="120"/>
  <c r="B655" i="120"/>
  <c r="H707" i="12"/>
  <c r="B466" i="120"/>
  <c r="B630" i="120"/>
  <c r="B633" i="120"/>
  <c r="B674" i="120"/>
  <c r="B812" i="120"/>
  <c r="B813" i="120"/>
  <c r="B736" i="120"/>
  <c r="H498" i="12"/>
  <c r="H498" i="120" s="1"/>
  <c r="B532" i="120"/>
  <c r="H574" i="12"/>
  <c r="B763" i="120"/>
  <c r="AA227" i="54"/>
  <c r="Z98" i="54"/>
  <c r="AA98" i="54" s="1"/>
  <c r="X42" i="134"/>
  <c r="Y42" i="134" s="1"/>
  <c r="AA42" i="134"/>
  <c r="X54" i="134"/>
  <c r="Y54" i="134" s="1"/>
  <c r="AA14" i="134"/>
  <c r="X30" i="134"/>
  <c r="Y30" i="134" s="1"/>
  <c r="AA78" i="134"/>
  <c r="X26" i="134"/>
  <c r="Y26" i="134" s="1"/>
  <c r="H31" i="120"/>
  <c r="C82" i="134" s="1"/>
  <c r="G7" i="74"/>
  <c r="N13" i="12"/>
  <c r="N13" i="120"/>
  <c r="X58" i="134"/>
  <c r="Y58" i="134" s="1"/>
  <c r="X14" i="134"/>
  <c r="Y14" i="134" s="1"/>
  <c r="AA91" i="39"/>
  <c r="E290" i="12"/>
  <c r="E290" i="120" s="1"/>
  <c r="H60" i="12"/>
  <c r="M60" i="12" s="1"/>
  <c r="Z103" i="54"/>
  <c r="AA103" i="54" s="1"/>
  <c r="Z240" i="54"/>
  <c r="AA240" i="54" s="1"/>
  <c r="AA207" i="54"/>
  <c r="H779" i="12"/>
  <c r="H779" i="120" s="1"/>
  <c r="M790" i="12"/>
  <c r="BN64" i="59"/>
  <c r="H265" i="12"/>
  <c r="J265" i="12" s="1"/>
  <c r="BI74" i="58"/>
  <c r="BI78" i="58"/>
  <c r="BG77" i="58"/>
  <c r="BI152" i="58"/>
  <c r="BI71" i="58"/>
  <c r="BG152" i="58"/>
  <c r="BH77" i="58"/>
  <c r="BI151" i="58"/>
  <c r="BH149" i="58"/>
  <c r="BI150" i="58"/>
  <c r="BH73" i="58"/>
  <c r="BH76" i="58"/>
  <c r="BG151" i="58"/>
  <c r="BH79" i="58"/>
  <c r="BH144" i="58"/>
  <c r="BG71" i="58"/>
  <c r="BG79" i="58"/>
  <c r="BH71" i="58"/>
  <c r="BH148" i="58"/>
  <c r="BH152" i="58"/>
  <c r="BN63" i="59"/>
  <c r="BG147" i="58"/>
  <c r="BI146" i="58"/>
  <c r="BI145" i="58"/>
  <c r="BG75" i="58"/>
  <c r="BI144" i="58"/>
  <c r="BH158" i="58"/>
  <c r="BG144" i="58"/>
  <c r="BG158" i="58"/>
  <c r="BN145" i="59"/>
  <c r="BI153" i="58"/>
  <c r="BN144" i="59"/>
  <c r="BH145" i="58"/>
  <c r="BH153" i="58"/>
  <c r="BN117" i="59"/>
  <c r="BG153" i="58"/>
  <c r="BI75" i="58"/>
  <c r="BN121" i="59"/>
  <c r="BN62" i="59"/>
  <c r="BN110" i="59"/>
  <c r="BF166" i="58"/>
  <c r="BF167" i="58" s="1"/>
  <c r="H251" i="12"/>
  <c r="H251" i="120" s="1"/>
  <c r="BH178" i="58"/>
  <c r="BH179" i="58" s="1"/>
  <c r="BH180" i="58" s="1"/>
  <c r="BH146" i="58"/>
  <c r="BN99" i="59"/>
  <c r="BN60" i="59"/>
  <c r="BH166" i="58"/>
  <c r="BH168" i="58" s="1"/>
  <c r="BI77" i="58"/>
  <c r="BI76" i="58"/>
  <c r="BG78" i="58"/>
  <c r="BI73" i="58"/>
  <c r="BI149" i="58"/>
  <c r="BI72" i="58"/>
  <c r="BG72" i="58"/>
  <c r="BG76" i="58"/>
  <c r="BI148" i="58"/>
  <c r="BI70" i="58"/>
  <c r="BN105" i="59"/>
  <c r="BN108" i="59"/>
  <c r="BG145" i="58"/>
  <c r="BN116" i="59"/>
  <c r="BL206" i="58"/>
  <c r="BL214" i="58" s="1"/>
  <c r="BE177" i="58"/>
  <c r="BE179" i="58" s="1"/>
  <c r="BE180" i="58" s="1"/>
  <c r="BN112" i="59"/>
  <c r="BN113" i="59"/>
  <c r="K82" i="132"/>
  <c r="K77" i="132"/>
  <c r="K54" i="132"/>
  <c r="K80" i="132"/>
  <c r="K68" i="132"/>
  <c r="K64" i="132"/>
  <c r="K39" i="132"/>
  <c r="K49" i="132"/>
  <c r="F81" i="62"/>
  <c r="I81" i="62" s="1"/>
  <c r="I29" i="62"/>
  <c r="H421" i="12" s="1"/>
  <c r="O421" i="12" s="1"/>
  <c r="F28" i="62"/>
  <c r="F47" i="62"/>
  <c r="F32" i="62"/>
  <c r="I30" i="62"/>
  <c r="H422" i="12" s="1"/>
  <c r="F46" i="62"/>
  <c r="F48" i="62" s="1"/>
  <c r="F35" i="62"/>
  <c r="J34" i="62"/>
  <c r="I77" i="62"/>
  <c r="J77" i="62" s="1"/>
  <c r="F87" i="62"/>
  <c r="J37" i="62"/>
  <c r="G28" i="62"/>
  <c r="G47" i="62"/>
  <c r="G66" i="62" s="1"/>
  <c r="G68" i="62" s="1"/>
  <c r="G78" i="62" s="1"/>
  <c r="G46" i="62"/>
  <c r="G48" i="62" s="1"/>
  <c r="G32" i="62"/>
  <c r="I57" i="62"/>
  <c r="J57" i="62" s="1"/>
  <c r="J26" i="62"/>
  <c r="I33" i="62"/>
  <c r="J33" i="62" s="1"/>
  <c r="I3" i="62"/>
  <c r="F2" i="55"/>
  <c r="F14" i="62"/>
  <c r="F44" i="62"/>
  <c r="J8" i="62"/>
  <c r="I15" i="62"/>
  <c r="J15" i="62" s="1"/>
  <c r="F65" i="62"/>
  <c r="I62" i="62"/>
  <c r="H434" i="12" s="1"/>
  <c r="H434" i="120" s="1"/>
  <c r="J12" i="62"/>
  <c r="F85" i="62"/>
  <c r="I85" i="62" s="1"/>
  <c r="G39" i="62"/>
  <c r="I39" i="62" s="1"/>
  <c r="I75" i="62"/>
  <c r="J75" i="62" s="1"/>
  <c r="G43" i="62"/>
  <c r="J109" i="62"/>
  <c r="I96" i="62"/>
  <c r="F16" i="61" s="1"/>
  <c r="F62" i="61" s="1"/>
  <c r="F84" i="61" s="1"/>
  <c r="I63" i="62"/>
  <c r="H436" i="12" s="1"/>
  <c r="H436" i="120" s="1"/>
  <c r="F64" i="62"/>
  <c r="I31" i="62"/>
  <c r="G110" i="62"/>
  <c r="J71" i="62"/>
  <c r="G111" i="62"/>
  <c r="I111" i="62" s="1"/>
  <c r="F86" i="62"/>
  <c r="L54" i="63"/>
  <c r="F56" i="47"/>
  <c r="J56" i="47" s="1"/>
  <c r="J57" i="47" s="1"/>
  <c r="J111" i="47"/>
  <c r="H536" i="12" s="1"/>
  <c r="H536" i="120" s="1"/>
  <c r="G40" i="63"/>
  <c r="G102" i="63" s="1"/>
  <c r="G122" i="63" s="1"/>
  <c r="J118" i="47"/>
  <c r="K118" i="47" s="1"/>
  <c r="F124" i="47"/>
  <c r="J124" i="47" s="1"/>
  <c r="F94" i="47"/>
  <c r="H585" i="12"/>
  <c r="H585" i="120" s="1"/>
  <c r="H955" i="120"/>
  <c r="H32" i="120" s="1"/>
  <c r="G103" i="63"/>
  <c r="G123" i="63" s="1"/>
  <c r="L60" i="63"/>
  <c r="K39" i="63"/>
  <c r="H583" i="12" s="1"/>
  <c r="H583" i="120" s="1"/>
  <c r="H512" i="12"/>
  <c r="H512" i="120" s="1"/>
  <c r="K43" i="63"/>
  <c r="L43" i="63" s="1"/>
  <c r="K2" i="63"/>
  <c r="G2" i="55" s="1"/>
  <c r="G21" i="55" s="1"/>
  <c r="K46" i="63"/>
  <c r="L46" i="63" s="1"/>
  <c r="H520" i="12"/>
  <c r="H520" i="120" s="1"/>
  <c r="AA200" i="54"/>
  <c r="J773" i="12"/>
  <c r="AA205" i="54"/>
  <c r="AC7" i="75"/>
  <c r="AC47" i="75"/>
  <c r="AC9" i="75"/>
  <c r="AB15" i="75"/>
  <c r="H729" i="12" s="1"/>
  <c r="H729" i="120" s="1"/>
  <c r="AB2" i="75"/>
  <c r="AC2" i="75" s="1"/>
  <c r="AC26" i="75"/>
  <c r="AA18" i="37"/>
  <c r="Z2" i="37"/>
  <c r="AA2" i="37" s="1"/>
  <c r="Z27" i="37"/>
  <c r="AA23" i="37"/>
  <c r="AA22" i="37"/>
  <c r="Z25" i="37"/>
  <c r="AA25" i="37" s="1"/>
  <c r="AA44" i="37"/>
  <c r="AA38" i="37"/>
  <c r="Z24" i="37"/>
  <c r="AA24" i="37" s="1"/>
  <c r="Z71" i="37"/>
  <c r="AA71" i="37" s="1"/>
  <c r="AA20" i="37"/>
  <c r="H658" i="120"/>
  <c r="O658" i="12"/>
  <c r="Z74" i="37"/>
  <c r="AA72" i="37"/>
  <c r="Z73" i="37"/>
  <c r="AC43" i="75"/>
  <c r="AB17" i="75"/>
  <c r="AC17" i="75" s="1"/>
  <c r="Z8" i="37"/>
  <c r="AA8" i="37" s="1"/>
  <c r="AA6" i="37"/>
  <c r="Z9" i="56"/>
  <c r="AC39" i="75"/>
  <c r="Y51" i="56"/>
  <c r="Z51" i="56" s="1"/>
  <c r="Z53" i="56"/>
  <c r="AB51" i="75"/>
  <c r="H743" i="12" s="1"/>
  <c r="H743" i="120" s="1"/>
  <c r="AC25" i="75"/>
  <c r="AB22" i="75"/>
  <c r="AC18" i="75"/>
  <c r="AA47" i="37"/>
  <c r="AA21" i="37"/>
  <c r="Z213" i="54"/>
  <c r="J58" i="118" s="1"/>
  <c r="M58" i="118" s="1"/>
  <c r="H78" i="12" s="1"/>
  <c r="H78" i="120" s="1"/>
  <c r="Z68" i="37"/>
  <c r="H657" i="12" s="1"/>
  <c r="H657" i="120" s="1"/>
  <c r="Z48" i="56"/>
  <c r="AB49" i="75"/>
  <c r="H741" i="12" s="1"/>
  <c r="H741" i="120" s="1"/>
  <c r="AA13" i="37"/>
  <c r="Y22" i="56"/>
  <c r="M65" i="118" s="1"/>
  <c r="H85" i="12" s="1"/>
  <c r="Y54" i="56"/>
  <c r="AA14" i="37"/>
  <c r="Z4" i="56"/>
  <c r="AB31" i="75"/>
  <c r="AC31" i="75" s="1"/>
  <c r="AB55" i="75"/>
  <c r="H747" i="12" s="1"/>
  <c r="H747" i="120" s="1"/>
  <c r="H29" i="12"/>
  <c r="I2" i="55"/>
  <c r="AA293" i="133"/>
  <c r="H911" i="12"/>
  <c r="H911" i="120" s="1"/>
  <c r="AA285" i="133"/>
  <c r="H285" i="12"/>
  <c r="H285" i="120" s="1"/>
  <c r="H310" i="12"/>
  <c r="H310" i="120" s="1"/>
  <c r="BN146" i="59"/>
  <c r="H286" i="12"/>
  <c r="H286" i="120" s="1"/>
  <c r="H287" i="12"/>
  <c r="H287" i="120" s="1"/>
  <c r="H288" i="12"/>
  <c r="H288" i="120" s="1"/>
  <c r="BN148" i="59"/>
  <c r="K65" i="132"/>
  <c r="H330" i="12"/>
  <c r="H330" i="120" s="1"/>
  <c r="H388" i="12"/>
  <c r="H388" i="120" s="1"/>
  <c r="Y44" i="56"/>
  <c r="Y17" i="56"/>
  <c r="M60" i="118" s="1"/>
  <c r="H80" i="12" s="1"/>
  <c r="H80" i="120" s="1"/>
  <c r="Z60" i="56"/>
  <c r="Y20" i="56"/>
  <c r="I63" i="118" s="1"/>
  <c r="Y2" i="56"/>
  <c r="Y23" i="56"/>
  <c r="I66" i="118" s="1"/>
  <c r="Z63" i="56"/>
  <c r="Y45" i="56"/>
  <c r="Z41" i="56"/>
  <c r="Z43" i="56"/>
  <c r="Y27" i="56"/>
  <c r="Z27" i="56" s="1"/>
  <c r="Z50" i="56"/>
  <c r="Y29" i="56"/>
  <c r="Z29" i="56" s="1"/>
  <c r="Y61" i="56"/>
  <c r="Z61" i="56" s="1"/>
  <c r="Z57" i="56"/>
  <c r="Y56" i="56"/>
  <c r="Z56" i="56" s="1"/>
  <c r="Y46" i="56"/>
  <c r="Z46" i="56" s="1"/>
  <c r="Y24" i="56"/>
  <c r="I53" i="118" s="1"/>
  <c r="Z75" i="56"/>
  <c r="Y87" i="56"/>
  <c r="Z87" i="56" s="1"/>
  <c r="Y71" i="56"/>
  <c r="Z71" i="56" s="1"/>
  <c r="C70" i="39"/>
  <c r="B9" i="39"/>
  <c r="BH194" i="58"/>
  <c r="BH196" i="58" s="1"/>
  <c r="BH197" i="58" s="1"/>
  <c r="BE194" i="58"/>
  <c r="BE196" i="58" s="1"/>
  <c r="BE197" i="58" s="1"/>
  <c r="BE188" i="58"/>
  <c r="BE205" i="58" s="1"/>
  <c r="BE213" i="58" s="1"/>
  <c r="B34" i="77"/>
  <c r="C32" i="77"/>
  <c r="H13" i="12"/>
  <c r="D14" i="122" s="1"/>
  <c r="B321" i="12"/>
  <c r="K72" i="132"/>
  <c r="K12" i="132"/>
  <c r="K52" i="132"/>
  <c r="K25" i="132"/>
  <c r="K97" i="132"/>
  <c r="K67" i="132"/>
  <c r="H346" i="12"/>
  <c r="H347" i="12"/>
  <c r="H347" i="120" s="1"/>
  <c r="K28" i="132"/>
  <c r="K75" i="132"/>
  <c r="K18" i="132"/>
  <c r="K55" i="132"/>
  <c r="H350" i="120"/>
  <c r="H32" i="12"/>
  <c r="C14" i="77" s="1"/>
  <c r="H324" i="120"/>
  <c r="E496" i="12"/>
  <c r="E496" i="120" s="1"/>
  <c r="E572" i="12"/>
  <c r="E614" i="12"/>
  <c r="E705" i="12"/>
  <c r="E705" i="120" s="1"/>
  <c r="G33" i="132"/>
  <c r="G107" i="132"/>
  <c r="J107" i="132" s="1"/>
  <c r="H248" i="120"/>
  <c r="O248" i="12"/>
  <c r="H262" i="120"/>
  <c r="O262" i="12"/>
  <c r="H270" i="120"/>
  <c r="O270" i="120" s="1"/>
  <c r="O270" i="12"/>
  <c r="O805" i="12"/>
  <c r="H202" i="120"/>
  <c r="O202" i="120" s="1"/>
  <c r="H245" i="120"/>
  <c r="O245" i="12"/>
  <c r="H267" i="120"/>
  <c r="O267" i="12"/>
  <c r="H271" i="120"/>
  <c r="O271" i="12"/>
  <c r="H263" i="120"/>
  <c r="O263" i="12"/>
  <c r="H250" i="120"/>
  <c r="O250" i="12"/>
  <c r="H247" i="120"/>
  <c r="O247" i="12"/>
  <c r="H264" i="120"/>
  <c r="O264" i="120" s="1"/>
  <c r="O264" i="12"/>
  <c r="O418" i="12"/>
  <c r="H269" i="120"/>
  <c r="O269" i="120" s="1"/>
  <c r="O269" i="12"/>
  <c r="H261" i="120"/>
  <c r="O261" i="120" s="1"/>
  <c r="O261" i="12"/>
  <c r="K91" i="132"/>
  <c r="K19" i="132"/>
  <c r="K66" i="132"/>
  <c r="J31" i="132"/>
  <c r="K31" i="132" s="1"/>
  <c r="K90" i="132"/>
  <c r="K21" i="132"/>
  <c r="K50" i="132"/>
  <c r="K96" i="132"/>
  <c r="K70" i="132"/>
  <c r="K102" i="132"/>
  <c r="J112" i="132"/>
  <c r="K109" i="132"/>
  <c r="K17" i="132"/>
  <c r="O323" i="12"/>
  <c r="N19" i="12" s="1"/>
  <c r="C35" i="39" s="1"/>
  <c r="H323" i="120"/>
  <c r="J104" i="132"/>
  <c r="H401" i="12" s="1"/>
  <c r="G37" i="132"/>
  <c r="G38" i="132"/>
  <c r="F121" i="47"/>
  <c r="F141" i="47" s="1"/>
  <c r="F119" i="47"/>
  <c r="F130" i="47" s="1"/>
  <c r="F115" i="47"/>
  <c r="Y8" i="56"/>
  <c r="Z8" i="56" s="1"/>
  <c r="Z389" i="133"/>
  <c r="H903" i="12" s="1"/>
  <c r="H903" i="120" s="1"/>
  <c r="Z362" i="133"/>
  <c r="H898" i="12" s="1"/>
  <c r="H898" i="120" s="1"/>
  <c r="AA281" i="133"/>
  <c r="Z280" i="133"/>
  <c r="H918" i="12" s="1"/>
  <c r="H918" i="120" s="1"/>
  <c r="Z383" i="133"/>
  <c r="H896" i="12" s="1"/>
  <c r="H912" i="120"/>
  <c r="H917" i="12"/>
  <c r="H917" i="120" s="1"/>
  <c r="Z348" i="133"/>
  <c r="Z290" i="133"/>
  <c r="H920" i="12" s="1"/>
  <c r="H920" i="120" s="1"/>
  <c r="Z312" i="133"/>
  <c r="H902" i="12" s="1"/>
  <c r="H902" i="120" s="1"/>
  <c r="AA292" i="133"/>
  <c r="H905" i="12"/>
  <c r="H905" i="120" s="1"/>
  <c r="AA278" i="133"/>
  <c r="H910" i="12"/>
  <c r="H910" i="120" s="1"/>
  <c r="H908" i="12"/>
  <c r="H908" i="120" s="1"/>
  <c r="AA279" i="133"/>
  <c r="H923" i="12"/>
  <c r="H923" i="120" s="1"/>
  <c r="H899" i="12"/>
  <c r="H899" i="120" s="1"/>
  <c r="H901" i="12"/>
  <c r="H901" i="120" s="1"/>
  <c r="K75" i="118"/>
  <c r="G118" i="83"/>
  <c r="G136" i="83" s="1"/>
  <c r="G88" i="83"/>
  <c r="G119" i="83" s="1"/>
  <c r="G137" i="83" s="1"/>
  <c r="G130" i="83"/>
  <c r="G147" i="83" s="1"/>
  <c r="G87" i="83"/>
  <c r="G127" i="83" s="1"/>
  <c r="G144" i="83" s="1"/>
  <c r="G89" i="83"/>
  <c r="G125" i="83" s="1"/>
  <c r="G142" i="83" s="1"/>
  <c r="H842" i="120"/>
  <c r="O842" i="12"/>
  <c r="G69" i="83"/>
  <c r="G72" i="83"/>
  <c r="G122" i="83" s="1"/>
  <c r="G140" i="83" s="1"/>
  <c r="G74" i="83"/>
  <c r="G123" i="83" s="1"/>
  <c r="G71" i="83"/>
  <c r="G115" i="83" s="1"/>
  <c r="G133" i="83" s="1"/>
  <c r="G70" i="83"/>
  <c r="G116" i="83" s="1"/>
  <c r="G134" i="83" s="1"/>
  <c r="G73" i="83"/>
  <c r="G121" i="83" s="1"/>
  <c r="G139" i="83" s="1"/>
  <c r="G52" i="83"/>
  <c r="G99" i="83"/>
  <c r="G117" i="83" s="1"/>
  <c r="G135" i="83" s="1"/>
  <c r="G120" i="83"/>
  <c r="G138" i="83" s="1"/>
  <c r="G78" i="83"/>
  <c r="G128" i="83" s="1"/>
  <c r="G145" i="83" s="1"/>
  <c r="G124" i="83"/>
  <c r="G141" i="83" s="1"/>
  <c r="G129" i="83"/>
  <c r="J82" i="83"/>
  <c r="K82" i="83" s="1"/>
  <c r="J94" i="83"/>
  <c r="H851" i="12" s="1"/>
  <c r="H851" i="120" s="1"/>
  <c r="J14" i="83"/>
  <c r="K14" i="83" s="1"/>
  <c r="G111" i="83"/>
  <c r="G114" i="83"/>
  <c r="J98" i="83"/>
  <c r="H852" i="12" s="1"/>
  <c r="H852" i="120" s="1"/>
  <c r="J112" i="83"/>
  <c r="K112" i="83" s="1"/>
  <c r="G113" i="83"/>
  <c r="J30" i="83"/>
  <c r="H836" i="12" s="1"/>
  <c r="H836" i="120" s="1"/>
  <c r="G31" i="83"/>
  <c r="G32" i="83"/>
  <c r="O835" i="12"/>
  <c r="H835" i="120"/>
  <c r="H845" i="120"/>
  <c r="O845" i="12"/>
  <c r="H846" i="120"/>
  <c r="O846" i="12"/>
  <c r="J43" i="83"/>
  <c r="H837" i="12" s="1"/>
  <c r="H847" i="120"/>
  <c r="O847" i="12"/>
  <c r="J50" i="83"/>
  <c r="H839" i="12" s="1"/>
  <c r="H839" i="120" s="1"/>
  <c r="J51" i="83"/>
  <c r="J126" i="83"/>
  <c r="H869" i="12" s="1"/>
  <c r="J75" i="83"/>
  <c r="K75" i="83" s="1"/>
  <c r="J100" i="83"/>
  <c r="H853" i="12" s="1"/>
  <c r="H853" i="120" s="1"/>
  <c r="J42" i="83"/>
  <c r="K42" i="83" s="1"/>
  <c r="N5" i="118"/>
  <c r="J110" i="83"/>
  <c r="K37" i="83"/>
  <c r="J67" i="83"/>
  <c r="H841" i="12" s="1"/>
  <c r="J4" i="83"/>
  <c r="K4" i="83" s="1"/>
  <c r="H849" i="12"/>
  <c r="H849" i="120" s="1"/>
  <c r="J36" i="83"/>
  <c r="K36" i="83" s="1"/>
  <c r="K62" i="118"/>
  <c r="J29" i="83"/>
  <c r="K29" i="83" s="1"/>
  <c r="K97" i="83"/>
  <c r="Z218" i="54"/>
  <c r="J63" i="118" s="1"/>
  <c r="Z55" i="54"/>
  <c r="AA55" i="54" s="1"/>
  <c r="Z125" i="54"/>
  <c r="AA125" i="54" s="1"/>
  <c r="Z214" i="54"/>
  <c r="J59" i="118" s="1"/>
  <c r="M59" i="118" s="1"/>
  <c r="H79" i="12" s="1"/>
  <c r="H79" i="120" s="1"/>
  <c r="Z91" i="54"/>
  <c r="AA91" i="54" s="1"/>
  <c r="Z217" i="54"/>
  <c r="J62" i="118" s="1"/>
  <c r="M62" i="118" s="1"/>
  <c r="H82" i="12" s="1"/>
  <c r="H82" i="120" s="1"/>
  <c r="Z24" i="54"/>
  <c r="AA24" i="54" s="1"/>
  <c r="AA97" i="54"/>
  <c r="H776" i="120"/>
  <c r="J776" i="120" s="1"/>
  <c r="AA209" i="54"/>
  <c r="AA198" i="54"/>
  <c r="H768" i="12"/>
  <c r="H768" i="120" s="1"/>
  <c r="J34" i="118"/>
  <c r="M34" i="118" s="1"/>
  <c r="H71" i="12" s="1"/>
  <c r="O71" i="12" s="1"/>
  <c r="Z152" i="54"/>
  <c r="AA152" i="54" s="1"/>
  <c r="Z180" i="54"/>
  <c r="J54" i="118" s="1"/>
  <c r="M54" i="118" s="1"/>
  <c r="N54" i="118" s="1"/>
  <c r="Z109" i="54"/>
  <c r="AA109" i="54" s="1"/>
  <c r="Z40" i="54"/>
  <c r="AA40" i="54" s="1"/>
  <c r="Z60" i="54"/>
  <c r="AA60" i="54" s="1"/>
  <c r="Z146" i="54"/>
  <c r="Z96" i="54"/>
  <c r="AA96" i="54" s="1"/>
  <c r="Z104" i="54"/>
  <c r="AA104" i="54" s="1"/>
  <c r="Z236" i="54"/>
  <c r="H784" i="12" s="1"/>
  <c r="H784" i="120" s="1"/>
  <c r="Z47" i="54"/>
  <c r="AA47" i="54" s="1"/>
  <c r="Z67" i="54"/>
  <c r="AA67" i="54" s="1"/>
  <c r="Z82" i="54"/>
  <c r="AA82" i="54" s="1"/>
  <c r="Z131" i="54"/>
  <c r="AA131" i="54" s="1"/>
  <c r="Z111" i="54"/>
  <c r="AA111" i="54" s="1"/>
  <c r="Z74" i="54"/>
  <c r="AA74" i="54" s="1"/>
  <c r="Z90" i="54"/>
  <c r="AA90" i="54" s="1"/>
  <c r="Z108" i="54"/>
  <c r="AA108" i="54" s="1"/>
  <c r="Z119" i="54"/>
  <c r="AA119" i="54" s="1"/>
  <c r="Z69" i="54"/>
  <c r="AA69" i="54" s="1"/>
  <c r="Z86" i="54"/>
  <c r="AA86" i="54" s="1"/>
  <c r="Z141" i="54"/>
  <c r="AA141" i="54" s="1"/>
  <c r="Z95" i="54"/>
  <c r="AA95" i="54" s="1"/>
  <c r="AA228" i="54"/>
  <c r="Z46" i="54"/>
  <c r="AA46" i="54" s="1"/>
  <c r="Z66" i="54"/>
  <c r="AA66" i="54" s="1"/>
  <c r="AA110" i="54"/>
  <c r="Z61" i="54"/>
  <c r="AA61" i="54" s="1"/>
  <c r="Z73" i="54"/>
  <c r="AA73" i="54" s="1"/>
  <c r="Z88" i="54"/>
  <c r="AA88" i="54" s="1"/>
  <c r="Z147" i="54"/>
  <c r="AA147" i="54" s="1"/>
  <c r="Z105" i="54"/>
  <c r="AA105" i="54" s="1"/>
  <c r="Z38" i="54"/>
  <c r="AA38" i="54" s="1"/>
  <c r="Z48" i="54"/>
  <c r="AA48" i="54" s="1"/>
  <c r="Z68" i="54"/>
  <c r="AA68" i="54" s="1"/>
  <c r="Z139" i="54"/>
  <c r="AA139" i="54" s="1"/>
  <c r="Z94" i="54"/>
  <c r="AA94" i="54" s="1"/>
  <c r="Z112" i="54"/>
  <c r="AA112" i="54" s="1"/>
  <c r="Z30" i="54"/>
  <c r="H765" i="12" s="1"/>
  <c r="H765" i="120" s="1"/>
  <c r="Z25" i="54"/>
  <c r="Z150" i="54"/>
  <c r="AA150" i="54" s="1"/>
  <c r="AA167" i="54"/>
  <c r="Z89" i="54"/>
  <c r="AA89" i="54" s="1"/>
  <c r="H772" i="12"/>
  <c r="H772" i="120" s="1"/>
  <c r="AA206" i="54"/>
  <c r="J20" i="118"/>
  <c r="M20" i="118" s="1"/>
  <c r="H68" i="12" s="1"/>
  <c r="O68" i="12" s="1"/>
  <c r="J15" i="118"/>
  <c r="Z35" i="54"/>
  <c r="H20" i="75" s="1"/>
  <c r="H63" i="75" s="1"/>
  <c r="H72" i="75" s="1"/>
  <c r="Z158" i="54"/>
  <c r="AA158" i="54" s="1"/>
  <c r="AA144" i="54"/>
  <c r="Z176" i="54"/>
  <c r="H755" i="12" s="1"/>
  <c r="H755" i="120" s="1"/>
  <c r="Z126" i="54"/>
  <c r="AA126" i="54" s="1"/>
  <c r="Z211" i="54"/>
  <c r="H778" i="12" s="1"/>
  <c r="H778" i="120" s="1"/>
  <c r="Z58" i="54"/>
  <c r="AA58" i="54" s="1"/>
  <c r="Z83" i="54"/>
  <c r="AA83" i="54" s="1"/>
  <c r="Z165" i="54"/>
  <c r="AA165" i="54" s="1"/>
  <c r="Z102" i="54"/>
  <c r="AA102" i="54" s="1"/>
  <c r="Z51" i="54"/>
  <c r="AA51" i="54" s="1"/>
  <c r="Z33" i="54"/>
  <c r="AA33" i="54" s="1"/>
  <c r="Z179" i="54"/>
  <c r="AA179" i="54" s="1"/>
  <c r="Z223" i="54"/>
  <c r="AA223" i="54" s="1"/>
  <c r="Z151" i="54"/>
  <c r="AA151" i="54" s="1"/>
  <c r="Z52" i="54"/>
  <c r="AA52" i="54" s="1"/>
  <c r="Z123" i="54"/>
  <c r="AA123" i="54" s="1"/>
  <c r="Z117" i="54"/>
  <c r="AA117" i="54" s="1"/>
  <c r="Z175" i="54"/>
  <c r="AA175" i="54" s="1"/>
  <c r="Z116" i="54"/>
  <c r="AA116" i="54" s="1"/>
  <c r="AA41" i="54"/>
  <c r="Z197" i="54"/>
  <c r="J36" i="118" s="1"/>
  <c r="M36" i="118" s="1"/>
  <c r="N36" i="118" s="1"/>
  <c r="Z45" i="54"/>
  <c r="AA45" i="54" s="1"/>
  <c r="Z39" i="54"/>
  <c r="AA39" i="54" s="1"/>
  <c r="Z20" i="54"/>
  <c r="AA20" i="54" s="1"/>
  <c r="Z80" i="54"/>
  <c r="AA80" i="54" s="1"/>
  <c r="Z87" i="54"/>
  <c r="AA87" i="54" s="1"/>
  <c r="Z124" i="54"/>
  <c r="AA124" i="54" s="1"/>
  <c r="Z72" i="54"/>
  <c r="AA72" i="54" s="1"/>
  <c r="Z81" i="54"/>
  <c r="AA81" i="54" s="1"/>
  <c r="AA225" i="54"/>
  <c r="AA53" i="54"/>
  <c r="AA75" i="54"/>
  <c r="Z65" i="54"/>
  <c r="AA65" i="54" s="1"/>
  <c r="Z79" i="54"/>
  <c r="AA79" i="54" s="1"/>
  <c r="AA224" i="54"/>
  <c r="AA76" i="54"/>
  <c r="Z44" i="54"/>
  <c r="AA44" i="54" s="1"/>
  <c r="Z29" i="54"/>
  <c r="AA29" i="54" s="1"/>
  <c r="AA62" i="54"/>
  <c r="Z174" i="54"/>
  <c r="AA174" i="54" s="1"/>
  <c r="AA31" i="54"/>
  <c r="AA226" i="54"/>
  <c r="AA59" i="54"/>
  <c r="AC23" i="75"/>
  <c r="AC21" i="75"/>
  <c r="AB27" i="75"/>
  <c r="H735" i="12" s="1"/>
  <c r="H735" i="120" s="1"/>
  <c r="Z26" i="37"/>
  <c r="AA26" i="37" s="1"/>
  <c r="AB35" i="75"/>
  <c r="AC35" i="75" s="1"/>
  <c r="AB54" i="75"/>
  <c r="H746" i="12" s="1"/>
  <c r="H746" i="120" s="1"/>
  <c r="AB8" i="75"/>
  <c r="H723" i="12" s="1"/>
  <c r="H723" i="120" s="1"/>
  <c r="AC46" i="75"/>
  <c r="AB52" i="75"/>
  <c r="H744" i="12" s="1"/>
  <c r="H744" i="120" s="1"/>
  <c r="AB13" i="75"/>
  <c r="AC13" i="75" s="1"/>
  <c r="AC3" i="75"/>
  <c r="AB11" i="75"/>
  <c r="H726" i="12" s="1"/>
  <c r="AB24" i="75"/>
  <c r="AC24" i="75" s="1"/>
  <c r="BB144" i="58"/>
  <c r="BC178" i="58"/>
  <c r="BC179" i="58" s="1"/>
  <c r="BC180" i="58" s="1"/>
  <c r="BG194" i="58"/>
  <c r="BG196" i="58" s="1"/>
  <c r="BG197" i="58" s="1"/>
  <c r="AY206" i="58"/>
  <c r="AY214" i="58" s="1"/>
  <c r="BN107" i="59"/>
  <c r="F55" i="118"/>
  <c r="M55" i="118" s="1"/>
  <c r="H75" i="12" s="1"/>
  <c r="H75" i="120" s="1"/>
  <c r="BN111" i="59"/>
  <c r="BC194" i="58"/>
  <c r="BC196" i="58" s="1"/>
  <c r="BC197" i="58" s="1"/>
  <c r="BC188" i="58"/>
  <c r="BC205" i="58" s="1"/>
  <c r="BC213" i="58" s="1"/>
  <c r="BB78" i="58"/>
  <c r="BC165" i="58"/>
  <c r="BC167" i="58" s="1"/>
  <c r="BG188" i="58"/>
  <c r="BG205" i="58" s="1"/>
  <c r="BG213" i="58" s="1"/>
  <c r="BN65" i="59"/>
  <c r="BM20" i="60"/>
  <c r="BN20" i="60" s="1"/>
  <c r="BG166" i="58"/>
  <c r="BG168" i="58" s="1"/>
  <c r="BF194" i="58"/>
  <c r="BF196" i="58" s="1"/>
  <c r="BF197" i="58" s="1"/>
  <c r="BN46" i="59"/>
  <c r="BG177" i="58"/>
  <c r="BG179" i="58" s="1"/>
  <c r="BG180" i="58" s="1"/>
  <c r="BB157" i="58"/>
  <c r="BN98" i="59"/>
  <c r="BF177" i="58"/>
  <c r="BF179" i="58" s="1"/>
  <c r="BF180" i="58" s="1"/>
  <c r="BN97" i="59"/>
  <c r="Z31" i="37"/>
  <c r="AA31" i="37" s="1"/>
  <c r="AA46" i="37"/>
  <c r="O665" i="12"/>
  <c r="H665" i="120"/>
  <c r="Z83" i="37"/>
  <c r="H660" i="12" s="1"/>
  <c r="H660" i="120" s="1"/>
  <c r="Z78" i="37"/>
  <c r="H666" i="12" s="1"/>
  <c r="H666" i="120" s="1"/>
  <c r="AA77" i="37"/>
  <c r="Z55" i="56"/>
  <c r="Z89" i="37"/>
  <c r="AA89" i="37" s="1"/>
  <c r="AB34" i="75"/>
  <c r="AC34" i="75" s="1"/>
  <c r="Z55" i="37"/>
  <c r="AA55" i="37" s="1"/>
  <c r="M57" i="118"/>
  <c r="H77" i="12" s="1"/>
  <c r="H77" i="120" s="1"/>
  <c r="Z52" i="37"/>
  <c r="H653" i="12" s="1"/>
  <c r="Z65" i="37"/>
  <c r="AA65" i="37" s="1"/>
  <c r="Z76" i="56"/>
  <c r="M64" i="118"/>
  <c r="H84" i="12" s="1"/>
  <c r="H84" i="120" s="1"/>
  <c r="H595" i="12"/>
  <c r="H595" i="120" s="1"/>
  <c r="K78" i="63"/>
  <c r="G5" i="75" s="1"/>
  <c r="G58" i="63"/>
  <c r="G57" i="63"/>
  <c r="K8" i="63"/>
  <c r="L8" i="63" s="1"/>
  <c r="F64" i="47"/>
  <c r="J63" i="47"/>
  <c r="K63" i="47" s="1"/>
  <c r="F96" i="47"/>
  <c r="K41" i="63"/>
  <c r="L41" i="63" s="1"/>
  <c r="G106" i="63"/>
  <c r="J133" i="47"/>
  <c r="K133" i="47" s="1"/>
  <c r="J88" i="47"/>
  <c r="H530" i="12" s="1"/>
  <c r="H530" i="120" s="1"/>
  <c r="F137" i="47"/>
  <c r="J103" i="47"/>
  <c r="K103" i="47" s="1"/>
  <c r="K47" i="63"/>
  <c r="L47" i="63" s="1"/>
  <c r="J131" i="47"/>
  <c r="K131" i="47" s="1"/>
  <c r="J11" i="47"/>
  <c r="H507" i="12" s="1"/>
  <c r="H507" i="120" s="1"/>
  <c r="G98" i="63"/>
  <c r="K49" i="63"/>
  <c r="K67" i="63"/>
  <c r="K77" i="47"/>
  <c r="H522" i="12"/>
  <c r="H522" i="120" s="1"/>
  <c r="J110" i="47"/>
  <c r="H535" i="12" s="1"/>
  <c r="H535" i="120" s="1"/>
  <c r="J87" i="47"/>
  <c r="H531" i="12" s="1"/>
  <c r="H531" i="120" s="1"/>
  <c r="F123" i="47"/>
  <c r="F128" i="47"/>
  <c r="J93" i="47"/>
  <c r="K93" i="47" s="1"/>
  <c r="J43" i="47"/>
  <c r="K43" i="47" s="1"/>
  <c r="G30" i="63"/>
  <c r="L29" i="63"/>
  <c r="K71" i="63"/>
  <c r="L71" i="63" s="1"/>
  <c r="J61" i="47"/>
  <c r="K61" i="47" s="1"/>
  <c r="F62" i="47"/>
  <c r="F126" i="47"/>
  <c r="G35" i="63"/>
  <c r="L35" i="63" s="1"/>
  <c r="L34" i="63"/>
  <c r="K56" i="63"/>
  <c r="L56" i="63" s="1"/>
  <c r="G100" i="63"/>
  <c r="K63" i="63"/>
  <c r="L63" i="63" s="1"/>
  <c r="J955" i="12"/>
  <c r="G73" i="63"/>
  <c r="F54" i="47"/>
  <c r="F95" i="47"/>
  <c r="G65" i="63"/>
  <c r="G82" i="63"/>
  <c r="F134" i="47"/>
  <c r="J26" i="47"/>
  <c r="K26" i="47" s="1"/>
  <c r="G112" i="63"/>
  <c r="G75" i="63"/>
  <c r="F99" i="47"/>
  <c r="G24" i="63"/>
  <c r="L44" i="63"/>
  <c r="H539" i="12"/>
  <c r="H539" i="120" s="1"/>
  <c r="K84" i="47"/>
  <c r="G114" i="63"/>
  <c r="K117" i="47"/>
  <c r="K31" i="47"/>
  <c r="K59" i="63"/>
  <c r="H590" i="12" s="1"/>
  <c r="H590" i="120" s="1"/>
  <c r="K85" i="47"/>
  <c r="F15" i="47"/>
  <c r="G69" i="63"/>
  <c r="K28" i="47"/>
  <c r="F32" i="47"/>
  <c r="F21" i="47"/>
  <c r="G5" i="63"/>
  <c r="F23" i="47"/>
  <c r="J18" i="47"/>
  <c r="K18" i="47" s="1"/>
  <c r="F132" i="47"/>
  <c r="L68" i="63"/>
  <c r="K61" i="63"/>
  <c r="H592" i="12" s="1"/>
  <c r="H592" i="120" s="1"/>
  <c r="K69" i="47"/>
  <c r="G80" i="63"/>
  <c r="K73" i="47"/>
  <c r="F39" i="47"/>
  <c r="M71" i="118"/>
  <c r="N71" i="118" s="1"/>
  <c r="F35" i="47"/>
  <c r="BN106" i="59"/>
  <c r="BN102" i="59"/>
  <c r="H273" i="12"/>
  <c r="H273" i="120" s="1"/>
  <c r="G69" i="118"/>
  <c r="M46" i="118"/>
  <c r="H73" i="12" s="1"/>
  <c r="O73" i="12" s="1"/>
  <c r="M72" i="118"/>
  <c r="H89" i="12" s="1"/>
  <c r="H89" i="120" s="1"/>
  <c r="K48" i="118"/>
  <c r="K51" i="118" s="1"/>
  <c r="K52" i="118" s="1"/>
  <c r="K69" i="118" s="1"/>
  <c r="M49" i="118"/>
  <c r="N49" i="118" s="1"/>
  <c r="BN115" i="59"/>
  <c r="BM136" i="59"/>
  <c r="BK7" i="60"/>
  <c r="BF188" i="58"/>
  <c r="BF205" i="58" s="1"/>
  <c r="BF213" i="58" s="1"/>
  <c r="BN119" i="59"/>
  <c r="BN120" i="59"/>
  <c r="BN122" i="59"/>
  <c r="BN101" i="59"/>
  <c r="BN109" i="59"/>
  <c r="BN100" i="59"/>
  <c r="H268" i="120"/>
  <c r="H249" i="120"/>
  <c r="BM189" i="58"/>
  <c r="F28" i="75" s="1"/>
  <c r="AB28" i="75" s="1"/>
  <c r="AC28" i="75" s="1"/>
  <c r="BM195" i="58"/>
  <c r="BN195" i="58" s="1"/>
  <c r="BM186" i="58"/>
  <c r="BN186" i="58" s="1"/>
  <c r="BM182" i="58"/>
  <c r="BN182" i="58" s="1"/>
  <c r="BN181" i="58"/>
  <c r="BN192" i="58"/>
  <c r="BN170" i="58"/>
  <c r="BN187" i="58"/>
  <c r="BN164" i="58"/>
  <c r="BN176" i="58"/>
  <c r="BN193" i="58"/>
  <c r="BM190" i="58"/>
  <c r="F29" i="75" s="1"/>
  <c r="BD12" i="58"/>
  <c r="BK206" i="58"/>
  <c r="BK214" i="58" s="1"/>
  <c r="BC145" i="58"/>
  <c r="BC76" i="58"/>
  <c r="BB206" i="58"/>
  <c r="BB214" i="58" s="1"/>
  <c r="BF12" i="58"/>
  <c r="BH188" i="58"/>
  <c r="BH205" i="58" s="1"/>
  <c r="BH213" i="58" s="1"/>
  <c r="BD206" i="58"/>
  <c r="BD214" i="58" s="1"/>
  <c r="BF173" i="58"/>
  <c r="BF175" i="58" s="1"/>
  <c r="BF206" i="58"/>
  <c r="BF214" i="58" s="1"/>
  <c r="AY165" i="58"/>
  <c r="AY167" i="58" s="1"/>
  <c r="BB194" i="58"/>
  <c r="BB196" i="58" s="1"/>
  <c r="BB197" i="58" s="1"/>
  <c r="BB153" i="58"/>
  <c r="BG84" i="58"/>
  <c r="BB148" i="58"/>
  <c r="BG59" i="58"/>
  <c r="BB74" i="58"/>
  <c r="BB72" i="58"/>
  <c r="BB147" i="58"/>
  <c r="BB151" i="58"/>
  <c r="BB146" i="58"/>
  <c r="BB73" i="58"/>
  <c r="BB70" i="58"/>
  <c r="BB158" i="58"/>
  <c r="BB76" i="58"/>
  <c r="BB145" i="58"/>
  <c r="BB166" i="58"/>
  <c r="BB168" i="58" s="1"/>
  <c r="AY158" i="58"/>
  <c r="BB150" i="58"/>
  <c r="BB77" i="58"/>
  <c r="BB79" i="58"/>
  <c r="BB71" i="58"/>
  <c r="BB149" i="58"/>
  <c r="BB177" i="58"/>
  <c r="BB179" i="58" s="1"/>
  <c r="BB180" i="58" s="1"/>
  <c r="BJ206" i="58"/>
  <c r="BJ214" i="58" s="1"/>
  <c r="BD165" i="58"/>
  <c r="BD167" i="58" s="1"/>
  <c r="BA158" i="58"/>
  <c r="BD194" i="58"/>
  <c r="BD196" i="58" s="1"/>
  <c r="BD197" i="58" s="1"/>
  <c r="BA188" i="58"/>
  <c r="BA205" i="58" s="1"/>
  <c r="BA213" i="58" s="1"/>
  <c r="BA168" i="58"/>
  <c r="BB188" i="58"/>
  <c r="BB205" i="58" s="1"/>
  <c r="BB213" i="58" s="1"/>
  <c r="BF184" i="58"/>
  <c r="BF185" i="58" s="1"/>
  <c r="BB184" i="58"/>
  <c r="BB185" i="58" s="1"/>
  <c r="BB173" i="58"/>
  <c r="BB175" i="58" s="1"/>
  <c r="BH206" i="58"/>
  <c r="BH214" i="58" s="1"/>
  <c r="AY173" i="58"/>
  <c r="AY175" i="58" s="1"/>
  <c r="BA177" i="58"/>
  <c r="BA179" i="58" s="1"/>
  <c r="BA180" i="58" s="1"/>
  <c r="BE12" i="58"/>
  <c r="BA165" i="58"/>
  <c r="BA167" i="58" s="1"/>
  <c r="BA194" i="58"/>
  <c r="BA196" i="58" s="1"/>
  <c r="BA197" i="58" s="1"/>
  <c r="BI206" i="58"/>
  <c r="BI214" i="58" s="1"/>
  <c r="BI184" i="58"/>
  <c r="BI185" i="58" s="1"/>
  <c r="BF70" i="58"/>
  <c r="BD184" i="58"/>
  <c r="BD185" i="58" s="1"/>
  <c r="BE146" i="58"/>
  <c r="BE70" i="58"/>
  <c r="BD188" i="58"/>
  <c r="BD205" i="58" s="1"/>
  <c r="BD213" i="58" s="1"/>
  <c r="BG173" i="58"/>
  <c r="BG175" i="58" s="1"/>
  <c r="BC173" i="58"/>
  <c r="BC175" i="58" s="1"/>
  <c r="BE153" i="58"/>
  <c r="BE173" i="58"/>
  <c r="BE175" i="58" s="1"/>
  <c r="BI165" i="58"/>
  <c r="BI167" i="58" s="1"/>
  <c r="BI178" i="58"/>
  <c r="BI179" i="58" s="1"/>
  <c r="BI180" i="58" s="1"/>
  <c r="BC206" i="58"/>
  <c r="BC214" i="58" s="1"/>
  <c r="AY177" i="58"/>
  <c r="AY179" i="58" s="1"/>
  <c r="AY180" i="58" s="1"/>
  <c r="BC147" i="58"/>
  <c r="AY194" i="58"/>
  <c r="AY196" i="58" s="1"/>
  <c r="AY197" i="58" s="1"/>
  <c r="BG206" i="58"/>
  <c r="BG214" i="58" s="1"/>
  <c r="AY188" i="58"/>
  <c r="AY205" i="58" s="1"/>
  <c r="AY213" i="58" s="1"/>
  <c r="BC148" i="58"/>
  <c r="BF72" i="58"/>
  <c r="BF146" i="58"/>
  <c r="BF79" i="58"/>
  <c r="BC150" i="58"/>
  <c r="BC79" i="58"/>
  <c r="BC70" i="58"/>
  <c r="BC151" i="58"/>
  <c r="BF158" i="58"/>
  <c r="BF148" i="58"/>
  <c r="BF144" i="58"/>
  <c r="BF76" i="58"/>
  <c r="BN15" i="58"/>
  <c r="BF149" i="58"/>
  <c r="BC72" i="58"/>
  <c r="BC152" i="58"/>
  <c r="BF71" i="58"/>
  <c r="BC153" i="58"/>
  <c r="BF152" i="58"/>
  <c r="BF151" i="58"/>
  <c r="BF74" i="58"/>
  <c r="BC78" i="58"/>
  <c r="BF147" i="58"/>
  <c r="BC74" i="58"/>
  <c r="BF77" i="58"/>
  <c r="BC146" i="58"/>
  <c r="BC144" i="58"/>
  <c r="BC149" i="58"/>
  <c r="BF73" i="58"/>
  <c r="BF75" i="58"/>
  <c r="BC71" i="58"/>
  <c r="BF150" i="58"/>
  <c r="BC77" i="58"/>
  <c r="BC75" i="58"/>
  <c r="BF78" i="58"/>
  <c r="BF153" i="58"/>
  <c r="AY157" i="58"/>
  <c r="BM13" i="60"/>
  <c r="BN13" i="60" s="1"/>
  <c r="BH30" i="60"/>
  <c r="F68" i="59"/>
  <c r="D1" i="43"/>
  <c r="BD70" i="58"/>
  <c r="BD77" i="58"/>
  <c r="BD73" i="58"/>
  <c r="BD145" i="58"/>
  <c r="BD158" i="58"/>
  <c r="BD76" i="58"/>
  <c r="BD148" i="58"/>
  <c r="BD79" i="58"/>
  <c r="BD151" i="58"/>
  <c r="BD78" i="58"/>
  <c r="BD152" i="58"/>
  <c r="BD144" i="58"/>
  <c r="BD153" i="58"/>
  <c r="AX7" i="60"/>
  <c r="F56" i="118"/>
  <c r="M56" i="118" s="1"/>
  <c r="BD147" i="58"/>
  <c r="BD150" i="58"/>
  <c r="BN13" i="59"/>
  <c r="BD75" i="58"/>
  <c r="BD146" i="58"/>
  <c r="BD157" i="58"/>
  <c r="BD71" i="58"/>
  <c r="BD149" i="58"/>
  <c r="BG184" i="58"/>
  <c r="BG185" i="58" s="1"/>
  <c r="BC184" i="58"/>
  <c r="BC185" i="58" s="1"/>
  <c r="AY184" i="58"/>
  <c r="AY185" i="58" s="1"/>
  <c r="BD74" i="58"/>
  <c r="BI158" i="58"/>
  <c r="BI157" i="58"/>
  <c r="BE78" i="58"/>
  <c r="BE144" i="58"/>
  <c r="BE77" i="58"/>
  <c r="BE72" i="58"/>
  <c r="BE147" i="58"/>
  <c r="BE71" i="58"/>
  <c r="BE150" i="58"/>
  <c r="BH173" i="58"/>
  <c r="BH175" i="58" s="1"/>
  <c r="BE76" i="58"/>
  <c r="BE157" i="58"/>
  <c r="BE206" i="58"/>
  <c r="BE214" i="58" s="1"/>
  <c r="BE149" i="58"/>
  <c r="BE75" i="58"/>
  <c r="BE74" i="58"/>
  <c r="BI12" i="58"/>
  <c r="BE145" i="58"/>
  <c r="BE152" i="58"/>
  <c r="BH184" i="58"/>
  <c r="BH185" i="58" s="1"/>
  <c r="BE151" i="58"/>
  <c r="BE148" i="58"/>
  <c r="BE79" i="58"/>
  <c r="BM28" i="58"/>
  <c r="BE184" i="58"/>
  <c r="BE185" i="58" s="1"/>
  <c r="BI173" i="58"/>
  <c r="BI175" i="58" s="1"/>
  <c r="BL171" i="59"/>
  <c r="BE168" i="58"/>
  <c r="BC158" i="58"/>
  <c r="BC157" i="58"/>
  <c r="H226" i="120"/>
  <c r="BM61" i="59"/>
  <c r="H246" i="12" s="1"/>
  <c r="AY168" i="58"/>
  <c r="BC161" i="58"/>
  <c r="BC163" i="58" s="1"/>
  <c r="BC218" i="58" s="1"/>
  <c r="BC208" i="58" s="1"/>
  <c r="BD177" i="58"/>
  <c r="BD179" i="58" s="1"/>
  <c r="BD180" i="58" s="1"/>
  <c r="BE165" i="58"/>
  <c r="BE167" i="58" s="1"/>
  <c r="BA173" i="58"/>
  <c r="BA175" i="58" s="1"/>
  <c r="BC7" i="60"/>
  <c r="BH7" i="60"/>
  <c r="BJ171" i="59"/>
  <c r="BG157" i="58"/>
  <c r="BF157" i="58"/>
  <c r="BN16" i="58"/>
  <c r="BN14" i="58"/>
  <c r="BD12" i="60"/>
  <c r="BD10" i="60"/>
  <c r="BD11" i="60" s="1"/>
  <c r="AZ30" i="60"/>
  <c r="BF10" i="60"/>
  <c r="BF11" i="60" s="1"/>
  <c r="BF14" i="60" s="1"/>
  <c r="BM81" i="59"/>
  <c r="H257" i="12" s="1"/>
  <c r="BN9" i="59"/>
  <c r="BC30" i="60"/>
  <c r="BA206" i="58"/>
  <c r="BA214" i="58" s="1"/>
  <c r="BC17" i="60"/>
  <c r="BC18" i="60" s="1"/>
  <c r="BC19" i="60"/>
  <c r="AZ19" i="61"/>
  <c r="H456" i="12" s="1"/>
  <c r="H456" i="120" s="1"/>
  <c r="AZ7" i="60"/>
  <c r="BN37" i="58"/>
  <c r="BL150" i="59"/>
  <c r="BJ30" i="60"/>
  <c r="BA157" i="58"/>
  <c r="BI12" i="60"/>
  <c r="BI15" i="60" s="1"/>
  <c r="BM159" i="59"/>
  <c r="BN159" i="59" s="1"/>
  <c r="BH157" i="58"/>
  <c r="F50" i="118"/>
  <c r="M50" i="118" s="1"/>
  <c r="H87" i="12" s="1"/>
  <c r="K5" i="55"/>
  <c r="N5" i="55" s="1"/>
  <c r="H37" i="12" s="1"/>
  <c r="M6" i="55"/>
  <c r="K6" i="55"/>
  <c r="BB26" i="60"/>
  <c r="BB24" i="60"/>
  <c r="BB25" i="60" s="1"/>
  <c r="BI161" i="58"/>
  <c r="BI162" i="58"/>
  <c r="AY19" i="60"/>
  <c r="AY17" i="60"/>
  <c r="AY18" i="60" s="1"/>
  <c r="BK19" i="60"/>
  <c r="BK17" i="60"/>
  <c r="BK18" i="60" s="1"/>
  <c r="BL26" i="60"/>
  <c r="BL24" i="60"/>
  <c r="BL25" i="60" s="1"/>
  <c r="BD161" i="58"/>
  <c r="BD162" i="58"/>
  <c r="AY30" i="60"/>
  <c r="BJ147" i="59"/>
  <c r="BK30" i="60"/>
  <c r="AZ9" i="60"/>
  <c r="AY7" i="60"/>
  <c r="BJ7" i="60"/>
  <c r="BI188" i="58"/>
  <c r="BI205" i="58" s="1"/>
  <c r="BI213" i="58" s="1"/>
  <c r="BA184" i="58"/>
  <c r="BA185" i="58" s="1"/>
  <c r="BD173" i="58"/>
  <c r="BD175" i="58" s="1"/>
  <c r="AX30" i="60"/>
  <c r="BB17" i="60"/>
  <c r="BB18" i="60" s="1"/>
  <c r="BB19" i="60"/>
  <c r="BC12" i="60"/>
  <c r="BC10" i="60"/>
  <c r="BC11" i="60" s="1"/>
  <c r="BB12" i="60"/>
  <c r="BB10" i="60"/>
  <c r="BB11" i="60" s="1"/>
  <c r="BB2" i="60"/>
  <c r="BB8" i="60" s="1"/>
  <c r="BB2" i="58"/>
  <c r="BA26" i="60"/>
  <c r="BA24" i="60"/>
  <c r="BA25" i="60" s="1"/>
  <c r="AY84" i="58"/>
  <c r="AY59" i="58"/>
  <c r="AY198" i="58"/>
  <c r="AY202" i="58" s="1"/>
  <c r="AY26" i="60"/>
  <c r="AY24" i="60"/>
  <c r="AY25" i="60" s="1"/>
  <c r="BM41" i="58"/>
  <c r="BN38" i="58"/>
  <c r="BA5" i="58"/>
  <c r="BA12" i="58" s="1"/>
  <c r="BK10" i="60"/>
  <c r="BK11" i="60" s="1"/>
  <c r="BK12" i="60"/>
  <c r="BI26" i="60"/>
  <c r="BI24" i="60"/>
  <c r="BI25" i="60" s="1"/>
  <c r="BG17" i="60"/>
  <c r="BG18" i="60" s="1"/>
  <c r="BG19" i="60"/>
  <c r="BG10" i="60"/>
  <c r="BG11" i="60" s="1"/>
  <c r="BG12" i="60"/>
  <c r="BB162" i="58"/>
  <c r="BB161" i="58"/>
  <c r="BD17" i="60"/>
  <c r="BD18" i="60" s="1"/>
  <c r="BD19" i="60"/>
  <c r="BD24" i="60"/>
  <c r="BD25" i="60" s="1"/>
  <c r="BD26" i="60"/>
  <c r="BK171" i="59"/>
  <c r="BN19" i="58"/>
  <c r="BB30" i="60"/>
  <c r="BI17" i="60"/>
  <c r="BI18" i="60" s="1"/>
  <c r="BL147" i="59"/>
  <c r="BE30" i="60"/>
  <c r="BK147" i="59"/>
  <c r="BD7" i="60"/>
  <c r="BD30" i="60"/>
  <c r="BI30" i="60"/>
  <c r="BG26" i="60"/>
  <c r="BG29" i="60" s="1"/>
  <c r="BB7" i="60"/>
  <c r="BE7" i="60"/>
  <c r="BL7" i="60"/>
  <c r="BJ9" i="60"/>
  <c r="AX23" i="60"/>
  <c r="AX26" i="60" s="1"/>
  <c r="BG12" i="58"/>
  <c r="BL30" i="60"/>
  <c r="BG7" i="60"/>
  <c r="BG30" i="60"/>
  <c r="BE19" i="60"/>
  <c r="BE22" i="60" s="1"/>
  <c r="BI7" i="60"/>
  <c r="AZ2" i="60"/>
  <c r="AZ8" i="60" s="1"/>
  <c r="BH2" i="60"/>
  <c r="BH8" i="60" s="1"/>
  <c r="BH2" i="58"/>
  <c r="BH2" i="59"/>
  <c r="BF2" i="58"/>
  <c r="BF2" i="60"/>
  <c r="BF8" i="60" s="1"/>
  <c r="BF2" i="59"/>
  <c r="BE2" i="60"/>
  <c r="BE8" i="60" s="1"/>
  <c r="BE2" i="58"/>
  <c r="BE2" i="59"/>
  <c r="BI2" i="58"/>
  <c r="BI2" i="59"/>
  <c r="BI2" i="60"/>
  <c r="BI8" i="60" s="1"/>
  <c r="BD2" i="60"/>
  <c r="BD8" i="60" s="1"/>
  <c r="BD2" i="58"/>
  <c r="BD2" i="59"/>
  <c r="BC5" i="58"/>
  <c r="BC12" i="58" s="1"/>
  <c r="BC5" i="59"/>
  <c r="AY5" i="58"/>
  <c r="AY12" i="58" s="1"/>
  <c r="BG2" i="60"/>
  <c r="BG8" i="60" s="1"/>
  <c r="BG2" i="58"/>
  <c r="BG2" i="59"/>
  <c r="H266" i="12"/>
  <c r="O266" i="12" s="1"/>
  <c r="BN104" i="59"/>
  <c r="AY2" i="60"/>
  <c r="AY8" i="60" s="1"/>
  <c r="AY2" i="58"/>
  <c r="BJ150" i="59"/>
  <c r="BN149" i="59"/>
  <c r="BM143" i="59"/>
  <c r="BM142" i="59"/>
  <c r="BM141" i="59"/>
  <c r="BM140" i="59"/>
  <c r="BM139" i="59"/>
  <c r="BM138" i="59"/>
  <c r="BM135" i="59"/>
  <c r="BM134" i="59"/>
  <c r="BN118" i="59"/>
  <c r="H277" i="12"/>
  <c r="H277" i="120" s="1"/>
  <c r="AX2" i="60"/>
  <c r="BC2" i="58"/>
  <c r="BC2" i="59"/>
  <c r="BC2" i="60"/>
  <c r="BC8" i="60" s="1"/>
  <c r="BA2" i="60"/>
  <c r="BA8" i="60" s="1"/>
  <c r="BA2" i="58"/>
  <c r="BH198" i="58"/>
  <c r="BH202" i="58" s="1"/>
  <c r="BH84" i="58"/>
  <c r="BH59" i="58"/>
  <c r="BG161" i="58"/>
  <c r="BG162" i="58"/>
  <c r="BE162" i="58"/>
  <c r="BE163" i="58" s="1"/>
  <c r="BF161" i="58"/>
  <c r="BF162" i="58"/>
  <c r="BI14" i="60"/>
  <c r="BH26" i="60"/>
  <c r="BH24" i="60"/>
  <c r="BH25" i="60" s="1"/>
  <c r="BL17" i="60"/>
  <c r="BL18" i="60" s="1"/>
  <c r="BL19" i="60"/>
  <c r="BF59" i="58"/>
  <c r="BF198" i="58"/>
  <c r="BF202" i="58" s="1"/>
  <c r="BF84" i="58"/>
  <c r="BA17" i="60"/>
  <c r="BA18" i="60" s="1"/>
  <c r="BA19" i="60"/>
  <c r="BJ17" i="60"/>
  <c r="BJ18" i="60" s="1"/>
  <c r="BJ19" i="60"/>
  <c r="AZ17" i="60"/>
  <c r="AZ18" i="60" s="1"/>
  <c r="AZ19" i="60"/>
  <c r="BE10" i="60"/>
  <c r="BE11" i="60" s="1"/>
  <c r="BE12" i="60"/>
  <c r="AX4" i="60"/>
  <c r="BE198" i="58"/>
  <c r="BE202" i="58" s="1"/>
  <c r="BE59" i="58"/>
  <c r="BE84" i="58"/>
  <c r="BF24" i="60"/>
  <c r="BF25" i="60" s="1"/>
  <c r="BF26" i="60"/>
  <c r="BD198" i="58"/>
  <c r="BD202" i="58" s="1"/>
  <c r="BD84" i="58"/>
  <c r="BD59" i="58"/>
  <c r="BH19" i="60"/>
  <c r="BH17" i="60"/>
  <c r="BH18" i="60" s="1"/>
  <c r="AX19" i="60"/>
  <c r="AX22" i="60" s="1"/>
  <c r="BI168" i="58"/>
  <c r="BC84" i="58"/>
  <c r="BC59" i="58"/>
  <c r="BC198" i="58"/>
  <c r="BC202" i="58" s="1"/>
  <c r="BE24" i="60"/>
  <c r="BE25" i="60" s="1"/>
  <c r="BE26" i="60"/>
  <c r="BL10" i="60"/>
  <c r="BL11" i="60" s="1"/>
  <c r="BL12" i="60"/>
  <c r="BK150" i="59"/>
  <c r="BB84" i="58"/>
  <c r="BB59" i="58"/>
  <c r="BB198" i="58"/>
  <c r="BB202" i="58" s="1"/>
  <c r="BA162" i="58"/>
  <c r="BA163" i="58" s="1"/>
  <c r="BA218" i="58" s="1"/>
  <c r="BF16" i="60"/>
  <c r="BF7" i="60"/>
  <c r="BF30" i="60"/>
  <c r="BA84" i="58"/>
  <c r="BA59" i="58"/>
  <c r="BA198" i="58"/>
  <c r="BA202" i="58" s="1"/>
  <c r="BN29" i="58"/>
  <c r="AX12" i="60"/>
  <c r="AX10" i="60"/>
  <c r="AX11" i="60" s="1"/>
  <c r="BD168" i="58"/>
  <c r="BM36" i="60"/>
  <c r="H103" i="12" s="1"/>
  <c r="H103" i="120" s="1"/>
  <c r="BM35" i="60"/>
  <c r="H102" i="12" s="1"/>
  <c r="H102" i="120" s="1"/>
  <c r="BA9" i="60"/>
  <c r="BA30" i="60"/>
  <c r="BA7" i="60"/>
  <c r="BC168" i="58"/>
  <c r="AY162" i="58"/>
  <c r="AY161" i="58"/>
  <c r="BI194" i="58"/>
  <c r="BI196" i="58" s="1"/>
  <c r="BI197" i="58" s="1"/>
  <c r="BI84" i="58"/>
  <c r="BI198" i="58"/>
  <c r="BI202" i="58" s="1"/>
  <c r="BI59" i="58"/>
  <c r="BJ24" i="60"/>
  <c r="BJ25" i="60" s="1"/>
  <c r="BJ26" i="60"/>
  <c r="BH10" i="60"/>
  <c r="BH11" i="60" s="1"/>
  <c r="BH12" i="60"/>
  <c r="AY10" i="60"/>
  <c r="AY11" i="60" s="1"/>
  <c r="AY12" i="60"/>
  <c r="BH12" i="58"/>
  <c r="BH160" i="58"/>
  <c r="BK23" i="60"/>
  <c r="AZ24" i="60"/>
  <c r="AZ25" i="60" s="1"/>
  <c r="BC23" i="60"/>
  <c r="E681" i="120"/>
  <c r="E608" i="120"/>
  <c r="E556" i="120"/>
  <c r="A9" i="39"/>
  <c r="B23" i="77"/>
  <c r="C25" i="122"/>
  <c r="E86" i="78"/>
  <c r="D58" i="78"/>
  <c r="C58" i="78"/>
  <c r="B58" i="78"/>
  <c r="E18" i="78"/>
  <c r="C56" i="78"/>
  <c r="G24" i="78"/>
  <c r="G30" i="78"/>
  <c r="B54" i="78"/>
  <c r="E62" i="78"/>
  <c r="F78" i="78"/>
  <c r="F86" i="78"/>
  <c r="B72" i="78"/>
  <c r="F38" i="78"/>
  <c r="B78" i="78"/>
  <c r="C38" i="78"/>
  <c r="D64" i="78"/>
  <c r="E25" i="78"/>
  <c r="D62" i="78"/>
  <c r="B62" i="78"/>
  <c r="C62" i="78"/>
  <c r="G72" i="78"/>
  <c r="E72" i="78"/>
  <c r="E78" i="78"/>
  <c r="C48" i="78"/>
  <c r="E73" i="78"/>
  <c r="B24" i="78"/>
  <c r="E58" i="78"/>
  <c r="E56" i="78"/>
  <c r="E54" i="78"/>
  <c r="F24" i="78"/>
  <c r="G48" i="78"/>
  <c r="D72" i="78"/>
  <c r="C30" i="78"/>
  <c r="G64" i="78"/>
  <c r="E32" i="78"/>
  <c r="F48" i="78"/>
  <c r="C73" i="78"/>
  <c r="C49" i="78"/>
  <c r="E24" i="78"/>
  <c r="G54" i="78"/>
  <c r="D34" i="78"/>
  <c r="G32" i="78"/>
  <c r="G86" i="78"/>
  <c r="B56" i="78"/>
  <c r="F70" i="78"/>
  <c r="F58" i="78"/>
  <c r="D25" i="78"/>
  <c r="G49" i="78"/>
  <c r="B73" i="78"/>
  <c r="D78" i="78"/>
  <c r="D49" i="78"/>
  <c r="D70" i="78"/>
  <c r="B38" i="78"/>
  <c r="F62" i="78"/>
  <c r="D73" i="78"/>
  <c r="F54" i="78"/>
  <c r="B30" i="78"/>
  <c r="D24" i="78"/>
  <c r="E38" i="78"/>
  <c r="B34" i="78"/>
  <c r="C54" i="78"/>
  <c r="D32" i="78"/>
  <c r="G34" i="78"/>
  <c r="E30" i="78"/>
  <c r="E34" i="78"/>
  <c r="C25" i="78"/>
  <c r="B86" i="78"/>
  <c r="F30" i="78"/>
  <c r="C34" i="78"/>
  <c r="C86" i="78"/>
  <c r="B70" i="78"/>
  <c r="F80" i="78"/>
  <c r="G80" i="78"/>
  <c r="D80" i="78"/>
  <c r="E80" i="78"/>
  <c r="C80" i="78"/>
  <c r="B80" i="78"/>
  <c r="E61" i="78"/>
  <c r="D61" i="78"/>
  <c r="G61" i="78"/>
  <c r="C61" i="78"/>
  <c r="B61" i="78"/>
  <c r="E39" i="78"/>
  <c r="F32" i="78"/>
  <c r="B39" i="78"/>
  <c r="C14" i="78"/>
  <c r="C79" i="78"/>
  <c r="E79" i="78"/>
  <c r="D56" i="78"/>
  <c r="G88" i="78"/>
  <c r="G89" i="78"/>
  <c r="D79" i="78"/>
  <c r="G74" i="78"/>
  <c r="B16" i="77"/>
  <c r="C16" i="122"/>
  <c r="I45" i="120"/>
  <c r="J45" i="120" s="1"/>
  <c r="I56" i="120"/>
  <c r="I210" i="120"/>
  <c r="I216" i="120"/>
  <c r="I222" i="120"/>
  <c r="I271" i="120"/>
  <c r="I277" i="120"/>
  <c r="I292" i="120"/>
  <c r="I326" i="120"/>
  <c r="J326" i="120" s="1"/>
  <c r="B762" i="120"/>
  <c r="B347" i="120"/>
  <c r="I46" i="120"/>
  <c r="I57" i="120"/>
  <c r="I79" i="120"/>
  <c r="I85" i="120"/>
  <c r="I138" i="120"/>
  <c r="I151" i="120"/>
  <c r="I171" i="120"/>
  <c r="I247" i="120"/>
  <c r="I253" i="120"/>
  <c r="I259" i="120"/>
  <c r="I295" i="120"/>
  <c r="B853" i="120"/>
  <c r="B862" i="120"/>
  <c r="B334" i="120"/>
  <c r="B348" i="120"/>
  <c r="I47" i="120"/>
  <c r="J47" i="120" s="1"/>
  <c r="I98" i="120"/>
  <c r="I187" i="120"/>
  <c r="I205" i="120"/>
  <c r="I211" i="120"/>
  <c r="I223" i="120"/>
  <c r="I272" i="120"/>
  <c r="J272" i="120" s="1"/>
  <c r="I301" i="120"/>
  <c r="B535" i="120"/>
  <c r="B540" i="120"/>
  <c r="B863" i="120"/>
  <c r="B349" i="120"/>
  <c r="B390" i="120"/>
  <c r="I36" i="120"/>
  <c r="J36" i="120" s="1"/>
  <c r="I13" i="120"/>
  <c r="C10" i="134" s="1"/>
  <c r="I48" i="120"/>
  <c r="J48" i="120" s="1"/>
  <c r="I74" i="120"/>
  <c r="I80" i="120"/>
  <c r="I86" i="120"/>
  <c r="I111" i="120"/>
  <c r="I139" i="120"/>
  <c r="I146" i="120"/>
  <c r="I248" i="120"/>
  <c r="I260" i="120"/>
  <c r="I296" i="120"/>
  <c r="I306" i="120"/>
  <c r="B589" i="120"/>
  <c r="B515" i="120"/>
  <c r="B541" i="120"/>
  <c r="I49" i="120"/>
  <c r="J49" i="120" s="1"/>
  <c r="I188" i="120"/>
  <c r="I206" i="120"/>
  <c r="I273" i="120"/>
  <c r="I312" i="120"/>
  <c r="B646" i="120"/>
  <c r="B590" i="120"/>
  <c r="B12" i="77"/>
  <c r="B632" i="120"/>
  <c r="I50" i="120"/>
  <c r="I75" i="120"/>
  <c r="I81" i="120"/>
  <c r="I106" i="120"/>
  <c r="I124" i="120"/>
  <c r="I140" i="120"/>
  <c r="I159" i="120"/>
  <c r="I255" i="120"/>
  <c r="I261" i="120"/>
  <c r="B720" i="120"/>
  <c r="B660" i="120"/>
  <c r="I51" i="120"/>
  <c r="I189" i="120"/>
  <c r="I207" i="120"/>
  <c r="I213" i="120"/>
  <c r="I219" i="120"/>
  <c r="I323" i="120"/>
  <c r="I19" i="120"/>
  <c r="I372" i="120"/>
  <c r="J372" i="120" s="1"/>
  <c r="B721" i="120"/>
  <c r="B460" i="120"/>
  <c r="I40" i="120"/>
  <c r="I82" i="120"/>
  <c r="I88" i="120"/>
  <c r="I101" i="120"/>
  <c r="I119" i="120"/>
  <c r="I135" i="120"/>
  <c r="I141" i="120"/>
  <c r="I148" i="120"/>
  <c r="B722" i="120"/>
  <c r="B397" i="120"/>
  <c r="I41" i="120"/>
  <c r="I184" i="120"/>
  <c r="I190" i="120"/>
  <c r="I196" i="120"/>
  <c r="I16" i="120"/>
  <c r="I202" i="120"/>
  <c r="I214" i="120"/>
  <c r="I220" i="120"/>
  <c r="I269" i="120"/>
  <c r="I298" i="120"/>
  <c r="I330" i="120"/>
  <c r="B731" i="120"/>
  <c r="H885" i="12"/>
  <c r="B77" i="39"/>
  <c r="B399" i="120"/>
  <c r="I42" i="120"/>
  <c r="I53" i="120"/>
  <c r="I77" i="120"/>
  <c r="I108" i="120"/>
  <c r="I136" i="120"/>
  <c r="I143" i="120"/>
  <c r="I149" i="120"/>
  <c r="I161" i="120"/>
  <c r="I245" i="120"/>
  <c r="I17" i="120"/>
  <c r="B850" i="120"/>
  <c r="B765" i="120"/>
  <c r="B673" i="120"/>
  <c r="B403" i="120"/>
  <c r="I43" i="120"/>
  <c r="J43" i="120" s="1"/>
  <c r="I54" i="120"/>
  <c r="I185" i="120"/>
  <c r="I203" i="120"/>
  <c r="I270" i="120"/>
  <c r="I18" i="120"/>
  <c r="I299" i="120"/>
  <c r="B168" i="120"/>
  <c r="C28" i="122"/>
  <c r="C32" i="122"/>
  <c r="I44" i="120"/>
  <c r="I55" i="120"/>
  <c r="I66" i="120"/>
  <c r="I72" i="120"/>
  <c r="I78" i="120"/>
  <c r="I84" i="120"/>
  <c r="I90" i="120"/>
  <c r="I109" i="120"/>
  <c r="I121" i="120"/>
  <c r="I234" i="120"/>
  <c r="I246" i="120"/>
  <c r="I252" i="120"/>
  <c r="I264" i="120"/>
  <c r="B81" i="39"/>
  <c r="C24" i="122"/>
  <c r="B49" i="39"/>
  <c r="B14" i="122"/>
  <c r="C21" i="122"/>
  <c r="B30" i="77"/>
  <c r="B25" i="77"/>
  <c r="C17" i="122"/>
  <c r="J764" i="120"/>
  <c r="H775" i="120"/>
  <c r="E881" i="120"/>
  <c r="C33" i="122"/>
  <c r="B85" i="39"/>
  <c r="E604" i="120"/>
  <c r="C13" i="77"/>
  <c r="C82" i="39"/>
  <c r="E616" i="120"/>
  <c r="E821" i="120"/>
  <c r="E709" i="120"/>
  <c r="B14" i="77"/>
  <c r="E794" i="120"/>
  <c r="E827" i="120"/>
  <c r="E819" i="120"/>
  <c r="H808" i="120"/>
  <c r="O808" i="12"/>
  <c r="B13" i="39"/>
  <c r="B29" i="77"/>
  <c r="C15" i="122"/>
  <c r="O724" i="12"/>
  <c r="H724" i="120"/>
  <c r="H19" i="12"/>
  <c r="H415" i="120"/>
  <c r="O415" i="12"/>
  <c r="B33" i="39"/>
  <c r="B20" i="77"/>
  <c r="C20" i="122"/>
  <c r="J957" i="12"/>
  <c r="B65" i="39"/>
  <c r="B32" i="77"/>
  <c r="B69" i="39"/>
  <c r="E409" i="120"/>
  <c r="H416" i="120"/>
  <c r="O416" i="12"/>
  <c r="N20" i="12" s="1"/>
  <c r="H844" i="120"/>
  <c r="C27" i="122"/>
  <c r="E788" i="120"/>
  <c r="E829" i="120"/>
  <c r="O854" i="12"/>
  <c r="O414" i="12"/>
  <c r="H414" i="120"/>
  <c r="O857" i="12"/>
  <c r="B41" i="39"/>
  <c r="C22" i="122"/>
  <c r="B392" i="120"/>
  <c r="B462" i="120"/>
  <c r="B851" i="120"/>
  <c r="B18" i="77"/>
  <c r="C18" i="122"/>
  <c r="B25" i="39"/>
  <c r="B848" i="120"/>
  <c r="C19" i="122"/>
  <c r="B855" i="120"/>
  <c r="B45" i="39"/>
  <c r="B19" i="77"/>
  <c r="B463" i="120"/>
  <c r="C31" i="122"/>
  <c r="I204" i="120"/>
  <c r="B856" i="120"/>
  <c r="C26" i="122"/>
  <c r="B534" i="120"/>
  <c r="B396" i="120"/>
  <c r="B31" i="77"/>
  <c r="C30" i="122"/>
  <c r="B24" i="77"/>
  <c r="B536" i="120"/>
  <c r="M925" i="120"/>
  <c r="B4" i="121"/>
  <c r="F12" i="153"/>
  <c r="M73" i="118"/>
  <c r="H96" i="12" s="1"/>
  <c r="E69" i="43" a="1"/>
  <c r="J586" i="120" l="1"/>
  <c r="J537" i="120"/>
  <c r="J588" i="120"/>
  <c r="J426" i="120"/>
  <c r="G397" i="120"/>
  <c r="F397" i="120"/>
  <c r="D397" i="120"/>
  <c r="C397" i="120"/>
  <c r="G763" i="120"/>
  <c r="F763" i="120"/>
  <c r="D763" i="120"/>
  <c r="C763" i="120"/>
  <c r="G589" i="120"/>
  <c r="F589" i="120"/>
  <c r="D589" i="120"/>
  <c r="C589" i="120"/>
  <c r="G403" i="120"/>
  <c r="F403" i="120"/>
  <c r="D403" i="120"/>
  <c r="C403" i="120"/>
  <c r="D856" i="120"/>
  <c r="C856" i="120"/>
  <c r="N856" i="120"/>
  <c r="O856" i="120" s="1"/>
  <c r="G856" i="120"/>
  <c r="I856" i="120" s="1"/>
  <c r="J856" i="120" s="1"/>
  <c r="F856" i="120"/>
  <c r="G660" i="120"/>
  <c r="F660" i="120"/>
  <c r="D660" i="120"/>
  <c r="C660" i="120"/>
  <c r="N660" i="120"/>
  <c r="D58" i="12"/>
  <c r="C58" i="12"/>
  <c r="G765" i="120"/>
  <c r="I765" i="120" s="1"/>
  <c r="J765" i="120" s="1"/>
  <c r="F765" i="120"/>
  <c r="D765" i="120"/>
  <c r="C765" i="120"/>
  <c r="G720" i="120"/>
  <c r="F720" i="120"/>
  <c r="D720" i="120"/>
  <c r="C720" i="120"/>
  <c r="N720" i="120"/>
  <c r="G673" i="120"/>
  <c r="F673" i="120"/>
  <c r="D673" i="120"/>
  <c r="C673" i="120"/>
  <c r="G396" i="120"/>
  <c r="I396" i="120" s="1"/>
  <c r="J396" i="120" s="1"/>
  <c r="F396" i="120"/>
  <c r="D396" i="120"/>
  <c r="C396" i="120"/>
  <c r="G348" i="120"/>
  <c r="F348" i="120"/>
  <c r="D348" i="120"/>
  <c r="C348" i="120"/>
  <c r="G534" i="120"/>
  <c r="F534" i="120"/>
  <c r="D534" i="120"/>
  <c r="C534" i="120"/>
  <c r="D850" i="120"/>
  <c r="C850" i="120"/>
  <c r="G850" i="120"/>
  <c r="I850" i="120" s="1"/>
  <c r="F850" i="120"/>
  <c r="G334" i="120"/>
  <c r="F334" i="120"/>
  <c r="D334" i="120"/>
  <c r="C334" i="120"/>
  <c r="G853" i="120"/>
  <c r="F853" i="120"/>
  <c r="D853" i="120"/>
  <c r="C853" i="120"/>
  <c r="N853" i="120"/>
  <c r="O853" i="120" s="1"/>
  <c r="G722" i="120"/>
  <c r="I722" i="120" s="1"/>
  <c r="J722" i="120" s="1"/>
  <c r="F722" i="120"/>
  <c r="D722" i="120"/>
  <c r="C722" i="120"/>
  <c r="N722" i="120"/>
  <c r="D321" i="12"/>
  <c r="C321" i="12"/>
  <c r="D862" i="120"/>
  <c r="C862" i="120"/>
  <c r="G862" i="120"/>
  <c r="F862" i="120"/>
  <c r="C532" i="120"/>
  <c r="G532" i="120"/>
  <c r="F532" i="120"/>
  <c r="D532" i="120"/>
  <c r="G736" i="120"/>
  <c r="F736" i="120"/>
  <c r="D736" i="120"/>
  <c r="C736" i="120"/>
  <c r="G399" i="120"/>
  <c r="I399" i="120" s="1"/>
  <c r="J399" i="120" s="1"/>
  <c r="F399" i="120"/>
  <c r="D399" i="120"/>
  <c r="C399" i="120"/>
  <c r="G812" i="120"/>
  <c r="I812" i="120" s="1"/>
  <c r="F812" i="120"/>
  <c r="D812" i="120"/>
  <c r="C812" i="120"/>
  <c r="G390" i="120"/>
  <c r="F390" i="120"/>
  <c r="D390" i="120"/>
  <c r="C390" i="120"/>
  <c r="G168" i="120"/>
  <c r="F168" i="120"/>
  <c r="D168" i="120"/>
  <c r="C168" i="120"/>
  <c r="G674" i="120"/>
  <c r="F674" i="120"/>
  <c r="D674" i="120"/>
  <c r="C674" i="120"/>
  <c r="F632" i="120"/>
  <c r="D632" i="120"/>
  <c r="C632" i="120"/>
  <c r="G632" i="120"/>
  <c r="I632" i="120" s="1"/>
  <c r="G590" i="120"/>
  <c r="I590" i="120" s="1"/>
  <c r="J590" i="120" s="1"/>
  <c r="F590" i="120"/>
  <c r="D590" i="120"/>
  <c r="C590" i="120"/>
  <c r="N646" i="120"/>
  <c r="G646" i="120"/>
  <c r="I646" i="120" s="1"/>
  <c r="F646" i="120"/>
  <c r="D646" i="120"/>
  <c r="C646" i="120"/>
  <c r="G540" i="120"/>
  <c r="F540" i="120"/>
  <c r="D540" i="120"/>
  <c r="C540" i="120"/>
  <c r="G535" i="120"/>
  <c r="I535" i="120" s="1"/>
  <c r="J535" i="120" s="1"/>
  <c r="F535" i="120"/>
  <c r="D535" i="120"/>
  <c r="C535" i="120"/>
  <c r="G462" i="120"/>
  <c r="I462" i="120" s="1"/>
  <c r="F462" i="120"/>
  <c r="D462" i="120"/>
  <c r="C462" i="120"/>
  <c r="G762" i="120"/>
  <c r="F762" i="120"/>
  <c r="D762" i="120"/>
  <c r="C762" i="120"/>
  <c r="G630" i="120"/>
  <c r="I630" i="120" s="1"/>
  <c r="F630" i="120"/>
  <c r="D630" i="120"/>
  <c r="C630" i="120"/>
  <c r="G460" i="120"/>
  <c r="I460" i="120" s="1"/>
  <c r="F460" i="120"/>
  <c r="I21" i="120" s="1"/>
  <c r="D460" i="120"/>
  <c r="C460" i="120"/>
  <c r="G863" i="120"/>
  <c r="F863" i="120"/>
  <c r="D863" i="120"/>
  <c r="C863" i="120"/>
  <c r="G721" i="120"/>
  <c r="I721" i="120" s="1"/>
  <c r="F721" i="120"/>
  <c r="D721" i="120"/>
  <c r="C721" i="120"/>
  <c r="N721" i="120"/>
  <c r="G851" i="120"/>
  <c r="I851" i="120" s="1"/>
  <c r="J851" i="120" s="1"/>
  <c r="F851" i="120"/>
  <c r="D851" i="120"/>
  <c r="C851" i="120"/>
  <c r="G731" i="120"/>
  <c r="I731" i="120" s="1"/>
  <c r="F731" i="120"/>
  <c r="D731" i="120"/>
  <c r="C731" i="120"/>
  <c r="G347" i="120"/>
  <c r="I347" i="120" s="1"/>
  <c r="J347" i="120" s="1"/>
  <c r="F347" i="120"/>
  <c r="D347" i="120"/>
  <c r="C347" i="120"/>
  <c r="G633" i="120"/>
  <c r="I633" i="120" s="1"/>
  <c r="F633" i="120"/>
  <c r="D633" i="120"/>
  <c r="C633" i="120"/>
  <c r="C392" i="120"/>
  <c r="G392" i="120"/>
  <c r="F392" i="120"/>
  <c r="D392" i="120"/>
  <c r="G466" i="120"/>
  <c r="I466" i="120" s="1"/>
  <c r="F466" i="120"/>
  <c r="D466" i="120"/>
  <c r="C466" i="120"/>
  <c r="G463" i="120"/>
  <c r="I463" i="120" s="1"/>
  <c r="F463" i="120"/>
  <c r="D463" i="120"/>
  <c r="C463" i="120"/>
  <c r="C349" i="120"/>
  <c r="G349" i="120"/>
  <c r="I349" i="120" s="1"/>
  <c r="J349" i="120" s="1"/>
  <c r="F349" i="120"/>
  <c r="D349" i="120"/>
  <c r="G541" i="120"/>
  <c r="I541" i="120" s="1"/>
  <c r="F541" i="120"/>
  <c r="D541" i="120"/>
  <c r="C541" i="120"/>
  <c r="F655" i="120"/>
  <c r="I25" i="120" s="1"/>
  <c r="D655" i="120"/>
  <c r="C655" i="120"/>
  <c r="G655" i="120"/>
  <c r="I655" i="120" s="1"/>
  <c r="G840" i="120"/>
  <c r="F840" i="120"/>
  <c r="D840" i="120"/>
  <c r="C840" i="120"/>
  <c r="N840" i="120"/>
  <c r="G855" i="120"/>
  <c r="I855" i="120" s="1"/>
  <c r="J855" i="120" s="1"/>
  <c r="F855" i="120"/>
  <c r="D855" i="120"/>
  <c r="C855" i="120"/>
  <c r="N855" i="120"/>
  <c r="O855" i="120" s="1"/>
  <c r="G848" i="120"/>
  <c r="I848" i="120" s="1"/>
  <c r="F848" i="120"/>
  <c r="D848" i="120"/>
  <c r="C848" i="120"/>
  <c r="G813" i="120"/>
  <c r="I813" i="120" s="1"/>
  <c r="J813" i="120" s="1"/>
  <c r="F813" i="120"/>
  <c r="D813" i="120"/>
  <c r="C813" i="120"/>
  <c r="G536" i="120"/>
  <c r="I536" i="120" s="1"/>
  <c r="J536" i="120" s="1"/>
  <c r="F536" i="120"/>
  <c r="D536" i="120"/>
  <c r="C536" i="120"/>
  <c r="G515" i="120"/>
  <c r="I515" i="120" s="1"/>
  <c r="F515" i="120"/>
  <c r="D515" i="120"/>
  <c r="C515" i="120"/>
  <c r="G169" i="120"/>
  <c r="I169" i="120" s="1"/>
  <c r="F169" i="120"/>
  <c r="D169" i="120"/>
  <c r="C169" i="120"/>
  <c r="G552" i="120"/>
  <c r="I552" i="120" s="1"/>
  <c r="F552" i="120"/>
  <c r="D552" i="120"/>
  <c r="C552" i="120"/>
  <c r="E548" i="120"/>
  <c r="B548" i="12"/>
  <c r="J6" i="75"/>
  <c r="G1" i="58"/>
  <c r="G1" i="59"/>
  <c r="G2" i="58"/>
  <c r="G82" i="58" s="1"/>
  <c r="G2" i="59"/>
  <c r="G2" i="60"/>
  <c r="G1" i="60"/>
  <c r="H17" i="12"/>
  <c r="J584" i="120"/>
  <c r="E23" i="155"/>
  <c r="F16" i="155" s="1"/>
  <c r="H897" i="12"/>
  <c r="H897" i="120" s="1"/>
  <c r="J897" i="120" s="1"/>
  <c r="I403" i="120"/>
  <c r="N30" i="118"/>
  <c r="J528" i="120"/>
  <c r="O417" i="12"/>
  <c r="AZ147" i="58"/>
  <c r="AZ128" i="58"/>
  <c r="AX127" i="58"/>
  <c r="AX148" i="58" s="1"/>
  <c r="K17" i="155"/>
  <c r="H23" i="155"/>
  <c r="K16" i="155"/>
  <c r="D23" i="155"/>
  <c r="C37" i="155" s="1"/>
  <c r="C23" i="155"/>
  <c r="C26" i="155" s="1"/>
  <c r="N5" i="40"/>
  <c r="F17" i="155"/>
  <c r="J527" i="120"/>
  <c r="G13" i="78"/>
  <c r="D13" i="78"/>
  <c r="K124" i="47"/>
  <c r="J510" i="120"/>
  <c r="J811" i="120"/>
  <c r="H69" i="120"/>
  <c r="J69" i="120" s="1"/>
  <c r="H70" i="120"/>
  <c r="J70" i="120" s="1"/>
  <c r="J39" i="120"/>
  <c r="J921" i="120"/>
  <c r="J420" i="120"/>
  <c r="J807" i="120"/>
  <c r="J598" i="120"/>
  <c r="M405" i="12"/>
  <c r="B405" i="12" s="1"/>
  <c r="J834" i="120"/>
  <c r="I334" i="120"/>
  <c r="J334" i="120" s="1"/>
  <c r="J519" i="120"/>
  <c r="I348" i="120"/>
  <c r="J348" i="120" s="1"/>
  <c r="I862" i="120"/>
  <c r="O722" i="120"/>
  <c r="I763" i="120"/>
  <c r="O660" i="120"/>
  <c r="I660" i="120"/>
  <c r="J660" i="120" s="1"/>
  <c r="I589" i="120"/>
  <c r="I674" i="120"/>
  <c r="J674" i="120" s="1"/>
  <c r="J517" i="120"/>
  <c r="I534" i="120"/>
  <c r="I532" i="120"/>
  <c r="I22" i="120"/>
  <c r="I392" i="120"/>
  <c r="J392" i="120" s="1"/>
  <c r="I736" i="120"/>
  <c r="J810" i="120"/>
  <c r="I168" i="120"/>
  <c r="I863" i="120"/>
  <c r="J596" i="120"/>
  <c r="J432" i="120"/>
  <c r="I540" i="120"/>
  <c r="J316" i="120"/>
  <c r="J315" i="120" s="1"/>
  <c r="I673" i="120"/>
  <c r="I762" i="120"/>
  <c r="F2" i="59"/>
  <c r="I6" i="75"/>
  <c r="G15" i="37" s="1"/>
  <c r="Z66" i="37"/>
  <c r="H656" i="12" s="1"/>
  <c r="F20" i="61"/>
  <c r="E69" i="43"/>
  <c r="G74" i="59" s="1"/>
  <c r="I720" i="120"/>
  <c r="I26" i="120"/>
  <c r="J526" i="120"/>
  <c r="J521" i="120"/>
  <c r="H65" i="120"/>
  <c r="J65" i="120" s="1"/>
  <c r="AC53" i="75"/>
  <c r="BE159" i="58"/>
  <c r="BE219" i="58" s="1"/>
  <c r="BE209" i="58" s="1"/>
  <c r="G108" i="63"/>
  <c r="G128" i="63" s="1"/>
  <c r="K51" i="63"/>
  <c r="L51" i="63" s="1"/>
  <c r="Z91" i="37"/>
  <c r="H662" i="12" s="1"/>
  <c r="H662" i="120" s="1"/>
  <c r="O662" i="120" s="1"/>
  <c r="I53" i="87"/>
  <c r="J53" i="87" s="1"/>
  <c r="K33" i="49"/>
  <c r="F118" i="62"/>
  <c r="F117" i="62"/>
  <c r="F116" i="62"/>
  <c r="F57" i="47"/>
  <c r="J44" i="87"/>
  <c r="J56" i="62"/>
  <c r="R33" i="49"/>
  <c r="R54" i="49"/>
  <c r="P62" i="49"/>
  <c r="P64" i="49" s="1"/>
  <c r="F33" i="49"/>
  <c r="E62" i="49"/>
  <c r="E64" i="49" s="1"/>
  <c r="J119" i="47"/>
  <c r="K119" i="47" s="1"/>
  <c r="K48" i="47"/>
  <c r="H20" i="120"/>
  <c r="K58" i="47"/>
  <c r="J59" i="47"/>
  <c r="K59" i="47" s="1"/>
  <c r="T33" i="49"/>
  <c r="T36" i="49" s="1"/>
  <c r="H60" i="49"/>
  <c r="G72" i="62"/>
  <c r="G82" i="62" s="1"/>
  <c r="J81" i="62"/>
  <c r="N36" i="49"/>
  <c r="N50" i="49"/>
  <c r="N35" i="49" s="1"/>
  <c r="N60" i="49" s="1"/>
  <c r="N62" i="49" s="1"/>
  <c r="N64" i="49" s="1"/>
  <c r="S33" i="49"/>
  <c r="G29" i="87"/>
  <c r="G30" i="87" s="1"/>
  <c r="G58" i="87" s="1"/>
  <c r="G24" i="87"/>
  <c r="J37" i="87"/>
  <c r="J106" i="62"/>
  <c r="J29" i="62"/>
  <c r="H554" i="12"/>
  <c r="G112" i="62"/>
  <c r="I108" i="62"/>
  <c r="F39" i="61" s="1"/>
  <c r="F82" i="61" s="1"/>
  <c r="F99" i="61" s="1"/>
  <c r="O62" i="49"/>
  <c r="O64" i="49" s="1"/>
  <c r="J33" i="49"/>
  <c r="K36" i="49"/>
  <c r="K50" i="49"/>
  <c r="K35" i="49" s="1"/>
  <c r="K60" i="49" s="1"/>
  <c r="K62" i="49" s="1"/>
  <c r="K64" i="49" s="1"/>
  <c r="H62" i="49"/>
  <c r="H64" i="49" s="1"/>
  <c r="I12" i="87"/>
  <c r="H800" i="12" s="1"/>
  <c r="G18" i="87"/>
  <c r="G47" i="87"/>
  <c r="G19" i="87"/>
  <c r="I49" i="87"/>
  <c r="J49" i="87" s="1"/>
  <c r="K87" i="47"/>
  <c r="I46" i="87"/>
  <c r="H815" i="12" s="1"/>
  <c r="M815" i="12" s="1"/>
  <c r="B815" i="12" s="1"/>
  <c r="G97" i="63"/>
  <c r="I11" i="87"/>
  <c r="H797" i="12" s="1"/>
  <c r="M33" i="49"/>
  <c r="J20" i="87"/>
  <c r="I23" i="87"/>
  <c r="J23" i="87"/>
  <c r="F24" i="87"/>
  <c r="F29" i="87"/>
  <c r="Q50" i="49"/>
  <c r="Q35" i="49" s="1"/>
  <c r="Q60" i="49" s="1"/>
  <c r="Q62" i="49" s="1"/>
  <c r="Q64" i="49" s="1"/>
  <c r="Q36" i="49"/>
  <c r="G60" i="49"/>
  <c r="G62" i="49" s="1"/>
  <c r="G64" i="49" s="1"/>
  <c r="I110" i="62"/>
  <c r="F42" i="61" s="1"/>
  <c r="F78" i="61" s="1"/>
  <c r="F16" i="87"/>
  <c r="J13" i="87"/>
  <c r="F34" i="87"/>
  <c r="J31" i="87"/>
  <c r="L78" i="63"/>
  <c r="J39" i="62"/>
  <c r="U33" i="49"/>
  <c r="N46" i="118"/>
  <c r="L33" i="49"/>
  <c r="I36" i="49"/>
  <c r="I50" i="49"/>
  <c r="I35" i="49" s="1"/>
  <c r="I60" i="49" s="1"/>
  <c r="G118" i="62"/>
  <c r="I118" i="62" s="1"/>
  <c r="F51" i="61" s="1"/>
  <c r="F76" i="61" s="1"/>
  <c r="F97" i="61" s="1"/>
  <c r="I114" i="62"/>
  <c r="F46" i="61" s="1"/>
  <c r="F83" i="61" s="1"/>
  <c r="F100" i="61" s="1"/>
  <c r="G117" i="62"/>
  <c r="I117" i="62" s="1"/>
  <c r="F50" i="61" s="1"/>
  <c r="F68" i="61" s="1"/>
  <c r="F89" i="61" s="1"/>
  <c r="G116" i="62"/>
  <c r="N25" i="118"/>
  <c r="J46" i="120"/>
  <c r="O665" i="120"/>
  <c r="H869" i="120"/>
  <c r="J869" i="120" s="1"/>
  <c r="J868" i="120" s="1"/>
  <c r="J922" i="120"/>
  <c r="E879" i="120"/>
  <c r="J745" i="120"/>
  <c r="E889" i="120"/>
  <c r="M411" i="12"/>
  <c r="M411" i="120" s="1"/>
  <c r="J352" i="120"/>
  <c r="I390" i="120"/>
  <c r="J390" i="120" s="1"/>
  <c r="H421" i="120"/>
  <c r="O421" i="120" s="1"/>
  <c r="M825" i="12"/>
  <c r="M825" i="120" s="1"/>
  <c r="M60" i="120"/>
  <c r="B60" i="12"/>
  <c r="B58" i="120"/>
  <c r="I840" i="120"/>
  <c r="B790" i="12"/>
  <c r="O324" i="120"/>
  <c r="O422" i="12"/>
  <c r="H422" i="120"/>
  <c r="J422" i="120" s="1"/>
  <c r="H435" i="12"/>
  <c r="O853" i="12"/>
  <c r="F67" i="59"/>
  <c r="J909" i="120"/>
  <c r="AA146" i="54"/>
  <c r="AA145" i="54"/>
  <c r="H661" i="12"/>
  <c r="H661" i="120" s="1"/>
  <c r="O661" i="120" s="1"/>
  <c r="AA76" i="37"/>
  <c r="H655" i="12"/>
  <c r="AB48" i="75"/>
  <c r="H740" i="12" s="1"/>
  <c r="H740" i="120" s="1"/>
  <c r="J740" i="120" s="1"/>
  <c r="O265" i="12"/>
  <c r="H265" i="120"/>
  <c r="J265" i="120" s="1"/>
  <c r="J777" i="120"/>
  <c r="H663" i="12"/>
  <c r="Z78" i="56"/>
  <c r="J770" i="120"/>
  <c r="J522" i="120"/>
  <c r="C12" i="77"/>
  <c r="AA91" i="134"/>
  <c r="J531" i="120"/>
  <c r="O664" i="120"/>
  <c r="J902" i="120"/>
  <c r="O658" i="120"/>
  <c r="C86" i="134"/>
  <c r="J835" i="120"/>
  <c r="O262" i="120"/>
  <c r="E580" i="120"/>
  <c r="E622" i="120"/>
  <c r="E614" i="120"/>
  <c r="E572" i="120"/>
  <c r="I75" i="118"/>
  <c r="BJ28" i="60"/>
  <c r="BA28" i="60"/>
  <c r="BK21" i="60"/>
  <c r="BE14" i="60"/>
  <c r="AY21" i="60"/>
  <c r="BD28" i="60"/>
  <c r="AZ21" i="60"/>
  <c r="BB14" i="60"/>
  <c r="BC21" i="60"/>
  <c r="BD21" i="60"/>
  <c r="BL14" i="60"/>
  <c r="BJ21" i="60"/>
  <c r="BC14" i="60"/>
  <c r="BB28" i="60"/>
  <c r="BE28" i="60"/>
  <c r="BA21" i="60"/>
  <c r="BG14" i="60"/>
  <c r="BB21" i="60"/>
  <c r="BF15" i="60"/>
  <c r="BG21" i="60"/>
  <c r="BI28" i="60"/>
  <c r="BD14" i="60"/>
  <c r="BH21" i="60"/>
  <c r="BL21" i="60"/>
  <c r="AZ28" i="60"/>
  <c r="BH28" i="60"/>
  <c r="BK14" i="60"/>
  <c r="AX14" i="60"/>
  <c r="AY28" i="60"/>
  <c r="AY14" i="60"/>
  <c r="BF28" i="60"/>
  <c r="BI21" i="60"/>
  <c r="BH14" i="60"/>
  <c r="BL28" i="60"/>
  <c r="BH159" i="58"/>
  <c r="BH219" i="58" s="1"/>
  <c r="BH209" i="58" s="1"/>
  <c r="BH167" i="58"/>
  <c r="BH169" i="58" s="1"/>
  <c r="BH221" i="58" s="1"/>
  <c r="BH211" i="58" s="1"/>
  <c r="H62" i="12"/>
  <c r="M62" i="12" s="1"/>
  <c r="B62" i="12" s="1"/>
  <c r="E62" i="120"/>
  <c r="H62" i="120" s="1"/>
  <c r="E403" i="120"/>
  <c r="Y28" i="56"/>
  <c r="I10" i="118" s="1"/>
  <c r="I51" i="118" s="1"/>
  <c r="I52" i="118" s="1"/>
  <c r="I69" i="118" s="1"/>
  <c r="I74" i="118" s="1"/>
  <c r="Z50" i="37"/>
  <c r="H651" i="12" s="1"/>
  <c r="O651" i="12" s="1"/>
  <c r="Z86" i="37"/>
  <c r="AA86" i="37" s="1"/>
  <c r="O723" i="12"/>
  <c r="Z115" i="37"/>
  <c r="J912" i="120"/>
  <c r="AC49" i="75"/>
  <c r="AB64" i="75"/>
  <c r="AC64" i="75" s="1"/>
  <c r="Z69" i="37"/>
  <c r="AA69" i="37" s="1"/>
  <c r="Z37" i="56"/>
  <c r="AA73" i="37"/>
  <c r="J657" i="120"/>
  <c r="Z107" i="37"/>
  <c r="H689" i="12" s="1"/>
  <c r="Y40" i="56"/>
  <c r="Z40" i="56" s="1"/>
  <c r="O664" i="12"/>
  <c r="AA74" i="37"/>
  <c r="Z45" i="56"/>
  <c r="M66" i="118"/>
  <c r="H86" i="12" s="1"/>
  <c r="H86" i="120" s="1"/>
  <c r="J86" i="120" s="1"/>
  <c r="BG159" i="58"/>
  <c r="BG219" i="58" s="1"/>
  <c r="BG209" i="58" s="1"/>
  <c r="J267" i="120"/>
  <c r="J436" i="120"/>
  <c r="J245" i="120"/>
  <c r="J917" i="120"/>
  <c r="O835" i="120"/>
  <c r="N29" i="120" s="1"/>
  <c r="C75" i="134" s="1"/>
  <c r="H19" i="120"/>
  <c r="C34" i="134" s="1"/>
  <c r="O723" i="120"/>
  <c r="M498" i="12"/>
  <c r="M498" i="120" s="1"/>
  <c r="J664" i="120"/>
  <c r="J898" i="120"/>
  <c r="J102" i="120"/>
  <c r="O417" i="120"/>
  <c r="J666" i="120"/>
  <c r="O842" i="120"/>
  <c r="J784" i="120"/>
  <c r="J262" i="120"/>
  <c r="J512" i="120"/>
  <c r="D33" i="122"/>
  <c r="J910" i="120"/>
  <c r="J905" i="120"/>
  <c r="J847" i="120"/>
  <c r="J899" i="120"/>
  <c r="J779" i="120"/>
  <c r="J520" i="120"/>
  <c r="O657" i="120"/>
  <c r="J746" i="120"/>
  <c r="J735" i="120"/>
  <c r="J330" i="120"/>
  <c r="J920" i="120"/>
  <c r="O69" i="120"/>
  <c r="J923" i="120"/>
  <c r="O267" i="120"/>
  <c r="J747" i="120"/>
  <c r="M790" i="120"/>
  <c r="J434" i="120"/>
  <c r="J583" i="120"/>
  <c r="J658" i="120"/>
  <c r="J84" i="120"/>
  <c r="J955" i="120"/>
  <c r="J595" i="120"/>
  <c r="C86" i="39"/>
  <c r="J911" i="120"/>
  <c r="J755" i="120"/>
  <c r="J269" i="120"/>
  <c r="J585" i="120"/>
  <c r="J264" i="120"/>
  <c r="J918" i="120"/>
  <c r="B321" i="120"/>
  <c r="J842" i="120"/>
  <c r="J350" i="120"/>
  <c r="J901" i="120"/>
  <c r="J908" i="120"/>
  <c r="H754" i="12"/>
  <c r="H754" i="120" s="1"/>
  <c r="J754" i="120" s="1"/>
  <c r="J849" i="120"/>
  <c r="J741" i="120"/>
  <c r="J498" i="120"/>
  <c r="J497" i="120" s="1"/>
  <c r="J768" i="120"/>
  <c r="I397" i="120"/>
  <c r="J397" i="120" s="1"/>
  <c r="J852" i="120"/>
  <c r="J388" i="120"/>
  <c r="J324" i="120"/>
  <c r="J743" i="120"/>
  <c r="J79" i="120"/>
  <c r="H758" i="12"/>
  <c r="H792" i="12"/>
  <c r="A69" i="74"/>
  <c r="O27" i="74"/>
  <c r="G7" i="121"/>
  <c r="N20" i="118"/>
  <c r="O263" i="120"/>
  <c r="J263" i="120"/>
  <c r="J248" i="120"/>
  <c r="BF168" i="58"/>
  <c r="BF169" i="58" s="1"/>
  <c r="BF221" i="58" s="1"/>
  <c r="BF211" i="58" s="1"/>
  <c r="BC22" i="60"/>
  <c r="H92" i="12"/>
  <c r="H92" i="120" s="1"/>
  <c r="J92" i="120" s="1"/>
  <c r="J91" i="120" s="1"/>
  <c r="BM147" i="59"/>
  <c r="BN147" i="59" s="1"/>
  <c r="BN190" i="58"/>
  <c r="O268" i="120"/>
  <c r="J268" i="120"/>
  <c r="O251" i="12"/>
  <c r="J251" i="120"/>
  <c r="O251" i="120"/>
  <c r="BD15" i="60"/>
  <c r="BG15" i="60"/>
  <c r="H76" i="12"/>
  <c r="H76" i="120" s="1"/>
  <c r="J76" i="120" s="1"/>
  <c r="N56" i="118"/>
  <c r="BK22" i="60"/>
  <c r="BA169" i="58"/>
  <c r="BA191" i="58" s="1"/>
  <c r="AY22" i="60"/>
  <c r="BD159" i="58"/>
  <c r="BD219" i="58" s="1"/>
  <c r="BD209" i="58" s="1"/>
  <c r="AY159" i="58"/>
  <c r="AY219" i="58" s="1"/>
  <c r="AY209" i="58" s="1"/>
  <c r="F43" i="61"/>
  <c r="F67" i="61" s="1"/>
  <c r="F88" i="61" s="1"/>
  <c r="J111" i="62"/>
  <c r="I64" i="62"/>
  <c r="H437" i="12" s="1"/>
  <c r="F74" i="62"/>
  <c r="I14" i="62"/>
  <c r="J14" i="62" s="1"/>
  <c r="F21" i="55"/>
  <c r="F18" i="55"/>
  <c r="J96" i="62"/>
  <c r="C38" i="134"/>
  <c r="J3" i="62"/>
  <c r="H20" i="12"/>
  <c r="I48" i="62"/>
  <c r="J48" i="62" s="1"/>
  <c r="F49" i="62"/>
  <c r="I35" i="62"/>
  <c r="H425" i="12" s="1"/>
  <c r="I46" i="62"/>
  <c r="J46" i="62" s="1"/>
  <c r="J30" i="62"/>
  <c r="G44" i="62"/>
  <c r="G74" i="62" s="1"/>
  <c r="G84" i="62" s="1"/>
  <c r="I32" i="62"/>
  <c r="H424" i="12" s="1"/>
  <c r="J118" i="62"/>
  <c r="J31" i="62"/>
  <c r="H423" i="12"/>
  <c r="I87" i="62"/>
  <c r="J87" i="62" s="1"/>
  <c r="I65" i="62"/>
  <c r="H438" i="12" s="1"/>
  <c r="J63" i="62"/>
  <c r="I86" i="62"/>
  <c r="J86" i="62" s="1"/>
  <c r="I43" i="62"/>
  <c r="F66" i="62"/>
  <c r="I47" i="62"/>
  <c r="J47" i="62" s="1"/>
  <c r="F73" i="62"/>
  <c r="I28" i="62"/>
  <c r="J28" i="62" s="1"/>
  <c r="F45" i="62"/>
  <c r="F72" i="62"/>
  <c r="J62" i="62"/>
  <c r="G45" i="62"/>
  <c r="G49" i="62" s="1"/>
  <c r="G67" i="62" s="1"/>
  <c r="G69" i="62" s="1"/>
  <c r="G79" i="62" s="1"/>
  <c r="J117" i="62"/>
  <c r="H85" i="120"/>
  <c r="J85" i="120" s="1"/>
  <c r="L39" i="63"/>
  <c r="G20" i="55"/>
  <c r="L2" i="63"/>
  <c r="G101" i="63"/>
  <c r="G121" i="63" s="1"/>
  <c r="G18" i="55"/>
  <c r="K111" i="47"/>
  <c r="J592" i="120"/>
  <c r="K40" i="63"/>
  <c r="L40" i="63" s="1"/>
  <c r="K57" i="47"/>
  <c r="K56" i="47"/>
  <c r="K50" i="63"/>
  <c r="L50" i="63" s="1"/>
  <c r="J592" i="12"/>
  <c r="J539" i="120"/>
  <c r="AA236" i="54"/>
  <c r="AC55" i="75"/>
  <c r="J744" i="120"/>
  <c r="AA27" i="37"/>
  <c r="Z114" i="37"/>
  <c r="AA114" i="37" s="1"/>
  <c r="Y59" i="56"/>
  <c r="Y32" i="56"/>
  <c r="Z32" i="56" s="1"/>
  <c r="Z42" i="56"/>
  <c r="Z65" i="56"/>
  <c r="AA83" i="37"/>
  <c r="O657" i="12"/>
  <c r="M63" i="118"/>
  <c r="H83" i="12" s="1"/>
  <c r="H83" i="120" s="1"/>
  <c r="J83" i="120" s="1"/>
  <c r="AA68" i="37"/>
  <c r="Y88" i="56"/>
  <c r="Z88" i="56" s="1"/>
  <c r="Z231" i="54"/>
  <c r="AA231" i="54" s="1"/>
  <c r="Z52" i="56"/>
  <c r="H733" i="12"/>
  <c r="AC22" i="75"/>
  <c r="Z54" i="56"/>
  <c r="N72" i="118"/>
  <c r="Z67" i="56"/>
  <c r="AA78" i="37"/>
  <c r="AC51" i="75"/>
  <c r="I21" i="55"/>
  <c r="I18" i="55"/>
  <c r="C31" i="77"/>
  <c r="C74" i="39"/>
  <c r="D30" i="122"/>
  <c r="J288" i="120"/>
  <c r="J310" i="120"/>
  <c r="J287" i="120"/>
  <c r="J285" i="120"/>
  <c r="J286" i="120"/>
  <c r="O844" i="120"/>
  <c r="G108" i="132"/>
  <c r="J108" i="132" s="1"/>
  <c r="H409" i="12" s="1"/>
  <c r="J33" i="132"/>
  <c r="K33" i="132" s="1"/>
  <c r="G36" i="132"/>
  <c r="C15" i="77"/>
  <c r="G11" i="77" s="1"/>
  <c r="E2" i="55"/>
  <c r="Z2" i="56"/>
  <c r="Z20" i="56"/>
  <c r="Y12" i="56"/>
  <c r="Z12" i="56" s="1"/>
  <c r="Z47" i="56"/>
  <c r="Y74" i="56"/>
  <c r="Z74" i="56" s="1"/>
  <c r="Y33" i="56"/>
  <c r="Z33" i="56" s="1"/>
  <c r="J250" i="120"/>
  <c r="J202" i="120"/>
  <c r="J839" i="120"/>
  <c r="O248" i="120"/>
  <c r="J82" i="120"/>
  <c r="O847" i="120"/>
  <c r="J249" i="120"/>
  <c r="O249" i="120"/>
  <c r="O250" i="120"/>
  <c r="J729" i="120"/>
  <c r="J530" i="120"/>
  <c r="J723" i="120"/>
  <c r="BB159" i="58"/>
  <c r="BB219" i="58" s="1"/>
  <c r="BB209" i="58" s="1"/>
  <c r="K107" i="132"/>
  <c r="K104" i="132"/>
  <c r="H344" i="120"/>
  <c r="J344" i="120" s="1"/>
  <c r="H343" i="120"/>
  <c r="J343" i="120" s="1"/>
  <c r="H351" i="12"/>
  <c r="H346" i="120"/>
  <c r="J346" i="120" s="1"/>
  <c r="J345" i="120" s="1"/>
  <c r="O846" i="120"/>
  <c r="J273" i="120"/>
  <c r="J77" i="120"/>
  <c r="J846" i="120"/>
  <c r="J903" i="120"/>
  <c r="J665" i="120"/>
  <c r="H68" i="120"/>
  <c r="O68" i="120" s="1"/>
  <c r="O660" i="12"/>
  <c r="O271" i="120"/>
  <c r="O247" i="120"/>
  <c r="J507" i="120"/>
  <c r="O845" i="120"/>
  <c r="J323" i="120"/>
  <c r="J322" i="120" s="1"/>
  <c r="J845" i="120"/>
  <c r="H257" i="120"/>
  <c r="J257" i="120" s="1"/>
  <c r="O257" i="12"/>
  <c r="H246" i="120"/>
  <c r="O246" i="120" s="1"/>
  <c r="O246" i="12"/>
  <c r="O414" i="120"/>
  <c r="J38" i="132"/>
  <c r="G105" i="132"/>
  <c r="J37" i="132"/>
  <c r="K37" i="132" s="1"/>
  <c r="Y13" i="56"/>
  <c r="BN136" i="59"/>
  <c r="H301" i="12"/>
  <c r="H301" i="120" s="1"/>
  <c r="J301" i="120" s="1"/>
  <c r="Y10" i="56"/>
  <c r="BN134" i="59"/>
  <c r="H296" i="12"/>
  <c r="H296" i="120" s="1"/>
  <c r="H295" i="12"/>
  <c r="H295" i="120" s="1"/>
  <c r="O245" i="120"/>
  <c r="N17" i="120" s="1"/>
  <c r="C27" i="134" s="1"/>
  <c r="H298" i="12"/>
  <c r="H298" i="120" s="1"/>
  <c r="J298" i="120" s="1"/>
  <c r="O323" i="120"/>
  <c r="N19" i="120" s="1"/>
  <c r="C35" i="134" s="1"/>
  <c r="H305" i="12"/>
  <c r="H305" i="120" s="1"/>
  <c r="J305" i="120" s="1"/>
  <c r="BN139" i="59"/>
  <c r="H307" i="12"/>
  <c r="H307" i="120" s="1"/>
  <c r="J307" i="120" s="1"/>
  <c r="H308" i="12"/>
  <c r="H308" i="120" s="1"/>
  <c r="J308" i="120" s="1"/>
  <c r="Y90" i="56"/>
  <c r="Z90" i="56" s="1"/>
  <c r="Y89" i="56"/>
  <c r="Z89" i="56" s="1"/>
  <c r="H309" i="12"/>
  <c r="H309" i="120" s="1"/>
  <c r="J309" i="120" s="1"/>
  <c r="F143" i="47"/>
  <c r="J115" i="47"/>
  <c r="K115" i="47" s="1"/>
  <c r="BN143" i="59"/>
  <c r="Y64" i="56"/>
  <c r="Z64" i="56" s="1"/>
  <c r="H757" i="12"/>
  <c r="O724" i="120"/>
  <c r="AA348" i="133"/>
  <c r="AA389" i="133"/>
  <c r="Z291" i="133"/>
  <c r="H915" i="12" s="1"/>
  <c r="AA312" i="133"/>
  <c r="AA290" i="133"/>
  <c r="AA383" i="133"/>
  <c r="AA280" i="133"/>
  <c r="AA362" i="133"/>
  <c r="K100" i="83"/>
  <c r="K50" i="83"/>
  <c r="J78" i="120"/>
  <c r="K67" i="83"/>
  <c r="G131" i="83"/>
  <c r="J113" i="83"/>
  <c r="K113" i="83" s="1"/>
  <c r="K51" i="83"/>
  <c r="K126" i="83"/>
  <c r="J80" i="120"/>
  <c r="K43" i="83"/>
  <c r="K94" i="83"/>
  <c r="J124" i="83"/>
  <c r="K124" i="83" s="1"/>
  <c r="J118" i="83"/>
  <c r="K118" i="83" s="1"/>
  <c r="O836" i="120"/>
  <c r="K110" i="83"/>
  <c r="J99" i="83"/>
  <c r="K99" i="83" s="1"/>
  <c r="H837" i="120"/>
  <c r="O837" i="120" s="1"/>
  <c r="O837" i="12"/>
  <c r="J836" i="120"/>
  <c r="J9" i="83"/>
  <c r="I20" i="55" s="1"/>
  <c r="J120" i="83"/>
  <c r="H893" i="12" s="1"/>
  <c r="J53" i="83"/>
  <c r="K53" i="83" s="1"/>
  <c r="O836" i="12"/>
  <c r="J32" i="83"/>
  <c r="K32" i="83" s="1"/>
  <c r="K98" i="83"/>
  <c r="H841" i="120"/>
  <c r="J841" i="120" s="1"/>
  <c r="O841" i="12"/>
  <c r="K30" i="83"/>
  <c r="G132" i="83"/>
  <c r="J114" i="83"/>
  <c r="H865" i="12" s="1"/>
  <c r="J31" i="83"/>
  <c r="K31" i="83" s="1"/>
  <c r="J111" i="83"/>
  <c r="H863" i="12" s="1"/>
  <c r="H863" i="120" s="1"/>
  <c r="G146" i="83"/>
  <c r="J129" i="83"/>
  <c r="K129" i="83" s="1"/>
  <c r="H71" i="120"/>
  <c r="J71" i="120" s="1"/>
  <c r="J89" i="120"/>
  <c r="H652" i="120"/>
  <c r="J652" i="120" s="1"/>
  <c r="Z245" i="54"/>
  <c r="AA245" i="54" s="1"/>
  <c r="N34" i="118"/>
  <c r="J772" i="120"/>
  <c r="AA180" i="54"/>
  <c r="J778" i="120"/>
  <c r="AA30" i="54"/>
  <c r="AA35" i="54"/>
  <c r="AA197" i="54"/>
  <c r="Z233" i="54"/>
  <c r="H782" i="12" s="1"/>
  <c r="H782" i="120" s="1"/>
  <c r="J782" i="120" s="1"/>
  <c r="M15" i="118"/>
  <c r="H67" i="12" s="1"/>
  <c r="O67" i="12" s="1"/>
  <c r="Z169" i="54"/>
  <c r="AA169" i="54" s="1"/>
  <c r="Z235" i="54"/>
  <c r="H783" i="12" s="1"/>
  <c r="J81" i="120"/>
  <c r="Z166" i="54"/>
  <c r="AA166" i="54" s="1"/>
  <c r="Z230" i="54"/>
  <c r="H753" i="12" s="1"/>
  <c r="Z168" i="54"/>
  <c r="H763" i="12" s="1"/>
  <c r="H763" i="120" s="1"/>
  <c r="AA25" i="54"/>
  <c r="Z234" i="54"/>
  <c r="H780" i="12" s="1"/>
  <c r="Z160" i="54"/>
  <c r="AA160" i="54" s="1"/>
  <c r="Z157" i="54"/>
  <c r="AA157" i="54" s="1"/>
  <c r="Z5" i="54"/>
  <c r="H20" i="55" s="1"/>
  <c r="Z149" i="54"/>
  <c r="AA149" i="54" s="1"/>
  <c r="Z148" i="54"/>
  <c r="AA148" i="54" s="1"/>
  <c r="Z143" i="54"/>
  <c r="H6" i="75" s="1"/>
  <c r="Z3" i="54"/>
  <c r="AA176" i="54"/>
  <c r="AA52" i="37"/>
  <c r="AA51" i="37"/>
  <c r="Z238" i="54"/>
  <c r="Z229" i="54"/>
  <c r="AA229" i="54" s="1"/>
  <c r="AA211" i="54"/>
  <c r="AC27" i="75"/>
  <c r="AC52" i="75"/>
  <c r="AC54" i="75"/>
  <c r="AC11" i="75"/>
  <c r="AC8" i="75"/>
  <c r="AC15" i="75"/>
  <c r="H726" i="120"/>
  <c r="O726" i="120" s="1"/>
  <c r="O726" i="12"/>
  <c r="AB33" i="75"/>
  <c r="H727" i="12" s="1"/>
  <c r="AB60" i="75"/>
  <c r="AC60" i="75" s="1"/>
  <c r="AB41" i="75"/>
  <c r="AC41" i="75" s="1"/>
  <c r="AB45" i="75"/>
  <c r="H739" i="12" s="1"/>
  <c r="AB61" i="75"/>
  <c r="AC61" i="75" s="1"/>
  <c r="AB65" i="75"/>
  <c r="AC65" i="75" s="1"/>
  <c r="BG167" i="58"/>
  <c r="BG169" i="58" s="1"/>
  <c r="BG221" i="58" s="1"/>
  <c r="BG211" i="58" s="1"/>
  <c r="J457" i="120"/>
  <c r="BA159" i="58"/>
  <c r="BA219" i="58" s="1"/>
  <c r="BA209" i="58" s="1"/>
  <c r="BA21" i="61"/>
  <c r="J75" i="120"/>
  <c r="BK15" i="60"/>
  <c r="Z82" i="37"/>
  <c r="H659" i="12" s="1"/>
  <c r="Z79" i="37"/>
  <c r="AA79" i="37" s="1"/>
  <c r="Z80" i="37"/>
  <c r="AA80" i="37" s="1"/>
  <c r="Z99" i="37"/>
  <c r="H701" i="12" s="1"/>
  <c r="Z88" i="37"/>
  <c r="AA88" i="37" s="1"/>
  <c r="Z111" i="37"/>
  <c r="H717" i="12" s="1"/>
  <c r="Z53" i="37"/>
  <c r="H654" i="12" s="1"/>
  <c r="Z72" i="56"/>
  <c r="Z30" i="56"/>
  <c r="Z13" i="56"/>
  <c r="H653" i="120"/>
  <c r="O653" i="120" s="1"/>
  <c r="O653" i="12"/>
  <c r="AB37" i="75"/>
  <c r="H728" i="12" s="1"/>
  <c r="Y112" i="56"/>
  <c r="Z113" i="37"/>
  <c r="AA113" i="37" s="1"/>
  <c r="Z77" i="56"/>
  <c r="Z100" i="37"/>
  <c r="H699" i="12" s="1"/>
  <c r="Z118" i="37"/>
  <c r="AA118" i="37" s="1"/>
  <c r="Z62" i="56"/>
  <c r="Z112" i="37"/>
  <c r="H558" i="120"/>
  <c r="M558" i="12"/>
  <c r="M558" i="120" s="1"/>
  <c r="K75" i="63"/>
  <c r="L75" i="63" s="1"/>
  <c r="J95" i="47"/>
  <c r="K95" i="47" s="1"/>
  <c r="F97" i="47"/>
  <c r="K111" i="63"/>
  <c r="L111" i="63" s="1"/>
  <c r="G134" i="63"/>
  <c r="K114" i="63"/>
  <c r="H616" i="12" s="1"/>
  <c r="H616" i="120" s="1"/>
  <c r="K30" i="63"/>
  <c r="L30" i="63" s="1"/>
  <c r="J21" i="47"/>
  <c r="K21" i="47" s="1"/>
  <c r="K112" i="63"/>
  <c r="L112" i="63" s="1"/>
  <c r="G132" i="63"/>
  <c r="F122" i="47"/>
  <c r="J54" i="47"/>
  <c r="H518" i="12" s="1"/>
  <c r="J32" i="47"/>
  <c r="H511" i="12" s="1"/>
  <c r="K73" i="63"/>
  <c r="L73" i="63" s="1"/>
  <c r="J137" i="47"/>
  <c r="H562" i="12" s="1"/>
  <c r="G117" i="63"/>
  <c r="K97" i="63"/>
  <c r="L97" i="63" s="1"/>
  <c r="F145" i="47"/>
  <c r="J126" i="47"/>
  <c r="H546" i="12" s="1"/>
  <c r="K136" i="47"/>
  <c r="G109" i="63"/>
  <c r="K69" i="63"/>
  <c r="L69" i="63" s="1"/>
  <c r="K108" i="63"/>
  <c r="L108" i="63" s="1"/>
  <c r="K88" i="47"/>
  <c r="K101" i="63"/>
  <c r="L101" i="63" s="1"/>
  <c r="F148" i="47"/>
  <c r="J128" i="47"/>
  <c r="H568" i="12" s="1"/>
  <c r="K98" i="63"/>
  <c r="H600" i="12" s="1"/>
  <c r="G118" i="63"/>
  <c r="J134" i="47"/>
  <c r="H556" i="12" s="1"/>
  <c r="J123" i="47"/>
  <c r="H542" i="12" s="1"/>
  <c r="J96" i="47"/>
  <c r="K96" i="47" s="1"/>
  <c r="J35" i="47"/>
  <c r="K35" i="47" s="1"/>
  <c r="F36" i="47"/>
  <c r="F127" i="47"/>
  <c r="J132" i="47"/>
  <c r="H552" i="12" s="1"/>
  <c r="J15" i="47"/>
  <c r="H508" i="12" s="1"/>
  <c r="F109" i="47"/>
  <c r="F125" i="47"/>
  <c r="K82" i="63"/>
  <c r="G10" i="75" s="1"/>
  <c r="J62" i="47"/>
  <c r="K62" i="47" s="1"/>
  <c r="K24" i="63"/>
  <c r="L24" i="63" s="1"/>
  <c r="K65" i="63"/>
  <c r="L65" i="63" s="1"/>
  <c r="G105" i="63"/>
  <c r="K100" i="63"/>
  <c r="G120" i="63"/>
  <c r="K11" i="47"/>
  <c r="J120" i="47"/>
  <c r="K120" i="47" s="1"/>
  <c r="J19" i="47"/>
  <c r="H509" i="12" s="1"/>
  <c r="J64" i="47"/>
  <c r="K64" i="47" s="1"/>
  <c r="F65" i="47"/>
  <c r="F40" i="47"/>
  <c r="J39" i="47"/>
  <c r="K39" i="47" s="1"/>
  <c r="J23" i="47"/>
  <c r="K23" i="47" s="1"/>
  <c r="J539" i="12"/>
  <c r="L61" i="63"/>
  <c r="J121" i="47"/>
  <c r="K121" i="47" s="1"/>
  <c r="G76" i="63"/>
  <c r="K110" i="47"/>
  <c r="K5" i="63"/>
  <c r="L5" i="63" s="1"/>
  <c r="J94" i="47"/>
  <c r="K94" i="47" s="1"/>
  <c r="J141" i="47"/>
  <c r="H578" i="12" s="1"/>
  <c r="J130" i="47"/>
  <c r="H564" i="12" s="1"/>
  <c r="K80" i="63"/>
  <c r="G6" i="75" s="1"/>
  <c r="L59" i="63"/>
  <c r="K57" i="63"/>
  <c r="L57" i="63" s="1"/>
  <c r="G52" i="63"/>
  <c r="G96" i="63"/>
  <c r="J99" i="47"/>
  <c r="K99" i="47" s="1"/>
  <c r="F101" i="47"/>
  <c r="K106" i="63"/>
  <c r="G126" i="63"/>
  <c r="G113" i="63"/>
  <c r="G66" i="63"/>
  <c r="G64" i="63"/>
  <c r="G62" i="63"/>
  <c r="K58" i="63"/>
  <c r="H589" i="12" s="1"/>
  <c r="H589" i="120" s="1"/>
  <c r="AZ61" i="61"/>
  <c r="H472" i="12" s="1"/>
  <c r="F1" i="59"/>
  <c r="G1" i="61"/>
  <c r="F2" i="58"/>
  <c r="F1" i="58"/>
  <c r="K74" i="118"/>
  <c r="K70" i="118"/>
  <c r="N55" i="118"/>
  <c r="M48" i="118"/>
  <c r="N48" i="118" s="1"/>
  <c r="H73" i="120"/>
  <c r="O73" i="120" s="1"/>
  <c r="G70" i="118"/>
  <c r="G74" i="118"/>
  <c r="BN61" i="59"/>
  <c r="BN189" i="58"/>
  <c r="J261" i="120"/>
  <c r="J226" i="120"/>
  <c r="O226" i="120"/>
  <c r="H266" i="120"/>
  <c r="O266" i="120" s="1"/>
  <c r="F2" i="60"/>
  <c r="F1" i="60"/>
  <c r="BN183" i="58"/>
  <c r="BM173" i="58"/>
  <c r="BN173" i="58" s="1"/>
  <c r="BM171" i="58"/>
  <c r="BN171" i="58" s="1"/>
  <c r="BI159" i="58"/>
  <c r="BI219" i="58" s="1"/>
  <c r="BI209" i="58" s="1"/>
  <c r="BF159" i="58"/>
  <c r="BF219" i="58" s="1"/>
  <c r="BF209" i="58" s="1"/>
  <c r="BC220" i="58"/>
  <c r="BC210" i="58" s="1"/>
  <c r="BB167" i="58"/>
  <c r="BB169" i="58" s="1"/>
  <c r="BB221" i="58" s="1"/>
  <c r="BB211" i="58" s="1"/>
  <c r="AY169" i="58"/>
  <c r="AY221" i="58" s="1"/>
  <c r="AY211" i="58" s="1"/>
  <c r="BC159" i="58"/>
  <c r="BC219" i="58" s="1"/>
  <c r="BC209" i="58" s="1"/>
  <c r="BE169" i="58"/>
  <c r="BE191" i="58" s="1"/>
  <c r="BC217" i="58"/>
  <c r="BC207" i="58" s="1"/>
  <c r="BA29" i="60"/>
  <c r="BL29" i="60"/>
  <c r="BD22" i="60"/>
  <c r="J277" i="120"/>
  <c r="AX24" i="60"/>
  <c r="AX25" i="60" s="1"/>
  <c r="BN36" i="60"/>
  <c r="BM84" i="58"/>
  <c r="BN84" i="58" s="1"/>
  <c r="J456" i="120"/>
  <c r="BM59" i="58"/>
  <c r="H125" i="12" s="1"/>
  <c r="O125" i="12" s="1"/>
  <c r="BI29" i="60"/>
  <c r="BA19" i="61"/>
  <c r="BN194" i="58"/>
  <c r="BB22" i="60"/>
  <c r="AZ77" i="61"/>
  <c r="BA77" i="61" s="1"/>
  <c r="BN35" i="60"/>
  <c r="BN81" i="59"/>
  <c r="N6" i="55"/>
  <c r="H38" i="12" s="1"/>
  <c r="BN138" i="59"/>
  <c r="BI163" i="58"/>
  <c r="BI218" i="58" s="1"/>
  <c r="BI208" i="58" s="1"/>
  <c r="BD163" i="58"/>
  <c r="BD40" i="58" s="1"/>
  <c r="BB29" i="60"/>
  <c r="BB163" i="58"/>
  <c r="N73" i="118"/>
  <c r="J103" i="120"/>
  <c r="AZ10" i="60"/>
  <c r="AZ11" i="60" s="1"/>
  <c r="AZ12" i="60"/>
  <c r="AZ29" i="60"/>
  <c r="BJ10" i="60"/>
  <c r="BJ11" i="60" s="1"/>
  <c r="BJ12" i="60"/>
  <c r="BM11" i="59"/>
  <c r="BN11" i="59" s="1"/>
  <c r="BE15" i="60"/>
  <c r="AY29" i="60"/>
  <c r="AZ22" i="60"/>
  <c r="BL22" i="60"/>
  <c r="BB8" i="58"/>
  <c r="BB9" i="58" s="1"/>
  <c r="BB10" i="58" s="1"/>
  <c r="BB82" i="58"/>
  <c r="AY163" i="58"/>
  <c r="BI22" i="60"/>
  <c r="BH29" i="60"/>
  <c r="BD29" i="60"/>
  <c r="BB15" i="60"/>
  <c r="BL15" i="60"/>
  <c r="BG22" i="60"/>
  <c r="BE29" i="60"/>
  <c r="BN135" i="59"/>
  <c r="AX15" i="60"/>
  <c r="BM36" i="59"/>
  <c r="H217" i="12" s="1"/>
  <c r="O217" i="12" s="1"/>
  <c r="BC15" i="60"/>
  <c r="BJ22" i="60"/>
  <c r="BN140" i="59"/>
  <c r="BA10" i="60"/>
  <c r="BA11" i="60" s="1"/>
  <c r="BA12" i="60"/>
  <c r="BC24" i="60"/>
  <c r="BC25" i="60" s="1"/>
  <c r="BC26" i="60"/>
  <c r="BD169" i="58"/>
  <c r="BM38" i="59"/>
  <c r="BN38" i="59" s="1"/>
  <c r="BC82" i="58"/>
  <c r="BC8" i="58"/>
  <c r="BI82" i="58"/>
  <c r="BI8" i="58"/>
  <c r="AY15" i="60"/>
  <c r="BF19" i="60"/>
  <c r="BN19" i="60" s="1"/>
  <c r="BF17" i="60"/>
  <c r="BF18" i="60" s="1"/>
  <c r="BF29" i="60"/>
  <c r="BN141" i="59"/>
  <c r="BM188" i="58"/>
  <c r="H168" i="12" s="1"/>
  <c r="H168" i="120" s="1"/>
  <c r="BN16" i="60"/>
  <c r="BN7" i="60"/>
  <c r="BH15" i="60"/>
  <c r="BA22" i="60"/>
  <c r="BF163" i="58"/>
  <c r="BN142" i="59"/>
  <c r="BF82" i="58"/>
  <c r="BF8" i="58"/>
  <c r="BN9" i="60"/>
  <c r="BA208" i="58"/>
  <c r="BA220" i="58"/>
  <c r="BA210" i="58" s="1"/>
  <c r="BA217" i="58"/>
  <c r="BA207" i="58" s="1"/>
  <c r="BA40" i="58"/>
  <c r="BE218" i="58"/>
  <c r="BE208" i="58" s="1"/>
  <c r="BE220" i="58"/>
  <c r="BE210" i="58" s="1"/>
  <c r="BE217" i="58"/>
  <c r="BE207" i="58" s="1"/>
  <c r="BE40" i="58"/>
  <c r="BM10" i="59"/>
  <c r="BN10" i="59" s="1"/>
  <c r="BK26" i="60"/>
  <c r="BK24" i="60"/>
  <c r="BK25" i="60" s="1"/>
  <c r="BJ29" i="60"/>
  <c r="BC169" i="58"/>
  <c r="BC40" i="58"/>
  <c r="BG163" i="58"/>
  <c r="BG82" i="58"/>
  <c r="BG8" i="58"/>
  <c r="BH82" i="58"/>
  <c r="BH8" i="58"/>
  <c r="BA82" i="58"/>
  <c r="BA8" i="58"/>
  <c r="BM132" i="59"/>
  <c r="H306" i="12" s="1"/>
  <c r="H306" i="120" s="1"/>
  <c r="BM150" i="59"/>
  <c r="BN150" i="59" s="1"/>
  <c r="BM133" i="59"/>
  <c r="H312" i="12" s="1"/>
  <c r="H312" i="120" s="1"/>
  <c r="BI169" i="58"/>
  <c r="AX38" i="60"/>
  <c r="AX39" i="60" s="1"/>
  <c r="AX8" i="60"/>
  <c r="AY8" i="58"/>
  <c r="AY82" i="58"/>
  <c r="BE82" i="58"/>
  <c r="BE8" i="58"/>
  <c r="BM184" i="58"/>
  <c r="H143" i="12" s="1"/>
  <c r="H143" i="120" s="1"/>
  <c r="BH162" i="58"/>
  <c r="BH161" i="58"/>
  <c r="AB29" i="75"/>
  <c r="AC29" i="75" s="1"/>
  <c r="BH22" i="60"/>
  <c r="BD8" i="58"/>
  <c r="BD82" i="58"/>
  <c r="O415" i="120"/>
  <c r="O808" i="120"/>
  <c r="O416" i="120"/>
  <c r="N20" i="120" s="1"/>
  <c r="J414" i="120"/>
  <c r="J271" i="120"/>
  <c r="J415" i="120"/>
  <c r="J844" i="120"/>
  <c r="J808" i="120"/>
  <c r="J270" i="120"/>
  <c r="I853" i="120"/>
  <c r="J853" i="120" s="1"/>
  <c r="M707" i="12"/>
  <c r="M707" i="120" s="1"/>
  <c r="J724" i="120"/>
  <c r="H707" i="120"/>
  <c r="J707" i="120" s="1"/>
  <c r="J706" i="120" s="1"/>
  <c r="M885" i="12"/>
  <c r="M885" i="120" s="1"/>
  <c r="H885" i="120"/>
  <c r="J885" i="120" s="1"/>
  <c r="J884" i="120" s="1"/>
  <c r="M574" i="12"/>
  <c r="M574" i="120" s="1"/>
  <c r="H574" i="120"/>
  <c r="J574" i="120" s="1"/>
  <c r="J573" i="120" s="1"/>
  <c r="J775" i="120"/>
  <c r="J417" i="120"/>
  <c r="J247" i="120"/>
  <c r="J416" i="120"/>
  <c r="B411" i="12"/>
  <c r="H15" i="120"/>
  <c r="C18" i="134" s="1"/>
  <c r="C20" i="77"/>
  <c r="D20" i="122"/>
  <c r="H827" i="120"/>
  <c r="M827" i="12"/>
  <c r="N763" i="120"/>
  <c r="N762" i="120"/>
  <c r="M96" i="12"/>
  <c r="H96" i="120"/>
  <c r="H87" i="120"/>
  <c r="J87" i="120" s="1"/>
  <c r="N50" i="118"/>
  <c r="A37" i="12"/>
  <c r="H37" i="120"/>
  <c r="J37" i="120" s="1"/>
  <c r="G321" i="120" l="1"/>
  <c r="F321" i="120"/>
  <c r="D321" i="120"/>
  <c r="C321" i="120"/>
  <c r="G58" i="120"/>
  <c r="F58" i="120"/>
  <c r="D58" i="120"/>
  <c r="C58" i="120"/>
  <c r="D405" i="12"/>
  <c r="C405" i="12"/>
  <c r="D815" i="12"/>
  <c r="C815" i="12"/>
  <c r="D60" i="12"/>
  <c r="C60" i="12"/>
  <c r="D62" i="12"/>
  <c r="C62" i="12"/>
  <c r="D411" i="12"/>
  <c r="C411" i="12"/>
  <c r="D548" i="12"/>
  <c r="C548" i="12"/>
  <c r="B548" i="120"/>
  <c r="D790" i="12"/>
  <c r="C790" i="12"/>
  <c r="H10" i="37"/>
  <c r="H11" i="37" s="1"/>
  <c r="H41" i="37"/>
  <c r="H42" i="37" s="1"/>
  <c r="H43" i="37" s="1"/>
  <c r="H54" i="37" s="1"/>
  <c r="J58" i="75"/>
  <c r="J67" i="75" s="1"/>
  <c r="J59" i="75"/>
  <c r="J68" i="75" s="1"/>
  <c r="J57" i="75"/>
  <c r="J66" i="75" s="1"/>
  <c r="G40" i="60"/>
  <c r="G41" i="60"/>
  <c r="G8" i="60"/>
  <c r="G37" i="60"/>
  <c r="G38" i="60" s="1"/>
  <c r="G39" i="60" s="1"/>
  <c r="I58" i="120"/>
  <c r="J58" i="120" s="1"/>
  <c r="E26" i="155"/>
  <c r="B815" i="120"/>
  <c r="F41" i="60"/>
  <c r="F40" i="60"/>
  <c r="F37" i="60"/>
  <c r="F38" i="60" s="1"/>
  <c r="F39" i="60" s="1"/>
  <c r="H58" i="75"/>
  <c r="H67" i="75" s="1"/>
  <c r="H57" i="75"/>
  <c r="H66" i="75" s="1"/>
  <c r="H59" i="75"/>
  <c r="H68" i="75" s="1"/>
  <c r="G10" i="37"/>
  <c r="G41" i="37"/>
  <c r="H659" i="120"/>
  <c r="O659" i="120" s="1"/>
  <c r="H656" i="120"/>
  <c r="J656" i="120" s="1"/>
  <c r="H25" i="12"/>
  <c r="D26" i="122" s="1"/>
  <c r="D26" i="155"/>
  <c r="M69" i="155" s="1"/>
  <c r="AZ149" i="58"/>
  <c r="AZ129" i="58"/>
  <c r="AX128" i="58"/>
  <c r="AX129" i="58" s="1"/>
  <c r="L37" i="155"/>
  <c r="D37" i="155"/>
  <c r="F37" i="155"/>
  <c r="I37" i="155"/>
  <c r="H37" i="155"/>
  <c r="G37" i="155"/>
  <c r="E37" i="155"/>
  <c r="J37" i="155"/>
  <c r="K37" i="155"/>
  <c r="E41" i="155"/>
  <c r="G41" i="155"/>
  <c r="H41" i="155"/>
  <c r="J41" i="155"/>
  <c r="L41" i="155"/>
  <c r="D41" i="155"/>
  <c r="C41" i="155"/>
  <c r="F41" i="155"/>
  <c r="K41" i="155"/>
  <c r="I41" i="155"/>
  <c r="O65" i="120"/>
  <c r="O70" i="120"/>
  <c r="H106" i="78"/>
  <c r="H104" i="78"/>
  <c r="H102" i="78"/>
  <c r="H105" i="78"/>
  <c r="H107" i="78"/>
  <c r="H97" i="78"/>
  <c r="H109" i="78"/>
  <c r="H98" i="78"/>
  <c r="H110" i="78"/>
  <c r="H111" i="78"/>
  <c r="H95" i="78"/>
  <c r="H99" i="78"/>
  <c r="H100" i="78"/>
  <c r="H108" i="78"/>
  <c r="H103" i="78"/>
  <c r="H96" i="78"/>
  <c r="H101" i="78"/>
  <c r="H94" i="78"/>
  <c r="B825" i="12"/>
  <c r="B825" i="120" s="1"/>
  <c r="M405" i="120"/>
  <c r="AA66" i="37"/>
  <c r="O422" i="120"/>
  <c r="I321" i="120"/>
  <c r="J321" i="120" s="1"/>
  <c r="M616" i="12"/>
  <c r="B616" i="12" s="1"/>
  <c r="I59" i="75"/>
  <c r="I68" i="75" s="1"/>
  <c r="I58" i="75"/>
  <c r="I67" i="75" s="1"/>
  <c r="I57" i="75"/>
  <c r="I66" i="75" s="1"/>
  <c r="J662" i="12"/>
  <c r="AA91" i="37"/>
  <c r="O662" i="12"/>
  <c r="BE31" i="60"/>
  <c r="O265" i="120"/>
  <c r="J662" i="120"/>
  <c r="BB31" i="60"/>
  <c r="Z94" i="37"/>
  <c r="AA94" i="37" s="1"/>
  <c r="B790" i="120"/>
  <c r="J35" i="62"/>
  <c r="J108" i="62"/>
  <c r="F36" i="49"/>
  <c r="F50" i="49"/>
  <c r="F35" i="49" s="1"/>
  <c r="F60" i="49" s="1"/>
  <c r="F62" i="49" s="1"/>
  <c r="F64" i="49" s="1"/>
  <c r="R36" i="49"/>
  <c r="R50" i="49"/>
  <c r="R35" i="49" s="1"/>
  <c r="R60" i="49" s="1"/>
  <c r="R62" i="49" s="1"/>
  <c r="R64" i="49" s="1"/>
  <c r="I62" i="49"/>
  <c r="I64" i="49" s="1"/>
  <c r="T50" i="49"/>
  <c r="T35" i="49" s="1"/>
  <c r="T60" i="49" s="1"/>
  <c r="T62" i="49" s="1"/>
  <c r="T64" i="49" s="1"/>
  <c r="K15" i="47"/>
  <c r="I112" i="62"/>
  <c r="F44" i="61" s="1"/>
  <c r="F75" i="61" s="1"/>
  <c r="F96" i="61" s="1"/>
  <c r="J112" i="62"/>
  <c r="J32" i="62"/>
  <c r="H809" i="12"/>
  <c r="H821" i="12"/>
  <c r="I34" i="87"/>
  <c r="H803" i="12" s="1"/>
  <c r="F35" i="87"/>
  <c r="G25" i="87"/>
  <c r="G54" i="87" s="1"/>
  <c r="G36" i="87"/>
  <c r="G48" i="87" s="1"/>
  <c r="F17" i="87"/>
  <c r="I16" i="87"/>
  <c r="J16" i="87"/>
  <c r="G50" i="87"/>
  <c r="H800" i="120"/>
  <c r="O800" i="12"/>
  <c r="J110" i="62"/>
  <c r="J12" i="87"/>
  <c r="S36" i="49"/>
  <c r="S50" i="49"/>
  <c r="S35" i="49" s="1"/>
  <c r="S60" i="49" s="1"/>
  <c r="S62" i="49" s="1"/>
  <c r="S64" i="49" s="1"/>
  <c r="F30" i="87"/>
  <c r="I29" i="87"/>
  <c r="H802" i="12" s="1"/>
  <c r="I116" i="62"/>
  <c r="F49" i="61" s="1"/>
  <c r="F81" i="61" s="1"/>
  <c r="F36" i="87"/>
  <c r="I24" i="87"/>
  <c r="H801" i="12" s="1"/>
  <c r="F25" i="87"/>
  <c r="M815" i="120"/>
  <c r="H815" i="120"/>
  <c r="H604" i="12"/>
  <c r="M604" i="12" s="1"/>
  <c r="M604" i="120" s="1"/>
  <c r="J36" i="49"/>
  <c r="J50" i="49"/>
  <c r="J35" i="49" s="1"/>
  <c r="J60" i="49" s="1"/>
  <c r="J62" i="49" s="1"/>
  <c r="J64" i="49" s="1"/>
  <c r="J114" i="62"/>
  <c r="M36" i="49"/>
  <c r="M50" i="49"/>
  <c r="M35" i="49" s="1"/>
  <c r="M60" i="49" s="1"/>
  <c r="M62" i="49" s="1"/>
  <c r="M64" i="49" s="1"/>
  <c r="H797" i="120"/>
  <c r="O797" i="12"/>
  <c r="J65" i="62"/>
  <c r="L36" i="49"/>
  <c r="L50" i="49"/>
  <c r="L35" i="49" s="1"/>
  <c r="L60" i="49" s="1"/>
  <c r="J11" i="87"/>
  <c r="I44" i="62"/>
  <c r="J44" i="62" s="1"/>
  <c r="U50" i="49"/>
  <c r="U35" i="49" s="1"/>
  <c r="U60" i="49" s="1"/>
  <c r="U36" i="49"/>
  <c r="J46" i="87"/>
  <c r="H91" i="78"/>
  <c r="H93" i="78"/>
  <c r="H92" i="78"/>
  <c r="H90" i="78"/>
  <c r="J421" i="120"/>
  <c r="H655" i="120"/>
  <c r="H25" i="120" s="1"/>
  <c r="C58" i="134" s="1"/>
  <c r="AC48" i="75"/>
  <c r="J763" i="120"/>
  <c r="J661" i="120"/>
  <c r="H435" i="120"/>
  <c r="J435" i="120" s="1"/>
  <c r="A69" i="121"/>
  <c r="O661" i="12"/>
  <c r="BH191" i="58"/>
  <c r="H30" i="12"/>
  <c r="H663" i="120"/>
  <c r="O663" i="120" s="1"/>
  <c r="O663" i="12"/>
  <c r="Z59" i="56"/>
  <c r="BG31" i="60"/>
  <c r="BD31" i="60"/>
  <c r="BI31" i="60"/>
  <c r="AY31" i="60"/>
  <c r="BL31" i="60"/>
  <c r="BH31" i="60"/>
  <c r="F73" i="59"/>
  <c r="H896" i="120"/>
  <c r="AB62" i="75"/>
  <c r="H750" i="12" s="1"/>
  <c r="H750" i="120" s="1"/>
  <c r="J750" i="120" s="1"/>
  <c r="J749" i="120" s="1"/>
  <c r="AB19" i="75"/>
  <c r="AC19" i="75" s="1"/>
  <c r="M75" i="118"/>
  <c r="N75" i="118" s="1"/>
  <c r="Z93" i="37"/>
  <c r="AA93" i="37" s="1"/>
  <c r="AA50" i="37"/>
  <c r="H651" i="120"/>
  <c r="J651" i="120" s="1"/>
  <c r="BC28" i="60"/>
  <c r="BC31" i="60" s="1"/>
  <c r="BA14" i="60"/>
  <c r="BA31" i="60" s="1"/>
  <c r="BK28" i="60"/>
  <c r="BK31" i="60" s="1"/>
  <c r="BJ14" i="60"/>
  <c r="BJ31" i="60" s="1"/>
  <c r="AZ14" i="60"/>
  <c r="AZ31" i="60" s="1"/>
  <c r="AX28" i="60"/>
  <c r="AX31" i="60" s="1"/>
  <c r="BF21" i="60"/>
  <c r="BF31" i="60" s="1"/>
  <c r="M62" i="120"/>
  <c r="Z32" i="37"/>
  <c r="AA32" i="37" s="1"/>
  <c r="H709" i="12"/>
  <c r="H711" i="12"/>
  <c r="H711" i="120" s="1"/>
  <c r="J711" i="120" s="1"/>
  <c r="J710" i="120" s="1"/>
  <c r="H299" i="12"/>
  <c r="H299" i="120" s="1"/>
  <c r="B558" i="12"/>
  <c r="O257" i="120"/>
  <c r="B60" i="120"/>
  <c r="H758" i="120"/>
  <c r="J758" i="120" s="1"/>
  <c r="H788" i="12"/>
  <c r="M788" i="12" s="1"/>
  <c r="H466" i="12"/>
  <c r="H22" i="121"/>
  <c r="G11" i="74"/>
  <c r="H27" i="121"/>
  <c r="G14" i="74"/>
  <c r="H23" i="121"/>
  <c r="H28" i="121"/>
  <c r="G15" i="74"/>
  <c r="H25" i="121"/>
  <c r="H29" i="121"/>
  <c r="H26" i="121"/>
  <c r="H30" i="121"/>
  <c r="H13" i="121"/>
  <c r="H24" i="121"/>
  <c r="H21" i="121"/>
  <c r="H31" i="121"/>
  <c r="BG32" i="60"/>
  <c r="BM198" i="58"/>
  <c r="BN198" i="58" s="1"/>
  <c r="H300" i="12"/>
  <c r="BG191" i="58"/>
  <c r="BA221" i="58"/>
  <c r="BA211" i="58" s="1"/>
  <c r="BH32" i="60"/>
  <c r="D18" i="122"/>
  <c r="C18" i="77"/>
  <c r="BF191" i="58"/>
  <c r="BE221" i="58"/>
  <c r="BE211" i="58" s="1"/>
  <c r="H425" i="120"/>
  <c r="J425" i="120" s="1"/>
  <c r="F67" i="62"/>
  <c r="I49" i="62"/>
  <c r="J49" i="62" s="1"/>
  <c r="H438" i="120"/>
  <c r="J438" i="120" s="1"/>
  <c r="C30" i="77"/>
  <c r="D21" i="122"/>
  <c r="H423" i="120"/>
  <c r="O423" i="12"/>
  <c r="G70" i="62"/>
  <c r="G80" i="62" s="1"/>
  <c r="G50" i="62"/>
  <c r="F82" i="62"/>
  <c r="I72" i="62"/>
  <c r="J72" i="62" s="1"/>
  <c r="H424" i="120"/>
  <c r="J424" i="120" s="1"/>
  <c r="I45" i="62"/>
  <c r="H428" i="12" s="1"/>
  <c r="F70" i="62"/>
  <c r="F50" i="62"/>
  <c r="F52" i="62"/>
  <c r="I74" i="62"/>
  <c r="H446" i="12" s="1"/>
  <c r="F84" i="62"/>
  <c r="I84" i="62" s="1"/>
  <c r="G52" i="62"/>
  <c r="I73" i="62"/>
  <c r="J73" i="62" s="1"/>
  <c r="F83" i="62"/>
  <c r="J64" i="62"/>
  <c r="H437" i="120"/>
  <c r="J437" i="120" s="1"/>
  <c r="H427" i="12"/>
  <c r="J43" i="62"/>
  <c r="I66" i="62"/>
  <c r="J66" i="62" s="1"/>
  <c r="F68" i="62"/>
  <c r="K141" i="47"/>
  <c r="K19" i="47"/>
  <c r="K123" i="47"/>
  <c r="K137" i="47"/>
  <c r="L100" i="63"/>
  <c r="K54" i="47"/>
  <c r="L58" i="63"/>
  <c r="K103" i="63"/>
  <c r="H608" i="12" s="1"/>
  <c r="K102" i="63"/>
  <c r="H606" i="12" s="1"/>
  <c r="Y35" i="56"/>
  <c r="Z35" i="56" s="1"/>
  <c r="Y113" i="56"/>
  <c r="H639" i="12" s="1"/>
  <c r="AA100" i="37"/>
  <c r="AA112" i="37"/>
  <c r="AC45" i="75"/>
  <c r="Y69" i="56"/>
  <c r="Z69" i="56" s="1"/>
  <c r="Z92" i="37"/>
  <c r="AA92" i="37" s="1"/>
  <c r="H733" i="120"/>
  <c r="J733" i="120" s="1"/>
  <c r="AA235" i="54"/>
  <c r="Z120" i="37"/>
  <c r="H703" i="12" s="1"/>
  <c r="Z87" i="37"/>
  <c r="AA87" i="37" s="1"/>
  <c r="Z119" i="37"/>
  <c r="H953" i="120"/>
  <c r="J953" i="120" s="1"/>
  <c r="J953" i="12"/>
  <c r="BB191" i="58"/>
  <c r="BD32" i="60"/>
  <c r="J36" i="132"/>
  <c r="H407" i="12" s="1"/>
  <c r="H335" i="12"/>
  <c r="K38" i="132"/>
  <c r="H338" i="12"/>
  <c r="E18" i="55"/>
  <c r="E20" i="55"/>
  <c r="E21" i="55"/>
  <c r="Y34" i="56"/>
  <c r="Z34" i="56" s="1"/>
  <c r="Y102" i="56"/>
  <c r="H627" i="12" s="1"/>
  <c r="Y49" i="56"/>
  <c r="Z49" i="56" s="1"/>
  <c r="J68" i="120"/>
  <c r="BB40" i="58"/>
  <c r="BB218" i="58"/>
  <c r="BB208" i="58" s="1"/>
  <c r="AY218" i="58"/>
  <c r="AY208" i="58" s="1"/>
  <c r="O763" i="120"/>
  <c r="J863" i="120"/>
  <c r="H960" i="120"/>
  <c r="J960" i="120" s="1"/>
  <c r="H401" i="120"/>
  <c r="J401" i="120" s="1"/>
  <c r="J400" i="120" s="1"/>
  <c r="H351" i="120"/>
  <c r="J351" i="120" s="1"/>
  <c r="J589" i="120"/>
  <c r="O652" i="120"/>
  <c r="J726" i="120"/>
  <c r="H337" i="12"/>
  <c r="J837" i="120"/>
  <c r="J266" i="120"/>
  <c r="J246" i="120"/>
  <c r="O71" i="120"/>
  <c r="F8" i="60"/>
  <c r="K108" i="132"/>
  <c r="M409" i="12"/>
  <c r="H409" i="120"/>
  <c r="J105" i="132"/>
  <c r="H403" i="12" s="1"/>
  <c r="J143" i="47"/>
  <c r="H570" i="12" s="1"/>
  <c r="F155" i="47"/>
  <c r="Y92" i="56"/>
  <c r="Z92" i="56" s="1"/>
  <c r="Y91" i="56"/>
  <c r="Z91" i="56" s="1"/>
  <c r="H757" i="120"/>
  <c r="J757" i="120" s="1"/>
  <c r="H915" i="120"/>
  <c r="J915" i="120" s="1"/>
  <c r="AA291" i="133"/>
  <c r="K76" i="83"/>
  <c r="J77" i="83"/>
  <c r="H848" i="12" s="1"/>
  <c r="K111" i="83"/>
  <c r="H865" i="120"/>
  <c r="M865" i="12"/>
  <c r="K114" i="83"/>
  <c r="J52" i="83"/>
  <c r="H840" i="12" s="1"/>
  <c r="J56" i="83"/>
  <c r="K56" i="83" s="1"/>
  <c r="J117" i="83"/>
  <c r="H881" i="12" s="1"/>
  <c r="H862" i="12"/>
  <c r="K120" i="83"/>
  <c r="K9" i="83"/>
  <c r="O841" i="120"/>
  <c r="H893" i="120"/>
  <c r="J893" i="120" s="1"/>
  <c r="J892" i="120" s="1"/>
  <c r="AA143" i="54"/>
  <c r="N15" i="118"/>
  <c r="M792" i="12"/>
  <c r="H792" i="120"/>
  <c r="AA233" i="54"/>
  <c r="AA238" i="54"/>
  <c r="Z247" i="54"/>
  <c r="AA247" i="54" s="1"/>
  <c r="H2" i="55"/>
  <c r="AA3" i="54"/>
  <c r="Z182" i="54"/>
  <c r="AA182" i="54" s="1"/>
  <c r="H67" i="120"/>
  <c r="Z244" i="54"/>
  <c r="AA244" i="54" s="1"/>
  <c r="Z232" i="54"/>
  <c r="H756" i="12" s="1"/>
  <c r="H780" i="120"/>
  <c r="J780" i="120" s="1"/>
  <c r="H781" i="12"/>
  <c r="Z156" i="54"/>
  <c r="H760" i="12" s="1"/>
  <c r="AA234" i="54"/>
  <c r="H783" i="120"/>
  <c r="J783" i="120" s="1"/>
  <c r="Z159" i="54"/>
  <c r="AA159" i="54" s="1"/>
  <c r="AA230" i="54"/>
  <c r="AA5" i="54"/>
  <c r="H753" i="120"/>
  <c r="J753" i="120" s="1"/>
  <c r="Z237" i="54"/>
  <c r="H786" i="12" s="1"/>
  <c r="AA168" i="54"/>
  <c r="AC33" i="75"/>
  <c r="AC37" i="75"/>
  <c r="H738" i="12"/>
  <c r="H736" i="12"/>
  <c r="H739" i="120"/>
  <c r="J739" i="120" s="1"/>
  <c r="H727" i="120"/>
  <c r="J727" i="120" s="1"/>
  <c r="BN10" i="60"/>
  <c r="AY191" i="58"/>
  <c r="AA115" i="37"/>
  <c r="Z116" i="37"/>
  <c r="AA107" i="37"/>
  <c r="AA53" i="37"/>
  <c r="AA111" i="37"/>
  <c r="Z85" i="37"/>
  <c r="AA85" i="37" s="1"/>
  <c r="AA99" i="37"/>
  <c r="AA82" i="37"/>
  <c r="H701" i="120"/>
  <c r="M701" i="12"/>
  <c r="Z102" i="37"/>
  <c r="H695" i="12" s="1"/>
  <c r="H717" i="120"/>
  <c r="J717" i="120" s="1"/>
  <c r="J716" i="120" s="1"/>
  <c r="Z117" i="37"/>
  <c r="AA117" i="37" s="1"/>
  <c r="H689" i="120"/>
  <c r="M689" i="12"/>
  <c r="Z109" i="37"/>
  <c r="H691" i="12" s="1"/>
  <c r="Z28" i="56"/>
  <c r="H625" i="12"/>
  <c r="H625" i="120" s="1"/>
  <c r="J625" i="120" s="1"/>
  <c r="Z10" i="56"/>
  <c r="I70" i="118"/>
  <c r="Y93" i="56"/>
  <c r="Z93" i="56" s="1"/>
  <c r="H728" i="120"/>
  <c r="J728" i="120" s="1"/>
  <c r="H699" i="120"/>
  <c r="M699" i="12"/>
  <c r="Y109" i="56"/>
  <c r="Z112" i="56"/>
  <c r="J653" i="120"/>
  <c r="H654" i="120"/>
  <c r="O654" i="12"/>
  <c r="AB20" i="75"/>
  <c r="H731" i="12" s="1"/>
  <c r="Y111" i="56"/>
  <c r="H637" i="12" s="1"/>
  <c r="AB63" i="75"/>
  <c r="AC63" i="75" s="1"/>
  <c r="Z58" i="37"/>
  <c r="AA58" i="37" s="1"/>
  <c r="H568" i="120"/>
  <c r="J568" i="120" s="1"/>
  <c r="J567" i="120" s="1"/>
  <c r="K52" i="63"/>
  <c r="H587" i="12" s="1"/>
  <c r="G53" i="63"/>
  <c r="H511" i="120"/>
  <c r="J511" i="120" s="1"/>
  <c r="H509" i="120"/>
  <c r="J509" i="120" s="1"/>
  <c r="K32" i="47"/>
  <c r="L114" i="63"/>
  <c r="K109" i="63"/>
  <c r="H620" i="12" s="1"/>
  <c r="G129" i="63"/>
  <c r="L82" i="63"/>
  <c r="K62" i="63"/>
  <c r="L62" i="63" s="1"/>
  <c r="G99" i="63"/>
  <c r="L80" i="63"/>
  <c r="K76" i="63"/>
  <c r="H10" i="118" s="1"/>
  <c r="G95" i="63"/>
  <c r="F144" i="47"/>
  <c r="J125" i="47"/>
  <c r="H544" i="12" s="1"/>
  <c r="H542" i="120"/>
  <c r="J542" i="120" s="1"/>
  <c r="K64" i="63"/>
  <c r="G104" i="63"/>
  <c r="H556" i="120"/>
  <c r="M556" i="12"/>
  <c r="H546" i="120"/>
  <c r="M546" i="12"/>
  <c r="H518" i="120"/>
  <c r="J518" i="120" s="1"/>
  <c r="G110" i="63"/>
  <c r="K66" i="63"/>
  <c r="F108" i="47"/>
  <c r="F114" i="47"/>
  <c r="J109" i="47"/>
  <c r="H534" i="12" s="1"/>
  <c r="F113" i="47"/>
  <c r="F112" i="47"/>
  <c r="K134" i="47"/>
  <c r="K126" i="47"/>
  <c r="J122" i="47"/>
  <c r="K122" i="47" s="1"/>
  <c r="G133" i="63"/>
  <c r="K113" i="63"/>
  <c r="H614" i="12" s="1"/>
  <c r="H508" i="120"/>
  <c r="J508" i="120" s="1"/>
  <c r="F98" i="47"/>
  <c r="J97" i="47"/>
  <c r="H532" i="12" s="1"/>
  <c r="H564" i="120"/>
  <c r="M564" i="12"/>
  <c r="H552" i="120"/>
  <c r="J552" i="120" s="1"/>
  <c r="J551" i="120" s="1"/>
  <c r="H554" i="120"/>
  <c r="M554" i="12"/>
  <c r="L106" i="63"/>
  <c r="H578" i="120"/>
  <c r="J578" i="120" s="1"/>
  <c r="J577" i="120" s="1"/>
  <c r="M578" i="12"/>
  <c r="M578" i="120" s="1"/>
  <c r="G125" i="63"/>
  <c r="K105" i="63"/>
  <c r="H612" i="12" s="1"/>
  <c r="K132" i="47"/>
  <c r="H550" i="120"/>
  <c r="M550" i="12"/>
  <c r="J101" i="47"/>
  <c r="H533" i="12" s="1"/>
  <c r="F102" i="47"/>
  <c r="J127" i="47"/>
  <c r="F146" i="47"/>
  <c r="J40" i="47"/>
  <c r="K40" i="47" s="1"/>
  <c r="J36" i="47"/>
  <c r="H515" i="12" s="1"/>
  <c r="M600" i="12"/>
  <c r="H600" i="120"/>
  <c r="K130" i="47"/>
  <c r="L98" i="63"/>
  <c r="H562" i="120"/>
  <c r="M562" i="12"/>
  <c r="G116" i="63"/>
  <c r="K96" i="63"/>
  <c r="L96" i="63" s="1"/>
  <c r="J65" i="47"/>
  <c r="K65" i="47" s="1"/>
  <c r="F66" i="47"/>
  <c r="K128" i="47"/>
  <c r="BA61" i="61"/>
  <c r="H17" i="120"/>
  <c r="C26" i="134" s="1"/>
  <c r="F82" i="58"/>
  <c r="J73" i="120"/>
  <c r="BL32" i="60"/>
  <c r="BN172" i="58"/>
  <c r="H38" i="120"/>
  <c r="J38" i="120" s="1"/>
  <c r="BI40" i="58"/>
  <c r="AX29" i="60"/>
  <c r="AX32" i="60" s="1"/>
  <c r="BI32" i="60"/>
  <c r="AY220" i="58"/>
  <c r="AY210" i="58" s="1"/>
  <c r="AY217" i="58"/>
  <c r="AY207" i="58" s="1"/>
  <c r="AY40" i="58"/>
  <c r="AY32" i="60"/>
  <c r="BJ15" i="60"/>
  <c r="BJ32" i="60" s="1"/>
  <c r="BI220" i="58"/>
  <c r="BI210" i="58" s="1"/>
  <c r="BI217" i="58"/>
  <c r="BI207" i="58" s="1"/>
  <c r="BB32" i="60"/>
  <c r="AZ15" i="60"/>
  <c r="AZ32" i="60" s="1"/>
  <c r="BE32" i="60"/>
  <c r="J168" i="120"/>
  <c r="BB217" i="58"/>
  <c r="BB207" i="58" s="1"/>
  <c r="BB220" i="58"/>
  <c r="BB210" i="58" s="1"/>
  <c r="BD218" i="58"/>
  <c r="BD208" i="58" s="1"/>
  <c r="BD220" i="58"/>
  <c r="BD210" i="58" s="1"/>
  <c r="BD217" i="58"/>
  <c r="BD207" i="58" s="1"/>
  <c r="BC29" i="60"/>
  <c r="BC32" i="60" s="1"/>
  <c r="BH163" i="58"/>
  <c r="BH217" i="58" s="1"/>
  <c r="BH207" i="58" s="1"/>
  <c r="BK29" i="60"/>
  <c r="BK32" i="60" s="1"/>
  <c r="BN36" i="59"/>
  <c r="H208" i="12"/>
  <c r="H217" i="120"/>
  <c r="BB5" i="58"/>
  <c r="BB12" i="58" s="1"/>
  <c r="J296" i="120"/>
  <c r="BG217" i="58"/>
  <c r="BG207" i="58" s="1"/>
  <c r="BG220" i="58"/>
  <c r="BG210" i="58" s="1"/>
  <c r="BG218" i="58"/>
  <c r="BG208" i="58" s="1"/>
  <c r="BG40" i="58"/>
  <c r="BF9" i="58"/>
  <c r="BF10" i="58" s="1"/>
  <c r="BF11" i="58" s="1"/>
  <c r="BE9" i="58"/>
  <c r="BE10" i="58" s="1"/>
  <c r="BE11" i="58" s="1"/>
  <c r="BF22" i="60"/>
  <c r="BF32" i="60" s="1"/>
  <c r="BN11" i="60"/>
  <c r="BC191" i="58"/>
  <c r="BC221" i="58"/>
  <c r="BC211" i="58" s="1"/>
  <c r="BI9" i="58"/>
  <c r="BI10" i="58" s="1"/>
  <c r="BI11" i="58" s="1"/>
  <c r="J306" i="120"/>
  <c r="BN12" i="60"/>
  <c r="BN132" i="59"/>
  <c r="BD221" i="58"/>
  <c r="BD211" i="58" s="1"/>
  <c r="BD191" i="58"/>
  <c r="BN17" i="60"/>
  <c r="BF218" i="58"/>
  <c r="BF208" i="58" s="1"/>
  <c r="BF217" i="58"/>
  <c r="BF207" i="58" s="1"/>
  <c r="BF220" i="58"/>
  <c r="BF210" i="58" s="1"/>
  <c r="BF40" i="58"/>
  <c r="BA9" i="58"/>
  <c r="BA10" i="58" s="1"/>
  <c r="BA11" i="58" s="1"/>
  <c r="BN18" i="60"/>
  <c r="BA15" i="60"/>
  <c r="BM197" i="58"/>
  <c r="BN197" i="58" s="1"/>
  <c r="BI191" i="58"/>
  <c r="BI221" i="58"/>
  <c r="BI211" i="58" s="1"/>
  <c r="J312" i="120"/>
  <c r="J143" i="120"/>
  <c r="BN133" i="59"/>
  <c r="BH9" i="58"/>
  <c r="BH10" i="58" s="1"/>
  <c r="BH11" i="58" s="1"/>
  <c r="H184" i="12"/>
  <c r="H184" i="120" s="1"/>
  <c r="H196" i="12"/>
  <c r="AY9" i="58"/>
  <c r="AY10" i="58" s="1"/>
  <c r="AY11" i="58" s="1"/>
  <c r="BD9" i="58"/>
  <c r="BD10" i="58" s="1"/>
  <c r="BD11" i="58" s="1"/>
  <c r="BN184" i="58"/>
  <c r="BN188" i="58"/>
  <c r="BM185" i="58"/>
  <c r="BN185" i="58" s="1"/>
  <c r="BG9" i="58"/>
  <c r="BG10" i="58" s="1"/>
  <c r="BG11" i="58" s="1"/>
  <c r="BC9" i="58"/>
  <c r="BC10" i="58" s="1"/>
  <c r="BC11" i="58" s="1"/>
  <c r="BM175" i="58"/>
  <c r="BN175" i="58" s="1"/>
  <c r="J295" i="120"/>
  <c r="H61" i="78"/>
  <c r="H89" i="78"/>
  <c r="H74" i="78"/>
  <c r="H80" i="78"/>
  <c r="H88" i="78"/>
  <c r="H41" i="78"/>
  <c r="H69" i="78"/>
  <c r="H28" i="78"/>
  <c r="H25" i="78"/>
  <c r="H84" i="78"/>
  <c r="H54" i="78"/>
  <c r="H87" i="78"/>
  <c r="H63" i="78"/>
  <c r="H86" i="78"/>
  <c r="H78" i="78"/>
  <c r="H81" i="78"/>
  <c r="H51" i="78"/>
  <c r="H29" i="78"/>
  <c r="H33" i="78"/>
  <c r="H43" i="78"/>
  <c r="H53" i="78"/>
  <c r="H64" i="78"/>
  <c r="H60" i="78"/>
  <c r="H59" i="78"/>
  <c r="H82" i="78"/>
  <c r="H23" i="78"/>
  <c r="H85" i="78"/>
  <c r="H55" i="78"/>
  <c r="H75" i="78"/>
  <c r="H76" i="78"/>
  <c r="H17" i="78"/>
  <c r="H44" i="78"/>
  <c r="H62" i="78"/>
  <c r="H16" i="78"/>
  <c r="H27" i="78"/>
  <c r="H31" i="78"/>
  <c r="H37" i="78"/>
  <c r="H70" i="78"/>
  <c r="H30" i="78"/>
  <c r="H46" i="78"/>
  <c r="H35" i="78"/>
  <c r="H26" i="78"/>
  <c r="H36" i="78"/>
  <c r="H15" i="78"/>
  <c r="H68" i="78"/>
  <c r="H48" i="78"/>
  <c r="H22" i="78"/>
  <c r="H34" i="78"/>
  <c r="H38" i="78"/>
  <c r="H56" i="78"/>
  <c r="H19" i="78"/>
  <c r="H66" i="78"/>
  <c r="H32" i="78"/>
  <c r="H50" i="78"/>
  <c r="H45" i="78"/>
  <c r="H52" i="78"/>
  <c r="H57" i="78"/>
  <c r="H72" i="78"/>
  <c r="H73" i="78"/>
  <c r="H77" i="78"/>
  <c r="H67" i="78"/>
  <c r="H20" i="78"/>
  <c r="H49" i="78"/>
  <c r="H83" i="78"/>
  <c r="H71" i="78"/>
  <c r="H65" i="78"/>
  <c r="H14" i="78"/>
  <c r="I14" i="78" s="1"/>
  <c r="H24" i="78"/>
  <c r="H79" i="78"/>
  <c r="H39" i="78"/>
  <c r="H47" i="78"/>
  <c r="H18" i="78"/>
  <c r="H42" i="78"/>
  <c r="H58" i="78"/>
  <c r="H40" i="78"/>
  <c r="H21" i="78"/>
  <c r="B411" i="120"/>
  <c r="B405" i="120"/>
  <c r="M827" i="120"/>
  <c r="B827" i="12"/>
  <c r="BM202" i="58"/>
  <c r="H173" i="12" s="1"/>
  <c r="BN59" i="58"/>
  <c r="A37" i="120"/>
  <c r="A38" i="12"/>
  <c r="H125" i="120"/>
  <c r="M96" i="120"/>
  <c r="B96" i="12"/>
  <c r="G405" i="120" l="1"/>
  <c r="I405" i="120" s="1"/>
  <c r="J405" i="120" s="1"/>
  <c r="J404" i="120" s="1"/>
  <c r="F405" i="120"/>
  <c r="D405" i="120"/>
  <c r="C405" i="120"/>
  <c r="G815" i="120"/>
  <c r="I815" i="120" s="1"/>
  <c r="J815" i="120" s="1"/>
  <c r="J814" i="120" s="1"/>
  <c r="F815" i="120"/>
  <c r="D815" i="120"/>
  <c r="C815" i="120"/>
  <c r="G60" i="120"/>
  <c r="F60" i="120"/>
  <c r="D60" i="120"/>
  <c r="C60" i="120"/>
  <c r="G825" i="120"/>
  <c r="I825" i="120" s="1"/>
  <c r="J825" i="120" s="1"/>
  <c r="F825" i="120"/>
  <c r="D825" i="120"/>
  <c r="C825" i="120"/>
  <c r="D827" i="12"/>
  <c r="C827" i="12"/>
  <c r="G411" i="120"/>
  <c r="I411" i="120" s="1"/>
  <c r="J411" i="120" s="1"/>
  <c r="J410" i="120" s="1"/>
  <c r="F411" i="120"/>
  <c r="D411" i="120"/>
  <c r="C411" i="120"/>
  <c r="D558" i="12"/>
  <c r="C558" i="12"/>
  <c r="D616" i="12"/>
  <c r="D825" i="12"/>
  <c r="C825" i="12"/>
  <c r="G548" i="120"/>
  <c r="I548" i="120" s="1"/>
  <c r="F548" i="120"/>
  <c r="D548" i="120"/>
  <c r="C548" i="120"/>
  <c r="D96" i="12"/>
  <c r="C96" i="12"/>
  <c r="G790" i="120"/>
  <c r="I790" i="120" s="1"/>
  <c r="F790" i="120"/>
  <c r="D790" i="120"/>
  <c r="C790" i="120"/>
  <c r="H95" i="37"/>
  <c r="H110" i="37"/>
  <c r="H131" i="37" s="1"/>
  <c r="H60" i="37"/>
  <c r="H61" i="37"/>
  <c r="H62" i="37"/>
  <c r="H105" i="37" s="1"/>
  <c r="H59" i="37"/>
  <c r="H97" i="37" s="1"/>
  <c r="H121" i="37" s="1"/>
  <c r="H56" i="37"/>
  <c r="H63" i="37"/>
  <c r="J659" i="120"/>
  <c r="I60" i="120"/>
  <c r="J60" i="120" s="1"/>
  <c r="J59" i="120" s="1"/>
  <c r="C24" i="77"/>
  <c r="C28" i="77" s="1"/>
  <c r="I11" i="77" s="1"/>
  <c r="AZ150" i="58"/>
  <c r="AZ130" i="58"/>
  <c r="AX130" i="58"/>
  <c r="AX150" i="58"/>
  <c r="AX149" i="58"/>
  <c r="I42" i="155"/>
  <c r="I43" i="155"/>
  <c r="K43" i="155"/>
  <c r="K42" i="155"/>
  <c r="F43" i="155"/>
  <c r="F42" i="155"/>
  <c r="C42" i="155"/>
  <c r="C43" i="155"/>
  <c r="D43" i="155"/>
  <c r="D42" i="155"/>
  <c r="L42" i="155"/>
  <c r="L43" i="155"/>
  <c r="J43" i="155"/>
  <c r="J42" i="155"/>
  <c r="H42" i="155"/>
  <c r="H43" i="155"/>
  <c r="G43" i="155"/>
  <c r="G42" i="155"/>
  <c r="E42" i="155"/>
  <c r="E43" i="155"/>
  <c r="I26" i="155"/>
  <c r="D31" i="122"/>
  <c r="M616" i="120"/>
  <c r="B604" i="12"/>
  <c r="J45" i="62"/>
  <c r="J116" i="62"/>
  <c r="J655" i="120"/>
  <c r="O797" i="120"/>
  <c r="J797" i="120"/>
  <c r="K143" i="47"/>
  <c r="J800" i="120"/>
  <c r="O800" i="120"/>
  <c r="H604" i="120"/>
  <c r="F18" i="87"/>
  <c r="F47" i="87"/>
  <c r="I17" i="87"/>
  <c r="J17" i="87"/>
  <c r="F19" i="87"/>
  <c r="F54" i="87"/>
  <c r="I25" i="87"/>
  <c r="J25" i="87"/>
  <c r="J26" i="87" s="1"/>
  <c r="I35" i="87"/>
  <c r="J35" i="87" s="1"/>
  <c r="O801" i="12"/>
  <c r="H801" i="120"/>
  <c r="H803" i="120"/>
  <c r="O803" i="12"/>
  <c r="J24" i="87"/>
  <c r="J34" i="87"/>
  <c r="U62" i="49"/>
  <c r="U64" i="49" s="1"/>
  <c r="F48" i="87"/>
  <c r="I36" i="87"/>
  <c r="H812" i="12" s="1"/>
  <c r="H821" i="120"/>
  <c r="J821" i="120" s="1"/>
  <c r="J820" i="120" s="1"/>
  <c r="H809" i="120"/>
  <c r="J809" i="120" s="1"/>
  <c r="H804" i="12"/>
  <c r="J74" i="62"/>
  <c r="H802" i="120"/>
  <c r="J802" i="120" s="1"/>
  <c r="J29" i="87"/>
  <c r="K127" i="47"/>
  <c r="H548" i="12"/>
  <c r="L62" i="49"/>
  <c r="L64" i="49" s="1"/>
  <c r="F58" i="87"/>
  <c r="I30" i="87"/>
  <c r="J30" i="87" s="1"/>
  <c r="J663" i="120"/>
  <c r="B558" i="120"/>
  <c r="C27" i="77"/>
  <c r="H788" i="120"/>
  <c r="AB58" i="75"/>
  <c r="AC58" i="75" s="1"/>
  <c r="F69" i="59"/>
  <c r="F72" i="59"/>
  <c r="F71" i="59"/>
  <c r="F5" i="58"/>
  <c r="F12" i="58" s="1"/>
  <c r="H30" i="120"/>
  <c r="J896" i="120"/>
  <c r="J895" i="120" s="1"/>
  <c r="H98" i="12"/>
  <c r="H98" i="120" s="1"/>
  <c r="J98" i="120" s="1"/>
  <c r="J97" i="120" s="1"/>
  <c r="H90" i="12"/>
  <c r="H90" i="120" s="1"/>
  <c r="J90" i="120" s="1"/>
  <c r="O651" i="120"/>
  <c r="Z98" i="37"/>
  <c r="H715" i="12" s="1"/>
  <c r="B62" i="120"/>
  <c r="AB59" i="75"/>
  <c r="AC59" i="75" s="1"/>
  <c r="M711" i="12"/>
  <c r="M711" i="120" s="1"/>
  <c r="H713" i="12"/>
  <c r="AB57" i="75"/>
  <c r="AC57" i="75" s="1"/>
  <c r="H705" i="12"/>
  <c r="H709" i="120"/>
  <c r="J709" i="120" s="1"/>
  <c r="J708" i="120" s="1"/>
  <c r="M709" i="12"/>
  <c r="M709" i="120" s="1"/>
  <c r="M788" i="120"/>
  <c r="B788" i="12"/>
  <c r="H15" i="121"/>
  <c r="H15" i="74"/>
  <c r="H12" i="121"/>
  <c r="H14" i="121"/>
  <c r="H14" i="74"/>
  <c r="G11" i="121"/>
  <c r="H11" i="121" s="1"/>
  <c r="H64" i="121"/>
  <c r="H300" i="120"/>
  <c r="J300" i="120" s="1"/>
  <c r="H18" i="12"/>
  <c r="BH40" i="58"/>
  <c r="BH220" i="58"/>
  <c r="BH210" i="58" s="1"/>
  <c r="J960" i="12"/>
  <c r="H428" i="120"/>
  <c r="J428" i="120" s="1"/>
  <c r="F78" i="62"/>
  <c r="I78" i="62" s="1"/>
  <c r="I68" i="62"/>
  <c r="H440" i="12" s="1"/>
  <c r="J68" i="62"/>
  <c r="I82" i="62"/>
  <c r="J82" i="62" s="1"/>
  <c r="H427" i="120"/>
  <c r="J427" i="120" s="1"/>
  <c r="N21" i="12"/>
  <c r="C39" i="39"/>
  <c r="J423" i="120"/>
  <c r="O423" i="120"/>
  <c r="I83" i="62"/>
  <c r="J83" i="62" s="1"/>
  <c r="M446" i="12"/>
  <c r="H446" i="120"/>
  <c r="I67" i="62"/>
  <c r="J67" i="62" s="1"/>
  <c r="F69" i="62"/>
  <c r="F80" i="62"/>
  <c r="I80" i="62" s="1"/>
  <c r="I70" i="62"/>
  <c r="H444" i="12" s="1"/>
  <c r="I52" i="62"/>
  <c r="H431" i="12" s="1"/>
  <c r="I50" i="62"/>
  <c r="H430" i="12" s="1"/>
  <c r="K125" i="47"/>
  <c r="L52" i="63"/>
  <c r="K97" i="47"/>
  <c r="K101" i="47"/>
  <c r="L102" i="63"/>
  <c r="L103" i="63"/>
  <c r="Y108" i="56"/>
  <c r="H633" i="12" s="1"/>
  <c r="AA120" i="37"/>
  <c r="AA109" i="37"/>
  <c r="AA119" i="37"/>
  <c r="H338" i="120"/>
  <c r="J338" i="120" s="1"/>
  <c r="H335" i="120"/>
  <c r="J335" i="120" s="1"/>
  <c r="E407" i="120"/>
  <c r="K36" i="132"/>
  <c r="H629" i="12"/>
  <c r="H629" i="120" s="1"/>
  <c r="J629" i="120" s="1"/>
  <c r="H337" i="120"/>
  <c r="J337" i="120" s="1"/>
  <c r="H196" i="120"/>
  <c r="O196" i="120" s="1"/>
  <c r="O196" i="12"/>
  <c r="K105" i="132"/>
  <c r="H403" i="120"/>
  <c r="J403" i="120" s="1"/>
  <c r="J402" i="120" s="1"/>
  <c r="B409" i="12"/>
  <c r="M409" i="120"/>
  <c r="H570" i="120"/>
  <c r="M570" i="12"/>
  <c r="H848" i="120"/>
  <c r="J848" i="120" s="1"/>
  <c r="M865" i="120"/>
  <c r="B865" i="12"/>
  <c r="K77" i="83"/>
  <c r="J84" i="83"/>
  <c r="K84" i="83" s="1"/>
  <c r="J78" i="83"/>
  <c r="K78" i="83" s="1"/>
  <c r="H862" i="120"/>
  <c r="J862" i="120" s="1"/>
  <c r="M881" i="12"/>
  <c r="H881" i="120"/>
  <c r="K117" i="83"/>
  <c r="K52" i="83"/>
  <c r="H840" i="120"/>
  <c r="O840" i="12"/>
  <c r="J69" i="83"/>
  <c r="H843" i="12" s="1"/>
  <c r="J57" i="83"/>
  <c r="K57" i="83" s="1"/>
  <c r="M792" i="120"/>
  <c r="B792" i="12"/>
  <c r="AA161" i="54"/>
  <c r="Z153" i="54"/>
  <c r="AA153" i="54" s="1"/>
  <c r="AA156" i="54"/>
  <c r="H760" i="120"/>
  <c r="H781" i="120"/>
  <c r="J781" i="120" s="1"/>
  <c r="H18" i="55"/>
  <c r="H21" i="55"/>
  <c r="Z239" i="54"/>
  <c r="H794" i="12" s="1"/>
  <c r="H952" i="120"/>
  <c r="J952" i="120" s="1"/>
  <c r="J928" i="120" s="1"/>
  <c r="J952" i="12"/>
  <c r="AA237" i="54"/>
  <c r="H756" i="120"/>
  <c r="J756" i="120" s="1"/>
  <c r="AA232" i="54"/>
  <c r="Z183" i="54"/>
  <c r="AA183" i="54" s="1"/>
  <c r="O67" i="120"/>
  <c r="J67" i="120"/>
  <c r="AC20" i="75"/>
  <c r="H736" i="120"/>
  <c r="J736" i="120" s="1"/>
  <c r="H738" i="120"/>
  <c r="J738" i="120" s="1"/>
  <c r="BH218" i="58"/>
  <c r="BH208" i="58" s="1"/>
  <c r="Z108" i="37"/>
  <c r="H693" i="12" s="1"/>
  <c r="AA102" i="37"/>
  <c r="Z101" i="37"/>
  <c r="H697" i="12" s="1"/>
  <c r="Z102" i="56"/>
  <c r="AA116" i="37"/>
  <c r="B689" i="12"/>
  <c r="M689" i="120"/>
  <c r="H691" i="120"/>
  <c r="M691" i="12"/>
  <c r="H695" i="120"/>
  <c r="M695" i="12"/>
  <c r="M701" i="120"/>
  <c r="B701" i="12"/>
  <c r="Z113" i="56"/>
  <c r="J654" i="120"/>
  <c r="O654" i="120"/>
  <c r="M699" i="120"/>
  <c r="B699" i="12"/>
  <c r="Z109" i="56"/>
  <c r="H731" i="120"/>
  <c r="J731" i="120" s="1"/>
  <c r="Z57" i="37"/>
  <c r="Y106" i="56"/>
  <c r="H627" i="120"/>
  <c r="J627" i="120" s="1"/>
  <c r="H639" i="120"/>
  <c r="M639" i="12"/>
  <c r="L109" i="63"/>
  <c r="L113" i="63"/>
  <c r="G124" i="63"/>
  <c r="K104" i="63"/>
  <c r="H610" i="12" s="1"/>
  <c r="J102" i="47"/>
  <c r="K102" i="47" s="1"/>
  <c r="F140" i="47"/>
  <c r="J112" i="47"/>
  <c r="K112" i="47" s="1"/>
  <c r="F129" i="47"/>
  <c r="H533" i="120"/>
  <c r="J533" i="120" s="1"/>
  <c r="B564" i="12"/>
  <c r="M564" i="120"/>
  <c r="J113" i="47"/>
  <c r="K113" i="47" s="1"/>
  <c r="F135" i="47"/>
  <c r="B562" i="12"/>
  <c r="M562" i="120"/>
  <c r="B550" i="12"/>
  <c r="M550" i="120"/>
  <c r="H534" i="120"/>
  <c r="J534" i="120" s="1"/>
  <c r="H620" i="120"/>
  <c r="J620" i="120" s="1"/>
  <c r="J619" i="120" s="1"/>
  <c r="M620" i="12"/>
  <c r="M620" i="120" s="1"/>
  <c r="J114" i="47"/>
  <c r="K114" i="47" s="1"/>
  <c r="F142" i="47"/>
  <c r="J108" i="47"/>
  <c r="K108" i="47" s="1"/>
  <c r="M544" i="12"/>
  <c r="H544" i="120"/>
  <c r="H612" i="120"/>
  <c r="M612" i="12"/>
  <c r="H22" i="12"/>
  <c r="H532" i="120"/>
  <c r="K109" i="47"/>
  <c r="F139" i="47"/>
  <c r="J98" i="47"/>
  <c r="K98" i="47" s="1"/>
  <c r="B600" i="12"/>
  <c r="M600" i="120"/>
  <c r="L105" i="63"/>
  <c r="G130" i="63"/>
  <c r="K110" i="63"/>
  <c r="H622" i="12" s="1"/>
  <c r="H515" i="120"/>
  <c r="J515" i="120" s="1"/>
  <c r="G94" i="63"/>
  <c r="G115" i="63"/>
  <c r="K95" i="63"/>
  <c r="L95" i="63" s="1"/>
  <c r="K36" i="47"/>
  <c r="H51" i="118"/>
  <c r="H52" i="118" s="1"/>
  <c r="H69" i="118" s="1"/>
  <c r="H614" i="120"/>
  <c r="M614" i="12"/>
  <c r="L76" i="63"/>
  <c r="J66" i="47"/>
  <c r="J67" i="47" s="1"/>
  <c r="F67" i="47"/>
  <c r="M546" i="120"/>
  <c r="B546" i="12"/>
  <c r="G107" i="63"/>
  <c r="K53" i="63"/>
  <c r="L53" i="63" s="1"/>
  <c r="M554" i="120"/>
  <c r="B554" i="12"/>
  <c r="H540" i="12"/>
  <c r="H541" i="12"/>
  <c r="K99" i="63"/>
  <c r="H602" i="12" s="1"/>
  <c r="G119" i="63"/>
  <c r="H23" i="12"/>
  <c r="H587" i="120"/>
  <c r="M556" i="120"/>
  <c r="B556" i="12"/>
  <c r="H514" i="12"/>
  <c r="BM196" i="58"/>
  <c r="BN196" i="58" s="1"/>
  <c r="BM174" i="58"/>
  <c r="BN174" i="58" s="1"/>
  <c r="BM22" i="60"/>
  <c r="BN22" i="60" s="1"/>
  <c r="O217" i="120"/>
  <c r="J217" i="120"/>
  <c r="BB11" i="58"/>
  <c r="H208" i="120"/>
  <c r="J208" i="120" s="1"/>
  <c r="AY113" i="58"/>
  <c r="AY88" i="58"/>
  <c r="AY87" i="58" s="1"/>
  <c r="AY13" i="58"/>
  <c r="AY20" i="58" s="1"/>
  <c r="AY31" i="58"/>
  <c r="AY17" i="58"/>
  <c r="AY18" i="58" s="1"/>
  <c r="AY24" i="58" s="1"/>
  <c r="BF113" i="58"/>
  <c r="BF88" i="58"/>
  <c r="BF87" i="58" s="1"/>
  <c r="BF13" i="58"/>
  <c r="BF20" i="58" s="1"/>
  <c r="BF31" i="58"/>
  <c r="BF17" i="58"/>
  <c r="BF18" i="58" s="1"/>
  <c r="BF24" i="58" s="1"/>
  <c r="BI13" i="58"/>
  <c r="BI20" i="58" s="1"/>
  <c r="BI31" i="58"/>
  <c r="BI17" i="58"/>
  <c r="BI18" i="58" s="1"/>
  <c r="BI24" i="58" s="1"/>
  <c r="BI113" i="58"/>
  <c r="BG31" i="58"/>
  <c r="BG17" i="58"/>
  <c r="BG18" i="58" s="1"/>
  <c r="BG24" i="58" s="1"/>
  <c r="BG113" i="58"/>
  <c r="BG88" i="58"/>
  <c r="BG87" i="58" s="1"/>
  <c r="BG13" i="58"/>
  <c r="BG20" i="58" s="1"/>
  <c r="BD113" i="58"/>
  <c r="BD31" i="58"/>
  <c r="BD88" i="58"/>
  <c r="BD87" i="58" s="1"/>
  <c r="BD13" i="58"/>
  <c r="BD20" i="58" s="1"/>
  <c r="BD17" i="58"/>
  <c r="BD18" i="58" s="1"/>
  <c r="BD24" i="58" s="1"/>
  <c r="BA9" i="61"/>
  <c r="BA32" i="60"/>
  <c r="BM15" i="60"/>
  <c r="BN15" i="60" s="1"/>
  <c r="BM21" i="60"/>
  <c r="BN21" i="60" s="1"/>
  <c r="J299" i="120"/>
  <c r="BM14" i="60"/>
  <c r="BN14" i="60" s="1"/>
  <c r="BE13" i="58"/>
  <c r="BE20" i="58" s="1"/>
  <c r="BE31" i="58"/>
  <c r="BE17" i="58"/>
  <c r="BE18" i="58" s="1"/>
  <c r="BE24" i="58" s="1"/>
  <c r="BE113" i="58"/>
  <c r="BE88" i="58"/>
  <c r="BE87" i="58" s="1"/>
  <c r="BA6" i="61"/>
  <c r="BC31" i="58"/>
  <c r="BC13" i="58"/>
  <c r="BC20" i="58" s="1"/>
  <c r="BC113" i="58"/>
  <c r="BC17" i="58"/>
  <c r="BC18" i="58" s="1"/>
  <c r="BC24" i="58" s="1"/>
  <c r="BA88" i="58"/>
  <c r="BA87" i="58" s="1"/>
  <c r="BA13" i="58"/>
  <c r="BA20" i="58" s="1"/>
  <c r="BA31" i="58"/>
  <c r="BA113" i="58"/>
  <c r="BA17" i="58"/>
  <c r="BA18" i="58" s="1"/>
  <c r="BA24" i="58" s="1"/>
  <c r="J184" i="120"/>
  <c r="BH31" i="58"/>
  <c r="BH113" i="58"/>
  <c r="BH13" i="58"/>
  <c r="BH20" i="58" s="1"/>
  <c r="BH17" i="58"/>
  <c r="BH18" i="58" s="1"/>
  <c r="BH24" i="58" s="1"/>
  <c r="J14" i="78"/>
  <c r="I15" i="78"/>
  <c r="B827" i="120"/>
  <c r="B616" i="120"/>
  <c r="B96" i="120"/>
  <c r="A39" i="12"/>
  <c r="A39" i="120" s="1"/>
  <c r="A38" i="120"/>
  <c r="E10" i="43"/>
  <c r="G8" i="58" s="1"/>
  <c r="H173" i="120"/>
  <c r="M173" i="12"/>
  <c r="B173" i="12" s="1"/>
  <c r="BN202" i="58"/>
  <c r="O125" i="120"/>
  <c r="J125" i="120"/>
  <c r="E65" i="43" a="1"/>
  <c r="E67" i="43" a="1"/>
  <c r="E68" i="43" a="1"/>
  <c r="D546" i="12" l="1"/>
  <c r="C546" i="12"/>
  <c r="D604" i="12"/>
  <c r="D550" i="12"/>
  <c r="C550" i="12"/>
  <c r="D701" i="12"/>
  <c r="C701" i="12"/>
  <c r="D699" i="12"/>
  <c r="C699" i="12"/>
  <c r="D600" i="12"/>
  <c r="D564" i="12"/>
  <c r="C564" i="12"/>
  <c r="D865" i="12"/>
  <c r="C865" i="12"/>
  <c r="G827" i="120"/>
  <c r="I827" i="120" s="1"/>
  <c r="J827" i="120" s="1"/>
  <c r="J826" i="120" s="1"/>
  <c r="F827" i="120"/>
  <c r="D827" i="120"/>
  <c r="C827" i="120"/>
  <c r="D554" i="12"/>
  <c r="C554" i="12"/>
  <c r="D689" i="12"/>
  <c r="C689" i="12"/>
  <c r="G558" i="120"/>
  <c r="I558" i="120" s="1"/>
  <c r="J558" i="120" s="1"/>
  <c r="J557" i="120" s="1"/>
  <c r="F558" i="120"/>
  <c r="D558" i="120"/>
  <c r="C558" i="120"/>
  <c r="C562" i="12"/>
  <c r="D562" i="12"/>
  <c r="D556" i="12"/>
  <c r="C556" i="12"/>
  <c r="G62" i="120"/>
  <c r="I62" i="120" s="1"/>
  <c r="J62" i="120" s="1"/>
  <c r="J61" i="120" s="1"/>
  <c r="F62" i="120"/>
  <c r="D62" i="120"/>
  <c r="C62" i="120"/>
  <c r="G616" i="120"/>
  <c r="I616" i="120" s="1"/>
  <c r="J616" i="120" s="1"/>
  <c r="J615" i="120" s="1"/>
  <c r="F616" i="120"/>
  <c r="D616" i="120"/>
  <c r="C616" i="120"/>
  <c r="D409" i="12"/>
  <c r="C409" i="12"/>
  <c r="D173" i="12"/>
  <c r="C173" i="12"/>
  <c r="D792" i="12"/>
  <c r="C792" i="12"/>
  <c r="D788" i="12"/>
  <c r="C788" i="12"/>
  <c r="G96" i="120"/>
  <c r="I96" i="120" s="1"/>
  <c r="J96" i="120" s="1"/>
  <c r="F96" i="120"/>
  <c r="D96" i="120"/>
  <c r="C96" i="120"/>
  <c r="H96" i="37"/>
  <c r="H106" i="37"/>
  <c r="H127" i="37"/>
  <c r="H126" i="37"/>
  <c r="H103" i="37"/>
  <c r="H128" i="37"/>
  <c r="H104" i="37"/>
  <c r="B604" i="120"/>
  <c r="H705" i="120"/>
  <c r="J26" i="155"/>
  <c r="K26" i="155" s="1"/>
  <c r="AZ131" i="58"/>
  <c r="AZ151" i="58"/>
  <c r="AX151" i="58"/>
  <c r="AX131" i="58"/>
  <c r="C47" i="155"/>
  <c r="B69" i="155"/>
  <c r="E69" i="155" s="1"/>
  <c r="G69" i="155" s="1"/>
  <c r="H69" i="155" s="1"/>
  <c r="E67" i="43"/>
  <c r="G72" i="59" s="1"/>
  <c r="E68" i="43"/>
  <c r="G73" i="59" s="1"/>
  <c r="E65" i="43"/>
  <c r="G69" i="59" s="1"/>
  <c r="I789" i="120"/>
  <c r="J790" i="120"/>
  <c r="J789" i="120" s="1"/>
  <c r="J36" i="87"/>
  <c r="J803" i="120"/>
  <c r="O803" i="120"/>
  <c r="I58" i="87"/>
  <c r="H829" i="12" s="1"/>
  <c r="J801" i="120"/>
  <c r="O801" i="120"/>
  <c r="I54" i="87"/>
  <c r="H831" i="12" s="1"/>
  <c r="I19" i="87"/>
  <c r="J19" i="87" s="1"/>
  <c r="H804" i="120"/>
  <c r="J804" i="120" s="1"/>
  <c r="H799" i="12"/>
  <c r="H798" i="12"/>
  <c r="I47" i="87"/>
  <c r="H817" i="12" s="1"/>
  <c r="J47" i="87"/>
  <c r="F50" i="87"/>
  <c r="I18" i="87"/>
  <c r="J18" i="87"/>
  <c r="H812" i="120"/>
  <c r="J812" i="120" s="1"/>
  <c r="I48" i="87"/>
  <c r="H819" i="12" s="1"/>
  <c r="F70" i="59"/>
  <c r="B788" i="120"/>
  <c r="C12" i="153"/>
  <c r="H17" i="121"/>
  <c r="H65" i="121" s="1"/>
  <c r="H66" i="121" s="1"/>
  <c r="H68" i="121" s="1"/>
  <c r="H69" i="121" s="1"/>
  <c r="G926" i="120" s="1"/>
  <c r="I926" i="120" s="1"/>
  <c r="J926" i="120" s="1"/>
  <c r="H715" i="120"/>
  <c r="J715" i="120" s="1"/>
  <c r="J714" i="120" s="1"/>
  <c r="AA98" i="37"/>
  <c r="F8" i="58"/>
  <c r="F9" i="58" s="1"/>
  <c r="F10" i="58" s="1"/>
  <c r="F11" i="58" s="1"/>
  <c r="F88" i="58" s="1"/>
  <c r="L912" i="120"/>
  <c r="L898" i="120"/>
  <c r="L923" i="120"/>
  <c r="L902" i="120"/>
  <c r="L895" i="120"/>
  <c r="L922" i="120"/>
  <c r="L915" i="120"/>
  <c r="L910" i="120"/>
  <c r="L906" i="120"/>
  <c r="L921" i="120"/>
  <c r="L896" i="120"/>
  <c r="L913" i="120"/>
  <c r="L918" i="120"/>
  <c r="L905" i="120"/>
  <c r="L914" i="120"/>
  <c r="L909" i="120"/>
  <c r="L907" i="120"/>
  <c r="L904" i="120"/>
  <c r="L901" i="120"/>
  <c r="J30" i="120"/>
  <c r="D78" i="134" s="1"/>
  <c r="M79" i="134" s="1"/>
  <c r="M80" i="134" s="1"/>
  <c r="L899" i="120"/>
  <c r="L908" i="120"/>
  <c r="L920" i="120"/>
  <c r="L916" i="120"/>
  <c r="L897" i="120"/>
  <c r="J924" i="120"/>
  <c r="L903" i="120"/>
  <c r="L911" i="120"/>
  <c r="L917" i="120"/>
  <c r="L900" i="120"/>
  <c r="L919" i="120"/>
  <c r="C19" i="77"/>
  <c r="D19" i="122"/>
  <c r="M705" i="12"/>
  <c r="M705" i="120" s="1"/>
  <c r="H18" i="120"/>
  <c r="C30" i="134" s="1"/>
  <c r="J294" i="120"/>
  <c r="AA57" i="37"/>
  <c r="H650" i="12"/>
  <c r="Z108" i="56"/>
  <c r="J928" i="12"/>
  <c r="L960" i="12" s="1"/>
  <c r="F5" i="59"/>
  <c r="M446" i="120"/>
  <c r="B446" i="12"/>
  <c r="N21" i="120"/>
  <c r="C39" i="134"/>
  <c r="H429" i="12"/>
  <c r="H430" i="120"/>
  <c r="J430" i="120" s="1"/>
  <c r="J50" i="62"/>
  <c r="M440" i="12"/>
  <c r="H440" i="120"/>
  <c r="F79" i="62"/>
  <c r="I69" i="62"/>
  <c r="H442" i="12" s="1"/>
  <c r="H431" i="120"/>
  <c r="J431" i="120" s="1"/>
  <c r="J52" i="62"/>
  <c r="H444" i="120"/>
  <c r="M444" i="12"/>
  <c r="J70" i="62"/>
  <c r="L104" i="63"/>
  <c r="M608" i="12"/>
  <c r="H608" i="120"/>
  <c r="H606" i="120"/>
  <c r="M606" i="12"/>
  <c r="Z103" i="56"/>
  <c r="AA108" i="37"/>
  <c r="AA101" i="37"/>
  <c r="H703" i="120"/>
  <c r="M703" i="12"/>
  <c r="AY97" i="58"/>
  <c r="AY98" i="58" s="1"/>
  <c r="BI97" i="58"/>
  <c r="BI104" i="58" s="1"/>
  <c r="BI109" i="58" s="1"/>
  <c r="BI110" i="58" s="1"/>
  <c r="BI112" i="58" s="1"/>
  <c r="BH97" i="58"/>
  <c r="BH99" i="58" s="1"/>
  <c r="BD97" i="58"/>
  <c r="BD98" i="58" s="1"/>
  <c r="BA97" i="58"/>
  <c r="BA98" i="58" s="1"/>
  <c r="BG97" i="58"/>
  <c r="BG98" i="58" s="1"/>
  <c r="H407" i="120"/>
  <c r="J407" i="120" s="1"/>
  <c r="J406" i="120" s="1"/>
  <c r="M407" i="12"/>
  <c r="M407" i="120" s="1"/>
  <c r="B409" i="120"/>
  <c r="B570" i="12"/>
  <c r="M570" i="120"/>
  <c r="J74" i="83"/>
  <c r="H861" i="12" s="1"/>
  <c r="J840" i="120"/>
  <c r="O840" i="120"/>
  <c r="J73" i="83"/>
  <c r="H860" i="12" s="1"/>
  <c r="J128" i="83"/>
  <c r="H887" i="12" s="1"/>
  <c r="B881" i="12"/>
  <c r="M881" i="120"/>
  <c r="J85" i="83"/>
  <c r="H850" i="12" s="1"/>
  <c r="J70" i="83"/>
  <c r="K70" i="83" s="1"/>
  <c r="B865" i="120"/>
  <c r="H843" i="120"/>
  <c r="O843" i="12"/>
  <c r="N29" i="12" s="1"/>
  <c r="C75" i="39" s="1"/>
  <c r="J71" i="83"/>
  <c r="K71" i="83" s="1"/>
  <c r="J72" i="83"/>
  <c r="H859" i="12" s="1"/>
  <c r="J966" i="120"/>
  <c r="L928" i="120"/>
  <c r="L957" i="120"/>
  <c r="L958" i="120"/>
  <c r="L952" i="120"/>
  <c r="L941" i="120"/>
  <c r="L960" i="120"/>
  <c r="L932" i="120"/>
  <c r="L943" i="120"/>
  <c r="L937" i="120"/>
  <c r="L933" i="120"/>
  <c r="B792" i="120"/>
  <c r="Z188" i="54"/>
  <c r="J10" i="118" s="1"/>
  <c r="L950" i="120"/>
  <c r="L955" i="120"/>
  <c r="Z155" i="54"/>
  <c r="H761" i="12" s="1"/>
  <c r="L945" i="120"/>
  <c r="L938" i="120"/>
  <c r="L964" i="120"/>
  <c r="H794" i="120"/>
  <c r="J794" i="120" s="1"/>
  <c r="J793" i="120" s="1"/>
  <c r="L956" i="120"/>
  <c r="L944" i="120"/>
  <c r="L930" i="120"/>
  <c r="AA239" i="54"/>
  <c r="L965" i="120"/>
  <c r="L963" i="120"/>
  <c r="L961" i="120"/>
  <c r="L948" i="120"/>
  <c r="L942" i="120"/>
  <c r="L939" i="120"/>
  <c r="L946" i="120"/>
  <c r="M786" i="12"/>
  <c r="H786" i="120"/>
  <c r="O760" i="120"/>
  <c r="J760" i="120"/>
  <c r="L951" i="120"/>
  <c r="L929" i="120"/>
  <c r="L940" i="120"/>
  <c r="L947" i="120"/>
  <c r="L936" i="120"/>
  <c r="L959" i="120"/>
  <c r="L949" i="120"/>
  <c r="L935" i="120"/>
  <c r="L931" i="120"/>
  <c r="L962" i="120"/>
  <c r="L953" i="120"/>
  <c r="J32" i="120"/>
  <c r="D86" i="134" s="1"/>
  <c r="L954" i="120"/>
  <c r="L934" i="120"/>
  <c r="Z111" i="56"/>
  <c r="Z162" i="54"/>
  <c r="AA162" i="54" s="1"/>
  <c r="H713" i="120"/>
  <c r="J713" i="120" s="1"/>
  <c r="J712" i="120" s="1"/>
  <c r="M713" i="12"/>
  <c r="M713" i="120" s="1"/>
  <c r="M697" i="12"/>
  <c r="H697" i="120"/>
  <c r="H693" i="120"/>
  <c r="M693" i="12"/>
  <c r="B701" i="120"/>
  <c r="B695" i="12"/>
  <c r="M695" i="120"/>
  <c r="M691" i="120"/>
  <c r="B691" i="12"/>
  <c r="B689" i="120"/>
  <c r="M639" i="120"/>
  <c r="B639" i="12"/>
  <c r="M637" i="12"/>
  <c r="H637" i="120"/>
  <c r="Y94" i="56"/>
  <c r="Z94" i="56" s="1"/>
  <c r="H630" i="12"/>
  <c r="H630" i="120" s="1"/>
  <c r="J630" i="120" s="1"/>
  <c r="B699" i="120"/>
  <c r="H633" i="120"/>
  <c r="J633" i="120" s="1"/>
  <c r="L99" i="63"/>
  <c r="H602" i="120"/>
  <c r="M602" i="12"/>
  <c r="M622" i="12"/>
  <c r="M622" i="120" s="1"/>
  <c r="H622" i="120"/>
  <c r="J622" i="120" s="1"/>
  <c r="J621" i="120" s="1"/>
  <c r="M544" i="120"/>
  <c r="B544" i="12"/>
  <c r="J135" i="47"/>
  <c r="H560" i="12" s="1"/>
  <c r="F147" i="47"/>
  <c r="H541" i="120"/>
  <c r="J541" i="120" s="1"/>
  <c r="L110" i="63"/>
  <c r="H540" i="120"/>
  <c r="J540" i="120" s="1"/>
  <c r="H70" i="118"/>
  <c r="H74" i="118"/>
  <c r="F154" i="47"/>
  <c r="J142" i="47"/>
  <c r="B554" i="120"/>
  <c r="B564" i="120"/>
  <c r="B600" i="120"/>
  <c r="J138" i="47"/>
  <c r="K138" i="47" s="1"/>
  <c r="F151" i="47"/>
  <c r="F149" i="47"/>
  <c r="J129" i="47"/>
  <c r="H566" i="12" s="1"/>
  <c r="H548" i="120"/>
  <c r="J548" i="120" s="1"/>
  <c r="J547" i="120" s="1"/>
  <c r="K107" i="63"/>
  <c r="H618" i="12" s="1"/>
  <c r="G127" i="63"/>
  <c r="K94" i="63"/>
  <c r="L94" i="63" s="1"/>
  <c r="F152" i="47"/>
  <c r="J139" i="47"/>
  <c r="H514" i="120"/>
  <c r="J514" i="120" s="1"/>
  <c r="H513" i="12"/>
  <c r="B546" i="120"/>
  <c r="B556" i="120"/>
  <c r="F153" i="47"/>
  <c r="J140" i="47"/>
  <c r="K66" i="47"/>
  <c r="H22" i="120"/>
  <c r="J532" i="120"/>
  <c r="H23" i="120"/>
  <c r="J587" i="120"/>
  <c r="K67" i="47"/>
  <c r="C34" i="77"/>
  <c r="D23" i="122"/>
  <c r="B612" i="12"/>
  <c r="M612" i="120"/>
  <c r="B550" i="120"/>
  <c r="C35" i="77"/>
  <c r="C36" i="77" s="1"/>
  <c r="C51" i="39"/>
  <c r="D24" i="122"/>
  <c r="H610" i="120"/>
  <c r="M610" i="12"/>
  <c r="M614" i="120"/>
  <c r="B614" i="12"/>
  <c r="B562" i="120"/>
  <c r="BB13" i="58"/>
  <c r="BB20" i="58" s="1"/>
  <c r="BB31" i="58"/>
  <c r="BB113" i="58"/>
  <c r="BB17" i="58"/>
  <c r="BB18" i="58" s="1"/>
  <c r="BB24" i="58" s="1"/>
  <c r="BG25" i="58"/>
  <c r="BG26" i="58" s="1"/>
  <c r="BG27" i="58" s="1"/>
  <c r="BC25" i="58"/>
  <c r="BC26" i="58" s="1"/>
  <c r="AY25" i="58"/>
  <c r="AY26" i="58" s="1"/>
  <c r="BD25" i="58"/>
  <c r="BD26" i="58" s="1"/>
  <c r="BI114" i="58"/>
  <c r="BI115" i="58"/>
  <c r="BD57" i="58"/>
  <c r="BD69" i="58" s="1"/>
  <c r="BD21" i="58"/>
  <c r="BD22" i="58" s="1"/>
  <c r="BD42" i="58"/>
  <c r="BD56" i="58"/>
  <c r="BD68" i="58" s="1"/>
  <c r="BG32" i="58"/>
  <c r="BG34" i="58" s="1"/>
  <c r="BG33" i="58"/>
  <c r="BI25" i="58"/>
  <c r="BI26" i="58" s="1"/>
  <c r="BC115" i="58"/>
  <c r="BC114" i="58"/>
  <c r="BD32" i="58"/>
  <c r="BD34" i="58" s="1"/>
  <c r="BD33" i="58"/>
  <c r="BF115" i="58"/>
  <c r="BF114" i="58"/>
  <c r="BE115" i="58"/>
  <c r="BE114" i="58"/>
  <c r="AZ8" i="61"/>
  <c r="BA8" i="61" s="1"/>
  <c r="BI33" i="58"/>
  <c r="BI32" i="58"/>
  <c r="BI34" i="58" s="1"/>
  <c r="BE97" i="58"/>
  <c r="BD115" i="58"/>
  <c r="BD114" i="58"/>
  <c r="BI21" i="58"/>
  <c r="BI22" i="58" s="1"/>
  <c r="BI57" i="58"/>
  <c r="BI69" i="58" s="1"/>
  <c r="BI42" i="58"/>
  <c r="BI56" i="58"/>
  <c r="BI68" i="58" s="1"/>
  <c r="BH57" i="58"/>
  <c r="BH69" i="58" s="1"/>
  <c r="BH42" i="58"/>
  <c r="BH21" i="58"/>
  <c r="BH22" i="58" s="1"/>
  <c r="BH23" i="58" s="1"/>
  <c r="BH56" i="58"/>
  <c r="BH68" i="58" s="1"/>
  <c r="J196" i="120"/>
  <c r="BA25" i="58"/>
  <c r="BA26" i="58" s="1"/>
  <c r="BA27" i="58" s="1"/>
  <c r="BE25" i="58"/>
  <c r="BE26" i="58" s="1"/>
  <c r="AY32" i="58"/>
  <c r="AY34" i="58" s="1"/>
  <c r="AY33" i="58"/>
  <c r="BH114" i="58"/>
  <c r="BH115" i="58"/>
  <c r="BA115" i="58"/>
  <c r="BA114" i="58"/>
  <c r="BC42" i="58"/>
  <c r="BC21" i="58"/>
  <c r="BC57" i="58"/>
  <c r="BC69" i="58" s="1"/>
  <c r="BC56" i="58"/>
  <c r="BC68" i="58" s="1"/>
  <c r="BH25" i="58"/>
  <c r="BH26" i="58" s="1"/>
  <c r="BH27" i="58" s="1"/>
  <c r="BA32" i="58"/>
  <c r="BA34" i="58" s="1"/>
  <c r="BA33" i="58"/>
  <c r="BA39" i="58" s="1"/>
  <c r="BE33" i="58"/>
  <c r="BE32" i="58"/>
  <c r="BE34" i="58" s="1"/>
  <c r="BG57" i="58"/>
  <c r="BG69" i="58" s="1"/>
  <c r="BG42" i="58"/>
  <c r="BG21" i="58"/>
  <c r="BG22" i="58" s="1"/>
  <c r="BG56" i="58"/>
  <c r="BG68" i="58" s="1"/>
  <c r="BA21" i="58"/>
  <c r="BA56" i="58"/>
  <c r="BA57" i="58"/>
  <c r="BA42" i="58"/>
  <c r="BC97" i="58"/>
  <c r="BE42" i="58"/>
  <c r="BE21" i="58"/>
  <c r="BE22" i="58" s="1"/>
  <c r="BE56" i="58"/>
  <c r="BE68" i="58" s="1"/>
  <c r="BE57" i="58"/>
  <c r="BE69" i="58" s="1"/>
  <c r="BF25" i="58"/>
  <c r="BF26" i="58" s="1"/>
  <c r="BF27" i="58" s="1"/>
  <c r="BC33" i="58"/>
  <c r="BC32" i="58"/>
  <c r="BC34" i="58" s="1"/>
  <c r="AY56" i="58"/>
  <c r="AY21" i="58"/>
  <c r="AY22" i="58" s="1"/>
  <c r="AY57" i="58"/>
  <c r="AY42" i="58"/>
  <c r="BF33" i="58"/>
  <c r="BF32" i="58"/>
  <c r="BF34" i="58" s="1"/>
  <c r="BH32" i="58"/>
  <c r="BH34" i="58" s="1"/>
  <c r="BH33" i="58"/>
  <c r="AZ11" i="61"/>
  <c r="BA11" i="61" s="1"/>
  <c r="BF57" i="58"/>
  <c r="BF69" i="58" s="1"/>
  <c r="BF42" i="58"/>
  <c r="BF21" i="58"/>
  <c r="BF22" i="58" s="1"/>
  <c r="BF23" i="58" s="1"/>
  <c r="BF56" i="58"/>
  <c r="BF68" i="58" s="1"/>
  <c r="BG115" i="58"/>
  <c r="BG114" i="58"/>
  <c r="BF97" i="58"/>
  <c r="AY114" i="58"/>
  <c r="AY115" i="58"/>
  <c r="J15" i="78"/>
  <c r="I16" i="78"/>
  <c r="J824" i="120"/>
  <c r="M173" i="120"/>
  <c r="E11" i="43"/>
  <c r="E12" i="43" s="1"/>
  <c r="E9" i="43" s="1"/>
  <c r="B173" i="120"/>
  <c r="E66" i="43" a="1"/>
  <c r="F604" i="120" l="1"/>
  <c r="D604" i="120"/>
  <c r="C604" i="120"/>
  <c r="G604" i="120"/>
  <c r="G564" i="120"/>
  <c r="F564" i="120"/>
  <c r="D564" i="120"/>
  <c r="C564" i="120"/>
  <c r="D881" i="12"/>
  <c r="C881" i="12"/>
  <c r="G546" i="120"/>
  <c r="F546" i="120"/>
  <c r="D546" i="120"/>
  <c r="C546" i="120"/>
  <c r="D695" i="12"/>
  <c r="C695" i="12"/>
  <c r="G701" i="120"/>
  <c r="I701" i="120" s="1"/>
  <c r="J701" i="120" s="1"/>
  <c r="J700" i="120" s="1"/>
  <c r="F701" i="120"/>
  <c r="D701" i="120"/>
  <c r="C701" i="120"/>
  <c r="G699" i="120"/>
  <c r="I699" i="120" s="1"/>
  <c r="J699" i="120" s="1"/>
  <c r="J698" i="120" s="1"/>
  <c r="F699" i="120"/>
  <c r="D699" i="120"/>
  <c r="C699" i="120"/>
  <c r="G600" i="120"/>
  <c r="F600" i="120"/>
  <c r="D600" i="120"/>
  <c r="C600" i="120"/>
  <c r="G550" i="120"/>
  <c r="F550" i="120"/>
  <c r="D550" i="120"/>
  <c r="C550" i="120"/>
  <c r="D639" i="12"/>
  <c r="C639" i="12"/>
  <c r="D544" i="12"/>
  <c r="C544" i="12"/>
  <c r="G865" i="120"/>
  <c r="I865" i="120" s="1"/>
  <c r="F865" i="120"/>
  <c r="D865" i="120"/>
  <c r="C865" i="120"/>
  <c r="D570" i="12"/>
  <c r="C570" i="12"/>
  <c r="D554" i="120"/>
  <c r="C554" i="120"/>
  <c r="G554" i="120"/>
  <c r="I554" i="120" s="1"/>
  <c r="J554" i="120" s="1"/>
  <c r="J553" i="120" s="1"/>
  <c r="F554" i="120"/>
  <c r="D446" i="12"/>
  <c r="C446" i="12"/>
  <c r="G689" i="120"/>
  <c r="F689" i="120"/>
  <c r="D689" i="120"/>
  <c r="C689" i="120"/>
  <c r="G556" i="120"/>
  <c r="I556" i="120" s="1"/>
  <c r="J556" i="120" s="1"/>
  <c r="J555" i="120" s="1"/>
  <c r="F556" i="120"/>
  <c r="D556" i="120"/>
  <c r="C556" i="120"/>
  <c r="G562" i="120"/>
  <c r="I562" i="120" s="1"/>
  <c r="J562" i="120" s="1"/>
  <c r="J561" i="120" s="1"/>
  <c r="F562" i="120"/>
  <c r="D562" i="120"/>
  <c r="C562" i="120"/>
  <c r="D614" i="12"/>
  <c r="C614" i="12"/>
  <c r="D691" i="12"/>
  <c r="C691" i="12"/>
  <c r="D612" i="12"/>
  <c r="G409" i="120"/>
  <c r="I409" i="120" s="1"/>
  <c r="J409" i="120" s="1"/>
  <c r="J408" i="120" s="1"/>
  <c r="J314" i="120" s="1"/>
  <c r="F409" i="120"/>
  <c r="D409" i="120"/>
  <c r="C409" i="120"/>
  <c r="G173" i="120"/>
  <c r="I173" i="120" s="1"/>
  <c r="J173" i="120" s="1"/>
  <c r="F173" i="120"/>
  <c r="D173" i="120"/>
  <c r="C173" i="120"/>
  <c r="C792" i="120"/>
  <c r="G792" i="120"/>
  <c r="I792" i="120" s="1"/>
  <c r="F792" i="120"/>
  <c r="D792" i="120"/>
  <c r="G788" i="120"/>
  <c r="I788" i="120" s="1"/>
  <c r="I787" i="120" s="1"/>
  <c r="F788" i="120"/>
  <c r="D788" i="120"/>
  <c r="C788" i="120"/>
  <c r="G5" i="58"/>
  <c r="G12" i="58" s="1"/>
  <c r="G5" i="59"/>
  <c r="G70" i="59"/>
  <c r="G9" i="58"/>
  <c r="BC39" i="58"/>
  <c r="BH39" i="58"/>
  <c r="BI39" i="58"/>
  <c r="BF39" i="58"/>
  <c r="BE39" i="58"/>
  <c r="I689" i="120"/>
  <c r="J689" i="120" s="1"/>
  <c r="J688" i="120" s="1"/>
  <c r="I550" i="120"/>
  <c r="J550" i="120" s="1"/>
  <c r="J549" i="120" s="1"/>
  <c r="AY39" i="58"/>
  <c r="AY99" i="58" s="1"/>
  <c r="BG39" i="58"/>
  <c r="BD39" i="58"/>
  <c r="I600" i="120"/>
  <c r="J600" i="120" s="1"/>
  <c r="J599" i="120" s="1"/>
  <c r="I604" i="120"/>
  <c r="J604" i="120" s="1"/>
  <c r="J603" i="120" s="1"/>
  <c r="AZ152" i="58"/>
  <c r="AZ132" i="58"/>
  <c r="AX152" i="58"/>
  <c r="AX132" i="58"/>
  <c r="AX153" i="58" s="1"/>
  <c r="I47" i="155"/>
  <c r="D47" i="155"/>
  <c r="I51" i="155"/>
  <c r="K51" i="155"/>
  <c r="H51" i="155"/>
  <c r="E51" i="155"/>
  <c r="L47" i="155"/>
  <c r="D51" i="155"/>
  <c r="E47" i="155"/>
  <c r="J51" i="155"/>
  <c r="L51" i="155"/>
  <c r="H47" i="155"/>
  <c r="G51" i="155"/>
  <c r="C51" i="155"/>
  <c r="F47" i="155"/>
  <c r="G47" i="155"/>
  <c r="J47" i="155"/>
  <c r="K47" i="155"/>
  <c r="F51" i="155"/>
  <c r="BA69" i="58"/>
  <c r="BA79" i="58"/>
  <c r="BA68" i="58"/>
  <c r="BA78" i="58"/>
  <c r="AY68" i="58"/>
  <c r="AY78" i="58"/>
  <c r="AY69" i="58"/>
  <c r="AY79" i="58"/>
  <c r="I546" i="120"/>
  <c r="J546" i="120" s="1"/>
  <c r="J545" i="120" s="1"/>
  <c r="I564" i="120"/>
  <c r="J564" i="120" s="1"/>
  <c r="J563" i="120" s="1"/>
  <c r="E66" i="43"/>
  <c r="G71" i="59" s="1"/>
  <c r="J48" i="87"/>
  <c r="J58" i="87"/>
  <c r="H572" i="12"/>
  <c r="H819" i="120"/>
  <c r="J819" i="120" s="1"/>
  <c r="J818" i="120" s="1"/>
  <c r="I50" i="87"/>
  <c r="H823" i="12" s="1"/>
  <c r="M817" i="12"/>
  <c r="H817" i="120"/>
  <c r="H798" i="120"/>
  <c r="O798" i="12"/>
  <c r="C71" i="39" s="1"/>
  <c r="O799" i="12"/>
  <c r="H799" i="120"/>
  <c r="H831" i="120"/>
  <c r="J831" i="120" s="1"/>
  <c r="J830" i="120" s="1"/>
  <c r="K139" i="47"/>
  <c r="H576" i="12"/>
  <c r="J54" i="87"/>
  <c r="M829" i="12"/>
  <c r="M829" i="120" s="1"/>
  <c r="H829" i="120"/>
  <c r="J829" i="120" s="1"/>
  <c r="J828" i="120" s="1"/>
  <c r="F22" i="59"/>
  <c r="F41" i="59"/>
  <c r="F27" i="59"/>
  <c r="F51" i="59"/>
  <c r="F32" i="59"/>
  <c r="F17" i="59"/>
  <c r="C46" i="134"/>
  <c r="J313" i="120"/>
  <c r="F8" i="59"/>
  <c r="F75" i="59"/>
  <c r="F76" i="59"/>
  <c r="F15" i="59"/>
  <c r="F34" i="59"/>
  <c r="F24" i="59"/>
  <c r="F54" i="59"/>
  <c r="F44" i="59"/>
  <c r="F29" i="59"/>
  <c r="F19" i="59"/>
  <c r="L30" i="120"/>
  <c r="T79" i="134"/>
  <c r="T80" i="134" s="1"/>
  <c r="V79" i="134"/>
  <c r="V80" i="134" s="1"/>
  <c r="K79" i="134"/>
  <c r="K80" i="134" s="1"/>
  <c r="N79" i="134"/>
  <c r="N80" i="134" s="1"/>
  <c r="P79" i="134"/>
  <c r="P80" i="134" s="1"/>
  <c r="U79" i="134"/>
  <c r="U80" i="134" s="1"/>
  <c r="I79" i="134"/>
  <c r="I80" i="134" s="1"/>
  <c r="O79" i="134"/>
  <c r="O80" i="134" s="1"/>
  <c r="R79" i="134"/>
  <c r="R80" i="134" s="1"/>
  <c r="W79" i="134"/>
  <c r="W80" i="134" s="1"/>
  <c r="H79" i="134"/>
  <c r="H80" i="134" s="1"/>
  <c r="G31" i="122"/>
  <c r="L79" i="134"/>
  <c r="L80" i="134" s="1"/>
  <c r="J79" i="134"/>
  <c r="J80" i="134" s="1"/>
  <c r="Q79" i="134"/>
  <c r="Q80" i="134" s="1"/>
  <c r="S79" i="134"/>
  <c r="S80" i="134" s="1"/>
  <c r="F79" i="134"/>
  <c r="F80" i="134" s="1"/>
  <c r="G79" i="134"/>
  <c r="G80" i="134" s="1"/>
  <c r="B705" i="12"/>
  <c r="BH104" i="58"/>
  <c r="BH109" i="58" s="1"/>
  <c r="BH110" i="58" s="1"/>
  <c r="BH112" i="58" s="1"/>
  <c r="BH98" i="58"/>
  <c r="BH103" i="58" s="1"/>
  <c r="L941" i="12"/>
  <c r="BI99" i="58"/>
  <c r="L302" i="120"/>
  <c r="L300" i="120"/>
  <c r="L307" i="120"/>
  <c r="L308" i="120"/>
  <c r="L305" i="120"/>
  <c r="L311" i="120"/>
  <c r="L294" i="120"/>
  <c r="L299" i="120"/>
  <c r="L295" i="120"/>
  <c r="L312" i="120"/>
  <c r="L296" i="120"/>
  <c r="L310" i="120"/>
  <c r="L309" i="120"/>
  <c r="L306" i="120"/>
  <c r="J18" i="120"/>
  <c r="L18" i="120" s="1"/>
  <c r="L298" i="120"/>
  <c r="L301" i="120"/>
  <c r="L303" i="120"/>
  <c r="L304" i="120"/>
  <c r="L297" i="120"/>
  <c r="L935" i="12"/>
  <c r="L942" i="12"/>
  <c r="L933" i="12"/>
  <c r="L948" i="12"/>
  <c r="L939" i="12"/>
  <c r="L943" i="12"/>
  <c r="L947" i="12"/>
  <c r="L952" i="12"/>
  <c r="L965" i="12"/>
  <c r="L949" i="12"/>
  <c r="L929" i="12"/>
  <c r="J966" i="12"/>
  <c r="L964" i="12"/>
  <c r="L930" i="12"/>
  <c r="L958" i="12"/>
  <c r="L959" i="12"/>
  <c r="L962" i="12"/>
  <c r="L953" i="12"/>
  <c r="L938" i="12"/>
  <c r="L940" i="12"/>
  <c r="L932" i="12"/>
  <c r="L963" i="12"/>
  <c r="L950" i="12"/>
  <c r="L937" i="12"/>
  <c r="L961" i="12"/>
  <c r="L954" i="12"/>
  <c r="L936" i="12"/>
  <c r="L934" i="12"/>
  <c r="L956" i="12"/>
  <c r="L931" i="12"/>
  <c r="L928" i="12"/>
  <c r="L951" i="12"/>
  <c r="L944" i="12"/>
  <c r="AY104" i="58"/>
  <c r="AY109" i="58" s="1"/>
  <c r="AY110" i="58" s="1"/>
  <c r="AY112" i="58" s="1"/>
  <c r="J925" i="120"/>
  <c r="L926" i="120" s="1"/>
  <c r="BI98" i="58"/>
  <c r="BD104" i="58"/>
  <c r="BD109" i="58" s="1"/>
  <c r="BD110" i="58" s="1"/>
  <c r="BD112" i="58" s="1"/>
  <c r="BD99" i="58"/>
  <c r="BD101" i="58" s="1"/>
  <c r="BG99" i="58"/>
  <c r="BG100" i="58" s="1"/>
  <c r="BG104" i="58"/>
  <c r="BG109" i="58" s="1"/>
  <c r="BG110" i="58" s="1"/>
  <c r="BG112" i="58" s="1"/>
  <c r="L946" i="12"/>
  <c r="J32" i="12"/>
  <c r="D86" i="39" s="1"/>
  <c r="L955" i="12"/>
  <c r="L957" i="12"/>
  <c r="L945" i="12"/>
  <c r="F17" i="58"/>
  <c r="F18" i="58" s="1"/>
  <c r="F24" i="58" s="1"/>
  <c r="F25" i="58" s="1"/>
  <c r="F87" i="58"/>
  <c r="F39" i="59"/>
  <c r="F12" i="59"/>
  <c r="F21" i="59"/>
  <c r="F31" i="59"/>
  <c r="F49" i="59"/>
  <c r="F26" i="59"/>
  <c r="F16" i="59"/>
  <c r="BA104" i="58"/>
  <c r="BA109" i="58" s="1"/>
  <c r="BA110" i="58" s="1"/>
  <c r="BA112" i="58" s="1"/>
  <c r="M444" i="120"/>
  <c r="B444" i="12"/>
  <c r="M442" i="12"/>
  <c r="H442" i="120"/>
  <c r="I79" i="62"/>
  <c r="J78" i="62" s="1"/>
  <c r="J69" i="62"/>
  <c r="M440" i="120"/>
  <c r="B440" i="12"/>
  <c r="H429" i="120"/>
  <c r="J429" i="120" s="1"/>
  <c r="B446" i="120"/>
  <c r="B606" i="12"/>
  <c r="M606" i="120"/>
  <c r="M608" i="120"/>
  <c r="B608" i="12"/>
  <c r="AA188" i="54"/>
  <c r="B703" i="12"/>
  <c r="M703" i="120"/>
  <c r="Y81" i="56"/>
  <c r="Z81" i="56" s="1"/>
  <c r="B570" i="120"/>
  <c r="K135" i="47"/>
  <c r="J121" i="83"/>
  <c r="H871" i="12" s="1"/>
  <c r="H859" i="120"/>
  <c r="J859" i="120" s="1"/>
  <c r="J116" i="83"/>
  <c r="H891" i="12" s="1"/>
  <c r="H860" i="120"/>
  <c r="J860" i="120" s="1"/>
  <c r="H838" i="12"/>
  <c r="K72" i="83"/>
  <c r="K85" i="83"/>
  <c r="J122" i="83"/>
  <c r="H873" i="12" s="1"/>
  <c r="H850" i="120"/>
  <c r="J850" i="120" s="1"/>
  <c r="J86" i="83"/>
  <c r="K86" i="83" s="1"/>
  <c r="H861" i="120"/>
  <c r="J861" i="120" s="1"/>
  <c r="J115" i="83"/>
  <c r="H867" i="12" s="1"/>
  <c r="B881" i="120"/>
  <c r="K74" i="83"/>
  <c r="H887" i="120"/>
  <c r="J887" i="120" s="1"/>
  <c r="J886" i="120" s="1"/>
  <c r="M887" i="12"/>
  <c r="M887" i="120" s="1"/>
  <c r="J123" i="83"/>
  <c r="H875" i="12" s="1"/>
  <c r="K128" i="83"/>
  <c r="O843" i="120"/>
  <c r="J843" i="120"/>
  <c r="K73" i="83"/>
  <c r="G33" i="122"/>
  <c r="L32" i="120"/>
  <c r="B786" i="12"/>
  <c r="M786" i="120"/>
  <c r="Z164" i="54"/>
  <c r="H762" i="12" s="1"/>
  <c r="Z170" i="54"/>
  <c r="H759" i="12" s="1"/>
  <c r="H761" i="120"/>
  <c r="AA155" i="54"/>
  <c r="J51" i="118"/>
  <c r="J52" i="118" s="1"/>
  <c r="M10" i="118"/>
  <c r="M693" i="120"/>
  <c r="B693" i="12"/>
  <c r="B697" i="12"/>
  <c r="M697" i="120"/>
  <c r="B691" i="120"/>
  <c r="B695" i="120"/>
  <c r="Z106" i="56"/>
  <c r="B637" i="12"/>
  <c r="M637" i="120"/>
  <c r="H650" i="120"/>
  <c r="O650" i="12"/>
  <c r="B639" i="120"/>
  <c r="L107" i="63"/>
  <c r="F113" i="58"/>
  <c r="F97" i="58" s="1"/>
  <c r="F13" i="58"/>
  <c r="F20" i="58" s="1"/>
  <c r="B614" i="120"/>
  <c r="M566" i="12"/>
  <c r="H566" i="120"/>
  <c r="M560" i="12"/>
  <c r="H560" i="120"/>
  <c r="C51" i="134"/>
  <c r="C50" i="134"/>
  <c r="K129" i="47"/>
  <c r="B610" i="12"/>
  <c r="M610" i="120"/>
  <c r="F31" i="58"/>
  <c r="F32" i="58" s="1"/>
  <c r="F34" i="58" s="1"/>
  <c r="H513" i="120"/>
  <c r="J513" i="120" s="1"/>
  <c r="K140" i="47"/>
  <c r="K142" i="47"/>
  <c r="B544" i="120"/>
  <c r="M602" i="120"/>
  <c r="B602" i="12"/>
  <c r="B612" i="120"/>
  <c r="M618" i="12"/>
  <c r="M618" i="120" s="1"/>
  <c r="H618" i="120"/>
  <c r="J618" i="120" s="1"/>
  <c r="J617" i="120" s="1"/>
  <c r="AY27" i="58"/>
  <c r="AY23" i="58"/>
  <c r="BB25" i="58"/>
  <c r="BB26" i="58" s="1"/>
  <c r="BB27" i="58" s="1"/>
  <c r="BB114" i="58"/>
  <c r="BB115" i="58"/>
  <c r="BB33" i="58"/>
  <c r="BB32" i="58"/>
  <c r="BB34" i="58" s="1"/>
  <c r="BB56" i="58"/>
  <c r="BB68" i="58" s="1"/>
  <c r="BB57" i="58"/>
  <c r="BB69" i="58" s="1"/>
  <c r="BB21" i="58"/>
  <c r="BB42" i="58"/>
  <c r="BB97" i="58"/>
  <c r="BD27" i="58"/>
  <c r="BC27" i="58"/>
  <c r="BD51" i="58"/>
  <c r="BD63" i="58" s="1"/>
  <c r="BD44" i="58"/>
  <c r="BD52" i="58"/>
  <c r="BD64" i="58" s="1"/>
  <c r="BD53" i="58"/>
  <c r="BD65" i="58" s="1"/>
  <c r="BE51" i="58"/>
  <c r="BE63" i="58" s="1"/>
  <c r="BE53" i="58"/>
  <c r="BE65" i="58" s="1"/>
  <c r="BE44" i="58"/>
  <c r="BE52" i="58"/>
  <c r="BE64" i="58" s="1"/>
  <c r="BG54" i="58"/>
  <c r="BG66" i="58" s="1"/>
  <c r="BG55" i="58"/>
  <c r="BG67" i="58" s="1"/>
  <c r="BG43" i="58"/>
  <c r="BG51" i="58"/>
  <c r="BG63" i="58" s="1"/>
  <c r="BG53" i="58"/>
  <c r="BG65" i="58" s="1"/>
  <c r="BG52" i="58"/>
  <c r="BG64" i="58" s="1"/>
  <c r="BG44" i="58"/>
  <c r="BD43" i="58"/>
  <c r="BD54" i="58"/>
  <c r="BD66" i="58" s="1"/>
  <c r="BD55" i="58"/>
  <c r="BD67" i="58" s="1"/>
  <c r="BE55" i="58"/>
  <c r="BE67" i="58" s="1"/>
  <c r="BE43" i="58"/>
  <c r="BE54" i="58"/>
  <c r="BE66" i="58" s="1"/>
  <c r="BH116" i="58"/>
  <c r="BH117" i="58"/>
  <c r="AY119" i="58"/>
  <c r="AY35" i="58"/>
  <c r="AY118" i="58"/>
  <c r="BF53" i="58"/>
  <c r="BF65" i="58" s="1"/>
  <c r="BF51" i="58"/>
  <c r="BF63" i="58" s="1"/>
  <c r="BF52" i="58"/>
  <c r="BF64" i="58" s="1"/>
  <c r="BF44" i="58"/>
  <c r="BH53" i="58"/>
  <c r="BH65" i="58" s="1"/>
  <c r="BH51" i="58"/>
  <c r="BH63" i="58" s="1"/>
  <c r="BH52" i="58"/>
  <c r="BH64" i="58" s="1"/>
  <c r="BH44" i="58"/>
  <c r="BI116" i="58"/>
  <c r="BI117" i="58"/>
  <c r="AY51" i="58"/>
  <c r="AY44" i="58"/>
  <c r="AY53" i="58"/>
  <c r="AY52" i="58"/>
  <c r="K87" i="134"/>
  <c r="K88" i="134" s="1"/>
  <c r="M87" i="134"/>
  <c r="M88" i="134" s="1"/>
  <c r="W87" i="134"/>
  <c r="W88" i="134" s="1"/>
  <c r="N87" i="134"/>
  <c r="N88" i="134" s="1"/>
  <c r="V87" i="134"/>
  <c r="V88" i="134" s="1"/>
  <c r="S87" i="134"/>
  <c r="S88" i="134" s="1"/>
  <c r="U87" i="134"/>
  <c r="U88" i="134" s="1"/>
  <c r="F87" i="134"/>
  <c r="J87" i="134"/>
  <c r="J88" i="134" s="1"/>
  <c r="P87" i="134"/>
  <c r="P88" i="134" s="1"/>
  <c r="G87" i="134"/>
  <c r="G88" i="134" s="1"/>
  <c r="H87" i="134"/>
  <c r="H88" i="134" s="1"/>
  <c r="I87" i="134"/>
  <c r="I88" i="134" s="1"/>
  <c r="O87" i="134"/>
  <c r="O88" i="134" s="1"/>
  <c r="T87" i="134"/>
  <c r="T88" i="134" s="1"/>
  <c r="Q87" i="134"/>
  <c r="Q88" i="134" s="1"/>
  <c r="R87" i="134"/>
  <c r="R88" i="134" s="1"/>
  <c r="L87" i="134"/>
  <c r="L88" i="134" s="1"/>
  <c r="BE35" i="58"/>
  <c r="BE118" i="58"/>
  <c r="BE119" i="58"/>
  <c r="BC54" i="58"/>
  <c r="BC66" i="58" s="1"/>
  <c r="BC43" i="58"/>
  <c r="BC55" i="58"/>
  <c r="BC67" i="58" s="1"/>
  <c r="BH43" i="58"/>
  <c r="BH54" i="58"/>
  <c r="BH66" i="58" s="1"/>
  <c r="BH55" i="58"/>
  <c r="BH67" i="58" s="1"/>
  <c r="BI44" i="58"/>
  <c r="BI52" i="58"/>
  <c r="BI64" i="58" s="1"/>
  <c r="BI51" i="58"/>
  <c r="BI63" i="58" s="1"/>
  <c r="BI53" i="58"/>
  <c r="BI65" i="58" s="1"/>
  <c r="AY43" i="58"/>
  <c r="AY55" i="58"/>
  <c r="AY54" i="58"/>
  <c r="BC118" i="58"/>
  <c r="BC119" i="58"/>
  <c r="BC35" i="58"/>
  <c r="BC22" i="58"/>
  <c r="BI43" i="58"/>
  <c r="BI54" i="58"/>
  <c r="BI66" i="58" s="1"/>
  <c r="BI55" i="58"/>
  <c r="BI67" i="58" s="1"/>
  <c r="BI23" i="58"/>
  <c r="BI118" i="58"/>
  <c r="BI35" i="58"/>
  <c r="BI119" i="58"/>
  <c r="BI105" i="58"/>
  <c r="BI106" i="58"/>
  <c r="BI27" i="58"/>
  <c r="BC98" i="58"/>
  <c r="BC104" i="58"/>
  <c r="BC109" i="58" s="1"/>
  <c r="BC110" i="58" s="1"/>
  <c r="BC112" i="58" s="1"/>
  <c r="BC99" i="58"/>
  <c r="BA119" i="58"/>
  <c r="BA118" i="58"/>
  <c r="BA35" i="58"/>
  <c r="BA99" i="58"/>
  <c r="BA100" i="58" s="1"/>
  <c r="BE27" i="58"/>
  <c r="BA117" i="58"/>
  <c r="BA116" i="58"/>
  <c r="AY117" i="58"/>
  <c r="AY116" i="58"/>
  <c r="BE98" i="58"/>
  <c r="BE99" i="58"/>
  <c r="BE104" i="58"/>
  <c r="BE109" i="58" s="1"/>
  <c r="BE110" i="58" s="1"/>
  <c r="BE112" i="58" s="1"/>
  <c r="BF117" i="58"/>
  <c r="BF116" i="58"/>
  <c r="BF104" i="58"/>
  <c r="BF109" i="58" s="1"/>
  <c r="BF110" i="58" s="1"/>
  <c r="BF112" i="58" s="1"/>
  <c r="BF98" i="58"/>
  <c r="BF99" i="58"/>
  <c r="BD116" i="58"/>
  <c r="BD117" i="58"/>
  <c r="BC116" i="58"/>
  <c r="BC117" i="58"/>
  <c r="BA55" i="58"/>
  <c r="BA43" i="58"/>
  <c r="BA54" i="58"/>
  <c r="BG35" i="58"/>
  <c r="BG119" i="58"/>
  <c r="BG118" i="58"/>
  <c r="BG116" i="58"/>
  <c r="BG117" i="58"/>
  <c r="BH35" i="58"/>
  <c r="BH118" i="58"/>
  <c r="BH119" i="58"/>
  <c r="BD35" i="58"/>
  <c r="BD119" i="58"/>
  <c r="BD118" i="58"/>
  <c r="BF35" i="58"/>
  <c r="BF118" i="58"/>
  <c r="BF119" i="58"/>
  <c r="BA22" i="58"/>
  <c r="BD23" i="58"/>
  <c r="BE23" i="58"/>
  <c r="BE116" i="58"/>
  <c r="BE117" i="58"/>
  <c r="BF55" i="58"/>
  <c r="BF67" i="58" s="1"/>
  <c r="BF43" i="58"/>
  <c r="BF54" i="58"/>
  <c r="BF66" i="58" s="1"/>
  <c r="BG23" i="58"/>
  <c r="N16" i="120"/>
  <c r="C23" i="134"/>
  <c r="J16" i="78"/>
  <c r="I17" i="78"/>
  <c r="J95" i="120"/>
  <c r="D440" i="12" l="1"/>
  <c r="C440" i="12"/>
  <c r="D602" i="12"/>
  <c r="G695" i="120"/>
  <c r="F695" i="120"/>
  <c r="D695" i="120"/>
  <c r="C695" i="120"/>
  <c r="D697" i="12"/>
  <c r="C697" i="12"/>
  <c r="G881" i="120"/>
  <c r="F881" i="120"/>
  <c r="D881" i="120"/>
  <c r="C881" i="120"/>
  <c r="G544" i="120"/>
  <c r="F544" i="120"/>
  <c r="D544" i="120"/>
  <c r="C544" i="120"/>
  <c r="G639" i="120"/>
  <c r="I639" i="120" s="1"/>
  <c r="J639" i="120" s="1"/>
  <c r="J638" i="120" s="1"/>
  <c r="F639" i="120"/>
  <c r="D639" i="120"/>
  <c r="C639" i="120"/>
  <c r="D610" i="12"/>
  <c r="D693" i="12"/>
  <c r="C693" i="12"/>
  <c r="D608" i="12"/>
  <c r="D703" i="12"/>
  <c r="C703" i="12"/>
  <c r="G614" i="120"/>
  <c r="I614" i="120" s="1"/>
  <c r="J614" i="120" s="1"/>
  <c r="J613" i="120" s="1"/>
  <c r="F614" i="120"/>
  <c r="D614" i="120"/>
  <c r="C614" i="120"/>
  <c r="D606" i="12"/>
  <c r="G446" i="120"/>
  <c r="F446" i="120"/>
  <c r="D446" i="120"/>
  <c r="C446" i="120"/>
  <c r="D705" i="12"/>
  <c r="C705" i="12"/>
  <c r="F612" i="120"/>
  <c r="D612" i="120"/>
  <c r="C612" i="120"/>
  <c r="G612" i="120"/>
  <c r="I612" i="120" s="1"/>
  <c r="J612" i="120" s="1"/>
  <c r="J611" i="120" s="1"/>
  <c r="G691" i="120"/>
  <c r="I691" i="120" s="1"/>
  <c r="J691" i="120" s="1"/>
  <c r="J690" i="120" s="1"/>
  <c r="F691" i="120"/>
  <c r="D691" i="120"/>
  <c r="C691" i="120"/>
  <c r="G570" i="120"/>
  <c r="I570" i="120" s="1"/>
  <c r="J570" i="120" s="1"/>
  <c r="J569" i="120" s="1"/>
  <c r="F570" i="120"/>
  <c r="D570" i="120"/>
  <c r="C570" i="120"/>
  <c r="D444" i="12"/>
  <c r="C444" i="12"/>
  <c r="D786" i="12"/>
  <c r="C786" i="12"/>
  <c r="D637" i="12"/>
  <c r="C637" i="12"/>
  <c r="G10" i="58"/>
  <c r="G11" i="58" s="1"/>
  <c r="G123" i="58" s="1"/>
  <c r="G8" i="59"/>
  <c r="G49" i="59"/>
  <c r="G12" i="59"/>
  <c r="G21" i="59"/>
  <c r="G26" i="59"/>
  <c r="G39" i="59"/>
  <c r="G16" i="59"/>
  <c r="G31" i="59"/>
  <c r="G15" i="59"/>
  <c r="BB39" i="58"/>
  <c r="I695" i="120"/>
  <c r="J695" i="120" s="1"/>
  <c r="J694" i="120" s="1"/>
  <c r="I446" i="120"/>
  <c r="J446" i="120" s="1"/>
  <c r="J445" i="120" s="1"/>
  <c r="AX121" i="58"/>
  <c r="AZ153" i="58"/>
  <c r="AZ121" i="58" s="1"/>
  <c r="F53" i="155"/>
  <c r="F52" i="155"/>
  <c r="C53" i="155"/>
  <c r="C52" i="155"/>
  <c r="G53" i="155"/>
  <c r="G52" i="155"/>
  <c r="L52" i="155"/>
  <c r="L53" i="155"/>
  <c r="J53" i="155"/>
  <c r="J52" i="155"/>
  <c r="D52" i="155"/>
  <c r="D53" i="155"/>
  <c r="E52" i="155"/>
  <c r="E53" i="155"/>
  <c r="H52" i="155"/>
  <c r="H53" i="155"/>
  <c r="K53" i="155"/>
  <c r="K52" i="155"/>
  <c r="I52" i="155"/>
  <c r="I53" i="155"/>
  <c r="BA66" i="58"/>
  <c r="BA76" i="58"/>
  <c r="BA67" i="58"/>
  <c r="BA77" i="58"/>
  <c r="AY63" i="58"/>
  <c r="AY73" i="58"/>
  <c r="AY65" i="58"/>
  <c r="AY75" i="58"/>
  <c r="AY66" i="58"/>
  <c r="AY76" i="58"/>
  <c r="AY67" i="58"/>
  <c r="AY77" i="58"/>
  <c r="AY64" i="58"/>
  <c r="AY74" i="58"/>
  <c r="M576" i="12"/>
  <c r="M576" i="120" s="1"/>
  <c r="I881" i="120"/>
  <c r="F164" i="59"/>
  <c r="F154" i="59" s="1"/>
  <c r="I544" i="120"/>
  <c r="J544" i="120" s="1"/>
  <c r="J543" i="120" s="1"/>
  <c r="J50" i="87"/>
  <c r="J799" i="120"/>
  <c r="O799" i="120"/>
  <c r="J798" i="120"/>
  <c r="O798" i="120"/>
  <c r="C71" i="134" s="1"/>
  <c r="M817" i="120"/>
  <c r="B817" i="12"/>
  <c r="H823" i="120"/>
  <c r="M823" i="12"/>
  <c r="F171" i="59"/>
  <c r="F161" i="59" s="1"/>
  <c r="B705" i="120"/>
  <c r="J788" i="120"/>
  <c r="J787" i="120" s="1"/>
  <c r="BH105" i="58"/>
  <c r="BA101" i="58"/>
  <c r="F82" i="59"/>
  <c r="BA103" i="58"/>
  <c r="BA102" i="58"/>
  <c r="X80" i="134"/>
  <c r="Y80" i="134" s="1"/>
  <c r="X79" i="134"/>
  <c r="Y79" i="134" s="1"/>
  <c r="G19" i="122"/>
  <c r="D30" i="134"/>
  <c r="P31" i="134" s="1"/>
  <c r="P32" i="134" s="1"/>
  <c r="BH100" i="58"/>
  <c r="BH102" i="58"/>
  <c r="BH101" i="58"/>
  <c r="AY105" i="58"/>
  <c r="AY106" i="58"/>
  <c r="BH106" i="58"/>
  <c r="BA105" i="58"/>
  <c r="BD105" i="58"/>
  <c r="BG105" i="58"/>
  <c r="BG106" i="58"/>
  <c r="BD100" i="58"/>
  <c r="BD103" i="58"/>
  <c r="BD102" i="58"/>
  <c r="BI103" i="58"/>
  <c r="BA106" i="58"/>
  <c r="BI100" i="58"/>
  <c r="BI101" i="58"/>
  <c r="BI102" i="58"/>
  <c r="BD106" i="58"/>
  <c r="BG102" i="58"/>
  <c r="BG101" i="58"/>
  <c r="BG103" i="58"/>
  <c r="AY100" i="58"/>
  <c r="AY102" i="58"/>
  <c r="AY103" i="58"/>
  <c r="AY101" i="58"/>
  <c r="J927" i="120"/>
  <c r="L925" i="120"/>
  <c r="J31" i="120"/>
  <c r="H576" i="120"/>
  <c r="J576" i="120" s="1"/>
  <c r="J575" i="120" s="1"/>
  <c r="E14" i="77"/>
  <c r="F33" i="122"/>
  <c r="H33" i="122" s="1"/>
  <c r="L32" i="12"/>
  <c r="B440" i="120"/>
  <c r="M442" i="120"/>
  <c r="B442" i="12"/>
  <c r="B444" i="120"/>
  <c r="B608" i="120"/>
  <c r="B606" i="120"/>
  <c r="B703" i="120"/>
  <c r="L343" i="120"/>
  <c r="L344" i="120"/>
  <c r="L352" i="120"/>
  <c r="L351" i="120"/>
  <c r="L375" i="120"/>
  <c r="L391" i="120"/>
  <c r="L321" i="120"/>
  <c r="L370" i="120"/>
  <c r="L401" i="120"/>
  <c r="L366" i="120"/>
  <c r="L390" i="120"/>
  <c r="L361" i="120"/>
  <c r="L349" i="120"/>
  <c r="L360" i="120"/>
  <c r="L327" i="120"/>
  <c r="L324" i="120"/>
  <c r="L365" i="120"/>
  <c r="L329" i="120"/>
  <c r="L395" i="120"/>
  <c r="L409" i="120"/>
  <c r="L394" i="120"/>
  <c r="L340" i="120"/>
  <c r="L397" i="120"/>
  <c r="L323" i="120"/>
  <c r="L314" i="120"/>
  <c r="L392" i="120"/>
  <c r="L320" i="120"/>
  <c r="L331" i="120"/>
  <c r="L369" i="120"/>
  <c r="L353" i="120"/>
  <c r="L348" i="120"/>
  <c r="L399" i="120"/>
  <c r="L376" i="120"/>
  <c r="L368" i="120"/>
  <c r="L381" i="120"/>
  <c r="L326" i="120"/>
  <c r="L342" i="120"/>
  <c r="L396" i="120"/>
  <c r="L354" i="120"/>
  <c r="L358" i="120"/>
  <c r="L372" i="120"/>
  <c r="L371" i="120"/>
  <c r="L325" i="120"/>
  <c r="L335" i="120"/>
  <c r="L364" i="120"/>
  <c r="L330" i="120"/>
  <c r="L337" i="120"/>
  <c r="L388" i="120"/>
  <c r="L339" i="120"/>
  <c r="L411" i="120"/>
  <c r="L384" i="120"/>
  <c r="L382" i="120"/>
  <c r="L380" i="120"/>
  <c r="L387" i="120"/>
  <c r="L346" i="120"/>
  <c r="L316" i="120"/>
  <c r="L383" i="120"/>
  <c r="L379" i="120"/>
  <c r="L334" i="120"/>
  <c r="L403" i="120"/>
  <c r="L333" i="120"/>
  <c r="L374" i="120"/>
  <c r="L378" i="120"/>
  <c r="L385" i="120"/>
  <c r="L318" i="120"/>
  <c r="L359" i="120"/>
  <c r="L373" i="120"/>
  <c r="L407" i="120"/>
  <c r="L347" i="120"/>
  <c r="L350" i="120"/>
  <c r="L317" i="120"/>
  <c r="L338" i="120"/>
  <c r="L367" i="120"/>
  <c r="L357" i="120"/>
  <c r="L341" i="120"/>
  <c r="L332" i="120"/>
  <c r="L328" i="120"/>
  <c r="L393" i="120"/>
  <c r="L319" i="120"/>
  <c r="J19" i="120"/>
  <c r="D34" i="134" s="1"/>
  <c r="T35" i="134" s="1"/>
  <c r="T36" i="134" s="1"/>
  <c r="L355" i="120"/>
  <c r="L362" i="120"/>
  <c r="L398" i="120"/>
  <c r="L405" i="120"/>
  <c r="L336" i="120"/>
  <c r="L389" i="120"/>
  <c r="J412" i="120"/>
  <c r="L356" i="120"/>
  <c r="L363" i="120"/>
  <c r="L377" i="120"/>
  <c r="K123" i="83"/>
  <c r="K122" i="83"/>
  <c r="J89" i="83"/>
  <c r="K89" i="83" s="1"/>
  <c r="J87" i="83"/>
  <c r="K87" i="83" s="1"/>
  <c r="J88" i="83"/>
  <c r="K88" i="83" s="1"/>
  <c r="J130" i="83"/>
  <c r="H883" i="12" s="1"/>
  <c r="M867" i="12"/>
  <c r="H867" i="120"/>
  <c r="K115" i="83"/>
  <c r="M873" i="12"/>
  <c r="H873" i="120"/>
  <c r="I864" i="120"/>
  <c r="J865" i="120"/>
  <c r="J864" i="120" s="1"/>
  <c r="H871" i="120"/>
  <c r="M871" i="12"/>
  <c r="H838" i="120"/>
  <c r="J838" i="120" s="1"/>
  <c r="K121" i="83"/>
  <c r="H875" i="120"/>
  <c r="M875" i="12"/>
  <c r="H891" i="120"/>
  <c r="J891" i="120" s="1"/>
  <c r="J890" i="120" s="1"/>
  <c r="K116" i="83"/>
  <c r="J792" i="120"/>
  <c r="J791" i="120" s="1"/>
  <c r="I791" i="120"/>
  <c r="H66" i="12"/>
  <c r="N10" i="118"/>
  <c r="J69" i="118"/>
  <c r="O761" i="120"/>
  <c r="J761" i="120"/>
  <c r="AA170" i="54"/>
  <c r="H27" i="12"/>
  <c r="H759" i="120"/>
  <c r="O759" i="12"/>
  <c r="N27" i="12" s="1"/>
  <c r="C67" i="39" s="1"/>
  <c r="H762" i="120"/>
  <c r="AA164" i="54"/>
  <c r="Z241" i="54"/>
  <c r="AA241" i="54" s="1"/>
  <c r="Z246" i="54"/>
  <c r="AA246" i="54" s="1"/>
  <c r="Z243" i="54"/>
  <c r="AA243" i="54" s="1"/>
  <c r="Z242" i="54"/>
  <c r="AA242" i="54" s="1"/>
  <c r="B786" i="120"/>
  <c r="B697" i="120"/>
  <c r="B693" i="120"/>
  <c r="F115" i="58"/>
  <c r="F114" i="58"/>
  <c r="F21" i="58"/>
  <c r="F22" i="58" s="1"/>
  <c r="O650" i="120"/>
  <c r="J650" i="120"/>
  <c r="B637" i="120"/>
  <c r="F33" i="58"/>
  <c r="M572" i="12"/>
  <c r="H572" i="120"/>
  <c r="H580" i="120"/>
  <c r="J580" i="120" s="1"/>
  <c r="J579" i="120" s="1"/>
  <c r="M580" i="12"/>
  <c r="M580" i="120" s="1"/>
  <c r="B602" i="120"/>
  <c r="M560" i="120"/>
  <c r="B560" i="12"/>
  <c r="M566" i="120"/>
  <c r="B566" i="12"/>
  <c r="B610" i="120"/>
  <c r="F26" i="58"/>
  <c r="F27" i="58" s="1"/>
  <c r="F98" i="58"/>
  <c r="F104" i="58"/>
  <c r="AY45" i="58"/>
  <c r="AY50" i="58" s="1"/>
  <c r="BB116" i="58"/>
  <c r="BB117" i="58"/>
  <c r="BB55" i="58"/>
  <c r="BB67" i="58" s="1"/>
  <c r="BB43" i="58"/>
  <c r="BB54" i="58"/>
  <c r="BB66" i="58" s="1"/>
  <c r="AY48" i="58"/>
  <c r="BB98" i="58"/>
  <c r="BB104" i="58"/>
  <c r="BB109" i="58" s="1"/>
  <c r="BB110" i="58" s="1"/>
  <c r="BB112" i="58" s="1"/>
  <c r="BB99" i="58"/>
  <c r="BB22" i="58"/>
  <c r="BB35" i="58"/>
  <c r="BB119" i="58"/>
  <c r="BB118" i="58"/>
  <c r="BE101" i="58"/>
  <c r="BE100" i="58"/>
  <c r="BE103" i="58"/>
  <c r="BE102" i="58"/>
  <c r="BF83" i="58"/>
  <c r="BF123" i="58"/>
  <c r="BF125" i="58"/>
  <c r="BF136" i="58" s="1"/>
  <c r="BH83" i="58"/>
  <c r="BH123" i="58"/>
  <c r="BH125" i="58"/>
  <c r="BH136" i="58" s="1"/>
  <c r="W87" i="39"/>
  <c r="W88" i="39" s="1"/>
  <c r="S87" i="39"/>
  <c r="S88" i="39" s="1"/>
  <c r="V87" i="39"/>
  <c r="V88" i="39" s="1"/>
  <c r="H87" i="39"/>
  <c r="H88" i="39" s="1"/>
  <c r="M87" i="39"/>
  <c r="M88" i="39" s="1"/>
  <c r="K87" i="39"/>
  <c r="K88" i="39" s="1"/>
  <c r="R87" i="39"/>
  <c r="R88" i="39" s="1"/>
  <c r="P87" i="39"/>
  <c r="P88" i="39" s="1"/>
  <c r="N87" i="39"/>
  <c r="N88" i="39" s="1"/>
  <c r="G87" i="39"/>
  <c r="G88" i="39" s="1"/>
  <c r="J87" i="39"/>
  <c r="J88" i="39" s="1"/>
  <c r="L87" i="39"/>
  <c r="L88" i="39" s="1"/>
  <c r="F87" i="39"/>
  <c r="O87" i="39"/>
  <c r="O88" i="39" s="1"/>
  <c r="U87" i="39"/>
  <c r="U88" i="39" s="1"/>
  <c r="Q87" i="39"/>
  <c r="Q88" i="39" s="1"/>
  <c r="I87" i="39"/>
  <c r="I88" i="39" s="1"/>
  <c r="T87" i="39"/>
  <c r="T88" i="39" s="1"/>
  <c r="BC44" i="58"/>
  <c r="BC52" i="58"/>
  <c r="BC64" i="58" s="1"/>
  <c r="BC51" i="58"/>
  <c r="BC63" i="58" s="1"/>
  <c r="BC53" i="58"/>
  <c r="BC65" i="58" s="1"/>
  <c r="BC23" i="58"/>
  <c r="BC105" i="58"/>
  <c r="BC106" i="58"/>
  <c r="BH45" i="58"/>
  <c r="BH46" i="58" s="1"/>
  <c r="BF100" i="58"/>
  <c r="BF103" i="58"/>
  <c r="BF101" i="58"/>
  <c r="BF102" i="58"/>
  <c r="BC101" i="58"/>
  <c r="BC103" i="58"/>
  <c r="BC100" i="58"/>
  <c r="BC102" i="58"/>
  <c r="BI108" i="58"/>
  <c r="BI107" i="58"/>
  <c r="BH48" i="58"/>
  <c r="BF50" i="58"/>
  <c r="BD83" i="58"/>
  <c r="BD125" i="58"/>
  <c r="BD136" i="58" s="1"/>
  <c r="BD123" i="58"/>
  <c r="BF106" i="58"/>
  <c r="BF105" i="58"/>
  <c r="BI83" i="58"/>
  <c r="BI125" i="58"/>
  <c r="BI136" i="58" s="1"/>
  <c r="BI123" i="58"/>
  <c r="BC83" i="58"/>
  <c r="BC123" i="58"/>
  <c r="BC125" i="58"/>
  <c r="BC136" i="58" s="1"/>
  <c r="BH50" i="58"/>
  <c r="BF48" i="58"/>
  <c r="BF45" i="58"/>
  <c r="BF46" i="58" s="1"/>
  <c r="BE48" i="58"/>
  <c r="BE45" i="58"/>
  <c r="BE46" i="58" s="1"/>
  <c r="BE50" i="58"/>
  <c r="BE62" i="58" s="1"/>
  <c r="AY83" i="58"/>
  <c r="AY203" i="58" s="1"/>
  <c r="AY123" i="58"/>
  <c r="AY144" i="58" s="1"/>
  <c r="BD50" i="58"/>
  <c r="BD62" i="58" s="1"/>
  <c r="BD48" i="58"/>
  <c r="BD45" i="58"/>
  <c r="BD46" i="58" s="1"/>
  <c r="BG83" i="58"/>
  <c r="BG125" i="58"/>
  <c r="BG136" i="58" s="1"/>
  <c r="BG123" i="58"/>
  <c r="F88" i="134"/>
  <c r="X88" i="134" s="1"/>
  <c r="X87" i="134"/>
  <c r="BI50" i="58"/>
  <c r="BI62" i="58" s="1"/>
  <c r="BI48" i="58"/>
  <c r="BI45" i="58"/>
  <c r="BI46" i="58" s="1"/>
  <c r="BE83" i="58"/>
  <c r="BE123" i="58"/>
  <c r="BE125" i="58"/>
  <c r="BE136" i="58" s="1"/>
  <c r="BA51" i="58"/>
  <c r="BA44" i="58"/>
  <c r="BA53" i="58" s="1"/>
  <c r="BA75" i="58" s="1"/>
  <c r="BA23" i="58"/>
  <c r="BG50" i="58"/>
  <c r="BG62" i="58" s="1"/>
  <c r="BG45" i="58"/>
  <c r="BG46" i="58" s="1"/>
  <c r="BG48" i="58"/>
  <c r="BE105" i="58"/>
  <c r="BE106" i="58"/>
  <c r="BA83" i="58"/>
  <c r="BA203" i="58" s="1"/>
  <c r="BA123" i="58"/>
  <c r="BA144" i="58" s="1"/>
  <c r="BA125" i="58"/>
  <c r="J17" i="78"/>
  <c r="I18" i="78"/>
  <c r="J172" i="120"/>
  <c r="E70" i="43" a="1"/>
  <c r="E71" i="43" a="1"/>
  <c r="G124" i="58" l="1"/>
  <c r="G135" i="58" s="1"/>
  <c r="G440" i="120"/>
  <c r="F440" i="120"/>
  <c r="D440" i="120"/>
  <c r="C440" i="120"/>
  <c r="G602" i="120"/>
  <c r="F602" i="120"/>
  <c r="D602" i="120"/>
  <c r="C602" i="120"/>
  <c r="G697" i="120"/>
  <c r="I697" i="120" s="1"/>
  <c r="J697" i="120" s="1"/>
  <c r="F697" i="120"/>
  <c r="D697" i="120"/>
  <c r="C697" i="120"/>
  <c r="D566" i="12"/>
  <c r="C566" i="12"/>
  <c r="D817" i="12"/>
  <c r="C817" i="12"/>
  <c r="D442" i="12"/>
  <c r="C442" i="12"/>
  <c r="G125" i="58"/>
  <c r="G136" i="58" s="1"/>
  <c r="G693" i="120"/>
  <c r="I693" i="120" s="1"/>
  <c r="J693" i="120" s="1"/>
  <c r="F693" i="120"/>
  <c r="D693" i="120"/>
  <c r="C693" i="120"/>
  <c r="G705" i="120"/>
  <c r="I705" i="120" s="1"/>
  <c r="J705" i="120" s="1"/>
  <c r="J704" i="120" s="1"/>
  <c r="F705" i="120"/>
  <c r="D705" i="120"/>
  <c r="C705" i="120"/>
  <c r="G610" i="120"/>
  <c r="I610" i="120" s="1"/>
  <c r="J610" i="120" s="1"/>
  <c r="F610" i="120"/>
  <c r="D610" i="120"/>
  <c r="C610" i="120"/>
  <c r="D560" i="12"/>
  <c r="C560" i="12"/>
  <c r="G703" i="120"/>
  <c r="I703" i="120" s="1"/>
  <c r="J703" i="120" s="1"/>
  <c r="J702" i="120" s="1"/>
  <c r="F703" i="120"/>
  <c r="D703" i="120"/>
  <c r="C703" i="120"/>
  <c r="G606" i="120"/>
  <c r="I606" i="120" s="1"/>
  <c r="J606" i="120" s="1"/>
  <c r="J605" i="120" s="1"/>
  <c r="F606" i="120"/>
  <c r="D606" i="120"/>
  <c r="C606" i="120"/>
  <c r="G608" i="120"/>
  <c r="I608" i="120" s="1"/>
  <c r="J608" i="120" s="1"/>
  <c r="J607" i="120" s="1"/>
  <c r="F608" i="120"/>
  <c r="D608" i="120"/>
  <c r="C608" i="120"/>
  <c r="G444" i="120"/>
  <c r="I444" i="120" s="1"/>
  <c r="J444" i="120" s="1"/>
  <c r="J443" i="120" s="1"/>
  <c r="F444" i="120"/>
  <c r="D444" i="120"/>
  <c r="C444" i="120"/>
  <c r="G31" i="58"/>
  <c r="G33" i="58" s="1"/>
  <c r="G13" i="58"/>
  <c r="G20" i="58" s="1"/>
  <c r="G42" i="58" s="1"/>
  <c r="G88" i="58"/>
  <c r="G87" i="58" s="1"/>
  <c r="G113" i="58"/>
  <c r="G97" i="58" s="1"/>
  <c r="G104" i="58" s="1"/>
  <c r="G109" i="58" s="1"/>
  <c r="G110" i="58" s="1"/>
  <c r="G17" i="58"/>
  <c r="G18" i="58" s="1"/>
  <c r="G24" i="58" s="1"/>
  <c r="G25" i="58" s="1"/>
  <c r="G637" i="120"/>
  <c r="I637" i="120" s="1"/>
  <c r="J637" i="120" s="1"/>
  <c r="F637" i="120"/>
  <c r="D637" i="120"/>
  <c r="C637" i="120"/>
  <c r="G786" i="120"/>
  <c r="I786" i="120" s="1"/>
  <c r="F786" i="120"/>
  <c r="D786" i="120"/>
  <c r="C786" i="120"/>
  <c r="G171" i="59"/>
  <c r="G161" i="59" s="1"/>
  <c r="G134" i="58"/>
  <c r="I440" i="120"/>
  <c r="J440" i="120" s="1"/>
  <c r="J439" i="120" s="1"/>
  <c r="I602" i="120"/>
  <c r="J602" i="120" s="1"/>
  <c r="BA136" i="58"/>
  <c r="BA146" i="58"/>
  <c r="BA63" i="58"/>
  <c r="BA73" i="58"/>
  <c r="AY60" i="58"/>
  <c r="AY70" i="58"/>
  <c r="AY62" i="58"/>
  <c r="AY72" i="58"/>
  <c r="N31" i="134"/>
  <c r="N32" i="134" s="1"/>
  <c r="I31" i="134"/>
  <c r="I32" i="134" s="1"/>
  <c r="R31" i="134"/>
  <c r="R32" i="134" s="1"/>
  <c r="T31" i="134"/>
  <c r="T32" i="134" s="1"/>
  <c r="E71" i="43"/>
  <c r="G76" i="59" s="1"/>
  <c r="E70" i="43"/>
  <c r="G75" i="59" s="1"/>
  <c r="BH107" i="58"/>
  <c r="B823" i="12"/>
  <c r="M823" i="120"/>
  <c r="B817" i="120"/>
  <c r="AY107" i="58"/>
  <c r="U31" i="134"/>
  <c r="U32" i="134" s="1"/>
  <c r="K31" i="134"/>
  <c r="K32" i="134" s="1"/>
  <c r="W31" i="134"/>
  <c r="W32" i="134" s="1"/>
  <c r="O31" i="134"/>
  <c r="O32" i="134" s="1"/>
  <c r="V31" i="134"/>
  <c r="V32" i="134" s="1"/>
  <c r="F167" i="59"/>
  <c r="F157" i="59" s="1"/>
  <c r="F117" i="58"/>
  <c r="F35" i="58"/>
  <c r="F36" i="58"/>
  <c r="F39" i="58" s="1"/>
  <c r="Q31" i="134"/>
  <c r="Q32" i="134" s="1"/>
  <c r="J31" i="134"/>
  <c r="J32" i="134" s="1"/>
  <c r="F31" i="134"/>
  <c r="F32" i="134" s="1"/>
  <c r="M31" i="134"/>
  <c r="M32" i="134" s="1"/>
  <c r="H31" i="134"/>
  <c r="H32" i="134" s="1"/>
  <c r="S31" i="134"/>
  <c r="S32" i="134" s="1"/>
  <c r="AY108" i="58"/>
  <c r="Z79" i="134"/>
  <c r="Y77" i="134"/>
  <c r="BD107" i="58"/>
  <c r="BG107" i="58"/>
  <c r="BA65" i="58"/>
  <c r="BA52" i="58"/>
  <c r="BG108" i="58"/>
  <c r="F83" i="59"/>
  <c r="F163" i="59" s="1"/>
  <c r="BH108" i="58"/>
  <c r="L31" i="134"/>
  <c r="L32" i="134" s="1"/>
  <c r="G31" i="134"/>
  <c r="G32" i="134" s="1"/>
  <c r="BA108" i="58"/>
  <c r="BA107" i="58"/>
  <c r="BD108" i="58"/>
  <c r="L31" i="120"/>
  <c r="D82" i="134"/>
  <c r="G32" i="122"/>
  <c r="B442" i="120"/>
  <c r="Y96" i="56"/>
  <c r="Z96" i="56" s="1"/>
  <c r="V35" i="134"/>
  <c r="V36" i="134" s="1"/>
  <c r="N35" i="134"/>
  <c r="N36" i="134" s="1"/>
  <c r="G20" i="122"/>
  <c r="U35" i="134"/>
  <c r="U36" i="134" s="1"/>
  <c r="R35" i="134"/>
  <c r="R36" i="134" s="1"/>
  <c r="I35" i="134"/>
  <c r="I36" i="134" s="1"/>
  <c r="W35" i="134"/>
  <c r="W36" i="134" s="1"/>
  <c r="Q35" i="134"/>
  <c r="Q36" i="134" s="1"/>
  <c r="P35" i="134"/>
  <c r="P36" i="134" s="1"/>
  <c r="M35" i="134"/>
  <c r="M36" i="134" s="1"/>
  <c r="K35" i="134"/>
  <c r="K36" i="134" s="1"/>
  <c r="O35" i="134"/>
  <c r="O36" i="134" s="1"/>
  <c r="J35" i="134"/>
  <c r="J36" i="134" s="1"/>
  <c r="G35" i="134"/>
  <c r="G36" i="134" s="1"/>
  <c r="S35" i="134"/>
  <c r="S36" i="134" s="1"/>
  <c r="F35" i="134"/>
  <c r="F36" i="134" s="1"/>
  <c r="H35" i="134"/>
  <c r="H36" i="134" s="1"/>
  <c r="L35" i="134"/>
  <c r="L36" i="134" s="1"/>
  <c r="L19" i="120"/>
  <c r="H66" i="120"/>
  <c r="O66" i="120" s="1"/>
  <c r="O66" i="12"/>
  <c r="K130" i="83"/>
  <c r="M871" i="120"/>
  <c r="B871" i="12"/>
  <c r="J119" i="83"/>
  <c r="H879" i="12" s="1"/>
  <c r="J127" i="83"/>
  <c r="H889" i="12" s="1"/>
  <c r="M873" i="120"/>
  <c r="B873" i="12"/>
  <c r="I880" i="120"/>
  <c r="J881" i="120"/>
  <c r="J880" i="120" s="1"/>
  <c r="M875" i="120"/>
  <c r="B875" i="12"/>
  <c r="M867" i="120"/>
  <c r="B867" i="12"/>
  <c r="M883" i="12"/>
  <c r="H883" i="120"/>
  <c r="J125" i="83"/>
  <c r="H877" i="12" s="1"/>
  <c r="J762" i="120"/>
  <c r="O762" i="120"/>
  <c r="F116" i="58"/>
  <c r="H27" i="120"/>
  <c r="C66" i="134" s="1"/>
  <c r="O759" i="120"/>
  <c r="N27" i="120" s="1"/>
  <c r="C67" i="134" s="1"/>
  <c r="J759" i="120"/>
  <c r="D28" i="122"/>
  <c r="C26" i="77"/>
  <c r="J70" i="118"/>
  <c r="J74" i="118"/>
  <c r="F23" i="58"/>
  <c r="F118" i="58"/>
  <c r="F119" i="58"/>
  <c r="B560" i="120"/>
  <c r="B566" i="120"/>
  <c r="M572" i="120"/>
  <c r="B572" i="12"/>
  <c r="F105" i="58"/>
  <c r="F109" i="58"/>
  <c r="F110" i="58" s="1"/>
  <c r="AY46" i="58"/>
  <c r="AY49" i="58"/>
  <c r="BE49" i="58"/>
  <c r="BE61" i="58" s="1"/>
  <c r="BB23" i="58"/>
  <c r="BB51" i="58"/>
  <c r="BB63" i="58" s="1"/>
  <c r="BB53" i="58"/>
  <c r="BB65" i="58" s="1"/>
  <c r="BB44" i="58"/>
  <c r="BB52" i="58"/>
  <c r="BB64" i="58" s="1"/>
  <c r="BB106" i="58"/>
  <c r="BB105" i="58"/>
  <c r="X87" i="39"/>
  <c r="Y87" i="39" s="1"/>
  <c r="BB101" i="58"/>
  <c r="BB102" i="58"/>
  <c r="BB103" i="58"/>
  <c r="BB100" i="58"/>
  <c r="BB83" i="58"/>
  <c r="BB123" i="58"/>
  <c r="BB125" i="58"/>
  <c r="BB136" i="58" s="1"/>
  <c r="BI199" i="58"/>
  <c r="BI120" i="58"/>
  <c r="BF120" i="58"/>
  <c r="BF199" i="58"/>
  <c r="BE85" i="58"/>
  <c r="BE93" i="58"/>
  <c r="Y85" i="134"/>
  <c r="Y88" i="134"/>
  <c r="Z87" i="134"/>
  <c r="Y87" i="134"/>
  <c r="BD134" i="58"/>
  <c r="BC108" i="58"/>
  <c r="BC107" i="58"/>
  <c r="BI49" i="58"/>
  <c r="BI61" i="58" s="1"/>
  <c r="AY134" i="58"/>
  <c r="BA48" i="58"/>
  <c r="BA70" i="58" s="1"/>
  <c r="BA50" i="58"/>
  <c r="BA45" i="58"/>
  <c r="BA46" i="58" s="1"/>
  <c r="BI60" i="58"/>
  <c r="BG134" i="58"/>
  <c r="AY93" i="58"/>
  <c r="BE199" i="58"/>
  <c r="BE120" i="58"/>
  <c r="BF60" i="58"/>
  <c r="BD85" i="58"/>
  <c r="BD93" i="58"/>
  <c r="BG60" i="58"/>
  <c r="BE60" i="58"/>
  <c r="BH62" i="58"/>
  <c r="BH49" i="58"/>
  <c r="BH61" i="58" s="1"/>
  <c r="BC45" i="58"/>
  <c r="BC46" i="58" s="1"/>
  <c r="BC50" i="58"/>
  <c r="BC62" i="58" s="1"/>
  <c r="BC48" i="58"/>
  <c r="BG120" i="58"/>
  <c r="BG199" i="58"/>
  <c r="BG49" i="58"/>
  <c r="BG61" i="58" s="1"/>
  <c r="BG85" i="58"/>
  <c r="BG93" i="58"/>
  <c r="BH134" i="58"/>
  <c r="BC134" i="58"/>
  <c r="BH93" i="58"/>
  <c r="BH85" i="58"/>
  <c r="BC93" i="58"/>
  <c r="BA134" i="58"/>
  <c r="BI134" i="58"/>
  <c r="BF134" i="58"/>
  <c r="BA93" i="58"/>
  <c r="BD120" i="58"/>
  <c r="BD199" i="58"/>
  <c r="BD49" i="58"/>
  <c r="BD61" i="58" s="1"/>
  <c r="F88" i="39"/>
  <c r="X88" i="39" s="1"/>
  <c r="BF85" i="58"/>
  <c r="BF93" i="58"/>
  <c r="BD60" i="58"/>
  <c r="BI93" i="58"/>
  <c r="BI85" i="58"/>
  <c r="BF62" i="58"/>
  <c r="BF49" i="58"/>
  <c r="BF61" i="58" s="1"/>
  <c r="BE108" i="58"/>
  <c r="BE107" i="58"/>
  <c r="BH60" i="58"/>
  <c r="BH199" i="58"/>
  <c r="BH120" i="58"/>
  <c r="BF107" i="58"/>
  <c r="BF108" i="58"/>
  <c r="BE134" i="58"/>
  <c r="I19" i="78"/>
  <c r="J18" i="78"/>
  <c r="E72" i="43" a="1"/>
  <c r="D871" i="12" l="1"/>
  <c r="C871" i="12"/>
  <c r="D566" i="120"/>
  <c r="C566" i="120"/>
  <c r="G566" i="120"/>
  <c r="I566" i="120" s="1"/>
  <c r="J566" i="120" s="1"/>
  <c r="F566" i="120"/>
  <c r="D817" i="120"/>
  <c r="C817" i="120"/>
  <c r="G817" i="120"/>
  <c r="I817" i="120" s="1"/>
  <c r="J817" i="120" s="1"/>
  <c r="F817" i="120"/>
  <c r="G32" i="58"/>
  <c r="G34" i="58" s="1"/>
  <c r="G119" i="58" s="1"/>
  <c r="G442" i="120"/>
  <c r="I442" i="120" s="1"/>
  <c r="J442" i="120" s="1"/>
  <c r="F442" i="120"/>
  <c r="D442" i="120"/>
  <c r="C442" i="120"/>
  <c r="G21" i="58"/>
  <c r="G55" i="58" s="1"/>
  <c r="G67" i="58" s="1"/>
  <c r="G56" i="58"/>
  <c r="G68" i="58" s="1"/>
  <c r="G57" i="58"/>
  <c r="G69" i="58" s="1"/>
  <c r="D572" i="12"/>
  <c r="C572" i="12"/>
  <c r="G560" i="120"/>
  <c r="I560" i="120" s="1"/>
  <c r="J560" i="120" s="1"/>
  <c r="F560" i="120"/>
  <c r="D560" i="120"/>
  <c r="C560" i="120"/>
  <c r="D823" i="12"/>
  <c r="C823" i="12"/>
  <c r="D873" i="12"/>
  <c r="C873" i="12"/>
  <c r="G114" i="58"/>
  <c r="G117" i="58" s="1"/>
  <c r="G98" i="58"/>
  <c r="D875" i="12"/>
  <c r="C875" i="12"/>
  <c r="D867" i="12"/>
  <c r="C867" i="12"/>
  <c r="G115" i="58"/>
  <c r="G164" i="59"/>
  <c r="G154" i="59" s="1"/>
  <c r="G106" i="58"/>
  <c r="G105" i="58"/>
  <c r="G26" i="58"/>
  <c r="G27" i="58" s="1"/>
  <c r="F99" i="58"/>
  <c r="F100" i="58" s="1"/>
  <c r="F23" i="60"/>
  <c r="BA62" i="58"/>
  <c r="BA72" i="58"/>
  <c r="BA64" i="58"/>
  <c r="BA74" i="58"/>
  <c r="AY61" i="58"/>
  <c r="AY71" i="58"/>
  <c r="E72" i="43"/>
  <c r="G82" i="59" s="1"/>
  <c r="G167" i="59" s="1"/>
  <c r="G157" i="59" s="1"/>
  <c r="AY85" i="58"/>
  <c r="AY86" i="58" s="1"/>
  <c r="F168" i="59"/>
  <c r="F158" i="59" s="1"/>
  <c r="F153" i="59"/>
  <c r="B823" i="120"/>
  <c r="F165" i="59"/>
  <c r="F155" i="59" s="1"/>
  <c r="F166" i="59"/>
  <c r="F156" i="59" s="1"/>
  <c r="F162" i="59"/>
  <c r="F152" i="59" s="1"/>
  <c r="X31" i="134"/>
  <c r="Z31" i="134" s="1"/>
  <c r="X32" i="134"/>
  <c r="F43" i="58"/>
  <c r="F55" i="58" s="1"/>
  <c r="F77" i="58" s="1"/>
  <c r="F106" i="58"/>
  <c r="F112" i="58" s="1"/>
  <c r="H83" i="134"/>
  <c r="H84" i="134" s="1"/>
  <c r="G83" i="134"/>
  <c r="G84" i="134" s="1"/>
  <c r="I83" i="134"/>
  <c r="I84" i="134" s="1"/>
  <c r="K83" i="134"/>
  <c r="K84" i="134" s="1"/>
  <c r="O83" i="134"/>
  <c r="O84" i="134" s="1"/>
  <c r="P83" i="134"/>
  <c r="P84" i="134" s="1"/>
  <c r="T83" i="134"/>
  <c r="T84" i="134" s="1"/>
  <c r="L83" i="134"/>
  <c r="L84" i="134" s="1"/>
  <c r="M83" i="134"/>
  <c r="M84" i="134" s="1"/>
  <c r="W83" i="134"/>
  <c r="W84" i="134" s="1"/>
  <c r="Q83" i="134"/>
  <c r="Q84" i="134" s="1"/>
  <c r="N83" i="134"/>
  <c r="N84" i="134" s="1"/>
  <c r="J83" i="134"/>
  <c r="J84" i="134" s="1"/>
  <c r="R83" i="134"/>
  <c r="R84" i="134" s="1"/>
  <c r="S83" i="134"/>
  <c r="S84" i="134" s="1"/>
  <c r="U83" i="134"/>
  <c r="U84" i="134" s="1"/>
  <c r="F83" i="134"/>
  <c r="V83" i="134"/>
  <c r="V84" i="134" s="1"/>
  <c r="Y115" i="56"/>
  <c r="Y101" i="56"/>
  <c r="Z101" i="56" s="1"/>
  <c r="F83" i="58"/>
  <c r="F203" i="58" s="1"/>
  <c r="F42" i="58"/>
  <c r="F57" i="58" s="1"/>
  <c r="F79" i="58" s="1"/>
  <c r="AY120" i="58"/>
  <c r="AY89" i="58" s="1"/>
  <c r="AY90" i="58" s="1"/>
  <c r="AY91" i="58" s="1"/>
  <c r="BH80" i="58"/>
  <c r="BH81" i="58" s="1"/>
  <c r="BA85" i="58"/>
  <c r="BA86" i="58" s="1"/>
  <c r="X36" i="134"/>
  <c r="X35" i="134"/>
  <c r="Y35" i="134" s="1"/>
  <c r="G12" i="153"/>
  <c r="F45" i="58"/>
  <c r="F48" i="58" s="1"/>
  <c r="K127" i="83"/>
  <c r="K125" i="83"/>
  <c r="B873" i="120"/>
  <c r="H877" i="120"/>
  <c r="M877" i="12"/>
  <c r="M889" i="12"/>
  <c r="M889" i="120" s="1"/>
  <c r="H889" i="120"/>
  <c r="J889" i="120" s="1"/>
  <c r="B883" i="12"/>
  <c r="M883" i="120"/>
  <c r="B867" i="120"/>
  <c r="M879" i="12"/>
  <c r="H879" i="120"/>
  <c r="K119" i="83"/>
  <c r="B875" i="120"/>
  <c r="B871" i="120"/>
  <c r="F51" i="58"/>
  <c r="F44" i="58"/>
  <c r="F53" i="58" s="1"/>
  <c r="J66" i="120"/>
  <c r="J786" i="120"/>
  <c r="I785" i="120"/>
  <c r="J696" i="120"/>
  <c r="J692" i="120"/>
  <c r="J636" i="120"/>
  <c r="J609" i="120"/>
  <c r="B572" i="120"/>
  <c r="J601" i="120"/>
  <c r="Z87" i="39"/>
  <c r="Y88" i="39"/>
  <c r="AY80" i="58"/>
  <c r="AY81" i="58" s="1"/>
  <c r="BA49" i="58"/>
  <c r="BF80" i="58"/>
  <c r="BF81" i="58" s="1"/>
  <c r="BB50" i="58"/>
  <c r="BB62" i="58" s="1"/>
  <c r="BB48" i="58"/>
  <c r="BB134" i="58"/>
  <c r="BB93" i="58"/>
  <c r="BB45" i="58"/>
  <c r="BB46" i="58" s="1"/>
  <c r="BB199" i="58" s="1"/>
  <c r="BI80" i="58"/>
  <c r="BI81" i="58" s="1"/>
  <c r="BE80" i="58"/>
  <c r="BE81" i="58" s="1"/>
  <c r="BB108" i="58"/>
  <c r="BB107" i="58"/>
  <c r="BC120" i="58"/>
  <c r="BC199" i="58"/>
  <c r="BC85" i="58"/>
  <c r="BG86" i="58"/>
  <c r="BG216" i="58"/>
  <c r="BG80" i="58"/>
  <c r="BG81" i="58" s="1"/>
  <c r="BF94" i="58"/>
  <c r="BF92" i="58"/>
  <c r="BC94" i="58"/>
  <c r="BC92" i="58"/>
  <c r="BG47" i="58"/>
  <c r="BG58" i="58"/>
  <c r="BF86" i="58"/>
  <c r="BF216" i="58"/>
  <c r="BD94" i="58"/>
  <c r="BD92" i="58"/>
  <c r="BD86" i="58"/>
  <c r="BD216" i="58"/>
  <c r="BI47" i="58"/>
  <c r="BI58" i="58"/>
  <c r="BG89" i="58"/>
  <c r="BG124" i="58"/>
  <c r="BF47" i="58"/>
  <c r="BF58" i="58"/>
  <c r="BC60" i="58"/>
  <c r="BE89" i="58"/>
  <c r="BE124" i="58"/>
  <c r="BA120" i="58"/>
  <c r="BA199" i="58" s="1"/>
  <c r="BC49" i="58"/>
  <c r="BC61" i="58" s="1"/>
  <c r="Y85" i="39"/>
  <c r="BH89" i="58"/>
  <c r="BH124" i="58"/>
  <c r="BD89" i="58"/>
  <c r="BD124" i="58"/>
  <c r="BH216" i="58"/>
  <c r="BH86" i="58"/>
  <c r="BA60" i="58"/>
  <c r="BH92" i="58"/>
  <c r="BH94" i="58"/>
  <c r="BH58" i="58"/>
  <c r="BH47" i="58"/>
  <c r="BA94" i="58"/>
  <c r="BA92" i="58"/>
  <c r="AY92" i="58"/>
  <c r="AY94" i="58"/>
  <c r="BE94" i="58"/>
  <c r="BE92" i="58"/>
  <c r="BE86" i="58"/>
  <c r="BE216" i="58"/>
  <c r="BI216" i="58"/>
  <c r="BI86" i="58"/>
  <c r="BI92" i="58"/>
  <c r="BI94" i="58"/>
  <c r="BE58" i="58"/>
  <c r="BE47" i="58"/>
  <c r="BF89" i="58"/>
  <c r="BF124" i="58"/>
  <c r="BD80" i="58"/>
  <c r="BD81" i="58" s="1"/>
  <c r="BI89" i="58"/>
  <c r="BI124" i="58"/>
  <c r="BD58" i="58"/>
  <c r="BD47" i="58"/>
  <c r="BG92" i="58"/>
  <c r="BG94" i="58"/>
  <c r="J19" i="78"/>
  <c r="I20" i="78"/>
  <c r="E73" i="43" a="1"/>
  <c r="G36" i="58" l="1"/>
  <c r="G39" i="58" s="1"/>
  <c r="G118" i="58"/>
  <c r="G35" i="58"/>
  <c r="G871" i="120"/>
  <c r="I871" i="120" s="1"/>
  <c r="F871" i="120"/>
  <c r="D871" i="120"/>
  <c r="C871" i="120"/>
  <c r="G22" i="58"/>
  <c r="G44" i="58" s="1"/>
  <c r="G53" i="58" s="1"/>
  <c r="G65" i="58" s="1"/>
  <c r="G43" i="58"/>
  <c r="G54" i="58"/>
  <c r="G66" i="58" s="1"/>
  <c r="G823" i="120"/>
  <c r="I823" i="120" s="1"/>
  <c r="J823" i="120" s="1"/>
  <c r="F823" i="120"/>
  <c r="D823" i="120"/>
  <c r="C823" i="120"/>
  <c r="G572" i="120"/>
  <c r="I572" i="120" s="1"/>
  <c r="J572" i="120" s="1"/>
  <c r="F572" i="120"/>
  <c r="D572" i="120"/>
  <c r="C572" i="120"/>
  <c r="G116" i="58"/>
  <c r="G873" i="120"/>
  <c r="I873" i="120" s="1"/>
  <c r="F873" i="120"/>
  <c r="D873" i="120"/>
  <c r="C873" i="120"/>
  <c r="D883" i="12"/>
  <c r="C883" i="12"/>
  <c r="G875" i="120"/>
  <c r="I875" i="120" s="1"/>
  <c r="F875" i="120"/>
  <c r="D875" i="120"/>
  <c r="C875" i="120"/>
  <c r="D867" i="120"/>
  <c r="C867" i="120"/>
  <c r="G867" i="120"/>
  <c r="I867" i="120" s="1"/>
  <c r="F867" i="120"/>
  <c r="G83" i="58"/>
  <c r="G126" i="58"/>
  <c r="G99" i="58"/>
  <c r="G108" i="58"/>
  <c r="G107" i="58"/>
  <c r="G112" i="58"/>
  <c r="G111" i="58"/>
  <c r="AY58" i="58"/>
  <c r="J441" i="120"/>
  <c r="J413" i="120" s="1"/>
  <c r="L442" i="120" s="1"/>
  <c r="Z115" i="56"/>
  <c r="H635" i="12"/>
  <c r="F101" i="58"/>
  <c r="F103" i="58"/>
  <c r="F102" i="58"/>
  <c r="F26" i="60"/>
  <c r="F24" i="60"/>
  <c r="F25" i="60" s="1"/>
  <c r="BA61" i="58"/>
  <c r="BA71" i="58"/>
  <c r="AY47" i="58"/>
  <c r="F60" i="58"/>
  <c r="F70" i="58"/>
  <c r="F63" i="58"/>
  <c r="F73" i="58"/>
  <c r="F65" i="58"/>
  <c r="F75" i="58"/>
  <c r="AY199" i="58"/>
  <c r="E73" i="43"/>
  <c r="G83" i="59" s="1"/>
  <c r="AY216" i="58"/>
  <c r="Y31" i="134"/>
  <c r="Y29" i="134"/>
  <c r="F50" i="58"/>
  <c r="J816" i="120"/>
  <c r="Y32" i="134"/>
  <c r="F67" i="58"/>
  <c r="F54" i="58"/>
  <c r="F108" i="58"/>
  <c r="F111" i="58"/>
  <c r="F107" i="58"/>
  <c r="F84" i="134"/>
  <c r="X84" i="134" s="1"/>
  <c r="X83" i="134"/>
  <c r="Y36" i="134"/>
  <c r="AY125" i="58"/>
  <c r="AY124" i="58"/>
  <c r="H12" i="153"/>
  <c r="BA216" i="58"/>
  <c r="Y110" i="56"/>
  <c r="Y107" i="56"/>
  <c r="F93" i="58"/>
  <c r="F92" i="58" s="1"/>
  <c r="F69" i="58"/>
  <c r="F56" i="58"/>
  <c r="AY201" i="58"/>
  <c r="Z35" i="134"/>
  <c r="Y33" i="134"/>
  <c r="J582" i="120"/>
  <c r="L602" i="120" s="1"/>
  <c r="F46" i="58"/>
  <c r="B883" i="120"/>
  <c r="J888" i="120"/>
  <c r="B877" i="12"/>
  <c r="M877" i="120"/>
  <c r="B879" i="12"/>
  <c r="M879" i="120"/>
  <c r="J785" i="120"/>
  <c r="J752" i="120" s="1"/>
  <c r="J565" i="120"/>
  <c r="J559" i="120"/>
  <c r="F52" i="58"/>
  <c r="BD95" i="58"/>
  <c r="BD96" i="58" s="1"/>
  <c r="BD212" i="58" s="1"/>
  <c r="BD204" i="58" s="1"/>
  <c r="BA80" i="58"/>
  <c r="BA81" i="58" s="1"/>
  <c r="BF95" i="58"/>
  <c r="BF96" i="58" s="1"/>
  <c r="BF212" i="58" s="1"/>
  <c r="BF204" i="58" s="1"/>
  <c r="BE95" i="58"/>
  <c r="BE96" i="58" s="1"/>
  <c r="BE212" i="58" s="1"/>
  <c r="BE204" i="58" s="1"/>
  <c r="BG95" i="58"/>
  <c r="BG96" i="58" s="1"/>
  <c r="BG212" i="58" s="1"/>
  <c r="BG204" i="58" s="1"/>
  <c r="BI95" i="58"/>
  <c r="BI96" i="58" s="1"/>
  <c r="BI212" i="58" s="1"/>
  <c r="BI204" i="58" s="1"/>
  <c r="BB120" i="58"/>
  <c r="BB85" i="58"/>
  <c r="BC95" i="58"/>
  <c r="BC96" i="58" s="1"/>
  <c r="BC212" i="58" s="1"/>
  <c r="BC204" i="58" s="1"/>
  <c r="BB94" i="58"/>
  <c r="BB92" i="58"/>
  <c r="BB49" i="58"/>
  <c r="BB61" i="58" s="1"/>
  <c r="BH95" i="58"/>
  <c r="BH96" i="58" s="1"/>
  <c r="BH212" i="58" s="1"/>
  <c r="BH204" i="58" s="1"/>
  <c r="BB60" i="58"/>
  <c r="BC80" i="58"/>
  <c r="BC81" i="58" s="1"/>
  <c r="AY95" i="58"/>
  <c r="AY96" i="58" s="1"/>
  <c r="AY212" i="58" s="1"/>
  <c r="AY204" i="58" s="1"/>
  <c r="BI135" i="58"/>
  <c r="BI126" i="58"/>
  <c r="BI127" i="58" s="1"/>
  <c r="BI138" i="58" s="1"/>
  <c r="BE90" i="58"/>
  <c r="BE91" i="58" s="1"/>
  <c r="BD135" i="58"/>
  <c r="BD126" i="58"/>
  <c r="BD137" i="58" s="1"/>
  <c r="BG90" i="58"/>
  <c r="BG91" i="58" s="1"/>
  <c r="BI90" i="58"/>
  <c r="BI91" i="58" s="1"/>
  <c r="BI201" i="58" s="1"/>
  <c r="BD90" i="58"/>
  <c r="BD91" i="58" s="1"/>
  <c r="BC47" i="58"/>
  <c r="BC58" i="58"/>
  <c r="AY215" i="58"/>
  <c r="AY200" i="58"/>
  <c r="BH135" i="58"/>
  <c r="BH126" i="58"/>
  <c r="BH137" i="58" s="1"/>
  <c r="BG203" i="58"/>
  <c r="BF135" i="58"/>
  <c r="BF126" i="58"/>
  <c r="BF127" i="58" s="1"/>
  <c r="BH90" i="58"/>
  <c r="BH91" i="58" s="1"/>
  <c r="BF90" i="58"/>
  <c r="BF91" i="58" s="1"/>
  <c r="BF201" i="58" s="1"/>
  <c r="BE203" i="58"/>
  <c r="BI203" i="58"/>
  <c r="BD203" i="58"/>
  <c r="BH203" i="58"/>
  <c r="BC86" i="58"/>
  <c r="BC216" i="58"/>
  <c r="BF203" i="58"/>
  <c r="BA89" i="58"/>
  <c r="BA124" i="58"/>
  <c r="BA145" i="58" s="1"/>
  <c r="BA95" i="58"/>
  <c r="BA96" i="58" s="1"/>
  <c r="BA212" i="58" s="1"/>
  <c r="BA204" i="58" s="1"/>
  <c r="BE135" i="58"/>
  <c r="BE126" i="58"/>
  <c r="BE127" i="58" s="1"/>
  <c r="BE138" i="58" s="1"/>
  <c r="BG135" i="58"/>
  <c r="BG126" i="58"/>
  <c r="BC89" i="58"/>
  <c r="BC203" i="58" s="1"/>
  <c r="BC124" i="58"/>
  <c r="J20" i="78"/>
  <c r="I21" i="78"/>
  <c r="G23" i="58" l="1"/>
  <c r="G51" i="58"/>
  <c r="G63" i="58" s="1"/>
  <c r="G883" i="120"/>
  <c r="F883" i="120"/>
  <c r="D883" i="120"/>
  <c r="C883" i="120"/>
  <c r="D879" i="12"/>
  <c r="C879" i="12"/>
  <c r="D877" i="12"/>
  <c r="C877" i="12"/>
  <c r="G168" i="59"/>
  <c r="G158" i="59" s="1"/>
  <c r="G163" i="59"/>
  <c r="G153" i="59" s="1"/>
  <c r="G162" i="59"/>
  <c r="G152" i="59" s="1"/>
  <c r="G166" i="59"/>
  <c r="G156" i="59" s="1"/>
  <c r="G165" i="59"/>
  <c r="G155" i="59" s="1"/>
  <c r="G103" i="58"/>
  <c r="G102" i="58"/>
  <c r="G101" i="58"/>
  <c r="G100" i="58"/>
  <c r="G137" i="58"/>
  <c r="G93" i="58"/>
  <c r="G203" i="58"/>
  <c r="G45" i="58"/>
  <c r="G46" i="58" s="1"/>
  <c r="G50" i="58"/>
  <c r="G62" i="58" s="1"/>
  <c r="G49" i="58"/>
  <c r="G61" i="58" s="1"/>
  <c r="G48" i="58"/>
  <c r="J20" i="120"/>
  <c r="L419" i="120"/>
  <c r="L415" i="120"/>
  <c r="L432" i="120"/>
  <c r="L422" i="120"/>
  <c r="J447" i="120"/>
  <c r="L413" i="120"/>
  <c r="L420" i="120"/>
  <c r="L438" i="120"/>
  <c r="L417" i="120"/>
  <c r="L435" i="120"/>
  <c r="L428" i="120"/>
  <c r="L421" i="120"/>
  <c r="L414" i="120"/>
  <c r="L424" i="120"/>
  <c r="L418" i="120"/>
  <c r="L434" i="120"/>
  <c r="L425" i="120"/>
  <c r="L427" i="120"/>
  <c r="L437" i="120"/>
  <c r="L436" i="120"/>
  <c r="L444" i="120"/>
  <c r="L416" i="120"/>
  <c r="L433" i="120"/>
  <c r="L431" i="120"/>
  <c r="L446" i="120"/>
  <c r="L440" i="120"/>
  <c r="L430" i="120"/>
  <c r="L423" i="120"/>
  <c r="L429" i="120"/>
  <c r="L426" i="120"/>
  <c r="I883" i="120"/>
  <c r="BA58" i="58"/>
  <c r="BA47" i="58"/>
  <c r="F28" i="60"/>
  <c r="F31" i="60" s="1"/>
  <c r="G12" i="61"/>
  <c r="F29" i="60"/>
  <c r="F32" i="60" s="1"/>
  <c r="H631" i="12"/>
  <c r="H631" i="120" s="1"/>
  <c r="J631" i="120" s="1"/>
  <c r="H628" i="12"/>
  <c r="L786" i="120"/>
  <c r="AY135" i="58"/>
  <c r="AY145" i="58"/>
  <c r="AY136" i="58"/>
  <c r="AY146" i="58"/>
  <c r="F62" i="58"/>
  <c r="F72" i="58"/>
  <c r="F68" i="58"/>
  <c r="F78" i="58"/>
  <c r="F66" i="58"/>
  <c r="F76" i="58"/>
  <c r="F64" i="58"/>
  <c r="F74" i="58"/>
  <c r="F49" i="58"/>
  <c r="J822" i="120"/>
  <c r="J796" i="120" s="1"/>
  <c r="Z110" i="56"/>
  <c r="Z107" i="56"/>
  <c r="AY126" i="58"/>
  <c r="Y83" i="134"/>
  <c r="Z83" i="134"/>
  <c r="Y84" i="134"/>
  <c r="Y81" i="134"/>
  <c r="F120" i="58"/>
  <c r="F94" i="58"/>
  <c r="F95" i="58" s="1"/>
  <c r="F96" i="58" s="1"/>
  <c r="F212" i="58" s="1"/>
  <c r="F204" i="58" s="1"/>
  <c r="L592" i="120"/>
  <c r="J623" i="120"/>
  <c r="L594" i="120"/>
  <c r="J23" i="120"/>
  <c r="D50" i="134" s="1"/>
  <c r="L600" i="120"/>
  <c r="Y116" i="56"/>
  <c r="H643" i="12" s="1"/>
  <c r="H632" i="12"/>
  <c r="L596" i="120"/>
  <c r="L591" i="120"/>
  <c r="L595" i="120"/>
  <c r="L614" i="120"/>
  <c r="L608" i="120"/>
  <c r="L620" i="120"/>
  <c r="L612" i="120"/>
  <c r="L593" i="120"/>
  <c r="L616" i="120"/>
  <c r="L606" i="120"/>
  <c r="L598" i="120"/>
  <c r="L622" i="120"/>
  <c r="L618" i="120"/>
  <c r="L584" i="120"/>
  <c r="L610" i="120"/>
  <c r="L604" i="120"/>
  <c r="L590" i="120"/>
  <c r="L586" i="120"/>
  <c r="L585" i="120"/>
  <c r="L583" i="120"/>
  <c r="L589" i="120"/>
  <c r="L597" i="120"/>
  <c r="L588" i="120"/>
  <c r="L582" i="120"/>
  <c r="L587" i="120"/>
  <c r="F85" i="58"/>
  <c r="F216" i="58" s="1"/>
  <c r="B879" i="120"/>
  <c r="B877" i="120"/>
  <c r="I870" i="120"/>
  <c r="J871" i="120"/>
  <c r="I874" i="120"/>
  <c r="J875" i="120"/>
  <c r="I866" i="120"/>
  <c r="J867" i="120"/>
  <c r="I872" i="120"/>
  <c r="J873" i="120"/>
  <c r="L752" i="120"/>
  <c r="L753" i="120"/>
  <c r="L771" i="120"/>
  <c r="L765" i="120"/>
  <c r="L764" i="120"/>
  <c r="L758" i="120"/>
  <c r="L763" i="120"/>
  <c r="L769" i="120"/>
  <c r="L772" i="120"/>
  <c r="L782" i="120"/>
  <c r="L780" i="120"/>
  <c r="L776" i="120"/>
  <c r="L773" i="120"/>
  <c r="L777" i="120"/>
  <c r="L767" i="120"/>
  <c r="L761" i="120"/>
  <c r="L784" i="120"/>
  <c r="L790" i="120"/>
  <c r="L792" i="120"/>
  <c r="L768" i="120"/>
  <c r="L781" i="120"/>
  <c r="L754" i="120"/>
  <c r="L757" i="120"/>
  <c r="J27" i="120"/>
  <c r="L788" i="120"/>
  <c r="L774" i="120"/>
  <c r="L778" i="120"/>
  <c r="L794" i="120"/>
  <c r="L766" i="120"/>
  <c r="L770" i="120"/>
  <c r="L783" i="120"/>
  <c r="J795" i="120"/>
  <c r="L756" i="120"/>
  <c r="L775" i="120"/>
  <c r="L779" i="120"/>
  <c r="L760" i="120"/>
  <c r="L755" i="120"/>
  <c r="L759" i="120"/>
  <c r="L762" i="120"/>
  <c r="BB95" i="58"/>
  <c r="BB96" i="58" s="1"/>
  <c r="BB212" i="58" s="1"/>
  <c r="BB204" i="58" s="1"/>
  <c r="J571" i="120"/>
  <c r="BB80" i="58"/>
  <c r="BB81" i="58" s="1"/>
  <c r="BB58" i="58"/>
  <c r="BB47" i="58"/>
  <c r="BB86" i="58"/>
  <c r="BB216" i="58"/>
  <c r="BB89" i="58"/>
  <c r="BB124" i="58"/>
  <c r="BF138" i="58"/>
  <c r="BF128" i="58"/>
  <c r="BF139" i="58" s="1"/>
  <c r="BG137" i="58"/>
  <c r="BD200" i="58"/>
  <c r="BD215" i="58"/>
  <c r="BA135" i="58"/>
  <c r="BA126" i="58"/>
  <c r="BE200" i="58"/>
  <c r="BE215" i="58"/>
  <c r="BH200" i="58"/>
  <c r="BH215" i="58"/>
  <c r="BE201" i="58"/>
  <c r="BA90" i="58"/>
  <c r="BA91" i="58" s="1"/>
  <c r="BA201" i="58" s="1"/>
  <c r="BH201" i="58"/>
  <c r="BI200" i="58"/>
  <c r="BI215" i="58"/>
  <c r="BI128" i="58"/>
  <c r="BI139" i="58" s="1"/>
  <c r="BH127" i="58"/>
  <c r="BG200" i="58"/>
  <c r="BG215" i="58"/>
  <c r="BI137" i="58"/>
  <c r="BG201" i="58"/>
  <c r="BF137" i="58"/>
  <c r="BC135" i="58"/>
  <c r="BC126" i="58"/>
  <c r="BC137" i="58" s="1"/>
  <c r="BE137" i="58"/>
  <c r="BF200" i="58"/>
  <c r="BF215" i="58"/>
  <c r="BE128" i="58"/>
  <c r="BC90" i="58"/>
  <c r="BC91" i="58" s="1"/>
  <c r="BC201" i="58" s="1"/>
  <c r="BG127" i="58"/>
  <c r="BG128" i="58" s="1"/>
  <c r="BD201" i="58"/>
  <c r="BD127" i="58"/>
  <c r="J21" i="78"/>
  <c r="I22" i="78"/>
  <c r="G52" i="58" l="1"/>
  <c r="G64" i="58" s="1"/>
  <c r="G877" i="120"/>
  <c r="F877" i="120"/>
  <c r="D877" i="120"/>
  <c r="C877" i="120"/>
  <c r="D879" i="120"/>
  <c r="C879" i="120"/>
  <c r="G879" i="120"/>
  <c r="I879" i="120" s="1"/>
  <c r="F879" i="120"/>
  <c r="G120" i="58"/>
  <c r="G127" i="58" s="1"/>
  <c r="G138" i="58" s="1"/>
  <c r="G80" i="58"/>
  <c r="G81" i="58" s="1"/>
  <c r="G60" i="58"/>
  <c r="G85" i="58"/>
  <c r="G94" i="58"/>
  <c r="G92" i="58"/>
  <c r="I877" i="120"/>
  <c r="L20" i="120"/>
  <c r="G21" i="122"/>
  <c r="D38" i="134"/>
  <c r="H628" i="120"/>
  <c r="J628" i="120" s="1"/>
  <c r="G14" i="61"/>
  <c r="G32" i="61" s="1"/>
  <c r="BA137" i="58"/>
  <c r="BA147" i="58"/>
  <c r="AY137" i="58"/>
  <c r="AY147" i="58"/>
  <c r="F61" i="58"/>
  <c r="F71" i="58"/>
  <c r="F80" i="58"/>
  <c r="F81" i="58" s="1"/>
  <c r="L802" i="120"/>
  <c r="L829" i="120"/>
  <c r="L808" i="120"/>
  <c r="L800" i="120"/>
  <c r="L827" i="120"/>
  <c r="L796" i="120"/>
  <c r="L809" i="120"/>
  <c r="L813" i="120"/>
  <c r="L797" i="120"/>
  <c r="L831" i="120"/>
  <c r="L807" i="120"/>
  <c r="L804" i="120"/>
  <c r="L815" i="120"/>
  <c r="L803" i="120"/>
  <c r="J28" i="120"/>
  <c r="L819" i="120"/>
  <c r="J832" i="120"/>
  <c r="L812" i="120"/>
  <c r="L806" i="120"/>
  <c r="L821" i="120"/>
  <c r="L810" i="120"/>
  <c r="L825" i="120"/>
  <c r="L799" i="120"/>
  <c r="L811" i="120"/>
  <c r="L798" i="120"/>
  <c r="L805" i="120"/>
  <c r="L801" i="120"/>
  <c r="L817" i="120"/>
  <c r="L823" i="120"/>
  <c r="F124" i="58"/>
  <c r="F125" i="58"/>
  <c r="L23" i="120"/>
  <c r="AY127" i="58"/>
  <c r="F199" i="58"/>
  <c r="F123" i="58"/>
  <c r="F89" i="58"/>
  <c r="F90" i="58" s="1"/>
  <c r="F91" i="58" s="1"/>
  <c r="F201" i="58" s="1"/>
  <c r="G24" i="122"/>
  <c r="Z116" i="56"/>
  <c r="H632" i="120"/>
  <c r="J632" i="120" s="1"/>
  <c r="H635" i="120"/>
  <c r="J635" i="120" s="1"/>
  <c r="J634" i="120" s="1"/>
  <c r="H643" i="120"/>
  <c r="M643" i="12"/>
  <c r="F86" i="58"/>
  <c r="J872" i="120"/>
  <c r="I882" i="120"/>
  <c r="J883" i="120"/>
  <c r="J874" i="120"/>
  <c r="J866" i="120"/>
  <c r="J870" i="120"/>
  <c r="L27" i="120"/>
  <c r="G28" i="122"/>
  <c r="D66" i="134"/>
  <c r="V51" i="134"/>
  <c r="V52" i="134" s="1"/>
  <c r="U51" i="134"/>
  <c r="U52" i="134" s="1"/>
  <c r="M51" i="134"/>
  <c r="M52" i="134" s="1"/>
  <c r="F51" i="134"/>
  <c r="K51" i="134"/>
  <c r="K52" i="134" s="1"/>
  <c r="J51" i="134"/>
  <c r="J52" i="134" s="1"/>
  <c r="Q51" i="134"/>
  <c r="Q52" i="134" s="1"/>
  <c r="G51" i="134"/>
  <c r="G52" i="134" s="1"/>
  <c r="P51" i="134"/>
  <c r="P52" i="134" s="1"/>
  <c r="O51" i="134"/>
  <c r="O52" i="134" s="1"/>
  <c r="H51" i="134"/>
  <c r="H52" i="134" s="1"/>
  <c r="R51" i="134"/>
  <c r="R52" i="134" s="1"/>
  <c r="T51" i="134"/>
  <c r="T52" i="134" s="1"/>
  <c r="I51" i="134"/>
  <c r="I52" i="134" s="1"/>
  <c r="W51" i="134"/>
  <c r="W52" i="134" s="1"/>
  <c r="N51" i="134"/>
  <c r="N52" i="134" s="1"/>
  <c r="S51" i="134"/>
  <c r="S52" i="134" s="1"/>
  <c r="L51" i="134"/>
  <c r="L52" i="134" s="1"/>
  <c r="J506" i="120"/>
  <c r="BC127" i="58"/>
  <c r="BC138" i="58" s="1"/>
  <c r="BB135" i="58"/>
  <c r="BB126" i="58"/>
  <c r="BB137" i="58" s="1"/>
  <c r="BB203" i="58"/>
  <c r="BB90" i="58"/>
  <c r="BB91" i="58" s="1"/>
  <c r="BB201" i="58" s="1"/>
  <c r="BG139" i="58"/>
  <c r="BC200" i="58"/>
  <c r="BC215" i="58"/>
  <c r="BD138" i="58"/>
  <c r="BD128" i="58"/>
  <c r="BD139" i="58" s="1"/>
  <c r="BE139" i="58"/>
  <c r="BE129" i="58"/>
  <c r="BE140" i="58" s="1"/>
  <c r="BH138" i="58"/>
  <c r="BG138" i="58"/>
  <c r="BG129" i="58"/>
  <c r="BG140" i="58" s="1"/>
  <c r="BI129" i="58"/>
  <c r="BI130" i="58" s="1"/>
  <c r="BI141" i="58" s="1"/>
  <c r="BH128" i="58"/>
  <c r="BH139" i="58" s="1"/>
  <c r="BA127" i="58"/>
  <c r="BF129" i="58"/>
  <c r="BF130" i="58" s="1"/>
  <c r="BF141" i="58" s="1"/>
  <c r="BA200" i="58"/>
  <c r="BA215" i="58"/>
  <c r="J22" i="78"/>
  <c r="I23" i="78"/>
  <c r="G128" i="58" l="1"/>
  <c r="G129" i="58" s="1"/>
  <c r="G140" i="58" s="1"/>
  <c r="G95" i="58"/>
  <c r="G96" i="58" s="1"/>
  <c r="G212" i="58" s="1"/>
  <c r="G204" i="58" s="1"/>
  <c r="G216" i="58"/>
  <c r="G86" i="58"/>
  <c r="G58" i="58"/>
  <c r="G47" i="58"/>
  <c r="G89" i="58"/>
  <c r="G199" i="58"/>
  <c r="G47" i="61"/>
  <c r="L39" i="134"/>
  <c r="L40" i="134" s="1"/>
  <c r="N39" i="134"/>
  <c r="N40" i="134" s="1"/>
  <c r="G39" i="134"/>
  <c r="G40" i="134" s="1"/>
  <c r="U39" i="134"/>
  <c r="U40" i="134" s="1"/>
  <c r="S39" i="134"/>
  <c r="S40" i="134" s="1"/>
  <c r="M39" i="134"/>
  <c r="M40" i="134" s="1"/>
  <c r="R39" i="134"/>
  <c r="R40" i="134" s="1"/>
  <c r="P39" i="134"/>
  <c r="P40" i="134" s="1"/>
  <c r="J39" i="134"/>
  <c r="J40" i="134" s="1"/>
  <c r="I39" i="134"/>
  <c r="I40" i="134" s="1"/>
  <c r="H39" i="134"/>
  <c r="H40" i="134" s="1"/>
  <c r="K39" i="134"/>
  <c r="K40" i="134" s="1"/>
  <c r="F39" i="134"/>
  <c r="V39" i="134"/>
  <c r="V40" i="134" s="1"/>
  <c r="T39" i="134"/>
  <c r="T40" i="134" s="1"/>
  <c r="Q39" i="134"/>
  <c r="Q40" i="134" s="1"/>
  <c r="O39" i="134"/>
  <c r="O40" i="134" s="1"/>
  <c r="W39" i="134"/>
  <c r="W40" i="134" s="1"/>
  <c r="G48" i="61"/>
  <c r="G5" i="61"/>
  <c r="G3" i="61"/>
  <c r="G46" i="61"/>
  <c r="G83" i="61" s="1"/>
  <c r="G100" i="61" s="1"/>
  <c r="G15" i="61"/>
  <c r="G16" i="61" s="1"/>
  <c r="G62" i="61" s="1"/>
  <c r="G84" i="61" s="1"/>
  <c r="G38" i="61"/>
  <c r="G41" i="61" s="1"/>
  <c r="G4" i="61"/>
  <c r="G33" i="61"/>
  <c r="G79" i="61" s="1"/>
  <c r="G18" i="61"/>
  <c r="G2" i="61"/>
  <c r="F47" i="58"/>
  <c r="BA138" i="58"/>
  <c r="BA148" i="58"/>
  <c r="AY128" i="58"/>
  <c r="AY139" i="58" s="1"/>
  <c r="AY148" i="58"/>
  <c r="F134" i="58"/>
  <c r="F144" i="58"/>
  <c r="F135" i="58"/>
  <c r="F145" i="58"/>
  <c r="F136" i="58"/>
  <c r="F146" i="58"/>
  <c r="F58" i="58"/>
  <c r="D70" i="134"/>
  <c r="G29" i="122"/>
  <c r="L28" i="120"/>
  <c r="AY138" i="58"/>
  <c r="F126" i="58"/>
  <c r="F215" i="58"/>
  <c r="F200" i="58"/>
  <c r="M643" i="120"/>
  <c r="B643" i="12"/>
  <c r="J882" i="120"/>
  <c r="I878" i="120"/>
  <c r="J879" i="120"/>
  <c r="I876" i="120"/>
  <c r="J877" i="120"/>
  <c r="O67" i="134"/>
  <c r="O68" i="134" s="1"/>
  <c r="F67" i="134"/>
  <c r="F68" i="134" s="1"/>
  <c r="T67" i="134"/>
  <c r="T68" i="134" s="1"/>
  <c r="R67" i="134"/>
  <c r="R68" i="134" s="1"/>
  <c r="J67" i="134"/>
  <c r="J68" i="134" s="1"/>
  <c r="G67" i="134"/>
  <c r="G68" i="134" s="1"/>
  <c r="M67" i="134"/>
  <c r="M68" i="134" s="1"/>
  <c r="Q67" i="134"/>
  <c r="Q68" i="134" s="1"/>
  <c r="U67" i="134"/>
  <c r="U68" i="134" s="1"/>
  <c r="P67" i="134"/>
  <c r="P68" i="134" s="1"/>
  <c r="V67" i="134"/>
  <c r="V68" i="134" s="1"/>
  <c r="H67" i="134"/>
  <c r="H68" i="134" s="1"/>
  <c r="L67" i="134"/>
  <c r="L68" i="134" s="1"/>
  <c r="K67" i="134"/>
  <c r="K68" i="134" s="1"/>
  <c r="N67" i="134"/>
  <c r="N68" i="134" s="1"/>
  <c r="W67" i="134"/>
  <c r="W68" i="134" s="1"/>
  <c r="S67" i="134"/>
  <c r="S68" i="134" s="1"/>
  <c r="I67" i="134"/>
  <c r="I68" i="134" s="1"/>
  <c r="L580" i="120"/>
  <c r="L556" i="120"/>
  <c r="L518" i="120"/>
  <c r="L520" i="120"/>
  <c r="L530" i="120"/>
  <c r="L540" i="120"/>
  <c r="L506" i="120"/>
  <c r="L558" i="120"/>
  <c r="L512" i="120"/>
  <c r="L562" i="120"/>
  <c r="L529" i="120"/>
  <c r="L513" i="120"/>
  <c r="L534" i="120"/>
  <c r="L550" i="120"/>
  <c r="L537" i="120"/>
  <c r="L531" i="120"/>
  <c r="L544" i="120"/>
  <c r="L539" i="120"/>
  <c r="L523" i="120"/>
  <c r="L574" i="120"/>
  <c r="L509" i="120"/>
  <c r="L522" i="120"/>
  <c r="L578" i="120"/>
  <c r="L508" i="120"/>
  <c r="L568" i="120"/>
  <c r="J581" i="120"/>
  <c r="L519" i="120"/>
  <c r="L532" i="120"/>
  <c r="J22" i="120"/>
  <c r="L546" i="120"/>
  <c r="L525" i="120"/>
  <c r="L542" i="120"/>
  <c r="L576" i="120"/>
  <c r="L517" i="120"/>
  <c r="L548" i="120"/>
  <c r="L528" i="120"/>
  <c r="L538" i="120"/>
  <c r="L552" i="120"/>
  <c r="L527" i="120"/>
  <c r="L521" i="120"/>
  <c r="L507" i="120"/>
  <c r="L541" i="120"/>
  <c r="L516" i="120"/>
  <c r="L515" i="120"/>
  <c r="L510" i="120"/>
  <c r="L536" i="120"/>
  <c r="L535" i="120"/>
  <c r="L564" i="120"/>
  <c r="L526" i="120"/>
  <c r="L554" i="120"/>
  <c r="L570" i="120"/>
  <c r="L533" i="120"/>
  <c r="L524" i="120"/>
  <c r="L514" i="120"/>
  <c r="L511" i="120"/>
  <c r="L566" i="120"/>
  <c r="L560" i="120"/>
  <c r="L572" i="120"/>
  <c r="X51" i="134"/>
  <c r="F52" i="134"/>
  <c r="X52" i="134" s="1"/>
  <c r="BN172" i="59"/>
  <c r="BE130" i="58"/>
  <c r="BE141" i="58" s="1"/>
  <c r="BC128" i="58"/>
  <c r="BC139" i="58" s="1"/>
  <c r="BD129" i="58"/>
  <c r="BD140" i="58" s="1"/>
  <c r="BB200" i="58"/>
  <c r="BB215" i="58"/>
  <c r="BB127" i="58"/>
  <c r="BI140" i="58"/>
  <c r="BI131" i="58"/>
  <c r="BI142" i="58" s="1"/>
  <c r="BH129" i="58"/>
  <c r="BH140" i="58" s="1"/>
  <c r="BA128" i="58"/>
  <c r="BF140" i="58"/>
  <c r="BF131" i="58"/>
  <c r="BF142" i="58" s="1"/>
  <c r="BG130" i="58"/>
  <c r="J23" i="78"/>
  <c r="I24" i="78"/>
  <c r="G130" i="58" l="1"/>
  <c r="G141" i="58" s="1"/>
  <c r="G139" i="58"/>
  <c r="D643" i="12"/>
  <c r="C643" i="12"/>
  <c r="G131" i="58"/>
  <c r="G142" i="58" s="1"/>
  <c r="G50" i="61"/>
  <c r="G68" i="61" s="1"/>
  <c r="G89" i="61" s="1"/>
  <c r="G90" i="58"/>
  <c r="G91" i="58" s="1"/>
  <c r="F40" i="134"/>
  <c r="X40" i="134" s="1"/>
  <c r="X39" i="134"/>
  <c r="G51" i="61"/>
  <c r="G76" i="61" s="1"/>
  <c r="G97" i="61" s="1"/>
  <c r="G49" i="61"/>
  <c r="G81" i="61" s="1"/>
  <c r="G55" i="61"/>
  <c r="G57" i="61"/>
  <c r="G53" i="61"/>
  <c r="G28" i="61"/>
  <c r="G70" i="61" s="1"/>
  <c r="G91" i="61" s="1"/>
  <c r="G31" i="61"/>
  <c r="G72" i="61" s="1"/>
  <c r="G93" i="61" s="1"/>
  <c r="G27" i="61"/>
  <c r="G63" i="61" s="1"/>
  <c r="G85" i="61" s="1"/>
  <c r="G30" i="61"/>
  <c r="G71" i="61" s="1"/>
  <c r="G92" i="61" s="1"/>
  <c r="G29" i="61"/>
  <c r="G69" i="61" s="1"/>
  <c r="G90" i="61" s="1"/>
  <c r="G20" i="61"/>
  <c r="G39" i="61"/>
  <c r="G35" i="61"/>
  <c r="G66" i="61" s="1"/>
  <c r="G36" i="61"/>
  <c r="G40" i="61"/>
  <c r="BA139" i="58"/>
  <c r="BA149" i="58"/>
  <c r="AY129" i="58"/>
  <c r="AY149" i="58"/>
  <c r="F127" i="58"/>
  <c r="F138" i="58" s="1"/>
  <c r="F147" i="58"/>
  <c r="O71" i="134"/>
  <c r="O72" i="134" s="1"/>
  <c r="H71" i="134"/>
  <c r="H72" i="134" s="1"/>
  <c r="U71" i="134"/>
  <c r="U72" i="134" s="1"/>
  <c r="V71" i="134"/>
  <c r="V72" i="134" s="1"/>
  <c r="T71" i="134"/>
  <c r="T72" i="134" s="1"/>
  <c r="R71" i="134"/>
  <c r="R72" i="134" s="1"/>
  <c r="G71" i="134"/>
  <c r="G72" i="134" s="1"/>
  <c r="N71" i="134"/>
  <c r="N72" i="134" s="1"/>
  <c r="K71" i="134"/>
  <c r="K72" i="134" s="1"/>
  <c r="P71" i="134"/>
  <c r="P72" i="134" s="1"/>
  <c r="M71" i="134"/>
  <c r="M72" i="134" s="1"/>
  <c r="S71" i="134"/>
  <c r="S72" i="134" s="1"/>
  <c r="Q71" i="134"/>
  <c r="Q72" i="134" s="1"/>
  <c r="J71" i="134"/>
  <c r="J72" i="134" s="1"/>
  <c r="W71" i="134"/>
  <c r="W72" i="134" s="1"/>
  <c r="I71" i="134"/>
  <c r="I72" i="134" s="1"/>
  <c r="L71" i="134"/>
  <c r="L72" i="134" s="1"/>
  <c r="F71" i="134"/>
  <c r="F137" i="58"/>
  <c r="B643" i="120"/>
  <c r="J876" i="120"/>
  <c r="J878" i="120"/>
  <c r="X68" i="134"/>
  <c r="X67" i="134"/>
  <c r="G23" i="122"/>
  <c r="D46" i="134"/>
  <c r="L22" i="120"/>
  <c r="Z51" i="134"/>
  <c r="Y51" i="134"/>
  <c r="Y49" i="134"/>
  <c r="Y52" i="134"/>
  <c r="BM122" i="58"/>
  <c r="BN154" i="58"/>
  <c r="BE131" i="58"/>
  <c r="BC129" i="58"/>
  <c r="BD130" i="58"/>
  <c r="BD141" i="58" s="1"/>
  <c r="BA129" i="58"/>
  <c r="BB138" i="58"/>
  <c r="BB128" i="58"/>
  <c r="BB139" i="58" s="1"/>
  <c r="BF132" i="58"/>
  <c r="BF143" i="58" s="1"/>
  <c r="BF121" i="58" s="1"/>
  <c r="BH130" i="58"/>
  <c r="BG141" i="58"/>
  <c r="BG131" i="58"/>
  <c r="BG142" i="58" s="1"/>
  <c r="BI132" i="58"/>
  <c r="J24" i="78"/>
  <c r="I25" i="78"/>
  <c r="G643" i="120" l="1"/>
  <c r="I643" i="120" s="1"/>
  <c r="J643" i="120" s="1"/>
  <c r="F643" i="120"/>
  <c r="D643" i="120"/>
  <c r="C643" i="120"/>
  <c r="G132" i="58"/>
  <c r="G143" i="58" s="1"/>
  <c r="G121" i="58" s="1"/>
  <c r="G200" i="58"/>
  <c r="G215" i="58"/>
  <c r="G201" i="58"/>
  <c r="Z39" i="134"/>
  <c r="Y39" i="134"/>
  <c r="Y40" i="134"/>
  <c r="Y37" i="134"/>
  <c r="G82" i="61"/>
  <c r="G99" i="61" s="1"/>
  <c r="G42" i="61"/>
  <c r="G78" i="61" s="1"/>
  <c r="G44" i="61"/>
  <c r="G75" i="61" s="1"/>
  <c r="G96" i="61" s="1"/>
  <c r="G43" i="61"/>
  <c r="G67" i="61" s="1"/>
  <c r="G88" i="61" s="1"/>
  <c r="G58" i="61"/>
  <c r="G64" i="61" s="1"/>
  <c r="G86" i="61" s="1"/>
  <c r="G59" i="61"/>
  <c r="G65" i="61" s="1"/>
  <c r="G87" i="61" s="1"/>
  <c r="G60" i="61"/>
  <c r="G74" i="61" s="1"/>
  <c r="G95" i="61" s="1"/>
  <c r="G37" i="61"/>
  <c r="G80" i="61" s="1"/>
  <c r="G73" i="61"/>
  <c r="G94" i="61" s="1"/>
  <c r="G34" i="61"/>
  <c r="BA140" i="58"/>
  <c r="BA150" i="58"/>
  <c r="AY140" i="58"/>
  <c r="AY150" i="58"/>
  <c r="AY130" i="58"/>
  <c r="AY141" i="58" s="1"/>
  <c r="F128" i="58"/>
  <c r="F139" i="58" s="1"/>
  <c r="F148" i="58"/>
  <c r="X71" i="134"/>
  <c r="Y71" i="134" s="1"/>
  <c r="F72" i="134"/>
  <c r="X72" i="134" s="1"/>
  <c r="Y72" i="134" s="1"/>
  <c r="D12" i="153"/>
  <c r="J833" i="120"/>
  <c r="Y67" i="134"/>
  <c r="Z67" i="134"/>
  <c r="Y68" i="134"/>
  <c r="Y65" i="134"/>
  <c r="O47" i="134"/>
  <c r="O48" i="134" s="1"/>
  <c r="N47" i="134"/>
  <c r="N48" i="134" s="1"/>
  <c r="F47" i="134"/>
  <c r="F48" i="134" s="1"/>
  <c r="M47" i="134"/>
  <c r="M48" i="134" s="1"/>
  <c r="L47" i="134"/>
  <c r="L48" i="134" s="1"/>
  <c r="S47" i="134"/>
  <c r="S48" i="134" s="1"/>
  <c r="J47" i="134"/>
  <c r="J48" i="134" s="1"/>
  <c r="K47" i="134"/>
  <c r="K48" i="134" s="1"/>
  <c r="T47" i="134"/>
  <c r="T48" i="134" s="1"/>
  <c r="V47" i="134"/>
  <c r="V48" i="134" s="1"/>
  <c r="P47" i="134"/>
  <c r="P48" i="134" s="1"/>
  <c r="H47" i="134"/>
  <c r="H48" i="134" s="1"/>
  <c r="U47" i="134"/>
  <c r="U48" i="134" s="1"/>
  <c r="W47" i="134"/>
  <c r="W48" i="134" s="1"/>
  <c r="R47" i="134"/>
  <c r="R48" i="134" s="1"/>
  <c r="G47" i="134"/>
  <c r="G48" i="134" s="1"/>
  <c r="Q47" i="134"/>
  <c r="Q48" i="134" s="1"/>
  <c r="I47" i="134"/>
  <c r="I48" i="134" s="1"/>
  <c r="BE142" i="58"/>
  <c r="BE132" i="58"/>
  <c r="BC140" i="58"/>
  <c r="BC130" i="58"/>
  <c r="BD131" i="58"/>
  <c r="BD132" i="58" s="1"/>
  <c r="BD143" i="58" s="1"/>
  <c r="BA130" i="58"/>
  <c r="BB129" i="58"/>
  <c r="BB140" i="58" s="1"/>
  <c r="BG132" i="58"/>
  <c r="BG143" i="58" s="1"/>
  <c r="BG121" i="58" s="1"/>
  <c r="BI143" i="58"/>
  <c r="BI121" i="58" s="1"/>
  <c r="BH141" i="58"/>
  <c r="BH131" i="58"/>
  <c r="J25" i="78"/>
  <c r="I26" i="78"/>
  <c r="BA141" i="58" l="1"/>
  <c r="BA151" i="58"/>
  <c r="AY131" i="58"/>
  <c r="AY132" i="58" s="1"/>
  <c r="AY151" i="58"/>
  <c r="F149" i="58"/>
  <c r="F129" i="58"/>
  <c r="Z71" i="134"/>
  <c r="Y69" i="134"/>
  <c r="J642" i="120"/>
  <c r="L881" i="120"/>
  <c r="L841" i="120"/>
  <c r="L857" i="120"/>
  <c r="L838" i="120"/>
  <c r="L842" i="120"/>
  <c r="L856" i="120"/>
  <c r="J894" i="120"/>
  <c r="L852" i="120"/>
  <c r="L859" i="120"/>
  <c r="L861" i="120"/>
  <c r="L854" i="120"/>
  <c r="L836" i="120"/>
  <c r="L851" i="120"/>
  <c r="L860" i="120"/>
  <c r="L845" i="120"/>
  <c r="L893" i="120"/>
  <c r="L891" i="120"/>
  <c r="L840" i="120"/>
  <c r="L885" i="120"/>
  <c r="L858" i="120"/>
  <c r="L843" i="120"/>
  <c r="L869" i="120"/>
  <c r="L835" i="120"/>
  <c r="L862" i="120"/>
  <c r="J29" i="120"/>
  <c r="L834" i="120"/>
  <c r="L850" i="120"/>
  <c r="L847" i="120"/>
  <c r="L846" i="120"/>
  <c r="L887" i="120"/>
  <c r="L837" i="120"/>
  <c r="L839" i="120"/>
  <c r="L853" i="120"/>
  <c r="L865" i="120"/>
  <c r="L855" i="120"/>
  <c r="L863" i="120"/>
  <c r="L849" i="120"/>
  <c r="L844" i="120"/>
  <c r="L833" i="120"/>
  <c r="L848" i="120"/>
  <c r="L889" i="120"/>
  <c r="L867" i="120"/>
  <c r="L873" i="120"/>
  <c r="L871" i="120"/>
  <c r="L875" i="120"/>
  <c r="L883" i="120"/>
  <c r="L877" i="120"/>
  <c r="L879" i="120"/>
  <c r="X48" i="134"/>
  <c r="X47" i="134"/>
  <c r="BD142" i="58"/>
  <c r="BD121" i="58" s="1"/>
  <c r="BE143" i="58"/>
  <c r="BE121" i="58" s="1"/>
  <c r="BC141" i="58"/>
  <c r="BC131" i="58"/>
  <c r="BA131" i="58"/>
  <c r="BB130" i="58"/>
  <c r="BB131" i="58" s="1"/>
  <c r="BB142" i="58" s="1"/>
  <c r="BH142" i="58"/>
  <c r="BH132" i="58"/>
  <c r="BH143" i="58" s="1"/>
  <c r="J26" i="78"/>
  <c r="I27" i="78"/>
  <c r="BA132" i="58" l="1"/>
  <c r="BA152" i="58"/>
  <c r="AY143" i="58"/>
  <c r="AY153" i="58"/>
  <c r="AY142" i="58"/>
  <c r="AY152" i="58"/>
  <c r="AY121" i="58" s="1"/>
  <c r="F140" i="58"/>
  <c r="F150" i="58"/>
  <c r="F130" i="58"/>
  <c r="BH121" i="58"/>
  <c r="BA142" i="58"/>
  <c r="D74" i="134"/>
  <c r="G30" i="122"/>
  <c r="L29" i="120"/>
  <c r="Y47" i="134"/>
  <c r="Z47" i="134"/>
  <c r="Y45" i="134"/>
  <c r="Y48" i="134"/>
  <c r="BC142" i="58"/>
  <c r="BC132" i="58"/>
  <c r="BC143" i="58" s="1"/>
  <c r="BB141" i="58"/>
  <c r="BB132" i="58"/>
  <c r="BB143" i="58" s="1"/>
  <c r="J27" i="78"/>
  <c r="I28" i="78"/>
  <c r="BA143" i="58" l="1"/>
  <c r="BA153" i="58"/>
  <c r="BA121" i="58" s="1"/>
  <c r="F141" i="58"/>
  <c r="F151" i="58"/>
  <c r="F131" i="58"/>
  <c r="BC121" i="58"/>
  <c r="E12" i="153"/>
  <c r="U75" i="134"/>
  <c r="U76" i="134" s="1"/>
  <c r="W75" i="134"/>
  <c r="W76" i="134" s="1"/>
  <c r="O75" i="134"/>
  <c r="O76" i="134" s="1"/>
  <c r="I75" i="134"/>
  <c r="I76" i="134" s="1"/>
  <c r="R75" i="134"/>
  <c r="R76" i="134" s="1"/>
  <c r="H75" i="134"/>
  <c r="H76" i="134" s="1"/>
  <c r="J75" i="134"/>
  <c r="J76" i="134" s="1"/>
  <c r="Q75" i="134"/>
  <c r="Q76" i="134" s="1"/>
  <c r="G75" i="134"/>
  <c r="G76" i="134" s="1"/>
  <c r="M75" i="134"/>
  <c r="M76" i="134" s="1"/>
  <c r="L75" i="134"/>
  <c r="L76" i="134" s="1"/>
  <c r="N75" i="134"/>
  <c r="N76" i="134" s="1"/>
  <c r="F75" i="134"/>
  <c r="V75" i="134"/>
  <c r="V76" i="134" s="1"/>
  <c r="S75" i="134"/>
  <c r="S76" i="134" s="1"/>
  <c r="K75" i="134"/>
  <c r="K76" i="134" s="1"/>
  <c r="P75" i="134"/>
  <c r="P76" i="134" s="1"/>
  <c r="T75" i="134"/>
  <c r="T76" i="134" s="1"/>
  <c r="BM133" i="58"/>
  <c r="H164" i="12" s="1"/>
  <c r="BB121" i="58"/>
  <c r="I29" i="78"/>
  <c r="J28" i="78"/>
  <c r="F142" i="58" l="1"/>
  <c r="F152" i="58"/>
  <c r="F132" i="58"/>
  <c r="F76" i="134"/>
  <c r="X76" i="134" s="1"/>
  <c r="Y76" i="134" s="1"/>
  <c r="X75" i="134"/>
  <c r="H166" i="12"/>
  <c r="H164" i="120"/>
  <c r="J164" i="120" s="1"/>
  <c r="BN133" i="58"/>
  <c r="BM206" i="58"/>
  <c r="BN206" i="58" s="1"/>
  <c r="I30" i="78"/>
  <c r="J29" i="78"/>
  <c r="F143" i="58" l="1"/>
  <c r="F153" i="58"/>
  <c r="Y75" i="134"/>
  <c r="Z75" i="134"/>
  <c r="Y73" i="134"/>
  <c r="H166" i="120"/>
  <c r="J166" i="120" s="1"/>
  <c r="BM205" i="58"/>
  <c r="BN205" i="58" s="1"/>
  <c r="J30" i="78"/>
  <c r="I31" i="78"/>
  <c r="F121" i="58" l="1"/>
  <c r="I32" i="78"/>
  <c r="J31" i="78"/>
  <c r="I33" i="78" l="1"/>
  <c r="J32" i="78"/>
  <c r="I34" i="78" l="1"/>
  <c r="J33" i="78"/>
  <c r="J34" i="78" l="1"/>
  <c r="I35" i="78"/>
  <c r="J35" i="78" l="1"/>
  <c r="I36" i="78"/>
  <c r="J36" i="78" l="1"/>
  <c r="I37" i="78"/>
  <c r="J37" i="78" l="1"/>
  <c r="I38" i="78"/>
  <c r="I39" i="78" l="1"/>
  <c r="J38" i="78"/>
  <c r="I40" i="78" l="1"/>
  <c r="J39" i="78"/>
  <c r="I41" i="78" l="1"/>
  <c r="J40" i="78"/>
  <c r="I42" i="78" l="1"/>
  <c r="J41" i="78"/>
  <c r="J42" i="78" l="1"/>
  <c r="I43" i="78"/>
  <c r="J43" i="78" l="1"/>
  <c r="I44" i="78"/>
  <c r="J44" i="78" l="1"/>
  <c r="I45" i="78"/>
  <c r="I46" i="78" l="1"/>
  <c r="J45" i="78"/>
  <c r="J46" i="78" l="1"/>
  <c r="I47" i="78"/>
  <c r="J47" i="78" l="1"/>
  <c r="I48" i="78"/>
  <c r="I49" i="78" l="1"/>
  <c r="J48" i="78"/>
  <c r="J49" i="78" l="1"/>
  <c r="I50" i="78"/>
  <c r="J50" i="78" l="1"/>
  <c r="I51" i="78"/>
  <c r="I52" i="78" l="1"/>
  <c r="J51" i="78"/>
  <c r="I53" i="78" l="1"/>
  <c r="J52" i="78"/>
  <c r="J53" i="78" l="1"/>
  <c r="I54" i="78"/>
  <c r="J54" i="78" l="1"/>
  <c r="I55" i="78"/>
  <c r="J55" i="78" l="1"/>
  <c r="I56" i="78"/>
  <c r="I57" i="78" l="1"/>
  <c r="J56" i="78"/>
  <c r="I58" i="78" l="1"/>
  <c r="J57" i="78"/>
  <c r="J58" i="78" l="1"/>
  <c r="I59" i="78"/>
  <c r="I60" i="78" l="1"/>
  <c r="J59" i="78"/>
  <c r="J60" i="78" l="1"/>
  <c r="I61" i="78"/>
  <c r="J61" i="78" l="1"/>
  <c r="I62" i="78"/>
  <c r="J62" i="78" l="1"/>
  <c r="I63" i="78"/>
  <c r="I64" i="78" l="1"/>
  <c r="J63" i="78"/>
  <c r="J64" i="78" l="1"/>
  <c r="I65" i="78"/>
  <c r="J65" i="78" l="1"/>
  <c r="I66" i="78"/>
  <c r="I67" i="78" l="1"/>
  <c r="J66" i="78"/>
  <c r="I68" i="78" l="1"/>
  <c r="J67" i="78"/>
  <c r="I69" i="78" l="1"/>
  <c r="J68" i="78"/>
  <c r="I70" i="78" l="1"/>
  <c r="J69" i="78"/>
  <c r="J70" i="78" l="1"/>
  <c r="I71" i="78"/>
  <c r="I72" i="78" l="1"/>
  <c r="J71" i="78"/>
  <c r="I73" i="78" l="1"/>
  <c r="J72" i="78"/>
  <c r="J73" i="78" l="1"/>
  <c r="I74" i="78"/>
  <c r="J74" i="78" l="1"/>
  <c r="I75" i="78"/>
  <c r="I76" i="78" l="1"/>
  <c r="J75" i="78"/>
  <c r="J76" i="78" l="1"/>
  <c r="I77" i="78"/>
  <c r="I78" i="78" l="1"/>
  <c r="J77" i="78"/>
  <c r="J78" i="78" l="1"/>
  <c r="I79" i="78"/>
  <c r="J79" i="78" l="1"/>
  <c r="I80" i="78"/>
  <c r="J80" i="78" l="1"/>
  <c r="I81" i="78"/>
  <c r="I82" i="78" l="1"/>
  <c r="J81" i="78"/>
  <c r="J82" i="78" l="1"/>
  <c r="I83" i="78"/>
  <c r="J83" i="78" l="1"/>
  <c r="I84" i="78"/>
  <c r="J84" i="78" l="1"/>
  <c r="I85" i="78"/>
  <c r="J85" i="78" l="1"/>
  <c r="I86" i="78"/>
  <c r="I87" i="78" l="1"/>
  <c r="J86" i="78"/>
  <c r="I88" i="78" l="1"/>
  <c r="J87" i="78"/>
  <c r="J88" i="78" l="1"/>
  <c r="I89" i="78"/>
  <c r="I90" i="78" s="1"/>
  <c r="J90" i="78" l="1"/>
  <c r="I91" i="78"/>
  <c r="J89" i="78"/>
  <c r="I92" i="78" l="1"/>
  <c r="J91" i="78"/>
  <c r="BM80" i="59"/>
  <c r="H256" i="12" s="1"/>
  <c r="AZ13" i="61"/>
  <c r="F39" i="118" s="1"/>
  <c r="N39" i="118" s="1"/>
  <c r="I93" i="78" l="1"/>
  <c r="J92" i="78"/>
  <c r="BN80" i="59"/>
  <c r="H256" i="120"/>
  <c r="O256" i="12"/>
  <c r="BA13" i="61"/>
  <c r="BM30" i="60"/>
  <c r="BM27" i="60"/>
  <c r="BN27" i="60" s="1"/>
  <c r="J93" i="78" l="1"/>
  <c r="I94" i="78"/>
  <c r="O256" i="120"/>
  <c r="J256" i="120"/>
  <c r="F53" i="118"/>
  <c r="BN30" i="60"/>
  <c r="J94" i="78" l="1"/>
  <c r="I95" i="78"/>
  <c r="M53" i="118"/>
  <c r="J95" i="78" l="1"/>
  <c r="I96" i="78"/>
  <c r="H74" i="12"/>
  <c r="H14" i="12" s="1"/>
  <c r="N53" i="118"/>
  <c r="I97" i="78" l="1"/>
  <c r="J96" i="78"/>
  <c r="O74" i="12"/>
  <c r="H74" i="120"/>
  <c r="O74" i="120" s="1"/>
  <c r="C29" i="77"/>
  <c r="D15" i="122"/>
  <c r="J74" i="120" l="1"/>
  <c r="H14" i="120"/>
  <c r="C14" i="134" s="1"/>
  <c r="J97" i="78"/>
  <c r="I98" i="78"/>
  <c r="BN26" i="60"/>
  <c r="BN23" i="60"/>
  <c r="I99" i="78" l="1"/>
  <c r="J98" i="78"/>
  <c r="BN24" i="60"/>
  <c r="I100" i="78" l="1"/>
  <c r="J99" i="78"/>
  <c r="BN25" i="60"/>
  <c r="J100" i="78" l="1"/>
  <c r="I101" i="78"/>
  <c r="BM28" i="60"/>
  <c r="BN28" i="60" s="1"/>
  <c r="BA12" i="61"/>
  <c r="BM29" i="60"/>
  <c r="BN29" i="60" s="1"/>
  <c r="I102" i="78" l="1"/>
  <c r="J101" i="78"/>
  <c r="AZ48" i="61"/>
  <c r="H465" i="12" s="1"/>
  <c r="BM32" i="60"/>
  <c r="F42" i="118" s="1"/>
  <c r="AZ14" i="61"/>
  <c r="BA14" i="61" s="1"/>
  <c r="AZ41" i="61"/>
  <c r="H463" i="12" s="1"/>
  <c r="BM31" i="60"/>
  <c r="F40" i="118" s="1"/>
  <c r="J102" i="78" l="1"/>
  <c r="I103" i="78"/>
  <c r="BN32" i="60"/>
  <c r="BA41" i="61"/>
  <c r="BA48" i="61"/>
  <c r="BN31" i="60"/>
  <c r="H463" i="120"/>
  <c r="J463" i="120" s="1"/>
  <c r="BA5" i="61"/>
  <c r="BA4" i="61"/>
  <c r="BA3" i="61"/>
  <c r="AZ32" i="61"/>
  <c r="H460" i="12" s="1"/>
  <c r="AZ47" i="61"/>
  <c r="H464" i="12" s="1"/>
  <c r="H465" i="120"/>
  <c r="J465" i="120" s="1"/>
  <c r="M40" i="118"/>
  <c r="H72" i="12" s="1"/>
  <c r="F51" i="118"/>
  <c r="M42" i="118"/>
  <c r="N42" i="118" s="1"/>
  <c r="I104" i="78" l="1"/>
  <c r="J103" i="78"/>
  <c r="O72" i="12"/>
  <c r="H72" i="120"/>
  <c r="O72" i="120" s="1"/>
  <c r="BA47" i="61"/>
  <c r="H464" i="120"/>
  <c r="J464" i="120" s="1"/>
  <c r="AZ51" i="61"/>
  <c r="BA51" i="61" s="1"/>
  <c r="AZ49" i="61"/>
  <c r="BA49" i="61" s="1"/>
  <c r="BA32" i="61"/>
  <c r="AZ50" i="61"/>
  <c r="BA50" i="61" s="1"/>
  <c r="H21" i="12"/>
  <c r="H460" i="120"/>
  <c r="BA38" i="61"/>
  <c r="AZ20" i="61"/>
  <c r="AZ18" i="61"/>
  <c r="BA18" i="61" s="1"/>
  <c r="AZ79" i="61"/>
  <c r="BA79" i="61" s="1"/>
  <c r="AZ33" i="61"/>
  <c r="BA33" i="61" s="1"/>
  <c r="AZ46" i="61"/>
  <c r="BA46" i="61" s="1"/>
  <c r="N40" i="118"/>
  <c r="F52" i="118"/>
  <c r="M51" i="118"/>
  <c r="N51" i="118" s="1"/>
  <c r="BA15" i="61"/>
  <c r="AZ2" i="61"/>
  <c r="BA2" i="61" s="1"/>
  <c r="J104" i="78" l="1"/>
  <c r="I105" i="78"/>
  <c r="AZ31" i="61"/>
  <c r="H455" i="12" s="1"/>
  <c r="C15" i="39"/>
  <c r="N14" i="12"/>
  <c r="H21" i="120"/>
  <c r="C42" i="134" s="1"/>
  <c r="J460" i="120"/>
  <c r="AZ29" i="61"/>
  <c r="H453" i="12" s="1"/>
  <c r="BA20" i="61"/>
  <c r="H459" i="12"/>
  <c r="C21" i="77"/>
  <c r="D22" i="122"/>
  <c r="AZ81" i="61"/>
  <c r="H502" i="12" s="1"/>
  <c r="AZ83" i="61"/>
  <c r="H494" i="12" s="1"/>
  <c r="AZ30" i="61"/>
  <c r="H454" i="12" s="1"/>
  <c r="AZ27" i="61"/>
  <c r="H451" i="12" s="1"/>
  <c r="AZ68" i="61"/>
  <c r="H490" i="12" s="1"/>
  <c r="AZ40" i="61"/>
  <c r="H462" i="12" s="1"/>
  <c r="J72" i="120"/>
  <c r="AZ55" i="61"/>
  <c r="F6" i="75" s="1"/>
  <c r="AZ35" i="61"/>
  <c r="BA35" i="61" s="1"/>
  <c r="AZ57" i="61"/>
  <c r="F10" i="75" s="1"/>
  <c r="AZ16" i="61"/>
  <c r="H449" i="12" s="1"/>
  <c r="AZ39" i="61"/>
  <c r="BA39" i="61" s="1"/>
  <c r="AZ53" i="61"/>
  <c r="F5" i="75" s="1"/>
  <c r="AZ36" i="61"/>
  <c r="BA36" i="61" s="1"/>
  <c r="AZ76" i="61"/>
  <c r="H484" i="12" s="1"/>
  <c r="F69" i="118"/>
  <c r="M52" i="118"/>
  <c r="H88" i="12" s="1"/>
  <c r="H88" i="120" s="1"/>
  <c r="AZ28" i="61"/>
  <c r="H452" i="12" s="1"/>
  <c r="J105" i="78" l="1"/>
  <c r="I106" i="78"/>
  <c r="BA29" i="61"/>
  <c r="BA57" i="61"/>
  <c r="BA28" i="61"/>
  <c r="N52" i="118"/>
  <c r="BA83" i="61"/>
  <c r="BA68" i="61"/>
  <c r="BA27" i="61"/>
  <c r="BA30" i="61"/>
  <c r="AZ34" i="61"/>
  <c r="H461" i="12" s="1"/>
  <c r="AZ63" i="61"/>
  <c r="BA53" i="61"/>
  <c r="BA55" i="61"/>
  <c r="AB5" i="75"/>
  <c r="AB6" i="75"/>
  <c r="H721" i="12" s="1"/>
  <c r="AZ59" i="61"/>
  <c r="BA59" i="61" s="1"/>
  <c r="C15" i="134"/>
  <c r="N14" i="120"/>
  <c r="H454" i="120"/>
  <c r="J454" i="120" s="1"/>
  <c r="H453" i="120"/>
  <c r="J453" i="120" s="1"/>
  <c r="AZ58" i="61"/>
  <c r="BA58" i="61" s="1"/>
  <c r="AZ44" i="61"/>
  <c r="BA44" i="61" s="1"/>
  <c r="AZ71" i="61"/>
  <c r="H478" i="12" s="1"/>
  <c r="AZ69" i="61"/>
  <c r="H474" i="12" s="1"/>
  <c r="BA76" i="61"/>
  <c r="AZ60" i="61"/>
  <c r="BA60" i="61" s="1"/>
  <c r="AZ82" i="61"/>
  <c r="H496" i="12" s="1"/>
  <c r="AZ42" i="61"/>
  <c r="BA42" i="61" s="1"/>
  <c r="M494" i="12"/>
  <c r="H494" i="120"/>
  <c r="M484" i="12"/>
  <c r="H484" i="120"/>
  <c r="F70" i="118"/>
  <c r="F74" i="118"/>
  <c r="M74" i="118" s="1"/>
  <c r="N74" i="118" s="1"/>
  <c r="M69" i="118"/>
  <c r="N69" i="118" s="1"/>
  <c r="AZ43" i="61"/>
  <c r="BA43" i="61" s="1"/>
  <c r="M502" i="12"/>
  <c r="M502" i="120" s="1"/>
  <c r="H502" i="120"/>
  <c r="J502" i="120" s="1"/>
  <c r="J88" i="120"/>
  <c r="M490" i="12"/>
  <c r="H490" i="120"/>
  <c r="BA81" i="61"/>
  <c r="BA16" i="61"/>
  <c r="BA40" i="61"/>
  <c r="H449" i="120"/>
  <c r="J449" i="120" s="1"/>
  <c r="H462" i="120"/>
  <c r="J462" i="120" s="1"/>
  <c r="H455" i="120"/>
  <c r="J455" i="120" s="1"/>
  <c r="AZ62" i="61"/>
  <c r="H468" i="12" s="1"/>
  <c r="BA31" i="61"/>
  <c r="AZ37" i="61"/>
  <c r="BA37" i="61" s="1"/>
  <c r="AZ66" i="61"/>
  <c r="H488" i="12" s="1"/>
  <c r="H459" i="120"/>
  <c r="J459" i="120" s="1"/>
  <c r="H452" i="120"/>
  <c r="J452" i="120" s="1"/>
  <c r="AZ70" i="61"/>
  <c r="H476" i="12" s="1"/>
  <c r="AZ73" i="61"/>
  <c r="H482" i="12" s="1"/>
  <c r="AB10" i="75"/>
  <c r="H725" i="12" s="1"/>
  <c r="H451" i="120"/>
  <c r="J451" i="120" s="1"/>
  <c r="H450" i="12"/>
  <c r="H458" i="120"/>
  <c r="J458" i="120" s="1"/>
  <c r="AZ72" i="61"/>
  <c r="H480" i="12" s="1"/>
  <c r="H470" i="12" l="1"/>
  <c r="I107" i="78"/>
  <c r="J106" i="78"/>
  <c r="G16" i="37"/>
  <c r="G11" i="37"/>
  <c r="G42" i="37"/>
  <c r="G43" i="37" s="1"/>
  <c r="G54" i="37" s="1"/>
  <c r="H720" i="12"/>
  <c r="BA62" i="61"/>
  <c r="BA72" i="61"/>
  <c r="BA73" i="61"/>
  <c r="BA82" i="61"/>
  <c r="BA70" i="61"/>
  <c r="BA69" i="61"/>
  <c r="AC6" i="75"/>
  <c r="AC10" i="75"/>
  <c r="AC5" i="75"/>
  <c r="BA34" i="61"/>
  <c r="H450" i="120"/>
  <c r="J450" i="120" s="1"/>
  <c r="BA66" i="61"/>
  <c r="AZ75" i="61"/>
  <c r="H486" i="12" s="1"/>
  <c r="AZ65" i="61"/>
  <c r="BA65" i="61" s="1"/>
  <c r="AZ64" i="61"/>
  <c r="BA64" i="61" s="1"/>
  <c r="AZ80" i="61"/>
  <c r="H500" i="12" s="1"/>
  <c r="AZ67" i="61"/>
  <c r="H492" i="12" s="1"/>
  <c r="H474" i="120"/>
  <c r="M474" i="12"/>
  <c r="M488" i="12"/>
  <c r="H488" i="120"/>
  <c r="O725" i="12"/>
  <c r="H725" i="120"/>
  <c r="H472" i="120"/>
  <c r="J472" i="120" s="1"/>
  <c r="BA63" i="61"/>
  <c r="AZ78" i="61"/>
  <c r="H504" i="12" s="1"/>
  <c r="M482" i="12"/>
  <c r="H482" i="120"/>
  <c r="M70" i="118"/>
  <c r="H94" i="12" s="1"/>
  <c r="H94" i="120" s="1"/>
  <c r="H466" i="120"/>
  <c r="J466" i="120" s="1"/>
  <c r="M478" i="12"/>
  <c r="B478" i="12" s="1"/>
  <c r="H478" i="120"/>
  <c r="M484" i="120"/>
  <c r="B484" i="12"/>
  <c r="BA71" i="61"/>
  <c r="M496" i="12"/>
  <c r="B496" i="12" s="1"/>
  <c r="H496" i="120"/>
  <c r="H480" i="120"/>
  <c r="M480" i="12"/>
  <c r="M468" i="12"/>
  <c r="B468" i="12" s="1"/>
  <c r="H468" i="120"/>
  <c r="H721" i="120"/>
  <c r="O721" i="12"/>
  <c r="M490" i="120"/>
  <c r="B490" i="12"/>
  <c r="J501" i="120"/>
  <c r="B494" i="12"/>
  <c r="M494" i="120"/>
  <c r="AZ74" i="61"/>
  <c r="BA74" i="61" s="1"/>
  <c r="H476" i="120"/>
  <c r="M476" i="12"/>
  <c r="B476" i="12" s="1"/>
  <c r="H461" i="120"/>
  <c r="J461" i="120" s="1"/>
  <c r="D484" i="12" l="1"/>
  <c r="C484" i="12"/>
  <c r="D490" i="12"/>
  <c r="C490" i="12"/>
  <c r="D496" i="12"/>
  <c r="C496" i="12"/>
  <c r="D494" i="12"/>
  <c r="C494" i="12"/>
  <c r="D468" i="12"/>
  <c r="C468" i="12"/>
  <c r="D478" i="12"/>
  <c r="C478" i="12"/>
  <c r="H470" i="120"/>
  <c r="M470" i="12"/>
  <c r="J107" i="78"/>
  <c r="I108" i="78"/>
  <c r="G56" i="37"/>
  <c r="G62" i="37"/>
  <c r="G61" i="37"/>
  <c r="G60" i="37"/>
  <c r="G59" i="37"/>
  <c r="G63" i="37"/>
  <c r="G96" i="37" s="1"/>
  <c r="G17" i="37"/>
  <c r="H26" i="12"/>
  <c r="H720" i="120"/>
  <c r="O720" i="12"/>
  <c r="N26" i="12" s="1"/>
  <c r="AA10" i="37"/>
  <c r="BA67" i="61"/>
  <c r="BA75" i="61"/>
  <c r="B490" i="120"/>
  <c r="M476" i="120"/>
  <c r="M492" i="12"/>
  <c r="H492" i="120"/>
  <c r="B494" i="120"/>
  <c r="N70" i="118"/>
  <c r="M482" i="120"/>
  <c r="B482" i="12"/>
  <c r="J725" i="120"/>
  <c r="O725" i="120"/>
  <c r="M94" i="12"/>
  <c r="M486" i="12"/>
  <c r="H486" i="120"/>
  <c r="M496" i="120"/>
  <c r="M478" i="120"/>
  <c r="BA80" i="61"/>
  <c r="M500" i="12"/>
  <c r="M500" i="120" s="1"/>
  <c r="H500" i="120"/>
  <c r="J500" i="120" s="1"/>
  <c r="M504" i="12"/>
  <c r="M504" i="120" s="1"/>
  <c r="H504" i="120"/>
  <c r="J504" i="120" s="1"/>
  <c r="M468" i="120"/>
  <c r="O721" i="120"/>
  <c r="J721" i="120"/>
  <c r="B488" i="12"/>
  <c r="M488" i="120"/>
  <c r="M480" i="120"/>
  <c r="B480" i="12"/>
  <c r="M474" i="120"/>
  <c r="B474" i="12"/>
  <c r="BA78" i="61"/>
  <c r="B484" i="120"/>
  <c r="J469" i="120"/>
  <c r="H26" i="120" l="1"/>
  <c r="C62" i="134" s="1"/>
  <c r="G490" i="120"/>
  <c r="I490" i="120" s="1"/>
  <c r="J490" i="120" s="1"/>
  <c r="F490" i="120"/>
  <c r="D490" i="120"/>
  <c r="C490" i="120"/>
  <c r="G484" i="120"/>
  <c r="I484" i="120" s="1"/>
  <c r="J484" i="120" s="1"/>
  <c r="F484" i="120"/>
  <c r="D484" i="120"/>
  <c r="C484" i="120"/>
  <c r="C494" i="120"/>
  <c r="G494" i="120"/>
  <c r="I494" i="120" s="1"/>
  <c r="J494" i="120" s="1"/>
  <c r="F494" i="120"/>
  <c r="D494" i="120"/>
  <c r="D476" i="12"/>
  <c r="C476" i="12"/>
  <c r="D488" i="12"/>
  <c r="C488" i="12"/>
  <c r="D474" i="12"/>
  <c r="C474" i="12"/>
  <c r="D480" i="12"/>
  <c r="C480" i="12"/>
  <c r="D482" i="12"/>
  <c r="C482" i="12"/>
  <c r="G29" i="37"/>
  <c r="Z29" i="37" s="1"/>
  <c r="AA29" i="37" s="1"/>
  <c r="G28" i="37"/>
  <c r="M470" i="120"/>
  <c r="B470" i="12"/>
  <c r="I109" i="78"/>
  <c r="J108" i="78"/>
  <c r="Z42" i="37"/>
  <c r="AA42" i="37" s="1"/>
  <c r="Z16" i="37"/>
  <c r="AA16" i="37" s="1"/>
  <c r="G30" i="37"/>
  <c r="G37" i="37"/>
  <c r="G36" i="37"/>
  <c r="G35" i="37"/>
  <c r="G34" i="37"/>
  <c r="G33" i="37"/>
  <c r="G97" i="37" s="1"/>
  <c r="G121" i="37" s="1"/>
  <c r="Z17" i="37"/>
  <c r="AA17" i="37" s="1"/>
  <c r="Z56" i="37"/>
  <c r="J720" i="120"/>
  <c r="J719" i="120" s="1"/>
  <c r="L720" i="120" s="1"/>
  <c r="O720" i="120"/>
  <c r="C63" i="134" s="1"/>
  <c r="C63" i="39"/>
  <c r="C25" i="77"/>
  <c r="D27" i="122"/>
  <c r="M94" i="120"/>
  <c r="B94" i="12"/>
  <c r="Z11" i="37"/>
  <c r="Z43" i="37"/>
  <c r="AA43" i="37" s="1"/>
  <c r="B478" i="120"/>
  <c r="M492" i="120"/>
  <c r="B492" i="12"/>
  <c r="B476" i="120"/>
  <c r="B486" i="12"/>
  <c r="M486" i="120"/>
  <c r="J499" i="120"/>
  <c r="B496" i="120"/>
  <c r="B468" i="120"/>
  <c r="J503" i="120"/>
  <c r="B480" i="120"/>
  <c r="B482" i="120"/>
  <c r="B488" i="120"/>
  <c r="BM155" i="58"/>
  <c r="BN155" i="58" s="1"/>
  <c r="B474" i="120"/>
  <c r="G474" i="120" l="1"/>
  <c r="F474" i="120"/>
  <c r="D474" i="120"/>
  <c r="C474" i="120"/>
  <c r="G488" i="120"/>
  <c r="I488" i="120" s="1"/>
  <c r="J488" i="120" s="1"/>
  <c r="D488" i="120"/>
  <c r="F488" i="120"/>
  <c r="C488" i="120"/>
  <c r="G480" i="120"/>
  <c r="I480" i="120" s="1"/>
  <c r="J480" i="120" s="1"/>
  <c r="F480" i="120"/>
  <c r="D480" i="120"/>
  <c r="C480" i="120"/>
  <c r="D478" i="120"/>
  <c r="G478" i="120"/>
  <c r="I478" i="120" s="1"/>
  <c r="J478" i="120" s="1"/>
  <c r="F478" i="120"/>
  <c r="C478" i="120"/>
  <c r="C482" i="120"/>
  <c r="G482" i="120"/>
  <c r="I482" i="120" s="1"/>
  <c r="J482" i="120" s="1"/>
  <c r="F482" i="120"/>
  <c r="D482" i="120"/>
  <c r="G468" i="120"/>
  <c r="I468" i="120" s="1"/>
  <c r="J468" i="120" s="1"/>
  <c r="F468" i="120"/>
  <c r="D468" i="120"/>
  <c r="C468" i="120"/>
  <c r="G476" i="120"/>
  <c r="I476" i="120" s="1"/>
  <c r="J476" i="120" s="1"/>
  <c r="F476" i="120"/>
  <c r="C476" i="120"/>
  <c r="D476" i="120"/>
  <c r="G496" i="120"/>
  <c r="I496" i="120" s="1"/>
  <c r="J496" i="120" s="1"/>
  <c r="F496" i="120"/>
  <c r="D496" i="120"/>
  <c r="C496" i="120"/>
  <c r="D470" i="12"/>
  <c r="C470" i="12"/>
  <c r="D486" i="12"/>
  <c r="C486" i="12"/>
  <c r="D492" i="12"/>
  <c r="C492" i="12"/>
  <c r="D94" i="12"/>
  <c r="C94" i="12"/>
  <c r="G95" i="37"/>
  <c r="Z95" i="37" s="1"/>
  <c r="AA95" i="37" s="1"/>
  <c r="G110" i="37"/>
  <c r="G131" i="37" s="1"/>
  <c r="Z28" i="37"/>
  <c r="AA28" i="37" s="1"/>
  <c r="B470" i="120"/>
  <c r="I474" i="120"/>
  <c r="J474" i="120" s="1"/>
  <c r="J109" i="78"/>
  <c r="I110" i="78"/>
  <c r="H648" i="12"/>
  <c r="Z33" i="37"/>
  <c r="AA33" i="37" s="1"/>
  <c r="G128" i="37"/>
  <c r="G104" i="37"/>
  <c r="Z34" i="37"/>
  <c r="AA34" i="37" s="1"/>
  <c r="G126" i="37"/>
  <c r="G103" i="37"/>
  <c r="Z35" i="37"/>
  <c r="AA35" i="37" s="1"/>
  <c r="G105" i="37"/>
  <c r="Z36" i="37"/>
  <c r="AA36" i="37" s="1"/>
  <c r="G127" i="37"/>
  <c r="G106" i="37"/>
  <c r="Z37" i="37"/>
  <c r="AA37" i="37" s="1"/>
  <c r="Z30" i="37"/>
  <c r="AA30" i="37" s="1"/>
  <c r="N26" i="120"/>
  <c r="AA56" i="37"/>
  <c r="Z96" i="37"/>
  <c r="AA96" i="37" s="1"/>
  <c r="H646" i="12"/>
  <c r="AA11" i="37"/>
  <c r="Z54" i="37"/>
  <c r="Z63" i="37"/>
  <c r="Z59" i="37"/>
  <c r="Z60" i="37"/>
  <c r="Z61" i="37"/>
  <c r="Z62" i="37"/>
  <c r="B94" i="120"/>
  <c r="B492" i="120"/>
  <c r="J489" i="120"/>
  <c r="L721" i="120"/>
  <c r="L732" i="120"/>
  <c r="L742" i="120"/>
  <c r="L724" i="120"/>
  <c r="L746" i="120"/>
  <c r="L743" i="120"/>
  <c r="L736" i="120"/>
  <c r="L728" i="120"/>
  <c r="L745" i="120"/>
  <c r="L719" i="120"/>
  <c r="L729" i="120"/>
  <c r="L734" i="120"/>
  <c r="L731" i="120"/>
  <c r="L722" i="120"/>
  <c r="L727" i="120"/>
  <c r="L750" i="120"/>
  <c r="L747" i="120"/>
  <c r="L740" i="120"/>
  <c r="L730" i="120"/>
  <c r="L737" i="120"/>
  <c r="L748" i="120"/>
  <c r="J26" i="120"/>
  <c r="L744" i="120"/>
  <c r="L741" i="120"/>
  <c r="L726" i="120"/>
  <c r="L733" i="120"/>
  <c r="L738" i="120"/>
  <c r="L735" i="120"/>
  <c r="L723" i="120"/>
  <c r="J751" i="120"/>
  <c r="L739" i="120"/>
  <c r="J493" i="120"/>
  <c r="B486" i="120"/>
  <c r="J483" i="120"/>
  <c r="L725" i="120"/>
  <c r="G492" i="120" l="1"/>
  <c r="I492" i="120" s="1"/>
  <c r="J492" i="120" s="1"/>
  <c r="F492" i="120"/>
  <c r="D492" i="120"/>
  <c r="C492" i="120"/>
  <c r="G94" i="120"/>
  <c r="I94" i="120" s="1"/>
  <c r="J94" i="120" s="1"/>
  <c r="F94" i="120"/>
  <c r="D94" i="120"/>
  <c r="C94" i="120"/>
  <c r="G486" i="120"/>
  <c r="I486" i="120" s="1"/>
  <c r="J486" i="120" s="1"/>
  <c r="F486" i="120"/>
  <c r="D486" i="120"/>
  <c r="C486" i="120"/>
  <c r="C470" i="120"/>
  <c r="G470" i="120"/>
  <c r="I470" i="120" s="1"/>
  <c r="J470" i="120" s="1"/>
  <c r="J471" i="120" s="1"/>
  <c r="F470" i="120"/>
  <c r="D470" i="120"/>
  <c r="H647" i="12"/>
  <c r="H647" i="120" s="1"/>
  <c r="H646" i="120"/>
  <c r="O646" i="120" s="1"/>
  <c r="N25" i="120" s="1"/>
  <c r="C59" i="134" s="1"/>
  <c r="I111" i="78"/>
  <c r="J110" i="78"/>
  <c r="H648" i="120"/>
  <c r="J648" i="120" s="1"/>
  <c r="O648" i="12"/>
  <c r="H668" i="12"/>
  <c r="H668" i="120" s="1"/>
  <c r="J668" i="120" s="1"/>
  <c r="H670" i="12"/>
  <c r="H669" i="12"/>
  <c r="H669" i="120" s="1"/>
  <c r="J669" i="120" s="1"/>
  <c r="H649" i="12"/>
  <c r="AA63" i="37"/>
  <c r="H672" i="12"/>
  <c r="O646" i="12"/>
  <c r="N25" i="12" s="1"/>
  <c r="Z79" i="56"/>
  <c r="AA59" i="37"/>
  <c r="AA60" i="37"/>
  <c r="AA61" i="37"/>
  <c r="AA54" i="37"/>
  <c r="Z97" i="37"/>
  <c r="H677" i="12" s="1"/>
  <c r="Z103" i="37"/>
  <c r="H681" i="12" s="1"/>
  <c r="Z106" i="37"/>
  <c r="H687" i="12" s="1"/>
  <c r="AA62" i="37"/>
  <c r="H671" i="12"/>
  <c r="Z104" i="37"/>
  <c r="H683" i="12" s="1"/>
  <c r="Z105" i="37"/>
  <c r="H685" i="12" s="1"/>
  <c r="Z110" i="37"/>
  <c r="AA110" i="37" s="1"/>
  <c r="J467" i="120"/>
  <c r="J473" i="120"/>
  <c r="J495" i="120"/>
  <c r="J477" i="120"/>
  <c r="D62" i="134"/>
  <c r="G27" i="122"/>
  <c r="L26" i="120"/>
  <c r="J487" i="120"/>
  <c r="J479" i="120"/>
  <c r="J475" i="120"/>
  <c r="J481" i="120"/>
  <c r="O647" i="12" l="1"/>
  <c r="J646" i="120"/>
  <c r="H670" i="120"/>
  <c r="J670" i="120" s="1"/>
  <c r="J111" i="78"/>
  <c r="O648" i="120"/>
  <c r="H649" i="120"/>
  <c r="J649" i="120" s="1"/>
  <c r="O649" i="12"/>
  <c r="H667" i="12"/>
  <c r="C59" i="39"/>
  <c r="Y86" i="56"/>
  <c r="Z86" i="56" s="1"/>
  <c r="Y80" i="56"/>
  <c r="Z80" i="56" s="1"/>
  <c r="AA106" i="37"/>
  <c r="AA103" i="37"/>
  <c r="AA104" i="37"/>
  <c r="AA97" i="37"/>
  <c r="AA105" i="37"/>
  <c r="H683" i="120"/>
  <c r="M683" i="12"/>
  <c r="H672" i="120"/>
  <c r="J672" i="120" s="1"/>
  <c r="O647" i="120"/>
  <c r="J647" i="120"/>
  <c r="M681" i="12"/>
  <c r="H681" i="120"/>
  <c r="M687" i="12"/>
  <c r="H687" i="120"/>
  <c r="H677" i="120"/>
  <c r="M677" i="12"/>
  <c r="H679" i="12"/>
  <c r="H673" i="12"/>
  <c r="H671" i="120"/>
  <c r="J671" i="120" s="1"/>
  <c r="M685" i="12"/>
  <c r="H685" i="120"/>
  <c r="J93" i="120"/>
  <c r="V63" i="134"/>
  <c r="V64" i="134" s="1"/>
  <c r="F63" i="134"/>
  <c r="Q63" i="134"/>
  <c r="Q64" i="134" s="1"/>
  <c r="R63" i="134"/>
  <c r="R64" i="134" s="1"/>
  <c r="J63" i="134"/>
  <c r="J64" i="134" s="1"/>
  <c r="O63" i="134"/>
  <c r="O64" i="134" s="1"/>
  <c r="H63" i="134"/>
  <c r="H64" i="134" s="1"/>
  <c r="T63" i="134"/>
  <c r="T64" i="134" s="1"/>
  <c r="W63" i="134"/>
  <c r="W64" i="134" s="1"/>
  <c r="K63" i="134"/>
  <c r="K64" i="134" s="1"/>
  <c r="M63" i="134"/>
  <c r="M64" i="134" s="1"/>
  <c r="S63" i="134"/>
  <c r="S64" i="134" s="1"/>
  <c r="N63" i="134"/>
  <c r="N64" i="134" s="1"/>
  <c r="I63" i="134"/>
  <c r="I64" i="134" s="1"/>
  <c r="P63" i="134"/>
  <c r="P64" i="134" s="1"/>
  <c r="G63" i="134"/>
  <c r="G64" i="134" s="1"/>
  <c r="U63" i="134"/>
  <c r="U64" i="134" s="1"/>
  <c r="L63" i="134"/>
  <c r="L64" i="134" s="1"/>
  <c r="J491" i="120"/>
  <c r="J485" i="120"/>
  <c r="O649" i="120" l="1"/>
  <c r="H667" i="120"/>
  <c r="J667" i="120" s="1"/>
  <c r="Y105" i="56"/>
  <c r="H626" i="12" s="1"/>
  <c r="Y82" i="56"/>
  <c r="Y85" i="56" s="1"/>
  <c r="H673" i="120"/>
  <c r="J673" i="120" s="1"/>
  <c r="M681" i="120"/>
  <c r="B681" i="12"/>
  <c r="H679" i="120"/>
  <c r="J679" i="120" s="1"/>
  <c r="B687" i="12"/>
  <c r="M687" i="120"/>
  <c r="B685" i="12"/>
  <c r="M685" i="120"/>
  <c r="M677" i="120"/>
  <c r="B677" i="12"/>
  <c r="B683" i="12"/>
  <c r="M683" i="120"/>
  <c r="J448" i="120"/>
  <c r="L458" i="120" s="1"/>
  <c r="F64" i="134"/>
  <c r="X64" i="134" s="1"/>
  <c r="X63" i="134"/>
  <c r="J64" i="120"/>
  <c r="D685" i="12" l="1"/>
  <c r="C685" i="12"/>
  <c r="D683" i="12"/>
  <c r="C683" i="12"/>
  <c r="D687" i="12"/>
  <c r="C687" i="12"/>
  <c r="D677" i="12"/>
  <c r="C677" i="12"/>
  <c r="C681" i="12"/>
  <c r="D681" i="12"/>
  <c r="Z105" i="56"/>
  <c r="Z85" i="56"/>
  <c r="H24" i="12"/>
  <c r="O626" i="12"/>
  <c r="N24" i="12" s="1"/>
  <c r="C55" i="39" s="1"/>
  <c r="H626" i="120"/>
  <c r="H24" i="120" s="1"/>
  <c r="Y114" i="56"/>
  <c r="H641" i="12" s="1"/>
  <c r="Z82" i="56"/>
  <c r="J676" i="120"/>
  <c r="B677" i="120"/>
  <c r="B687" i="120"/>
  <c r="B681" i="120"/>
  <c r="B685" i="120"/>
  <c r="B683" i="120"/>
  <c r="J21" i="120"/>
  <c r="D42" i="134" s="1"/>
  <c r="L492" i="120"/>
  <c r="L486" i="120"/>
  <c r="L488" i="120"/>
  <c r="L476" i="120"/>
  <c r="L478" i="120"/>
  <c r="L496" i="120"/>
  <c r="L480" i="120"/>
  <c r="L494" i="120"/>
  <c r="L466" i="120"/>
  <c r="L504" i="120"/>
  <c r="L472" i="120"/>
  <c r="L450" i="120"/>
  <c r="L464" i="120"/>
  <c r="L461" i="120"/>
  <c r="L462" i="120"/>
  <c r="L451" i="120"/>
  <c r="L470" i="120"/>
  <c r="L463" i="120"/>
  <c r="J505" i="120"/>
  <c r="L482" i="120"/>
  <c r="L448" i="120"/>
  <c r="L474" i="120"/>
  <c r="L498" i="120"/>
  <c r="L468" i="120"/>
  <c r="L456" i="120"/>
  <c r="L500" i="120"/>
  <c r="L457" i="120"/>
  <c r="L449" i="120"/>
  <c r="L455" i="120"/>
  <c r="L459" i="120"/>
  <c r="L453" i="120"/>
  <c r="L452" i="120"/>
  <c r="L465" i="120"/>
  <c r="L454" i="120"/>
  <c r="L490" i="120"/>
  <c r="L502" i="120"/>
  <c r="L484" i="120"/>
  <c r="L460" i="120"/>
  <c r="L94" i="120"/>
  <c r="L78" i="120"/>
  <c r="J99" i="120"/>
  <c r="L83" i="120"/>
  <c r="L82" i="120"/>
  <c r="L66" i="120"/>
  <c r="L71" i="120"/>
  <c r="L92" i="120"/>
  <c r="L68" i="120"/>
  <c r="L70" i="120"/>
  <c r="J14" i="120"/>
  <c r="L75" i="120"/>
  <c r="L81" i="120"/>
  <c r="L86" i="120"/>
  <c r="L73" i="120"/>
  <c r="L76" i="120"/>
  <c r="L89" i="120"/>
  <c r="L79" i="120"/>
  <c r="L69" i="120"/>
  <c r="L64" i="120"/>
  <c r="L67" i="120"/>
  <c r="L87" i="120"/>
  <c r="L77" i="120"/>
  <c r="L65" i="120"/>
  <c r="L90" i="120"/>
  <c r="L98" i="120"/>
  <c r="L80" i="120"/>
  <c r="L84" i="120"/>
  <c r="L85" i="120"/>
  <c r="L96" i="120"/>
  <c r="L74" i="120"/>
  <c r="L72" i="120"/>
  <c r="L88" i="120"/>
  <c r="Z63" i="134"/>
  <c r="Y63" i="134"/>
  <c r="Y61" i="134"/>
  <c r="Y64" i="134"/>
  <c r="BN156" i="58"/>
  <c r="G677" i="120" l="1"/>
  <c r="F677" i="120"/>
  <c r="D677" i="120"/>
  <c r="C677" i="120"/>
  <c r="G685" i="120"/>
  <c r="F685" i="120"/>
  <c r="D685" i="120"/>
  <c r="C685" i="120"/>
  <c r="G683" i="120"/>
  <c r="I683" i="120" s="1"/>
  <c r="J683" i="120" s="1"/>
  <c r="F683" i="120"/>
  <c r="D683" i="120"/>
  <c r="C683" i="120"/>
  <c r="G681" i="120"/>
  <c r="I681" i="120" s="1"/>
  <c r="J681" i="120" s="1"/>
  <c r="F681" i="120"/>
  <c r="D681" i="120"/>
  <c r="C681" i="120"/>
  <c r="G687" i="120"/>
  <c r="I687" i="120" s="1"/>
  <c r="J687" i="120" s="1"/>
  <c r="F687" i="120"/>
  <c r="D687" i="120"/>
  <c r="C687" i="120"/>
  <c r="I677" i="120"/>
  <c r="J677" i="120" s="1"/>
  <c r="I685" i="120"/>
  <c r="J685" i="120" s="1"/>
  <c r="Z114" i="56"/>
  <c r="H641" i="120"/>
  <c r="M641" i="12"/>
  <c r="C54" i="134"/>
  <c r="J626" i="120"/>
  <c r="O626" i="120"/>
  <c r="N24" i="120" s="1"/>
  <c r="C55" i="134" s="1"/>
  <c r="D25" i="122"/>
  <c r="C23" i="77"/>
  <c r="G22" i="122"/>
  <c r="L21" i="120"/>
  <c r="BM158" i="58"/>
  <c r="H141" i="12" s="1"/>
  <c r="H141" i="120" s="1"/>
  <c r="G15" i="122"/>
  <c r="D14" i="134"/>
  <c r="L14" i="120"/>
  <c r="BM157" i="58"/>
  <c r="P43" i="134"/>
  <c r="P44" i="134" s="1"/>
  <c r="R43" i="134"/>
  <c r="R44" i="134" s="1"/>
  <c r="V43" i="134"/>
  <c r="V44" i="134" s="1"/>
  <c r="W43" i="134"/>
  <c r="W44" i="134" s="1"/>
  <c r="S43" i="134"/>
  <c r="S44" i="134" s="1"/>
  <c r="O43" i="134"/>
  <c r="O44" i="134" s="1"/>
  <c r="M43" i="134"/>
  <c r="M44" i="134" s="1"/>
  <c r="I43" i="134"/>
  <c r="I44" i="134" s="1"/>
  <c r="J43" i="134"/>
  <c r="J44" i="134" s="1"/>
  <c r="U43" i="134"/>
  <c r="U44" i="134" s="1"/>
  <c r="T43" i="134"/>
  <c r="T44" i="134" s="1"/>
  <c r="K43" i="134"/>
  <c r="K44" i="134" s="1"/>
  <c r="F43" i="134"/>
  <c r="Q43" i="134"/>
  <c r="Q44" i="134" s="1"/>
  <c r="G43" i="134"/>
  <c r="G44" i="134" s="1"/>
  <c r="N43" i="134"/>
  <c r="N44" i="134" s="1"/>
  <c r="L43" i="134"/>
  <c r="L44" i="134" s="1"/>
  <c r="H43" i="134"/>
  <c r="H44" i="134" s="1"/>
  <c r="BN158" i="58" l="1"/>
  <c r="M641" i="120"/>
  <c r="B641" i="12"/>
  <c r="J686" i="120"/>
  <c r="J678" i="120"/>
  <c r="J684" i="120"/>
  <c r="J682" i="120"/>
  <c r="J680" i="120"/>
  <c r="H140" i="12"/>
  <c r="H140" i="120" s="1"/>
  <c r="BN157" i="58"/>
  <c r="J141" i="120"/>
  <c r="BM209" i="58"/>
  <c r="H179" i="12" s="1"/>
  <c r="BM159" i="58"/>
  <c r="BN159" i="58" s="1"/>
  <c r="F44" i="134"/>
  <c r="X43" i="134"/>
  <c r="N15" i="134"/>
  <c r="N16" i="134" s="1"/>
  <c r="R15" i="134"/>
  <c r="R16" i="134" s="1"/>
  <c r="W15" i="134"/>
  <c r="W16" i="134" s="1"/>
  <c r="I15" i="134"/>
  <c r="I16" i="134" s="1"/>
  <c r="P15" i="134"/>
  <c r="P16" i="134" s="1"/>
  <c r="U15" i="134"/>
  <c r="U16" i="134" s="1"/>
  <c r="V15" i="134"/>
  <c r="V16" i="134" s="1"/>
  <c r="M15" i="134"/>
  <c r="M16" i="134" s="1"/>
  <c r="O15" i="134"/>
  <c r="O16" i="134" s="1"/>
  <c r="T15" i="134"/>
  <c r="T16" i="134" s="1"/>
  <c r="F15" i="134"/>
  <c r="K15" i="134"/>
  <c r="K16" i="134" s="1"/>
  <c r="L15" i="134"/>
  <c r="L16" i="134" s="1"/>
  <c r="Q15" i="134"/>
  <c r="Q16" i="134" s="1"/>
  <c r="H15" i="134"/>
  <c r="H16" i="134" s="1"/>
  <c r="J15" i="134"/>
  <c r="J16" i="134" s="1"/>
  <c r="G15" i="134"/>
  <c r="G16" i="134" s="1"/>
  <c r="S15" i="134"/>
  <c r="S16" i="134" s="1"/>
  <c r="D641" i="12" l="1"/>
  <c r="C641" i="12"/>
  <c r="B641" i="120"/>
  <c r="J645" i="120"/>
  <c r="H179" i="120"/>
  <c r="BN209" i="58"/>
  <c r="J140" i="120"/>
  <c r="F16" i="134"/>
  <c r="X16" i="134" s="1"/>
  <c r="X15" i="134"/>
  <c r="Y43" i="134"/>
  <c r="Z43" i="134"/>
  <c r="X44" i="134"/>
  <c r="Y44" i="134" s="1"/>
  <c r="G641" i="120" l="1"/>
  <c r="I641" i="120" s="1"/>
  <c r="J641" i="120" s="1"/>
  <c r="F641" i="120"/>
  <c r="D641" i="120"/>
  <c r="C641" i="120"/>
  <c r="L648" i="120"/>
  <c r="L675" i="120"/>
  <c r="L671" i="120"/>
  <c r="L647" i="120"/>
  <c r="L661" i="120"/>
  <c r="L652" i="120"/>
  <c r="L660" i="120"/>
  <c r="L672" i="120"/>
  <c r="L659" i="120"/>
  <c r="L709" i="120"/>
  <c r="L695" i="120"/>
  <c r="L691" i="120"/>
  <c r="L655" i="120"/>
  <c r="L699" i="120"/>
  <c r="J718" i="120"/>
  <c r="L677" i="120"/>
  <c r="L683" i="120"/>
  <c r="L654" i="120"/>
  <c r="L651" i="120"/>
  <c r="L656" i="120"/>
  <c r="L662" i="120"/>
  <c r="L707" i="120"/>
  <c r="L666" i="120"/>
  <c r="L693" i="120"/>
  <c r="L697" i="120"/>
  <c r="L663" i="120"/>
  <c r="L711" i="120"/>
  <c r="L668" i="120"/>
  <c r="L646" i="120"/>
  <c r="L649" i="120"/>
  <c r="L665" i="120"/>
  <c r="L657" i="120"/>
  <c r="L670" i="120"/>
  <c r="L667" i="120"/>
  <c r="L650" i="120"/>
  <c r="L669" i="120"/>
  <c r="L664" i="120"/>
  <c r="L703" i="120"/>
  <c r="L681" i="120"/>
  <c r="L701" i="120"/>
  <c r="L645" i="120"/>
  <c r="L674" i="120"/>
  <c r="L685" i="120"/>
  <c r="L689" i="120"/>
  <c r="L687" i="120"/>
  <c r="L717" i="120"/>
  <c r="L713" i="120"/>
  <c r="L679" i="120"/>
  <c r="L653" i="120"/>
  <c r="L673" i="120"/>
  <c r="L715" i="120"/>
  <c r="L705" i="120"/>
  <c r="L658" i="120"/>
  <c r="J25" i="120"/>
  <c r="G26" i="122" s="1"/>
  <c r="Y41" i="134"/>
  <c r="Z15" i="134"/>
  <c r="Y15" i="134"/>
  <c r="Y13" i="134"/>
  <c r="Y16" i="134"/>
  <c r="M179" i="12"/>
  <c r="M179" i="120" s="1"/>
  <c r="J640" i="120" l="1"/>
  <c r="L25" i="120"/>
  <c r="D58" i="134"/>
  <c r="F59" i="134" s="1"/>
  <c r="B179" i="12"/>
  <c r="D179" i="12" l="1"/>
  <c r="C179" i="12"/>
  <c r="J624" i="120"/>
  <c r="H59" i="134"/>
  <c r="H60" i="134" s="1"/>
  <c r="J59" i="134"/>
  <c r="J60" i="134" s="1"/>
  <c r="R59" i="134"/>
  <c r="R60" i="134" s="1"/>
  <c r="I59" i="134"/>
  <c r="I60" i="134" s="1"/>
  <c r="O59" i="134"/>
  <c r="O60" i="134" s="1"/>
  <c r="G59" i="134"/>
  <c r="G60" i="134" s="1"/>
  <c r="N59" i="134"/>
  <c r="N60" i="134" s="1"/>
  <c r="V59" i="134"/>
  <c r="V60" i="134" s="1"/>
  <c r="K59" i="134"/>
  <c r="K60" i="134" s="1"/>
  <c r="T59" i="134"/>
  <c r="T60" i="134" s="1"/>
  <c r="P59" i="134"/>
  <c r="P60" i="134" s="1"/>
  <c r="L59" i="134"/>
  <c r="L60" i="134" s="1"/>
  <c r="M59" i="134"/>
  <c r="M60" i="134" s="1"/>
  <c r="Q59" i="134"/>
  <c r="Q60" i="134" s="1"/>
  <c r="F60" i="134"/>
  <c r="W59" i="134"/>
  <c r="W60" i="134" s="1"/>
  <c r="U59" i="134"/>
  <c r="U60" i="134" s="1"/>
  <c r="S59" i="134"/>
  <c r="S60" i="134" s="1"/>
  <c r="B179" i="120"/>
  <c r="G179" i="120" l="1"/>
  <c r="I179" i="120" s="1"/>
  <c r="J179" i="120" s="1"/>
  <c r="F179" i="120"/>
  <c r="D179" i="120"/>
  <c r="C179" i="120"/>
  <c r="L639" i="120"/>
  <c r="L632" i="120"/>
  <c r="L624" i="120"/>
  <c r="L643" i="120"/>
  <c r="L630" i="120"/>
  <c r="L637" i="120"/>
  <c r="L633" i="120"/>
  <c r="J24" i="120"/>
  <c r="L629" i="120"/>
  <c r="L625" i="120"/>
  <c r="L628" i="120"/>
  <c r="L631" i="120"/>
  <c r="L635" i="120"/>
  <c r="L627" i="120"/>
  <c r="J644" i="120"/>
  <c r="L626" i="120"/>
  <c r="L641" i="120"/>
  <c r="X60" i="134"/>
  <c r="Y60" i="134" s="1"/>
  <c r="X59" i="134"/>
  <c r="Z59" i="134" s="1"/>
  <c r="D54" i="134" l="1"/>
  <c r="G25" i="122"/>
  <c r="L24" i="120"/>
  <c r="Y57" i="134"/>
  <c r="Y59" i="134"/>
  <c r="J178" i="120"/>
  <c r="S55" i="134" l="1"/>
  <c r="S56" i="134" s="1"/>
  <c r="R55" i="134"/>
  <c r="R56" i="134" s="1"/>
  <c r="K55" i="134"/>
  <c r="K56" i="134" s="1"/>
  <c r="V55" i="134"/>
  <c r="V56" i="134" s="1"/>
  <c r="O55" i="134"/>
  <c r="O56" i="134" s="1"/>
  <c r="T55" i="134"/>
  <c r="T56" i="134" s="1"/>
  <c r="H55" i="134"/>
  <c r="H56" i="134" s="1"/>
  <c r="L55" i="134"/>
  <c r="L56" i="134" s="1"/>
  <c r="W55" i="134"/>
  <c r="W56" i="134" s="1"/>
  <c r="N55" i="134"/>
  <c r="N56" i="134" s="1"/>
  <c r="J55" i="134"/>
  <c r="J56" i="134" s="1"/>
  <c r="G55" i="134"/>
  <c r="G56" i="134" s="1"/>
  <c r="U55" i="134"/>
  <c r="U56" i="134" s="1"/>
  <c r="P55" i="134"/>
  <c r="P56" i="134" s="1"/>
  <c r="M55" i="134"/>
  <c r="M56" i="134" s="1"/>
  <c r="F55" i="134"/>
  <c r="I55" i="134"/>
  <c r="I56" i="134" s="1"/>
  <c r="Q55" i="134"/>
  <c r="Q56" i="134" s="1"/>
  <c r="F56" i="134" l="1"/>
  <c r="X56" i="134" s="1"/>
  <c r="X55" i="134"/>
  <c r="Z55" i="134" l="1"/>
  <c r="Y55" i="134"/>
  <c r="Y56" i="134"/>
  <c r="Y53" i="134"/>
  <c r="BM78" i="59" l="1"/>
  <c r="H254" i="12" s="1"/>
  <c r="O254" i="12" s="1"/>
  <c r="H254" i="120" l="1"/>
  <c r="BN78" i="59"/>
  <c r="O254" i="120" l="1"/>
  <c r="J254" i="120"/>
  <c r="BM177" i="58" l="1"/>
  <c r="BN177" i="58" s="1"/>
  <c r="BM165" i="58"/>
  <c r="BN165" i="58" s="1"/>
  <c r="BM79" i="59" l="1"/>
  <c r="H255" i="12" s="1"/>
  <c r="BN79" i="59" l="1"/>
  <c r="O255" i="12"/>
  <c r="H255" i="120"/>
  <c r="O255" i="120" l="1"/>
  <c r="J255" i="120"/>
  <c r="BN4" i="58"/>
  <c r="BN4" i="59"/>
  <c r="BN3" i="58"/>
  <c r="BN3" i="59"/>
  <c r="BN5" i="60"/>
  <c r="BN4" i="60"/>
  <c r="BN3" i="60"/>
  <c r="BN6" i="59"/>
  <c r="BN67" i="59"/>
  <c r="N184" i="120"/>
  <c r="N184" i="12"/>
  <c r="BL3" i="43"/>
  <c r="BN7" i="58" l="1"/>
  <c r="BM40" i="59"/>
  <c r="H220" i="12" s="1"/>
  <c r="O220" i="12" s="1"/>
  <c r="BM52" i="59"/>
  <c r="H231" i="12" s="1"/>
  <c r="O231" i="12" s="1"/>
  <c r="BM50" i="59"/>
  <c r="H229" i="12" s="1"/>
  <c r="O229" i="12" s="1"/>
  <c r="BM47" i="59"/>
  <c r="H227" i="12" s="1"/>
  <c r="H227" i="120" s="1"/>
  <c r="BM37" i="59"/>
  <c r="H218" i="12" s="1"/>
  <c r="O218" i="12" s="1"/>
  <c r="BM42" i="59"/>
  <c r="BN6" i="58"/>
  <c r="BM57" i="59"/>
  <c r="H237" i="12" s="1"/>
  <c r="BM56" i="59"/>
  <c r="H235" i="12" s="1"/>
  <c r="BM59" i="59"/>
  <c r="H241" i="12" s="1"/>
  <c r="BM58" i="59"/>
  <c r="H239" i="12" s="1"/>
  <c r="BO2" i="59"/>
  <c r="BM2" i="59"/>
  <c r="BN2" i="59" s="1"/>
  <c r="BM2" i="60"/>
  <c r="BN2" i="60" s="1"/>
  <c r="H231" i="120" l="1"/>
  <c r="O231" i="120" s="1"/>
  <c r="O227" i="12"/>
  <c r="H229" i="120"/>
  <c r="J229" i="120" s="1"/>
  <c r="BN47" i="59"/>
  <c r="BN50" i="59"/>
  <c r="BN52" i="59"/>
  <c r="BN37" i="59"/>
  <c r="H222" i="12"/>
  <c r="BN42" i="59"/>
  <c r="H220" i="120"/>
  <c r="J220" i="120" s="1"/>
  <c r="BN40" i="59"/>
  <c r="H211" i="12"/>
  <c r="H211" i="120" s="1"/>
  <c r="J211" i="120" s="1"/>
  <c r="BM161" i="58"/>
  <c r="BN161" i="58" s="1"/>
  <c r="H218" i="120"/>
  <c r="J218" i="120" s="1"/>
  <c r="H209" i="12"/>
  <c r="H209" i="120" s="1"/>
  <c r="BN56" i="59"/>
  <c r="BN57" i="59"/>
  <c r="O239" i="12"/>
  <c r="H240" i="12"/>
  <c r="H239" i="120"/>
  <c r="O227" i="120"/>
  <c r="J227" i="120"/>
  <c r="BN59" i="59"/>
  <c r="BM84" i="59"/>
  <c r="H260" i="12" s="1"/>
  <c r="H236" i="12"/>
  <c r="O235" i="12"/>
  <c r="H235" i="120"/>
  <c r="BN160" i="58"/>
  <c r="O237" i="12"/>
  <c r="H237" i="120"/>
  <c r="H238" i="12"/>
  <c r="BN7" i="59"/>
  <c r="BN58" i="59"/>
  <c r="H242" i="12"/>
  <c r="O241" i="12"/>
  <c r="H241" i="120"/>
  <c r="BM2" i="58"/>
  <c r="BN2" i="58" s="1"/>
  <c r="BM40" i="60"/>
  <c r="D22" i="55" s="1"/>
  <c r="N22" i="55" s="1"/>
  <c r="H55" i="12" s="1"/>
  <c r="BM8" i="60"/>
  <c r="D20" i="55" s="1"/>
  <c r="BM41" i="60"/>
  <c r="D23" i="55" s="1"/>
  <c r="BM37" i="60"/>
  <c r="BN37" i="60" s="1"/>
  <c r="N23" i="55" l="1"/>
  <c r="H56" i="12" s="1"/>
  <c r="J231" i="120"/>
  <c r="O220" i="120"/>
  <c r="O229" i="120"/>
  <c r="O218" i="120"/>
  <c r="O222" i="12"/>
  <c r="H213" i="12"/>
  <c r="H222" i="120"/>
  <c r="N187" i="12"/>
  <c r="BM163" i="58"/>
  <c r="H142" i="12" s="1"/>
  <c r="BN162" i="58"/>
  <c r="J235" i="120"/>
  <c r="O235" i="120"/>
  <c r="J209" i="120"/>
  <c r="O236" i="12"/>
  <c r="H236" i="120"/>
  <c r="BN84" i="59"/>
  <c r="O260" i="12"/>
  <c r="H260" i="120"/>
  <c r="O241" i="120"/>
  <c r="J241" i="120"/>
  <c r="J239" i="120"/>
  <c r="O239" i="120"/>
  <c r="O242" i="12"/>
  <c r="H242" i="120"/>
  <c r="O240" i="12"/>
  <c r="H240" i="120"/>
  <c r="O238" i="12"/>
  <c r="H238" i="120"/>
  <c r="O237" i="120"/>
  <c r="J237" i="120"/>
  <c r="BM82" i="58"/>
  <c r="BN82" i="58" s="1"/>
  <c r="BN40" i="60"/>
  <c r="BN41" i="60"/>
  <c r="BN8" i="60"/>
  <c r="N20" i="55"/>
  <c r="H53" i="12" s="1"/>
  <c r="D19" i="55"/>
  <c r="N19" i="55" s="1"/>
  <c r="H51" i="12" s="1"/>
  <c r="BN38" i="60"/>
  <c r="H55" i="120"/>
  <c r="J55" i="120" s="1"/>
  <c r="H56" i="120" l="1"/>
  <c r="J56" i="120" s="1"/>
  <c r="J222" i="120"/>
  <c r="O222" i="120"/>
  <c r="H213" i="120"/>
  <c r="J213" i="120" s="1"/>
  <c r="BM208" i="58"/>
  <c r="BN208" i="58" s="1"/>
  <c r="BM210" i="58"/>
  <c r="BN210" i="58" s="1"/>
  <c r="BM207" i="58"/>
  <c r="BN207" i="58" s="1"/>
  <c r="N187" i="120"/>
  <c r="BN163" i="58"/>
  <c r="O260" i="120"/>
  <c r="J260" i="120"/>
  <c r="O238" i="120"/>
  <c r="J238" i="120"/>
  <c r="J236" i="120"/>
  <c r="O236" i="120"/>
  <c r="BN68" i="59"/>
  <c r="BM160" i="59"/>
  <c r="BN160" i="59" s="1"/>
  <c r="O242" i="120"/>
  <c r="J242" i="120"/>
  <c r="J240" i="120"/>
  <c r="O240" i="120"/>
  <c r="H142" i="120"/>
  <c r="J142" i="120" s="1"/>
  <c r="BM39" i="60"/>
  <c r="D24" i="55" s="1"/>
  <c r="N24" i="55" s="1"/>
  <c r="H57" i="12" s="1"/>
  <c r="H51" i="120"/>
  <c r="J51" i="120" s="1"/>
  <c r="H53" i="120"/>
  <c r="J53" i="120" s="1"/>
  <c r="BN36" i="58" l="1"/>
  <c r="BN39" i="60"/>
  <c r="H57" i="120"/>
  <c r="J57" i="120" s="1"/>
  <c r="H25" i="153" l="1"/>
  <c r="C25" i="153"/>
  <c r="C26" i="153" s="1"/>
  <c r="G25" i="153"/>
  <c r="G26" i="153" s="1"/>
  <c r="E25" i="153"/>
  <c r="K18" i="153" s="1"/>
  <c r="D25" i="153"/>
  <c r="K17" i="153" l="1"/>
  <c r="E26" i="153"/>
  <c r="C36" i="153"/>
  <c r="H26" i="153"/>
  <c r="B58" i="153" s="1"/>
  <c r="E58" i="153" s="1"/>
  <c r="G58" i="153" s="1"/>
  <c r="H58" i="153" s="1"/>
  <c r="D26" i="153"/>
  <c r="M58" i="153" s="1"/>
  <c r="D40" i="153" l="1"/>
  <c r="H36" i="153"/>
  <c r="C40" i="153"/>
  <c r="G36" i="153"/>
  <c r="I36" i="153"/>
  <c r="F36" i="153"/>
  <c r="E36" i="153"/>
  <c r="K36" i="153"/>
  <c r="D36" i="153"/>
  <c r="J36" i="153"/>
  <c r="F40" i="153"/>
  <c r="L40" i="153"/>
  <c r="E40" i="153"/>
  <c r="K40" i="153"/>
  <c r="G40" i="153"/>
  <c r="J40" i="153"/>
  <c r="I40" i="153"/>
  <c r="H40" i="153"/>
  <c r="L36" i="153"/>
  <c r="G41" i="153" l="1"/>
  <c r="G42" i="153"/>
  <c r="F41" i="153"/>
  <c r="F42" i="153"/>
  <c r="J41" i="153"/>
  <c r="J42" i="153"/>
  <c r="E41" i="153"/>
  <c r="E42" i="153"/>
  <c r="C41" i="153"/>
  <c r="C42" i="153"/>
  <c r="L42" i="153"/>
  <c r="L41" i="153"/>
  <c r="H41" i="153"/>
  <c r="H42" i="153"/>
  <c r="K41" i="153"/>
  <c r="K42" i="153"/>
  <c r="I41" i="153"/>
  <c r="I42" i="153"/>
  <c r="D41" i="153"/>
  <c r="D42" i="153"/>
  <c r="BN74" i="59" l="1"/>
  <c r="BN72" i="59" l="1"/>
  <c r="BN73" i="59"/>
  <c r="BM76" i="59" l="1"/>
  <c r="BN71" i="59"/>
  <c r="BM24" i="59"/>
  <c r="BM54" i="59"/>
  <c r="H233" i="12" s="1"/>
  <c r="BN87" i="58"/>
  <c r="BN88" i="58"/>
  <c r="BM29" i="59"/>
  <c r="BN29" i="59" s="1"/>
  <c r="BN9" i="58"/>
  <c r="BN8" i="58"/>
  <c r="BM34" i="59"/>
  <c r="BN34" i="59" s="1"/>
  <c r="BM19" i="59"/>
  <c r="BN70" i="59"/>
  <c r="BN69" i="59"/>
  <c r="BM44" i="59"/>
  <c r="H224" i="12" s="1"/>
  <c r="BM33" i="59" l="1"/>
  <c r="BN33" i="59" s="1"/>
  <c r="BM18" i="59"/>
  <c r="BM27" i="59"/>
  <c r="BM32" i="59"/>
  <c r="BN32" i="59" s="1"/>
  <c r="BM22" i="59"/>
  <c r="BM17" i="59"/>
  <c r="BM15" i="59"/>
  <c r="BM16" i="59"/>
  <c r="BM12" i="59"/>
  <c r="BM21" i="59"/>
  <c r="BN21" i="59" s="1"/>
  <c r="BM49" i="59"/>
  <c r="BM39" i="59"/>
  <c r="BM31" i="59"/>
  <c r="BN31" i="59" s="1"/>
  <c r="BM26" i="59"/>
  <c r="BN8" i="59"/>
  <c r="BN10" i="58"/>
  <c r="H206" i="12"/>
  <c r="BN24" i="59"/>
  <c r="BN44" i="59"/>
  <c r="BN54" i="59"/>
  <c r="BN12" i="58"/>
  <c r="BM5" i="58"/>
  <c r="BN5" i="58" s="1"/>
  <c r="O233" i="12"/>
  <c r="H233" i="120"/>
  <c r="BM5" i="59"/>
  <c r="BN5" i="59" s="1"/>
  <c r="O224" i="12"/>
  <c r="H224" i="120"/>
  <c r="H215" i="12"/>
  <c r="H200" i="12"/>
  <c r="H189" i="12"/>
  <c r="BN19" i="59"/>
  <c r="H194" i="12"/>
  <c r="H252" i="12"/>
  <c r="BN76" i="59"/>
  <c r="BN27" i="59" l="1"/>
  <c r="H204" i="12"/>
  <c r="H204" i="120" s="1"/>
  <c r="J204" i="120" s="1"/>
  <c r="H187" i="12"/>
  <c r="H198" i="12"/>
  <c r="O198" i="12" s="1"/>
  <c r="BN22" i="59"/>
  <c r="BM53" i="59"/>
  <c r="H232" i="12" s="1"/>
  <c r="BN18" i="59"/>
  <c r="BM28" i="59"/>
  <c r="H193" i="12" s="1"/>
  <c r="BM23" i="59"/>
  <c r="H205" i="12" s="1"/>
  <c r="BN17" i="59"/>
  <c r="BM43" i="59"/>
  <c r="H223" i="12" s="1"/>
  <c r="BM41" i="59"/>
  <c r="H221" i="12" s="1"/>
  <c r="H192" i="12"/>
  <c r="BM51" i="59"/>
  <c r="H230" i="12" s="1"/>
  <c r="H191" i="12"/>
  <c r="BN26" i="59"/>
  <c r="H186" i="12"/>
  <c r="BN16" i="59"/>
  <c r="H203" i="12"/>
  <c r="BN15" i="59"/>
  <c r="H228" i="12"/>
  <c r="BN49" i="59"/>
  <c r="H219" i="12"/>
  <c r="BN39" i="59"/>
  <c r="H185" i="12"/>
  <c r="H197" i="12"/>
  <c r="BN12" i="59"/>
  <c r="H194" i="120"/>
  <c r="J194" i="120" s="1"/>
  <c r="BM45" i="59"/>
  <c r="H225" i="12" s="1"/>
  <c r="BM161" i="59"/>
  <c r="BM20" i="59"/>
  <c r="BN20" i="59" s="1"/>
  <c r="BM35" i="59"/>
  <c r="BN35" i="59" s="1"/>
  <c r="H215" i="120"/>
  <c r="BM30" i="59"/>
  <c r="BM55" i="59"/>
  <c r="H234" i="12" s="1"/>
  <c r="BM25" i="59"/>
  <c r="H200" i="120"/>
  <c r="O200" i="12"/>
  <c r="J233" i="120"/>
  <c r="O233" i="120"/>
  <c r="J224" i="120"/>
  <c r="O224" i="120"/>
  <c r="H189" i="120"/>
  <c r="H206" i="120"/>
  <c r="O252" i="12"/>
  <c r="H252" i="120"/>
  <c r="O204" i="120" l="1"/>
  <c r="H187" i="120"/>
  <c r="J187" i="120" s="1"/>
  <c r="H198" i="120"/>
  <c r="J198" i="120" s="1"/>
  <c r="BN53" i="59"/>
  <c r="O223" i="12"/>
  <c r="H223" i="120"/>
  <c r="H214" i="12"/>
  <c r="BN43" i="59"/>
  <c r="H205" i="120"/>
  <c r="BN23" i="59"/>
  <c r="H193" i="120"/>
  <c r="J193" i="120" s="1"/>
  <c r="BN28" i="59"/>
  <c r="H199" i="12"/>
  <c r="H188" i="12"/>
  <c r="H232" i="120"/>
  <c r="O232" i="12"/>
  <c r="O230" i="12"/>
  <c r="H230" i="120"/>
  <c r="BN51" i="59"/>
  <c r="H192" i="120"/>
  <c r="J192" i="120" s="1"/>
  <c r="H212" i="12"/>
  <c r="O221" i="12"/>
  <c r="H221" i="120"/>
  <c r="BN41" i="59"/>
  <c r="H219" i="120"/>
  <c r="H210" i="12"/>
  <c r="O219" i="12"/>
  <c r="O228" i="12"/>
  <c r="H228" i="120"/>
  <c r="H185" i="120"/>
  <c r="J185" i="120" s="1"/>
  <c r="H203" i="120"/>
  <c r="O197" i="12"/>
  <c r="H197" i="120"/>
  <c r="H186" i="120"/>
  <c r="J186" i="120" s="1"/>
  <c r="H191" i="120"/>
  <c r="J191" i="120" s="1"/>
  <c r="H207" i="12"/>
  <c r="H207" i="120" s="1"/>
  <c r="BN55" i="59"/>
  <c r="H195" i="12"/>
  <c r="BN25" i="59"/>
  <c r="BN30" i="59"/>
  <c r="BN45" i="59"/>
  <c r="BM157" i="59"/>
  <c r="BN157" i="59" s="1"/>
  <c r="J206" i="120"/>
  <c r="O206" i="120"/>
  <c r="J200" i="120"/>
  <c r="O200" i="120"/>
  <c r="J215" i="120"/>
  <c r="O225" i="12"/>
  <c r="H225" i="120"/>
  <c r="H216" i="12"/>
  <c r="O186" i="12"/>
  <c r="J189" i="120"/>
  <c r="H234" i="120"/>
  <c r="O234" i="12"/>
  <c r="BN17" i="58"/>
  <c r="BN11" i="58"/>
  <c r="O252" i="120"/>
  <c r="J252" i="120"/>
  <c r="H190" i="12"/>
  <c r="H201" i="12"/>
  <c r="BP2" i="59"/>
  <c r="BP1" i="59" s="1"/>
  <c r="D2" i="55"/>
  <c r="BM75" i="59"/>
  <c r="BN75" i="59" s="1"/>
  <c r="BM154" i="59"/>
  <c r="BM77" i="59"/>
  <c r="H253" i="12" s="1"/>
  <c r="H292" i="12"/>
  <c r="BN161" i="59"/>
  <c r="J8" i="55" l="1"/>
  <c r="N8" i="55" s="1"/>
  <c r="H40" i="12" s="1"/>
  <c r="O198" i="120"/>
  <c r="O199" i="12"/>
  <c r="H199" i="120"/>
  <c r="J205" i="120"/>
  <c r="O205" i="120"/>
  <c r="J232" i="120"/>
  <c r="O232" i="120"/>
  <c r="H188" i="120"/>
  <c r="H214" i="120"/>
  <c r="J214" i="120" s="1"/>
  <c r="J223" i="120"/>
  <c r="O223" i="120"/>
  <c r="H195" i="120"/>
  <c r="J195" i="120" s="1"/>
  <c r="H212" i="120"/>
  <c r="J212" i="120" s="1"/>
  <c r="J230" i="120"/>
  <c r="O230" i="120"/>
  <c r="O221" i="120"/>
  <c r="J221" i="120"/>
  <c r="O228" i="120"/>
  <c r="J228" i="120"/>
  <c r="O203" i="120"/>
  <c r="J203" i="120"/>
  <c r="H210" i="120"/>
  <c r="J210" i="120" s="1"/>
  <c r="J197" i="120"/>
  <c r="O197" i="120"/>
  <c r="O219" i="120"/>
  <c r="J219" i="120"/>
  <c r="BM153" i="59"/>
  <c r="BN153" i="59" s="1"/>
  <c r="H190" i="120"/>
  <c r="N183" i="12"/>
  <c r="N185" i="12"/>
  <c r="H216" i="120"/>
  <c r="N186" i="12"/>
  <c r="D18" i="55"/>
  <c r="J18" i="55" s="1"/>
  <c r="N18" i="55" s="1"/>
  <c r="H50" i="12" s="1"/>
  <c r="J10" i="55"/>
  <c r="N10" i="55" s="1"/>
  <c r="H42" i="12" s="1"/>
  <c r="N2" i="55"/>
  <c r="N12" i="55" s="1"/>
  <c r="H44" i="12" s="1"/>
  <c r="D21" i="55"/>
  <c r="N21" i="55" s="1"/>
  <c r="H54" i="12" s="1"/>
  <c r="J9" i="55"/>
  <c r="N9" i="55" s="1"/>
  <c r="H41" i="12" s="1"/>
  <c r="J225" i="120"/>
  <c r="O225" i="120"/>
  <c r="O186" i="120"/>
  <c r="H292" i="120"/>
  <c r="J292" i="120" s="1"/>
  <c r="BN34" i="58"/>
  <c r="J234" i="120"/>
  <c r="O234" i="120"/>
  <c r="O201" i="12"/>
  <c r="H201" i="120"/>
  <c r="H16" i="12"/>
  <c r="C22" i="77"/>
  <c r="H11" i="77" s="1"/>
  <c r="BN99" i="58"/>
  <c r="BM97" i="58"/>
  <c r="BN97" i="58" s="1"/>
  <c r="BN13" i="58"/>
  <c r="H290" i="12"/>
  <c r="BN154" i="59"/>
  <c r="BN115" i="58"/>
  <c r="BM113" i="58"/>
  <c r="BN113" i="58" s="1"/>
  <c r="BN77" i="59"/>
  <c r="O253" i="12"/>
  <c r="H253" i="120"/>
  <c r="J207" i="120"/>
  <c r="O207" i="120"/>
  <c r="BM82" i="59"/>
  <c r="J188" i="120" l="1"/>
  <c r="H40" i="120"/>
  <c r="J40" i="120" s="1"/>
  <c r="A40" i="12"/>
  <c r="A40" i="120" s="1"/>
  <c r="J199" i="120"/>
  <c r="O199" i="120"/>
  <c r="H41" i="120"/>
  <c r="J41" i="120" s="1"/>
  <c r="BN20" i="58"/>
  <c r="H54" i="120"/>
  <c r="J54" i="120" s="1"/>
  <c r="H44" i="120"/>
  <c r="J44" i="120" s="1"/>
  <c r="H42" i="120"/>
  <c r="J42" i="120" s="1"/>
  <c r="H50" i="120"/>
  <c r="J50" i="120" s="1"/>
  <c r="C17" i="77"/>
  <c r="D17" i="122"/>
  <c r="BN110" i="58"/>
  <c r="BM109" i="58"/>
  <c r="BN109" i="58" s="1"/>
  <c r="H258" i="12"/>
  <c r="BN82" i="59"/>
  <c r="BN35" i="58"/>
  <c r="BN33" i="58"/>
  <c r="J216" i="120"/>
  <c r="N186" i="120"/>
  <c r="BM116" i="58"/>
  <c r="BM117" i="58"/>
  <c r="BN114" i="58"/>
  <c r="H290" i="120"/>
  <c r="M290" i="12"/>
  <c r="B290" i="12" s="1"/>
  <c r="J190" i="120"/>
  <c r="N183" i="120"/>
  <c r="N185" i="120"/>
  <c r="BN18" i="58"/>
  <c r="BM100" i="58"/>
  <c r="BM102" i="58"/>
  <c r="BM101" i="58"/>
  <c r="BM103" i="58"/>
  <c r="BN98" i="58"/>
  <c r="J291" i="120"/>
  <c r="J201" i="120"/>
  <c r="O201" i="120"/>
  <c r="H16" i="120"/>
  <c r="C22" i="134" s="1"/>
  <c r="BM104" i="58"/>
  <c r="BN104" i="58" s="1"/>
  <c r="C23" i="39"/>
  <c r="N16" i="12"/>
  <c r="O253" i="120"/>
  <c r="J253" i="120"/>
  <c r="BM158" i="59"/>
  <c r="BN158" i="59" s="1"/>
  <c r="BM156" i="59"/>
  <c r="BN156" i="59" s="1"/>
  <c r="BM83" i="59"/>
  <c r="BM155" i="59"/>
  <c r="BN155" i="59" s="1"/>
  <c r="D290" i="12" l="1"/>
  <c r="C290" i="12"/>
  <c r="A41" i="12"/>
  <c r="A41" i="120" s="1"/>
  <c r="BM119" i="58"/>
  <c r="H137" i="12" s="1"/>
  <c r="BM118" i="58"/>
  <c r="H136" i="12" s="1"/>
  <c r="BM42" i="58"/>
  <c r="BM112" i="58"/>
  <c r="BN106" i="58"/>
  <c r="H258" i="120"/>
  <c r="O258" i="12"/>
  <c r="J183" i="120"/>
  <c r="L216" i="120" s="1"/>
  <c r="BM107" i="58"/>
  <c r="BM108" i="58"/>
  <c r="BN105" i="58"/>
  <c r="H135" i="12"/>
  <c r="BN117" i="58"/>
  <c r="B290" i="120"/>
  <c r="H134" i="12"/>
  <c r="BN116" i="58"/>
  <c r="BM45" i="58"/>
  <c r="BM60" i="58"/>
  <c r="BN23" i="58"/>
  <c r="BM44" i="58"/>
  <c r="BM63" i="58"/>
  <c r="BN22" i="58"/>
  <c r="BM43" i="58"/>
  <c r="BM67" i="58"/>
  <c r="BN21" i="58"/>
  <c r="Z8" i="134"/>
  <c r="BN24" i="58"/>
  <c r="H259" i="12"/>
  <c r="BN83" i="59"/>
  <c r="H129" i="12"/>
  <c r="BN103" i="58"/>
  <c r="BN39" i="58"/>
  <c r="J35" i="120"/>
  <c r="L41" i="120" s="1"/>
  <c r="H127" i="12"/>
  <c r="BN101" i="58"/>
  <c r="H128" i="12"/>
  <c r="BN102" i="58"/>
  <c r="BN166" i="58"/>
  <c r="BM152" i="59"/>
  <c r="BN152" i="59" s="1"/>
  <c r="BM162" i="59"/>
  <c r="H126" i="12"/>
  <c r="BN100" i="58"/>
  <c r="BN178" i="58"/>
  <c r="C290" i="120" l="1"/>
  <c r="G290" i="120"/>
  <c r="I290" i="120" s="1"/>
  <c r="J290" i="120" s="1"/>
  <c r="F290" i="120"/>
  <c r="D290" i="120"/>
  <c r="A42" i="12"/>
  <c r="BN118" i="58"/>
  <c r="BN119" i="58"/>
  <c r="H104" i="12"/>
  <c r="BN60" i="58"/>
  <c r="H136" i="120"/>
  <c r="J136" i="120" s="1"/>
  <c r="H107" i="12"/>
  <c r="BN63" i="58"/>
  <c r="H137" i="120"/>
  <c r="J137" i="120" s="1"/>
  <c r="H111" i="12"/>
  <c r="BN67" i="58"/>
  <c r="BM123" i="58"/>
  <c r="BM134" i="58"/>
  <c r="BM66" i="58"/>
  <c r="L253" i="120"/>
  <c r="BM54" i="58"/>
  <c r="L50" i="120"/>
  <c r="L54" i="120"/>
  <c r="BM51" i="58"/>
  <c r="H135" i="120"/>
  <c r="J135" i="120" s="1"/>
  <c r="L47" i="120"/>
  <c r="L38" i="120"/>
  <c r="L56" i="120"/>
  <c r="L36" i="120"/>
  <c r="L49" i="120"/>
  <c r="J63" i="120"/>
  <c r="L35" i="120"/>
  <c r="L45" i="120"/>
  <c r="L40" i="120"/>
  <c r="L51" i="120"/>
  <c r="L52" i="120"/>
  <c r="L53" i="120"/>
  <c r="L39" i="120"/>
  <c r="L37" i="120"/>
  <c r="L58" i="120"/>
  <c r="L60" i="120"/>
  <c r="L57" i="120"/>
  <c r="L43" i="120"/>
  <c r="L55" i="120"/>
  <c r="L62" i="120"/>
  <c r="L48" i="120"/>
  <c r="L46" i="120"/>
  <c r="J13" i="120"/>
  <c r="H127" i="120"/>
  <c r="J127" i="120" s="1"/>
  <c r="H129" i="120"/>
  <c r="J129" i="120" s="1"/>
  <c r="H126" i="120"/>
  <c r="J126" i="120" s="1"/>
  <c r="BM77" i="58"/>
  <c r="BM55" i="58"/>
  <c r="L203" i="120"/>
  <c r="L217" i="120"/>
  <c r="L239" i="120"/>
  <c r="L267" i="120"/>
  <c r="L186" i="120"/>
  <c r="L221" i="120"/>
  <c r="L213" i="120"/>
  <c r="L210" i="120"/>
  <c r="L269" i="120"/>
  <c r="L230" i="120"/>
  <c r="L265" i="120"/>
  <c r="L274" i="120"/>
  <c r="L208" i="120"/>
  <c r="L209" i="120"/>
  <c r="L261" i="120"/>
  <c r="L227" i="120"/>
  <c r="L257" i="120"/>
  <c r="L285" i="120"/>
  <c r="L198" i="120"/>
  <c r="L219" i="120"/>
  <c r="L254" i="120"/>
  <c r="L202" i="120"/>
  <c r="L271" i="120"/>
  <c r="L196" i="120"/>
  <c r="L183" i="120"/>
  <c r="L229" i="120"/>
  <c r="L242" i="120"/>
  <c r="L228" i="120"/>
  <c r="L249" i="120"/>
  <c r="L278" i="120"/>
  <c r="L277" i="120"/>
  <c r="L280" i="120"/>
  <c r="L288" i="120"/>
  <c r="L236" i="120"/>
  <c r="L197" i="120"/>
  <c r="L248" i="120"/>
  <c r="L286" i="120"/>
  <c r="L247" i="120"/>
  <c r="L231" i="120"/>
  <c r="L251" i="120"/>
  <c r="L260" i="120"/>
  <c r="L187" i="120"/>
  <c r="L204" i="120"/>
  <c r="L283" i="120"/>
  <c r="L279" i="120"/>
  <c r="L185" i="120"/>
  <c r="L255" i="120"/>
  <c r="L266" i="120"/>
  <c r="L270" i="120"/>
  <c r="L284" i="120"/>
  <c r="L191" i="120"/>
  <c r="L226" i="120"/>
  <c r="L212" i="120"/>
  <c r="L273" i="120"/>
  <c r="L192" i="120"/>
  <c r="L246" i="120"/>
  <c r="J243" i="120"/>
  <c r="L282" i="120"/>
  <c r="L237" i="120"/>
  <c r="L220" i="120"/>
  <c r="L211" i="120"/>
  <c r="L218" i="120"/>
  <c r="L256" i="120"/>
  <c r="L245" i="120"/>
  <c r="L184" i="120"/>
  <c r="L268" i="120"/>
  <c r="L241" i="120"/>
  <c r="L275" i="120"/>
  <c r="L272" i="120"/>
  <c r="J293" i="120"/>
  <c r="L281" i="120"/>
  <c r="L235" i="120"/>
  <c r="L264" i="120"/>
  <c r="L222" i="120"/>
  <c r="L287" i="120"/>
  <c r="L263" i="120"/>
  <c r="L250" i="120"/>
  <c r="L238" i="120"/>
  <c r="L262" i="120"/>
  <c r="L276" i="120"/>
  <c r="L240" i="120"/>
  <c r="J16" i="120"/>
  <c r="L193" i="120"/>
  <c r="L232" i="120"/>
  <c r="L223" i="120"/>
  <c r="L205" i="120"/>
  <c r="L188" i="120"/>
  <c r="L214" i="120"/>
  <c r="L199" i="120"/>
  <c r="L233" i="120"/>
  <c r="L224" i="120"/>
  <c r="L194" i="120"/>
  <c r="L195" i="120"/>
  <c r="L200" i="120"/>
  <c r="L215" i="120"/>
  <c r="L252" i="120"/>
  <c r="L189" i="120"/>
  <c r="L206" i="120"/>
  <c r="L225" i="120"/>
  <c r="L292" i="120"/>
  <c r="L234" i="120"/>
  <c r="L207" i="120"/>
  <c r="BM179" i="58"/>
  <c r="BN179" i="58" s="1"/>
  <c r="BM203" i="58"/>
  <c r="BM83" i="58"/>
  <c r="BN83" i="58" s="1"/>
  <c r="BM168" i="58"/>
  <c r="H139" i="12" s="1"/>
  <c r="H259" i="120"/>
  <c r="O259" i="12"/>
  <c r="N17" i="12" s="1"/>
  <c r="C27" i="39" s="1"/>
  <c r="BM167" i="58"/>
  <c r="H138" i="12" s="1"/>
  <c r="L190" i="120"/>
  <c r="H128" i="120"/>
  <c r="J128" i="120" s="1"/>
  <c r="BM48" i="58"/>
  <c r="BN25" i="58"/>
  <c r="BM76" i="58"/>
  <c r="H120" i="12" s="1"/>
  <c r="H134" i="120"/>
  <c r="J134" i="120" s="1"/>
  <c r="L201" i="120"/>
  <c r="H133" i="12"/>
  <c r="BN112" i="58"/>
  <c r="H131" i="12"/>
  <c r="BN108" i="58"/>
  <c r="L44" i="120"/>
  <c r="H130" i="12"/>
  <c r="BN107" i="58"/>
  <c r="L42" i="120"/>
  <c r="O258" i="120"/>
  <c r="J258" i="120"/>
  <c r="A43" i="12" l="1"/>
  <c r="A42" i="120"/>
  <c r="H110" i="12"/>
  <c r="BN66" i="58"/>
  <c r="H144" i="12"/>
  <c r="BN134" i="58"/>
  <c r="H111" i="120"/>
  <c r="O111" i="12"/>
  <c r="H107" i="120"/>
  <c r="O107" i="12"/>
  <c r="O104" i="12"/>
  <c r="H104" i="120"/>
  <c r="BM50" i="58"/>
  <c r="BM144" i="58"/>
  <c r="H154" i="12" s="1"/>
  <c r="BM69" i="58"/>
  <c r="BM61" i="58"/>
  <c r="BM68" i="58"/>
  <c r="BM57" i="58"/>
  <c r="BN168" i="58"/>
  <c r="BN76" i="58"/>
  <c r="BN167" i="58"/>
  <c r="BM94" i="58"/>
  <c r="BN94" i="58" s="1"/>
  <c r="BM93" i="58"/>
  <c r="BN93" i="58" s="1"/>
  <c r="H121" i="12"/>
  <c r="BN77" i="58"/>
  <c r="H175" i="12"/>
  <c r="BN203" i="58"/>
  <c r="G17" i="122"/>
  <c r="D22" i="134"/>
  <c r="L16" i="120"/>
  <c r="BM180" i="58"/>
  <c r="BN180" i="58" s="1"/>
  <c r="H130" i="120"/>
  <c r="J130" i="120" s="1"/>
  <c r="L258" i="120"/>
  <c r="BN27" i="58"/>
  <c r="BN26" i="58"/>
  <c r="H131" i="120"/>
  <c r="J131" i="120" s="1"/>
  <c r="H138" i="120"/>
  <c r="J138" i="120" s="1"/>
  <c r="BM70" i="58"/>
  <c r="H114" i="12" s="1"/>
  <c r="BM169" i="58"/>
  <c r="BN169" i="58" s="1"/>
  <c r="BM40" i="58"/>
  <c r="J259" i="120"/>
  <c r="O259" i="120"/>
  <c r="BM73" i="58"/>
  <c r="H117" i="12" s="1"/>
  <c r="H133" i="120"/>
  <c r="J133" i="120" s="1"/>
  <c r="H139" i="120"/>
  <c r="J139" i="120" s="1"/>
  <c r="J289" i="120"/>
  <c r="L290" i="120"/>
  <c r="H120" i="120"/>
  <c r="O120" i="12"/>
  <c r="G14" i="122"/>
  <c r="D10" i="134"/>
  <c r="L13" i="120"/>
  <c r="A43" i="120" l="1"/>
  <c r="A44" i="12"/>
  <c r="BN144" i="58"/>
  <c r="BM65" i="58"/>
  <c r="BM53" i="58"/>
  <c r="J104" i="120"/>
  <c r="O104" i="120"/>
  <c r="O107" i="120"/>
  <c r="J107" i="120"/>
  <c r="J111" i="120"/>
  <c r="O111" i="120"/>
  <c r="H113" i="12"/>
  <c r="BN69" i="58"/>
  <c r="H112" i="12"/>
  <c r="BN68" i="58"/>
  <c r="H144" i="120"/>
  <c r="J144" i="120" s="1"/>
  <c r="H105" i="12"/>
  <c r="BN61" i="58"/>
  <c r="O110" i="12"/>
  <c r="H110" i="120"/>
  <c r="BM72" i="58"/>
  <c r="H116" i="12" s="1"/>
  <c r="O116" i="12" s="1"/>
  <c r="BM62" i="58"/>
  <c r="BM75" i="58"/>
  <c r="H119" i="12" s="1"/>
  <c r="H154" i="120"/>
  <c r="J154" i="120" s="1"/>
  <c r="BM71" i="58"/>
  <c r="H115" i="12" s="1"/>
  <c r="BM49" i="58"/>
  <c r="BN70" i="58"/>
  <c r="BN71" i="58"/>
  <c r="BN73" i="58"/>
  <c r="BM79" i="58"/>
  <c r="H123" i="12" s="1"/>
  <c r="BM56" i="58"/>
  <c r="M175" i="12"/>
  <c r="H175" i="120"/>
  <c r="H117" i="120"/>
  <c r="O117" i="12"/>
  <c r="J120" i="120"/>
  <c r="O120" i="120"/>
  <c r="W11" i="134"/>
  <c r="U11" i="134"/>
  <c r="G11" i="134"/>
  <c r="Q11" i="134"/>
  <c r="F11" i="134"/>
  <c r="J11" i="134"/>
  <c r="K11" i="134"/>
  <c r="L11" i="134"/>
  <c r="H11" i="134"/>
  <c r="R11" i="134"/>
  <c r="I11" i="134"/>
  <c r="N11" i="134"/>
  <c r="O11" i="134"/>
  <c r="M11" i="134"/>
  <c r="V11" i="134"/>
  <c r="T11" i="134"/>
  <c r="P11" i="134"/>
  <c r="S11" i="134"/>
  <c r="AB8" i="134"/>
  <c r="L259" i="120"/>
  <c r="J244" i="120"/>
  <c r="O121" i="12"/>
  <c r="H121" i="120"/>
  <c r="BM211" i="58"/>
  <c r="H181" i="12" s="1"/>
  <c r="BM92" i="58"/>
  <c r="BN92" i="58" s="1"/>
  <c r="O114" i="12"/>
  <c r="H114" i="120"/>
  <c r="BM46" i="58"/>
  <c r="U23" i="134"/>
  <c r="U24" i="134" s="1"/>
  <c r="L23" i="134"/>
  <c r="L24" i="134" s="1"/>
  <c r="W23" i="134"/>
  <c r="W24" i="134" s="1"/>
  <c r="N23" i="134"/>
  <c r="N24" i="134" s="1"/>
  <c r="K23" i="134"/>
  <c r="K24" i="134" s="1"/>
  <c r="S23" i="134"/>
  <c r="S24" i="134" s="1"/>
  <c r="T23" i="134"/>
  <c r="T24" i="134" s="1"/>
  <c r="I23" i="134"/>
  <c r="I24" i="134" s="1"/>
  <c r="R23" i="134"/>
  <c r="R24" i="134" s="1"/>
  <c r="M23" i="134"/>
  <c r="M24" i="134" s="1"/>
  <c r="P23" i="134"/>
  <c r="P24" i="134" s="1"/>
  <c r="F23" i="134"/>
  <c r="O23" i="134"/>
  <c r="O24" i="134" s="1"/>
  <c r="H23" i="134"/>
  <c r="H24" i="134" s="1"/>
  <c r="Q23" i="134"/>
  <c r="Q24" i="134" s="1"/>
  <c r="J23" i="134"/>
  <c r="J24" i="134" s="1"/>
  <c r="G23" i="134"/>
  <c r="G24" i="134" s="1"/>
  <c r="V23" i="134"/>
  <c r="V24" i="134" s="1"/>
  <c r="W12" i="134" l="1"/>
  <c r="R12" i="134"/>
  <c r="A45" i="12"/>
  <c r="A44" i="120"/>
  <c r="P12" i="134"/>
  <c r="M12" i="134"/>
  <c r="O12" i="134"/>
  <c r="I12" i="134"/>
  <c r="Q12" i="134"/>
  <c r="H12" i="134"/>
  <c r="L12" i="134"/>
  <c r="K12" i="134"/>
  <c r="F12" i="134"/>
  <c r="BN75" i="58"/>
  <c r="BN72" i="58"/>
  <c r="H116" i="120"/>
  <c r="J116" i="120" s="1"/>
  <c r="O112" i="12"/>
  <c r="H112" i="120"/>
  <c r="H113" i="120"/>
  <c r="O113" i="12"/>
  <c r="H106" i="12"/>
  <c r="BN62" i="58"/>
  <c r="J110" i="120"/>
  <c r="O110" i="120"/>
  <c r="BM80" i="58"/>
  <c r="BN80" i="58" s="1"/>
  <c r="BM52" i="58"/>
  <c r="O105" i="12"/>
  <c r="H105" i="120"/>
  <c r="H109" i="12"/>
  <c r="BN65" i="58"/>
  <c r="BM64" i="58"/>
  <c r="H115" i="120"/>
  <c r="O115" i="120" s="1"/>
  <c r="H119" i="120"/>
  <c r="J119" i="120" s="1"/>
  <c r="O115" i="12"/>
  <c r="O119" i="12"/>
  <c r="BM125" i="58"/>
  <c r="BM137" i="58"/>
  <c r="BN211" i="58"/>
  <c r="X23" i="134"/>
  <c r="Y23" i="134" s="1"/>
  <c r="BM78" i="58"/>
  <c r="H122" i="12" s="1"/>
  <c r="O123" i="12"/>
  <c r="H123" i="120"/>
  <c r="BN79" i="58"/>
  <c r="F24" i="134"/>
  <c r="X24" i="134" s="1"/>
  <c r="J114" i="120"/>
  <c r="O114" i="120"/>
  <c r="X11" i="134"/>
  <c r="BM95" i="58"/>
  <c r="BN95" i="58" s="1"/>
  <c r="J121" i="120"/>
  <c r="O121" i="120"/>
  <c r="BM86" i="58"/>
  <c r="BN86" i="58" s="1"/>
  <c r="BM85" i="58"/>
  <c r="BN85" i="58" s="1"/>
  <c r="O117" i="120"/>
  <c r="J117" i="120"/>
  <c r="BM199" i="58"/>
  <c r="BN199" i="58" s="1"/>
  <c r="BM120" i="58"/>
  <c r="U12" i="134"/>
  <c r="T12" i="134"/>
  <c r="H181" i="120"/>
  <c r="M181" i="12"/>
  <c r="G12" i="134"/>
  <c r="V12" i="134"/>
  <c r="M175" i="120"/>
  <c r="B175" i="12"/>
  <c r="J12" i="134"/>
  <c r="N12" i="134"/>
  <c r="S12" i="134"/>
  <c r="J17" i="120"/>
  <c r="L244" i="120"/>
  <c r="D175" i="12" l="1"/>
  <c r="C175" i="12"/>
  <c r="A46" i="12"/>
  <c r="A45" i="120"/>
  <c r="O116" i="120"/>
  <c r="O119" i="120"/>
  <c r="J115" i="120"/>
  <c r="H108" i="12"/>
  <c r="BN64" i="58"/>
  <c r="O105" i="120"/>
  <c r="J105" i="120"/>
  <c r="H109" i="120"/>
  <c r="O109" i="12"/>
  <c r="O113" i="120"/>
  <c r="J113" i="120"/>
  <c r="J112" i="120"/>
  <c r="O112" i="120"/>
  <c r="H147" i="12"/>
  <c r="BN137" i="58"/>
  <c r="O106" i="12"/>
  <c r="H106" i="120"/>
  <c r="BM124" i="58"/>
  <c r="BM135" i="58"/>
  <c r="BM136" i="58"/>
  <c r="BM74" i="58"/>
  <c r="H118" i="12" s="1"/>
  <c r="Z23" i="134"/>
  <c r="BM126" i="58"/>
  <c r="BM145" i="58"/>
  <c r="H155" i="12" s="1"/>
  <c r="Y21" i="134"/>
  <c r="X12" i="134"/>
  <c r="Y12" i="134" s="1"/>
  <c r="BM191" i="58"/>
  <c r="H101" i="12" s="1"/>
  <c r="O123" i="120"/>
  <c r="J123" i="120"/>
  <c r="Y24" i="134"/>
  <c r="H122" i="120"/>
  <c r="O122" i="12"/>
  <c r="BN78" i="58"/>
  <c r="BM81" i="58"/>
  <c r="H124" i="12" s="1"/>
  <c r="BM89" i="58"/>
  <c r="BN89" i="58" s="1"/>
  <c r="Z11" i="134"/>
  <c r="Y11" i="134"/>
  <c r="B175" i="120"/>
  <c r="G18" i="122"/>
  <c r="D26" i="134"/>
  <c r="L17" i="120"/>
  <c r="BM204" i="58"/>
  <c r="BM96" i="58"/>
  <c r="BN96" i="58" s="1"/>
  <c r="M181" i="120"/>
  <c r="B181" i="12"/>
  <c r="D181" i="12" l="1"/>
  <c r="C181" i="12"/>
  <c r="G175" i="120"/>
  <c r="I175" i="120" s="1"/>
  <c r="J175" i="120" s="1"/>
  <c r="F175" i="120"/>
  <c r="D175" i="120"/>
  <c r="C175" i="120"/>
  <c r="A46" i="120"/>
  <c r="A47" i="12"/>
  <c r="H15" i="12"/>
  <c r="D16" i="122" s="1"/>
  <c r="BN74" i="58"/>
  <c r="BN145" i="58"/>
  <c r="BM146" i="58"/>
  <c r="H156" i="12" s="1"/>
  <c r="H145" i="12"/>
  <c r="BN135" i="58"/>
  <c r="H146" i="12"/>
  <c r="BN136" i="58"/>
  <c r="O106" i="120"/>
  <c r="J106" i="120"/>
  <c r="H147" i="120"/>
  <c r="J147" i="120" s="1"/>
  <c r="O109" i="120"/>
  <c r="J109" i="120"/>
  <c r="H108" i="120"/>
  <c r="O108" i="12"/>
  <c r="O118" i="12"/>
  <c r="H118" i="120"/>
  <c r="BM127" i="58"/>
  <c r="BM138" i="58"/>
  <c r="H155" i="120"/>
  <c r="J155" i="120" s="1"/>
  <c r="BM147" i="58"/>
  <c r="H157" i="12" s="1"/>
  <c r="Y9" i="134"/>
  <c r="H124" i="120"/>
  <c r="J124" i="120" s="1"/>
  <c r="BN81" i="58"/>
  <c r="O122" i="120"/>
  <c r="J122" i="120"/>
  <c r="H101" i="120"/>
  <c r="J101" i="120" s="1"/>
  <c r="BN191" i="58"/>
  <c r="F27" i="134"/>
  <c r="J27" i="134"/>
  <c r="J28" i="134" s="1"/>
  <c r="N27" i="134"/>
  <c r="N28" i="134" s="1"/>
  <c r="S27" i="134"/>
  <c r="S28" i="134" s="1"/>
  <c r="K27" i="134"/>
  <c r="K28" i="134" s="1"/>
  <c r="H27" i="134"/>
  <c r="H28" i="134" s="1"/>
  <c r="V27" i="134"/>
  <c r="V28" i="134" s="1"/>
  <c r="L27" i="134"/>
  <c r="L28" i="134" s="1"/>
  <c r="G27" i="134"/>
  <c r="G28" i="134" s="1"/>
  <c r="Q27" i="134"/>
  <c r="Q28" i="134" s="1"/>
  <c r="R27" i="134"/>
  <c r="R28" i="134" s="1"/>
  <c r="O27" i="134"/>
  <c r="O28" i="134" s="1"/>
  <c r="W27" i="134"/>
  <c r="W28" i="134" s="1"/>
  <c r="M27" i="134"/>
  <c r="M28" i="134" s="1"/>
  <c r="U27" i="134"/>
  <c r="U28" i="134" s="1"/>
  <c r="I27" i="134"/>
  <c r="I28" i="134" s="1"/>
  <c r="P27" i="134"/>
  <c r="P28" i="134" s="1"/>
  <c r="T27" i="134"/>
  <c r="T28" i="134" s="1"/>
  <c r="H177" i="12"/>
  <c r="H165" i="12"/>
  <c r="BN204" i="58"/>
  <c r="B181" i="120"/>
  <c r="BM90" i="58"/>
  <c r="BN90" i="58" s="1"/>
  <c r="G181" i="120" l="1"/>
  <c r="I181" i="120" s="1"/>
  <c r="J181" i="120" s="1"/>
  <c r="F181" i="120"/>
  <c r="D181" i="120"/>
  <c r="C181" i="120"/>
  <c r="A48" i="12"/>
  <c r="A47" i="120"/>
  <c r="C16" i="77"/>
  <c r="C19" i="39"/>
  <c r="BN147" i="58"/>
  <c r="N15" i="12"/>
  <c r="H156" i="120"/>
  <c r="J156" i="120" s="1"/>
  <c r="BN146" i="58"/>
  <c r="H148" i="12"/>
  <c r="BN138" i="58"/>
  <c r="H146" i="120"/>
  <c r="J146" i="120" s="1"/>
  <c r="J108" i="120"/>
  <c r="O108" i="120"/>
  <c r="H145" i="120"/>
  <c r="J145" i="120" s="1"/>
  <c r="BM128" i="58"/>
  <c r="BM139" i="58"/>
  <c r="O118" i="120"/>
  <c r="J118" i="120"/>
  <c r="H157" i="120"/>
  <c r="J157" i="120" s="1"/>
  <c r="BM129" i="58"/>
  <c r="BM148" i="58"/>
  <c r="H158" i="12" s="1"/>
  <c r="X27" i="134"/>
  <c r="Y27" i="134" s="1"/>
  <c r="J174" i="120"/>
  <c r="H165" i="120"/>
  <c r="J165" i="120" s="1"/>
  <c r="F28" i="134"/>
  <c r="X28" i="134" s="1"/>
  <c r="H177" i="120"/>
  <c r="M177" i="12"/>
  <c r="BM201" i="58"/>
  <c r="BM200" i="58"/>
  <c r="BM91" i="58"/>
  <c r="BN91" i="58" s="1"/>
  <c r="A49" i="12" l="1"/>
  <c r="A48" i="120"/>
  <c r="BN148" i="58"/>
  <c r="N15" i="120"/>
  <c r="C19" i="134"/>
  <c r="H149" i="12"/>
  <c r="BN139" i="58"/>
  <c r="H148" i="120"/>
  <c r="J148" i="120" s="1"/>
  <c r="BM130" i="58"/>
  <c r="BM141" i="58"/>
  <c r="BM140" i="58"/>
  <c r="BM149" i="58"/>
  <c r="H159" i="12" s="1"/>
  <c r="BM142" i="58"/>
  <c r="BM150" i="58"/>
  <c r="H160" i="12" s="1"/>
  <c r="H158" i="120"/>
  <c r="J158" i="120" s="1"/>
  <c r="Z27" i="134"/>
  <c r="M177" i="120"/>
  <c r="B177" i="12"/>
  <c r="J180" i="120"/>
  <c r="H171" i="12"/>
  <c r="BN201" i="58"/>
  <c r="H169" i="12"/>
  <c r="BN200" i="58"/>
  <c r="Y25" i="134"/>
  <c r="Y28" i="134"/>
  <c r="D177" i="12" l="1"/>
  <c r="C177" i="12"/>
  <c r="A49" i="120"/>
  <c r="A50" i="12"/>
  <c r="H152" i="12"/>
  <c r="BN142" i="58"/>
  <c r="H151" i="12"/>
  <c r="BN141" i="58"/>
  <c r="H150" i="12"/>
  <c r="BN140" i="58"/>
  <c r="H149" i="120"/>
  <c r="J149" i="120" s="1"/>
  <c r="BM143" i="58"/>
  <c r="H160" i="120"/>
  <c r="J160" i="120" s="1"/>
  <c r="BM132" i="58"/>
  <c r="BM151" i="58"/>
  <c r="H161" i="12" s="1"/>
  <c r="H159" i="120"/>
  <c r="J159" i="120" s="1"/>
  <c r="BN150" i="58"/>
  <c r="BM131" i="58"/>
  <c r="BN149" i="58"/>
  <c r="B177" i="120"/>
  <c r="H171" i="120"/>
  <c r="J171" i="120" s="1"/>
  <c r="H169" i="120"/>
  <c r="J169" i="120" s="1"/>
  <c r="G177" i="120" l="1"/>
  <c r="I177" i="120" s="1"/>
  <c r="J177" i="120" s="1"/>
  <c r="F177" i="120"/>
  <c r="D177" i="120"/>
  <c r="C177" i="120"/>
  <c r="A51" i="12"/>
  <c r="A50" i="120"/>
  <c r="H153" i="12"/>
  <c r="BN143" i="58"/>
  <c r="H150" i="120"/>
  <c r="J150" i="120" s="1"/>
  <c r="H151" i="120"/>
  <c r="J151" i="120" s="1"/>
  <c r="H152" i="120"/>
  <c r="J152" i="120" s="1"/>
  <c r="BN151" i="58"/>
  <c r="H161" i="120"/>
  <c r="J161" i="120" s="1"/>
  <c r="BM152" i="58"/>
  <c r="H162" i="12" s="1"/>
  <c r="BM121" i="58"/>
  <c r="BM153" i="58"/>
  <c r="H163" i="12" s="1"/>
  <c r="J170" i="120"/>
  <c r="A52" i="12" l="1"/>
  <c r="A51" i="120"/>
  <c r="BN152" i="58"/>
  <c r="H153" i="120"/>
  <c r="J153" i="120" s="1"/>
  <c r="H163" i="120"/>
  <c r="J163" i="120" s="1"/>
  <c r="BN153" i="58"/>
  <c r="H162" i="120"/>
  <c r="J162" i="120" s="1"/>
  <c r="J176" i="120"/>
  <c r="J100" i="120" l="1"/>
  <c r="L155" i="120" s="1"/>
  <c r="A52" i="120"/>
  <c r="A53" i="12"/>
  <c r="L173" i="120" l="1"/>
  <c r="L150" i="120"/>
  <c r="L151" i="120"/>
  <c r="L128" i="120"/>
  <c r="L156" i="120"/>
  <c r="L100" i="120"/>
  <c r="L109" i="120"/>
  <c r="L142" i="120"/>
  <c r="L106" i="120"/>
  <c r="L137" i="120"/>
  <c r="L118" i="120"/>
  <c r="L113" i="120"/>
  <c r="L116" i="120"/>
  <c r="L121" i="120"/>
  <c r="L159" i="120"/>
  <c r="L124" i="120"/>
  <c r="L136" i="120"/>
  <c r="L105" i="120"/>
  <c r="L115" i="120"/>
  <c r="L114" i="120"/>
  <c r="L117" i="120"/>
  <c r="L162" i="120"/>
  <c r="L177" i="120"/>
  <c r="L171" i="120"/>
  <c r="L169" i="120"/>
  <c r="L181" i="120"/>
  <c r="L165" i="120"/>
  <c r="L163" i="120"/>
  <c r="L175" i="120"/>
  <c r="L101" i="120"/>
  <c r="L108" i="120"/>
  <c r="L153" i="120"/>
  <c r="L133" i="120"/>
  <c r="L152" i="120"/>
  <c r="J182" i="120"/>
  <c r="J967" i="120" s="1"/>
  <c r="K632" i="120" s="1"/>
  <c r="L102" i="120"/>
  <c r="L122" i="120"/>
  <c r="L103" i="120"/>
  <c r="L138" i="120"/>
  <c r="L112" i="120"/>
  <c r="L104" i="120"/>
  <c r="L149" i="120"/>
  <c r="L135" i="120"/>
  <c r="L119" i="120"/>
  <c r="L148" i="120"/>
  <c r="L132" i="120"/>
  <c r="L157" i="120"/>
  <c r="J15" i="120"/>
  <c r="D18" i="134" s="1"/>
  <c r="L147" i="120"/>
  <c r="L127" i="120"/>
  <c r="L143" i="120"/>
  <c r="L179" i="120"/>
  <c r="L120" i="120"/>
  <c r="L158" i="120"/>
  <c r="L134" i="120"/>
  <c r="L168" i="120"/>
  <c r="L164" i="120"/>
  <c r="L161" i="120"/>
  <c r="L131" i="120"/>
  <c r="L160" i="120"/>
  <c r="L140" i="120"/>
  <c r="L146" i="120"/>
  <c r="L129" i="120"/>
  <c r="L111" i="120"/>
  <c r="L123" i="120"/>
  <c r="L126" i="120"/>
  <c r="L167" i="120"/>
  <c r="L141" i="120"/>
  <c r="L130" i="120"/>
  <c r="L139" i="120"/>
  <c r="L107" i="120"/>
  <c r="L144" i="120"/>
  <c r="L125" i="120"/>
  <c r="L110" i="120"/>
  <c r="L154" i="120"/>
  <c r="L166" i="120"/>
  <c r="L145" i="120"/>
  <c r="A53" i="120"/>
  <c r="A54" i="12"/>
  <c r="L15" i="120" l="1"/>
  <c r="K837" i="120"/>
  <c r="K142" i="120"/>
  <c r="K422" i="120"/>
  <c r="K794" i="120"/>
  <c r="K426" i="120"/>
  <c r="K185" i="120"/>
  <c r="K540" i="120"/>
  <c r="K416" i="120"/>
  <c r="K364" i="120"/>
  <c r="K521" i="120"/>
  <c r="K162" i="120"/>
  <c r="K131" i="120"/>
  <c r="K175" i="120"/>
  <c r="K161" i="120"/>
  <c r="K280" i="120"/>
  <c r="K556" i="120"/>
  <c r="K133" i="120"/>
  <c r="K673" i="120"/>
  <c r="K220" i="120"/>
  <c r="K765" i="120"/>
  <c r="K138" i="120"/>
  <c r="K764" i="120"/>
  <c r="K43" i="120"/>
  <c r="K597" i="120"/>
  <c r="K494" i="120"/>
  <c r="K384" i="120"/>
  <c r="K86" i="120"/>
  <c r="K306" i="120"/>
  <c r="K285" i="120"/>
  <c r="K265" i="120"/>
  <c r="K655" i="120"/>
  <c r="K388" i="120"/>
  <c r="K259" i="120"/>
  <c r="K739" i="120"/>
  <c r="K705" i="120"/>
  <c r="K758" i="120"/>
  <c r="K205" i="120"/>
  <c r="K120" i="120"/>
  <c r="K244" i="120"/>
  <c r="K17" i="120" s="1"/>
  <c r="M17" i="120" s="1"/>
  <c r="K746" i="120"/>
  <c r="K736" i="120"/>
  <c r="K267" i="120"/>
  <c r="K962" i="120"/>
  <c r="K130" i="120"/>
  <c r="K275" i="120"/>
  <c r="K963" i="120"/>
  <c r="K520" i="120"/>
  <c r="K833" i="120"/>
  <c r="K29" i="120" s="1"/>
  <c r="M29" i="120" s="1"/>
  <c r="K340" i="120"/>
  <c r="K139" i="120"/>
  <c r="K627" i="120"/>
  <c r="K318" i="120"/>
  <c r="K938" i="120"/>
  <c r="K618" i="120"/>
  <c r="K46" i="120"/>
  <c r="K37" i="120"/>
  <c r="K351" i="120"/>
  <c r="K382" i="120"/>
  <c r="K125" i="120"/>
  <c r="K66" i="120"/>
  <c r="K258" i="120"/>
  <c r="K148" i="120"/>
  <c r="K367" i="120"/>
  <c r="K262" i="120"/>
  <c r="K387" i="120"/>
  <c r="K805" i="120"/>
  <c r="K215" i="120"/>
  <c r="K929" i="120"/>
  <c r="K790" i="120"/>
  <c r="K248" i="120"/>
  <c r="K266" i="120"/>
  <c r="K102" i="120"/>
  <c r="K532" i="120"/>
  <c r="K225" i="120"/>
  <c r="K288" i="120"/>
  <c r="K219" i="120"/>
  <c r="K845" i="120"/>
  <c r="K624" i="120"/>
  <c r="K24" i="120" s="1"/>
  <c r="M24" i="120" s="1"/>
  <c r="K801" i="120"/>
  <c r="K186" i="120"/>
  <c r="K513" i="120"/>
  <c r="K310" i="120"/>
  <c r="K942" i="120"/>
  <c r="K110" i="120"/>
  <c r="K256" i="120"/>
  <c r="K474" i="120"/>
  <c r="K827" i="120"/>
  <c r="K392" i="120"/>
  <c r="K458" i="120"/>
  <c r="K428" i="120"/>
  <c r="K566" i="120"/>
  <c r="K183" i="120"/>
  <c r="K16" i="120" s="1"/>
  <c r="M16" i="120" s="1"/>
  <c r="K780" i="120"/>
  <c r="K745" i="120"/>
  <c r="K498" i="120"/>
  <c r="K593" i="120"/>
  <c r="K212" i="120"/>
  <c r="K100" i="120"/>
  <c r="K15" i="120" s="1"/>
  <c r="M15" i="120" s="1"/>
  <c r="K723" i="120"/>
  <c r="K425" i="120"/>
  <c r="K323" i="120"/>
  <c r="K783" i="120"/>
  <c r="K519" i="120"/>
  <c r="G16" i="122"/>
  <c r="G34" i="122" s="1"/>
  <c r="K695" i="120"/>
  <c r="K891" i="120"/>
  <c r="K554" i="120"/>
  <c r="K144" i="120"/>
  <c r="K658" i="120"/>
  <c r="K380" i="120"/>
  <c r="K191" i="120"/>
  <c r="K754" i="120"/>
  <c r="K452" i="120"/>
  <c r="K169" i="120"/>
  <c r="K786" i="120"/>
  <c r="K171" i="120"/>
  <c r="K150" i="120"/>
  <c r="K424" i="120"/>
  <c r="K41" i="120"/>
  <c r="K309" i="120"/>
  <c r="K881" i="120"/>
  <c r="K967" i="120"/>
  <c r="J12" i="120"/>
  <c r="K356" i="120"/>
  <c r="K231" i="120"/>
  <c r="K64" i="120"/>
  <c r="K14" i="120" s="1"/>
  <c r="M14" i="120" s="1"/>
  <c r="K190" i="120"/>
  <c r="K165" i="120"/>
  <c r="K600" i="120"/>
  <c r="K49" i="120"/>
  <c r="K164" i="120"/>
  <c r="K578" i="120"/>
  <c r="K887" i="120"/>
  <c r="K173" i="120"/>
  <c r="K286" i="120"/>
  <c r="K419" i="120"/>
  <c r="K337" i="120"/>
  <c r="K823" i="120"/>
  <c r="K276" i="120"/>
  <c r="K237" i="120"/>
  <c r="K679" i="120"/>
  <c r="K177" i="120"/>
  <c r="K249" i="120"/>
  <c r="K455" i="120"/>
  <c r="K209" i="120"/>
  <c r="K720" i="120"/>
  <c r="K181" i="120"/>
  <c r="K163" i="120"/>
  <c r="K168" i="120"/>
  <c r="K536" i="120"/>
  <c r="K245" i="120"/>
  <c r="K344" i="120"/>
  <c r="K281" i="120"/>
  <c r="K606" i="120"/>
  <c r="K450" i="120"/>
  <c r="K576" i="120"/>
  <c r="K349" i="120"/>
  <c r="K541" i="120"/>
  <c r="K193" i="120"/>
  <c r="K77" i="120"/>
  <c r="K85" i="120"/>
  <c r="K398" i="120"/>
  <c r="K75" i="120"/>
  <c r="K610" i="120"/>
  <c r="K105" i="120"/>
  <c r="K829" i="120"/>
  <c r="K87" i="120"/>
  <c r="K665" i="120"/>
  <c r="K154" i="120"/>
  <c r="K246" i="120"/>
  <c r="K689" i="120"/>
  <c r="K657" i="120"/>
  <c r="K157" i="120"/>
  <c r="K210" i="120"/>
  <c r="K395" i="120"/>
  <c r="K768" i="120"/>
  <c r="K844" i="120"/>
  <c r="K733" i="120"/>
  <c r="K842" i="120"/>
  <c r="K146" i="120"/>
  <c r="K314" i="120"/>
  <c r="K19" i="120" s="1"/>
  <c r="M19" i="120" s="1"/>
  <c r="K889" i="120"/>
  <c r="K409" i="120"/>
  <c r="K127" i="120"/>
  <c r="K198" i="120"/>
  <c r="K47" i="120"/>
  <c r="K859" i="120"/>
  <c r="K238" i="120"/>
  <c r="K287" i="120"/>
  <c r="K631" i="120"/>
  <c r="K321" i="120"/>
  <c r="K841" i="120"/>
  <c r="K639" i="120"/>
  <c r="K486" i="120"/>
  <c r="K772" i="120"/>
  <c r="K159" i="120"/>
  <c r="K420" i="120"/>
  <c r="K701" i="120"/>
  <c r="K645" i="120"/>
  <c r="K25" i="120" s="1"/>
  <c r="M25" i="120" s="1"/>
  <c r="K810" i="120"/>
  <c r="K158" i="120"/>
  <c r="K944" i="120"/>
  <c r="K965" i="120"/>
  <c r="K257" i="120"/>
  <c r="K374" i="120"/>
  <c r="K774" i="120"/>
  <c r="K548" i="120"/>
  <c r="K433" i="120"/>
  <c r="K862" i="120"/>
  <c r="K271" i="120"/>
  <c r="K273" i="120"/>
  <c r="K490" i="120"/>
  <c r="K282" i="120"/>
  <c r="K643" i="120"/>
  <c r="K324" i="120"/>
  <c r="K734" i="120"/>
  <c r="K300" i="120"/>
  <c r="K261" i="120"/>
  <c r="K802" i="120"/>
  <c r="K279" i="120"/>
  <c r="K427" i="120"/>
  <c r="K189" i="120"/>
  <c r="K52" i="120"/>
  <c r="K226" i="120"/>
  <c r="K755" i="120"/>
  <c r="K961" i="120"/>
  <c r="K735" i="120"/>
  <c r="K797" i="120"/>
  <c r="K806" i="120"/>
  <c r="K893" i="120"/>
  <c r="K661" i="120"/>
  <c r="K453" i="120"/>
  <c r="K515" i="120"/>
  <c r="K726" i="120"/>
  <c r="K96" i="120"/>
  <c r="K136" i="120"/>
  <c r="K850" i="120"/>
  <c r="K699" i="120"/>
  <c r="K264" i="120"/>
  <c r="K122" i="120"/>
  <c r="K685" i="120"/>
  <c r="K197" i="120"/>
  <c r="K363" i="120"/>
  <c r="K204" i="120"/>
  <c r="K895" i="120"/>
  <c r="K30" i="120" s="1"/>
  <c r="M30" i="120" s="1"/>
  <c r="K254" i="120"/>
  <c r="K336" i="120"/>
  <c r="K230" i="120"/>
  <c r="K932" i="120"/>
  <c r="K666" i="120"/>
  <c r="K431" i="120"/>
  <c r="K329" i="120"/>
  <c r="K959" i="120"/>
  <c r="K68" i="120"/>
  <c r="K216" i="120"/>
  <c r="K670" i="120"/>
  <c r="K57" i="120"/>
  <c r="K675" i="120"/>
  <c r="K415" i="120"/>
  <c r="K457" i="120"/>
  <c r="K101" i="120"/>
  <c r="K235" i="120"/>
  <c r="K727" i="120"/>
  <c r="K663" i="120"/>
  <c r="K397" i="120"/>
  <c r="K407" i="120"/>
  <c r="K792" i="120"/>
  <c r="K240" i="120"/>
  <c r="K817" i="120"/>
  <c r="K533" i="120"/>
  <c r="K70" i="120"/>
  <c r="K83" i="120"/>
  <c r="K654" i="120"/>
  <c r="K811" i="120"/>
  <c r="K55" i="120"/>
  <c r="K199" i="120"/>
  <c r="K335" i="120"/>
  <c r="K855" i="120"/>
  <c r="K459" i="120"/>
  <c r="K620" i="120"/>
  <c r="K124" i="120"/>
  <c r="K223" i="120"/>
  <c r="K308" i="120"/>
  <c r="K132" i="120"/>
  <c r="K45" i="120"/>
  <c r="K332" i="120"/>
  <c r="K843" i="120"/>
  <c r="K353" i="120"/>
  <c r="K496" i="120"/>
  <c r="K531" i="120"/>
  <c r="K502" i="120"/>
  <c r="K71" i="120"/>
  <c r="K140" i="120"/>
  <c r="K394" i="120"/>
  <c r="K635" i="120"/>
  <c r="K368" i="120"/>
  <c r="K660" i="120"/>
  <c r="K796" i="120"/>
  <c r="K28" i="120" s="1"/>
  <c r="M28" i="120" s="1"/>
  <c r="K123" i="120"/>
  <c r="K436" i="120"/>
  <c r="K668" i="120"/>
  <c r="K542" i="120"/>
  <c r="K84" i="120"/>
  <c r="K935" i="120"/>
  <c r="K39" i="120"/>
  <c r="K731" i="120"/>
  <c r="K936" i="120"/>
  <c r="K667" i="120"/>
  <c r="K807" i="120"/>
  <c r="K798" i="120"/>
  <c r="K184" i="120"/>
  <c r="K283" i="120"/>
  <c r="K76" i="120"/>
  <c r="K737" i="120"/>
  <c r="K625" i="120"/>
  <c r="K524" i="120"/>
  <c r="K511" i="120"/>
  <c r="K88" i="120"/>
  <c r="K803" i="120"/>
  <c r="K848" i="120"/>
  <c r="K135" i="120"/>
  <c r="K775" i="120"/>
  <c r="K717" i="120"/>
  <c r="K236" i="120"/>
  <c r="K669" i="120"/>
  <c r="K604" i="120"/>
  <c r="K104" i="120"/>
  <c r="K537" i="120"/>
  <c r="K933" i="120"/>
  <c r="K947" i="120"/>
  <c r="K307" i="120"/>
  <c r="K260" i="120"/>
  <c r="K776" i="120"/>
  <c r="K320" i="120"/>
  <c r="K752" i="120"/>
  <c r="K27" i="120" s="1"/>
  <c r="M27" i="120" s="1"/>
  <c r="K116" i="120"/>
  <c r="K334" i="120"/>
  <c r="K421" i="120"/>
  <c r="K854" i="120"/>
  <c r="K784" i="120"/>
  <c r="K179" i="120"/>
  <c r="K838" i="120"/>
  <c r="K762" i="120"/>
  <c r="K544" i="120"/>
  <c r="K194" i="120"/>
  <c r="K711" i="120"/>
  <c r="K303" i="120"/>
  <c r="K376" i="120"/>
  <c r="K580" i="120"/>
  <c r="K633" i="120"/>
  <c r="K629" i="120"/>
  <c r="K939" i="120"/>
  <c r="K460" i="120"/>
  <c r="K239" i="120"/>
  <c r="K94" i="120"/>
  <c r="K470" i="120"/>
  <c r="K507" i="120"/>
  <c r="K121" i="120"/>
  <c r="K107" i="120"/>
  <c r="K316" i="120"/>
  <c r="K268" i="120"/>
  <c r="K725" i="120"/>
  <c r="K195" i="120"/>
  <c r="K930" i="120"/>
  <c r="K616" i="120"/>
  <c r="K724" i="120"/>
  <c r="K448" i="120"/>
  <c r="K21" i="120" s="1"/>
  <c r="M21" i="120" s="1"/>
  <c r="K626" i="120"/>
  <c r="K126" i="120"/>
  <c r="K304" i="120"/>
  <c r="K377" i="120"/>
  <c r="K879" i="120"/>
  <c r="K361" i="120"/>
  <c r="K630" i="120"/>
  <c r="K527" i="120"/>
  <c r="K155" i="120"/>
  <c r="K381" i="120"/>
  <c r="K835" i="120"/>
  <c r="K454" i="120"/>
  <c r="K108" i="120"/>
  <c r="K114" i="120"/>
  <c r="K552" i="120"/>
  <c r="K592" i="120"/>
  <c r="K360" i="120"/>
  <c r="K506" i="120"/>
  <c r="K22" i="120" s="1"/>
  <c r="M22" i="120" s="1"/>
  <c r="K584" i="120"/>
  <c r="K152" i="120"/>
  <c r="K482" i="120"/>
  <c r="K358" i="120"/>
  <c r="K614" i="120"/>
  <c r="K466" i="120"/>
  <c r="K252" i="120"/>
  <c r="K48" i="120"/>
  <c r="K568" i="120"/>
  <c r="K937" i="120"/>
  <c r="K141" i="120"/>
  <c r="K560" i="120"/>
  <c r="K834" i="120"/>
  <c r="K582" i="120"/>
  <c r="K23" i="120" s="1"/>
  <c r="M23" i="120" s="1"/>
  <c r="K815" i="120"/>
  <c r="K232" i="120"/>
  <c r="K119" i="120"/>
  <c r="K365" i="120"/>
  <c r="K117" i="120"/>
  <c r="K800" i="120"/>
  <c r="K804" i="120"/>
  <c r="K399" i="120"/>
  <c r="K200" i="120"/>
  <c r="K35" i="120"/>
  <c r="K13" i="120" s="1"/>
  <c r="M13" i="120" s="1"/>
  <c r="K583" i="120"/>
  <c r="K221" i="120"/>
  <c r="K952" i="120"/>
  <c r="K756" i="120"/>
  <c r="K468" i="120"/>
  <c r="K767" i="120"/>
  <c r="K777" i="120"/>
  <c r="K656" i="120"/>
  <c r="K808" i="120"/>
  <c r="K147" i="120"/>
  <c r="K722" i="120"/>
  <c r="K840" i="120"/>
  <c r="K149" i="120"/>
  <c r="K857" i="120"/>
  <c r="K153" i="120"/>
  <c r="K778" i="120"/>
  <c r="K738" i="120"/>
  <c r="K372" i="120"/>
  <c r="K217" i="120"/>
  <c r="K371" i="120"/>
  <c r="K301" i="120"/>
  <c r="K115" i="120"/>
  <c r="K277" i="120"/>
  <c r="K242" i="120"/>
  <c r="K691" i="120"/>
  <c r="K964" i="120"/>
  <c r="K54" i="120"/>
  <c r="K812" i="120"/>
  <c r="K462" i="120"/>
  <c r="K570" i="120"/>
  <c r="K659" i="120"/>
  <c r="K713" i="120"/>
  <c r="K227" i="120"/>
  <c r="K298" i="120"/>
  <c r="K269" i="120"/>
  <c r="K721" i="120"/>
  <c r="K779" i="120"/>
  <c r="K849" i="120"/>
  <c r="K413" i="120"/>
  <c r="K20" i="120" s="1"/>
  <c r="M20" i="120" s="1"/>
  <c r="K192" i="120"/>
  <c r="K414" i="120"/>
  <c r="K74" i="120"/>
  <c r="K56" i="120"/>
  <c r="K103" i="120"/>
  <c r="K572" i="120"/>
  <c r="K589" i="120"/>
  <c r="K875" i="120"/>
  <c r="K664" i="120"/>
  <c r="K703" i="120"/>
  <c r="K472" i="120"/>
  <c r="K118" i="120"/>
  <c r="K444" i="120"/>
  <c r="K461" i="120"/>
  <c r="K652" i="120"/>
  <c r="K60" i="120"/>
  <c r="K650" i="120"/>
  <c r="K396" i="120"/>
  <c r="K317" i="120"/>
  <c r="K274" i="120"/>
  <c r="K858" i="120"/>
  <c r="K278" i="120"/>
  <c r="K128" i="120"/>
  <c r="K73" i="120"/>
  <c r="K247" i="120"/>
  <c r="K98" i="120"/>
  <c r="K782" i="120"/>
  <c r="K319" i="120"/>
  <c r="K590" i="120"/>
  <c r="K546" i="120"/>
  <c r="K156" i="120"/>
  <c r="K742" i="120"/>
  <c r="K302" i="120"/>
  <c r="K296" i="120"/>
  <c r="K674" i="120"/>
  <c r="K591" i="120"/>
  <c r="K761" i="120"/>
  <c r="K951" i="120"/>
  <c r="K955" i="120"/>
  <c r="K327" i="120"/>
  <c r="K451" i="120"/>
  <c r="K836" i="120"/>
  <c r="K297" i="120"/>
  <c r="K250" i="120"/>
  <c r="K326" i="120"/>
  <c r="K350" i="120"/>
  <c r="K697" i="120"/>
  <c r="K928" i="120"/>
  <c r="K32" i="120" s="1"/>
  <c r="M32" i="120" s="1"/>
  <c r="K111" i="120"/>
  <c r="K480" i="120"/>
  <c r="K89" i="120"/>
  <c r="K523" i="120"/>
  <c r="K648" i="120"/>
  <c r="K946" i="120"/>
  <c r="K357" i="120"/>
  <c r="K423" i="120"/>
  <c r="K612" i="120"/>
  <c r="K456" i="120"/>
  <c r="K342" i="120"/>
  <c r="K509" i="120"/>
  <c r="K81" i="120"/>
  <c r="K341" i="120"/>
  <c r="K715" i="120"/>
  <c r="K728" i="120"/>
  <c r="K434" i="120"/>
  <c r="K871" i="120"/>
  <c r="K484" i="120"/>
  <c r="K528" i="120"/>
  <c r="K852" i="120"/>
  <c r="K562" i="120"/>
  <c r="K328" i="120"/>
  <c r="K359" i="120"/>
  <c r="K440" i="120"/>
  <c r="K51" i="120"/>
  <c r="K525" i="120"/>
  <c r="K160" i="120"/>
  <c r="K201" i="120"/>
  <c r="K228" i="120"/>
  <c r="K263" i="120"/>
  <c r="K348" i="120"/>
  <c r="K641" i="120"/>
  <c r="K839" i="120"/>
  <c r="K112" i="120"/>
  <c r="K753" i="120"/>
  <c r="K574" i="120"/>
  <c r="K211" i="120"/>
  <c r="K449" i="120"/>
  <c r="K863" i="120"/>
  <c r="K948" i="120"/>
  <c r="K956" i="120"/>
  <c r="K594" i="120"/>
  <c r="K151" i="120"/>
  <c r="K672" i="120"/>
  <c r="K79" i="120"/>
  <c r="K492" i="120"/>
  <c r="K564" i="120"/>
  <c r="K53" i="120"/>
  <c r="K72" i="120"/>
  <c r="K649" i="120"/>
  <c r="K931" i="120"/>
  <c r="K405" i="120"/>
  <c r="K389" i="120"/>
  <c r="K137" i="120"/>
  <c r="K362" i="120"/>
  <c r="K709" i="120"/>
  <c r="K750" i="120"/>
  <c r="K251" i="120"/>
  <c r="K759" i="120"/>
  <c r="K339" i="120"/>
  <c r="K740" i="120"/>
  <c r="K781" i="120"/>
  <c r="K526" i="120"/>
  <c r="K312" i="120"/>
  <c r="K500" i="120"/>
  <c r="K36" i="120"/>
  <c r="K508" i="120"/>
  <c r="K883" i="120"/>
  <c r="K853" i="120"/>
  <c r="K770" i="120"/>
  <c r="K403" i="120"/>
  <c r="K272" i="120"/>
  <c r="K856" i="120"/>
  <c r="K813" i="120"/>
  <c r="K42" i="120"/>
  <c r="K343" i="120"/>
  <c r="K488" i="120"/>
  <c r="K253" i="120"/>
  <c r="K145" i="120"/>
  <c r="K647" i="120"/>
  <c r="K747" i="120"/>
  <c r="K78" i="120"/>
  <c r="K206" i="120"/>
  <c r="K333" i="120"/>
  <c r="K940" i="120"/>
  <c r="K677" i="120"/>
  <c r="K687" i="120"/>
  <c r="K769" i="120"/>
  <c r="K58" i="120"/>
  <c r="K945" i="120"/>
  <c r="K464" i="120"/>
  <c r="K693" i="120"/>
  <c r="K432" i="120"/>
  <c r="K370" i="120"/>
  <c r="K202" i="120"/>
  <c r="K325" i="120"/>
  <c r="K418" i="120"/>
  <c r="K166" i="120"/>
  <c r="K294" i="120"/>
  <c r="K18" i="120" s="1"/>
  <c r="M18" i="120" s="1"/>
  <c r="K92" i="120"/>
  <c r="K437" i="120"/>
  <c r="K861" i="120"/>
  <c r="K799" i="120"/>
  <c r="K602" i="120"/>
  <c r="K885" i="120"/>
  <c r="K379" i="120"/>
  <c r="K40" i="120"/>
  <c r="K241" i="120"/>
  <c r="K954" i="120"/>
  <c r="K229" i="120"/>
  <c r="K213" i="120"/>
  <c r="K82" i="120"/>
  <c r="K129" i="120"/>
  <c r="K743" i="120"/>
  <c r="K662" i="120"/>
  <c r="K188" i="120"/>
  <c r="K435" i="120"/>
  <c r="K877" i="120"/>
  <c r="K218" i="120"/>
  <c r="K522" i="120"/>
  <c r="K957" i="120"/>
  <c r="K646" i="120"/>
  <c r="K517" i="120"/>
  <c r="K50" i="120"/>
  <c r="K143" i="120"/>
  <c r="K292" i="120"/>
  <c r="K378" i="120"/>
  <c r="K741" i="120"/>
  <c r="K958" i="120"/>
  <c r="K478" i="120"/>
  <c r="K596" i="120"/>
  <c r="K530" i="120"/>
  <c r="K80" i="120"/>
  <c r="K352" i="120"/>
  <c r="K383" i="120"/>
  <c r="K385" i="120"/>
  <c r="K476" i="120"/>
  <c r="K847" i="120"/>
  <c r="K299" i="120"/>
  <c r="K187" i="120"/>
  <c r="K465" i="120"/>
  <c r="K748" i="120"/>
  <c r="K598" i="120"/>
  <c r="K330" i="120"/>
  <c r="K417" i="120"/>
  <c r="K504" i="120"/>
  <c r="K366" i="120"/>
  <c r="K873" i="120"/>
  <c r="K338" i="120"/>
  <c r="K393" i="120"/>
  <c r="K867" i="120"/>
  <c r="K681" i="120"/>
  <c r="K390" i="120"/>
  <c r="K346" i="120"/>
  <c r="K637" i="120"/>
  <c r="K943" i="120"/>
  <c r="K757" i="120"/>
  <c r="K595" i="120"/>
  <c r="K270" i="120"/>
  <c r="K375" i="120"/>
  <c r="K463" i="120"/>
  <c r="K347" i="120"/>
  <c r="K67" i="120"/>
  <c r="K953" i="120"/>
  <c r="K514" i="120"/>
  <c r="K825" i="120"/>
  <c r="K950" i="120"/>
  <c r="K516" i="120"/>
  <c r="K707" i="120"/>
  <c r="K290" i="120"/>
  <c r="K369" i="120"/>
  <c r="K729" i="120"/>
  <c r="K295" i="120"/>
  <c r="K411" i="120"/>
  <c r="K233" i="120"/>
  <c r="K196" i="120"/>
  <c r="K354" i="120"/>
  <c r="K69" i="120"/>
  <c r="K585" i="120"/>
  <c r="K305" i="120"/>
  <c r="K311" i="120"/>
  <c r="K865" i="120"/>
  <c r="K766" i="120"/>
  <c r="K534" i="120"/>
  <c r="K430" i="120"/>
  <c r="K167" i="120"/>
  <c r="K860" i="120"/>
  <c r="K134" i="120"/>
  <c r="K608" i="120"/>
  <c r="K90" i="120"/>
  <c r="K651" i="120"/>
  <c r="K763" i="120"/>
  <c r="K331" i="120"/>
  <c r="K510" i="120"/>
  <c r="K925" i="120"/>
  <c r="K31" i="120" s="1"/>
  <c r="M31" i="120" s="1"/>
  <c r="K960" i="120"/>
  <c r="K831" i="120"/>
  <c r="K65" i="120"/>
  <c r="K760" i="120"/>
  <c r="K809" i="120"/>
  <c r="K538" i="120"/>
  <c r="K391" i="120"/>
  <c r="K587" i="120"/>
  <c r="K788" i="120"/>
  <c r="K222" i="120"/>
  <c r="K869" i="120"/>
  <c r="K62" i="120"/>
  <c r="K234" i="120"/>
  <c r="K512" i="120"/>
  <c r="K732" i="120"/>
  <c r="K438" i="120"/>
  <c r="K819" i="120"/>
  <c r="K730" i="120"/>
  <c r="K224" i="120"/>
  <c r="K442" i="120"/>
  <c r="K744" i="120"/>
  <c r="K683" i="120"/>
  <c r="K941" i="120"/>
  <c r="K214" i="120"/>
  <c r="K535" i="120"/>
  <c r="K586" i="120"/>
  <c r="K934" i="120"/>
  <c r="K208" i="120"/>
  <c r="K539" i="120"/>
  <c r="K628" i="120"/>
  <c r="K255" i="120"/>
  <c r="K355" i="120"/>
  <c r="K109" i="120"/>
  <c r="K926" i="120"/>
  <c r="J19" i="121" s="1"/>
  <c r="K550" i="120"/>
  <c r="K771" i="120"/>
  <c r="K429" i="120"/>
  <c r="K38" i="120"/>
  <c r="K622" i="120"/>
  <c r="K401" i="120"/>
  <c r="K773" i="120"/>
  <c r="K719" i="120"/>
  <c r="K26" i="120" s="1"/>
  <c r="M26" i="120" s="1"/>
  <c r="K949" i="120"/>
  <c r="K588" i="120"/>
  <c r="K518" i="120"/>
  <c r="K113" i="120"/>
  <c r="K529" i="120"/>
  <c r="K203" i="120"/>
  <c r="K846" i="120"/>
  <c r="K851" i="120"/>
  <c r="K284" i="120"/>
  <c r="K44" i="120"/>
  <c r="K373" i="120"/>
  <c r="K558" i="120"/>
  <c r="K106" i="120"/>
  <c r="K821" i="120"/>
  <c r="K671" i="120"/>
  <c r="K653" i="120"/>
  <c r="K446" i="120"/>
  <c r="K207" i="120"/>
  <c r="A55" i="12"/>
  <c r="A54" i="120"/>
  <c r="D89" i="134"/>
  <c r="D91" i="134" s="1"/>
  <c r="D93" i="134" s="1"/>
  <c r="K19" i="134"/>
  <c r="K91" i="134" s="1"/>
  <c r="G19" i="134"/>
  <c r="G91" i="134" s="1"/>
  <c r="R19" i="134"/>
  <c r="R91" i="134" s="1"/>
  <c r="I19" i="134"/>
  <c r="I91" i="134" s="1"/>
  <c r="M19" i="134"/>
  <c r="M91" i="134" s="1"/>
  <c r="O19" i="134"/>
  <c r="O91" i="134" s="1"/>
  <c r="N19" i="134"/>
  <c r="N91" i="134" s="1"/>
  <c r="Q19" i="134"/>
  <c r="Q91" i="134" s="1"/>
  <c r="J19" i="134"/>
  <c r="J91" i="134" s="1"/>
  <c r="T19" i="134"/>
  <c r="T91" i="134" s="1"/>
  <c r="L19" i="134"/>
  <c r="L91" i="134" s="1"/>
  <c r="U19" i="134"/>
  <c r="U91" i="134" s="1"/>
  <c r="H19" i="134"/>
  <c r="H91" i="134" s="1"/>
  <c r="P19" i="134"/>
  <c r="P91" i="134" s="1"/>
  <c r="F19" i="134"/>
  <c r="S19" i="134"/>
  <c r="S91" i="134" s="1"/>
  <c r="W19" i="134"/>
  <c r="W91" i="134" s="1"/>
  <c r="V19" i="134"/>
  <c r="V91" i="134" s="1"/>
  <c r="D100" i="134"/>
  <c r="K912" i="120"/>
  <c r="K917" i="120"/>
  <c r="K898" i="120"/>
  <c r="K920" i="120"/>
  <c r="K910" i="120"/>
  <c r="K909" i="120"/>
  <c r="K897" i="120"/>
  <c r="K907" i="120"/>
  <c r="K896" i="120"/>
  <c r="K914" i="120"/>
  <c r="M2" i="120"/>
  <c r="K923" i="120"/>
  <c r="K922" i="120"/>
  <c r="K918" i="120"/>
  <c r="K902" i="120"/>
  <c r="K916" i="120"/>
  <c r="K901" i="120"/>
  <c r="K903" i="120"/>
  <c r="K919" i="120"/>
  <c r="K899" i="120"/>
  <c r="K905" i="120"/>
  <c r="K921" i="120"/>
  <c r="K908" i="120"/>
  <c r="K904" i="120"/>
  <c r="K906" i="120"/>
  <c r="K911" i="120"/>
  <c r="K900" i="120"/>
  <c r="K915" i="120"/>
  <c r="K913" i="120"/>
  <c r="K12" i="120" l="1"/>
  <c r="A56" i="12"/>
  <c r="A55" i="120"/>
  <c r="F20" i="134"/>
  <c r="F93" i="134" s="1"/>
  <c r="F91" i="134"/>
  <c r="W20" i="134"/>
  <c r="W93" i="134" s="1"/>
  <c r="W94" i="134" s="1"/>
  <c r="S20" i="134"/>
  <c r="S93" i="134" s="1"/>
  <c r="S94" i="134" s="1"/>
  <c r="V20" i="134"/>
  <c r="V93" i="134" s="1"/>
  <c r="V94" i="134" s="1"/>
  <c r="H20" i="134"/>
  <c r="H93" i="134" s="1"/>
  <c r="H94" i="134" s="1"/>
  <c r="G20" i="134"/>
  <c r="G93" i="134" s="1"/>
  <c r="G94" i="134" s="1"/>
  <c r="P20" i="134"/>
  <c r="P93" i="134" s="1"/>
  <c r="P94" i="134" s="1"/>
  <c r="O20" i="134"/>
  <c r="O93" i="134" s="1"/>
  <c r="O94" i="134" s="1"/>
  <c r="K20" i="134"/>
  <c r="K93" i="134" s="1"/>
  <c r="K94" i="134" s="1"/>
  <c r="R20" i="134"/>
  <c r="R93" i="134" s="1"/>
  <c r="R94" i="134" s="1"/>
  <c r="N20" i="134"/>
  <c r="N93" i="134" s="1"/>
  <c r="N94" i="134" s="1"/>
  <c r="U92" i="134"/>
  <c r="L92" i="134"/>
  <c r="T92" i="134"/>
  <c r="J92" i="134"/>
  <c r="Q92" i="134"/>
  <c r="N92" i="134"/>
  <c r="U20" i="134"/>
  <c r="U93" i="134" s="1"/>
  <c r="U94" i="134" s="1"/>
  <c r="O92" i="134"/>
  <c r="M92" i="134"/>
  <c r="J20" i="134"/>
  <c r="J93" i="134" s="1"/>
  <c r="J94" i="134" s="1"/>
  <c r="I92" i="134"/>
  <c r="M20" i="134"/>
  <c r="M93" i="134" s="1"/>
  <c r="M94" i="134" s="1"/>
  <c r="R92" i="134"/>
  <c r="G92" i="134"/>
  <c r="K92" i="134"/>
  <c r="Q20" i="134"/>
  <c r="Q93" i="134" s="1"/>
  <c r="Q94" i="134" s="1"/>
  <c r="I20" i="134"/>
  <c r="I93" i="134" s="1"/>
  <c r="I94" i="134" s="1"/>
  <c r="T20" i="134"/>
  <c r="T93" i="134" s="1"/>
  <c r="T94" i="134" s="1"/>
  <c r="V92" i="134"/>
  <c r="W92" i="134"/>
  <c r="S92" i="134"/>
  <c r="L20" i="134"/>
  <c r="L93" i="134" s="1"/>
  <c r="L94" i="134" s="1"/>
  <c r="X19" i="134"/>
  <c r="P92" i="134"/>
  <c r="H92" i="134"/>
  <c r="A57" i="12" l="1"/>
  <c r="A56" i="120"/>
  <c r="S89" i="134"/>
  <c r="S95" i="134" s="1"/>
  <c r="S96" i="134" s="1"/>
  <c r="V89" i="134"/>
  <c r="V95" i="134" s="1"/>
  <c r="V96" i="134" s="1"/>
  <c r="O89" i="134"/>
  <c r="O90" i="134" s="1"/>
  <c r="K89" i="134"/>
  <c r="K90" i="134" s="1"/>
  <c r="H89" i="134"/>
  <c r="H90" i="134" s="1"/>
  <c r="W89" i="134"/>
  <c r="W90" i="134" s="1"/>
  <c r="G89" i="134"/>
  <c r="G95" i="134" s="1"/>
  <c r="G96" i="134" s="1"/>
  <c r="P89" i="134"/>
  <c r="P95" i="134" s="1"/>
  <c r="P96" i="134" s="1"/>
  <c r="T89" i="134"/>
  <c r="T95" i="134" s="1"/>
  <c r="T96" i="134" s="1"/>
  <c r="N89" i="134"/>
  <c r="N95" i="134" s="1"/>
  <c r="N96" i="134" s="1"/>
  <c r="R89" i="134"/>
  <c r="R95" i="134" s="1"/>
  <c r="R96" i="134" s="1"/>
  <c r="M89" i="134"/>
  <c r="M90" i="134" s="1"/>
  <c r="Q89" i="134"/>
  <c r="J89" i="134"/>
  <c r="X93" i="134"/>
  <c r="F94" i="134"/>
  <c r="X94" i="134" s="1"/>
  <c r="X20" i="134"/>
  <c r="Y20" i="134" s="1"/>
  <c r="Z19" i="134"/>
  <c r="Y19" i="134"/>
  <c r="L89" i="134"/>
  <c r="I89" i="134"/>
  <c r="U89" i="134"/>
  <c r="F89" i="134"/>
  <c r="F92" i="134"/>
  <c r="X92" i="134" s="1"/>
  <c r="X91" i="134"/>
  <c r="A57" i="120" l="1"/>
  <c r="A58" i="12"/>
  <c r="V90" i="134"/>
  <c r="H95" i="134"/>
  <c r="H96" i="134" s="1"/>
  <c r="S90" i="134"/>
  <c r="K95" i="134"/>
  <c r="K96" i="134" s="1"/>
  <c r="P90" i="134"/>
  <c r="O95" i="134"/>
  <c r="O96" i="134" s="1"/>
  <c r="W95" i="134"/>
  <c r="W96" i="134" s="1"/>
  <c r="N90" i="134"/>
  <c r="G90" i="134"/>
  <c r="T90" i="134"/>
  <c r="R90" i="134"/>
  <c r="M95" i="134"/>
  <c r="M96" i="134" s="1"/>
  <c r="Y17" i="134"/>
  <c r="L90" i="134"/>
  <c r="L95" i="134"/>
  <c r="L96" i="134" s="1"/>
  <c r="Q95" i="134"/>
  <c r="Q96" i="134" s="1"/>
  <c r="Q90" i="134"/>
  <c r="Y93" i="134"/>
  <c r="I95" i="134"/>
  <c r="I96" i="134" s="1"/>
  <c r="I90" i="134"/>
  <c r="Y91" i="134"/>
  <c r="Z92" i="134" s="1"/>
  <c r="J95" i="134"/>
  <c r="J96" i="134" s="1"/>
  <c r="J90" i="134"/>
  <c r="U95" i="134"/>
  <c r="U96" i="134" s="1"/>
  <c r="U90" i="134"/>
  <c r="F95" i="134"/>
  <c r="F96" i="134" s="1"/>
  <c r="F90" i="134"/>
  <c r="X89" i="134"/>
  <c r="Y89" i="134" s="1"/>
  <c r="A60" i="12" l="1"/>
  <c r="A58" i="120"/>
  <c r="X90" i="134"/>
  <c r="Z91" i="134"/>
  <c r="Y95" i="134"/>
  <c r="A60" i="120" l="1"/>
  <c r="A64" i="120" s="1"/>
  <c r="A62" i="12"/>
  <c r="A62" i="120" s="1"/>
  <c r="B14" i="120" l="1"/>
  <c r="A13" i="134" s="1"/>
  <c r="I64" i="120"/>
  <c r="D378" i="12" l="1"/>
  <c r="F378" i="12"/>
  <c r="D657" i="12" l="1"/>
  <c r="D586" i="12"/>
  <c r="D461" i="12"/>
  <c r="F586" i="12"/>
  <c r="F461" i="12"/>
  <c r="F657" i="12"/>
  <c r="G238" i="12" l="1"/>
  <c r="I238" i="12" s="1"/>
  <c r="J238" i="12" s="1"/>
  <c r="F238" i="12"/>
  <c r="G236" i="12"/>
  <c r="I236" i="12" s="1"/>
  <c r="J236" i="12" s="1"/>
  <c r="F236" i="12"/>
  <c r="G240" i="12"/>
  <c r="I240" i="12" s="1"/>
  <c r="J240" i="12" s="1"/>
  <c r="F240" i="12"/>
  <c r="G242" i="12"/>
  <c r="I242" i="12" s="1"/>
  <c r="J242" i="12" s="1"/>
  <c r="F242" i="12"/>
  <c r="D235" i="12" l="1"/>
  <c r="D241" i="12"/>
  <c r="F237" i="12"/>
  <c r="F235" i="12"/>
  <c r="F241" i="12"/>
  <c r="D239" i="12"/>
  <c r="F239" i="12"/>
  <c r="D237" i="12"/>
  <c r="G340" i="12" l="1"/>
  <c r="I340" i="12" s="1"/>
  <c r="J340" i="12" s="1"/>
  <c r="G426" i="12"/>
  <c r="I426" i="12" s="1"/>
  <c r="J426" i="12" s="1"/>
  <c r="F340" i="12"/>
  <c r="F426" i="12"/>
  <c r="F458" i="12" l="1"/>
  <c r="F650" i="12"/>
  <c r="D458" i="12"/>
  <c r="D650" i="12"/>
  <c r="F729" i="12" l="1"/>
  <c r="F391" i="12"/>
  <c r="D729" i="12"/>
  <c r="D391" i="12"/>
  <c r="G458" i="12"/>
  <c r="I458" i="12" s="1"/>
  <c r="J458" i="12" s="1"/>
  <c r="G650" i="12"/>
  <c r="I650" i="12" s="1"/>
  <c r="J650" i="12" s="1"/>
  <c r="D655" i="12" l="1"/>
  <c r="D848" i="12"/>
  <c r="D532" i="12"/>
  <c r="D460" i="12"/>
  <c r="F264" i="12" l="1"/>
  <c r="D264" i="12"/>
  <c r="E13" i="74" l="1"/>
  <c r="B13" i="74"/>
  <c r="E12" i="74" l="1"/>
  <c r="B12" i="74"/>
  <c r="E11" i="74"/>
  <c r="B11" i="74"/>
  <c r="F12" i="74" l="1"/>
  <c r="H12" i="74" s="1"/>
  <c r="F13" i="74" l="1"/>
  <c r="H13" i="74" s="1"/>
  <c r="G729" i="12" l="1"/>
  <c r="I729" i="12" s="1"/>
  <c r="J729" i="12" s="1"/>
  <c r="G391" i="12"/>
  <c r="I391" i="12" s="1"/>
  <c r="J391" i="12" s="1"/>
  <c r="F11" i="74" l="1"/>
  <c r="H11" i="74" s="1"/>
  <c r="H17" i="74" s="1"/>
  <c r="D226" i="12" l="1"/>
  <c r="D217" i="12"/>
  <c r="D218" i="12"/>
  <c r="D227" i="12"/>
  <c r="D230" i="12"/>
  <c r="D220" i="12"/>
  <c r="F31" i="74" l="1"/>
  <c r="H31" i="74" s="1"/>
  <c r="E31" i="74"/>
  <c r="F27" i="74"/>
  <c r="H27" i="74" s="1"/>
  <c r="E27" i="74"/>
  <c r="F26" i="74"/>
  <c r="H26" i="74" s="1"/>
  <c r="E26" i="74"/>
  <c r="F28" i="74"/>
  <c r="H28" i="74" s="1"/>
  <c r="E28" i="74"/>
  <c r="F25" i="74"/>
  <c r="H25" i="74" s="1"/>
  <c r="E25" i="74"/>
  <c r="F21" i="74"/>
  <c r="H21" i="74" s="1"/>
  <c r="E21" i="74"/>
  <c r="F22" i="74"/>
  <c r="H22" i="74" s="1"/>
  <c r="E22" i="74"/>
  <c r="F29" i="74"/>
  <c r="H29" i="74" s="1"/>
  <c r="E29" i="74"/>
  <c r="F30" i="74"/>
  <c r="H30" i="74" s="1"/>
  <c r="E30" i="74"/>
  <c r="F24" i="74"/>
  <c r="H24" i="74" s="1"/>
  <c r="E24" i="74"/>
  <c r="F23" i="74"/>
  <c r="H23" i="74" s="1"/>
  <c r="E23" i="74"/>
  <c r="H64" i="74" l="1"/>
  <c r="H65" i="74" s="1"/>
  <c r="H66" i="74" s="1"/>
  <c r="H68" i="74" s="1"/>
  <c r="H69" i="74" s="1"/>
  <c r="G926" i="12" s="1"/>
  <c r="I926" i="12" s="1"/>
  <c r="J926" i="12" s="1"/>
  <c r="G921" i="12"/>
  <c r="I921" i="12" s="1"/>
  <c r="J921" i="12" s="1"/>
  <c r="F921" i="12"/>
  <c r="G388" i="12"/>
  <c r="I388" i="12" s="1"/>
  <c r="J388" i="12" s="1"/>
  <c r="F388" i="12"/>
  <c r="G733" i="12"/>
  <c r="I733" i="12" s="1"/>
  <c r="J733" i="12" s="1"/>
  <c r="F733" i="12"/>
  <c r="G776" i="12"/>
  <c r="I776" i="12" s="1"/>
  <c r="J776" i="12" s="1"/>
  <c r="F776" i="12"/>
  <c r="G772" i="12"/>
  <c r="I772" i="12" s="1"/>
  <c r="J772" i="12" s="1"/>
  <c r="F772" i="12"/>
  <c r="G771" i="12"/>
  <c r="I771" i="12" s="1"/>
  <c r="J771" i="12" s="1"/>
  <c r="F771" i="12"/>
  <c r="G775" i="12"/>
  <c r="I775" i="12" s="1"/>
  <c r="J775" i="12" s="1"/>
  <c r="F775" i="12"/>
  <c r="G390" i="12"/>
  <c r="I390" i="12" s="1"/>
  <c r="J390" i="12" s="1"/>
  <c r="F390" i="12"/>
  <c r="G730" i="12"/>
  <c r="I730" i="12" s="1"/>
  <c r="J730" i="12" s="1"/>
  <c r="F730" i="12"/>
  <c r="G807" i="12"/>
  <c r="I807" i="12" s="1"/>
  <c r="J807" i="12" s="1"/>
  <c r="F807" i="12"/>
  <c r="G805" i="12"/>
  <c r="I805" i="12" s="1"/>
  <c r="J805" i="12" s="1"/>
  <c r="F805" i="12"/>
  <c r="G852" i="12"/>
  <c r="I852" i="12" s="1"/>
  <c r="J852" i="12" s="1"/>
  <c r="F852" i="12"/>
  <c r="G520" i="12"/>
  <c r="I520" i="12" s="1"/>
  <c r="J520" i="12" s="1"/>
  <c r="F520" i="12"/>
  <c r="G515" i="12"/>
  <c r="I515" i="12" s="1"/>
  <c r="J515" i="12" s="1"/>
  <c r="F515" i="12"/>
  <c r="G629" i="12"/>
  <c r="I629" i="12" s="1"/>
  <c r="J629" i="12" s="1"/>
  <c r="F629" i="12"/>
  <c r="G323" i="12"/>
  <c r="I323" i="12" s="1"/>
  <c r="J323" i="12" s="1"/>
  <c r="F323" i="12"/>
  <c r="I19" i="12" s="1"/>
  <c r="G531" i="12"/>
  <c r="I531" i="12" s="1"/>
  <c r="J531" i="12" s="1"/>
  <c r="F531" i="12"/>
  <c r="G516" i="12"/>
  <c r="I516" i="12" s="1"/>
  <c r="J516" i="12" s="1"/>
  <c r="F516" i="12"/>
  <c r="G526" i="12"/>
  <c r="I526" i="12" s="1"/>
  <c r="J526" i="12" s="1"/>
  <c r="F526" i="12"/>
  <c r="G383" i="12"/>
  <c r="I383" i="12" s="1"/>
  <c r="J383" i="12" s="1"/>
  <c r="F383" i="12"/>
  <c r="G382" i="12"/>
  <c r="I382" i="12" s="1"/>
  <c r="J382" i="12" s="1"/>
  <c r="F382" i="12"/>
  <c r="G381" i="12"/>
  <c r="I381" i="12" s="1"/>
  <c r="J381" i="12" s="1"/>
  <c r="F381" i="12"/>
  <c r="G380" i="12"/>
  <c r="I380" i="12" s="1"/>
  <c r="J380" i="12" s="1"/>
  <c r="F380" i="12"/>
  <c r="G377" i="12"/>
  <c r="I377" i="12" s="1"/>
  <c r="J377" i="12" s="1"/>
  <c r="F377" i="12"/>
  <c r="G375" i="12"/>
  <c r="I375" i="12" s="1"/>
  <c r="J375" i="12" s="1"/>
  <c r="F375" i="12"/>
  <c r="G369" i="12"/>
  <c r="I369" i="12" s="1"/>
  <c r="J369" i="12" s="1"/>
  <c r="F369" i="12"/>
  <c r="G368" i="12"/>
  <c r="I368" i="12" s="1"/>
  <c r="J368" i="12" s="1"/>
  <c r="F368" i="12"/>
  <c r="G367" i="12"/>
  <c r="I367" i="12" s="1"/>
  <c r="J367" i="12" s="1"/>
  <c r="F367" i="12"/>
  <c r="G357" i="12"/>
  <c r="I357" i="12" s="1"/>
  <c r="J357" i="12" s="1"/>
  <c r="F357" i="12"/>
  <c r="G356" i="12"/>
  <c r="I356" i="12" s="1"/>
  <c r="J356" i="12" s="1"/>
  <c r="F356" i="12"/>
  <c r="G355" i="12"/>
  <c r="I355" i="12" s="1"/>
  <c r="J355" i="12" s="1"/>
  <c r="F355" i="12"/>
  <c r="G354" i="12"/>
  <c r="I354" i="12" s="1"/>
  <c r="J354" i="12" s="1"/>
  <c r="F354" i="12"/>
  <c r="G298" i="12"/>
  <c r="I298" i="12" s="1"/>
  <c r="J298" i="12" s="1"/>
  <c r="F298" i="12"/>
  <c r="G349" i="12"/>
  <c r="I349" i="12" s="1"/>
  <c r="J349" i="12" s="1"/>
  <c r="F349" i="12"/>
  <c r="F265" i="12"/>
  <c r="G259" i="12"/>
  <c r="I259" i="12" s="1"/>
  <c r="J259" i="12" s="1"/>
  <c r="F259" i="12"/>
  <c r="G201" i="12"/>
  <c r="I201" i="12" s="1"/>
  <c r="J201" i="12" s="1"/>
  <c r="F201" i="12"/>
  <c r="G200" i="12"/>
  <c r="I200" i="12" s="1"/>
  <c r="J200" i="12" s="1"/>
  <c r="F200" i="12"/>
  <c r="G199" i="12"/>
  <c r="I199" i="12" s="1"/>
  <c r="J199" i="12" s="1"/>
  <c r="F199" i="12"/>
  <c r="G198" i="12"/>
  <c r="I198" i="12" s="1"/>
  <c r="J198" i="12" s="1"/>
  <c r="F198" i="12"/>
  <c r="G197" i="12"/>
  <c r="I197" i="12" s="1"/>
  <c r="J197" i="12" s="1"/>
  <c r="F197" i="12"/>
  <c r="G196" i="12"/>
  <c r="I196" i="12" s="1"/>
  <c r="J196" i="12" s="1"/>
  <c r="F196" i="12"/>
  <c r="I16" i="12" s="1"/>
  <c r="G207" i="12"/>
  <c r="I207" i="12" s="1"/>
  <c r="J207" i="12" s="1"/>
  <c r="F207" i="12"/>
  <c r="G206" i="12"/>
  <c r="I206" i="12" s="1"/>
  <c r="J206" i="12" s="1"/>
  <c r="F206" i="12"/>
  <c r="G205" i="12"/>
  <c r="I205" i="12" s="1"/>
  <c r="J205" i="12" s="1"/>
  <c r="F205" i="12"/>
  <c r="G204" i="12"/>
  <c r="I204" i="12" s="1"/>
  <c r="J204" i="12" s="1"/>
  <c r="F204" i="12"/>
  <c r="G203" i="12"/>
  <c r="I203" i="12" s="1"/>
  <c r="J203" i="12" s="1"/>
  <c r="F203" i="12"/>
  <c r="G202" i="12"/>
  <c r="I202" i="12" s="1"/>
  <c r="J202" i="12" s="1"/>
  <c r="F202" i="12"/>
  <c r="G195" i="12"/>
  <c r="I195" i="12" s="1"/>
  <c r="J195" i="12" s="1"/>
  <c r="F195" i="12"/>
  <c r="G194" i="12"/>
  <c r="I194" i="12" s="1"/>
  <c r="J194" i="12" s="1"/>
  <c r="F194" i="12"/>
  <c r="G193" i="12"/>
  <c r="I193" i="12" s="1"/>
  <c r="J193" i="12" s="1"/>
  <c r="F193" i="12"/>
  <c r="G192" i="12"/>
  <c r="I192" i="12" s="1"/>
  <c r="J192" i="12" s="1"/>
  <c r="F192" i="12"/>
  <c r="G191" i="12"/>
  <c r="I191" i="12" s="1"/>
  <c r="J191" i="12" s="1"/>
  <c r="F191" i="12"/>
  <c r="G190" i="12"/>
  <c r="I190" i="12" s="1"/>
  <c r="J190" i="12" s="1"/>
  <c r="F190" i="12"/>
  <c r="G189" i="12"/>
  <c r="I189" i="12" s="1"/>
  <c r="J189" i="12" s="1"/>
  <c r="F189" i="12"/>
  <c r="G188" i="12"/>
  <c r="I188" i="12" s="1"/>
  <c r="J188" i="12" s="1"/>
  <c r="F188" i="12"/>
  <c r="G187" i="12"/>
  <c r="I187" i="12" s="1"/>
  <c r="J187" i="12" s="1"/>
  <c r="F187" i="12"/>
  <c r="G186" i="12"/>
  <c r="I186" i="12" s="1"/>
  <c r="J186" i="12" s="1"/>
  <c r="F186" i="12"/>
  <c r="G185" i="12"/>
  <c r="I185" i="12" s="1"/>
  <c r="J185" i="12" s="1"/>
  <c r="F185" i="12"/>
  <c r="G184" i="12"/>
  <c r="I184" i="12" s="1"/>
  <c r="J184" i="12" s="1"/>
  <c r="F184" i="12"/>
  <c r="G337" i="12"/>
  <c r="I337" i="12" s="1"/>
  <c r="J337" i="12" s="1"/>
  <c r="F337" i="12"/>
  <c r="G153" i="12"/>
  <c r="I153" i="12" s="1"/>
  <c r="J153" i="12" s="1"/>
  <c r="F153" i="12"/>
  <c r="G152" i="12"/>
  <c r="I152" i="12" s="1"/>
  <c r="J152" i="12" s="1"/>
  <c r="F152" i="12"/>
  <c r="G151" i="12"/>
  <c r="I151" i="12" s="1"/>
  <c r="J151" i="12" s="1"/>
  <c r="F151" i="12"/>
  <c r="G150" i="12"/>
  <c r="I150" i="12" s="1"/>
  <c r="J150" i="12" s="1"/>
  <c r="F150" i="12"/>
  <c r="G149" i="12"/>
  <c r="I149" i="12" s="1"/>
  <c r="J149" i="12" s="1"/>
  <c r="F149" i="12"/>
  <c r="G148" i="12"/>
  <c r="I148" i="12" s="1"/>
  <c r="J148" i="12" s="1"/>
  <c r="F148" i="12"/>
  <c r="G147" i="12"/>
  <c r="I147" i="12" s="1"/>
  <c r="J147" i="12" s="1"/>
  <c r="F147" i="12"/>
  <c r="G146" i="12"/>
  <c r="I146" i="12" s="1"/>
  <c r="J146" i="12" s="1"/>
  <c r="F146" i="12"/>
  <c r="G145" i="12"/>
  <c r="I145" i="12" s="1"/>
  <c r="J145" i="12" s="1"/>
  <c r="F145" i="12"/>
  <c r="G162" i="12"/>
  <c r="I162" i="12" s="1"/>
  <c r="J162" i="12" s="1"/>
  <c r="F162" i="12"/>
  <c r="G160" i="12"/>
  <c r="I160" i="12" s="1"/>
  <c r="J160" i="12" s="1"/>
  <c r="F160" i="12"/>
  <c r="G158" i="12"/>
  <c r="I158" i="12" s="1"/>
  <c r="J158" i="12" s="1"/>
  <c r="F158" i="12"/>
  <c r="G157" i="12"/>
  <c r="I157" i="12" s="1"/>
  <c r="J157" i="12" s="1"/>
  <c r="F157" i="12"/>
  <c r="G155" i="12"/>
  <c r="I155" i="12" s="1"/>
  <c r="J155" i="12" s="1"/>
  <c r="F155" i="12"/>
  <c r="G154" i="12"/>
  <c r="I154" i="12" s="1"/>
  <c r="J154" i="12" s="1"/>
  <c r="F154" i="12"/>
  <c r="G424" i="12"/>
  <c r="I424" i="12" s="1"/>
  <c r="J424" i="12" s="1"/>
  <c r="F424" i="12"/>
  <c r="G164" i="12"/>
  <c r="I164" i="12" s="1"/>
  <c r="J164" i="12" s="1"/>
  <c r="F164" i="12"/>
  <c r="G166" i="12"/>
  <c r="I166" i="12" s="1"/>
  <c r="J166" i="12" s="1"/>
  <c r="F166" i="12"/>
  <c r="G142" i="12"/>
  <c r="I142" i="12" s="1"/>
  <c r="J142" i="12" s="1"/>
  <c r="F142" i="12"/>
  <c r="G141" i="12"/>
  <c r="I141" i="12" s="1"/>
  <c r="J141" i="12" s="1"/>
  <c r="F141" i="12"/>
  <c r="G140" i="12"/>
  <c r="I140" i="12" s="1"/>
  <c r="J140" i="12" s="1"/>
  <c r="F140" i="12"/>
  <c r="G138" i="12"/>
  <c r="I138" i="12" s="1"/>
  <c r="J138" i="12" s="1"/>
  <c r="F138" i="12"/>
  <c r="G136" i="12"/>
  <c r="I136" i="12" s="1"/>
  <c r="J136" i="12" s="1"/>
  <c r="F136" i="12"/>
  <c r="G113" i="12"/>
  <c r="I113" i="12" s="1"/>
  <c r="J113" i="12" s="1"/>
  <c r="F113" i="12"/>
  <c r="G112" i="12"/>
  <c r="I112" i="12" s="1"/>
  <c r="J112" i="12" s="1"/>
  <c r="F112" i="12"/>
  <c r="G111" i="12"/>
  <c r="I111" i="12" s="1"/>
  <c r="J111" i="12" s="1"/>
  <c r="F111" i="12"/>
  <c r="G110" i="12"/>
  <c r="I110" i="12" s="1"/>
  <c r="J110" i="12" s="1"/>
  <c r="F110" i="12"/>
  <c r="G109" i="12"/>
  <c r="I109" i="12" s="1"/>
  <c r="J109" i="12" s="1"/>
  <c r="F109" i="12"/>
  <c r="G108" i="12"/>
  <c r="I108" i="12" s="1"/>
  <c r="J108" i="12" s="1"/>
  <c r="F108" i="12"/>
  <c r="G107" i="12"/>
  <c r="I107" i="12" s="1"/>
  <c r="J107" i="12" s="1"/>
  <c r="F107" i="12"/>
  <c r="G106" i="12"/>
  <c r="I106" i="12" s="1"/>
  <c r="J106" i="12" s="1"/>
  <c r="F106" i="12"/>
  <c r="G105" i="12"/>
  <c r="I105" i="12" s="1"/>
  <c r="J105" i="12" s="1"/>
  <c r="F105" i="12"/>
  <c r="G123" i="12"/>
  <c r="I123" i="12" s="1"/>
  <c r="J123" i="12" s="1"/>
  <c r="F123" i="12"/>
  <c r="G122" i="12"/>
  <c r="I122" i="12" s="1"/>
  <c r="J122" i="12" s="1"/>
  <c r="F122" i="12"/>
  <c r="G121" i="12"/>
  <c r="I121" i="12" s="1"/>
  <c r="J121" i="12" s="1"/>
  <c r="F121" i="12"/>
  <c r="G120" i="12"/>
  <c r="I120" i="12" s="1"/>
  <c r="J120" i="12" s="1"/>
  <c r="F120" i="12"/>
  <c r="G119" i="12"/>
  <c r="I119" i="12" s="1"/>
  <c r="J119" i="12" s="1"/>
  <c r="F119" i="12"/>
  <c r="G118" i="12"/>
  <c r="I118" i="12" s="1"/>
  <c r="J118" i="12" s="1"/>
  <c r="F118" i="12"/>
  <c r="G117" i="12"/>
  <c r="I117" i="12" s="1"/>
  <c r="J117" i="12" s="1"/>
  <c r="F117" i="12"/>
  <c r="G116" i="12"/>
  <c r="I116" i="12" s="1"/>
  <c r="J116" i="12" s="1"/>
  <c r="F116" i="12"/>
  <c r="G115" i="12"/>
  <c r="I115" i="12" s="1"/>
  <c r="J115" i="12" s="1"/>
  <c r="F115" i="12"/>
  <c r="G133" i="12"/>
  <c r="I133" i="12" s="1"/>
  <c r="J133" i="12" s="1"/>
  <c r="F133" i="12"/>
  <c r="G132" i="12"/>
  <c r="I132" i="12" s="1"/>
  <c r="J132" i="12" s="1"/>
  <c r="F132" i="12"/>
  <c r="G131" i="12"/>
  <c r="I131" i="12" s="1"/>
  <c r="J131" i="12" s="1"/>
  <c r="F131" i="12"/>
  <c r="G130" i="12"/>
  <c r="I130" i="12" s="1"/>
  <c r="J130" i="12" s="1"/>
  <c r="F130" i="12"/>
  <c r="G129" i="12"/>
  <c r="I129" i="12" s="1"/>
  <c r="J129" i="12" s="1"/>
  <c r="F129" i="12"/>
  <c r="G128" i="12"/>
  <c r="I128" i="12" s="1"/>
  <c r="J128" i="12" s="1"/>
  <c r="F128" i="12"/>
  <c r="G127" i="12"/>
  <c r="I127" i="12" s="1"/>
  <c r="J127" i="12" s="1"/>
  <c r="F127" i="12"/>
  <c r="G292" i="12"/>
  <c r="I292" i="12" s="1"/>
  <c r="J292" i="12" s="1"/>
  <c r="F292" i="12"/>
  <c r="G794" i="12"/>
  <c r="I794" i="12" s="1"/>
  <c r="J794" i="12" s="1"/>
  <c r="F794" i="12"/>
  <c r="G758" i="12"/>
  <c r="I758" i="12" s="1"/>
  <c r="J758" i="12" s="1"/>
  <c r="F758" i="12"/>
  <c r="G72" i="12"/>
  <c r="I72" i="12" s="1"/>
  <c r="J72" i="12" s="1"/>
  <c r="F72" i="12"/>
  <c r="G69" i="12"/>
  <c r="I69" i="12" s="1"/>
  <c r="J69" i="12" s="1"/>
  <c r="F69" i="12"/>
  <c r="G86" i="12"/>
  <c r="I86" i="12" s="1"/>
  <c r="J86" i="12" s="1"/>
  <c r="F86" i="12"/>
  <c r="G85" i="12"/>
  <c r="I85" i="12" s="1"/>
  <c r="J85" i="12" s="1"/>
  <c r="F85" i="12"/>
  <c r="G84" i="12"/>
  <c r="I84" i="12" s="1"/>
  <c r="J84" i="12" s="1"/>
  <c r="F84" i="12"/>
  <c r="G83" i="12"/>
  <c r="I83" i="12" s="1"/>
  <c r="J83" i="12" s="1"/>
  <c r="F83" i="12"/>
  <c r="G82" i="12"/>
  <c r="I82" i="12" s="1"/>
  <c r="J82" i="12" s="1"/>
  <c r="F82" i="12"/>
  <c r="G81" i="12"/>
  <c r="I81" i="12" s="1"/>
  <c r="J81" i="12" s="1"/>
  <c r="F81" i="12"/>
  <c r="G80" i="12"/>
  <c r="I80" i="12" s="1"/>
  <c r="J80" i="12" s="1"/>
  <c r="F80" i="12"/>
  <c r="G79" i="12"/>
  <c r="I79" i="12" s="1"/>
  <c r="J79" i="12" s="1"/>
  <c r="F79" i="12"/>
  <c r="G78" i="12"/>
  <c r="I78" i="12" s="1"/>
  <c r="J78" i="12" s="1"/>
  <c r="F78" i="12"/>
  <c r="G77" i="12"/>
  <c r="I77" i="12" s="1"/>
  <c r="J77" i="12" s="1"/>
  <c r="F77" i="12"/>
  <c r="G757" i="12"/>
  <c r="I757" i="12" s="1"/>
  <c r="J757" i="12" s="1"/>
  <c r="F757" i="12"/>
  <c r="G45" i="12"/>
  <c r="I45" i="12" s="1"/>
  <c r="J45" i="12" s="1"/>
  <c r="F45" i="12"/>
  <c r="G52" i="12"/>
  <c r="I52" i="12" s="1"/>
  <c r="J52" i="12" s="1"/>
  <c r="F52" i="12"/>
  <c r="G42" i="12"/>
  <c r="I42" i="12" s="1"/>
  <c r="J42" i="12" s="1"/>
  <c r="F42" i="12"/>
  <c r="G41" i="12"/>
  <c r="I41" i="12" s="1"/>
  <c r="J41" i="12" s="1"/>
  <c r="F41" i="12"/>
  <c r="G40" i="12"/>
  <c r="I40" i="12" s="1"/>
  <c r="J40" i="12" s="1"/>
  <c r="F40" i="12"/>
  <c r="G43" i="12"/>
  <c r="I43" i="12" s="1"/>
  <c r="J43" i="12" s="1"/>
  <c r="F43" i="12"/>
  <c r="G38" i="12"/>
  <c r="I38" i="12" s="1"/>
  <c r="J38" i="12" s="1"/>
  <c r="F38" i="12"/>
  <c r="G39" i="12"/>
  <c r="I39" i="12" s="1"/>
  <c r="J39" i="12" s="1"/>
  <c r="F39" i="12"/>
  <c r="G37" i="12"/>
  <c r="I37" i="12" s="1"/>
  <c r="J37" i="12" s="1"/>
  <c r="F37" i="12"/>
  <c r="G407" i="12" l="1"/>
  <c r="I407" i="12" s="1"/>
  <c r="J407" i="12" s="1"/>
  <c r="G679" i="12"/>
  <c r="I679" i="12" s="1"/>
  <c r="J679" i="12" s="1"/>
  <c r="G472" i="12"/>
  <c r="I472" i="12" s="1"/>
  <c r="J472" i="12" s="1"/>
  <c r="G635" i="12"/>
  <c r="I635" i="12" s="1"/>
  <c r="J635" i="12" s="1"/>
  <c r="G171" i="12"/>
  <c r="I171" i="12" s="1"/>
  <c r="J171" i="12" s="1"/>
  <c r="G330" i="12"/>
  <c r="I330" i="12" s="1"/>
  <c r="J330" i="12" s="1"/>
  <c r="G156" i="12"/>
  <c r="I156" i="12" s="1"/>
  <c r="J156" i="12" s="1"/>
  <c r="G232" i="12"/>
  <c r="I232" i="12" s="1"/>
  <c r="J232" i="12" s="1"/>
  <c r="G223" i="12"/>
  <c r="I223" i="12" s="1"/>
  <c r="J223" i="12" s="1"/>
  <c r="F780" i="12"/>
  <c r="F350" i="12"/>
  <c r="F744" i="12"/>
  <c r="F365" i="12"/>
  <c r="F308" i="12"/>
  <c r="F839" i="12"/>
  <c r="F630" i="12"/>
  <c r="F334" i="12"/>
  <c r="F759" i="12"/>
  <c r="I27" i="12" s="1"/>
  <c r="F727" i="12"/>
  <c r="G528" i="12"/>
  <c r="I528" i="12" s="1"/>
  <c r="J528" i="12" s="1"/>
  <c r="G861" i="12"/>
  <c r="I861" i="12" s="1"/>
  <c r="J861" i="12" s="1"/>
  <c r="G454" i="12"/>
  <c r="I454" i="12" s="1"/>
  <c r="J454" i="12" s="1"/>
  <c r="G671" i="12"/>
  <c r="I671" i="12" s="1"/>
  <c r="J671" i="12" s="1"/>
  <c r="G810" i="12"/>
  <c r="I810" i="12" s="1"/>
  <c r="J810" i="12" s="1"/>
  <c r="G308" i="12"/>
  <c r="I308" i="12" s="1"/>
  <c r="J308" i="12" s="1"/>
  <c r="G365" i="12"/>
  <c r="I365" i="12" s="1"/>
  <c r="J365" i="12" s="1"/>
  <c r="G744" i="12"/>
  <c r="I744" i="12" s="1"/>
  <c r="J744" i="12" s="1"/>
  <c r="G630" i="12"/>
  <c r="I630" i="12" s="1"/>
  <c r="J630" i="12" s="1"/>
  <c r="G839" i="12"/>
  <c r="I839" i="12" s="1"/>
  <c r="J839" i="12" s="1"/>
  <c r="G334" i="12"/>
  <c r="I334" i="12" s="1"/>
  <c r="J334" i="12" s="1"/>
  <c r="G727" i="12"/>
  <c r="I727" i="12" s="1"/>
  <c r="J727" i="12" s="1"/>
  <c r="G759" i="12"/>
  <c r="I759" i="12" s="1"/>
  <c r="J759" i="12" s="1"/>
  <c r="G891" i="12"/>
  <c r="I891" i="12" s="1"/>
  <c r="J891" i="12" s="1"/>
  <c r="G715" i="12"/>
  <c r="I715" i="12" s="1"/>
  <c r="J715" i="12" s="1"/>
  <c r="G831" i="12"/>
  <c r="I831" i="12" s="1"/>
  <c r="J831" i="12" s="1"/>
  <c r="G750" i="12"/>
  <c r="I750" i="12" s="1"/>
  <c r="J750" i="12" s="1"/>
  <c r="G568" i="12"/>
  <c r="I568" i="12" s="1"/>
  <c r="J568" i="12" s="1"/>
  <c r="G893" i="12"/>
  <c r="I893" i="12" s="1"/>
  <c r="J893" i="12" s="1"/>
  <c r="G717" i="12"/>
  <c r="I717" i="12" s="1"/>
  <c r="J717" i="12" s="1"/>
  <c r="G98" i="12"/>
  <c r="I98" i="12" s="1"/>
  <c r="J98" i="12" s="1"/>
  <c r="G224" i="12"/>
  <c r="I224" i="12" s="1"/>
  <c r="J224" i="12" s="1"/>
  <c r="G233" i="12"/>
  <c r="I233" i="12" s="1"/>
  <c r="J233" i="12" s="1"/>
  <c r="F353" i="12"/>
  <c r="F300" i="12"/>
  <c r="F309" i="12"/>
  <c r="F366" i="12"/>
  <c r="F57" i="12"/>
  <c r="F326" i="12"/>
  <c r="F728" i="12"/>
  <c r="F851" i="12"/>
  <c r="F762" i="12"/>
  <c r="F396" i="12"/>
  <c r="F403" i="12"/>
  <c r="F548" i="12"/>
  <c r="F405" i="12"/>
  <c r="F558" i="12"/>
  <c r="F616" i="12"/>
  <c r="F96" i="12"/>
  <c r="F564" i="12"/>
  <c r="F792" i="12"/>
  <c r="F865" i="12"/>
  <c r="F788" i="12"/>
  <c r="F604" i="12"/>
  <c r="F550" i="12"/>
  <c r="F701" i="12"/>
  <c r="F600" i="12"/>
  <c r="F409" i="12"/>
  <c r="F699" i="12"/>
  <c r="F173" i="12"/>
  <c r="F570" i="12"/>
  <c r="F691" i="12"/>
  <c r="F881" i="12"/>
  <c r="F612" i="12"/>
  <c r="F639" i="12"/>
  <c r="F695" i="12"/>
  <c r="F544" i="12"/>
  <c r="F440" i="12"/>
  <c r="F786" i="12"/>
  <c r="F610" i="12"/>
  <c r="F602" i="12"/>
  <c r="F693" i="12"/>
  <c r="F697" i="12"/>
  <c r="F703" i="12"/>
  <c r="F444" i="12"/>
  <c r="F442" i="12"/>
  <c r="F566" i="12"/>
  <c r="F560" i="12"/>
  <c r="F817" i="12"/>
  <c r="F871" i="12"/>
  <c r="F867" i="12"/>
  <c r="F879" i="12"/>
  <c r="F877" i="12"/>
  <c r="F494" i="12"/>
  <c r="F484" i="12"/>
  <c r="F490" i="12"/>
  <c r="F474" i="12"/>
  <c r="F488" i="12"/>
  <c r="F470" i="12"/>
  <c r="F486" i="12"/>
  <c r="F492" i="12"/>
  <c r="F681" i="12"/>
  <c r="F179" i="12"/>
  <c r="F177" i="12"/>
  <c r="F705" i="12"/>
  <c r="F496" i="12"/>
  <c r="F225" i="12"/>
  <c r="F234" i="12"/>
  <c r="G353" i="12"/>
  <c r="I353" i="12" s="1"/>
  <c r="J353" i="12" s="1"/>
  <c r="G300" i="12"/>
  <c r="I300" i="12" s="1"/>
  <c r="J300" i="12" s="1"/>
  <c r="G309" i="12"/>
  <c r="I309" i="12" s="1"/>
  <c r="J309" i="12" s="1"/>
  <c r="G366" i="12"/>
  <c r="I366" i="12" s="1"/>
  <c r="J366" i="12" s="1"/>
  <c r="G326" i="12"/>
  <c r="I326" i="12" s="1"/>
  <c r="J326" i="12" s="1"/>
  <c r="G728" i="12"/>
  <c r="I728" i="12" s="1"/>
  <c r="J728" i="12" s="1"/>
  <c r="G57" i="12"/>
  <c r="I57" i="12" s="1"/>
  <c r="J57" i="12" s="1"/>
  <c r="G851" i="12"/>
  <c r="I851" i="12" s="1"/>
  <c r="J851" i="12" s="1"/>
  <c r="G762" i="12"/>
  <c r="I762" i="12" s="1"/>
  <c r="J762" i="12" s="1"/>
  <c r="G396" i="12"/>
  <c r="I396" i="12" s="1"/>
  <c r="J396" i="12" s="1"/>
  <c r="F156" i="12"/>
  <c r="F330" i="12"/>
  <c r="G403" i="12"/>
  <c r="I403" i="12" s="1"/>
  <c r="J403" i="12" s="1"/>
  <c r="G548" i="12"/>
  <c r="I548" i="12" s="1"/>
  <c r="J548" i="12" s="1"/>
  <c r="G405" i="12"/>
  <c r="I405" i="12" s="1"/>
  <c r="J405" i="12" s="1"/>
  <c r="G558" i="12"/>
  <c r="I558" i="12" s="1"/>
  <c r="J558" i="12" s="1"/>
  <c r="G616" i="12"/>
  <c r="I616" i="12" s="1"/>
  <c r="J616" i="12" s="1"/>
  <c r="G96" i="12"/>
  <c r="I96" i="12" s="1"/>
  <c r="J96" i="12" s="1"/>
  <c r="G564" i="12"/>
  <c r="I564" i="12" s="1"/>
  <c r="J564" i="12" s="1"/>
  <c r="G792" i="12"/>
  <c r="I792" i="12" s="1"/>
  <c r="G865" i="12"/>
  <c r="I865" i="12" s="1"/>
  <c r="G788" i="12"/>
  <c r="I788" i="12" s="1"/>
  <c r="G604" i="12"/>
  <c r="I604" i="12" s="1"/>
  <c r="J604" i="12" s="1"/>
  <c r="G550" i="12"/>
  <c r="I550" i="12" s="1"/>
  <c r="J550" i="12" s="1"/>
  <c r="G701" i="12"/>
  <c r="I701" i="12" s="1"/>
  <c r="J701" i="12" s="1"/>
  <c r="G409" i="12"/>
  <c r="I409" i="12" s="1"/>
  <c r="J409" i="12" s="1"/>
  <c r="G699" i="12"/>
  <c r="I699" i="12" s="1"/>
  <c r="J699" i="12" s="1"/>
  <c r="G173" i="12"/>
  <c r="I173" i="12" s="1"/>
  <c r="J173" i="12" s="1"/>
  <c r="G600" i="12"/>
  <c r="I600" i="12" s="1"/>
  <c r="J600" i="12" s="1"/>
  <c r="G570" i="12"/>
  <c r="I570" i="12" s="1"/>
  <c r="J570" i="12" s="1"/>
  <c r="G691" i="12"/>
  <c r="I691" i="12" s="1"/>
  <c r="J691" i="12" s="1"/>
  <c r="G881" i="12"/>
  <c r="I881" i="12" s="1"/>
  <c r="G612" i="12"/>
  <c r="I612" i="12" s="1"/>
  <c r="J612" i="12" s="1"/>
  <c r="G639" i="12"/>
  <c r="I639" i="12" s="1"/>
  <c r="J639" i="12" s="1"/>
  <c r="G695" i="12"/>
  <c r="I695" i="12" s="1"/>
  <c r="J695" i="12" s="1"/>
  <c r="G544" i="12"/>
  <c r="I544" i="12" s="1"/>
  <c r="J544" i="12" s="1"/>
  <c r="G440" i="12"/>
  <c r="I440" i="12" s="1"/>
  <c r="J440" i="12" s="1"/>
  <c r="G786" i="12"/>
  <c r="I786" i="12" s="1"/>
  <c r="G610" i="12"/>
  <c r="I610" i="12" s="1"/>
  <c r="J610" i="12" s="1"/>
  <c r="G602" i="12"/>
  <c r="I602" i="12" s="1"/>
  <c r="J602" i="12" s="1"/>
  <c r="G693" i="12"/>
  <c r="I693" i="12" s="1"/>
  <c r="J693" i="12" s="1"/>
  <c r="G697" i="12"/>
  <c r="I697" i="12" s="1"/>
  <c r="J697" i="12" s="1"/>
  <c r="G703" i="12"/>
  <c r="I703" i="12" s="1"/>
  <c r="J703" i="12" s="1"/>
  <c r="G444" i="12"/>
  <c r="I444" i="12" s="1"/>
  <c r="J444" i="12" s="1"/>
  <c r="G566" i="12"/>
  <c r="I566" i="12" s="1"/>
  <c r="J566" i="12" s="1"/>
  <c r="G560" i="12"/>
  <c r="I560" i="12" s="1"/>
  <c r="J560" i="12" s="1"/>
  <c r="G817" i="12"/>
  <c r="I817" i="12" s="1"/>
  <c r="J817" i="12" s="1"/>
  <c r="G442" i="12"/>
  <c r="I442" i="12" s="1"/>
  <c r="J442" i="12" s="1"/>
  <c r="G871" i="12"/>
  <c r="I871" i="12" s="1"/>
  <c r="G867" i="12"/>
  <c r="I867" i="12" s="1"/>
  <c r="G879" i="12"/>
  <c r="I879" i="12" s="1"/>
  <c r="G877" i="12"/>
  <c r="I877" i="12" s="1"/>
  <c r="G484" i="12"/>
  <c r="I484" i="12" s="1"/>
  <c r="J484" i="12" s="1"/>
  <c r="G490" i="12"/>
  <c r="I490" i="12" s="1"/>
  <c r="J490" i="12" s="1"/>
  <c r="G494" i="12"/>
  <c r="I494" i="12" s="1"/>
  <c r="J494" i="12" s="1"/>
  <c r="G488" i="12"/>
  <c r="I488" i="12" s="1"/>
  <c r="J488" i="12" s="1"/>
  <c r="G474" i="12"/>
  <c r="I474" i="12" s="1"/>
  <c r="J474" i="12" s="1"/>
  <c r="G486" i="12"/>
  <c r="I486" i="12" s="1"/>
  <c r="J486" i="12" s="1"/>
  <c r="G470" i="12"/>
  <c r="I470" i="12" s="1"/>
  <c r="J470" i="12" s="1"/>
  <c r="G492" i="12"/>
  <c r="I492" i="12" s="1"/>
  <c r="J492" i="12" s="1"/>
  <c r="G681" i="12"/>
  <c r="I681" i="12" s="1"/>
  <c r="J681" i="12" s="1"/>
  <c r="G179" i="12"/>
  <c r="I179" i="12" s="1"/>
  <c r="J179" i="12" s="1"/>
  <c r="G177" i="12"/>
  <c r="I177" i="12" s="1"/>
  <c r="J177" i="12" s="1"/>
  <c r="G705" i="12"/>
  <c r="I705" i="12" s="1"/>
  <c r="J705" i="12" s="1"/>
  <c r="G496" i="12"/>
  <c r="I496" i="12" s="1"/>
  <c r="J496" i="12" s="1"/>
  <c r="J793" i="12"/>
  <c r="G234" i="12"/>
  <c r="I234" i="12" s="1"/>
  <c r="J234" i="12" s="1"/>
  <c r="G225" i="12"/>
  <c r="I225" i="12" s="1"/>
  <c r="J225" i="12" s="1"/>
  <c r="F395" i="12"/>
  <c r="F346" i="12"/>
  <c r="F295" i="12"/>
  <c r="F761" i="12"/>
  <c r="F437" i="12"/>
  <c r="F777" i="12"/>
  <c r="F665" i="12"/>
  <c r="F663" i="12"/>
  <c r="F397" i="12"/>
  <c r="F763" i="12"/>
  <c r="F891" i="12"/>
  <c r="F831" i="12"/>
  <c r="F750" i="12"/>
  <c r="F568" i="12"/>
  <c r="F893" i="12"/>
  <c r="F98" i="12"/>
  <c r="F717" i="12"/>
  <c r="F715" i="12"/>
  <c r="G780" i="12"/>
  <c r="I780" i="12" s="1"/>
  <c r="J780" i="12" s="1"/>
  <c r="G350" i="12"/>
  <c r="I350" i="12" s="1"/>
  <c r="J350" i="12" s="1"/>
  <c r="F466" i="12"/>
  <c r="F673" i="12"/>
  <c r="F812" i="12"/>
  <c r="F540" i="12"/>
  <c r="F862" i="12"/>
  <c r="F321" i="12"/>
  <c r="F552" i="12"/>
  <c r="F411" i="12"/>
  <c r="F790" i="12"/>
  <c r="F825" i="12"/>
  <c r="F827" i="12"/>
  <c r="F562" i="12"/>
  <c r="F556" i="12"/>
  <c r="F554" i="12"/>
  <c r="F689" i="12"/>
  <c r="F446" i="12"/>
  <c r="F606" i="12"/>
  <c r="F637" i="12"/>
  <c r="F608" i="12"/>
  <c r="F823" i="12"/>
  <c r="F873" i="12"/>
  <c r="F875" i="12"/>
  <c r="F478" i="12"/>
  <c r="F482" i="12"/>
  <c r="F480" i="12"/>
  <c r="F685" i="12"/>
  <c r="F687" i="12"/>
  <c r="F181" i="12"/>
  <c r="F338" i="12"/>
  <c r="F124" i="12"/>
  <c r="F753" i="12"/>
  <c r="F422" i="12"/>
  <c r="F104" i="12"/>
  <c r="I15" i="12" s="1"/>
  <c r="F331" i="12"/>
  <c r="F159" i="12"/>
  <c r="G395" i="12"/>
  <c r="I395" i="12" s="1"/>
  <c r="J395" i="12" s="1"/>
  <c r="G346" i="12"/>
  <c r="I346" i="12" s="1"/>
  <c r="J346" i="12" s="1"/>
  <c r="G761" i="12"/>
  <c r="I761" i="12" s="1"/>
  <c r="J761" i="12" s="1"/>
  <c r="G295" i="12"/>
  <c r="I295" i="12" s="1"/>
  <c r="J295" i="12" s="1"/>
  <c r="G777" i="12"/>
  <c r="I777" i="12" s="1"/>
  <c r="J777" i="12" s="1"/>
  <c r="G437" i="12"/>
  <c r="I437" i="12" s="1"/>
  <c r="J437" i="12" s="1"/>
  <c r="G663" i="12"/>
  <c r="I663" i="12" s="1"/>
  <c r="J663" i="12" s="1"/>
  <c r="G665" i="12"/>
  <c r="I665" i="12" s="1"/>
  <c r="J665" i="12" s="1"/>
  <c r="G397" i="12"/>
  <c r="I397" i="12" s="1"/>
  <c r="J397" i="12" s="1"/>
  <c r="G763" i="12"/>
  <c r="I763" i="12" s="1"/>
  <c r="J763" i="12" s="1"/>
  <c r="J322" i="12"/>
  <c r="G552" i="12"/>
  <c r="I552" i="12" s="1"/>
  <c r="J552" i="12" s="1"/>
  <c r="G411" i="12"/>
  <c r="I411" i="12" s="1"/>
  <c r="J411" i="12" s="1"/>
  <c r="G790" i="12"/>
  <c r="I790" i="12" s="1"/>
  <c r="J790" i="12" s="1"/>
  <c r="G825" i="12"/>
  <c r="I825" i="12" s="1"/>
  <c r="J825" i="12" s="1"/>
  <c r="G827" i="12"/>
  <c r="I827" i="12" s="1"/>
  <c r="J827" i="12" s="1"/>
  <c r="G562" i="12"/>
  <c r="I562" i="12" s="1"/>
  <c r="J562" i="12" s="1"/>
  <c r="G556" i="12"/>
  <c r="I556" i="12" s="1"/>
  <c r="J556" i="12" s="1"/>
  <c r="G554" i="12"/>
  <c r="I554" i="12" s="1"/>
  <c r="J554" i="12" s="1"/>
  <c r="G689" i="12"/>
  <c r="I689" i="12" s="1"/>
  <c r="J689" i="12" s="1"/>
  <c r="G446" i="12"/>
  <c r="I446" i="12" s="1"/>
  <c r="J446" i="12" s="1"/>
  <c r="G637" i="12"/>
  <c r="I637" i="12" s="1"/>
  <c r="J637" i="12" s="1"/>
  <c r="G606" i="12"/>
  <c r="I606" i="12" s="1"/>
  <c r="J606" i="12" s="1"/>
  <c r="G608" i="12"/>
  <c r="I608" i="12" s="1"/>
  <c r="J608" i="12" s="1"/>
  <c r="G823" i="12"/>
  <c r="I823" i="12" s="1"/>
  <c r="J823" i="12" s="1"/>
  <c r="G873" i="12"/>
  <c r="I873" i="12" s="1"/>
  <c r="G875" i="12"/>
  <c r="I875" i="12" s="1"/>
  <c r="G478" i="12"/>
  <c r="I478" i="12" s="1"/>
  <c r="J478" i="12" s="1"/>
  <c r="G480" i="12"/>
  <c r="I480" i="12" s="1"/>
  <c r="J480" i="12" s="1"/>
  <c r="G482" i="12"/>
  <c r="I482" i="12" s="1"/>
  <c r="J482" i="12" s="1"/>
  <c r="G685" i="12"/>
  <c r="I685" i="12" s="1"/>
  <c r="J685" i="12" s="1"/>
  <c r="G687" i="12"/>
  <c r="I687" i="12" s="1"/>
  <c r="J687" i="12" s="1"/>
  <c r="G181" i="12"/>
  <c r="I181" i="12" s="1"/>
  <c r="J181" i="12" s="1"/>
  <c r="G338" i="12"/>
  <c r="I338" i="12" s="1"/>
  <c r="J338" i="12" s="1"/>
  <c r="G124" i="12"/>
  <c r="I124" i="12" s="1"/>
  <c r="J124" i="12" s="1"/>
  <c r="G422" i="12"/>
  <c r="I422" i="12" s="1"/>
  <c r="J422" i="12" s="1"/>
  <c r="G104" i="12"/>
  <c r="I104" i="12" s="1"/>
  <c r="J104" i="12" s="1"/>
  <c r="G753" i="12"/>
  <c r="I753" i="12" s="1"/>
  <c r="J753" i="12" s="1"/>
  <c r="G331" i="12"/>
  <c r="I331" i="12" s="1"/>
  <c r="J331" i="12" s="1"/>
  <c r="G159" i="12"/>
  <c r="I159" i="12" s="1"/>
  <c r="J159" i="12" s="1"/>
  <c r="F738" i="12"/>
  <c r="F434" i="12"/>
  <c r="F779" i="12"/>
  <c r="F781" i="12"/>
  <c r="F435" i="12"/>
  <c r="F351" i="12"/>
  <c r="F296" i="12"/>
  <c r="F358" i="12"/>
  <c r="F301" i="12"/>
  <c r="F651" i="12"/>
  <c r="F844" i="12"/>
  <c r="F664" i="12"/>
  <c r="F666" i="12"/>
  <c r="G673" i="12"/>
  <c r="I673" i="12" s="1"/>
  <c r="J673" i="12" s="1"/>
  <c r="G812" i="12"/>
  <c r="I812" i="12" s="1"/>
  <c r="J812" i="12" s="1"/>
  <c r="G466" i="12"/>
  <c r="I466" i="12" s="1"/>
  <c r="J466" i="12" s="1"/>
  <c r="G540" i="12"/>
  <c r="I540" i="12" s="1"/>
  <c r="J540" i="12" s="1"/>
  <c r="G862" i="12"/>
  <c r="I862" i="12" s="1"/>
  <c r="J862" i="12" s="1"/>
  <c r="G321" i="12"/>
  <c r="I321" i="12" s="1"/>
  <c r="J321" i="12" s="1"/>
  <c r="F632" i="12"/>
  <c r="F633" i="12"/>
  <c r="F674" i="12"/>
  <c r="F813" i="12"/>
  <c r="F169" i="12"/>
  <c r="F863" i="12"/>
  <c r="F541" i="12"/>
  <c r="F58" i="12"/>
  <c r="F869" i="12"/>
  <c r="F821" i="12"/>
  <c r="F819" i="12"/>
  <c r="F92" i="12"/>
  <c r="F114" i="12"/>
  <c r="F449" i="12"/>
  <c r="F339" i="12"/>
  <c r="F510" i="12"/>
  <c r="G434" i="12"/>
  <c r="I434" i="12" s="1"/>
  <c r="J434" i="12" s="1"/>
  <c r="G779" i="12"/>
  <c r="I779" i="12" s="1"/>
  <c r="J779" i="12" s="1"/>
  <c r="G738" i="12"/>
  <c r="I738" i="12" s="1"/>
  <c r="J738" i="12" s="1"/>
  <c r="G435" i="12"/>
  <c r="I435" i="12" s="1"/>
  <c r="J435" i="12" s="1"/>
  <c r="G781" i="12"/>
  <c r="I781" i="12" s="1"/>
  <c r="J781" i="12" s="1"/>
  <c r="G296" i="12"/>
  <c r="I296" i="12" s="1"/>
  <c r="J296" i="12" s="1"/>
  <c r="G351" i="12"/>
  <c r="I351" i="12" s="1"/>
  <c r="J351" i="12" s="1"/>
  <c r="G358" i="12"/>
  <c r="I358" i="12" s="1"/>
  <c r="J358" i="12" s="1"/>
  <c r="G301" i="12"/>
  <c r="I301" i="12" s="1"/>
  <c r="J301" i="12" s="1"/>
  <c r="G651" i="12"/>
  <c r="I651" i="12" s="1"/>
  <c r="J651" i="12" s="1"/>
  <c r="G844" i="12"/>
  <c r="I844" i="12" s="1"/>
  <c r="J844" i="12" s="1"/>
  <c r="G666" i="12"/>
  <c r="I666" i="12" s="1"/>
  <c r="J666" i="12" s="1"/>
  <c r="G664" i="12"/>
  <c r="I664" i="12" s="1"/>
  <c r="J664" i="12" s="1"/>
  <c r="F392" i="12"/>
  <c r="F736" i="12"/>
  <c r="G364" i="12"/>
  <c r="I364" i="12" s="1"/>
  <c r="J364" i="12" s="1"/>
  <c r="G743" i="12"/>
  <c r="I743" i="12" s="1"/>
  <c r="J743" i="12" s="1"/>
  <c r="G307" i="12"/>
  <c r="I307" i="12" s="1"/>
  <c r="J307" i="12" s="1"/>
  <c r="F815" i="12"/>
  <c r="F546" i="12"/>
  <c r="F161" i="12"/>
  <c r="F332" i="12"/>
  <c r="G297" i="12"/>
  <c r="I297" i="12" s="1"/>
  <c r="J297" i="12" s="1"/>
  <c r="G347" i="12"/>
  <c r="I347" i="12" s="1"/>
  <c r="J347" i="12" s="1"/>
  <c r="G352" i="12"/>
  <c r="I352" i="12" s="1"/>
  <c r="J352" i="12" s="1"/>
  <c r="G299" i="12"/>
  <c r="I299" i="12" s="1"/>
  <c r="J299" i="12" s="1"/>
  <c r="G452" i="12"/>
  <c r="I452" i="12" s="1"/>
  <c r="J452" i="12" s="1"/>
  <c r="G670" i="12"/>
  <c r="I670" i="12" s="1"/>
  <c r="J670" i="12" s="1"/>
  <c r="G859" i="12"/>
  <c r="I859" i="12" s="1"/>
  <c r="J859" i="12" s="1"/>
  <c r="G530" i="12"/>
  <c r="I530" i="12" s="1"/>
  <c r="J530" i="12" s="1"/>
  <c r="G845" i="12"/>
  <c r="I845" i="12" s="1"/>
  <c r="J845" i="12" s="1"/>
  <c r="G652" i="12"/>
  <c r="I652" i="12" s="1"/>
  <c r="J652" i="12" s="1"/>
  <c r="G392" i="12"/>
  <c r="I392" i="12" s="1"/>
  <c r="J392" i="12" s="1"/>
  <c r="G736" i="12"/>
  <c r="I736" i="12" s="1"/>
  <c r="J736" i="12" s="1"/>
  <c r="F398" i="12"/>
  <c r="F806" i="12"/>
  <c r="F756" i="12"/>
  <c r="E17" i="122"/>
  <c r="D17" i="77"/>
  <c r="D22" i="77" s="1"/>
  <c r="D15" i="77" s="1"/>
  <c r="C22" i="39"/>
  <c r="F297" i="12"/>
  <c r="F347" i="12"/>
  <c r="F778" i="12"/>
  <c r="F438" i="12"/>
  <c r="F835" i="12"/>
  <c r="F804" i="12"/>
  <c r="F798" i="12"/>
  <c r="F429" i="12"/>
  <c r="F335" i="12"/>
  <c r="F513" i="12"/>
  <c r="F450" i="12"/>
  <c r="F838" i="12"/>
  <c r="F628" i="12"/>
  <c r="F165" i="12"/>
  <c r="F667" i="12"/>
  <c r="F754" i="12"/>
  <c r="F614" i="12"/>
  <c r="F572" i="12"/>
  <c r="F883" i="12"/>
  <c r="F327" i="12"/>
  <c r="F137" i="12"/>
  <c r="G739" i="12"/>
  <c r="I739" i="12" s="1"/>
  <c r="J739" i="12" s="1"/>
  <c r="G348" i="12"/>
  <c r="I348" i="12" s="1"/>
  <c r="J348" i="12" s="1"/>
  <c r="G302" i="12"/>
  <c r="I302" i="12" s="1"/>
  <c r="J302" i="12" s="1"/>
  <c r="G359" i="12"/>
  <c r="I359" i="12" s="1"/>
  <c r="J359" i="12" s="1"/>
  <c r="G370" i="12"/>
  <c r="I370" i="12" s="1"/>
  <c r="J370" i="12" s="1"/>
  <c r="G310" i="12"/>
  <c r="I310" i="12" s="1"/>
  <c r="J310" i="12" s="1"/>
  <c r="G783" i="12"/>
  <c r="I783" i="12" s="1"/>
  <c r="J783" i="12" s="1"/>
  <c r="G778" i="12"/>
  <c r="I778" i="12" s="1"/>
  <c r="J778" i="12" s="1"/>
  <c r="G438" i="12"/>
  <c r="I438" i="12" s="1"/>
  <c r="J438" i="12" s="1"/>
  <c r="G835" i="12"/>
  <c r="I835" i="12" s="1"/>
  <c r="J835" i="12" s="1"/>
  <c r="G754" i="12"/>
  <c r="I754" i="12" s="1"/>
  <c r="J754" i="12" s="1"/>
  <c r="G513" i="12"/>
  <c r="I513" i="12" s="1"/>
  <c r="J513" i="12" s="1"/>
  <c r="G450" i="12"/>
  <c r="I450" i="12" s="1"/>
  <c r="J450" i="12" s="1"/>
  <c r="G838" i="12"/>
  <c r="I838" i="12" s="1"/>
  <c r="J838" i="12" s="1"/>
  <c r="G628" i="12"/>
  <c r="I628" i="12" s="1"/>
  <c r="J628" i="12" s="1"/>
  <c r="G667" i="12"/>
  <c r="I667" i="12" s="1"/>
  <c r="J667" i="12" s="1"/>
  <c r="G804" i="12"/>
  <c r="I804" i="12" s="1"/>
  <c r="J804" i="12" s="1"/>
  <c r="G165" i="12"/>
  <c r="I165" i="12" s="1"/>
  <c r="J165" i="12" s="1"/>
  <c r="G429" i="12"/>
  <c r="I429" i="12" s="1"/>
  <c r="J429" i="12" s="1"/>
  <c r="G335" i="12"/>
  <c r="I335" i="12" s="1"/>
  <c r="J335" i="12" s="1"/>
  <c r="G798" i="12"/>
  <c r="I798" i="12" s="1"/>
  <c r="J798" i="12" s="1"/>
  <c r="G846" i="12"/>
  <c r="I846" i="12" s="1"/>
  <c r="J846" i="12" s="1"/>
  <c r="G653" i="12"/>
  <c r="I653" i="12" s="1"/>
  <c r="J653" i="12" s="1"/>
  <c r="G756" i="12"/>
  <c r="I756" i="12" s="1"/>
  <c r="J756" i="12" s="1"/>
  <c r="G806" i="12"/>
  <c r="I806" i="12" s="1"/>
  <c r="J806" i="12" s="1"/>
  <c r="G398" i="12"/>
  <c r="I398" i="12" s="1"/>
  <c r="J398" i="12" s="1"/>
  <c r="G819" i="12"/>
  <c r="I819" i="12" s="1"/>
  <c r="J819" i="12" s="1"/>
  <c r="G821" i="12"/>
  <c r="I821" i="12" s="1"/>
  <c r="J821" i="12" s="1"/>
  <c r="G92" i="12"/>
  <c r="I92" i="12" s="1"/>
  <c r="J92" i="12" s="1"/>
  <c r="G869" i="12"/>
  <c r="I869" i="12" s="1"/>
  <c r="J869" i="12" s="1"/>
  <c r="F352" i="12"/>
  <c r="F299" i="12"/>
  <c r="I18" i="12" s="1"/>
  <c r="G161" i="12"/>
  <c r="I161" i="12" s="1"/>
  <c r="J161" i="12" s="1"/>
  <c r="G332" i="12"/>
  <c r="I332" i="12" s="1"/>
  <c r="J332" i="12" s="1"/>
  <c r="F846" i="12"/>
  <c r="F653" i="12"/>
  <c r="G614" i="12"/>
  <c r="I614" i="12" s="1"/>
  <c r="J614" i="12" s="1"/>
  <c r="G572" i="12"/>
  <c r="I572" i="12" s="1"/>
  <c r="J572" i="12" s="1"/>
  <c r="G883" i="12"/>
  <c r="I883" i="12" s="1"/>
  <c r="J291" i="12"/>
  <c r="G327" i="12"/>
  <c r="I327" i="12" s="1"/>
  <c r="J327" i="12" s="1"/>
  <c r="G137" i="12"/>
  <c r="I137" i="12" s="1"/>
  <c r="J137" i="12" s="1"/>
  <c r="F782" i="12"/>
  <c r="F303" i="12"/>
  <c r="F371" i="12"/>
  <c r="F311" i="12"/>
  <c r="F800" i="12"/>
  <c r="F840" i="12"/>
  <c r="F646" i="12"/>
  <c r="F847" i="12"/>
  <c r="F654" i="12"/>
  <c r="F737" i="12"/>
  <c r="F393" i="12"/>
  <c r="F224" i="12"/>
  <c r="F233" i="12"/>
  <c r="F430" i="12"/>
  <c r="F336" i="12"/>
  <c r="F631" i="12"/>
  <c r="F514" i="12"/>
  <c r="F451" i="12"/>
  <c r="F858" i="12"/>
  <c r="F809" i="12"/>
  <c r="F167" i="12"/>
  <c r="F755" i="12"/>
  <c r="F668" i="12"/>
  <c r="F333" i="12"/>
  <c r="F163" i="12"/>
  <c r="G782" i="12"/>
  <c r="I782" i="12" s="1"/>
  <c r="J782" i="12" s="1"/>
  <c r="G303" i="12"/>
  <c r="I303" i="12" s="1"/>
  <c r="J303" i="12" s="1"/>
  <c r="G311" i="12"/>
  <c r="I311" i="12" s="1"/>
  <c r="J311" i="12" s="1"/>
  <c r="G371" i="12"/>
  <c r="I371" i="12" s="1"/>
  <c r="J371" i="12" s="1"/>
  <c r="G800" i="12"/>
  <c r="I800" i="12" s="1"/>
  <c r="J800" i="12" s="1"/>
  <c r="G646" i="12"/>
  <c r="I646" i="12" s="1"/>
  <c r="J646" i="12" s="1"/>
  <c r="G840" i="12"/>
  <c r="I840" i="12" s="1"/>
  <c r="J840" i="12" s="1"/>
  <c r="G654" i="12"/>
  <c r="I654" i="12" s="1"/>
  <c r="J654" i="12" s="1"/>
  <c r="G847" i="12"/>
  <c r="I847" i="12" s="1"/>
  <c r="J847" i="12" s="1"/>
  <c r="G737" i="12"/>
  <c r="I737" i="12" s="1"/>
  <c r="J737" i="12" s="1"/>
  <c r="G393" i="12"/>
  <c r="I393" i="12" s="1"/>
  <c r="J393" i="12" s="1"/>
  <c r="G449" i="12"/>
  <c r="I449" i="12" s="1"/>
  <c r="J449" i="12" s="1"/>
  <c r="G339" i="12"/>
  <c r="I339" i="12" s="1"/>
  <c r="J339" i="12" s="1"/>
  <c r="G510" i="12"/>
  <c r="I510" i="12" s="1"/>
  <c r="J510" i="12" s="1"/>
  <c r="G114" i="12"/>
  <c r="I114" i="12" s="1"/>
  <c r="J114" i="12" s="1"/>
  <c r="G430" i="12"/>
  <c r="I430" i="12" s="1"/>
  <c r="J430" i="12" s="1"/>
  <c r="G336" i="12"/>
  <c r="I336" i="12" s="1"/>
  <c r="J336" i="12" s="1"/>
  <c r="G631" i="12"/>
  <c r="I631" i="12" s="1"/>
  <c r="J631" i="12" s="1"/>
  <c r="G858" i="12"/>
  <c r="I858" i="12" s="1"/>
  <c r="J858" i="12" s="1"/>
  <c r="G809" i="12"/>
  <c r="I809" i="12" s="1"/>
  <c r="J809" i="12" s="1"/>
  <c r="G167" i="12"/>
  <c r="I167" i="12" s="1"/>
  <c r="J167" i="12" s="1"/>
  <c r="G668" i="12"/>
  <c r="I668" i="12" s="1"/>
  <c r="J668" i="12" s="1"/>
  <c r="G755" i="12"/>
  <c r="I755" i="12" s="1"/>
  <c r="J755" i="12" s="1"/>
  <c r="G514" i="12"/>
  <c r="I514" i="12" s="1"/>
  <c r="J514" i="12" s="1"/>
  <c r="G451" i="12"/>
  <c r="I451" i="12" s="1"/>
  <c r="J451" i="12" s="1"/>
  <c r="G163" i="12"/>
  <c r="I163" i="12" s="1"/>
  <c r="J163" i="12" s="1"/>
  <c r="G333" i="12"/>
  <c r="I333" i="12" s="1"/>
  <c r="J333" i="12" s="1"/>
  <c r="F304" i="12"/>
  <c r="F360" i="12"/>
  <c r="F740" i="12"/>
  <c r="F361" i="12"/>
  <c r="F312" i="12"/>
  <c r="F660" i="12"/>
  <c r="F590" i="12"/>
  <c r="F765" i="12"/>
  <c r="F399" i="12"/>
  <c r="F498" i="12"/>
  <c r="F578" i="12"/>
  <c r="F889" i="12"/>
  <c r="F887" i="12"/>
  <c r="F620" i="12"/>
  <c r="F574" i="12"/>
  <c r="F711" i="12"/>
  <c r="F885" i="12"/>
  <c r="F829" i="12"/>
  <c r="F580" i="12"/>
  <c r="F576" i="12"/>
  <c r="F502" i="12"/>
  <c r="F707" i="12"/>
  <c r="F126" i="12"/>
  <c r="F425" i="12"/>
  <c r="F144" i="12"/>
  <c r="F428" i="12"/>
  <c r="G304" i="12"/>
  <c r="I304" i="12" s="1"/>
  <c r="J304" i="12" s="1"/>
  <c r="G740" i="12"/>
  <c r="I740" i="12" s="1"/>
  <c r="J740" i="12" s="1"/>
  <c r="G360" i="12"/>
  <c r="I360" i="12" s="1"/>
  <c r="J360" i="12" s="1"/>
  <c r="G361" i="12"/>
  <c r="I361" i="12" s="1"/>
  <c r="J361" i="12" s="1"/>
  <c r="G312" i="12"/>
  <c r="I312" i="12" s="1"/>
  <c r="J312" i="12" s="1"/>
  <c r="G660" i="12"/>
  <c r="I660" i="12" s="1"/>
  <c r="J660" i="12" s="1"/>
  <c r="G590" i="12"/>
  <c r="I590" i="12" s="1"/>
  <c r="J590" i="12" s="1"/>
  <c r="G765" i="12"/>
  <c r="I765" i="12" s="1"/>
  <c r="J765" i="12" s="1"/>
  <c r="G399" i="12"/>
  <c r="I399" i="12" s="1"/>
  <c r="J399" i="12" s="1"/>
  <c r="F370" i="12"/>
  <c r="F783" i="12"/>
  <c r="F310" i="12"/>
  <c r="G498" i="12"/>
  <c r="I498" i="12" s="1"/>
  <c r="J498" i="12" s="1"/>
  <c r="G578" i="12"/>
  <c r="I578" i="12" s="1"/>
  <c r="J578" i="12" s="1"/>
  <c r="G576" i="12"/>
  <c r="I576" i="12" s="1"/>
  <c r="J576" i="12" s="1"/>
  <c r="G887" i="12"/>
  <c r="I887" i="12" s="1"/>
  <c r="G620" i="12"/>
  <c r="I620" i="12" s="1"/>
  <c r="J620" i="12" s="1"/>
  <c r="G574" i="12"/>
  <c r="I574" i="12" s="1"/>
  <c r="J574" i="12" s="1"/>
  <c r="G711" i="12"/>
  <c r="I711" i="12" s="1"/>
  <c r="J711" i="12" s="1"/>
  <c r="G885" i="12"/>
  <c r="I885" i="12" s="1"/>
  <c r="G829" i="12"/>
  <c r="I829" i="12" s="1"/>
  <c r="G707" i="12"/>
  <c r="I707" i="12" s="1"/>
  <c r="J707" i="12" s="1"/>
  <c r="G502" i="12"/>
  <c r="I502" i="12" s="1"/>
  <c r="J502" i="12" s="1"/>
  <c r="G889" i="12"/>
  <c r="I889" i="12" s="1"/>
  <c r="G580" i="12"/>
  <c r="I580" i="12" s="1"/>
  <c r="J580" i="12" s="1"/>
  <c r="G425" i="12"/>
  <c r="I425" i="12" s="1"/>
  <c r="J425" i="12" s="1"/>
  <c r="G126" i="12"/>
  <c r="I126" i="12" s="1"/>
  <c r="J126" i="12" s="1"/>
  <c r="G428" i="12"/>
  <c r="I428" i="12" s="1"/>
  <c r="J428" i="12" s="1"/>
  <c r="G144" i="12"/>
  <c r="I144" i="12" s="1"/>
  <c r="J144" i="12" s="1"/>
  <c r="F841" i="12"/>
  <c r="F456" i="12"/>
  <c r="F647" i="12"/>
  <c r="F302" i="12"/>
  <c r="F359" i="12"/>
  <c r="F713" i="12"/>
  <c r="F618" i="12"/>
  <c r="F504" i="12"/>
  <c r="F709" i="12"/>
  <c r="F500" i="12"/>
  <c r="F622" i="12"/>
  <c r="F219" i="12"/>
  <c r="F228" i="12"/>
  <c r="G456" i="12"/>
  <c r="I456" i="12" s="1"/>
  <c r="J456" i="12" s="1"/>
  <c r="G841" i="12"/>
  <c r="I841" i="12" s="1"/>
  <c r="J841" i="12" s="1"/>
  <c r="G647" i="12"/>
  <c r="I647" i="12" s="1"/>
  <c r="J647" i="12" s="1"/>
  <c r="F472" i="12"/>
  <c r="F171" i="12"/>
  <c r="F635" i="12"/>
  <c r="F407" i="12"/>
  <c r="F679" i="12"/>
  <c r="G815" i="12"/>
  <c r="I815" i="12" s="1"/>
  <c r="J815" i="12" s="1"/>
  <c r="G546" i="12"/>
  <c r="I546" i="12" s="1"/>
  <c r="J546" i="12" s="1"/>
  <c r="F320" i="12"/>
  <c r="F54" i="12"/>
  <c r="G622" i="12"/>
  <c r="I622" i="12" s="1"/>
  <c r="J622" i="12" s="1"/>
  <c r="G618" i="12"/>
  <c r="I618" i="12" s="1"/>
  <c r="J618" i="12" s="1"/>
  <c r="G504" i="12"/>
  <c r="I504" i="12" s="1"/>
  <c r="J504" i="12" s="1"/>
  <c r="G709" i="12"/>
  <c r="I709" i="12" s="1"/>
  <c r="J709" i="12" s="1"/>
  <c r="G500" i="12"/>
  <c r="I500" i="12" s="1"/>
  <c r="J500" i="12" s="1"/>
  <c r="G713" i="12"/>
  <c r="I713" i="12" s="1"/>
  <c r="J713" i="12" s="1"/>
  <c r="G219" i="12"/>
  <c r="I219" i="12" s="1"/>
  <c r="J219" i="12" s="1"/>
  <c r="G228" i="12"/>
  <c r="I228" i="12" s="1"/>
  <c r="J228" i="12" s="1"/>
  <c r="F362" i="12"/>
  <c r="F305" i="12"/>
  <c r="F741" i="12"/>
  <c r="F811" i="12"/>
  <c r="F455" i="12"/>
  <c r="F672" i="12"/>
  <c r="F529" i="12"/>
  <c r="G88" i="12"/>
  <c r="I88" i="12" s="1"/>
  <c r="J88" i="12" s="1"/>
  <c r="G89" i="12"/>
  <c r="I89" i="12" s="1"/>
  <c r="J89" i="12" s="1"/>
  <c r="F401" i="12"/>
  <c r="F60" i="12"/>
  <c r="F643" i="12"/>
  <c r="F468" i="12"/>
  <c r="F94" i="12"/>
  <c r="F677" i="12"/>
  <c r="F641" i="12"/>
  <c r="F175" i="12"/>
  <c r="F328" i="12"/>
  <c r="F139" i="12"/>
  <c r="F221" i="12"/>
  <c r="F229" i="12"/>
  <c r="G305" i="12"/>
  <c r="I305" i="12" s="1"/>
  <c r="J305" i="12" s="1"/>
  <c r="G362" i="12"/>
  <c r="I362" i="12" s="1"/>
  <c r="J362" i="12" s="1"/>
  <c r="G741" i="12"/>
  <c r="I741" i="12" s="1"/>
  <c r="J741" i="12" s="1"/>
  <c r="G811" i="12"/>
  <c r="I811" i="12" s="1"/>
  <c r="J811" i="12" s="1"/>
  <c r="G672" i="12"/>
  <c r="I672" i="12" s="1"/>
  <c r="J672" i="12" s="1"/>
  <c r="G455" i="12"/>
  <c r="I455" i="12" s="1"/>
  <c r="J455" i="12" s="1"/>
  <c r="G529" i="12"/>
  <c r="I529" i="12" s="1"/>
  <c r="J529" i="12" s="1"/>
  <c r="G401" i="12"/>
  <c r="I401" i="12" s="1"/>
  <c r="J401" i="12" s="1"/>
  <c r="G60" i="12"/>
  <c r="I60" i="12" s="1"/>
  <c r="J60" i="12" s="1"/>
  <c r="G643" i="12"/>
  <c r="I643" i="12" s="1"/>
  <c r="J643" i="12" s="1"/>
  <c r="G468" i="12"/>
  <c r="I468" i="12" s="1"/>
  <c r="J468" i="12" s="1"/>
  <c r="G94" i="12"/>
  <c r="I94" i="12" s="1"/>
  <c r="J94" i="12" s="1"/>
  <c r="G677" i="12"/>
  <c r="I677" i="12" s="1"/>
  <c r="J677" i="12" s="1"/>
  <c r="G641" i="12"/>
  <c r="I641" i="12" s="1"/>
  <c r="J641" i="12" s="1"/>
  <c r="G175" i="12"/>
  <c r="I175" i="12" s="1"/>
  <c r="J175" i="12" s="1"/>
  <c r="G139" i="12"/>
  <c r="I139" i="12" s="1"/>
  <c r="J139" i="12" s="1"/>
  <c r="G328" i="12"/>
  <c r="I328" i="12" s="1"/>
  <c r="J328" i="12" s="1"/>
  <c r="G229" i="12"/>
  <c r="I229" i="12" s="1"/>
  <c r="J229" i="12" s="1"/>
  <c r="G221" i="12"/>
  <c r="I221" i="12" s="1"/>
  <c r="J221" i="12" s="1"/>
  <c r="F363" i="12"/>
  <c r="F742" i="12"/>
  <c r="F306" i="12"/>
  <c r="F860" i="12"/>
  <c r="F527" i="12"/>
  <c r="F669" i="12"/>
  <c r="F453" i="12"/>
  <c r="G632" i="12"/>
  <c r="I632" i="12" s="1"/>
  <c r="J632" i="12" s="1"/>
  <c r="G633" i="12"/>
  <c r="I633" i="12" s="1"/>
  <c r="J633" i="12" s="1"/>
  <c r="G169" i="12"/>
  <c r="I169" i="12" s="1"/>
  <c r="J169" i="12" s="1"/>
  <c r="G813" i="12"/>
  <c r="I813" i="12" s="1"/>
  <c r="J813" i="12" s="1"/>
  <c r="G863" i="12"/>
  <c r="I863" i="12" s="1"/>
  <c r="J863" i="12" s="1"/>
  <c r="G674" i="12"/>
  <c r="I674" i="12" s="1"/>
  <c r="J674" i="12" s="1"/>
  <c r="G541" i="12"/>
  <c r="I541" i="12" s="1"/>
  <c r="J541" i="12" s="1"/>
  <c r="G58" i="12"/>
  <c r="I58" i="12" s="1"/>
  <c r="J58" i="12" s="1"/>
  <c r="F452" i="12"/>
  <c r="F859" i="12"/>
  <c r="F670" i="12"/>
  <c r="F530" i="12"/>
  <c r="G54" i="12"/>
  <c r="I54" i="12" s="1"/>
  <c r="J54" i="12" s="1"/>
  <c r="G320" i="12"/>
  <c r="I320" i="12" s="1"/>
  <c r="J320" i="12" s="1"/>
  <c r="F625" i="12"/>
  <c r="F834" i="12"/>
  <c r="F316" i="12"/>
  <c r="F46" i="12"/>
  <c r="F62" i="12"/>
  <c r="F476" i="12"/>
  <c r="F683" i="12"/>
  <c r="F290" i="12"/>
  <c r="F231" i="12"/>
  <c r="F222" i="12"/>
  <c r="G742" i="12"/>
  <c r="I742" i="12" s="1"/>
  <c r="J742" i="12" s="1"/>
  <c r="G306" i="12"/>
  <c r="I306" i="12" s="1"/>
  <c r="J306" i="12" s="1"/>
  <c r="G363" i="12"/>
  <c r="I363" i="12" s="1"/>
  <c r="J363" i="12" s="1"/>
  <c r="G860" i="12"/>
  <c r="I860" i="12" s="1"/>
  <c r="J860" i="12" s="1"/>
  <c r="G669" i="12"/>
  <c r="I669" i="12" s="1"/>
  <c r="J669" i="12" s="1"/>
  <c r="G453" i="12"/>
  <c r="I453" i="12" s="1"/>
  <c r="J453" i="12" s="1"/>
  <c r="G527" i="12"/>
  <c r="I527" i="12" s="1"/>
  <c r="J527" i="12" s="1"/>
  <c r="F232" i="12"/>
  <c r="F223" i="12"/>
  <c r="F845" i="12"/>
  <c r="F652" i="12"/>
  <c r="F739" i="12"/>
  <c r="F348" i="12"/>
  <c r="F88" i="12"/>
  <c r="F89" i="12"/>
  <c r="G625" i="12"/>
  <c r="I625" i="12" s="1"/>
  <c r="J625" i="12" s="1"/>
  <c r="G316" i="12"/>
  <c r="I316" i="12" s="1"/>
  <c r="J316" i="12" s="1"/>
  <c r="G834" i="12"/>
  <c r="I834" i="12" s="1"/>
  <c r="J834" i="12" s="1"/>
  <c r="G46" i="12"/>
  <c r="I46" i="12" s="1"/>
  <c r="J46" i="12" s="1"/>
  <c r="G62" i="12"/>
  <c r="I62" i="12" s="1"/>
  <c r="J62" i="12" s="1"/>
  <c r="G476" i="12"/>
  <c r="I476" i="12" s="1"/>
  <c r="J476" i="12" s="1"/>
  <c r="G683" i="12"/>
  <c r="I683" i="12" s="1"/>
  <c r="J683" i="12" s="1"/>
  <c r="G290" i="12"/>
  <c r="I290" i="12" s="1"/>
  <c r="J290" i="12" s="1"/>
  <c r="G231" i="12"/>
  <c r="I231" i="12" s="1"/>
  <c r="J231" i="12" s="1"/>
  <c r="G222" i="12"/>
  <c r="I222" i="12" s="1"/>
  <c r="J222" i="12" s="1"/>
  <c r="F364" i="12"/>
  <c r="F743" i="12"/>
  <c r="F307" i="12"/>
  <c r="D20" i="77"/>
  <c r="E20" i="122"/>
  <c r="C34" i="39"/>
  <c r="F528" i="12"/>
  <c r="F810" i="12"/>
  <c r="F671" i="12"/>
  <c r="F861" i="12"/>
  <c r="F454" i="12"/>
  <c r="J925" i="12"/>
  <c r="J473" i="12" l="1"/>
  <c r="J881" i="12"/>
  <c r="I880" i="12"/>
  <c r="J619" i="12"/>
  <c r="J636" i="12"/>
  <c r="J493" i="12"/>
  <c r="J690" i="12"/>
  <c r="I886" i="12"/>
  <c r="J887" i="12"/>
  <c r="J445" i="12"/>
  <c r="J489" i="12"/>
  <c r="J569" i="12"/>
  <c r="J487" i="12"/>
  <c r="J575" i="12"/>
  <c r="J688" i="12"/>
  <c r="J483" i="12"/>
  <c r="J599" i="12"/>
  <c r="J712" i="12"/>
  <c r="J577" i="12"/>
  <c r="J553" i="12"/>
  <c r="I876" i="12"/>
  <c r="J877" i="12"/>
  <c r="J172" i="12"/>
  <c r="J315" i="12"/>
  <c r="J708" i="12"/>
  <c r="J561" i="12"/>
  <c r="I866" i="12"/>
  <c r="J867" i="12"/>
  <c r="J408" i="12"/>
  <c r="J503" i="12"/>
  <c r="J826" i="12"/>
  <c r="J871" i="12"/>
  <c r="I870" i="12"/>
  <c r="J700" i="12"/>
  <c r="J710" i="12"/>
  <c r="F532" i="12"/>
  <c r="I22" i="12" s="1"/>
  <c r="F848" i="12"/>
  <c r="F655" i="12"/>
  <c r="I25" i="12" s="1"/>
  <c r="F460" i="12"/>
  <c r="I21" i="12" s="1"/>
  <c r="J174" i="12"/>
  <c r="J617" i="12"/>
  <c r="D19" i="77"/>
  <c r="E19" i="122"/>
  <c r="C30" i="39"/>
  <c r="J824" i="12"/>
  <c r="J441" i="12"/>
  <c r="J549" i="12"/>
  <c r="J555" i="12"/>
  <c r="J640" i="12"/>
  <c r="J621" i="12"/>
  <c r="J789" i="12"/>
  <c r="J345" i="12"/>
  <c r="J816" i="12"/>
  <c r="J603" i="12"/>
  <c r="J678" i="12"/>
  <c r="J410" i="12"/>
  <c r="J559" i="12"/>
  <c r="J788" i="12"/>
  <c r="I787" i="12"/>
  <c r="J698" i="12"/>
  <c r="J93" i="12"/>
  <c r="J551" i="12"/>
  <c r="J565" i="12"/>
  <c r="J865" i="12"/>
  <c r="I864" i="12"/>
  <c r="J607" i="12"/>
  <c r="J467" i="12"/>
  <c r="J868" i="12"/>
  <c r="J443" i="12"/>
  <c r="I791" i="12"/>
  <c r="J792" i="12"/>
  <c r="J170" i="12"/>
  <c r="J605" i="12"/>
  <c r="I878" i="12"/>
  <c r="J879" i="12"/>
  <c r="J31" i="12"/>
  <c r="J927" i="12"/>
  <c r="L925" i="12"/>
  <c r="J642" i="12"/>
  <c r="J91" i="12"/>
  <c r="E16" i="122"/>
  <c r="D16" i="77"/>
  <c r="C18" i="39"/>
  <c r="J702" i="12"/>
  <c r="J563" i="12"/>
  <c r="J634" i="12"/>
  <c r="J499" i="12"/>
  <c r="L926" i="12"/>
  <c r="J59" i="12"/>
  <c r="J820" i="12"/>
  <c r="J180" i="12"/>
  <c r="J696" i="12"/>
  <c r="J95" i="12"/>
  <c r="J469" i="12"/>
  <c r="J818" i="12"/>
  <c r="J686" i="12"/>
  <c r="J495" i="12"/>
  <c r="J692" i="12"/>
  <c r="J615" i="12"/>
  <c r="J97" i="12"/>
  <c r="D26" i="77"/>
  <c r="E28" i="122"/>
  <c r="C66" i="39"/>
  <c r="J676" i="12"/>
  <c r="J400" i="12"/>
  <c r="J289" i="12"/>
  <c r="J684" i="12"/>
  <c r="J704" i="12"/>
  <c r="J601" i="12"/>
  <c r="J557" i="12"/>
  <c r="J716" i="12"/>
  <c r="J406" i="12"/>
  <c r="J573" i="12"/>
  <c r="J682" i="12"/>
  <c r="J579" i="12"/>
  <c r="I882" i="12"/>
  <c r="J883" i="12"/>
  <c r="J294" i="12"/>
  <c r="L297" i="12" s="1"/>
  <c r="J481" i="12"/>
  <c r="J176" i="12"/>
  <c r="J609" i="12"/>
  <c r="J404" i="12"/>
  <c r="J892" i="12"/>
  <c r="J475" i="12"/>
  <c r="J545" i="12"/>
  <c r="I888" i="12"/>
  <c r="J889" i="12"/>
  <c r="J571" i="12"/>
  <c r="J479" i="12"/>
  <c r="J178" i="12"/>
  <c r="J786" i="12"/>
  <c r="I785" i="12"/>
  <c r="J547" i="12"/>
  <c r="J567" i="12"/>
  <c r="J814" i="12"/>
  <c r="J501" i="12"/>
  <c r="J613" i="12"/>
  <c r="J477" i="12"/>
  <c r="J680" i="12"/>
  <c r="J439" i="12"/>
  <c r="J402" i="12"/>
  <c r="J749" i="12"/>
  <c r="J706" i="12"/>
  <c r="I874" i="12"/>
  <c r="J875" i="12"/>
  <c r="J491" i="12"/>
  <c r="J543" i="12"/>
  <c r="J830" i="12"/>
  <c r="J497" i="12"/>
  <c r="I828" i="12"/>
  <c r="J829" i="12"/>
  <c r="I872" i="12"/>
  <c r="J873" i="12"/>
  <c r="J471" i="12"/>
  <c r="J694" i="12"/>
  <c r="J714" i="12"/>
  <c r="J611" i="12"/>
  <c r="J61" i="12"/>
  <c r="I884" i="12"/>
  <c r="J885" i="12"/>
  <c r="J822" i="12"/>
  <c r="J485" i="12"/>
  <c r="J638" i="12"/>
  <c r="J890" i="12"/>
  <c r="L307" i="12" l="1"/>
  <c r="L309" i="12"/>
  <c r="L306" i="12"/>
  <c r="L299" i="12"/>
  <c r="L301" i="12"/>
  <c r="J876" i="12"/>
  <c r="J785" i="12"/>
  <c r="L294" i="12"/>
  <c r="J18" i="12"/>
  <c r="J313" i="12"/>
  <c r="L298" i="12"/>
  <c r="J864" i="12"/>
  <c r="J828" i="12"/>
  <c r="L302" i="12"/>
  <c r="L31" i="12"/>
  <c r="E13" i="77"/>
  <c r="F32" i="122"/>
  <c r="H32" i="122" s="1"/>
  <c r="D82" i="39"/>
  <c r="L304" i="12"/>
  <c r="J878" i="12"/>
  <c r="L308" i="12"/>
  <c r="J874" i="12"/>
  <c r="L311" i="12"/>
  <c r="L312" i="12"/>
  <c r="J882" i="12"/>
  <c r="J870" i="12"/>
  <c r="L295" i="12"/>
  <c r="J884" i="12"/>
  <c r="J872" i="12"/>
  <c r="L305" i="12"/>
  <c r="L300" i="12"/>
  <c r="J787" i="12"/>
  <c r="J880" i="12"/>
  <c r="J886" i="12"/>
  <c r="E22" i="122"/>
  <c r="D21" i="77"/>
  <c r="C42" i="39"/>
  <c r="D24" i="77"/>
  <c r="E26" i="122"/>
  <c r="C58" i="39"/>
  <c r="L296" i="12"/>
  <c r="J866" i="12"/>
  <c r="J791" i="12"/>
  <c r="D34" i="77"/>
  <c r="E23" i="122"/>
  <c r="C46" i="39"/>
  <c r="L303" i="12"/>
  <c r="J888" i="12"/>
  <c r="L310" i="12"/>
  <c r="F19" i="122" l="1"/>
  <c r="H19" i="122" s="1"/>
  <c r="D30" i="39"/>
  <c r="E19" i="77"/>
  <c r="L18" i="12"/>
  <c r="W83" i="39"/>
  <c r="W84" i="39" s="1"/>
  <c r="L83" i="39"/>
  <c r="L84" i="39" s="1"/>
  <c r="T83" i="39"/>
  <c r="T84" i="39" s="1"/>
  <c r="K83" i="39"/>
  <c r="K84" i="39" s="1"/>
  <c r="O83" i="39"/>
  <c r="O84" i="39" s="1"/>
  <c r="N83" i="39"/>
  <c r="N84" i="39" s="1"/>
  <c r="G83" i="39"/>
  <c r="G84" i="39" s="1"/>
  <c r="M83" i="39"/>
  <c r="M84" i="39" s="1"/>
  <c r="U83" i="39"/>
  <c r="U84" i="39" s="1"/>
  <c r="J83" i="39"/>
  <c r="J84" i="39" s="1"/>
  <c r="P83" i="39"/>
  <c r="P84" i="39" s="1"/>
  <c r="Q83" i="39"/>
  <c r="Q84" i="39" s="1"/>
  <c r="S83" i="39"/>
  <c r="S84" i="39" s="1"/>
  <c r="V83" i="39"/>
  <c r="V84" i="39" s="1"/>
  <c r="R83" i="39"/>
  <c r="R84" i="39" s="1"/>
  <c r="H83" i="39"/>
  <c r="H84" i="39" s="1"/>
  <c r="F83" i="39"/>
  <c r="F84" i="39" s="1"/>
  <c r="I83" i="39"/>
  <c r="I84" i="39" s="1"/>
  <c r="X84" i="39" l="1"/>
  <c r="X83" i="39"/>
  <c r="Y84" i="39" s="1"/>
  <c r="G31" i="39"/>
  <c r="G32" i="39" s="1"/>
  <c r="O31" i="39"/>
  <c r="O32" i="39" s="1"/>
  <c r="J31" i="39"/>
  <c r="J32" i="39" s="1"/>
  <c r="T31" i="39"/>
  <c r="T32" i="39" s="1"/>
  <c r="I31" i="39"/>
  <c r="I32" i="39" s="1"/>
  <c r="V31" i="39"/>
  <c r="V32" i="39" s="1"/>
  <c r="R31" i="39"/>
  <c r="R32" i="39" s="1"/>
  <c r="P31" i="39"/>
  <c r="P32" i="39" s="1"/>
  <c r="H31" i="39"/>
  <c r="H32" i="39" s="1"/>
  <c r="N31" i="39"/>
  <c r="N32" i="39" s="1"/>
  <c r="K31" i="39"/>
  <c r="K32" i="39" s="1"/>
  <c r="Q31" i="39"/>
  <c r="Q32" i="39" s="1"/>
  <c r="S31" i="39"/>
  <c r="S32" i="39" s="1"/>
  <c r="M31" i="39"/>
  <c r="M32" i="39" s="1"/>
  <c r="W31" i="39"/>
  <c r="W32" i="39" s="1"/>
  <c r="F31" i="39"/>
  <c r="L31" i="39"/>
  <c r="L32" i="39" s="1"/>
  <c r="U31" i="39"/>
  <c r="U32" i="39" s="1"/>
  <c r="F32" i="39"/>
  <c r="Y81" i="39"/>
  <c r="Y83" i="39" l="1"/>
  <c r="Z83" i="39"/>
  <c r="X32" i="39"/>
  <c r="X31" i="39"/>
  <c r="Y31" i="39" l="1"/>
  <c r="Z31" i="39"/>
  <c r="Y29" i="39"/>
  <c r="Y32" i="39"/>
  <c r="F208" i="12" l="1"/>
  <c r="F209" i="12"/>
  <c r="F210" i="12"/>
  <c r="F211" i="12"/>
  <c r="F212" i="12"/>
  <c r="F213" i="12"/>
  <c r="F214" i="12"/>
  <c r="F215" i="12"/>
  <c r="F216" i="12"/>
  <c r="G216" i="12" l="1"/>
  <c r="I216" i="12" s="1"/>
  <c r="J216" i="12" s="1"/>
  <c r="G215" i="12"/>
  <c r="I215" i="12" s="1"/>
  <c r="J215" i="12" s="1"/>
  <c r="G214" i="12"/>
  <c r="I214" i="12" s="1"/>
  <c r="J214" i="12" s="1"/>
  <c r="G213" i="12"/>
  <c r="I213" i="12" s="1"/>
  <c r="J213" i="12" s="1"/>
  <c r="G212" i="12"/>
  <c r="I212" i="12" s="1"/>
  <c r="J212" i="12" s="1"/>
  <c r="G211" i="12"/>
  <c r="I211" i="12" s="1"/>
  <c r="J211" i="12" s="1"/>
  <c r="G210" i="12"/>
  <c r="I210" i="12" s="1"/>
  <c r="J210" i="12" s="1"/>
  <c r="G209" i="12"/>
  <c r="I209" i="12" s="1"/>
  <c r="J209" i="12" s="1"/>
  <c r="G208" i="12"/>
  <c r="I208" i="12" s="1"/>
  <c r="J208" i="12" s="1"/>
  <c r="D76" i="12" l="1"/>
  <c r="F919" i="12"/>
  <c r="D276" i="12"/>
  <c r="D282" i="12"/>
  <c r="D70" i="12"/>
  <c r="F905" i="12"/>
  <c r="F922" i="12"/>
  <c r="D379" i="12"/>
  <c r="D416" i="12"/>
  <c r="D267" i="12"/>
  <c r="D245" i="12"/>
  <c r="F67" i="12"/>
  <c r="F803" i="12"/>
  <c r="F726" i="12"/>
  <c r="F277" i="12"/>
  <c r="F416" i="12"/>
  <c r="D917" i="12"/>
  <c r="F415" i="12"/>
  <c r="F909" i="12"/>
  <c r="F764" i="12"/>
  <c r="D523" i="12"/>
  <c r="F75" i="12"/>
  <c r="D394" i="12"/>
  <c r="D436" i="12"/>
  <c r="F784" i="12"/>
  <c r="F273" i="12"/>
  <c r="D263" i="12"/>
  <c r="F797" i="12"/>
  <c r="D274" i="12"/>
  <c r="F269" i="12"/>
  <c r="D898" i="12"/>
  <c r="D905" i="12"/>
  <c r="F916" i="12"/>
  <c r="D261" i="12"/>
  <c r="D509" i="12"/>
  <c r="F245" i="12"/>
  <c r="I17" i="12" s="1"/>
  <c r="F271" i="12"/>
  <c r="F74" i="12"/>
  <c r="I14" i="12" s="1"/>
  <c r="D918" i="12"/>
  <c r="D901" i="12"/>
  <c r="G44" i="12"/>
  <c r="I44" i="12" s="1"/>
  <c r="J44" i="12" s="1"/>
  <c r="D774" i="12"/>
  <c r="F70" i="12"/>
  <c r="F103" i="12"/>
  <c r="D769" i="12"/>
  <c r="D808" i="12"/>
  <c r="D916" i="12"/>
  <c r="F908" i="12"/>
  <c r="D280" i="12"/>
  <c r="F723" i="12"/>
  <c r="F267" i="12"/>
  <c r="D248" i="12"/>
  <c r="F517" i="12"/>
  <c r="F768" i="12"/>
  <c r="F250" i="12"/>
  <c r="D256" i="12"/>
  <c r="F279" i="12"/>
  <c r="F525" i="12"/>
  <c r="F258" i="12"/>
  <c r="D723" i="12"/>
  <c r="D268" i="12"/>
  <c r="D374" i="12"/>
  <c r="F266" i="12"/>
  <c r="D272" i="12"/>
  <c r="F766" i="12"/>
  <c r="F276" i="12"/>
  <c r="F247" i="12"/>
  <c r="F255" i="12"/>
  <c r="F76" i="12"/>
  <c r="D343" i="12"/>
  <c r="D134" i="12"/>
  <c r="D912" i="12"/>
  <c r="D903" i="12"/>
  <c r="D583" i="12"/>
  <c r="D518" i="12"/>
  <c r="F918" i="12"/>
  <c r="F135" i="12"/>
  <c r="F36" i="12"/>
  <c r="I13" i="12" s="1"/>
  <c r="F900" i="12"/>
  <c r="F270" i="12"/>
  <c r="D856" i="12"/>
  <c r="F373" i="12"/>
  <c r="F436" i="12"/>
  <c r="D249" i="12"/>
  <c r="G919" i="12"/>
  <c r="I919" i="12" s="1"/>
  <c r="J919" i="12" s="1"/>
  <c r="F249" i="12"/>
  <c r="D257" i="12"/>
  <c r="F523" i="12"/>
  <c r="D913" i="12"/>
  <c r="D253" i="12"/>
  <c r="F344" i="12"/>
  <c r="F773" i="12"/>
  <c r="D900" i="12"/>
  <c r="F376" i="12"/>
  <c r="D920" i="12"/>
  <c r="F278" i="12"/>
  <c r="D281" i="12"/>
  <c r="F284" i="12"/>
  <c r="D135" i="12"/>
  <c r="D726" i="12"/>
  <c r="F44" i="12"/>
  <c r="D55" i="12"/>
  <c r="D277" i="12"/>
  <c r="F911" i="12"/>
  <c r="F898" i="12"/>
  <c r="F748" i="12"/>
  <c r="D597" i="12"/>
  <c r="D598" i="12"/>
  <c r="F903" i="12"/>
  <c r="F414" i="12"/>
  <c r="I20" i="12" s="1"/>
  <c r="D420" i="12"/>
  <c r="F597" i="12"/>
  <c r="F584" i="12"/>
  <c r="F509" i="12"/>
  <c r="F275" i="12"/>
  <c r="D773" i="12"/>
  <c r="D87" i="12"/>
  <c r="G87" i="12"/>
  <c r="I87" i="12" s="1"/>
  <c r="J87" i="12" s="1"/>
  <c r="F417" i="12"/>
  <c r="F374" i="12"/>
  <c r="D524" i="12"/>
  <c r="F747" i="12"/>
  <c r="D73" i="12"/>
  <c r="D507" i="12"/>
  <c r="D764" i="12"/>
  <c r="F774" i="12"/>
  <c r="F66" i="12"/>
  <c r="D36" i="12"/>
  <c r="F282" i="12"/>
  <c r="D919" i="12"/>
  <c r="D103" i="12"/>
  <c r="D75" i="12"/>
  <c r="D254" i="12"/>
  <c r="D584" i="12"/>
  <c r="D266" i="12"/>
  <c r="D273" i="12"/>
  <c r="D768" i="12"/>
  <c r="D766" i="12"/>
  <c r="D904" i="12"/>
  <c r="F283" i="12"/>
  <c r="D585" i="12"/>
  <c r="D517" i="12"/>
  <c r="F281" i="12"/>
  <c r="F262" i="12"/>
  <c r="F770" i="12"/>
  <c r="D278" i="12"/>
  <c r="D376" i="12"/>
  <c r="D279" i="12"/>
  <c r="D252" i="12"/>
  <c r="D284" i="12"/>
  <c r="D760" i="12"/>
  <c r="D910" i="12"/>
  <c r="F524" i="12"/>
  <c r="F585" i="12"/>
  <c r="F418" i="12"/>
  <c r="F65" i="12"/>
  <c r="D417" i="12"/>
  <c r="F254" i="12"/>
  <c r="F372" i="12"/>
  <c r="F73" i="12"/>
  <c r="F55" i="12"/>
  <c r="D915" i="12"/>
  <c r="F902" i="12"/>
  <c r="F760" i="12"/>
  <c r="F910" i="12"/>
  <c r="D246" i="12"/>
  <c r="D747" i="12"/>
  <c r="D44" i="12"/>
  <c r="D283" i="12"/>
  <c r="F914" i="12"/>
  <c r="F808" i="12"/>
  <c r="F102" i="12"/>
  <c r="D415" i="12"/>
  <c r="D102" i="12"/>
  <c r="D907" i="12"/>
  <c r="F272" i="12"/>
  <c r="F68" i="12"/>
  <c r="F721" i="12"/>
  <c r="F917" i="12"/>
  <c r="F260" i="12"/>
  <c r="F261" i="12"/>
  <c r="G325" i="12"/>
  <c r="I325" i="12" s="1"/>
  <c r="J325" i="12" s="1"/>
  <c r="D74" i="12"/>
  <c r="D247" i="12"/>
  <c r="D414" i="12"/>
  <c r="D262" i="12"/>
  <c r="F912" i="12"/>
  <c r="D372" i="12"/>
  <c r="D56" i="12"/>
  <c r="F274" i="12"/>
  <c r="D909" i="12"/>
  <c r="D914" i="12"/>
  <c r="D899" i="12"/>
  <c r="D748" i="12"/>
  <c r="F518" i="12"/>
  <c r="D923" i="12"/>
  <c r="D275" i="12"/>
  <c r="D423" i="12"/>
  <c r="F248" i="12"/>
  <c r="D271" i="12"/>
  <c r="F268" i="12"/>
  <c r="F856" i="12"/>
  <c r="F901" i="12"/>
  <c r="D770" i="12"/>
  <c r="F379" i="12"/>
  <c r="F767" i="12"/>
  <c r="F507" i="12"/>
  <c r="F598" i="12"/>
  <c r="D66" i="12"/>
  <c r="D258" i="12"/>
  <c r="F423" i="12"/>
  <c r="F519" i="12"/>
  <c r="F583" i="12"/>
  <c r="F915" i="12"/>
  <c r="F508" i="12"/>
  <c r="F923" i="12"/>
  <c r="D255" i="12"/>
  <c r="F325" i="12"/>
  <c r="D525" i="12"/>
  <c r="D906" i="12"/>
  <c r="D897" i="12"/>
  <c r="F257" i="12"/>
  <c r="F51" i="12"/>
  <c r="D721" i="12"/>
  <c r="D767" i="12"/>
  <c r="D65" i="12"/>
  <c r="F420" i="12"/>
  <c r="D908" i="12"/>
  <c r="D269" i="12"/>
  <c r="D373" i="12"/>
  <c r="D270" i="12"/>
  <c r="F907" i="12"/>
  <c r="D68" i="12"/>
  <c r="F253" i="12"/>
  <c r="F394" i="12"/>
  <c r="F56" i="12"/>
  <c r="F280" i="12"/>
  <c r="F246" i="12"/>
  <c r="F134" i="12"/>
  <c r="F913" i="12"/>
  <c r="F343" i="12"/>
  <c r="F899" i="12"/>
  <c r="F87" i="12"/>
  <c r="D508" i="12"/>
  <c r="F769" i="12"/>
  <c r="D797" i="12"/>
  <c r="F904" i="12"/>
  <c r="D71" i="12"/>
  <c r="F906" i="12"/>
  <c r="F252" i="12"/>
  <c r="D803" i="12"/>
  <c r="F896" i="12"/>
  <c r="I30" i="12" s="1"/>
  <c r="D51" i="12"/>
  <c r="D344" i="12"/>
  <c r="F920" i="12"/>
  <c r="F263" i="12"/>
  <c r="D250" i="12"/>
  <c r="F71" i="12"/>
  <c r="D418" i="12"/>
  <c r="D260" i="12"/>
  <c r="D67" i="12"/>
  <c r="F897" i="12"/>
  <c r="D922" i="12"/>
  <c r="D784" i="12"/>
  <c r="D902" i="12"/>
  <c r="D325" i="12"/>
  <c r="D519" i="12"/>
  <c r="D896" i="12"/>
  <c r="D911" i="12"/>
  <c r="F256" i="12"/>
  <c r="F48" i="12" l="1"/>
  <c r="F732" i="12"/>
  <c r="F218" i="12"/>
  <c r="F227" i="12"/>
  <c r="F385" i="12"/>
  <c r="F746" i="12"/>
  <c r="F101" i="12"/>
  <c r="F431" i="12"/>
  <c r="D317" i="12"/>
  <c r="D47" i="12"/>
  <c r="D857" i="12"/>
  <c r="D725" i="12"/>
  <c r="F342" i="12"/>
  <c r="F419" i="12"/>
  <c r="D724" i="12"/>
  <c r="D854" i="12"/>
  <c r="D522" i="12"/>
  <c r="D649" i="12"/>
  <c r="D801" i="12"/>
  <c r="D459" i="12"/>
  <c r="F594" i="12"/>
  <c r="F286" i="12"/>
  <c r="D593" i="12"/>
  <c r="D285" i="12"/>
  <c r="F731" i="12"/>
  <c r="F168" i="12"/>
  <c r="F534" i="12"/>
  <c r="F462" i="12"/>
  <c r="F125" i="12"/>
  <c r="F421" i="12"/>
  <c r="F324" i="12"/>
  <c r="D48" i="12"/>
  <c r="D732" i="12"/>
  <c r="D287" i="12"/>
  <c r="D595" i="12"/>
  <c r="D837" i="12"/>
  <c r="D626" i="12"/>
  <c r="D433" i="12"/>
  <c r="D251" i="12"/>
  <c r="F591" i="12"/>
  <c r="F661" i="12"/>
  <c r="F720" i="12"/>
  <c r="I26" i="12" s="1"/>
  <c r="F855" i="12"/>
  <c r="F318" i="12"/>
  <c r="F50" i="12"/>
  <c r="F387" i="12"/>
  <c r="F734" i="12"/>
  <c r="D592" i="12"/>
  <c r="D539" i="12"/>
  <c r="D662" i="12"/>
  <c r="F842" i="12"/>
  <c r="F521" i="12"/>
  <c r="F457" i="12"/>
  <c r="F648" i="12"/>
  <c r="F843" i="12"/>
  <c r="D538" i="12"/>
  <c r="D465" i="12"/>
  <c r="F384" i="12"/>
  <c r="F745" i="12"/>
  <c r="F463" i="12"/>
  <c r="F535" i="12"/>
  <c r="D329" i="12"/>
  <c r="D143" i="12"/>
  <c r="D512" i="12"/>
  <c r="D432" i="12"/>
  <c r="F536" i="12"/>
  <c r="F589" i="12"/>
  <c r="F850" i="12"/>
  <c r="F659" i="12"/>
  <c r="D596" i="12"/>
  <c r="D288" i="12"/>
  <c r="F329" i="12"/>
  <c r="F143" i="12"/>
  <c r="F512" i="12"/>
  <c r="F432" i="12"/>
  <c r="F542" i="12"/>
  <c r="F90" i="12"/>
  <c r="F626" i="12"/>
  <c r="I24" i="12" s="1"/>
  <c r="F837" i="12"/>
  <c r="F849" i="12"/>
  <c r="F587" i="12"/>
  <c r="I23" i="12" s="1"/>
  <c r="F533" i="12"/>
  <c r="F656" i="12"/>
  <c r="F802" i="12"/>
  <c r="F522" i="12"/>
  <c r="F649" i="12"/>
  <c r="F801" i="12"/>
  <c r="F459" i="12"/>
  <c r="D591" i="12"/>
  <c r="D661" i="12"/>
  <c r="F724" i="12"/>
  <c r="F854" i="12"/>
  <c r="D427" i="12"/>
  <c r="D341" i="12"/>
  <c r="F658" i="12"/>
  <c r="F588" i="12"/>
  <c r="E15" i="122"/>
  <c r="D29" i="77"/>
  <c r="C14" i="39"/>
  <c r="F596" i="12"/>
  <c r="F288" i="12"/>
  <c r="E21" i="122"/>
  <c r="D30" i="77"/>
  <c r="C38" i="39"/>
  <c r="F857" i="12"/>
  <c r="F725" i="12"/>
  <c r="F226" i="12"/>
  <c r="F217" i="12"/>
  <c r="D589" i="12"/>
  <c r="D850" i="12"/>
  <c r="D536" i="12"/>
  <c r="D659" i="12"/>
  <c r="D542" i="12"/>
  <c r="D90" i="12"/>
  <c r="D318" i="12"/>
  <c r="D50" i="12"/>
  <c r="F799" i="12"/>
  <c r="F627" i="12"/>
  <c r="F511" i="12"/>
  <c r="F836" i="12"/>
  <c r="D588" i="12"/>
  <c r="D658" i="12"/>
  <c r="D464" i="12"/>
  <c r="D537" i="12"/>
  <c r="D125" i="12"/>
  <c r="D421" i="12"/>
  <c r="D324" i="12"/>
  <c r="F251" i="12"/>
  <c r="F433" i="12"/>
  <c r="E31" i="122"/>
  <c r="D27" i="77"/>
  <c r="D746" i="12"/>
  <c r="D385" i="12"/>
  <c r="D722" i="12"/>
  <c r="D853" i="12"/>
  <c r="D389" i="12"/>
  <c r="D49" i="12"/>
  <c r="D735" i="12"/>
  <c r="F230" i="12"/>
  <c r="F220" i="12"/>
  <c r="D387" i="12"/>
  <c r="D734" i="12"/>
  <c r="F593" i="12"/>
  <c r="F285" i="12"/>
  <c r="F722" i="12"/>
  <c r="F853" i="12"/>
  <c r="F341" i="12"/>
  <c r="F427" i="12"/>
  <c r="D101" i="12"/>
  <c r="D431" i="12"/>
  <c r="D384" i="12"/>
  <c r="D745" i="12"/>
  <c r="G226" i="12"/>
  <c r="I226" i="12" s="1"/>
  <c r="J226" i="12" s="1"/>
  <c r="G217" i="12"/>
  <c r="I217" i="12" s="1"/>
  <c r="J217" i="12" s="1"/>
  <c r="D534" i="12"/>
  <c r="D462" i="12"/>
  <c r="E18" i="122"/>
  <c r="D18" i="77"/>
  <c r="C26" i="39"/>
  <c r="F538" i="12"/>
  <c r="F465" i="12"/>
  <c r="D168" i="12"/>
  <c r="D731" i="12"/>
  <c r="D842" i="12"/>
  <c r="D648" i="12"/>
  <c r="D843" i="12"/>
  <c r="D521" i="12"/>
  <c r="D457" i="12"/>
  <c r="D342" i="12"/>
  <c r="D419" i="12"/>
  <c r="D594" i="12"/>
  <c r="D286" i="12"/>
  <c r="F319" i="12"/>
  <c r="F53" i="12"/>
  <c r="D849" i="12"/>
  <c r="D533" i="12"/>
  <c r="D656" i="12"/>
  <c r="D802" i="12"/>
  <c r="D587" i="12"/>
  <c r="G317" i="12"/>
  <c r="I317" i="12" s="1"/>
  <c r="J317" i="12" s="1"/>
  <c r="G47" i="12"/>
  <c r="I47" i="12" s="1"/>
  <c r="J47" i="12" s="1"/>
  <c r="D12" i="77"/>
  <c r="E14" i="122"/>
  <c r="C10" i="39"/>
  <c r="F592" i="12"/>
  <c r="F662" i="12"/>
  <c r="F539" i="12"/>
  <c r="D720" i="12"/>
  <c r="D855" i="12"/>
  <c r="F287" i="12"/>
  <c r="F595" i="12"/>
  <c r="F537" i="12"/>
  <c r="F464" i="12"/>
  <c r="D463" i="12"/>
  <c r="D535" i="12"/>
  <c r="D319" i="12"/>
  <c r="D53" i="12"/>
  <c r="D799" i="12"/>
  <c r="D511" i="12"/>
  <c r="D836" i="12"/>
  <c r="D627" i="12"/>
  <c r="F317" i="12"/>
  <c r="F47" i="12"/>
  <c r="F389" i="12"/>
  <c r="F735" i="12"/>
  <c r="F49" i="12"/>
  <c r="D25" i="77" l="1"/>
  <c r="E27" i="122"/>
  <c r="C62" i="39"/>
  <c r="E24" i="122"/>
  <c r="D35" i="77"/>
  <c r="D36" i="77" s="1"/>
  <c r="C50" i="39"/>
  <c r="E25" i="122"/>
  <c r="D23" i="77"/>
  <c r="C54" i="39"/>
  <c r="G436" i="12" l="1"/>
  <c r="I436" i="12" s="1"/>
  <c r="J436" i="12" s="1"/>
  <c r="G376" i="12" l="1"/>
  <c r="I376" i="12" s="1"/>
  <c r="J376" i="12" s="1"/>
  <c r="G842" i="12" l="1"/>
  <c r="I842" i="12" s="1"/>
  <c r="J842" i="12" s="1"/>
  <c r="G648" i="12"/>
  <c r="I648" i="12" s="1"/>
  <c r="J648" i="12" s="1"/>
  <c r="G843" i="12"/>
  <c r="I843" i="12" s="1"/>
  <c r="J843" i="12" s="1"/>
  <c r="G521" i="12"/>
  <c r="I521" i="12" s="1"/>
  <c r="J521" i="12" s="1"/>
  <c r="G457" i="12"/>
  <c r="I457" i="12" s="1"/>
  <c r="J457" i="12" s="1"/>
  <c r="G767" i="12" l="1"/>
  <c r="I767" i="12" s="1"/>
  <c r="J767" i="12" s="1"/>
  <c r="G770" i="12"/>
  <c r="I770" i="12" s="1"/>
  <c r="J770" i="12" s="1"/>
  <c r="G769" i="12"/>
  <c r="I769" i="12" s="1"/>
  <c r="J769" i="12" s="1"/>
  <c r="G768" i="12"/>
  <c r="I768" i="12" s="1"/>
  <c r="J768" i="12" s="1"/>
  <c r="G766" i="12" l="1"/>
  <c r="I766" i="12" s="1"/>
  <c r="J766" i="12" s="1"/>
  <c r="G784" i="12" l="1"/>
  <c r="I784" i="12" s="1"/>
  <c r="J784" i="12" s="1"/>
  <c r="G420" i="12" l="1"/>
  <c r="I420" i="12" s="1"/>
  <c r="J420" i="12" s="1"/>
  <c r="G427" i="12" l="1"/>
  <c r="I427" i="12" s="1"/>
  <c r="J427" i="12" s="1"/>
  <c r="G341" i="12"/>
  <c r="I341" i="12" s="1"/>
  <c r="J341" i="12" s="1"/>
  <c r="G342" i="12"/>
  <c r="I342" i="12" s="1"/>
  <c r="J342" i="12" s="1"/>
  <c r="G419" i="12"/>
  <c r="I419" i="12" s="1"/>
  <c r="J419" i="12" s="1"/>
  <c r="G51" i="12" l="1"/>
  <c r="I51" i="12" s="1"/>
  <c r="J51" i="12" s="1"/>
  <c r="G343" i="12" l="1"/>
  <c r="I343" i="12" s="1"/>
  <c r="J343" i="12" s="1"/>
  <c r="G36" i="12"/>
  <c r="I36" i="12" s="1"/>
  <c r="J36" i="12" s="1"/>
  <c r="Z8" i="39" l="1"/>
  <c r="G731" i="12"/>
  <c r="I731" i="12" s="1"/>
  <c r="J731" i="12" s="1"/>
  <c r="G168" i="12"/>
  <c r="I168" i="12" s="1"/>
  <c r="J168" i="12" s="1"/>
  <c r="G329" i="12" l="1"/>
  <c r="I329" i="12" s="1"/>
  <c r="J329" i="12" s="1"/>
  <c r="G143" i="12"/>
  <c r="I143" i="12" s="1"/>
  <c r="J143" i="12" s="1"/>
  <c r="G512" i="12"/>
  <c r="I512" i="12" s="1"/>
  <c r="J512" i="12" s="1"/>
  <c r="G432" i="12"/>
  <c r="I432" i="12" s="1"/>
  <c r="J432" i="12" s="1"/>
  <c r="G774" i="12"/>
  <c r="I774" i="12" s="1"/>
  <c r="J774" i="12" s="1"/>
  <c r="G657" i="12" l="1"/>
  <c r="I657" i="12" s="1"/>
  <c r="J657" i="12" s="1"/>
  <c r="G586" i="12"/>
  <c r="I586" i="12" s="1"/>
  <c r="J586" i="12" s="1"/>
  <c r="G461" i="12"/>
  <c r="I461" i="12" s="1"/>
  <c r="J461" i="12" s="1"/>
  <c r="G898" i="12" l="1"/>
  <c r="I898" i="12" s="1"/>
  <c r="J898" i="12" s="1"/>
  <c r="G904" i="12"/>
  <c r="I904" i="12" s="1"/>
  <c r="J904" i="12" s="1"/>
  <c r="G418" i="12" l="1"/>
  <c r="I418" i="12" s="1"/>
  <c r="J418" i="12" s="1"/>
  <c r="G423" i="12" l="1"/>
  <c r="I423" i="12" s="1"/>
  <c r="J423" i="12" s="1"/>
  <c r="G385" i="12" l="1"/>
  <c r="I385" i="12" s="1"/>
  <c r="J385" i="12" s="1"/>
  <c r="G746" i="12"/>
  <c r="I746" i="12" s="1"/>
  <c r="J746" i="12" s="1"/>
  <c r="G722" i="12" l="1"/>
  <c r="I722" i="12" s="1"/>
  <c r="J722" i="12" s="1"/>
  <c r="G853" i="12"/>
  <c r="I853" i="12" s="1"/>
  <c r="J853" i="12" s="1"/>
  <c r="G760" i="12" l="1"/>
  <c r="I760" i="12" s="1"/>
  <c r="J760" i="12" s="1"/>
  <c r="J752" i="12" l="1"/>
  <c r="J795" i="12" l="1"/>
  <c r="L773" i="12"/>
  <c r="L752" i="12"/>
  <c r="J27" i="12"/>
  <c r="L764" i="12"/>
  <c r="L757" i="12"/>
  <c r="L758" i="12"/>
  <c r="L775" i="12"/>
  <c r="L776" i="12"/>
  <c r="L794" i="12"/>
  <c r="L771" i="12"/>
  <c r="L772" i="12"/>
  <c r="L754" i="12"/>
  <c r="L779" i="12"/>
  <c r="L763" i="12"/>
  <c r="L781" i="12"/>
  <c r="L780" i="12"/>
  <c r="L753" i="12"/>
  <c r="L761" i="12"/>
  <c r="L756" i="12"/>
  <c r="L783" i="12"/>
  <c r="L765" i="12"/>
  <c r="L759" i="12"/>
  <c r="L778" i="12"/>
  <c r="L777" i="12"/>
  <c r="L762" i="12"/>
  <c r="L755" i="12"/>
  <c r="L782" i="12"/>
  <c r="L792" i="12"/>
  <c r="L788" i="12"/>
  <c r="L786" i="12"/>
  <c r="L768" i="12"/>
  <c r="L770" i="12"/>
  <c r="L769" i="12"/>
  <c r="L767" i="12"/>
  <c r="L766" i="12"/>
  <c r="L784" i="12"/>
  <c r="L774" i="12"/>
  <c r="L760" i="12"/>
  <c r="F28" i="122" l="1"/>
  <c r="H28" i="122" s="1"/>
  <c r="E26" i="77"/>
  <c r="L27" i="12"/>
  <c r="D66" i="39"/>
  <c r="L67" i="39" l="1"/>
  <c r="L68" i="39" s="1"/>
  <c r="K67" i="39"/>
  <c r="K68" i="39" s="1"/>
  <c r="F67" i="39"/>
  <c r="O67" i="39"/>
  <c r="O68" i="39" s="1"/>
  <c r="I67" i="39"/>
  <c r="I68" i="39" s="1"/>
  <c r="V67" i="39"/>
  <c r="V68" i="39" s="1"/>
  <c r="S67" i="39"/>
  <c r="S68" i="39" s="1"/>
  <c r="R67" i="39"/>
  <c r="R68" i="39" s="1"/>
  <c r="T67" i="39"/>
  <c r="T68" i="39" s="1"/>
  <c r="W67" i="39"/>
  <c r="W68" i="39" s="1"/>
  <c r="U67" i="39"/>
  <c r="U68" i="39" s="1"/>
  <c r="G67" i="39"/>
  <c r="G68" i="39" s="1"/>
  <c r="M67" i="39"/>
  <c r="M68" i="39" s="1"/>
  <c r="N67" i="39"/>
  <c r="N68" i="39" s="1"/>
  <c r="Q67" i="39"/>
  <c r="Q68" i="39" s="1"/>
  <c r="H67" i="39"/>
  <c r="H68" i="39" s="1"/>
  <c r="J67" i="39"/>
  <c r="J68" i="39" s="1"/>
  <c r="P67" i="39"/>
  <c r="P68" i="39" s="1"/>
  <c r="F68" i="39"/>
  <c r="I26" i="77"/>
  <c r="G26" i="77"/>
  <c r="X68" i="39" l="1"/>
  <c r="G849" i="12"/>
  <c r="I849" i="12" s="1"/>
  <c r="J849" i="12" s="1"/>
  <c r="G587" i="12"/>
  <c r="I587" i="12" s="1"/>
  <c r="J587" i="12" s="1"/>
  <c r="G533" i="12"/>
  <c r="I533" i="12" s="1"/>
  <c r="J533" i="12" s="1"/>
  <c r="G656" i="12"/>
  <c r="I656" i="12" s="1"/>
  <c r="J656" i="12" s="1"/>
  <c r="G802" i="12"/>
  <c r="I802" i="12" s="1"/>
  <c r="J802" i="12" s="1"/>
  <c r="X67" i="39"/>
  <c r="G509" i="12"/>
  <c r="I509" i="12" s="1"/>
  <c r="J509" i="12" s="1"/>
  <c r="G797" i="12"/>
  <c r="I797" i="12" s="1"/>
  <c r="J797" i="12" s="1"/>
  <c r="Z67" i="39" l="1"/>
  <c r="Y67" i="39"/>
  <c r="Y65" i="39"/>
  <c r="Y68" i="39"/>
  <c r="G135" i="12" l="1"/>
  <c r="I135" i="12" s="1"/>
  <c r="J135" i="12" s="1"/>
  <c r="G431" i="12" l="1"/>
  <c r="I431" i="12" s="1"/>
  <c r="J431" i="12" s="1"/>
  <c r="G101" i="12"/>
  <c r="I101" i="12" s="1"/>
  <c r="J101" i="12" s="1"/>
  <c r="G134" i="12" l="1"/>
  <c r="I134" i="12" s="1"/>
  <c r="J134" i="12" s="1"/>
  <c r="G542" i="12" l="1"/>
  <c r="I542" i="12" s="1"/>
  <c r="J542" i="12" s="1"/>
  <c r="G90" i="12"/>
  <c r="I90" i="12" s="1"/>
  <c r="J90" i="12" s="1"/>
  <c r="G518" i="12"/>
  <c r="I518" i="12" s="1"/>
  <c r="J518" i="12" s="1"/>
  <c r="G73" i="12" l="1"/>
  <c r="I73" i="12" s="1"/>
  <c r="J73" i="12" s="1"/>
  <c r="G70" i="12"/>
  <c r="I70" i="12" s="1"/>
  <c r="J70" i="12" s="1"/>
  <c r="G71" i="12"/>
  <c r="I71" i="12" s="1"/>
  <c r="J71" i="12" s="1"/>
  <c r="G67" i="12" l="1"/>
  <c r="I67" i="12" s="1"/>
  <c r="J67" i="12" s="1"/>
  <c r="G66" i="12" l="1"/>
  <c r="I66" i="12" s="1"/>
  <c r="J66" i="12" s="1"/>
  <c r="G319" i="12" l="1"/>
  <c r="I319" i="12" s="1"/>
  <c r="J319" i="12" s="1"/>
  <c r="G53" i="12"/>
  <c r="I53" i="12" s="1"/>
  <c r="J53" i="12" s="1"/>
  <c r="G254" i="12" l="1"/>
  <c r="I254" i="12" s="1"/>
  <c r="J254" i="12" s="1"/>
  <c r="G253" i="12" l="1"/>
  <c r="I253" i="12" s="1"/>
  <c r="J253" i="12" s="1"/>
  <c r="G255" i="12"/>
  <c r="I255" i="12" s="1"/>
  <c r="J255" i="12" s="1"/>
  <c r="G257" i="12"/>
  <c r="I257" i="12" s="1"/>
  <c r="J257" i="12" s="1"/>
  <c r="G258" i="12"/>
  <c r="I258" i="12" s="1"/>
  <c r="J258" i="12" s="1"/>
  <c r="G256" i="12"/>
  <c r="I256" i="12" s="1"/>
  <c r="J256" i="12" s="1"/>
  <c r="G252" i="12" l="1"/>
  <c r="I252" i="12" s="1"/>
  <c r="J252" i="12" s="1"/>
  <c r="G389" i="12" l="1"/>
  <c r="I389" i="12" s="1"/>
  <c r="J389" i="12" s="1"/>
  <c r="G735" i="12"/>
  <c r="I735" i="12" s="1"/>
  <c r="J735" i="12" s="1"/>
  <c r="G49" i="12"/>
  <c r="I49" i="12" s="1"/>
  <c r="J49" i="12" s="1"/>
  <c r="G745" i="12" l="1"/>
  <c r="I745" i="12" s="1"/>
  <c r="J745" i="12" s="1"/>
  <c r="G384" i="12"/>
  <c r="I384" i="12" s="1"/>
  <c r="J384" i="12" s="1"/>
  <c r="G923" i="12"/>
  <c r="I923" i="12" s="1"/>
  <c r="J923" i="12" s="1"/>
  <c r="G414" i="12"/>
  <c r="I414" i="12" s="1"/>
  <c r="J414" i="12" s="1"/>
  <c r="G68" i="12" l="1"/>
  <c r="I68" i="12" s="1"/>
  <c r="J68" i="12" s="1"/>
  <c r="G901" i="12" l="1"/>
  <c r="I901" i="12" s="1"/>
  <c r="J901" i="12" s="1"/>
  <c r="G903" i="12"/>
  <c r="I903" i="12" s="1"/>
  <c r="J903" i="12" s="1"/>
  <c r="G902" i="12"/>
  <c r="I902" i="12" s="1"/>
  <c r="J902" i="12" s="1"/>
  <c r="G920" i="12" l="1"/>
  <c r="I920" i="12" s="1"/>
  <c r="J920" i="12" s="1"/>
  <c r="G900" i="12" l="1"/>
  <c r="I900" i="12" s="1"/>
  <c r="J900" i="12" s="1"/>
  <c r="G899" i="12"/>
  <c r="I899" i="12" s="1"/>
  <c r="J899" i="12" s="1"/>
  <c r="G897" i="12"/>
  <c r="I897" i="12" s="1"/>
  <c r="J897" i="12" s="1"/>
  <c r="G905" i="12"/>
  <c r="I905" i="12" s="1"/>
  <c r="J905" i="12" s="1"/>
  <c r="G896" i="12"/>
  <c r="I896" i="12" s="1"/>
  <c r="J896" i="12" s="1"/>
  <c r="G56" i="12" l="1"/>
  <c r="I56" i="12" s="1"/>
  <c r="J56" i="12" s="1"/>
  <c r="G55" i="12" l="1"/>
  <c r="I55" i="12" s="1"/>
  <c r="J55" i="12" s="1"/>
  <c r="G344" i="12" l="1"/>
  <c r="I344" i="12" s="1"/>
  <c r="J344" i="12" s="1"/>
  <c r="G848" i="12" l="1"/>
  <c r="I848" i="12" s="1"/>
  <c r="J848" i="12" s="1"/>
  <c r="G460" i="12"/>
  <c r="I460" i="12" s="1"/>
  <c r="J460" i="12" s="1"/>
  <c r="G532" i="12"/>
  <c r="I532" i="12" s="1"/>
  <c r="J532" i="12" s="1"/>
  <c r="G655" i="12"/>
  <c r="I655" i="12" s="1"/>
  <c r="J655" i="12" s="1"/>
  <c r="G415" i="12" l="1"/>
  <c r="I415" i="12" s="1"/>
  <c r="J415" i="12" s="1"/>
  <c r="G416" i="12" l="1"/>
  <c r="I416" i="12" s="1"/>
  <c r="J416" i="12" s="1"/>
  <c r="G65" i="12" l="1"/>
  <c r="I65" i="12" s="1"/>
  <c r="J65" i="12" s="1"/>
  <c r="G856" i="12" l="1"/>
  <c r="I856" i="12" s="1"/>
  <c r="J856" i="12" s="1"/>
  <c r="G525" i="12"/>
  <c r="I525" i="12" s="1"/>
  <c r="J525" i="12" s="1"/>
  <c r="G374" i="12" l="1"/>
  <c r="I374" i="12" s="1"/>
  <c r="J374" i="12" s="1"/>
  <c r="G372" i="12"/>
  <c r="I372" i="12" s="1"/>
  <c r="J372" i="12" s="1"/>
  <c r="G373" i="12"/>
  <c r="I373" i="12" s="1"/>
  <c r="J373" i="12" s="1"/>
  <c r="G517" i="12" l="1"/>
  <c r="I517" i="12" s="1"/>
  <c r="J517" i="12" s="1"/>
  <c r="G538" i="12" l="1"/>
  <c r="I538" i="12" s="1"/>
  <c r="J538" i="12" s="1"/>
  <c r="G465" i="12"/>
  <c r="I465" i="12" s="1"/>
  <c r="J465" i="12" s="1"/>
  <c r="G589" i="12" l="1"/>
  <c r="I589" i="12" s="1"/>
  <c r="J589" i="12" s="1"/>
  <c r="G850" i="12"/>
  <c r="I850" i="12" s="1"/>
  <c r="J850" i="12" s="1"/>
  <c r="G536" i="12"/>
  <c r="I536" i="12" s="1"/>
  <c r="J536" i="12" s="1"/>
  <c r="G659" i="12"/>
  <c r="I659" i="12" s="1"/>
  <c r="J659" i="12" s="1"/>
  <c r="G524" i="12" l="1"/>
  <c r="I524" i="12" s="1"/>
  <c r="J524" i="12" s="1"/>
  <c r="G76" i="12"/>
  <c r="I76" i="12" s="1"/>
  <c r="J76" i="12" s="1"/>
  <c r="G75" i="12" l="1"/>
  <c r="I75" i="12" s="1"/>
  <c r="J75" i="12" s="1"/>
  <c r="G523" i="12" l="1"/>
  <c r="I523" i="12" s="1"/>
  <c r="J523" i="12" s="1"/>
  <c r="G464" i="12" l="1"/>
  <c r="I464" i="12" s="1"/>
  <c r="J464" i="12" s="1"/>
  <c r="G537" i="12"/>
  <c r="I537" i="12" s="1"/>
  <c r="J537" i="12" s="1"/>
  <c r="G421" i="12" l="1"/>
  <c r="I421" i="12" s="1"/>
  <c r="J421" i="12" s="1"/>
  <c r="G324" i="12"/>
  <c r="I324" i="12" s="1"/>
  <c r="J324" i="12" s="1"/>
  <c r="G125" i="12"/>
  <c r="I125" i="12" s="1"/>
  <c r="J125" i="12" s="1"/>
  <c r="G220" i="12" l="1"/>
  <c r="I220" i="12" s="1"/>
  <c r="J220" i="12" s="1"/>
  <c r="G230" i="12"/>
  <c r="I230" i="12" s="1"/>
  <c r="J230" i="12" s="1"/>
  <c r="G218" i="12" l="1"/>
  <c r="I218" i="12" s="1"/>
  <c r="J218" i="12" s="1"/>
  <c r="G227" i="12"/>
  <c r="I227" i="12" s="1"/>
  <c r="J227" i="12" s="1"/>
  <c r="G379" i="12" l="1"/>
  <c r="I379" i="12" s="1"/>
  <c r="J379" i="12" s="1"/>
  <c r="G378" i="12" l="1"/>
  <c r="I378" i="12" s="1"/>
  <c r="J378" i="12" s="1"/>
  <c r="G508" i="12" l="1"/>
  <c r="I508" i="12" s="1"/>
  <c r="J508" i="12" s="1"/>
  <c r="G908" i="12" l="1"/>
  <c r="I908" i="12" s="1"/>
  <c r="J908" i="12" s="1"/>
  <c r="G909" i="12"/>
  <c r="I909" i="12" s="1"/>
  <c r="J909" i="12" s="1"/>
  <c r="G911" i="12"/>
  <c r="I911" i="12" s="1"/>
  <c r="J911" i="12" s="1"/>
  <c r="G910" i="12"/>
  <c r="I910" i="12" s="1"/>
  <c r="J910" i="12" s="1"/>
  <c r="G906" i="12" l="1"/>
  <c r="I906" i="12" s="1"/>
  <c r="J906" i="12" s="1"/>
  <c r="G916" i="12"/>
  <c r="I916" i="12" s="1"/>
  <c r="J916" i="12" s="1"/>
  <c r="G917" i="12"/>
  <c r="I917" i="12" s="1"/>
  <c r="J917" i="12" s="1"/>
  <c r="G918" i="12"/>
  <c r="I918" i="12" s="1"/>
  <c r="J918" i="12" s="1"/>
  <c r="G907" i="12"/>
  <c r="I907" i="12" s="1"/>
  <c r="J907" i="12" s="1"/>
  <c r="G915" i="12"/>
  <c r="I915" i="12" s="1"/>
  <c r="J915" i="12" s="1"/>
  <c r="G914" i="12" l="1"/>
  <c r="I914" i="12" s="1"/>
  <c r="J914" i="12" s="1"/>
  <c r="G913" i="12"/>
  <c r="I913" i="12" s="1"/>
  <c r="J913" i="12" s="1"/>
  <c r="G912" i="12"/>
  <c r="I912" i="12" s="1"/>
  <c r="J912" i="12" s="1"/>
  <c r="G748" i="12" l="1"/>
  <c r="I748" i="12" s="1"/>
  <c r="J748" i="12" s="1"/>
  <c r="G747" i="12"/>
  <c r="I747" i="12" s="1"/>
  <c r="J747" i="12" s="1"/>
  <c r="G732" i="12" l="1"/>
  <c r="I732" i="12" s="1"/>
  <c r="J732" i="12" s="1"/>
  <c r="G48" i="12"/>
  <c r="I48" i="12" s="1"/>
  <c r="J48" i="12" s="1"/>
  <c r="G522" i="12"/>
  <c r="I522" i="12" s="1"/>
  <c r="J522" i="12" s="1"/>
  <c r="G649" i="12"/>
  <c r="I649" i="12" s="1"/>
  <c r="J649" i="12" s="1"/>
  <c r="G459" i="12"/>
  <c r="I459" i="12" s="1"/>
  <c r="J459" i="12" s="1"/>
  <c r="G801" i="12"/>
  <c r="I801" i="12" s="1"/>
  <c r="J801" i="12" s="1"/>
  <c r="G387" i="12" l="1"/>
  <c r="I387" i="12" s="1"/>
  <c r="J387" i="12" s="1"/>
  <c r="G734" i="12"/>
  <c r="I734" i="12" s="1"/>
  <c r="J734" i="12" s="1"/>
  <c r="G394" i="12"/>
  <c r="I394" i="12" s="1"/>
  <c r="J394" i="12" s="1"/>
  <c r="J386" i="12" l="1"/>
  <c r="G584" i="12" l="1"/>
  <c r="I584" i="12" s="1"/>
  <c r="J584" i="12" s="1"/>
  <c r="G585" i="12"/>
  <c r="I585" i="12" s="1"/>
  <c r="J585" i="12" s="1"/>
  <c r="G583" i="12"/>
  <c r="I583" i="12" s="1"/>
  <c r="J583" i="12" s="1"/>
  <c r="G799" i="12" l="1"/>
  <c r="I799" i="12" s="1"/>
  <c r="J799" i="12" s="1"/>
  <c r="G836" i="12"/>
  <c r="I836" i="12" s="1"/>
  <c r="J836" i="12" s="1"/>
  <c r="G627" i="12"/>
  <c r="I627" i="12" s="1"/>
  <c r="J627" i="12" s="1"/>
  <c r="G511" i="12"/>
  <c r="I511" i="12" s="1"/>
  <c r="J511" i="12" s="1"/>
  <c r="G626" i="12" l="1"/>
  <c r="I626" i="12" s="1"/>
  <c r="J626" i="12" s="1"/>
  <c r="G837" i="12"/>
  <c r="I837" i="12" s="1"/>
  <c r="J837" i="12" s="1"/>
  <c r="J624" i="12" l="1"/>
  <c r="J24" i="12" l="1"/>
  <c r="J644" i="12"/>
  <c r="L624" i="12"/>
  <c r="L629" i="12"/>
  <c r="L632" i="12"/>
  <c r="L635" i="12"/>
  <c r="L637" i="12"/>
  <c r="L628" i="12"/>
  <c r="L643" i="12"/>
  <c r="L625" i="12"/>
  <c r="L633" i="12"/>
  <c r="L630" i="12"/>
  <c r="L790" i="12"/>
  <c r="L639" i="12"/>
  <c r="L631" i="12"/>
  <c r="L641" i="12"/>
  <c r="L627" i="12"/>
  <c r="L626" i="12"/>
  <c r="G519" i="12"/>
  <c r="I519" i="12" s="1"/>
  <c r="J519" i="12" s="1"/>
  <c r="F25" i="122" l="1"/>
  <c r="H25" i="122" s="1"/>
  <c r="D54" i="39"/>
  <c r="E23" i="77"/>
  <c r="L24" i="12"/>
  <c r="G507" i="12"/>
  <c r="I507" i="12" s="1"/>
  <c r="J507" i="12" s="1"/>
  <c r="F55" i="39" l="1"/>
  <c r="W55" i="39"/>
  <c r="W56" i="39" s="1"/>
  <c r="N55" i="39"/>
  <c r="N56" i="39" s="1"/>
  <c r="Q55" i="39"/>
  <c r="Q56" i="39" s="1"/>
  <c r="T55" i="39"/>
  <c r="T56" i="39" s="1"/>
  <c r="L55" i="39"/>
  <c r="L56" i="39" s="1"/>
  <c r="H55" i="39"/>
  <c r="H56" i="39" s="1"/>
  <c r="O55" i="39"/>
  <c r="O56" i="39" s="1"/>
  <c r="M55" i="39"/>
  <c r="M56" i="39" s="1"/>
  <c r="J55" i="39"/>
  <c r="J56" i="39" s="1"/>
  <c r="G55" i="39"/>
  <c r="G56" i="39" s="1"/>
  <c r="I55" i="39"/>
  <c r="I56" i="39" s="1"/>
  <c r="K55" i="39"/>
  <c r="K56" i="39" s="1"/>
  <c r="P55" i="39"/>
  <c r="P56" i="39" s="1"/>
  <c r="R55" i="39"/>
  <c r="R56" i="39" s="1"/>
  <c r="S55" i="39"/>
  <c r="S56" i="39" s="1"/>
  <c r="V55" i="39"/>
  <c r="V56" i="39" s="1"/>
  <c r="U55" i="39"/>
  <c r="U56" i="39" s="1"/>
  <c r="F56" i="39"/>
  <c r="X56" i="39" l="1"/>
  <c r="X55" i="39"/>
  <c r="Y55" i="39" l="1"/>
  <c r="Z55" i="39"/>
  <c r="Y53" i="39"/>
  <c r="Y56" i="39"/>
  <c r="G273" i="12" l="1"/>
  <c r="I273" i="12" s="1"/>
  <c r="J273" i="12" s="1"/>
  <c r="G277" i="12"/>
  <c r="I277" i="12" s="1"/>
  <c r="J277" i="12" s="1"/>
  <c r="G274" i="12"/>
  <c r="I274" i="12" s="1"/>
  <c r="J274" i="12" s="1"/>
  <c r="G275" i="12"/>
  <c r="I275" i="12" s="1"/>
  <c r="J275" i="12" s="1"/>
  <c r="G272" i="12"/>
  <c r="I272" i="12" s="1"/>
  <c r="J272" i="12" s="1"/>
  <c r="G276" i="12"/>
  <c r="I276" i="12" s="1"/>
  <c r="J276" i="12" s="1"/>
  <c r="G278" i="12" l="1"/>
  <c r="I278" i="12" s="1"/>
  <c r="J278" i="12" s="1"/>
  <c r="G281" i="12"/>
  <c r="I281" i="12" s="1"/>
  <c r="J281" i="12" s="1"/>
  <c r="G280" i="12"/>
  <c r="I280" i="12" s="1"/>
  <c r="J280" i="12" s="1"/>
  <c r="G279" i="12"/>
  <c r="I279" i="12" s="1"/>
  <c r="J279" i="12" s="1"/>
  <c r="G268" i="12" l="1"/>
  <c r="I268" i="12" s="1"/>
  <c r="J268" i="12" s="1"/>
  <c r="G267" i="12"/>
  <c r="I267" i="12" s="1"/>
  <c r="J267" i="12" s="1"/>
  <c r="G264" i="12" l="1"/>
  <c r="I264" i="12" s="1"/>
  <c r="J264" i="12" s="1"/>
  <c r="G266" i="12"/>
  <c r="I266" i="12" s="1"/>
  <c r="J266" i="12" s="1"/>
  <c r="G237" i="12" l="1"/>
  <c r="I237" i="12" s="1"/>
  <c r="J237" i="12" s="1"/>
  <c r="G239" i="12"/>
  <c r="I239" i="12" s="1"/>
  <c r="J239" i="12" s="1"/>
  <c r="G102" i="12"/>
  <c r="I102" i="12" s="1"/>
  <c r="J102" i="12" s="1"/>
  <c r="G803" i="12" l="1"/>
  <c r="I803" i="12" s="1"/>
  <c r="J803" i="12" s="1"/>
  <c r="G318" i="12" l="1"/>
  <c r="I318" i="12" s="1"/>
  <c r="J318" i="12" s="1"/>
  <c r="G50" i="12"/>
  <c r="I50" i="12" s="1"/>
  <c r="J50" i="12" s="1"/>
  <c r="G74" i="12"/>
  <c r="I74" i="12" s="1"/>
  <c r="J74" i="12" s="1"/>
  <c r="J35" i="12" l="1"/>
  <c r="J314" i="12"/>
  <c r="J64" i="12"/>
  <c r="L74" i="12" s="1"/>
  <c r="G260" i="12"/>
  <c r="I260" i="12" s="1"/>
  <c r="J260" i="12" s="1"/>
  <c r="G597" i="12"/>
  <c r="I597" i="12" s="1"/>
  <c r="J597" i="12" s="1"/>
  <c r="L392" i="12" l="1"/>
  <c r="J19" i="12"/>
  <c r="L314" i="12"/>
  <c r="J412" i="12"/>
  <c r="L340" i="12"/>
  <c r="L391" i="12"/>
  <c r="L349" i="12"/>
  <c r="L367" i="12"/>
  <c r="L369" i="12"/>
  <c r="L377" i="12"/>
  <c r="L381" i="12"/>
  <c r="L382" i="12"/>
  <c r="L388" i="12"/>
  <c r="L323" i="12"/>
  <c r="L383" i="12"/>
  <c r="L354" i="12"/>
  <c r="L390" i="12"/>
  <c r="L337" i="12"/>
  <c r="L357" i="12"/>
  <c r="L368" i="12"/>
  <c r="L356" i="12"/>
  <c r="L380" i="12"/>
  <c r="L355" i="12"/>
  <c r="L375" i="12"/>
  <c r="L409" i="12"/>
  <c r="L411" i="12"/>
  <c r="L351" i="12"/>
  <c r="L403" i="12"/>
  <c r="L366" i="12"/>
  <c r="L363" i="12"/>
  <c r="L358" i="12"/>
  <c r="L398" i="12"/>
  <c r="L396" i="12"/>
  <c r="L395" i="12"/>
  <c r="L330" i="12"/>
  <c r="L328" i="12"/>
  <c r="L370" i="12"/>
  <c r="L350" i="12"/>
  <c r="L359" i="12"/>
  <c r="L316" i="12"/>
  <c r="L347" i="12"/>
  <c r="L321" i="12"/>
  <c r="L401" i="12"/>
  <c r="L348" i="12"/>
  <c r="L332" i="12"/>
  <c r="L405" i="12"/>
  <c r="L371" i="12"/>
  <c r="L352" i="12"/>
  <c r="L335" i="12"/>
  <c r="L333" i="12"/>
  <c r="L338" i="12"/>
  <c r="L336" i="12"/>
  <c r="L362" i="12"/>
  <c r="L361" i="12"/>
  <c r="L353" i="12"/>
  <c r="L393" i="12"/>
  <c r="L327" i="12"/>
  <c r="L364" i="12"/>
  <c r="L326" i="12"/>
  <c r="L334" i="12"/>
  <c r="L339" i="12"/>
  <c r="L346" i="12"/>
  <c r="L397" i="12"/>
  <c r="L331" i="12"/>
  <c r="L407" i="12"/>
  <c r="L360" i="12"/>
  <c r="L320" i="12"/>
  <c r="L399" i="12"/>
  <c r="L365" i="12"/>
  <c r="L325" i="12"/>
  <c r="L317" i="12"/>
  <c r="L376" i="12"/>
  <c r="L341" i="12"/>
  <c r="L342" i="12"/>
  <c r="L343" i="12"/>
  <c r="L329" i="12"/>
  <c r="L385" i="12"/>
  <c r="L319" i="12"/>
  <c r="L389" i="12"/>
  <c r="L384" i="12"/>
  <c r="L344" i="12"/>
  <c r="L373" i="12"/>
  <c r="L372" i="12"/>
  <c r="L374" i="12"/>
  <c r="L324" i="12"/>
  <c r="L379" i="12"/>
  <c r="L378" i="12"/>
  <c r="L394" i="12"/>
  <c r="L387" i="12"/>
  <c r="G596" i="12"/>
  <c r="I596" i="12" s="1"/>
  <c r="J596" i="12" s="1"/>
  <c r="G288" i="12"/>
  <c r="I288" i="12" s="1"/>
  <c r="J288" i="12" s="1"/>
  <c r="L318" i="12"/>
  <c r="L64" i="12"/>
  <c r="J14" i="12"/>
  <c r="J99" i="12"/>
  <c r="A64" i="12"/>
  <c r="L69" i="12"/>
  <c r="L78" i="12"/>
  <c r="L82" i="12"/>
  <c r="L83" i="12"/>
  <c r="L81" i="12"/>
  <c r="L86" i="12"/>
  <c r="L80" i="12"/>
  <c r="L84" i="12"/>
  <c r="L85" i="12"/>
  <c r="L77" i="12"/>
  <c r="L72" i="12"/>
  <c r="L79" i="12"/>
  <c r="L89" i="12"/>
  <c r="L92" i="12"/>
  <c r="L96" i="12"/>
  <c r="L88" i="12"/>
  <c r="L94" i="12"/>
  <c r="L98" i="12"/>
  <c r="L87" i="12"/>
  <c r="L90" i="12"/>
  <c r="L71" i="12"/>
  <c r="L70" i="12"/>
  <c r="L73" i="12"/>
  <c r="L67" i="12"/>
  <c r="L66" i="12"/>
  <c r="L68" i="12"/>
  <c r="L65" i="12"/>
  <c r="L76" i="12"/>
  <c r="L75" i="12"/>
  <c r="L50" i="12"/>
  <c r="L35" i="12"/>
  <c r="J13" i="12"/>
  <c r="J63" i="12"/>
  <c r="L38" i="12"/>
  <c r="L37" i="12"/>
  <c r="L41" i="12"/>
  <c r="L39" i="12"/>
  <c r="L40" i="12"/>
  <c r="L52" i="12"/>
  <c r="L45" i="12"/>
  <c r="L43" i="12"/>
  <c r="L42" i="12"/>
  <c r="L58" i="12"/>
  <c r="L62" i="12"/>
  <c r="L46" i="12"/>
  <c r="L57" i="12"/>
  <c r="L54" i="12"/>
  <c r="L60" i="12"/>
  <c r="L44" i="12"/>
  <c r="L47" i="12"/>
  <c r="L51" i="12"/>
  <c r="L36" i="12"/>
  <c r="L53" i="12"/>
  <c r="L49" i="12"/>
  <c r="L56" i="12"/>
  <c r="L55" i="12"/>
  <c r="L48" i="12"/>
  <c r="F14" i="122" l="1"/>
  <c r="E12" i="77"/>
  <c r="E15" i="77" s="1"/>
  <c r="L13" i="12"/>
  <c r="D10" i="39"/>
  <c r="A65" i="12"/>
  <c r="B14" i="12"/>
  <c r="I64" i="12"/>
  <c r="L14" i="12"/>
  <c r="D14" i="39"/>
  <c r="E29" i="77"/>
  <c r="F15" i="122"/>
  <c r="H15" i="122" s="1"/>
  <c r="E20" i="77"/>
  <c r="L19" i="12"/>
  <c r="F20" i="122"/>
  <c r="H20" i="122" s="1"/>
  <c r="D34" i="39"/>
  <c r="M15" i="39" l="1"/>
  <c r="M16" i="39" s="1"/>
  <c r="K15" i="39"/>
  <c r="K16" i="39" s="1"/>
  <c r="F15" i="39"/>
  <c r="P15" i="39"/>
  <c r="P16" i="39" s="1"/>
  <c r="N15" i="39"/>
  <c r="N16" i="39" s="1"/>
  <c r="J15" i="39"/>
  <c r="J16" i="39" s="1"/>
  <c r="V15" i="39"/>
  <c r="V16" i="39" s="1"/>
  <c r="G15" i="39"/>
  <c r="G16" i="39" s="1"/>
  <c r="T15" i="39"/>
  <c r="T16" i="39" s="1"/>
  <c r="Q15" i="39"/>
  <c r="Q16" i="39" s="1"/>
  <c r="U15" i="39"/>
  <c r="U16" i="39" s="1"/>
  <c r="O15" i="39"/>
  <c r="O16" i="39" s="1"/>
  <c r="H15" i="39"/>
  <c r="H16" i="39" s="1"/>
  <c r="R15" i="39"/>
  <c r="R16" i="39" s="1"/>
  <c r="W15" i="39"/>
  <c r="W16" i="39" s="1"/>
  <c r="S15" i="39"/>
  <c r="S16" i="39" s="1"/>
  <c r="L15" i="39"/>
  <c r="L16" i="39" s="1"/>
  <c r="I15" i="39"/>
  <c r="I16" i="39" s="1"/>
  <c r="F16" i="39"/>
  <c r="I35" i="39"/>
  <c r="I36" i="39" s="1"/>
  <c r="N35" i="39"/>
  <c r="N36" i="39" s="1"/>
  <c r="U35" i="39"/>
  <c r="U36" i="39" s="1"/>
  <c r="H35" i="39"/>
  <c r="H36" i="39" s="1"/>
  <c r="P35" i="39"/>
  <c r="P36" i="39" s="1"/>
  <c r="F35" i="39"/>
  <c r="V35" i="39"/>
  <c r="V36" i="39" s="1"/>
  <c r="J35" i="39"/>
  <c r="J36" i="39" s="1"/>
  <c r="K35" i="39"/>
  <c r="K36" i="39" s="1"/>
  <c r="M35" i="39"/>
  <c r="M36" i="39" s="1"/>
  <c r="O35" i="39"/>
  <c r="O36" i="39" s="1"/>
  <c r="R35" i="39"/>
  <c r="R36" i="39" s="1"/>
  <c r="T35" i="39"/>
  <c r="T36" i="39" s="1"/>
  <c r="W35" i="39"/>
  <c r="W36" i="39" s="1"/>
  <c r="G35" i="39"/>
  <c r="G36" i="39" s="1"/>
  <c r="L35" i="39"/>
  <c r="L36" i="39" s="1"/>
  <c r="S35" i="39"/>
  <c r="S36" i="39" s="1"/>
  <c r="Q35" i="39"/>
  <c r="Q36" i="39" s="1"/>
  <c r="A65" i="120"/>
  <c r="A66" i="12"/>
  <c r="G11" i="39"/>
  <c r="G12" i="39" s="1"/>
  <c r="J11" i="39"/>
  <c r="J12" i="39" s="1"/>
  <c r="N11" i="39"/>
  <c r="N12" i="39" s="1"/>
  <c r="K11" i="39"/>
  <c r="K12" i="39" s="1"/>
  <c r="W11" i="39"/>
  <c r="W12" i="39" s="1"/>
  <c r="L11" i="39"/>
  <c r="L12" i="39" s="1"/>
  <c r="V11" i="39"/>
  <c r="V12" i="39" s="1"/>
  <c r="T11" i="39"/>
  <c r="T12" i="39" s="1"/>
  <c r="H11" i="39"/>
  <c r="H12" i="39" s="1"/>
  <c r="S11" i="39"/>
  <c r="S12" i="39" s="1"/>
  <c r="R11" i="39"/>
  <c r="R12" i="39" s="1"/>
  <c r="M11" i="39"/>
  <c r="F11" i="39"/>
  <c r="F12" i="39" s="1"/>
  <c r="P11" i="39"/>
  <c r="P12" i="39" s="1"/>
  <c r="O11" i="39"/>
  <c r="O12" i="39" s="1"/>
  <c r="I11" i="39"/>
  <c r="I12" i="39" s="1"/>
  <c r="U11" i="39"/>
  <c r="Q11" i="39"/>
  <c r="Q12" i="39" s="1"/>
  <c r="U12" i="39"/>
  <c r="M12" i="39"/>
  <c r="AB8" i="39"/>
  <c r="A29" i="77"/>
  <c r="A13" i="39"/>
  <c r="B15" i="122"/>
  <c r="I15" i="77"/>
  <c r="G15" i="77"/>
  <c r="H14" i="122"/>
  <c r="G598" i="12"/>
  <c r="I598" i="12" s="1"/>
  <c r="J598" i="12" s="1"/>
  <c r="X16" i="39" l="1"/>
  <c r="A66" i="120"/>
  <c r="A67" i="12"/>
  <c r="X12" i="39"/>
  <c r="F36" i="39"/>
  <c r="X36" i="39" s="1"/>
  <c r="X35" i="39"/>
  <c r="X15" i="39"/>
  <c r="X11" i="39"/>
  <c r="Y11" i="39" l="1"/>
  <c r="Z11" i="39"/>
  <c r="Y12" i="39"/>
  <c r="Y9" i="39"/>
  <c r="Y15" i="39"/>
  <c r="Z15" i="39"/>
  <c r="Y16" i="39"/>
  <c r="Y13" i="39"/>
  <c r="A68" i="12"/>
  <c r="A67" i="120"/>
  <c r="Z35" i="39"/>
  <c r="Y35" i="39"/>
  <c r="Y33" i="39"/>
  <c r="Y36" i="39"/>
  <c r="G103" i="12"/>
  <c r="I103" i="12" s="1"/>
  <c r="J103" i="12" s="1"/>
  <c r="J100" i="12" l="1"/>
  <c r="A69" i="12"/>
  <c r="A68" i="120"/>
  <c r="G417" i="12"/>
  <c r="I417" i="12" s="1"/>
  <c r="J417" i="12" s="1"/>
  <c r="G808" i="12"/>
  <c r="I808" i="12" s="1"/>
  <c r="J808" i="12" s="1"/>
  <c r="J796" i="12" l="1"/>
  <c r="A70" i="12"/>
  <c r="A69" i="120"/>
  <c r="L101" i="12"/>
  <c r="J15" i="12"/>
  <c r="J182" i="12"/>
  <c r="L100" i="12"/>
  <c r="L152" i="12"/>
  <c r="L160" i="12"/>
  <c r="L138" i="12"/>
  <c r="L146" i="12"/>
  <c r="L109" i="12"/>
  <c r="L155" i="12"/>
  <c r="L133" i="12"/>
  <c r="L115" i="12"/>
  <c r="L154" i="12"/>
  <c r="L153" i="12"/>
  <c r="L145" i="12"/>
  <c r="L106" i="12"/>
  <c r="L129" i="12"/>
  <c r="L158" i="12"/>
  <c r="L122" i="12"/>
  <c r="L116" i="12"/>
  <c r="L117" i="12"/>
  <c r="L166" i="12"/>
  <c r="L131" i="12"/>
  <c r="L120" i="12"/>
  <c r="L113" i="12"/>
  <c r="L108" i="12"/>
  <c r="L121" i="12"/>
  <c r="L130" i="12"/>
  <c r="L111" i="12"/>
  <c r="L119" i="12"/>
  <c r="L140" i="12"/>
  <c r="L164" i="12"/>
  <c r="L112" i="12"/>
  <c r="L123" i="12"/>
  <c r="L162" i="12"/>
  <c r="L157" i="12"/>
  <c r="L141" i="12"/>
  <c r="L128" i="12"/>
  <c r="L147" i="12"/>
  <c r="L149" i="12"/>
  <c r="L142" i="12"/>
  <c r="L148" i="12"/>
  <c r="L107" i="12"/>
  <c r="L150" i="12"/>
  <c r="L136" i="12"/>
  <c r="L127" i="12"/>
  <c r="L110" i="12"/>
  <c r="L132" i="12"/>
  <c r="L151" i="12"/>
  <c r="L105" i="12"/>
  <c r="L118" i="12"/>
  <c r="L173" i="12"/>
  <c r="L104" i="12"/>
  <c r="L169" i="12"/>
  <c r="L163" i="12"/>
  <c r="L165" i="12"/>
  <c r="L159" i="12"/>
  <c r="L177" i="12"/>
  <c r="L137" i="12"/>
  <c r="L181" i="12"/>
  <c r="L156" i="12"/>
  <c r="L171" i="12"/>
  <c r="L175" i="12"/>
  <c r="L124" i="12"/>
  <c r="L114" i="12"/>
  <c r="L290" i="12"/>
  <c r="L139" i="12"/>
  <c r="L167" i="12"/>
  <c r="L126" i="12"/>
  <c r="L179" i="12"/>
  <c r="L161" i="12"/>
  <c r="L144" i="12"/>
  <c r="L168" i="12"/>
  <c r="L143" i="12"/>
  <c r="L135" i="12"/>
  <c r="L134" i="12"/>
  <c r="L125" i="12"/>
  <c r="L102" i="12"/>
  <c r="L103" i="12"/>
  <c r="G922" i="12"/>
  <c r="I922" i="12" s="1"/>
  <c r="J922" i="12" s="1"/>
  <c r="G721" i="12"/>
  <c r="I721" i="12" s="1"/>
  <c r="J721" i="12" s="1"/>
  <c r="G723" i="12"/>
  <c r="I723" i="12" s="1"/>
  <c r="J723" i="12" s="1"/>
  <c r="G726" i="12"/>
  <c r="I726" i="12" s="1"/>
  <c r="J726" i="12" s="1"/>
  <c r="G271" i="12"/>
  <c r="I271" i="12" s="1"/>
  <c r="J271" i="12" s="1"/>
  <c r="G269" i="12"/>
  <c r="I269" i="12" s="1"/>
  <c r="J269" i="12" s="1"/>
  <c r="G270" i="12"/>
  <c r="I270" i="12" s="1"/>
  <c r="J270" i="12" s="1"/>
  <c r="L15" i="12" l="1"/>
  <c r="D18" i="39"/>
  <c r="F16" i="122"/>
  <c r="E16" i="77"/>
  <c r="A71" i="12"/>
  <c r="A70" i="120"/>
  <c r="G724" i="12"/>
  <c r="I724" i="12" s="1"/>
  <c r="J724" i="12" s="1"/>
  <c r="G854" i="12"/>
  <c r="I854" i="12" s="1"/>
  <c r="J854" i="12" s="1"/>
  <c r="G725" i="12"/>
  <c r="I725" i="12" s="1"/>
  <c r="J725" i="12" s="1"/>
  <c r="G857" i="12"/>
  <c r="I857" i="12" s="1"/>
  <c r="J857" i="12" s="1"/>
  <c r="L796" i="12"/>
  <c r="J832" i="12"/>
  <c r="J28" i="12"/>
  <c r="L807" i="12"/>
  <c r="L805" i="12"/>
  <c r="L812" i="12"/>
  <c r="L810" i="12"/>
  <c r="L798" i="12"/>
  <c r="L819" i="12"/>
  <c r="L823" i="12"/>
  <c r="L825" i="12"/>
  <c r="L827" i="12"/>
  <c r="L811" i="12"/>
  <c r="L831" i="12"/>
  <c r="L813" i="12"/>
  <c r="L809" i="12"/>
  <c r="L815" i="12"/>
  <c r="L806" i="12"/>
  <c r="L817" i="12"/>
  <c r="L821" i="12"/>
  <c r="L800" i="12"/>
  <c r="L804" i="12"/>
  <c r="L829" i="12"/>
  <c r="L802" i="12"/>
  <c r="L797" i="12"/>
  <c r="L801" i="12"/>
  <c r="L799" i="12"/>
  <c r="L803" i="12"/>
  <c r="G286" i="12"/>
  <c r="I286" i="12" s="1"/>
  <c r="J286" i="12" s="1"/>
  <c r="G594" i="12"/>
  <c r="I594" i="12" s="1"/>
  <c r="J594" i="12" s="1"/>
  <c r="G720" i="12"/>
  <c r="I720" i="12" s="1"/>
  <c r="J720" i="12" s="1"/>
  <c r="G855" i="12"/>
  <c r="I855" i="12" s="1"/>
  <c r="J855" i="12" s="1"/>
  <c r="J895" i="12"/>
  <c r="L922" i="12" s="1"/>
  <c r="L808" i="12"/>
  <c r="A72" i="12" l="1"/>
  <c r="A71" i="120"/>
  <c r="E32" i="77"/>
  <c r="D70" i="39"/>
  <c r="F29" i="122"/>
  <c r="H29" i="122" s="1"/>
  <c r="L28" i="12"/>
  <c r="H16" i="122"/>
  <c r="Q19" i="39"/>
  <c r="Q20" i="39" s="1"/>
  <c r="G19" i="39"/>
  <c r="G20" i="39" s="1"/>
  <c r="L19" i="39"/>
  <c r="L20" i="39" s="1"/>
  <c r="R19" i="39"/>
  <c r="R20" i="39" s="1"/>
  <c r="U19" i="39"/>
  <c r="I19" i="39"/>
  <c r="K19" i="39"/>
  <c r="W19" i="39"/>
  <c r="W20" i="39" s="1"/>
  <c r="S19" i="39"/>
  <c r="S20" i="39" s="1"/>
  <c r="P19" i="39"/>
  <c r="P20" i="39" s="1"/>
  <c r="H19" i="39"/>
  <c r="H20" i="39" s="1"/>
  <c r="V19" i="39"/>
  <c r="V20" i="39" s="1"/>
  <c r="T19" i="39"/>
  <c r="T20" i="39" s="1"/>
  <c r="N19" i="39"/>
  <c r="N20" i="39" s="1"/>
  <c r="F19" i="39"/>
  <c r="F20" i="39" s="1"/>
  <c r="J19" i="39"/>
  <c r="J20" i="39" s="1"/>
  <c r="O19" i="39"/>
  <c r="O20" i="39" s="1"/>
  <c r="M19" i="39"/>
  <c r="M20" i="39" s="1"/>
  <c r="J833" i="12"/>
  <c r="L914" i="12"/>
  <c r="J30" i="12"/>
  <c r="L895" i="12"/>
  <c r="J924" i="12"/>
  <c r="L921" i="12"/>
  <c r="L919" i="12"/>
  <c r="L904" i="12"/>
  <c r="L898" i="12"/>
  <c r="L923" i="12"/>
  <c r="L902" i="12"/>
  <c r="L903" i="12"/>
  <c r="L901" i="12"/>
  <c r="L920" i="12"/>
  <c r="L896" i="12"/>
  <c r="L905" i="12"/>
  <c r="L897" i="12"/>
  <c r="L899" i="12"/>
  <c r="L900" i="12"/>
  <c r="L910" i="12"/>
  <c r="L911" i="12"/>
  <c r="L909" i="12"/>
  <c r="L908" i="12"/>
  <c r="L907" i="12"/>
  <c r="L918" i="12"/>
  <c r="L917" i="12"/>
  <c r="L916" i="12"/>
  <c r="L915" i="12"/>
  <c r="L906" i="12"/>
  <c r="L913" i="12"/>
  <c r="L912" i="12"/>
  <c r="J719" i="12"/>
  <c r="L725" i="12" l="1"/>
  <c r="J751" i="12"/>
  <c r="L719" i="12"/>
  <c r="J26" i="12"/>
  <c r="L729" i="12"/>
  <c r="L733" i="12"/>
  <c r="L730" i="12"/>
  <c r="L750" i="12"/>
  <c r="L727" i="12"/>
  <c r="L736" i="12"/>
  <c r="L737" i="12"/>
  <c r="L744" i="12"/>
  <c r="L739" i="12"/>
  <c r="L740" i="12"/>
  <c r="L741" i="12"/>
  <c r="L728" i="12"/>
  <c r="L742" i="12"/>
  <c r="L743" i="12"/>
  <c r="L738" i="12"/>
  <c r="L731" i="12"/>
  <c r="L746" i="12"/>
  <c r="L722" i="12"/>
  <c r="L735" i="12"/>
  <c r="L745" i="12"/>
  <c r="L747" i="12"/>
  <c r="L748" i="12"/>
  <c r="L732" i="12"/>
  <c r="L734" i="12"/>
  <c r="L721" i="12"/>
  <c r="L723" i="12"/>
  <c r="L726" i="12"/>
  <c r="L724" i="12"/>
  <c r="D78" i="39"/>
  <c r="F31" i="122"/>
  <c r="H31" i="122" s="1"/>
  <c r="L30" i="12"/>
  <c r="E27" i="77"/>
  <c r="L720" i="12"/>
  <c r="X19" i="39"/>
  <c r="I71" i="39"/>
  <c r="I72" i="39" s="1"/>
  <c r="N71" i="39"/>
  <c r="N72" i="39" s="1"/>
  <c r="M71" i="39"/>
  <c r="M72" i="39" s="1"/>
  <c r="T71" i="39"/>
  <c r="T72" i="39" s="1"/>
  <c r="L71" i="39"/>
  <c r="L72" i="39" s="1"/>
  <c r="R71" i="39"/>
  <c r="R72" i="39" s="1"/>
  <c r="H71" i="39"/>
  <c r="H72" i="39" s="1"/>
  <c r="W71" i="39"/>
  <c r="W72" i="39" s="1"/>
  <c r="O71" i="39"/>
  <c r="O72" i="39" s="1"/>
  <c r="V71" i="39"/>
  <c r="V72" i="39" s="1"/>
  <c r="K71" i="39"/>
  <c r="K72" i="39" s="1"/>
  <c r="P71" i="39"/>
  <c r="P72" i="39" s="1"/>
  <c r="U71" i="39"/>
  <c r="U72" i="39" s="1"/>
  <c r="G71" i="39"/>
  <c r="G72" i="39" s="1"/>
  <c r="J71" i="39"/>
  <c r="J72" i="39" s="1"/>
  <c r="F71" i="39"/>
  <c r="Q71" i="39"/>
  <c r="Q72" i="39" s="1"/>
  <c r="S71" i="39"/>
  <c r="S72" i="39" s="1"/>
  <c r="J29" i="12"/>
  <c r="J894" i="12"/>
  <c r="L833" i="12"/>
  <c r="L852" i="12"/>
  <c r="L863" i="12"/>
  <c r="L858" i="12"/>
  <c r="L862" i="12"/>
  <c r="L839" i="12"/>
  <c r="L861" i="12"/>
  <c r="L835" i="12"/>
  <c r="L860" i="12"/>
  <c r="L838" i="12"/>
  <c r="L834" i="12"/>
  <c r="L847" i="12"/>
  <c r="L891" i="12"/>
  <c r="L851" i="12"/>
  <c r="L893" i="12"/>
  <c r="L841" i="12"/>
  <c r="L846" i="12"/>
  <c r="L869" i="12"/>
  <c r="L845" i="12"/>
  <c r="L859" i="12"/>
  <c r="L840" i="12"/>
  <c r="L844" i="12"/>
  <c r="L877" i="12"/>
  <c r="L879" i="12"/>
  <c r="L867" i="12"/>
  <c r="L875" i="12"/>
  <c r="L881" i="12"/>
  <c r="L889" i="12"/>
  <c r="L887" i="12"/>
  <c r="L883" i="12"/>
  <c r="L865" i="12"/>
  <c r="L871" i="12"/>
  <c r="L885" i="12"/>
  <c r="L873" i="12"/>
  <c r="L842" i="12"/>
  <c r="L843" i="12"/>
  <c r="L853" i="12"/>
  <c r="L849" i="12"/>
  <c r="L848" i="12"/>
  <c r="L856" i="12"/>
  <c r="L850" i="12"/>
  <c r="L836" i="12"/>
  <c r="L837" i="12"/>
  <c r="I20" i="39"/>
  <c r="L855" i="12"/>
  <c r="K20" i="39"/>
  <c r="A72" i="120"/>
  <c r="A73" i="12"/>
  <c r="U20" i="39"/>
  <c r="L854" i="12"/>
  <c r="L857" i="12"/>
  <c r="O79" i="39" l="1"/>
  <c r="O80" i="39" s="1"/>
  <c r="V79" i="39"/>
  <c r="V80" i="39" s="1"/>
  <c r="N79" i="39"/>
  <c r="N80" i="39" s="1"/>
  <c r="U79" i="39"/>
  <c r="U80" i="39" s="1"/>
  <c r="K79" i="39"/>
  <c r="K80" i="39" s="1"/>
  <c r="H79" i="39"/>
  <c r="H80" i="39" s="1"/>
  <c r="W79" i="39"/>
  <c r="W80" i="39" s="1"/>
  <c r="I79" i="39"/>
  <c r="I80" i="39" s="1"/>
  <c r="L79" i="39"/>
  <c r="L80" i="39" s="1"/>
  <c r="S79" i="39"/>
  <c r="S80" i="39" s="1"/>
  <c r="F79" i="39"/>
  <c r="T79" i="39"/>
  <c r="T80" i="39" s="1"/>
  <c r="G79" i="39"/>
  <c r="G80" i="39" s="1"/>
  <c r="R79" i="39"/>
  <c r="R80" i="39" s="1"/>
  <c r="Q79" i="39"/>
  <c r="Q80" i="39" s="1"/>
  <c r="J79" i="39"/>
  <c r="J80" i="39" s="1"/>
  <c r="P79" i="39"/>
  <c r="P80" i="39" s="1"/>
  <c r="M79" i="39"/>
  <c r="M80" i="39" s="1"/>
  <c r="G27" i="77"/>
  <c r="I27" i="77"/>
  <c r="F72" i="39"/>
  <c r="X72" i="39" s="1"/>
  <c r="Y72" i="39" s="1"/>
  <c r="X71" i="39"/>
  <c r="F27" i="122"/>
  <c r="H27" i="122" s="1"/>
  <c r="L26" i="12"/>
  <c r="E25" i="77"/>
  <c r="D62" i="39"/>
  <c r="A74" i="12"/>
  <c r="A73" i="120"/>
  <c r="Z19" i="39"/>
  <c r="Y19" i="39"/>
  <c r="X20" i="39"/>
  <c r="Y20" i="39" s="1"/>
  <c r="F30" i="122"/>
  <c r="H30" i="122" s="1"/>
  <c r="E31" i="77"/>
  <c r="D74" i="39"/>
  <c r="L29" i="12"/>
  <c r="G241" i="12"/>
  <c r="I241" i="12" s="1"/>
  <c r="J241" i="12" s="1"/>
  <c r="Z71" i="39" l="1"/>
  <c r="Y71" i="39"/>
  <c r="Y69" i="39"/>
  <c r="I75" i="39"/>
  <c r="I76" i="39" s="1"/>
  <c r="J75" i="39"/>
  <c r="J76" i="39" s="1"/>
  <c r="G75" i="39"/>
  <c r="G76" i="39" s="1"/>
  <c r="F75" i="39"/>
  <c r="W75" i="39"/>
  <c r="W76" i="39" s="1"/>
  <c r="T75" i="39"/>
  <c r="T76" i="39" s="1"/>
  <c r="K75" i="39"/>
  <c r="K76" i="39" s="1"/>
  <c r="S75" i="39"/>
  <c r="S76" i="39" s="1"/>
  <c r="O75" i="39"/>
  <c r="O76" i="39" s="1"/>
  <c r="N75" i="39"/>
  <c r="N76" i="39" s="1"/>
  <c r="R75" i="39"/>
  <c r="R76" i="39" s="1"/>
  <c r="U75" i="39"/>
  <c r="U76" i="39" s="1"/>
  <c r="V75" i="39"/>
  <c r="V76" i="39" s="1"/>
  <c r="P75" i="39"/>
  <c r="P76" i="39" s="1"/>
  <c r="L75" i="39"/>
  <c r="L76" i="39" s="1"/>
  <c r="M75" i="39"/>
  <c r="M76" i="39" s="1"/>
  <c r="H75" i="39"/>
  <c r="H76" i="39" s="1"/>
  <c r="Q75" i="39"/>
  <c r="Q76" i="39" s="1"/>
  <c r="F76" i="39"/>
  <c r="F80" i="39"/>
  <c r="X80" i="39" s="1"/>
  <c r="Y80" i="39" s="1"/>
  <c r="X79" i="39"/>
  <c r="A75" i="12"/>
  <c r="A74" i="120"/>
  <c r="R63" i="39"/>
  <c r="R64" i="39" s="1"/>
  <c r="V63" i="39"/>
  <c r="V64" i="39" s="1"/>
  <c r="K63" i="39"/>
  <c r="K64" i="39" s="1"/>
  <c r="L63" i="39"/>
  <c r="L64" i="39" s="1"/>
  <c r="Q63" i="39"/>
  <c r="Q64" i="39" s="1"/>
  <c r="J63" i="39"/>
  <c r="J64" i="39" s="1"/>
  <c r="S63" i="39"/>
  <c r="S64" i="39" s="1"/>
  <c r="M63" i="39"/>
  <c r="M64" i="39" s="1"/>
  <c r="P63" i="39"/>
  <c r="P64" i="39" s="1"/>
  <c r="I63" i="39"/>
  <c r="I64" i="39" s="1"/>
  <c r="N63" i="39"/>
  <c r="N64" i="39" s="1"/>
  <c r="W63" i="39"/>
  <c r="W64" i="39" s="1"/>
  <c r="T63" i="39"/>
  <c r="T64" i="39" s="1"/>
  <c r="F63" i="39"/>
  <c r="F64" i="39" s="1"/>
  <c r="G63" i="39"/>
  <c r="G64" i="39" s="1"/>
  <c r="U63" i="39"/>
  <c r="U64" i="39" s="1"/>
  <c r="O63" i="39"/>
  <c r="O64" i="39" s="1"/>
  <c r="H63" i="39"/>
  <c r="H64" i="39" s="1"/>
  <c r="Y17" i="39"/>
  <c r="X76" i="39" l="1"/>
  <c r="Y76" i="39" s="1"/>
  <c r="X64" i="39"/>
  <c r="X63" i="39"/>
  <c r="X75" i="39"/>
  <c r="A76" i="12"/>
  <c r="A75" i="120"/>
  <c r="Z79" i="39"/>
  <c r="Y79" i="39"/>
  <c r="Y77" i="39"/>
  <c r="G593" i="12" l="1"/>
  <c r="I593" i="12" s="1"/>
  <c r="J593" i="12" s="1"/>
  <c r="G285" i="12"/>
  <c r="I285" i="12" s="1"/>
  <c r="J285" i="12" s="1"/>
  <c r="Z63" i="39"/>
  <c r="Y63" i="39"/>
  <c r="Y64" i="39"/>
  <c r="A77" i="12"/>
  <c r="A76" i="120"/>
  <c r="Z75" i="39"/>
  <c r="Y75" i="39"/>
  <c r="Y73" i="39"/>
  <c r="Y61" i="39"/>
  <c r="G433" i="12" l="1"/>
  <c r="I433" i="12" s="1"/>
  <c r="J433" i="12" s="1"/>
  <c r="G251" i="12"/>
  <c r="I251" i="12" s="1"/>
  <c r="J251" i="12" s="1"/>
  <c r="A77" i="120"/>
  <c r="A78" i="12"/>
  <c r="A78" i="120" l="1"/>
  <c r="A79" i="12"/>
  <c r="J413" i="12"/>
  <c r="L427" i="12" l="1"/>
  <c r="L413" i="12"/>
  <c r="J20" i="12"/>
  <c r="J447" i="12"/>
  <c r="L426" i="12"/>
  <c r="L424" i="12"/>
  <c r="L444" i="12"/>
  <c r="L438" i="12"/>
  <c r="L437" i="12"/>
  <c r="L442" i="12"/>
  <c r="L422" i="12"/>
  <c r="L430" i="12"/>
  <c r="L435" i="12"/>
  <c r="L434" i="12"/>
  <c r="L425" i="12"/>
  <c r="L428" i="12"/>
  <c r="L446" i="12"/>
  <c r="L440" i="12"/>
  <c r="L429" i="12"/>
  <c r="L436" i="12"/>
  <c r="L420" i="12"/>
  <c r="L419" i="12"/>
  <c r="L432" i="12"/>
  <c r="L418" i="12"/>
  <c r="L423" i="12"/>
  <c r="L431" i="12"/>
  <c r="L414" i="12"/>
  <c r="L415" i="12"/>
  <c r="L416" i="12"/>
  <c r="L421" i="12"/>
  <c r="L417" i="12"/>
  <c r="L433" i="12"/>
  <c r="A80" i="12"/>
  <c r="A79" i="120"/>
  <c r="A80" i="120" l="1"/>
  <c r="A81" i="12"/>
  <c r="D38" i="39"/>
  <c r="F21" i="122"/>
  <c r="H21" i="122" s="1"/>
  <c r="E30" i="77"/>
  <c r="L20" i="12"/>
  <c r="G235" i="12"/>
  <c r="I235" i="12" s="1"/>
  <c r="J235" i="12" s="1"/>
  <c r="J39" i="39" l="1"/>
  <c r="J40" i="39" s="1"/>
  <c r="I39" i="39"/>
  <c r="I40" i="39" s="1"/>
  <c r="L39" i="39"/>
  <c r="L40" i="39" s="1"/>
  <c r="K39" i="39"/>
  <c r="K40" i="39" s="1"/>
  <c r="F39" i="39"/>
  <c r="U39" i="39"/>
  <c r="U40" i="39" s="1"/>
  <c r="S39" i="39"/>
  <c r="S40" i="39" s="1"/>
  <c r="H39" i="39"/>
  <c r="H40" i="39" s="1"/>
  <c r="N39" i="39"/>
  <c r="N40" i="39" s="1"/>
  <c r="W39" i="39"/>
  <c r="W40" i="39" s="1"/>
  <c r="R39" i="39"/>
  <c r="R40" i="39" s="1"/>
  <c r="P39" i="39"/>
  <c r="P40" i="39" s="1"/>
  <c r="G39" i="39"/>
  <c r="G40" i="39" s="1"/>
  <c r="M39" i="39"/>
  <c r="M40" i="39" s="1"/>
  <c r="V39" i="39"/>
  <c r="V40" i="39" s="1"/>
  <c r="Q39" i="39"/>
  <c r="Q40" i="39" s="1"/>
  <c r="O39" i="39"/>
  <c r="O40" i="39" s="1"/>
  <c r="T39" i="39"/>
  <c r="T40" i="39" s="1"/>
  <c r="J183" i="12"/>
  <c r="A82" i="12"/>
  <c r="A81" i="120"/>
  <c r="A82" i="120" l="1"/>
  <c r="A83" i="12"/>
  <c r="G595" i="12"/>
  <c r="I595" i="12" s="1"/>
  <c r="J595" i="12" s="1"/>
  <c r="G287" i="12"/>
  <c r="I287" i="12" s="1"/>
  <c r="J287" i="12" s="1"/>
  <c r="L292" i="12"/>
  <c r="J243" i="12"/>
  <c r="L265" i="12"/>
  <c r="L183" i="12"/>
  <c r="J16" i="12"/>
  <c r="J293" i="12"/>
  <c r="L236" i="12"/>
  <c r="L240" i="12"/>
  <c r="L238" i="12"/>
  <c r="L242" i="12"/>
  <c r="L185" i="12"/>
  <c r="L193" i="12"/>
  <c r="L197" i="12"/>
  <c r="L194" i="12"/>
  <c r="L198" i="12"/>
  <c r="L189" i="12"/>
  <c r="L184" i="12"/>
  <c r="L205" i="12"/>
  <c r="L190" i="12"/>
  <c r="L188" i="12"/>
  <c r="L200" i="12"/>
  <c r="L201" i="12"/>
  <c r="L204" i="12"/>
  <c r="L199" i="12"/>
  <c r="L259" i="12"/>
  <c r="L186" i="12"/>
  <c r="L202" i="12"/>
  <c r="L195" i="12"/>
  <c r="L187" i="12"/>
  <c r="L191" i="12"/>
  <c r="L203" i="12"/>
  <c r="L206" i="12"/>
  <c r="L207" i="12"/>
  <c r="L196" i="12"/>
  <c r="L192" i="12"/>
  <c r="L225" i="12"/>
  <c r="L233" i="12"/>
  <c r="L222" i="12"/>
  <c r="L228" i="12"/>
  <c r="L234" i="12"/>
  <c r="L221" i="12"/>
  <c r="L229" i="12"/>
  <c r="L232" i="12"/>
  <c r="L219" i="12"/>
  <c r="L224" i="12"/>
  <c r="L223" i="12"/>
  <c r="L231" i="12"/>
  <c r="L208" i="12"/>
  <c r="L209" i="12"/>
  <c r="L210" i="12"/>
  <c r="L211" i="12"/>
  <c r="L212" i="12"/>
  <c r="L213" i="12"/>
  <c r="L214" i="12"/>
  <c r="L215" i="12"/>
  <c r="L216" i="12"/>
  <c r="L217" i="12"/>
  <c r="L226" i="12"/>
  <c r="L254" i="12"/>
  <c r="L258" i="12"/>
  <c r="L257" i="12"/>
  <c r="L256" i="12"/>
  <c r="L253" i="12"/>
  <c r="L255" i="12"/>
  <c r="L252" i="12"/>
  <c r="L230" i="12"/>
  <c r="L220" i="12"/>
  <c r="L227" i="12"/>
  <c r="L218" i="12"/>
  <c r="L276" i="12"/>
  <c r="L277" i="12"/>
  <c r="L274" i="12"/>
  <c r="L272" i="12"/>
  <c r="L273" i="12"/>
  <c r="L275" i="12"/>
  <c r="L280" i="12"/>
  <c r="L278" i="12"/>
  <c r="L281" i="12"/>
  <c r="L279" i="12"/>
  <c r="L268" i="12"/>
  <c r="L267" i="12"/>
  <c r="L266" i="12"/>
  <c r="L264" i="12"/>
  <c r="L239" i="12"/>
  <c r="L237" i="12"/>
  <c r="L260" i="12"/>
  <c r="L288" i="12"/>
  <c r="L269" i="12"/>
  <c r="L271" i="12"/>
  <c r="L270" i="12"/>
  <c r="L286" i="12"/>
  <c r="L241" i="12"/>
  <c r="L285" i="12"/>
  <c r="L251" i="12"/>
  <c r="L235" i="12"/>
  <c r="F40" i="39"/>
  <c r="X40" i="39" s="1"/>
  <c r="X39" i="39"/>
  <c r="F17" i="122" l="1"/>
  <c r="E17" i="77"/>
  <c r="D22" i="39"/>
  <c r="L16" i="12"/>
  <c r="Y39" i="39"/>
  <c r="Z39" i="39"/>
  <c r="Y40" i="39"/>
  <c r="Y37" i="39"/>
  <c r="L287" i="12"/>
  <c r="A83" i="120"/>
  <c r="A84" i="12"/>
  <c r="A85" i="12" l="1"/>
  <c r="A84" i="120"/>
  <c r="H17" i="122"/>
  <c r="U23" i="39"/>
  <c r="J23" i="39"/>
  <c r="W23" i="39"/>
  <c r="F23" i="39"/>
  <c r="T23" i="39"/>
  <c r="M23" i="39"/>
  <c r="N23" i="39"/>
  <c r="L23" i="39"/>
  <c r="H23" i="39"/>
  <c r="P23" i="39"/>
  <c r="G23" i="39"/>
  <c r="O23" i="39"/>
  <c r="I23" i="39"/>
  <c r="V23" i="39"/>
  <c r="S23" i="39"/>
  <c r="R23" i="39"/>
  <c r="Q23" i="39"/>
  <c r="K23" i="39"/>
  <c r="F24" i="39"/>
  <c r="K24" i="39" l="1"/>
  <c r="M24" i="39"/>
  <c r="Q24" i="39"/>
  <c r="I24" i="39"/>
  <c r="P24" i="39"/>
  <c r="J24" i="39"/>
  <c r="V24" i="39"/>
  <c r="N24" i="39"/>
  <c r="W24" i="39"/>
  <c r="R24" i="39"/>
  <c r="G24" i="39"/>
  <c r="H24" i="39"/>
  <c r="X23" i="39"/>
  <c r="S24" i="39"/>
  <c r="O24" i="39"/>
  <c r="L24" i="39"/>
  <c r="T24" i="39"/>
  <c r="U24" i="39"/>
  <c r="A85" i="120"/>
  <c r="A86" i="12"/>
  <c r="X24" i="39" l="1"/>
  <c r="A86" i="120"/>
  <c r="A87" i="12"/>
  <c r="G463" i="12"/>
  <c r="I463" i="12" s="1"/>
  <c r="J463" i="12" s="1"/>
  <c r="G535" i="12"/>
  <c r="I535" i="12" s="1"/>
  <c r="J535" i="12" s="1"/>
  <c r="G462" i="12"/>
  <c r="I462" i="12" s="1"/>
  <c r="J462" i="12" s="1"/>
  <c r="G534" i="12"/>
  <c r="I534" i="12" s="1"/>
  <c r="J534" i="12" s="1"/>
  <c r="Y23" i="39"/>
  <c r="Z23" i="39"/>
  <c r="Y21" i="39"/>
  <c r="Y24" i="39"/>
  <c r="J448" i="12" l="1"/>
  <c r="L463" i="12" s="1"/>
  <c r="J506" i="12"/>
  <c r="G658" i="12"/>
  <c r="I658" i="12" s="1"/>
  <c r="J658" i="12" s="1"/>
  <c r="G588" i="12"/>
  <c r="I588" i="12" s="1"/>
  <c r="J588" i="12" s="1"/>
  <c r="A88" i="12"/>
  <c r="A87" i="120"/>
  <c r="G591" i="12" l="1"/>
  <c r="I591" i="12" s="1"/>
  <c r="J591" i="12" s="1"/>
  <c r="G661" i="12"/>
  <c r="I661" i="12" s="1"/>
  <c r="J661" i="12" s="1"/>
  <c r="J645" i="12" s="1"/>
  <c r="A89" i="12"/>
  <c r="A88" i="120"/>
  <c r="J22" i="12"/>
  <c r="L539" i="12"/>
  <c r="L506" i="12"/>
  <c r="J581" i="12"/>
  <c r="L516" i="12"/>
  <c r="L526" i="12"/>
  <c r="L531" i="12"/>
  <c r="L515" i="12"/>
  <c r="L520" i="12"/>
  <c r="L570" i="12"/>
  <c r="L572" i="12"/>
  <c r="L514" i="12"/>
  <c r="L574" i="12"/>
  <c r="L564" i="12"/>
  <c r="L546" i="12"/>
  <c r="L529" i="12"/>
  <c r="L540" i="12"/>
  <c r="L510" i="12"/>
  <c r="L568" i="12"/>
  <c r="L560" i="12"/>
  <c r="L578" i="12"/>
  <c r="L530" i="12"/>
  <c r="L544" i="12"/>
  <c r="L580" i="12"/>
  <c r="L548" i="12"/>
  <c r="L550" i="12"/>
  <c r="L558" i="12"/>
  <c r="L541" i="12"/>
  <c r="L527" i="12"/>
  <c r="L552" i="12"/>
  <c r="L576" i="12"/>
  <c r="L528" i="12"/>
  <c r="L513" i="12"/>
  <c r="L566" i="12"/>
  <c r="L556" i="12"/>
  <c r="L554" i="12"/>
  <c r="L562" i="12"/>
  <c r="L521" i="12"/>
  <c r="L512" i="12"/>
  <c r="L509" i="12"/>
  <c r="L533" i="12"/>
  <c r="L518" i="12"/>
  <c r="L542" i="12"/>
  <c r="L532" i="12"/>
  <c r="L525" i="12"/>
  <c r="L517" i="12"/>
  <c r="L538" i="12"/>
  <c r="L536" i="12"/>
  <c r="L524" i="12"/>
  <c r="L523" i="12"/>
  <c r="L537" i="12"/>
  <c r="L508" i="12"/>
  <c r="L522" i="12"/>
  <c r="L511" i="12"/>
  <c r="L519" i="12"/>
  <c r="L507" i="12"/>
  <c r="J582" i="12"/>
  <c r="L535" i="12"/>
  <c r="L534" i="12"/>
  <c r="L448" i="12"/>
  <c r="J21" i="12"/>
  <c r="J505" i="12"/>
  <c r="L458" i="12"/>
  <c r="L492" i="12"/>
  <c r="L486" i="12"/>
  <c r="L474" i="12"/>
  <c r="L482" i="12"/>
  <c r="L456" i="12"/>
  <c r="L452" i="12"/>
  <c r="L488" i="12"/>
  <c r="L450" i="12"/>
  <c r="L453" i="12"/>
  <c r="L468" i="12"/>
  <c r="L500" i="12"/>
  <c r="L454" i="12"/>
  <c r="L494" i="12"/>
  <c r="L484" i="12"/>
  <c r="L451" i="12"/>
  <c r="L496" i="12"/>
  <c r="L478" i="12"/>
  <c r="L470" i="12"/>
  <c r="L455" i="12"/>
  <c r="L480" i="12"/>
  <c r="L498" i="12"/>
  <c r="L472" i="12"/>
  <c r="L466" i="12"/>
  <c r="L504" i="12"/>
  <c r="L449" i="12"/>
  <c r="L476" i="12"/>
  <c r="L502" i="12"/>
  <c r="L490" i="12"/>
  <c r="L457" i="12"/>
  <c r="L461" i="12"/>
  <c r="L460" i="12"/>
  <c r="L465" i="12"/>
  <c r="L464" i="12"/>
  <c r="L459" i="12"/>
  <c r="L462" i="12"/>
  <c r="J718" i="12" l="1"/>
  <c r="L675" i="12"/>
  <c r="J25" i="12"/>
  <c r="L662" i="12"/>
  <c r="L645" i="12"/>
  <c r="L650" i="12"/>
  <c r="L672" i="12"/>
  <c r="L711" i="12"/>
  <c r="L653" i="12"/>
  <c r="L679" i="12"/>
  <c r="L685" i="12"/>
  <c r="L713" i="12"/>
  <c r="L654" i="12"/>
  <c r="L683" i="12"/>
  <c r="L705" i="12"/>
  <c r="L689" i="12"/>
  <c r="L652" i="12"/>
  <c r="L674" i="12"/>
  <c r="L677" i="12"/>
  <c r="L687" i="12"/>
  <c r="L707" i="12"/>
  <c r="L697" i="12"/>
  <c r="L666" i="12"/>
  <c r="L670" i="12"/>
  <c r="L691" i="12"/>
  <c r="L667" i="12"/>
  <c r="L671" i="12"/>
  <c r="L709" i="12"/>
  <c r="L651" i="12"/>
  <c r="L665" i="12"/>
  <c r="L681" i="12"/>
  <c r="L668" i="12"/>
  <c r="L646" i="12"/>
  <c r="L693" i="12"/>
  <c r="L717" i="12"/>
  <c r="L715" i="12"/>
  <c r="L673" i="12"/>
  <c r="L701" i="12"/>
  <c r="L663" i="12"/>
  <c r="L699" i="12"/>
  <c r="L647" i="12"/>
  <c r="L695" i="12"/>
  <c r="L703" i="12"/>
  <c r="L669" i="12"/>
  <c r="L660" i="12"/>
  <c r="L664" i="12"/>
  <c r="L648" i="12"/>
  <c r="L657" i="12"/>
  <c r="L656" i="12"/>
  <c r="L655" i="12"/>
  <c r="L659" i="12"/>
  <c r="L649" i="12"/>
  <c r="L658" i="12"/>
  <c r="L22" i="12"/>
  <c r="D46" i="39"/>
  <c r="F23" i="122"/>
  <c r="H23" i="122" s="1"/>
  <c r="E34" i="77"/>
  <c r="E21" i="77"/>
  <c r="D42" i="39"/>
  <c r="F22" i="122"/>
  <c r="H22" i="122" s="1"/>
  <c r="L21" i="12"/>
  <c r="A89" i="120"/>
  <c r="A90" i="12"/>
  <c r="L582" i="12"/>
  <c r="L592" i="12"/>
  <c r="J23" i="12"/>
  <c r="J623" i="12"/>
  <c r="L622" i="12"/>
  <c r="L614" i="12"/>
  <c r="L590" i="12"/>
  <c r="L608" i="12"/>
  <c r="L610" i="12"/>
  <c r="L612" i="12"/>
  <c r="L602" i="12"/>
  <c r="L606" i="12"/>
  <c r="L600" i="12"/>
  <c r="L618" i="12"/>
  <c r="L620" i="12"/>
  <c r="L616" i="12"/>
  <c r="L604" i="12"/>
  <c r="L586" i="12"/>
  <c r="L587" i="12"/>
  <c r="L589" i="12"/>
  <c r="L585" i="12"/>
  <c r="L583" i="12"/>
  <c r="L584" i="12"/>
  <c r="L597" i="12"/>
  <c r="L596" i="12"/>
  <c r="L598" i="12"/>
  <c r="L594" i="12"/>
  <c r="L593" i="12"/>
  <c r="L595" i="12"/>
  <c r="L588" i="12"/>
  <c r="L661" i="12"/>
  <c r="L591" i="12"/>
  <c r="H43" i="39" l="1"/>
  <c r="H44" i="39" s="1"/>
  <c r="U43" i="39"/>
  <c r="U44" i="39" s="1"/>
  <c r="R43" i="39"/>
  <c r="R44" i="39" s="1"/>
  <c r="P43" i="39"/>
  <c r="P44" i="39" s="1"/>
  <c r="V43" i="39"/>
  <c r="V44" i="39" s="1"/>
  <c r="L43" i="39"/>
  <c r="L44" i="39" s="1"/>
  <c r="M43" i="39"/>
  <c r="M44" i="39" s="1"/>
  <c r="F43" i="39"/>
  <c r="S43" i="39"/>
  <c r="S44" i="39" s="1"/>
  <c r="W43" i="39"/>
  <c r="W44" i="39" s="1"/>
  <c r="J43" i="39"/>
  <c r="J44" i="39" s="1"/>
  <c r="K43" i="39"/>
  <c r="K44" i="39" s="1"/>
  <c r="G43" i="39"/>
  <c r="G44" i="39" s="1"/>
  <c r="T43" i="39"/>
  <c r="T44" i="39" s="1"/>
  <c r="N43" i="39"/>
  <c r="N44" i="39" s="1"/>
  <c r="O43" i="39"/>
  <c r="O44" i="39" s="1"/>
  <c r="Q43" i="39"/>
  <c r="Q44" i="39" s="1"/>
  <c r="I43" i="39"/>
  <c r="I44" i="39" s="1"/>
  <c r="E35" i="77"/>
  <c r="E36" i="77" s="1"/>
  <c r="F24" i="122"/>
  <c r="H24" i="122" s="1"/>
  <c r="D50" i="39"/>
  <c r="L23" i="12"/>
  <c r="A92" i="12"/>
  <c r="A90" i="120"/>
  <c r="L47" i="39"/>
  <c r="L48" i="39" s="1"/>
  <c r="R47" i="39"/>
  <c r="R48" i="39" s="1"/>
  <c r="V47" i="39"/>
  <c r="V48" i="39" s="1"/>
  <c r="N47" i="39"/>
  <c r="N48" i="39" s="1"/>
  <c r="Q47" i="39"/>
  <c r="Q48" i="39" s="1"/>
  <c r="P47" i="39"/>
  <c r="P48" i="39" s="1"/>
  <c r="M47" i="39"/>
  <c r="M48" i="39" s="1"/>
  <c r="H47" i="39"/>
  <c r="H48" i="39" s="1"/>
  <c r="J47" i="39"/>
  <c r="J48" i="39" s="1"/>
  <c r="O47" i="39"/>
  <c r="O48" i="39" s="1"/>
  <c r="I47" i="39"/>
  <c r="I48" i="39" s="1"/>
  <c r="F47" i="39"/>
  <c r="U47" i="39"/>
  <c r="U48" i="39" s="1"/>
  <c r="W47" i="39"/>
  <c r="W48" i="39" s="1"/>
  <c r="T47" i="39"/>
  <c r="T48" i="39" s="1"/>
  <c r="K47" i="39"/>
  <c r="K48" i="39" s="1"/>
  <c r="S47" i="39"/>
  <c r="S48" i="39" s="1"/>
  <c r="G47" i="39"/>
  <c r="G48" i="39" s="1"/>
  <c r="E24" i="77"/>
  <c r="L25" i="12"/>
  <c r="D58" i="39"/>
  <c r="F26" i="122"/>
  <c r="H26" i="122" s="1"/>
  <c r="P51" i="39" l="1"/>
  <c r="P52" i="39" s="1"/>
  <c r="L51" i="39"/>
  <c r="L52" i="39" s="1"/>
  <c r="M51" i="39"/>
  <c r="M52" i="39" s="1"/>
  <c r="O51" i="39"/>
  <c r="O52" i="39" s="1"/>
  <c r="F51" i="39"/>
  <c r="S51" i="39"/>
  <c r="S52" i="39" s="1"/>
  <c r="I51" i="39"/>
  <c r="I52" i="39" s="1"/>
  <c r="H51" i="39"/>
  <c r="H52" i="39" s="1"/>
  <c r="R51" i="39"/>
  <c r="R52" i="39" s="1"/>
  <c r="W51" i="39"/>
  <c r="W52" i="39" s="1"/>
  <c r="J51" i="39"/>
  <c r="J52" i="39" s="1"/>
  <c r="U51" i="39"/>
  <c r="U52" i="39" s="1"/>
  <c r="N51" i="39"/>
  <c r="N52" i="39" s="1"/>
  <c r="V51" i="39"/>
  <c r="V52" i="39" s="1"/>
  <c r="T51" i="39"/>
  <c r="T52" i="39" s="1"/>
  <c r="G51" i="39"/>
  <c r="G52" i="39" s="1"/>
  <c r="K51" i="39"/>
  <c r="K52" i="39" s="1"/>
  <c r="Q51" i="39"/>
  <c r="Q52" i="39" s="1"/>
  <c r="I25" i="77"/>
  <c r="E28" i="77"/>
  <c r="I36" i="77"/>
  <c r="F48" i="39"/>
  <c r="X48" i="39" s="1"/>
  <c r="X47" i="39"/>
  <c r="F44" i="39"/>
  <c r="X44" i="39" s="1"/>
  <c r="X43" i="39"/>
  <c r="K59" i="39"/>
  <c r="K60" i="39" s="1"/>
  <c r="V59" i="39"/>
  <c r="V60" i="39" s="1"/>
  <c r="G59" i="39"/>
  <c r="G60" i="39" s="1"/>
  <c r="U59" i="39"/>
  <c r="U60" i="39" s="1"/>
  <c r="L59" i="39"/>
  <c r="L60" i="39" s="1"/>
  <c r="N59" i="39"/>
  <c r="N60" i="39" s="1"/>
  <c r="W59" i="39"/>
  <c r="W60" i="39" s="1"/>
  <c r="J59" i="39"/>
  <c r="J60" i="39" s="1"/>
  <c r="I59" i="39"/>
  <c r="I60" i="39" s="1"/>
  <c r="F59" i="39"/>
  <c r="T59" i="39"/>
  <c r="T60" i="39" s="1"/>
  <c r="S59" i="39"/>
  <c r="S60" i="39" s="1"/>
  <c r="H59" i="39"/>
  <c r="H60" i="39" s="1"/>
  <c r="Q59" i="39"/>
  <c r="Q60" i="39" s="1"/>
  <c r="P59" i="39"/>
  <c r="P60" i="39" s="1"/>
  <c r="M59" i="39"/>
  <c r="M60" i="39" s="1"/>
  <c r="O59" i="39"/>
  <c r="O60" i="39" s="1"/>
  <c r="R59" i="39"/>
  <c r="R60" i="39" s="1"/>
  <c r="A92" i="120"/>
  <c r="A94" i="12"/>
  <c r="Z43" i="39" l="1"/>
  <c r="Y43" i="39"/>
  <c r="Y41" i="39"/>
  <c r="Y44" i="39"/>
  <c r="F60" i="39"/>
  <c r="X60" i="39" s="1"/>
  <c r="Y60" i="39" s="1"/>
  <c r="X59" i="39"/>
  <c r="Z47" i="39"/>
  <c r="Y47" i="39"/>
  <c r="Y45" i="39"/>
  <c r="Y48" i="39"/>
  <c r="G28" i="77"/>
  <c r="I28" i="77"/>
  <c r="J28" i="77" s="1"/>
  <c r="F52" i="39"/>
  <c r="X52" i="39" s="1"/>
  <c r="X51" i="39"/>
  <c r="A94" i="120"/>
  <c r="A96" i="12"/>
  <c r="A96" i="120" l="1"/>
  <c r="A98" i="12"/>
  <c r="Y59" i="39"/>
  <c r="Z59" i="39"/>
  <c r="Y57" i="39"/>
  <c r="Z51" i="39"/>
  <c r="Y51" i="39"/>
  <c r="Y49" i="39"/>
  <c r="Y52" i="39"/>
  <c r="G284" i="12"/>
  <c r="I284" i="12" s="1"/>
  <c r="J284" i="12" s="1"/>
  <c r="G282" i="12"/>
  <c r="I282" i="12" s="1"/>
  <c r="J282" i="12" s="1"/>
  <c r="L284" i="12" l="1"/>
  <c r="L282" i="12"/>
  <c r="A98" i="120"/>
  <c r="A100" i="120" s="1"/>
  <c r="A100" i="12"/>
  <c r="G283" i="12"/>
  <c r="I283" i="12" s="1"/>
  <c r="J283" i="12" s="1"/>
  <c r="L283" i="12" l="1"/>
  <c r="I100" i="12"/>
  <c r="B15" i="12"/>
  <c r="A101" i="12"/>
  <c r="B15" i="120"/>
  <c r="A17" i="134" s="1"/>
  <c r="I100" i="120"/>
  <c r="A102" i="12" l="1"/>
  <c r="A101" i="120"/>
  <c r="B16" i="122"/>
  <c r="A17" i="39"/>
  <c r="A16" i="77"/>
  <c r="G247" i="12"/>
  <c r="I247" i="12" s="1"/>
  <c r="J247" i="12" s="1"/>
  <c r="G249" i="12"/>
  <c r="I249" i="12" s="1"/>
  <c r="J249" i="12" s="1"/>
  <c r="G246" i="12"/>
  <c r="I246" i="12" s="1"/>
  <c r="J246" i="12" s="1"/>
  <c r="G245" i="12"/>
  <c r="I245" i="12" s="1"/>
  <c r="J245" i="12" s="1"/>
  <c r="L245" i="12" l="1"/>
  <c r="L246" i="12"/>
  <c r="L249" i="12"/>
  <c r="L247" i="12"/>
  <c r="A102" i="120"/>
  <c r="A103" i="12"/>
  <c r="G248" i="12"/>
  <c r="I248" i="12" s="1"/>
  <c r="J248" i="12" s="1"/>
  <c r="G261" i="12"/>
  <c r="I261" i="12" s="1"/>
  <c r="J261" i="12" s="1"/>
  <c r="G250" i="12"/>
  <c r="I250" i="12" s="1"/>
  <c r="J250" i="12" s="1"/>
  <c r="G263" i="12"/>
  <c r="I263" i="12" s="1"/>
  <c r="J263" i="12" s="1"/>
  <c r="G262" i="12"/>
  <c r="I262" i="12" s="1"/>
  <c r="J262" i="12" s="1"/>
  <c r="L262" i="12" l="1"/>
  <c r="L261" i="12"/>
  <c r="L248" i="12"/>
  <c r="L263" i="12"/>
  <c r="A104" i="12"/>
  <c r="A103" i="120"/>
  <c r="J244" i="12"/>
  <c r="L250" i="12"/>
  <c r="A105" i="12" l="1"/>
  <c r="A104" i="120"/>
  <c r="L244" i="12"/>
  <c r="J17" i="12"/>
  <c r="J967" i="12"/>
  <c r="K945" i="12" l="1"/>
  <c r="K932" i="12"/>
  <c r="K929" i="12"/>
  <c r="K956" i="12"/>
  <c r="K675" i="12"/>
  <c r="K965" i="12"/>
  <c r="K939" i="12"/>
  <c r="K953" i="12"/>
  <c r="K964" i="12"/>
  <c r="K592" i="12"/>
  <c r="K938" i="12"/>
  <c r="K944" i="12"/>
  <c r="K265" i="12"/>
  <c r="K931" i="12"/>
  <c r="K947" i="12"/>
  <c r="K955" i="12"/>
  <c r="K936" i="12"/>
  <c r="K952" i="12"/>
  <c r="K941" i="12"/>
  <c r="K773" i="12"/>
  <c r="K960" i="12"/>
  <c r="K946" i="12"/>
  <c r="K951" i="12"/>
  <c r="K962" i="12"/>
  <c r="K967" i="12"/>
  <c r="K950" i="12"/>
  <c r="K961" i="12"/>
  <c r="K963" i="12"/>
  <c r="K933" i="12"/>
  <c r="K764" i="12"/>
  <c r="K930" i="12"/>
  <c r="K958" i="12"/>
  <c r="K943" i="12"/>
  <c r="K949" i="12"/>
  <c r="K539" i="12"/>
  <c r="K948" i="12"/>
  <c r="K959" i="12"/>
  <c r="K934" i="12"/>
  <c r="K928" i="12"/>
  <c r="K32" i="12" s="1"/>
  <c r="K937" i="12"/>
  <c r="K957" i="12"/>
  <c r="K940" i="12"/>
  <c r="K954" i="12"/>
  <c r="K662" i="12"/>
  <c r="K942" i="12"/>
  <c r="K935" i="12"/>
  <c r="K242" i="12"/>
  <c r="K236" i="12"/>
  <c r="K238" i="12"/>
  <c r="K240" i="12"/>
  <c r="K426" i="12"/>
  <c r="K340" i="12"/>
  <c r="K650" i="12"/>
  <c r="K458" i="12"/>
  <c r="K391" i="12"/>
  <c r="K729" i="12"/>
  <c r="K356" i="12"/>
  <c r="K40" i="12"/>
  <c r="K197" i="12"/>
  <c r="K77" i="12"/>
  <c r="K184" i="12"/>
  <c r="K52" i="12"/>
  <c r="K107" i="12"/>
  <c r="K42" i="12"/>
  <c r="K80" i="12"/>
  <c r="K109" i="12"/>
  <c r="K132" i="12"/>
  <c r="K154" i="12"/>
  <c r="K69" i="12"/>
  <c r="K149" i="12"/>
  <c r="K771" i="12"/>
  <c r="K195" i="12"/>
  <c r="K38" i="12"/>
  <c r="K516" i="12"/>
  <c r="K185" i="12"/>
  <c r="K367" i="12"/>
  <c r="K78" i="12"/>
  <c r="K193" i="12"/>
  <c r="K82" i="12"/>
  <c r="K152" i="12"/>
  <c r="K160" i="12"/>
  <c r="K138" i="12"/>
  <c r="K83" i="12"/>
  <c r="K146" i="12"/>
  <c r="K43" i="12"/>
  <c r="K757" i="12"/>
  <c r="K194" i="12"/>
  <c r="K772" i="12"/>
  <c r="K198" i="12"/>
  <c r="K369" i="12"/>
  <c r="K424" i="12"/>
  <c r="K37" i="12"/>
  <c r="K189" i="12"/>
  <c r="K349" i="12"/>
  <c r="K758" i="12"/>
  <c r="K81" i="12"/>
  <c r="K629" i="12"/>
  <c r="K775" i="12"/>
  <c r="K377" i="12"/>
  <c r="K381" i="12"/>
  <c r="K153" i="12"/>
  <c r="K145" i="12"/>
  <c r="K86" i="12"/>
  <c r="K205" i="12"/>
  <c r="K730" i="12"/>
  <c r="K382" i="12"/>
  <c r="K106" i="12"/>
  <c r="K292" i="12"/>
  <c r="K388" i="12"/>
  <c r="K526" i="12"/>
  <c r="K323" i="12"/>
  <c r="K531" i="12"/>
  <c r="K188" i="12"/>
  <c r="K776" i="12"/>
  <c r="K129" i="12"/>
  <c r="K120" i="12"/>
  <c r="K122" i="12"/>
  <c r="K116" i="12"/>
  <c r="K200" i="12"/>
  <c r="K117" i="12"/>
  <c r="K166" i="12"/>
  <c r="K111" i="12"/>
  <c r="K155" i="12"/>
  <c r="K515" i="12"/>
  <c r="K794" i="12"/>
  <c r="K41" i="12"/>
  <c r="K131" i="12"/>
  <c r="K84" i="12"/>
  <c r="K204" i="12"/>
  <c r="K113" i="12"/>
  <c r="K520" i="12"/>
  <c r="K383" i="12"/>
  <c r="K354" i="12"/>
  <c r="K108" i="12"/>
  <c r="K926" i="12"/>
  <c r="J19" i="74" s="1"/>
  <c r="K133" i="12"/>
  <c r="K121" i="12"/>
  <c r="K130" i="12"/>
  <c r="K199" i="12"/>
  <c r="K85" i="12"/>
  <c r="K142" i="12"/>
  <c r="K140" i="12"/>
  <c r="K390" i="12"/>
  <c r="K259" i="12"/>
  <c r="K164" i="12"/>
  <c r="K298" i="12"/>
  <c r="K112" i="12"/>
  <c r="K123" i="12"/>
  <c r="K807" i="12"/>
  <c r="K162" i="12"/>
  <c r="K733" i="12"/>
  <c r="K186" i="12"/>
  <c r="K357" i="12"/>
  <c r="K187" i="12"/>
  <c r="K157" i="12"/>
  <c r="K141" i="12"/>
  <c r="K72" i="12"/>
  <c r="K337" i="12"/>
  <c r="K202" i="12"/>
  <c r="K128" i="12"/>
  <c r="K147" i="12"/>
  <c r="K118" i="12"/>
  <c r="K148" i="12"/>
  <c r="K158" i="12"/>
  <c r="K115" i="12"/>
  <c r="K201" i="12"/>
  <c r="K119" i="12"/>
  <c r="K190" i="12"/>
  <c r="K39" i="12"/>
  <c r="K206" i="12"/>
  <c r="K192" i="12"/>
  <c r="K45" i="12"/>
  <c r="K191" i="12"/>
  <c r="K368" i="12"/>
  <c r="K79" i="12"/>
  <c r="K203" i="12"/>
  <c r="K375" i="12"/>
  <c r="K207" i="12"/>
  <c r="K805" i="12"/>
  <c r="K150" i="12"/>
  <c r="K852" i="12"/>
  <c r="K136" i="12"/>
  <c r="K127" i="12"/>
  <c r="K110" i="12"/>
  <c r="K196" i="12"/>
  <c r="K380" i="12"/>
  <c r="K151" i="12"/>
  <c r="K355" i="12"/>
  <c r="K105" i="12"/>
  <c r="K223" i="12"/>
  <c r="K307" i="12"/>
  <c r="K219" i="12"/>
  <c r="K454" i="12"/>
  <c r="K444" i="12"/>
  <c r="K643" i="12"/>
  <c r="K528" i="12"/>
  <c r="K646" i="12"/>
  <c r="K359" i="12"/>
  <c r="K482" i="12"/>
  <c r="K548" i="12"/>
  <c r="K309" i="12"/>
  <c r="K663" i="12"/>
  <c r="K430" i="12"/>
  <c r="K612" i="12"/>
  <c r="K303" i="12"/>
  <c r="K363" i="12"/>
  <c r="K358" i="12"/>
  <c r="K98" i="12"/>
  <c r="K844" i="12"/>
  <c r="K668" i="12"/>
  <c r="K299" i="12"/>
  <c r="K715" i="12"/>
  <c r="K466" i="12"/>
  <c r="K590" i="12"/>
  <c r="K335" i="12"/>
  <c r="K812" i="12"/>
  <c r="K570" i="12"/>
  <c r="K672" i="12"/>
  <c r="K173" i="12"/>
  <c r="K409" i="12"/>
  <c r="K754" i="12"/>
  <c r="K711" i="12"/>
  <c r="K104" i="12"/>
  <c r="K622" i="12"/>
  <c r="K810" i="12"/>
  <c r="K411" i="12"/>
  <c r="K310" i="12"/>
  <c r="K351" i="12"/>
  <c r="K685" i="12"/>
  <c r="K750" i="12"/>
  <c r="K862" i="12"/>
  <c r="K57" i="12"/>
  <c r="K474" i="12"/>
  <c r="K169" i="12"/>
  <c r="K779" i="12"/>
  <c r="K163" i="12"/>
  <c r="K514" i="12"/>
  <c r="K679" i="12"/>
  <c r="K574" i="12"/>
  <c r="K763" i="12"/>
  <c r="K858" i="12"/>
  <c r="K366" i="12"/>
  <c r="K614" i="12"/>
  <c r="K225" i="12"/>
  <c r="K62" i="12"/>
  <c r="K653" i="12"/>
  <c r="K798" i="12"/>
  <c r="K492" i="12"/>
  <c r="K823" i="12"/>
  <c r="K89" i="12"/>
  <c r="K94" i="12"/>
  <c r="K727" i="12"/>
  <c r="K839" i="12"/>
  <c r="K396" i="12"/>
  <c r="K736" i="12"/>
  <c r="K456" i="12"/>
  <c r="K781" i="12"/>
  <c r="K395" i="12"/>
  <c r="K608" i="12"/>
  <c r="K635" i="12"/>
  <c r="K452" i="12"/>
  <c r="K819" i="12"/>
  <c r="K604" i="12"/>
  <c r="K165" i="12"/>
  <c r="K637" i="12"/>
  <c r="K529" i="12"/>
  <c r="K159" i="12"/>
  <c r="K713" i="12"/>
  <c r="K825" i="12"/>
  <c r="K737" i="12"/>
  <c r="K861" i="12"/>
  <c r="K654" i="12"/>
  <c r="K863" i="12"/>
  <c r="K296" i="12"/>
  <c r="K744" i="12"/>
  <c r="K438" i="12"/>
  <c r="K510" i="12"/>
  <c r="K328" i="12"/>
  <c r="K437" i="12"/>
  <c r="K370" i="12"/>
  <c r="K683" i="12"/>
  <c r="K177" i="12"/>
  <c r="K572" i="12"/>
  <c r="K568" i="12"/>
  <c r="K58" i="12"/>
  <c r="K804" i="12"/>
  <c r="K435" i="12"/>
  <c r="K350" i="12"/>
  <c r="K780" i="12"/>
  <c r="K488" i="12"/>
  <c r="K753" i="12"/>
  <c r="K761" i="12"/>
  <c r="K560" i="12"/>
  <c r="K137" i="12"/>
  <c r="K181" i="12"/>
  <c r="K450" i="12"/>
  <c r="K705" i="12"/>
  <c r="K739" i="12"/>
  <c r="K641" i="12"/>
  <c r="K689" i="12"/>
  <c r="K578" i="12"/>
  <c r="K156" i="12"/>
  <c r="K652" i="12"/>
  <c r="K171" i="12"/>
  <c r="K92" i="12"/>
  <c r="K453" i="12"/>
  <c r="K756" i="12"/>
  <c r="K674" i="12"/>
  <c r="K330" i="12"/>
  <c r="K546" i="12"/>
  <c r="K740" i="12"/>
  <c r="K316" i="12"/>
  <c r="K175" i="12"/>
  <c r="K677" i="12"/>
  <c r="K530" i="12"/>
  <c r="K468" i="12"/>
  <c r="K500" i="12"/>
  <c r="K687" i="12"/>
  <c r="K610" i="12"/>
  <c r="K347" i="12"/>
  <c r="K707" i="12"/>
  <c r="K544" i="12"/>
  <c r="K321" i="12"/>
  <c r="K564" i="12"/>
  <c r="K392" i="12"/>
  <c r="K494" i="12"/>
  <c r="K625" i="12"/>
  <c r="K114" i="12"/>
  <c r="K233" i="12"/>
  <c r="K827" i="12"/>
  <c r="K442" i="12"/>
  <c r="K422" i="12"/>
  <c r="K222" i="12"/>
  <c r="K783" i="12"/>
  <c r="K697" i="12"/>
  <c r="K401" i="12"/>
  <c r="K602" i="12"/>
  <c r="K348" i="12"/>
  <c r="K811" i="12"/>
  <c r="K46" i="12"/>
  <c r="K486" i="12"/>
  <c r="K765" i="12"/>
  <c r="K800" i="12"/>
  <c r="K300" i="12"/>
  <c r="K332" i="12"/>
  <c r="K484" i="12"/>
  <c r="K741" i="12"/>
  <c r="K305" i="12"/>
  <c r="K228" i="12"/>
  <c r="K728" i="12"/>
  <c r="K666" i="12"/>
  <c r="K451" i="12"/>
  <c r="K580" i="12"/>
  <c r="K490" i="12"/>
  <c r="K821" i="12"/>
  <c r="K633" i="12"/>
  <c r="K838" i="12"/>
  <c r="K630" i="12"/>
  <c r="K295" i="12"/>
  <c r="K670" i="12"/>
  <c r="K54" i="12"/>
  <c r="K496" i="12"/>
  <c r="K405" i="12"/>
  <c r="K352" i="12"/>
  <c r="K860" i="12"/>
  <c r="K478" i="12"/>
  <c r="K831" i="12"/>
  <c r="K742" i="12"/>
  <c r="K470" i="12"/>
  <c r="K891" i="12"/>
  <c r="K124" i="12"/>
  <c r="K403" i="12"/>
  <c r="K813" i="12"/>
  <c r="K691" i="12"/>
  <c r="K667" i="12"/>
  <c r="K550" i="12"/>
  <c r="K790" i="12"/>
  <c r="K333" i="12"/>
  <c r="K671" i="12"/>
  <c r="K338" i="12"/>
  <c r="K847" i="12"/>
  <c r="K606" i="12"/>
  <c r="K96" i="12"/>
  <c r="K290" i="12"/>
  <c r="K558" i="12"/>
  <c r="K809" i="12"/>
  <c r="K336" i="12"/>
  <c r="K234" i="12"/>
  <c r="K639" i="12"/>
  <c r="K480" i="12"/>
  <c r="K88" i="12"/>
  <c r="K834" i="12"/>
  <c r="K631" i="12"/>
  <c r="K782" i="12"/>
  <c r="K455" i="12"/>
  <c r="K600" i="12"/>
  <c r="K743" i="12"/>
  <c r="K709" i="12"/>
  <c r="K362" i="12"/>
  <c r="K618" i="12"/>
  <c r="K651" i="12"/>
  <c r="K221" i="12"/>
  <c r="K665" i="12"/>
  <c r="K361" i="12"/>
  <c r="K541" i="12"/>
  <c r="K815" i="12"/>
  <c r="K628" i="12"/>
  <c r="K326" i="12"/>
  <c r="K449" i="12"/>
  <c r="K139" i="12"/>
  <c r="K353" i="12"/>
  <c r="K738" i="12"/>
  <c r="K851" i="12"/>
  <c r="K393" i="12"/>
  <c r="K312" i="12"/>
  <c r="K327" i="12"/>
  <c r="K364" i="12"/>
  <c r="K693" i="12"/>
  <c r="K527" i="12"/>
  <c r="K893" i="12"/>
  <c r="K311" i="12"/>
  <c r="K632" i="12"/>
  <c r="K540" i="12"/>
  <c r="K334" i="12"/>
  <c r="K434" i="12"/>
  <c r="K339" i="12"/>
  <c r="K841" i="12"/>
  <c r="K346" i="12"/>
  <c r="K552" i="12"/>
  <c r="K472" i="12"/>
  <c r="K717" i="12"/>
  <c r="K301" i="12"/>
  <c r="K759" i="12"/>
  <c r="K673" i="12"/>
  <c r="K576" i="12"/>
  <c r="K504" i="12"/>
  <c r="K701" i="12"/>
  <c r="K308" i="12"/>
  <c r="K778" i="12"/>
  <c r="K60" i="12"/>
  <c r="K425" i="12"/>
  <c r="K806" i="12"/>
  <c r="K397" i="12"/>
  <c r="K681" i="12"/>
  <c r="K846" i="12"/>
  <c r="K498" i="12"/>
  <c r="K398" i="12"/>
  <c r="K620" i="12"/>
  <c r="K777" i="12"/>
  <c r="K331" i="12"/>
  <c r="K513" i="12"/>
  <c r="K428" i="12"/>
  <c r="K699" i="12"/>
  <c r="K869" i="12"/>
  <c r="K229" i="12"/>
  <c r="K616" i="12"/>
  <c r="K476" i="12"/>
  <c r="K502" i="12"/>
  <c r="K835" i="12"/>
  <c r="K232" i="12"/>
  <c r="K304" i="12"/>
  <c r="K647" i="12"/>
  <c r="K762" i="12"/>
  <c r="K817" i="12"/>
  <c r="K845" i="12"/>
  <c r="K566" i="12"/>
  <c r="K755" i="12"/>
  <c r="K167" i="12"/>
  <c r="K407" i="12"/>
  <c r="K302" i="12"/>
  <c r="K297" i="12"/>
  <c r="K306" i="12"/>
  <c r="K695" i="12"/>
  <c r="K231" i="12"/>
  <c r="K360" i="12"/>
  <c r="K446" i="12"/>
  <c r="K224" i="12"/>
  <c r="K556" i="12"/>
  <c r="K320" i="12"/>
  <c r="K859" i="12"/>
  <c r="K703" i="12"/>
  <c r="K126" i="12"/>
  <c r="K669" i="12"/>
  <c r="K179" i="12"/>
  <c r="K399" i="12"/>
  <c r="K440" i="12"/>
  <c r="K660" i="12"/>
  <c r="K371" i="12"/>
  <c r="K429" i="12"/>
  <c r="K161" i="12"/>
  <c r="K554" i="12"/>
  <c r="K562" i="12"/>
  <c r="K144" i="12"/>
  <c r="K365" i="12"/>
  <c r="K664" i="12"/>
  <c r="K925" i="12"/>
  <c r="K31" i="12" s="1"/>
  <c r="K840" i="12"/>
  <c r="K885" i="12"/>
  <c r="K877" i="12"/>
  <c r="K879" i="12"/>
  <c r="K788" i="12"/>
  <c r="K786" i="12"/>
  <c r="K875" i="12"/>
  <c r="K881" i="12"/>
  <c r="K873" i="12"/>
  <c r="K889" i="12"/>
  <c r="K294" i="12"/>
  <c r="K18" i="12" s="1"/>
  <c r="K887" i="12"/>
  <c r="K883" i="12"/>
  <c r="K792" i="12"/>
  <c r="K865" i="12"/>
  <c r="K871" i="12"/>
  <c r="K867" i="12"/>
  <c r="K829" i="12"/>
  <c r="K208" i="12"/>
  <c r="K209" i="12"/>
  <c r="K210" i="12"/>
  <c r="K211" i="12"/>
  <c r="K212" i="12"/>
  <c r="K213" i="12"/>
  <c r="K214" i="12"/>
  <c r="K215" i="12"/>
  <c r="K216" i="12"/>
  <c r="K87" i="12"/>
  <c r="K44" i="12"/>
  <c r="K325" i="12"/>
  <c r="K47" i="12"/>
  <c r="K217" i="12"/>
  <c r="K226" i="12"/>
  <c r="K317" i="12"/>
  <c r="K436" i="12"/>
  <c r="K376" i="12"/>
  <c r="K521" i="12"/>
  <c r="K457" i="12"/>
  <c r="K648" i="12"/>
  <c r="K842" i="12"/>
  <c r="K843" i="12"/>
  <c r="K768" i="12"/>
  <c r="K770" i="12"/>
  <c r="K769" i="12"/>
  <c r="K767" i="12"/>
  <c r="K766" i="12"/>
  <c r="K784" i="12"/>
  <c r="K420" i="12"/>
  <c r="K419" i="12"/>
  <c r="K342" i="12"/>
  <c r="K427" i="12"/>
  <c r="K341" i="12"/>
  <c r="K51" i="12"/>
  <c r="K36" i="12"/>
  <c r="K343" i="12"/>
  <c r="K731" i="12"/>
  <c r="K168" i="12"/>
  <c r="K329" i="12"/>
  <c r="K432" i="12"/>
  <c r="K143" i="12"/>
  <c r="K774" i="12"/>
  <c r="K512" i="12"/>
  <c r="K461" i="12"/>
  <c r="K657" i="12"/>
  <c r="K586" i="12"/>
  <c r="K418" i="12"/>
  <c r="K423" i="12"/>
  <c r="K385" i="12"/>
  <c r="K746" i="12"/>
  <c r="K853" i="12"/>
  <c r="K722" i="12"/>
  <c r="K760" i="12"/>
  <c r="K752" i="12"/>
  <c r="K27" i="12" s="1"/>
  <c r="K802" i="12"/>
  <c r="K533" i="12"/>
  <c r="K797" i="12"/>
  <c r="K587" i="12"/>
  <c r="K849" i="12"/>
  <c r="K509" i="12"/>
  <c r="K656" i="12"/>
  <c r="K135" i="12"/>
  <c r="K101" i="12"/>
  <c r="K431" i="12"/>
  <c r="K134" i="12"/>
  <c r="K90" i="12"/>
  <c r="K518" i="12"/>
  <c r="K542" i="12"/>
  <c r="K70" i="12"/>
  <c r="K71" i="12"/>
  <c r="K73" i="12"/>
  <c r="K67" i="12"/>
  <c r="K66" i="12"/>
  <c r="K53" i="12"/>
  <c r="K319" i="12"/>
  <c r="K254" i="12"/>
  <c r="K255" i="12"/>
  <c r="K256" i="12"/>
  <c r="K253" i="12"/>
  <c r="K258" i="12"/>
  <c r="K257" i="12"/>
  <c r="K252" i="12"/>
  <c r="K49" i="12"/>
  <c r="K735" i="12"/>
  <c r="K389" i="12"/>
  <c r="K414" i="12"/>
  <c r="K384" i="12"/>
  <c r="K745" i="12"/>
  <c r="K68" i="12"/>
  <c r="K56" i="12"/>
  <c r="K55" i="12"/>
  <c r="K344" i="12"/>
  <c r="K532" i="12"/>
  <c r="K460" i="12"/>
  <c r="K655" i="12"/>
  <c r="K848" i="12"/>
  <c r="K415" i="12"/>
  <c r="K416" i="12"/>
  <c r="K65" i="12"/>
  <c r="K856" i="12"/>
  <c r="K525" i="12"/>
  <c r="K373" i="12"/>
  <c r="K374" i="12"/>
  <c r="K372" i="12"/>
  <c r="K517" i="12"/>
  <c r="K538" i="12"/>
  <c r="K465" i="12"/>
  <c r="K536" i="12"/>
  <c r="K850" i="12"/>
  <c r="K659" i="12"/>
  <c r="K589" i="12"/>
  <c r="K524" i="12"/>
  <c r="K76" i="12"/>
  <c r="K75" i="12"/>
  <c r="K523" i="12"/>
  <c r="K537" i="12"/>
  <c r="K464" i="12"/>
  <c r="K324" i="12"/>
  <c r="K125" i="12"/>
  <c r="K421" i="12"/>
  <c r="K220" i="12"/>
  <c r="K230" i="12"/>
  <c r="K227" i="12"/>
  <c r="K218" i="12"/>
  <c r="K379" i="12"/>
  <c r="K378" i="12"/>
  <c r="K508" i="12"/>
  <c r="K748" i="12"/>
  <c r="K747" i="12"/>
  <c r="K649" i="12"/>
  <c r="K459" i="12"/>
  <c r="K732" i="12"/>
  <c r="K801" i="12"/>
  <c r="K48" i="12"/>
  <c r="K522" i="12"/>
  <c r="K394" i="12"/>
  <c r="K734" i="12"/>
  <c r="K387" i="12"/>
  <c r="K583" i="12"/>
  <c r="K585" i="12"/>
  <c r="K584" i="12"/>
  <c r="K799" i="12"/>
  <c r="K511" i="12"/>
  <c r="K627" i="12"/>
  <c r="K836" i="12"/>
  <c r="K837" i="12"/>
  <c r="K626" i="12"/>
  <c r="K624" i="12"/>
  <c r="K24" i="12" s="1"/>
  <c r="K519" i="12"/>
  <c r="K507" i="12"/>
  <c r="K276" i="12"/>
  <c r="K277" i="12"/>
  <c r="K273" i="12"/>
  <c r="K275" i="12"/>
  <c r="K274" i="12"/>
  <c r="K272" i="12"/>
  <c r="K278" i="12"/>
  <c r="K281" i="12"/>
  <c r="K279" i="12"/>
  <c r="K280" i="12"/>
  <c r="K268" i="12"/>
  <c r="K267" i="12"/>
  <c r="K264" i="12"/>
  <c r="K266" i="12"/>
  <c r="K239" i="12"/>
  <c r="K237" i="12"/>
  <c r="K102" i="12"/>
  <c r="K803" i="12"/>
  <c r="K50" i="12"/>
  <c r="K318" i="12"/>
  <c r="K74" i="12"/>
  <c r="K64" i="12"/>
  <c r="K14" i="12" s="1"/>
  <c r="K35" i="12"/>
  <c r="K13" i="12" s="1"/>
  <c r="K597" i="12"/>
  <c r="K314" i="12"/>
  <c r="K19" i="12" s="1"/>
  <c r="K260" i="12"/>
  <c r="K596" i="12"/>
  <c r="K288" i="12"/>
  <c r="K598" i="12"/>
  <c r="K103" i="12"/>
  <c r="K808" i="12"/>
  <c r="K417" i="12"/>
  <c r="K100" i="12"/>
  <c r="K15" i="12" s="1"/>
  <c r="K271" i="12"/>
  <c r="K721" i="12"/>
  <c r="K269" i="12"/>
  <c r="K726" i="12"/>
  <c r="K723" i="12"/>
  <c r="K270" i="12"/>
  <c r="K796" i="12"/>
  <c r="K28" i="12" s="1"/>
  <c r="K854" i="12"/>
  <c r="K895" i="12"/>
  <c r="K30" i="12" s="1"/>
  <c r="K857" i="12"/>
  <c r="K725" i="12"/>
  <c r="K855" i="12"/>
  <c r="K724" i="12"/>
  <c r="K594" i="12"/>
  <c r="K286" i="12"/>
  <c r="K720" i="12"/>
  <c r="K833" i="12"/>
  <c r="K29" i="12" s="1"/>
  <c r="K719" i="12"/>
  <c r="K26" i="12" s="1"/>
  <c r="K241" i="12"/>
  <c r="K593" i="12"/>
  <c r="K285" i="12"/>
  <c r="K251" i="12"/>
  <c r="K433" i="12"/>
  <c r="K413" i="12"/>
  <c r="K20" i="12" s="1"/>
  <c r="K235" i="12"/>
  <c r="K183" i="12"/>
  <c r="K16" i="12" s="1"/>
  <c r="K287" i="12"/>
  <c r="K595" i="12"/>
  <c r="K462" i="12"/>
  <c r="K463" i="12"/>
  <c r="K535" i="12"/>
  <c r="K534" i="12"/>
  <c r="K448" i="12"/>
  <c r="K21" i="12" s="1"/>
  <c r="K588" i="12"/>
  <c r="K506" i="12"/>
  <c r="K22" i="12" s="1"/>
  <c r="K658" i="12"/>
  <c r="K661" i="12"/>
  <c r="K591" i="12"/>
  <c r="K582" i="12"/>
  <c r="K23" i="12" s="1"/>
  <c r="K645" i="12"/>
  <c r="K25" i="12" s="1"/>
  <c r="K284" i="12"/>
  <c r="K282" i="12"/>
  <c r="K283" i="12"/>
  <c r="K245" i="12"/>
  <c r="K246" i="12"/>
  <c r="K249" i="12"/>
  <c r="K247" i="12"/>
  <c r="K261" i="12"/>
  <c r="K248" i="12"/>
  <c r="K263" i="12"/>
  <c r="K262" i="12"/>
  <c r="K250" i="12"/>
  <c r="K244" i="12"/>
  <c r="K17" i="12" s="1"/>
  <c r="L17" i="12"/>
  <c r="D26" i="39"/>
  <c r="E18" i="77"/>
  <c r="E22" i="77" s="1"/>
  <c r="F18" i="122"/>
  <c r="J12" i="12"/>
  <c r="A105" i="120"/>
  <c r="A106" i="12"/>
  <c r="M26" i="12" l="1"/>
  <c r="F25" i="77"/>
  <c r="M13" i="12"/>
  <c r="K12" i="12"/>
  <c r="F12" i="77"/>
  <c r="M31" i="12"/>
  <c r="F13" i="77"/>
  <c r="M25" i="12"/>
  <c r="F24" i="77"/>
  <c r="M23" i="12"/>
  <c r="F35" i="77"/>
  <c r="M27" i="12"/>
  <c r="F26" i="77"/>
  <c r="A107" i="12"/>
  <c r="A106" i="120"/>
  <c r="F29" i="77"/>
  <c r="M14" i="12"/>
  <c r="M24" i="12"/>
  <c r="F23" i="77"/>
  <c r="M32" i="12"/>
  <c r="F14" i="77"/>
  <c r="F31" i="77"/>
  <c r="M29" i="12"/>
  <c r="F20" i="77"/>
  <c r="M19" i="12"/>
  <c r="H13" i="78"/>
  <c r="M2" i="12"/>
  <c r="J13" i="78"/>
  <c r="D100" i="39"/>
  <c r="E39" i="77"/>
  <c r="S12" i="12"/>
  <c r="K921" i="12"/>
  <c r="K919" i="12"/>
  <c r="K898" i="12"/>
  <c r="K904" i="12"/>
  <c r="K923" i="12"/>
  <c r="K902" i="12"/>
  <c r="K901" i="12"/>
  <c r="K903" i="12"/>
  <c r="K920" i="12"/>
  <c r="K896" i="12"/>
  <c r="K905" i="12"/>
  <c r="K900" i="12"/>
  <c r="K899" i="12"/>
  <c r="K897" i="12"/>
  <c r="K911" i="12"/>
  <c r="K908" i="12"/>
  <c r="K910" i="12"/>
  <c r="K909" i="12"/>
  <c r="K918" i="12"/>
  <c r="K915" i="12"/>
  <c r="K907" i="12"/>
  <c r="K917" i="12"/>
  <c r="K916" i="12"/>
  <c r="K906" i="12"/>
  <c r="K912" i="12"/>
  <c r="K913" i="12"/>
  <c r="K914" i="12"/>
  <c r="K922" i="12"/>
  <c r="F34" i="77"/>
  <c r="M22" i="12"/>
  <c r="G22" i="77"/>
  <c r="H22" i="77"/>
  <c r="I22" i="77"/>
  <c r="E33" i="77"/>
  <c r="F22" i="77" s="1"/>
  <c r="F21" i="77"/>
  <c r="M21" i="12"/>
  <c r="F27" i="77"/>
  <c r="M30" i="12"/>
  <c r="F19" i="77"/>
  <c r="M18" i="12"/>
  <c r="F32" i="77"/>
  <c r="M28" i="12"/>
  <c r="H18" i="122"/>
  <c r="F34" i="122"/>
  <c r="H34" i="122" s="1"/>
  <c r="S27" i="39"/>
  <c r="K27" i="39"/>
  <c r="W27" i="39"/>
  <c r="U27" i="39"/>
  <c r="T27" i="39"/>
  <c r="R27" i="39"/>
  <c r="Q27" i="39"/>
  <c r="P27" i="39"/>
  <c r="J27" i="39"/>
  <c r="V27" i="39"/>
  <c r="M27" i="39"/>
  <c r="N27" i="39"/>
  <c r="I27" i="39"/>
  <c r="F27" i="39"/>
  <c r="L27" i="39"/>
  <c r="O27" i="39"/>
  <c r="H27" i="39"/>
  <c r="G27" i="39"/>
  <c r="D89" i="39"/>
  <c r="D91" i="39" s="1"/>
  <c r="D93" i="39" s="1"/>
  <c r="F18" i="77"/>
  <c r="M17" i="12"/>
  <c r="F17" i="77"/>
  <c r="M16" i="12"/>
  <c r="M20" i="12"/>
  <c r="F30" i="77"/>
  <c r="M15" i="12"/>
  <c r="F16" i="77"/>
  <c r="X27" i="39" l="1"/>
  <c r="F91" i="39"/>
  <c r="J28" i="39"/>
  <c r="J93" i="39" s="1"/>
  <c r="J94" i="39" s="1"/>
  <c r="J91" i="39"/>
  <c r="A107" i="120"/>
  <c r="A108" i="12"/>
  <c r="P28" i="39"/>
  <c r="P93" i="39" s="1"/>
  <c r="P94" i="39" s="1"/>
  <c r="P91" i="39"/>
  <c r="N28" i="39"/>
  <c r="N93" i="39" s="1"/>
  <c r="N94" i="39" s="1"/>
  <c r="N91" i="39"/>
  <c r="Q28" i="39"/>
  <c r="Q93" i="39" s="1"/>
  <c r="Q94" i="39" s="1"/>
  <c r="Q91" i="39"/>
  <c r="R28" i="39"/>
  <c r="R93" i="39" s="1"/>
  <c r="R94" i="39" s="1"/>
  <c r="R91" i="39"/>
  <c r="I28" i="39"/>
  <c r="I93" i="39" s="1"/>
  <c r="I91" i="39"/>
  <c r="I92" i="39" s="1"/>
  <c r="U28" i="39"/>
  <c r="U93" i="39" s="1"/>
  <c r="U94" i="39" s="1"/>
  <c r="U91" i="39"/>
  <c r="W28" i="39"/>
  <c r="W93" i="39" s="1"/>
  <c r="W94" i="39" s="1"/>
  <c r="W91" i="39"/>
  <c r="G28" i="39"/>
  <c r="G93" i="39" s="1"/>
  <c r="G94" i="39" s="1"/>
  <c r="G91" i="39"/>
  <c r="O28" i="39"/>
  <c r="O93" i="39" s="1"/>
  <c r="O94" i="39" s="1"/>
  <c r="O91" i="39"/>
  <c r="K28" i="39"/>
  <c r="K93" i="39" s="1"/>
  <c r="K91" i="39"/>
  <c r="K92" i="39" s="1"/>
  <c r="G33" i="77"/>
  <c r="I33" i="77"/>
  <c r="F15" i="77"/>
  <c r="E37" i="77"/>
  <c r="F33" i="77" s="1"/>
  <c r="F28" i="77"/>
  <c r="S28" i="39"/>
  <c r="S93" i="39" s="1"/>
  <c r="S94" i="39" s="1"/>
  <c r="S91" i="39"/>
  <c r="F28" i="39"/>
  <c r="V28" i="39"/>
  <c r="V93" i="39" s="1"/>
  <c r="V94" i="39" s="1"/>
  <c r="V91" i="39"/>
  <c r="T28" i="39"/>
  <c r="T93" i="39" s="1"/>
  <c r="T94" i="39" s="1"/>
  <c r="T91" i="39"/>
  <c r="H28" i="39"/>
  <c r="H93" i="39" s="1"/>
  <c r="H94" i="39" s="1"/>
  <c r="H91" i="39"/>
  <c r="L28" i="39"/>
  <c r="L93" i="39" s="1"/>
  <c r="L94" i="39" s="1"/>
  <c r="L91" i="39"/>
  <c r="M28" i="39"/>
  <c r="M93" i="39" s="1"/>
  <c r="M91" i="39"/>
  <c r="M92" i="39" s="1"/>
  <c r="O92" i="39" l="1"/>
  <c r="O89" i="39"/>
  <c r="W92" i="39"/>
  <c r="W89" i="39"/>
  <c r="M89" i="39"/>
  <c r="M94" i="39"/>
  <c r="T92" i="39"/>
  <c r="T89" i="39"/>
  <c r="U92" i="39"/>
  <c r="U89" i="39"/>
  <c r="R92" i="39"/>
  <c r="R89" i="39"/>
  <c r="H92" i="39"/>
  <c r="H89" i="39"/>
  <c r="V92" i="39"/>
  <c r="V89" i="39"/>
  <c r="I89" i="39"/>
  <c r="I94" i="39"/>
  <c r="X28" i="39"/>
  <c r="Y28" i="39" s="1"/>
  <c r="F93" i="39"/>
  <c r="F89" i="39" s="1"/>
  <c r="L92" i="39"/>
  <c r="L89" i="39"/>
  <c r="S92" i="39"/>
  <c r="S89" i="39"/>
  <c r="N92" i="39"/>
  <c r="N89" i="39"/>
  <c r="J92" i="39"/>
  <c r="J89" i="39"/>
  <c r="G92" i="39"/>
  <c r="G89" i="39"/>
  <c r="P92" i="39"/>
  <c r="P89" i="39"/>
  <c r="Q92" i="39"/>
  <c r="Q89" i="39"/>
  <c r="E38" i="77"/>
  <c r="F37" i="77"/>
  <c r="F36" i="77"/>
  <c r="F92" i="39"/>
  <c r="X91" i="39"/>
  <c r="A108" i="120"/>
  <c r="A109" i="12"/>
  <c r="K89" i="39"/>
  <c r="K94" i="39"/>
  <c r="Z27" i="39"/>
  <c r="Y27" i="39"/>
  <c r="Y25" i="39" l="1"/>
  <c r="F90" i="39"/>
  <c r="F95" i="39"/>
  <c r="F96" i="39" s="1"/>
  <c r="X89" i="39"/>
  <c r="Y89" i="39" s="1"/>
  <c r="K95" i="39"/>
  <c r="K96" i="39" s="1"/>
  <c r="K90" i="39"/>
  <c r="R95" i="39"/>
  <c r="R96" i="39" s="1"/>
  <c r="R90" i="39"/>
  <c r="S90" i="39"/>
  <c r="S95" i="39"/>
  <c r="S96" i="39" s="1"/>
  <c r="L90" i="39"/>
  <c r="L95" i="39"/>
  <c r="L96" i="39" s="1"/>
  <c r="V95" i="39"/>
  <c r="V96" i="39" s="1"/>
  <c r="V90" i="39"/>
  <c r="H90" i="39"/>
  <c r="H95" i="39"/>
  <c r="H96" i="39" s="1"/>
  <c r="Q95" i="39"/>
  <c r="Q96" i="39" s="1"/>
  <c r="Q90" i="39"/>
  <c r="J90" i="39"/>
  <c r="J95" i="39"/>
  <c r="J96" i="39" s="1"/>
  <c r="A109" i="120"/>
  <c r="A110" i="12"/>
  <c r="I95" i="39"/>
  <c r="I96" i="39" s="1"/>
  <c r="I90" i="39"/>
  <c r="X92" i="39"/>
  <c r="U90" i="39"/>
  <c r="U95" i="39"/>
  <c r="U96" i="39" s="1"/>
  <c r="P95" i="39"/>
  <c r="P96" i="39" s="1"/>
  <c r="P90" i="39"/>
  <c r="G90" i="39"/>
  <c r="G95" i="39"/>
  <c r="G96" i="39" s="1"/>
  <c r="O90" i="39"/>
  <c r="O95" i="39"/>
  <c r="O96" i="39" s="1"/>
  <c r="F94" i="39"/>
  <c r="X94" i="39" s="1"/>
  <c r="X93" i="39"/>
  <c r="Y91" i="39"/>
  <c r="Z92" i="39" s="1"/>
  <c r="T95" i="39"/>
  <c r="T96" i="39" s="1"/>
  <c r="T90" i="39"/>
  <c r="M95" i="39"/>
  <c r="M96" i="39" s="1"/>
  <c r="M90" i="39"/>
  <c r="W95" i="39"/>
  <c r="W96" i="39" s="1"/>
  <c r="W90" i="39"/>
  <c r="N90" i="39"/>
  <c r="N95" i="39"/>
  <c r="N96" i="39" s="1"/>
  <c r="Z91" i="39" l="1"/>
  <c r="A111" i="12"/>
  <c r="A110" i="120"/>
  <c r="Y93" i="39"/>
  <c r="Y95" i="39"/>
  <c r="X90" i="39"/>
  <c r="A111" i="120" l="1"/>
  <c r="A112" i="12"/>
  <c r="A112" i="120" l="1"/>
  <c r="A113" i="12"/>
  <c r="A114" i="12" l="1"/>
  <c r="A113" i="120"/>
  <c r="A115" i="12" l="1"/>
  <c r="A114" i="120"/>
  <c r="A116" i="12" l="1"/>
  <c r="A115" i="120"/>
  <c r="A116" i="120" l="1"/>
  <c r="A117" i="12"/>
  <c r="A117" i="120" l="1"/>
  <c r="A118" i="12"/>
  <c r="A119" i="12" l="1"/>
  <c r="A118" i="120"/>
  <c r="A119" i="120" l="1"/>
  <c r="A120" i="12"/>
  <c r="A120" i="120" l="1"/>
  <c r="A121" i="12"/>
  <c r="A121" i="120" l="1"/>
  <c r="A122" i="12"/>
  <c r="A122" i="120" l="1"/>
  <c r="A123" i="12"/>
  <c r="A123" i="120" l="1"/>
  <c r="A124" i="12"/>
  <c r="A125" i="12" l="1"/>
  <c r="A124" i="120"/>
  <c r="A125" i="120" l="1"/>
  <c r="A126" i="12"/>
  <c r="A127" i="12" l="1"/>
  <c r="A126" i="120"/>
  <c r="A128" i="12" l="1"/>
  <c r="A127" i="120"/>
  <c r="A128" i="120" l="1"/>
  <c r="A129" i="12"/>
  <c r="A129" i="120" l="1"/>
  <c r="A130" i="12"/>
  <c r="A131" i="12" l="1"/>
  <c r="A130" i="120"/>
  <c r="A132" i="12" l="1"/>
  <c r="A131" i="120"/>
  <c r="A133" i="12" l="1"/>
  <c r="A132" i="120"/>
  <c r="A134" i="12" l="1"/>
  <c r="A133" i="120"/>
  <c r="A134" i="120" l="1"/>
  <c r="A135" i="12"/>
  <c r="A136" i="12" l="1"/>
  <c r="A135" i="120"/>
  <c r="A136" i="120" l="1"/>
  <c r="A137" i="12"/>
  <c r="A137" i="120" l="1"/>
  <c r="A138" i="12"/>
  <c r="A139" i="12" l="1"/>
  <c r="A138" i="120"/>
  <c r="A139" i="120" l="1"/>
  <c r="A140" i="12"/>
  <c r="A141" i="12" l="1"/>
  <c r="A140" i="120"/>
  <c r="A142" i="12" l="1"/>
  <c r="A141" i="120"/>
  <c r="A142" i="120" l="1"/>
  <c r="A143" i="12"/>
  <c r="A144" i="12" l="1"/>
  <c r="A143" i="120"/>
  <c r="A144" i="120" l="1"/>
  <c r="A145" i="12"/>
  <c r="A146" i="12" l="1"/>
  <c r="A145" i="120"/>
  <c r="A146" i="120" l="1"/>
  <c r="A147" i="12"/>
  <c r="A147" i="120" l="1"/>
  <c r="A148" i="12"/>
  <c r="A149" i="12" l="1"/>
  <c r="A148" i="120"/>
  <c r="A150" i="12" l="1"/>
  <c r="A149" i="120"/>
  <c r="A150" i="120" l="1"/>
  <c r="A151" i="12"/>
  <c r="A152" i="12" l="1"/>
  <c r="A151" i="120"/>
  <c r="A152" i="120" l="1"/>
  <c r="A153" i="12"/>
  <c r="A153" i="120" l="1"/>
  <c r="A154" i="12"/>
  <c r="A154" i="120" l="1"/>
  <c r="A155" i="12"/>
  <c r="A155" i="120" l="1"/>
  <c r="A156" i="12"/>
  <c r="A156" i="120" l="1"/>
  <c r="A157" i="12"/>
  <c r="A157" i="120" l="1"/>
  <c r="A158" i="12"/>
  <c r="A159" i="12" l="1"/>
  <c r="A158" i="120"/>
  <c r="A159" i="120" l="1"/>
  <c r="A160" i="12"/>
  <c r="A160" i="120" l="1"/>
  <c r="A161" i="12"/>
  <c r="A161" i="120" l="1"/>
  <c r="A162" i="12"/>
  <c r="A162" i="120" l="1"/>
  <c r="A163" i="12"/>
  <c r="A163" i="120" l="1"/>
  <c r="A164" i="12"/>
  <c r="A164" i="120" l="1"/>
  <c r="A165" i="12"/>
  <c r="A165" i="120" l="1"/>
  <c r="A166" i="12"/>
  <c r="A167" i="12" l="1"/>
  <c r="A166" i="120"/>
  <c r="A168" i="12" l="1"/>
  <c r="A167" i="120"/>
  <c r="A168" i="120" l="1"/>
  <c r="A169" i="12"/>
  <c r="A169" i="120" l="1"/>
  <c r="A171" i="12"/>
  <c r="A173" i="12" l="1"/>
  <c r="A171" i="120"/>
  <c r="A173" i="120" l="1"/>
  <c r="A175" i="12"/>
  <c r="A177" i="12" l="1"/>
  <c r="A175" i="120"/>
  <c r="A179" i="12" l="1"/>
  <c r="A177" i="120"/>
  <c r="A181" i="12" l="1"/>
  <c r="A179" i="120"/>
  <c r="A181" i="120" l="1"/>
  <c r="A183" i="120" s="1"/>
  <c r="A183" i="12"/>
  <c r="B16" i="12" l="1"/>
  <c r="I183" i="12"/>
  <c r="A184" i="12"/>
  <c r="I183" i="120"/>
  <c r="B16" i="120"/>
  <c r="A21" i="134" s="1"/>
  <c r="A184" i="120" l="1"/>
  <c r="A185" i="12"/>
  <c r="A21" i="39"/>
  <c r="A17" i="77"/>
  <c r="B17" i="122"/>
  <c r="A186" i="12" l="1"/>
  <c r="A185" i="120"/>
  <c r="A186" i="120" l="1"/>
  <c r="A187" i="12"/>
  <c r="A187" i="120" l="1"/>
  <c r="A188" i="12"/>
  <c r="A188" i="120" l="1"/>
  <c r="A189" i="12"/>
  <c r="A189" i="120" l="1"/>
  <c r="A190" i="12"/>
  <c r="A190" i="120" l="1"/>
  <c r="A191" i="12"/>
  <c r="A191" i="120" l="1"/>
  <c r="A192" i="12"/>
  <c r="A193" i="12" l="1"/>
  <c r="A192" i="120"/>
  <c r="A193" i="120" l="1"/>
  <c r="A194" i="12"/>
  <c r="A194" i="120" l="1"/>
  <c r="A195" i="12"/>
  <c r="A195" i="120" l="1"/>
  <c r="A196" i="12"/>
  <c r="A197" i="12" l="1"/>
  <c r="A196" i="120"/>
  <c r="A198" i="12" l="1"/>
  <c r="A197" i="120"/>
  <c r="A198" i="120" l="1"/>
  <c r="A199" i="12"/>
  <c r="A199" i="120" l="1"/>
  <c r="A200" i="12"/>
  <c r="A201" i="12" l="1"/>
  <c r="A200" i="120"/>
  <c r="A202" i="12" l="1"/>
  <c r="A201" i="120"/>
  <c r="A203" i="12" l="1"/>
  <c r="A202" i="120"/>
  <c r="A203" i="120" l="1"/>
  <c r="A204" i="12"/>
  <c r="A204" i="120" l="1"/>
  <c r="A205" i="12"/>
  <c r="A206" i="12" l="1"/>
  <c r="A205" i="120"/>
  <c r="A207" i="12" l="1"/>
  <c r="A206" i="120"/>
  <c r="A208" i="12" l="1"/>
  <c r="A207" i="120"/>
  <c r="A209" i="12" l="1"/>
  <c r="A208" i="120"/>
  <c r="A209" i="120" l="1"/>
  <c r="A210" i="12"/>
  <c r="A211" i="12" l="1"/>
  <c r="A210" i="120"/>
  <c r="A212" i="12" l="1"/>
  <c r="A211" i="120"/>
  <c r="A212" i="120" l="1"/>
  <c r="A213" i="12"/>
  <c r="A214" i="12" l="1"/>
  <c r="A213" i="120"/>
  <c r="A214" i="120" l="1"/>
  <c r="A215" i="12"/>
  <c r="A215" i="120" l="1"/>
  <c r="A216" i="12"/>
  <c r="A216" i="120" l="1"/>
  <c r="A217" i="12"/>
  <c r="A217" i="120" l="1"/>
  <c r="A218" i="12"/>
  <c r="A219" i="12" l="1"/>
  <c r="A218" i="120"/>
  <c r="A220" i="12" l="1"/>
  <c r="A219" i="120"/>
  <c r="A220" i="120" l="1"/>
  <c r="A221" i="12"/>
  <c r="A222" i="12" l="1"/>
  <c r="A221" i="120"/>
  <c r="A223" i="12" l="1"/>
  <c r="A222" i="120"/>
  <c r="A223" i="120" l="1"/>
  <c r="A224" i="12"/>
  <c r="A224" i="120" l="1"/>
  <c r="A225" i="12"/>
  <c r="A226" i="12" l="1"/>
  <c r="A225" i="120"/>
  <c r="A226" i="120" l="1"/>
  <c r="A227" i="12"/>
  <c r="A227" i="120" l="1"/>
  <c r="A228" i="12"/>
  <c r="A228" i="120" l="1"/>
  <c r="A229" i="12"/>
  <c r="A229" i="120" l="1"/>
  <c r="A230" i="12"/>
  <c r="A230" i="120" l="1"/>
  <c r="A231" i="12"/>
  <c r="A232" i="12" l="1"/>
  <c r="A231" i="120"/>
  <c r="A232" i="120" l="1"/>
  <c r="A233" i="12"/>
  <c r="A233" i="120" l="1"/>
  <c r="A234" i="12"/>
  <c r="A235" i="12" l="1"/>
  <c r="A234" i="120"/>
  <c r="A236" i="12" l="1"/>
  <c r="A235" i="120"/>
  <c r="A236" i="120" l="1"/>
  <c r="A237" i="12"/>
  <c r="A237" i="120" l="1"/>
  <c r="A238" i="12"/>
  <c r="A238" i="120" l="1"/>
  <c r="A239" i="12"/>
  <c r="A239" i="120" l="1"/>
  <c r="A240" i="12"/>
  <c r="A241" i="12" l="1"/>
  <c r="A240" i="120"/>
  <c r="A242" i="12" l="1"/>
  <c r="A242" i="120" s="1"/>
  <c r="A241" i="120"/>
  <c r="A244" i="120" s="1"/>
  <c r="A244" i="12"/>
  <c r="B17" i="12" l="1"/>
  <c r="I244" i="12"/>
  <c r="A245" i="12"/>
  <c r="B17" i="120"/>
  <c r="A25" i="134" s="1"/>
  <c r="I244" i="120"/>
  <c r="A246" i="12" l="1"/>
  <c r="A245" i="120"/>
  <c r="A18" i="77"/>
  <c r="A25" i="39"/>
  <c r="B18" i="122"/>
  <c r="A246" i="120" l="1"/>
  <c r="A247" i="12"/>
  <c r="A247" i="120" l="1"/>
  <c r="A248" i="12"/>
  <c r="A249" i="12" l="1"/>
  <c r="A248" i="120"/>
  <c r="A249" i="120" l="1"/>
  <c r="A250" i="12"/>
  <c r="A250" i="120" l="1"/>
  <c r="A251" i="12"/>
  <c r="A252" i="12" l="1"/>
  <c r="A251" i="120"/>
  <c r="A253" i="12" l="1"/>
  <c r="A252" i="120"/>
  <c r="A253" i="120" l="1"/>
  <c r="A254" i="12"/>
  <c r="A255" i="12" l="1"/>
  <c r="A254" i="120"/>
  <c r="A255" i="120" l="1"/>
  <c r="A256" i="12"/>
  <c r="A257" i="12" l="1"/>
  <c r="A256" i="120"/>
  <c r="A257" i="120" l="1"/>
  <c r="A258" i="12"/>
  <c r="A259" i="12" l="1"/>
  <c r="A258" i="120"/>
  <c r="A260" i="12" l="1"/>
  <c r="A259" i="120"/>
  <c r="A261" i="12" l="1"/>
  <c r="A260" i="120"/>
  <c r="A261" i="120" l="1"/>
  <c r="A262" i="12"/>
  <c r="A262" i="120" l="1"/>
  <c r="A263" i="12"/>
  <c r="A263" i="120" l="1"/>
  <c r="A264" i="12"/>
  <c r="A264" i="120" l="1"/>
  <c r="A265" i="12"/>
  <c r="A266" i="12" l="1"/>
  <c r="A265" i="120"/>
  <c r="A267" i="12" l="1"/>
  <c r="A266" i="120"/>
  <c r="A267" i="120" l="1"/>
  <c r="A268" i="12"/>
  <c r="A268" i="120" l="1"/>
  <c r="A269" i="12"/>
  <c r="A270" i="12" l="1"/>
  <c r="A269" i="120"/>
  <c r="A271" i="12" l="1"/>
  <c r="A270" i="120"/>
  <c r="A271" i="120" l="1"/>
  <c r="A272" i="12"/>
  <c r="A272" i="120" l="1"/>
  <c r="A273" i="12"/>
  <c r="A274" i="12" l="1"/>
  <c r="A273" i="120"/>
  <c r="A275" i="12" l="1"/>
  <c r="A274" i="120"/>
  <c r="A275" i="120" l="1"/>
  <c r="A276" i="12"/>
  <c r="A276" i="120" l="1"/>
  <c r="A277" i="12"/>
  <c r="A277" i="120" l="1"/>
  <c r="A278" i="12"/>
  <c r="A279" i="12" l="1"/>
  <c r="A278" i="120"/>
  <c r="A279" i="120" l="1"/>
  <c r="A280" i="12"/>
  <c r="A280" i="120" l="1"/>
  <c r="A281" i="12"/>
  <c r="A281" i="120" l="1"/>
  <c r="A282" i="12"/>
  <c r="A283" i="12" l="1"/>
  <c r="A282" i="120"/>
  <c r="A283" i="120" l="1"/>
  <c r="A284" i="12"/>
  <c r="A284" i="120" l="1"/>
  <c r="A285" i="12"/>
  <c r="A286" i="12" l="1"/>
  <c r="A285" i="120"/>
  <c r="A287" i="12" l="1"/>
  <c r="A286" i="120"/>
  <c r="A288" i="12" l="1"/>
  <c r="A287" i="120"/>
  <c r="A290" i="12" l="1"/>
  <c r="A288" i="120"/>
  <c r="A292" i="12" l="1"/>
  <c r="A290" i="120"/>
  <c r="A292" i="120" l="1"/>
  <c r="A294" i="120" s="1"/>
  <c r="A294" i="12"/>
  <c r="B18" i="12" l="1"/>
  <c r="A295" i="12"/>
  <c r="I294" i="12"/>
  <c r="B18" i="120"/>
  <c r="A29" i="134" s="1"/>
  <c r="I294" i="120"/>
  <c r="A296" i="12" l="1"/>
  <c r="A295" i="120"/>
  <c r="B19" i="122"/>
  <c r="A19" i="77"/>
  <c r="A29" i="39"/>
  <c r="A296" i="120" l="1"/>
  <c r="A297" i="12"/>
  <c r="A297" i="120" l="1"/>
  <c r="A298" i="12"/>
  <c r="A298" i="120" l="1"/>
  <c r="A299" i="12"/>
  <c r="A300" i="12" l="1"/>
  <c r="A299" i="120"/>
  <c r="A300" i="120" l="1"/>
  <c r="A301" i="12"/>
  <c r="A301" i="120" l="1"/>
  <c r="A302" i="12"/>
  <c r="A302" i="120" l="1"/>
  <c r="A303" i="12"/>
  <c r="A304" i="12" l="1"/>
  <c r="A303" i="120"/>
  <c r="A305" i="12" l="1"/>
  <c r="A304" i="120"/>
  <c r="A305" i="120" l="1"/>
  <c r="A306" i="12"/>
  <c r="A307" i="12" l="1"/>
  <c r="A306" i="120"/>
  <c r="A307" i="120" l="1"/>
  <c r="A308" i="12"/>
  <c r="A309" i="12" l="1"/>
  <c r="A308" i="120"/>
  <c r="A310" i="12" l="1"/>
  <c r="A309" i="120"/>
  <c r="A310" i="120" l="1"/>
  <c r="A311" i="12"/>
  <c r="A311" i="120" l="1"/>
  <c r="A312" i="12"/>
  <c r="A312" i="120" l="1"/>
  <c r="A314" i="120" s="1"/>
  <c r="A314" i="12"/>
  <c r="B19" i="12" l="1"/>
  <c r="A316" i="12"/>
  <c r="I314" i="12"/>
  <c r="A413" i="12"/>
  <c r="B19" i="120"/>
  <c r="A33" i="134" s="1"/>
  <c r="I314" i="120"/>
  <c r="A413" i="120"/>
  <c r="I413" i="120" l="1"/>
  <c r="B20" i="120"/>
  <c r="A37" i="134" s="1"/>
  <c r="A414" i="12"/>
  <c r="B20" i="12"/>
  <c r="I413" i="12"/>
  <c r="A316" i="120"/>
  <c r="A317" i="12"/>
  <c r="B20" i="122"/>
  <c r="A20" i="77"/>
  <c r="A33" i="39"/>
  <c r="A37" i="39" l="1"/>
  <c r="B21" i="122"/>
  <c r="A30" i="77"/>
  <c r="A415" i="12"/>
  <c r="A414" i="120"/>
  <c r="A318" i="12"/>
  <c r="A317" i="120"/>
  <c r="A318" i="120" l="1"/>
  <c r="A319" i="12"/>
  <c r="A416" i="12"/>
  <c r="A415" i="120"/>
  <c r="A417" i="12" l="1"/>
  <c r="A416" i="120"/>
  <c r="A319" i="120"/>
  <c r="A320" i="12"/>
  <c r="A321" i="12" l="1"/>
  <c r="A320" i="120"/>
  <c r="A417" i="120"/>
  <c r="A418" i="12"/>
  <c r="A418" i="120" l="1"/>
  <c r="A419" i="12"/>
  <c r="A323" i="12"/>
  <c r="A321" i="120"/>
  <c r="A323" i="120" l="1"/>
  <c r="A324" i="12"/>
  <c r="A419" i="120"/>
  <c r="A420" i="12"/>
  <c r="A421" i="12" l="1"/>
  <c r="A420" i="120"/>
  <c r="A325" i="12"/>
  <c r="A324" i="120"/>
  <c r="A326" i="12" l="1"/>
  <c r="A325" i="120"/>
  <c r="A422" i="12"/>
  <c r="A421" i="120"/>
  <c r="A422" i="120" l="1"/>
  <c r="A423" i="12"/>
  <c r="A327" i="12"/>
  <c r="A326" i="120"/>
  <c r="A327" i="120" l="1"/>
  <c r="A328" i="12"/>
  <c r="A423" i="120"/>
  <c r="A424" i="12"/>
  <c r="A425" i="12" l="1"/>
  <c r="A424" i="120"/>
  <c r="A329" i="12"/>
  <c r="A328" i="120"/>
  <c r="A330" i="12" l="1"/>
  <c r="A329" i="120"/>
  <c r="A426" i="12"/>
  <c r="A425" i="120"/>
  <c r="A426" i="120" l="1"/>
  <c r="A427" i="12"/>
  <c r="A330" i="120"/>
  <c r="A331" i="12"/>
  <c r="A332" i="12" l="1"/>
  <c r="A331" i="120"/>
  <c r="A427" i="120"/>
  <c r="A428" i="12"/>
  <c r="A428" i="120" l="1"/>
  <c r="A429" i="12"/>
  <c r="A333" i="12"/>
  <c r="A332" i="120"/>
  <c r="A333" i="120" l="1"/>
  <c r="A334" i="12"/>
  <c r="A430" i="12"/>
  <c r="A429" i="120"/>
  <c r="A430" i="120" l="1"/>
  <c r="A431" i="12"/>
  <c r="A334" i="120"/>
  <c r="A335" i="12"/>
  <c r="A431" i="120" l="1"/>
  <c r="A432" i="12"/>
  <c r="A335" i="120"/>
  <c r="A336" i="12"/>
  <c r="A432" i="120" l="1"/>
  <c r="A433" i="12"/>
  <c r="A337" i="12"/>
  <c r="A336" i="120"/>
  <c r="A433" i="120" l="1"/>
  <c r="A434" i="12"/>
  <c r="A337" i="120"/>
  <c r="A338" i="12"/>
  <c r="A338" i="120" l="1"/>
  <c r="A339" i="12"/>
  <c r="A434" i="120"/>
  <c r="A435" i="12"/>
  <c r="A340" i="12" l="1"/>
  <c r="A339" i="120"/>
  <c r="A436" i="12"/>
  <c r="A435" i="120"/>
  <c r="A437" i="12" l="1"/>
  <c r="A436" i="120"/>
  <c r="A340" i="120"/>
  <c r="A341" i="12"/>
  <c r="A341" i="120" l="1"/>
  <c r="A342" i="12"/>
  <c r="A437" i="120"/>
  <c r="A438" i="12"/>
  <c r="A343" i="12" l="1"/>
  <c r="A342" i="120"/>
  <c r="A438" i="120"/>
  <c r="A440" i="12"/>
  <c r="A442" i="12" l="1"/>
  <c r="A440" i="120"/>
  <c r="A343" i="120"/>
  <c r="A344" i="12"/>
  <c r="A344" i="120" l="1"/>
  <c r="A346" i="12"/>
  <c r="A444" i="12"/>
  <c r="A442" i="120"/>
  <c r="A444" i="120" l="1"/>
  <c r="A446" i="12"/>
  <c r="A346" i="120"/>
  <c r="A347" i="12"/>
  <c r="A348" i="12" l="1"/>
  <c r="A347" i="120"/>
  <c r="A446" i="120"/>
  <c r="A448" i="120" s="1"/>
  <c r="A448" i="12"/>
  <c r="B21" i="12" l="1"/>
  <c r="I448" i="12"/>
  <c r="A449" i="12"/>
  <c r="I448" i="120"/>
  <c r="B21" i="120"/>
  <c r="A41" i="134" s="1"/>
  <c r="A349" i="12"/>
  <c r="A348" i="120"/>
  <c r="A349" i="120" l="1"/>
  <c r="A350" i="12"/>
  <c r="A449" i="120"/>
  <c r="A450" i="12"/>
  <c r="B22" i="122"/>
  <c r="A41" i="39"/>
  <c r="A21" i="77"/>
  <c r="A351" i="12" l="1"/>
  <c r="A350" i="120"/>
  <c r="A450" i="120"/>
  <c r="A451" i="12"/>
  <c r="A452" i="12" l="1"/>
  <c r="A451" i="120"/>
  <c r="A352" i="12"/>
  <c r="A351" i="120"/>
  <c r="A352" i="120" l="1"/>
  <c r="A353" i="12"/>
  <c r="A453" i="12"/>
  <c r="A452" i="120"/>
  <c r="A453" i="120" l="1"/>
  <c r="A454" i="12"/>
  <c r="A354" i="12"/>
  <c r="A353" i="120"/>
  <c r="A354" i="120" l="1"/>
  <c r="A355" i="12"/>
  <c r="A455" i="12"/>
  <c r="A454" i="120"/>
  <c r="A456" i="12" l="1"/>
  <c r="A455" i="120"/>
  <c r="A355" i="120"/>
  <c r="A356" i="12"/>
  <c r="A356" i="120" l="1"/>
  <c r="A357" i="12"/>
  <c r="A456" i="120"/>
  <c r="A457" i="12"/>
  <c r="A458" i="12" l="1"/>
  <c r="A457" i="120"/>
  <c r="A358" i="12"/>
  <c r="A357" i="120"/>
  <c r="A358" i="120" l="1"/>
  <c r="A359" i="12"/>
  <c r="A459" i="12"/>
  <c r="A458" i="120"/>
  <c r="A460" i="12" l="1"/>
  <c r="A459" i="120"/>
  <c r="A360" i="12"/>
  <c r="A359" i="120"/>
  <c r="A360" i="120" l="1"/>
  <c r="A361" i="12"/>
  <c r="A460" i="120"/>
  <c r="A461" i="12"/>
  <c r="A462" i="12" l="1"/>
  <c r="A461" i="120"/>
  <c r="A361" i="120"/>
  <c r="A362" i="12"/>
  <c r="A362" i="120" l="1"/>
  <c r="A363" i="12"/>
  <c r="A463" i="12"/>
  <c r="A462" i="120"/>
  <c r="A464" i="12" l="1"/>
  <c r="A463" i="120"/>
  <c r="A363" i="120"/>
  <c r="A364" i="12"/>
  <c r="A365" i="12" l="1"/>
  <c r="A364" i="120"/>
  <c r="A464" i="120"/>
  <c r="A465" i="12"/>
  <c r="A465" i="120" l="1"/>
  <c r="A466" i="12"/>
  <c r="A365" i="120"/>
  <c r="A366" i="12"/>
  <c r="A367" i="12" l="1"/>
  <c r="A366" i="120"/>
  <c r="A466" i="120"/>
  <c r="A468" i="12"/>
  <c r="A468" i="120" l="1"/>
  <c r="A470" i="12"/>
  <c r="A368" i="12"/>
  <c r="A367" i="120"/>
  <c r="A368" i="120" l="1"/>
  <c r="A369" i="12"/>
  <c r="A472" i="12"/>
  <c r="A470" i="120"/>
  <c r="A474" i="12" l="1"/>
  <c r="A472" i="120"/>
  <c r="A370" i="12"/>
  <c r="A369" i="120"/>
  <c r="A371" i="12" l="1"/>
  <c r="A370" i="120"/>
  <c r="A476" i="12"/>
  <c r="A474" i="120"/>
  <c r="A478" i="12" l="1"/>
  <c r="A476" i="120"/>
  <c r="A372" i="12"/>
  <c r="A371" i="120"/>
  <c r="A373" i="12" l="1"/>
  <c r="A372" i="120"/>
  <c r="A478" i="120"/>
  <c r="A480" i="12"/>
  <c r="A480" i="120" l="1"/>
  <c r="A482" i="12"/>
  <c r="A373" i="120"/>
  <c r="A374" i="12"/>
  <c r="A374" i="120" l="1"/>
  <c r="A375" i="12"/>
  <c r="A484" i="12"/>
  <c r="A482" i="120"/>
  <c r="A376" i="12" l="1"/>
  <c r="A377" i="12"/>
  <c r="A375" i="120"/>
  <c r="A488" i="12"/>
  <c r="A488" i="120" s="1"/>
  <c r="A486" i="12"/>
  <c r="A484" i="120"/>
  <c r="A490" i="12" l="1"/>
  <c r="A486" i="120"/>
  <c r="A379" i="12"/>
  <c r="A377" i="120"/>
  <c r="A376" i="120"/>
  <c r="A378" i="12"/>
  <c r="A378" i="120" s="1"/>
  <c r="A379" i="120" l="1"/>
  <c r="A380" i="12"/>
  <c r="A492" i="12"/>
  <c r="A490" i="120"/>
  <c r="A494" i="12" l="1"/>
  <c r="A492" i="120"/>
  <c r="A381" i="12"/>
  <c r="A380" i="120"/>
  <c r="A382" i="12" l="1"/>
  <c r="A381" i="120"/>
  <c r="A494" i="120"/>
  <c r="A496" i="12"/>
  <c r="A498" i="12" l="1"/>
  <c r="A496" i="120"/>
  <c r="A382" i="120"/>
  <c r="A383" i="12"/>
  <c r="A384" i="12" l="1"/>
  <c r="A383" i="120"/>
  <c r="A498" i="120"/>
  <c r="A500" i="12"/>
  <c r="A502" i="12" l="1"/>
  <c r="A500" i="120"/>
  <c r="A385" i="12"/>
  <c r="A384" i="120"/>
  <c r="A385" i="120" l="1"/>
  <c r="A387" i="12"/>
  <c r="A504" i="12"/>
  <c r="A502" i="120"/>
  <c r="A504" i="120" l="1"/>
  <c r="A506" i="120" s="1"/>
  <c r="A506" i="12"/>
  <c r="A387" i="120"/>
  <c r="A388" i="12"/>
  <c r="A389" i="12" l="1"/>
  <c r="A388" i="120"/>
  <c r="I506" i="12"/>
  <c r="A507" i="12"/>
  <c r="B22" i="12"/>
  <c r="I506" i="120"/>
  <c r="B22" i="120"/>
  <c r="A45" i="134" s="1"/>
  <c r="B23" i="122" l="1"/>
  <c r="A34" i="77"/>
  <c r="A45" i="39"/>
  <c r="A507" i="120"/>
  <c r="A508" i="12"/>
  <c r="A390" i="12"/>
  <c r="A389" i="120"/>
  <c r="A509" i="12" l="1"/>
  <c r="A508" i="120"/>
  <c r="A390" i="120"/>
  <c r="A391" i="12"/>
  <c r="A391" i="120" l="1"/>
  <c r="A392" i="12"/>
  <c r="A510" i="12"/>
  <c r="A509" i="120"/>
  <c r="A510" i="120" l="1"/>
  <c r="A511" i="12"/>
  <c r="A392" i="120"/>
  <c r="A393" i="12"/>
  <c r="A393" i="120" l="1"/>
  <c r="A394" i="12"/>
  <c r="A512" i="12"/>
  <c r="A511" i="120"/>
  <c r="A395" i="12" l="1"/>
  <c r="A394" i="120"/>
  <c r="A513" i="12"/>
  <c r="A512" i="120"/>
  <c r="A513" i="120" l="1"/>
  <c r="A514" i="12"/>
  <c r="A396" i="12"/>
  <c r="A395" i="120"/>
  <c r="A396" i="120" l="1"/>
  <c r="A397" i="12"/>
  <c r="A515" i="12"/>
  <c r="A514" i="120"/>
  <c r="A516" i="12" l="1"/>
  <c r="A515" i="120"/>
  <c r="A398" i="12"/>
  <c r="A397" i="120"/>
  <c r="A399" i="12" l="1"/>
  <c r="A398" i="120"/>
  <c r="A517" i="12"/>
  <c r="A516" i="120"/>
  <c r="A518" i="12" l="1"/>
  <c r="A517" i="120"/>
  <c r="A399" i="120"/>
  <c r="A401" i="12"/>
  <c r="A403" i="12" l="1"/>
  <c r="A401" i="120"/>
  <c r="A519" i="12"/>
  <c r="A518" i="120"/>
  <c r="A520" i="12" l="1"/>
  <c r="A519" i="120"/>
  <c r="A403" i="120"/>
  <c r="A405" i="12"/>
  <c r="A409" i="12" l="1"/>
  <c r="A405" i="120"/>
  <c r="A407" i="12"/>
  <c r="A407" i="120" s="1"/>
  <c r="A520" i="120"/>
  <c r="A521" i="12"/>
  <c r="A522" i="12" l="1"/>
  <c r="A521" i="120"/>
  <c r="A411" i="12"/>
  <c r="A411" i="120" s="1"/>
  <c r="A409" i="120"/>
  <c r="A522" i="120" l="1"/>
  <c r="A523" i="12"/>
  <c r="A524" i="12" l="1"/>
  <c r="A523" i="120"/>
  <c r="A525" i="12" l="1"/>
  <c r="A524" i="120"/>
  <c r="A526" i="12" l="1"/>
  <c r="A525" i="120"/>
  <c r="A527" i="12" l="1"/>
  <c r="A526" i="120"/>
  <c r="A527" i="120" l="1"/>
  <c r="A528" i="12"/>
  <c r="A529" i="12" l="1"/>
  <c r="A528" i="120"/>
  <c r="A530" i="12" l="1"/>
  <c r="A529" i="120"/>
  <c r="A531" i="12" l="1"/>
  <c r="A530" i="120"/>
  <c r="A532" i="12" l="1"/>
  <c r="A531" i="120"/>
  <c r="A532" i="120" l="1"/>
  <c r="A533" i="12"/>
  <c r="A534" i="12" l="1"/>
  <c r="A533" i="120"/>
  <c r="A534" i="120" l="1"/>
  <c r="A535" i="12"/>
  <c r="A535" i="120" l="1"/>
  <c r="A536" i="12"/>
  <c r="A536" i="120" l="1"/>
  <c r="A537" i="12"/>
  <c r="A538" i="12" l="1"/>
  <c r="A537" i="120"/>
  <c r="A539" i="12" l="1"/>
  <c r="A538" i="120"/>
  <c r="A539" i="120" l="1"/>
  <c r="A540" i="12"/>
  <c r="A540" i="120" l="1"/>
  <c r="A541" i="12"/>
  <c r="A541" i="120" l="1"/>
  <c r="A542" i="12"/>
  <c r="A544" i="12" l="1"/>
  <c r="A542" i="120"/>
  <c r="A544" i="120" l="1"/>
  <c r="A546" i="12"/>
  <c r="A546" i="120" l="1"/>
  <c r="A548" i="12"/>
  <c r="A548" i="120" l="1"/>
  <c r="A550" i="12"/>
  <c r="A550" i="120" l="1"/>
  <c r="A552" i="12"/>
  <c r="A552" i="120" l="1"/>
  <c r="A554" i="12"/>
  <c r="A556" i="12" l="1"/>
  <c r="A554" i="120"/>
  <c r="A558" i="12" l="1"/>
  <c r="A556" i="120"/>
  <c r="A558" i="120" l="1"/>
  <c r="A560" i="12"/>
  <c r="A560" i="120" l="1"/>
  <c r="A562" i="12"/>
  <c r="A562" i="120" l="1"/>
  <c r="A564" i="12"/>
  <c r="A566" i="12" l="1"/>
  <c r="A564" i="120"/>
  <c r="A566" i="120" l="1"/>
  <c r="A568" i="12"/>
  <c r="A570" i="12" l="1"/>
  <c r="A568" i="120"/>
  <c r="A572" i="12" l="1"/>
  <c r="A570" i="120"/>
  <c r="A574" i="12" l="1"/>
  <c r="A572" i="120"/>
  <c r="A576" i="12" l="1"/>
  <c r="A574" i="120"/>
  <c r="A578" i="12" l="1"/>
  <c r="A576" i="120"/>
  <c r="A578" i="120" l="1"/>
  <c r="A580" i="12"/>
  <c r="A580" i="120" l="1"/>
  <c r="A582" i="120" s="1"/>
  <c r="A582" i="12"/>
  <c r="A583" i="12" l="1"/>
  <c r="B23" i="12"/>
  <c r="I582" i="12"/>
  <c r="I582" i="120"/>
  <c r="B23" i="120"/>
  <c r="A49" i="134" s="1"/>
  <c r="B24" i="122" l="1"/>
  <c r="A35" i="77"/>
  <c r="A49" i="39"/>
  <c r="A584" i="12"/>
  <c r="A583" i="120"/>
  <c r="A585" i="12" l="1"/>
  <c r="A584" i="120"/>
  <c r="A585" i="120" l="1"/>
  <c r="A586" i="12"/>
  <c r="A586" i="120" l="1"/>
  <c r="A587" i="12"/>
  <c r="A587" i="120" l="1"/>
  <c r="A588" i="12"/>
  <c r="A588" i="120" l="1"/>
  <c r="A589" i="12"/>
  <c r="A589" i="120" l="1"/>
  <c r="A590" i="12"/>
  <c r="A591" i="12" l="1"/>
  <c r="A590" i="120"/>
  <c r="A591" i="120" l="1"/>
  <c r="A592" i="12"/>
  <c r="A593" i="12" l="1"/>
  <c r="A592" i="120"/>
  <c r="A593" i="120" l="1"/>
  <c r="A594" i="12"/>
  <c r="A595" i="12" l="1"/>
  <c r="A594" i="120"/>
  <c r="A596" i="12" l="1"/>
  <c r="A595" i="120"/>
  <c r="A597" i="12" l="1"/>
  <c r="A596" i="120"/>
  <c r="A598" i="12" l="1"/>
  <c r="A597" i="120"/>
  <c r="A600" i="12" l="1"/>
  <c r="A598" i="120"/>
  <c r="A600" i="120" l="1"/>
  <c r="A602" i="12"/>
  <c r="A602" i="120" l="1"/>
  <c r="A604" i="12"/>
  <c r="A604" i="120" l="1"/>
  <c r="A606" i="12"/>
  <c r="A608" i="12" l="1"/>
  <c r="A606" i="120"/>
  <c r="A608" i="120" l="1"/>
  <c r="A610" i="12"/>
  <c r="A610" i="120" l="1"/>
  <c r="A612" i="12"/>
  <c r="A614" i="12" l="1"/>
  <c r="A612" i="120"/>
  <c r="A616" i="12" l="1"/>
  <c r="A614" i="120"/>
  <c r="A618" i="12" l="1"/>
  <c r="A616" i="120"/>
  <c r="A618" i="120" l="1"/>
  <c r="A620" i="12"/>
  <c r="A620" i="120" l="1"/>
  <c r="A622" i="12"/>
  <c r="A622" i="120" l="1"/>
  <c r="A624" i="120" s="1"/>
  <c r="A624" i="12"/>
  <c r="I624" i="12" l="1"/>
  <c r="B24" i="12"/>
  <c r="A625" i="12"/>
  <c r="I624" i="120"/>
  <c r="B24" i="120"/>
  <c r="A53" i="134" s="1"/>
  <c r="A625" i="120" l="1"/>
  <c r="A626" i="12"/>
  <c r="A23" i="77"/>
  <c r="A53" i="39"/>
  <c r="B25" i="122"/>
  <c r="A626" i="120" l="1"/>
  <c r="A627" i="12"/>
  <c r="A627" i="120" l="1"/>
  <c r="A628" i="12"/>
  <c r="A629" i="12" l="1"/>
  <c r="A628" i="120"/>
  <c r="A629" i="120" l="1"/>
  <c r="A630" i="12"/>
  <c r="A631" i="12" l="1"/>
  <c r="A630" i="120"/>
  <c r="A632" i="12" l="1"/>
  <c r="A631" i="120"/>
  <c r="A633" i="12" l="1"/>
  <c r="A632" i="120"/>
  <c r="A633" i="120" l="1"/>
  <c r="A635" i="12"/>
  <c r="A637" i="12" l="1"/>
  <c r="A635" i="120"/>
  <c r="A637" i="120" l="1"/>
  <c r="A639" i="12"/>
  <c r="A639" i="120" l="1"/>
  <c r="A641" i="12"/>
  <c r="A641" i="120" l="1"/>
  <c r="A643" i="12"/>
  <c r="A643" i="120" l="1"/>
  <c r="A645" i="120" s="1"/>
  <c r="A645" i="12"/>
  <c r="I645" i="12" l="1"/>
  <c r="B25" i="12"/>
  <c r="A646" i="12"/>
  <c r="B25" i="120"/>
  <c r="A57" i="134" s="1"/>
  <c r="I645" i="120"/>
  <c r="A647" i="12" l="1"/>
  <c r="A646" i="120"/>
  <c r="A57" i="39"/>
  <c r="A24" i="77"/>
  <c r="B26" i="122"/>
  <c r="A648" i="12" l="1"/>
  <c r="A647" i="120"/>
  <c r="A649" i="12" l="1"/>
  <c r="A648" i="120"/>
  <c r="A649" i="120" l="1"/>
  <c r="A650" i="12"/>
  <c r="A651" i="12" l="1"/>
  <c r="A650" i="120"/>
  <c r="A651" i="120" l="1"/>
  <c r="A652" i="12"/>
  <c r="A653" i="12" l="1"/>
  <c r="A652" i="120"/>
  <c r="A653" i="120" l="1"/>
  <c r="A654" i="12"/>
  <c r="A654" i="120" l="1"/>
  <c r="A655" i="12"/>
  <c r="A656" i="12" l="1"/>
  <c r="A655" i="120"/>
  <c r="A657" i="12" l="1"/>
  <c r="A656" i="120"/>
  <c r="A657" i="120" l="1"/>
  <c r="A658" i="12"/>
  <c r="A659" i="12" l="1"/>
  <c r="A658" i="120"/>
  <c r="A659" i="120" l="1"/>
  <c r="A660" i="12"/>
  <c r="A660" i="120" l="1"/>
  <c r="A661" i="12"/>
  <c r="A661" i="120" l="1"/>
  <c r="A662" i="12"/>
  <c r="A663" i="12" l="1"/>
  <c r="A662" i="120"/>
  <c r="A663" i="120" l="1"/>
  <c r="A664" i="12"/>
  <c r="A664" i="120" l="1"/>
  <c r="A665" i="12"/>
  <c r="A666" i="12" l="1"/>
  <c r="A665" i="120"/>
  <c r="A666" i="120" l="1"/>
  <c r="A667" i="12"/>
  <c r="A668" i="12" l="1"/>
  <c r="A667" i="120"/>
  <c r="A669" i="12" l="1"/>
  <c r="A668" i="120"/>
  <c r="A669" i="120" l="1"/>
  <c r="A670" i="12"/>
  <c r="A671" i="12" l="1"/>
  <c r="A670" i="120"/>
  <c r="A671" i="120" l="1"/>
  <c r="A672" i="12"/>
  <c r="A672" i="120" l="1"/>
  <c r="A673" i="12"/>
  <c r="A673" i="120" l="1"/>
  <c r="A674" i="12"/>
  <c r="A674" i="120" l="1"/>
  <c r="A675" i="120" s="1"/>
  <c r="A677" i="12"/>
  <c r="A675" i="12"/>
  <c r="A679" i="12" l="1"/>
  <c r="A677" i="120"/>
  <c r="A681" i="12" l="1"/>
  <c r="A679" i="120"/>
  <c r="A683" i="12" l="1"/>
  <c r="A681" i="120"/>
  <c r="A683" i="120" l="1"/>
  <c r="A685" i="12"/>
  <c r="A685" i="120" l="1"/>
  <c r="A687" i="12"/>
  <c r="A689" i="12" l="1"/>
  <c r="A687" i="120"/>
  <c r="A691" i="12" l="1"/>
  <c r="A689" i="120"/>
  <c r="A691" i="120" l="1"/>
  <c r="A693" i="12"/>
  <c r="A693" i="120" l="1"/>
  <c r="A695" i="12"/>
  <c r="A697" i="12" l="1"/>
  <c r="A695" i="120"/>
  <c r="A697" i="120" l="1"/>
  <c r="A699" i="12"/>
  <c r="A699" i="120" l="1"/>
  <c r="A701" i="12"/>
  <c r="A701" i="120" l="1"/>
  <c r="A703" i="12"/>
  <c r="A703" i="120" l="1"/>
  <c r="A705" i="12"/>
  <c r="A707" i="12" l="1"/>
  <c r="A705" i="120"/>
  <c r="A707" i="120" l="1"/>
  <c r="A709" i="12"/>
  <c r="A709" i="120" l="1"/>
  <c r="A711" i="12"/>
  <c r="A711" i="120" l="1"/>
  <c r="A713" i="12"/>
  <c r="A713" i="120" l="1"/>
  <c r="A715" i="12"/>
  <c r="A717" i="12" l="1"/>
  <c r="A715" i="120"/>
  <c r="A717" i="120" l="1"/>
  <c r="A719" i="120" s="1"/>
  <c r="A719" i="12"/>
  <c r="I719" i="12" l="1"/>
  <c r="A720" i="12"/>
  <c r="B26" i="12"/>
  <c r="I719" i="120"/>
  <c r="B26" i="120"/>
  <c r="A61" i="134" s="1"/>
  <c r="B27" i="122" l="1"/>
  <c r="A61" i="39"/>
  <c r="A25" i="77"/>
  <c r="A720" i="120"/>
  <c r="A721" i="12"/>
  <c r="A722" i="12" l="1"/>
  <c r="A721" i="120"/>
  <c r="A723" i="12" l="1"/>
  <c r="A722" i="120"/>
  <c r="A723" i="120" l="1"/>
  <c r="A724" i="12"/>
  <c r="A725" i="12" l="1"/>
  <c r="A724" i="120"/>
  <c r="A726" i="12" l="1"/>
  <c r="A725" i="120"/>
  <c r="A726" i="120" l="1"/>
  <c r="A727" i="12"/>
  <c r="A728" i="12" l="1"/>
  <c r="A727" i="120"/>
  <c r="A729" i="12" l="1"/>
  <c r="A728" i="120"/>
  <c r="A729" i="120" l="1"/>
  <c r="A730" i="12"/>
  <c r="A730" i="120" l="1"/>
  <c r="A731" i="12"/>
  <c r="A731" i="120" l="1"/>
  <c r="A732" i="12"/>
  <c r="A733" i="12" l="1"/>
  <c r="A732" i="120"/>
  <c r="A734" i="12" l="1"/>
  <c r="A733" i="120"/>
  <c r="A735" i="12" l="1"/>
  <c r="A734" i="120"/>
  <c r="A736" i="12" l="1"/>
  <c r="A735" i="120"/>
  <c r="A737" i="12" l="1"/>
  <c r="A736" i="120"/>
  <c r="A737" i="120" l="1"/>
  <c r="A738" i="12"/>
  <c r="A739" i="12" l="1"/>
  <c r="A738" i="120"/>
  <c r="A740" i="12" l="1"/>
  <c r="A739" i="120"/>
  <c r="A740" i="120" l="1"/>
  <c r="A741" i="12"/>
  <c r="A742" i="12" l="1"/>
  <c r="A741" i="120"/>
  <c r="A743" i="12" l="1"/>
  <c r="A742" i="120"/>
  <c r="A743" i="120" l="1"/>
  <c r="A744" i="12"/>
  <c r="A744" i="120" l="1"/>
  <c r="A745" i="12"/>
  <c r="A746" i="12" l="1"/>
  <c r="A745" i="120"/>
  <c r="A746" i="120" l="1"/>
  <c r="A747" i="12"/>
  <c r="A748" i="12" l="1"/>
  <c r="A747" i="120"/>
  <c r="A748" i="120" l="1"/>
  <c r="A750" i="12"/>
  <c r="A750" i="120" l="1"/>
  <c r="A752" i="120" s="1"/>
  <c r="A752" i="12"/>
  <c r="I752" i="12" l="1"/>
  <c r="B27" i="12"/>
  <c r="A753" i="12"/>
  <c r="A796" i="12"/>
  <c r="I752" i="120"/>
  <c r="B27" i="120"/>
  <c r="A65" i="134" s="1"/>
  <c r="A796" i="120"/>
  <c r="B28" i="120" l="1"/>
  <c r="A69" i="134" s="1"/>
  <c r="I796" i="120"/>
  <c r="B28" i="12"/>
  <c r="I796" i="12"/>
  <c r="A797" i="12"/>
  <c r="A754" i="12"/>
  <c r="A753" i="120"/>
  <c r="B28" i="122"/>
  <c r="A65" i="39"/>
  <c r="A26" i="77"/>
  <c r="A797" i="120" l="1"/>
  <c r="A798" i="12"/>
  <c r="A755" i="12"/>
  <c r="A754" i="120"/>
  <c r="A32" i="77"/>
  <c r="B29" i="122"/>
  <c r="A69" i="39"/>
  <c r="A799" i="12" l="1"/>
  <c r="A798" i="120"/>
  <c r="A756" i="12"/>
  <c r="A755" i="120"/>
  <c r="A756" i="120" l="1"/>
  <c r="A757" i="12"/>
  <c r="A800" i="12"/>
  <c r="A799" i="120"/>
  <c r="A758" i="12" l="1"/>
  <c r="A757" i="120"/>
  <c r="A801" i="12"/>
  <c r="A800" i="120"/>
  <c r="A802" i="12" l="1"/>
  <c r="A801" i="120"/>
  <c r="A758" i="120"/>
  <c r="A759" i="12"/>
  <c r="A760" i="12" l="1"/>
  <c r="A759" i="120"/>
  <c r="A802" i="120"/>
  <c r="A803" i="12"/>
  <c r="A804" i="12" l="1"/>
  <c r="A803" i="120"/>
  <c r="A760" i="120"/>
  <c r="A761" i="12"/>
  <c r="A762" i="12" l="1"/>
  <c r="A761" i="120"/>
  <c r="A805" i="12"/>
  <c r="A804" i="120"/>
  <c r="A806" i="12" l="1"/>
  <c r="A805" i="120"/>
  <c r="A763" i="12"/>
  <c r="A762" i="120"/>
  <c r="A764" i="12" l="1"/>
  <c r="A763" i="120"/>
  <c r="A806" i="120"/>
  <c r="A807" i="12"/>
  <c r="A807" i="120" l="1"/>
  <c r="A808" i="12"/>
  <c r="A764" i="120"/>
  <c r="A765" i="12"/>
  <c r="A809" i="12" l="1"/>
  <c r="A808" i="120"/>
  <c r="A766" i="12"/>
  <c r="A765" i="120"/>
  <c r="A767" i="12" l="1"/>
  <c r="A766" i="120"/>
  <c r="A810" i="12"/>
  <c r="A809" i="120"/>
  <c r="A810" i="120" l="1"/>
  <c r="A811" i="12"/>
  <c r="A768" i="12"/>
  <c r="A767" i="120"/>
  <c r="A769" i="12" l="1"/>
  <c r="A768" i="120"/>
  <c r="A812" i="12"/>
  <c r="A811" i="120"/>
  <c r="A812" i="120" l="1"/>
  <c r="A813" i="12"/>
  <c r="A770" i="12"/>
  <c r="A769" i="120"/>
  <c r="A815" i="12" l="1"/>
  <c r="A813" i="120"/>
  <c r="A770" i="120"/>
  <c r="A771" i="12"/>
  <c r="A772" i="12" l="1"/>
  <c r="A771" i="120"/>
  <c r="A815" i="120"/>
  <c r="A817" i="12"/>
  <c r="A817" i="120" l="1"/>
  <c r="A819" i="12"/>
  <c r="A773" i="12"/>
  <c r="A772" i="120"/>
  <c r="A774" i="12" l="1"/>
  <c r="A773" i="120"/>
  <c r="A819" i="120"/>
  <c r="A821" i="12"/>
  <c r="A823" i="12" l="1"/>
  <c r="A821" i="120"/>
  <c r="A774" i="120"/>
  <c r="A775" i="12"/>
  <c r="A775" i="120" l="1"/>
  <c r="A776" i="12"/>
  <c r="A825" i="12"/>
  <c r="A823" i="120"/>
  <c r="A827" i="12" l="1"/>
  <c r="A825" i="120"/>
  <c r="A776" i="120"/>
  <c r="A777" i="12"/>
  <c r="A777" i="120" l="1"/>
  <c r="A778" i="12"/>
  <c r="A827" i="120"/>
  <c r="A829" i="12"/>
  <c r="A831" i="12" l="1"/>
  <c r="A829" i="120"/>
  <c r="A779" i="12"/>
  <c r="A778" i="120"/>
  <c r="A779" i="120" l="1"/>
  <c r="A780" i="12"/>
  <c r="A831" i="120"/>
  <c r="A833" i="120" s="1"/>
  <c r="A833" i="12"/>
  <c r="B29" i="12" l="1"/>
  <c r="I833" i="12"/>
  <c r="A834" i="12"/>
  <c r="A780" i="120"/>
  <c r="A781" i="12"/>
  <c r="I833" i="120"/>
  <c r="B29" i="120"/>
  <c r="A73" i="134" s="1"/>
  <c r="A781" i="120" l="1"/>
  <c r="A782" i="12"/>
  <c r="A834" i="120"/>
  <c r="A835" i="12"/>
  <c r="A73" i="39"/>
  <c r="B30" i="122"/>
  <c r="A31" i="77"/>
  <c r="A835" i="120" l="1"/>
  <c r="A836" i="12"/>
  <c r="A783" i="12"/>
  <c r="A782" i="120"/>
  <c r="A783" i="120" l="1"/>
  <c r="A784" i="12"/>
  <c r="A836" i="120"/>
  <c r="A837" i="12"/>
  <c r="A837" i="120" l="1"/>
  <c r="A838" i="12"/>
  <c r="A784" i="120"/>
  <c r="A786" i="12"/>
  <c r="A786" i="120" l="1"/>
  <c r="A788" i="12"/>
  <c r="A838" i="120"/>
  <c r="A839" i="12"/>
  <c r="A840" i="12" l="1"/>
  <c r="A839" i="120"/>
  <c r="A790" i="12"/>
  <c r="A790" i="120" s="1"/>
  <c r="A788" i="120"/>
  <c r="A792" i="12"/>
  <c r="A792" i="120" l="1"/>
  <c r="A794" i="12"/>
  <c r="A794" i="120" s="1"/>
  <c r="A840" i="120"/>
  <c r="A841" i="12"/>
  <c r="A842" i="12" l="1"/>
  <c r="A841" i="120"/>
  <c r="A842" i="120" l="1"/>
  <c r="A843" i="12"/>
  <c r="A843" i="120" l="1"/>
  <c r="A844" i="12"/>
  <c r="A844" i="120" l="1"/>
  <c r="A845" i="12"/>
  <c r="A845" i="120" l="1"/>
  <c r="A846" i="12"/>
  <c r="A846" i="120" l="1"/>
  <c r="A847" i="12"/>
  <c r="A848" i="12" l="1"/>
  <c r="A847" i="120"/>
  <c r="A848" i="120" l="1"/>
  <c r="A849" i="12"/>
  <c r="A849" i="120" l="1"/>
  <c r="A850" i="12"/>
  <c r="A851" i="12" l="1"/>
  <c r="A850" i="120"/>
  <c r="A851" i="120" l="1"/>
  <c r="A852" i="12"/>
  <c r="A853" i="12" l="1"/>
  <c r="A852" i="120"/>
  <c r="A854" i="12" l="1"/>
  <c r="A853" i="120"/>
  <c r="A855" i="12" l="1"/>
  <c r="A854" i="120"/>
  <c r="A856" i="12" l="1"/>
  <c r="A855" i="120"/>
  <c r="A857" i="12" l="1"/>
  <c r="A856" i="120"/>
  <c r="A857" i="120" l="1"/>
  <c r="A858" i="12"/>
  <c r="A859" i="12" l="1"/>
  <c r="A858" i="120"/>
  <c r="A860" i="12" l="1"/>
  <c r="A859" i="120"/>
  <c r="A860" i="120" l="1"/>
  <c r="A861" i="12"/>
  <c r="A862" i="12" l="1"/>
  <c r="A861" i="120"/>
  <c r="A863" i="12" l="1"/>
  <c r="A862" i="120"/>
  <c r="A865" i="12" l="1"/>
  <c r="A863" i="120"/>
  <c r="A865" i="120" l="1"/>
  <c r="A867" i="12"/>
  <c r="A869" i="12" l="1"/>
  <c r="A867" i="120"/>
  <c r="A869" i="120" l="1"/>
  <c r="A871" i="12"/>
  <c r="A873" i="12" l="1"/>
  <c r="A871" i="120"/>
  <c r="A875" i="12" l="1"/>
  <c r="A873" i="120"/>
  <c r="A875" i="120" l="1"/>
  <c r="A877" i="12"/>
  <c r="A877" i="120" l="1"/>
  <c r="A879" i="12"/>
  <c r="A879" i="120" l="1"/>
  <c r="A881" i="12"/>
  <c r="A883" i="12" l="1"/>
  <c r="A881" i="120"/>
  <c r="A885" i="12" l="1"/>
  <c r="A883" i="120"/>
  <c r="A885" i="120" l="1"/>
  <c r="A887" i="12"/>
  <c r="A889" i="12" l="1"/>
  <c r="A887" i="120"/>
  <c r="A891" i="12" l="1"/>
  <c r="A889" i="120"/>
  <c r="A893" i="12" l="1"/>
  <c r="A891" i="120"/>
  <c r="A893" i="120" l="1"/>
  <c r="A895" i="120" s="1"/>
  <c r="A895" i="12"/>
  <c r="B30" i="12" l="1"/>
  <c r="I895" i="12"/>
  <c r="A896" i="12"/>
  <c r="B30" i="120"/>
  <c r="A77" i="134" s="1"/>
  <c r="I895" i="120"/>
  <c r="A897" i="12" l="1"/>
  <c r="A896" i="120"/>
  <c r="A77" i="39"/>
  <c r="B31" i="122"/>
  <c r="A27" i="77"/>
  <c r="A897" i="120" l="1"/>
  <c r="A898" i="12"/>
  <c r="A898" i="120" l="1"/>
  <c r="A899" i="12"/>
  <c r="A900" i="12" l="1"/>
  <c r="A899" i="120"/>
  <c r="A900" i="120" l="1"/>
  <c r="A901" i="12"/>
  <c r="A902" i="12" l="1"/>
  <c r="A901" i="120"/>
  <c r="A903" i="12" l="1"/>
  <c r="A902" i="120"/>
  <c r="A903" i="120" l="1"/>
  <c r="A904" i="12"/>
  <c r="A904" i="120" l="1"/>
  <c r="A905" i="12"/>
  <c r="A906" i="12" l="1"/>
  <c r="A905" i="120"/>
  <c r="A907" i="12" l="1"/>
  <c r="A906" i="120"/>
  <c r="A908" i="12" l="1"/>
  <c r="A907" i="120"/>
  <c r="A908" i="120" l="1"/>
  <c r="A909" i="12"/>
  <c r="A909" i="120" l="1"/>
  <c r="A910" i="12"/>
  <c r="A911" i="12" l="1"/>
  <c r="A910" i="120"/>
  <c r="A912" i="12" l="1"/>
  <c r="A911" i="120"/>
  <c r="A912" i="120" l="1"/>
  <c r="A913" i="12"/>
  <c r="A914" i="12" l="1"/>
  <c r="A913" i="120"/>
  <c r="A915" i="12" l="1"/>
  <c r="A914" i="120"/>
  <c r="A915" i="120" l="1"/>
  <c r="A916" i="12"/>
  <c r="A917" i="12" l="1"/>
  <c r="A916" i="120"/>
  <c r="A918" i="12" l="1"/>
  <c r="A917" i="120"/>
  <c r="A919" i="12" l="1"/>
  <c r="A918" i="120"/>
  <c r="A920" i="12" l="1"/>
  <c r="A919" i="120"/>
  <c r="A921" i="12" l="1"/>
  <c r="A920" i="120"/>
  <c r="A921" i="120" l="1"/>
  <c r="A922" i="12"/>
  <c r="A922" i="120" l="1"/>
  <c r="A923" i="12"/>
  <c r="A923" i="120" l="1"/>
  <c r="A925" i="120" s="1"/>
  <c r="A925" i="12"/>
  <c r="I925" i="12" l="1"/>
  <c r="A926" i="12"/>
  <c r="A928" i="12" s="1"/>
  <c r="B31" i="12"/>
  <c r="A926" i="120"/>
  <c r="A928" i="120" s="1"/>
  <c r="B31" i="120"/>
  <c r="A81" i="134" s="1"/>
  <c r="I925" i="120"/>
  <c r="B32" i="122" l="1"/>
  <c r="A13" i="77"/>
  <c r="A81" i="39"/>
  <c r="I928" i="12"/>
  <c r="B32" i="12"/>
  <c r="A929" i="12"/>
  <c r="I928" i="120"/>
  <c r="B32" i="120"/>
  <c r="A85" i="134" s="1"/>
  <c r="A930" i="12" l="1"/>
  <c r="A929" i="120"/>
  <c r="B33" i="122"/>
  <c r="A85" i="39"/>
  <c r="A14" i="77"/>
  <c r="A931" i="12" l="1"/>
  <c r="A930" i="120"/>
  <c r="A932" i="12" l="1"/>
  <c r="A931" i="120"/>
  <c r="A933" i="12" l="1"/>
  <c r="A932" i="120"/>
  <c r="A934" i="12" l="1"/>
  <c r="A933" i="120"/>
  <c r="A934" i="120" l="1"/>
  <c r="A935" i="12"/>
  <c r="A935" i="120" l="1"/>
  <c r="A936" i="12"/>
  <c r="A937" i="12" l="1"/>
  <c r="A936" i="120"/>
  <c r="A938" i="12" l="1"/>
  <c r="A937" i="120"/>
  <c r="A939" i="12" l="1"/>
  <c r="A938" i="120"/>
  <c r="A940" i="12" l="1"/>
  <c r="A939" i="120"/>
  <c r="A941" i="12" l="1"/>
  <c r="A940" i="120"/>
  <c r="A941" i="120" l="1"/>
  <c r="A942" i="12"/>
  <c r="A943" i="12" l="1"/>
  <c r="A942" i="120"/>
  <c r="A943" i="120" l="1"/>
  <c r="A944" i="12"/>
  <c r="A944" i="120" l="1"/>
  <c r="A945" i="12"/>
  <c r="A946" i="12" l="1"/>
  <c r="A945" i="120"/>
  <c r="A947" i="12" l="1"/>
  <c r="A946" i="120"/>
  <c r="A947" i="120" l="1"/>
  <c r="A948" i="12"/>
  <c r="A949" i="12" l="1"/>
  <c r="A948" i="120"/>
  <c r="A950" i="12" l="1"/>
  <c r="A949" i="120"/>
  <c r="A950" i="120" l="1"/>
  <c r="A951" i="12"/>
  <c r="A951" i="120" l="1"/>
  <c r="A952" i="12"/>
  <c r="A953" i="12" l="1"/>
  <c r="A952" i="120"/>
  <c r="A953" i="120" l="1"/>
  <c r="A954" i="12"/>
  <c r="A954" i="120" l="1"/>
  <c r="A955" i="12"/>
  <c r="A956" i="12" l="1"/>
  <c r="A955" i="120"/>
  <c r="A956" i="120" l="1"/>
  <c r="A957" i="12"/>
  <c r="A958" i="12" l="1"/>
  <c r="A957" i="120"/>
  <c r="A959" i="12" l="1"/>
  <c r="A958" i="120"/>
  <c r="A960" i="12" l="1"/>
  <c r="A959" i="120"/>
  <c r="A960" i="120" l="1"/>
  <c r="A961" i="12"/>
  <c r="A961" i="120" l="1"/>
  <c r="A962" i="12"/>
  <c r="A962" i="120" l="1"/>
  <c r="A963" i="12"/>
  <c r="A963" i="120" l="1"/>
  <c r="A964" i="12"/>
  <c r="A965" i="12" l="1"/>
  <c r="A965" i="120" s="1"/>
  <c r="A964" i="120"/>
  <c r="J52" i="40"/>
  <c r="J32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.</author>
    <author>tc={33B34369-EDB1-4A5D-BD38-901EDB0BD66C}</author>
  </authors>
  <commentList>
    <comment ref="J12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Vermelho: erro no somatório</t>
        </r>
      </text>
    </comment>
    <comment ref="M58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0" authorId="0" shapeId="0" xr:uid="{00000000-0006-0000-0500-00000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" authorId="0" shapeId="0" xr:uid="{00000000-0006-0000-0500-00000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4" authorId="0" shapeId="0" xr:uid="{00000000-0006-0000-0500-00000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6" authorId="0" shapeId="0" xr:uid="{00000000-0006-0000-0500-00000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66" authorId="1" shapeId="0" xr:uid="{4E929C7F-B362-4037-B179-3C451B4672A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67" authorId="1" shapeId="0" xr:uid="{BCACC4AA-B914-4A2D-BA53-A0478B1A0B5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167" authorId="0" shapeId="0" xr:uid="{00000000-0006-0000-0500-000009000000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M168" authorId="0" shapeId="0" xr:uid="{00000000-0006-0000-0500-00000A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169" authorId="0" shapeId="0" xr:uid="{00000000-0006-0000-0500-00000B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173" authorId="0" shapeId="0" xr:uid="{00000000-0006-0000-0500-00000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5" authorId="0" shapeId="0" xr:uid="{00000000-0006-0000-0500-00000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7" authorId="0" shapeId="0" xr:uid="{00000000-0006-0000-0500-00000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9" authorId="0" shapeId="0" xr:uid="{00000000-0006-0000-0500-00000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81" authorId="0" shapeId="0" xr:uid="{00000000-0006-0000-0500-00001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84" authorId="1" shapeId="0" xr:uid="{00000000-0006-0000-0500-00001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5" authorId="1" shapeId="0" xr:uid="{25DA0D62-9435-40A9-A821-9E736E11CFA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6" authorId="1" shapeId="0" xr:uid="{3CC7836E-1292-47AE-B072-1EEACAED90E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7" authorId="1" shapeId="0" xr:uid="{5F513A1E-EEC6-4E68-98D1-64885AFB4D8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8" authorId="1" shapeId="0" xr:uid="{B3B5DCA7-1F74-4957-98DD-2483FFE21D9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9" authorId="1" shapeId="0" xr:uid="{12D55F77-FF43-4CFB-878A-817842D5237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0" authorId="1" shapeId="0" xr:uid="{145DAD70-A09B-413C-884A-A001D785C3B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1" authorId="1" shapeId="0" xr:uid="{F993C84A-CD99-4DF0-86F8-171D3BB0507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2" authorId="1" shapeId="0" xr:uid="{F39E8187-B122-48C2-977D-CD931A11941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3" authorId="1" shapeId="0" xr:uid="{F0E3DF31-A8E6-4E19-9C9C-63819ED5DC3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4" authorId="1" shapeId="0" xr:uid="{A031069E-6312-4DC9-A07F-9D86257CD7C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5" authorId="1" shapeId="0" xr:uid="{B3F6614B-A584-49E3-8E8C-803730E3E1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8" authorId="1" shapeId="0" xr:uid="{64CB2131-D7E5-44B0-A5A6-DCC67F18FE0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9" authorId="1" shapeId="0" xr:uid="{F85AFF2E-E7E0-4A90-BC9A-FF4E7F896C8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0" authorId="1" shapeId="0" xr:uid="{6B6B390F-BB9D-45A1-AFCC-746F94CB6AC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1" authorId="1" shapeId="0" xr:uid="{065532D0-341C-483A-959E-C3381E268B1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2" authorId="1" shapeId="0" xr:uid="{D721A08F-F280-478F-9073-8F6B569A82E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3" authorId="1" shapeId="0" xr:uid="{CC49C746-C85A-42BE-997C-3F77B31318D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4" authorId="1" shapeId="0" xr:uid="{62444490-81BA-4818-9A4F-924A1F7411E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5" authorId="1" shapeId="0" xr:uid="{86EBBE9E-98F1-4A42-967B-B7820B136A1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6" authorId="1" shapeId="0" xr:uid="{0DED2A53-68B3-4CA8-9868-B6D09D65741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290" authorId="0" shapeId="0" xr:uid="{00000000-0006-0000-0500-00002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321" authorId="0" shapeId="0" xr:uid="{00000000-0006-0000-0500-000027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334" authorId="0" shapeId="0" xr:uid="{00000000-0006-0000-0500-000028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M336" authorId="0" shapeId="0" xr:uid="{00000000-0006-0000-0500-000029000000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M347" authorId="0" shapeId="0" xr:uid="{00000000-0006-0000-0500-00002A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48" authorId="0" shapeId="0" xr:uid="{00000000-0006-0000-0500-00002B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49" authorId="0" shapeId="0" xr:uid="{00000000-0006-0000-0500-00002C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90" authorId="0" shapeId="0" xr:uid="{00000000-0006-0000-0500-00002D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392" authorId="0" shapeId="0" xr:uid="{00000000-0006-0000-0500-00002E000000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M396" authorId="0" shapeId="0" xr:uid="{00000000-0006-0000-0500-00002F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97" authorId="0" shapeId="0" xr:uid="{00000000-0006-0000-0500-000030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98" authorId="0" shapeId="0" xr:uid="{00000000-0006-0000-0500-000031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99" authorId="0" shapeId="0" xr:uid="{00000000-0006-0000-0500-000032000000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M401" authorId="0" shapeId="0" xr:uid="{00000000-0006-0000-0500-00003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03" authorId="0" shapeId="0" xr:uid="{00000000-0006-0000-0500-000034000000}">
      <text>
        <r>
          <rPr>
            <b/>
            <sz val="9"/>
            <color indexed="81"/>
            <rFont val="Segoe UI"/>
            <family val="2"/>
          </rPr>
          <t>digitar:
RP (revestimento primário)
ou 
PAV (pavimentada)</t>
        </r>
      </text>
    </comment>
    <comment ref="M405" authorId="0" shapeId="0" xr:uid="{00000000-0006-0000-0500-00003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07" authorId="0" shapeId="0" xr:uid="{00000000-0006-0000-0500-00003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09" authorId="0" shapeId="0" xr:uid="{00000000-0006-0000-0500-00003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11" authorId="0" shapeId="0" xr:uid="{00000000-0006-0000-0500-00003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430" authorId="1" shapeId="0" xr:uid="{3A53721D-AB75-4D6B-89A2-FB76D152F42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30" authorId="0" shapeId="0" xr:uid="{00000000-0006-0000-0500-00003A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440" authorId="0" shapeId="0" xr:uid="{00000000-0006-0000-0500-00003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42" authorId="0" shapeId="0" xr:uid="{00000000-0006-0000-0500-00003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44" authorId="0" shapeId="0" xr:uid="{00000000-0006-0000-0500-00003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46" authorId="0" shapeId="0" xr:uid="{00000000-0006-0000-0500-00004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451" authorId="1" shapeId="0" xr:uid="{00000000-0006-0000-0500-00004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51" authorId="0" shapeId="0" xr:uid="{00000000-0006-0000-0500-000042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452" authorId="1" shapeId="0" xr:uid="{9814F3CC-418A-40C8-A584-41A321DC2F7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3" authorId="1" shapeId="0" xr:uid="{3290BB7C-1A5B-47DE-8888-620FF2AE569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53" authorId="0" shapeId="0" xr:uid="{00000000-0006-0000-0500-000045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454" authorId="1" shapeId="0" xr:uid="{DD9632C7-9662-4B3D-80D7-1AF22F8F79F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5" authorId="1" shapeId="0" xr:uid="{0EE6E4FD-FFC9-4558-8091-92B2F072677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460" authorId="0" shapeId="0" xr:uid="{00000000-0006-0000-0500-000048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460" authorId="0" shapeId="0" xr:uid="{00000000-0006-0000-0500-000049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462" authorId="0" shapeId="0" xr:uid="{00000000-0006-0000-0500-00004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463" authorId="0" shapeId="0" xr:uid="{00000000-0006-0000-0500-00004B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466" authorId="0" shapeId="0" xr:uid="{00000000-0006-0000-0500-00004C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E468" authorId="0" shapeId="0" xr:uid="{00000000-0006-0000-0500-00004E000000}">
      <text>
        <r>
          <rPr>
            <b/>
            <sz val="9"/>
            <color indexed="81"/>
            <rFont val="Segoe UI"/>
            <family val="2"/>
          </rPr>
          <t>escolher depósito 
1; 2 ; 3 ou 4</t>
        </r>
      </text>
    </comment>
    <comment ref="M468" authorId="0" shapeId="0" xr:uid="{00000000-0006-0000-0500-00004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0" authorId="0" shapeId="0" xr:uid="{00000000-0006-0000-0500-00005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4" authorId="0" shapeId="0" xr:uid="{00000000-0006-0000-0500-00005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6" authorId="0" shapeId="0" xr:uid="{00000000-0006-0000-0500-00005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8" authorId="0" shapeId="0" xr:uid="{00000000-0006-0000-0500-00005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0" authorId="0" shapeId="0" xr:uid="{00000000-0006-0000-0500-00005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2" authorId="0" shapeId="0" xr:uid="{00000000-0006-0000-0500-00005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4" authorId="0" shapeId="0" xr:uid="{00000000-0006-0000-0500-00005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6" authorId="0" shapeId="0" xr:uid="{00000000-0006-0000-0500-00005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8" authorId="0" shapeId="0" xr:uid="{00000000-0006-0000-0500-00005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0" authorId="0" shapeId="0" xr:uid="{00000000-0006-0000-0500-00005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2" authorId="0" shapeId="0" xr:uid="{00000000-0006-0000-0500-00005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4" authorId="0" shapeId="0" xr:uid="{00000000-0006-0000-0500-00005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6" authorId="0" shapeId="0" xr:uid="{00000000-0006-0000-0500-00005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8" authorId="0" shapeId="0" xr:uid="{00000000-0006-0000-0500-00005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0" authorId="0" shapeId="0" xr:uid="{00000000-0006-0000-0500-00005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2" authorId="0" shapeId="0" xr:uid="{00000000-0006-0000-0500-00005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4" authorId="0" shapeId="0" xr:uid="{00000000-0006-0000-0500-00006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4" authorId="0" shapeId="0" xr:uid="{00000000-0006-0000-0500-000061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515" authorId="0" shapeId="0" xr:uid="{00000000-0006-0000-0500-000062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I527" authorId="1" shapeId="0" xr:uid="{16C9DBCF-D1A9-4650-84C3-C16ECAF3CA5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8" authorId="1" shapeId="0" xr:uid="{FD928C6F-5D6D-4446-8A1E-B6FD5787610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9" authorId="1" shapeId="0" xr:uid="{4BECA095-3746-467D-905A-35FED4287E5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30" authorId="1" shapeId="0" xr:uid="{C389D461-90DF-4733-A1BB-5907D7C906A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31" authorId="1" shapeId="0" xr:uid="{82180B60-9A51-47F2-8585-F7B1A481F34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532" authorId="0" shapeId="0" xr:uid="{00000000-0006-0000-0500-000068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532" authorId="0" shapeId="0" xr:uid="{00000000-0006-0000-0500-000069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534" authorId="0" shapeId="0" xr:uid="{00000000-0006-0000-0500-00006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35" authorId="0" shapeId="0" xr:uid="{00000000-0006-0000-0500-00006B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36" authorId="0" shapeId="0" xr:uid="{00000000-0006-0000-0500-00006C000000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M540" authorId="0" shapeId="0" xr:uid="{00000000-0006-0000-0500-00006D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41" authorId="0" shapeId="0" xr:uid="{00000000-0006-0000-0500-00006E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44" authorId="0" shapeId="0" xr:uid="{00000000-0006-0000-0500-00006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46" authorId="0" shapeId="0" xr:uid="{00000000-0006-0000-0500-00007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50" authorId="0" shapeId="0" xr:uid="{00000000-0006-0000-0500-00007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54" authorId="0" shapeId="0" xr:uid="{00000000-0006-0000-0500-00007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56" authorId="0" shapeId="0" xr:uid="{00000000-0006-0000-0500-00007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58" authorId="0" shapeId="0" xr:uid="{00000000-0006-0000-0500-00007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0" authorId="0" shapeId="0" xr:uid="{00000000-0006-0000-0500-00007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2" authorId="0" shapeId="0" xr:uid="{00000000-0006-0000-0500-00007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4" authorId="0" shapeId="0" xr:uid="{00000000-0006-0000-0500-00007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6" authorId="0" shapeId="0" xr:uid="{00000000-0006-0000-0500-00007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0" authorId="0" shapeId="0" xr:uid="{00000000-0006-0000-0500-00007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2" authorId="0" shapeId="0" xr:uid="{00000000-0006-0000-0500-00007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4" authorId="0" shapeId="0" xr:uid="{00000000-0006-0000-0500-00007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6" authorId="0" shapeId="0" xr:uid="{00000000-0006-0000-0500-00007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8" authorId="0" shapeId="0" xr:uid="{00000000-0006-0000-0500-00007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0" authorId="0" shapeId="0" xr:uid="{00000000-0006-0000-0500-00007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9" authorId="0" shapeId="0" xr:uid="{00000000-0006-0000-0500-00007F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90" authorId="0" shapeId="0" xr:uid="{00000000-0006-0000-0500-000080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00" authorId="0" shapeId="0" xr:uid="{00000000-0006-0000-0500-00008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2" authorId="0" shapeId="0" xr:uid="{00000000-0006-0000-0500-00008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4" authorId="0" shapeId="0" xr:uid="{00000000-0006-0000-0500-00008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6" authorId="0" shapeId="0" xr:uid="{00000000-0006-0000-0500-00008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8" authorId="0" shapeId="0" xr:uid="{00000000-0006-0000-0500-00008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0" authorId="0" shapeId="0" xr:uid="{00000000-0006-0000-0500-00008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2" authorId="0" shapeId="0" xr:uid="{00000000-0006-0000-0500-00008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4" authorId="0" shapeId="0" xr:uid="{00000000-0006-0000-0500-00008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6" authorId="0" shapeId="0" xr:uid="{00000000-0006-0000-0500-00008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8" authorId="0" shapeId="0" xr:uid="{00000000-0006-0000-0500-00008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0" authorId="0" shapeId="0" xr:uid="{00000000-0006-0000-0500-00008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2" authorId="0" shapeId="0" xr:uid="{00000000-0006-0000-0500-00008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0" authorId="0" shapeId="0" xr:uid="{00000000-0006-0000-0500-00008D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I631" authorId="1" shapeId="0" xr:uid="{B9C480FE-1343-4FD3-918F-2BCB195DD70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31" authorId="0" shapeId="0" xr:uid="{00000000-0006-0000-0500-00008F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632" authorId="0" shapeId="0" xr:uid="{00000000-0006-0000-0500-000090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33" authorId="0" shapeId="0" xr:uid="{00000000-0006-0000-0500-000091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37" authorId="0" shapeId="0" xr:uid="{00000000-0006-0000-0500-00009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9" authorId="0" shapeId="0" xr:uid="{00000000-0006-0000-0500-00009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1" authorId="0" shapeId="0" xr:uid="{00000000-0006-0000-0500-00009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3" authorId="0" shapeId="0" xr:uid="{00000000-0006-0000-0500-00009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6" authorId="0" shapeId="0" xr:uid="{00000000-0006-0000-0500-000096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655" authorId="0" shapeId="0" xr:uid="{00000000-0006-0000-0500-000097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655" authorId="0" shapeId="0" xr:uid="{00000000-0006-0000-0500-000098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659" authorId="0" shapeId="0" xr:uid="{00000000-0006-0000-0500-000099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60" authorId="0" shapeId="0" xr:uid="{00000000-0006-0000-0500-00009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I668" authorId="1" shapeId="0" xr:uid="{E47D11D1-CF90-49B0-A5AF-CDE1DAD6A98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68" authorId="0" shapeId="0" xr:uid="{00000000-0006-0000-0500-00009C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669" authorId="1" shapeId="0" xr:uid="{401FC7E2-E924-4068-9DB9-2E065910B04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69" authorId="0" shapeId="0" xr:uid="{00000000-0006-0000-0500-00009E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670" authorId="1" shapeId="0" xr:uid="{C67062BB-2C13-4FED-935A-8B3EEABCA99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1" authorId="1" shapeId="0" xr:uid="{D2D069F0-4A7B-4041-94F6-3362FEC76D6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2" authorId="1" shapeId="0" xr:uid="{D81E2B84-07DE-463C-AFE2-B7826FAD06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73" authorId="0" shapeId="0" xr:uid="{00000000-0006-0000-0500-0000A2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H674" authorId="2" shapeId="0" xr:uid="{33B34369-EDB1-4A5D-BD38-901EDB0BD66C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pode excluir?</t>
        </r>
      </text>
    </comment>
    <comment ref="M674" authorId="0" shapeId="0" xr:uid="{00000000-0006-0000-0500-0000A3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75" authorId="0" shapeId="0" xr:uid="{5651DF99-E0A8-4CBD-B827-0180196C799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77" authorId="0" shapeId="0" xr:uid="{00000000-0006-0000-0500-0000A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1" authorId="0" shapeId="0" xr:uid="{00000000-0006-0000-0500-0000A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3" authorId="0" shapeId="0" xr:uid="{00000000-0006-0000-0500-0000A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5" authorId="0" shapeId="0" xr:uid="{00000000-0006-0000-0500-0000A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7" authorId="0" shapeId="0" xr:uid="{00000000-0006-0000-0500-0000A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9" authorId="0" shapeId="0" xr:uid="{00000000-0006-0000-0500-0000A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1" authorId="0" shapeId="0" xr:uid="{00000000-0006-0000-0500-0000A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3" authorId="0" shapeId="0" xr:uid="{00000000-0006-0000-0500-0000A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5" authorId="0" shapeId="0" xr:uid="{00000000-0006-0000-0500-0000A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7" authorId="0" shapeId="0" xr:uid="{00000000-0006-0000-0500-0000A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9" authorId="0" shapeId="0" xr:uid="{00000000-0006-0000-0500-0000A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1" authorId="0" shapeId="0" xr:uid="{00000000-0006-0000-0500-0000A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3" authorId="0" shapeId="0" xr:uid="{00000000-0006-0000-0500-0000B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5" authorId="0" shapeId="0" xr:uid="{00000000-0006-0000-0500-0000B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7" authorId="0" shapeId="0" xr:uid="{00000000-0006-0000-0500-0000B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9" authorId="0" shapeId="0" xr:uid="{00000000-0006-0000-0500-0000B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1" authorId="0" shapeId="0" xr:uid="{00000000-0006-0000-0500-0000B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3" authorId="0" shapeId="0" xr:uid="{00000000-0006-0000-0500-0000B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0" authorId="0" shapeId="0" xr:uid="{00631634-1324-49BD-B5DF-FBBDBE7D4DB8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21" authorId="0" shapeId="0" xr:uid="{00000000-0006-0000-0500-0000B7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22" authorId="0" shapeId="0" xr:uid="{00000000-0006-0000-0500-0000B8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31" authorId="0" shapeId="0" xr:uid="{00000000-0006-0000-0500-0000B9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736" authorId="0" shapeId="0" xr:uid="{00000000-0006-0000-0500-0000BA000000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I755" authorId="1" shapeId="0" xr:uid="{7BB80237-ACA1-4DEE-BDD9-AD2CD472EF9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755" authorId="0" shapeId="0" xr:uid="{00000000-0006-0000-0500-0000BC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762" authorId="0" shapeId="0" xr:uid="{00000000-0006-0000-0500-0000BD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763" authorId="0" shapeId="0" xr:uid="{00000000-0006-0000-0500-0000BE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765" authorId="0" shapeId="0" xr:uid="{00000000-0006-0000-0500-0000BF000000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M786" authorId="0" shapeId="0" xr:uid="{00000000-0006-0000-0500-0000C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88" authorId="0" shapeId="0" xr:uid="{00000000-0006-0000-0500-0000C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90" authorId="0" shapeId="0" xr:uid="{F00E1CC7-0843-47DD-AA16-7BC6FBE388A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92" authorId="0" shapeId="0" xr:uid="{00000000-0006-0000-0500-0000C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09" authorId="0" shapeId="0" xr:uid="{00000000-0006-0000-0500-0000C3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812" authorId="0" shapeId="0" xr:uid="{00000000-0006-0000-0500-0000C4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13" authorId="0" shapeId="0" xr:uid="{00000000-0006-0000-0500-0000C5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15" authorId="0" shapeId="0" xr:uid="{00000000-0006-0000-0500-0000C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17" authorId="0" shapeId="0" xr:uid="{00000000-0006-0000-0500-0000C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23" authorId="0" shapeId="0" xr:uid="{00000000-0006-0000-0500-0000C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25" authorId="0" shapeId="0" xr:uid="{00000000-0006-0000-0500-0000C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27" authorId="0" shapeId="0" xr:uid="{00000000-0006-0000-0500-0000C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29" authorId="0" shapeId="0" xr:uid="{00000000-0006-0000-0500-0000C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40" authorId="0" shapeId="0" xr:uid="{00000000-0006-0000-0500-0000CC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848" authorId="0" shapeId="0" xr:uid="{00000000-0006-0000-0500-0000CD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848" authorId="0" shapeId="0" xr:uid="{00000000-0006-0000-0500-0000CE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850" authorId="0" shapeId="0" xr:uid="{00000000-0006-0000-0500-0000CF000000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M851" authorId="0" shapeId="0" xr:uid="{00000000-0006-0000-0500-0000D0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853" authorId="0" shapeId="0" xr:uid="{00000000-0006-0000-0500-0000D1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855" authorId="0" shapeId="0" xr:uid="{00000000-0006-0000-0500-0000D2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856" authorId="0" shapeId="0" xr:uid="{00000000-0006-0000-0500-0000D3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I858" authorId="1" shapeId="0" xr:uid="{DAC87C31-97F4-441A-9760-CAAEEB40C38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58" authorId="0" shapeId="0" xr:uid="{00000000-0006-0000-0500-0000D5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59" authorId="1" shapeId="0" xr:uid="{1E38F259-A6B4-4CA6-A969-EFD300A550F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59" authorId="0" shapeId="0" xr:uid="{00000000-0006-0000-0500-0000D7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60" authorId="1" shapeId="0" xr:uid="{D8C9F217-F697-4DFD-93BE-16FD0E99D2B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60" authorId="0" shapeId="0" xr:uid="{00000000-0006-0000-0500-0000D9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61" authorId="1" shapeId="0" xr:uid="{00000000-0006-0000-0500-0000DA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62" authorId="0" shapeId="0" xr:uid="{00000000-0006-0000-0500-0000DB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63" authorId="0" shapeId="0" xr:uid="{00000000-0006-0000-0500-0000DC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65" authorId="0" shapeId="0" xr:uid="{00000000-0006-0000-0500-0000D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67" authorId="0" shapeId="0" xr:uid="{00000000-0006-0000-0500-0000D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1" authorId="0" shapeId="0" xr:uid="{00000000-0006-0000-0500-0000D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3" authorId="0" shapeId="0" xr:uid="{00000000-0006-0000-0500-0000E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5" authorId="0" shapeId="0" xr:uid="{00000000-0006-0000-0500-0000E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7" authorId="0" shapeId="0" xr:uid="{00000000-0006-0000-0500-0000E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9" authorId="0" shapeId="0" xr:uid="{00000000-0006-0000-0500-0000E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81" authorId="0" shapeId="0" xr:uid="{00000000-0006-0000-0500-0000E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83" authorId="0" shapeId="0" xr:uid="{00000000-0006-0000-0500-0000E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85" authorId="0" shapeId="0" xr:uid="{00000000-0006-0000-0500-0000E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87" authorId="0" shapeId="0" xr:uid="{00000000-0006-0000-0500-0000E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89" authorId="0" shapeId="0" xr:uid="{00000000-0006-0000-0500-0000E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86" authorId="0" shapeId="0" xr:uid="{00000000-0006-0000-1400-000001000000}">
      <text>
        <r>
          <rPr>
            <b/>
            <sz val="9"/>
            <color indexed="81"/>
            <rFont val="Segoe UI"/>
            <family val="2"/>
          </rPr>
          <t>TIPO TABULEIRO DE XADREZ
50% DA ÁREA</t>
        </r>
      </text>
    </comment>
    <comment ref="H86" authorId="0" shapeId="0" xr:uid="{F507A53B-3CA1-4FC1-840F-0EC0380FBB6C}">
      <text>
        <r>
          <rPr>
            <b/>
            <sz val="9"/>
            <color indexed="81"/>
            <rFont val="Segoe UI"/>
            <family val="2"/>
          </rPr>
          <t>TIPO TABULEIRO DE XADREZ
50% DA ÁREA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  <author>.</author>
    <author>Ricardo Schettini Figueiredo</author>
  </authors>
  <commentList>
    <comment ref="F22" authorId="0" shapeId="0" xr:uid="{00000000-0006-0000-1500-000001000000}">
      <text>
        <r>
          <rPr>
            <b/>
            <sz val="9"/>
            <color indexed="81"/>
            <rFont val="Segoe UI"/>
            <family val="2"/>
          </rPr>
          <t>se ROSA
Rocha &gt; Profu.</t>
        </r>
      </text>
    </comment>
    <comment ref="G22" authorId="0" shapeId="0" xr:uid="{83AA86DD-205E-4ED9-99D0-8E9F59F9B468}">
      <text>
        <r>
          <rPr>
            <b/>
            <sz val="9"/>
            <color indexed="81"/>
            <rFont val="Segoe UI"/>
            <family val="2"/>
          </rPr>
          <t>se ROSA
Rocha &gt; Profu.</t>
        </r>
      </text>
    </comment>
    <comment ref="H22" authorId="0" shapeId="0" xr:uid="{00000000-0006-0000-1500-000003000000}">
      <text>
        <r>
          <rPr>
            <b/>
            <sz val="9"/>
            <color indexed="81"/>
            <rFont val="Segoe UI"/>
            <family val="2"/>
          </rPr>
          <t>se ROSA
Rocha &gt; Profu.</t>
        </r>
      </text>
    </comment>
    <comment ref="F23" authorId="0" shapeId="0" xr:uid="{00000000-0006-0000-1500-000004000000}">
      <text>
        <r>
          <rPr>
            <b/>
            <sz val="9"/>
            <color indexed="81"/>
            <rFont val="Segoe UI"/>
            <family val="2"/>
          </rPr>
          <t>se ROSA
sugre-se expurgo
&gt;50%</t>
        </r>
      </text>
    </comment>
    <comment ref="G23" authorId="0" shapeId="0" xr:uid="{2CEF4994-4427-4BCC-AE5B-4A49037E2DC0}">
      <text>
        <r>
          <rPr>
            <b/>
            <sz val="9"/>
            <color indexed="81"/>
            <rFont val="Segoe UI"/>
            <family val="2"/>
          </rPr>
          <t>se ROSA
sugre-se expurgo
&gt;50%</t>
        </r>
      </text>
    </comment>
    <comment ref="H23" authorId="0" shapeId="0" xr:uid="{00000000-0006-0000-1500-000006000000}">
      <text>
        <r>
          <rPr>
            <b/>
            <sz val="9"/>
            <color indexed="81"/>
            <rFont val="Segoe UI"/>
            <family val="2"/>
          </rPr>
          <t>se ROSA
sugre-se expurgo
&gt;50%</t>
        </r>
      </text>
    </comment>
    <comment ref="F24" authorId="1" shapeId="0" xr:uid="{00000000-0006-0000-1500-000007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G24" authorId="1" shapeId="0" xr:uid="{E7443403-6E1E-4877-B863-765CED85C2E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H24" authorId="1" shapeId="0" xr:uid="{00000000-0006-0000-1500-000009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F25" authorId="0" shapeId="0" xr:uid="{00000000-0006-0000-1500-00000A000000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G25" authorId="0" shapeId="0" xr:uid="{A38F771A-E619-42EA-B17B-2F56691E8EA2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H25" authorId="0" shapeId="0" xr:uid="{00000000-0006-0000-1500-00000C000000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F36" authorId="2" shapeId="0" xr:uid="{00000000-0006-0000-1500-00000D000000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G36" authorId="2" shapeId="0" xr:uid="{7916B19F-2B45-47E3-B57B-6303FBC3D798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H36" authorId="2" shapeId="0" xr:uid="{00000000-0006-0000-1500-00000F000000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F38" authorId="0" shapeId="0" xr:uid="{00000000-0006-0000-1500-000010000000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G38" authorId="0" shapeId="0" xr:uid="{6BA40C6C-B662-48D1-9055-4CDE07C76A49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H38" authorId="0" shapeId="0" xr:uid="{00000000-0006-0000-1500-000012000000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F50" authorId="1" shapeId="0" xr:uid="{00000000-0006-0000-1500-000013000000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signfica falta de material para aterro</t>
        </r>
      </text>
    </comment>
    <comment ref="G50" authorId="1" shapeId="0" xr:uid="{B4341A99-CCCE-4594-98E5-AF7E3BE8F8E0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signfica falta de material para aterro</t>
        </r>
      </text>
    </comment>
    <comment ref="H50" authorId="1" shapeId="0" xr:uid="{00000000-0006-0000-1500-000015000000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signfica falta de material para aterro</t>
        </r>
      </text>
    </comment>
    <comment ref="F52" authorId="2" shapeId="0" xr:uid="{00000000-0006-0000-1500-000016000000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  <comment ref="G52" authorId="2" shapeId="0" xr:uid="{32606ABE-AC4D-40CA-B184-4BF9BACBBFF6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  <comment ref="H52" authorId="2" shapeId="0" xr:uid="{00000000-0006-0000-1500-000018000000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52" authorId="0" shapeId="0" xr:uid="{E037E127-D89D-49D2-AF28-94645BFC0D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2" authorId="0" shapeId="0" xr:uid="{44945A56-A8D8-4C3C-A7E9-93A377CDB3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2" authorId="0" shapeId="0" xr:uid="{9441B472-2AD1-494C-BE4A-F19BD2CBBE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2" authorId="0" shapeId="0" xr:uid="{9C98A852-8C6E-4681-9334-8B036F5653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2" authorId="0" shapeId="0" xr:uid="{88323192-8E78-43F5-8F80-EA4DE378DCC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2" authorId="0" shapeId="0" xr:uid="{2D804E0E-7B53-4C5B-BB10-DC8F6A1121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2" authorId="0" shapeId="0" xr:uid="{6CD4F22F-64A7-4B03-912B-87B223E162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2" authorId="0" shapeId="0" xr:uid="{6D850D4E-C69E-464A-9529-01B9F2BA58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2" authorId="0" shapeId="0" xr:uid="{3ED350DB-0455-4501-8468-2FBF2625B2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2" authorId="0" shapeId="0" xr:uid="{59B04601-9A6B-4DA7-B6F9-E8D11889765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2" authorId="0" shapeId="0" xr:uid="{0BD189C4-A6F6-4DB2-A7F3-48E9054779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2" authorId="0" shapeId="0" xr:uid="{217C296E-2F43-49B6-9FF8-19DA570527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2" authorId="0" shapeId="0" xr:uid="{5C5F2F40-E08B-4C50-B9AF-9CF72E01AD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2" authorId="0" shapeId="0" xr:uid="{674103A5-0A38-4099-8821-2A1C7A870A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2" authorId="0" shapeId="0" xr:uid="{ABDAB488-7DF6-4F89-AEC2-AEBB0BF7CE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2" authorId="0" shapeId="0" xr:uid="{0832898C-FC60-4D34-8333-7A21768188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2" authorId="0" shapeId="0" xr:uid="{D9236DFA-B16F-42E0-A7E8-101EF2AB2F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2" authorId="0" shapeId="0" xr:uid="{F2EE1489-3FC8-45C6-9F5C-920F4287FF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2" authorId="0" shapeId="0" xr:uid="{38F031FF-80AF-413A-9BCE-DB59CDFB489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2" authorId="0" shapeId="0" xr:uid="{57F84D3C-974E-4E73-B36F-18EB962545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2" authorId="0" shapeId="0" xr:uid="{CCEB877C-0380-4E12-A794-0E1228AD03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2" authorId="0" shapeId="0" xr:uid="{47342CBA-9D32-4B03-9A2F-BB5EA7BBE1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2" authorId="0" shapeId="0" xr:uid="{B6AE9AC3-F81D-4E5E-8B02-137D7F011D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2" authorId="0" shapeId="0" xr:uid="{E1BB6841-A493-46D8-9695-5170104B76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2" authorId="0" shapeId="0" xr:uid="{34E08739-FE71-45E0-A3BD-D113C3BED6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2" authorId="0" shapeId="0" xr:uid="{D3C5D288-7A51-4AC1-B9B1-40C9CA9333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2" authorId="0" shapeId="0" xr:uid="{232300A9-4370-4316-B8B5-E63EBF54D2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2" authorId="0" shapeId="0" xr:uid="{F9DDDF22-21AD-4278-8098-EEFA58C7CB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2" authorId="0" shapeId="0" xr:uid="{004954A6-45FB-4EF4-BB64-490D37D796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2" authorId="0" shapeId="0" xr:uid="{5AFA7C1E-8AC6-4DF7-938C-F9DD78B319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2" authorId="0" shapeId="0" xr:uid="{DE5B8B5C-B92F-4B66-BB83-F5BBD93F7B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2" authorId="0" shapeId="0" xr:uid="{518CEFFD-9467-4502-874F-FE8BD801DB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2" authorId="0" shapeId="0" xr:uid="{DFA59DAC-CFF0-49DB-9691-087F56E897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2" authorId="0" shapeId="0" xr:uid="{067D3021-8A86-4CEF-BA0D-E6CDB15273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2" authorId="0" shapeId="0" xr:uid="{FF32EA30-55E1-44C2-9298-989A5BA564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2" authorId="0" shapeId="0" xr:uid="{D36761C7-FD21-4ABF-99D1-8276801460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2" authorId="0" shapeId="0" xr:uid="{DA858D81-7B32-4C4D-9704-727DFC75DB2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2" authorId="0" shapeId="0" xr:uid="{9D48419C-2B0B-4B12-AFE8-A59CC5C0BF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52" authorId="0" shapeId="0" xr:uid="{75D74201-4A74-45E9-A2A5-AFEF333886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2" authorId="0" shapeId="0" xr:uid="{BEAC4272-BA56-4A00-B2FD-3D9C125437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52" authorId="0" shapeId="0" xr:uid="{5B0D7482-033E-4ED3-8323-E6D64BF8710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2" authorId="0" shapeId="0" xr:uid="{8721B1E1-C7B6-488D-AEA0-21720782B4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52" authorId="0" shapeId="0" xr:uid="{85C792F4-42AE-4693-A6D5-571DDB55CC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2" authorId="0" shapeId="0" xr:uid="{3D42C449-87E6-44A7-BC03-C88A7963FA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52" authorId="0" shapeId="0" xr:uid="{A0510375-57C9-48D7-BA1C-EF7062BBB0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4" authorId="0" shapeId="0" xr:uid="{747E6E7C-9F1A-4E23-AC09-DE1BC49DA8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4" authorId="0" shapeId="0" xr:uid="{199DF619-46D3-4AC4-8B24-A79D60174BB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4" authorId="0" shapeId="0" xr:uid="{62094C7C-AC7E-476A-9782-81759A2EEB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4" authorId="0" shapeId="0" xr:uid="{70077A7A-CAAE-422B-91D5-FDF777E8ED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4" authorId="0" shapeId="0" xr:uid="{60AFB67E-82F8-486D-A303-F61F1F0815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4" authorId="0" shapeId="0" xr:uid="{550CE57A-6749-4155-BD79-5FA69950F8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4" authorId="0" shapeId="0" xr:uid="{19791019-9640-42A9-9B91-527991DD2C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4" authorId="0" shapeId="0" xr:uid="{9394B68C-4381-4091-A64A-35F8FF2A21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4" authorId="0" shapeId="0" xr:uid="{A8A2D818-791C-42E9-A3D8-03D22BAA1E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4" authorId="0" shapeId="0" xr:uid="{AF0B6938-1794-470D-8C44-66C200EB11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4" authorId="0" shapeId="0" xr:uid="{175E351B-7B36-4A6B-9195-92B9FD1352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4" authorId="0" shapeId="0" xr:uid="{9BE1F429-38A1-4BA9-B9DD-1CFFCF69E8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4" authorId="0" shapeId="0" xr:uid="{5E55B8C3-2082-467B-851B-E38A737890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4" authorId="0" shapeId="0" xr:uid="{5900DF37-FEE6-45E2-A3C6-C626A74101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4" authorId="0" shapeId="0" xr:uid="{1D02F012-68EA-499B-A162-CD7DD4F28A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4" authorId="0" shapeId="0" xr:uid="{55B90475-BDB4-4C9E-A220-6F4A9813DC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4" authorId="0" shapeId="0" xr:uid="{2A4EAD16-3C8A-49BF-A1BC-3FE11EC4C61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4" authorId="0" shapeId="0" xr:uid="{039DDF01-5731-47B7-9C8D-DC6DDF9FCD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4" authorId="0" shapeId="0" xr:uid="{DCEF6AB7-FD30-4A8B-BB9B-3806BF8F62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4" authorId="0" shapeId="0" xr:uid="{51052ABE-9A41-432C-B8B3-9BB2B2F17E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4" authorId="0" shapeId="0" xr:uid="{A2BA53BA-DB23-4817-9C45-1DF2757EC33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4" authorId="0" shapeId="0" xr:uid="{0978156F-3D98-4783-B6F0-9C11DF3FC3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4" authorId="0" shapeId="0" xr:uid="{035FAD57-A7EE-4954-88F9-D99358BA2B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4" authorId="0" shapeId="0" xr:uid="{B5DD610B-8720-4212-A6E6-C1634F6ACF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4" authorId="0" shapeId="0" xr:uid="{83316F13-860E-4C72-9294-FA77CF641D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4" authorId="0" shapeId="0" xr:uid="{D6597064-83B9-445B-B96C-7B5AB92B270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4" authorId="0" shapeId="0" xr:uid="{89AEA989-1D0F-493B-8F14-C05B50D4FB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4" authorId="0" shapeId="0" xr:uid="{9636B56B-1C9F-4FB4-B52C-E1EE3528D0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4" authorId="0" shapeId="0" xr:uid="{61DFBA26-AB2C-4F5B-A4FB-63509CC5EA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4" authorId="0" shapeId="0" xr:uid="{5B7D5969-C75C-4474-87FD-AA9CFAEA3C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4" authorId="0" shapeId="0" xr:uid="{EA10482E-BBAA-4288-B165-375CC04FB6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4" authorId="0" shapeId="0" xr:uid="{55F0ED72-2EF1-4F7E-A66D-D18AB2C6A1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4" authorId="0" shapeId="0" xr:uid="{B274FC12-593F-4D3B-85DA-EFA8439281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4" authorId="0" shapeId="0" xr:uid="{87631F8C-FED9-4DF5-869A-B6B85771E9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4" authorId="0" shapeId="0" xr:uid="{02126580-BCD3-4E22-B741-23B5A56749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4" authorId="0" shapeId="0" xr:uid="{C6D1AF7C-CD11-4B97-AAEE-B2156C408F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4" authorId="0" shapeId="0" xr:uid="{E8A5A01A-6D18-467E-BC6A-7C782A8C73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4" authorId="0" shapeId="0" xr:uid="{B3B2F598-2847-4D76-BC6D-A04EC68239E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54" authorId="0" shapeId="0" xr:uid="{0FE8DF9E-58CC-4392-97B5-A81410AD51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4" authorId="0" shapeId="0" xr:uid="{A77CD98F-114A-4067-8C1F-C4FA34BAB2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54" authorId="0" shapeId="0" xr:uid="{0F3FAEE1-10F7-47ED-9D81-8C3055E2A6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4" authorId="0" shapeId="0" xr:uid="{62F2040A-A1EA-426E-A9DF-93BC536D0D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54" authorId="0" shapeId="0" xr:uid="{C015FF8B-294C-4FBA-A493-933A69511B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4" authorId="0" shapeId="0" xr:uid="{572F321A-763B-47DB-B233-1FB53667DD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54" authorId="0" shapeId="0" xr:uid="{5ADBF917-C549-4611-BDCD-4D6BFE9977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6" authorId="0" shapeId="0" xr:uid="{18CA11AF-E2CB-4DCB-A944-3C68A4B062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6" authorId="0" shapeId="0" xr:uid="{1395BD5D-4E16-43DB-809E-F141C3F258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6" authorId="0" shapeId="0" xr:uid="{90DA35B9-0050-4F7C-9974-688610F37C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6" authorId="0" shapeId="0" xr:uid="{86F87EF5-4B94-417E-9BCD-7A7E1C6EF8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6" authorId="0" shapeId="0" xr:uid="{19B6CDBB-D419-4DFD-9793-F975323D670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6" authorId="0" shapeId="0" xr:uid="{849F6367-6F94-4B4E-A01D-3373094B21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6" authorId="0" shapeId="0" xr:uid="{93AEEF6F-955E-4010-92C5-CA48468DA9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6" authorId="0" shapeId="0" xr:uid="{C3F6C68B-7019-4543-A736-15B0119415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6" authorId="0" shapeId="0" xr:uid="{D2898F69-05A0-4482-93B2-71324277AC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6" authorId="0" shapeId="0" xr:uid="{3ADA9A77-7B72-4000-8074-9626C7BE75E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6" authorId="0" shapeId="0" xr:uid="{DFE66FE9-18F9-44DE-B80C-91789B7FA7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6" authorId="0" shapeId="0" xr:uid="{3FD6DA00-644F-40A8-A9C6-C70611967E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6" authorId="0" shapeId="0" xr:uid="{D7C8516A-1174-44CC-BB26-E93F5BE10F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6" authorId="0" shapeId="0" xr:uid="{0DBF06DB-A0D9-4714-AD01-2E92C3A3673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6" authorId="0" shapeId="0" xr:uid="{6D232172-E00B-4E3E-B8C3-44CDC6EAB5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6" authorId="0" shapeId="0" xr:uid="{06D5265C-3D8E-4BD5-B184-ABF0BFB64B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6" authorId="0" shapeId="0" xr:uid="{9C3AFD2D-A61F-49CC-B281-452B07B41F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6" authorId="0" shapeId="0" xr:uid="{0941F64B-DC6F-4E25-8C95-A572A20169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6" authorId="0" shapeId="0" xr:uid="{9080A5EC-3875-4332-B7E1-F4F19703D5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6" authorId="0" shapeId="0" xr:uid="{02A40DD3-BCCC-49C7-A0D2-1E6BD4D94A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6" authorId="0" shapeId="0" xr:uid="{367682DB-8414-4A81-9964-F7CB7AF199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6" authorId="0" shapeId="0" xr:uid="{1420E1D7-7ABC-41EF-BD89-7DE4D50675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6" authorId="0" shapeId="0" xr:uid="{D163D414-F4CE-4549-91D2-061517FEDD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6" authorId="0" shapeId="0" xr:uid="{35B199E4-3DC3-4B61-96CF-DED763CB29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6" authorId="0" shapeId="0" xr:uid="{31BC75BC-9DFE-4369-A8D6-5D04A4441C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6" authorId="0" shapeId="0" xr:uid="{096E6651-8965-4861-97CF-44AE4F0EB5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6" authorId="0" shapeId="0" xr:uid="{B7E45FE5-178B-4F70-B441-3071E55A4E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6" authorId="0" shapeId="0" xr:uid="{E3AC1316-51C6-4678-BCB1-DB4FE2B134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6" authorId="0" shapeId="0" xr:uid="{DD45FFBD-7DCC-4EB2-8461-A6D859082E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6" authorId="0" shapeId="0" xr:uid="{84664A34-584E-48A4-B96C-50113CC578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6" authorId="0" shapeId="0" xr:uid="{204F2CC8-5828-4D0E-88B1-4CBE882ADB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6" authorId="0" shapeId="0" xr:uid="{00F077F4-E63F-4C61-BDBF-57294C048F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6" authorId="0" shapeId="0" xr:uid="{9945FD25-06BF-468E-AD80-45924C5340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6" authorId="0" shapeId="0" xr:uid="{3B0466AB-BCB5-46F5-8678-6A382E23FC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6" authorId="0" shapeId="0" xr:uid="{41B9EEEC-2FD5-4B7D-B239-67C8EBCC78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6" authorId="0" shapeId="0" xr:uid="{953032F1-2BE7-46C7-82C3-C93A1221AA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6" authorId="0" shapeId="0" xr:uid="{1DEC4628-8DD8-416E-88EE-85F4F429A7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6" authorId="0" shapeId="0" xr:uid="{C810EAC0-4166-40B0-B729-59DDB7D9D9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56" authorId="0" shapeId="0" xr:uid="{AB4E897A-54E3-451D-9596-8399F1BA35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6" authorId="0" shapeId="0" xr:uid="{2002230D-E5A2-4173-852E-6FAFB0D902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56" authorId="0" shapeId="0" xr:uid="{F1C4D9AB-C7A4-4CB4-A00E-DEF15DAC67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6" authorId="0" shapeId="0" xr:uid="{22141153-1716-4B28-B135-B93B41C25C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56" authorId="0" shapeId="0" xr:uid="{16752EA9-9E6B-46D4-B0C8-3D546FA817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6" authorId="0" shapeId="0" xr:uid="{8052DA83-F7FC-4183-A79F-B7B28AF1B4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56" authorId="0" shapeId="0" xr:uid="{9543B360-A6C0-41D6-B036-FB793DB8FB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2" authorId="0" shapeId="0" xr:uid="{00000000-0006-0000-1700-00000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" authorId="0" shapeId="0" xr:uid="{E1643706-766F-4E53-AD8E-C04122B915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" authorId="0" shapeId="0" xr:uid="{19E76A4D-A622-409F-8418-C672CC493C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" authorId="0" shapeId="0" xr:uid="{97EE0A7E-5AAD-435E-8324-570E8318C0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" authorId="0" shapeId="0" xr:uid="{00000000-0006-0000-1700-00000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01816298-95A6-4B66-8EAD-8C2A01BF23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0" shapeId="0" xr:uid="{84D03CF0-AD0E-42BE-A675-CDFA7EB2A5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" authorId="0" shapeId="0" xr:uid="{4449BFDE-E54A-4EF3-B2EB-710B066202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" authorId="0" shapeId="0" xr:uid="{00000000-0006-0000-17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1BEC73D2-D901-4A4D-A844-85DB166A88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0" shapeId="0" xr:uid="{F28151FB-2F61-4D5A-8FAE-3B0F27FE08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" authorId="0" shapeId="0" xr:uid="{A9823644-18D5-45AF-9742-2A753EE691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" authorId="0" shapeId="0" xr:uid="{00000000-0006-0000-17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64127112-4089-4989-90E8-F5354BFB6E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" authorId="0" shapeId="0" xr:uid="{B62A474A-D65B-4E82-ABD4-B22523A56E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" authorId="0" shapeId="0" xr:uid="{6810B4F6-9C4F-4ECE-9E2B-C710C574CC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" authorId="0" shapeId="0" xr:uid="{00000000-0006-0000-17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" authorId="0" shapeId="0" xr:uid="{6281536F-2C64-4434-BD91-8AAAC61841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" authorId="0" shapeId="0" xr:uid="{A6057764-5072-4595-AF2A-75D9895F7A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" authorId="0" shapeId="0" xr:uid="{0558B88D-25BD-41D2-A027-52B1F4DE4D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" authorId="0" shapeId="0" xr:uid="{00000000-0006-0000-1700-00001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" authorId="0" shapeId="0" xr:uid="{7263F768-C317-48BF-8C86-31969E2786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" authorId="0" shapeId="0" xr:uid="{4FB37EB9-E6A3-4EF1-95A7-7C43D7B718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" authorId="0" shapeId="0" xr:uid="{94FFAF06-963F-4949-BA36-AE0B9806C7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2" authorId="0" shapeId="0" xr:uid="{00000000-0006-0000-1700-00001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2" authorId="0" shapeId="0" xr:uid="{442F9E3A-3550-476A-98FF-FB5626BEB6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2" authorId="0" shapeId="0" xr:uid="{FB6B1416-DB87-4ACF-9D4B-2758837352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2" authorId="0" shapeId="0" xr:uid="{BBFEA485-98C8-4D05-95F8-B14D41DE66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3" authorId="0" shapeId="0" xr:uid="{00000000-0006-0000-1700-00001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3" authorId="0" shapeId="0" xr:uid="{F9C65F50-9AA1-42EE-B0D6-93845F4F52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3" authorId="0" shapeId="0" xr:uid="{5A38FF54-628E-4EC9-974A-989945796D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3" authorId="0" shapeId="0" xr:uid="{A14E69E5-E830-4D29-9B4F-A2B1090486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6" authorId="0" shapeId="0" xr:uid="{00000000-0006-0000-1700-00002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6" authorId="0" shapeId="0" xr:uid="{0E11167B-F31E-4B9D-A4AE-C70DD59063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6" authorId="0" shapeId="0" xr:uid="{D11441CC-9328-4ABC-941C-9B54228DA6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6" authorId="0" shapeId="0" xr:uid="{2DA75BD9-81BA-4CFE-89EE-C87AAF461E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0" authorId="0" shapeId="0" xr:uid="{00000000-0006-0000-1700-00002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0" authorId="0" shapeId="0" xr:uid="{269B3A73-65FB-48D7-A077-28BBE57B2C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0" authorId="0" shapeId="0" xr:uid="{033E6C5A-BD63-4999-8FB1-B079314524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0" authorId="0" shapeId="0" xr:uid="{8CC7066E-AD12-490A-BBE2-2FB6E5EA64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2" authorId="0" shapeId="0" xr:uid="{00000000-0006-0000-17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2" authorId="0" shapeId="0" xr:uid="{C7B4B1ED-21C5-44F8-B8B3-85D12504A8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2" authorId="0" shapeId="0" xr:uid="{3202F7AB-DA0A-4D91-B095-D23B52031C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2" authorId="0" shapeId="0" xr:uid="{CC4775BD-8E17-48A9-A8F6-BD1900BF5B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4" authorId="0" shapeId="0" xr:uid="{00000000-0006-0000-17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4" authorId="0" shapeId="0" xr:uid="{302BD255-EDF5-4022-8DD0-42AE9EC6FC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4" authorId="0" shapeId="0" xr:uid="{8D29FD2E-3666-4B02-AAB4-0A18372738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4" authorId="0" shapeId="0" xr:uid="{427D7B0D-82B4-405E-BF83-C8FD73AFCF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5" authorId="0" shapeId="0" xr:uid="{00000000-0006-0000-1700-00003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5" authorId="0" shapeId="0" xr:uid="{A68F0CF5-F3FF-4632-8B02-3A7FE8B780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5" authorId="0" shapeId="0" xr:uid="{5919FAA8-1219-4480-9084-EE1704C6FB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5" authorId="0" shapeId="0" xr:uid="{AFA66FC8-0430-4343-916C-E7E34A8021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0" authorId="0" shapeId="0" xr:uid="{00000000-0006-0000-1700-00003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0" authorId="0" shapeId="0" xr:uid="{73008633-4D1A-4C37-9E64-5D59FC81D8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0" authorId="0" shapeId="0" xr:uid="{D173BD36-7209-415C-AD3E-4D8AEC4FA1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0" authorId="0" shapeId="0" xr:uid="{31DA8581-7409-4C09-9822-A26BF09E84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4" authorId="0" shapeId="0" xr:uid="{00000000-0006-0000-1700-00003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4" authorId="0" shapeId="0" xr:uid="{108513AB-6482-4043-9229-53CFC9CBA8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4" authorId="0" shapeId="0" xr:uid="{38C05FA7-C7D4-4138-9F9D-4DDC6821C3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4" authorId="0" shapeId="0" xr:uid="{EBDB66A7-AEA7-4A1A-91E6-AEA97963AE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8" authorId="0" shapeId="0" xr:uid="{00000000-0006-0000-1700-00003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8" authorId="0" shapeId="0" xr:uid="{53B36642-9D42-44F9-A246-2A910AE3FE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8" authorId="0" shapeId="0" xr:uid="{C4B1F1AC-A924-44DD-BD84-85F0EA038B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8" authorId="0" shapeId="0" xr:uid="{F6D2991B-4E7D-4134-84E5-8D7684DC5D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2" authorId="0" shapeId="0" xr:uid="{00000000-0006-0000-1700-00004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2" authorId="0" shapeId="0" xr:uid="{16DF29FB-B6B0-49B7-BF33-CC15D07C76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2" authorId="0" shapeId="0" xr:uid="{22BBB0BF-D0D0-4D80-A9D6-6FB69822B3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2" authorId="0" shapeId="0" xr:uid="{5C848B85-00FB-47ED-A4D0-5CE56799B7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4" authorId="0" shapeId="0" xr:uid="{00000000-0006-0000-1700-00004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4" authorId="0" shapeId="0" xr:uid="{44AE3BF9-C072-4824-981F-E07370F191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4" authorId="0" shapeId="0" xr:uid="{34987494-58E3-4268-B650-C7D47B9B09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4" authorId="0" shapeId="0" xr:uid="{71D04657-4FAF-4F80-A7BB-0FB380BF05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5" authorId="0" shapeId="0" xr:uid="{00000000-0006-0000-1700-00004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5" authorId="0" shapeId="0" xr:uid="{D43E3C71-B8AC-4420-89DE-A92236C750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5" authorId="0" shapeId="0" xr:uid="{0E2AA5F7-972B-466F-98E0-FF79DE870C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5" authorId="0" shapeId="0" xr:uid="{1CC8411E-7AAD-44ED-934E-67BAFFC20C6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6" authorId="0" shapeId="0" xr:uid="{00000000-0006-0000-1700-00004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6" authorId="0" shapeId="0" xr:uid="{16E8D892-F80C-4AB5-B529-576CB3375D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6" authorId="0" shapeId="0" xr:uid="{7CF84B02-B0F8-4B7B-A578-CC425DE24F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6" authorId="0" shapeId="0" xr:uid="{14311D8E-2A55-4F1D-90F0-62D42E9897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0" authorId="0" shapeId="0" xr:uid="{00000000-0006-0000-1700-00005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0" authorId="0" shapeId="0" xr:uid="{5B9E4B00-A255-41BC-B16B-90EA66756C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0" authorId="0" shapeId="0" xr:uid="{630E3D3E-E7AF-4E6F-9E4C-AD020DD904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0" authorId="0" shapeId="0" xr:uid="{B5D01251-54D9-491E-B83B-356EADC614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1" authorId="0" shapeId="0" xr:uid="{00000000-0006-0000-1700-00005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1" authorId="0" shapeId="0" xr:uid="{72BAC6D1-AB2B-4D23-B994-FFA7916222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1" authorId="0" shapeId="0" xr:uid="{D5BA2EBC-BAE9-49D7-B452-9CB9D3509D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1" authorId="0" shapeId="0" xr:uid="{0548871B-DF12-404A-AC96-9C9AB881BA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2" authorId="0" shapeId="0" xr:uid="{00000000-0006-0000-1700-00005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2" authorId="0" shapeId="0" xr:uid="{0463D27E-7AC5-4EAC-BD21-EBC252E93F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2" authorId="0" shapeId="0" xr:uid="{541C4ACA-D803-4E1E-9462-AD1F30BF24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2" authorId="0" shapeId="0" xr:uid="{B33E41DF-D02C-4883-98F4-8A9610F3A2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5" authorId="0" shapeId="0" xr:uid="{00000000-0006-0000-1700-00005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5" authorId="0" shapeId="0" xr:uid="{4F53C505-D8A6-48D1-9239-D81ABAC33C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5" authorId="0" shapeId="0" xr:uid="{3FE547E9-DC97-4930-ADA5-50FC1A7FB8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5" authorId="0" shapeId="0" xr:uid="{BAF33369-0D8E-413C-BE7E-66EAD58C2C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4" authorId="0" shapeId="0" xr:uid="{00000000-0006-0000-1700-00006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4" authorId="0" shapeId="0" xr:uid="{12834E1A-A20A-4771-8443-A22A2C94B9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4" authorId="0" shapeId="0" xr:uid="{3845EBA6-F700-4AA0-A645-8BC4B6FE7E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4" authorId="0" shapeId="0" xr:uid="{C1905372-CDD5-4EE2-B392-AC72B6D950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8" authorId="0" shapeId="0" xr:uid="{00000000-0006-0000-1700-00006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8" authorId="0" shapeId="0" xr:uid="{FA2C97A6-93D7-4D80-8CFD-96C8BA75D0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8" authorId="0" shapeId="0" xr:uid="{DBAE482D-57A4-4009-A161-F693540B1A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8" authorId="0" shapeId="0" xr:uid="{AEC88F1A-3370-47A2-9DC8-A102DF5324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8" authorId="0" shapeId="0" xr:uid="{00000000-0006-0000-1700-00006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8" authorId="0" shapeId="0" xr:uid="{13B73DB8-A06B-4B29-8662-E53D0E9BDF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8" authorId="0" shapeId="0" xr:uid="{4C141B2B-FAC3-4959-9872-0A2E6D9E78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8" authorId="0" shapeId="0" xr:uid="{7B2B2440-B052-4385-A3A3-8FFA556142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9" authorId="0" shapeId="0" xr:uid="{00000000-0006-0000-1700-00006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9" authorId="0" shapeId="0" xr:uid="{BE70B082-BF82-4EA5-ABF7-C5BCB4D419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9" authorId="0" shapeId="0" xr:uid="{6CC0A8DB-8CBF-4B97-BE3A-10E6F3F9BE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9" authorId="0" shapeId="0" xr:uid="{C2E80A7A-0D63-4CCA-A73D-797F12E53F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1" authorId="0" shapeId="0" xr:uid="{00000000-0006-0000-1700-00007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1" authorId="0" shapeId="0" xr:uid="{21EF4115-8DF8-4F55-AB88-1FE2F234E7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1" authorId="0" shapeId="0" xr:uid="{BF836AAA-CF02-4459-A684-7ECC751A22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1" authorId="0" shapeId="0" xr:uid="{E3402BDC-3729-43ED-945C-88E6F9961D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2" authorId="0" shapeId="0" xr:uid="{00000000-0006-0000-1700-00007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2" authorId="0" shapeId="0" xr:uid="{5D63C0A0-DCE9-4A22-90EA-23DCE92A7C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2" authorId="0" shapeId="0" xr:uid="{2ED86AAD-E636-413B-9AA2-8B80629FCE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2" authorId="0" shapeId="0" xr:uid="{6EEB3E76-4BE0-4D80-93FD-7432D316B4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9" authorId="0" shapeId="0" xr:uid="{00000000-0006-0000-1700-00007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9284A657-58BD-467F-8380-FC0E9A9C7F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9" authorId="0" shapeId="0" xr:uid="{A484C59E-C105-4548-926D-E312655C27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9" authorId="0" shapeId="0" xr:uid="{F75C9FEE-045B-4ABA-A8DD-C6D200E94C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0" authorId="0" shapeId="0" xr:uid="{00000000-0006-0000-1700-00007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2FAA5133-4A17-42EA-B9BC-A9B25D289E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0" authorId="0" shapeId="0" xr:uid="{9A4967BE-4B05-4671-93E4-8AC5A708A9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0" authorId="0" shapeId="0" xr:uid="{0889ADD5-C058-429B-BE3B-FF4BB6A342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2" authorId="0" shapeId="0" xr:uid="{00000000-0006-0000-1700-00008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C532CCB8-DAFE-49FE-8460-4D893DC05A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2" authorId="0" shapeId="0" xr:uid="{37D15FC4-50AB-4252-885C-BD42A5DE2B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2" authorId="0" shapeId="0" xr:uid="{86DBF9D5-83C1-436B-A48F-A302B61402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3" authorId="0" shapeId="0" xr:uid="{00000000-0006-0000-1700-00008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3" authorId="0" shapeId="0" xr:uid="{3D9D66E4-16A7-4732-B977-F43F0487ED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3" authorId="0" shapeId="0" xr:uid="{31C982AA-7DBB-48F7-AF39-9B1BD111B8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3" authorId="0" shapeId="0" xr:uid="{27E731D4-B33D-42A9-B12E-164B641265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4" authorId="0" shapeId="0" xr:uid="{00000000-0006-0000-1700-00008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4" authorId="0" shapeId="0" xr:uid="{C5D16A7F-8B2A-453E-96E8-01DD3960C9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4" authorId="0" shapeId="0" xr:uid="{5510C46A-3384-461A-BE06-8270C1DCB0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4" authorId="0" shapeId="0" xr:uid="{92F13790-980E-4E6A-8CAD-6BA2890DF1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5" authorId="0" shapeId="0" xr:uid="{00000000-0006-0000-1700-00008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5" authorId="0" shapeId="0" xr:uid="{F4A81B92-40FC-45EC-B046-697DC09139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5" authorId="0" shapeId="0" xr:uid="{8155E9B9-23C6-48F6-98E7-806A694AEA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5" authorId="0" shapeId="0" xr:uid="{6E75F836-2BFA-412C-98A8-65CD3AACE8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6" authorId="0" shapeId="0" xr:uid="{00000000-0006-0000-1700-00008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6" authorId="0" shapeId="0" xr:uid="{18F9184A-64E5-4401-BD5A-66A2842CBB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6" authorId="0" shapeId="0" xr:uid="{DA1065C6-C894-48F2-888D-889C976EF2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6" authorId="0" shapeId="0" xr:uid="{E8C09481-25FB-4AA9-A63A-662D2FAA24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2" authorId="0" shapeId="0" xr:uid="{00000000-0006-0000-1800-00000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" authorId="0" shapeId="0" xr:uid="{E8F6B084-387D-4233-9881-8A1F348BFB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" authorId="0" shapeId="0" xr:uid="{64C0E44C-24C2-4B0D-9F12-2D53DB6554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2" authorId="0" shapeId="0" xr:uid="{00000000-0006-0000-1800-00000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" authorId="0" shapeId="0" xr:uid="{00000000-0006-0000-1800-00000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" authorId="0" shapeId="0" xr:uid="{C7FEB62A-8E9A-4C49-90E9-2A68D0C4DA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" authorId="0" shapeId="0" xr:uid="{E514805E-9DA0-4DEB-AD70-98D427257D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4" authorId="0" shapeId="0" xr:uid="{00000000-0006-0000-18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00000000-0006-0000-1800-00000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0" shapeId="0" xr:uid="{0FD51993-902F-41C9-B2A1-5AE59311DF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" authorId="0" shapeId="0" xr:uid="{8BAF2755-11A8-4F30-8441-B354081984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" authorId="0" shapeId="0" xr:uid="{00000000-0006-0000-18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00000000-0006-0000-1800-00000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0" shapeId="0" xr:uid="{0AA93888-1C49-4477-8453-1539F911A7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" authorId="0" shapeId="0" xr:uid="{17349CD6-F0AD-4D16-90C5-7554C9A82B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6" authorId="0" shapeId="0" xr:uid="{00000000-0006-0000-18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00000000-0006-0000-1800-00001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" authorId="0" shapeId="0" xr:uid="{6B6DC4F1-6C8C-436B-A7F6-342BD0067C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" authorId="0" shapeId="0" xr:uid="{32C0225A-7DDD-45A9-9DE2-03FF9DD072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" authorId="0" shapeId="0" xr:uid="{00000000-0006-0000-1800-00001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6" authorId="0" shapeId="0" xr:uid="{00000000-0006-0000-1800-000015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26" authorId="0" shapeId="0" xr:uid="{59AFDE71-6C9C-4A73-9F19-C1B05F9A2EE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26" authorId="0" shapeId="0" xr:uid="{EE6297C4-F8EF-4A8C-AA1C-28754602861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26" authorId="0" shapeId="0" xr:uid="{00000000-0006-0000-1800-000018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1" authorId="0" shapeId="0" xr:uid="{00000000-0006-0000-1800-000019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1" authorId="0" shapeId="0" xr:uid="{3A3C32E1-3529-435C-B17C-CC391CE387D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31" authorId="0" shapeId="0" xr:uid="{D4715E28-1867-4023-B7F8-3569F6CFE64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31" authorId="0" shapeId="0" xr:uid="{00000000-0006-0000-1800-00001C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6" authorId="0" shapeId="0" xr:uid="{00000000-0006-0000-1800-00001D00000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H36" authorId="0" shapeId="0" xr:uid="{FAD7C321-D3C7-4452-8398-5102D6D962D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I36" authorId="0" shapeId="0" xr:uid="{488EB1CA-762D-4F0B-B225-7BF1FE9AABA9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J36" authorId="0" shapeId="0" xr:uid="{00000000-0006-0000-1800-00002000000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G37" authorId="0" shapeId="0" xr:uid="{00000000-0006-0000-1800-000021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7" authorId="0" shapeId="0" xr:uid="{82DA854F-1E9B-4E9C-9A72-E9651EFB9CB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37" authorId="0" shapeId="0" xr:uid="{3ACDA91B-1740-48AB-B14E-90501C0FB2AF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37" authorId="0" shapeId="0" xr:uid="{00000000-0006-0000-1800-000024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70" authorId="0" shapeId="0" xr:uid="{00000000-0006-0000-1800-00002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0" authorId="0" shapeId="0" xr:uid="{617C75D6-3D0F-4117-ACF0-BF2DF4F76B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0" authorId="0" shapeId="0" xr:uid="{3C52C7BF-E708-40B9-B6A3-1CF5657E31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0" authorId="0" shapeId="0" xr:uid="{00000000-0006-0000-18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2" authorId="0" shapeId="0" xr:uid="{00000000-0006-0000-1800-00002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2" authorId="0" shapeId="0" xr:uid="{F7273F1A-41B8-49F9-93AF-6D3A82522F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2" authorId="0" shapeId="0" xr:uid="{DE2B0374-3CFB-450D-8CB3-2A78DC0768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2" authorId="0" shapeId="0" xr:uid="{00000000-0006-0000-18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4" authorId="0" shapeId="0" xr:uid="{00000000-0006-0000-1800-00002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4" authorId="0" shapeId="0" xr:uid="{3CE447CD-4D40-45A3-A732-1F0053DB04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4" authorId="0" shapeId="0" xr:uid="{948C481C-8094-4CAA-A161-F1FD37B8E3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4" authorId="0" shapeId="0" xr:uid="{00000000-0006-0000-1800-00003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7" authorId="0" shapeId="0" xr:uid="{00000000-0006-0000-1800-00003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7" authorId="0" shapeId="0" xr:uid="{33291144-D69D-4D04-AF9F-D5D1D234F3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7" authorId="0" shapeId="0" xr:uid="{FD63E9DD-514B-4E8F-B934-6E723B530C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7" authorId="0" shapeId="0" xr:uid="{00000000-0006-0000-1800-00003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9" authorId="0" shapeId="0" xr:uid="{00000000-0006-0000-1800-00003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9" authorId="0" shapeId="0" xr:uid="{05E41746-F679-42CA-8B24-7342601174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9" authorId="0" shapeId="0" xr:uid="{BA426DE7-B211-4840-A575-BDEE8E8F10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9" authorId="0" shapeId="0" xr:uid="{00000000-0006-0000-1800-00003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1" authorId="0" shapeId="0" xr:uid="{00000000-0006-0000-1800-00003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1" authorId="0" shapeId="0" xr:uid="{A304FB39-7191-443A-A078-50368CAFEC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1" authorId="0" shapeId="0" xr:uid="{F53E175D-FC92-4287-94DE-37D5C7AC2D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1" authorId="0" shapeId="0" xr:uid="{00000000-0006-0000-1800-00003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8" authorId="0" shapeId="0" xr:uid="{00000000-0006-0000-1800-00003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8" authorId="0" shapeId="0" xr:uid="{7F7DB2B9-7D35-4053-8A94-5307B367AE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8" authorId="0" shapeId="0" xr:uid="{C327272F-AF39-4173-B842-E000AF1105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8" authorId="0" shapeId="0" xr:uid="{00000000-0006-0000-1800-00004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00000000-0006-0000-1800-00004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9" authorId="0" shapeId="0" xr:uid="{81AB4B76-38D1-4892-9A80-493CF9A61E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9" authorId="0" shapeId="0" xr:uid="{69680FD5-75BC-413D-9D5F-C6D8394CD5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9" authorId="0" shapeId="0" xr:uid="{00000000-0006-0000-1800-00004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00000000-0006-0000-1800-00004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0" authorId="0" shapeId="0" xr:uid="{EFBC6A53-63F9-424C-9521-404A3BCAB7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0" authorId="0" shapeId="0" xr:uid="{12D8FD4A-D97C-46CD-840C-5A6BE2C9C0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0" authorId="0" shapeId="0" xr:uid="{00000000-0006-0000-1800-00004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1" authorId="0" shapeId="0" xr:uid="{00000000-0006-0000-1800-00004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1" authorId="0" shapeId="0" xr:uid="{CEDC970C-E8DC-466D-B00E-2D61DA2476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1" authorId="0" shapeId="0" xr:uid="{BDD63186-AB5F-486D-B53F-5FE067B9EE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1" authorId="0" shapeId="0" xr:uid="{00000000-0006-0000-1800-00004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00000000-0006-0000-1800-00004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2" authorId="0" shapeId="0" xr:uid="{A7A2ABD1-CEBB-4251-8915-682C4B65A8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2" authorId="0" shapeId="0" xr:uid="{2611B492-992A-4C35-B545-51B10CB1BA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2" authorId="0" shapeId="0" xr:uid="{00000000-0006-0000-1800-00005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3" authorId="0" shapeId="0" xr:uid="{00000000-0006-0000-1800-00005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3" authorId="0" shapeId="0" xr:uid="{8D7B5DF7-F8BC-4370-89AE-A28CF5CA99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3" authorId="0" shapeId="0" xr:uid="{867739B5-F021-4695-8734-00E3BF5EC3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3" authorId="0" shapeId="0" xr:uid="{00000000-0006-0000-1800-00005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28" authorId="0" shapeId="0" xr:uid="{60AD7395-C205-40BA-A99B-4FB8CF4124C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28" authorId="0" shapeId="0" xr:uid="{9BE23A1C-2E81-4FAE-9C64-14F3E0729B6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28" authorId="0" shapeId="0" xr:uid="{8B53F18E-160B-4E11-B5F5-7A395F41060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28" authorId="0" shapeId="0" xr:uid="{39F33CE2-EAC6-499C-9CFD-FACB4DA89DB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28" authorId="0" shapeId="0" xr:uid="{DCCCAA27-5DC6-4292-9580-352CF1C8F86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28" authorId="0" shapeId="0" xr:uid="{C2F5DB92-F278-46E6-A74B-0FC740C306C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28" authorId="0" shapeId="0" xr:uid="{0354CD78-E6B1-47F3-A8F7-E81EAEB8A53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28" authorId="0" shapeId="0" xr:uid="{792EE881-33B7-41AA-B852-A70E0E1EEE0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28" authorId="0" shapeId="0" xr:uid="{235EC538-AC8F-4493-88AA-FFDC86492AF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28" authorId="0" shapeId="0" xr:uid="{27ADA7FE-4D3A-4BEE-BEC1-EA38B7148F2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28" authorId="0" shapeId="0" xr:uid="{02798DDA-2B1F-4AE9-9B26-9D7DBBF1358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28" authorId="0" shapeId="0" xr:uid="{B044FE9E-D048-4509-8617-7B88DD399AA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28" authorId="0" shapeId="0" xr:uid="{57CF2D82-64B9-44B2-AD4D-4B622E6F416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28" authorId="0" shapeId="0" xr:uid="{3E2B2C2A-EE4B-4A17-9184-136E09B5F8C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28" authorId="0" shapeId="0" xr:uid="{96ABB8D7-75A4-42CC-8384-D86BAEAACF6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28" authorId="0" shapeId="0" xr:uid="{98CB5381-0999-4870-AA9D-12A95D1531A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28" authorId="0" shapeId="0" xr:uid="{4877CDF8-6D4B-47DE-B479-7D882EA122A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28" authorId="0" shapeId="0" xr:uid="{AEE55BBC-23D4-4778-B51A-62781364BF8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28" authorId="0" shapeId="0" xr:uid="{02BEF455-D53B-462E-A163-629475356D1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30" authorId="0" shapeId="0" xr:uid="{2CFB549C-FB25-43BC-82EB-4607FEFC9CA9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H30" authorId="0" shapeId="0" xr:uid="{9F294DB7-099E-4D98-A392-28DC51D9C390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I30" authorId="0" shapeId="0" xr:uid="{7F877D1A-C1BD-4081-9754-E8769EAEAB30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J30" authorId="0" shapeId="0" xr:uid="{D7B55FA4-14BE-4FBB-84B6-891159646CDE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K30" authorId="0" shapeId="0" xr:uid="{34626B3B-773E-4B6B-B7FB-764B6F37FB20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L30" authorId="0" shapeId="0" xr:uid="{6091B48D-AB62-46D9-8B20-8FECB56B8265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M30" authorId="0" shapeId="0" xr:uid="{D86D391A-D6BA-4254-9E39-B935A951D80A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N30" authorId="0" shapeId="0" xr:uid="{73F1ABF1-9575-4CC3-AB1A-B4F7BFD27117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O30" authorId="0" shapeId="0" xr:uid="{E12D7551-38DC-48F4-9469-7204BE7EA865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P30" authorId="0" shapeId="0" xr:uid="{A6CE7F2F-F631-4F32-822A-F3D2F1202A89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Q30" authorId="0" shapeId="0" xr:uid="{575BE3E0-BAAE-4DD8-BE5C-A3FE20884315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R30" authorId="0" shapeId="0" xr:uid="{E34DCCE0-C47E-4493-A5DE-A8EDD30405AA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S30" authorId="0" shapeId="0" xr:uid="{A06F4BA8-FAC2-48E9-B564-51EAEB55BAD3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T30" authorId="0" shapeId="0" xr:uid="{14D7CF29-1AE9-4B9D-8F11-DB31158369C0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U30" authorId="0" shapeId="0" xr:uid="{BBFEEF85-797B-4472-B3EE-5DA37F08129B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V30" authorId="0" shapeId="0" xr:uid="{42AE72B1-A76B-4E50-AC3E-2D85E3600134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W30" authorId="0" shapeId="0" xr:uid="{50A8251A-8B19-4E33-946A-3645034F6904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X30" authorId="0" shapeId="0" xr:uid="{3AB9691C-BB3A-44D8-823A-680A8F648F6C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Y30" authorId="0" shapeId="0" xr:uid="{22FC93AA-F632-4F50-8C49-EFAB288101AE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G32" authorId="0" shapeId="0" xr:uid="{51D2D888-564C-482D-B7EF-8E59B372179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32" authorId="0" shapeId="0" xr:uid="{CDF2582E-1D98-45BE-B408-7E66DF2198D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32" authorId="0" shapeId="0" xr:uid="{9D1A406A-F7FA-41CF-98D8-ADFD170A286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32" authorId="0" shapeId="0" xr:uid="{D08CF557-5D5C-4045-A9A5-A5675826225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32" authorId="0" shapeId="0" xr:uid="{D4F26B42-7850-4F6A-9928-C4AF140D6AD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32" authorId="0" shapeId="0" xr:uid="{17B196A1-5249-4D8F-ADC3-E07493696A0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32" authorId="0" shapeId="0" xr:uid="{BC3126A7-5624-4127-98F4-1FDEE836019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32" authorId="0" shapeId="0" xr:uid="{92290866-55D7-4BAA-BC7F-50B5317F945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32" authorId="0" shapeId="0" xr:uid="{762E7F9C-1726-40B4-B9FF-E0F6CFE6798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32" authorId="0" shapeId="0" xr:uid="{ABF3A23D-E297-490E-B177-D76207D4794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32" authorId="0" shapeId="0" xr:uid="{39E0DF42-0567-4662-A5FA-0B29B1983F7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32" authorId="0" shapeId="0" xr:uid="{954FE7F6-2C76-4CF9-9F63-8EAA94A75EA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32" authorId="0" shapeId="0" xr:uid="{3E75F143-165E-4205-9C0A-4BAF84E2007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32" authorId="0" shapeId="0" xr:uid="{5DDED953-58D7-4DD9-8F19-A597FF9707A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32" authorId="0" shapeId="0" xr:uid="{AF223AFA-35DB-4AEE-9925-857E44964EB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32" authorId="0" shapeId="0" xr:uid="{25089E11-6B16-4CA3-92FD-874D2371EF0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32" authorId="0" shapeId="0" xr:uid="{471C49A3-DA6D-462E-87AA-24D0346F3D7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32" authorId="0" shapeId="0" xr:uid="{72802BAD-C211-4668-9614-0D7166ADB6B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32" authorId="0" shapeId="0" xr:uid="{50CFE9B5-AEFD-4791-AA1B-27E3B7F5E22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36" authorId="0" shapeId="0" xr:uid="{1B4911B7-638B-4465-866E-BDCD2A815EA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36" authorId="0" shapeId="0" xr:uid="{C2119520-C9F7-47E2-A68A-9810C1118DD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36" authorId="0" shapeId="0" xr:uid="{CACC9B10-794A-4EEE-8C76-9F889DABCF5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36" authorId="0" shapeId="0" xr:uid="{ECDCEA90-33F9-4C7B-AB28-0D855AED2FB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36" authorId="0" shapeId="0" xr:uid="{1B855BCF-9C6D-4F55-A8DC-DCED6C2453E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36" authorId="0" shapeId="0" xr:uid="{366CFF84-B270-40E2-9BE0-B6C487E1CCA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36" authorId="0" shapeId="0" xr:uid="{11B90118-5EEC-4D34-8596-5A285EE0E39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36" authorId="0" shapeId="0" xr:uid="{95BDF0FD-D7F0-4B57-A113-22FED491F89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36" authorId="0" shapeId="0" xr:uid="{B6B7FCAE-6060-48D4-B9A0-F5D78AFFA6F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36" authorId="0" shapeId="0" xr:uid="{149C3D9F-C7F3-4580-95DB-E0AA7EFB2CB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36" authorId="0" shapeId="0" xr:uid="{1F87F5C3-DFA6-46CB-87E5-AB24155AAF3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36" authorId="0" shapeId="0" xr:uid="{DF844AE2-E3AF-4FD8-8472-803FC06670D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36" authorId="0" shapeId="0" xr:uid="{77B2EF93-AE1A-4DBF-BDA4-2A75E9A21D7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36" authorId="0" shapeId="0" xr:uid="{845243A3-E35D-408F-9C58-9BA3F3AAE3F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36" authorId="0" shapeId="0" xr:uid="{82E29C90-4388-41A0-A55E-D528BEFEFEB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36" authorId="0" shapeId="0" xr:uid="{2ABCD4C9-B5E2-4567-83F1-B081901290A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36" authorId="0" shapeId="0" xr:uid="{DE2EFEA5-81BD-4457-A5FA-05459D16827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36" authorId="0" shapeId="0" xr:uid="{B1C4165A-CC9B-4906-BBA1-8E71975DAD3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36" authorId="0" shapeId="0" xr:uid="{75271353-E7F7-4EAC-8C9C-800D783C505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39" authorId="0" shapeId="0" xr:uid="{18679324-7ECF-4FBE-B8CE-C0F926DD79D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39" authorId="0" shapeId="0" xr:uid="{5DE63B80-FD0F-4553-9FC9-0A402E1D144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39" authorId="0" shapeId="0" xr:uid="{E52A453E-7EDE-40CA-860A-D47265C0B51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39" authorId="0" shapeId="0" xr:uid="{2E685DC8-E65D-4D81-A495-82B02A92D7C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39" authorId="0" shapeId="0" xr:uid="{BBC19502-43B0-441D-B435-C0DFB3A11DD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39" authorId="0" shapeId="0" xr:uid="{B2AAA470-192F-453E-B699-6232FD38938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39" authorId="0" shapeId="0" xr:uid="{7082D51B-95A7-44F2-8998-CE7967D4795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39" authorId="0" shapeId="0" xr:uid="{5AE5A65E-7F4B-4E4F-B2BA-6FA1A9753EB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39" authorId="0" shapeId="0" xr:uid="{FC5218FC-219F-4DD2-942A-8BE98EE9E46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39" authorId="0" shapeId="0" xr:uid="{5E1970FD-DBFD-4935-B75C-F3676FE4B54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39" authorId="0" shapeId="0" xr:uid="{AAC6A901-53B6-47F5-AFF3-1055A175EDA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39" authorId="0" shapeId="0" xr:uid="{946F988B-D7DF-4375-BC9A-5CAEBC5FA20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39" authorId="0" shapeId="0" xr:uid="{128FABB5-DCB7-42E3-937E-06EE16D647D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39" authorId="0" shapeId="0" xr:uid="{6BBAEE10-2748-4ECA-9460-FEA71F07A6D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39" authorId="0" shapeId="0" xr:uid="{64261A3B-D84F-44BB-8DC1-35C6585301E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V39" authorId="0" shapeId="0" xr:uid="{DD46932E-04DD-4339-8279-455D01D0EE5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W39" authorId="0" shapeId="0" xr:uid="{B248F3DC-C00E-46F7-95C4-DD8E22175B7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X39" authorId="0" shapeId="0" xr:uid="{BBF79A8F-D3FA-40CA-BE58-C4D93B254D4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Y39" authorId="0" shapeId="0" xr:uid="{F0A7F5BD-4648-4894-80C9-2265F2A9294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0" authorId="0" shapeId="0" xr:uid="{B1204BCD-DC5F-40E1-B2D4-10FF36FB4A4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0" authorId="0" shapeId="0" xr:uid="{5D22FC3B-D4C8-4C23-B41F-15F67DE1835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40" authorId="0" shapeId="0" xr:uid="{FE6657FE-9C01-4D2C-A106-D0C3106F9CE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40" authorId="0" shapeId="0" xr:uid="{E0B5722A-F6B7-498A-9A2A-584508D56D2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40" authorId="0" shapeId="0" xr:uid="{F3D2B531-5279-45F7-B9F4-AD93CF13B3A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40" authorId="0" shapeId="0" xr:uid="{55825556-0FE1-411A-9BCA-40173BB7115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40" authorId="0" shapeId="0" xr:uid="{8492223D-13F0-4985-91A1-CFEBA512276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40" authorId="0" shapeId="0" xr:uid="{3CB23136-25D6-4844-85E2-DBAF5D6D28E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40" authorId="0" shapeId="0" xr:uid="{5F52BE73-A68E-45E4-84C7-C684958583D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40" authorId="0" shapeId="0" xr:uid="{EFDE1089-AB4C-4F2C-B9B0-6C65D8A78DC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40" authorId="0" shapeId="0" xr:uid="{2748C1EA-4BA4-4B1D-8285-440C8E24714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40" authorId="0" shapeId="0" xr:uid="{4BF1D957-3AF7-4231-80F5-D355FA6838E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40" authorId="0" shapeId="0" xr:uid="{D53FEF91-85D1-4819-956A-8A375E0D730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40" authorId="0" shapeId="0" xr:uid="{A19A4CB2-B8A4-44C5-8DE6-67373565C4E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40" authorId="0" shapeId="0" xr:uid="{07E5EB6D-0900-41AF-9C84-2FD4509B6CF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40" authorId="0" shapeId="0" xr:uid="{9BE48036-62E8-4C05-A987-5854660DE75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40" authorId="0" shapeId="0" xr:uid="{7192D34D-F83D-48BE-8B6C-53445E390A4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40" authorId="0" shapeId="0" xr:uid="{81258DC4-CCEC-4B1C-860D-C15F3CA194E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40" authorId="0" shapeId="0" xr:uid="{BC7416BA-41A2-4510-842C-BB76FDE55B4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3" authorId="0" shapeId="0" xr:uid="{6D0CB05E-5BF0-4640-8126-CF6F05C3E28F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3" authorId="0" shapeId="0" xr:uid="{1A06DC3E-443E-420A-B4B6-9276D7FA389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43" authorId="0" shapeId="0" xr:uid="{8EAEBF8D-9F4B-4822-801A-EF81AC5908D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43" authorId="0" shapeId="0" xr:uid="{D9AAC95A-3DEA-402C-A2DF-508E85541F2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43" authorId="0" shapeId="0" xr:uid="{C0B6F8FD-4E47-46C6-8C4E-8B55AB5CC82C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43" authorId="0" shapeId="0" xr:uid="{4FFF8FA9-62B5-4A42-8D03-65B7891CDEE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43" authorId="0" shapeId="0" xr:uid="{924CC604-3468-484C-BE38-3EB401868B3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43" authorId="0" shapeId="0" xr:uid="{5DA16788-9566-4F3A-8935-12EAD28FF95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43" authorId="0" shapeId="0" xr:uid="{F2BB8EDF-5718-4A11-B00D-6DC5B29698E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43" authorId="0" shapeId="0" xr:uid="{A572839D-3E30-4C39-893D-DCE80916E16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43" authorId="0" shapeId="0" xr:uid="{E6264167-75B3-4BE2-8D0E-4E7319F8C15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43" authorId="0" shapeId="0" xr:uid="{5F5C631D-ABF4-4531-B4C3-DC6E646E8CA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43" authorId="0" shapeId="0" xr:uid="{2C103C97-CF80-46BC-80D4-CDAD109C4E2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43" authorId="0" shapeId="0" xr:uid="{EDA78DEB-C61D-4F44-B284-276925A32EA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43" authorId="0" shapeId="0" xr:uid="{5FE2F840-CE40-403F-A1C3-C9B52639578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V43" authorId="0" shapeId="0" xr:uid="{318DD98D-EE7D-4696-9AEF-93614BA293C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W43" authorId="0" shapeId="0" xr:uid="{366177F9-20C1-4B59-9D0E-E649C58C6EA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X43" authorId="0" shapeId="0" xr:uid="{67DB8209-B24E-4F60-A677-5167B4D4140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Y43" authorId="0" shapeId="0" xr:uid="{74ABB854-DA34-419A-B45A-00B146D4E12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4" authorId="0" shapeId="0" xr:uid="{D929831E-F3CA-41CA-AD98-DE980DE4582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4" authorId="0" shapeId="0" xr:uid="{D9ADE58C-9FD2-4940-8817-1C4899B3CED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44" authorId="0" shapeId="0" xr:uid="{1F79213F-84F4-45C0-AB7B-6A79D86DDC1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44" authorId="0" shapeId="0" xr:uid="{E78C4BF5-16AD-482A-9AA8-77563AA358D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44" authorId="0" shapeId="0" xr:uid="{DA5682AA-BC61-4250-893B-6253237A471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44" authorId="0" shapeId="0" xr:uid="{BDBBF1F1-A68B-47A7-8371-C5141D5E92B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44" authorId="0" shapeId="0" xr:uid="{F7B032AB-7B82-4A34-80CD-2427EA6FDE9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44" authorId="0" shapeId="0" xr:uid="{1D2B4D1D-CC6D-4CF5-B4E7-61996BD3000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44" authorId="0" shapeId="0" xr:uid="{701DAD5D-0593-4807-891E-99134771176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44" authorId="0" shapeId="0" xr:uid="{6628E6DD-C868-48D7-81EC-E3A7AE0FB41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44" authorId="0" shapeId="0" xr:uid="{68CB83A2-563A-4436-804F-E6B2AD067A2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44" authorId="0" shapeId="0" xr:uid="{A2B1B9CF-35E3-4FFB-8072-EF80CC09013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44" authorId="0" shapeId="0" xr:uid="{1F6C466C-3EFB-4F41-AB2A-61E8931241C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44" authorId="0" shapeId="0" xr:uid="{B1DB987B-2534-4A7B-9494-8F5D2513A2E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44" authorId="0" shapeId="0" xr:uid="{D04ADDDE-0393-42DA-BD04-15E6897DCFF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44" authorId="0" shapeId="0" xr:uid="{003C97AA-E093-4050-8BF4-DD784BB9334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44" authorId="0" shapeId="0" xr:uid="{1EFF1484-32D4-4B17-91A6-DF342196537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44" authorId="0" shapeId="0" xr:uid="{C4B62F02-554F-4935-B28B-7F1988E95AF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44" authorId="0" shapeId="0" xr:uid="{69364015-468D-424A-9F90-9CA14383893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7" authorId="0" shapeId="0" xr:uid="{897318AA-32D1-4B65-B19D-5ED4E940A71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7" authorId="0" shapeId="0" xr:uid="{EAB43CEB-8537-4526-84AD-711264CFA0D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47" authorId="0" shapeId="0" xr:uid="{E2067711-A256-4213-B19B-E9F1B35730C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47" authorId="0" shapeId="0" xr:uid="{987DEE31-86FF-4E38-A650-4DFE6161B22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47" authorId="0" shapeId="0" xr:uid="{B506080C-3802-4DAA-AD06-1B9BE9B923A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47" authorId="0" shapeId="0" xr:uid="{DC486935-59A8-4B01-86B8-6A5F70AF656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47" authorId="0" shapeId="0" xr:uid="{EF8136EB-4C60-4021-89FB-8278278A29C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47" authorId="0" shapeId="0" xr:uid="{927744A9-B0C2-42BA-82DF-739AE1FEE56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47" authorId="0" shapeId="0" xr:uid="{4C7F3C19-C569-4078-A2B6-369982814A5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47" authorId="0" shapeId="0" xr:uid="{4DDBAD23-7D83-4235-B2A2-66B451CB633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47" authorId="0" shapeId="0" xr:uid="{566709B1-1E19-4058-AEC6-6D95ABFD34F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47" authorId="0" shapeId="0" xr:uid="{3C5DADCF-7BE9-42EB-B1C5-98BA248A612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47" authorId="0" shapeId="0" xr:uid="{707A89A6-1C6D-40F7-AB06-BEEF1FC5631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47" authorId="0" shapeId="0" xr:uid="{D743366F-1A3B-4D41-B6CD-EB47CCDC60C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47" authorId="0" shapeId="0" xr:uid="{D9B465B8-D72C-4F3A-B650-278A15D07E0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V47" authorId="0" shapeId="0" xr:uid="{E4D905FE-733E-47D6-8F17-426C26723F9F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W47" authorId="0" shapeId="0" xr:uid="{80CEF115-AFBC-46CB-85D0-3B9E1FC9E04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X47" authorId="0" shapeId="0" xr:uid="{018135A7-5B1A-4297-9FF8-C6171DB0D21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Y47" authorId="0" shapeId="0" xr:uid="{65ECA53F-8FCF-4C78-92FB-2D139CFCFF8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8" authorId="0" shapeId="0" xr:uid="{7E8EE200-DA15-4A8A-9AE5-43387D44805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8" authorId="0" shapeId="0" xr:uid="{D8429FA6-96AC-46C5-921C-E2E39BDEEF1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48" authorId="0" shapeId="0" xr:uid="{41F386EA-769F-4267-B1F2-DF6C06B2BA1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48" authorId="0" shapeId="0" xr:uid="{15A9F410-9E65-4AC1-A0C6-D97B06CB131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48" authorId="0" shapeId="0" xr:uid="{74DAA540-4E03-4863-BFF3-A67F850FB99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48" authorId="0" shapeId="0" xr:uid="{0FAF055C-74B6-4005-9D6E-30611365A62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48" authorId="0" shapeId="0" xr:uid="{D3869E96-52CC-4FBF-A6AB-6CF5E8D33A8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48" authorId="0" shapeId="0" xr:uid="{8F6E9442-88A2-4519-95F4-E904FEE5433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48" authorId="0" shapeId="0" xr:uid="{A6405F41-F910-414D-B1B2-10CED07C0E6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48" authorId="0" shapeId="0" xr:uid="{768E299E-93D0-47E4-903A-1981C183DA2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48" authorId="0" shapeId="0" xr:uid="{90B7A8D9-2BEB-41FE-8996-438D2FDC4CD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48" authorId="0" shapeId="0" xr:uid="{AC8930EA-6B3B-4744-BFF7-FD955A15843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48" authorId="0" shapeId="0" xr:uid="{6AEF15EA-8AAF-46B9-A3DC-75CD368EBA0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48" authorId="0" shapeId="0" xr:uid="{8549AF90-94BE-4A96-9640-483DA9CCD21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48" authorId="0" shapeId="0" xr:uid="{635924A6-59DB-4D06-8DA9-4A41A6EFECD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48" authorId="0" shapeId="0" xr:uid="{FF1D8BBD-AF2F-4203-ADCA-0F591E0E5F0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48" authorId="0" shapeId="0" xr:uid="{7728123C-C4A8-4A9A-8A06-D5C60E80128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48" authorId="0" shapeId="0" xr:uid="{E1E9323C-16E1-4C2E-A20E-80C03BD081F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48" authorId="0" shapeId="0" xr:uid="{BFC6677D-B155-4D27-B9B6-95EE0A30C3E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51" authorId="0" shapeId="0" xr:uid="{632D2B0E-FF62-470B-B8F0-F59FA336E94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51" authorId="0" shapeId="0" xr:uid="{D3A1FFC3-F67A-44B7-8117-64EA52EBABC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51" authorId="0" shapeId="0" xr:uid="{F1385244-092E-4D4D-AA3A-0B161303F40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51" authorId="0" shapeId="0" xr:uid="{AFC3F887-1C3B-496B-8B09-00191773038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51" authorId="0" shapeId="0" xr:uid="{9725043E-32FD-4A83-9D35-8673FE4E6E5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51" authorId="0" shapeId="0" xr:uid="{7A61BE42-4464-4097-8D46-D084E066B17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51" authorId="0" shapeId="0" xr:uid="{16F700AE-4E2A-4974-B5C7-16F6AFEA091C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51" authorId="0" shapeId="0" xr:uid="{C6CF1ABB-94BD-4684-8472-9705AA9130F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51" authorId="0" shapeId="0" xr:uid="{CFE119B4-1909-4A64-A6B4-576EDD8E0B6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51" authorId="0" shapeId="0" xr:uid="{046726AC-3931-459A-BEB0-612277B5F16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51" authorId="0" shapeId="0" xr:uid="{F9141DDE-4A8E-4E4D-8454-36E94473C3B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51" authorId="0" shapeId="0" xr:uid="{A7B8BDD0-4829-4895-8C1A-E78267B4AF2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51" authorId="0" shapeId="0" xr:uid="{DC05C7C3-5186-4A83-ABD9-8DE0529F5C2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51" authorId="0" shapeId="0" xr:uid="{88A44DD6-2FCD-4045-B058-7536EEDB8B6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51" authorId="0" shapeId="0" xr:uid="{1DA16448-A818-4152-A3F7-CF04F21DF0E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V51" authorId="0" shapeId="0" xr:uid="{19537864-D3BF-49A6-AA59-18AB2E99BFF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W51" authorId="0" shapeId="0" xr:uid="{397F8602-C262-403B-8A05-31A8583F8F1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X51" authorId="0" shapeId="0" xr:uid="{7B325E7C-D191-4CFC-A9EA-A79F6C16F17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Y51" authorId="0" shapeId="0" xr:uid="{3BEA23F8-40B4-4EB6-9714-766ED0A0FD4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52" authorId="0" shapeId="0" xr:uid="{2D459A02-8870-4884-9DC8-0176DECCE6F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52" authorId="0" shapeId="0" xr:uid="{1374425B-1684-45B8-B512-FE5C7902F65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52" authorId="0" shapeId="0" xr:uid="{39FA8896-E80D-4A54-A353-FD688D2066D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52" authorId="0" shapeId="0" xr:uid="{D1EA36D7-281C-4FF2-A3D7-2661158D559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52" authorId="0" shapeId="0" xr:uid="{575AFE08-50CC-4435-A278-3CB821E0EE9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52" authorId="0" shapeId="0" xr:uid="{4CAA32F7-CAB0-49BF-A952-6C4E7F364F7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52" authorId="0" shapeId="0" xr:uid="{60F9E385-A5FB-4ADA-B9EA-26BDDA0F556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52" authorId="0" shapeId="0" xr:uid="{2D72C0A2-1FA0-42AD-873D-2E240814A82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52" authorId="0" shapeId="0" xr:uid="{A4966744-9873-4A35-BF1A-D6BDFE8DEF9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52" authorId="0" shapeId="0" xr:uid="{3F311B66-B006-454E-8778-FEEF49169AC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52" authorId="0" shapeId="0" xr:uid="{26811617-B96B-45DC-9B97-C7709C7380B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52" authorId="0" shapeId="0" xr:uid="{052EB372-5F87-4413-A9CE-37536F89691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52" authorId="0" shapeId="0" xr:uid="{ACC9FB01-C61C-401D-8A64-6ABEE286733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52" authorId="0" shapeId="0" xr:uid="{FD7A04D9-02E6-4894-9EF9-E1B0E2B8E47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52" authorId="0" shapeId="0" xr:uid="{4BFCFB5F-9E0C-4624-9D55-507611636BB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52" authorId="0" shapeId="0" xr:uid="{D5F5D8FB-D781-4FD0-A300-72A2BAD83FF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52" authorId="0" shapeId="0" xr:uid="{10EB7415-D0F4-43BF-A97C-5D747E56B29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52" authorId="0" shapeId="0" xr:uid="{D0E0C408-45B1-45C3-AB69-3930F4F5B2F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52" authorId="0" shapeId="0" xr:uid="{8688DDB6-6ECE-4B29-AB36-A30789A1C89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55" authorId="0" shapeId="0" xr:uid="{00007B5C-0388-4F8F-9D78-1FB886A504D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55" authorId="0" shapeId="0" xr:uid="{692AF83F-87B4-4A91-8FD2-F37A9728768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55" authorId="0" shapeId="0" xr:uid="{4C8AB681-F976-4FB6-BEF4-471F54B3B78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55" authorId="0" shapeId="0" xr:uid="{B0469C71-D2BC-48AA-95EF-1D2DC9F0BD2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55" authorId="0" shapeId="0" xr:uid="{A44D248F-DE70-4919-9658-0A4CC462298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55" authorId="0" shapeId="0" xr:uid="{AFCB4364-275A-4C10-9B6D-52602EBD431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55" authorId="0" shapeId="0" xr:uid="{525B1282-91B5-4903-92C3-E0EA5331EDF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55" authorId="0" shapeId="0" xr:uid="{970F1600-A7A3-4BF1-87B0-8FD3BA6D77C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55" authorId="0" shapeId="0" xr:uid="{991386E1-BC4C-4187-BA88-45E298FA604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55" authorId="0" shapeId="0" xr:uid="{A6D0D32E-5906-4CE6-890B-1BCC9F4A5C1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55" authorId="0" shapeId="0" xr:uid="{3AF1F1A9-2C0A-4572-81D4-28487524BA9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55" authorId="0" shapeId="0" xr:uid="{46956A58-0D36-4F2E-94BF-EEF4150D557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55" authorId="0" shapeId="0" xr:uid="{4ECC9503-4745-4730-B010-19BBEAD3471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55" authorId="0" shapeId="0" xr:uid="{F0CE5CA7-4A10-4DEE-987A-922BA25E1DF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55" authorId="0" shapeId="0" xr:uid="{AAD8C54E-50DF-4A17-960A-4BB92AB7E28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V55" authorId="0" shapeId="0" xr:uid="{E4E4D52B-52D1-4BCD-AF82-A3AA16F5279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W55" authorId="0" shapeId="0" xr:uid="{EB9C0811-08E6-437A-94AC-A3A08F0C7F8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X55" authorId="0" shapeId="0" xr:uid="{E882430B-51C3-4FAC-B9D2-6E5B6364227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Y55" authorId="0" shapeId="0" xr:uid="{16B61969-5798-4CA3-A641-351808CB681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56" authorId="0" shapeId="0" xr:uid="{6277AD58-12FE-4A8C-B8A9-D18EF7943CF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56" authorId="0" shapeId="0" xr:uid="{C440D672-DA9E-448F-A729-C220CE61D3B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56" authorId="0" shapeId="0" xr:uid="{7E0721DF-320F-4184-BCD6-6753772C4BA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56" authorId="0" shapeId="0" xr:uid="{DF17A23E-C2A3-49BE-AAC5-057EC1A4B17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56" authorId="0" shapeId="0" xr:uid="{D4800321-2F33-4C8C-BEDC-1CDB93551DA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56" authorId="0" shapeId="0" xr:uid="{029E2E09-A035-4387-89EC-F05005F7E58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56" authorId="0" shapeId="0" xr:uid="{451B30B7-251E-4BFD-B63D-4B3487B8753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56" authorId="0" shapeId="0" xr:uid="{D835A791-B4D2-4D5B-A9B1-9DE78F04AF3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56" authorId="0" shapeId="0" xr:uid="{77981CA9-D532-474A-A1DE-649AC83F96A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56" authorId="0" shapeId="0" xr:uid="{3F302BF6-5381-4014-9666-AEDE68D087D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56" authorId="0" shapeId="0" xr:uid="{104586CC-1456-49FF-AA92-B7CF35C9C73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56" authorId="0" shapeId="0" xr:uid="{3CA83524-8FA1-4ABC-A1CC-CBDE3127D05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56" authorId="0" shapeId="0" xr:uid="{9045A018-F5E2-4C82-953A-FBBB9A07682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56" authorId="0" shapeId="0" xr:uid="{030F457D-A1E9-434A-AB20-AD3EAD19743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56" authorId="0" shapeId="0" xr:uid="{0C6BC6AA-098B-4C6A-B37A-DECC8408A1D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56" authorId="0" shapeId="0" xr:uid="{EA05D02C-2751-4E07-AFC3-312CBFB0FDD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56" authorId="0" shapeId="0" xr:uid="{E7D9A471-1DB3-4E47-AE53-1B981108696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56" authorId="0" shapeId="0" xr:uid="{8B55CACA-97E4-4E3E-B1D0-594EB509D16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56" authorId="0" shapeId="0" xr:uid="{D9EF909A-36EB-45D9-B35E-BFC7D9EA7AE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59" authorId="0" shapeId="0" xr:uid="{7FC8ECF8-246B-4D12-8E9E-C2994B7542A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59" authorId="0" shapeId="0" xr:uid="{C2EEF444-EC17-43B4-978C-86C93ED90A6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59" authorId="0" shapeId="0" xr:uid="{EAE19E0D-C720-49F5-ACB7-20D7EF368BC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59" authorId="0" shapeId="0" xr:uid="{1E02C730-5634-4466-89C5-367C9A1F753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59" authorId="0" shapeId="0" xr:uid="{43409AF6-A920-4AAE-BB37-20AEABD52C7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59" authorId="0" shapeId="0" xr:uid="{1A815C33-4195-4788-994F-C02085B9886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59" authorId="0" shapeId="0" xr:uid="{EA111DE1-CD2D-4735-BDA2-1683591586B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59" authorId="0" shapeId="0" xr:uid="{EC09D6EF-E4D6-42D5-B7BB-C3E6462CABD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59" authorId="0" shapeId="0" xr:uid="{54B49FB2-9C0B-4EC9-960C-905AACB8792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59" authorId="0" shapeId="0" xr:uid="{7FDD4D53-FC72-4212-92AF-0A5B2C13E78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59" authorId="0" shapeId="0" xr:uid="{13288B17-2A35-4E57-A868-1978CF24520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59" authorId="0" shapeId="0" xr:uid="{4916DD7D-9D7A-44A0-B56F-F0606CFD94C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59" authorId="0" shapeId="0" xr:uid="{6CD1B02E-708C-4E34-A23C-E64823992DB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59" authorId="0" shapeId="0" xr:uid="{CC1FED85-05EC-423A-B342-0E208A83A11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59" authorId="0" shapeId="0" xr:uid="{14F3B4E0-905E-4E3B-B6D1-8ECAE961DA3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V59" authorId="0" shapeId="0" xr:uid="{C3C47571-719F-47DF-8783-898E783400E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W59" authorId="0" shapeId="0" xr:uid="{3967D7BB-1510-4E73-8D4D-59CAF1004F8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X59" authorId="0" shapeId="0" xr:uid="{5A4E01F0-01EB-40A0-9F71-1508DD98A9C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Y59" authorId="0" shapeId="0" xr:uid="{F199C839-814D-44DE-B32F-B0CB2166BD3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60" authorId="0" shapeId="0" xr:uid="{62D7876D-88E3-415A-9F7E-675B60AAD6C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0" authorId="0" shapeId="0" xr:uid="{EDBC63C6-5921-4F06-B664-0052E70FE9D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60" authorId="0" shapeId="0" xr:uid="{C0F9CD26-64A5-48C8-A902-989D238FAE4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60" authorId="0" shapeId="0" xr:uid="{1D65B3BC-102D-4432-A2CA-4B429DF75C6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60" authorId="0" shapeId="0" xr:uid="{D654E39E-8326-49E6-BCA7-820ECDC0740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60" authorId="0" shapeId="0" xr:uid="{EF50A072-664D-4D98-B50F-8D8DEE03A08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60" authorId="0" shapeId="0" xr:uid="{259C2491-92AB-43F3-9E14-C8AAEDF0728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60" authorId="0" shapeId="0" xr:uid="{7D1ABF4C-53D4-404F-AA51-C65AB9D93AC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60" authorId="0" shapeId="0" xr:uid="{EB6480FA-7BE4-4929-9E37-17DBD25F2F5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60" authorId="0" shapeId="0" xr:uid="{9BA6E4BD-243D-4179-BCF0-3A9FF99ED25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60" authorId="0" shapeId="0" xr:uid="{5BF7F249-F9E1-414F-963B-B94AA19B737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60" authorId="0" shapeId="0" xr:uid="{6DB52830-39C8-4B43-9D2A-69D77D2AFD1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60" authorId="0" shapeId="0" xr:uid="{8AF8D277-C20F-4F16-81F6-CFE44702666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60" authorId="0" shapeId="0" xr:uid="{9B9D487D-E893-4E75-9A3E-3ED27AD8316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60" authorId="0" shapeId="0" xr:uid="{A90C3998-1B7D-4A2C-A72E-FE1AF9BF899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60" authorId="0" shapeId="0" xr:uid="{ECCA3F89-4412-4D4B-A8A3-F5E639837D2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60" authorId="0" shapeId="0" xr:uid="{9A138CEB-DB58-47E5-9CE6-18B4CA13419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60" authorId="0" shapeId="0" xr:uid="{2FEB9075-11A6-44EB-A1E2-971C209117C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60" authorId="0" shapeId="0" xr:uid="{4448BA99-5AA3-4397-AB65-E85EA1BDD78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3" authorId="0" shapeId="0" xr:uid="{BC6C2CF2-6FB4-4290-A76F-911A545A8BB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3" authorId="0" shapeId="0" xr:uid="{4EE86EC6-FE31-4A6B-834F-DFEDF2B2671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63" authorId="0" shapeId="0" xr:uid="{C106DFA3-19C5-4EA7-BA10-88AA10EAA69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63" authorId="0" shapeId="0" xr:uid="{C0AD51DA-6C1D-43BA-B070-01B23586C01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63" authorId="0" shapeId="0" xr:uid="{71B65200-2DDE-49BF-8CCB-14B54CC4FBE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63" authorId="0" shapeId="0" xr:uid="{098E5E27-D307-4D30-9596-6AA52C704ED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63" authorId="0" shapeId="0" xr:uid="{C4370C34-1AE4-408B-8B97-6DB7C4565A2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63" authorId="0" shapeId="0" xr:uid="{CC8893DC-F2A0-473E-8EB0-0D4FFE8101B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63" authorId="0" shapeId="0" xr:uid="{34DCC3E0-D5A0-465A-929B-CC5737E0A0F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63" authorId="0" shapeId="0" xr:uid="{F3110EC0-9F27-4597-A628-3EAC906213B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63" authorId="0" shapeId="0" xr:uid="{F6792742-2B35-4CD7-BD8C-CD6F70533F0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63" authorId="0" shapeId="0" xr:uid="{BBC8A341-3ABF-4C4B-A0B1-59F2AC9F12C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63" authorId="0" shapeId="0" xr:uid="{EA2B57A9-9B20-4578-985C-891BA676E06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63" authorId="0" shapeId="0" xr:uid="{409D6008-FA53-4292-BA1D-A3C3C64E101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63" authorId="0" shapeId="0" xr:uid="{ACCB4B80-F30C-4E55-BDCE-72BFDB67C36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63" authorId="0" shapeId="0" xr:uid="{6FB61E94-88FA-42CB-AC6B-02A9D3D1873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63" authorId="0" shapeId="0" xr:uid="{613EC525-0C45-4417-82E7-EC99D7029E1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63" authorId="0" shapeId="0" xr:uid="{41CB8E97-31F2-4F7A-A974-E5633048DA9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63" authorId="0" shapeId="0" xr:uid="{0FF117AC-C142-4AC5-A020-4075E4E766A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7" authorId="0" shapeId="0" xr:uid="{90BE105C-DB86-4D0C-ACBC-FB26F5DE8C7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7" authorId="0" shapeId="0" xr:uid="{DEE48FC2-570D-4148-B716-71E8F6836FF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67" authorId="0" shapeId="0" xr:uid="{88DD71E8-3188-4957-A86C-77C44065CCF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67" authorId="0" shapeId="0" xr:uid="{C967CF11-1E9A-4298-9E98-EC7920FFB75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67" authorId="0" shapeId="0" xr:uid="{B08EB410-8E4C-472C-AA26-F36297C421E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67" authorId="0" shapeId="0" xr:uid="{94C141EF-8EF9-4ADE-ABCF-B9695C8F8EF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67" authorId="0" shapeId="0" xr:uid="{8AB57F61-1DDA-4122-8996-0122AC93612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67" authorId="0" shapeId="0" xr:uid="{5D3C35D3-2BF2-4A4F-BCF4-80D30CFD6FE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67" authorId="0" shapeId="0" xr:uid="{7FB617B9-4075-44B0-B51C-1779B5F7FAE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67" authorId="0" shapeId="0" xr:uid="{A72335A7-9BAB-4797-AC8E-181105D0A96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67" authorId="0" shapeId="0" xr:uid="{B259DEF3-1F74-488C-91FA-72A1C0BBA6B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67" authorId="0" shapeId="0" xr:uid="{E83308CD-6654-4402-84C5-923C28F33DD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67" authorId="0" shapeId="0" xr:uid="{4354A00F-D0D3-4A68-9A15-E341FC5C1C8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67" authorId="0" shapeId="0" xr:uid="{BDB98017-948A-4E4C-B1FB-9B38E18F5D5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67" authorId="0" shapeId="0" xr:uid="{1529509C-18B7-4B9A-B822-561EEDFD955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V67" authorId="0" shapeId="0" xr:uid="{95E2FF38-7912-49BE-9CA8-D3582E2AF11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W67" authorId="0" shapeId="0" xr:uid="{2B3EA14E-C5C6-4EFE-B8EF-47A363D21B2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X67" authorId="0" shapeId="0" xr:uid="{7471224D-84EF-4612-BE83-158A95C5DDF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Y67" authorId="0" shapeId="0" xr:uid="{95A2D31F-C753-4746-A04E-CA0C35328D7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77" authorId="0" shapeId="0" xr:uid="{F0CA8DB5-C158-4570-8D63-1248F87C7F1D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H77" authorId="0" shapeId="0" xr:uid="{B35F525E-642A-4CD4-B26E-49C60CCBDEB5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I77" authorId="0" shapeId="0" xr:uid="{BADA5BA2-2DBD-4F99-B9A3-A6DBCF6ACD83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J77" authorId="0" shapeId="0" xr:uid="{72670463-EC54-4C38-96E0-58FB49281C79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K77" authorId="0" shapeId="0" xr:uid="{16F0CA01-C4D3-49E0-9DFB-8E80926D3398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L77" authorId="0" shapeId="0" xr:uid="{5D49529F-7789-4F6A-9BB9-FC6EE170AEDF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M77" authorId="0" shapeId="0" xr:uid="{CD8E1785-436F-4239-89A9-E1CD216C76AB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N77" authorId="0" shapeId="0" xr:uid="{F0BDE1DF-32DC-423B-B0B7-E9D194D4285D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O77" authorId="0" shapeId="0" xr:uid="{593DF1BA-C8F6-405A-88F7-27DA4AB07918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P77" authorId="0" shapeId="0" xr:uid="{162242BA-3249-4C62-84F0-3058A6A7414B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Q77" authorId="0" shapeId="0" xr:uid="{9355F5C6-E42D-45B9-AD2A-2D5E51558746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R77" authorId="0" shapeId="0" xr:uid="{41F50805-2B56-433B-9948-D2984E763200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S77" authorId="0" shapeId="0" xr:uid="{2D97E8B1-4BD9-46EF-82AD-011BEB8A8224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T77" authorId="0" shapeId="0" xr:uid="{C5C4F820-7629-4747-9E2B-C6B72BD5EF90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U77" authorId="0" shapeId="0" xr:uid="{69493991-E6A4-4B1C-B70A-B436843AE210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V77" authorId="0" shapeId="0" xr:uid="{46136702-162E-41E3-908A-3F9C24791AF0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W77" authorId="0" shapeId="0" xr:uid="{A28CD67D-8958-4E28-B61F-3402500C57B6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X77" authorId="0" shapeId="0" xr:uid="{15DFF29E-AC17-4EE0-93E9-646867D8DF78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Y77" authorId="0" shapeId="0" xr:uid="{C75D4069-54C5-432F-ABBC-42A3C9A19A3B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87" authorId="0" shapeId="0" xr:uid="{1ED9F7AC-BD05-41AB-BD2E-303AB6939DC4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G87" authorId="0" shapeId="0" xr:uid="{CAF9BB87-FD29-4B90-ADF4-8F62D3D65462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H87" authorId="0" shapeId="0" xr:uid="{BE332006-895D-41FA-B6D9-484D1C6B36EB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I87" authorId="0" shapeId="0" xr:uid="{7910EF8B-4423-4FB3-A667-72F04674A43D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J87" authorId="0" shapeId="0" xr:uid="{8ED2DF8D-FE78-47E7-9844-9533435C4966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K87" authorId="0" shapeId="0" xr:uid="{92074D8B-BE37-4D58-8A75-125C34049880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L87" authorId="0" shapeId="0" xr:uid="{90DA04A3-92FC-484A-94C0-9388B94FCCC4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M87" authorId="0" shapeId="0" xr:uid="{6E8A4417-ED2F-4327-8949-403C1A2664FA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N87" authorId="0" shapeId="0" xr:uid="{AE2B1453-9A19-457E-943C-8217261825C6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O87" authorId="0" shapeId="0" xr:uid="{4D7BC6D1-B9C5-44CD-86CE-E5B612586F88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P87" authorId="0" shapeId="0" xr:uid="{886184A3-2C9B-4F4A-BAFA-7B02E7CC6F42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Q87" authorId="0" shapeId="0" xr:uid="{96327019-8C35-47B0-8DE0-E0FD35A15ADC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R87" authorId="0" shapeId="0" xr:uid="{69A66811-EA5D-4A48-B044-9C2506458D48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S87" authorId="0" shapeId="0" xr:uid="{A7D4A6DB-5B8D-4EFC-AAD1-68E2C62CE2B5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T87" authorId="0" shapeId="0" xr:uid="{3C97C612-FC50-4205-B56C-13F21F49A6EB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U87" authorId="0" shapeId="0" xr:uid="{29BA71A5-E02B-4795-8662-1F32A47BBA96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V87" authorId="0" shapeId="0" xr:uid="{E0F88232-AFE8-4B05-8224-81838C191487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W87" authorId="0" shapeId="0" xr:uid="{4503F650-BFE8-44E9-B12D-A13EFF2D6154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X87" authorId="0" shapeId="0" xr:uid="{57DE1904-7587-40A0-B7C4-8512E774C043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8" authorId="0" shapeId="0" xr:uid="{AD8B99EA-CFA7-4B8A-913D-BF3E8FD91CB6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H8" authorId="0" shapeId="0" xr:uid="{DC8FC0D2-C3E9-4AC2-849A-6F64BF901E05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I8" authorId="0" shapeId="0" xr:uid="{36A9DE7E-14F5-48AB-877B-FC7CFCDA27B5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J8" authorId="0" shapeId="0" xr:uid="{6FF4656F-20A3-4AF2-9B10-F608E075CBC9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K8" authorId="0" shapeId="0" xr:uid="{168C5411-5CF6-40A6-A01E-688D3FD59323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L8" authorId="0" shapeId="0" xr:uid="{15D014C9-4553-4DD9-8493-9EAD506FB8F6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M8" authorId="0" shapeId="0" xr:uid="{2993A43C-B85F-4C5F-ACE1-33D9B0F9FE8A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N8" authorId="0" shapeId="0" xr:uid="{17C1B403-E157-4458-838D-2435BCEF396A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O8" authorId="0" shapeId="0" xr:uid="{64E73DB9-D0CC-44EB-BF50-03992F34936D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P8" authorId="0" shapeId="0" xr:uid="{42226C43-36FA-42F5-BF86-2AAD177818AE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Q8" authorId="0" shapeId="0" xr:uid="{C1EAF091-045C-4425-9110-C13EDBF16CFD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R8" authorId="0" shapeId="0" xr:uid="{D49A11A2-C937-4AFF-B457-331708B2F7C3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S8" authorId="0" shapeId="0" xr:uid="{DE648A26-7D56-406B-A6CE-0FAF9EF92262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T8" authorId="0" shapeId="0" xr:uid="{51BB71B5-AAED-4650-914B-27B74D3DAA5A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U8" authorId="0" shapeId="0" xr:uid="{A7788506-D297-4435-BBE2-48854F7F87A9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V8" authorId="0" shapeId="0" xr:uid="{93EEED1D-66F9-4B21-968E-DA3012D51721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W8" authorId="0" shapeId="0" xr:uid="{27760115-FC13-4F31-9401-1D05961556B7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X8" authorId="0" shapeId="0" xr:uid="{7D584EC6-7D3B-4641-83BB-3ABC76CC8836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Y8" authorId="0" shapeId="0" xr:uid="{1909B7CB-7DC5-4562-8518-82B73707B4FA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G23" authorId="0" shapeId="0" xr:uid="{4D1F783D-D70A-45C2-90F8-D01F219EC2C3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23" authorId="0" shapeId="0" xr:uid="{11FC7A11-DFC2-4732-9046-506252B92027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I23" authorId="0" shapeId="0" xr:uid="{06043167-59F2-45B2-9EC8-769185D347E2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J23" authorId="0" shapeId="0" xr:uid="{CD077FEE-2C68-45E2-A9C8-E5B462ECB42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K23" authorId="0" shapeId="0" xr:uid="{BC655414-0578-4DF9-A880-B6A9499638AF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L23" authorId="0" shapeId="0" xr:uid="{4B17DB47-21BF-4432-8511-A83E53FCC05D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M23" authorId="0" shapeId="0" xr:uid="{905CB166-8B07-45B7-A628-1DA37701B863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N23" authorId="0" shapeId="0" xr:uid="{19414F11-D624-4E1F-B43F-20F2CE7B3665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O23" authorId="0" shapeId="0" xr:uid="{F8ABCDE3-2CCD-4BDC-B47C-2B3B0F11AAD7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P23" authorId="0" shapeId="0" xr:uid="{FABBAB48-1141-4350-AFCC-51FCC2D62D81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Q23" authorId="0" shapeId="0" xr:uid="{C53522DC-80F2-405C-98AE-2A6EC3D835D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R23" authorId="0" shapeId="0" xr:uid="{05A260F1-C7FE-4E60-B506-9FC8559AF80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S23" authorId="0" shapeId="0" xr:uid="{22BB3CBB-58CD-44A6-B501-5254EDCE2711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T23" authorId="0" shapeId="0" xr:uid="{53D617B1-56F2-40D0-9BEB-19DA7C435012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U23" authorId="0" shapeId="0" xr:uid="{7AB8DB4E-C606-4650-8CBB-9AFDCF485F74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V23" authorId="0" shapeId="0" xr:uid="{D9315E18-9F09-4F56-A776-744B90E4587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W23" authorId="0" shapeId="0" xr:uid="{0ADA736B-7DFF-49A2-9F38-C407E6DF834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X23" authorId="0" shapeId="0" xr:uid="{DA41CE17-D909-48BB-9661-D5AC31DE1EA7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Y23" authorId="0" shapeId="0" xr:uid="{67A09049-7654-4719-99CA-3FF5050C228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G49" authorId="0" shapeId="0" xr:uid="{2B760336-D704-4FB7-B860-E9E3A1A3CC0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49" authorId="0" shapeId="0" xr:uid="{76E7509B-0466-4B31-A2F0-6438366E5E4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I49" authorId="0" shapeId="0" xr:uid="{61E0D26C-BDBD-4A74-BF5D-D7FD14EDD5E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J49" authorId="0" shapeId="0" xr:uid="{C6D3E8B6-BCF4-4279-BA6B-4C190B9742AD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K49" authorId="0" shapeId="0" xr:uid="{5F79F0E8-6653-4EEF-9E73-C10646D8BF8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L49" authorId="0" shapeId="0" xr:uid="{99FAC2FC-24D3-4B91-B347-2B15597BA6E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M49" authorId="0" shapeId="0" xr:uid="{556A5A0B-8244-413F-BE36-BD583221B2A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N49" authorId="0" shapeId="0" xr:uid="{8B609843-8780-44B5-AC2A-4E15601DA30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O49" authorId="0" shapeId="0" xr:uid="{014ADFB0-5A20-4778-9515-592A9657D1CB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P49" authorId="0" shapeId="0" xr:uid="{FF2408F2-0938-40F2-8ABA-2663784CDA0F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Q49" authorId="0" shapeId="0" xr:uid="{05638AC7-ED63-46E0-B0C6-C94F935E75E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R49" authorId="0" shapeId="0" xr:uid="{45EBC8D8-A684-4E4F-8C26-B8E627C39CAA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S49" authorId="0" shapeId="0" xr:uid="{AF94C4A6-135E-46A1-92A2-0736EC49925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T49" authorId="0" shapeId="0" xr:uid="{A0A8918B-FB33-43D4-AB9B-9A410D1CF5C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U49" authorId="0" shapeId="0" xr:uid="{BBF30B85-4E09-4B4A-B475-E89941F95C27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V49" authorId="0" shapeId="0" xr:uid="{B7E1126E-924C-489B-BC60-82DAC0F2304B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W49" authorId="0" shapeId="0" xr:uid="{D9C28981-6CF8-46D6-AED9-3469A230FA3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X49" authorId="0" shapeId="0" xr:uid="{7274D17F-DFD7-41A8-8E9F-2783A261476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Y49" authorId="0" shapeId="0" xr:uid="{2E39A047-B3B4-420E-B561-89CCF15AE71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42" authorId="0" shapeId="0" xr:uid="{E07D7711-2DB8-4897-AFB9-0B1F97524B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2" authorId="0" shapeId="0" xr:uid="{AB7EA4A7-95EA-45BE-9AF1-A573F951914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42" authorId="0" shapeId="0" xr:uid="{BF756E6F-2212-4BA3-9080-99FAAB21AAD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42" authorId="0" shapeId="0" xr:uid="{AD6A243C-F198-4902-B6FD-A72E04F8F54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42" authorId="0" shapeId="0" xr:uid="{EA83538A-62D9-471D-A95B-47E40F31946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42" authorId="0" shapeId="0" xr:uid="{2AD5B664-64ED-4849-A82E-F5655DCBA86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42" authorId="0" shapeId="0" xr:uid="{B1782AB1-AC3A-4F4D-97F8-F6CA5AFA4D0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42" authorId="0" shapeId="0" xr:uid="{466D488B-6E19-4F14-BF62-F7147CC1E50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42" authorId="0" shapeId="0" xr:uid="{28C70DE7-56CA-458C-8732-AEF3A32D583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42" authorId="0" shapeId="0" xr:uid="{98913A1C-EFF8-4E68-B33F-623752EFE6C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42" authorId="0" shapeId="0" xr:uid="{4875F1C4-31CA-47AA-BA6D-34340091CA4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42" authorId="0" shapeId="0" xr:uid="{366F06F8-04C7-429D-BE26-03711DB18C9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42" authorId="0" shapeId="0" xr:uid="{9A21A7BF-11FB-41B0-9C32-593A332067E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42" authorId="0" shapeId="0" xr:uid="{869DBB0A-71CA-4648-97C7-D07ED278A3E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42" authorId="0" shapeId="0" xr:uid="{E85D9C6A-331D-4DF4-AA64-3DBA814452C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42" authorId="0" shapeId="0" xr:uid="{6D0F4546-4422-406F-AA51-5C16032C8FA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42" authorId="0" shapeId="0" xr:uid="{F1678102-8DAE-46F9-8D72-5DA924BDCE9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42" authorId="0" shapeId="0" xr:uid="{BFBC042A-CFF1-4773-8658-C22F6D6E79D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42" authorId="0" shapeId="0" xr:uid="{DE3BD5D8-8610-4175-BF4C-AF7E25456BC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49" authorId="0" shapeId="0" xr:uid="{74FBD199-86EE-4A69-AFED-48BD11B26D0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9" authorId="0" shapeId="0" xr:uid="{98033EAA-1771-4D81-8496-9456B9C6E03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49" authorId="0" shapeId="0" xr:uid="{7DF3A882-5A79-4734-9C38-0B7CC620215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49" authorId="0" shapeId="0" xr:uid="{A167E023-2199-4C56-9913-9BE3EF0DF24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49" authorId="0" shapeId="0" xr:uid="{A6CA0FCC-AF62-41FD-B158-AD54912BC8A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49" authorId="0" shapeId="0" xr:uid="{52F279DF-68D9-4C41-A4BF-46AD4703F5B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49" authorId="0" shapeId="0" xr:uid="{6ED07835-EE8C-4403-A40A-C5C869F157D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49" authorId="0" shapeId="0" xr:uid="{767713C9-FD05-4160-91BA-F2E3FD0D5E4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49" authorId="0" shapeId="0" xr:uid="{04A50D47-1750-4F42-A6C3-82A992015B7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49" authorId="0" shapeId="0" xr:uid="{20DDC2B8-9079-46D1-B2B2-7EE437DFF95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49" authorId="0" shapeId="0" xr:uid="{F8231B81-9E45-4C99-8078-0E9B34B444C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49" authorId="0" shapeId="0" xr:uid="{9AB35024-2A83-48D1-BF21-628A8DF9EDA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49" authorId="0" shapeId="0" xr:uid="{5CCA5A69-6D15-40B2-8606-3EF3FD3E004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49" authorId="0" shapeId="0" xr:uid="{88E183D7-6616-4F6E-84D2-FBB6976B456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49" authorId="0" shapeId="0" xr:uid="{4832ED40-3C3C-4C11-B22A-B69DB172841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49" authorId="0" shapeId="0" xr:uid="{0EAB3ED6-DEE6-4427-A87F-5B15D85FF86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49" authorId="0" shapeId="0" xr:uid="{1F07936E-2CCB-4EF6-B302-90219BC0682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49" authorId="0" shapeId="0" xr:uid="{FB3D9B5B-C8B2-4D0E-B331-53C2EB444ED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49" authorId="0" shapeId="0" xr:uid="{AF19AB48-552C-4C10-85C9-66ECF6BEE6C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56" authorId="0" shapeId="0" xr:uid="{17240993-0641-4F9B-B3B3-1D5C162794F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56" authorId="0" shapeId="0" xr:uid="{3B6D8DE8-5696-41E2-B863-A9D0F357D6D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56" authorId="0" shapeId="0" xr:uid="{314845C9-3F16-4268-987B-49F09858D7E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56" authorId="0" shapeId="0" xr:uid="{6E44E9F7-5B3E-4160-B829-5C6333870C7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56" authorId="0" shapeId="0" xr:uid="{9F351EAC-79C3-480C-8A7D-5EA891B9B12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56" authorId="0" shapeId="0" xr:uid="{E4E4EC21-6965-4A56-85CD-6B86AAC7A1A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56" authorId="0" shapeId="0" xr:uid="{DBA9A70E-8D56-455A-92CD-5728F547803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56" authorId="0" shapeId="0" xr:uid="{DAA8BF8C-04E6-44BE-B9E0-442EDA1F7E2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56" authorId="0" shapeId="0" xr:uid="{BD9A538C-C06F-4360-82B7-D8671E639EA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56" authorId="0" shapeId="0" xr:uid="{1F64375E-9DB2-4456-A781-654821DD332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56" authorId="0" shapeId="0" xr:uid="{DB6EE563-EA33-422C-9631-4B0BF2F8AC9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56" authorId="0" shapeId="0" xr:uid="{9BCD8069-AF0E-468C-9B0A-0E8B631954C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56" authorId="0" shapeId="0" xr:uid="{5B4A9C94-FA6B-4595-ACCD-582C2981C2C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56" authorId="0" shapeId="0" xr:uid="{0E91AD7B-2D8F-4868-90C7-EDF75B7265C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56" authorId="0" shapeId="0" xr:uid="{CC2CDB94-2361-497C-BE72-228CEA2F84D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56" authorId="0" shapeId="0" xr:uid="{A590BFE7-2E4D-4CD7-964F-E53CD7C3EE9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56" authorId="0" shapeId="0" xr:uid="{2242522E-3130-4040-9276-261114B8AFD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56" authorId="0" shapeId="0" xr:uid="{EC41A85B-F25A-4F55-9FDA-5471E90E9B2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56" authorId="0" shapeId="0" xr:uid="{38BBF343-BA06-4A78-9D08-B690D1CB0BC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63" authorId="0" shapeId="0" xr:uid="{270781FA-3E82-473F-826D-2EF3C47F87F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63" authorId="0" shapeId="0" xr:uid="{F25D5D32-26F8-47E3-907A-A70266D0BC3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63" authorId="0" shapeId="0" xr:uid="{5A333EF6-E915-4A78-9698-A31DB0FDA59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63" authorId="0" shapeId="0" xr:uid="{80DD5E94-BC45-4F01-B0BD-DD38358A46B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63" authorId="0" shapeId="0" xr:uid="{D355A8B8-E619-4C8A-ACD9-406388380D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63" authorId="0" shapeId="0" xr:uid="{B11AD1F7-5316-4F39-AB21-9DDAD4A1010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63" authorId="0" shapeId="0" xr:uid="{41B3B001-47C5-4E12-97A3-0D134E5E5BC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63" authorId="0" shapeId="0" xr:uid="{66EDAA2E-BDE2-4A58-819E-7F33BA73A2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63" authorId="0" shapeId="0" xr:uid="{B3B6EFFE-BBA6-41C8-89EB-F4245EC59A9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63" authorId="0" shapeId="0" xr:uid="{701F0F3F-5969-41AA-976E-08702AC0B6F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63" authorId="0" shapeId="0" xr:uid="{E99051D8-855B-48D7-B7DB-3DD47C114D0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63" authorId="0" shapeId="0" xr:uid="{407741DA-0F4D-4B57-8252-9A31B4856C0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63" authorId="0" shapeId="0" xr:uid="{C02D76B8-A91E-4071-A2F8-52F9EEB950F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63" authorId="0" shapeId="0" xr:uid="{F1A6FB6D-2B8F-4ADE-98FD-FC20A57A908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63" authorId="0" shapeId="0" xr:uid="{BC95755C-3399-49A7-809E-E388250E1F5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63" authorId="0" shapeId="0" xr:uid="{EEF67558-A6AD-4FC0-9A15-70DE7038F62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63" authorId="0" shapeId="0" xr:uid="{E0D97D9B-19F9-4A3E-82F2-E6627574010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63" authorId="0" shapeId="0" xr:uid="{DB33E9BE-61E5-4716-A207-BCA804FF8B3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63" authorId="0" shapeId="0" xr:uid="{CAAD2E59-5D8B-4010-A1AD-BCCD069E856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0" authorId="0" shapeId="0" xr:uid="{A1B09CCC-A03B-4999-B35A-BEF5DD04021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0" authorId="0" shapeId="0" xr:uid="{43EEE62B-8CAE-4C1F-9011-62913ECC608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70" authorId="0" shapeId="0" xr:uid="{0560758A-7040-4C1B-B1E8-FF789F6CA95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70" authorId="0" shapeId="0" xr:uid="{14446DA5-7558-41DE-99F9-76834A999B9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70" authorId="0" shapeId="0" xr:uid="{80A3F7DC-D318-49AA-83EA-1AE983E872B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70" authorId="0" shapeId="0" xr:uid="{4BE3F898-ABEC-43C7-8DF4-510329CB70C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70" authorId="0" shapeId="0" xr:uid="{A80FCE17-6110-4954-86B6-36B07F2AB77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70" authorId="0" shapeId="0" xr:uid="{B2AD27D9-E00C-4750-AD72-AE0D2086B23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70" authorId="0" shapeId="0" xr:uid="{233B28F0-2953-472F-96E6-D9A01C407D6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70" authorId="0" shapeId="0" xr:uid="{FA89F749-958C-4BA7-A9EA-662CADA8D3C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70" authorId="0" shapeId="0" xr:uid="{C931CA9D-98DD-4D97-82C7-110B569A13F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70" authorId="0" shapeId="0" xr:uid="{38CB3584-21E6-4667-8147-05628B86D8A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70" authorId="0" shapeId="0" xr:uid="{9066B11A-93AC-4749-A643-2639CA52F65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70" authorId="0" shapeId="0" xr:uid="{219CC162-D827-4D2A-B639-372041D4AA9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70" authorId="0" shapeId="0" xr:uid="{A4D87FB0-DF8E-4BDF-A464-8D247C8B540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70" authorId="0" shapeId="0" xr:uid="{24372BC4-9F06-4599-996F-1AB9D62F120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70" authorId="0" shapeId="0" xr:uid="{CC014B7C-50DB-4A9B-B610-62C94036C51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70" authorId="0" shapeId="0" xr:uid="{9BC0467D-5742-44E7-9614-B150A853811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70" authorId="0" shapeId="0" xr:uid="{E8D287FC-19E5-4854-A993-DBE0B0CBD6F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7" authorId="0" shapeId="0" xr:uid="{1EC9E4D5-9FD7-4159-9DCA-C6F183D6F65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7" authorId="0" shapeId="0" xr:uid="{1C23ECDD-34A2-4E48-94C1-05EAA4E52B5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77" authorId="0" shapeId="0" xr:uid="{753A6CE7-79B2-47FE-A8B9-8618189146C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77" authorId="0" shapeId="0" xr:uid="{96A4DCB9-0A5D-4D2C-88B2-EA0A0D53DAA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77" authorId="0" shapeId="0" xr:uid="{C6C1E886-AA93-4712-AC85-44F6D81594D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77" authorId="0" shapeId="0" xr:uid="{67CC03DA-BA1D-442A-8549-392F71F9EFF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77" authorId="0" shapeId="0" xr:uid="{7A64E6CF-2A97-4029-80DF-E100F5A41C4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77" authorId="0" shapeId="0" xr:uid="{26AAFA26-140E-46C4-80D0-4F602AA0BED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77" authorId="0" shapeId="0" xr:uid="{C9393DFE-D369-4CDD-8BC0-D1C226C3BAC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77" authorId="0" shapeId="0" xr:uid="{2AADB058-582E-4A62-B76F-94F2D45568D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77" authorId="0" shapeId="0" xr:uid="{CBF347EB-40BC-4A05-BDBF-116B99154C0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77" authorId="0" shapeId="0" xr:uid="{2BC51498-023D-46CB-B361-377138F3671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77" authorId="0" shapeId="0" xr:uid="{6B94C2C7-F64E-4EC5-A5B3-AFD490B017F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77" authorId="0" shapeId="0" xr:uid="{0C24859F-0CA3-4959-B4E0-7E116101F6F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77" authorId="0" shapeId="0" xr:uid="{03B52EB3-5759-495A-AB9C-C5B0825D1C4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77" authorId="0" shapeId="0" xr:uid="{04AC90C9-7CF3-4DB7-983D-33B8450B9D4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77" authorId="0" shapeId="0" xr:uid="{6BBA4F39-DB8A-40FD-AC91-93CBC68EDB1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77" authorId="0" shapeId="0" xr:uid="{83489E72-177A-41DC-9513-3F300A6C656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77" authorId="0" shapeId="0" xr:uid="{5790FF55-92CB-4C7F-97A2-245162D04AF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84" authorId="0" shapeId="0" xr:uid="{0AD59B1E-D504-4792-92B9-4344B916583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84" authorId="0" shapeId="0" xr:uid="{4C01BFA5-31B9-4BCB-BA2A-7FCA4F6FC03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84" authorId="0" shapeId="0" xr:uid="{F848FB72-B9BC-4DF7-B444-5FE13B9FA7B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84" authorId="0" shapeId="0" xr:uid="{5FA20123-92CC-4299-92E4-245294E465C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84" authorId="0" shapeId="0" xr:uid="{C316AC7A-49E2-4796-9CD4-02ECBBB6659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84" authorId="0" shapeId="0" xr:uid="{6346CB79-2722-4FD4-9A26-713F42232F4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84" authorId="0" shapeId="0" xr:uid="{41E28724-A4A1-466C-A5B2-974D863AE25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84" authorId="0" shapeId="0" xr:uid="{2B501CCC-815E-4224-AFA9-376ED8D55CA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84" authorId="0" shapeId="0" xr:uid="{8FC112B0-93E8-492F-9EB4-5419690C826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84" authorId="0" shapeId="0" xr:uid="{E3BEBDF5-F366-47C9-8F60-AD4069DBA2C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84" authorId="0" shapeId="0" xr:uid="{0B22493A-F3C1-4B3D-9703-59039972FF7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84" authorId="0" shapeId="0" xr:uid="{CF68A8C4-E979-4397-88AC-47CDCBFED59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84" authorId="0" shapeId="0" xr:uid="{C6D7A434-8A26-439B-8C48-C8D3523620C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84" authorId="0" shapeId="0" xr:uid="{2A807EB3-77C9-4F73-A49C-2E5C2D7F17E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84" authorId="0" shapeId="0" xr:uid="{FFA6CBD5-36E9-47B3-A3F7-466F9E9A077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84" authorId="0" shapeId="0" xr:uid="{68D5E7F2-07A9-49A9-8A83-5F9CD46AEE7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84" authorId="0" shapeId="0" xr:uid="{E42F09C4-6C92-4371-B536-4E199FEFE0A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84" authorId="0" shapeId="0" xr:uid="{1D80C7E9-2423-4D86-98AE-CD8B3A8B216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84" authorId="0" shapeId="0" xr:uid="{4F350B04-006E-45E9-8FEA-4414880F2C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2" authorId="0" shapeId="0" xr:uid="{ED84EACE-A5A4-405D-9150-EC42EE7530C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2" authorId="0" shapeId="0" xr:uid="{E307F3EE-AFA4-49CB-A672-842E3F7CA16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92" authorId="0" shapeId="0" xr:uid="{68FE2DA4-6B48-4B88-99E5-C333AB47E53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92" authorId="0" shapeId="0" xr:uid="{2E8F629B-7D7B-4A6B-A318-3ACCA29D5F1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92" authorId="0" shapeId="0" xr:uid="{9925FD15-B9E6-4FD5-9D28-E5F0B503A3D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92" authorId="0" shapeId="0" xr:uid="{50CD0DDF-FB82-4DF2-BDB9-B711D415782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92" authorId="0" shapeId="0" xr:uid="{5E54ED6F-B7C8-48BD-A564-1C366D5D0AF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92" authorId="0" shapeId="0" xr:uid="{91D03610-37A4-4C3C-AC9D-0972B2B6D72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92" authorId="0" shapeId="0" xr:uid="{E9A6E7DC-584A-45BC-ADC8-975B578BF13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92" authorId="0" shapeId="0" xr:uid="{FD18C5E9-89F4-4DC2-B8A7-28F7A0F22B6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92" authorId="0" shapeId="0" xr:uid="{3D0FE678-BBD3-4B0C-8DEF-846FBD05811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92" authorId="0" shapeId="0" xr:uid="{993572AA-E2BD-4C2F-895B-2D6A34D948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92" authorId="0" shapeId="0" xr:uid="{03209F6C-AC69-447D-A32E-248476AA197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92" authorId="0" shapeId="0" xr:uid="{30D26658-2B11-4CBB-9DA4-C558586CF1D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92" authorId="0" shapeId="0" xr:uid="{24516BCA-CC27-4DC2-9EE8-34F682DC176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92" authorId="0" shapeId="0" xr:uid="{3455D28F-5A36-448F-92C1-00DB35297C6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92" authorId="0" shapeId="0" xr:uid="{18D4ED13-E1E1-4386-B515-1E40B01AF8A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92" authorId="0" shapeId="0" xr:uid="{C50BDB47-DF52-4D63-AE8E-E582560AD6C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92" authorId="0" shapeId="0" xr:uid="{C7157FCF-01BD-4102-8B06-4982EE4D1CA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9" authorId="0" shapeId="0" xr:uid="{A7AA6ADC-A61E-4D57-8608-4C0932D2A03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9" authorId="0" shapeId="0" xr:uid="{98BA60B6-648F-40E1-95DF-2FA73D80EBC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99" authorId="0" shapeId="0" xr:uid="{EAE1C3D7-EE9A-448C-A68F-41D27BAED4F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99" authorId="0" shapeId="0" xr:uid="{D711CD4D-199E-4E19-A06E-28596F3BB79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99" authorId="0" shapeId="0" xr:uid="{06288566-17D2-49FB-B9F7-7CD0E766F34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99" authorId="0" shapeId="0" xr:uid="{08F6444D-F860-47B0-BC6B-85207AB06A1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99" authorId="0" shapeId="0" xr:uid="{06C6C128-3B08-442C-A86C-DD871539BC0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99" authorId="0" shapeId="0" xr:uid="{552D26C7-49F7-46FB-A4C8-E8B3E080E98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99" authorId="0" shapeId="0" xr:uid="{87DF6572-689C-44B8-9555-E6495E1A536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99" authorId="0" shapeId="0" xr:uid="{4BF2F131-CB77-46A1-809A-F9EF4474943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99" authorId="0" shapeId="0" xr:uid="{5DE46591-0C32-4915-88CB-D29DEA641D7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99" authorId="0" shapeId="0" xr:uid="{C21F6AA0-444C-4EEC-9C4C-77089910C51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99" authorId="0" shapeId="0" xr:uid="{C51A57F7-DDB3-4BD0-BB10-95A8AE2197F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99" authorId="0" shapeId="0" xr:uid="{D1BAE7B6-0309-4CF5-8A7C-E24D454E673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99" authorId="0" shapeId="0" xr:uid="{E7B0C35A-DD95-4914-8D62-8C27767C4A7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99" authorId="0" shapeId="0" xr:uid="{A18255FF-CFC4-418C-A9BD-406524A60E6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99" authorId="0" shapeId="0" xr:uid="{466E9DA5-AD68-4BBA-820F-5138B3CEC0D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99" authorId="0" shapeId="0" xr:uid="{ACE0A27C-AB88-4927-BF10-0D6E004734F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99" authorId="0" shapeId="0" xr:uid="{F0DB699E-9A3F-40CA-96FA-54811D9E09D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06" authorId="0" shapeId="0" xr:uid="{6275B599-0B44-48F6-B3FB-109AAF3634F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06" authorId="0" shapeId="0" xr:uid="{76D7780D-E53E-4550-919D-6A204D62796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06" authorId="0" shapeId="0" xr:uid="{364AF9A0-0B17-4744-BA47-4E8EDEBC991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06" authorId="0" shapeId="0" xr:uid="{C2B9671E-EB37-41F1-A257-8D66FF7C60C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06" authorId="0" shapeId="0" xr:uid="{552B14F0-4F59-4B80-848E-D4134C12AC1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06" authorId="0" shapeId="0" xr:uid="{A888D1DB-BEE5-4A0F-B873-7649EF35CB5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06" authorId="0" shapeId="0" xr:uid="{212EE434-6891-4940-A330-1F0C4EFF9E7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06" authorId="0" shapeId="0" xr:uid="{33EDC5AE-7A72-4D93-8D7E-C8EFEED5A30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06" authorId="0" shapeId="0" xr:uid="{F9FC03E3-CA50-4845-8D49-D86CD95ECA7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06" authorId="0" shapeId="0" xr:uid="{3A2553ED-9763-4AC1-9ED9-119B4356EDC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06" authorId="0" shapeId="0" xr:uid="{9AD416FE-C7FB-48A3-B4B4-B12A250E545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06" authorId="0" shapeId="0" xr:uid="{0AFF018E-6EB1-4801-B772-9713BE3C3B9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06" authorId="0" shapeId="0" xr:uid="{CC06F6E3-1146-4216-871F-A930A71FF44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06" authorId="0" shapeId="0" xr:uid="{6382DDFC-0F1C-4253-9BBD-3DDBA6EB86D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06" authorId="0" shapeId="0" xr:uid="{D845C7C9-0665-4343-8FBA-D3F092CA2D0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106" authorId="0" shapeId="0" xr:uid="{26D19C76-27D5-4DC6-AB24-72D28B1D198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06" authorId="0" shapeId="0" xr:uid="{3464A186-6DC8-4F68-BD82-D7ECA6711E4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06" authorId="0" shapeId="0" xr:uid="{B9280FBF-828B-47B8-9230-FA7954201D8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06" authorId="0" shapeId="0" xr:uid="{8BE0C9AE-E74F-4B85-8FD0-B50229DF81D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13" authorId="0" shapeId="0" xr:uid="{D098330F-1675-46A2-8278-45CBE4E8F8A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13" authorId="0" shapeId="0" xr:uid="{81A01FEC-B836-4F70-A2B3-88942F3498C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13" authorId="0" shapeId="0" xr:uid="{797FC756-BA92-49CE-8FC9-D7C9C32FFD4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13" authorId="0" shapeId="0" xr:uid="{C8FD7073-1742-468A-9A1E-4726F2BA8E8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13" authorId="0" shapeId="0" xr:uid="{37DEBFB9-E92C-4D73-A80A-E1CC429E7E7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13" authorId="0" shapeId="0" xr:uid="{E91A9414-BE91-471C-96E9-BDCED25F089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13" authorId="0" shapeId="0" xr:uid="{9B782005-3E5E-43CC-B99B-B950F973F77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13" authorId="0" shapeId="0" xr:uid="{0F2711E5-FCCF-432F-83D9-DB44801F553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13" authorId="0" shapeId="0" xr:uid="{3176A114-C36B-4A8B-8F46-98A9F72F448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13" authorId="0" shapeId="0" xr:uid="{6C2A7D4D-AEE0-4040-8F4E-D5FB6AA91C8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13" authorId="0" shapeId="0" xr:uid="{709B7C90-CB15-47B1-9862-1609D052B3F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13" authorId="0" shapeId="0" xr:uid="{4BFED7DC-4CFE-4D52-8B93-D2F1C6BE82C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13" authorId="0" shapeId="0" xr:uid="{9A9FFB32-A31A-405B-BB18-13D96A341B6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13" authorId="0" shapeId="0" xr:uid="{7FA89D53-9719-43EC-A2B9-B8493D27FEA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13" authorId="0" shapeId="0" xr:uid="{47C8FB7C-BDA0-4038-BE6E-DFBFB0623F8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113" authorId="0" shapeId="0" xr:uid="{7E98E7F9-383C-4C78-8B4F-889C4D8D456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13" authorId="0" shapeId="0" xr:uid="{BF3D1E24-AE4E-422E-8901-7C478A20DF2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13" authorId="0" shapeId="0" xr:uid="{DC47EBBF-D015-4F62-A7AC-11D743016F6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13" authorId="0" shapeId="0" xr:uid="{629DC3D1-954E-41DC-AF82-B3DB01EE83F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0" authorId="0" shapeId="0" xr:uid="{579850C3-9949-49BB-A35B-0F66737BC0A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0" authorId="0" shapeId="0" xr:uid="{BA82B6A0-BCE6-4678-8153-74C8D826700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20" authorId="0" shapeId="0" xr:uid="{95ABC699-2A02-4D10-A648-2DA29CAC0BD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20" authorId="0" shapeId="0" xr:uid="{6D9A70B8-5628-4C80-B09A-522D4F5F819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20" authorId="0" shapeId="0" xr:uid="{707CB91D-082D-469E-9151-FA9A1D31538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20" authorId="0" shapeId="0" xr:uid="{A9160EA0-10E5-4F3E-9EF7-494B07F65BF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20" authorId="0" shapeId="0" xr:uid="{02038D3B-6B7B-4963-B5B1-76315E57B5C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20" authorId="0" shapeId="0" xr:uid="{227586C0-049D-41E0-9E7C-22B32476AEC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20" authorId="0" shapeId="0" xr:uid="{C697C9A9-A073-4090-9FAB-64B9537B0A9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20" authorId="0" shapeId="0" xr:uid="{2CD24A77-12AA-4C97-9ACF-C6DAC4025B4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20" authorId="0" shapeId="0" xr:uid="{7A6ABCEF-C975-43B4-931D-D30A35CC538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20" authorId="0" shapeId="0" xr:uid="{B09E4467-A27D-4E61-A2D8-311C8AE8DB2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20" authorId="0" shapeId="0" xr:uid="{EE74155A-70C6-46D2-ABD5-E0943E4583B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20" authorId="0" shapeId="0" xr:uid="{D14F5D6E-5ECC-4577-9E01-1842097D644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20" authorId="0" shapeId="0" xr:uid="{E38B5D55-A9AE-42A1-B636-3512C8D5B0C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120" authorId="0" shapeId="0" xr:uid="{A8E6F79A-A6F9-4CA0-97E1-0DA004ED1D6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20" authorId="0" shapeId="0" xr:uid="{43243B7B-85F8-430C-99AE-90FD2CE06C4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20" authorId="0" shapeId="0" xr:uid="{495F3E06-2141-4F51-9894-C01753050AF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20" authorId="0" shapeId="0" xr:uid="{F3DB1BAB-F083-4320-9F91-B833FE05F4B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7" authorId="0" shapeId="0" xr:uid="{73DA43A8-18ED-4E66-940D-128FD4ABC9B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7" authorId="0" shapeId="0" xr:uid="{630AB73E-D779-4F58-9376-636D3AD71D4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27" authorId="0" shapeId="0" xr:uid="{4F30D0E1-1D77-4646-BF59-ACF1C547A35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27" authorId="0" shapeId="0" xr:uid="{66B45665-87C0-4F03-884C-7350A034213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27" authorId="0" shapeId="0" xr:uid="{41A05DD9-737B-4076-A806-F8BF327AD51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27" authorId="0" shapeId="0" xr:uid="{61CEFF5E-53D8-4A73-B51E-C9C39B13893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27" authorId="0" shapeId="0" xr:uid="{34377954-95B4-4A65-8978-35180007917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27" authorId="0" shapeId="0" xr:uid="{E046487A-6392-4969-9F9C-E3B4CD2CC81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27" authorId="0" shapeId="0" xr:uid="{C28ACC08-41C6-48B8-9A6C-13169A4CAFE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27" authorId="0" shapeId="0" xr:uid="{1996FB0F-F2B6-443C-AED2-1ECB7536ADB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27" authorId="0" shapeId="0" xr:uid="{5C79E799-F16E-4F26-9937-4EF9E8A19B2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27" authorId="0" shapeId="0" xr:uid="{18074DD4-9784-436A-9B83-2B65B830EC3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27" authorId="0" shapeId="0" xr:uid="{AE51DA91-6F3D-4255-AB92-0ED6841899E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27" authorId="0" shapeId="0" xr:uid="{4B738B11-D3DE-4A78-A6E0-0ECE7061434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27" authorId="0" shapeId="0" xr:uid="{E9245F8E-3296-43D4-A35B-2F66EE94C5E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127" authorId="0" shapeId="0" xr:uid="{35D40483-E6BC-4F05-BECA-AAC936FA629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27" authorId="0" shapeId="0" xr:uid="{156DFA9C-CAE9-464F-9B2D-2B47A4B377E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27" authorId="0" shapeId="0" xr:uid="{35D43DA3-2BF5-4D12-8E57-AFB0DA4403D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27" authorId="0" shapeId="0" xr:uid="{C01B1594-CBCC-4AD1-BFE7-9EA2558FAB2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35" authorId="0" shapeId="0" xr:uid="{48EBF741-D826-4D77-A9B7-B0378DCDE3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35" authorId="0" shapeId="0" xr:uid="{58444D54-3C96-4244-8530-932B9BECC80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35" authorId="0" shapeId="0" xr:uid="{0C935276-70A7-432D-AB56-C3AA93B93C4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35" authorId="0" shapeId="0" xr:uid="{33E50BA0-FAEC-471E-B8CB-FE4BE71464F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35" authorId="0" shapeId="0" xr:uid="{0148D6E9-81F9-47B5-91FA-E5700115053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35" authorId="0" shapeId="0" xr:uid="{294D5529-4C9B-4E8E-8B6A-E5DAACED402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35" authorId="0" shapeId="0" xr:uid="{C4FB1F68-EAFA-4D8C-A934-3E73B36F246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35" authorId="0" shapeId="0" xr:uid="{C98561D0-19D5-43D3-9771-2A453DBE2A9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35" authorId="0" shapeId="0" xr:uid="{8B1BCC90-8BBD-459E-9C60-CED492DD7E4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35" authorId="0" shapeId="0" xr:uid="{E9E1B526-37AD-40CE-9362-9629757989B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35" authorId="0" shapeId="0" xr:uid="{F7197B74-5478-4EF2-AB95-91220099CDE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35" authorId="0" shapeId="0" xr:uid="{E34010FD-8E21-44F5-B43E-256D663290C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35" authorId="0" shapeId="0" xr:uid="{D82E88DB-B7B2-49EC-9BCD-E3CB619A439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35" authorId="0" shapeId="0" xr:uid="{F7A264F8-8E26-4205-A19A-F78AC22D15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35" authorId="0" shapeId="0" xr:uid="{46CF8B15-3DD9-4A59-AC27-BF9A62FC615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135" authorId="0" shapeId="0" xr:uid="{E916CA76-2D78-406A-A31C-2FDDD11EEB1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35" authorId="0" shapeId="0" xr:uid="{C9AE9811-BA61-4E86-AC1D-E5502A815EC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35" authorId="0" shapeId="0" xr:uid="{F7813645-C0DE-4348-B3A2-EBF2914DFDF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35" authorId="0" shapeId="0" xr:uid="{E095719A-A230-4AEA-A899-7D53515D2C5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42" authorId="0" shapeId="0" xr:uid="{15F6A394-E06A-4A0C-9498-C5767954A73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42" authorId="0" shapeId="0" xr:uid="{317E3C7D-E9F3-4C65-BB1C-C45546BD07E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42" authorId="0" shapeId="0" xr:uid="{BC863A29-03D8-42E7-A804-DCD6A20A515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42" authorId="0" shapeId="0" xr:uid="{B5AFD2FD-9A08-405C-AF18-318BF85561E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42" authorId="0" shapeId="0" xr:uid="{18F2C1C0-1C98-40B6-8D95-D035C57FDC4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42" authorId="0" shapeId="0" xr:uid="{3CE044D8-307E-4A8B-9857-473C72B9E77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42" authorId="0" shapeId="0" xr:uid="{ACF8FBB0-A037-4B42-916A-7B442AC9AAF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42" authorId="0" shapeId="0" xr:uid="{FA0E930C-99DD-4147-A67A-112FE4F5E8C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42" authorId="0" shapeId="0" xr:uid="{D92EA4FE-07AA-444D-8A3C-68599E74CE2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42" authorId="0" shapeId="0" xr:uid="{E8199FAC-C165-463C-8C47-FB078D26092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42" authorId="0" shapeId="0" xr:uid="{10C6EC2E-512A-4C78-9A7D-C285863D9B4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42" authorId="0" shapeId="0" xr:uid="{14D7CBE3-D026-45FD-B09D-D5C0EAC122D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42" authorId="0" shapeId="0" xr:uid="{C69FE574-6BC9-43A3-AB61-E497C59F1F7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42" authorId="0" shapeId="0" xr:uid="{FDCFC741-68FA-4DF5-9188-B084141BFD9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42" authorId="0" shapeId="0" xr:uid="{EAA402BC-9671-4F8D-9A0F-A34DA0AC5FD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V142" authorId="0" shapeId="0" xr:uid="{49CC0A58-FACB-4129-B8B4-76D3D221C56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42" authorId="0" shapeId="0" xr:uid="{FB4F75FB-CCCE-418C-93AB-CFCC1DAC699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42" authorId="0" shapeId="0" xr:uid="{39928688-DF1E-4EF3-98EA-3A858955C1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42" authorId="0" shapeId="0" xr:uid="{43064E36-E372-4517-A64B-B4D75497E1F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59" authorId="0" shapeId="0" xr:uid="{6D1991C9-6BA4-42EE-8EB4-7769E652B534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H159" authorId="0" shapeId="0" xr:uid="{8F8DC7E7-8BDE-410D-86AA-53F751BC2DA4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I159" authorId="0" shapeId="0" xr:uid="{9276F2B6-D23F-4539-8906-67A4CE155CC1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J159" authorId="0" shapeId="0" xr:uid="{A1B457A9-886B-461C-AB3A-C7F97D1C9773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K159" authorId="0" shapeId="0" xr:uid="{EF54E412-435B-425D-8360-CE3607111139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L159" authorId="0" shapeId="0" xr:uid="{927AD1AE-5990-4683-B8E8-57F4FC56BB2A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M159" authorId="0" shapeId="0" xr:uid="{7C75A8FA-F21B-4D04-B021-FE0F227F1117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N159" authorId="0" shapeId="0" xr:uid="{4E8B0A2A-462E-4940-BCD7-867FD832698A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O159" authorId="0" shapeId="0" xr:uid="{55F4E694-0344-4E0C-92D0-8AFB14283976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P159" authorId="0" shapeId="0" xr:uid="{28ADB86E-D30E-490D-9812-47032FCE5898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Q159" authorId="0" shapeId="0" xr:uid="{B4523D3B-2EC1-4916-AC5E-F41E156B3BB4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R159" authorId="0" shapeId="0" xr:uid="{AEAFC8E0-834A-4924-BA9F-0B7303A7397C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S159" authorId="0" shapeId="0" xr:uid="{ACF25F81-0A3A-4240-9E6E-30A67AAC7DB3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T159" authorId="0" shapeId="0" xr:uid="{F88ED545-E116-49FB-89CC-CF7EF6C6629A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U159" authorId="0" shapeId="0" xr:uid="{82F29D3F-370B-4EE9-8166-094F40AF41A7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V159" authorId="0" shapeId="0" xr:uid="{5F5AC181-CD3C-4992-9076-10E6A1EDDA25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W159" authorId="0" shapeId="0" xr:uid="{E6035682-E217-4CE6-818A-4596ADAF3245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X159" authorId="0" shapeId="0" xr:uid="{F6A0E55D-89D1-46AC-9942-FB0EE63341FD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Y159" authorId="0" shapeId="0" xr:uid="{AFAE9BB7-A395-49C6-8227-2DF1A112482A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G162" authorId="0" shapeId="0" xr:uid="{5537C258-EA5F-4D35-BBF1-8ACE3FB0332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H162" authorId="0" shapeId="0" xr:uid="{414EA312-6482-4F01-8A07-BC376969C32C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I162" authorId="0" shapeId="0" xr:uid="{4423033B-CA1D-493D-B79A-212B4D8EE95D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J162" authorId="0" shapeId="0" xr:uid="{1E3E5352-23D6-4660-9D46-356B1514ACF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K162" authorId="0" shapeId="0" xr:uid="{2A615A48-729B-4F93-8905-826F3FF4127A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L162" authorId="0" shapeId="0" xr:uid="{C4E52954-80E7-4A4B-9C64-75F1F878BCF7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M162" authorId="0" shapeId="0" xr:uid="{856A6E54-CEA4-4C35-807C-B3D720C404C2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N162" authorId="0" shapeId="0" xr:uid="{1192C4C8-1CF9-4B86-94FF-C567E8469508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O162" authorId="0" shapeId="0" xr:uid="{095F2AE0-A3C9-473E-ABC7-E93866236ECE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P162" authorId="0" shapeId="0" xr:uid="{3DE81173-F2AC-4DF6-8AD4-C311D24A5122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Q162" authorId="0" shapeId="0" xr:uid="{C6FBF499-2387-47BA-B818-E63B6DE565A9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R162" authorId="0" shapeId="0" xr:uid="{5F4DC157-DCEB-43F1-8E24-315488F039E7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S162" authorId="0" shapeId="0" xr:uid="{184328D1-DABB-428F-BCFD-72398CB4CF2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T162" authorId="0" shapeId="0" xr:uid="{F7A1703E-6557-4FDD-BE08-B87D1C7ADCA0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U162" authorId="0" shapeId="0" xr:uid="{A1DBE3EF-2791-48AF-B0BB-000BCDA3EC59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V162" authorId="0" shapeId="0" xr:uid="{0B590174-BC53-4982-95F2-3660A26FAF93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W162" authorId="0" shapeId="0" xr:uid="{B7FD3112-5511-45DA-BA24-6BC8EE40D8F5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X162" authorId="0" shapeId="0" xr:uid="{49943A31-DDAE-4FE1-AD74-435416C4ED4E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Y162" authorId="0" shapeId="0" xr:uid="{3A3365B9-124E-4E63-84C1-5CF6169BCE1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tc={D6C78E67-F792-4BED-97F9-FA98DD7EEB4E}</author>
    <author>tc={F41E0493-AB36-47DC-88BA-B86AAF59DD26}</author>
    <author>tc={EF185630-6B6A-41F6-9197-11D42D0CEDBB}</author>
    <author>tc={EADCF8F0-C3F9-4F32-A9C7-B542AA7D7D4D}</author>
    <author>tc={33411486-F9D4-48A8-9BA8-7C41BC3BBA49}</author>
    <author>tc={B9F00A82-ECAC-49F2-9993-41291C4C4C6E}</author>
  </authors>
  <commentList>
    <comment ref="E208" authorId="0" shapeId="0" xr:uid="{D6C78E67-F792-4BED-97F9-FA98DD7EEB4E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ITEM ALTERADO</t>
        </r>
      </text>
    </comment>
    <comment ref="F413" authorId="1" shapeId="0" xr:uid="{F41E0493-AB36-47DC-88BA-B86AAF59DD26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PRANCHA 8</t>
        </r>
      </text>
    </comment>
    <comment ref="A502" authorId="2" shapeId="0" xr:uid="{EF185630-6B6A-41F6-9197-11D42D0CEDBB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ESTAVA 16 UN, DAÍ FOI CORRIGIDO</t>
        </r>
      </text>
    </comment>
    <comment ref="F572" authorId="3" shapeId="0" xr:uid="{EADCF8F0-C3F9-4F32-A9C7-B542AA7D7D4D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 4,7</t>
        </r>
      </text>
    </comment>
    <comment ref="F577" authorId="4" shapeId="0" xr:uid="{33411486-F9D4-48A8-9BA8-7C41BC3BBA49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era=4,7m</t>
        </r>
      </text>
    </comment>
    <comment ref="E582" authorId="5" shapeId="0" xr:uid="{B9F00A82-ECAC-49F2-9993-41291C4C4C6E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 3,5 m e foi alterado pois não correspondia com o projeto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91" authorId="0" shapeId="0" xr:uid="{00000000-0006-0000-0600-000001000000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  <author>Ricardo Schettini Figueiredo</author>
  </authors>
  <commentList>
    <comment ref="F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F2" authorId="1" shapeId="0" xr:uid="{00000000-0006-0000-2000-000004000000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G2" authorId="1" shapeId="0" xr:uid="{00000000-0006-0000-2000-000005000000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H2" authorId="1" shapeId="0" xr:uid="{00000000-0006-0000-2000-000006000000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F3" authorId="1" shapeId="0" xr:uid="{00000000-0006-0000-2000-00000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" authorId="1" shapeId="0" xr:uid="{00000000-0006-0000-20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" authorId="1" shapeId="0" xr:uid="{00000000-0006-0000-2000-00000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" authorId="1" shapeId="0" xr:uid="{00000000-0006-0000-2000-00000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" authorId="1" shapeId="0" xr:uid="{00000000-0006-0000-2000-00000B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" authorId="1" shapeId="0" xr:uid="{00000000-0006-0000-20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" authorId="1" shapeId="0" xr:uid="{00000000-0006-0000-2000-00000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1" shapeId="0" xr:uid="{00000000-0006-0000-2000-00000E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1" shapeId="0" xr:uid="{00000000-0006-0000-2000-00000F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" authorId="1" shapeId="0" xr:uid="{00000000-0006-0000-20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1" shapeId="0" xr:uid="{00000000-0006-0000-2000-00001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1" shapeId="0" xr:uid="{00000000-0006-0000-2000-000012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3" authorId="1" shapeId="0" xr:uid="{00000000-0006-0000-2000-00001300000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G13" authorId="1" shapeId="0" xr:uid="{00000000-0006-0000-2000-00001400000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H13" authorId="1" shapeId="0" xr:uid="{00000000-0006-0000-2000-00001500000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F14" authorId="1" shapeId="0" xr:uid="{00000000-0006-0000-2000-000016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4" authorId="1" shapeId="0" xr:uid="{00000000-0006-0000-2000-00001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4" authorId="1" shapeId="0" xr:uid="{00000000-0006-0000-2000-00001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1" authorId="1" shapeId="0" xr:uid="{00000000-0006-0000-2000-00001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1" authorId="1" shapeId="0" xr:uid="{00000000-0006-0000-2000-00001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1" authorId="1" shapeId="0" xr:uid="{00000000-0006-0000-2000-00001B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2" authorId="1" shapeId="0" xr:uid="{00000000-0006-0000-2000-00001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2" authorId="1" shapeId="0" xr:uid="{00000000-0006-0000-2000-00001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2" authorId="1" shapeId="0" xr:uid="{00000000-0006-0000-2000-00001E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8" authorId="1" shapeId="0" xr:uid="{00000000-0006-0000-2000-00001F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8" authorId="1" shapeId="0" xr:uid="{00000000-0006-0000-2000-00002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8" authorId="1" shapeId="0" xr:uid="{00000000-0006-0000-2000-00002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9" authorId="1" shapeId="0" xr:uid="{00000000-0006-0000-2000-000022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9" authorId="1" shapeId="0" xr:uid="{00000000-0006-0000-2000-000023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9" authorId="1" shapeId="0" xr:uid="{00000000-0006-0000-2000-00002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1" authorId="1" shapeId="0" xr:uid="{00000000-0006-0000-2000-00002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1" authorId="1" shapeId="0" xr:uid="{00000000-0006-0000-2000-000026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1" authorId="1" shapeId="0" xr:uid="{00000000-0006-0000-2000-00002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3" authorId="1" shapeId="0" xr:uid="{00000000-0006-0000-20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3" authorId="1" shapeId="0" xr:uid="{00000000-0006-0000-2000-00002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3" authorId="1" shapeId="0" xr:uid="{00000000-0006-0000-2000-00002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5" authorId="1" shapeId="0" xr:uid="{00000000-0006-0000-2000-00002B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5" authorId="1" shapeId="0" xr:uid="{00000000-0006-0000-20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5" authorId="1" shapeId="0" xr:uid="{00000000-0006-0000-2000-00002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</authors>
  <commentList>
    <comment ref="E2" authorId="0" shapeId="0" xr:uid="{00000000-0006-0000-2300-000001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F2" authorId="0" shapeId="0" xr:uid="{00000000-0006-0000-2300-000002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G2" authorId="0" shapeId="0" xr:uid="{00000000-0006-0000-2300-000003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H2" authorId="0" shapeId="0" xr:uid="{00000000-0006-0000-2300-000004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I2" authorId="0" shapeId="0" xr:uid="{00000000-0006-0000-2300-000005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J2" authorId="0" shapeId="0" xr:uid="{00000000-0006-0000-2300-000006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K2" authorId="0" shapeId="0" xr:uid="{00000000-0006-0000-2300-000007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L2" authorId="0" shapeId="0" xr:uid="{00000000-0006-0000-2300-000008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M2" authorId="0" shapeId="0" xr:uid="{00000000-0006-0000-2300-000009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N2" authorId="0" shapeId="0" xr:uid="{00000000-0006-0000-2300-00000A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O2" authorId="0" shapeId="0" xr:uid="{00000000-0006-0000-2300-00000B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P2" authorId="0" shapeId="0" xr:uid="{00000000-0006-0000-2300-00000C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Q2" authorId="0" shapeId="0" xr:uid="{00000000-0006-0000-2300-00000D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R2" authorId="0" shapeId="0" xr:uid="{00000000-0006-0000-2300-00000E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S2" authorId="0" shapeId="0" xr:uid="{00000000-0006-0000-2300-00000F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T2" authorId="0" shapeId="0" xr:uid="{00000000-0006-0000-2300-000010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U2" authorId="0" shapeId="0" xr:uid="{00000000-0006-0000-2300-000011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B5" authorId="0" shapeId="0" xr:uid="{00000000-0006-0000-2300-000012000000}">
      <text>
        <r>
          <rPr>
            <b/>
            <sz val="9"/>
            <color indexed="81"/>
            <rFont val="Tahoma"/>
            <family val="2"/>
          </rPr>
          <t>ricardo.schettini:</t>
        </r>
        <r>
          <rPr>
            <sz val="9"/>
            <color indexed="81"/>
            <rFont val="Tahoma"/>
            <family val="2"/>
          </rPr>
          <t xml:space="preserve">
COLAR O Nº "N" CONFORME O PERÍODO DE PROJETO</t>
        </r>
      </text>
    </comment>
    <comment ref="E37" authorId="0" shapeId="0" xr:uid="{00000000-0006-0000-2300-000013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F37" authorId="0" shapeId="0" xr:uid="{00000000-0006-0000-2300-000014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G37" authorId="0" shapeId="0" xr:uid="{00000000-0006-0000-2300-000015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H37" authorId="0" shapeId="0" xr:uid="{00000000-0006-0000-2300-000016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I37" authorId="0" shapeId="0" xr:uid="{00000000-0006-0000-2300-000017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J37" authorId="0" shapeId="0" xr:uid="{00000000-0006-0000-2300-000018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K37" authorId="0" shapeId="0" xr:uid="{00000000-0006-0000-2300-000019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L37" authorId="0" shapeId="0" xr:uid="{00000000-0006-0000-2300-00001A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M37" authorId="0" shapeId="0" xr:uid="{00000000-0006-0000-2300-00001B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N37" authorId="0" shapeId="0" xr:uid="{00000000-0006-0000-2300-00001C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O37" authorId="0" shapeId="0" xr:uid="{00000000-0006-0000-2300-00001D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P37" authorId="0" shapeId="0" xr:uid="{00000000-0006-0000-2300-00001E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Q37" authorId="0" shapeId="0" xr:uid="{00000000-0006-0000-2300-00001F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R37" authorId="0" shapeId="0" xr:uid="{00000000-0006-0000-2300-000020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S37" authorId="0" shapeId="0" xr:uid="{00000000-0006-0000-2300-000021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T37" authorId="0" shapeId="0" xr:uid="{00000000-0006-0000-2300-000022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U37" authorId="0" shapeId="0" xr:uid="{00000000-0006-0000-2300-000023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E40" authorId="0" shapeId="0" xr:uid="{00000000-0006-0000-2300-000024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F40" authorId="0" shapeId="0" xr:uid="{00000000-0006-0000-2300-000025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G40" authorId="0" shapeId="0" xr:uid="{00000000-0006-0000-2300-000026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H40" authorId="0" shapeId="0" xr:uid="{00000000-0006-0000-2300-000027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I40" authorId="0" shapeId="0" xr:uid="{00000000-0006-0000-2300-000028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J40" authorId="0" shapeId="0" xr:uid="{00000000-0006-0000-2300-000029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K40" authorId="0" shapeId="0" xr:uid="{00000000-0006-0000-2300-00002A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L40" authorId="0" shapeId="0" xr:uid="{00000000-0006-0000-2300-00002B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M40" authorId="0" shapeId="0" xr:uid="{00000000-0006-0000-2300-00002C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N40" authorId="0" shapeId="0" xr:uid="{00000000-0006-0000-2300-00002D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O40" authorId="0" shapeId="0" xr:uid="{00000000-0006-0000-2300-00002E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P40" authorId="0" shapeId="0" xr:uid="{00000000-0006-0000-2300-00002F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Q40" authorId="0" shapeId="0" xr:uid="{00000000-0006-0000-2300-000030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R40" authorId="0" shapeId="0" xr:uid="{00000000-0006-0000-2300-000031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S40" authorId="0" shapeId="0" xr:uid="{00000000-0006-0000-2300-000032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T40" authorId="0" shapeId="0" xr:uid="{00000000-0006-0000-2300-000033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U40" authorId="0" shapeId="0" xr:uid="{00000000-0006-0000-2300-000034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E42" authorId="0" shapeId="0" xr:uid="{00000000-0006-0000-2300-00003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F42" authorId="0" shapeId="0" xr:uid="{00000000-0006-0000-2300-000036000000}">
      <text>
        <r>
          <rPr>
            <sz val="8"/>
            <color indexed="81"/>
            <rFont val="Calibri"/>
            <family val="2"/>
          </rPr>
          <t>≥ 15cm</t>
        </r>
      </text>
    </comment>
    <comment ref="G42" authorId="0" shapeId="0" xr:uid="{00000000-0006-0000-2300-000037000000}">
      <text>
        <r>
          <rPr>
            <sz val="8"/>
            <color indexed="81"/>
            <rFont val="Calibri"/>
            <family val="2"/>
          </rPr>
          <t>≥ 15cm</t>
        </r>
      </text>
    </comment>
    <comment ref="H42" authorId="0" shapeId="0" xr:uid="{00000000-0006-0000-2300-00003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I42" authorId="0" shapeId="0" xr:uid="{00000000-0006-0000-2300-000039000000}">
      <text>
        <r>
          <rPr>
            <sz val="8"/>
            <color indexed="81"/>
            <rFont val="Calibri"/>
            <family val="2"/>
          </rPr>
          <t>≥ 15cm</t>
        </r>
      </text>
    </comment>
    <comment ref="J42" authorId="0" shapeId="0" xr:uid="{00000000-0006-0000-2300-00003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K42" authorId="0" shapeId="0" xr:uid="{00000000-0006-0000-2300-00003B000000}">
      <text>
        <r>
          <rPr>
            <sz val="8"/>
            <color indexed="81"/>
            <rFont val="Calibri"/>
            <family val="2"/>
          </rPr>
          <t>≥ 15cm</t>
        </r>
      </text>
    </comment>
    <comment ref="L42" authorId="0" shapeId="0" xr:uid="{00000000-0006-0000-2300-00003C000000}">
      <text>
        <r>
          <rPr>
            <sz val="8"/>
            <color indexed="81"/>
            <rFont val="Calibri"/>
            <family val="2"/>
          </rPr>
          <t>≥ 15cm</t>
        </r>
      </text>
    </comment>
    <comment ref="M42" authorId="0" shapeId="0" xr:uid="{00000000-0006-0000-2300-00003D000000}">
      <text>
        <r>
          <rPr>
            <sz val="8"/>
            <color indexed="81"/>
            <rFont val="Calibri"/>
            <family val="2"/>
          </rPr>
          <t>≥ 15cm</t>
        </r>
      </text>
    </comment>
    <comment ref="N42" authorId="0" shapeId="0" xr:uid="{00000000-0006-0000-2300-00003E000000}">
      <text>
        <r>
          <rPr>
            <sz val="8"/>
            <color indexed="81"/>
            <rFont val="Calibri"/>
            <family val="2"/>
          </rPr>
          <t>≥ 15cm</t>
        </r>
      </text>
    </comment>
    <comment ref="O42" authorId="0" shapeId="0" xr:uid="{00000000-0006-0000-2300-00003F000000}">
      <text>
        <r>
          <rPr>
            <sz val="8"/>
            <color indexed="81"/>
            <rFont val="Calibri"/>
            <family val="2"/>
          </rPr>
          <t>≥ 15cm</t>
        </r>
      </text>
    </comment>
    <comment ref="P42" authorId="0" shapeId="0" xr:uid="{00000000-0006-0000-2300-000040000000}">
      <text>
        <r>
          <rPr>
            <sz val="8"/>
            <color indexed="81"/>
            <rFont val="Calibri"/>
            <family val="2"/>
          </rPr>
          <t>≥ 15cm</t>
        </r>
      </text>
    </comment>
    <comment ref="Q42" authorId="0" shapeId="0" xr:uid="{00000000-0006-0000-2300-000041000000}">
      <text>
        <r>
          <rPr>
            <sz val="8"/>
            <color indexed="81"/>
            <rFont val="Calibri"/>
            <family val="2"/>
          </rPr>
          <t>≥ 15cm</t>
        </r>
      </text>
    </comment>
    <comment ref="R42" authorId="0" shapeId="0" xr:uid="{00000000-0006-0000-2300-000042000000}">
      <text>
        <r>
          <rPr>
            <sz val="8"/>
            <color indexed="81"/>
            <rFont val="Calibri"/>
            <family val="2"/>
          </rPr>
          <t>≥ 15cm</t>
        </r>
      </text>
    </comment>
    <comment ref="S42" authorId="0" shapeId="0" xr:uid="{00000000-0006-0000-2300-000043000000}">
      <text>
        <r>
          <rPr>
            <sz val="8"/>
            <color indexed="81"/>
            <rFont val="Calibri"/>
            <family val="2"/>
          </rPr>
          <t>≥ 15cm</t>
        </r>
      </text>
    </comment>
    <comment ref="T42" authorId="0" shapeId="0" xr:uid="{00000000-0006-0000-2300-000044000000}">
      <text>
        <r>
          <rPr>
            <sz val="8"/>
            <color indexed="81"/>
            <rFont val="Calibri"/>
            <family val="2"/>
          </rPr>
          <t>≥ 15cm</t>
        </r>
      </text>
    </comment>
    <comment ref="U42" authorId="0" shapeId="0" xr:uid="{00000000-0006-0000-2300-00004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E44" authorId="0" shapeId="0" xr:uid="{00000000-0006-0000-2300-000046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F44" authorId="0" shapeId="0" xr:uid="{00000000-0006-0000-2300-000047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G44" authorId="0" shapeId="0" xr:uid="{00000000-0006-0000-2300-000048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H44" authorId="0" shapeId="0" xr:uid="{00000000-0006-0000-2300-000049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I44" authorId="0" shapeId="0" xr:uid="{00000000-0006-0000-2300-00004A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J44" authorId="0" shapeId="0" xr:uid="{00000000-0006-0000-2300-00004B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K44" authorId="0" shapeId="0" xr:uid="{00000000-0006-0000-2300-00004C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L44" authorId="0" shapeId="0" xr:uid="{00000000-0006-0000-2300-00004D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M44" authorId="0" shapeId="0" xr:uid="{00000000-0006-0000-2300-00004E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N44" authorId="0" shapeId="0" xr:uid="{00000000-0006-0000-2300-00004F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O44" authorId="0" shapeId="0" xr:uid="{00000000-0006-0000-2300-000050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P44" authorId="0" shapeId="0" xr:uid="{00000000-0006-0000-2300-000051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Q44" authorId="0" shapeId="0" xr:uid="{00000000-0006-0000-2300-000052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R44" authorId="0" shapeId="0" xr:uid="{00000000-0006-0000-2300-000053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S44" authorId="0" shapeId="0" xr:uid="{00000000-0006-0000-2300-000054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T44" authorId="0" shapeId="0" xr:uid="{00000000-0006-0000-2300-000055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U44" authorId="0" shapeId="0" xr:uid="{00000000-0006-0000-2300-000056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E46" authorId="0" shapeId="0" xr:uid="{00000000-0006-0000-2300-000057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F46" authorId="0" shapeId="0" xr:uid="{00000000-0006-0000-2300-000058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G46" authorId="0" shapeId="0" xr:uid="{00000000-0006-0000-2300-000059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H46" authorId="0" shapeId="0" xr:uid="{00000000-0006-0000-2300-00005A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I46" authorId="0" shapeId="0" xr:uid="{00000000-0006-0000-2300-00005B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J46" authorId="0" shapeId="0" xr:uid="{00000000-0006-0000-2300-00005C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K46" authorId="0" shapeId="0" xr:uid="{00000000-0006-0000-2300-00005D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L46" authorId="0" shapeId="0" xr:uid="{00000000-0006-0000-2300-00005E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M46" authorId="0" shapeId="0" xr:uid="{00000000-0006-0000-2300-00005F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N46" authorId="0" shapeId="0" xr:uid="{00000000-0006-0000-2300-000060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O46" authorId="0" shapeId="0" xr:uid="{00000000-0006-0000-2300-000061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P46" authorId="0" shapeId="0" xr:uid="{00000000-0006-0000-2300-000062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Q46" authorId="0" shapeId="0" xr:uid="{00000000-0006-0000-2300-000063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R46" authorId="0" shapeId="0" xr:uid="{00000000-0006-0000-2300-000064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S46" authorId="0" shapeId="0" xr:uid="{00000000-0006-0000-2300-000065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T46" authorId="0" shapeId="0" xr:uid="{00000000-0006-0000-2300-000066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U46" authorId="0" shapeId="0" xr:uid="{00000000-0006-0000-2300-000067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E47" authorId="0" shapeId="0" xr:uid="{00000000-0006-0000-2300-00006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F47" authorId="0" shapeId="0" xr:uid="{00000000-0006-0000-2300-000069000000}">
      <text>
        <r>
          <rPr>
            <sz val="8"/>
            <color indexed="81"/>
            <rFont val="Calibri"/>
            <family val="2"/>
          </rPr>
          <t>≥ 15cm</t>
        </r>
      </text>
    </comment>
    <comment ref="G47" authorId="0" shapeId="0" xr:uid="{00000000-0006-0000-2300-00006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H47" authorId="0" shapeId="0" xr:uid="{00000000-0006-0000-2300-00006B000000}">
      <text>
        <r>
          <rPr>
            <sz val="8"/>
            <color indexed="81"/>
            <rFont val="Calibri"/>
            <family val="2"/>
          </rPr>
          <t>≥ 15cm</t>
        </r>
      </text>
    </comment>
    <comment ref="I47" authorId="0" shapeId="0" xr:uid="{00000000-0006-0000-2300-00006C000000}">
      <text>
        <r>
          <rPr>
            <sz val="8"/>
            <color indexed="81"/>
            <rFont val="Calibri"/>
            <family val="2"/>
          </rPr>
          <t>≥ 15cm</t>
        </r>
      </text>
    </comment>
    <comment ref="J47" authorId="0" shapeId="0" xr:uid="{00000000-0006-0000-2300-00006D000000}">
      <text>
        <r>
          <rPr>
            <sz val="8"/>
            <color indexed="81"/>
            <rFont val="Calibri"/>
            <family val="2"/>
          </rPr>
          <t>≥ 15cm</t>
        </r>
      </text>
    </comment>
    <comment ref="K47" authorId="0" shapeId="0" xr:uid="{00000000-0006-0000-2300-00006E000000}">
      <text>
        <r>
          <rPr>
            <sz val="8"/>
            <color indexed="81"/>
            <rFont val="Calibri"/>
            <family val="2"/>
          </rPr>
          <t>≥ 15cm</t>
        </r>
      </text>
    </comment>
    <comment ref="L47" authorId="0" shapeId="0" xr:uid="{00000000-0006-0000-2300-00006F000000}">
      <text>
        <r>
          <rPr>
            <sz val="8"/>
            <color indexed="81"/>
            <rFont val="Calibri"/>
            <family val="2"/>
          </rPr>
          <t>≥ 15cm</t>
        </r>
      </text>
    </comment>
    <comment ref="M47" authorId="0" shapeId="0" xr:uid="{00000000-0006-0000-2300-000070000000}">
      <text>
        <r>
          <rPr>
            <sz val="8"/>
            <color indexed="81"/>
            <rFont val="Calibri"/>
            <family val="2"/>
          </rPr>
          <t>≥ 15cm</t>
        </r>
      </text>
    </comment>
    <comment ref="N47" authorId="0" shapeId="0" xr:uid="{00000000-0006-0000-2300-000071000000}">
      <text>
        <r>
          <rPr>
            <sz val="8"/>
            <color indexed="81"/>
            <rFont val="Calibri"/>
            <family val="2"/>
          </rPr>
          <t>≥ 15cm</t>
        </r>
      </text>
    </comment>
    <comment ref="O47" authorId="0" shapeId="0" xr:uid="{00000000-0006-0000-2300-000072000000}">
      <text>
        <r>
          <rPr>
            <sz val="8"/>
            <color indexed="81"/>
            <rFont val="Calibri"/>
            <family val="2"/>
          </rPr>
          <t>≥ 15cm</t>
        </r>
      </text>
    </comment>
    <comment ref="P47" authorId="0" shapeId="0" xr:uid="{00000000-0006-0000-2300-000073000000}">
      <text>
        <r>
          <rPr>
            <sz val="8"/>
            <color indexed="81"/>
            <rFont val="Calibri"/>
            <family val="2"/>
          </rPr>
          <t>≥ 15cm</t>
        </r>
      </text>
    </comment>
    <comment ref="Q47" authorId="0" shapeId="0" xr:uid="{00000000-0006-0000-2300-000074000000}">
      <text>
        <r>
          <rPr>
            <sz val="8"/>
            <color indexed="81"/>
            <rFont val="Calibri"/>
            <family val="2"/>
          </rPr>
          <t>≥ 15cm</t>
        </r>
      </text>
    </comment>
    <comment ref="R47" authorId="0" shapeId="0" xr:uid="{00000000-0006-0000-2300-00007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S47" authorId="0" shapeId="0" xr:uid="{00000000-0006-0000-2300-000076000000}">
      <text>
        <r>
          <rPr>
            <sz val="8"/>
            <color indexed="81"/>
            <rFont val="Calibri"/>
            <family val="2"/>
          </rPr>
          <t>≥ 15cm</t>
        </r>
      </text>
    </comment>
    <comment ref="T47" authorId="0" shapeId="0" xr:uid="{00000000-0006-0000-2300-000077000000}">
      <text>
        <r>
          <rPr>
            <sz val="8"/>
            <color indexed="81"/>
            <rFont val="Calibri"/>
            <family val="2"/>
          </rPr>
          <t>≥ 15cm</t>
        </r>
      </text>
    </comment>
    <comment ref="U47" authorId="0" shapeId="0" xr:uid="{00000000-0006-0000-2300-00007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E50" authorId="0" shapeId="0" xr:uid="{00000000-0006-0000-2300-000079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F50" authorId="0" shapeId="0" xr:uid="{00000000-0006-0000-2300-00007A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G50" authorId="0" shapeId="0" xr:uid="{00000000-0006-0000-2300-00007B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H50" authorId="0" shapeId="0" xr:uid="{00000000-0006-0000-2300-00007C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I50" authorId="0" shapeId="0" xr:uid="{00000000-0006-0000-2300-00007D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J50" authorId="0" shapeId="0" xr:uid="{00000000-0006-0000-2300-00007E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K50" authorId="0" shapeId="0" xr:uid="{00000000-0006-0000-2300-00007F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L50" authorId="0" shapeId="0" xr:uid="{00000000-0006-0000-2300-000080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M50" authorId="0" shapeId="0" xr:uid="{00000000-0006-0000-2300-000081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N50" authorId="0" shapeId="0" xr:uid="{00000000-0006-0000-2300-000082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O50" authorId="0" shapeId="0" xr:uid="{00000000-0006-0000-2300-000083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P50" authorId="0" shapeId="0" xr:uid="{00000000-0006-0000-2300-000084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Q50" authorId="0" shapeId="0" xr:uid="{00000000-0006-0000-2300-000085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R50" authorId="0" shapeId="0" xr:uid="{00000000-0006-0000-2300-000086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S50" authorId="0" shapeId="0" xr:uid="{00000000-0006-0000-2300-000087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T50" authorId="0" shapeId="0" xr:uid="{00000000-0006-0000-2300-000088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U50" authorId="0" shapeId="0" xr:uid="{00000000-0006-0000-2300-000089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E52" authorId="0" shapeId="0" xr:uid="{00000000-0006-0000-2300-00008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F52" authorId="0" shapeId="0" xr:uid="{00000000-0006-0000-2300-00008B000000}">
      <text>
        <r>
          <rPr>
            <sz val="8"/>
            <color indexed="81"/>
            <rFont val="Calibri"/>
            <family val="2"/>
          </rPr>
          <t>≥ 15cm</t>
        </r>
      </text>
    </comment>
    <comment ref="G52" authorId="0" shapeId="0" xr:uid="{00000000-0006-0000-2300-00008C000000}">
      <text>
        <r>
          <rPr>
            <sz val="8"/>
            <color indexed="81"/>
            <rFont val="Calibri"/>
            <family val="2"/>
          </rPr>
          <t>≥ 15cm</t>
        </r>
      </text>
    </comment>
    <comment ref="H52" authorId="0" shapeId="0" xr:uid="{00000000-0006-0000-2300-00008D000000}">
      <text>
        <r>
          <rPr>
            <sz val="8"/>
            <color indexed="81"/>
            <rFont val="Calibri"/>
            <family val="2"/>
          </rPr>
          <t>≥ 15cm</t>
        </r>
      </text>
    </comment>
    <comment ref="I52" authorId="0" shapeId="0" xr:uid="{00000000-0006-0000-2300-00008E000000}">
      <text>
        <r>
          <rPr>
            <sz val="8"/>
            <color indexed="81"/>
            <rFont val="Calibri"/>
            <family val="2"/>
          </rPr>
          <t>≥ 15cm</t>
        </r>
      </text>
    </comment>
    <comment ref="J52" authorId="0" shapeId="0" xr:uid="{00000000-0006-0000-2300-00008F000000}">
      <text>
        <r>
          <rPr>
            <sz val="8"/>
            <color indexed="81"/>
            <rFont val="Calibri"/>
            <family val="2"/>
          </rPr>
          <t>≥ 15cm</t>
        </r>
      </text>
    </comment>
    <comment ref="K52" authorId="0" shapeId="0" xr:uid="{00000000-0006-0000-2300-000090000000}">
      <text>
        <r>
          <rPr>
            <sz val="8"/>
            <color indexed="81"/>
            <rFont val="Calibri"/>
            <family val="2"/>
          </rPr>
          <t>≥ 15cm</t>
        </r>
      </text>
    </comment>
    <comment ref="L52" authorId="0" shapeId="0" xr:uid="{00000000-0006-0000-2300-000091000000}">
      <text>
        <r>
          <rPr>
            <sz val="8"/>
            <color indexed="81"/>
            <rFont val="Calibri"/>
            <family val="2"/>
          </rPr>
          <t>≥ 15cm</t>
        </r>
      </text>
    </comment>
    <comment ref="M52" authorId="0" shapeId="0" xr:uid="{00000000-0006-0000-2300-000092000000}">
      <text>
        <r>
          <rPr>
            <sz val="8"/>
            <color indexed="81"/>
            <rFont val="Calibri"/>
            <family val="2"/>
          </rPr>
          <t>≥ 15cm</t>
        </r>
      </text>
    </comment>
    <comment ref="N52" authorId="0" shapeId="0" xr:uid="{00000000-0006-0000-2300-000093000000}">
      <text>
        <r>
          <rPr>
            <sz val="8"/>
            <color indexed="81"/>
            <rFont val="Calibri"/>
            <family val="2"/>
          </rPr>
          <t>≥ 15cm</t>
        </r>
      </text>
    </comment>
    <comment ref="O52" authorId="0" shapeId="0" xr:uid="{00000000-0006-0000-2300-000094000000}">
      <text>
        <r>
          <rPr>
            <sz val="8"/>
            <color indexed="81"/>
            <rFont val="Calibri"/>
            <family val="2"/>
          </rPr>
          <t>≥ 15cm</t>
        </r>
      </text>
    </comment>
    <comment ref="P52" authorId="0" shapeId="0" xr:uid="{00000000-0006-0000-2300-00009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Q52" authorId="0" shapeId="0" xr:uid="{00000000-0006-0000-2300-000096000000}">
      <text>
        <r>
          <rPr>
            <sz val="8"/>
            <color indexed="81"/>
            <rFont val="Calibri"/>
            <family val="2"/>
          </rPr>
          <t>≥ 15cm</t>
        </r>
      </text>
    </comment>
    <comment ref="R52" authorId="0" shapeId="0" xr:uid="{00000000-0006-0000-2300-000097000000}">
      <text>
        <r>
          <rPr>
            <sz val="8"/>
            <color indexed="81"/>
            <rFont val="Calibri"/>
            <family val="2"/>
          </rPr>
          <t>≥ 15cm</t>
        </r>
      </text>
    </comment>
    <comment ref="S52" authorId="0" shapeId="0" xr:uid="{00000000-0006-0000-2300-00009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T52" authorId="0" shapeId="0" xr:uid="{00000000-0006-0000-2300-000099000000}">
      <text>
        <r>
          <rPr>
            <sz val="8"/>
            <color indexed="81"/>
            <rFont val="Calibri"/>
            <family val="2"/>
          </rPr>
          <t>≥ 15cm</t>
        </r>
      </text>
    </comment>
    <comment ref="U52" authorId="0" shapeId="0" xr:uid="{00000000-0006-0000-2300-00009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E55" authorId="0" shapeId="0" xr:uid="{00000000-0006-0000-2300-00009B000000}">
      <text>
        <r>
          <rPr>
            <sz val="8"/>
            <color indexed="81"/>
            <rFont val="Calibri"/>
            <family val="2"/>
          </rPr>
          <t>≥ 20cm</t>
        </r>
      </text>
    </comment>
    <comment ref="F55" authorId="0" shapeId="0" xr:uid="{00000000-0006-0000-2300-00009C000000}">
      <text>
        <r>
          <rPr>
            <sz val="8"/>
            <color indexed="81"/>
            <rFont val="Calibri"/>
            <family val="2"/>
          </rPr>
          <t>≥ 20cm</t>
        </r>
      </text>
    </comment>
    <comment ref="G55" authorId="0" shapeId="0" xr:uid="{00000000-0006-0000-2300-00009D000000}">
      <text>
        <r>
          <rPr>
            <sz val="8"/>
            <color indexed="81"/>
            <rFont val="Calibri"/>
            <family val="2"/>
          </rPr>
          <t>≥ 20cm</t>
        </r>
      </text>
    </comment>
    <comment ref="H55" authorId="0" shapeId="0" xr:uid="{00000000-0006-0000-2300-00009E000000}">
      <text>
        <r>
          <rPr>
            <sz val="8"/>
            <color indexed="81"/>
            <rFont val="Calibri"/>
            <family val="2"/>
          </rPr>
          <t>≥ 20cm</t>
        </r>
      </text>
    </comment>
    <comment ref="I55" authorId="0" shapeId="0" xr:uid="{00000000-0006-0000-2300-00009F000000}">
      <text>
        <r>
          <rPr>
            <sz val="8"/>
            <color indexed="81"/>
            <rFont val="Calibri"/>
            <family val="2"/>
          </rPr>
          <t>≥ 20cm</t>
        </r>
      </text>
    </comment>
    <comment ref="J55" authorId="0" shapeId="0" xr:uid="{00000000-0006-0000-2300-0000A0000000}">
      <text>
        <r>
          <rPr>
            <sz val="8"/>
            <color indexed="81"/>
            <rFont val="Calibri"/>
            <family val="2"/>
          </rPr>
          <t>≥ 20cm</t>
        </r>
      </text>
    </comment>
    <comment ref="K55" authorId="0" shapeId="0" xr:uid="{00000000-0006-0000-2300-0000A1000000}">
      <text>
        <r>
          <rPr>
            <sz val="8"/>
            <color indexed="81"/>
            <rFont val="Calibri"/>
            <family val="2"/>
          </rPr>
          <t>≥ 20cm</t>
        </r>
      </text>
    </comment>
    <comment ref="L55" authorId="0" shapeId="0" xr:uid="{00000000-0006-0000-2300-0000A2000000}">
      <text>
        <r>
          <rPr>
            <sz val="8"/>
            <color indexed="81"/>
            <rFont val="Calibri"/>
            <family val="2"/>
          </rPr>
          <t>≥ 20cm</t>
        </r>
      </text>
    </comment>
    <comment ref="M55" authorId="0" shapeId="0" xr:uid="{00000000-0006-0000-2300-0000A3000000}">
      <text>
        <r>
          <rPr>
            <sz val="8"/>
            <color indexed="81"/>
            <rFont val="Calibri"/>
            <family val="2"/>
          </rPr>
          <t>≥ 20cm</t>
        </r>
      </text>
    </comment>
    <comment ref="N55" authorId="0" shapeId="0" xr:uid="{00000000-0006-0000-2300-0000A4000000}">
      <text>
        <r>
          <rPr>
            <sz val="8"/>
            <color indexed="81"/>
            <rFont val="Calibri"/>
            <family val="2"/>
          </rPr>
          <t>≥ 20cm</t>
        </r>
      </text>
    </comment>
    <comment ref="O55" authorId="0" shapeId="0" xr:uid="{00000000-0006-0000-2300-0000A5000000}">
      <text>
        <r>
          <rPr>
            <sz val="8"/>
            <color indexed="81"/>
            <rFont val="Calibri"/>
            <family val="2"/>
          </rPr>
          <t>≥ 20cm</t>
        </r>
      </text>
    </comment>
    <comment ref="P55" authorId="0" shapeId="0" xr:uid="{00000000-0006-0000-2300-0000A6000000}">
      <text>
        <r>
          <rPr>
            <sz val="8"/>
            <color indexed="81"/>
            <rFont val="Calibri"/>
            <family val="2"/>
          </rPr>
          <t>≥ 20cm</t>
        </r>
      </text>
    </comment>
    <comment ref="Q55" authorId="0" shapeId="0" xr:uid="{00000000-0006-0000-2300-0000A7000000}">
      <text>
        <r>
          <rPr>
            <sz val="8"/>
            <color indexed="81"/>
            <rFont val="Calibri"/>
            <family val="2"/>
          </rPr>
          <t>≥ 20cm</t>
        </r>
      </text>
    </comment>
    <comment ref="R55" authorId="0" shapeId="0" xr:uid="{00000000-0006-0000-2300-0000A8000000}">
      <text>
        <r>
          <rPr>
            <sz val="8"/>
            <color indexed="81"/>
            <rFont val="Calibri"/>
            <family val="2"/>
          </rPr>
          <t>≥ 20cm</t>
        </r>
      </text>
    </comment>
    <comment ref="S55" authorId="0" shapeId="0" xr:uid="{00000000-0006-0000-2300-0000A9000000}">
      <text>
        <r>
          <rPr>
            <sz val="8"/>
            <color indexed="81"/>
            <rFont val="Calibri"/>
            <family val="2"/>
          </rPr>
          <t>≥ 20cm</t>
        </r>
      </text>
    </comment>
    <comment ref="T55" authorId="0" shapeId="0" xr:uid="{00000000-0006-0000-2300-0000AA000000}">
      <text>
        <r>
          <rPr>
            <sz val="8"/>
            <color indexed="81"/>
            <rFont val="Calibri"/>
            <family val="2"/>
          </rPr>
          <t>≥ 20cm</t>
        </r>
      </text>
    </comment>
    <comment ref="U55" authorId="0" shapeId="0" xr:uid="{00000000-0006-0000-2300-0000AB000000}">
      <text>
        <r>
          <rPr>
            <sz val="8"/>
            <color indexed="81"/>
            <rFont val="Calibri"/>
            <family val="2"/>
          </rPr>
          <t>≥ 20cm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B11" authorId="0" shapeId="0" xr:uid="{00000000-0006-0000-2500-00000100000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" authorId="0" shapeId="0" xr:uid="{00000000-0006-0000-2500-00000200000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2" authorId="0" shapeId="0" xr:uid="{30F556F1-B275-40D8-A9BE-CC22986ECBA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2" authorId="0" shapeId="0" xr:uid="{A86AEC40-B79A-4546-AF5A-8D9970CBFB2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3" authorId="0" shapeId="0" xr:uid="{7047BB9A-B059-4F3E-878F-E39BAD1AB97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3" authorId="0" shapeId="0" xr:uid="{BA3359A6-0021-469D-B7BC-DD8CCEE7409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4" authorId="0" shapeId="0" xr:uid="{595DE9B3-0BBA-4D5F-81E3-3E05770F5EE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4" authorId="0" shapeId="0" xr:uid="{BFCC219E-C128-4D7E-AECD-8A6721A588C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5" authorId="0" shapeId="0" xr:uid="{81941994-C854-4F48-954B-B1CBCFD029B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5" authorId="0" shapeId="0" xr:uid="{319C40B7-638D-47C0-ABFE-20CCE390238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6" authorId="0" shapeId="0" xr:uid="{43FE358A-08A4-432B-9034-225E8E60263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6" authorId="0" shapeId="0" xr:uid="{E4066186-D4CF-4137-8BBB-AC48EFB7795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7" authorId="0" shapeId="0" xr:uid="{75491DAC-12D5-4D22-B65B-676288324F6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7" authorId="0" shapeId="0" xr:uid="{326A4551-939F-4953-989F-1EC352279C2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8" authorId="0" shapeId="0" xr:uid="{CA6E7CD1-E439-4338-9554-B441CD5AD19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8" authorId="0" shapeId="0" xr:uid="{00433850-3541-42AA-9975-A2F8F4DA21B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9" authorId="0" shapeId="0" xr:uid="{B45D4A24-B627-46DC-9182-82863094042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9" authorId="0" shapeId="0" xr:uid="{5EE2E292-6FA9-41EA-A7F3-0853A724586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0" authorId="0" shapeId="0" xr:uid="{693A36DD-0E9C-4EFE-9E68-5DBEBEBF900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0" authorId="0" shapeId="0" xr:uid="{1F9A7C1D-E792-443E-9B84-248C86C53E4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1" authorId="0" shapeId="0" xr:uid="{F7645045-15E1-4AC6-BEB3-19A63C5E3E1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1" authorId="0" shapeId="0" xr:uid="{3804092A-86A6-47B5-953E-86C3D849293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2" authorId="0" shapeId="0" xr:uid="{411E642B-E9CC-4652-9F9B-04618C30091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2" authorId="0" shapeId="0" xr:uid="{69CE7053-F221-4360-8DEE-AEF1911D07E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3" authorId="0" shapeId="0" xr:uid="{084C4DAA-6AE4-4DFA-86AE-FACD784261A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3" authorId="0" shapeId="0" xr:uid="{5479468E-995C-4E44-A0E2-E1050F7598C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4" authorId="0" shapeId="0" xr:uid="{27DCC2DB-360F-412C-A414-1DCBE69EDA5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4" authorId="0" shapeId="0" xr:uid="{B14BD95A-FA09-4B09-BF89-AF66976BD0E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5" authorId="0" shapeId="0" xr:uid="{8B63520C-35C6-4A8B-9DA4-CC17ACF3397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5" authorId="0" shapeId="0" xr:uid="{3E7B062A-225D-4B91-8C73-BA0FABF43D3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6" authorId="0" shapeId="0" xr:uid="{FC6380D0-7860-42F2-9AD6-8994F5755E6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6" authorId="0" shapeId="0" xr:uid="{654D0498-CF4D-4FA3-B523-D2BC9D42D40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7" authorId="0" shapeId="0" xr:uid="{7FA13D0F-4410-4005-9584-F2DD859F081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7" authorId="0" shapeId="0" xr:uid="{17BA1287-EE44-48FC-94E5-BC3042145C4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8" authorId="0" shapeId="0" xr:uid="{9FCF036F-6CCC-445D-A9C4-8B68BACB239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8" authorId="0" shapeId="0" xr:uid="{8AAC9095-7242-4624-837D-E7C12899770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9" authorId="0" shapeId="0" xr:uid="{CBB81E0C-A5C7-4FA3-BEEB-F688CC5268B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9" authorId="0" shapeId="0" xr:uid="{81242542-B0EC-4034-AAE9-75781F71092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0" authorId="0" shapeId="0" xr:uid="{05702E57-2DD6-4B13-8174-5C9496DDA7E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0" authorId="0" shapeId="0" xr:uid="{B20868DC-9C39-45A5-B0E4-DCC39C9BA43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1" authorId="0" shapeId="0" xr:uid="{8D100650-6211-4811-8F7A-8FE877ADA58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1" authorId="0" shapeId="0" xr:uid="{7164C4D9-E1A6-4783-A2EE-DFCF3317862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2" authorId="0" shapeId="0" xr:uid="{CADEAFA8-5E1F-45FA-AD64-8B403D2793D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2" authorId="0" shapeId="0" xr:uid="{F1EA2895-7009-430A-901F-B8C8FF39105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3" authorId="0" shapeId="0" xr:uid="{36E18578-5DA4-47EE-BC88-74CC5B57FE3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3" authorId="0" shapeId="0" xr:uid="{893EEA1B-DB0F-42D3-A4E6-ED58B9B616E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4" authorId="0" shapeId="0" xr:uid="{4CD4B441-4D56-41BB-ABF6-D0B4EB2F3C0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4" authorId="0" shapeId="0" xr:uid="{EF91200E-870B-4B0E-A8C5-A2BA2AFD12A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5" authorId="0" shapeId="0" xr:uid="{0A458E2E-CCCC-4632-871D-698EA9EF559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5" authorId="0" shapeId="0" xr:uid="{D1367C6B-9FFA-4474-A57D-217AED91A42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6" authorId="0" shapeId="0" xr:uid="{D5AF80D0-795F-4CBE-BF80-B48A1844AC5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6" authorId="0" shapeId="0" xr:uid="{AA85CF90-787F-4B29-9D13-D4646CC311A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7" authorId="0" shapeId="0" xr:uid="{10FB75B9-32E3-4C08-ADB1-FF6E9C77C56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7" authorId="0" shapeId="0" xr:uid="{56E134C3-BA56-4BDA-B578-ED4CCD7B865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8" authorId="0" shapeId="0" xr:uid="{B561F996-28AF-4B9F-AD16-CB063538E78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8" authorId="0" shapeId="0" xr:uid="{1D3932F6-2242-4E14-BEB2-054A30E4FA5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9" authorId="0" shapeId="0" xr:uid="{D178CE61-5AE0-4F30-A228-CD0C781074F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9" authorId="0" shapeId="0" xr:uid="{98D5F01E-885D-435E-9BCF-46ABF7B5E34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0" authorId="0" shapeId="0" xr:uid="{B1A27F87-A751-4062-AD73-45E726B840F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0" authorId="0" shapeId="0" xr:uid="{283FB45B-9E0F-44E4-A1F6-723427D5449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1" authorId="0" shapeId="0" xr:uid="{49A049B1-2A83-490B-9BD1-BD038C3254E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1" authorId="0" shapeId="0" xr:uid="{98946565-B891-42AB-BC75-FAF3D9248B7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2" authorId="0" shapeId="0" xr:uid="{7D8D7E4C-36DF-4AFF-9C65-962FBEF18A1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2" authorId="0" shapeId="0" xr:uid="{3866ED4B-6475-4A94-AD02-DEF1AD88090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3" authorId="0" shapeId="0" xr:uid="{ACE81E60-DE01-491A-8D7E-7C1F98A7F9E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3" authorId="0" shapeId="0" xr:uid="{78983D48-9857-4030-995D-C7B17E1E62C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4" authorId="0" shapeId="0" xr:uid="{368F703D-AB19-4164-9F74-60927E3E56B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4" authorId="0" shapeId="0" xr:uid="{2D3572A3-FBA9-41B8-8732-5BA1CD62C97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5" authorId="0" shapeId="0" xr:uid="{F9C8D26B-0012-48E6-8721-E616F2B7DFE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5" authorId="0" shapeId="0" xr:uid="{9C50EF1C-9078-45CA-97B3-13AC8500AEF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6" authorId="0" shapeId="0" xr:uid="{57E41033-991D-4515-9E22-7E4A98D5B34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6" authorId="0" shapeId="0" xr:uid="{7EA3A590-7128-46DF-BD3F-C2C41450EA2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7" authorId="0" shapeId="0" xr:uid="{23FA6F78-CF31-47E7-BF72-62069F6895B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7" authorId="0" shapeId="0" xr:uid="{919BA7DA-01E3-4C4E-B847-2D0991B1129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8" authorId="0" shapeId="0" xr:uid="{EB1544B9-FB7E-47FF-A9B1-323611E4D50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8" authorId="0" shapeId="0" xr:uid="{F1B21746-1200-426A-8816-19027FB09D9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9" authorId="0" shapeId="0" xr:uid="{CA7AE410-FCBC-483A-82F6-361E3CBEC1C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9" authorId="0" shapeId="0" xr:uid="{F03489B9-E63B-44DC-B2B1-335389972E0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0" authorId="0" shapeId="0" xr:uid="{D5204553-54D2-4305-951D-3227CC264CA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0" authorId="0" shapeId="0" xr:uid="{94B95232-1B41-48BC-BEAD-1B096887BA9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1" authorId="0" shapeId="0" xr:uid="{5A5BC561-8781-4E5D-87FD-5D53F675DA1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1" authorId="0" shapeId="0" xr:uid="{504FF315-0235-4334-A8A4-9634F7B28A2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2" authorId="0" shapeId="0" xr:uid="{3B927F48-3A9A-47F2-A445-84A69C77453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2" authorId="0" shapeId="0" xr:uid="{FA968B65-B7B0-42CB-9245-65D7252ACF1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3" authorId="0" shapeId="0" xr:uid="{7E7780C7-AEB7-41B3-833D-0AF250725B3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3" authorId="0" shapeId="0" xr:uid="{309BF61F-434C-446B-946F-23E949BDBBB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4" authorId="0" shapeId="0" xr:uid="{0539847A-9ED3-4BFB-95B0-9FC9935F00F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4" authorId="0" shapeId="0" xr:uid="{DEF4C63D-0491-4511-A4F8-A7DDE91BC83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</authors>
  <commentList>
    <comment ref="L25" authorId="0" shapeId="0" xr:uid="{E650F04B-C32C-428E-A840-91A223DFA1E3}">
      <text>
        <r>
          <rPr>
            <b/>
            <sz val="9"/>
            <color indexed="81"/>
            <rFont val="Segoe UI"/>
            <family val="2"/>
          </rPr>
          <t>informar a célula da redução adotada</t>
        </r>
      </text>
    </comment>
    <comment ref="L26" authorId="0" shapeId="0" xr:uid="{16994400-1F16-4F98-A983-CB68DAA7665E}">
      <text>
        <r>
          <rPr>
            <b/>
            <sz val="9"/>
            <color indexed="81"/>
            <rFont val="Segoe UI"/>
            <family val="2"/>
          </rPr>
          <t>informar a célula da redução adotada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.</author>
  </authors>
  <commentList>
    <comment ref="J12" authorId="0" shapeId="0" xr:uid="{00000000-0006-0000-0800-000001000000}">
      <text>
        <r>
          <rPr>
            <b/>
            <sz val="9"/>
            <color indexed="81"/>
            <rFont val="Segoe UI"/>
            <family val="2"/>
          </rPr>
          <t>Vermelho: erro no somatório</t>
        </r>
      </text>
    </comment>
    <comment ref="I166" authorId="1" shapeId="0" xr:uid="{00000000-0006-0000-0800-000002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67" authorId="1" shapeId="0" xr:uid="{00000000-0006-0000-0800-000003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173" authorId="0" shapeId="0" xr:uid="{00000000-0006-0000-0800-00000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84" authorId="1" shapeId="0" xr:uid="{4665C4DB-20CC-496C-BD28-875EE290DB8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5" authorId="1" shapeId="0" xr:uid="{505B1D3B-5A20-4FF7-B0CC-EAFDD5AD70F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6" authorId="1" shapeId="0" xr:uid="{1AA1EBC4-DA94-45FA-B3F9-25EF0363797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7" authorId="1" shapeId="0" xr:uid="{2307E9BC-03EB-4AC5-89D3-7E211302A25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8" authorId="1" shapeId="0" xr:uid="{97F7F93B-5B26-478C-91FA-BA70922133B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9" authorId="1" shapeId="0" xr:uid="{EEC8250E-1B39-4CDD-95D5-9BC63599018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0" authorId="1" shapeId="0" xr:uid="{D1AB1360-08A6-4339-A839-A7686D53C4B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1" authorId="1" shapeId="0" xr:uid="{FA6AD9B8-387F-4664-A1FF-F5755609572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2" authorId="1" shapeId="0" xr:uid="{BAD1763C-A94F-4290-9212-76D53A4C15B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3" authorId="1" shapeId="0" xr:uid="{861FD1AF-577A-476B-86D3-3BA36306B3C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4" authorId="1" shapeId="0" xr:uid="{8081923F-245E-4C0B-BF4C-A8EDCECB95A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5" authorId="1" shapeId="0" xr:uid="{C9C0FD92-1936-4D50-A35A-F1BD3648EC5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8" authorId="1" shapeId="0" xr:uid="{4D91E837-B5D5-4568-A778-777D8B9271E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9" authorId="1" shapeId="0" xr:uid="{974F0740-B866-43AA-8553-D00C83DF063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0" authorId="1" shapeId="0" xr:uid="{B5B6E7C9-A364-4966-A438-AF1A4A2CC92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1" authorId="1" shapeId="0" xr:uid="{831B0EC9-4B89-41BD-A27E-5DE7DF5B80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2" authorId="1" shapeId="0" xr:uid="{F8660864-F2B7-495C-87C5-AD3BD4432F9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3" authorId="1" shapeId="0" xr:uid="{2EADFB3D-C0A6-4AFE-ADAE-B19A6BB3AB3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4" authorId="1" shapeId="0" xr:uid="{D5778CBA-3476-4F69-AD16-466DD24F98F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5" authorId="1" shapeId="0" xr:uid="{A3259EDC-52BF-4525-808D-F09BCB546C6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6" authorId="1" shapeId="0" xr:uid="{68EE1CCE-2A95-4B22-8BE8-E12F73F0052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30" authorId="1" shapeId="0" xr:uid="{00000000-0006-0000-0800-00001A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1" authorId="1" shapeId="0" xr:uid="{00000000-0006-0000-0800-00001B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2" authorId="1" shapeId="0" xr:uid="{00000000-0006-0000-0800-00001C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3" authorId="1" shapeId="0" xr:uid="{00000000-0006-0000-0800-00001D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4" authorId="1" shapeId="0" xr:uid="{00000000-0006-0000-0800-00001E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5" authorId="1" shapeId="0" xr:uid="{00000000-0006-0000-0800-00001F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7" authorId="1" shapeId="0" xr:uid="{00000000-0006-0000-0800-000020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8" authorId="1" shapeId="0" xr:uid="{00000000-0006-0000-0800-00002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9" authorId="1" shapeId="0" xr:uid="{00000000-0006-0000-0800-000022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30" authorId="1" shapeId="0" xr:uid="{00000000-0006-0000-0800-000023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31" authorId="1" shapeId="0" xr:uid="{00000000-0006-0000-0800-000024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31" authorId="1" shapeId="0" xr:uid="{00000000-0006-0000-0800-000025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68" authorId="1" shapeId="0" xr:uid="{90696CB8-DDE3-41EF-AD77-53A16E73951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69" authorId="1" shapeId="0" xr:uid="{72BE9A87-C712-4A04-8E99-54F3C47C1F4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0" authorId="1" shapeId="0" xr:uid="{3F638737-B41E-427C-9D8F-052DAD87D04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1" authorId="1" shapeId="0" xr:uid="{00000000-0006-0000-0800-000029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2" authorId="1" shapeId="0" xr:uid="{A7EAEC1E-11AC-408E-8C04-C35C6368097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75" authorId="0" shapeId="0" xr:uid="{87FB42AB-A860-4498-A22C-20E466286B1E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I755" authorId="1" shapeId="0" xr:uid="{8C0333D1-E61D-43F0-9F0A-1AC1D064F11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58" authorId="1" shapeId="0" xr:uid="{00000000-0006-0000-0800-00002C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59" authorId="1" shapeId="0" xr:uid="{00000000-0006-0000-0800-00002D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60" authorId="1" shapeId="0" xr:uid="{00000000-0006-0000-0800-00002E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61" authorId="1" shapeId="0" xr:uid="{00000000-0006-0000-0800-00002F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91" authorId="0" shapeId="0" xr:uid="{00000000-0006-0000-0900-000001000000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</authors>
  <commentList>
    <comment ref="I5" authorId="0" shapeId="0" xr:uid="{00000000-0006-0000-0E00-000001000000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  <comment ref="I8" authorId="0" shapeId="0" xr:uid="{95A243F9-883E-4DA0-B4A5-5A92B8C27F49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00000000-0006-0000-0F00-00000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6" authorId="0" shapeId="0" xr:uid="{00000000-0006-0000-0F00-00000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6" authorId="0" shapeId="0" xr:uid="{00000000-0006-0000-0F00-00000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6" authorId="0" shapeId="0" xr:uid="{00000000-0006-0000-0F00-00000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6" authorId="0" shapeId="0" xr:uid="{00000000-0006-0000-0F00-00000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6" authorId="0" shapeId="0" xr:uid="{00000000-0006-0000-0F00-00000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1" authorId="0" shapeId="0" xr:uid="{00000000-0006-0000-0F00-00000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1" authorId="0" shapeId="0" xr:uid="{F1CD2897-6B67-437E-9529-A9FFEF75122B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1" authorId="0" shapeId="0" xr:uid="{00000000-0006-0000-0F00-00000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1" authorId="0" shapeId="0" xr:uid="{00000000-0006-0000-0F00-00000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1" authorId="0" shapeId="0" xr:uid="{00000000-0006-0000-0F00-00000B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1" authorId="0" shapeId="0" xr:uid="{00000000-0006-0000-0F00-00000C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6" authorId="0" shapeId="0" xr:uid="{00000000-0006-0000-0F00-00000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6" authorId="0" shapeId="0" xr:uid="{00000000-0006-0000-0F00-00000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6" authorId="0" shapeId="0" xr:uid="{00000000-0006-0000-0F00-00000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6" authorId="0" shapeId="0" xr:uid="{00000000-0006-0000-0F00-00001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6" authorId="0" shapeId="0" xr:uid="{00000000-0006-0000-0F00-00001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6" authorId="0" shapeId="0" xr:uid="{00000000-0006-0000-0F00-00001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1" authorId="0" shapeId="0" xr:uid="{00000000-0006-0000-0F00-00001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1" authorId="0" shapeId="0" xr:uid="{00000000-0006-0000-0F00-00001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1" authorId="0" shapeId="0" xr:uid="{00000000-0006-0000-0F00-00001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1" authorId="0" shapeId="0" xr:uid="{00000000-0006-0000-0F00-00001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1" authorId="0" shapeId="0" xr:uid="{00000000-0006-0000-0F00-00001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1" authorId="0" shapeId="0" xr:uid="{00000000-0006-0000-0F00-000018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6" authorId="0" shapeId="0" xr:uid="{00000000-0006-0000-0F00-00001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6" authorId="0" shapeId="0" xr:uid="{00000000-0006-0000-0F00-00001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6" authorId="0" shapeId="0" xr:uid="{00000000-0006-0000-0F00-00001B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6" authorId="0" shapeId="0" xr:uid="{00000000-0006-0000-0F00-00001C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6" authorId="0" shapeId="0" xr:uid="{00000000-0006-0000-0F00-00001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6" authorId="0" shapeId="0" xr:uid="{00000000-0006-0000-0F00-00001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1" authorId="0" shapeId="0" xr:uid="{00000000-0006-0000-0F00-00001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1" authorId="0" shapeId="0" xr:uid="{00000000-0006-0000-0F00-00002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1" authorId="0" shapeId="0" xr:uid="{00000000-0006-0000-0F00-00002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1" authorId="0" shapeId="0" xr:uid="{00000000-0006-0000-0F00-00002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1" authorId="0" shapeId="0" xr:uid="{00000000-0006-0000-0F00-00002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1" authorId="0" shapeId="0" xr:uid="{00000000-0006-0000-0F00-00002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7" authorId="0" shapeId="0" xr:uid="{00000000-0006-0000-0F00-00002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7" authorId="0" shapeId="0" xr:uid="{00000000-0006-0000-0F00-00002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7" authorId="0" shapeId="0" xr:uid="{00000000-0006-0000-0F00-00002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7" authorId="0" shapeId="0" xr:uid="{00000000-0006-0000-0F00-000028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7" authorId="0" shapeId="0" xr:uid="{00000000-0006-0000-0F00-00002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7" authorId="0" shapeId="0" xr:uid="{00000000-0006-0000-0F00-00002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1" authorId="0" shapeId="0" xr:uid="{00000000-0006-0000-0F00-00002B000000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L41" authorId="0" shapeId="0" xr:uid="{00000000-0006-0000-0F00-00002C000000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F43" authorId="0" shapeId="0" xr:uid="{00000000-0006-0000-0F00-00002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43" authorId="0" shapeId="0" xr:uid="{00000000-0006-0000-0F00-00002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3" authorId="0" shapeId="0" xr:uid="{00000000-0006-0000-0F00-00002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43" authorId="0" shapeId="0" xr:uid="{00000000-0006-0000-0F00-00003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43" authorId="0" shapeId="0" xr:uid="{00000000-0006-0000-0F00-00003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43" authorId="0" shapeId="0" xr:uid="{00000000-0006-0000-0F00-00003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13" authorId="0" shapeId="0" xr:uid="{CD068BD4-3F51-4751-94EA-A099F0893E1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E13" authorId="0" shapeId="0" xr:uid="{AC60673E-F8A3-48D2-B7F1-1BE58936832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F13" authorId="0" shapeId="0" xr:uid="{FD85715C-3B75-4BCF-A42F-189528B10D2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G13" authorId="0" shapeId="0" xr:uid="{BD4B0044-3C02-4873-AE61-2B6712A3D79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H13" authorId="0" shapeId="0" xr:uid="{1189BD54-D49B-4A96-8A08-DA1B1FA66BA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I13" authorId="0" shapeId="0" xr:uid="{01712E21-56F5-4513-9DAE-07624CAFCBE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J13" authorId="0" shapeId="0" xr:uid="{878FCED2-A499-44E4-A7D5-739983544F3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K13" authorId="0" shapeId="0" xr:uid="{E060A332-78A6-4ACF-A868-A6E364BEC79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M13" authorId="0" shapeId="0" xr:uid="{077E96E9-05A8-4318-A48E-274A95DD923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N13" authorId="0" shapeId="0" xr:uid="{4D459A14-3FDB-4FC2-8524-73DDC98A77B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O13" authorId="0" shapeId="0" xr:uid="{73B5EB27-6EEE-44B4-B4B2-51AA573F5CD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P13" authorId="0" shapeId="0" xr:uid="{A207B800-94E5-40B0-AEEA-CBB5B168537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Q13" authorId="0" shapeId="0" xr:uid="{45DA1B0A-3BEF-403C-9557-16FD738ED19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R13" authorId="0" shapeId="0" xr:uid="{DECFFD07-03C6-4F47-B134-616F92C8955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S13" authorId="0" shapeId="0" xr:uid="{492F1D4D-D820-47C8-AB56-FCCBC5B2C1F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T13" authorId="0" shapeId="0" xr:uid="{452E42F3-62D9-4F1E-92CE-5919A28992C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U13" authorId="0" shapeId="0" xr:uid="{B9EF8869-FF51-411F-9800-83068946ADC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W13" authorId="0" shapeId="0" xr:uid="{297F2C5D-7AAB-49BC-AE7E-C750886F560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X13" authorId="0" shapeId="0" xr:uid="{409C65B9-370D-4BDB-9B71-9494205115F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Y13" authorId="0" shapeId="0" xr:uid="{05AEB4C2-AE29-4A98-84E6-B066F3826FE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Z13" authorId="0" shapeId="0" xr:uid="{012CA3EB-2E93-402A-8DEE-5CC5116B564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A13" authorId="0" shapeId="0" xr:uid="{A874DF47-B018-41C7-B17C-CA651D41D8E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B13" authorId="0" shapeId="0" xr:uid="{04C0B8B4-37B6-40B4-ACBA-BDAD5BCA1F7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C13" authorId="0" shapeId="0" xr:uid="{09FE6E85-B864-4403-A42A-A93F03AF3D4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D13" authorId="0" shapeId="0" xr:uid="{0E862961-0005-412A-9A5B-032C08CACBE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E13" authorId="0" shapeId="0" xr:uid="{448097B4-A5A2-4C68-A353-E032519E971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F13" authorId="0" shapeId="0" xr:uid="{37B1CE77-994D-406A-8441-5CF4E1E3920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G13" authorId="0" shapeId="0" xr:uid="{C9C270A7-202C-469D-B950-DFDCCBA4A0C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H13" authorId="0" shapeId="0" xr:uid="{F4D627A2-844C-4D60-8381-8E104DB0923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I13" authorId="0" shapeId="0" xr:uid="{382A497E-953E-4134-B541-D15993B1A8B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J13" authorId="0" shapeId="0" xr:uid="{7795E9D3-E107-480F-9A07-A4CA0EC9848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K13" authorId="0" shapeId="0" xr:uid="{8C0729FE-8FDC-4BFE-9BED-83CFE63FE74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L13" authorId="0" shapeId="0" xr:uid="{6A3D1132-FD24-4615-991D-00FADD31DC0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M13" authorId="0" shapeId="0" xr:uid="{F28E085B-FE35-46E5-A6D9-7DDFCD538C1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N13" authorId="0" shapeId="0" xr:uid="{C0AB4FEA-6687-4A86-A255-31DC7F23960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O13" authorId="0" shapeId="0" xr:uid="{BFF3DFBF-1716-4F3E-9B2E-8CF1A4F0FB8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Q13" authorId="0" shapeId="0" xr:uid="{31460C08-774A-417C-9F22-E187E8BDD3D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R13" authorId="0" shapeId="0" xr:uid="{ACAA15FB-6508-4388-A668-AD2B6875857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S13" authorId="0" shapeId="0" xr:uid="{4B47EA5C-5208-4209-9920-5D224607DB8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T13" authorId="0" shapeId="0" xr:uid="{BF4012E5-55F2-4C5A-8516-B381287C3D2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U13" authorId="0" shapeId="0" xr:uid="{0336F49E-A2CA-47E1-BC14-C8829998AC7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V13" authorId="0" shapeId="0" xr:uid="{F97DC018-4490-4147-A959-D893F41E4D7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W13" authorId="0" shapeId="0" xr:uid="{00000000-0006-0000-1000-000017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X13" authorId="0" shapeId="0" xr:uid="{00000000-0006-0000-1000-000018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Y13" authorId="0" shapeId="0" xr:uid="{00000000-0006-0000-1000-000019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Z13" authorId="0" shapeId="0" xr:uid="{6AA07DDE-004D-40BA-986C-CF4BC414CF0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A13" authorId="0" shapeId="0" xr:uid="{00000000-0006-0000-1000-00001B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B13" authorId="0" shapeId="0" xr:uid="{00000000-0006-0000-1000-00001C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C13" authorId="0" shapeId="0" xr:uid="{00000000-0006-0000-1000-00001D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D13" authorId="0" shapeId="0" xr:uid="{00000000-0006-0000-1000-00001E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E13" authorId="0" shapeId="0" xr:uid="{00000000-0006-0000-1000-00001F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F13" authorId="0" shapeId="0" xr:uid="{00000000-0006-0000-1000-000020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G13" authorId="0" shapeId="0" xr:uid="{00000000-0006-0000-1000-000021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H13" authorId="0" shapeId="0" xr:uid="{00000000-0006-0000-1000-000022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31" authorId="0" shapeId="0" xr:uid="{E4A33412-F4BD-41CE-A421-917D585316E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E31" authorId="0" shapeId="0" xr:uid="{E620BE5A-AC47-4C5C-97EA-E49E403152C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F31" authorId="0" shapeId="0" xr:uid="{EA133A6E-455F-4C42-9BF7-BBA9E5FACCA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G31" authorId="0" shapeId="0" xr:uid="{285D3209-219C-4D39-B90F-71652B8F736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H31" authorId="0" shapeId="0" xr:uid="{B3790FF5-71A4-4917-80A4-F819BE86A70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I31" authorId="0" shapeId="0" xr:uid="{87D84F91-B59F-4B14-A9D3-1EF486723D4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J31" authorId="0" shapeId="0" xr:uid="{059323B9-77FD-4613-B34B-1A9D35278AC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K31" authorId="0" shapeId="0" xr:uid="{F5F9AE18-2F83-4EC3-BA93-D6CF57C1600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M31" authorId="0" shapeId="0" xr:uid="{4BC97136-E89C-40A0-B37E-F02F795BEC3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N31" authorId="0" shapeId="0" xr:uid="{0EBCE728-6766-4803-843F-CEBBACF1C2D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O31" authorId="0" shapeId="0" xr:uid="{B40236FD-A495-492B-8057-8DB5DEDE56B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P31" authorId="0" shapeId="0" xr:uid="{94386365-465E-4E88-B493-F4B624A6D75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Q31" authorId="0" shapeId="0" xr:uid="{0A774F6D-45D2-4079-BC42-7AB930C060D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R31" authorId="0" shapeId="0" xr:uid="{F5A887CB-4906-4AAC-A7BC-F9DFD8E2877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S31" authorId="0" shapeId="0" xr:uid="{A4B9807E-AE46-46F0-8916-5EA5B89C363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T31" authorId="0" shapeId="0" xr:uid="{4168F7EF-D223-4FE4-A2F8-E30F44EE03C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U31" authorId="0" shapeId="0" xr:uid="{92FB5659-03A5-4690-8592-5DA18E4816B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W31" authorId="0" shapeId="0" xr:uid="{761966DB-5AB8-4032-9044-744B9629AAA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X31" authorId="0" shapeId="0" xr:uid="{73BD60E5-078F-4FD9-B28A-D8C2B6A8C09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Y31" authorId="0" shapeId="0" xr:uid="{643C7F71-0293-4F18-8D7D-AB920703602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Z31" authorId="0" shapeId="0" xr:uid="{A8487630-E840-4ADC-B727-8F779661874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A31" authorId="0" shapeId="0" xr:uid="{0B7CFEBE-F2EE-4A6B-AFCD-48FA7FB2E5A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B31" authorId="0" shapeId="0" xr:uid="{37FC93B6-3CE1-439C-8AFF-22E51FC3C90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C31" authorId="0" shapeId="0" xr:uid="{68A35C47-90EE-4529-A630-A9F02CA7684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D31" authorId="0" shapeId="0" xr:uid="{B5ED6CF8-E233-4A79-BEDB-BF32B37A4A7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E31" authorId="0" shapeId="0" xr:uid="{119F0F39-6CF9-4BB7-9492-608BCB555FE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F31" authorId="0" shapeId="0" xr:uid="{630C0C07-02B6-4B6D-9059-7C623032B56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G31" authorId="0" shapeId="0" xr:uid="{F120B468-C8A4-4CCA-A2AD-17B17BD16D2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H31" authorId="0" shapeId="0" xr:uid="{AF393D22-5CEF-4246-A61E-AF15FE1F476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I31" authorId="0" shapeId="0" xr:uid="{9A0B9C0B-9F8D-418A-813E-11A620647A6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J31" authorId="0" shapeId="0" xr:uid="{B495A699-03AC-4002-A191-28178AFBFCA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K31" authorId="0" shapeId="0" xr:uid="{5ADD7B0D-405E-451C-8F50-A2021853AA2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L31" authorId="0" shapeId="0" xr:uid="{CADC4C84-5275-4853-BCF2-39090BC0949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M31" authorId="0" shapeId="0" xr:uid="{FE5384CC-2511-4AB7-AC2E-565857591FD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N31" authorId="0" shapeId="0" xr:uid="{69B5ACFF-2C32-4F3F-B4A2-E1708C963C4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O31" authorId="0" shapeId="0" xr:uid="{4EB4C7CB-3377-4908-918D-8169A12AA63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Q31" authorId="0" shapeId="0" xr:uid="{CD482643-9AB6-44AC-8910-224460CB1AB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R31" authorId="0" shapeId="0" xr:uid="{33A796C8-D2A8-4DEB-9E9B-3F8D2AF5BEE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S31" authorId="0" shapeId="0" xr:uid="{42B9B900-7AAD-47CA-A9A5-7A79D715806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T31" authorId="0" shapeId="0" xr:uid="{1451E1E7-6212-4876-8170-AD400F8D392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U31" authorId="0" shapeId="0" xr:uid="{B6526717-84ED-4B3B-8FE6-3B499139904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V31" authorId="0" shapeId="0" xr:uid="{DDC72FC0-B353-4970-BE4C-6A351068F2B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E2DE2E54-A903-497E-A48A-95471B5E505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G6" authorId="0" shapeId="0" xr:uid="{A3598485-73A2-4141-9E86-EFA0CB3963D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H6" authorId="0" shapeId="0" xr:uid="{CCB32967-06E1-4145-A4FB-58F4DA4B3B3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I6" authorId="0" shapeId="0" xr:uid="{66C81DBE-403D-4230-9D30-96FD77C9BB6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J6" authorId="0" shapeId="0" xr:uid="{623E6D79-3682-4512-9C8B-3A1D8778218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K6" authorId="0" shapeId="0" xr:uid="{4ABB14B5-F229-4777-BFCA-AED5F85A4B5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L6" authorId="0" shapeId="0" xr:uid="{E14AC93F-AE4C-4C4B-9021-57E2DA3C9CE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M6" authorId="0" shapeId="0" xr:uid="{C9271D96-00E8-41C9-ACCA-EA7C34771E7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O6" authorId="0" shapeId="0" xr:uid="{0A490FA1-BD44-4B05-B403-C4528131889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P6" authorId="0" shapeId="0" xr:uid="{DE5AC50F-C690-4444-B522-E0DDCAE4A22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Q6" authorId="0" shapeId="0" xr:uid="{A15F0EC3-96D5-4EE9-A709-538E5BCCEDA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R6" authorId="0" shapeId="0" xr:uid="{94629102-5B32-433F-8AD6-8FE7E68F795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S6" authorId="0" shapeId="0" xr:uid="{CDEE8D85-2762-43F3-A1F0-5F83A2A18EC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T6" authorId="0" shapeId="0" xr:uid="{CB05A77B-C587-4DDA-8A4E-86D2B524510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U6" authorId="0" shapeId="0" xr:uid="{81CC2CC0-A1C1-4D5A-9084-CC8E0F052D7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V6" authorId="0" shapeId="0" xr:uid="{6DF22CE8-8027-4C7C-8EF9-38B483AA4C2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W6" authorId="0" shapeId="0" xr:uid="{A87BE80C-F235-44E0-8D3F-330617729ED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Y6" authorId="0" shapeId="0" xr:uid="{227CF0F9-AF9F-443D-83EC-0AD271C5084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Z6" authorId="0" shapeId="0" xr:uid="{FAB345BA-3BFA-4C1D-AC23-8CE6CDE989B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A6" authorId="0" shapeId="0" xr:uid="{E2E6085B-3264-4135-B44E-CBED394DA73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B6" authorId="0" shapeId="0" xr:uid="{4E421AEC-F746-4E83-935C-E6B44BEBE22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C6" authorId="0" shapeId="0" xr:uid="{523B0C29-4CA8-461C-ADD7-BA5DD5B7353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D6" authorId="0" shapeId="0" xr:uid="{3745A508-1BB6-4763-972A-22F44F2330D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E6" authorId="0" shapeId="0" xr:uid="{CBBB4B73-85CC-4CAC-BB29-BF9795CDAF7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F6" authorId="0" shapeId="0" xr:uid="{C9808AE1-254F-44B3-8998-68FA4B07EF7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G6" authorId="0" shapeId="0" xr:uid="{0338B366-12F7-4457-A6C5-D25362B1C89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H6" authorId="0" shapeId="0" xr:uid="{CADAE052-BAED-4E85-9670-F7CEB68043E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I6" authorId="0" shapeId="0" xr:uid="{1F1880CC-BCC9-4936-A602-E7F3B720AE8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J6" authorId="0" shapeId="0" xr:uid="{17D2982D-83B8-4DC1-8AA0-A2832BC5359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K6" authorId="0" shapeId="0" xr:uid="{C85AED5D-DC79-4D17-AA7E-831920DED0A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L6" authorId="0" shapeId="0" xr:uid="{57756822-8826-42C0-A741-83F501B4852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M6" authorId="0" shapeId="0" xr:uid="{A3CF577C-66F4-4A50-ACA0-5C2981A70B9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N6" authorId="0" shapeId="0" xr:uid="{88450046-EE7F-4B0A-8737-B73CE86986C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O6" authorId="0" shapeId="0" xr:uid="{2C7E2FB4-AF33-4FE4-AB8F-03FA3C3E050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P6" authorId="0" shapeId="0" xr:uid="{77A9FEB8-7776-4DBE-B7F2-DBCB6658733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Q6" authorId="0" shapeId="0" xr:uid="{8A0AFC72-8A30-4F83-B45F-2360B53D540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S6" authorId="0" shapeId="0" xr:uid="{6C20BA19-0569-4792-8D17-B807F867FDB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T6" authorId="0" shapeId="0" xr:uid="{9CA77FA6-C685-4598-8EDA-C8F994D0378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U6" authorId="0" shapeId="0" xr:uid="{038FC04C-2F4D-44A7-98E1-93A1702BBBA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V6" authorId="0" shapeId="0" xr:uid="{67AA1CB2-52D1-463F-BF2C-0D7013B0BCD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W6" authorId="0" shapeId="0" xr:uid="{0D8D9F09-316D-4571-910B-82E5AD00BF9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X6" authorId="0" shapeId="0" xr:uid="{00000000-0006-0000-1100-000017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Y6" authorId="0" shapeId="0" xr:uid="{00000000-0006-0000-1100-000018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Z6" authorId="0" shapeId="0" xr:uid="{00000000-0006-0000-1100-000019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A6" authorId="0" shapeId="0" xr:uid="{00000000-0006-0000-1100-00001A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B6" authorId="0" shapeId="0" xr:uid="{00000000-0006-0000-1100-00001B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C6" authorId="0" shapeId="0" xr:uid="{00000000-0006-0000-1100-00001C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D6" authorId="0" shapeId="0" xr:uid="{00000000-0006-0000-1100-00001D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E6" authorId="0" shapeId="0" xr:uid="{00000000-0006-0000-1100-00001E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F6" authorId="0" shapeId="0" xr:uid="{00000000-0006-0000-1100-00001F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G6" authorId="0" shapeId="0" xr:uid="{00000000-0006-0000-1100-000020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H6" authorId="0" shapeId="0" xr:uid="{00000000-0006-0000-1100-000021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I6" authorId="0" shapeId="0" xr:uid="{00000000-0006-0000-1100-000022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J6" authorId="0" shapeId="0" xr:uid="{00000000-0006-0000-1100-000023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K6" authorId="0" shapeId="0" xr:uid="{00000000-0006-0000-1100-000024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L6" authorId="0" shapeId="0" xr:uid="{00000000-0006-0000-1100-000025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  <author>Ricardo Schettini Figueiredo</author>
  </authors>
  <commentList>
    <comment ref="F30" authorId="0" shapeId="0" xr:uid="{5463E833-44C6-4162-9DD0-FB0B1C67CB1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G30" authorId="0" shapeId="0" xr:uid="{E41D949F-B1C3-428D-BC1F-F1146E54063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H30" authorId="0" shapeId="0" xr:uid="{DCB885A6-21F9-417D-955F-7B0EDBA77F8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I30" authorId="0" shapeId="0" xr:uid="{CDD10757-B044-485B-8EDD-404C5638954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J30" authorId="0" shapeId="0" xr:uid="{05BF382A-9B30-485A-86B9-04CE78AE02D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K30" authorId="0" shapeId="0" xr:uid="{5351985D-CE3E-4792-A155-6E8D6CBBDBD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L30" authorId="0" shapeId="0" xr:uid="{E9D47A6D-B11A-4668-98FB-503FA05997E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M30" authorId="0" shapeId="0" xr:uid="{4179503A-4E95-4514-A9AC-BBFD562322A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O30" authorId="0" shapeId="0" xr:uid="{F5A59311-52A5-43AB-B647-D9ABA5AE693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P30" authorId="0" shapeId="0" xr:uid="{A665FD64-2392-499F-BC6C-513ED3B4F3B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Q30" authorId="0" shapeId="0" xr:uid="{791AF5C4-6834-4E08-9851-D1D45C4E66E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R30" authorId="0" shapeId="0" xr:uid="{48C95868-7581-4865-BB5C-C95626C9427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S30" authorId="0" shapeId="0" xr:uid="{C12F2CCE-00D1-461D-8154-1668C1F33E3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T30" authorId="0" shapeId="0" xr:uid="{CD8CBB08-DDDC-46C1-B966-2112F5462CB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U30" authorId="0" shapeId="0" xr:uid="{238196F4-8517-483F-8504-E2912F27553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V30" authorId="0" shapeId="0" xr:uid="{2706287E-1BF6-4D6D-9C62-1C51006AC45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W30" authorId="0" shapeId="0" xr:uid="{41A1BA23-A284-4F1A-B296-F67B09850BB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Y30" authorId="0" shapeId="0" xr:uid="{8E56B702-938B-488C-A329-964960232C3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Z30" authorId="0" shapeId="0" xr:uid="{49954ED8-6CEC-4C7F-9E1D-2A32D54F72E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A30" authorId="0" shapeId="0" xr:uid="{2D80A22F-1441-46B2-B2CB-87E50818A91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B30" authorId="0" shapeId="0" xr:uid="{2A773501-115D-4A91-A7B1-4AFFE6C2C20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C30" authorId="0" shapeId="0" xr:uid="{1CE0A312-6E1D-42CB-97F9-C0E52446ECD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D30" authorId="0" shapeId="0" xr:uid="{219156F2-37E4-4CDE-AFA7-BCA29982F3D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E30" authorId="0" shapeId="0" xr:uid="{0331DA12-3788-41D4-B03B-064D3D8E70D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F30" authorId="0" shapeId="0" xr:uid="{700E9D91-A427-442E-B08B-82818725E81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G30" authorId="0" shapeId="0" xr:uid="{453C5013-4AED-4D60-9961-32C81867242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H30" authorId="0" shapeId="0" xr:uid="{23B4054C-7F75-4FA1-B7A1-0B28F9A4207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I30" authorId="0" shapeId="0" xr:uid="{1009AAB2-C039-41F2-B663-C14499368E0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J30" authorId="0" shapeId="0" xr:uid="{AD486FFD-1B6D-44F0-8FE0-46DF5B717FC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K30" authorId="0" shapeId="0" xr:uid="{34EB5559-59A3-4CE9-B27F-55245629736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L30" authorId="0" shapeId="0" xr:uid="{788CCE22-440C-41EE-A63A-C9C19F9F45A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M30" authorId="0" shapeId="0" xr:uid="{6768BFB9-34EE-4970-A3E3-946131F9603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N30" authorId="0" shapeId="0" xr:uid="{2E9C12BA-1355-4390-BFFE-04B8CA4D936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O30" authorId="0" shapeId="0" xr:uid="{E636243F-9202-411A-BCEC-642E5E7530A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P30" authorId="0" shapeId="0" xr:uid="{6C71FDED-F236-4C6B-83A7-83D6E2B3982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Q30" authorId="0" shapeId="0" xr:uid="{67AD54AF-B398-4A2E-A198-46E3E054845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S30" authorId="0" shapeId="0" xr:uid="{159F884B-E043-4462-BC3A-3F233E83A1A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T30" authorId="0" shapeId="0" xr:uid="{C6AC2C9B-9137-437C-B0AC-23DF4F5314B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U30" authorId="0" shapeId="0" xr:uid="{24F6B6A5-722B-4C2B-8197-F1E52F5D3D6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V30" authorId="0" shapeId="0" xr:uid="{23FBDA8F-7117-40F7-A606-52D6F4FCD67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W30" authorId="0" shapeId="0" xr:uid="{8EAFE2B3-228D-4A1D-92EE-75ABC0731B8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X30" authorId="0" shapeId="0" xr:uid="{FEB91D0D-2D81-44E1-B5D1-28EFAAF193C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Y30" authorId="0" shapeId="0" xr:uid="{30B704DD-6D3B-41D5-9071-7A699B5739D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Z30" authorId="0" shapeId="0" xr:uid="{BB351AEE-EB5F-46B6-BB9F-05597F9041D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A30" authorId="0" shapeId="0" xr:uid="{499AE374-2C07-42D0-B110-F150D644204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B30" authorId="0" shapeId="0" xr:uid="{00000000-0006-0000-1200-00001B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C30" authorId="0" shapeId="0" xr:uid="{00000000-0006-0000-1200-00001C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D30" authorId="0" shapeId="0" xr:uid="{00000000-0006-0000-1200-00001D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E30" authorId="0" shapeId="0" xr:uid="{00000000-0006-0000-1200-00001E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F30" authorId="0" shapeId="0" xr:uid="{00000000-0006-0000-1200-00001F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G30" authorId="0" shapeId="0" xr:uid="{00000000-0006-0000-1200-000020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H30" authorId="0" shapeId="0" xr:uid="{00000000-0006-0000-1200-000021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I30" authorId="0" shapeId="0" xr:uid="{00000000-0006-0000-1200-000022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J30" authorId="0" shapeId="0" xr:uid="{00000000-0006-0000-1200-000023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K30" authorId="0" shapeId="0" xr:uid="{00000000-0006-0000-1200-000024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L30" authorId="0" shapeId="0" xr:uid="{00000000-0006-0000-1200-000025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F39" authorId="1" shapeId="0" xr:uid="{5C4B984D-D24B-4037-8DB3-BFE282640BE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G39" authorId="1" shapeId="0" xr:uid="{74A5BFE6-F839-4BF3-B378-6D86798A098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H39" authorId="1" shapeId="0" xr:uid="{4C63BD13-08DB-47D6-A721-54978A30573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I39" authorId="1" shapeId="0" xr:uid="{07EA0A55-55DB-4112-A422-0000D77F7DE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J39" authorId="1" shapeId="0" xr:uid="{BF2A75CD-DAA8-4F2D-B2CE-58A93928977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K39" authorId="1" shapeId="0" xr:uid="{A81FDD94-180E-45EC-9299-016DB63110A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L39" authorId="1" shapeId="0" xr:uid="{FEF9A395-A607-4C89-8C46-8FB0207D290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M39" authorId="1" shapeId="0" xr:uid="{1F81E301-AFB8-46EB-88BE-655E2FAF50F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N39" authorId="1" shapeId="0" xr:uid="{A13A8AD6-C5C2-4651-BC2F-75CB6A4B94D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O39" authorId="1" shapeId="0" xr:uid="{E2451E35-6560-4A9B-AED0-A2C0DAC0A48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P39" authorId="1" shapeId="0" xr:uid="{475309F3-5F00-489E-9704-7D28F9D480B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Q39" authorId="1" shapeId="0" xr:uid="{9CE8DB88-5A5A-46C2-8355-A175B7E9D49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R39" authorId="1" shapeId="0" xr:uid="{5B8F5A14-EC76-4AF3-AAA3-0A93E748760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S39" authorId="1" shapeId="0" xr:uid="{2F3AD1EF-481A-4BFF-A7F3-6DF52DB9B45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T39" authorId="1" shapeId="0" xr:uid="{99E43341-BA64-46C3-808A-73D217DE76B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U39" authorId="1" shapeId="0" xr:uid="{1ECB1121-5EC8-446C-9A85-DB409A557B3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V39" authorId="1" shapeId="0" xr:uid="{70B78056-CF2A-456D-968F-EE39A09BDF7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W39" authorId="1" shapeId="0" xr:uid="{400B63BB-896A-4472-B30F-78C534F00EC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X39" authorId="1" shapeId="0" xr:uid="{99EE50EE-8369-4951-9AE3-E55596020F5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Y39" authorId="1" shapeId="0" xr:uid="{7789A5D0-A80F-45B8-BB92-8238A2661AD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Z39" authorId="1" shapeId="0" xr:uid="{FC306449-0EED-451A-8573-E485AA60D2D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A39" authorId="1" shapeId="0" xr:uid="{48910B77-D001-4164-B88A-71D993E1807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B39" authorId="1" shapeId="0" xr:uid="{516FDD6C-49C8-4244-B45F-3522F7A4C29E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C39" authorId="1" shapeId="0" xr:uid="{19CC9A26-A4B1-4D3C-B7C4-DD4DB3E2A3F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D39" authorId="1" shapeId="0" xr:uid="{C53DFBDD-E688-4BB0-9759-30E05AD88A5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E39" authorId="1" shapeId="0" xr:uid="{95230F11-1422-44F5-A086-30EC43B94FC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F39" authorId="1" shapeId="0" xr:uid="{BCBF9E7C-00E1-4F3A-AFD9-B174C96C146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G39" authorId="1" shapeId="0" xr:uid="{0E299A16-A214-4096-B2F9-4A14768C4E7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H39" authorId="1" shapeId="0" xr:uid="{71CA944B-69BD-472B-927E-220806E50C5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I39" authorId="1" shapeId="0" xr:uid="{59749138-45C0-43A2-A09E-8AA1C12A457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J39" authorId="1" shapeId="0" xr:uid="{77286FCD-ADFA-463B-A91B-2946D4561DF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K39" authorId="1" shapeId="0" xr:uid="{D0193CA4-657C-4DF3-82A2-3A0B4BBB9BE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L39" authorId="1" shapeId="0" xr:uid="{36E96D0D-B9A9-449E-86E0-CFB4BCC4620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M39" authorId="1" shapeId="0" xr:uid="{E2F51EB3-E5EB-40E0-B434-75AFD4AC9DA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N39" authorId="1" shapeId="0" xr:uid="{0648FCA7-EF95-4339-912B-11D25E236B1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O39" authorId="1" shapeId="0" xr:uid="{E8BA1995-B166-457F-806E-5710237036F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P39" authorId="1" shapeId="0" xr:uid="{B1E64DD5-B071-45CD-A7EF-C235EA1CE84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Q39" authorId="1" shapeId="0" xr:uid="{25E52334-E5F9-4761-A872-F91CA1CF291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R39" authorId="1" shapeId="0" xr:uid="{CB755FF0-A3EF-4EFA-8391-21A97663A59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S39" authorId="1" shapeId="0" xr:uid="{9706D1BF-7A53-4FF7-9D94-4E79C77B8A7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T39" authorId="1" shapeId="0" xr:uid="{4C209F9A-C8B0-4DBE-A301-FDE1F7E6B45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U39" authorId="1" shapeId="0" xr:uid="{ECAB5874-975A-4E56-9722-D9A7931D131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V39" authorId="1" shapeId="0" xr:uid="{9E5B587B-5EBC-4360-8465-BCD71194B39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W39" authorId="1" shapeId="0" xr:uid="{96B54C1A-73DE-4104-B373-3104B7BEE62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X39" authorId="1" shapeId="0" xr:uid="{E135992C-955E-498D-8302-A455EA44FA1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Y39" authorId="1" shapeId="0" xr:uid="{00000000-0006-0000-1200-00003D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Z39" authorId="1" shapeId="0" xr:uid="{B47850E7-AD0C-426D-8A1F-D8222171751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A39" authorId="1" shapeId="0" xr:uid="{00000000-0006-0000-1200-00003F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B39" authorId="1" shapeId="0" xr:uid="{00000000-0006-0000-1200-000040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C39" authorId="1" shapeId="0" xr:uid="{00000000-0006-0000-1200-000041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D39" authorId="1" shapeId="0" xr:uid="{00000000-0006-0000-1200-000042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E39" authorId="1" shapeId="0" xr:uid="{00000000-0006-0000-1200-000043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F39" authorId="1" shapeId="0" xr:uid="{00000000-0006-0000-1200-000044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G39" authorId="1" shapeId="0" xr:uid="{00000000-0006-0000-1200-000045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H39" authorId="1" shapeId="0" xr:uid="{00000000-0006-0000-1200-000046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I39" authorId="1" shapeId="0" xr:uid="{00000000-0006-0000-1200-000047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F191" authorId="1" shapeId="0" xr:uid="{728FB654-105B-47B8-A065-09D568FB9FC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G191" authorId="1" shapeId="0" xr:uid="{D5E0F62A-951D-4588-BD74-A8CC756C5B4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H191" authorId="1" shapeId="0" xr:uid="{F357C0A9-AC42-42BB-90FD-25973FBE60D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I191" authorId="1" shapeId="0" xr:uid="{E934F614-4273-4CE8-9E15-B0B4CF3D4BA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J191" authorId="1" shapeId="0" xr:uid="{DDB88AD7-CF7A-4FCC-885B-997E821FC69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K191" authorId="1" shapeId="0" xr:uid="{F1072483-B3FC-4DD1-A49D-CB4169E668E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L191" authorId="1" shapeId="0" xr:uid="{E9417CA1-C672-486A-BBAC-55345341111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M191" authorId="1" shapeId="0" xr:uid="{35D913A1-9E1A-4287-A2CC-2DE0C500F33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O191" authorId="1" shapeId="0" xr:uid="{EBA34205-1B9A-408D-AF0E-B49E4A37542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P191" authorId="1" shapeId="0" xr:uid="{564C4DEB-59A6-49D1-A179-F5FC7DD4D14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Q191" authorId="1" shapeId="0" xr:uid="{9E0108AF-1D5D-4581-AF22-539D9E5B600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R191" authorId="1" shapeId="0" xr:uid="{4FAA1C01-3202-4CFE-82CF-C3A4CEF1373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S191" authorId="1" shapeId="0" xr:uid="{6C265299-A195-4D5D-BA3A-C2374055F30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T191" authorId="1" shapeId="0" xr:uid="{CC86DCE9-B5D5-4B14-B240-3F382894F0F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U191" authorId="1" shapeId="0" xr:uid="{46FEB8B5-D6E9-4A1C-9975-B9EA0DEE802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V191" authorId="1" shapeId="0" xr:uid="{7B396FD2-183A-4CC1-9D1E-C3038CAA974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W191" authorId="1" shapeId="0" xr:uid="{33704945-3DDB-42B9-A95A-57643AA27CF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Y191" authorId="1" shapeId="0" xr:uid="{881BC29D-BF1F-47A2-A784-FA459E43CA9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Z191" authorId="1" shapeId="0" xr:uid="{7B6FFB28-DE42-413D-AACA-64BA2F25BCE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A191" authorId="1" shapeId="0" xr:uid="{79785625-F612-46BE-B2B4-0F9DA10A2CA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B191" authorId="1" shapeId="0" xr:uid="{A5D5C7CF-A880-4CB6-9570-E478B1854CA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C191" authorId="1" shapeId="0" xr:uid="{AF082422-CE40-4AC5-A7F7-5DA3D632110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D191" authorId="1" shapeId="0" xr:uid="{976023D7-2232-4289-9395-8DCD14F7745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E191" authorId="1" shapeId="0" xr:uid="{2BC4CF05-832C-4219-A796-A6C76D91F9C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F191" authorId="1" shapeId="0" xr:uid="{3953F77B-4B82-47EB-9BE7-55CCA91C8C5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G191" authorId="1" shapeId="0" xr:uid="{B13F3E85-7BF1-4580-8BF7-6F1A08375C6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H191" authorId="1" shapeId="0" xr:uid="{DFC8022A-DB17-429F-9B7C-9CA9949F32B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I191" authorId="1" shapeId="0" xr:uid="{17C4AEAD-A8BE-49EB-9B18-7F6980B984D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J191" authorId="1" shapeId="0" xr:uid="{8737D189-74CE-49A2-9C71-2DAD998C233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K191" authorId="1" shapeId="0" xr:uid="{67BCA9FC-3243-4928-A7FB-85BDF78A083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L191" authorId="1" shapeId="0" xr:uid="{7181FBD1-E53D-4F0E-8134-8776443DA9F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M191" authorId="1" shapeId="0" xr:uid="{79C2FD29-843A-40EB-857D-E6A686D73EE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N191" authorId="1" shapeId="0" xr:uid="{AC3D37C4-1131-4B8B-9908-417303776ED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O191" authorId="1" shapeId="0" xr:uid="{566B6FE6-E8BB-48A9-A22F-0CAFDF90E45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P191" authorId="1" shapeId="0" xr:uid="{A83B4138-14A5-48A6-892E-E7270F5D459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Q191" authorId="1" shapeId="0" xr:uid="{DB2E063A-E9B8-4BCC-A5F5-B6BB8B70B9A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S191" authorId="1" shapeId="0" xr:uid="{DB51871E-2EBA-4F5A-BF93-D6536FC64E1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T191" authorId="1" shapeId="0" xr:uid="{EB9D4955-AFBC-4DF3-B6C2-B32BD825C63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U191" authorId="1" shapeId="0" xr:uid="{859EB493-D44F-41DE-8996-8E47757DA40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V191" authorId="1" shapeId="0" xr:uid="{DF3CB879-CEDC-4480-BA90-61CE3359939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W191" authorId="1" shapeId="0" xr:uid="{25EC6A0B-1453-4811-B456-3C477BF4509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X191" authorId="1" shapeId="0" xr:uid="{2438E8DC-815A-4453-8D08-B267CC91557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Y191" authorId="1" shapeId="0" xr:uid="{00000000-0006-0000-1200-00005F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Z191" authorId="1" shapeId="0" xr:uid="{06817FB2-31C3-496A-A429-CDEF553BB58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A191" authorId="1" shapeId="0" xr:uid="{00000000-0006-0000-1200-000061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B191" authorId="1" shapeId="0" xr:uid="{00000000-0006-0000-1200-000062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C191" authorId="1" shapeId="0" xr:uid="{00000000-0006-0000-1200-000063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D191" authorId="1" shapeId="0" xr:uid="{00000000-0006-0000-1200-000064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E191" authorId="1" shapeId="0" xr:uid="{00000000-0006-0000-1200-000065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F191" authorId="1" shapeId="0" xr:uid="{00000000-0006-0000-1200-000066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G191" authorId="1" shapeId="0" xr:uid="{00000000-0006-0000-1200-000067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H191" authorId="1" shapeId="0" xr:uid="{00000000-0006-0000-1200-000068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I191" authorId="1" shapeId="0" xr:uid="{00000000-0006-0000-1200-000069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J191" authorId="1" shapeId="0" xr:uid="{00000000-0006-0000-1200-00006A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K191" authorId="1" shapeId="0" xr:uid="{00000000-0006-0000-1200-00006B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L191" authorId="1" shapeId="0" xr:uid="{00000000-0006-0000-1200-00006C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<sst xmlns="http://schemas.openxmlformats.org/spreadsheetml/2006/main" count="7374" uniqueCount="2850">
  <si>
    <t>TOTAL</t>
  </si>
  <si>
    <t>TRECHO</t>
  </si>
  <si>
    <t>LOCAL:</t>
  </si>
  <si>
    <t>EXTENSÃO (m)</t>
  </si>
  <si>
    <t>TUBULAÇÃO</t>
  </si>
  <si>
    <t>BASE (m)</t>
  </si>
  <si>
    <t>ESCAVAÇÃO (m³)</t>
  </si>
  <si>
    <t>BOTA-FORA (m³)</t>
  </si>
  <si>
    <t>INFERIOR</t>
  </si>
  <si>
    <t>MANUAL</t>
  </si>
  <si>
    <t>ALTURA (m)</t>
  </si>
  <si>
    <t>VOLUME (m³)</t>
  </si>
  <si>
    <t>OBSERVAÇÃO</t>
  </si>
  <si>
    <t>SUBSTITUIÇÃO SOLO (%)</t>
  </si>
  <si>
    <t>VALA EM PAVIMENTO EXISTENTE</t>
  </si>
  <si>
    <t>TRONCO</t>
  </si>
  <si>
    <t>ESPESSURA (m)</t>
  </si>
  <si>
    <t>01</t>
  </si>
  <si>
    <t>02</t>
  </si>
  <si>
    <t>03</t>
  </si>
  <si>
    <t>04</t>
  </si>
  <si>
    <t>05</t>
  </si>
  <si>
    <t>06</t>
  </si>
  <si>
    <t>COLCHÃO DE RACHÃO</t>
  </si>
  <si>
    <t>BASE ESTABILIZADA</t>
  </si>
  <si>
    <t>GRAMA</t>
  </si>
  <si>
    <t>DESTINO</t>
  </si>
  <si>
    <t>ORIGEM</t>
  </si>
  <si>
    <t>ATERRO</t>
  </si>
  <si>
    <t>ÁREA (m²)</t>
  </si>
  <si>
    <t>OBRA :</t>
  </si>
  <si>
    <t>ITEM</t>
  </si>
  <si>
    <t>DMT</t>
  </si>
  <si>
    <t>UNID.</t>
  </si>
  <si>
    <t>(%)</t>
  </si>
  <si>
    <t>SERVIÇOS PRELIMINARES</t>
  </si>
  <si>
    <t>SERVIÇOS COMPLEMENTARES</t>
  </si>
  <si>
    <t>TOTAL GERAL</t>
  </si>
  <si>
    <t>RESUMO</t>
  </si>
  <si>
    <t>DRENAGEM DE LENÇOL FREÁTICO</t>
  </si>
  <si>
    <t>DISCRIMINAÇÃO</t>
  </si>
  <si>
    <t>Nº LINHAS</t>
  </si>
  <si>
    <t>TALUDE       1:(V)</t>
  </si>
  <si>
    <t>INSERVÍVEL</t>
  </si>
  <si>
    <t>EXTENSÃO         (m)</t>
  </si>
  <si>
    <t>ESPESSURA (cm)</t>
  </si>
  <si>
    <t>TENTO         (m)</t>
  </si>
  <si>
    <t>PASSAGEM CP-01</t>
  </si>
  <si>
    <t>COLETORA CC-01</t>
  </si>
  <si>
    <t>DUPLA</t>
  </si>
  <si>
    <t>ÁREA           (m²)</t>
  </si>
  <si>
    <t>CANTEIRO</t>
  </si>
  <si>
    <t>PASSEIO</t>
  </si>
  <si>
    <t xml:space="preserve">SOLO                        INSERVÍVEL </t>
  </si>
  <si>
    <t>FAIXA (m)</t>
  </si>
  <si>
    <t>LIMPEZA MECANIZADA</t>
  </si>
  <si>
    <t>CORTE VOLUME (m³)</t>
  </si>
  <si>
    <t>ATERRO VOLUME (m³)</t>
  </si>
  <si>
    <t>LARGURA (m)</t>
  </si>
  <si>
    <t>BASE</t>
  </si>
  <si>
    <t>QUANTIDADE (un)</t>
  </si>
  <si>
    <t>ATERRO EXTENSÃO (m)</t>
  </si>
  <si>
    <t>GEOTECNIA</t>
  </si>
  <si>
    <t>TRONCO (m)</t>
  </si>
  <si>
    <t>COMPRIMENTO (m)</t>
  </si>
  <si>
    <t>VALA DE LANÇAMENTO</t>
  </si>
  <si>
    <t>ALTURA MÉDIA (m)</t>
  </si>
  <si>
    <t>Proponente</t>
  </si>
  <si>
    <t>Concedente</t>
  </si>
  <si>
    <t>Total Acumulado</t>
  </si>
  <si>
    <t xml:space="preserve">Total </t>
  </si>
  <si>
    <t>Ø   (m)</t>
  </si>
  <si>
    <t>C</t>
  </si>
  <si>
    <t>B</t>
  </si>
  <si>
    <t>A</t>
  </si>
  <si>
    <t>MONTANTE</t>
  </si>
  <si>
    <t>JUSANTE</t>
  </si>
  <si>
    <t>CRÍTICA</t>
  </si>
  <si>
    <t>VAZÃO</t>
  </si>
  <si>
    <t>N.A.</t>
  </si>
  <si>
    <t>PROJ.</t>
  </si>
  <si>
    <t>degrau</t>
  </si>
  <si>
    <t>SAÍDA</t>
  </si>
  <si>
    <t>PROF.</t>
  </si>
  <si>
    <t>FUNDO</t>
  </si>
  <si>
    <t>TAMPA</t>
  </si>
  <si>
    <t>DEGRAU</t>
  </si>
  <si>
    <t>Ø</t>
  </si>
  <si>
    <t>RETANGULAR (m)</t>
  </si>
  <si>
    <t>CIRCULAR Ø (m)</t>
  </si>
  <si>
    <t>MATERIAL</t>
  </si>
  <si>
    <t>GALERIA</t>
  </si>
  <si>
    <t>ÁREA</t>
  </si>
  <si>
    <t>sugestão</t>
  </si>
  <si>
    <t>RAMAIS MONTANTE</t>
  </si>
  <si>
    <t>PV</t>
  </si>
  <si>
    <t>TEMPO DE</t>
  </si>
  <si>
    <t>SEÇÃO DA GALERIA</t>
  </si>
  <si>
    <t>DECLIVIDADE   (%)</t>
  </si>
  <si>
    <t>BACIA LOCAL</t>
  </si>
  <si>
    <t>NÍVEL D'ÁGUA</t>
  </si>
  <si>
    <t>POÇO DE VISITA - COTAS (m)</t>
  </si>
  <si>
    <t>PLANILHA DE CÁLCULO - MICRODRENAGEM - GALERIAS DE ÁGUAS PLUVIAIS</t>
  </si>
  <si>
    <t>Tr =</t>
  </si>
  <si>
    <t>d =</t>
  </si>
  <si>
    <t>b =</t>
  </si>
  <si>
    <t>c =</t>
  </si>
  <si>
    <t>a =</t>
  </si>
  <si>
    <t>LASTRO BRITA ESPESSURA (m)</t>
  </si>
  <si>
    <t>LASTRO P.M. ESPESSURA (m)</t>
  </si>
  <si>
    <t>LASTRO DE CONCRETO MAGRO</t>
  </si>
  <si>
    <t>SEQUÊNCIA DA NUMERAÇÃO</t>
  </si>
  <si>
    <t>LASTRO BRITA EXTENSÃO (m)</t>
  </si>
  <si>
    <t>LASTRO P.M. EXTENSÃO (m)</t>
  </si>
  <si>
    <t>DATA BASE:</t>
  </si>
  <si>
    <t>VERIFICAÇÃO DOS TRECHOS:</t>
  </si>
  <si>
    <t>TOTAL DOS TRECHOS:</t>
  </si>
  <si>
    <t>TOTAL DOS LANÇAMENTOS:</t>
  </si>
  <si>
    <t>TOTAL DOS MONTANTES:</t>
  </si>
  <si>
    <t>TRECHO QUE FALTA:</t>
  </si>
  <si>
    <t>TRECHOS À</t>
  </si>
  <si>
    <t>COTA DE FUNDO</t>
  </si>
  <si>
    <t>ALTURA D'ÁGUA - NORMAL</t>
  </si>
  <si>
    <t>ALTURA D'ÁGUA - CRÍTICA</t>
  </si>
  <si>
    <t>JUS</t>
  </si>
  <si>
    <t>DE MONTANTE</t>
  </si>
  <si>
    <t>CONCENTRAÇÃO</t>
  </si>
  <si>
    <t>F1</t>
  </si>
  <si>
    <t>F2</t>
  </si>
  <si>
    <t>F3</t>
  </si>
  <si>
    <t>G1</t>
  </si>
  <si>
    <t>G2</t>
  </si>
  <si>
    <t>G3</t>
  </si>
  <si>
    <t>hc&lt;30</t>
  </si>
  <si>
    <t>30&gt;hc&gt;85</t>
  </si>
  <si>
    <t>hc&gt;85</t>
  </si>
  <si>
    <t>C1</t>
  </si>
  <si>
    <t>CRONOGRAMA FÍSICO FINANCEIRO</t>
  </si>
  <si>
    <t>MESES</t>
  </si>
  <si>
    <t>Totais</t>
  </si>
  <si>
    <t>DIAS</t>
  </si>
  <si>
    <t>CONCEDENTE</t>
  </si>
  <si>
    <t>PROPONENTE</t>
  </si>
  <si>
    <t>LANÇAMENTO</t>
  </si>
  <si>
    <t>Trecho   No.</t>
  </si>
  <si>
    <t>EXTENSÃO        (m)</t>
  </si>
  <si>
    <t>BACIA HIDROGRÁFICA</t>
  </si>
  <si>
    <t>NÃO DIGITAR NADA NESTA COLUNA E NEM DELETE</t>
  </si>
  <si>
    <t>ÁREA (ha)</t>
  </si>
  <si>
    <t>RUN OFF</t>
  </si>
  <si>
    <t>OBRA ATÍPICA</t>
  </si>
  <si>
    <t>CONCRETO (m³)</t>
  </si>
  <si>
    <t>FÔRMA (m²)</t>
  </si>
  <si>
    <t>PLANILHA DE QUANTIFICAÇÃO DOS SERVIÇOS DA DRENAGEM</t>
  </si>
  <si>
    <t>2,00 X 2,00</t>
  </si>
  <si>
    <t>2,50 X 2,50</t>
  </si>
  <si>
    <t>BIGODE Ø 0,40m</t>
  </si>
  <si>
    <t>BIGODE Ø 0,60m</t>
  </si>
  <si>
    <t>PERÍMETRO (m)</t>
  </si>
  <si>
    <t>LIXO (m)</t>
  </si>
  <si>
    <t>TENTO (m)</t>
  </si>
  <si>
    <t>INÍCIO</t>
  </si>
  <si>
    <t>FIM</t>
  </si>
  <si>
    <t>ESTACA</t>
  </si>
  <si>
    <t>LARGURA MÉDIA (m)</t>
  </si>
  <si>
    <t>PAVIMENTAÇÃO</t>
  </si>
  <si>
    <t>MEIOS-FIOS (m)</t>
  </si>
  <si>
    <t>CORTE EXTENSÃO (m)</t>
  </si>
  <si>
    <t>CORTE LARGURA (m)</t>
  </si>
  <si>
    <t>ATERRO LARGURA (m)</t>
  </si>
  <si>
    <t>MEIO-FIO COM SARJETA (m)</t>
  </si>
  <si>
    <t>TAXA DA REMOÇÃO (%)</t>
  </si>
  <si>
    <t>1,50 X 1,50</t>
  </si>
  <si>
    <t>TRONCO - RECAPEAMENTO</t>
  </si>
  <si>
    <t>BOCA DE LANÇAMENTO</t>
  </si>
  <si>
    <t>TEMPO
CONC.
(min)</t>
  </si>
  <si>
    <t>COEF.
DISTR.
(n)</t>
  </si>
  <si>
    <t>ÁREA
TOTAL
(há)</t>
  </si>
  <si>
    <t>EXTEN.
(m)</t>
  </si>
  <si>
    <t>ÁREA
(há)</t>
  </si>
  <si>
    <t>RUN
OFF</t>
  </si>
  <si>
    <t>INTENS.
PLUVIOM.
(mm/h)</t>
  </si>
  <si>
    <t>COEF.
DEFL.
(f)</t>
  </si>
  <si>
    <t>ALTURA D'ÁGUA
(m)</t>
  </si>
  <si>
    <t>TERRENO
NATURAL</t>
  </si>
  <si>
    <t>TEMPO DE
PERSURSO
(min)</t>
  </si>
  <si>
    <t>CÓDIGO</t>
  </si>
  <si>
    <t>FONTE</t>
  </si>
  <si>
    <t>SP/0020</t>
  </si>
  <si>
    <t>DR/0240</t>
  </si>
  <si>
    <t>DR/0250</t>
  </si>
  <si>
    <t>DR/0260</t>
  </si>
  <si>
    <t>DR/0270</t>
  </si>
  <si>
    <t>DR/0280</t>
  </si>
  <si>
    <t>DR/0290</t>
  </si>
  <si>
    <t>PA/0010</t>
  </si>
  <si>
    <t>PA/0020</t>
  </si>
  <si>
    <t>DR/0330</t>
  </si>
  <si>
    <t>DR/0190</t>
  </si>
  <si>
    <t>R$</t>
  </si>
  <si>
    <t>%</t>
  </si>
  <si>
    <t>ATENÇÃO: A ÚLTIMA MEDIÇÃO DO CONCEDENTE TEM DE SER MAIOR QUE 10%</t>
  </si>
  <si>
    <t>PERCENTUAL DE REMENDO (%)</t>
  </si>
  <si>
    <t>ÁREA DA CAPA (m²)</t>
  </si>
  <si>
    <t>MAGRO 15 MPa (m³)</t>
  </si>
  <si>
    <t>mês</t>
  </si>
  <si>
    <r>
      <t>VOLUME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</si>
  <si>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CELULAR BASE (m)</t>
  </si>
  <si>
    <t>CELULAR ALTURA (m)</t>
  </si>
  <si>
    <t>GALERIA CELULAR (BASE) (m)</t>
  </si>
  <si>
    <t>GALERIA CELULAR (ALTURA) (m)</t>
  </si>
  <si>
    <t>3,00 X 3,00</t>
  </si>
  <si>
    <t>01 (Q &lt; 2m³/s)</t>
  </si>
  <si>
    <t>02 (2 &lt; Q &lt; 3m³/s)</t>
  </si>
  <si>
    <t>03 (3 &lt; Q &lt; 6m³/s)</t>
  </si>
  <si>
    <t>04 (6 &lt; Q &lt; 8m³/s)</t>
  </si>
  <si>
    <t>05 (8 &lt; Q &lt; 16m³/s)</t>
  </si>
  <si>
    <t>06 (16 &lt; Q &lt; 20m³/s)</t>
  </si>
  <si>
    <t>CONCRETO 25 MPa  (m³)</t>
  </si>
  <si>
    <t>CIMBRAMENTO (m³)</t>
  </si>
  <si>
    <t>LOCAL :</t>
  </si>
  <si>
    <t>TRECHOS Nº</t>
  </si>
  <si>
    <t>DATA :</t>
  </si>
  <si>
    <t>PLANILHA DE DIMENSIONAMENTO DA ESTRUTURA DO PAVIMENTO</t>
  </si>
  <si>
    <t>CATEGORIA</t>
  </si>
  <si>
    <t>TIPO</t>
  </si>
  <si>
    <t>VC</t>
  </si>
  <si>
    <t>VA</t>
  </si>
  <si>
    <t>VTR</t>
  </si>
  <si>
    <t>FUNÇÃO</t>
  </si>
  <si>
    <t>PERÍODO DE PROJETO           (ano)</t>
  </si>
  <si>
    <t>Nº  "N"</t>
  </si>
  <si>
    <t>RESULTADOS DOS ENSAIOS CBR             SUBLEITO</t>
  </si>
  <si>
    <t>FURO 8</t>
  </si>
  <si>
    <t>FURO 11</t>
  </si>
  <si>
    <t>MÉDIA</t>
  </si>
  <si>
    <t>DESVIO PADRÃO</t>
  </si>
  <si>
    <t>CBR CORRIGIDO (SUBLEITO)</t>
  </si>
  <si>
    <t>média p/ cálculo</t>
  </si>
  <si>
    <t>ALTURA                         EQUIVALENTE (cm)</t>
  </si>
  <si>
    <t>H 20</t>
  </si>
  <si>
    <t>Hn</t>
  </si>
  <si>
    <t>Hm</t>
  </si>
  <si>
    <t>ESTRUTURA               DO                     PAVIMENTO                        (cm)</t>
  </si>
  <si>
    <t>REVESTIMENTO</t>
  </si>
  <si>
    <t>CBUQ</t>
  </si>
  <si>
    <t>ESPESSURA</t>
  </si>
  <si>
    <t>k</t>
  </si>
  <si>
    <t>BEG</t>
  </si>
  <si>
    <t>CBR</t>
  </si>
  <si>
    <t>SUB-BASE</t>
  </si>
  <si>
    <t>SBEG</t>
  </si>
  <si>
    <t>≥ 20</t>
  </si>
  <si>
    <t>REFORÇO DO SUBLEITO</t>
  </si>
  <si>
    <t>SUBLEITO</t>
  </si>
  <si>
    <t>VERIFICAÇÃO</t>
  </si>
  <si>
    <t>REVESTIMENTO + BASE</t>
  </si>
  <si>
    <t>H (R+B)</t>
  </si>
  <si>
    <t>VALIDAÇÃO</t>
  </si>
  <si>
    <t>REVESTIMENTO + BASE + SUB-BASE</t>
  </si>
  <si>
    <t>H (R+B+SB)</t>
  </si>
  <si>
    <t>REVESTIMENTO + BASE + SUB-BASE + REFORÇO</t>
  </si>
  <si>
    <t>REVESTIMENTO + BASE + SUBLEITO (100%PI)</t>
  </si>
  <si>
    <t>H (R+B+SL)</t>
  </si>
  <si>
    <t>Local</t>
  </si>
  <si>
    <t>Coletora</t>
  </si>
  <si>
    <t>Arterial</t>
  </si>
  <si>
    <t>PASSEIO COM ACESSIBILIDADE</t>
  </si>
  <si>
    <t>SV/0025</t>
  </si>
  <si>
    <t>E.S.D. (MÊS):</t>
  </si>
  <si>
    <t>E.S.D. (HORA):</t>
  </si>
  <si>
    <t>DR/0200</t>
  </si>
  <si>
    <t>DR/0205</t>
  </si>
  <si>
    <t>SC/0020</t>
  </si>
  <si>
    <t>SC/0040</t>
  </si>
  <si>
    <t>SC/0030</t>
  </si>
  <si>
    <t>DR/0145</t>
  </si>
  <si>
    <t>DR/0150</t>
  </si>
  <si>
    <t>DR/0155</t>
  </si>
  <si>
    <t>DR/0160</t>
  </si>
  <si>
    <t>DR/0165</t>
  </si>
  <si>
    <t>DR/0170</t>
  </si>
  <si>
    <t>DR/0215</t>
  </si>
  <si>
    <t>DR/0235</t>
  </si>
  <si>
    <t>SV/0030</t>
  </si>
  <si>
    <t>BARRACO DE OBRA TIPO CONTAINER (un.mês)</t>
  </si>
  <si>
    <t>SEGURANÇA DE TRÂNSITO - PLACA DE ADVERTÊNCIA (m²)</t>
  </si>
  <si>
    <t>SEGURANÇA DE TRÂNSITO - ELEMENTO LUMINOSO (m)</t>
  </si>
  <si>
    <t>PLANILHA DE QUANTIDADES DE SERVIÇOS PRELIMINARES
PROJETO DE ENGENHARIA</t>
  </si>
  <si>
    <t>IMPLANTAÇÃO ASFÁLTICA (m)</t>
  </si>
  <si>
    <t>RECAPEAMENTO (m)</t>
  </si>
  <si>
    <t>PLANILHA DE QUANTIDADES DE SERVIÇOS DA TERRAPLENAGEM - PROJETO DE ENGENHARIA</t>
  </si>
  <si>
    <t>PLANILHA DE CUBAÇÃO (m³)</t>
  </si>
  <si>
    <t>CORTE</t>
  </si>
  <si>
    <t>CORTE - PREPARO DO SUBLEITO (m³)</t>
  </si>
  <si>
    <t>ATERRO  (GEOMÉTRICO) (m³)</t>
  </si>
  <si>
    <t>REGULARIZAÇÃO</t>
  </si>
  <si>
    <t>MEIO-FIO (GUIA) (m)</t>
  </si>
  <si>
    <t>MEIO-FIO ROTATÓRIA (m)</t>
  </si>
  <si>
    <t>DADOS OBTIDOS NO DESENHO REAL DO PROJETO (MEDIDAS NOS BORDOS)</t>
  </si>
  <si>
    <t>VOLUME GEOMÉTRICO (m³)</t>
  </si>
  <si>
    <t>IMPRIMAÇÃO</t>
  </si>
  <si>
    <t>CAPA - CBUQ</t>
  </si>
  <si>
    <t>PAVER - INTERTRAVADO</t>
  </si>
  <si>
    <t>ESCAVAÇÃO COM RETORNO À PISTA</t>
  </si>
  <si>
    <r>
      <t xml:space="preserve">MANUAL 5% </t>
    </r>
    <r>
      <rPr>
        <b/>
        <sz val="10"/>
        <rFont val="Calibri"/>
        <family val="2"/>
      </rPr>
      <t>Σ</t>
    </r>
    <r>
      <rPr>
        <b/>
        <sz val="8"/>
        <rFont val="Arial"/>
        <family val="2"/>
      </rPr>
      <t xml:space="preserve"> DA ESCAVAÇÃO</t>
    </r>
  </si>
  <si>
    <t>VOLUME ESCAVADO (m³)</t>
  </si>
  <si>
    <t xml:space="preserve">JAZIDA - VOLUME GEOMÉTRICO </t>
  </si>
  <si>
    <t>SOLO IMPORTADO PARA REATERRO (m³)</t>
  </si>
  <si>
    <t>PROFUNDIDADE DA LINHA D'ÁGUA (m)</t>
  </si>
  <si>
    <t>PROFUNDIDADE MONTANTE DA LINHA D'ÁGUA (m)</t>
  </si>
  <si>
    <t>PROFUNDIDADE JUSANTE DA LINHA D'ÁGUA (m)</t>
  </si>
  <si>
    <t>SIM</t>
  </si>
  <si>
    <t>PLANILHA DE QUANTIDADES DE SERVIÇOS DA TERRAPLENAGEM DRENAGEM - PROJETO DE ENGENHARIA</t>
  </si>
  <si>
    <t>PLANILHA DE QUANTIDADES DE SERVIÇOS PRELIMINARES DA DRENAGEM - PROJETO DE ENGENHARIA</t>
  </si>
  <si>
    <t>LARGURA TOTAL (m)</t>
  </si>
  <si>
    <t>ESCAVAÇÃO (TOPO) (m)</t>
  </si>
  <si>
    <t>FAIXA ADCIONAL (m)</t>
  </si>
  <si>
    <t>DEMOLIÇÃO DE PAVIMENTO TUBO DE LIGAÇÃO Ø 0,60m</t>
  </si>
  <si>
    <t>DEMOLIÇÃO MANUAL DE CONCRETO SIMPLES</t>
  </si>
  <si>
    <t>DEMOLIÇÃO MANUAL DE ALVENARIA DE PEDRA</t>
  </si>
  <si>
    <t>DEMOLIÇÃO MANUAL DE CONCRETO ARMADO</t>
  </si>
  <si>
    <t>DEMOLIÇÃO DE PAVIMENTO REDE TRONCO</t>
  </si>
  <si>
    <t>PLANILHA DE QUANTIDADES DE SERVIÇOS ESTRUTURAIS DA DRENAGEM - PROJETO DE ENGENHARIA</t>
  </si>
  <si>
    <t>LASTRO DE PEDRA-DE-MÃO / ENROCAMENTO</t>
  </si>
  <si>
    <t>PLANTIO DE ÁRVORE (un)</t>
  </si>
  <si>
    <t>RECAPEAMENTO - TUBO DE LIGAÇÃO Ø 0,60m</t>
  </si>
  <si>
    <t>RECAPEAMENTO - REDE TRONCO</t>
  </si>
  <si>
    <t>BASE SOLO (%)</t>
  </si>
  <si>
    <t>BASE CASCALHO (%)</t>
  </si>
  <si>
    <t>PESCOÇO / CHAMINÉ Ø 0,60m (m)</t>
  </si>
  <si>
    <t>PLANILHA DE QUANTIDADES DE SERVIÇOS DA DRENAGEM PROFUNDA - PROJETO DE ENGENHARIA</t>
  </si>
  <si>
    <t>GEOSSINTÉTICO</t>
  </si>
  <si>
    <t>PREPARO MANUAL DO TERRENO</t>
  </si>
  <si>
    <t>TACHA REFLETIVA DIRECIONAL</t>
  </si>
  <si>
    <t>TACHÃO REFLETIVA DIRECIONAL</t>
  </si>
  <si>
    <t>QUANT.</t>
  </si>
  <si>
    <t>PREÇO (R$)</t>
  </si>
  <si>
    <t>SUBSTITUIÇÃO DE SOLO POR MATERIAL DE ATERRO</t>
  </si>
  <si>
    <t>Área da placa (m²)</t>
  </si>
  <si>
    <t>Largura (m)</t>
  </si>
  <si>
    <t>Pare (un)</t>
  </si>
  <si>
    <t>Área (m²)</t>
  </si>
  <si>
    <t>Seta (un)</t>
  </si>
  <si>
    <t>Zebrado
Faixa externa (m)</t>
  </si>
  <si>
    <t>Zebrado
Faixa interna (m)</t>
  </si>
  <si>
    <t>TRECHOS</t>
  </si>
  <si>
    <t>TACHAS E TACHÕES (un)</t>
  </si>
  <si>
    <t>VIAS</t>
  </si>
  <si>
    <t>OBRAS / SERVIÇOS</t>
  </si>
  <si>
    <t>PLANILHA DE QUANTIDADES DE SERVIÇOS DE SINALIZAÇÃO VIÁRIA - PROJETO DE ENGENHARIA</t>
  </si>
  <si>
    <t>SOLO INSERVÍVEL  (REMOÇÃO)</t>
  </si>
  <si>
    <t>SUBSTITUIÇÃO DE SOLO POR MATERIAL DE ATERRO (REPOSIÇÃO) (LEMBRAR DO COLCHÃO DE PEDRA)</t>
  </si>
  <si>
    <r>
      <t>TSD</t>
    </r>
    <r>
      <rPr>
        <b/>
        <sz val="8"/>
        <color rgb="FFFF0000"/>
        <rFont val="Arial"/>
        <family val="2"/>
      </rPr>
      <t xml:space="preserve"> (SIM)</t>
    </r>
  </si>
  <si>
    <r>
      <t>I = a.Tr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/ (tc + c)</t>
    </r>
    <r>
      <rPr>
        <vertAlign val="superscript"/>
        <sz val="8"/>
        <rFont val="Arial"/>
        <family val="2"/>
      </rPr>
      <t>d</t>
    </r>
  </si>
  <si>
    <t>DEFLÚVIO
LOCAL
(l/s)</t>
  </si>
  <si>
    <t>VAZÃO A
ESCOAR
(l/s)</t>
  </si>
  <si>
    <r>
      <t>VELOC.       V</t>
    </r>
    <r>
      <rPr>
        <b/>
        <sz val="8"/>
        <rFont val="Calibri"/>
        <family val="2"/>
      </rPr>
      <t>≥0,80    V≤8,00</t>
    </r>
    <r>
      <rPr>
        <b/>
        <sz val="8"/>
        <rFont val="Arial"/>
        <family val="2"/>
      </rPr>
      <t xml:space="preserve">
(m/s)</t>
    </r>
  </si>
  <si>
    <r>
      <t>MÍNIMA Y/H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>85%</t>
    </r>
  </si>
  <si>
    <r>
      <t xml:space="preserve">NORMAL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85%</t>
    </r>
  </si>
  <si>
    <t>H4 &gt; 4,51m</t>
  </si>
  <si>
    <t>H1 &lt; 1,50</t>
  </si>
  <si>
    <t>INFERIOR H &lt; 4,50m (L=2Ø)</t>
  </si>
  <si>
    <t>INFERIOR H &gt; 4,51m (L=3Ø)</t>
  </si>
  <si>
    <t>TOPO (BOCA DA VALA)</t>
  </si>
  <si>
    <t>VERIFICAÇÃO DOS VOLUMES</t>
  </si>
  <si>
    <t>RETORNO E
LIMPA-RODAS</t>
  </si>
  <si>
    <t>VL</t>
  </si>
  <si>
    <t>VI</t>
  </si>
  <si>
    <t>N</t>
  </si>
  <si>
    <t>comercial</t>
  </si>
  <si>
    <t>tipo</t>
  </si>
  <si>
    <r>
      <t>5 x 10</t>
    </r>
    <r>
      <rPr>
        <vertAlign val="superscript"/>
        <sz val="8"/>
        <rFont val="Arial"/>
        <family val="2"/>
      </rPr>
      <t>7</t>
    </r>
  </si>
  <si>
    <r>
      <t>5,4 x 10</t>
    </r>
    <r>
      <rPr>
        <vertAlign val="superscript"/>
        <sz val="8"/>
        <rFont val="Arial"/>
        <family val="2"/>
      </rPr>
      <t>7</t>
    </r>
  </si>
  <si>
    <t>a</t>
  </si>
  <si>
    <r>
      <t>2,7 x 10</t>
    </r>
    <r>
      <rPr>
        <vertAlign val="superscript"/>
        <sz val="8"/>
        <rFont val="Arial"/>
        <family val="2"/>
      </rPr>
      <t>7</t>
    </r>
  </si>
  <si>
    <t>1.001 a 2.000</t>
  </si>
  <si>
    <t>&gt; 10000</t>
  </si>
  <si>
    <t>80 km/h</t>
  </si>
  <si>
    <t>Muito pesado</t>
  </si>
  <si>
    <t>Via de trânsito rápido - rodovia de circulação à área urbana</t>
  </si>
  <si>
    <r>
      <t>1 x 10</t>
    </r>
    <r>
      <rPr>
        <vertAlign val="superscript"/>
        <sz val="8"/>
        <rFont val="Arial"/>
        <family val="2"/>
      </rPr>
      <t>7</t>
    </r>
  </si>
  <si>
    <r>
      <t>1,0 x 10</t>
    </r>
    <r>
      <rPr>
        <vertAlign val="superscript"/>
        <sz val="8"/>
        <rFont val="Arial"/>
        <family val="2"/>
      </rPr>
      <t>7</t>
    </r>
  </si>
  <si>
    <r>
      <t>1,1 x 10</t>
    </r>
    <r>
      <rPr>
        <vertAlign val="superscript"/>
        <sz val="8"/>
        <rFont val="Arial"/>
        <family val="2"/>
      </rPr>
      <t>6</t>
    </r>
  </si>
  <si>
    <t>101 a 1.000</t>
  </si>
  <si>
    <t>1.501 a 10.000</t>
  </si>
  <si>
    <t>60 km/h</t>
  </si>
  <si>
    <t>Pesado</t>
  </si>
  <si>
    <t>Arterial - via de penetração</t>
  </si>
  <si>
    <r>
      <t>4 x 10</t>
    </r>
    <r>
      <rPr>
        <vertAlign val="superscript"/>
        <sz val="8"/>
        <rFont val="Arial"/>
        <family val="2"/>
      </rPr>
      <t>5</t>
    </r>
  </si>
  <si>
    <r>
      <t>6,8 x 10</t>
    </r>
    <r>
      <rPr>
        <vertAlign val="superscript"/>
        <sz val="8"/>
        <rFont val="Arial"/>
        <family val="2"/>
      </rPr>
      <t>5</t>
    </r>
  </si>
  <si>
    <r>
      <t>1,4 x 10</t>
    </r>
    <r>
      <rPr>
        <vertAlign val="superscript"/>
        <sz val="8"/>
        <rFont val="Arial"/>
        <family val="2"/>
      </rPr>
      <t>5</t>
    </r>
  </si>
  <si>
    <t>21 a 100</t>
  </si>
  <si>
    <t>401 a 1.500</t>
  </si>
  <si>
    <t>40 km/h</t>
  </si>
  <si>
    <t>Médio</t>
  </si>
  <si>
    <t>Coletora - via alimentadora das Arteriais</t>
  </si>
  <si>
    <r>
      <t>1 x 10</t>
    </r>
    <r>
      <rPr>
        <vertAlign val="superscript"/>
        <sz val="8"/>
        <rFont val="Arial"/>
        <family val="2"/>
      </rPr>
      <t>5</t>
    </r>
  </si>
  <si>
    <r>
      <t>2,7 x 10</t>
    </r>
    <r>
      <rPr>
        <vertAlign val="superscript"/>
        <sz val="8"/>
        <rFont val="Arial"/>
        <family val="2"/>
      </rPr>
      <t>4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</si>
  <si>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20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</si>
  <si>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400</t>
    </r>
  </si>
  <si>
    <t>30 km/h</t>
  </si>
  <si>
    <t>Leve</t>
  </si>
  <si>
    <t>Local - via de articulação com Coletoras</t>
  </si>
  <si>
    <r>
      <t>1 x 10</t>
    </r>
    <r>
      <rPr>
        <vertAlign val="superscript"/>
        <sz val="8"/>
        <rFont val="Arial"/>
        <family val="2"/>
      </rPr>
      <t>4</t>
    </r>
  </si>
  <si>
    <r>
      <t>1,4 x 10</t>
    </r>
    <r>
      <rPr>
        <vertAlign val="superscript"/>
        <sz val="8"/>
        <rFont val="Arial"/>
        <family val="2"/>
      </rPr>
      <t>4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</si>
  <si>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2</t>
    </r>
  </si>
  <si>
    <t>Interna - via de circulação em condomínio</t>
  </si>
  <si>
    <t>CARACTERÍSTICO</t>
  </si>
  <si>
    <t>CALCULADO</t>
  </si>
  <si>
    <t>COMERCIAL</t>
  </si>
  <si>
    <t>NÚMERO “N” 10 ANOS</t>
  </si>
  <si>
    <t>Fator Equivalente por veículo</t>
  </si>
  <si>
    <t>Período de pojeto (anos)</t>
  </si>
  <si>
    <t>VDM inicial na faixa mais solicitada</t>
  </si>
  <si>
    <t>Velocidade máxima sem sinalização</t>
  </si>
  <si>
    <t>Tráfego previsto</t>
  </si>
  <si>
    <t>Função predominante</t>
  </si>
  <si>
    <t>Tipo de Via</t>
  </si>
  <si>
    <t>PLANILHA DE QUANTIDADES DE SERVIÇOS DA PAVIMENTAÇÃO
PROJETO DE ENGENHARIA</t>
  </si>
  <si>
    <t>E.S.S.M.O.:</t>
  </si>
  <si>
    <t>BDI SERVIÇOS:</t>
  </si>
  <si>
    <t>RE/0030</t>
  </si>
  <si>
    <t>RE/0040</t>
  </si>
  <si>
    <t>RE/0060</t>
  </si>
  <si>
    <t>RE/0070</t>
  </si>
  <si>
    <t>SC/0100</t>
  </si>
  <si>
    <t>SV/0035</t>
  </si>
  <si>
    <t>SV/0040</t>
  </si>
  <si>
    <t>SV/0055</t>
  </si>
  <si>
    <t>SV/0060</t>
  </si>
  <si>
    <t>SV/0070</t>
  </si>
  <si>
    <t>SV/0075</t>
  </si>
  <si>
    <t>SV/0080</t>
  </si>
  <si>
    <t>SV/0100</t>
  </si>
  <si>
    <t>SV/0110</t>
  </si>
  <si>
    <t>SV/0120</t>
  </si>
  <si>
    <t>ADMINISTRAÇÃO LOCAL</t>
  </si>
  <si>
    <t>ST/0070</t>
  </si>
  <si>
    <t>IMPLANTAÇÃO ASFÁLTICA - TERRAPLENAGEM</t>
  </si>
  <si>
    <t>RE/0065</t>
  </si>
  <si>
    <t>observações do boletim</t>
  </si>
  <si>
    <t>IMPLANTAÇÃO ASFÁLTICA - PAVIMENTAÇÃO</t>
  </si>
  <si>
    <t>unitário s/BDI</t>
  </si>
  <si>
    <t>atenção: se preço unitário ficar rosa é pq tem algo de errado no BDI</t>
  </si>
  <si>
    <t>VERIFICAÇÕES</t>
  </si>
  <si>
    <t>Total Geral</t>
  </si>
  <si>
    <t>MECÂNICA ≤ 1,50m (L ≤ 0,80m)</t>
  </si>
  <si>
    <t>MECÂNICA ≤ 1,50m (L &gt; 1,50m)</t>
  </si>
  <si>
    <t>MEC. 1,51 a 3,00m (L &gt; 1,50m)</t>
  </si>
  <si>
    <t>MECÂNICA 3,01 a 4,50m (L ≤ 1,50m)</t>
  </si>
  <si>
    <t>MECÂNICA 3,01 a 4,50m (L &gt; 1,50m)</t>
  </si>
  <si>
    <t>MECÂNICA ≥ 4,51m (L ≤ 1,50m)</t>
  </si>
  <si>
    <t>MECÂNICA ≥ 4,51m (L &gt; 1,50m)</t>
  </si>
  <si>
    <t>TUBO / GALERIA (SEÇÃO EXTERNA)</t>
  </si>
  <si>
    <t>MECÂNICA ≤ 1,50m (0,80m &lt; L ≤ 1,50m)</t>
  </si>
  <si>
    <t>MEC. 1,51 a 3,00m (0,80m &lt; L ≤ 1,50m)</t>
  </si>
  <si>
    <t>ESCAVAÇÃO: H4 &gt; 4,51m</t>
  </si>
  <si>
    <t>ESCAVAÇÃO: H1 &lt; 1,50</t>
  </si>
  <si>
    <t>REATERRO: H4 &gt; 4,51m</t>
  </si>
  <si>
    <t>REATERRO: H1 &lt; 1,50</t>
  </si>
  <si>
    <t>PASSEIO SIMPLES</t>
  </si>
  <si>
    <t>PASSEIO DUPLA</t>
  </si>
  <si>
    <t>PASSEIO TRIPLA</t>
  </si>
  <si>
    <t>CONCRETO SIMPLES</t>
  </si>
  <si>
    <t>CONCRETO DUPLA</t>
  </si>
  <si>
    <t>CONCRETO TRIPLA</t>
  </si>
  <si>
    <t>CIRCULAR</t>
  </si>
  <si>
    <t>COLETORA CC-02</t>
  </si>
  <si>
    <t xml:space="preserve"> CELULAR (BASE) (m)</t>
  </si>
  <si>
    <t>TELA TAPUME</t>
  </si>
  <si>
    <t>EXTENSÃO  (m)</t>
  </si>
  <si>
    <t>VOLUME DE DEMOLIÇÃO (m³)</t>
  </si>
  <si>
    <t>DEMOLIÇÃO MANUAL DE ALVENARIA DE TIJOLO</t>
  </si>
  <si>
    <t>VOLUME DE DEMOLIÇÃO PARA BOTA-FORA (m³)</t>
  </si>
  <si>
    <t xml:space="preserve"> AQUISIÇÃO (%)</t>
  </si>
  <si>
    <r>
      <t xml:space="preserve">BASE ESPESSURA </t>
    </r>
    <r>
      <rPr>
        <b/>
        <sz val="8"/>
        <color rgb="FFFF0000"/>
        <rFont val="Arial"/>
        <family val="2"/>
      </rPr>
      <t>(cm)</t>
    </r>
  </si>
  <si>
    <r>
      <t>PISTA x DEPÓSITO</t>
    </r>
    <r>
      <rPr>
        <b/>
        <sz val="8"/>
        <color rgb="FFFF0000"/>
        <rFont val="Arial"/>
        <family val="2"/>
      </rPr>
      <t xml:space="preserve"> (%) </t>
    </r>
    <r>
      <rPr>
        <b/>
        <sz val="8"/>
        <color rgb="FFFF0000"/>
        <rFont val="Wingdings 3"/>
        <family val="1"/>
        <charset val="2"/>
      </rPr>
      <t>g</t>
    </r>
  </si>
  <si>
    <r>
      <t>ALTURA (m) [V=0;2m&lt;H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3m]</t>
    </r>
  </si>
  <si>
    <t>NATUREZA DO TERRENO</t>
  </si>
  <si>
    <t>PROFUNDIDADE MÉDIA + BOLSA (H)</t>
  </si>
  <si>
    <t>ALTURAS  (m)</t>
  </si>
  <si>
    <t>VOLUME DE REATERRO</t>
  </si>
  <si>
    <t>VOLUME TOTAL DA ESCAVAÇÃO</t>
  </si>
  <si>
    <t>VOLUME TOTAL DO REATERRO</t>
  </si>
  <si>
    <t>SERVIÇOS DE ENGENHARIA</t>
  </si>
  <si>
    <t>composição</t>
  </si>
  <si>
    <t>VOLUME CARGA NO DEPÓSITO (m³)</t>
  </si>
  <si>
    <r>
      <t xml:space="preserve">VOLUME PISTA x DEPÓSITO (m³) (GEOMÉTRICO) </t>
    </r>
    <r>
      <rPr>
        <b/>
        <sz val="8"/>
        <color rgb="FFFF0000"/>
        <rFont val="Calibri"/>
        <family val="2"/>
      </rPr>
      <t>→</t>
    </r>
  </si>
  <si>
    <t>BOTA-DENTRO (PISTA x DEPÓSITO x PISTA)</t>
  </si>
  <si>
    <t>VOLUME EMPOLADO (m³) (10%)</t>
  </si>
  <si>
    <t>ESGOTAMENTO COM MOTO-BOMBA (h)</t>
  </si>
  <si>
    <t xml:space="preserve">AÇO CA-50 Ø 6.3mm  (kg) </t>
  </si>
  <si>
    <t>ALTURA DO RECOBRIMENTO DO TUBO (m)</t>
  </si>
  <si>
    <t>TAMPÃO DE F°F° Ø 60cm</t>
  </si>
  <si>
    <t>SITUAÇÕES DE REPARO / MANUTENÇÃO</t>
  </si>
  <si>
    <r>
      <t xml:space="preserve">TAMPÃO DE F°F° </t>
    </r>
    <r>
      <rPr>
        <b/>
        <sz val="8"/>
        <color rgb="FFFF0000"/>
        <rFont val="Arial"/>
        <family val="2"/>
      </rPr>
      <t>EXTRA</t>
    </r>
    <r>
      <rPr>
        <b/>
        <sz val="8"/>
        <rFont val="Arial"/>
        <family val="2"/>
      </rPr>
      <t xml:space="preserve"> Ø 60cm (un)</t>
    </r>
  </si>
  <si>
    <t>PESCOÇO EXTRA Ø 60cm (m)</t>
  </si>
  <si>
    <t>POÇO DE VISITA
(PV-TIPO)                                                                       (un)</t>
  </si>
  <si>
    <t>CAIXA (un)</t>
  </si>
  <si>
    <t>BOCA DE             LOBO                                                      (un)</t>
  </si>
  <si>
    <t>BOCA DE                                                                           BUEIRO                                          (un)</t>
  </si>
  <si>
    <t>DISSIPADOR
DE ENERGIA                                                                    (un)</t>
  </si>
  <si>
    <t>QUADRO E GRELHA DE FºFº PARA BL</t>
  </si>
  <si>
    <t>TAMPÃO EM FºFº PARA PV</t>
  </si>
  <si>
    <t>SUBSTITUIÇÃO (un)</t>
  </si>
  <si>
    <t>REASSENTAMENTO (un)</t>
  </si>
  <si>
    <t xml:space="preserve">AÇO CA-60 Ø 5.0mm  (kg) </t>
  </si>
  <si>
    <t xml:space="preserve">AÇO CA-50 Ø 8.0mm  (kg) </t>
  </si>
  <si>
    <t xml:space="preserve">AÇO CA-50 Ø 10.0mm  (kg) </t>
  </si>
  <si>
    <t xml:space="preserve">AÇO CA-50 Ø 12.5mm  (kg) </t>
  </si>
  <si>
    <t>CONCRETO CICLÓPICO (m³)</t>
  </si>
  <si>
    <t>VOLUME ESCAVAÇÃO (m³)</t>
  </si>
  <si>
    <t>RECOMPOSIÇÃO (m)</t>
  </si>
  <si>
    <t>MEIO FIO COM SARJETA</t>
  </si>
  <si>
    <t>MEIO FIO SIMPLES (GUIA)</t>
  </si>
  <si>
    <t>SARJETA</t>
  </si>
  <si>
    <t>PINTURA DE LIGAÇÃO</t>
  </si>
  <si>
    <t>EMULSÃO (T) (0,0005T/m²)</t>
  </si>
  <si>
    <t>APLICAÇÃO MANUAL (m³)</t>
  </si>
  <si>
    <t>COMPOSIÇÃO DE CUSTO UNITÁRIO</t>
  </si>
  <si>
    <t>E.Sociais horista:</t>
  </si>
  <si>
    <t>SERVIÇO</t>
  </si>
  <si>
    <t>UNIDADE DO SERVIÇO</t>
  </si>
  <si>
    <t>EQUIPAMENTO</t>
  </si>
  <si>
    <t xml:space="preserve">UN </t>
  </si>
  <si>
    <t>CUSTO</t>
  </si>
  <si>
    <t>CUSTO HORÁRIO DO EQUIPAMENTO</t>
  </si>
  <si>
    <t>MÃO DE OBRA</t>
  </si>
  <si>
    <t>CUSTO HORÁRIO DA MÃO DE OBRA</t>
  </si>
  <si>
    <t>CUSTO UNITÁRIO TOTAL</t>
  </si>
  <si>
    <t>CUSTO UNITÁRIO DA EXECUÇÃO</t>
  </si>
  <si>
    <t>km</t>
  </si>
  <si>
    <t>Nota: Valores internos calculados com maior precisão e truncados para 2 casas decimais no relatório. Instrução normativa do DNIT</t>
  </si>
  <si>
    <t>PRAZO DA OBRA</t>
  </si>
  <si>
    <t>CPU Adm Local</t>
  </si>
  <si>
    <t xml:space="preserve">un </t>
  </si>
  <si>
    <t>Administração local do canteiro de obras</t>
  </si>
  <si>
    <t>BASE COM MISTURA (m³)</t>
  </si>
  <si>
    <t>PAVER PÁTIO 8cm (m²) (180kg/m²)</t>
  </si>
  <si>
    <t>PAVER PÁTIO 10cm (m²) (230kg/m²)</t>
  </si>
  <si>
    <t>PAVER VIA 8cm (m²) (180kg/m²)</t>
  </si>
  <si>
    <t>PAVER VIA 10cm (m²) (230kg/m²)</t>
  </si>
  <si>
    <t>REGULARIZAÇÃO COM MOTONIVELADORA</t>
  </si>
  <si>
    <t>GUIA PARA CANTEIRO</t>
  </si>
  <si>
    <t>CONCRETO 15MPa</t>
  </si>
  <si>
    <t>PLANILHA DE QUANTIDADES DE SERVIÇOS COMPLEMENTARES
PROJETO DE ENGENHARIA</t>
  </si>
  <si>
    <t>FÔRMA</t>
  </si>
  <si>
    <t>AÇO (kg)</t>
  </si>
  <si>
    <t>GUIA PARA CANTEIRO (m)</t>
  </si>
  <si>
    <t>PISO GRAMA TRECHO "B"</t>
  </si>
  <si>
    <t>GRAMA TRECHO "A"</t>
  </si>
  <si>
    <t>GRAMA TRECHO "B"</t>
  </si>
  <si>
    <t>EXTENSÃO (m) (B)</t>
  </si>
  <si>
    <t>LARGURA (m) (B)</t>
  </si>
  <si>
    <t>PREPARO MANUAL  TRECHO "A"</t>
  </si>
  <si>
    <t>PREPARO MANUAL  TRECHO "B"</t>
  </si>
  <si>
    <t>REGULARIZAÇÃO COM MOTO TRECHO "B"</t>
  </si>
  <si>
    <t>CA-60 Ø 5.0mm (0,154 kg/m)</t>
  </si>
  <si>
    <t>CA-50 Ø 6.3mm (0,245kg/m)</t>
  </si>
  <si>
    <t>CA-50 Ø 8.0mm (0,395kg/m)</t>
  </si>
  <si>
    <t>CA-50 Ø 10.0mm (0,617kg/m)</t>
  </si>
  <si>
    <t>CONCRETO 25MPa</t>
  </si>
  <si>
    <t>NÍVEL D'ÁGUA (m)</t>
  </si>
  <si>
    <t>ESCAVAÇÃO: 3,010m &lt; H3 &lt; 4,50m</t>
  </si>
  <si>
    <t>ESCAVAÇÃO: 1,51m &lt; H2 &lt; 3,00m</t>
  </si>
  <si>
    <t>REATERRO: 3,010m &lt; H3 &lt; 4,50m</t>
  </si>
  <si>
    <t>REATERRO: 1,51m &lt; H2 &lt; 3,00m</t>
  </si>
  <si>
    <t>3,01m &lt; H3 &lt; 4,50m</t>
  </si>
  <si>
    <t>1,51m &lt; H2 &lt; 3,00m</t>
  </si>
  <si>
    <t>REATERRO MANUAL</t>
  </si>
  <si>
    <t>REATERRO MECÂNICO</t>
  </si>
  <si>
    <t>ALVENARIA DE 1x (1,75m²/un)</t>
  </si>
  <si>
    <t>CHAPISCO (1,75m²/un)</t>
  </si>
  <si>
    <t>REBOCO (2cm x 1,75m²/un)</t>
  </si>
  <si>
    <t>COLUNA DE AÇO CÔNICA (un)</t>
  </si>
  <si>
    <t>BRAÇO PROJETADO DE AÇO (un)</t>
  </si>
  <si>
    <t>IDENTIFICAÇÃO DE RUA</t>
  </si>
  <si>
    <t>(un)</t>
  </si>
  <si>
    <t>EXTENSÃO INTEIRA DA FAIXA TRACEJADA E OCULTAR</t>
  </si>
  <si>
    <t>ÁREA TOTAL DE PINTURA DE FAIXA (m²)</t>
  </si>
  <si>
    <t>Parada obrigatória (R-1)</t>
  </si>
  <si>
    <t>Veloc. máx. permitida 40km/h (R-19)</t>
  </si>
  <si>
    <t>CAIXA DE PASSAGEM (un)</t>
  </si>
  <si>
    <t>DUTO ESPIRAL FLEXÍVEL Ø 75mm (m)</t>
  </si>
  <si>
    <t>AREIA (m³)</t>
  </si>
  <si>
    <t>PAVER (T)</t>
  </si>
  <si>
    <t>FÓRMULAS</t>
  </si>
  <si>
    <t>FÓRMULA</t>
  </si>
  <si>
    <t>LARGURA DA VALA (m)</t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</si>
  <si>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1,50m)</t>
    </r>
  </si>
  <si>
    <t>ÁREA (m²) 2x (1,50m&lt;L≤2,50m) (H≤1,50m)</t>
  </si>
  <si>
    <t>ÁREA (m²) 2x (L≤1,50m) (1,50m&lt;H≤3,00m)</t>
  </si>
  <si>
    <t>ÁREA (m²) 2x (1,50m&lt;L≤2,50m) (1,50m&lt;H≤3,00m)</t>
  </si>
  <si>
    <t>DATA        :</t>
  </si>
  <si>
    <t>PRAÇA     :</t>
  </si>
  <si>
    <t>OBRA       :</t>
  </si>
  <si>
    <t>Infraestrutura Urbana</t>
  </si>
  <si>
    <t>SV/0065</t>
  </si>
  <si>
    <t>serviço preliminar 1º mês (mínimo)</t>
  </si>
  <si>
    <t>=→</t>
  </si>
  <si>
    <t>PLANILHA DE DADOS DE SERVIÇOS DA TERRAPLENAGEM E DA PAVIMENTAÇÃO - PROJETO DE ENGENHARIA</t>
  </si>
  <si>
    <t>-</t>
  </si>
  <si>
    <t>LASTRO DE BRITA FUNDAÇÃO / LANÇAMENTO</t>
  </si>
  <si>
    <t>ENROCAMENTO FUNDAÇÃO / LANÇAMENTO</t>
  </si>
  <si>
    <t>LASTRO DE BRITA - FUNDAÇÃO NA GALERIA</t>
  </si>
  <si>
    <t>LASTRO DE BRITA - FUNDAÇÃO / LANÇAMENTO DE OBRAS</t>
  </si>
  <si>
    <t>LASTRO DE PEDRA-DE-MÃO / ENROCAMENTO FUNDAÇÃO / LANÇAMENTO / DRENO DE OBRAS</t>
  </si>
  <si>
    <t>LASTRO DE PEDRA-DE-MÃO - FUNDAÇÃO NA GALERIA</t>
  </si>
  <si>
    <t>REATERRO MANUAL/MECÂNICO</t>
  </si>
  <si>
    <t>BOLSA + ESPESSURA</t>
  </si>
  <si>
    <t>MEC. 1,51 a 3,00m (L ≤ 0,80m)</t>
  </si>
  <si>
    <t>SECRETARIA MUNICIPAL DE INFRAESTRUTURA E SERVIÇOS PÚBLICOS - SISEP</t>
  </si>
  <si>
    <t>RESUMO DO ORÇAMENTO</t>
  </si>
  <si>
    <t>PESO (%)</t>
  </si>
  <si>
    <t>QUADRO DE ANÁLISE ESTATÍSTICA</t>
  </si>
  <si>
    <t>TOTAL  DRENAGEM</t>
  </si>
  <si>
    <t>TOTAL RECAPEAMENTO</t>
  </si>
  <si>
    <t>TOTAL PAVIMENTAÇÃO</t>
  </si>
  <si>
    <t xml:space="preserve">CUSTO DA OBRA </t>
  </si>
  <si>
    <t>CLASSIFICAÇÃO</t>
  </si>
  <si>
    <t>ALTURA</t>
  </si>
  <si>
    <t>ÁREA MÉDIA DA VIA DE INTERVENÇÃO (m²)</t>
  </si>
  <si>
    <t xml:space="preserve">LARGURA MÉDIA (m) </t>
  </si>
  <si>
    <t>PERCENTUAL DE REPARO (%)</t>
  </si>
  <si>
    <t>ESPESSURA DA CAMADA (m)</t>
  </si>
  <si>
    <t>ARRANCAMENTO E REMOÇÃO DE TUBULÇÃO (m)</t>
  </si>
  <si>
    <r>
      <t xml:space="preserve">Ø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0,60m</t>
    </r>
  </si>
  <si>
    <t>Ø &gt; 0,60m</t>
  </si>
  <si>
    <t>Ø ≤ 0,60m</t>
  </si>
  <si>
    <t>0,60 (bigode)</t>
  </si>
  <si>
    <t>LARGURA DA BASE (m)</t>
  </si>
  <si>
    <t>LARGURA DO TOPO (m)</t>
  </si>
  <si>
    <r>
      <t>CBUQ ESPESSURA</t>
    </r>
    <r>
      <rPr>
        <b/>
        <sz val="8"/>
        <color rgb="FFFF0000"/>
        <rFont val="Arial"/>
        <family val="2"/>
      </rPr>
      <t xml:space="preserve"> (cm) </t>
    </r>
    <r>
      <rPr>
        <b/>
        <sz val="8"/>
        <color rgb="FF0000FF"/>
        <rFont val="Arial"/>
        <family val="2"/>
      </rPr>
      <t>(TSD e=0)</t>
    </r>
  </si>
  <si>
    <t>VOLUME CONCRETO (m³)</t>
  </si>
  <si>
    <t>PASSEIO SIMPLES - BLSP</t>
  </si>
  <si>
    <t>PASSEIO DUPLA - BLDP</t>
  </si>
  <si>
    <t>PASSEIO TRIPLA - BLTP</t>
  </si>
  <si>
    <t>CONCRETO SIMPLES - BLSC</t>
  </si>
  <si>
    <t>CONCRETO DUPLA - BLDC</t>
  </si>
  <si>
    <t>CONCRETO TRIPLA - BLTC</t>
  </si>
  <si>
    <t>lastro</t>
  </si>
  <si>
    <t>BRITA (m³)</t>
  </si>
  <si>
    <t>DISSIPADOR DE ENERGIA                                                                    (un)</t>
  </si>
  <si>
    <t>S_Preliminares!A1</t>
  </si>
  <si>
    <t>Dre_Terraplenagem!A1</t>
  </si>
  <si>
    <t>Dre_Disp_Estruturais!A1</t>
  </si>
  <si>
    <t>Dre_Fecha_Vala!A1</t>
  </si>
  <si>
    <t>Recap_Previo!A1</t>
  </si>
  <si>
    <t>Recap_Final!A1</t>
  </si>
  <si>
    <t>Pav_Terraplenagem!A1</t>
  </si>
  <si>
    <t>Pav_Estrutura!A1</t>
  </si>
  <si>
    <t>Dre_Profunda!A1</t>
  </si>
  <si>
    <t>Acessibilidade!A1</t>
  </si>
  <si>
    <t>Sinalizacao!A1</t>
  </si>
  <si>
    <t>CPU Adm Local'!A1</t>
  </si>
  <si>
    <t>Rótulos de Linha</t>
  </si>
  <si>
    <t>PLANILHA DE QUANTIDADES DE SERVIÇOS DA TERRAPLENAGEM E DA PAVIMENTAÇÃO DA CICLOVIA - PROJETO DE ENGENHARIA</t>
  </si>
  <si>
    <t xml:space="preserve">LARGURA PISTA (m) </t>
  </si>
  <si>
    <t>REGULARIZAÇÃO         (m²)</t>
  </si>
  <si>
    <t>GUIA PARA CICLOVIA (m)</t>
  </si>
  <si>
    <t>Ciclovia - Parada obrigatória</t>
  </si>
  <si>
    <t>Veloc. máx. permitida 30km/h (R-19)</t>
  </si>
  <si>
    <t>IMPLANTAÇÃO / ADEQUAÇÃO GEOMÉTRICA DE CICLOVIA</t>
  </si>
  <si>
    <t>Ciclovia!A1</t>
  </si>
  <si>
    <t>PREÇO UNITÁRIO (R$)</t>
  </si>
  <si>
    <t>PREÇO TOTAL (R$)</t>
  </si>
  <si>
    <t>CURVA ABC</t>
  </si>
  <si>
    <t>Nº REPETIÇÕES</t>
  </si>
  <si>
    <t>SÓ PODEM SER DELETADAS AS CÉLULAS QUE CONTÉM OS PERCENTAIS DO DESENVOLVIMENTO DOS SERVIÇOS MENSALMENTE</t>
  </si>
  <si>
    <t>SUB-BASE COM MISTURA (m³)</t>
  </si>
  <si>
    <t>LASTRO AREIA ESPESSURA (m)</t>
  </si>
  <si>
    <t>LASTRO AREIA EXTENSÃO (m)</t>
  </si>
  <si>
    <t>LASTRO DE AREIA</t>
  </si>
  <si>
    <t>REATERRO HIDRÁULICO (SIM)</t>
  </si>
  <si>
    <t>MECÂNICO H ≤ 1,50m (L ≤ 0,80m)</t>
  </si>
  <si>
    <t>MECÂNICO H ≤ 1,50m (0,80m &lt; L ≤ 1,50m)</t>
  </si>
  <si>
    <t>MECÂNICO H ≤ 1,50m (L &gt; 1,50m)</t>
  </si>
  <si>
    <t>MEC. 1,50 &lt; H ≤ 3,00m (L ≤ 0,80m)</t>
  </si>
  <si>
    <t>MEC. 1,50 &lt; H ≤ 3,00m (0,80m &lt; L ≤ 1,50m)</t>
  </si>
  <si>
    <t>MEC. 1,50 &lt; H ≤ 3,00m (L &gt; 1,50m)</t>
  </si>
  <si>
    <t>MECÂNICO 3,00 &lt; H  ≤  4,50m (L &gt; 1,50m)</t>
  </si>
  <si>
    <t>MECÂNICO H &gt; 4,50m (L ≤ 1,50m)</t>
  </si>
  <si>
    <t>MECÂNICO H &gt; 4,50m (L &gt; 1,50m)</t>
  </si>
  <si>
    <t>MECÂNICO 3,00 &lt; H  ≤  4,50m (L ≤ 1,50m)</t>
  </si>
  <si>
    <r>
      <t>PMF ESPESSURA</t>
    </r>
    <r>
      <rPr>
        <b/>
        <sz val="8"/>
        <color rgb="FFFF0000"/>
        <rFont val="Arial"/>
        <family val="2"/>
      </rPr>
      <t xml:space="preserve"> (cm) </t>
    </r>
    <r>
      <rPr>
        <b/>
        <sz val="8"/>
        <color rgb="FF0000FF"/>
        <rFont val="Arial"/>
        <family val="2"/>
      </rPr>
      <t>(TSD e=0)</t>
    </r>
  </si>
  <si>
    <t>CBUQ (T) (2,5548 T/m3)</t>
  </si>
  <si>
    <t>BRITA (m³) (0,968m³/m³)</t>
  </si>
  <si>
    <r>
      <t>CBUQ CAP 50-70</t>
    </r>
    <r>
      <rPr>
        <b/>
        <sz val="8"/>
        <color rgb="FFFF0000"/>
        <rFont val="Arial"/>
        <family val="2"/>
      </rPr>
      <t xml:space="preserve"> (SIM)</t>
    </r>
  </si>
  <si>
    <t>ASFALTO DILUÍDO (T) (0,0013T/m²)</t>
  </si>
  <si>
    <t>CAP (T) (6% VOLUME)</t>
  </si>
  <si>
    <t>ROCHA (m)</t>
  </si>
  <si>
    <t>ROCHA</t>
  </si>
  <si>
    <t>VOLUME TOTAL DA ESCAVAÇÃO - SOLO</t>
  </si>
  <si>
    <t>DR/0050</t>
  </si>
  <si>
    <t>FILTRO DE OCULTAR LINHAS VAZIAS</t>
  </si>
  <si>
    <t>AREIA (m³) (0,411m³/m³)</t>
  </si>
  <si>
    <t>BRITA (m³) (0,447m³/T)</t>
  </si>
  <si>
    <t>AREIA (m³) (0,161m³/T)</t>
  </si>
  <si>
    <t>E.Sociais mensalista:</t>
  </si>
  <si>
    <t>RE/0035</t>
  </si>
  <si>
    <t>RECORTE MECÂNICO DO PAVIMENTO (m)</t>
  </si>
  <si>
    <t>CONCEITO</t>
  </si>
  <si>
    <t>PADRÃO FORNCEDIDO PELO CONTRATANTE</t>
  </si>
  <si>
    <t>DETERMINADO NO CRONOGRAMA</t>
  </si>
  <si>
    <t>DIÁRIA</t>
  </si>
  <si>
    <t>OBRA (MÊS)</t>
  </si>
  <si>
    <t>PRODUÇÃO (UMA FRENTE)</t>
  </si>
  <si>
    <t>Soma de PREÇO TOTAL (R$)</t>
  </si>
  <si>
    <t>SOLO</t>
  </si>
  <si>
    <r>
      <t>Ø 0,40m</t>
    </r>
    <r>
      <rPr>
        <b/>
        <sz val="8"/>
        <color rgb="FFFF0000"/>
        <rFont val="Arial"/>
        <family val="2"/>
      </rPr>
      <t xml:space="preserve"> (ROCHA)</t>
    </r>
  </si>
  <si>
    <r>
      <t>Ø 0,60m</t>
    </r>
    <r>
      <rPr>
        <b/>
        <sz val="8"/>
        <color rgb="FFFF0000"/>
        <rFont val="Arial"/>
        <family val="2"/>
      </rPr>
      <t xml:space="preserve"> (ROCHA)</t>
    </r>
  </si>
  <si>
    <t>VOLUME DE LASTROS (JÁ ACRESCENTADO NA MEDIÇÃO ESCAVAÇÃO MECÂNICA)</t>
  </si>
  <si>
    <t>Tubos/Paver/Piso tatil</t>
  </si>
  <si>
    <t>RE/0080</t>
  </si>
  <si>
    <r>
      <t>MICRO 1,5cm</t>
    </r>
    <r>
      <rPr>
        <b/>
        <sz val="8"/>
        <color rgb="FFFF0000"/>
        <rFont val="Arial"/>
        <family val="2"/>
      </rPr>
      <t xml:space="preserve"> (SIM)</t>
    </r>
  </si>
  <si>
    <r>
      <t>MICRO 2,0cm</t>
    </r>
    <r>
      <rPr>
        <b/>
        <sz val="8"/>
        <color rgb="FFFF0000"/>
        <rFont val="Arial"/>
        <family val="2"/>
      </rPr>
      <t xml:space="preserve"> (SIM)</t>
    </r>
  </si>
  <si>
    <r>
      <t xml:space="preserve">APLICAÇÃO MANUAL (m³) (L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2,50m)</t>
    </r>
  </si>
  <si>
    <t>Interna</t>
  </si>
  <si>
    <t>Via de Trânsito Rápido</t>
  </si>
  <si>
    <t>http://www.dtt.ufpr.br/Pavimentacao/Notas/Metodo%20DNER.pdf</t>
  </si>
  <si>
    <t>temos de definir a forma de como considerar o subleito como estrutura do pavimento</t>
  </si>
  <si>
    <r>
      <t>VOLUME DEPÓSITO x PISTA (m³)</t>
    </r>
    <r>
      <rPr>
        <b/>
        <sz val="8"/>
        <color rgb="FFFF0000"/>
        <rFont val="Arial"/>
        <family val="2"/>
      </rPr>
      <t xml:space="preserve"> </t>
    </r>
    <r>
      <rPr>
        <b/>
        <sz val="8"/>
        <color rgb="FFFF0000"/>
        <rFont val="Calibri"/>
        <family val="2"/>
      </rPr>
      <t>←</t>
    </r>
    <r>
      <rPr>
        <b/>
        <sz val="8"/>
        <rFont val="Arial"/>
        <family val="2"/>
      </rPr>
      <t xml:space="preserve">                  (EMPOLADO 25%)</t>
    </r>
  </si>
  <si>
    <t>JAZIDA - VOLUME EMPOLADO (25%)</t>
  </si>
  <si>
    <t>VOLUME GEOMÉTRICO DO REATERRO HIDRÁULICO (MANUAL 30cm + Ø)</t>
  </si>
  <si>
    <t>SOLO (EMPOLADO 25%) (m³)</t>
  </si>
  <si>
    <t>CASCALHO (EMPOLADO 25%) (m³)</t>
  </si>
  <si>
    <r>
      <t>MICRO 0,8cm</t>
    </r>
    <r>
      <rPr>
        <b/>
        <sz val="8"/>
        <color rgb="FFFF0000"/>
        <rFont val="Arial"/>
        <family val="2"/>
      </rPr>
      <t xml:space="preserve"> (SIM)</t>
    </r>
  </si>
  <si>
    <t>AGREGADO (m³) (0,01212m³/m²)</t>
  </si>
  <si>
    <t>AGREGADO (m³) (0,022725m³/m²)</t>
  </si>
  <si>
    <t>AGREGADO (m³) (0,0303m³/m²)</t>
  </si>
  <si>
    <r>
      <t>PMF</t>
    </r>
    <r>
      <rPr>
        <b/>
        <sz val="8"/>
        <color rgb="FFFF0000"/>
        <rFont val="Arial"/>
        <family val="2"/>
      </rPr>
      <t xml:space="preserve"> (SIM)</t>
    </r>
  </si>
  <si>
    <t>APLICAÇÃO (m³)</t>
  </si>
  <si>
    <t>VOLUME RACHÃO (m³) (1,30m³/m³)</t>
  </si>
  <si>
    <r>
      <t>PMF</t>
    </r>
    <r>
      <rPr>
        <sz val="8"/>
        <color rgb="FFFF0000"/>
        <rFont val="Arial"/>
        <family val="2"/>
      </rPr>
      <t xml:space="preserve"> (SIM)</t>
    </r>
  </si>
  <si>
    <r>
      <t xml:space="preserve">CAPA ESPESSURA </t>
    </r>
    <r>
      <rPr>
        <sz val="8"/>
        <color rgb="FFFF0000"/>
        <rFont val="Arial"/>
        <family val="2"/>
      </rPr>
      <t>(cm)</t>
    </r>
  </si>
  <si>
    <t>PROFUNDIDADE DA ROCHA (m)</t>
  </si>
  <si>
    <t>SOLO INSERVÍVEL (m) (EXCETO ROCHA)</t>
  </si>
  <si>
    <t>VOLUME TOTAL</t>
  </si>
  <si>
    <r>
      <t xml:space="preserve">TOTAL  BOTA-FORA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TOTAL DE ESCAVAÇÃO</t>
    </r>
  </si>
  <si>
    <t>SOLO INSERVÍVEL (EXCETO ROCHA)</t>
  </si>
  <si>
    <t>REATERRO HIDRÁULICO</t>
  </si>
  <si>
    <t>VOLUME FINAL DE BOTA-FORA CORRIGO DE SOBREPOSIÇÃO</t>
  </si>
  <si>
    <t>JAZIDA (EMPOLADO 25%) (m³)</t>
  </si>
  <si>
    <t>MICRODRENAGEM - TERRAPLENAGEM</t>
  </si>
  <si>
    <t>MICRODRENAGEM - DISPOSITIVOS AUXILIARES</t>
  </si>
  <si>
    <t>MICRODRENAGEM - SERVIÇOS DE ESTRUTURAS</t>
  </si>
  <si>
    <t>MICRODRENAGEM - RECOMPOSIÇÃO DO PAVIMENTO</t>
  </si>
  <si>
    <t>PLANILHA DE QUANTIDADES DE RECOMPOSIÇÃO DO PAVIMENTO - FECHAMENTO DE VALA DA DRENAGEM - PROJETO DE ENGENHARIA</t>
  </si>
  <si>
    <t>RESTAURAÇÃO DO PAVIMENTO - RECAPEAMENTO ASFÁLTICO</t>
  </si>
  <si>
    <t>PAVIMENTO RÍGIDO</t>
  </si>
  <si>
    <t>PO Nº 02</t>
  </si>
  <si>
    <t>PO Nº 01</t>
  </si>
  <si>
    <t>REVESTIMENTO ASFÁLTICO                          RESUMO</t>
  </si>
  <si>
    <t>CUSTO DIRETO MENSAL :</t>
  </si>
  <si>
    <t>TRAFFIC CALMING</t>
  </si>
  <si>
    <t>LARGURA BASE (m)</t>
  </si>
  <si>
    <t>LARGURA TOPO (m)</t>
  </si>
  <si>
    <r>
      <t xml:space="preserve">ALTURA FUNDAÇÃO </t>
    </r>
    <r>
      <rPr>
        <b/>
        <sz val="8"/>
        <color rgb="FFFF0000"/>
        <rFont val="Arial"/>
        <family val="2"/>
      </rPr>
      <t>(cm)</t>
    </r>
  </si>
  <si>
    <r>
      <t xml:space="preserve">ALTURA T. CALMING </t>
    </r>
    <r>
      <rPr>
        <b/>
        <sz val="8"/>
        <color rgb="FFFF0000"/>
        <rFont val="Arial"/>
        <family val="2"/>
      </rPr>
      <t>(cm)</t>
    </r>
  </si>
  <si>
    <t>EXTENSÃO TOTAL (m)</t>
  </si>
  <si>
    <t>TUBOS (T)</t>
  </si>
  <si>
    <t>arenoso</t>
  </si>
  <si>
    <t>Preferência (un)</t>
  </si>
  <si>
    <t>Dê a Preferência (R-2)</t>
  </si>
  <si>
    <t>Soma de QUANT.2</t>
  </si>
  <si>
    <t>TUTORIAL:</t>
  </si>
  <si>
    <t>2. NA PASTA "Orçamento auxiliar" INSERIR TABELA DINÂMICA</t>
  </si>
  <si>
    <r>
      <t>3. NA PASTA "Planilha</t>
    </r>
    <r>
      <rPr>
        <b/>
        <sz val="8"/>
        <color rgb="FFFF0000"/>
        <rFont val="Arial"/>
        <family val="2"/>
      </rPr>
      <t>Y</t>
    </r>
    <r>
      <rPr>
        <sz val="8"/>
        <rFont val="Arial"/>
        <family val="2"/>
      </rPr>
      <t>" (PLANILHA DINÂMICA) CRIAR A PLANILHA COM AS 4 COLUNAS SEGUINTES:</t>
    </r>
  </si>
  <si>
    <t>Contagem de QUANT.</t>
  </si>
  <si>
    <t>RESUMO - GERAL</t>
  </si>
  <si>
    <t>PARCIAL (%)</t>
  </si>
  <si>
    <t>Σ (%)</t>
  </si>
  <si>
    <t>BACIA:</t>
  </si>
  <si>
    <t>DATA:</t>
  </si>
  <si>
    <t>1-</t>
  </si>
  <si>
    <t>HIDROLÓGICO</t>
  </si>
  <si>
    <t>1.1</t>
  </si>
  <si>
    <t>2-</t>
  </si>
  <si>
    <t>DIMENSIONAMENTO DA CAPACIDADE DE ARMAZENAMENTO DO LAGO</t>
  </si>
  <si>
    <t>2.1</t>
  </si>
  <si>
    <t>Capacidade de detenção:</t>
  </si>
  <si>
    <t>J =  Qa . Tc  .  K  . 60</t>
  </si>
  <si>
    <t>2.2</t>
  </si>
  <si>
    <t>Quadro de estudos de alternativas</t>
  </si>
  <si>
    <t>I</t>
  </si>
  <si>
    <t>II</t>
  </si>
  <si>
    <t>III</t>
  </si>
  <si>
    <t>IV</t>
  </si>
  <si>
    <t>V</t>
  </si>
  <si>
    <t>VII</t>
  </si>
  <si>
    <t>VIII</t>
  </si>
  <si>
    <t>IX</t>
  </si>
  <si>
    <t>X</t>
  </si>
  <si>
    <t>Q saída</t>
  </si>
  <si>
    <t>Redução %</t>
  </si>
  <si>
    <t>e</t>
  </si>
  <si>
    <t>K</t>
  </si>
  <si>
    <t>J (m³)</t>
  </si>
  <si>
    <t>T. detenção (min)</t>
  </si>
  <si>
    <t xml:space="preserve"> </t>
  </si>
  <si>
    <t>3-</t>
  </si>
  <si>
    <t>CAPACIDADE DO VERTEDOR</t>
  </si>
  <si>
    <t>VERTEDOR DE SOLEIRA</t>
  </si>
  <si>
    <t>Altura (m)</t>
  </si>
  <si>
    <t>Largura 1 (m)</t>
  </si>
  <si>
    <t>Largura 2 (m)</t>
  </si>
  <si>
    <t>Largura 3 (m)</t>
  </si>
  <si>
    <t>Largura 4 (m)</t>
  </si>
  <si>
    <t>Largura Total (m)</t>
  </si>
  <si>
    <t>Vazão (m3/s)</t>
  </si>
  <si>
    <t>Vazão (m³/s)</t>
  </si>
  <si>
    <t>BUEIRO TUBULAR - ORIFÍCIO</t>
  </si>
  <si>
    <t>Nº Linhas</t>
  </si>
  <si>
    <t>Seção (m)</t>
  </si>
  <si>
    <t>Velocidade Crítica (m/s)</t>
  </si>
  <si>
    <t>BUEIRO TUBULAR - CANAL</t>
  </si>
  <si>
    <t>Declividade Crítica (%)</t>
  </si>
  <si>
    <t>Base (m)</t>
  </si>
  <si>
    <t>EQUAÇÃO DE CHUVA - IDF</t>
  </si>
  <si>
    <t>Isozona:</t>
  </si>
  <si>
    <t>Trecho</t>
  </si>
  <si>
    <t>Total</t>
  </si>
  <si>
    <t>Área (ha)</t>
  </si>
  <si>
    <t>Tempo de Percurso (min)</t>
  </si>
  <si>
    <t>Quadro dos dados dos afluentes</t>
  </si>
  <si>
    <t xml:space="preserve">C = </t>
  </si>
  <si>
    <t>L =</t>
  </si>
  <si>
    <t xml:space="preserve">Ab = </t>
  </si>
  <si>
    <t>H=J/Ab</t>
  </si>
  <si>
    <t>ORIFÍCIOS NA CAIXA VERTEDORA</t>
  </si>
  <si>
    <t>4-</t>
  </si>
  <si>
    <t>OBRAS DE ARTE CORRENTES - DESCARGAS DE FUNDO</t>
  </si>
  <si>
    <t>BUEIRO CELULAR - ORIFÍCIO</t>
  </si>
  <si>
    <t>BUEIRO CELULAR - CANAL</t>
  </si>
  <si>
    <t>Proposta</t>
  </si>
  <si>
    <t>AMORTECIMENTO 01</t>
  </si>
  <si>
    <t>Quantidade de orifícios</t>
  </si>
  <si>
    <t>Vazão unitária (m³/s)</t>
  </si>
  <si>
    <t>Vazão acumulada (m³/s)</t>
  </si>
  <si>
    <t>Capacide de extravasamento - Atlas Digital - MG:</t>
  </si>
  <si>
    <r>
      <t xml:space="preserve">Q = 1,55 . L . H </t>
    </r>
    <r>
      <rPr>
        <vertAlign val="superscript"/>
        <sz val="10"/>
        <rFont val="Arial"/>
        <family val="2"/>
      </rPr>
      <t>1,42</t>
    </r>
  </si>
  <si>
    <t>VERTEDOR TIPO CAIXA / TULIPA / POÇO VERTICAL</t>
  </si>
  <si>
    <t>Altura NA sobre a crista H (m)</t>
  </si>
  <si>
    <t>Capacide de extravasamento - Manual DNIT:</t>
  </si>
  <si>
    <r>
      <t>Q = 2,791 . b . h . W</t>
    </r>
    <r>
      <rPr>
        <vertAlign val="superscript"/>
        <sz val="10"/>
        <rFont val="Arial"/>
        <family val="2"/>
      </rPr>
      <t>0,5</t>
    </r>
  </si>
  <si>
    <t>Altura da carga hidráulica W (m)</t>
  </si>
  <si>
    <r>
      <t xml:space="preserve">Q = 1,71 . L . H </t>
    </r>
    <r>
      <rPr>
        <vertAlign val="superscript"/>
        <sz val="10"/>
        <rFont val="Arial"/>
        <family val="2"/>
      </rPr>
      <t>1,5</t>
    </r>
  </si>
  <si>
    <t>Capacide de vazão - Manual DNIT:</t>
  </si>
  <si>
    <r>
      <t>Q = 2,192 . Ø² . W</t>
    </r>
    <r>
      <rPr>
        <vertAlign val="superscript"/>
        <sz val="10"/>
        <rFont val="Arial"/>
        <family val="2"/>
      </rPr>
      <t>0,5</t>
    </r>
  </si>
  <si>
    <r>
      <t>Q = 1,705 . b . h</t>
    </r>
    <r>
      <rPr>
        <vertAlign val="superscript"/>
        <sz val="10"/>
        <rFont val="Arial"/>
        <family val="2"/>
      </rPr>
      <t>1,5</t>
    </r>
  </si>
  <si>
    <r>
      <t>Q = 1,533 . Ø</t>
    </r>
    <r>
      <rPr>
        <vertAlign val="superscript"/>
        <sz val="10"/>
        <rFont val="Arial"/>
        <family val="2"/>
      </rPr>
      <t>2,5</t>
    </r>
  </si>
  <si>
    <t>Área da bacia de detenção:</t>
  </si>
  <si>
    <t>K = log (1/e)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</si>
  <si>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</si>
  <si>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</si>
  <si>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</si>
  <si>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</si>
  <si>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</si>
  <si>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</si>
  <si>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</si>
  <si>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</si>
  <si>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</si>
  <si>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</si>
  <si>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</si>
  <si>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</si>
  <si>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</si>
  <si>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</si>
  <si>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</si>
  <si>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</si>
  <si>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</si>
  <si>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</si>
  <si>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</si>
  <si>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</si>
  <si>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</si>
  <si>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</si>
  <si>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</si>
  <si>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</si>
  <si>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</si>
  <si>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</si>
  <si>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</si>
  <si>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</si>
  <si>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</si>
  <si>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</si>
  <si>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</si>
  <si>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</si>
  <si>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</si>
  <si>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</si>
  <si>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</si>
  <si>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</si>
  <si>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</si>
  <si>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</si>
  <si>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BIGODES CONCRETO (m)</t>
  </si>
  <si>
    <t>BIGODES PEAD (m)</t>
  </si>
  <si>
    <r>
      <t>RAMAL CONCRETO Ø 0,40 (m)</t>
    </r>
    <r>
      <rPr>
        <b/>
        <sz val="10"/>
        <color rgb="FFFF0000"/>
        <rFont val="Arial"/>
        <family val="2"/>
      </rPr>
      <t xml:space="preserve"> ROCHA</t>
    </r>
  </si>
  <si>
    <r>
      <t>RAMAL CONCRETO Ø 0,60 (m)</t>
    </r>
    <r>
      <rPr>
        <b/>
        <sz val="10"/>
        <color rgb="FFFF0000"/>
        <rFont val="Arial"/>
        <family val="2"/>
      </rPr>
      <t xml:space="preserve"> ROCHA</t>
    </r>
  </si>
  <si>
    <t>PEAD</t>
  </si>
  <si>
    <t>BIGODES  CONCRETO (m)</t>
  </si>
  <si>
    <r>
      <t xml:space="preserve">RAMAL PEAD Ø 0,40 (m) </t>
    </r>
    <r>
      <rPr>
        <b/>
        <sz val="10"/>
        <color rgb="FFFF0000"/>
        <rFont val="Arial"/>
        <family val="2"/>
      </rPr>
      <t>ROCHA</t>
    </r>
  </si>
  <si>
    <t>P</t>
  </si>
  <si>
    <t>manning P/C/M</t>
  </si>
  <si>
    <r>
      <t>MATERIAL: PEAD(</t>
    </r>
    <r>
      <rPr>
        <b/>
        <sz val="8"/>
        <color rgb="FFFF0000"/>
        <rFont val="Arial"/>
        <family val="2"/>
      </rPr>
      <t>P</t>
    </r>
    <r>
      <rPr>
        <sz val="8"/>
        <rFont val="Arial"/>
        <family val="2"/>
      </rPr>
      <t>) / Concreto(</t>
    </r>
    <r>
      <rPr>
        <b/>
        <sz val="8"/>
        <color rgb="FFFF0000"/>
        <rFont val="Arial"/>
        <family val="2"/>
      </rPr>
      <t>C</t>
    </r>
    <r>
      <rPr>
        <sz val="8"/>
        <rFont val="Arial"/>
        <family val="2"/>
      </rPr>
      <t>) /Metálico(</t>
    </r>
    <r>
      <rPr>
        <b/>
        <sz val="8"/>
        <color rgb="FFFF0000"/>
        <rFont val="Arial"/>
        <family val="2"/>
      </rPr>
      <t>M</t>
    </r>
    <r>
      <rPr>
        <sz val="8"/>
        <rFont val="Arial"/>
        <family val="2"/>
      </rPr>
      <t>)</t>
    </r>
  </si>
  <si>
    <t>SV/0090</t>
  </si>
  <si>
    <t>SIMULAÇÃO DAS OBRAS CONEXAS DA BACIA DE AMORTECIMENTO DE CHEIAS</t>
  </si>
  <si>
    <t>cimento</t>
  </si>
  <si>
    <t>SUB-BASE / BASE</t>
  </si>
  <si>
    <t>VOLUME EMPOLADO BICA CORRIDA (m³) (0,10m³/m³)</t>
  </si>
  <si>
    <t>VOLUME EMPOLADO RACHÃO (m³) (1,30m³/m³)</t>
  </si>
  <si>
    <t>Ponto_Onibus!A1</t>
  </si>
  <si>
    <t>ÁREA DE DEMOLIÇÃO DE PAVIMENTO (m²)</t>
  </si>
  <si>
    <r>
      <t xml:space="preserve">CBUQ (p) CAP 60-85-E </t>
    </r>
    <r>
      <rPr>
        <b/>
        <sz val="8"/>
        <color rgb="FFFF0000"/>
        <rFont val="Arial"/>
        <family val="2"/>
      </rPr>
      <t>(SIM)</t>
    </r>
  </si>
  <si>
    <r>
      <t xml:space="preserve">CAP 60-85-E </t>
    </r>
    <r>
      <rPr>
        <sz val="8"/>
        <color rgb="FFFF0000"/>
        <rFont val="Arial"/>
        <family val="2"/>
      </rPr>
      <t>(SIM)</t>
    </r>
  </si>
  <si>
    <r>
      <t xml:space="preserve">verificação </t>
    </r>
    <r>
      <rPr>
        <sz val="10"/>
        <rFont val="Calibri"/>
        <family val="2"/>
      </rPr>
      <t>Σ</t>
    </r>
    <r>
      <rPr>
        <sz val="10"/>
        <rFont val="Courier"/>
        <family val="2"/>
      </rPr>
      <t xml:space="preserve"> Ø</t>
    </r>
  </si>
  <si>
    <t>Cadência: Traço 1m / Espaçamento 2m</t>
  </si>
  <si>
    <t>Cadência: Traço 1m / Espaçamento 1m</t>
  </si>
  <si>
    <t>SINALIZAÇÃO VIÁRIA DEFINITIVA HORIZONTAL E VERTICAL E DISPOSITIVOS DE SEGURANÇA</t>
  </si>
  <si>
    <t>P-1 / PS-1 / PS-2 / P</t>
  </si>
  <si>
    <t>PS-1 / PA-1 / PA-2 / P</t>
  </si>
  <si>
    <t>CUSTO
HORÁRIO</t>
  </si>
  <si>
    <t>SALÁRIO
BASE</t>
  </si>
  <si>
    <t>CUSTO
UNITÁRIO</t>
  </si>
  <si>
    <t>KR · R + KB · B ≥ H20</t>
  </si>
  <si>
    <t>KR · R + KB · B + KS · h20 ≥ Hn</t>
  </si>
  <si>
    <t>KR · R + KB · B + KS · h20 + Kref · hn ≥ Hm</t>
  </si>
  <si>
    <t>Onde:</t>
  </si>
  <si>
    <t>KR: coeficiente de equivalência estrutural do revestimento</t>
  </si>
  <si>
    <t>R: espessura do revestimento</t>
  </si>
  <si>
    <t>KB: coeficiente de equivalência estrutural da base</t>
  </si>
  <si>
    <t>B: espessura da base</t>
  </si>
  <si>
    <t>H20: espessura de pavimento sobre a sub-base</t>
  </si>
  <si>
    <t>Ks: coeficiente de equivalência estrutural da sub-base</t>
  </si>
  <si>
    <t>h20: espessura da sub-base</t>
  </si>
  <si>
    <t>Hn: espessura do pavimento sobre a camada com IS = n</t>
  </si>
  <si>
    <t>Kref: coeficiente de equivalência estrutural do reforço de subleito</t>
  </si>
  <si>
    <t>hn: espessura do reforço do subleito e</t>
  </si>
  <si>
    <t>Hm: espessura total do pavimento necessária para proteger um material com CBR ou IS igual a m</t>
  </si>
  <si>
    <r>
      <t>tc  = 9,02 + (0,23 log N + 0,05) x [(7011/CBR) – 234,33]</t>
    </r>
    <r>
      <rPr>
        <b/>
        <i/>
        <vertAlign val="superscript"/>
        <sz val="12"/>
        <rFont val="Arial"/>
        <family val="2"/>
      </rPr>
      <t>0,5</t>
    </r>
  </si>
  <si>
    <t>tc: espessura total do pavimento referida a C coberturas, em centímetros;</t>
  </si>
  <si>
    <t>N: número de operações/solicitações de um eixo rodoviário padrão, e</t>
  </si>
  <si>
    <r>
      <t xml:space="preserve">CBR: Índice de Suporte Califórnia da </t>
    </r>
    <r>
      <rPr>
        <b/>
        <sz val="10"/>
        <rFont val="Arial"/>
        <family val="2"/>
      </rPr>
      <t>camada subjacente</t>
    </r>
    <r>
      <rPr>
        <sz val="10"/>
        <rFont val="Arial"/>
        <family val="2"/>
      </rPr>
      <t>.</t>
    </r>
  </si>
  <si>
    <t>BDI INSUMO (*):</t>
  </si>
  <si>
    <t>TOTAL IMPLANTAÇÃO</t>
  </si>
  <si>
    <t>TOTAL SERVIÇOS</t>
  </si>
  <si>
    <t>AÇO CA-60 Ø 4.2mm Malha Q138  (kg) (2,2kg/m²)</t>
  </si>
  <si>
    <t>50 km/h</t>
  </si>
  <si>
    <t>Ônibus (un)</t>
  </si>
  <si>
    <t>Devagar (un)</t>
  </si>
  <si>
    <t>Escola (un)</t>
  </si>
  <si>
    <t>Marcador de área de conflito
Faixa externa (m)</t>
  </si>
  <si>
    <t>Marcador de área de conflito
Faixa interna (m)</t>
  </si>
  <si>
    <t>PLATAFORMA DE EMBARQUE / DESEMBARQUE</t>
  </si>
  <si>
    <t>MEIO-FIO DE PLATAFORMA (m)</t>
  </si>
  <si>
    <t>EMULSÃO RL-1C (T) (0,132T/m³)</t>
  </si>
  <si>
    <t>PA/0035</t>
  </si>
  <si>
    <t>ESPESSURA ESTIMADA (m)</t>
  </si>
  <si>
    <t>LARGURA MÉDIA(m)</t>
  </si>
  <si>
    <t>M</t>
  </si>
  <si>
    <t>TABELA DOS FUROS DE SONDAGENS E ENSAIOS DE SUB-LEITO</t>
  </si>
  <si>
    <t>Nº</t>
  </si>
  <si>
    <t>PROFUNDIDADE
(m)</t>
  </si>
  <si>
    <t>N.A
(m)</t>
  </si>
  <si>
    <t>CLASSIFICAÇÃO
H.R.B</t>
  </si>
  <si>
    <t>DEN. MAX.
Kg/m³</t>
  </si>
  <si>
    <t>HOT
(%)</t>
  </si>
  <si>
    <t>ISC
(%)</t>
  </si>
  <si>
    <t>CLASSIFICAÇÃO DAS CAMADAS</t>
  </si>
  <si>
    <t>Rua 68</t>
  </si>
  <si>
    <t>A-7-5</t>
  </si>
  <si>
    <t>CAPA DE REVESTIMENTO</t>
  </si>
  <si>
    <t>ARGILA SILTOSA MARROM SATURADA</t>
  </si>
  <si>
    <t>Avenida 9 - LD</t>
  </si>
  <si>
    <t>Rua 50</t>
  </si>
  <si>
    <t>Rua 79</t>
  </si>
  <si>
    <t>Rua 84</t>
  </si>
  <si>
    <t>Rua 24</t>
  </si>
  <si>
    <t>Rua 28</t>
  </si>
  <si>
    <t>Rua 22</t>
  </si>
  <si>
    <t>Rua 37</t>
  </si>
  <si>
    <t>Rua Zacarias Mourão</t>
  </si>
  <si>
    <t>Rua Guilherme Vasconcelos Leal</t>
  </si>
  <si>
    <t>Rua Violeta Mello Vieira</t>
  </si>
  <si>
    <t>Avenida 7 - LD</t>
  </si>
  <si>
    <t>Rua 76</t>
  </si>
  <si>
    <t>SP/0050</t>
  </si>
  <si>
    <t>SP/0060</t>
  </si>
  <si>
    <t>SERVIÇOS DE CANTEIRO DE OBRAS</t>
  </si>
  <si>
    <t>SONDAGEM DE INVESTIGAÇÃO DE INTERFERÊNCIA (un)</t>
  </si>
  <si>
    <t>REPARO RAMAL DE LIGAÇÃO DE ÁGUA (un)</t>
  </si>
  <si>
    <t>M2</t>
  </si>
  <si>
    <t>UN</t>
  </si>
  <si>
    <t>M3</t>
  </si>
  <si>
    <t>DRENO GEOCOMPOSTO DRENANTE (m)</t>
  </si>
  <si>
    <t>DRENAGEM PROFUNDA (m)</t>
  </si>
  <si>
    <t>DRENAGEM GALERIA (m)</t>
  </si>
  <si>
    <t>PÁTIO DO CANTEIRO DE OBRAS LIMPEZA DA ÁREA (m²)</t>
  </si>
  <si>
    <t xml:space="preserve"> 1m PARA POR EXTENSÃO DE TAPUME DA DRENAGEM</t>
  </si>
  <si>
    <t>LF/0020</t>
  </si>
  <si>
    <t>LF/0030</t>
  </si>
  <si>
    <t>PROGRAMA :</t>
  </si>
  <si>
    <t>COORDENADAS :</t>
  </si>
  <si>
    <t>DR/0710</t>
  </si>
  <si>
    <t>DR/0720</t>
  </si>
  <si>
    <t>DR/0730</t>
  </si>
  <si>
    <t>DR/0740</t>
  </si>
  <si>
    <t>DR/0750</t>
  </si>
  <si>
    <t>DR/0760</t>
  </si>
  <si>
    <t>DR/0770</t>
  </si>
  <si>
    <t>REGIÃO  URBANA :</t>
  </si>
  <si>
    <t>Faixa da ciclovia  (m)</t>
  </si>
  <si>
    <t>Marcador de Perigo (Passagem ambos os lados)</t>
  </si>
  <si>
    <t>RESTAURAÇÃO DO PAVIMENTO - RECUPERAÇÃO PRÉVIA DO PAVIMENTO</t>
  </si>
  <si>
    <r>
      <t xml:space="preserve">F.01 -  </t>
    </r>
    <r>
      <rPr>
        <b/>
        <sz val="12"/>
        <color rgb="FFFF0000"/>
        <rFont val="Arial"/>
        <family val="2"/>
      </rPr>
      <t>Ensaio</t>
    </r>
  </si>
  <si>
    <r>
      <t xml:space="preserve">F.02 -  </t>
    </r>
    <r>
      <rPr>
        <b/>
        <sz val="12"/>
        <color rgb="FFFF0000"/>
        <rFont val="Arial"/>
        <family val="2"/>
      </rPr>
      <t>Trado</t>
    </r>
  </si>
  <si>
    <r>
      <t xml:space="preserve">F.03 -  </t>
    </r>
    <r>
      <rPr>
        <b/>
        <sz val="12"/>
        <color rgb="FFFF0000"/>
        <rFont val="Arial"/>
        <family val="2"/>
      </rPr>
      <t>Ensaio</t>
    </r>
  </si>
  <si>
    <r>
      <t xml:space="preserve">F.04 -  </t>
    </r>
    <r>
      <rPr>
        <b/>
        <sz val="12"/>
        <color rgb="FFFF0000"/>
        <rFont val="Arial"/>
        <family val="2"/>
      </rPr>
      <t>Ensaio</t>
    </r>
  </si>
  <si>
    <r>
      <t xml:space="preserve">F.05 -  </t>
    </r>
    <r>
      <rPr>
        <b/>
        <sz val="12"/>
        <color rgb="FFFF0000"/>
        <rFont val="Arial"/>
        <family val="2"/>
      </rPr>
      <t>Trado</t>
    </r>
  </si>
  <si>
    <r>
      <t xml:space="preserve">F.06 -  </t>
    </r>
    <r>
      <rPr>
        <b/>
        <sz val="12"/>
        <color rgb="FFFF0000"/>
        <rFont val="Arial"/>
        <family val="2"/>
      </rPr>
      <t>Trado</t>
    </r>
  </si>
  <si>
    <r>
      <t xml:space="preserve">F.07 -  </t>
    </r>
    <r>
      <rPr>
        <b/>
        <sz val="12"/>
        <color rgb="FFFF0000"/>
        <rFont val="Arial"/>
        <family val="2"/>
      </rPr>
      <t>Ensaio</t>
    </r>
  </si>
  <si>
    <r>
      <t xml:space="preserve">F.08-  </t>
    </r>
    <r>
      <rPr>
        <b/>
        <sz val="12"/>
        <color rgb="FFFF0000"/>
        <rFont val="Arial"/>
        <family val="2"/>
      </rPr>
      <t>Trado</t>
    </r>
  </si>
  <si>
    <r>
      <t xml:space="preserve">F.09 -  </t>
    </r>
    <r>
      <rPr>
        <b/>
        <sz val="12"/>
        <color rgb="FFFF0000"/>
        <rFont val="Arial"/>
        <family val="2"/>
      </rPr>
      <t>Ensaio</t>
    </r>
  </si>
  <si>
    <r>
      <t xml:space="preserve">F.10 -  </t>
    </r>
    <r>
      <rPr>
        <b/>
        <sz val="12"/>
        <color rgb="FFFF0000"/>
        <rFont val="Arial"/>
        <family val="2"/>
      </rPr>
      <t>Trado</t>
    </r>
  </si>
  <si>
    <r>
      <t xml:space="preserve">F.11 -  </t>
    </r>
    <r>
      <rPr>
        <b/>
        <sz val="12"/>
        <color rgb="FFFF0000"/>
        <rFont val="Arial"/>
        <family val="2"/>
      </rPr>
      <t>Ensaio</t>
    </r>
  </si>
  <si>
    <r>
      <t xml:space="preserve">F.12 -  </t>
    </r>
    <r>
      <rPr>
        <b/>
        <sz val="12"/>
        <color rgb="FFFF0000"/>
        <rFont val="Arial"/>
        <family val="2"/>
      </rPr>
      <t>Trado</t>
    </r>
  </si>
  <si>
    <r>
      <t xml:space="preserve">F.13 -  </t>
    </r>
    <r>
      <rPr>
        <b/>
        <sz val="12"/>
        <color rgb="FFFF0000"/>
        <rFont val="Arial"/>
        <family val="2"/>
      </rPr>
      <t>Ensaio</t>
    </r>
  </si>
  <si>
    <r>
      <t xml:space="preserve">F.14 -  </t>
    </r>
    <r>
      <rPr>
        <b/>
        <sz val="12"/>
        <color rgb="FFFF0000"/>
        <rFont val="Arial"/>
        <family val="2"/>
      </rPr>
      <t>Trado</t>
    </r>
  </si>
  <si>
    <r>
      <t xml:space="preserve">F.15 -  </t>
    </r>
    <r>
      <rPr>
        <b/>
        <sz val="12"/>
        <color rgb="FFFF0000"/>
        <rFont val="Arial"/>
        <family val="2"/>
      </rPr>
      <t>Ensaio</t>
    </r>
  </si>
  <si>
    <r>
      <t xml:space="preserve">F.16 -  </t>
    </r>
    <r>
      <rPr>
        <b/>
        <sz val="12"/>
        <color rgb="FFFF0000"/>
        <rFont val="Arial"/>
        <family val="2"/>
      </rPr>
      <t>Ensaio</t>
    </r>
  </si>
  <si>
    <r>
      <t xml:space="preserve">F.17 -  </t>
    </r>
    <r>
      <rPr>
        <b/>
        <sz val="12"/>
        <color rgb="FFFF0000"/>
        <rFont val="Arial"/>
        <family val="2"/>
      </rPr>
      <t>Ensaio</t>
    </r>
  </si>
  <si>
    <r>
      <t xml:space="preserve">F.18 -  </t>
    </r>
    <r>
      <rPr>
        <b/>
        <sz val="12"/>
        <color rgb="FFFF0000"/>
        <rFont val="Arial"/>
        <family val="2"/>
      </rPr>
      <t>Ensaio</t>
    </r>
  </si>
  <si>
    <r>
      <t xml:space="preserve">F.19 -  </t>
    </r>
    <r>
      <rPr>
        <b/>
        <sz val="12"/>
        <color rgb="FFFF0000"/>
        <rFont val="Arial"/>
        <family val="2"/>
      </rPr>
      <t>Ensaio</t>
    </r>
  </si>
  <si>
    <r>
      <t xml:space="preserve">F.20 -  </t>
    </r>
    <r>
      <rPr>
        <b/>
        <sz val="12"/>
        <color rgb="FFFF0000"/>
        <rFont val="Arial"/>
        <family val="2"/>
      </rPr>
      <t>Ensaio</t>
    </r>
  </si>
  <si>
    <t>PÁTIO DO CANTEIRO DE OBRAS CERCAMENTO DA ÁREA (m)</t>
  </si>
  <si>
    <t>PFIU001</t>
  </si>
  <si>
    <t>PFIU002</t>
  </si>
  <si>
    <t>ETG0001</t>
  </si>
  <si>
    <t>ET0001</t>
  </si>
  <si>
    <t>ET0002</t>
  </si>
  <si>
    <t>EG0001</t>
  </si>
  <si>
    <t>EG0005</t>
  </si>
  <si>
    <t>EG0006</t>
  </si>
  <si>
    <t>EG0007</t>
  </si>
  <si>
    <t>EG0011</t>
  </si>
  <si>
    <t>EG0012</t>
  </si>
  <si>
    <t>EG0014</t>
  </si>
  <si>
    <t>EHAU001</t>
  </si>
  <si>
    <t>EHAU002</t>
  </si>
  <si>
    <t>PIU0001</t>
  </si>
  <si>
    <t>PIU0003</t>
  </si>
  <si>
    <t>PIU0004</t>
  </si>
  <si>
    <t>PIU0005</t>
  </si>
  <si>
    <t>PIU0006</t>
  </si>
  <si>
    <t>PIU0008</t>
  </si>
  <si>
    <t>PIU0009</t>
  </si>
  <si>
    <t>PIU0010</t>
  </si>
  <si>
    <t>PIU0011</t>
  </si>
  <si>
    <t>PRIU002</t>
  </si>
  <si>
    <t>PRIU003</t>
  </si>
  <si>
    <t>PEPC001</t>
  </si>
  <si>
    <t>BASE BRITA GRADUADA (%)</t>
  </si>
  <si>
    <t>BRITA GRADUADA (EMPOLADA 46,67%) (m³)</t>
  </si>
  <si>
    <t>Marcador de Perigo (Passagem pela esquerda ou direita)</t>
  </si>
  <si>
    <t>Veloc. máx. permitida 50km/h (R-19)</t>
  </si>
  <si>
    <t>Faixa de Pedestre (m)</t>
  </si>
  <si>
    <t>Faixa de Retenção (m)</t>
  </si>
  <si>
    <t>Piso da ciclovia (m²)</t>
  </si>
  <si>
    <t>Piso da ciclofaixa (m²)</t>
  </si>
  <si>
    <t>TOTAL DE PLACAS (un)</t>
  </si>
  <si>
    <t>F</t>
  </si>
  <si>
    <t>PLACAS FIXADAS EM BRAÇO PROJETADO METÁLICO</t>
  </si>
  <si>
    <t>Faixa Tracejada Pista (m)</t>
  </si>
  <si>
    <t>Faixa Tracejada Estacionamento (m)</t>
  </si>
  <si>
    <t>Faixa Contínua Alto Relevo (m)</t>
  </si>
  <si>
    <t>Faixa Contínua (m)</t>
  </si>
  <si>
    <t>SINALIZAÇÃO SEMAFÓRICA DISPOSITIVOS AUXILIARES</t>
  </si>
  <si>
    <t>SOMARPRODUTO(($E2:$E42)*(H2:H42))</t>
  </si>
  <si>
    <t>TOTAL DE POSTE (COLUNA) SIMPLES (un)</t>
  </si>
  <si>
    <t>2,00x1,00</t>
  </si>
  <si>
    <t>POSTE (COLUNA) SIMPLES (un)</t>
  </si>
  <si>
    <t>ÁREA TOTAL DE PINTURA DE MARCAS NO PAVIMENTO (m²)</t>
  </si>
  <si>
    <r>
      <rPr>
        <b/>
        <sz val="12"/>
        <rFont val="Arial"/>
        <family val="2"/>
      </rPr>
      <t>PINTURA DE FAIXA</t>
    </r>
    <r>
      <rPr>
        <b/>
        <sz val="10"/>
        <rFont val="Arial"/>
        <family val="2"/>
      </rPr>
      <t xml:space="preserve">
</t>
    </r>
    <r>
      <rPr>
        <b/>
        <sz val="8"/>
        <rFont val="Arial"/>
        <family val="2"/>
      </rPr>
      <t>TERMOPLÁSTICO EM ALTO RELEVO TIPO II - RELEVO SIMPLES RANHURADO</t>
    </r>
  </si>
  <si>
    <t>ÁREA TOTAL DE PINTURA NO PAVIMENTO (m²)</t>
  </si>
  <si>
    <t>TOTAL PLACAS (GT/GT) (m²)</t>
  </si>
  <si>
    <t>PLACAS FIXADAS EM POSTE (COLUNA) SIMPLES (x2)</t>
  </si>
  <si>
    <t>TOTAL PLACAS (AI/AI) (m²)</t>
  </si>
  <si>
    <t>Cadência: Traço 0,40m / Espaçamento 0,40m</t>
  </si>
  <si>
    <r>
      <t xml:space="preserve">PINTURA DE PISO PARA CICLOFAIXA
</t>
    </r>
    <r>
      <rPr>
        <b/>
        <sz val="8"/>
        <rFont val="Arial"/>
        <family val="2"/>
      </rPr>
      <t>PLÁSTICO À FRIO BICOMPONENTE À BASE DE RESINAS METACRÍLICAS</t>
    </r>
  </si>
  <si>
    <r>
      <t xml:space="preserve">NÍVEL DE INTERFERÊNCIA: ALTO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ou BAIXO </t>
    </r>
    <r>
      <rPr>
        <b/>
        <sz val="8"/>
        <color rgb="FFFF0000"/>
        <rFont val="Arial"/>
        <family val="2"/>
      </rPr>
      <t>(2)</t>
    </r>
  </si>
  <si>
    <r>
      <t>RAMAL CONCRETO Ø 0,40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baixa inter.</t>
    </r>
  </si>
  <si>
    <r>
      <t>RAMAL CONCRETO Ø 0,40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alta inter.</t>
    </r>
  </si>
  <si>
    <r>
      <t>RAMAL CONCRETO Ø 0,60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baixa inter.</t>
    </r>
  </si>
  <si>
    <r>
      <t>RAMAL CONCRETO Ø 0,60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alta inter.</t>
    </r>
  </si>
  <si>
    <r>
      <t xml:space="preserve">RAMAL PEAD Ø 0,40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baixa inter.</t>
    </r>
  </si>
  <si>
    <r>
      <t xml:space="preserve">RAMAL PEAD Ø 0,40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alta inter.</t>
    </r>
  </si>
  <si>
    <r>
      <t>Ø 0,40m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BAIXA INTERFERÊNCIA</t>
    </r>
  </si>
  <si>
    <r>
      <t>Ø 0,40m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ALTA INTERFERÊNCIA</t>
    </r>
  </si>
  <si>
    <r>
      <t>Ø 0,60m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BAIXA INTERFERÊNCIA</t>
    </r>
  </si>
  <si>
    <r>
      <t>Ø 0,60m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ALTA INTERFERÊNCIA</t>
    </r>
  </si>
  <si>
    <t>BLINDAGEM</t>
  </si>
  <si>
    <t>BLINDAGEM H &lt; 4,50m (L&gt;1,50m)</t>
  </si>
  <si>
    <t>BLINDAGEM H &gt; 4,51m (L&gt;1,50m)</t>
  </si>
  <si>
    <t>TESTE PARA LARGURA MÍNIMA DA BASE COM BLINDAGEM (m)</t>
  </si>
  <si>
    <r>
      <t>BLINDAGEM</t>
    </r>
    <r>
      <rPr>
        <b/>
        <sz val="8"/>
        <color rgb="FFFF0000"/>
        <rFont val="Arial"/>
        <family val="2"/>
      </rPr>
      <t xml:space="preserve"> (acima da blindagem talude 3:1)</t>
    </r>
  </si>
  <si>
    <t xml:space="preserve">ESCAVAÇÃO NÍVEL ALTA INTERFERÊNCIA (m³)                                                                                                                                                                                                                           </t>
  </si>
  <si>
    <r>
      <t xml:space="preserve">ESCAVAÇÃO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</si>
  <si>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r>
      <t xml:space="preserve">ESCAVAÇÃO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                (m³)                                                                          </t>
    </r>
  </si>
  <si>
    <r>
      <t xml:space="preserve">ESCAVAÇÃO (m³)                                                        </t>
    </r>
    <r>
      <rPr>
        <b/>
        <sz val="8"/>
        <color rgb="FFFF0000"/>
        <rFont val="Arial"/>
        <family val="2"/>
      </rPr>
      <t xml:space="preserve">(cálculo total)                                                   </t>
    </r>
    <r>
      <rPr>
        <b/>
        <sz val="8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</si>
  <si>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 xml:space="preserve">REATERRO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</si>
  <si>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t xml:space="preserve">REATERRO DE VALA (m³)                                                                          </t>
  </si>
  <si>
    <r>
      <t xml:space="preserve">REATERRO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</si>
  <si>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t>VERIFICAÇÃO DA ESCAVAÇÃO</t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</si>
  <si>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3,00m)</t>
    </r>
  </si>
  <si>
    <t>ÁREA (m²) 2x (1,50m&lt;L≤2,50m) (H≤3,00m)</t>
  </si>
  <si>
    <t>ALTURA (m) [V=0;H&gt;3,0m]</t>
  </si>
  <si>
    <t>ALTURA DA BLINDAGEM (m)</t>
  </si>
  <si>
    <t>PROFUNDIDADE DA VALA (m)</t>
  </si>
  <si>
    <t>ÁREA (m²) 2x (1,50m&lt;L≤2,50m) (H&gt;3,00m)</t>
  </si>
  <si>
    <t>BASE ≤ 1,50m (m²)</t>
  </si>
  <si>
    <t>BASE &gt; 1,50m (m²)</t>
  </si>
  <si>
    <r>
      <t xml:space="preserve">TUBOS PS-1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</si>
  <si>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PS-1 (m)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</si>
  <si>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0,40 (bigode)</t>
  </si>
  <si>
    <r>
      <t>Ø 0,40m</t>
    </r>
    <r>
      <rPr>
        <b/>
        <sz val="8"/>
        <color rgb="FFFF0000"/>
        <rFont val="Arial"/>
        <family val="2"/>
      </rPr>
      <t xml:space="preserve"> (ROCHA)</t>
    </r>
    <r>
      <rPr>
        <b/>
        <sz val="8"/>
        <rFont val="Arial"/>
        <family val="2"/>
      </rPr>
      <t xml:space="preserve"> ALTA INTERFERÊNCIA</t>
    </r>
  </si>
  <si>
    <r>
      <t xml:space="preserve">GALERIA CELULAR OU ADUELA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</si>
  <si>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t>REFORMA BLS</t>
  </si>
  <si>
    <t>REFORMA BLD</t>
  </si>
  <si>
    <t>REFORMA BLT</t>
  </si>
  <si>
    <t>ESTUDO DAS ALTURAS INTERNAS DOS PV'S / ACRÉSCIMO / ANTECÂMARA / PESCOÇO</t>
  </si>
  <si>
    <t>PV MONTANTE (m)</t>
  </si>
  <si>
    <t>PROFUN.</t>
  </si>
  <si>
    <t>MONTANTE               C</t>
  </si>
  <si>
    <t>MONTANTE               A</t>
  </si>
  <si>
    <t>MONTANTE               B</t>
  </si>
  <si>
    <t>FUNDO COTA</t>
  </si>
  <si>
    <t>COTA DA GERATRIZ SUPERIOR GALERIA (GSG) TUBO + VERGA (m)</t>
  </si>
  <si>
    <t>GSG + VERGA</t>
  </si>
  <si>
    <t>PROJETO TIPO</t>
  </si>
  <si>
    <t>ALTURA INTERNA DO PV (m)</t>
  </si>
  <si>
    <t>ALTURA DO ACRÉSCIMO (m)</t>
  </si>
  <si>
    <t>ANTECÂMARA (un)</t>
  </si>
  <si>
    <t>ANTE-                    CÂMARA                               (un)</t>
  </si>
  <si>
    <t>PESCOÇO / CHAMINÉ (m)</t>
  </si>
  <si>
    <t>EXECUÇÃO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</si>
  <si>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</si>
  <si>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</si>
  <si>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</si>
  <si>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</si>
  <si>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</si>
  <si>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</si>
  <si>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</si>
  <si>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</si>
  <si>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</si>
  <si>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</si>
  <si>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</si>
  <si>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</si>
  <si>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</si>
  <si>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</si>
  <si>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</si>
  <si>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</si>
  <si>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</si>
  <si>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</si>
  <si>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</si>
  <si>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</si>
  <si>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</si>
  <si>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</si>
  <si>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</si>
  <si>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</si>
  <si>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</si>
  <si>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</si>
  <si>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</si>
  <si>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</si>
  <si>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</si>
  <si>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</si>
  <si>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</si>
  <si>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ACÉSCIMO DE POÇO                                           DE VISITA
(APV-TIPO)                                                                       (m)</t>
  </si>
  <si>
    <t>TAMPÃO DE F°F° Ø 60cm (un)</t>
  </si>
  <si>
    <r>
      <t xml:space="preserve">TUBOS   PA-1              (m)          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</si>
  <si>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PA-1              (m)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</si>
  <si>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</si>
  <si>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</si>
  <si>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</si>
  <si>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</si>
  <si>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com. Magro</t>
  </si>
  <si>
    <t>fck 15 Mpa</t>
  </si>
  <si>
    <t>fck 20 Mpa</t>
  </si>
  <si>
    <t>fck 25 Mpa</t>
  </si>
  <si>
    <t>ciclópico</t>
  </si>
  <si>
    <t>forma</t>
  </si>
  <si>
    <t>chapisco</t>
  </si>
  <si>
    <t>con. Magro</t>
  </si>
  <si>
    <t>argamassa 1:4</t>
  </si>
  <si>
    <t>argamassa 1:3</t>
  </si>
  <si>
    <t>PASSAGEM CP-02</t>
  </si>
  <si>
    <t>PASSAGEM CP-03</t>
  </si>
  <si>
    <t>chapa 10x</t>
  </si>
  <si>
    <t>chapa 6x</t>
  </si>
  <si>
    <t>tábua 4x</t>
  </si>
  <si>
    <t>cimento (kg)</t>
  </si>
  <si>
    <t>areia (m3)</t>
  </si>
  <si>
    <t>pedra (m3)</t>
  </si>
  <si>
    <t>aço (kg)</t>
  </si>
  <si>
    <t>tijolo cerâmico (un)</t>
  </si>
  <si>
    <t>tábua 2x</t>
  </si>
  <si>
    <t>cimbramento</t>
  </si>
  <si>
    <t>graute</t>
  </si>
  <si>
    <t>CONCRETO MAGRO  (m³)</t>
  </si>
  <si>
    <t>chapa 2x</t>
  </si>
  <si>
    <t>BRITA/PEDRA DE MÃO/RACHÃO (m³)</t>
  </si>
  <si>
    <t>CIMENTO (T)</t>
  </si>
  <si>
    <t>AÇO (T)</t>
  </si>
  <si>
    <t>FORMA (T)</t>
  </si>
  <si>
    <t>bloco de concreto 14x19x29 (un)</t>
  </si>
  <si>
    <t>GRAMA (T)</t>
  </si>
  <si>
    <t>BLOCO CONCRETO ESTRUTURAL (T)</t>
  </si>
  <si>
    <t>TIJOLO CERÂMICO MACIÇO (T)</t>
  </si>
  <si>
    <t>FÔRMA (m²) (CÓD. SINAPI 92415)</t>
  </si>
  <si>
    <t>RECAPEAMENTO - TUBO DE LIGAÇÃO Ø0,40m</t>
  </si>
  <si>
    <t>DEMOLIÇÃO DE PAVIMENTO TUBO DE LIGAÇÃO Ø 0,40m</t>
  </si>
  <si>
    <t>EXTENSÃO TRONCO  (m)</t>
  </si>
  <si>
    <t>EXTENSÃO BIGODES (m)</t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</si>
  <si>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SIMPLES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</si>
  <si>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SIMPLES</t>
    </r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</si>
  <si>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ARMADO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</si>
  <si>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ARMADO</t>
    </r>
  </si>
  <si>
    <t>ÁREA DE REMOÇÃO (m²)</t>
  </si>
  <si>
    <t>PLANILHA DE QUANTIDADES DE SERVIÇOS PRELIMINARES DE REMOÇÕES, DEMOLIÇÕES E SUPRESSÕES - PROJETO DE ENGENHARIA</t>
  </si>
  <si>
    <t>ÁREA DE DEMOLIÇÃO (m²)</t>
  </si>
  <si>
    <t>TRANSPORTE DE ENTULHO (m³)</t>
  </si>
  <si>
    <r>
      <t xml:space="preserve">REMOÇÃO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PISO DE BLOCO DE CONCRETO</t>
    </r>
  </si>
  <si>
    <t>CORTE RASO E RECORTE DE ÁRVORE (un)</t>
  </si>
  <si>
    <t>Ø &lt; 0,20m</t>
  </si>
  <si>
    <t>PODA EM ALTURA DE ÁRVORE (un)</t>
  </si>
  <si>
    <t>EXTENSÃO MÉDIA     (m)</t>
  </si>
  <si>
    <t>LARGURA MÉDIA     (m)</t>
  </si>
  <si>
    <t>ESPESSURA MÉDIA (m)</t>
  </si>
  <si>
    <t>REMOÇÃO DE RAÍZES REMANESC. DE TRONCO DE ÁRVORE (un)</t>
  </si>
  <si>
    <t xml:space="preserve">LARGURA MÉDIA DA VIA (m) </t>
  </si>
  <si>
    <t xml:space="preserve">CORREÇÃO DE DEFEITOS POR FRESAGEM </t>
  </si>
  <si>
    <t>REMENDO PROFUNDO</t>
  </si>
  <si>
    <t>REMENDO                                                             SUPERFICIAL                                  TAPA BURADO</t>
  </si>
  <si>
    <t>REMOÇÃO MECANIZADA DE REVESTIMENTO BETUMINOSO</t>
  </si>
  <si>
    <t>EXTENSÃO MÉDIA (m)</t>
  </si>
  <si>
    <t>REMOÇÃO MECANIZADA DE CAMADA GRANULAR DO PAVIMENTO</t>
  </si>
  <si>
    <t>ÁREA 1 (m²)</t>
  </si>
  <si>
    <t>ÁREA 2 (m²)</t>
  </si>
  <si>
    <t>ÁREA 3 (m²)</t>
  </si>
  <si>
    <t>ÁREA 4 (m²)</t>
  </si>
  <si>
    <r>
      <t>ESPESSURA MÉDIA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</si>
  <si>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ÁREA TOTAL (m²)</t>
  </si>
  <si>
    <t>VOLUME BASE (m³)</t>
  </si>
  <si>
    <r>
      <t xml:space="preserve">RECOMPOSIÇÃO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BASE PARA PAVIMENTAÇÃO </t>
    </r>
  </si>
  <si>
    <t>CASCALHO EMPOLADO (25%)</t>
  </si>
  <si>
    <t>FRESAGEM DO REVESTIMENTO</t>
  </si>
  <si>
    <r>
      <t xml:space="preserve">EXECUÇÃO: </t>
    </r>
    <r>
      <rPr>
        <b/>
        <sz val="8"/>
        <color rgb="FFFF0000"/>
        <rFont val="Arial"/>
        <family val="2"/>
      </rPr>
      <t>MOTO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VIBRO</t>
    </r>
  </si>
  <si>
    <t>APLICAÇÃO COM MOTO (m³)</t>
  </si>
  <si>
    <t>APLICAÇÃO COM VIBRO (m³)</t>
  </si>
  <si>
    <t>ENTULHO (m³)</t>
  </si>
  <si>
    <t>PLANILHA DE QUANTIDADES DE SERVIÇOS DE RESTAURAÇÃO - RECUPERAÇÃO PRÉVIA DO PAVIMENTO - PROJETO DE ENGENHARIA</t>
  </si>
  <si>
    <r>
      <t xml:space="preserve">0,20m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0,40m</t>
    </r>
  </si>
  <si>
    <r>
      <t xml:space="preserve">0,40m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0,60m</t>
    </r>
  </si>
  <si>
    <r>
      <t xml:space="preserve">Ø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0,60m</t>
    </r>
  </si>
  <si>
    <r>
      <t xml:space="preserve">MANUAL 5% </t>
    </r>
    <r>
      <rPr>
        <b/>
        <sz val="8"/>
        <rFont val="Calibri"/>
        <family val="2"/>
      </rPr>
      <t>Σ</t>
    </r>
    <r>
      <rPr>
        <b/>
        <sz val="8"/>
        <rFont val="Arial"/>
        <family val="2"/>
      </rPr>
      <t xml:space="preserve"> DA ESCAVAÇÃO</t>
    </r>
  </si>
  <si>
    <t>TAMPÃO EM FºFº Ø 600mm PARA PV</t>
  </si>
  <si>
    <t>TAMPÃO EM FºFº PARA REGISTRO DE ÁGUA</t>
  </si>
  <si>
    <t>IMPLANTAÇÃO (un)</t>
  </si>
  <si>
    <t>areia (m³)</t>
  </si>
  <si>
    <t>pedra (m³)</t>
  </si>
  <si>
    <t>DEMOLIÇÃO (m)</t>
  </si>
  <si>
    <t>RECICLAGEM / RECONSTRUÇÃO</t>
  </si>
  <si>
    <r>
      <t xml:space="preserve">EXECUÇÃO: </t>
    </r>
    <r>
      <rPr>
        <b/>
        <sz val="8"/>
        <color rgb="FFFF0000"/>
        <rFont val="Arial"/>
        <family val="2"/>
      </rPr>
      <t>SIMPLES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 xml:space="preserve">CIMENTO </t>
    </r>
    <r>
      <rPr>
        <b/>
        <sz val="8"/>
        <rFont val="Arial"/>
        <family val="2"/>
      </rPr>
      <t>OU</t>
    </r>
    <r>
      <rPr>
        <b/>
        <sz val="8"/>
        <color rgb="FFFF0000"/>
        <rFont val="Arial"/>
        <family val="2"/>
      </rPr>
      <t xml:space="preserve"> BRITA</t>
    </r>
  </si>
  <si>
    <t>RECICLAGEM SIMPLES (m³)</t>
  </si>
  <si>
    <t>RECICLAGEM COM CIMENTO (m³)</t>
  </si>
  <si>
    <t>RECICLAGEM COM BRITA (m³)</t>
  </si>
  <si>
    <t>CIMENTO (kg) (88kg/m³)</t>
  </si>
  <si>
    <t>BRITA Nº 1 (m³) (0,25m³/m³)</t>
  </si>
  <si>
    <t>CIMENTO (kg)</t>
  </si>
  <si>
    <t>TRECHO COM REMOÇÃO MECANIZADA DE REVESTIMENTO BETUMINOSO</t>
  </si>
  <si>
    <t>TRECHO COM RECICLAGEM / RECONSTRUÇÃO</t>
  </si>
  <si>
    <t>AREIA (m³) (0,006m³/m²)</t>
  </si>
  <si>
    <t>BRITA (m³) (0,0223m³/m²)</t>
  </si>
  <si>
    <t>EMULSÃO (T) (0,0048T/m²)</t>
  </si>
  <si>
    <r>
      <t>ESPESSURA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</si>
  <si>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RECOMPOSIÇÃO</t>
  </si>
  <si>
    <t>MEIO FIO COM SARJETA (m)</t>
  </si>
  <si>
    <t>MEIO FIO SIMPLES (GUIA)  (m)</t>
  </si>
  <si>
    <t>SARJETA (m)</t>
  </si>
  <si>
    <r>
      <t xml:space="preserve">AGULHAMENTO </t>
    </r>
    <r>
      <rPr>
        <b/>
        <sz val="8"/>
        <color rgb="FFFF0000"/>
        <rFont val="Arial"/>
        <family val="2"/>
      </rPr>
      <t>(SIM)</t>
    </r>
  </si>
  <si>
    <r>
      <t>CBUQ CAP 30-45</t>
    </r>
    <r>
      <rPr>
        <b/>
        <sz val="8"/>
        <color rgb="FFFF0000"/>
        <rFont val="Arial"/>
        <family val="2"/>
      </rPr>
      <t xml:space="preserve"> (SIM)</t>
    </r>
  </si>
  <si>
    <r>
      <t>CBUQ (p) CAP 60-85-E</t>
    </r>
    <r>
      <rPr>
        <b/>
        <sz val="8"/>
        <color rgb="FFFF0000"/>
        <rFont val="Arial"/>
        <family val="2"/>
      </rPr>
      <t xml:space="preserve"> (SIM)</t>
    </r>
  </si>
  <si>
    <t>verificação se há mais de um tipo de revestimento</t>
  </si>
  <si>
    <t>REVESTIMENTO COM                 TSD COM                                             CAPA SELANTE</t>
  </si>
  <si>
    <r>
      <t>ESPESSURA MÉDIA CBUQ OU PMF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</si>
  <si>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BRITA PMF (m³) (0,968m³/m³)</t>
  </si>
  <si>
    <t>BRITA CBUQ (m³) (0,447m³/T)</t>
  </si>
  <si>
    <t>AREIA CBUQ (m³) (0,161m³/T)</t>
  </si>
  <si>
    <t>AREIA PFM (m³) (0,411m³/m³)</t>
  </si>
  <si>
    <t>CAP 30-45 (T) (6% MISTURA)</t>
  </si>
  <si>
    <t>CAP 50-70 (T) (6% MISTURA)</t>
  </si>
  <si>
    <t>CAP 60-85-E (T) (6% MISTURA)</t>
  </si>
  <si>
    <t>CBUQ CAP 30-45 (m³) (2,5548T/m³)</t>
  </si>
  <si>
    <t>CBUQ CAP 50-70 (m³) (2,5548T/m³)</t>
  </si>
  <si>
    <t>CBUQ (p) CAP 60-85-E (m³) (2,5548T/m³)</t>
  </si>
  <si>
    <t>PMF (m³) (2,346T/m³)</t>
  </si>
  <si>
    <t>BASE BICA CORRIDA (%)</t>
  </si>
  <si>
    <t>BRITA PARA SOLO/BRITA (%)</t>
  </si>
  <si>
    <t>BRITA PARA SOLO/BRITA                              (EMPOLADO 37,5%) (m³)</t>
  </si>
  <si>
    <t>BICA CORRIDA (EMPOLADA 37,5%) (m³)</t>
  </si>
  <si>
    <t>TRECHO COM REMOÇÃO MECANIZADA DE CAMADA GRANULAR DO PAVIMENTO</t>
  </si>
  <si>
    <t>CARGA  DO                  BOTA-FORA (m³)</t>
  </si>
  <si>
    <r>
      <t>TSD</t>
    </r>
    <r>
      <rPr>
        <sz val="8"/>
        <color rgb="FFFF0000"/>
        <rFont val="Arial"/>
        <family val="2"/>
      </rPr>
      <t xml:space="preserve"> (SIM)</t>
    </r>
  </si>
  <si>
    <r>
      <t>PAVER PÁTIO 8cm</t>
    </r>
    <r>
      <rPr>
        <sz val="8"/>
        <color rgb="FFFF0000"/>
        <rFont val="Arial"/>
        <family val="2"/>
      </rPr>
      <t xml:space="preserve"> (SIM)</t>
    </r>
  </si>
  <si>
    <r>
      <t>PAVER PÁTIO 10cm</t>
    </r>
    <r>
      <rPr>
        <sz val="8"/>
        <color rgb="FFFF0000"/>
        <rFont val="Arial"/>
        <family val="2"/>
      </rPr>
      <t xml:space="preserve"> (SIM)</t>
    </r>
  </si>
  <si>
    <r>
      <t>PAVER VIA 8cm</t>
    </r>
    <r>
      <rPr>
        <sz val="8"/>
        <color rgb="FFFF0000"/>
        <rFont val="Arial"/>
        <family val="2"/>
      </rPr>
      <t xml:space="preserve"> (SIM)</t>
    </r>
  </si>
  <si>
    <r>
      <t>PAVER VIA 10cm</t>
    </r>
    <r>
      <rPr>
        <sz val="8"/>
        <color rgb="FFFF0000"/>
        <rFont val="Arial"/>
        <family val="2"/>
      </rPr>
      <t xml:space="preserve"> (SIM)</t>
    </r>
  </si>
  <si>
    <r>
      <t>CAP 50-70</t>
    </r>
    <r>
      <rPr>
        <sz val="8"/>
        <color rgb="FFFF0000"/>
        <rFont val="Arial"/>
        <family val="2"/>
      </rPr>
      <t xml:space="preserve"> (SIM)</t>
    </r>
  </si>
  <si>
    <r>
      <t>ESPESSURA (</t>
    </r>
    <r>
      <rPr>
        <sz val="8"/>
        <color rgb="FFFF0000"/>
        <rFont val="Arial"/>
        <family val="2"/>
      </rPr>
      <t>cm</t>
    </r>
    <r>
      <rPr>
        <sz val="8"/>
        <rFont val="Arial"/>
        <family val="2"/>
      </rPr>
      <t>)</t>
    </r>
  </si>
  <si>
    <t>SUB-BASE SOLO (%)</t>
  </si>
  <si>
    <t>SUB-BASE CASCALHO (%)</t>
  </si>
  <si>
    <t>SUB-BASE BICA CORRIDA (%)</t>
  </si>
  <si>
    <t>SUB-BASE BRITA GRADUADA (%)</t>
  </si>
  <si>
    <r>
      <t>CAP 30-45</t>
    </r>
    <r>
      <rPr>
        <sz val="8"/>
        <color rgb="FFFF0000"/>
        <rFont val="Arial"/>
        <family val="2"/>
      </rPr>
      <t xml:space="preserve"> (SIM)</t>
    </r>
  </si>
  <si>
    <t xml:space="preserve"> REGULARIZAÇÃO COM MOTO TRECHO "A"</t>
  </si>
  <si>
    <t>Só preencher se não tiver cubação</t>
  </si>
  <si>
    <t>ROSA porque tem mais de 100% de misturas</t>
  </si>
  <si>
    <t>ROSA porque tem mais de UMA capa especificada</t>
  </si>
  <si>
    <t>MEIO FIO SIMPLES (GUIA) (m)</t>
  </si>
  <si>
    <t>Só preencher se não tiver cubação e a largura especial</t>
  </si>
  <si>
    <t>VOLUME PEDRA BRITADA - SELO (m³) (0,10m³/m³)</t>
  </si>
  <si>
    <t>EXTENSÃO LONGITUDINAL (m)</t>
  </si>
  <si>
    <t>ÁREA SOB MEIOS-FIOS (m²)</t>
  </si>
  <si>
    <t>epessura ou cubação</t>
  </si>
  <si>
    <t>CANTEIRO                                             CENTRAL</t>
  </si>
  <si>
    <t>RETORNOS                     E                                                        LIMPA RODAS</t>
  </si>
  <si>
    <t>DESTINO PARA COMPENSAÇÃO (%)</t>
  </si>
  <si>
    <t>VOLUME PARA COMPENSAÇÃO (m³)</t>
  </si>
  <si>
    <t>VOLUME BOTA-FORA (m³)</t>
  </si>
  <si>
    <t>ÁREA TOTAL DA PLATAFORMA (m²)</t>
  </si>
  <si>
    <t>ATERRO LARGURA PLATAFORMA (m)</t>
  </si>
  <si>
    <t>ÁREA DA PLATAFORMA (m²)</t>
  </si>
  <si>
    <t>ÁREA DA BASE DO ATERRO (m²)</t>
  </si>
  <si>
    <t>VOLUME COMPENSADO (m³)</t>
  </si>
  <si>
    <t>Se verde analisar se há remoção solo</t>
  </si>
  <si>
    <t>Se laranja extensão local &gt; extensão via</t>
  </si>
  <si>
    <t>se verde falta confirmar espessu.</t>
  </si>
  <si>
    <t>se verde falta confirmar largura</t>
  </si>
  <si>
    <t>ORIGEM 1</t>
  </si>
  <si>
    <t>COLCHÃO DE RACHÃO - EXECUÇÃO (m³)</t>
  </si>
  <si>
    <t>DISTRUIÇÃO DE MATERIAL</t>
  </si>
  <si>
    <t>ATERRO - EXECUÇÃO (m³)</t>
  </si>
  <si>
    <t>VOLUME TOTAL COMPENSADO (m³)</t>
  </si>
  <si>
    <t>PEDRA  (m³)</t>
  </si>
  <si>
    <t>VOLUME DEMOLIÇÃO (m³)</t>
  </si>
  <si>
    <t>PLANILHAS DA DRENAGEM</t>
  </si>
  <si>
    <t>PLANILHAS DO RECAPEAMENTO</t>
  </si>
  <si>
    <t>PLANILHAS DA PAVIMENTAÇÃO</t>
  </si>
  <si>
    <t>COMPENSAÇÃO (PISTAxDEPÓSITOxPISTA) (m³)</t>
  </si>
  <si>
    <t>CARGA</t>
  </si>
  <si>
    <t>COMPENSAÇÃO                                 (DEPÓSITOxPISTA) (m³)</t>
  </si>
  <si>
    <t>SOLO (m³)</t>
  </si>
  <si>
    <t>SOLO: CORTE/ATERRO (m³)</t>
  </si>
  <si>
    <t>FILTRO PARA OCULTAR LINHAS VAZIAS</t>
  </si>
  <si>
    <t>BOTA-FORA SOLO (m³)</t>
  </si>
  <si>
    <t>BOTA-FORA ROCHA (m³)</t>
  </si>
  <si>
    <t>BOTA-DENTRO (DEPÓSITOxPISTA) (m³)</t>
  </si>
  <si>
    <t>ESCAVAÇÃO SOLO (m³)</t>
  </si>
  <si>
    <t>BOTA-DENTRO (PISTAxDEPÓSITOxPISTA) (m³)</t>
  </si>
  <si>
    <t>JAZIDA ATERRO (m³)</t>
  </si>
  <si>
    <t>TEMPO FIXO           CARGA/MANOBRA/        DESCARGA</t>
  </si>
  <si>
    <t>DEPÓSITO x PISTA (m³)</t>
  </si>
  <si>
    <t>CIMENTO (CONCRETO MAGRO 212,02kg/m³) (T)</t>
  </si>
  <si>
    <r>
      <t xml:space="preserve">TAXA DE REMOÇÃO H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3m E ROCHA (%)</t>
    </r>
  </si>
  <si>
    <t>TEMPO FIXO         CARGA/MANOBRA/ DESCARGA</t>
  </si>
  <si>
    <t>CASCALHO (m³)</t>
  </si>
  <si>
    <t>BRITA GRADUADA (m³)</t>
  </si>
  <si>
    <t>PMF (T) (2,346 T/m3)</t>
  </si>
  <si>
    <t>REVESTIMENTO - CBUQ</t>
  </si>
  <si>
    <t>REVESTIMENTO - PMF</t>
  </si>
  <si>
    <t>CBUQ (MISTURA) (T)</t>
  </si>
  <si>
    <t>PMF (MISTURA) (T)</t>
  </si>
  <si>
    <t>TRANSPORTE PARA DRENAGEM</t>
  </si>
  <si>
    <t>TRANSPORTE PARA RESTAURAÇÃO DO PAVIMENTO</t>
  </si>
  <si>
    <t>TRANSPORTE PARA IMPLANTAÇÃO DE PAVIMENTAÇÃO</t>
  </si>
  <si>
    <t>CORTE ALTURA (m)</t>
  </si>
  <si>
    <t>ATERRO ALTURA (m)</t>
  </si>
  <si>
    <t>CORTE ALTURA MÉDIA (m)</t>
  </si>
  <si>
    <t>ATERRO ALTURA MÉDIA (m)</t>
  </si>
  <si>
    <t>ROSA falta espessura da base</t>
  </si>
  <si>
    <t>AREIA PAVER (m³) (0,065m³/m²)</t>
  </si>
  <si>
    <t>AREIA (m³) (0,161m³/t)</t>
  </si>
  <si>
    <t>CBUQ CAP 30-45 (m³)</t>
  </si>
  <si>
    <t>CBUQ CAP 50-70 (m³)</t>
  </si>
  <si>
    <t>CBUQ (p) CAP 60-85-E (m³)</t>
  </si>
  <si>
    <t>REVESTIMENTO - PMF                                   (2,346 T/m³)</t>
  </si>
  <si>
    <t>REVESTIMENTO - CBUQ                           (2,5548T/m³)</t>
  </si>
  <si>
    <r>
      <t>AREIA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</si>
  <si>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r>
      <t>AREIA</t>
    </r>
    <r>
      <rPr>
        <b/>
        <sz val="8"/>
        <color rgb="FFFF0000"/>
        <rFont val="Arial"/>
        <family val="2"/>
      </rPr>
      <t xml:space="preserve"> (CBUQ)</t>
    </r>
    <r>
      <rPr>
        <b/>
        <sz val="8"/>
        <rFont val="Arial"/>
        <family val="2"/>
      </rPr>
      <t xml:space="preserve"> (m³)</t>
    </r>
  </si>
  <si>
    <r>
      <t>AREIA</t>
    </r>
    <r>
      <rPr>
        <b/>
        <sz val="8"/>
        <color rgb="FFFF0000"/>
        <rFont val="Arial"/>
        <family val="2"/>
      </rPr>
      <t xml:space="preserve"> (PMF)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</si>
  <si>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(CBUQ)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</si>
  <si>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(PMF)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</si>
  <si>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(TSD)</t>
    </r>
    <r>
      <rPr>
        <b/>
        <sz val="8"/>
        <rFont val="Arial"/>
        <family val="2"/>
      </rPr>
      <t xml:space="preserve"> (m³)</t>
    </r>
  </si>
  <si>
    <t>CAP 50/70 (T)</t>
  </si>
  <si>
    <t>EMULSÃO RM-1C (T)</t>
  </si>
  <si>
    <t>ASFALTO IMPRIMAÇÃO (T)</t>
  </si>
  <si>
    <t>ASFALTO IMPRIMAÇÃO (T) (0,0012T/m²)</t>
  </si>
  <si>
    <t>EMULSÃO RR-1C (T) (0,0005T/m²)</t>
  </si>
  <si>
    <t>EMULSÃO RR-1C (T)</t>
  </si>
  <si>
    <t>BASE E SUB-BASE COM MISTURA (m³)</t>
  </si>
  <si>
    <t>EMULSÃO RC-1C-E (T) (0,00194T/m²)</t>
  </si>
  <si>
    <t>EMULSÃO RC-1C-E (T) (0,0032T/m²)</t>
  </si>
  <si>
    <t>EMULSÃO RC-1C-E (T) (0,0039T/m²)</t>
  </si>
  <si>
    <t>EMULSÃO RC-1C-E (T)</t>
  </si>
  <si>
    <t>EMULSÃO RR-2C (T)</t>
  </si>
  <si>
    <t>EMULSÃO RR-2C (T) (0,0048T/m²)</t>
  </si>
  <si>
    <t>CAP 30-45 (T)</t>
  </si>
  <si>
    <t>CAP 50-70 (T)</t>
  </si>
  <si>
    <t>CAP 60-85-E (T)</t>
  </si>
  <si>
    <t>EMULSÃO RL-1C (T)</t>
  </si>
  <si>
    <t>PLANILHA DE QUANTIDADES DE SERVIÇOS DE RECAPEAMENTO ASFÁLTICO - PROJETO DE ENGENHARIA</t>
  </si>
  <si>
    <t>CAPA SELANTE PARA AGULHAMENTO NA BASE</t>
  </si>
  <si>
    <t>BRITA (m³) (0,006m³/m²)</t>
  </si>
  <si>
    <t>EMULSÃO RR-2C (T) (0,001T/m²)</t>
  </si>
  <si>
    <r>
      <t>AREIA</t>
    </r>
    <r>
      <rPr>
        <b/>
        <sz val="8"/>
        <color rgb="FFFF0000"/>
        <rFont val="Arial"/>
        <family val="2"/>
      </rPr>
      <t xml:space="preserve"> (TSD)</t>
    </r>
    <r>
      <rPr>
        <b/>
        <sz val="8"/>
        <rFont val="Arial"/>
        <family val="2"/>
      </rPr>
      <t xml:space="preserve"> (m³)</t>
    </r>
  </si>
  <si>
    <t>AGULHAMENTO BASE</t>
  </si>
  <si>
    <t>CIMENTO (%)</t>
  </si>
  <si>
    <t>0% ou 4% ou 6% ou 8%</t>
  </si>
  <si>
    <t>ENTULHO EMPOLADO (m³)</t>
  </si>
  <si>
    <t>REVESTIMENTO -TSD                                            COM                                        CAPA SELANTE</t>
  </si>
  <si>
    <t>REVESTIMENTO -TSD                                            COM CAPA SELANTE</t>
  </si>
  <si>
    <t>ÁREA (m²) (A)</t>
  </si>
  <si>
    <t>ORNAMENTAL</t>
  </si>
  <si>
    <t>PALMEIRA</t>
  </si>
  <si>
    <t>TUBO DE AÇO (m)</t>
  </si>
  <si>
    <t>DN 50mm (2")</t>
  </si>
  <si>
    <t>DN 40mm (1 1/2")</t>
  </si>
  <si>
    <t>DEFENSA METÁLICA (m)</t>
  </si>
  <si>
    <t>SIMLES</t>
  </si>
  <si>
    <t>chapa 4x</t>
  </si>
  <si>
    <t>TUBO AÇO (T)</t>
  </si>
  <si>
    <t>DEFENSA METÁLICA (T)</t>
  </si>
  <si>
    <t>ÁRVORE (T)</t>
  </si>
  <si>
    <t>PEÇA PISOGRAMA (T)</t>
  </si>
  <si>
    <t>SIMPLES (19,36kg/m)</t>
  </si>
  <si>
    <t>DUPLA (33,18kg/m)</t>
  </si>
  <si>
    <t>TRANSPORTE PARA SERVIÇOS COMPLEMENTARES</t>
  </si>
  <si>
    <t>TIPO GH040 Ø100mm</t>
  </si>
  <si>
    <t>TIPO GH100 Ø100mm</t>
  </si>
  <si>
    <t>TIPO GH150 Ø100mm</t>
  </si>
  <si>
    <t>TIPO FH0100 Ø 100mm</t>
  </si>
  <si>
    <t>TIPO FH0150 Ø 150mm</t>
  </si>
  <si>
    <t>PROFUNDIDADE MÉDIA (m)</t>
  </si>
  <si>
    <t>DRENO FRANCÊS (m)</t>
  </si>
  <si>
    <t>SOLO (m)</t>
  </si>
  <si>
    <t>TUBO Ø 150mm (m)</t>
  </si>
  <si>
    <t>SOLO INSERVÍVEL (%)</t>
  </si>
  <si>
    <t>EXTENSÃO</t>
  </si>
  <si>
    <t>OBRA (m)</t>
  </si>
  <si>
    <t>TUBO Ø 100mm (m)</t>
  </si>
  <si>
    <t xml:space="preserve">ALTURAS </t>
  </si>
  <si>
    <t>VOLUME DO REATERRO (m³)</t>
  </si>
  <si>
    <t>DRENO PROFUNDO TIPO</t>
  </si>
  <si>
    <t>DRENO PROFUNDO ESPECIAL</t>
  </si>
  <si>
    <t>CEGO (m)</t>
  </si>
  <si>
    <t>ESCORAMENTO DE VALA</t>
  </si>
  <si>
    <t>LF/0015</t>
  </si>
  <si>
    <t>LF/0025</t>
  </si>
  <si>
    <t>LF/0035</t>
  </si>
  <si>
    <t>BRITA DO DRENO</t>
  </si>
  <si>
    <t>TALUDE DE ESCAVAÇÃO SOLO 1:(V)</t>
  </si>
  <si>
    <t>BASE DA SEÇÃO DE BRITA (m)</t>
  </si>
  <si>
    <t>ALTURA DA SEÇÃO DE  BRITA (m)</t>
  </si>
  <si>
    <t>TOPO DA SEÇÃO DE BRITA (m)</t>
  </si>
  <si>
    <t>ATERRO VOLUME EMPOLADO (25%) (m³)</t>
  </si>
  <si>
    <t>SOLO INSERVÍVEL (EMOPLADO 25%)  (m³)</t>
  </si>
  <si>
    <t>FÔRMA DE MADEIRA PARA DRENO</t>
  </si>
  <si>
    <r>
      <t xml:space="preserve">RETRO ESCAVADEIRA (B </t>
    </r>
    <r>
      <rPr>
        <b/>
        <sz val="8"/>
        <rFont val="Calibri"/>
        <family val="2"/>
      </rPr>
      <t xml:space="preserve">≥ </t>
    </r>
    <r>
      <rPr>
        <b/>
        <sz val="8"/>
        <rFont val="Arial"/>
        <family val="2"/>
      </rPr>
      <t>0,40m)</t>
    </r>
  </si>
  <si>
    <t>MINIESCAVADEIRA (B &lt; 0,40m)</t>
  </si>
  <si>
    <t>ROCHA (EMPOLADO 40%) (m³)</t>
  </si>
  <si>
    <t>TOPO ROCHA (TALUDE 1:10)</t>
  </si>
  <si>
    <t>MATERIAL REAPROVEITÁVEL (m³)</t>
  </si>
  <si>
    <t>DESTINO DA TERRAPLENAGEM</t>
  </si>
  <si>
    <t>ROCHA (EMPOLADO 40%) OU                                                                                                 SUBSTITUIÇÃO PARA ATERRO HIDRÁULICO</t>
  </si>
  <si>
    <t>TUBO PEAD (T)</t>
  </si>
  <si>
    <t>tela</t>
  </si>
  <si>
    <t>TRANSPORTE PARA DRENAGEM PROFUNDA</t>
  </si>
  <si>
    <t>EXTENSÃO DO EIXO (m)</t>
  </si>
  <si>
    <t>CANTEIRO CENTRAL</t>
  </si>
  <si>
    <t>CANTEIRO CENTRAL (SEMI LARGURA)</t>
  </si>
  <si>
    <t>PISTA + ESTACIONAMENTO</t>
  </si>
  <si>
    <t xml:space="preserve">LARGURA (m) </t>
  </si>
  <si>
    <t>DEMOLIÇÃO DE CONCRETO (un)</t>
  </si>
  <si>
    <t>PASSEIO - CALÇADA                                       LINEAR</t>
  </si>
  <si>
    <t>RAMPA</t>
  </si>
  <si>
    <t>ACESSO VEÍCULO EM CONCRETO ARMADO</t>
  </si>
  <si>
    <t>RAMPA NOVA (m²)</t>
  </si>
  <si>
    <t>RAMPA REFORMA (m²)</t>
  </si>
  <si>
    <t>CONCRETO ARMADO</t>
  </si>
  <si>
    <t>TELA DE AÇO SOLDADA (3,11kg/m²) (kg)</t>
  </si>
  <si>
    <t>RAMPAS DE ASSESSIBILIDADE (un)</t>
  </si>
  <si>
    <t>DIRECIONAL</t>
  </si>
  <si>
    <t>PISO TÁTIL DIRECIONAL (m)</t>
  </si>
  <si>
    <t>PISO TÁTIL ALERTA (m)</t>
  </si>
  <si>
    <t>ALERTA</t>
  </si>
  <si>
    <t>ÁREA DE IMPLANTAÇÃO DE PASSEIO EM CONCRETO</t>
  </si>
  <si>
    <t>ACESSO VEÍCULO</t>
  </si>
  <si>
    <t>ÁREA PISO TÁTIL (m²)</t>
  </si>
  <si>
    <t>ÁREA ACESSO (m²)</t>
  </si>
  <si>
    <t>VOLUME (EMPOLADO 25%) (m³)</t>
  </si>
  <si>
    <t>ATERRO DE PASSEIO</t>
  </si>
  <si>
    <t>PERÍMETRO DE CORTE (m)</t>
  </si>
  <si>
    <t>AVULSOS</t>
  </si>
  <si>
    <t>RAMPAS E ACESSOS</t>
  </si>
  <si>
    <t>DEMOLIÇÃO DE CONCRETO SIMPLES</t>
  </si>
  <si>
    <t>AVULSO</t>
  </si>
  <si>
    <t>PISO TÁTIL                                                                                                    AVULSO (m)</t>
  </si>
  <si>
    <t>VOLUME DEMOLIÇÃO TOTAL (m³)</t>
  </si>
  <si>
    <t>DEMOLIÇÃO DE CONCRETO ARMADO</t>
  </si>
  <si>
    <t>DEMOLIÇÃO DE PISO EM LADRILHO</t>
  </si>
  <si>
    <t>TUBO PVC ÁGUA PLUVIAL, DN 100mm</t>
  </si>
  <si>
    <t>TAMPÃO FºFº 200x200mm (un)</t>
  </si>
  <si>
    <t>TAMPÃO FºFº 300x300mm (un)</t>
  </si>
  <si>
    <t>TAMPÃO FºFº 300x400mm (un)</t>
  </si>
  <si>
    <t>TAMPÃO FºFº 400x400mm (un)</t>
  </si>
  <si>
    <t>TAMPÃO FºFº 400x500mm (un)</t>
  </si>
  <si>
    <t>TAMPÃO FºFº 400x600mm (un)</t>
  </si>
  <si>
    <t>TAMPÃO FºFº 550x1100mm (un)</t>
  </si>
  <si>
    <t>CONCRETO 15MPa (0,50m³/un)</t>
  </si>
  <si>
    <t>CHAPISCO (m²)</t>
  </si>
  <si>
    <t>REBOCO (m²)</t>
  </si>
  <si>
    <t>TAMPÃO TIL PVC DN 100mm (un)</t>
  </si>
  <si>
    <t>INSTALAÇÕES ESPECIAIS NO PASSEIO</t>
  </si>
  <si>
    <t>CONCRETO (8cm) (m³)</t>
  </si>
  <si>
    <t>TRANSPORTE PARA ACESSIBILIDADE / PASSEIO</t>
  </si>
  <si>
    <t>PISO TÁTIL (T)</t>
  </si>
  <si>
    <t>GUARDA CORPO (un)</t>
  </si>
  <si>
    <t>TAMPÃO FºFº (T)</t>
  </si>
  <si>
    <t>TEMPO FIXO           CARGA / MANOBRA/        DESCARGA</t>
  </si>
  <si>
    <t>ENTULHO (EMPOLADO 25%) (m³)</t>
  </si>
  <si>
    <t>TAMPÃO E GRELHA (T)</t>
  </si>
  <si>
    <t>TAMPA DE CONCRETO ARMADO (m²)</t>
  </si>
  <si>
    <t>calçada</t>
  </si>
  <si>
    <t>A305700</t>
  </si>
  <si>
    <t>A305750</t>
  </si>
  <si>
    <t>A305800</t>
  </si>
  <si>
    <t>A305850</t>
  </si>
  <si>
    <t>A305900</t>
  </si>
  <si>
    <t>areia</t>
  </si>
  <si>
    <t>pedra</t>
  </si>
  <si>
    <t>vergalhao</t>
  </si>
  <si>
    <t>CONCRETO 15 MPa (m³)</t>
  </si>
  <si>
    <t>ALVENARIA (m³)</t>
  </si>
  <si>
    <t>argamassa 1:2:8</t>
  </si>
  <si>
    <t>cal hidratada</t>
  </si>
  <si>
    <t>TIPO RT-01</t>
  </si>
  <si>
    <t>TIPO RT-02</t>
  </si>
  <si>
    <t>TIPO RT-03</t>
  </si>
  <si>
    <t>MEIO-FIO SIMPLES (m)</t>
  </si>
  <si>
    <t>TIPO RT-04</t>
  </si>
  <si>
    <t>TIPO RE-01</t>
  </si>
  <si>
    <t>TIPO RE-02</t>
  </si>
  <si>
    <t>42.21</t>
  </si>
  <si>
    <t>TIPO RE-03</t>
  </si>
  <si>
    <t>TIPO RE-04</t>
  </si>
  <si>
    <t>TIPO RA-01</t>
  </si>
  <si>
    <t>TIPO RA-02</t>
  </si>
  <si>
    <t>TIPO RA-03</t>
  </si>
  <si>
    <t>PAVIMENTO (m²)</t>
  </si>
  <si>
    <t>LIMPEZA MECANIZADA                                                                            DA VIA</t>
  </si>
  <si>
    <t>DEMOLIÇÃO</t>
  </si>
  <si>
    <t>Se laranja extensão: digitar extensão</t>
  </si>
  <si>
    <r>
      <t xml:space="preserve">RAMAL PEAD Ø 0,50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baixa inter.</t>
    </r>
  </si>
  <si>
    <r>
      <t xml:space="preserve">RAMAL PEAD Ø 0,50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alta inter.</t>
    </r>
  </si>
  <si>
    <r>
      <t xml:space="preserve">RAMAL PEAD Ø 0,50 (m) </t>
    </r>
    <r>
      <rPr>
        <b/>
        <sz val="10"/>
        <color rgb="FFFF0000"/>
        <rFont val="Arial"/>
        <family val="2"/>
      </rPr>
      <t>ROCHA</t>
    </r>
  </si>
  <si>
    <t>0,50 (bigode)</t>
  </si>
  <si>
    <r>
      <t>PAVIMENTO (m²)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10cm)</t>
    </r>
  </si>
  <si>
    <t>TIPO RE-05</t>
  </si>
  <si>
    <t>TIPO xx</t>
  </si>
  <si>
    <t>TIPO RE-06</t>
  </si>
  <si>
    <t>TRECHO "A"</t>
  </si>
  <si>
    <t>TRECHO "B"</t>
  </si>
  <si>
    <t>PASSEIO - CALÇADA                                       CANTEIRO CENTRAL</t>
  </si>
  <si>
    <t>PASSEIO - CALÇADA</t>
  </si>
  <si>
    <t>PASSEIO LINEAR</t>
  </si>
  <si>
    <t>LARGURA (m/un)</t>
  </si>
  <si>
    <t>EXTENSÃO (m/un)</t>
  </si>
  <si>
    <t>PISO TÁTIL ALERTA (m/un)</t>
  </si>
  <si>
    <t>LINEAR E CANTEIRO (m²)</t>
  </si>
  <si>
    <t>LASTRO DE BRITA (m³)</t>
  </si>
  <si>
    <t>LASTRO DE BRITA (m³) (h=5cm)</t>
  </si>
  <si>
    <r>
      <t>ALTURA DO LASTRO DE BRITA</t>
    </r>
    <r>
      <rPr>
        <b/>
        <sz val="8"/>
        <color rgb="FFFF0000"/>
        <rFont val="Arial"/>
        <family val="2"/>
      </rPr>
      <t xml:space="preserve"> (cm)</t>
    </r>
  </si>
  <si>
    <t>FORMA (m²)</t>
  </si>
  <si>
    <t>FÔRMA (T)</t>
  </si>
  <si>
    <t>CAL HIDRATADA (T)</t>
  </si>
  <si>
    <t>EXTENSÃO DE EXECUÇÃO (m)</t>
  </si>
  <si>
    <t>EXTENSÃO DAS DESCONTINUIDADES (m)</t>
  </si>
  <si>
    <t>EXTENSÃO DA OBRA (m)</t>
  </si>
  <si>
    <r>
      <t>RETANGULAR (</t>
    </r>
    <r>
      <rPr>
        <b/>
        <sz val="8"/>
        <color rgb="FFFF0000"/>
        <rFont val="Arial"/>
        <family val="2"/>
      </rPr>
      <t>R</t>
    </r>
    <r>
      <rPr>
        <b/>
        <sz val="8"/>
        <rFont val="Arial"/>
        <family val="2"/>
      </rPr>
      <t>) OU PAV-S (</t>
    </r>
    <r>
      <rPr>
        <b/>
        <sz val="8"/>
        <color rgb="FFFF0000"/>
        <rFont val="Arial"/>
        <family val="2"/>
      </rPr>
      <t>S</t>
    </r>
    <r>
      <rPr>
        <b/>
        <sz val="8"/>
        <rFont val="Arial"/>
        <family val="2"/>
      </rPr>
      <t>)</t>
    </r>
  </si>
  <si>
    <t>PAVER BLOCO DE CONCRETO</t>
  </si>
  <si>
    <t>COLCHÃO DE AREIA (m³) (0,0633 m³/m²)</t>
  </si>
  <si>
    <t>TERRAPLENAGEM</t>
  </si>
  <si>
    <t>LARGURA PLATAFORMA (m)</t>
  </si>
  <si>
    <t>REGULARIZAÇÃO E COMPATAÇÃO DO SUBLEITO (m²)</t>
  </si>
  <si>
    <t>PISO DE CONCRETO                         20 MPa</t>
  </si>
  <si>
    <t>LARGURA PISTA (m)</t>
  </si>
  <si>
    <t>DISPOSITIVOS COMPLEMENTARES DE CONFINAMENTO</t>
  </si>
  <si>
    <t>0;4;6 Ou 8%</t>
  </si>
  <si>
    <t>TRANSPORTE PARA CICLOVIA</t>
  </si>
  <si>
    <t>BRITA CONCRETO (m³)</t>
  </si>
  <si>
    <t>ÁREA (m²) (140kg/m²)</t>
  </si>
  <si>
    <r>
      <t>AREIA COLCHÃO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</si>
  <si>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r>
      <t>AREIA CONCRETO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</si>
  <si>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t>BRITA BASE (m³)</t>
  </si>
  <si>
    <t>MANUAL (EMPOLADO 25%)</t>
  </si>
  <si>
    <t>MECANIZADA (EMPOLADO 25%)</t>
  </si>
  <si>
    <r>
      <t xml:space="preserve">CARGA MAN.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MECÂN. </t>
    </r>
    <r>
      <rPr>
        <b/>
        <sz val="8"/>
        <color rgb="FFFF0000"/>
        <rFont val="Arial"/>
        <family val="2"/>
      </rPr>
      <t>(2)</t>
    </r>
  </si>
  <si>
    <r>
      <t xml:space="preserve">MANUAL (GEOMÉTRICO) </t>
    </r>
    <r>
      <rPr>
        <b/>
        <sz val="8"/>
        <color rgb="FFFF0000"/>
        <rFont val="Arial"/>
        <family val="2"/>
      </rPr>
      <t>(1)</t>
    </r>
  </si>
  <si>
    <r>
      <t xml:space="preserve">MECANIZADA (GEOMÉTRICO) </t>
    </r>
    <r>
      <rPr>
        <b/>
        <sz val="8"/>
        <color rgb="FFFF0000"/>
        <rFont val="Arial"/>
        <family val="2"/>
      </rPr>
      <t>(2)</t>
    </r>
  </si>
  <si>
    <t>DEMOLIÇÃO MECANIZADA DE PISO EM LADRILHO</t>
  </si>
  <si>
    <t>DEMOLIÇÃO MECANIZADA DE PAVIMENTO ASFÁLTICO</t>
  </si>
  <si>
    <t>VOLUME DEMOLIÇÃO DE CONCRETO (m³)</t>
  </si>
  <si>
    <t>PLANILHA DA CICLOVIA</t>
  </si>
  <si>
    <r>
      <t xml:space="preserve">0,20m </t>
    </r>
    <r>
      <rPr>
        <sz val="8"/>
        <rFont val="Calibri"/>
        <family val="2"/>
      </rPr>
      <t>≤</t>
    </r>
    <r>
      <rPr>
        <sz val="8"/>
        <rFont val="Arial"/>
        <family val="2"/>
      </rPr>
      <t xml:space="preserve"> Ø &lt; 0,40m</t>
    </r>
  </si>
  <si>
    <r>
      <t xml:space="preserve">0,40m </t>
    </r>
    <r>
      <rPr>
        <sz val="8"/>
        <rFont val="Calibri"/>
        <family val="2"/>
      </rPr>
      <t>≤</t>
    </r>
    <r>
      <rPr>
        <sz val="8"/>
        <rFont val="Arial"/>
        <family val="2"/>
      </rPr>
      <t xml:space="preserve"> Ø &lt; 0,60m</t>
    </r>
  </si>
  <si>
    <r>
      <t xml:space="preserve">Ø </t>
    </r>
    <r>
      <rPr>
        <sz val="8"/>
        <rFont val="Calibri"/>
        <family val="2"/>
      </rPr>
      <t>≥</t>
    </r>
    <r>
      <rPr>
        <sz val="8"/>
        <rFont val="Arial"/>
        <family val="2"/>
      </rPr>
      <t xml:space="preserve"> 0,60m</t>
    </r>
  </si>
  <si>
    <t>DESMATAMENTO / LIMPEZA / SUPRESSÃO</t>
  </si>
  <si>
    <t>0,20m ≤ Ø &lt; 0,40m</t>
  </si>
  <si>
    <t>0,40m ≤ Ø &lt; 0,60m</t>
  </si>
  <si>
    <t>Ø ≥ 0,60m</t>
  </si>
  <si>
    <t>SUPRESSÃO DE MASSA ARBÓREA</t>
  </si>
  <si>
    <t>ESCRITÓRIO (2,30m x 6,00m), COM 1 WC</t>
  </si>
  <si>
    <t>ALMOXARIFADO (2,30m x 6,00m), SEM WC</t>
  </si>
  <si>
    <t>SANITÁRIO (2,30m x 4,30m)</t>
  </si>
  <si>
    <t>ESCRITÓRIO, COM WC</t>
  </si>
  <si>
    <t>ALMOXARIFADO, SEM WC</t>
  </si>
  <si>
    <t>SANITÁRIO</t>
  </si>
  <si>
    <t>OK</t>
  </si>
  <si>
    <t>L ≤ 5 km = 1 un
5 km &lt; L ≤ 10 km = 2un
L &gt; 10 km = 3 un</t>
  </si>
  <si>
    <t>L ≤ 10 km = 1 un
10 km &lt; L ≤ 15 km = 2un
L &gt; 15 km = 3 un</t>
  </si>
  <si>
    <t>SP/0030</t>
  </si>
  <si>
    <t>SC/0110</t>
  </si>
  <si>
    <t>SC/0120</t>
  </si>
  <si>
    <t>GUARITA</t>
  </si>
  <si>
    <t>ALTURA / ESPESSURA (m)</t>
  </si>
  <si>
    <t>PASSEIO (m)</t>
  </si>
  <si>
    <t>CICLOVIA (m)</t>
  </si>
  <si>
    <t>1 PLACAS DE 1m² PARA CADA 150m DE EXTENSÃO DA OBRA</t>
  </si>
  <si>
    <t>EXTENSÕES PREVISTAS PARA OS SERVIÇOS PRELIMINARES DA DRENAGEM, NO DRENO PROFUNDO, PASSEIO E CICLOVIA; PAVIMENTAÇÃO E RECAPEAMENTO (20%)</t>
  </si>
  <si>
    <t>TELA CERQUITE (m)</t>
  </si>
  <si>
    <t>01 un DE INVESTIGAÇÃO A CADA TRECHO DE 100m DE DRENAGEM</t>
  </si>
  <si>
    <t>02 un DE REPARO PARA CADA TRECHO DE DRENAGEM</t>
  </si>
  <si>
    <t>CARGA DE BOTA-FORA DA LIMPEZA DO ACAMPAMENTO (m³)</t>
  </si>
  <si>
    <t>RECOMPOSIÇÃO DAS VIAS NÃO PAVIMENTADAS (m²)</t>
  </si>
  <si>
    <t>REGULARIZAÇÃO DA SUPERFÍCIE DOS TRECHOS DE DRENAGEM APÓS TERRAPLENAGEM FINALIZADA</t>
  </si>
  <si>
    <t>SP/0001</t>
  </si>
  <si>
    <t>SP/0025</t>
  </si>
  <si>
    <t>REMOÇÕES, DEMOLIÇÕES E SUPRESSÕES</t>
  </si>
  <si>
    <t>SR/0010</t>
  </si>
  <si>
    <t>SR/0020</t>
  </si>
  <si>
    <t>SR/0030</t>
  </si>
  <si>
    <t>SR/0040</t>
  </si>
  <si>
    <t>SR/0050</t>
  </si>
  <si>
    <t>SR/0060</t>
  </si>
  <si>
    <t>SR/0070</t>
  </si>
  <si>
    <t>SR/0080</t>
  </si>
  <si>
    <t>SR/0090</t>
  </si>
  <si>
    <t>SR/0100</t>
  </si>
  <si>
    <t>DEMOLIÇÃO DE BOCA DE LOBO (un)</t>
  </si>
  <si>
    <t>DEMOLIÇÃO DE POÇO DE VISITA (un)</t>
  </si>
  <si>
    <r>
      <t>DEPÓSITO PROVISÓRIO</t>
    </r>
    <r>
      <rPr>
        <b/>
        <sz val="8"/>
        <color rgb="FFFF0000"/>
        <rFont val="Arial"/>
        <family val="2"/>
      </rPr>
      <t xml:space="preserve"> (SIM)</t>
    </r>
  </si>
  <si>
    <t>PRODUTO</t>
  </si>
  <si>
    <r>
      <t>DESTINO RECICLAGEM</t>
    </r>
    <r>
      <rPr>
        <b/>
        <sz val="8"/>
        <color rgb="FFFF0000"/>
        <rFont val="Arial"/>
        <family val="2"/>
      </rPr>
      <t xml:space="preserve"> (SIM)</t>
    </r>
  </si>
  <si>
    <r>
      <t>VOLUME DE REMOÇÃO (m³) CARGA MECÂN.</t>
    </r>
    <r>
      <rPr>
        <b/>
        <sz val="8"/>
        <color rgb="FFFF0000"/>
        <rFont val="Arial"/>
        <family val="2"/>
      </rPr>
      <t xml:space="preserve"> (2)</t>
    </r>
  </si>
  <si>
    <t>VOLUME RECLICLAREM (m³)</t>
  </si>
  <si>
    <t>VOLUME TOTAL (m³)</t>
  </si>
  <si>
    <t>VOLUME EXPURGO (m³)</t>
  </si>
  <si>
    <t>VOLUME DESTIMO DEPÓSITO PROVISÓRIO (m³)</t>
  </si>
  <si>
    <t>Depósito provisório</t>
  </si>
  <si>
    <t>Demolicao!A1</t>
  </si>
  <si>
    <t>VOLUME DESTINO BOTA-FORA (m³)</t>
  </si>
  <si>
    <t>DR/0040</t>
  </si>
  <si>
    <t>DR/0045</t>
  </si>
  <si>
    <t>DR/0020</t>
  </si>
  <si>
    <t>DR/0032</t>
  </si>
  <si>
    <t>BRITA (CONCRETO MAGRO 0,578m³/m³)</t>
  </si>
  <si>
    <t>BRITA (CONCRETO MAGRO) (m³)</t>
  </si>
  <si>
    <t>BRITA (LASTRO DE BRITA+RACHÃO) (m³)</t>
  </si>
  <si>
    <t>AREIA (ATERRO HIDRÁULICO+LASTRO)  (m³)</t>
  </si>
  <si>
    <t>AREIA (CONCRETO MAGRO 0,827m³/m³) (m³)</t>
  </si>
  <si>
    <t>$O$3</t>
  </si>
  <si>
    <t>$O$4</t>
  </si>
  <si>
    <t>$O$5</t>
  </si>
  <si>
    <t>$O$6</t>
  </si>
  <si>
    <t>$O$7</t>
  </si>
  <si>
    <t>$O$8</t>
  </si>
  <si>
    <t>$O$9</t>
  </si>
  <si>
    <t>$O$10</t>
  </si>
  <si>
    <t>$O$11</t>
  </si>
  <si>
    <t>$O$12</t>
  </si>
  <si>
    <t>$O$13</t>
  </si>
  <si>
    <t>$O$14</t>
  </si>
  <si>
    <t>$O$15</t>
  </si>
  <si>
    <t>$O$16</t>
  </si>
  <si>
    <t>$O$17</t>
  </si>
  <si>
    <t>$O$18</t>
  </si>
  <si>
    <t>$O$19</t>
  </si>
  <si>
    <t>$O$20</t>
  </si>
  <si>
    <t>$O$21</t>
  </si>
  <si>
    <t>$O$22</t>
  </si>
  <si>
    <t>$O$23</t>
  </si>
  <si>
    <t>DMT  (km) MÉDIA</t>
  </si>
  <si>
    <t>LOCAL</t>
  </si>
  <si>
    <t>ORIGEM 2</t>
  </si>
  <si>
    <t>ORIGEM 3</t>
  </si>
  <si>
    <t>ORIGEM 4</t>
  </si>
  <si>
    <t>ORIGEM 5</t>
  </si>
  <si>
    <t>DR/0700</t>
  </si>
  <si>
    <t>DR/0735</t>
  </si>
  <si>
    <t>Ø0,50m</t>
  </si>
  <si>
    <t>Ø0,60m</t>
  </si>
  <si>
    <t>Ø0,75m</t>
  </si>
  <si>
    <t>Ø0,80m</t>
  </si>
  <si>
    <t>Ø0,90m</t>
  </si>
  <si>
    <t>Ø1,00m</t>
  </si>
  <si>
    <t>Ø1,20m</t>
  </si>
  <si>
    <t>Ø1,50m</t>
  </si>
  <si>
    <t>CONCERTO</t>
  </si>
  <si>
    <t>DR/0070</t>
  </si>
  <si>
    <t>DR/0080</t>
  </si>
  <si>
    <r>
      <t xml:space="preserve">Ø 0,50m </t>
    </r>
    <r>
      <rPr>
        <b/>
        <sz val="8"/>
        <color rgb="FFFF0000"/>
        <rFont val="Arial"/>
        <family val="2"/>
      </rPr>
      <t>(SOLO)</t>
    </r>
    <r>
      <rPr>
        <b/>
        <sz val="8"/>
        <rFont val="Arial"/>
        <family val="2"/>
      </rPr>
      <t xml:space="preserve"> BAIXA INTERFERÊNCIA</t>
    </r>
  </si>
  <si>
    <r>
      <t>Ø 0,50m</t>
    </r>
    <r>
      <rPr>
        <b/>
        <sz val="8"/>
        <color rgb="FFFF0000"/>
        <rFont val="Arial"/>
        <family val="2"/>
      </rPr>
      <t xml:space="preserve"> (SOLO) </t>
    </r>
    <r>
      <rPr>
        <b/>
        <sz val="8"/>
        <rFont val="Arial"/>
        <family val="2"/>
      </rPr>
      <t>ALTA INTERFERÊNCIA</t>
    </r>
  </si>
  <si>
    <r>
      <t xml:space="preserve">Ø 0,50m </t>
    </r>
    <r>
      <rPr>
        <b/>
        <sz val="8"/>
        <color rgb="FFFF0000"/>
        <rFont val="Arial"/>
        <family val="2"/>
      </rPr>
      <t>(ROCHA)</t>
    </r>
    <r>
      <rPr>
        <b/>
        <sz val="8"/>
        <rFont val="Arial"/>
        <family val="2"/>
      </rPr>
      <t xml:space="preserve"> ALTA INTERFERÊNCIA</t>
    </r>
  </si>
  <si>
    <t>DR/0135</t>
  </si>
  <si>
    <t>DR/0140</t>
  </si>
  <si>
    <t>DR/0175</t>
  </si>
  <si>
    <t>DR/0180</t>
  </si>
  <si>
    <t>DR/0185</t>
  </si>
  <si>
    <t>DR/0195</t>
  </si>
  <si>
    <t>DR/0210</t>
  </si>
  <si>
    <t>DR/0255</t>
  </si>
  <si>
    <t>DR/0265</t>
  </si>
  <si>
    <t>DR/0275</t>
  </si>
  <si>
    <t>DR/0285</t>
  </si>
  <si>
    <t>DR/0305</t>
  </si>
  <si>
    <t>DR/0310</t>
  </si>
  <si>
    <t>DR/0315</t>
  </si>
  <si>
    <t>DR/0320</t>
  </si>
  <si>
    <t>DR/0325</t>
  </si>
  <si>
    <t>DR/0335</t>
  </si>
  <si>
    <t>DR/0340</t>
  </si>
  <si>
    <t>DR/0345</t>
  </si>
  <si>
    <t>DR/0350</t>
  </si>
  <si>
    <t>DR/0355</t>
  </si>
  <si>
    <t>DR/0365</t>
  </si>
  <si>
    <t>DR/0370</t>
  </si>
  <si>
    <t>DR/0385</t>
  </si>
  <si>
    <t>DR/0390</t>
  </si>
  <si>
    <t>RE/0045</t>
  </si>
  <si>
    <t>SARJETAS (m)</t>
  </si>
  <si>
    <t>SEÇÃO 330cm²</t>
  </si>
  <si>
    <t>AMERICANA 445cm²</t>
  </si>
  <si>
    <t>BRITA GRADUADA SIMPLES (EMPOLADA 46,67%) (m³)</t>
  </si>
  <si>
    <t>TRANSPORTE DE LIGANTE BETUMINOSO - EMULSÃO ASFÁLTICA</t>
  </si>
  <si>
    <t>TRANSPORTE DE LIGANTE BETUMINOSO - ASFALTO DILUIDO CM-30</t>
  </si>
  <si>
    <t>TRANSPORTE DE LIGANTE BETUMINOSO - CAP</t>
  </si>
  <si>
    <t>TRANSPORTE DE MISTURA ASFÁLTICA - PMF</t>
  </si>
  <si>
    <t>TRANSPORTE DE MISTURA ASFÁLTICA - CBUQ</t>
  </si>
  <si>
    <t>TRANSPORTE DE AREIA PARA USINA DE PMF</t>
  </si>
  <si>
    <t>TRANSPORTE DE AREIA PARA USINA DE CBUQ</t>
  </si>
  <si>
    <t>BICA CORRIDA (m³)</t>
  </si>
  <si>
    <t>BRITA PARA SOLO/BRITA (m³)</t>
  </si>
  <si>
    <t>CAP 50/70 OU 30/45 (T) (6% MISTURA)</t>
  </si>
  <si>
    <t>CAP 50/70 OU 30/45 (T)</t>
  </si>
  <si>
    <t>RE/0010</t>
  </si>
  <si>
    <t>RE/0015</t>
  </si>
  <si>
    <t>RE/0020</t>
  </si>
  <si>
    <t>RE/0025</t>
  </si>
  <si>
    <t>RE/0075</t>
  </si>
  <si>
    <t>RE/0085</t>
  </si>
  <si>
    <t>BICA CORRIDA EMPOLADA (37,5%)</t>
  </si>
  <si>
    <t>PA/0023</t>
  </si>
  <si>
    <t>PA/0055</t>
  </si>
  <si>
    <t>TRANSPORTE DE CIMENTO PARA RECICLAGEM DE PAVIMENTO</t>
  </si>
  <si>
    <t>$O$24</t>
  </si>
  <si>
    <t>BRITA Nº 1 (m³)</t>
  </si>
  <si>
    <t>PA/0045</t>
  </si>
  <si>
    <t>SINAPI</t>
  </si>
  <si>
    <t>DR/0395</t>
  </si>
  <si>
    <t>DR/0400</t>
  </si>
  <si>
    <t>PÓ DE PEDRA (m³)</t>
  </si>
  <si>
    <r>
      <t xml:space="preserve">BRITA </t>
    </r>
    <r>
      <rPr>
        <b/>
        <sz val="8"/>
        <color rgb="FFFF0000"/>
        <rFont val="Arial"/>
        <family val="2"/>
      </rPr>
      <t>(TSD+AGULHAMENTO)</t>
    </r>
    <r>
      <rPr>
        <b/>
        <sz val="8"/>
        <rFont val="Arial"/>
        <family val="2"/>
      </rPr>
      <t xml:space="preserve"> (m³)</t>
    </r>
  </si>
  <si>
    <t>TRANSPORTE DE AREIA TSD</t>
  </si>
  <si>
    <t>TRANSPORTE DE AREIA CBUQ</t>
  </si>
  <si>
    <t>TRANSPORTE DE AREIA PMF</t>
  </si>
  <si>
    <t>MICRORREVESTIMENTO (0,8cm)</t>
  </si>
  <si>
    <t>MICRORREVESTIMENTO (1,5cm)</t>
  </si>
  <si>
    <t>MICRORREVESTIMENTO (2,0cm)</t>
  </si>
  <si>
    <t>TRANSPORTE DE LIGANTE BETUMINOSO - EMULSÃO ASFÁLTICA - RL-1C</t>
  </si>
  <si>
    <t>TRANSPORTE DE PRODUTO DE FRESAGEM</t>
  </si>
  <si>
    <t>PA/0005</t>
  </si>
  <si>
    <t>TRANSPORTE DE MATERIAL SELECIONADO PARA COMPENSAÇÃO</t>
  </si>
  <si>
    <t>Depósito de expurgo SEM reciclagem (1)</t>
  </si>
  <si>
    <t>Depósito de bota-fora com reciclagem (2)</t>
  </si>
  <si>
    <t>Depósito de bota-fora com reciclagem (3)</t>
  </si>
  <si>
    <t>Depósito de bota-fora com reciclagem (4)</t>
  </si>
  <si>
    <t>TRANSPORTE DE BOTA-FORA - ROCHA</t>
  </si>
  <si>
    <t>TRANSPORTE DE BOTA-FORA - SOLO</t>
  </si>
  <si>
    <t>ARENOSO</t>
  </si>
  <si>
    <t>BOTA-FORA LIMPEZA (m³)</t>
  </si>
  <si>
    <t>TRANSPORTE DE BOTA-FORA - PRODUTO DA LIMPEZA</t>
  </si>
  <si>
    <t>SUB-BASE SOLO/CIMENTO (2%) (m³)</t>
  </si>
  <si>
    <t>SUB-BASE SOLO/CIMENTO (4%) (m³)</t>
  </si>
  <si>
    <t>SUB-BASE SOLO/CIMENTO (6%) (m³)</t>
  </si>
  <si>
    <t>0% ou 2% ou 4% ou 6% ou 8%</t>
  </si>
  <si>
    <t>SUB-BASE SOLO/CIMENTO (8%) (m³)</t>
  </si>
  <si>
    <t>SOLO PARA BASE (m³)</t>
  </si>
  <si>
    <t>TRANSPORTE DE AREIA PARA ATERRO / LASTRO</t>
  </si>
  <si>
    <t>TRANSPORTE DE SOLO SELECIONADO PARA COMPENSAÇÃO</t>
  </si>
  <si>
    <t>PEDRA - COLCHÃO (m³)</t>
  </si>
  <si>
    <t>TRANSPORTE DE MATERIAL DE JAZIDA DE SOLO</t>
  </si>
  <si>
    <t>TRANSPORTE DE CIMENTO PARA BASE SOLO/CIMENTO</t>
  </si>
  <si>
    <r>
      <t xml:space="preserve">AREIA </t>
    </r>
    <r>
      <rPr>
        <b/>
        <sz val="8"/>
        <color rgb="FFFF0000"/>
        <rFont val="Arial"/>
        <family val="2"/>
      </rPr>
      <t xml:space="preserve">(PAVER) </t>
    </r>
    <r>
      <rPr>
        <b/>
        <sz val="8"/>
        <rFont val="Arial"/>
        <family val="2"/>
      </rPr>
      <t>(m³)</t>
    </r>
  </si>
  <si>
    <t>TRANSPORTE DE AREIA PARA COLCHÃO DE PAVER</t>
  </si>
  <si>
    <t>SC/0035</t>
  </si>
  <si>
    <t>SC/0105</t>
  </si>
  <si>
    <t>SC/0090</t>
  </si>
  <si>
    <t>SC/0095</t>
  </si>
  <si>
    <t>SARJETA SIMPLES (m)</t>
  </si>
  <si>
    <t>SARJETA AMERICANA (m)</t>
  </si>
  <si>
    <t>ESMERALDA</t>
  </si>
  <si>
    <t>PLANILHA DE QUANTIDADES DE SERVIÇOS DE PAISAGISMO, PASSEIO, CALÇADA E ACESSIBILIDADE - PROJETO DE ENGENHARIA</t>
  </si>
  <si>
    <t>TRANSPORTE DE ARTEFATO DE CONCRETO - TUBO E ADUELA</t>
  </si>
  <si>
    <t>TRANSPORTE DE ARTEFATO DE CONCRETO - BLOCO DE CONCRETO TIPO PAVER</t>
  </si>
  <si>
    <t>TRANSPORTE DE ARTEFATO DE CONCRETO - BLOCO DE CONCRETO TIPO PISOGRAMA</t>
  </si>
  <si>
    <t>BLOCO PISOGRAMA (T)</t>
  </si>
  <si>
    <t>MENOR</t>
  </si>
  <si>
    <t>ESCAVAÇÃO DO TOPO DO REATERRO</t>
  </si>
  <si>
    <r>
      <t>BASE CASCALHO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</si>
  <si>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r>
      <t>BASE BICA CORRIDA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</si>
  <si>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r>
      <t>BASE BRITA GRADUADA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</si>
  <si>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t>SERVIÇOS DE RECOMPOSIÇÃO DO PAVIMENTO</t>
  </si>
  <si>
    <t>RECORTE MECÂNICO DO PAVIMENTO (m) (2xL)</t>
  </si>
  <si>
    <t>PLANILHA DA DRENAGEM PROFUNDA</t>
  </si>
  <si>
    <t>AREIA CONCRETO (m³)</t>
  </si>
  <si>
    <t>TRANSPORTE DE AREIA PARA REVESTIMENTO TSD</t>
  </si>
  <si>
    <t>se ROSA não pode ter talude</t>
  </si>
  <si>
    <t>se ROSA não pode ter base</t>
  </si>
  <si>
    <t>LF/0007</t>
  </si>
  <si>
    <t>TELA CERQUITE</t>
  </si>
  <si>
    <t>PV-0 TIPO CIRCULAR (un)</t>
  </si>
  <si>
    <t>CARGA BOTA-FORA</t>
  </si>
  <si>
    <t>ROCHA (m³)</t>
  </si>
  <si>
    <t>LF/0005</t>
  </si>
  <si>
    <t>ÁREA 2x (m²)</t>
  </si>
  <si>
    <t>TRANSPORTE DE BOTA-FORA PARA RECICLAGEM</t>
  </si>
  <si>
    <t>TRANSPORTE DE SUPRESSÃO (T)</t>
  </si>
  <si>
    <t>EXTRUSÃO</t>
  </si>
  <si>
    <t>TRANSPORTE DE BOTA-FORA - PRODUTO DA DEMOLIÇÃO</t>
  </si>
  <si>
    <t>TRANSPORTE DE BOTA-FORA - PRODUTO DA SUPRESSÃO</t>
  </si>
  <si>
    <t>SC/0075</t>
  </si>
  <si>
    <t>USINADO</t>
  </si>
  <si>
    <t>BETONEIRA</t>
  </si>
  <si>
    <t>SC/0070</t>
  </si>
  <si>
    <r>
      <t xml:space="preserve">ÁREA TOTAL </t>
    </r>
    <r>
      <rPr>
        <b/>
        <sz val="8"/>
        <color rgb="FFFF0000"/>
        <rFont val="Arial"/>
        <family val="2"/>
      </rPr>
      <t>PARCIAL</t>
    </r>
    <r>
      <rPr>
        <b/>
        <sz val="8"/>
        <rFont val="Arial"/>
        <family val="2"/>
      </rPr>
      <t xml:space="preserve"> (m²)</t>
    </r>
  </si>
  <si>
    <t>SC/0130</t>
  </si>
  <si>
    <t>SC/0135</t>
  </si>
  <si>
    <t>SC/0140</t>
  </si>
  <si>
    <t>SC/0150</t>
  </si>
  <si>
    <t>SC/0155</t>
  </si>
  <si>
    <t>CONCRETO 35 MPa (m³)</t>
  </si>
  <si>
    <t>fck 35 Mpa</t>
  </si>
  <si>
    <t>RECORTE PISO DE CONCRETO OU ASFÁLTICO (m)</t>
  </si>
  <si>
    <t>ÁREA SUB-BASE (m²)</t>
  </si>
  <si>
    <t>ÁREA BASE (m²)</t>
  </si>
  <si>
    <t>TELA DE AÇO SOLDADA Q-138 (2,2kg/m²) (kg)</t>
  </si>
  <si>
    <t>SC/0145</t>
  </si>
  <si>
    <t>SC/0160</t>
  </si>
  <si>
    <t>SC/0085</t>
  </si>
  <si>
    <t>GRAMA PARA PISO GRAMA (m²)</t>
  </si>
  <si>
    <t>REGULARIZAÇÃO E COMPACTAÇÃO (m²)</t>
  </si>
  <si>
    <t>TRANSPORTE DE ARTEFATO DE CONCRETO - LAJOTA DE PISO TÁTIL DE CONCRETO</t>
  </si>
  <si>
    <t>PA/0021</t>
  </si>
  <si>
    <t>BASE PRODUTO DE BRITAGEM (m³)</t>
  </si>
  <si>
    <t>BRITA GRADUADA EMPOLADA (46,67%)</t>
  </si>
  <si>
    <t>BASE (m³)</t>
  </si>
  <si>
    <t>SUB-BASE CASCALHO (m³)</t>
  </si>
  <si>
    <t>SUB-BASE BICA CORRIDA (m³)</t>
  </si>
  <si>
    <t>SUB-BASE BRITA GRADUADA (m³)</t>
  </si>
  <si>
    <t>BASE SOLO/CIMENTO (2%) (m³)</t>
  </si>
  <si>
    <t>BASE SOLO/CIMENTO (4%) (m³)</t>
  </si>
  <si>
    <t>BASE SOLO/CIMENTO (6%) (m³)</t>
  </si>
  <si>
    <t>BASE SOLO/CIMENTO (8%) (m³)</t>
  </si>
  <si>
    <t>BASE CASCALHO (m³)</t>
  </si>
  <si>
    <t>BASE BICA CORRIDA (m³)</t>
  </si>
  <si>
    <t>BASE BRITA GRADUADA (m³)</t>
  </si>
  <si>
    <t>se ROSA extensão errada</t>
  </si>
  <si>
    <t>CBUQ (m³)</t>
  </si>
  <si>
    <t>CBUQ (T) (2,5548T/m³)</t>
  </si>
  <si>
    <t>TRANSPORTE DE CASCALHO PARA BASE E/OU SUB-BASE</t>
  </si>
  <si>
    <t>TRANSPORTE DE PEDRA BRITADA TIPO BICA CORRIDA PARA BASE E/OU SUB-BASE</t>
  </si>
  <si>
    <t>TRANSPORTE DE PEDRA BRITADA TIPO BRITA GRADUADA PARA BASE E/OU SUB-BASE</t>
  </si>
  <si>
    <t>TRANSPORTE DE SOLO PARA MISTURA DA BASE E/OU SUB-BASE</t>
  </si>
  <si>
    <t>TRANSPORTE DA MISTURA DA BASE E/OU SUB-BASE - CANTEIRO / PISTA</t>
  </si>
  <si>
    <t>TRANSPORTE DE PEDRA BRITADA PARA MISTURA DA BASE E/OU SUB-BASE</t>
  </si>
  <si>
    <t>TRANSPORTE DE PEDRA BRITADA PARA USINA DE CBUQ</t>
  </si>
  <si>
    <t>TRANSPORTE DE PEDRA BRITADA PARA USINA DE PMF</t>
  </si>
  <si>
    <t>TRANSPORTE DE PEDRA BRITADA PARA REVESTIMENTO TSD</t>
  </si>
  <si>
    <t>TRANSPORTE DE PEDRA BRITADA Nº 1 PARA RECICLAGEM DE PAVIMENTO</t>
  </si>
  <si>
    <t>TRANSPORTE DE PEDRA BRITADA PARA MICRORREVESTIMENTO</t>
  </si>
  <si>
    <t>TRANSPORTE DE PEDRA BRITADA PARA TSD E/OU AGULHAMENTO</t>
  </si>
  <si>
    <t>TRANSPORTE DE AREIA  PARA USINA DE CBUQ</t>
  </si>
  <si>
    <t>VOLUME EXECUÇÃO (m³)</t>
  </si>
  <si>
    <t>público</t>
  </si>
  <si>
    <r>
      <t xml:space="preserve">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</si>
  <si>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RE/0005</t>
  </si>
  <si>
    <t>PREPARO DA CAIXA</t>
  </si>
  <si>
    <t>VOLUME FRESADO (m³)</t>
  </si>
  <si>
    <t>EXTENSÃO DO PAVIMENTO RÍGIDO (m)</t>
  </si>
  <si>
    <t>EXTENSÃO PLACA DE TRANSIÇÃO (m) x2</t>
  </si>
  <si>
    <t>se ROSA extensão maior</t>
  </si>
  <si>
    <t>ESPESSURA ATERRO (m)</t>
  </si>
  <si>
    <t>VOLUME ATERRO (m³)</t>
  </si>
  <si>
    <t>ESPESSURA CALÇADA (m)</t>
  </si>
  <si>
    <t>ÁREA PLATAFORMA(m²)</t>
  </si>
  <si>
    <t>PISO EM CONCRETO (m³)</t>
  </si>
  <si>
    <t>VOLUME ESCAVAÇÃO E COLCHÃO (m³)</t>
  </si>
  <si>
    <t>CIMENTO BASE (T)</t>
  </si>
  <si>
    <t>CIMENTO CONCRETO (T)</t>
  </si>
  <si>
    <t>PRODUTO FRESAGEM (T)</t>
  </si>
  <si>
    <t>PA/0060</t>
  </si>
  <si>
    <t>VOLUME LASTRO DE BRITA (m³)</t>
  </si>
  <si>
    <t>ESPESSURA LASTRO DE BRITA (m)</t>
  </si>
  <si>
    <t>BRITA LASTRO (0,13m³/m³) (m³)</t>
  </si>
  <si>
    <t>SC/0015</t>
  </si>
  <si>
    <t>TRANSPORTE DE CIMENTO PARA BASE</t>
  </si>
  <si>
    <t>PLANILHA DE QUANTIDADES DE SERVIÇOS DO PAMENTO RÍGIDO EM PONTO DE ÔNIBUS - PROJETO DE ENGENHARIA</t>
  </si>
  <si>
    <t>TRANSPORTE PARA SERVIÇOS PARADA DE ÔNIBUS</t>
  </si>
  <si>
    <t>Areeiro/Obra</t>
  </si>
  <si>
    <t>Areeiro/Usina CBUQ</t>
  </si>
  <si>
    <t>Areeiro/Usina PMF</t>
  </si>
  <si>
    <t>EMULSÃO RL-1C PARA PMF</t>
  </si>
  <si>
    <t>CAP 30/45</t>
  </si>
  <si>
    <t>CAP 50/70</t>
  </si>
  <si>
    <t>CAP 60/85E</t>
  </si>
  <si>
    <t>Usina de CBUQ</t>
  </si>
  <si>
    <t>Usina de PMF</t>
  </si>
  <si>
    <t>Pedeira/Usina CBUQ</t>
  </si>
  <si>
    <t>Pedreira/Usina PMF</t>
  </si>
  <si>
    <t>Pedreira/Obra</t>
  </si>
  <si>
    <t>Cimento/Obra</t>
  </si>
  <si>
    <t>Jazida de solo</t>
  </si>
  <si>
    <t>TRANSPORTE DE SOLO DE JAZIDA PARA MISTURA DA BASE E/OU SUB-BASE</t>
  </si>
  <si>
    <t xml:space="preserve">Definir depósito expurgo:1 </t>
  </si>
  <si>
    <t>Definir depósito reciclável: 2, 3 ou 4</t>
  </si>
  <si>
    <t>Definir depósito:                                     1, 2, 3 ou 4</t>
  </si>
  <si>
    <t>Definir depósito:                                   1,  2, 3 ou 4</t>
  </si>
  <si>
    <t>Depósito de expurgo SEM reciclagem: 1</t>
  </si>
  <si>
    <t>Definir depósito:                                   1, 2, 3 ou 4</t>
  </si>
  <si>
    <t>LF/0040</t>
  </si>
  <si>
    <t>LF/0045</t>
  </si>
  <si>
    <t>PARADA DE ÔNIBUS - PAVIMENTO RÍGIDO E PLATAFORMA</t>
  </si>
  <si>
    <t>MÊS</t>
  </si>
  <si>
    <t>PRODUÇÃO</t>
  </si>
  <si>
    <t>QUADRO DAS DISTÂNCIAS MÉDIAS DE TRANSPORTE DOS INSUMOS - DMT</t>
  </si>
  <si>
    <t>Jazida de cascalho</t>
  </si>
  <si>
    <t>produção</t>
  </si>
  <si>
    <t>DISCRIMINAÇÃO DOS SERVIÇOS</t>
  </si>
  <si>
    <t>MENSAL</t>
  </si>
  <si>
    <t>Σ</t>
  </si>
  <si>
    <t>Se Rosa extensão local &gt; extensão via</t>
  </si>
  <si>
    <t>ANÁLISE DOS DADOS DOS REPAROS</t>
  </si>
  <si>
    <t>TOTAL ÁREA (m²)</t>
  </si>
  <si>
    <t>ÍNDICE (%)</t>
  </si>
  <si>
    <t>TOTAL EXTENSÃO (m)</t>
  </si>
  <si>
    <t>ANÁLISE DOS DADOS DAS RECOMPOSIÇÕES</t>
  </si>
  <si>
    <t>ÁREA 5 (m²)</t>
  </si>
  <si>
    <t>ÁREA 6 (m²)</t>
  </si>
  <si>
    <t>REPERFILAMENTO</t>
  </si>
  <si>
    <t>EMULSÃO ASFÁLTICA (T)</t>
  </si>
  <si>
    <t>PRODUTO DE BRITAGEM (m³)</t>
  </si>
  <si>
    <r>
      <t xml:space="preserve">ALTURA DO REPARO </t>
    </r>
    <r>
      <rPr>
        <b/>
        <sz val="10"/>
        <color rgb="FFFF0000"/>
        <rFont val="Arial"/>
        <family val="2"/>
      </rPr>
      <t>(cm)</t>
    </r>
  </si>
  <si>
    <t>VOLUME 1 (m³)</t>
  </si>
  <si>
    <t>VOLUME 2 (m³)</t>
  </si>
  <si>
    <t>VOLUME 3 (m³)</t>
  </si>
  <si>
    <t>VOLUME 4 (m³)</t>
  </si>
  <si>
    <t>VOLUME 5 (m³)</t>
  </si>
  <si>
    <t>VOLUME 6 (m³)</t>
  </si>
  <si>
    <r>
      <t>ESPESSURA 4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</si>
  <si>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6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</si>
  <si>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VOLUME DA MISTURA (m³)</t>
  </si>
  <si>
    <r>
      <t>TIPO: SOLOxBRITRA</t>
    </r>
    <r>
      <rPr>
        <b/>
        <sz val="8"/>
        <color rgb="FFFF0000"/>
        <rFont val="Arial"/>
        <family val="2"/>
      </rPr>
      <t xml:space="preserve"> (SB)</t>
    </r>
    <r>
      <rPr>
        <b/>
        <sz val="8"/>
        <rFont val="Arial"/>
        <family val="2"/>
      </rPr>
      <t xml:space="preserve"> /CASCALHO </t>
    </r>
    <r>
      <rPr>
        <b/>
        <sz val="8"/>
        <color rgb="FFFF0000"/>
        <rFont val="Arial"/>
        <family val="2"/>
      </rPr>
      <t>(C)</t>
    </r>
    <r>
      <rPr>
        <b/>
        <sz val="8"/>
        <rFont val="Arial"/>
        <family val="2"/>
      </rPr>
      <t xml:space="preserve"> / 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</si>
  <si>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prazo (h)</t>
  </si>
  <si>
    <t>BRITA PARA SOLO/BRITA (0,688m³/m³)</t>
  </si>
  <si>
    <t>REMENDO PROFUNDO COM REFORÇO DO SUBLEITO - LASTRO DE PEDRA DE MÃO / RACHÃO</t>
  </si>
  <si>
    <r>
      <t xml:space="preserve">ESCAVAÇÃO ALTURA </t>
    </r>
    <r>
      <rPr>
        <b/>
        <sz val="8"/>
        <color rgb="FFFF0000"/>
        <rFont val="Arial"/>
        <family val="2"/>
      </rPr>
      <t>(cm)</t>
    </r>
  </si>
  <si>
    <t>ESCAVAÇÃO VOLUME (m³)</t>
  </si>
  <si>
    <r>
      <t>ATERRO ALTURA</t>
    </r>
    <r>
      <rPr>
        <b/>
        <sz val="8"/>
        <color rgb="FFFF0000"/>
        <rFont val="Arial"/>
        <family val="2"/>
      </rPr>
      <t xml:space="preserve"> (cm)</t>
    </r>
  </si>
  <si>
    <t>REFORÇO VOLUME (m³)</t>
  </si>
  <si>
    <r>
      <t>REFORÇO ALTURA</t>
    </r>
    <r>
      <rPr>
        <b/>
        <sz val="8"/>
        <color rgb="FFFF0000"/>
        <rFont val="Arial"/>
        <family val="2"/>
      </rPr>
      <t xml:space="preserve"> (cm)</t>
    </r>
  </si>
  <si>
    <t>REFORÇO - COLCHÃO (m³)</t>
  </si>
  <si>
    <t>REFORÇO - LASTRO (m³)</t>
  </si>
  <si>
    <t>ATERRO PLACA (m³)</t>
  </si>
  <si>
    <t>ATERRO ROLO (m³)</t>
  </si>
  <si>
    <t>BASE - EXECUÇÃO MANUAL (m³)</t>
  </si>
  <si>
    <t>BICA CORRIDA - EXECUÇÃO</t>
  </si>
  <si>
    <t>CASCALHO - EXECUÇÃO</t>
  </si>
  <si>
    <t>BASE - EXECUÇÃO MECÂNICA (m³)</t>
  </si>
  <si>
    <r>
      <t>ESPESSURA DA BASE</t>
    </r>
    <r>
      <rPr>
        <b/>
        <sz val="8"/>
        <color rgb="FFFF0000"/>
        <rFont val="Arial"/>
        <family val="2"/>
      </rPr>
      <t xml:space="preserve"> (cm)</t>
    </r>
  </si>
  <si>
    <r>
      <t xml:space="preserve">RECOMPOR BASE: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</si>
  <si>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SOLO EMPLADO PARA SOLO/BRITA (25%)</t>
  </si>
  <si>
    <t>SOLO/BRITA (50/50) - EXECUÇÃO</t>
  </si>
  <si>
    <t>ÁREA 7 (m²)</t>
  </si>
  <si>
    <r>
      <t xml:space="preserve">REVESTIMENTO TIPO: </t>
    </r>
    <r>
      <rPr>
        <b/>
        <sz val="8"/>
        <color rgb="FFFF0000"/>
        <rFont val="Arial"/>
        <family val="2"/>
      </rPr>
      <t>CBUQ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PMF</t>
    </r>
  </si>
  <si>
    <t>BRITA GRADUADA - EXECUÇÃO</t>
  </si>
  <si>
    <t>PEDRA REFORÇO (m³)</t>
  </si>
  <si>
    <t>JAZIDA DE SOLO (m³)</t>
  </si>
  <si>
    <t>Cimento</t>
  </si>
  <si>
    <t>se AMARELO micro / se ROSA digitar espessura</t>
  </si>
  <si>
    <t>Trecho previsto com remoção do revestimento no recapeamento prévio</t>
  </si>
  <si>
    <r>
      <t>ESPESSURA REMOVIDA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</si>
  <si>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 xml:space="preserve">se for recompor o revestimento além do recapeamento geral, indicar a espessura e tipo. Pode ser indicado </t>
    </r>
    <r>
      <rPr>
        <sz val="8"/>
        <color rgb="FFFF0000"/>
        <rFont val="Arial"/>
        <family val="2"/>
      </rPr>
      <t>agulhamento</t>
    </r>
    <r>
      <rPr>
        <sz val="8"/>
        <rFont val="Arial"/>
        <family val="2"/>
      </rPr>
      <t xml:space="preserve"> e revestimento simultaneamente</t>
    </r>
  </si>
  <si>
    <r>
      <t xml:space="preserve">RECOMPOR REVESTIMENTO: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</si>
  <si>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Trecho previsto com remoção do revestimento e base no recapeamento prévio</t>
  </si>
  <si>
    <t xml:space="preserve">TIPO DE REVESTIMENTO EMPREGADO NAS RECOMPOSIÇÕES </t>
  </si>
  <si>
    <t>Compatibilizar com Recap_Final</t>
  </si>
  <si>
    <r>
      <t>ESPESSURA DO REVESTIMENTO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</si>
  <si>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executar revestimento além do recapeamento</t>
    </r>
    <r>
      <rPr>
        <b/>
        <sz val="8"/>
        <color rgb="FFFF0000"/>
        <rFont val="Arial"/>
        <family val="2"/>
      </rPr>
      <t xml:space="preserve"> (SIM)</t>
    </r>
  </si>
  <si>
    <t>Trecho previsto com reciclagem da base no recapeamento prévio</t>
  </si>
  <si>
    <t>se VERDE especificar tipo de revestimento ou deletar espessura do revestimento</t>
  </si>
  <si>
    <t>SOLO PARA SOLO/BRITA (%)</t>
  </si>
  <si>
    <t>PREÇO TOTAL DESONERADO (R$)</t>
  </si>
  <si>
    <t>PREÇO TOTAL NÃO DESONERADO (R$)</t>
  </si>
  <si>
    <t>VARIAÇÃO                                                                         NÃO DESON / DESON (%)</t>
  </si>
  <si>
    <t>QUADRO ANALÍTICO DOS ORÇAMENTOS NÃO DESONERADO X DESONERADO</t>
  </si>
  <si>
    <t>PRAZOS</t>
  </si>
  <si>
    <t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t>
  </si>
  <si>
    <t>Segurança de trânsito - sinalização de advertência de obra com elemento luminoso (balde vermelho)</t>
  </si>
  <si>
    <t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t>
  </si>
  <si>
    <t>Recorte mecânico de pavimento asfáltico ou piso de concreto, com serra de disco diamantado para piso/asfalto</t>
  </si>
  <si>
    <t>Preparo do subleito, escavação e carga. Exclusive transporte</t>
  </si>
  <si>
    <t>UN.MÊS</t>
  </si>
  <si>
    <t>1. COPIAR PLANILHA DE ORÇAMENTO PARA A PASTA "Orçamento Auxiliar" as colunas: código, discriminação, unid., quant., precço unitário, preço total. Usar filtro para copiar somente linhas com valores. Linhas contendo uma célula vazia não devem ser copiada;</t>
  </si>
  <si>
    <r>
      <t>4. NA COLUNA "D" (PREÇO TOTAL R$) CLICAR COM TECLA DIREITA DO MOUSE E CLASSIFICAR Z P/ A</t>
    </r>
    <r>
      <rPr>
        <sz val="8"/>
        <rFont val="Calibri"/>
        <family val="2"/>
      </rPr>
      <t>↓</t>
    </r>
  </si>
  <si>
    <t>5. NA PASTA "Pareto" OBSERVAR SE O GRÁFICO ESTÁ CORRETO</t>
  </si>
  <si>
    <t>Veloc. máx. permitida 60km/h (R-19)</t>
  </si>
  <si>
    <t>Veloc. máx. permitida 80km/h (R-19)</t>
  </si>
  <si>
    <t>Sentido de circulação da via (R-24 a)</t>
  </si>
  <si>
    <t>PAVIMENTO ASFÁLTICO</t>
  </si>
  <si>
    <t>CONCRETO</t>
  </si>
  <si>
    <t>RECORTE MECÂNICO (m)</t>
  </si>
  <si>
    <t>EC/0044</t>
  </si>
  <si>
    <t>argiloso</t>
  </si>
  <si>
    <t>2*1,5</t>
  </si>
  <si>
    <t>PÁTIO DO CANTEIRO DE OBRAS PORTÃO DE ACESSO DE VEÍCULOS (m²)</t>
  </si>
  <si>
    <t xml:space="preserve">PORTÃO EM TELA ARAME E MOLDURA EM TUBOS DE AÇO </t>
  </si>
  <si>
    <t>SC/0115</t>
  </si>
  <si>
    <t>CERCA MOURÃO MADEIRA H=1,50m</t>
  </si>
  <si>
    <t>CERCA MOURÃO CONCRETO H=1,80m</t>
  </si>
  <si>
    <t>ALAMBRADO H=1,80m</t>
  </si>
  <si>
    <t>CERCAMENTO DE ÁREA</t>
  </si>
  <si>
    <t>RETANGULAR</t>
  </si>
  <si>
    <t>PASSEIO - CALÇADA  REVESTIMENTO BLOCO INTERTRAVADO "PAVER"</t>
  </si>
  <si>
    <t>CONTRAPISO DE CONCRETO MAGRO</t>
  </si>
  <si>
    <t>FURO 34</t>
  </si>
  <si>
    <t>FURO 35</t>
  </si>
  <si>
    <t>FURO 37</t>
  </si>
  <si>
    <t>FURO 39</t>
  </si>
  <si>
    <t>FURO 40</t>
  </si>
  <si>
    <t>FURO 41</t>
  </si>
  <si>
    <t>FURO 42</t>
  </si>
  <si>
    <t>FURO 43</t>
  </si>
  <si>
    <t>FURO 45</t>
  </si>
  <si>
    <t>FURO 67</t>
  </si>
  <si>
    <t>FURO 68</t>
  </si>
  <si>
    <t>FURO 69</t>
  </si>
  <si>
    <t>FURO 70</t>
  </si>
  <si>
    <t>FURO 72</t>
  </si>
  <si>
    <t>FURO 73</t>
  </si>
  <si>
    <t>FURO 75</t>
  </si>
  <si>
    <t>FURO 77</t>
  </si>
  <si>
    <t>FURO 78</t>
  </si>
  <si>
    <t>FURO 79</t>
  </si>
  <si>
    <t>FURO 80</t>
  </si>
  <si>
    <t>FURO 81</t>
  </si>
  <si>
    <t>Todos os ensaios</t>
  </si>
  <si>
    <t>Rua  Barranquilha (Rua Capitão Airton Rebouças / Rua Capitão Mário Pio Pereira)</t>
  </si>
  <si>
    <t>Rua Capitão Mário Pio Pereira (Av. Gal. Alberto Carlos Mendonça Lima / Rua Mamoeiro)</t>
  </si>
  <si>
    <t>Av. Gal. Alberto Carlos Mendonça Lima (Rua Cap. Airton Rebouças / Av. Wilson Paes de Barros)</t>
  </si>
  <si>
    <t>Av. Jamil Nahas (Av. Duque de Caxia / Av.  Marginal Esquerda Imbirussu)</t>
  </si>
  <si>
    <t>Av. Marginal Esquerda Imbirussu (Av. 9 / Av. Gal. Alberto Carlos Mendonça Lima)</t>
  </si>
  <si>
    <t xml:space="preserve">Rua Henfil - Jd Carioca </t>
  </si>
  <si>
    <t>Rua Rogério Cavalari - Jd Carioca</t>
  </si>
  <si>
    <t>Rua Raul Seixas (L/O) - Jd Carioca</t>
  </si>
  <si>
    <t>Rua Raul Seixas (N/S) - Jd Carioca</t>
  </si>
  <si>
    <t>Rua João Saldanha - Jd Carioca</t>
  </si>
  <si>
    <t>Avenida 3 (Av. Wilson Paes de Barros / Avenida 9</t>
  </si>
  <si>
    <t>Avenida 7 (Av. Wilson Paes de Barros / Avenida 2)</t>
  </si>
  <si>
    <t>Rua 79 (Rua 76 / Avenida 3)</t>
  </si>
  <si>
    <t>Rua 84 (Rua 76 / Avenida 3)</t>
  </si>
  <si>
    <t>Av. Wilson Paes de Barros (Av. Dq Caxias / Av. Alberto Mendonça Lima)</t>
  </si>
  <si>
    <t>Subleito</t>
  </si>
  <si>
    <t>Av. Gal. Alberto Carlos Mendonça Lima (Av. Wilsom Paes de Barros / Av. Marginal Imbirussu)</t>
  </si>
  <si>
    <t>ARGILOSO</t>
  </si>
  <si>
    <t>BRITA DO DRENO (m³)</t>
  </si>
  <si>
    <t>TIPO FH0100 (0,25m³/m)</t>
  </si>
  <si>
    <t>TIPO FH0150 (0,50m³/m)</t>
  </si>
  <si>
    <t>EAI</t>
  </si>
  <si>
    <t>PA/0025</t>
  </si>
  <si>
    <r>
      <t xml:space="preserve">verificação              </t>
    </r>
    <r>
      <rPr>
        <sz val="12"/>
        <rFont val="Calibri"/>
        <family val="2"/>
      </rPr>
      <t>Σ</t>
    </r>
    <r>
      <rPr>
        <sz val="15"/>
        <rFont val="Courier"/>
        <family val="2"/>
      </rPr>
      <t xml:space="preserve"> </t>
    </r>
    <r>
      <rPr>
        <sz val="10"/>
        <rFont val="Courier"/>
        <family val="2"/>
      </rPr>
      <t>Ø</t>
    </r>
  </si>
  <si>
    <t>ESCAVADEIRA</t>
  </si>
  <si>
    <t>MICRODRENAGEM - BACIA DE AMORTECIMENTO</t>
  </si>
  <si>
    <t>PÁTIO DO CANTEIRO DE OBRAS
REVESTIMENTO DO TERRENO (m³) (VOLUME GEOMÉTRICO)</t>
  </si>
  <si>
    <t>PÁTIO DO CANTEIRO DE OBRAS
REVESTIMENTO DO TERRENO (m²)</t>
  </si>
  <si>
    <t>SERVIÇOS DE TERRAPLENAGEM</t>
  </si>
  <si>
    <t>pav</t>
  </si>
  <si>
    <t>SERVIÇOS DE ESTRUTURA</t>
  </si>
  <si>
    <t>EC/0020</t>
  </si>
  <si>
    <t>EC/0025</t>
  </si>
  <si>
    <t>EC/0030</t>
  </si>
  <si>
    <t>EC-0033</t>
  </si>
  <si>
    <t>EC/0035</t>
  </si>
  <si>
    <t>EC/0040</t>
  </si>
  <si>
    <t>SERVIÇOS DE URBANIZAÇÃO</t>
  </si>
  <si>
    <t>Bacia_Amortecimento!A1</t>
  </si>
  <si>
    <t>betoneira</t>
  </si>
  <si>
    <t>PLANILHA DE QUANTIDADES DE SERVIÇOS DE CONSTRUÇÃO DE BACIA DE AMORTECIMENTO - PROJETO DE ENGENHARIA</t>
  </si>
  <si>
    <t>ÁREA CALCULADA (m²)</t>
  </si>
  <si>
    <t>ÁREA DESENHO (m²)</t>
  </si>
  <si>
    <t>VOLUME DE EXPURGO (m³)</t>
  </si>
  <si>
    <t>ESPESSURA DA CAMADA DE EXPURGO = 20cm (empolada)</t>
  </si>
  <si>
    <t>CONE (un)</t>
  </si>
  <si>
    <t>ESCAVAÇÃO</t>
  </si>
  <si>
    <t>MATERIAL 1ª CATEGORIA (m³)</t>
  </si>
  <si>
    <t>MATERIAL 3ª CATEGORIA (m³)</t>
  </si>
  <si>
    <t>TALUDE (m³)</t>
  </si>
  <si>
    <t>REGULARIZAÇÃO COM MOTONIVELADORA (m²)</t>
  </si>
  <si>
    <t>ESPALHAMENTO DE BOTA-FORA (m³)</t>
  </si>
  <si>
    <t>TRANSPORTE INTERNO NO CANTEIRO - SOLO</t>
  </si>
  <si>
    <t>DRENO DE FUNDO</t>
  </si>
  <si>
    <t>ESCAVAÇÃO MANUAL (m³)</t>
  </si>
  <si>
    <t>ESCAVAÇÃO MECÂNICA (m³)</t>
  </si>
  <si>
    <t>GEOSSINTÉTICO (m²)</t>
  </si>
  <si>
    <t>TUBO DRENO (m)</t>
  </si>
  <si>
    <t>MAGRO</t>
  </si>
  <si>
    <t>20 Mpa</t>
  </si>
  <si>
    <t>25 Mpa</t>
  </si>
  <si>
    <t>30 Mpa</t>
  </si>
  <si>
    <t>35 MPa</t>
  </si>
  <si>
    <t>CICLÓPICO</t>
  </si>
  <si>
    <t>CA-60 5mm</t>
  </si>
  <si>
    <t>CA-50 6,3mm</t>
  </si>
  <si>
    <t>CA-50 8,0mm</t>
  </si>
  <si>
    <t>CA-50 10,0mm</t>
  </si>
  <si>
    <t>CA-50 12,5mm</t>
  </si>
  <si>
    <t>CA-50 16,0mm</t>
  </si>
  <si>
    <t>CA-50 20,0mm</t>
  </si>
  <si>
    <t>CA-50 25,0mm</t>
  </si>
  <si>
    <t>CA-60 Q-138 (10x10cm) #4,2x4,2mm (2,2kg/m²)</t>
  </si>
  <si>
    <t>CA-60 Q-92 (15x15cm)       #4,2x4,2mm (1,48kg/m²)</t>
  </si>
  <si>
    <t>CHAPA 2x (m²)</t>
  </si>
  <si>
    <t>CHAPA 6x (m²)</t>
  </si>
  <si>
    <t>TÁBUA 4x (m²)</t>
  </si>
  <si>
    <t>ESCORAMENTO (m³)</t>
  </si>
  <si>
    <r>
      <t xml:space="preserve">H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4,00m</t>
    </r>
  </si>
  <si>
    <t>4,0m &lt; H ≤ 6,00m</t>
  </si>
  <si>
    <t>6,0m &lt; H ≤ 10,00m</t>
  </si>
  <si>
    <r>
      <t xml:space="preserve">ANCORAGEM 4m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4,00m</t>
    </r>
  </si>
  <si>
    <t>ANCORAGEM 4m H &gt; 4,00m</t>
  </si>
  <si>
    <t>ANCORAGEM 4m + GEOGRELHA                        H &gt; 4,00m</t>
  </si>
  <si>
    <t>ANCORAGEM 5m H &gt; 4,00m</t>
  </si>
  <si>
    <t>ANCORAGEM 6m H &gt; 4,00m</t>
  </si>
  <si>
    <t>COLCHÃO DE GABIÃO (m²)</t>
  </si>
  <si>
    <t>H = 17cm</t>
  </si>
  <si>
    <t>H = 23cm</t>
  </si>
  <si>
    <t>H = 30 cm</t>
  </si>
  <si>
    <t>TUBO DE AÇO GALVANIZADO (m)</t>
  </si>
  <si>
    <t>Ø 40mm (1 1/2")</t>
  </si>
  <si>
    <t>Ø 50mm (2")</t>
  </si>
  <si>
    <t>ESTRUTURA</t>
  </si>
  <si>
    <t>GABIÃO SACO Ø 65cm (m³)</t>
  </si>
  <si>
    <t>URBANIZAÇÃO</t>
  </si>
  <si>
    <t>PORTÃO (m²)</t>
  </si>
  <si>
    <t>ALAMBRADO H = 1,80m (m)</t>
  </si>
  <si>
    <t>GRAMA (m²)</t>
  </si>
  <si>
    <t>PISO TÁTIL (m)</t>
  </si>
  <si>
    <t>CONCRETO MAGRO (m³)</t>
  </si>
  <si>
    <t>CALÇADA BLOCO INTERTRAVADO (m²)</t>
  </si>
  <si>
    <t>TRANSPORTE PARA BACIA DE AMORTECIMENTO</t>
  </si>
  <si>
    <t>BOTA-FORA - PRODUTO DA LIMPEZA (m³)</t>
  </si>
  <si>
    <t>BOTA-FORA - SOLO (m³)</t>
  </si>
  <si>
    <t>BOTA-FORA - ROCHA (EMPOLADO 40%) (m³)</t>
  </si>
  <si>
    <t>TRANSPORTE INTERNO NO CANTEIRO - SOLO (m³)</t>
  </si>
  <si>
    <t>PEDRA BRITA / PULMÃO / DE MÃO / RACHÃO (m³)</t>
  </si>
  <si>
    <t>TRANSPORTE DE PEDRA TIPO BRITA / PULMÃO / DE MÃO / RACHÃO</t>
  </si>
  <si>
    <r>
      <t xml:space="preserve">ÁRVORE ORNAMENTAL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2,00m (un)</t>
    </r>
  </si>
  <si>
    <r>
      <t xml:space="preserve">PALMEIRA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2,00m (un)</t>
    </r>
  </si>
  <si>
    <t xml:space="preserve">CALÇADA RÚSTICA CONCRETO SIMPLES </t>
  </si>
  <si>
    <t>CALÇADA RÚSTICA CONCRETO ARMADO (m²)</t>
  </si>
  <si>
    <t>VOLUME DE BRITA (EMPLOADA 10%) (m³)</t>
  </si>
  <si>
    <t>SINALIZAÇÃO DE OBRA</t>
  </si>
  <si>
    <t>PLACA DE ADVERTÊNCIA (m²)</t>
  </si>
  <si>
    <t>LIMPEZA</t>
  </si>
  <si>
    <t>REVESTIMENTO DO SUBLEITO COM BRITA</t>
  </si>
  <si>
    <t>MURO GABIÃO CAIXA TIPO GRAVIDADE (m³)</t>
  </si>
  <si>
    <t>MURO GABIÃO CAIXA TIPO SOLO REFORÇADO (m³)</t>
  </si>
  <si>
    <r>
      <t xml:space="preserve">PLACA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1,50m</t>
    </r>
  </si>
  <si>
    <t>PLACA 1,50m &lt; H ≤ 3,00m</t>
  </si>
  <si>
    <t>PLACA 3,00m &lt; H ≤ 4,50m</t>
  </si>
  <si>
    <t>PLACA H &gt; 4,50m</t>
  </si>
  <si>
    <t>SOLO GRAMPEADO</t>
  </si>
  <si>
    <t>CONCRETO PROJETADO e=10cm COM TELA</t>
  </si>
  <si>
    <t>CONCRETO PROJETADO e=10cm COM FIBRA</t>
  </si>
  <si>
    <r>
      <t xml:space="preserve">GRAMPO Ø 10cm                                                                       6,00m </t>
    </r>
    <r>
      <rPr>
        <b/>
        <sz val="8"/>
        <rFont val="Calibri"/>
        <family val="2"/>
      </rPr>
      <t xml:space="preserve">&lt; L ≤ 8,00m </t>
    </r>
    <r>
      <rPr>
        <b/>
        <sz val="8"/>
        <rFont val="Arial"/>
        <family val="2"/>
      </rPr>
      <t>(m)</t>
    </r>
  </si>
  <si>
    <r>
      <t xml:space="preserve">GRAMPO Ø10cm                                      8,00m </t>
    </r>
    <r>
      <rPr>
        <b/>
        <sz val="8"/>
        <rFont val="Calibri"/>
        <family val="2"/>
      </rPr>
      <t xml:space="preserve">&lt; L ≤ 10,00m </t>
    </r>
    <r>
      <rPr>
        <b/>
        <sz val="8"/>
        <rFont val="Arial"/>
        <family val="2"/>
      </rPr>
      <t>(m)</t>
    </r>
  </si>
  <si>
    <t>LASTRO DE BRITA</t>
  </si>
  <si>
    <t>8cm</t>
  </si>
  <si>
    <t>5cm</t>
  </si>
  <si>
    <t>7cm</t>
  </si>
  <si>
    <t>3cm</t>
  </si>
  <si>
    <t>Diâmetro do Tubo:</t>
  </si>
  <si>
    <t>Espessura do Tubo + Bolsa 2 x:</t>
  </si>
  <si>
    <t>Viga:</t>
  </si>
  <si>
    <t>Laje:</t>
  </si>
  <si>
    <t>Diâmetro:</t>
  </si>
  <si>
    <t>Tampão:</t>
  </si>
  <si>
    <t>Total:</t>
  </si>
  <si>
    <t>H PV</t>
  </si>
  <si>
    <t>LOCAL SAÍDA</t>
  </si>
  <si>
    <t>LOCAL LANÇAMENTO</t>
  </si>
  <si>
    <t>c70</t>
  </si>
  <si>
    <t>CHECK</t>
  </si>
  <si>
    <t>TAMPÃO FºFº + LAJES (m)</t>
  </si>
  <si>
    <t xml:space="preserve"> COTA TERRENO</t>
  </si>
  <si>
    <t>COTA TAMPA</t>
  </si>
  <si>
    <t>COTA (m)</t>
  </si>
  <si>
    <t>TERRENO</t>
  </si>
  <si>
    <t xml:space="preserve"> COTA TERRENO (m)</t>
  </si>
  <si>
    <t>COTA TAMPA (m)</t>
  </si>
  <si>
    <t>FUNDO COTA (m)</t>
  </si>
  <si>
    <t>PROFUNDIDADE (m)</t>
  </si>
  <si>
    <t>CGES-BOLSA SAÍDA</t>
  </si>
  <si>
    <t>CGES-BOLSA ENTRADA "A"</t>
  </si>
  <si>
    <t>CGES-BOLSA ENTRADA "B"</t>
  </si>
  <si>
    <t>CGES-BOLSA ENTRADA "C"</t>
  </si>
  <si>
    <t>c71</t>
  </si>
  <si>
    <t>c72</t>
  </si>
  <si>
    <t>PÉ DIREITO DO PV (m)</t>
  </si>
  <si>
    <t>CGES (BOLSA/LAJE) ENTRADA "A" (m)</t>
  </si>
  <si>
    <t>CGES (BOLSA/LAJE) SAÍDA (m)</t>
  </si>
  <si>
    <t>CGES (BOLSA/LAJE) ENTRADA "B" (m)</t>
  </si>
  <si>
    <t>CGES (BOLSA/LAJE) ENTRADA "C" (m)</t>
  </si>
  <si>
    <t>PÉ-DIREITO PV (m)</t>
  </si>
  <si>
    <t>DIMENSÕES VERTICAIS DO PV / CC DE MONTANTE</t>
  </si>
  <si>
    <t>FUNDAÇÃO DO MURO</t>
  </si>
  <si>
    <t>ESPESSURA MÉDIA (m) (emploada)</t>
  </si>
  <si>
    <t>BATATAIS</t>
  </si>
  <si>
    <t>MICRODRENAGEM - GALERIAS</t>
  </si>
  <si>
    <r>
      <t xml:space="preserve">PINTURA DE PISO PARA CICLOVIA
</t>
    </r>
    <r>
      <rPr>
        <b/>
        <sz val="8"/>
        <rFont val="Arial"/>
        <family val="2"/>
      </rPr>
      <t>TINTA BASE ACRÍLICA EMULSIONADA EM ÁGUA - ESPESSURA 0,3 mm</t>
    </r>
  </si>
  <si>
    <t>Faixa de Retenção (Tracejada) (m)</t>
  </si>
  <si>
    <t>Bicicleta  (Ciclovia)
(un)</t>
  </si>
  <si>
    <t>Seta (Ciclovia)
(un)</t>
  </si>
  <si>
    <t>Pare ciclovia (un)</t>
  </si>
  <si>
    <r>
      <rPr>
        <b/>
        <sz val="12"/>
        <rFont val="Arial"/>
        <family val="2"/>
      </rPr>
      <t>PINTURA DE SETAS E LEGENDAS</t>
    </r>
    <r>
      <rPr>
        <b/>
        <sz val="10"/>
        <rFont val="Arial"/>
        <family val="2"/>
      </rPr>
      <t xml:space="preserve">
TINTA BASE ACRÍLICA EMULSIONADA EM ÁGUA - ESPESSURA 0,3 mm</t>
    </r>
  </si>
  <si>
    <t>IDOSO (un)</t>
  </si>
  <si>
    <t>PNE (un)</t>
  </si>
  <si>
    <t>Moto (un)</t>
  </si>
  <si>
    <t>Radar (un)</t>
  </si>
  <si>
    <t>PINTURA DE SETAS E LEGENDAS
TERMOPLÁSTICO POR EXTRUSÃO - ESPESSURA 3,0 mm</t>
  </si>
  <si>
    <t>Faixa Contínua Branca
(Ciclovia)
(m)</t>
  </si>
  <si>
    <t>Faixa Contínua Vermelha
(Ciclovia)
(m)</t>
  </si>
  <si>
    <t>Faixa Tracejada (Ciclovia)
(m)</t>
  </si>
  <si>
    <t>IDENTIFICAÇÃO DE RUA - POSTE (un)</t>
  </si>
  <si>
    <t>IDENTIFICAÇÃO DE RUA - PLACA ESMALTADA 45x25cm (un)</t>
  </si>
  <si>
    <t>3,00x1,00</t>
  </si>
  <si>
    <t>2,00x1,20</t>
  </si>
  <si>
    <t>PLACA DE SINALIZAÇÃO VERTICAL 
PELÍCULAS TIPO I-A E TIPO II-A (AI/AI)</t>
  </si>
  <si>
    <t>Ciclovia - Contrafluxo</t>
  </si>
  <si>
    <t>Ciclovia - Mão dupla</t>
  </si>
  <si>
    <t>Ciclovia - Travessia de via</t>
  </si>
  <si>
    <t>Marcador de Alinhamento</t>
  </si>
  <si>
    <t>Placa retangular</t>
  </si>
  <si>
    <t>Comprimento limitado
(A-48)</t>
  </si>
  <si>
    <t>Peso limitado por eixo
(A-47)</t>
  </si>
  <si>
    <t>Peso bruto total limitado
(A-46)</t>
  </si>
  <si>
    <t>Rua sem saída
(A-45)</t>
  </si>
  <si>
    <t>Vento lateral
(A-44)</t>
  </si>
  <si>
    <t>Aeroporto
(A-43)</t>
  </si>
  <si>
    <t>Pista dividida
(A-42 c)</t>
  </si>
  <si>
    <t>Fim de pista dupla
(A-42 b)</t>
  </si>
  <si>
    <t>Início de pista dupla
(A-42 a)</t>
  </si>
  <si>
    <t>Cruz de Santo André
(A-41)</t>
  </si>
  <si>
    <t>Passagem de nível com barreira
(A-40)</t>
  </si>
  <si>
    <t>Passagem de nível sem barreira
(A-39)</t>
  </si>
  <si>
    <t>Largura limitada
(A-38)</t>
  </si>
  <si>
    <t>Altura limitada
(A-37)</t>
  </si>
  <si>
    <t>Animais selvagens
(A-36)</t>
  </si>
  <si>
    <t>Animais
(A-35)</t>
  </si>
  <si>
    <t>Crianças
(A-34)</t>
  </si>
  <si>
    <t>Passagem sinalizada de escolares
(A-33 b)</t>
  </si>
  <si>
    <t>Área escolar
(A-33 a)</t>
  </si>
  <si>
    <t>Passagem sinalizada de pedestres
(A-32 c)</t>
  </si>
  <si>
    <t>Passagem sinalizada de pedestres
(A-32 b)</t>
  </si>
  <si>
    <t>Trânsito de pedestres
(A-32 a)</t>
  </si>
  <si>
    <t>Trânsito de tratores ou maquinária agrícola
(A-31)</t>
  </si>
  <si>
    <t>Trânsito compartilhado por ciclistas e
pedestres
(A-30 c)</t>
  </si>
  <si>
    <t>Passagem sinalizada de ciclistas
(A-30 b)</t>
  </si>
  <si>
    <t>Trânsito de ciclistas
(A-30 a)</t>
  </si>
  <si>
    <t>Projeção de cascalho
(A-29)</t>
  </si>
  <si>
    <t>Pista escorregadia
(A-28)</t>
  </si>
  <si>
    <t>Área com desmoronamento
(A-27)</t>
  </si>
  <si>
    <t>Sentido duplo
(A-26 b)</t>
  </si>
  <si>
    <t>Sentido único
(A-26 a)</t>
  </si>
  <si>
    <t>Mão dupla adiante
(A-25)</t>
  </si>
  <si>
    <t>Obras
(A-24)</t>
  </si>
  <si>
    <t>Ponte móvel
(A-23)</t>
  </si>
  <si>
    <t>Ponte estreita
(A-22)</t>
  </si>
  <si>
    <t>Alargamento de pista à direita
(A-21 e)</t>
  </si>
  <si>
    <t>Alargamento de pista à esquerda
(A-21 d)</t>
  </si>
  <si>
    <t>Estreitamento de pista à direita
(A-21 c)</t>
  </si>
  <si>
    <t>Estreitamento de pista à esquerda
(A-21 b)</t>
  </si>
  <si>
    <t>Estreitamento de pista ao centro
(A-21 a)</t>
  </si>
  <si>
    <t>Aclive acentuado
(A-20 b)</t>
  </si>
  <si>
    <t>Declive acentuado
(A-20 a)</t>
  </si>
  <si>
    <t>Depressão
(A-19)</t>
  </si>
  <si>
    <t>Saliência ou lombada
(A-18 b)</t>
  </si>
  <si>
    <t>Saliência ou lombada
(A-18 a)</t>
  </si>
  <si>
    <t>Pista irregular
(A-17)</t>
  </si>
  <si>
    <t>Bonde
(A-16)</t>
  </si>
  <si>
    <t>Parada obrigatória à frente
(A-15)</t>
  </si>
  <si>
    <t>Semáforo à frente
(A-14)</t>
  </si>
  <si>
    <t>Confluência à direita
(A-13 b)</t>
  </si>
  <si>
    <t>Confluência à esquerda
(A-13 a)</t>
  </si>
  <si>
    <t>Interseção em círculo
(A-12)</t>
  </si>
  <si>
    <t>Junções sucessivas contrárias primeira à
direita
(A-11 b)</t>
  </si>
  <si>
    <t>Junções sucessivas contrárias primeira à
esquerda
(A-11 a)</t>
  </si>
  <si>
    <t>Entroncamento oblíquo à direita
(A-10 b)</t>
  </si>
  <si>
    <t>Entroncamento oblíquo à esquerda
(A-10 a)</t>
  </si>
  <si>
    <t>Bifurcação em “Y”
(A-09)</t>
  </si>
  <si>
    <t>Interseção em “T”
(A-08)</t>
  </si>
  <si>
    <t>Via lateral à direita
(A-07 b)</t>
  </si>
  <si>
    <t>Via lateral à esquerda
(A-07 a)</t>
  </si>
  <si>
    <t>Cruzamento de vias
(A-06)</t>
  </si>
  <si>
    <t>Curva em “S” à direita
(A-05 b)</t>
  </si>
  <si>
    <t>Curva em “S” à esquerda
(A-05 a)</t>
  </si>
  <si>
    <t>Curva acentuada em “S” à direita
(A-04 b)</t>
  </si>
  <si>
    <t>Curva acentuada em “S” à esquerda
(A-04 a)</t>
  </si>
  <si>
    <t>Pista sinuosa à direita
(A-03 b)</t>
  </si>
  <si>
    <t>Pista sinuosa à esquerda
(A-03 a)</t>
  </si>
  <si>
    <t>Curva à direita
(A-02 b)</t>
  </si>
  <si>
    <t>Curva à esquerda
(A-02 a)</t>
  </si>
  <si>
    <t>Curva acentuada à direita
(A-01 b)</t>
  </si>
  <si>
    <t>Curva acentuada à esquerda
(A-01 a)</t>
  </si>
  <si>
    <t>Trânsito proibido a carros de mão
(R-40)</t>
  </si>
  <si>
    <t>Circulação exclusiva de caminhão
(R-39)</t>
  </si>
  <si>
    <t>Proibido trânsito de ônibus
(R-38)</t>
  </si>
  <si>
    <t>Proibido trânsito de motocicletas, motonetas e ciclomotores
(R-37)</t>
  </si>
  <si>
    <t>Circulação compartilhada entre Ciclistas e Pedestres 
(R-36 c)</t>
  </si>
  <si>
    <t>Pedestres à esquerda, ciclistas à direita
(R-36 b)</t>
  </si>
  <si>
    <t>Ciclistas à esquerda, pedestres à direita
(R-36 a)</t>
  </si>
  <si>
    <t>Ciclista, transite à direita
(R-35 b)</t>
  </si>
  <si>
    <t>Ciclista, transite à esquerda
(R-35 a)</t>
  </si>
  <si>
    <t>Circulação exclusiva de bicicletas
(R-34)</t>
  </si>
  <si>
    <t>Sentido de circulação na rotatória
(R-33)</t>
  </si>
  <si>
    <t>Circulação exclusiva de ônibus
(R-32)</t>
  </si>
  <si>
    <t>Pedestre, ande pela direita
(R-31)</t>
  </si>
  <si>
    <t>Pedestre, ande pela esquerda
(R-30)</t>
  </si>
  <si>
    <t>Proibido trânsito de pedestres
(R-29)</t>
  </si>
  <si>
    <t>Duplo sentido de circulação
(R-28)</t>
  </si>
  <si>
    <t>Ônibus, caminhões e veículos de grande porte mantenham-se à direita
(R-27)</t>
  </si>
  <si>
    <t>Siga em frente
(R-26)</t>
  </si>
  <si>
    <t>Siga em frente ou à direita
(R-25 d)</t>
  </si>
  <si>
    <t>Siga em frente ou à esquerda
(R-25 c)</t>
  </si>
  <si>
    <t>Vire à direita
(R-25 b)</t>
  </si>
  <si>
    <t>Vire à esquerda
(R-25 a)</t>
  </si>
  <si>
    <t>Passagem Obrigatória
(R-24 b)</t>
  </si>
  <si>
    <t>Conserve-se à direita
(R-23)</t>
  </si>
  <si>
    <t>Uso obrigatório de corrente
(R-22)</t>
  </si>
  <si>
    <t>Alfândega
(R-21)</t>
  </si>
  <si>
    <t>Proibido acionar buzina ou sinal sonoro
(R-20)</t>
  </si>
  <si>
    <t>Comprimento máximo permitido
(R-18)</t>
  </si>
  <si>
    <t>Peso máximo permitido por eixo
(R-17)</t>
  </si>
  <si>
    <t>Largura máxima permitida
(R-16)</t>
  </si>
  <si>
    <t>Altura máxima permitida
(R-15)</t>
  </si>
  <si>
    <t>Peso bruto total máximo permitido
(R-14)</t>
  </si>
  <si>
    <t>Proibido trânsito de tratores e máquinas de obras
(R-13)</t>
  </si>
  <si>
    <t>Proibido trânsito de bicicletas
(R-12)</t>
  </si>
  <si>
    <t>Proibido trânsito de veículos de tração animal
(R-11)</t>
  </si>
  <si>
    <t>Proibido trânsito de veículos automotores
(R-10)</t>
  </si>
  <si>
    <t>Proibido trânsito de caminhões
(R-9)</t>
  </si>
  <si>
    <t>Proibido mudar de faixa ou pista de trânsito da direita para esquerda
(R-8 b)</t>
  </si>
  <si>
    <t>Proibido mudar de faixa ou pista de trânsito da esquerda para direita
(R-8 a)</t>
  </si>
  <si>
    <t>Proibido ultrapassar
(R-7)</t>
  </si>
  <si>
    <t>Proibido parar e estacionar
(R-6 c)</t>
  </si>
  <si>
    <t>Estacionamento regulamentado
(R-6 b)</t>
  </si>
  <si>
    <t>Proibido estacionar
(R-6 a)</t>
  </si>
  <si>
    <t>Proibido retornar à direita
(R-5 b)</t>
  </si>
  <si>
    <t>Proibido retornar à esquerda
(R-5 a)</t>
  </si>
  <si>
    <t>Proibido virar à direita
(R-4 b)</t>
  </si>
  <si>
    <t>Proibido virar à esquerda
(R-4 a)</t>
  </si>
  <si>
    <t>Sentido proibido
(R-3)</t>
  </si>
  <si>
    <t>SV/0010</t>
  </si>
  <si>
    <t>SV/0012</t>
  </si>
  <si>
    <t>SV/0020</t>
  </si>
  <si>
    <t>SV/0037</t>
  </si>
  <si>
    <t>SV/0045</t>
  </si>
  <si>
    <t>SV/0050</t>
  </si>
  <si>
    <t>SV/0085</t>
  </si>
  <si>
    <t>SV/0095</t>
  </si>
  <si>
    <t>SV/0105</t>
  </si>
  <si>
    <t>SV/0106</t>
  </si>
  <si>
    <t>SV/0115</t>
  </si>
  <si>
    <t>MONO BRANCA (un)</t>
  </si>
  <si>
    <t>MONO AMARELA (un)</t>
  </si>
  <si>
    <t>BI BRANCA (un)</t>
  </si>
  <si>
    <t>BI AMARELA (un)</t>
  </si>
  <si>
    <t>ABRIGO PADRÃO DO CONTRATANTE (un)</t>
  </si>
  <si>
    <r>
      <rPr>
        <b/>
        <sz val="12"/>
        <rFont val="Arial"/>
        <family val="2"/>
      </rPr>
      <t>PINTURA DE LEGENDAS</t>
    </r>
    <r>
      <rPr>
        <b/>
        <sz val="10"/>
        <rFont val="Arial"/>
        <family val="2"/>
      </rPr>
      <t xml:space="preserve">
LAMINADO ELASTOPLÁSTICO PARA LEGENDAS, COM 1,5mm DE ESPESSURA E COM MEDIDAS DIVERSAS, EM CORES, COM MICRO-ESFERAS DE VIDRO. ÁREA ENTRE 150 E 500m² DO MATERIAL</t>
    </r>
  </si>
  <si>
    <t>SC/0068</t>
  </si>
  <si>
    <t>L ≤ 10 km = 1 un
L &gt; 10 km = 2 un</t>
  </si>
  <si>
    <t>Passeio!A1</t>
  </si>
  <si>
    <t>ST/0020</t>
  </si>
  <si>
    <r>
      <t xml:space="preserve">ESCORAMENTO TIPO PONTALETE                                      </t>
    </r>
    <r>
      <rPr>
        <b/>
        <sz val="8"/>
        <color rgb="FFFF0000"/>
        <rFont val="Arial"/>
        <family val="2"/>
      </rPr>
      <t xml:space="preserve"> (1,25m ≤ 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2,50m)</t>
    </r>
  </si>
  <si>
    <r>
      <t xml:space="preserve">ESCORAMENTO TIPO DESCONTÍNUO             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3,00m)</t>
    </r>
    <r>
      <rPr>
        <b/>
        <sz val="8"/>
        <rFont val="Arial"/>
        <family val="2"/>
      </rPr>
      <t xml:space="preserve"> </t>
    </r>
  </si>
  <si>
    <r>
      <t xml:space="preserve">ESCORAMENTO CONTÍNUO                 </t>
    </r>
    <r>
      <rPr>
        <b/>
        <sz val="8"/>
        <color rgb="FFFF0000"/>
        <rFont val="Arial"/>
        <family val="2"/>
      </rPr>
      <t xml:space="preserve"> (H &gt; 3,00m)</t>
    </r>
  </si>
  <si>
    <r>
      <t xml:space="preserve">ESCORAMENTO TIPO BLINDAGEM                  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>≥</t>
    </r>
    <r>
      <rPr>
        <b/>
        <sz val="8"/>
        <color rgb="FFFF0000"/>
        <rFont val="Arial"/>
        <family val="2"/>
      </rPr>
      <t xml:space="preserve"> 2,40m)</t>
    </r>
  </si>
  <si>
    <t>PREPARO DE FUNDO DE VALA</t>
  </si>
  <si>
    <r>
      <t xml:space="preserve">VOLUME GEOMÉTRICO (m³) BASE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1,50m</t>
    </r>
  </si>
  <si>
    <r>
      <t xml:space="preserve">VOLUME GEOMÉTRICO (m³) BASE 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 xml:space="preserve"> 1,50m</t>
    </r>
  </si>
  <si>
    <t>ESCAVAÇÃO H ≤ 1,50m (L &gt; 1,50m)</t>
  </si>
  <si>
    <t>ESCAVAÇÃO H: 1,51 a 3,00m (L &gt; 1,50m)</t>
  </si>
  <si>
    <t>COMERCIAL 30/45</t>
  </si>
  <si>
    <t>PA/0040</t>
  </si>
  <si>
    <t>DR/0060</t>
  </si>
  <si>
    <t>1un PARA CADA 75m DE EXTENSÃO DAS OBRAS</t>
  </si>
  <si>
    <t>PLACA DE OBRA
(m²)</t>
  </si>
  <si>
    <t>PRAZO DA OBRA
(mês)</t>
  </si>
  <si>
    <t>BARRACÃO DE OBRA
(m²)</t>
  </si>
  <si>
    <t>BANHEIRO QUÍMICO
(um.mês)</t>
  </si>
  <si>
    <t>TELA CERQUITE
(m)</t>
  </si>
  <si>
    <t>CONES E CILINDROS
(un)</t>
  </si>
  <si>
    <t>SONDAGEM DE INTERFERÊNCIA
(un)</t>
  </si>
  <si>
    <t>REPARO EM RAMAL
(un)</t>
  </si>
  <si>
    <t>EXTENSÃO
(m)</t>
  </si>
  <si>
    <t>PINTURA DE FAIXAS DE PEDESTRES E RETENÇÃO E DE ZEBRADOS
TERMOPLÁSTICO POR EXTRUSÃO - ESPESSURA 3,0 mm</t>
  </si>
  <si>
    <t>PINTURA DE FAIXA
TERMOPLÁSTICO POR ASPERSÃO HOT SPRAY - ESPESSURA 1,5 mm</t>
  </si>
  <si>
    <t>PLACA DE SINALIZAÇÃO VERTICAL
PELÍCULA TIPO I-A (GT/GT)</t>
  </si>
  <si>
    <t>LIMPEZA DO TERRENO</t>
  </si>
  <si>
    <t>TRANSPORTE DE MATERIAL DE BOTA-FORA DA LIMPEZA</t>
  </si>
  <si>
    <t>PLANILHA ORÇAMENTÁRIA NÃO DESONERADA</t>
  </si>
  <si>
    <t>SC/0080</t>
  </si>
  <si>
    <t>PISO TÁTIL (m) (PEÇA 40cm)</t>
  </si>
  <si>
    <t>PINTURA DE FAIXA
TINTA BASE ACRÍLICA EMULSIONADA EM ÁGUA - ESPESSURA 0,3 mm</t>
  </si>
  <si>
    <t>Avenida Wilson Paes de Barros</t>
  </si>
  <si>
    <t>CANTEIRO CENTRAL
(SEMI LARGURA)</t>
  </si>
  <si>
    <t>TRANSPORTE DE BOTA-FORA - BOTA-FORA</t>
  </si>
  <si>
    <t>ADM0002</t>
  </si>
  <si>
    <t>ADM0001</t>
  </si>
  <si>
    <t>ET0003</t>
  </si>
  <si>
    <t>ARQ0003</t>
  </si>
  <si>
    <t>PBPC001</t>
  </si>
  <si>
    <t>PIU0014</t>
  </si>
  <si>
    <t>PIU0015</t>
  </si>
  <si>
    <t>PIP001</t>
  </si>
  <si>
    <t>PIU0013</t>
  </si>
  <si>
    <t>Cadência: Traço 2m / Espaçamento 6m</t>
  </si>
  <si>
    <t>B8958</t>
  </si>
  <si>
    <t>B8957</t>
  </si>
  <si>
    <t>MEMÓRIA DE CÁLCULO</t>
  </si>
  <si>
    <t>PONTE:</t>
  </si>
  <si>
    <t xml:space="preserve">PONTE SOBRE O CÓRREGO IMBIRUSSU </t>
  </si>
  <si>
    <t xml:space="preserve">AVENIDA GENERAL ALBERTO MENDONÇA LIMA </t>
  </si>
  <si>
    <t>BAIRRO:</t>
  </si>
  <si>
    <t>REGIÃO URBANA DO IMBIRUSSU</t>
  </si>
  <si>
    <t>MUNICÍPIO:</t>
  </si>
  <si>
    <t>CAMPO GRANDE/MS</t>
  </si>
  <si>
    <t>1.- Volume de Escavação com Esgotamento</t>
  </si>
  <si>
    <t>ESCAVAÇÃO - ALA 01</t>
  </si>
  <si>
    <t>A (m)</t>
  </si>
  <si>
    <t>B (m)</t>
  </si>
  <si>
    <t>C (m)</t>
  </si>
  <si>
    <t>D (m)</t>
  </si>
  <si>
    <t>E (m)</t>
  </si>
  <si>
    <t>F (m)</t>
  </si>
  <si>
    <t>Volume de Escavação (m³)</t>
  </si>
  <si>
    <r>
      <t>Largura</t>
    </r>
    <r>
      <rPr>
        <sz val="6"/>
        <rFont val="Calibri"/>
        <family val="2"/>
      </rPr>
      <t>escavação</t>
    </r>
  </si>
  <si>
    <r>
      <t>Largura</t>
    </r>
    <r>
      <rPr>
        <vertAlign val="subscript"/>
        <sz val="10"/>
        <rFont val="Calibri"/>
        <family val="2"/>
      </rPr>
      <t>ala</t>
    </r>
  </si>
  <si>
    <r>
      <t>Comp.</t>
    </r>
    <r>
      <rPr>
        <vertAlign val="subscript"/>
        <sz val="10"/>
        <rFont val="Calibri"/>
        <family val="2"/>
      </rPr>
      <t>ala</t>
    </r>
  </si>
  <si>
    <r>
      <t>Altura</t>
    </r>
    <r>
      <rPr>
        <sz val="6.5"/>
        <rFont val="Calibri"/>
        <family val="2"/>
      </rPr>
      <t>escavação</t>
    </r>
  </si>
  <si>
    <t>ESCAVAÇÃO - ALA 02</t>
  </si>
  <si>
    <t>G (m)</t>
  </si>
  <si>
    <t>H (m)</t>
  </si>
  <si>
    <t>I (m)</t>
  </si>
  <si>
    <t>J (m)</t>
  </si>
  <si>
    <t>ESCAVAÇÃO - CORTINA 01</t>
  </si>
  <si>
    <t>K (m)</t>
  </si>
  <si>
    <t>L (m)</t>
  </si>
  <si>
    <t>M (m)</t>
  </si>
  <si>
    <t>N (m)</t>
  </si>
  <si>
    <r>
      <t>Largura</t>
    </r>
    <r>
      <rPr>
        <sz val="6.5"/>
        <rFont val="Calibri"/>
        <family val="2"/>
      </rPr>
      <t>cortina</t>
    </r>
  </si>
  <si>
    <r>
      <t>Comp.</t>
    </r>
    <r>
      <rPr>
        <sz val="6.5"/>
        <rFont val="Calibri"/>
        <family val="2"/>
      </rPr>
      <t>cortina</t>
    </r>
  </si>
  <si>
    <t>ESCAVAÇÃO - ALA 03</t>
  </si>
  <si>
    <r>
      <t>Largura</t>
    </r>
    <r>
      <rPr>
        <sz val="6.5"/>
        <rFont val="Calibri"/>
        <family val="2"/>
      </rPr>
      <t>escavação</t>
    </r>
  </si>
  <si>
    <t>ESCAVAÇÃO - ALA 04</t>
  </si>
  <si>
    <t>ESCAVAÇÃO - CORTINA 02</t>
  </si>
  <si>
    <t>Resumo - Item 1</t>
  </si>
  <si>
    <t>Volume de Escavação com</t>
  </si>
  <si>
    <t>Esgotamento (m³)</t>
  </si>
  <si>
    <t>2.- Encontros + Alas + Consolos</t>
  </si>
  <si>
    <t>ALA 01</t>
  </si>
  <si>
    <t>Volume de</t>
  </si>
  <si>
    <t>Forma (m²)</t>
  </si>
  <si>
    <t>Comprimento</t>
  </si>
  <si>
    <t>Largura</t>
  </si>
  <si>
    <t>Altura</t>
  </si>
  <si>
    <t>Concreto (m³)</t>
  </si>
  <si>
    <t>ALA 02</t>
  </si>
  <si>
    <t>CORTINA 01</t>
  </si>
  <si>
    <t>CONSOLO 01</t>
  </si>
  <si>
    <t>ALA 03</t>
  </si>
  <si>
    <t>ALA 04</t>
  </si>
  <si>
    <t>ENCONTRO 02</t>
  </si>
  <si>
    <t>CONSOLO 02</t>
  </si>
  <si>
    <t>Resumo - Item 2</t>
  </si>
  <si>
    <t>3.- Bloco do Pilar Central (P1, P3 e P5)</t>
  </si>
  <si>
    <r>
      <t>Lado</t>
    </r>
    <r>
      <rPr>
        <vertAlign val="subscript"/>
        <sz val="10"/>
        <rFont val="Calibri"/>
        <family val="2"/>
      </rPr>
      <t>1</t>
    </r>
  </si>
  <si>
    <r>
      <t>Lado</t>
    </r>
    <r>
      <rPr>
        <vertAlign val="subscript"/>
        <sz val="10"/>
        <rFont val="Calibri"/>
        <family val="2"/>
      </rPr>
      <t>2</t>
    </r>
  </si>
  <si>
    <r>
      <t>Altura</t>
    </r>
    <r>
      <rPr>
        <vertAlign val="subscript"/>
        <sz val="10"/>
        <rFont val="Calibri"/>
        <family val="2"/>
      </rPr>
      <t>1</t>
    </r>
  </si>
  <si>
    <r>
      <t>Altura</t>
    </r>
    <r>
      <rPr>
        <vertAlign val="subscript"/>
        <sz val="10"/>
        <rFont val="Calibri"/>
        <family val="2"/>
      </rPr>
      <t>2</t>
    </r>
  </si>
  <si>
    <r>
      <t>Altura</t>
    </r>
    <r>
      <rPr>
        <vertAlign val="subscript"/>
        <sz val="10"/>
        <rFont val="Calibri"/>
        <family val="2"/>
      </rPr>
      <t>3</t>
    </r>
  </si>
  <si>
    <t>Número de Blocos (un.)</t>
  </si>
  <si>
    <t>Volume de Concreto Estrutural (m³)</t>
  </si>
  <si>
    <t>Volume de Concreto Não Estrutural (m³)</t>
  </si>
  <si>
    <t>Volume de Escavação com Esgotamento (m³)</t>
  </si>
  <si>
    <t>4.- Bloco do Pilar Central (P2, P4 e P6)</t>
  </si>
  <si>
    <t>Volume de Concreto de Estrutural (m³)</t>
  </si>
  <si>
    <t>5.- Pilar Central (P1 - P2 - P3 - P4 - P5 - P6)</t>
  </si>
  <si>
    <t>Número de</t>
  </si>
  <si>
    <t>Diâmetro</t>
  </si>
  <si>
    <t>Pilares (un.)</t>
  </si>
  <si>
    <t>6.- Viga Transversal de Apoio</t>
  </si>
  <si>
    <r>
      <t>Comprimento</t>
    </r>
    <r>
      <rPr>
        <vertAlign val="subscript"/>
        <sz val="10"/>
        <rFont val="Calibri"/>
        <family val="2"/>
      </rPr>
      <t>1</t>
    </r>
  </si>
  <si>
    <t>Lado2</t>
  </si>
  <si>
    <t>Vigas (un.)</t>
  </si>
  <si>
    <t>7.- Articulação Freyssinet</t>
  </si>
  <si>
    <t>7.1.- Articulação Freyssinet (Viga Pré-Moldada)</t>
  </si>
  <si>
    <t>Nº de Arti-</t>
  </si>
  <si>
    <t>culações (un.)</t>
  </si>
  <si>
    <t>7.2.- Articulação Freyssinet (Placa de Aproximação)</t>
  </si>
  <si>
    <t>Resumo Total Articulação Freyssinet</t>
  </si>
  <si>
    <t>8.- Viga Pré-moldada "T" - L=9,20m</t>
  </si>
  <si>
    <r>
      <t>Largura</t>
    </r>
    <r>
      <rPr>
        <vertAlign val="subscript"/>
        <sz val="10"/>
        <rFont val="Calibri"/>
        <family val="2"/>
      </rPr>
      <t>1</t>
    </r>
  </si>
  <si>
    <r>
      <t>Largura</t>
    </r>
    <r>
      <rPr>
        <vertAlign val="subscript"/>
        <sz val="10"/>
        <rFont val="Calibri"/>
        <family val="2"/>
      </rPr>
      <t>2</t>
    </r>
  </si>
  <si>
    <r>
      <t>Largura</t>
    </r>
    <r>
      <rPr>
        <vertAlign val="subscript"/>
        <sz val="10"/>
        <rFont val="Calibri"/>
        <family val="2"/>
      </rPr>
      <t>3</t>
    </r>
  </si>
  <si>
    <t xml:space="preserve">Número de </t>
  </si>
  <si>
    <t>9.- Viga Pré-moldada "T" - L=19,20m</t>
  </si>
  <si>
    <t>10.- Laje</t>
  </si>
  <si>
    <r>
      <t>Largura</t>
    </r>
    <r>
      <rPr>
        <vertAlign val="subscript"/>
        <sz val="10"/>
        <rFont val="Calibri"/>
        <family val="2"/>
      </rPr>
      <t>4</t>
    </r>
  </si>
  <si>
    <t>11.- Transversina do Encontro + Consolo</t>
  </si>
  <si>
    <t xml:space="preserve">Número de Transversinas do </t>
  </si>
  <si>
    <t>Encontro + Consolos (un.)</t>
  </si>
  <si>
    <t>12.- Transversina do Pilar Central</t>
  </si>
  <si>
    <t>Nº de Trans-</t>
  </si>
  <si>
    <t>versinas (un.)</t>
  </si>
  <si>
    <t>13.- Barreiras de Concreto (Tipo New Jersey)</t>
  </si>
  <si>
    <t>módulos (un.)</t>
  </si>
  <si>
    <t>14. Guia (Delimitação Ciclovia/Passagem de Pedestre)</t>
  </si>
  <si>
    <t>15.- Pilaretes do Guarda-Corpo</t>
  </si>
  <si>
    <t>Nº Tubos</t>
  </si>
  <si>
    <r>
      <t>Lado</t>
    </r>
    <r>
      <rPr>
        <vertAlign val="subscript"/>
        <sz val="10"/>
        <rFont val="Calibri"/>
        <family val="2"/>
      </rPr>
      <t>3</t>
    </r>
  </si>
  <si>
    <r>
      <t>Lado</t>
    </r>
    <r>
      <rPr>
        <vertAlign val="subscript"/>
        <sz val="10"/>
        <rFont val="Calibri"/>
        <family val="2"/>
      </rPr>
      <t>4</t>
    </r>
  </si>
  <si>
    <t>Pilaretes (un.)</t>
  </si>
  <si>
    <t>16.- Placa de Aproximação</t>
  </si>
  <si>
    <r>
      <t>Comprimento</t>
    </r>
    <r>
      <rPr>
        <vertAlign val="subscript"/>
        <sz val="10"/>
        <rFont val="Calibri"/>
        <family val="2"/>
      </rPr>
      <t>2</t>
    </r>
  </si>
  <si>
    <r>
      <t>Comprimento</t>
    </r>
    <r>
      <rPr>
        <vertAlign val="subscript"/>
        <sz val="10"/>
        <rFont val="Calibri"/>
        <family val="2"/>
      </rPr>
      <t>3</t>
    </r>
  </si>
  <si>
    <t>placas (un.)</t>
  </si>
  <si>
    <t>Concreto estrutural (m³)</t>
  </si>
  <si>
    <t>Concreto não estrutural (m³)</t>
  </si>
  <si>
    <t>17.- Escoramento</t>
  </si>
  <si>
    <t>17.1.- Encontros + Alas + Consolos</t>
  </si>
  <si>
    <t>ESCORAMENTO - ALA 01</t>
  </si>
  <si>
    <t>O (m)</t>
  </si>
  <si>
    <t>Volume de Escoramento (m³)</t>
  </si>
  <si>
    <r>
      <t>Largura</t>
    </r>
    <r>
      <rPr>
        <sz val="5.5"/>
        <rFont val="Calibri"/>
        <family val="2"/>
      </rPr>
      <t>escoramento</t>
    </r>
  </si>
  <si>
    <r>
      <t>Altura</t>
    </r>
    <r>
      <rPr>
        <sz val="5.5"/>
        <rFont val="Calibri"/>
        <family val="2"/>
      </rPr>
      <t>escoramento</t>
    </r>
  </si>
  <si>
    <t>ESCORAMENTO - ALA 02</t>
  </si>
  <si>
    <t>ESCORAMENTO - CORTINA 01</t>
  </si>
  <si>
    <t>P (m)</t>
  </si>
  <si>
    <t>ESCORAMENTO - ALA 03</t>
  </si>
  <si>
    <t>ESCORAMENTO - ALA 04</t>
  </si>
  <si>
    <t>ESCORAMENTO - CORTINA 02</t>
  </si>
  <si>
    <t>Resumo Escoramento - Item 17.1</t>
  </si>
  <si>
    <t>17.2.- Pilar Central</t>
  </si>
  <si>
    <r>
      <t>Largura</t>
    </r>
    <r>
      <rPr>
        <sz val="6.5"/>
        <rFont val="Calibri"/>
        <family val="2"/>
      </rPr>
      <t>pilar,1</t>
    </r>
  </si>
  <si>
    <r>
      <t>Largura</t>
    </r>
    <r>
      <rPr>
        <sz val="6.5"/>
        <rFont val="Calibri"/>
        <family val="2"/>
      </rPr>
      <t>pilar,2</t>
    </r>
  </si>
  <si>
    <t>18.- Pintura Faixa Amarela</t>
  </si>
  <si>
    <r>
      <t>Largura</t>
    </r>
    <r>
      <rPr>
        <sz val="5.5"/>
        <rFont val="Calibri"/>
        <family val="2"/>
      </rPr>
      <t>faixa</t>
    </r>
  </si>
  <si>
    <r>
      <t>Largura</t>
    </r>
    <r>
      <rPr>
        <sz val="6.5"/>
        <rFont val="Calibri"/>
        <family val="2"/>
      </rPr>
      <t>faixa</t>
    </r>
  </si>
  <si>
    <t>Faixas (un)</t>
  </si>
  <si>
    <t xml:space="preserve">
19.- Pintura Faixa de Bordo</t>
  </si>
  <si>
    <t>Área de brita (m²)</t>
  </si>
  <si>
    <t>Volume de Escavação</t>
  </si>
  <si>
    <t>manual (m³)</t>
  </si>
  <si>
    <t>Volume de Escavação manual (m³)</t>
  </si>
  <si>
    <t>Locação de container 2,30  x  6,00 m, alt. 2,50 m, com 1 sanitário, para escritório, completo, sem divisórias internas</t>
  </si>
  <si>
    <t>Locação de container 2,30  x  6,00 m, alt. 2,50 m, para escritório, sem divisórias internas e sem sanitário</t>
  </si>
  <si>
    <t>Locação de container 2,30 x 4,30 m, alt. 2,50 m, para sanitário, com 3 bacias, 4 chuveiros, 1 lavatório e 1 mictório</t>
  </si>
  <si>
    <t>Segurança de trânsito - cone de sinalização em pvc rígido com faixa refletiva, h = 70 / 76 cm</t>
  </si>
  <si>
    <t>Escavação manual de vala com profundidade menor ou igual a 1,30 m. AF_03/2016</t>
  </si>
  <si>
    <t>Preparo de fundo de vala com largura menor que 1,50 m (acerto do solo natural). AF_08/2020</t>
  </si>
  <si>
    <t>Transporte com caminhão basculante de 14 m3, em via interna (dentro do canteiro - unidade:m3xkm). AF_07/2020</t>
  </si>
  <si>
    <t>Aquisição de tubo de concreto simples para aguas pluviais, classe PS-1, com encaixe ponta e bolsa, diâmetro nominal de 0,40 m (180 kg/m) - Aquisição</t>
  </si>
  <si>
    <t>Aquisição de tubo de concreto simples para aguas pluviais, classe PS-1, com encaixe ponta e bolsa, diâmetro nominal de 0,60 m (347 kg/m) - Aquisição</t>
  </si>
  <si>
    <t>Concreto magro para lastro, traço 1:4,5:4,5 (cimento/ areia média/ brita 1) - preparo mecânico com betoneira 400 l. AF_07/2016</t>
  </si>
  <si>
    <t>Construção de pavimento com aplicação de concreto betuminoso usinado à quente (CBUQ - faixa C - CAP 30/45 - usina comercial), camada de rolamento, exclusive transporte da mistura (REF. SINAPI COD. 95995)</t>
  </si>
  <si>
    <t>Regularização e compactação de subleito de solo predominantemente argiloso. AF_11/2019</t>
  </si>
  <si>
    <t>Piso tátil de alerta ou direcional com lajota cimentícia  40x40x2,5cm, nas cores da NBR 16537, assentado com argamassa de cimento e areia 1:3</t>
  </si>
  <si>
    <t>Execução de passeio (calçada) ou piso de concreto com concreto moldado in loco, usinado, acabamento convencional, não armado. AF_07/2016</t>
  </si>
  <si>
    <t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t>
  </si>
  <si>
    <t>Placa de sinalização de alumínio, espessura 1,5 mm, com fundo, símbolos e tarjas em película refletiva com esferas inclusas tipo I-A da NBR 14644 (GT/GT), inclusive elementos de fixação, conforme especificação AGETRAN/PMCG - Incluso fornecimento</t>
  </si>
  <si>
    <t>AD/0002</t>
  </si>
  <si>
    <t>AD/0003</t>
  </si>
  <si>
    <t>AD/0005</t>
  </si>
  <si>
    <t xml:space="preserve">MES   </t>
  </si>
  <si>
    <t xml:space="preserve">UN    </t>
  </si>
  <si>
    <t>M3XKM</t>
  </si>
  <si>
    <t>TXKM</t>
  </si>
  <si>
    <t xml:space="preserve">M     </t>
  </si>
  <si>
    <t xml:space="preserve">M3    </t>
  </si>
  <si>
    <t>HIDROSSEMEADURA</t>
  </si>
  <si>
    <t>SC/0250</t>
  </si>
  <si>
    <t>PA/0018</t>
  </si>
  <si>
    <t>TIPO GH040 (0,040m³/m)</t>
  </si>
  <si>
    <t>TIPO GH100 (0,040m³/m)</t>
  </si>
  <si>
    <t>TIPO GH150 (0,040m³/m)</t>
  </si>
  <si>
    <t>DR/0091</t>
  </si>
  <si>
    <t>DR/0096</t>
  </si>
  <si>
    <t>DR/0101</t>
  </si>
  <si>
    <t>DR/0106</t>
  </si>
  <si>
    <t>DR/0007</t>
  </si>
  <si>
    <t>ORINF</t>
  </si>
  <si>
    <t>LI-AMB</t>
  </si>
  <si>
    <t>ACÉSCIMO DE POÇO DE VISITA (APV-TIPO) (m)</t>
  </si>
  <si>
    <t>Final</t>
  </si>
  <si>
    <r>
      <rPr>
        <sz val="10"/>
        <rFont val="Calibri"/>
        <family val="2"/>
      </rPr>
      <t>Δ</t>
    </r>
    <r>
      <rPr>
        <sz val="10"/>
        <rFont val="Arial"/>
        <family val="2"/>
      </rPr>
      <t xml:space="preserve"> tc</t>
    </r>
  </si>
  <si>
    <t>Profundidade (m)</t>
  </si>
  <si>
    <t>Cota Fundo (m)</t>
  </si>
  <si>
    <t>Cota Terreno (m)</t>
  </si>
  <si>
    <t>Bacia XX</t>
  </si>
  <si>
    <t>NÃO</t>
  </si>
  <si>
    <t>BACIA XX</t>
  </si>
  <si>
    <t>BDI insumo</t>
  </si>
  <si>
    <t>HIDROSSEMEADURA (m²)</t>
  </si>
  <si>
    <t>ATERRO MACIÇO COM ROLO (m³)</t>
  </si>
  <si>
    <t>ATERRO RESUMO</t>
  </si>
  <si>
    <t>REATERRO TARDOZ DO MURO (m³)</t>
  </si>
  <si>
    <t>Depósito bota-fora rocha</t>
  </si>
  <si>
    <t>$O$25</t>
  </si>
  <si>
    <t>DR/0296</t>
  </si>
  <si>
    <t>DR/0300</t>
  </si>
  <si>
    <t>DRENAGEM SUPERFICIAL</t>
  </si>
  <si>
    <t>MEIA CANA Ø 0,60m (m)</t>
  </si>
  <si>
    <t>VALETA DE CONCRETO TRAPEZOIDAL 1,00mx0,30m (m)</t>
  </si>
  <si>
    <t>DMT APLICAÇÃO (km)</t>
  </si>
  <si>
    <t>DMT PONDERADO (km)</t>
  </si>
  <si>
    <t>CERCA H = 1,80m 11 FIOS (m)</t>
  </si>
  <si>
    <r>
      <t>ÁREA (m²) 2x (L≤1,50m) (H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>3,00m)</t>
    </r>
  </si>
  <si>
    <t>LOCAL DE DESTINO</t>
  </si>
  <si>
    <t>BRITA ESPESSURA (m)</t>
  </si>
  <si>
    <t>BRITA VOLUME (m³)</t>
  </si>
  <si>
    <t>PEDRA DE MÃO / RACHÃO H (m)</t>
  </si>
  <si>
    <t>PEDRA DE MÃO / RACHÃO V (m³)</t>
  </si>
  <si>
    <t>Ponte Av. Jamil Naras</t>
  </si>
  <si>
    <t>VOLUME TOTAL (EMPOLADO 25%) (m³)</t>
  </si>
  <si>
    <t>MATERIAL PARA COMPENSAÇÃO (m³)</t>
  </si>
  <si>
    <t>TAMPA
(GREIDE DE PAVIMENTAÇÃO)</t>
  </si>
  <si>
    <t xml:space="preserve">INFRAESTRUTURA URBANA - PAVIMENTAÇÃO ASFÁLTICA E DRENAGEM DE ÁGUAS PLUVIAIS </t>
  </si>
  <si>
    <t>MUNICÍPIO :</t>
  </si>
  <si>
    <t>GUIA ESPECIAL
(para rotatórias e ilhas)</t>
  </si>
  <si>
    <t>Placa de identificação de obra pública, inclusive pintura e adesivos, estrutura e suporte de madeira. Incluso fornecimento de material e instalação. Ref SINAPI, CÓD 74209/001, DB 01/2020</t>
  </si>
  <si>
    <t>Escoramento de vala, tipo pontaleteamento, com profundidade de 0,00 a 1,50 m, largura menor que 1,50 m. AF_08/2020</t>
  </si>
  <si>
    <t>Escoramento de vala, tipo pontaleteamento, com profundidade de 1,50 a 3,00 m, largura maior ou igual a 1,50 m e menor que 2,50 m. AF_08/2020</t>
  </si>
  <si>
    <t>Altura d'água GAP (m)</t>
  </si>
  <si>
    <r>
      <t xml:space="preserve">N.A.  </t>
    </r>
    <r>
      <rPr>
        <sz val="8"/>
        <rFont val="Arial"/>
        <family val="2"/>
      </rPr>
      <t>Lançamento</t>
    </r>
    <r>
      <rPr>
        <sz val="10"/>
        <rFont val="Arial"/>
        <family val="2"/>
      </rPr>
      <t xml:space="preserve"> (m)</t>
    </r>
  </si>
  <si>
    <t>BACIA (m)</t>
  </si>
  <si>
    <t>C. Fundo</t>
  </si>
  <si>
    <t>Q. Saída</t>
  </si>
  <si>
    <t>Y</t>
  </si>
  <si>
    <t>A. Total</t>
  </si>
  <si>
    <t>Quadro de estudos de alternativas - Amortecimento Total</t>
  </si>
  <si>
    <t>2.3</t>
  </si>
  <si>
    <t>Quadro de estudos de alternativas - Amortecimento Superior</t>
  </si>
  <si>
    <t>SC/0005</t>
  </si>
  <si>
    <t>BOCA DE LOBO SIMPLES
BLS - 01 (un)</t>
  </si>
  <si>
    <t>VALETA DE PROTEÇÃO DE ATERRO
VPA - 03 (m)</t>
  </si>
  <si>
    <t>ENTRADA PARA DESCIDA D'ÁGUA
EDA - 01 (un)</t>
  </si>
  <si>
    <t>DESCIDA D'ÁGUA TIPO RÁPIDO
DAR - 02 (m)</t>
  </si>
  <si>
    <t>CAIXA COLETORA DE SARJETA
CCS - 02 (un)</t>
  </si>
  <si>
    <t>BOCA DE BUEIRO BSTC Ø 0,80m (un)</t>
  </si>
  <si>
    <t>VALETA - VPA 03</t>
  </si>
  <si>
    <t>Observação</t>
  </si>
  <si>
    <t>FRAÇÃO</t>
  </si>
  <si>
    <t>INTEIRA</t>
  </si>
  <si>
    <t>VOLUME ACUMULADO (m³)</t>
  </si>
  <si>
    <t>VOLUME PARCIAL (m³)</t>
  </si>
  <si>
    <t>SEMI- DIST.  (m)</t>
  </si>
  <si>
    <t>ÁREAS (m²)</t>
  </si>
  <si>
    <t>CÁLCULO DE VOLUME DE TERRAPLENAGEM - CANTEIRO</t>
  </si>
  <si>
    <t>Interseção a 500m
(R-26b)</t>
  </si>
  <si>
    <t>Reduza a velocidade</t>
  </si>
  <si>
    <t>COM SARJETA</t>
  </si>
  <si>
    <t>MEIO-FIO SIMPLES (GUIA) (m)</t>
  </si>
  <si>
    <t>SC/0010</t>
  </si>
  <si>
    <t>Placa Indicativa - Córrego</t>
  </si>
  <si>
    <t>SICRO</t>
  </si>
  <si>
    <t>Contratrilho TR57, comprimento de 12 m, sobre dormente de madeira, taxa de dormentação de 1.750 un/km, tala de junção de 6 furos e fixação rígida - posicionamento e assentamento manual</t>
  </si>
  <si>
    <t>Execução de guarita em canteiro de obra em chapa de madeira compensada, não incluso mobiliário. AF_04/2016</t>
  </si>
  <si>
    <t>Tapume com telha metálica, sem pintura, trapezoidal espessura 0,5 mm, colunas, bases e parafusos</t>
  </si>
  <si>
    <t>Limpeza mecanizada de camada vegetal, vegetação e pequenas árvores (diâmetro nominal de tronco menor que 0,20 m), com trator de esteiras. AF_05/2018</t>
  </si>
  <si>
    <t>Revestimento de pátio com pedra britada com espessura de 5 cm com regularização do terreno com motoniveladora. Exclusive transporte. (REF SINAPI COD 100575)</t>
  </si>
  <si>
    <t>Cerca com mourões de madeira roliça Ø 11cm, espaçamento de 2,00m, altura livre de 1,50m, cravado 0,50m, com 5 fios de arame liso ovalado 15x17, conforme projeto</t>
  </si>
  <si>
    <t>Portão para veículos em tela arame galvanizado n.12 malha 2" e moldura em tubos de aco com duas folhas de abrir, incluso ferragens (REF. SINAPI COD. 74238/2 - Descontinuado)</t>
  </si>
  <si>
    <t>Demolição parcial de pavimento asfáltico, de forma mecanizada, sem reaproveitamento. AF_12/2017</t>
  </si>
  <si>
    <t>Remoção de raízes remanescentes de tronco de árvore com diâmetro maior ou igual a 0,20 m e menor que 0,40 m. AF_05/2018</t>
  </si>
  <si>
    <t>Corte raso e recorte de árvore com diâmetro nominal de tronco maior ou igual a 0,20 m e menor que 0,40 m. AF_05/2018</t>
  </si>
  <si>
    <t>Poda em altura de árvore com diâmetro nominal de tronco maior ou igual a 0,20 m e menor que 0,40 m. AF_05/2018</t>
  </si>
  <si>
    <t>Carga, manobra e descarga de materiais diversos em caminhão carroceria - carga e descaga manuais (REF. SICRO COD. 5915474)</t>
  </si>
  <si>
    <t>T</t>
  </si>
  <si>
    <t>Tubo de concreto armado para aguas pluviais, classe PA-1, com encaixe ponta e bolsa, diâmetro nominal de 0,80 m (533,00 kg/m) - Aquisição</t>
  </si>
  <si>
    <t>Tubo de concreto armado para aguas pluviais, classe PA-1, com encaixe ponta e bolsa, diâmetro nominal de 1,00 m (800,00 kg/m) - Aquisição</t>
  </si>
  <si>
    <t>RE/0050</t>
  </si>
  <si>
    <t>Execução e compactação de aterro com solo predominantemente argiloso - exclusive solo, escavação, carga e transporte. AF_11/2019</t>
  </si>
  <si>
    <t>SC/0082</t>
  </si>
  <si>
    <t>Grama em placas, tipo esmeralda, incluindo plantio, adubo, fertilizante, calcário, terra orgânica e irrigação</t>
  </si>
  <si>
    <t>Rua Peróba</t>
  </si>
  <si>
    <t>Rua Imbuia</t>
  </si>
  <si>
    <t>Rua Buriti</t>
  </si>
  <si>
    <t>SANTO ONOFRE</t>
  </si>
  <si>
    <t>SP/0004</t>
  </si>
  <si>
    <t>SV/0005</t>
  </si>
  <si>
    <t>SV/0015</t>
  </si>
  <si>
    <t>ES/0010</t>
  </si>
  <si>
    <t>ES/0015</t>
  </si>
  <si>
    <t>PA/0150</t>
  </si>
  <si>
    <t>CORTE SOLO: INSERVÍVEL + PASSEIO + CANTEIRO (m³)</t>
  </si>
  <si>
    <t>CORTE SOLO: SUBSTITUIÇÃO (m³)</t>
  </si>
  <si>
    <t>DECLIVIDADE TRANSVERSAL DA PISTA
(SIMPLES ou DUPLA)</t>
  </si>
  <si>
    <t>BRITA PARA SOLO/BRITA
(EMPOLADO 37,5%) (m³)</t>
  </si>
  <si>
    <t>CERCA COM MOURÕES DE MADEIRA COM ARAME LISO
ALTURA LIVRE 1,50m (m)</t>
  </si>
  <si>
    <t>CERCA COM MOURÕES DE CONCRETO COM ARAME LISO
ALTURA LIVRE 1,80m (m)</t>
  </si>
  <si>
    <t>ALAMBRADO COM TELA DE AÇO
ALTURA LIVRE 1,80m (m)</t>
  </si>
  <si>
    <r>
      <t>ESPESSURA DO REVESTIMENTO
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</si>
  <si>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 xml:space="preserve">RECOMPOSIÇÃO DA ESTRUTURA:
MANUAL </t>
    </r>
    <r>
      <rPr>
        <b/>
        <sz val="8"/>
        <color rgb="FFFF0000"/>
        <rFont val="Arial"/>
        <family val="2"/>
      </rPr>
      <t xml:space="preserve">(MAN) </t>
    </r>
    <r>
      <rPr>
        <b/>
        <sz val="8"/>
        <rFont val="Arial"/>
        <family val="2"/>
      </rPr>
      <t>OU MECÂNICA</t>
    </r>
    <r>
      <rPr>
        <b/>
        <sz val="8"/>
        <color rgb="FFFF0000"/>
        <rFont val="Arial"/>
        <family val="2"/>
      </rPr>
      <t xml:space="preserve"> (MEC)</t>
    </r>
  </si>
  <si>
    <r>
      <t>ESPESSURA DA BASE / SUB-BASE
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</si>
  <si>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APLICAÇÃO COM MOTONIVELADORA (m³)
(L &gt; 2,50m)</t>
  </si>
  <si>
    <t>BRITA GRADUADA SIMPLES
(EMPOLADA 46,67%) (m³)</t>
  </si>
  <si>
    <t>RECOMPOSIÇÃO DA VIA:
EXTENSÃO (m)</t>
  </si>
  <si>
    <t>RECOMPOSIÇÃO DA VIA:
LARGURA (m)</t>
  </si>
  <si>
    <t>RECOMPOSIÇÃO DA VIA:
ÁREA (m²)</t>
  </si>
  <si>
    <t>MATERIAL (P=PEAD   C=Concreto   MET=Metálico)</t>
  </si>
  <si>
    <t>AÇO CA-60 Ø 4.2mm Malha Q138 (kg) (2,2kg/m²)</t>
  </si>
  <si>
    <t>VOLUME RECARGA DO ENTRULHO
DEPÓSITO PROVISÓRIO (m³)</t>
  </si>
  <si>
    <t>EAI_RR-1C_RR-2C_RC-1CE</t>
  </si>
  <si>
    <t>ISOZONA 18</t>
  </si>
  <si>
    <t>Avenida Alentino Souza Oliveira - LD</t>
  </si>
  <si>
    <t>Avenida Alentino Souza Oliveira - LE</t>
  </si>
  <si>
    <t>Avenida Aureliano Moura Brandão - LE</t>
  </si>
  <si>
    <t>Avenida Aureliano Moura Brandão - LD</t>
  </si>
  <si>
    <t>Rua Deoclides Batista Ramos</t>
  </si>
  <si>
    <t>Rua Elder Oliveira de Paula</t>
  </si>
  <si>
    <t>Rua Elder Oliveira de Paula - 01</t>
  </si>
  <si>
    <t>Rua Joaquim Lino Vieira</t>
  </si>
  <si>
    <t>Rua Joaquim Lino Vieira - 01</t>
  </si>
  <si>
    <t>Rua Maria Áurea Dal Bello Cazatti</t>
  </si>
  <si>
    <t>Rua Rafael Silva dos Reis</t>
  </si>
  <si>
    <t>Rua Ribeirão Dourado</t>
  </si>
  <si>
    <t>Rua Ribeirão Serrote</t>
  </si>
  <si>
    <t>Rua Ribeiro Mantena</t>
  </si>
  <si>
    <t>Rua Rio Botas</t>
  </si>
  <si>
    <t>Rua Rio Paraná</t>
  </si>
  <si>
    <t>Rua Rio Verde</t>
  </si>
  <si>
    <t>Rua Sônia Aparecida Silva dos Reis</t>
  </si>
  <si>
    <t>SIMPLES</t>
  </si>
  <si>
    <t>PREFEITURA MUNICIPAL DE RIBAS DO RIO PARDO / MS</t>
  </si>
  <si>
    <t>ESTADO DE MATO GROSSO DO SUL</t>
  </si>
  <si>
    <t>RIBAS DO RIO PARDO / MS</t>
  </si>
  <si>
    <t>Ribas do Rio Pardo/MS</t>
  </si>
  <si>
    <t>CAMPO GRANDE</t>
  </si>
  <si>
    <t>PISTA</t>
  </si>
  <si>
    <t>PARQUE ESTORIL - ETAPAS 03 E 04</t>
  </si>
  <si>
    <t>(20°27'47.87"S ; 54°45'55.28"O) ; (20°27'47.27"S ; 54°45'17.28"O) ; (20°28'02.85"S ; 54°45'35.04"O)</t>
  </si>
  <si>
    <t>Aluguel de banheiro quimico, incluindo transporte de ida e volta, manutencao e higienizacao 3 vezes por semana. Modelo Luxo, dimensões 2,31 x 1,15 x 1,15m. Cidade: Campo Grande/MS</t>
  </si>
  <si>
    <t>Sondagem de investigação de interferências subterrâneas, incluindo escavações mecânica e manual e reaterro</t>
  </si>
  <si>
    <t>Reparo em ramal de ligação predial de água</t>
  </si>
  <si>
    <t>Regularização de superfícies com motoniveladora. AF_11/2019</t>
  </si>
  <si>
    <t>Carga, manobra e descarga de solos e materiais granulares em caminhão basculante 14 m3 - carga com escavadeira hidráulica (capacidade da caçamba: 1,20 m3 / potência: 155 HP) e descarga livre (unidade: m3). AF_07/2020</t>
  </si>
  <si>
    <t>Transporte com caminhão basculante de 14 m3, em via urbana pavimentada, DMT até 30,00 km (unidade: m3xkm). AF_07/2020</t>
  </si>
  <si>
    <t>Transporte com caminhão basculante de 14 m3, em via urbana pavimentada, adicional para DMT excedente a 30,00 km (unidade: m3xkm). AF_07/2020</t>
  </si>
  <si>
    <t>Demolição de concreto simples, de forma mecanizada, sem reaproveitamento (REF. SICRO COD. 1600989, db 01-2023)</t>
  </si>
  <si>
    <t>Remoção de raízes remanescentes de tronco de árvore com diâmetro maior ou igual a 0,40 m e menor que 0,60 m. AF_05/2018</t>
  </si>
  <si>
    <t>Corte raso e recorte de árvore com diâmetro nominal de tronco maior ou igual a 0,40 m e menor que 0,60 m. AF_05/2018</t>
  </si>
  <si>
    <t>Poda em altura de árvore com diâmetro nominal de tronco maior ou igual a 0,40 m e menor que 0,60 m. AF_05/2018</t>
  </si>
  <si>
    <t>Carga, manobra e descarga de entulho em caminhão basculante 14 m3 - carga com escavadeira hidráulica  (capacidade da caçamba: 0,80 m3 / potência: 111 HP) e descarga livre (unidade: m3). AF_07/2020</t>
  </si>
  <si>
    <t>Transporte com caminhão carroceria 9t, em via urbana pavimentada, DMT até 30,00 km (unidade: txkm). AF_07/2020</t>
  </si>
  <si>
    <t>Arrancamento e remoção de canalização, Ø ≤ 60 cm. Exclusive bota-fora</t>
  </si>
  <si>
    <t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t>
  </si>
  <si>
    <t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t>
  </si>
  <si>
    <t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t>
  </si>
  <si>
    <t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t>
  </si>
  <si>
    <t>Escoramento de vala, tipo blindado, com profundidade de 1,5 a 3,0 m, largura maior ou igual a 1,5 m e menor que 2,5 m. Altura do escoramento igual a 2,4 m.  Execução e fornecimento, inclui material. (REF. SINAPI COD. 03.ESCO.VALA.040/01)</t>
  </si>
  <si>
    <t>Escoramento de vala, tipo blindado, com profundidade de 3,0 a 4,5 m, largura maior ou igual a 1,5 m e menor que 2,5 m. Altura do escoramento igual a 2,4 m.  Execução e fornecimento, inclui material. (REF. SINAPI COD. 03.ESCO.VALA.042/01)</t>
  </si>
  <si>
    <t>Preparo de fundo de vala com largura maior ou igual a 1,50 m e menor que 2,50 m (acerto do solo natural). AF_08/2020</t>
  </si>
  <si>
    <t>Reaterro mecanizado de vala com retroescavadeira (capacidade da caçamba da retro: 0,26 m3 / potência: 88 HP), largura de 0,80 a 1,50 m, profundidade até 1,50 m, com solo (sem substituição) de 1a categoria em locais com alto nível de interferência. AF_04/2016</t>
  </si>
  <si>
    <t>Reaterro mecanizado de vala com retroescavadeira (capacidade da caçamba da retro: 0,26 m3 / potência: 88 HP), largura de 0,80 a 1,50 m, profundidade de 1,50 a 3,00 m, com solo (sem substituição) de 1a categoria em locais com alto nível de interferência. AF_04/2016</t>
  </si>
  <si>
    <t>Reaterro mecanizado de vala com escavadeira hidráulica (capacidade da caçamba: 0,80 m3 / potência: 111 HP), largura de 1,50 a 2,50 m, profundidade de 1,50 a 3,00 m, com solo (sem substituição) de 1a categoria em locais com alto nível de interferência. AF_04/2016</t>
  </si>
  <si>
    <t>Reaterro mecanizado de vala com escavadeira hidráulica (capacidade da caçamba: 0,80 m3 / potência: 111 HP), largura de 1,50 a 2,50 m, profundidade de 3,00  a 4,50 m, com solo (sem substituição) de 1a categoria em locais com alto nível de interferência. AF_04/2016</t>
  </si>
  <si>
    <t>Assentamento de tubo de concreto para redes coletoras de águas pluviais, diâmetro nominal de 0,40 m, junta rígida em argamassa 1:3 cimento:areia, instalado em local com alto nível de interferências (não inclui fornecimento). AF_12/2015</t>
  </si>
  <si>
    <t>Assentamento de tubo de concreto para redes coletoras de águas pluviais, diâmetro nominal de 0,60 m, junta rígida em argamassa 1:3 cimento:areia, instalado em local com alto nível de interferências (não inclui fornecimento). AF_12/2015</t>
  </si>
  <si>
    <t>Assentamento de tubo de concreto para redes coletoras de águas pluviais, diâmetro nominal de 0,80 m, junta rígida em argamassa 1:3 cimento:areia, instalado em local com alto nível de interferências (não inclui fornecimento). AF_12/2015</t>
  </si>
  <si>
    <t>Assentamento de tubo de concreto para redes coletoras de águas pluviais, diâmetro nominal de 1,00 m, junta rígida em argamassa 1:3 cimento:areia, instalado em local com alto nível de interferências (não inclui fornecimento). AF_12/2015</t>
  </si>
  <si>
    <t>PV-1 - Poço de Visita, com dimensões internas de 1,98m x 1,98m x 1,50m (bxbxh), em alvenaria de bloco de concreto estrutural FBK 14mpa, conforme projeto tipo. Exclusive pescoço e tampão</t>
  </si>
  <si>
    <t>APV-1 - Acréscimo para Poço de Visita, com dimensões internas de 1,98m x 1,98m, em alvenaria de bloco de concreto estrutural FBK 14mpa, conforme projeto tipo</t>
  </si>
  <si>
    <t>Chaminé circular para poço de visita para esgoto, em alvenaria com tijolos cerâmicos maciços, diâmetro interno = 0,6 m. af_12/2020</t>
  </si>
  <si>
    <t>Tampão F°F° articulado, classe D400, carga máxima 40 T, redondo tampa 600 mm para rede pluvial/esgoto. Incluindo fornecimento, assentamento e requadro em concreto FCK 20mpa, de 1,00m x 1,00m x 0,20m</t>
  </si>
  <si>
    <t>CP-1 - Caixa de Passagem, com dimensões internas de  1,92m x 1,92m x 1,60m (bxbxh), em alvenaria de bloco de concreto estrutural FBK 8 MPa, conforme projeto tipo</t>
  </si>
  <si>
    <t xml:space="preserve">BLSC - Boca-de-lobo simples em concreto simples FCK 20 mpa, incluindo forma, escavação, sarjeta de contorno (chama) em concreto e grelha em F°F° tipo pesada, conforme projeto </t>
  </si>
  <si>
    <t xml:space="preserve">BLTC - Boca-de-lobo tripla em concreto simples FCK 20 mpa, incluindo forma, escavação, sarjeta de contorno (chama) em concreto e grelhas em F°F° tipo pesada, conforme projeto </t>
  </si>
  <si>
    <t>Transporte com caminhão carroceria com guindauto (munck), momento máximo de carga 11,7 tm, em via urbana pavimentada, adicional para DMT excedente a 30,00 km (unidade: txkm). AF_07/2020</t>
  </si>
  <si>
    <t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t>
  </si>
  <si>
    <t>Argila, argila vermelha ou argila arenosa (retirada na jazida, sem transporte)</t>
  </si>
  <si>
    <t>Pedra britada n. 1 (9,5 A 19 mm) posto pedreira/fornecedor, sem frete</t>
  </si>
  <si>
    <t>Execução e compactação de base e ou sub base para pavimentação de solos estabilizados granulometricamente com mistura de solos em pista - exclusive solo, escavação, carga e transporte. AF_11/2019</t>
  </si>
  <si>
    <t>Imprimação da base, execução e fornecimento de emulsão asfáltica EAI (REF. SINAPI COD. 102470)</t>
  </si>
  <si>
    <t>RE/0055</t>
  </si>
  <si>
    <t>CBUQ (usina comercial) - aplicação manual em fechamento de vala e remendos. Incluindo fornecimento dos materiais e compactação com rolo tandem compacto. Exclusive transporte. Ref BP 09.05.0500 RIO SCO</t>
  </si>
  <si>
    <t>CBUQ (usina comercial) - aplicação com motoniveladora (reperfilamento). Incluindo fornecimento de materiais. Exclusive transporte</t>
  </si>
  <si>
    <t>Carga, manobra e descarga de solos e materiais granulares em caminhão basculante 10 m3 - carga com escavadeira hidráulica (capacidade da caçamba: 1,20 m3 / potência: 155 HP) e descarga livre (unidade: m3). AF_07/2020</t>
  </si>
  <si>
    <t>Transporte com caminhão basculante de 10 m3, em via urbana pavimentada, DMT até 30,00 km (unidade: m3xkm). AF_07/2020</t>
  </si>
  <si>
    <t>Transporte com caminhão basculante de 14 m3, em via urbana pavimentada, adicional para DMT excedente a 30,00 km (unidade: txkm). AF_07/2020</t>
  </si>
  <si>
    <t>Transporte com caminhão tanque de transporte de material asfáltico de 20.000 l, em via urbana pavimentada, adicional para DMT excedente a 30,00 km (unidade: txkm). AF_07/2020</t>
  </si>
  <si>
    <t>Pintura de ligação, execução e fornecimento de emulsão asfáltica RR-1C (ref SINAPI cód 104375)</t>
  </si>
  <si>
    <t>Meio-fio (guia) com sarjeta, concreto FCK = 15mpa, seção 615 cm², moldado no local, inclusive escavação e pintura a cal em uma demão</t>
  </si>
  <si>
    <t>Meio-fio (guia) simples, concreto FCK = 15mpa, seção 285cm2, moldado no local, inclusive escavação e pintura a cal em uma demão</t>
  </si>
  <si>
    <t xml:space="preserve">Tento (acabamento de limpa-rodas), concreto FCK = 15 mpa, seção 330cm², moldado no local, inclusive escavação </t>
  </si>
  <si>
    <t>Compactação mecânica de solo para execução de radier, com compactador de solos tipo placa vibratória. AF_09/2021</t>
  </si>
  <si>
    <t>Transporte com caminhão carroceria 9t, em via urbana pavimentada, adicional para DMT excedente a 30,00 km (unidade: txkm). AF_07/2020</t>
  </si>
  <si>
    <t>Pintura de faixas de pedestres e retenção e de zebrados - termoplástico por extrusão - espessura de 3,0 mm (REF. SICRO COD. 5213408 e 5213409)</t>
  </si>
  <si>
    <t>Pintura de setas e legendas - termoplástico por extrusão - espessura de 3,0 mm (REF. SICRO COD. 5213409, DB 04-21)</t>
  </si>
  <si>
    <t>Pintura de faixa - termoplástico por aspersão Hot Spray - espessura de 1,5 mm (REF. SICRO COD. 5213408, DB 04-21)</t>
  </si>
  <si>
    <t>Placa de aço esmaltada para identificação de rua, dimensões *45x20* cm</t>
  </si>
  <si>
    <t>PLANILHA DA ACESSIBILIDADE</t>
  </si>
  <si>
    <t>Junho/2023</t>
  </si>
  <si>
    <t/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</si>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</sst>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3" formatCode="_-* #,##0.00_-;\-* #,##0.00_-;_-* &quot;-&quot;??_-;_-@_-"/>
    <numFmt numFmtId="164" formatCode="_(&quot;R$&quot;* #,##0.00_);_(&quot;R$&quot;* \(#,##0.00\);_(&quot;R$&quot;* &quot;-&quot;??_);_(@_)"/>
    <numFmt numFmtId="165" formatCode="_(* #,##0.00_);_(* \(#,##0.00\);_(* &quot;-&quot;??_);_(@_)"/>
    <numFmt numFmtId="166" formatCode="&quot;R$ &quot;#,##0.00_);[Red]\(&quot;R$ &quot;#,##0.00\)"/>
    <numFmt numFmtId="167" formatCode="#,##0.000_);\(#,##0.000\)"/>
    <numFmt numFmtId="168" formatCode="[$-416]mmm\-yy;@"/>
    <numFmt numFmtId="169" formatCode="#,##0.0000_);\(#,##0.0000\)"/>
    <numFmt numFmtId="170" formatCode="General_)"/>
    <numFmt numFmtId="171" formatCode="[$€]#,##0.00_);[Red]\([$€]#,##0.00\)"/>
    <numFmt numFmtId="172" formatCode="_([$€-2]* #,##0.00_);_([$€-2]* \(#,##0.00\);_([$€-2]* &quot;-&quot;??_)"/>
    <numFmt numFmtId="173" formatCode="#,#00"/>
    <numFmt numFmtId="174" formatCode="#,##0.000_);[Red]\(#,##0.000\)"/>
    <numFmt numFmtId="175" formatCode="&quot;R$&quot;#,##0.00_);[Red]\(&quot;R$&quot;#,##0.00\)"/>
    <numFmt numFmtId="176" formatCode="_(&quot;$&quot;* #,##0.00_);_(&quot;$&quot;* \(#,##0.00\);_(&quot;$&quot;* &quot;-&quot;??_);_(@_)"/>
    <numFmt numFmtId="177" formatCode="d/m"/>
    <numFmt numFmtId="178" formatCode="%#,#00"/>
    <numFmt numFmtId="179" formatCode="#.##000"/>
    <numFmt numFmtId="180" formatCode="#,"/>
    <numFmt numFmtId="181" formatCode="#,##0.000;[Red]\-#,##0.000"/>
    <numFmt numFmtId="182" formatCode="#,##0.0_);\(#,##0.0\)"/>
    <numFmt numFmtId="183" formatCode="#,##0.000;\-#,##0.000"/>
    <numFmt numFmtId="184" formatCode="0.0%"/>
    <numFmt numFmtId="185" formatCode="#,##0.00_);\(#,##0.00\)"/>
    <numFmt numFmtId="186" formatCode="#,##0_);\(#,##0\)"/>
    <numFmt numFmtId="187" formatCode="0.0E+00"/>
    <numFmt numFmtId="188" formatCode="#,##0.0000;\-#,##0.0000"/>
    <numFmt numFmtId="189" formatCode="#,##0.0;\-#,##0.0"/>
    <numFmt numFmtId="190" formatCode="#,##0.00_);[Red]\(#,##0.00\)"/>
    <numFmt numFmtId="191" formatCode="#,##0.0000;[Red]\-#,##0.0000"/>
    <numFmt numFmtId="192" formatCode="#,##0.000000"/>
    <numFmt numFmtId="193" formatCode="_(* #,##0_);_(* \(#,##0\);_(* &quot;-&quot;??_);_(@_)"/>
    <numFmt numFmtId="194" formatCode="dd/mm/yy"/>
    <numFmt numFmtId="195" formatCode="#,##0.000"/>
    <numFmt numFmtId="196" formatCode="_-* #,##0.000000000_-;\-* #,##0.000000000_-;_-* &quot;-&quot;??_-;_-@_-"/>
    <numFmt numFmtId="197" formatCode="General\ &quot;m²&quot;"/>
    <numFmt numFmtId="198" formatCode="General\ &quot;meses&quot;"/>
    <numFmt numFmtId="199" formatCode="0.000%"/>
    <numFmt numFmtId="200" formatCode="General&quot; m/h&quot;"/>
    <numFmt numFmtId="201" formatCode="0.0000%"/>
    <numFmt numFmtId="202" formatCode="#,##0.00000_);\(#,##0.00000\)"/>
    <numFmt numFmtId="203" formatCode="#,##0.00_ ;[Red]\-#,##0.00\ "/>
    <numFmt numFmtId="204" formatCode="0.000"/>
    <numFmt numFmtId="205" formatCode="mmmm\,\ yyyy;@"/>
    <numFmt numFmtId="206" formatCode="General&quot; m&quot;"/>
    <numFmt numFmtId="207" formatCode="General&quot; m²&quot;"/>
    <numFmt numFmtId="208" formatCode="[$-416]mmmm\-yy;@"/>
    <numFmt numFmtId="209" formatCode="General\ &quot;*&quot;"/>
    <numFmt numFmtId="210" formatCode="0.0000000000%"/>
    <numFmt numFmtId="211" formatCode="0.E+00"/>
    <numFmt numFmtId="212" formatCode="#,##0.00_ ;\-#,##0.00\ "/>
    <numFmt numFmtId="213" formatCode="0.000000"/>
    <numFmt numFmtId="214" formatCode="General\ &quot;T/m2&quot;"/>
    <numFmt numFmtId="215" formatCode="General\ &quot;kg/m3&quot;"/>
    <numFmt numFmtId="216" formatCode="General\ &quot;m3/m3&quot;"/>
    <numFmt numFmtId="217" formatCode="General\ &quot;kg/m2&quot;"/>
    <numFmt numFmtId="218" formatCode="General\ &quot;T/un&quot;"/>
    <numFmt numFmtId="219" formatCode="#,##0.000000_);\(#,##0.000000\)"/>
    <numFmt numFmtId="220" formatCode="#,##0.000_ ;\-#,##0.000\ "/>
    <numFmt numFmtId="221" formatCode="0.0"/>
    <numFmt numFmtId="222" formatCode="#,##0.0"/>
    <numFmt numFmtId="223" formatCode="General\ &quot;m3/un&quot;"/>
    <numFmt numFmtId="224" formatCode="General&quot; kg/un&quot;"/>
    <numFmt numFmtId="225" formatCode="General\ &quot;T/m3&quot;"/>
    <numFmt numFmtId="226" formatCode="#,##0.0_ ;\-#,##0.0\ "/>
    <numFmt numFmtId="227" formatCode="#,##0_ ;\-#,##0\ "/>
    <numFmt numFmtId="228" formatCode="General\ &quot;m3&quot;"/>
    <numFmt numFmtId="229" formatCode="General\ &quot;T&quot;"/>
    <numFmt numFmtId="230" formatCode="General&quot; kg/m&quot;"/>
    <numFmt numFmtId="231" formatCode="General&quot; m3/h&quot;"/>
    <numFmt numFmtId="232" formatCode="General\ &quot;m²/mês&quot;"/>
    <numFmt numFmtId="233" formatCode="General&quot; m2/h&quot;"/>
    <numFmt numFmtId="234" formatCode="General\ &quot;mês&quot;"/>
    <numFmt numFmtId="235" formatCode="&quot;Ø&quot;\ 0.00"/>
    <numFmt numFmtId="236" formatCode="0.00\ &quot;m&quot;"/>
    <numFmt numFmtId="237" formatCode="General&quot; un/h&quot;"/>
    <numFmt numFmtId="238" formatCode="\+\ #.000"/>
    <numFmt numFmtId="239" formatCode="\+\ #.00"/>
    <numFmt numFmtId="240" formatCode="General\ &quot;m&quot;"/>
  </numFmts>
  <fonts count="200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sz val="13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sz val="9"/>
      <color indexed="81"/>
      <name val="Tahoma"/>
      <family val="2"/>
    </font>
    <font>
      <sz val="10"/>
      <name val="Courier"/>
      <family val="3"/>
    </font>
    <font>
      <sz val="10"/>
      <name val="Courier"/>
      <family val="3"/>
    </font>
    <font>
      <sz val="10"/>
      <name val="MS Sans Serif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5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name val="Courier"/>
      <family val="3"/>
    </font>
    <font>
      <sz val="9"/>
      <name val="Arial"/>
      <family val="2"/>
    </font>
    <font>
      <sz val="9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"/>
      <color indexed="8"/>
      <name val="Courier"/>
      <family val="3"/>
    </font>
    <font>
      <sz val="11"/>
      <color indexed="62"/>
      <name val="Calibri"/>
      <family val="2"/>
    </font>
    <font>
      <u/>
      <sz val="7.5"/>
      <color indexed="12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b/>
      <sz val="16"/>
      <name val="Arial"/>
      <family val="2"/>
    </font>
    <font>
      <sz val="6"/>
      <name val="Arial"/>
      <family val="2"/>
    </font>
    <font>
      <sz val="11"/>
      <name val="Arial"/>
      <family val="2"/>
    </font>
    <font>
      <b/>
      <sz val="10"/>
      <color rgb="FF00B0F0"/>
      <name val="Arial"/>
      <family val="2"/>
    </font>
    <font>
      <sz val="10"/>
      <color indexed="10"/>
      <name val="Courier"/>
      <family val="3"/>
    </font>
    <font>
      <sz val="9"/>
      <color indexed="10"/>
      <name val="Arial"/>
      <family val="2"/>
    </font>
    <font>
      <sz val="10"/>
      <color indexed="48"/>
      <name val="Arial"/>
      <family val="2"/>
    </font>
    <font>
      <b/>
      <sz val="10"/>
      <name val="Courier"/>
      <family val="3"/>
    </font>
    <font>
      <b/>
      <sz val="10"/>
      <color rgb="FFFF0000"/>
      <name val="Arial"/>
      <family val="2"/>
    </font>
    <font>
      <b/>
      <sz val="10"/>
      <color rgb="FFFF0000"/>
      <name val="Courier"/>
      <family val="3"/>
    </font>
    <font>
      <sz val="8"/>
      <color theme="1" tint="0.34998626667073579"/>
      <name val="Arial"/>
      <family val="2"/>
    </font>
    <font>
      <b/>
      <sz val="10"/>
      <name val="Calibri"/>
      <family val="2"/>
    </font>
    <font>
      <b/>
      <sz val="9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8"/>
      <name val="Arial"/>
      <family val="2"/>
    </font>
    <font>
      <b/>
      <i/>
      <sz val="10"/>
      <color rgb="FFFF0000"/>
      <name val="Arial"/>
      <family val="2"/>
    </font>
    <font>
      <sz val="10"/>
      <name val="Arial"/>
      <family val="2"/>
    </font>
    <font>
      <sz val="11"/>
      <color indexed="10"/>
      <name val="Arial"/>
      <family val="2"/>
    </font>
    <font>
      <sz val="8"/>
      <color indexed="81"/>
      <name val="Calibri"/>
      <family val="2"/>
    </font>
    <font>
      <b/>
      <sz val="8"/>
      <color indexed="81"/>
      <name val="Calibri"/>
      <family val="2"/>
    </font>
    <font>
      <i/>
      <sz val="10"/>
      <color rgb="FFFF0000"/>
      <name val="Arial"/>
      <family val="2"/>
    </font>
    <font>
      <b/>
      <sz val="8"/>
      <name val="Calibri"/>
      <family val="2"/>
    </font>
    <font>
      <vertAlign val="superscript"/>
      <sz val="8"/>
      <name val="Arial"/>
      <family val="2"/>
    </font>
    <font>
      <u/>
      <sz val="10"/>
      <color theme="10"/>
      <name val="Courier"/>
      <family val="3"/>
    </font>
    <font>
      <sz val="15"/>
      <name val="Arial"/>
      <family val="2"/>
    </font>
    <font>
      <b/>
      <sz val="8"/>
      <color indexed="10"/>
      <name val="Arial"/>
      <family val="2"/>
    </font>
    <font>
      <sz val="10"/>
      <name val="Arial"/>
      <family val="2"/>
    </font>
    <font>
      <sz val="8"/>
      <name val="Symbol"/>
      <family val="1"/>
      <charset val="2"/>
    </font>
    <font>
      <b/>
      <sz val="8"/>
      <color rgb="FF0000FF"/>
      <name val="Arial"/>
      <family val="2"/>
    </font>
    <font>
      <b/>
      <sz val="8"/>
      <color rgb="FFFF0000"/>
      <name val="Wingdings 3"/>
      <family val="1"/>
      <charset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rgb="FFFF0000"/>
      <name val="Calibri"/>
      <family val="2"/>
    </font>
    <font>
      <sz val="16"/>
      <name val="Arial"/>
      <family val="2"/>
    </font>
    <font>
      <sz val="8"/>
      <color indexed="8"/>
      <name val="Times New Roman"/>
      <family val="1"/>
    </font>
    <font>
      <b/>
      <sz val="12"/>
      <color rgb="FFFF0000"/>
      <name val="Courier"/>
      <family val="3"/>
    </font>
    <font>
      <b/>
      <sz val="13"/>
      <name val="Arial"/>
      <family val="2"/>
    </font>
    <font>
      <b/>
      <i/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15"/>
      <name val="Calibri"/>
      <family val="2"/>
    </font>
    <font>
      <sz val="15"/>
      <color indexed="81"/>
      <name val="Tahoma"/>
      <family val="2"/>
    </font>
    <font>
      <b/>
      <sz val="14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Courier"/>
    </font>
    <font>
      <b/>
      <sz val="7"/>
      <color rgb="FFFF0000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name val="Courier"/>
      <family val="2"/>
    </font>
    <font>
      <b/>
      <sz val="8"/>
      <color theme="0"/>
      <name val="Arial"/>
      <family val="2"/>
    </font>
    <font>
      <sz val="11"/>
      <color rgb="FF000000"/>
      <name val="Calibri"/>
      <family val="2"/>
    </font>
    <font>
      <sz val="10"/>
      <color theme="0" tint="-0.249977111117893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8"/>
      <color rgb="FFCCFFCC"/>
      <name val="Arial"/>
      <family val="2"/>
    </font>
    <font>
      <sz val="8"/>
      <color rgb="FFCCFFCC"/>
      <name val="Arial"/>
      <family val="2"/>
    </font>
    <font>
      <b/>
      <sz val="13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color rgb="FF0000FF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i/>
      <vertAlign val="superscript"/>
      <sz val="12"/>
      <name val="Arial"/>
      <family val="2"/>
    </font>
    <font>
      <sz val="20"/>
      <name val="Arial"/>
      <family val="2"/>
    </font>
    <font>
      <b/>
      <sz val="12"/>
      <color rgb="FFFF0000"/>
      <name val="Calibri"/>
      <family val="2"/>
    </font>
    <font>
      <b/>
      <sz val="20"/>
      <name val="Arial"/>
      <family val="2"/>
    </font>
    <font>
      <sz val="8"/>
      <name val="Courier"/>
    </font>
    <font>
      <b/>
      <sz val="12"/>
      <color rgb="FFFF0000"/>
      <name val="Arial"/>
      <family val="2"/>
    </font>
    <font>
      <sz val="25"/>
      <color indexed="10"/>
      <name val="Arial"/>
      <family val="2"/>
    </font>
    <font>
      <b/>
      <sz val="15"/>
      <color theme="1"/>
      <name val="Arial"/>
      <family val="2"/>
    </font>
    <font>
      <sz val="11"/>
      <color rgb="FFFF0000"/>
      <name val="Arial"/>
      <family val="2"/>
    </font>
    <font>
      <sz val="40"/>
      <name val="Arial"/>
      <family val="2"/>
    </font>
    <font>
      <sz val="45"/>
      <name val="Arial"/>
      <family val="2"/>
    </font>
    <font>
      <sz val="50"/>
      <name val="Arial"/>
      <family val="2"/>
    </font>
    <font>
      <sz val="17"/>
      <name val="Arial"/>
      <family val="2"/>
    </font>
    <font>
      <sz val="17"/>
      <color rgb="FFFF0000"/>
      <name val="Arial"/>
      <family val="2"/>
    </font>
    <font>
      <sz val="11"/>
      <name val="Calibri"/>
      <family val="2"/>
    </font>
    <font>
      <sz val="15"/>
      <color rgb="FFFF0000"/>
      <name val="Arial"/>
      <family val="2"/>
    </font>
    <font>
      <b/>
      <sz val="25"/>
      <name val="Arial"/>
      <family val="2"/>
    </font>
    <font>
      <b/>
      <sz val="6"/>
      <color rgb="FFFF0000"/>
      <name val="Arial"/>
      <family val="2"/>
    </font>
    <font>
      <b/>
      <sz val="15"/>
      <color rgb="FFFF0000"/>
      <name val="Arial"/>
      <family val="2"/>
    </font>
    <font>
      <sz val="8"/>
      <name val="Calibri"/>
      <family val="2"/>
    </font>
    <font>
      <sz val="10"/>
      <color rgb="FF0000FF"/>
      <name val="Arial"/>
      <family val="2"/>
    </font>
    <font>
      <sz val="18"/>
      <color rgb="FFFF0000"/>
      <name val="Arial"/>
      <family val="2"/>
    </font>
    <font>
      <b/>
      <sz val="10"/>
      <color rgb="FFCCFFCC"/>
      <name val="Arial"/>
      <family val="2"/>
    </font>
    <font>
      <sz val="20"/>
      <color rgb="FFFF0000"/>
      <name val="Arial"/>
      <family val="2"/>
    </font>
    <font>
      <sz val="20"/>
      <color indexed="10"/>
      <name val="Arial"/>
      <family val="2"/>
    </font>
    <font>
      <sz val="8"/>
      <color rgb="FF0000FF"/>
      <name val="Arial"/>
      <family val="2"/>
    </font>
    <font>
      <sz val="10"/>
      <color rgb="FFCCFFCC"/>
      <name val="Arial"/>
      <family val="2"/>
    </font>
    <font>
      <u/>
      <sz val="10"/>
      <color rgb="FFFF0000"/>
      <name val="Arial"/>
      <family val="2"/>
    </font>
    <font>
      <sz val="25"/>
      <name val="Arial"/>
      <family val="2"/>
    </font>
    <font>
      <b/>
      <sz val="9"/>
      <color rgb="FFFF0000"/>
      <name val="Arial"/>
      <family val="2"/>
    </font>
    <font>
      <b/>
      <sz val="8"/>
      <color rgb="FF00B0F0"/>
      <name val="Arial"/>
      <family val="2"/>
    </font>
    <font>
      <b/>
      <sz val="8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2"/>
      <color rgb="FF0000FF"/>
      <name val="Arial"/>
      <family val="2"/>
    </font>
    <font>
      <b/>
      <sz val="10"/>
      <color rgb="FF0000FF"/>
      <name val="Arial"/>
      <family val="2"/>
    </font>
    <font>
      <b/>
      <sz val="15"/>
      <color indexed="12"/>
      <name val="Arial"/>
      <family val="2"/>
    </font>
    <font>
      <sz val="15"/>
      <name val="Courier"/>
      <family val="2"/>
    </font>
    <font>
      <sz val="12"/>
      <name val="Calibri"/>
      <family val="2"/>
    </font>
    <font>
      <u/>
      <sz val="10"/>
      <color rgb="FFFF0000"/>
      <name val="Courier"/>
      <family val="3"/>
    </font>
    <font>
      <b/>
      <sz val="13"/>
      <color indexed="12"/>
      <name val="Arial"/>
      <family val="2"/>
    </font>
    <font>
      <b/>
      <sz val="15"/>
      <color theme="0" tint="-0.34998626667073579"/>
      <name val="Arial"/>
      <family val="2"/>
    </font>
    <font>
      <sz val="15"/>
      <color theme="0" tint="-0.34998626667073579"/>
      <name val="Arial"/>
      <family val="2"/>
    </font>
    <font>
      <u/>
      <sz val="10"/>
      <color theme="10"/>
      <name val="Arial"/>
      <family val="2"/>
    </font>
    <font>
      <sz val="9"/>
      <name val="Calibri"/>
      <family val="2"/>
    </font>
    <font>
      <sz val="6"/>
      <name val="Calibri"/>
      <family val="2"/>
    </font>
    <font>
      <vertAlign val="subscript"/>
      <sz val="10"/>
      <name val="Calibri"/>
      <family val="2"/>
    </font>
    <font>
      <sz val="6.5"/>
      <name val="Calibri"/>
      <family val="2"/>
    </font>
    <font>
      <sz val="9"/>
      <name val="Times New Roman"/>
      <family val="1"/>
    </font>
    <font>
      <sz val="14.5"/>
      <name val="Calibri"/>
      <family val="2"/>
    </font>
    <font>
      <sz val="10.5"/>
      <name val="Times New Roman"/>
      <family val="1"/>
    </font>
    <font>
      <sz val="10"/>
      <name val="Times New Roman"/>
      <family val="1"/>
    </font>
    <font>
      <sz val="14"/>
      <name val="Calibri"/>
      <family val="2"/>
    </font>
    <font>
      <sz val="8"/>
      <name val="Times New Roman"/>
      <family val="1"/>
    </font>
    <font>
      <sz val="13"/>
      <name val="Calibri"/>
      <family val="2"/>
    </font>
    <font>
      <sz val="7.5"/>
      <name val="Calibri"/>
      <family val="2"/>
    </font>
    <font>
      <sz val="8.5"/>
      <name val="Calibri"/>
      <family val="2"/>
    </font>
    <font>
      <sz val="5.5"/>
      <name val="Calibri"/>
      <family val="2"/>
    </font>
    <font>
      <sz val="11.5"/>
      <name val="Times New Roman"/>
      <family val="1"/>
    </font>
    <font>
      <sz val="13.5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rial Narrow"/>
      <family val="2"/>
    </font>
    <font>
      <sz val="12"/>
      <color rgb="FFFF0000"/>
      <name val="Arial Narrow"/>
      <family val="2"/>
    </font>
  </fonts>
  <fills count="63">
    <fill>
      <patternFill patternType="none"/>
    </fill>
    <fill>
      <patternFill patternType="gray125"/>
    </fill>
    <fill>
      <patternFill patternType="solid">
        <fgColor indexed="52"/>
      </patternFill>
    </fill>
    <fill>
      <patternFill patternType="solid">
        <fgColor indexed="36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11"/>
      </patternFill>
    </fill>
    <fill>
      <patternFill patternType="solid">
        <fgColor indexed="31"/>
      </patternFill>
    </fill>
    <fill>
      <patternFill patternType="solid">
        <fgColor theme="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FEB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8E6E4"/>
        <bgColor indexed="64"/>
      </patternFill>
    </fill>
    <fill>
      <patternFill patternType="solid">
        <fgColor rgb="FFFFEFFF"/>
        <bgColor indexed="64"/>
      </patternFill>
    </fill>
  </fills>
  <borders count="3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</borders>
  <cellStyleXfs count="41076">
    <xf numFmtId="167" fontId="0" fillId="0" borderId="0"/>
    <xf numFmtId="0" fontId="19" fillId="8" borderId="1" applyNumberFormat="0" applyAlignment="0" applyProtection="0"/>
    <xf numFmtId="0" fontId="9" fillId="0" borderId="0" applyNumberFormat="0" applyFill="0" applyAlignment="0" applyProtection="0"/>
    <xf numFmtId="0" fontId="19" fillId="0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0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1" applyNumberFormat="0" applyAlignment="0" applyProtection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0" borderId="0" applyNumberFormat="0" applyFill="0" applyAlignment="0" applyProtection="0"/>
    <xf numFmtId="0" fontId="19" fillId="6" borderId="0" applyNumberFormat="0" applyBorder="0" applyAlignment="0" applyProtection="0"/>
    <xf numFmtId="168" fontId="20" fillId="0" borderId="0"/>
    <xf numFmtId="0" fontId="25" fillId="0" borderId="0"/>
    <xf numFmtId="0" fontId="7" fillId="0" borderId="0"/>
    <xf numFmtId="0" fontId="7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165" fontId="19" fillId="0" borderId="0" applyFont="0" applyFill="0" applyBorder="0" applyAlignment="0" applyProtection="0"/>
    <xf numFmtId="40" fontId="21" fillId="0" borderId="0" applyFont="0" applyFill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40" fillId="0" borderId="0">
      <protection locked="0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7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3" fontId="40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20" fillId="0" borderId="0"/>
    <xf numFmtId="174" fontId="7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6" fontId="20" fillId="0" borderId="0"/>
    <xf numFmtId="174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168" fontId="20" fillId="0" borderId="0"/>
    <xf numFmtId="167" fontId="20" fillId="0" borderId="0"/>
    <xf numFmtId="168" fontId="20" fillId="0" borderId="0"/>
    <xf numFmtId="167" fontId="20" fillId="0" borderId="0"/>
    <xf numFmtId="168" fontId="20" fillId="0" borderId="0"/>
    <xf numFmtId="167" fontId="20" fillId="0" borderId="0"/>
    <xf numFmtId="168" fontId="20" fillId="0" borderId="0"/>
    <xf numFmtId="0" fontId="32" fillId="0" borderId="0"/>
    <xf numFmtId="176" fontId="20" fillId="0" borderId="0"/>
    <xf numFmtId="167" fontId="20" fillId="0" borderId="0"/>
    <xf numFmtId="176" fontId="20" fillId="0" borderId="0"/>
    <xf numFmtId="17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0" fontId="32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0" fontId="32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4" fontId="20" fillId="0" borderId="0"/>
    <xf numFmtId="0" fontId="32" fillId="0" borderId="0"/>
    <xf numFmtId="174" fontId="20" fillId="0" borderId="0"/>
    <xf numFmtId="0" fontId="32" fillId="0" borderId="0"/>
    <xf numFmtId="174" fontId="20" fillId="0" borderId="0"/>
    <xf numFmtId="176" fontId="20" fillId="0" borderId="0"/>
    <xf numFmtId="174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0" fontId="32" fillId="0" borderId="0"/>
    <xf numFmtId="176" fontId="20" fillId="0" borderId="0"/>
    <xf numFmtId="0" fontId="32" fillId="0" borderId="0"/>
    <xf numFmtId="176" fontId="20" fillId="0" borderId="0"/>
    <xf numFmtId="0" fontId="32" fillId="0" borderId="0"/>
    <xf numFmtId="176" fontId="20" fillId="0" borderId="0"/>
    <xf numFmtId="167" fontId="20" fillId="0" borderId="0"/>
    <xf numFmtId="0" fontId="32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4" fontId="20" fillId="0" borderId="0"/>
    <xf numFmtId="0" fontId="32" fillId="0" borderId="0"/>
    <xf numFmtId="164" fontId="20" fillId="0" borderId="0"/>
    <xf numFmtId="174" fontId="20" fillId="0" borderId="0"/>
    <xf numFmtId="164" fontId="20" fillId="0" borderId="0"/>
    <xf numFmtId="174" fontId="20" fillId="0" borderId="0"/>
    <xf numFmtId="164" fontId="20" fillId="0" borderId="0"/>
    <xf numFmtId="174" fontId="20" fillId="0" borderId="0"/>
    <xf numFmtId="0" fontId="32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7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77" fontId="20" fillId="0" borderId="0"/>
    <xf numFmtId="177" fontId="20" fillId="0" borderId="0"/>
    <xf numFmtId="0" fontId="32" fillId="0" borderId="0"/>
    <xf numFmtId="177" fontId="20" fillId="0" borderId="0"/>
    <xf numFmtId="177" fontId="20" fillId="0" borderId="0"/>
    <xf numFmtId="17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8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8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6" fillId="0" borderId="0"/>
    <xf numFmtId="168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8" fontId="20" fillId="0" borderId="0"/>
    <xf numFmtId="168" fontId="20" fillId="0" borderId="0"/>
    <xf numFmtId="168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0" fontId="7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6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68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6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6" fillId="0" borderId="0"/>
    <xf numFmtId="168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20" fillId="0" borderId="0"/>
    <xf numFmtId="168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74" fontId="20" fillId="0" borderId="0"/>
    <xf numFmtId="174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6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6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167" fontId="20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9" fontId="20" fillId="0" borderId="0"/>
    <xf numFmtId="167" fontId="20" fillId="0" borderId="0"/>
    <xf numFmtId="169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174" fontId="20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167" fontId="20" fillId="0" borderId="0"/>
    <xf numFmtId="0" fontId="7" fillId="0" borderId="0"/>
    <xf numFmtId="0" fontId="7" fillId="0" borderId="0"/>
    <xf numFmtId="2" fontId="7" fillId="0" borderId="0" applyProtection="0"/>
    <xf numFmtId="0" fontId="7" fillId="0" borderId="0"/>
    <xf numFmtId="2" fontId="7" fillId="0" borderId="0" applyProtection="0"/>
    <xf numFmtId="0" fontId="7" fillId="0" borderId="0"/>
    <xf numFmtId="2" fontId="7" fillId="0" borderId="0" applyProtection="0"/>
    <xf numFmtId="0" fontId="7" fillId="0" borderId="0"/>
    <xf numFmtId="2" fontId="7" fillId="0" borderId="0" applyProtection="0"/>
    <xf numFmtId="2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2" fontId="7" fillId="0" borderId="0" applyProtection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2" fontId="7" fillId="0" borderId="0" applyProtection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2" fontId="7" fillId="0" borderId="0" applyProtection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46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178" fontId="40" fillId="0" borderId="0">
      <protection locked="0"/>
    </xf>
    <xf numFmtId="179" fontId="40" fillId="0" borderId="0">
      <protection locked="0"/>
    </xf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0" fontId="57" fillId="0" borderId="0">
      <protection locked="0"/>
    </xf>
    <xf numFmtId="180" fontId="57" fillId="0" borderId="0">
      <protection locked="0"/>
    </xf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46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5" fillId="0" borderId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9" fontId="5" fillId="0" borderId="0" applyFont="0" applyFill="0" applyBorder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165" fontId="5" fillId="0" borderId="0" applyFont="0" applyFill="0" applyBorder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165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" fillId="0" borderId="0"/>
    <xf numFmtId="0" fontId="20" fillId="6" borderId="0" applyNumberFormat="0" applyBorder="0" applyAlignment="0" applyProtection="0"/>
    <xf numFmtId="0" fontId="20" fillId="0" borderId="0" applyNumberFormat="0" applyFill="0" applyAlignment="0" applyProtection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94" applyNumberFormat="0" applyAlignment="0" applyProtection="0"/>
    <xf numFmtId="0" fontId="20" fillId="0" borderId="0" applyNumberFormat="0" applyBorder="0" applyAlignment="0" applyProtection="0"/>
    <xf numFmtId="0" fontId="20" fillId="3" borderId="0" applyNumberFormat="0" applyBorder="0" applyAlignment="0" applyProtection="0"/>
    <xf numFmtId="0" fontId="20" fillId="2" borderId="0" applyNumberFormat="0" applyBorder="0" applyAlignment="0" applyProtection="0"/>
    <xf numFmtId="0" fontId="20" fillId="0" borderId="0" applyNumberFormat="0" applyBorder="0" applyAlignment="0" applyProtection="0"/>
    <xf numFmtId="0" fontId="20" fillId="8" borderId="94" applyNumberFormat="0" applyAlignment="0" applyProtection="0"/>
    <xf numFmtId="164" fontId="5" fillId="0" borderId="0" applyFont="0" applyFill="0" applyBorder="0" applyAlignment="0" applyProtection="0"/>
    <xf numFmtId="0" fontId="35" fillId="24" borderId="94" applyNumberFormat="0" applyAlignment="0" applyProtection="0"/>
    <xf numFmtId="0" fontId="41" fillId="19" borderId="94" applyNumberFormat="0" applyAlignment="0" applyProtection="0"/>
    <xf numFmtId="0" fontId="7" fillId="17" borderId="95" applyNumberFormat="0" applyFont="0" applyAlignment="0" applyProtection="0"/>
    <xf numFmtId="0" fontId="47" fillId="24" borderId="96" applyNumberFormat="0" applyAlignment="0" applyProtection="0"/>
    <xf numFmtId="0" fontId="58" fillId="0" borderId="97" applyNumberFormat="0" applyFill="0" applyAlignment="0" applyProtection="0"/>
    <xf numFmtId="0" fontId="20" fillId="4" borderId="0" applyNumberFormat="0" applyBorder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9" fontId="5" fillId="0" borderId="0" applyFont="0" applyFill="0" applyBorder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176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38" fillId="0" borderId="99" applyNumberFormat="0" applyFill="0" applyAlignment="0" applyProtection="0"/>
    <xf numFmtId="171" fontId="20" fillId="0" borderId="0" applyFont="0" applyFill="0" applyBorder="0" applyAlignment="0" applyProtection="0"/>
    <xf numFmtId="0" fontId="7" fillId="17" borderId="100" applyNumberFormat="0" applyFont="0" applyAlignment="0" applyProtection="0"/>
    <xf numFmtId="0" fontId="47" fillId="24" borderId="101" applyNumberFormat="0" applyAlignment="0" applyProtection="0"/>
    <xf numFmtId="0" fontId="58" fillId="0" borderId="102" applyNumberFormat="0" applyFill="0" applyAlignment="0" applyProtection="0"/>
    <xf numFmtId="0" fontId="39" fillId="0" borderId="103" applyNumberFormat="0" applyFill="0" applyAlignment="0" applyProtection="0"/>
    <xf numFmtId="0" fontId="20" fillId="17" borderId="100" applyNumberFormat="0" applyFont="0" applyAlignment="0" applyProtection="0"/>
    <xf numFmtId="0" fontId="47" fillId="25" borderId="101" applyNumberFormat="0" applyAlignment="0" applyProtection="0"/>
    <xf numFmtId="0" fontId="58" fillId="0" borderId="104" applyNumberFormat="0" applyFill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171" fontId="20" fillId="0" borderId="0" applyFont="0" applyFill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6" fontId="20" fillId="0" borderId="0"/>
    <xf numFmtId="176" fontId="20" fillId="0" borderId="0"/>
    <xf numFmtId="0" fontId="32" fillId="0" borderId="0"/>
    <xf numFmtId="176" fontId="20" fillId="0" borderId="0"/>
    <xf numFmtId="0" fontId="32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0" fontId="21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9" fontId="21" fillId="0" borderId="0" applyFont="0" applyFill="0" applyBorder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176" fontId="7" fillId="0" borderId="0" applyFont="0" applyFill="0" applyBorder="0" applyAlignment="0" applyProtection="0"/>
    <xf numFmtId="0" fontId="32" fillId="13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4" borderId="0" applyNumberFormat="0" applyBorder="0" applyAlignment="0" applyProtection="0"/>
    <xf numFmtId="0" fontId="32" fillId="14" borderId="0" applyNumberFormat="0" applyBorder="0" applyAlignment="0" applyProtection="0"/>
    <xf numFmtId="0" fontId="32" fillId="20" borderId="0" applyNumberFormat="0" applyBorder="0" applyAlignment="0" applyProtection="0"/>
    <xf numFmtId="0" fontId="32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5" borderId="0" applyNumberFormat="0" applyBorder="0" applyAlignment="0" applyProtection="0"/>
    <xf numFmtId="0" fontId="34" fillId="20" borderId="0" applyNumberFormat="0" applyBorder="0" applyAlignment="0" applyProtection="0"/>
    <xf numFmtId="0" fontId="36" fillId="25" borderId="94" applyNumberFormat="0" applyAlignment="0" applyProtection="0"/>
    <xf numFmtId="0" fontId="39" fillId="0" borderId="103" applyNumberFormat="0" applyFill="0" applyAlignment="0" applyProtection="0"/>
    <xf numFmtId="0" fontId="33" fillId="28" borderId="0" applyNumberFormat="0" applyBorder="0" applyAlignment="0" applyProtection="0"/>
    <xf numFmtId="0" fontId="33" fillId="22" borderId="0" applyNumberFormat="0" applyBorder="0" applyAlignment="0" applyProtection="0"/>
    <xf numFmtId="0" fontId="33" fillId="5" borderId="0" applyNumberFormat="0" applyBorder="0" applyAlignment="0" applyProtection="0"/>
    <xf numFmtId="0" fontId="33" fillId="31" borderId="0" applyNumberFormat="0" applyBorder="0" applyAlignment="0" applyProtection="0"/>
    <xf numFmtId="0" fontId="33" fillId="29" borderId="0" applyNumberFormat="0" applyBorder="0" applyAlignment="0" applyProtection="0"/>
    <xf numFmtId="0" fontId="41" fillId="4" borderId="94" applyNumberFormat="0" applyAlignment="0" applyProtection="0"/>
    <xf numFmtId="0" fontId="43" fillId="18" borderId="0" applyNumberFormat="0" applyBorder="0" applyAlignment="0" applyProtection="0"/>
    <xf numFmtId="0" fontId="45" fillId="4" borderId="0" applyNumberFormat="0" applyBorder="0" applyAlignment="0" applyProtection="0"/>
    <xf numFmtId="0" fontId="20" fillId="17" borderId="100" applyNumberFormat="0" applyFont="0" applyAlignment="0" applyProtection="0"/>
    <xf numFmtId="0" fontId="47" fillId="25" borderId="101" applyNumberFormat="0" applyAlignment="0" applyProtection="0"/>
    <xf numFmtId="0" fontId="54" fillId="0" borderId="0" applyNumberFormat="0" applyFill="0" applyBorder="0" applyAlignment="0" applyProtection="0"/>
    <xf numFmtId="0" fontId="50" fillId="0" borderId="51" applyNumberFormat="0" applyFill="0" applyAlignment="0" applyProtection="0"/>
    <xf numFmtId="0" fontId="53" fillId="0" borderId="53" applyNumberFormat="0" applyFill="0" applyAlignment="0" applyProtection="0"/>
    <xf numFmtId="0" fontId="56" fillId="0" borderId="55" applyNumberFormat="0" applyFill="0" applyAlignment="0" applyProtection="0"/>
    <xf numFmtId="0" fontId="56" fillId="0" borderId="0" applyNumberFormat="0" applyFill="0" applyBorder="0" applyAlignment="0" applyProtection="0"/>
    <xf numFmtId="0" fontId="58" fillId="0" borderId="104" applyNumberFormat="0" applyFill="0" applyAlignment="0" applyProtection="0"/>
    <xf numFmtId="0" fontId="32" fillId="13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4" borderId="0" applyNumberFormat="0" applyBorder="0" applyAlignment="0" applyProtection="0"/>
    <xf numFmtId="0" fontId="32" fillId="14" borderId="0" applyNumberFormat="0" applyBorder="0" applyAlignment="0" applyProtection="0"/>
    <xf numFmtId="0" fontId="32" fillId="20" borderId="0" applyNumberFormat="0" applyBorder="0" applyAlignment="0" applyProtection="0"/>
    <xf numFmtId="0" fontId="32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5" borderId="0" applyNumberFormat="0" applyBorder="0" applyAlignment="0" applyProtection="0"/>
    <xf numFmtId="0" fontId="34" fillId="20" borderId="0" applyNumberFormat="0" applyBorder="0" applyAlignment="0" applyProtection="0"/>
    <xf numFmtId="0" fontId="36" fillId="25" borderId="94" applyNumberFormat="0" applyAlignment="0" applyProtection="0"/>
    <xf numFmtId="0" fontId="39" fillId="0" borderId="103" applyNumberFormat="0" applyFill="0" applyAlignment="0" applyProtection="0"/>
    <xf numFmtId="0" fontId="33" fillId="28" borderId="0" applyNumberFormat="0" applyBorder="0" applyAlignment="0" applyProtection="0"/>
    <xf numFmtId="0" fontId="33" fillId="22" borderId="0" applyNumberFormat="0" applyBorder="0" applyAlignment="0" applyProtection="0"/>
    <xf numFmtId="0" fontId="33" fillId="5" borderId="0" applyNumberFormat="0" applyBorder="0" applyAlignment="0" applyProtection="0"/>
    <xf numFmtId="0" fontId="33" fillId="31" borderId="0" applyNumberFormat="0" applyBorder="0" applyAlignment="0" applyProtection="0"/>
    <xf numFmtId="0" fontId="33" fillId="29" borderId="0" applyNumberFormat="0" applyBorder="0" applyAlignment="0" applyProtection="0"/>
    <xf numFmtId="0" fontId="41" fillId="4" borderId="94" applyNumberFormat="0" applyAlignment="0" applyProtection="0"/>
    <xf numFmtId="0" fontId="43" fillId="18" borderId="0" applyNumberFormat="0" applyBorder="0" applyAlignment="0" applyProtection="0"/>
    <xf numFmtId="0" fontId="45" fillId="4" borderId="0" applyNumberFormat="0" applyBorder="0" applyAlignment="0" applyProtection="0"/>
    <xf numFmtId="0" fontId="20" fillId="17" borderId="100" applyNumberFormat="0" applyFont="0" applyAlignment="0" applyProtection="0"/>
    <xf numFmtId="0" fontId="47" fillId="25" borderId="101" applyNumberFormat="0" applyAlignment="0" applyProtection="0"/>
    <xf numFmtId="0" fontId="54" fillId="0" borderId="0" applyNumberFormat="0" applyFill="0" applyBorder="0" applyAlignment="0" applyProtection="0"/>
    <xf numFmtId="0" fontId="50" fillId="0" borderId="51" applyNumberFormat="0" applyFill="0" applyAlignment="0" applyProtection="0"/>
    <xf numFmtId="0" fontId="53" fillId="0" borderId="53" applyNumberFormat="0" applyFill="0" applyAlignment="0" applyProtection="0"/>
    <xf numFmtId="0" fontId="56" fillId="0" borderId="55" applyNumberFormat="0" applyFill="0" applyAlignment="0" applyProtection="0"/>
    <xf numFmtId="0" fontId="56" fillId="0" borderId="0" applyNumberFormat="0" applyFill="0" applyBorder="0" applyAlignment="0" applyProtection="0"/>
    <xf numFmtId="0" fontId="58" fillId="0" borderId="104" applyNumberFormat="0" applyFill="0" applyAlignment="0" applyProtection="0"/>
    <xf numFmtId="165" fontId="7" fillId="0" borderId="0" applyFont="0" applyFill="0" applyBorder="0" applyAlignment="0" applyProtection="0"/>
    <xf numFmtId="0" fontId="39" fillId="0" borderId="103" applyNumberFormat="0" applyFill="0" applyAlignment="0" applyProtection="0"/>
    <xf numFmtId="0" fontId="20" fillId="17" borderId="100" applyNumberFormat="0" applyFont="0" applyAlignment="0" applyProtection="0"/>
    <xf numFmtId="0" fontId="47" fillId="25" borderId="101" applyNumberFormat="0" applyAlignment="0" applyProtection="0"/>
    <xf numFmtId="0" fontId="58" fillId="0" borderId="104" applyNumberFormat="0" applyFill="0" applyAlignment="0" applyProtection="0"/>
    <xf numFmtId="9" fontId="7" fillId="0" borderId="0" applyFont="0" applyFill="0" applyBorder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38" fillId="0" borderId="99" applyNumberFormat="0" applyFill="0" applyAlignment="0" applyProtection="0"/>
    <xf numFmtId="167" fontId="20" fillId="0" borderId="0"/>
    <xf numFmtId="0" fontId="7" fillId="0" borderId="0"/>
    <xf numFmtId="167" fontId="20" fillId="0" borderId="0"/>
    <xf numFmtId="0" fontId="7" fillId="0" borderId="0"/>
    <xf numFmtId="0" fontId="7" fillId="17" borderId="100" applyNumberFormat="0" applyFont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7" fillId="24" borderId="101" applyNumberFormat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8" fillId="0" borderId="102" applyNumberFormat="0" applyFill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7" fontId="19" fillId="0" borderId="0"/>
    <xf numFmtId="0" fontId="76" fillId="0" borderId="0"/>
    <xf numFmtId="0" fontId="4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86" fillId="0" borderId="0"/>
    <xf numFmtId="164" fontId="105" fillId="0" borderId="0" applyFont="0" applyFill="0" applyBorder="0" applyAlignment="0" applyProtection="0"/>
    <xf numFmtId="0" fontId="116" fillId="0" borderId="0"/>
    <xf numFmtId="0" fontId="116" fillId="0" borderId="0"/>
    <xf numFmtId="208" fontId="7" fillId="0" borderId="0"/>
    <xf numFmtId="0" fontId="3" fillId="0" borderId="0"/>
    <xf numFmtId="174" fontId="19" fillId="0" borderId="0"/>
    <xf numFmtId="167" fontId="19" fillId="0" borderId="0"/>
    <xf numFmtId="0" fontId="116" fillId="0" borderId="0"/>
    <xf numFmtId="0" fontId="2" fillId="0" borderId="0"/>
    <xf numFmtId="0" fontId="2" fillId="0" borderId="0"/>
    <xf numFmtId="208" fontId="7" fillId="0" borderId="0"/>
    <xf numFmtId="165" fontId="7" fillId="0" borderId="0" applyFont="0" applyFill="0" applyBorder="0" applyAlignment="0" applyProtection="0"/>
    <xf numFmtId="167" fontId="19" fillId="0" borderId="0"/>
    <xf numFmtId="208" fontId="7" fillId="0" borderId="0"/>
    <xf numFmtId="43" fontId="7" fillId="0" borderId="0" applyFont="0" applyFill="0" applyBorder="0" applyAlignment="0" applyProtection="0"/>
    <xf numFmtId="208" fontId="17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297">
    <xf numFmtId="167" fontId="9" fillId="0" borderId="0" xfId="0" applyFont="1"/>
    <xf numFmtId="165" fontId="7" fillId="0" borderId="2" xfId="21" applyFont="1" applyBorder="1" applyAlignment="1">
      <alignment horizontal="right" vertical="top" wrapText="1"/>
    </xf>
    <xf numFmtId="0" fontId="7" fillId="0" borderId="2" xfId="17" applyBorder="1" applyAlignment="1">
      <alignment horizontal="center" vertical="top" wrapText="1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top"/>
    </xf>
    <xf numFmtId="167" fontId="7" fillId="0" borderId="0" xfId="0" applyFont="1" applyAlignment="1">
      <alignment horizontal="center" vertical="center" wrapText="1"/>
    </xf>
    <xf numFmtId="167" fontId="26" fillId="0" borderId="0" xfId="0" applyFont="1" applyAlignment="1">
      <alignment horizontal="center" vertical="center" wrapText="1"/>
    </xf>
    <xf numFmtId="167" fontId="7" fillId="0" borderId="21" xfId="0" applyFont="1" applyBorder="1" applyAlignment="1">
      <alignment horizontal="center" vertical="center" wrapText="1"/>
    </xf>
    <xf numFmtId="167" fontId="7" fillId="0" borderId="2" xfId="0" applyFont="1" applyBorder="1" applyAlignment="1">
      <alignment horizontal="center" vertical="center" wrapText="1"/>
    </xf>
    <xf numFmtId="167" fontId="8" fillId="0" borderId="0" xfId="0" applyFont="1" applyAlignment="1">
      <alignment horizontal="center" vertical="center" wrapText="1"/>
    </xf>
    <xf numFmtId="167" fontId="14" fillId="0" borderId="0" xfId="0" applyFont="1" applyAlignment="1">
      <alignment horizontal="center" vertical="center" wrapText="1"/>
    </xf>
    <xf numFmtId="167" fontId="8" fillId="9" borderId="2" xfId="0" applyFont="1" applyFill="1" applyBorder="1" applyAlignment="1">
      <alignment horizontal="center" vertical="center" wrapText="1"/>
    </xf>
    <xf numFmtId="167" fontId="7" fillId="9" borderId="24" xfId="0" applyFont="1" applyFill="1" applyBorder="1" applyAlignment="1">
      <alignment horizontal="center" vertical="center" wrapText="1"/>
    </xf>
    <xf numFmtId="39" fontId="8" fillId="0" borderId="0" xfId="0" applyNumberFormat="1" applyFont="1" applyAlignment="1">
      <alignment horizontal="center" vertical="center" wrapText="1"/>
    </xf>
    <xf numFmtId="37" fontId="7" fillId="0" borderId="0" xfId="0" applyNumberFormat="1" applyFont="1" applyAlignment="1">
      <alignment horizontal="center" vertical="center" wrapText="1"/>
    </xf>
    <xf numFmtId="39" fontId="26" fillId="0" borderId="0" xfId="0" applyNumberFormat="1" applyFont="1" applyAlignment="1">
      <alignment horizontal="center" vertical="center" wrapText="1"/>
    </xf>
    <xf numFmtId="37" fontId="13" fillId="0" borderId="0" xfId="0" applyNumberFormat="1" applyFont="1" applyAlignment="1">
      <alignment horizontal="center" vertical="center" wrapText="1"/>
    </xf>
    <xf numFmtId="37" fontId="14" fillId="0" borderId="26" xfId="0" applyNumberFormat="1" applyFont="1" applyBorder="1" applyAlignment="1">
      <alignment horizontal="center" vertical="center" wrapText="1"/>
    </xf>
    <xf numFmtId="37" fontId="7" fillId="0" borderId="2" xfId="0" applyNumberFormat="1" applyFont="1" applyBorder="1" applyAlignment="1">
      <alignment horizontal="center" vertical="center" wrapText="1"/>
    </xf>
    <xf numFmtId="39" fontId="7" fillId="0" borderId="19" xfId="0" applyNumberFormat="1" applyFont="1" applyBorder="1" applyAlignment="1">
      <alignment horizontal="center" vertical="center" wrapText="1"/>
    </xf>
    <xf numFmtId="40" fontId="7" fillId="0" borderId="0" xfId="0" applyNumberFormat="1" applyFont="1"/>
    <xf numFmtId="167" fontId="7" fillId="0" borderId="0" xfId="0" applyFont="1"/>
    <xf numFmtId="37" fontId="7" fillId="0" borderId="0" xfId="23422" applyNumberFormat="1" applyFont="1"/>
    <xf numFmtId="40" fontId="7" fillId="0" borderId="0" xfId="23422" applyFont="1"/>
    <xf numFmtId="38" fontId="7" fillId="0" borderId="0" xfId="23422" applyNumberFormat="1" applyFont="1"/>
    <xf numFmtId="40" fontId="7" fillId="0" borderId="0" xfId="23422" applyFont="1" applyAlignment="1">
      <alignment horizontal="center"/>
    </xf>
    <xf numFmtId="4" fontId="7" fillId="0" borderId="0" xfId="23422" applyNumberFormat="1" applyFont="1"/>
    <xf numFmtId="167" fontId="7" fillId="0" borderId="0" xfId="23422" applyNumberFormat="1" applyFont="1"/>
    <xf numFmtId="167" fontId="8" fillId="0" borderId="0" xfId="23422" applyNumberFormat="1" applyFont="1"/>
    <xf numFmtId="181" fontId="7" fillId="0" borderId="0" xfId="23422" applyNumberFormat="1" applyFont="1"/>
    <xf numFmtId="174" fontId="7" fillId="0" borderId="0" xfId="23422" applyNumberFormat="1" applyFont="1"/>
    <xf numFmtId="40" fontId="7" fillId="0" borderId="0" xfId="0" applyNumberFormat="1" applyFont="1" applyAlignment="1">
      <alignment vertical="center"/>
    </xf>
    <xf numFmtId="40" fontId="7" fillId="0" borderId="0" xfId="23422" applyFont="1" applyAlignment="1">
      <alignment vertical="center"/>
    </xf>
    <xf numFmtId="40" fontId="7" fillId="0" borderId="0" xfId="23422" applyFont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167" fontId="7" fillId="0" borderId="0" xfId="0" applyFont="1" applyAlignment="1">
      <alignment vertical="center"/>
    </xf>
    <xf numFmtId="37" fontId="59" fillId="0" borderId="0" xfId="23422" applyNumberFormat="1" applyFont="1" applyAlignment="1">
      <alignment horizontal="left" vertical="center"/>
    </xf>
    <xf numFmtId="40" fontId="8" fillId="0" borderId="0" xfId="23422" applyFont="1" applyAlignment="1">
      <alignment horizontal="right" vertical="center"/>
    </xf>
    <xf numFmtId="40" fontId="8" fillId="0" borderId="0" xfId="23422" applyFont="1" applyAlignment="1">
      <alignment horizontal="centerContinuous" vertical="center"/>
    </xf>
    <xf numFmtId="40" fontId="7" fillId="0" borderId="0" xfId="23422" applyFont="1" applyAlignment="1">
      <alignment horizontal="centerContinuous" vertical="center"/>
    </xf>
    <xf numFmtId="40" fontId="17" fillId="0" borderId="0" xfId="23422" applyFont="1" applyAlignment="1">
      <alignment horizontal="centerContinuous" vertical="center"/>
    </xf>
    <xf numFmtId="37" fontId="7" fillId="0" borderId="0" xfId="23422" applyNumberFormat="1" applyFont="1" applyAlignment="1">
      <alignment vertical="center"/>
    </xf>
    <xf numFmtId="38" fontId="7" fillId="0" borderId="0" xfId="23422" applyNumberFormat="1" applyFont="1" applyAlignment="1">
      <alignment horizontal="center" vertical="center"/>
    </xf>
    <xf numFmtId="167" fontId="61" fillId="0" borderId="0" xfId="0" applyFont="1" applyAlignment="1">
      <alignment horizontal="center" vertical="center"/>
    </xf>
    <xf numFmtId="0" fontId="61" fillId="0" borderId="0" xfId="0" applyNumberFormat="1" applyFont="1" applyAlignment="1">
      <alignment horizontal="center" vertical="center"/>
    </xf>
    <xf numFmtId="167" fontId="61" fillId="0" borderId="0" xfId="0" applyFont="1" applyAlignment="1">
      <alignment vertical="center"/>
    </xf>
    <xf numFmtId="167" fontId="7" fillId="0" borderId="0" xfId="0" applyFont="1" applyAlignment="1">
      <alignment horizontal="left" vertical="center"/>
    </xf>
    <xf numFmtId="167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left" vertical="center"/>
    </xf>
    <xf numFmtId="174" fontId="7" fillId="0" borderId="0" xfId="23422" applyNumberFormat="1" applyFont="1" applyAlignment="1">
      <alignment horizontal="fill" vertical="center"/>
    </xf>
    <xf numFmtId="38" fontId="8" fillId="0" borderId="0" xfId="23422" applyNumberFormat="1" applyFont="1" applyAlignment="1">
      <alignment horizontal="center" vertical="center"/>
    </xf>
    <xf numFmtId="167" fontId="12" fillId="0" borderId="0" xfId="0" applyFont="1" applyAlignment="1">
      <alignment horizontal="center" vertical="center"/>
    </xf>
    <xf numFmtId="37" fontId="22" fillId="0" borderId="0" xfId="23422" applyNumberFormat="1" applyFont="1" applyAlignment="1">
      <alignment horizontal="right" vertical="top"/>
    </xf>
    <xf numFmtId="40" fontId="8" fillId="0" borderId="0" xfId="23422" applyFont="1" applyAlignment="1">
      <alignment horizontal="left" vertical="center"/>
    </xf>
    <xf numFmtId="40" fontId="8" fillId="32" borderId="64" xfId="23422" applyFont="1" applyFill="1" applyBorder="1" applyAlignment="1">
      <alignment horizontal="centerContinuous" vertical="center"/>
    </xf>
    <xf numFmtId="40" fontId="8" fillId="32" borderId="59" xfId="23422" applyFont="1" applyFill="1" applyBorder="1" applyAlignment="1">
      <alignment horizontal="centerContinuous" vertical="center"/>
    </xf>
    <xf numFmtId="40" fontId="8" fillId="32" borderId="65" xfId="23422" applyFont="1" applyFill="1" applyBorder="1" applyAlignment="1">
      <alignment horizontal="centerContinuous" vertical="center"/>
    </xf>
    <xf numFmtId="38" fontId="7" fillId="0" borderId="0" xfId="23422" applyNumberFormat="1" applyFont="1" applyAlignment="1">
      <alignment horizontal="left" vertical="center"/>
    </xf>
    <xf numFmtId="38" fontId="7" fillId="0" borderId="0" xfId="23422" applyNumberFormat="1" applyFont="1" applyAlignment="1">
      <alignment vertical="center"/>
    </xf>
    <xf numFmtId="0" fontId="30" fillId="0" borderId="0" xfId="0" applyNumberFormat="1" applyFont="1" applyAlignment="1" applyProtection="1">
      <alignment horizontal="center" vertical="center"/>
      <protection locked="0"/>
    </xf>
    <xf numFmtId="167" fontId="8" fillId="0" borderId="0" xfId="0" applyFont="1" applyAlignment="1" applyProtection="1">
      <alignment horizontal="center" vertical="center"/>
      <protection locked="0"/>
    </xf>
    <xf numFmtId="167" fontId="31" fillId="0" borderId="0" xfId="0" applyFont="1" applyAlignment="1" applyProtection="1">
      <alignment horizontal="center" vertical="center"/>
      <protection locked="0"/>
    </xf>
    <xf numFmtId="39" fontId="31" fillId="0" borderId="0" xfId="0" applyNumberFormat="1" applyFont="1" applyAlignment="1" applyProtection="1">
      <alignment horizontal="center" vertical="center"/>
      <protection locked="0"/>
    </xf>
    <xf numFmtId="167" fontId="7" fillId="0" borderId="0" xfId="0" applyFont="1" applyAlignment="1" applyProtection="1">
      <alignment horizontal="center" vertical="center"/>
      <protection locked="0"/>
    </xf>
    <xf numFmtId="167" fontId="30" fillId="0" borderId="0" xfId="0" applyFont="1" applyAlignment="1" applyProtection="1">
      <alignment horizontal="center" vertical="center"/>
      <protection locked="0"/>
    </xf>
    <xf numFmtId="167" fontId="29" fillId="0" borderId="0" xfId="0" applyFont="1" applyAlignment="1" applyProtection="1">
      <alignment horizontal="center" vertical="center"/>
      <protection locked="0"/>
    </xf>
    <xf numFmtId="39" fontId="29" fillId="0" borderId="0" xfId="0" applyNumberFormat="1" applyFont="1" applyAlignment="1" applyProtection="1">
      <alignment horizontal="center" vertical="center"/>
      <protection locked="0"/>
    </xf>
    <xf numFmtId="0" fontId="7" fillId="0" borderId="0" xfId="0" applyNumberFormat="1" applyFont="1" applyAlignment="1" applyProtection="1">
      <alignment horizontal="center" vertical="center"/>
      <protection locked="0"/>
    </xf>
    <xf numFmtId="37" fontId="26" fillId="0" borderId="0" xfId="0" applyNumberFormat="1" applyFont="1" applyAlignment="1">
      <alignment horizontal="center" vertical="center" wrapText="1"/>
    </xf>
    <xf numFmtId="169" fontId="63" fillId="0" borderId="0" xfId="0" applyNumberFormat="1" applyFont="1" applyAlignment="1">
      <alignment horizontal="right"/>
    </xf>
    <xf numFmtId="37" fontId="64" fillId="0" borderId="0" xfId="0" applyNumberFormat="1" applyFont="1" applyAlignment="1">
      <alignment horizontal="center" vertical="center"/>
    </xf>
    <xf numFmtId="39" fontId="7" fillId="0" borderId="0" xfId="0" applyNumberFormat="1" applyFont="1" applyAlignment="1" applyProtection="1">
      <alignment horizontal="center"/>
      <protection locked="0"/>
    </xf>
    <xf numFmtId="167" fontId="8" fillId="0" borderId="0" xfId="0" applyFont="1" applyAlignment="1" applyProtection="1">
      <alignment vertical="center"/>
      <protection locked="0"/>
    </xf>
    <xf numFmtId="167" fontId="7" fillId="0" borderId="0" xfId="0" applyFont="1" applyAlignment="1" applyProtection="1">
      <alignment horizontal="center"/>
      <protection locked="0"/>
    </xf>
    <xf numFmtId="37" fontId="7" fillId="0" borderId="0" xfId="0" applyNumberFormat="1" applyFont="1" applyAlignment="1" applyProtection="1">
      <alignment horizontal="center"/>
      <protection locked="0"/>
    </xf>
    <xf numFmtId="167" fontId="0" fillId="0" borderId="0" xfId="0" applyProtection="1">
      <protection locked="0"/>
    </xf>
    <xf numFmtId="38" fontId="7" fillId="0" borderId="0" xfId="0" applyNumberFormat="1" applyFont="1" applyAlignment="1">
      <alignment vertical="center"/>
    </xf>
    <xf numFmtId="38" fontId="16" fillId="0" borderId="0" xfId="0" applyNumberFormat="1" applyFont="1" applyAlignment="1">
      <alignment vertical="center"/>
    </xf>
    <xf numFmtId="40" fontId="9" fillId="0" borderId="0" xfId="0" applyNumberFormat="1" applyFont="1" applyAlignment="1">
      <alignment vertical="center"/>
    </xf>
    <xf numFmtId="40" fontId="9" fillId="0" borderId="0" xfId="0" applyNumberFormat="1" applyFont="1" applyAlignment="1">
      <alignment horizontal="right" vertical="center"/>
    </xf>
    <xf numFmtId="37" fontId="10" fillId="0" borderId="0" xfId="23422" applyNumberFormat="1" applyFont="1" applyAlignment="1">
      <alignment horizontal="left" vertical="center"/>
    </xf>
    <xf numFmtId="38" fontId="7" fillId="0" borderId="0" xfId="0" applyNumberFormat="1" applyFont="1" applyAlignment="1">
      <alignment horizontal="right" vertical="center"/>
    </xf>
    <xf numFmtId="38" fontId="16" fillId="0" borderId="0" xfId="0" applyNumberFormat="1" applyFont="1" applyAlignment="1">
      <alignment horizontal="left" vertical="center"/>
    </xf>
    <xf numFmtId="38" fontId="8" fillId="0" borderId="0" xfId="0" applyNumberFormat="1" applyFont="1" applyAlignment="1">
      <alignment horizontal="center" vertical="center"/>
    </xf>
    <xf numFmtId="38" fontId="16" fillId="0" borderId="0" xfId="0" applyNumberFormat="1" applyFont="1" applyAlignment="1">
      <alignment horizontal="center" vertical="center"/>
    </xf>
    <xf numFmtId="167" fontId="9" fillId="0" borderId="0" xfId="0" applyFont="1" applyAlignment="1">
      <alignment horizontal="left" vertical="center"/>
    </xf>
    <xf numFmtId="38" fontId="7" fillId="0" borderId="0" xfId="0" applyNumberFormat="1" applyFont="1"/>
    <xf numFmtId="38" fontId="16" fillId="0" borderId="0" xfId="0" applyNumberFormat="1" applyFont="1"/>
    <xf numFmtId="40" fontId="16" fillId="0" borderId="0" xfId="0" applyNumberFormat="1" applyFont="1" applyAlignment="1">
      <alignment horizontal="center"/>
    </xf>
    <xf numFmtId="38" fontId="16" fillId="0" borderId="68" xfId="0" applyNumberFormat="1" applyFont="1" applyBorder="1" applyAlignment="1">
      <alignment horizontal="centerContinuous" vertical="center"/>
    </xf>
    <xf numFmtId="38" fontId="16" fillId="0" borderId="74" xfId="0" applyNumberFormat="1" applyFont="1" applyBorder="1" applyAlignment="1">
      <alignment horizontal="center" vertical="center"/>
    </xf>
    <xf numFmtId="38" fontId="16" fillId="0" borderId="74" xfId="0" applyNumberFormat="1" applyFont="1" applyBorder="1" applyAlignment="1">
      <alignment horizontal="centerContinuous" vertical="center"/>
    </xf>
    <xf numFmtId="40" fontId="16" fillId="0" borderId="19" xfId="0" applyNumberFormat="1" applyFont="1" applyBorder="1" applyAlignment="1">
      <alignment horizontal="center" vertical="center"/>
    </xf>
    <xf numFmtId="40" fontId="9" fillId="0" borderId="0" xfId="0" applyNumberFormat="1" applyFont="1"/>
    <xf numFmtId="0" fontId="10" fillId="0" borderId="0" xfId="11593" applyFont="1" applyAlignment="1">
      <alignment horizontal="justify" vertical="center"/>
    </xf>
    <xf numFmtId="0" fontId="12" fillId="0" borderId="0" xfId="11593" applyFont="1" applyAlignment="1">
      <alignment horizontal="justify" vertical="center"/>
    </xf>
    <xf numFmtId="0" fontId="12" fillId="0" borderId="0" xfId="11593" applyFont="1" applyAlignment="1">
      <alignment horizontal="center" vertical="center"/>
    </xf>
    <xf numFmtId="0" fontId="12" fillId="0" borderId="0" xfId="11593" applyFont="1" applyAlignment="1">
      <alignment vertical="center"/>
    </xf>
    <xf numFmtId="0" fontId="7" fillId="0" borderId="0" xfId="11593"/>
    <xf numFmtId="0" fontId="7" fillId="0" borderId="0" xfId="11593" applyAlignment="1">
      <alignment horizontal="center"/>
    </xf>
    <xf numFmtId="0" fontId="15" fillId="0" borderId="0" xfId="11593" applyFont="1"/>
    <xf numFmtId="0" fontId="7" fillId="0" borderId="0" xfId="11593" applyAlignment="1">
      <alignment horizontal="centerContinuous"/>
    </xf>
    <xf numFmtId="0" fontId="15" fillId="0" borderId="0" xfId="11593" applyFont="1" applyAlignment="1">
      <alignment horizontal="centerContinuous"/>
    </xf>
    <xf numFmtId="167" fontId="20" fillId="0" borderId="11" xfId="11464" applyNumberFormat="1" applyBorder="1"/>
    <xf numFmtId="167" fontId="20" fillId="0" borderId="0" xfId="11464" applyNumberFormat="1"/>
    <xf numFmtId="167" fontId="22" fillId="0" borderId="0" xfId="11464" applyNumberFormat="1" applyFont="1" applyAlignment="1">
      <alignment vertical="center"/>
    </xf>
    <xf numFmtId="9" fontId="22" fillId="0" borderId="0" xfId="22756" applyFont="1" applyAlignment="1">
      <alignment horizontal="center" vertical="center"/>
    </xf>
    <xf numFmtId="37" fontId="23" fillId="34" borderId="35" xfId="11464" applyNumberFormat="1" applyFont="1" applyFill="1" applyBorder="1" applyAlignment="1">
      <alignment horizontal="center" vertical="center"/>
    </xf>
    <xf numFmtId="37" fontId="23" fillId="34" borderId="36" xfId="11464" applyNumberFormat="1" applyFont="1" applyFill="1" applyBorder="1" applyAlignment="1">
      <alignment horizontal="center" vertical="center"/>
    </xf>
    <xf numFmtId="167" fontId="20" fillId="11" borderId="0" xfId="11464" applyNumberFormat="1" applyFill="1" applyAlignment="1">
      <alignment vertical="center"/>
    </xf>
    <xf numFmtId="167" fontId="20" fillId="0" borderId="0" xfId="11464" applyNumberFormat="1" applyAlignment="1">
      <alignment vertical="center"/>
    </xf>
    <xf numFmtId="37" fontId="23" fillId="34" borderId="17" xfId="11464" applyNumberFormat="1" applyFont="1" applyFill="1" applyBorder="1" applyAlignment="1">
      <alignment horizontal="center" vertical="center"/>
    </xf>
    <xf numFmtId="37" fontId="23" fillId="34" borderId="38" xfId="11464" applyNumberFormat="1" applyFont="1" applyFill="1" applyBorder="1" applyAlignment="1">
      <alignment horizontal="center" vertical="center"/>
    </xf>
    <xf numFmtId="167" fontId="14" fillId="11" borderId="0" xfId="11464" applyNumberFormat="1" applyFont="1" applyFill="1" applyAlignment="1">
      <alignment horizontal="center" vertical="center"/>
    </xf>
    <xf numFmtId="167" fontId="14" fillId="0" borderId="0" xfId="11464" applyNumberFormat="1" applyFont="1" applyAlignment="1">
      <alignment horizontal="center" vertical="center"/>
    </xf>
    <xf numFmtId="39" fontId="8" fillId="0" borderId="75" xfId="11464" applyNumberFormat="1" applyFont="1" applyBorder="1" applyAlignment="1">
      <alignment horizontal="right" vertical="center" wrapText="1"/>
    </xf>
    <xf numFmtId="9" fontId="8" fillId="0" borderId="79" xfId="22756" applyFont="1" applyBorder="1" applyAlignment="1">
      <alignment horizontal="center" vertical="center" wrapText="1"/>
    </xf>
    <xf numFmtId="164" fontId="8" fillId="0" borderId="80" xfId="10257" applyNumberFormat="1" applyFont="1" applyBorder="1" applyAlignment="1">
      <alignment horizontal="center" vertical="center"/>
    </xf>
    <xf numFmtId="167" fontId="8" fillId="11" borderId="0" xfId="11464" applyNumberFormat="1" applyFont="1" applyFill="1" applyAlignment="1">
      <alignment horizontal="center" vertical="center"/>
    </xf>
    <xf numFmtId="167" fontId="8" fillId="0" borderId="0" xfId="11464" applyNumberFormat="1" applyFont="1" applyAlignment="1">
      <alignment horizontal="center" vertical="center"/>
    </xf>
    <xf numFmtId="10" fontId="8" fillId="0" borderId="82" xfId="22756" applyNumberFormat="1" applyFont="1" applyBorder="1" applyAlignment="1">
      <alignment horizontal="center" vertical="center"/>
    </xf>
    <xf numFmtId="164" fontId="8" fillId="0" borderId="83" xfId="10257" applyNumberFormat="1" applyFont="1" applyBorder="1" applyAlignment="1">
      <alignment horizontal="center" vertical="center"/>
    </xf>
    <xf numFmtId="164" fontId="8" fillId="0" borderId="84" xfId="10257" applyNumberFormat="1" applyFont="1" applyBorder="1" applyAlignment="1">
      <alignment horizontal="center" vertical="center"/>
    </xf>
    <xf numFmtId="167" fontId="8" fillId="0" borderId="0" xfId="11464" applyNumberFormat="1" applyFont="1" applyAlignment="1">
      <alignment vertical="center"/>
    </xf>
    <xf numFmtId="164" fontId="14" fillId="34" borderId="88" xfId="10257" applyNumberFormat="1" applyFont="1" applyFill="1" applyBorder="1" applyAlignment="1">
      <alignment vertical="center"/>
    </xf>
    <xf numFmtId="40" fontId="14" fillId="35" borderId="89" xfId="24092" applyFont="1" applyFill="1" applyBorder="1" applyAlignment="1">
      <alignment vertical="center"/>
    </xf>
    <xf numFmtId="40" fontId="14" fillId="35" borderId="85" xfId="24092" applyFont="1" applyFill="1" applyBorder="1" applyAlignment="1">
      <alignment vertical="center"/>
    </xf>
    <xf numFmtId="9" fontId="20" fillId="11" borderId="0" xfId="22756" applyFont="1" applyFill="1" applyAlignment="1">
      <alignment horizontal="center" vertical="center"/>
    </xf>
    <xf numFmtId="9" fontId="20" fillId="0" borderId="0" xfId="22756" applyFont="1" applyAlignment="1">
      <alignment horizontal="center"/>
    </xf>
    <xf numFmtId="0" fontId="13" fillId="0" borderId="0" xfId="11593" applyFont="1" applyAlignment="1">
      <alignment horizontal="right" vertical="top"/>
    </xf>
    <xf numFmtId="167" fontId="66" fillId="0" borderId="0" xfId="11464" applyNumberFormat="1" applyFont="1"/>
    <xf numFmtId="40" fontId="8" fillId="34" borderId="36" xfId="23422" applyFont="1" applyFill="1" applyBorder="1" applyAlignment="1">
      <alignment horizontal="center" vertical="center"/>
    </xf>
    <xf numFmtId="165" fontId="7" fillId="0" borderId="2" xfId="23420" applyBorder="1" applyAlignment="1">
      <alignment horizontal="center" vertical="top" wrapText="1"/>
    </xf>
    <xf numFmtId="39" fontId="7" fillId="0" borderId="0" xfId="0" applyNumberFormat="1" applyFont="1" applyAlignment="1">
      <alignment horizontal="center" vertical="center" wrapText="1"/>
    </xf>
    <xf numFmtId="39" fontId="7" fillId="0" borderId="2" xfId="0" applyNumberFormat="1" applyFont="1" applyBorder="1" applyAlignment="1">
      <alignment horizontal="center" vertical="center" wrapText="1"/>
    </xf>
    <xf numFmtId="39" fontId="7" fillId="0" borderId="28" xfId="0" applyNumberFormat="1" applyFont="1" applyBorder="1" applyAlignment="1">
      <alignment horizontal="center" vertical="center" wrapText="1"/>
    </xf>
    <xf numFmtId="39" fontId="7" fillId="0" borderId="2" xfId="0" applyNumberFormat="1" applyFont="1" applyBorder="1" applyAlignment="1">
      <alignment horizontal="center" vertical="center"/>
    </xf>
    <xf numFmtId="39" fontId="16" fillId="0" borderId="3" xfId="0" applyNumberFormat="1" applyFont="1" applyBorder="1" applyAlignment="1">
      <alignment horizontal="center" vertical="center"/>
    </xf>
    <xf numFmtId="39" fontId="16" fillId="0" borderId="0" xfId="0" applyNumberFormat="1" applyFont="1" applyAlignment="1">
      <alignment horizontal="center" vertical="center"/>
    </xf>
    <xf numFmtId="39" fontId="16" fillId="0" borderId="4" xfId="0" applyNumberFormat="1" applyFont="1" applyBorder="1" applyAlignment="1">
      <alignment horizontal="center" vertical="center"/>
    </xf>
    <xf numFmtId="181" fontId="7" fillId="0" borderId="2" xfId="23422" applyNumberFormat="1" applyFont="1" applyBorder="1" applyAlignment="1">
      <alignment horizontal="center" vertical="center"/>
    </xf>
    <xf numFmtId="181" fontId="7" fillId="0" borderId="0" xfId="23422" applyNumberFormat="1" applyFont="1" applyAlignment="1">
      <alignment horizontal="center" vertical="center"/>
    </xf>
    <xf numFmtId="174" fontId="9" fillId="0" borderId="2" xfId="0" applyNumberFormat="1" applyFont="1" applyBorder="1" applyAlignment="1">
      <alignment horizontal="center" vertical="center"/>
    </xf>
    <xf numFmtId="174" fontId="7" fillId="0" borderId="2" xfId="0" applyNumberFormat="1" applyFont="1" applyBorder="1" applyAlignment="1">
      <alignment horizontal="center" vertical="center"/>
    </xf>
    <xf numFmtId="40" fontId="7" fillId="0" borderId="2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0" fontId="7" fillId="0" borderId="2" xfId="23422" applyFont="1" applyBorder="1" applyAlignment="1">
      <alignment horizontal="center" vertical="center"/>
    </xf>
    <xf numFmtId="174" fontId="9" fillId="0" borderId="0" xfId="0" applyNumberFormat="1" applyFont="1" applyAlignment="1">
      <alignment horizontal="center" vertical="center"/>
    </xf>
    <xf numFmtId="38" fontId="7" fillId="0" borderId="2" xfId="23422" applyNumberFormat="1" applyFont="1" applyBorder="1" applyAlignment="1">
      <alignment horizontal="center" vertical="center"/>
    </xf>
    <xf numFmtId="174" fontId="9" fillId="0" borderId="0" xfId="23422" applyNumberFormat="1" applyFont="1" applyAlignment="1">
      <alignment vertical="center"/>
    </xf>
    <xf numFmtId="40" fontId="64" fillId="0" borderId="0" xfId="23422" applyFont="1" applyAlignment="1">
      <alignment vertical="center"/>
    </xf>
    <xf numFmtId="38" fontId="65" fillId="0" borderId="0" xfId="0" applyNumberFormat="1" applyFont="1" applyAlignment="1">
      <alignment horizontal="center" vertical="center"/>
    </xf>
    <xf numFmtId="37" fontId="9" fillId="0" borderId="2" xfId="0" applyNumberFormat="1" applyFont="1" applyBorder="1" applyAlignment="1">
      <alignment horizontal="center" vertical="center"/>
    </xf>
    <xf numFmtId="37" fontId="9" fillId="0" borderId="0" xfId="0" applyNumberFormat="1" applyFont="1" applyAlignment="1">
      <alignment horizontal="center" vertical="center"/>
    </xf>
    <xf numFmtId="37" fontId="9" fillId="0" borderId="4" xfId="0" applyNumberFormat="1" applyFont="1" applyBorder="1" applyAlignment="1">
      <alignment horizontal="center" vertical="center"/>
    </xf>
    <xf numFmtId="40" fontId="16" fillId="0" borderId="2" xfId="0" applyNumberFormat="1" applyFont="1" applyBorder="1" applyAlignment="1">
      <alignment horizontal="center" vertical="center"/>
    </xf>
    <xf numFmtId="37" fontId="13" fillId="0" borderId="26" xfId="0" applyNumberFormat="1" applyFont="1" applyBorder="1" applyAlignment="1">
      <alignment horizontal="center" vertical="center" wrapText="1"/>
    </xf>
    <xf numFmtId="9" fontId="7" fillId="0" borderId="2" xfId="19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183" fontId="8" fillId="9" borderId="2" xfId="0" applyNumberFormat="1" applyFont="1" applyFill="1" applyBorder="1" applyAlignment="1">
      <alignment horizontal="center" vertical="center" wrapText="1"/>
    </xf>
    <xf numFmtId="39" fontId="8" fillId="9" borderId="2" xfId="0" applyNumberFormat="1" applyFont="1" applyFill="1" applyBorder="1" applyAlignment="1">
      <alignment horizontal="center" vertical="center" wrapText="1"/>
    </xf>
    <xf numFmtId="167" fontId="8" fillId="0" borderId="0" xfId="0" applyFont="1" applyAlignment="1">
      <alignment horizontal="center" vertical="center"/>
    </xf>
    <xf numFmtId="167" fontId="7" fillId="8" borderId="2" xfId="0" applyFont="1" applyFill="1" applyBorder="1" applyAlignment="1">
      <alignment horizontal="center" vertical="center" wrapText="1"/>
    </xf>
    <xf numFmtId="167" fontId="68" fillId="36" borderId="0" xfId="11464" applyNumberFormat="1" applyFont="1" applyFill="1" applyAlignment="1">
      <alignment horizontal="right" vertical="center"/>
    </xf>
    <xf numFmtId="0" fontId="13" fillId="0" borderId="0" xfId="11593" applyFont="1" applyAlignment="1">
      <alignment horizontal="left" vertical="top"/>
    </xf>
    <xf numFmtId="40" fontId="16" fillId="0" borderId="105" xfId="0" applyNumberFormat="1" applyFont="1" applyBorder="1" applyAlignment="1">
      <alignment horizontal="center" vertical="center"/>
    </xf>
    <xf numFmtId="167" fontId="7" fillId="0" borderId="0" xfId="41054" applyFont="1" applyProtection="1">
      <protection locked="0"/>
    </xf>
    <xf numFmtId="167" fontId="7" fillId="0" borderId="0" xfId="41054" applyFont="1" applyAlignment="1" applyProtection="1">
      <alignment horizontal="center" vertical="center" wrapText="1"/>
      <protection locked="0"/>
    </xf>
    <xf numFmtId="182" fontId="7" fillId="0" borderId="0" xfId="41054" applyNumberFormat="1" applyFont="1" applyAlignment="1" applyProtection="1">
      <alignment horizontal="center" vertical="center" wrapText="1"/>
      <protection locked="0"/>
    </xf>
    <xf numFmtId="37" fontId="7" fillId="0" borderId="0" xfId="41054" applyNumberFormat="1" applyFont="1" applyAlignment="1" applyProtection="1">
      <alignment horizontal="center" vertical="center" wrapText="1"/>
      <protection locked="0"/>
    </xf>
    <xf numFmtId="182" fontId="7" fillId="0" borderId="0" xfId="41054" applyNumberFormat="1" applyFont="1" applyAlignment="1">
      <alignment horizontal="center" vertical="center" wrapText="1"/>
    </xf>
    <xf numFmtId="167" fontId="8" fillId="0" borderId="0" xfId="41054" applyFont="1" applyAlignment="1" applyProtection="1">
      <alignment horizontal="center" vertical="center"/>
      <protection locked="0"/>
    </xf>
    <xf numFmtId="167" fontId="7" fillId="0" borderId="0" xfId="41054" applyFont="1" applyAlignment="1" applyProtection="1">
      <alignment vertical="center" wrapText="1"/>
      <protection locked="0"/>
    </xf>
    <xf numFmtId="167" fontId="7" fillId="0" borderId="0" xfId="41054" applyFont="1" applyAlignment="1" applyProtection="1">
      <alignment wrapText="1"/>
      <protection locked="0"/>
    </xf>
    <xf numFmtId="186" fontId="7" fillId="0" borderId="0" xfId="41054" applyNumberFormat="1" applyFont="1" applyAlignment="1">
      <alignment horizontal="center" vertical="center" wrapText="1"/>
    </xf>
    <xf numFmtId="0" fontId="13" fillId="0" borderId="0" xfId="11593" applyFont="1" applyAlignment="1">
      <alignment vertical="top" wrapText="1"/>
    </xf>
    <xf numFmtId="0" fontId="13" fillId="0" borderId="118" xfId="11593" applyFont="1" applyBorder="1" applyAlignment="1">
      <alignment vertical="top" wrapText="1"/>
    </xf>
    <xf numFmtId="40" fontId="8" fillId="34" borderId="106" xfId="23422" applyFont="1" applyFill="1" applyBorder="1" applyAlignment="1">
      <alignment horizontal="center" vertical="center"/>
    </xf>
    <xf numFmtId="167" fontId="14" fillId="34" borderId="119" xfId="11464" applyNumberFormat="1" applyFont="1" applyFill="1" applyBorder="1" applyAlignment="1">
      <alignment vertical="center"/>
    </xf>
    <xf numFmtId="167" fontId="14" fillId="34" borderId="124" xfId="11464" applyNumberFormat="1" applyFont="1" applyFill="1" applyBorder="1" applyAlignment="1">
      <alignment vertical="center"/>
    </xf>
    <xf numFmtId="167" fontId="14" fillId="34" borderId="125" xfId="11464" applyNumberFormat="1" applyFont="1" applyFill="1" applyBorder="1" applyAlignment="1">
      <alignment vertical="center"/>
    </xf>
    <xf numFmtId="164" fontId="14" fillId="34" borderId="126" xfId="10257" applyNumberFormat="1" applyFont="1" applyFill="1" applyBorder="1" applyAlignment="1">
      <alignment vertical="center"/>
    </xf>
    <xf numFmtId="9" fontId="14" fillId="34" borderId="88" xfId="19" applyFont="1" applyFill="1" applyBorder="1" applyAlignment="1">
      <alignment vertical="center"/>
    </xf>
    <xf numFmtId="167" fontId="14" fillId="34" borderId="120" xfId="11464" applyNumberFormat="1" applyFont="1" applyFill="1" applyBorder="1" applyAlignment="1">
      <alignment vertical="center"/>
    </xf>
    <xf numFmtId="184" fontId="8" fillId="34" borderId="110" xfId="22756" applyNumberFormat="1" applyFont="1" applyFill="1" applyBorder="1" applyAlignment="1">
      <alignment horizontal="center" vertical="center" wrapText="1"/>
    </xf>
    <xf numFmtId="9" fontId="8" fillId="34" borderId="89" xfId="22756" applyFont="1" applyFill="1" applyBorder="1" applyAlignment="1">
      <alignment horizontal="center" vertical="center" wrapText="1"/>
    </xf>
    <xf numFmtId="10" fontId="8" fillId="34" borderId="19" xfId="19" applyNumberFormat="1" applyFont="1" applyFill="1" applyBorder="1" applyAlignment="1">
      <alignment horizontal="center" vertical="center"/>
    </xf>
    <xf numFmtId="39" fontId="14" fillId="0" borderId="71" xfId="0" applyNumberFormat="1" applyFont="1" applyBorder="1" applyAlignment="1">
      <alignment horizontal="center" vertical="center" wrapText="1"/>
    </xf>
    <xf numFmtId="37" fontId="14" fillId="0" borderId="71" xfId="0" applyNumberFormat="1" applyFont="1" applyBorder="1" applyAlignment="1">
      <alignment horizontal="center" vertical="center" wrapText="1"/>
    </xf>
    <xf numFmtId="0" fontId="24" fillId="0" borderId="0" xfId="11593" applyFont="1" applyAlignment="1">
      <alignment horizontal="left" vertical="center"/>
    </xf>
    <xf numFmtId="167" fontId="8" fillId="9" borderId="19" xfId="0" applyFont="1" applyFill="1" applyBorder="1" applyAlignment="1">
      <alignment horizontal="center" vertical="center" wrapText="1"/>
    </xf>
    <xf numFmtId="167" fontId="26" fillId="0" borderId="0" xfId="0" applyFont="1" applyAlignment="1" applyProtection="1">
      <alignment horizontal="center" vertical="center"/>
      <protection locked="0"/>
    </xf>
    <xf numFmtId="169" fontId="64" fillId="0" borderId="0" xfId="0" applyNumberFormat="1" applyFont="1" applyAlignment="1">
      <alignment horizontal="right" vertical="center"/>
    </xf>
    <xf numFmtId="0" fontId="9" fillId="0" borderId="44" xfId="0" applyNumberFormat="1" applyFont="1" applyBorder="1" applyAlignment="1" applyProtection="1">
      <alignment horizontal="left" vertical="center"/>
      <protection locked="0"/>
    </xf>
    <xf numFmtId="0" fontId="7" fillId="0" borderId="44" xfId="0" applyNumberFormat="1" applyFont="1" applyBorder="1" applyAlignment="1" applyProtection="1">
      <alignment horizontal="center" vertical="center"/>
      <protection locked="0"/>
    </xf>
    <xf numFmtId="169" fontId="9" fillId="0" borderId="0" xfId="0" applyNumberFormat="1" applyFont="1" applyAlignment="1">
      <alignment horizontal="right" vertical="center"/>
    </xf>
    <xf numFmtId="167" fontId="9" fillId="0" borderId="0" xfId="0" applyFont="1" applyAlignment="1">
      <alignment horizontal="right" vertical="center"/>
    </xf>
    <xf numFmtId="167" fontId="9" fillId="0" borderId="0" xfId="0" applyFont="1" applyAlignment="1">
      <alignment horizontal="center" vertical="center"/>
    </xf>
    <xf numFmtId="0" fontId="0" fillId="0" borderId="0" xfId="0" applyNumberFormat="1"/>
    <xf numFmtId="167" fontId="7" fillId="0" borderId="0" xfId="41054" applyFont="1" applyAlignment="1" applyProtection="1">
      <alignment horizontal="center" vertical="center"/>
      <protection locked="0"/>
    </xf>
    <xf numFmtId="182" fontId="61" fillId="0" borderId="0" xfId="41054" applyNumberFormat="1" applyFont="1" applyAlignment="1">
      <alignment horizontal="center" vertical="center"/>
    </xf>
    <xf numFmtId="186" fontId="61" fillId="0" borderId="0" xfId="41054" applyNumberFormat="1" applyFont="1" applyAlignment="1">
      <alignment horizontal="center" vertical="center"/>
    </xf>
    <xf numFmtId="39" fontId="77" fillId="0" borderId="0" xfId="41054" applyNumberFormat="1" applyFont="1" applyAlignment="1">
      <alignment horizontal="center" vertical="center"/>
    </xf>
    <xf numFmtId="0" fontId="8" fillId="0" borderId="0" xfId="0" applyNumberFormat="1" applyFont="1" applyAlignment="1">
      <alignment horizontal="center" vertical="center" wrapText="1"/>
    </xf>
    <xf numFmtId="0" fontId="7" fillId="0" borderId="0" xfId="0" applyNumberFormat="1" applyFont="1" applyAlignment="1">
      <alignment horizontal="center"/>
    </xf>
    <xf numFmtId="0" fontId="7" fillId="0" borderId="0" xfId="0" applyNumberFormat="1" applyFont="1" applyAlignment="1">
      <alignment horizontal="center" vertical="center"/>
    </xf>
    <xf numFmtId="167" fontId="7" fillId="0" borderId="0" xfId="41054" applyFont="1" applyAlignment="1" applyProtection="1">
      <alignment vertical="center"/>
      <protection locked="0"/>
    </xf>
    <xf numFmtId="0" fontId="0" fillId="0" borderId="0" xfId="0" applyNumberFormat="1" applyAlignment="1">
      <alignment vertical="center"/>
    </xf>
    <xf numFmtId="37" fontId="7" fillId="0" borderId="19" xfId="0" applyNumberFormat="1" applyFont="1" applyBorder="1" applyAlignment="1">
      <alignment horizontal="center" vertical="center" wrapText="1"/>
    </xf>
    <xf numFmtId="186" fontId="7" fillId="0" borderId="0" xfId="0" applyNumberFormat="1" applyFont="1" applyAlignment="1">
      <alignment horizontal="center" vertical="center"/>
    </xf>
    <xf numFmtId="186" fontId="7" fillId="0" borderId="0" xfId="0" applyNumberFormat="1" applyFont="1" applyAlignment="1">
      <alignment horizontal="center" vertical="center" wrapText="1"/>
    </xf>
    <xf numFmtId="167" fontId="14" fillId="10" borderId="146" xfId="0" applyFont="1" applyFill="1" applyBorder="1" applyAlignment="1">
      <alignment horizontal="center" vertical="center" wrapText="1"/>
    </xf>
    <xf numFmtId="167" fontId="14" fillId="10" borderId="26" xfId="0" applyFont="1" applyFill="1" applyBorder="1" applyAlignment="1">
      <alignment horizontal="center" vertical="center" wrapText="1"/>
    </xf>
    <xf numFmtId="186" fontId="14" fillId="10" borderId="26" xfId="0" applyNumberFormat="1" applyFont="1" applyFill="1" applyBorder="1" applyAlignment="1">
      <alignment horizontal="center" vertical="center" wrapText="1"/>
    </xf>
    <xf numFmtId="167" fontId="14" fillId="10" borderId="27" xfId="0" applyFont="1" applyFill="1" applyBorder="1" applyAlignment="1">
      <alignment horizontal="center" vertical="center" wrapText="1"/>
    </xf>
    <xf numFmtId="167" fontId="7" fillId="0" borderId="16" xfId="0" applyFont="1" applyBorder="1" applyAlignment="1">
      <alignment horizontal="center" vertical="center" wrapText="1"/>
    </xf>
    <xf numFmtId="167" fontId="7" fillId="0" borderId="13" xfId="0" applyFont="1" applyBorder="1" applyAlignment="1">
      <alignment horizontal="center" vertical="center" wrapText="1"/>
    </xf>
    <xf numFmtId="167" fontId="14" fillId="10" borderId="163" xfId="0" applyFont="1" applyFill="1" applyBorder="1" applyAlignment="1">
      <alignment horizontal="center" vertical="center" wrapText="1"/>
    </xf>
    <xf numFmtId="167" fontId="7" fillId="8" borderId="13" xfId="0" applyFont="1" applyFill="1" applyBorder="1" applyAlignment="1">
      <alignment horizontal="center" vertical="center" wrapText="1"/>
    </xf>
    <xf numFmtId="39" fontId="8" fillId="9" borderId="19" xfId="0" applyNumberFormat="1" applyFont="1" applyFill="1" applyBorder="1" applyAlignment="1">
      <alignment horizontal="center" vertical="center" wrapText="1"/>
    </xf>
    <xf numFmtId="39" fontId="14" fillId="0" borderId="70" xfId="0" applyNumberFormat="1" applyFont="1" applyBorder="1" applyAlignment="1">
      <alignment horizontal="center" vertical="center" wrapText="1"/>
    </xf>
    <xf numFmtId="167" fontId="8" fillId="9" borderId="135" xfId="0" applyFont="1" applyFill="1" applyBorder="1" applyAlignment="1">
      <alignment horizontal="center" vertical="center" wrapText="1"/>
    </xf>
    <xf numFmtId="39" fontId="7" fillId="0" borderId="135" xfId="0" applyNumberFormat="1" applyFont="1" applyBorder="1" applyAlignment="1">
      <alignment horizontal="center" vertical="center" wrapText="1"/>
    </xf>
    <xf numFmtId="37" fontId="7" fillId="0" borderId="135" xfId="0" applyNumberFormat="1" applyFont="1" applyBorder="1" applyAlignment="1">
      <alignment horizontal="center" vertical="center" wrapText="1"/>
    </xf>
    <xf numFmtId="37" fontId="14" fillId="10" borderId="27" xfId="0" applyNumberFormat="1" applyFont="1" applyFill="1" applyBorder="1" applyAlignment="1">
      <alignment horizontal="center" vertical="center" wrapText="1"/>
    </xf>
    <xf numFmtId="37" fontId="14" fillId="10" borderId="26" xfId="0" applyNumberFormat="1" applyFont="1" applyFill="1" applyBorder="1" applyAlignment="1">
      <alignment horizontal="center" vertical="center" wrapText="1"/>
    </xf>
    <xf numFmtId="165" fontId="8" fillId="0" borderId="0" xfId="0" applyNumberFormat="1" applyFont="1" applyAlignment="1">
      <alignment horizontal="right" vertical="top"/>
    </xf>
    <xf numFmtId="39" fontId="7" fillId="0" borderId="105" xfId="0" applyNumberFormat="1" applyFont="1" applyBorder="1" applyAlignment="1">
      <alignment horizontal="center" vertical="center" wrapText="1"/>
    </xf>
    <xf numFmtId="37" fontId="7" fillId="0" borderId="13" xfId="0" applyNumberFormat="1" applyFont="1" applyBorder="1" applyAlignment="1">
      <alignment horizontal="center" vertical="center" wrapText="1"/>
    </xf>
    <xf numFmtId="167" fontId="8" fillId="9" borderId="13" xfId="0" applyFont="1" applyFill="1" applyBorder="1" applyAlignment="1">
      <alignment horizontal="center" vertical="center" wrapText="1"/>
    </xf>
    <xf numFmtId="39" fontId="14" fillId="0" borderId="179" xfId="0" applyNumberFormat="1" applyFont="1" applyBorder="1" applyAlignment="1">
      <alignment horizontal="center" vertical="center" wrapText="1"/>
    </xf>
    <xf numFmtId="39" fontId="8" fillId="0" borderId="16" xfId="0" applyNumberFormat="1" applyFont="1" applyBorder="1" applyAlignment="1">
      <alignment horizontal="center" vertical="center" wrapText="1"/>
    </xf>
    <xf numFmtId="167" fontId="8" fillId="9" borderId="16" xfId="0" applyFont="1" applyFill="1" applyBorder="1" applyAlignment="1">
      <alignment horizontal="center" vertical="center" wrapText="1"/>
    </xf>
    <xf numFmtId="39" fontId="7" fillId="0" borderId="16" xfId="0" applyNumberFormat="1" applyFont="1" applyBorder="1" applyAlignment="1">
      <alignment horizontal="center" vertical="center" wrapText="1"/>
    </xf>
    <xf numFmtId="39" fontId="8" fillId="9" borderId="16" xfId="0" applyNumberFormat="1" applyFont="1" applyFill="1" applyBorder="1" applyAlignment="1">
      <alignment horizontal="center" vertical="center" wrapText="1"/>
    </xf>
    <xf numFmtId="39" fontId="7" fillId="0" borderId="13" xfId="0" applyNumberFormat="1" applyFont="1" applyBorder="1" applyAlignment="1">
      <alignment horizontal="center" vertical="center" wrapText="1"/>
    </xf>
    <xf numFmtId="39" fontId="8" fillId="9" borderId="13" xfId="0" applyNumberFormat="1" applyFont="1" applyFill="1" applyBorder="1" applyAlignment="1">
      <alignment horizontal="center" vertical="center" wrapText="1"/>
    </xf>
    <xf numFmtId="183" fontId="8" fillId="9" borderId="16" xfId="0" applyNumberFormat="1" applyFont="1" applyFill="1" applyBorder="1" applyAlignment="1">
      <alignment horizontal="center" vertical="center" wrapText="1"/>
    </xf>
    <xf numFmtId="183" fontId="7" fillId="0" borderId="13" xfId="0" applyNumberFormat="1" applyFont="1" applyBorder="1" applyAlignment="1">
      <alignment horizontal="center" vertical="center" wrapText="1"/>
    </xf>
    <xf numFmtId="183" fontId="7" fillId="0" borderId="16" xfId="0" applyNumberFormat="1" applyFont="1" applyBorder="1" applyAlignment="1">
      <alignment horizontal="center" vertical="center" wrapText="1"/>
    </xf>
    <xf numFmtId="37" fontId="7" fillId="0" borderId="173" xfId="0" applyNumberFormat="1" applyFont="1" applyBorder="1" applyAlignment="1">
      <alignment horizontal="center" vertical="center" wrapText="1"/>
    </xf>
    <xf numFmtId="183" fontId="8" fillId="9" borderId="13" xfId="0" applyNumberFormat="1" applyFont="1" applyFill="1" applyBorder="1" applyAlignment="1">
      <alignment horizontal="center" vertical="center" wrapText="1"/>
    </xf>
    <xf numFmtId="39" fontId="7" fillId="0" borderId="173" xfId="0" applyNumberFormat="1" applyFont="1" applyBorder="1" applyAlignment="1">
      <alignment horizontal="center" vertical="center" wrapText="1"/>
    </xf>
    <xf numFmtId="167" fontId="7" fillId="0" borderId="173" xfId="0" applyFont="1" applyBorder="1" applyAlignment="1">
      <alignment horizontal="center" vertical="center" wrapText="1"/>
    </xf>
    <xf numFmtId="39" fontId="7" fillId="0" borderId="189" xfId="0" applyNumberFormat="1" applyFont="1" applyBorder="1" applyAlignment="1">
      <alignment horizontal="center" vertical="center" wrapText="1"/>
    </xf>
    <xf numFmtId="49" fontId="7" fillId="0" borderId="36" xfId="41054" applyNumberFormat="1" applyFont="1" applyBorder="1" applyAlignment="1" applyProtection="1">
      <alignment horizontal="center" vertical="center"/>
      <protection locked="0"/>
    </xf>
    <xf numFmtId="11" fontId="8" fillId="0" borderId="87" xfId="0" applyNumberFormat="1" applyFont="1" applyBorder="1" applyAlignment="1">
      <alignment horizontal="center" vertical="center"/>
    </xf>
    <xf numFmtId="167" fontId="7" fillId="0" borderId="89" xfId="41054" applyFont="1" applyBorder="1" applyAlignment="1" applyProtection="1">
      <alignment horizontal="center" vertical="center" wrapText="1"/>
      <protection locked="0"/>
    </xf>
    <xf numFmtId="167" fontId="7" fillId="0" borderId="89" xfId="41054" applyFont="1" applyBorder="1" applyAlignment="1" applyProtection="1">
      <alignment horizontal="center" vertical="center"/>
      <protection locked="0"/>
    </xf>
    <xf numFmtId="40" fontId="8" fillId="38" borderId="63" xfId="23422" applyFont="1" applyFill="1" applyBorder="1" applyAlignment="1">
      <alignment horizontal="right" vertical="center"/>
    </xf>
    <xf numFmtId="181" fontId="8" fillId="38" borderId="0" xfId="23422" applyNumberFormat="1" applyFont="1" applyFill="1" applyAlignment="1">
      <alignment horizontal="left" vertical="center"/>
    </xf>
    <xf numFmtId="40" fontId="8" fillId="38" borderId="4" xfId="23422" applyFont="1" applyFill="1" applyBorder="1" applyAlignment="1">
      <alignment horizontal="right" vertical="center"/>
    </xf>
    <xf numFmtId="38" fontId="8" fillId="38" borderId="62" xfId="23422" applyNumberFormat="1" applyFont="1" applyFill="1" applyBorder="1" applyAlignment="1">
      <alignment horizontal="left" vertical="center"/>
    </xf>
    <xf numFmtId="181" fontId="8" fillId="38" borderId="62" xfId="23422" applyNumberFormat="1" applyFont="1" applyFill="1" applyBorder="1" applyAlignment="1">
      <alignment horizontal="left" vertical="center"/>
    </xf>
    <xf numFmtId="40" fontId="8" fillId="38" borderId="61" xfId="23422" applyFont="1" applyFill="1" applyBorder="1" applyAlignment="1">
      <alignment horizontal="right" vertical="center"/>
    </xf>
    <xf numFmtId="38" fontId="13" fillId="38" borderId="137" xfId="23422" applyNumberFormat="1" applyFont="1" applyFill="1" applyBorder="1" applyAlignment="1">
      <alignment horizontal="left" vertical="center"/>
    </xf>
    <xf numFmtId="38" fontId="8" fillId="38" borderId="139" xfId="23422" quotePrefix="1" applyNumberFormat="1" applyFont="1" applyFill="1" applyBorder="1" applyAlignment="1">
      <alignment horizontal="centerContinuous" vertical="center" wrapText="1"/>
    </xf>
    <xf numFmtId="167" fontId="14" fillId="12" borderId="10" xfId="0" applyFont="1" applyFill="1" applyBorder="1" applyAlignment="1">
      <alignment horizontal="centerContinuous" vertical="center" wrapText="1"/>
    </xf>
    <xf numFmtId="37" fontId="14" fillId="12" borderId="10" xfId="0" applyNumberFormat="1" applyFont="1" applyFill="1" applyBorder="1" applyAlignment="1">
      <alignment horizontal="centerContinuous" vertical="center"/>
    </xf>
    <xf numFmtId="182" fontId="14" fillId="12" borderId="10" xfId="0" applyNumberFormat="1" applyFont="1" applyFill="1" applyBorder="1" applyAlignment="1">
      <alignment horizontal="centerContinuous" vertical="center"/>
    </xf>
    <xf numFmtId="167" fontId="14" fillId="12" borderId="202" xfId="0" applyFont="1" applyFill="1" applyBorder="1" applyAlignment="1">
      <alignment horizontal="centerContinuous" vertical="center"/>
    </xf>
    <xf numFmtId="182" fontId="14" fillId="12" borderId="87" xfId="0" applyNumberFormat="1" applyFont="1" applyFill="1" applyBorder="1" applyAlignment="1">
      <alignment horizontal="centerContinuous" vertical="center"/>
    </xf>
    <xf numFmtId="37" fontId="14" fillId="12" borderId="87" xfId="0" applyNumberFormat="1" applyFont="1" applyFill="1" applyBorder="1" applyAlignment="1">
      <alignment horizontal="centerContinuous" vertical="center"/>
    </xf>
    <xf numFmtId="170" fontId="14" fillId="12" borderId="143" xfId="0" applyNumberFormat="1" applyFont="1" applyFill="1" applyBorder="1" applyAlignment="1">
      <alignment horizontal="centerContinuous" vertical="center"/>
    </xf>
    <xf numFmtId="182" fontId="14" fillId="12" borderId="8" xfId="0" applyNumberFormat="1" applyFont="1" applyFill="1" applyBorder="1" applyAlignment="1">
      <alignment horizontal="center" vertical="center"/>
    </xf>
    <xf numFmtId="37" fontId="14" fillId="12" borderId="8" xfId="0" applyNumberFormat="1" applyFont="1" applyFill="1" applyBorder="1" applyAlignment="1">
      <alignment horizontal="center" vertical="center"/>
    </xf>
    <xf numFmtId="167" fontId="14" fillId="12" borderId="204" xfId="0" applyFont="1" applyFill="1" applyBorder="1" applyAlignment="1">
      <alignment horizontal="center" vertical="center"/>
    </xf>
    <xf numFmtId="167" fontId="9" fillId="0" borderId="145" xfId="0" applyFont="1" applyBorder="1"/>
    <xf numFmtId="167" fontId="9" fillId="0" borderId="195" xfId="0" applyFont="1" applyBorder="1"/>
    <xf numFmtId="167" fontId="9" fillId="0" borderId="162" xfId="0" applyFont="1" applyBorder="1"/>
    <xf numFmtId="167" fontId="9" fillId="0" borderId="93" xfId="0" applyFont="1" applyBorder="1"/>
    <xf numFmtId="167" fontId="9" fillId="0" borderId="147" xfId="0" applyFont="1" applyBorder="1"/>
    <xf numFmtId="167" fontId="9" fillId="0" borderId="166" xfId="0" applyFont="1" applyBorder="1"/>
    <xf numFmtId="167" fontId="85" fillId="39" borderId="6" xfId="0" applyFont="1" applyFill="1" applyBorder="1" applyAlignment="1">
      <alignment horizontal="centerContinuous" vertical="center"/>
    </xf>
    <xf numFmtId="4" fontId="85" fillId="39" borderId="6" xfId="0" applyNumberFormat="1" applyFont="1" applyFill="1" applyBorder="1" applyAlignment="1">
      <alignment horizontal="centerContinuous" vertical="center"/>
    </xf>
    <xf numFmtId="167" fontId="85" fillId="39" borderId="73" xfId="23422" applyNumberFormat="1" applyFont="1" applyFill="1" applyBorder="1" applyAlignment="1">
      <alignment horizontal="center" vertical="center"/>
    </xf>
    <xf numFmtId="167" fontId="85" fillId="39" borderId="68" xfId="23422" applyNumberFormat="1" applyFont="1" applyFill="1" applyBorder="1" applyAlignment="1">
      <alignment horizontal="centerContinuous" vertical="center"/>
    </xf>
    <xf numFmtId="4" fontId="85" fillId="39" borderId="73" xfId="23422" applyNumberFormat="1" applyFont="1" applyFill="1" applyBorder="1" applyAlignment="1">
      <alignment horizontal="center" vertical="center"/>
    </xf>
    <xf numFmtId="40" fontId="14" fillId="39" borderId="59" xfId="23422" applyFont="1" applyFill="1" applyBorder="1" applyAlignment="1">
      <alignment horizontal="centerContinuous" vertical="center"/>
    </xf>
    <xf numFmtId="174" fontId="14" fillId="39" borderId="58" xfId="23422" applyNumberFormat="1" applyFont="1" applyFill="1" applyBorder="1" applyAlignment="1">
      <alignment horizontal="center" vertical="center"/>
    </xf>
    <xf numFmtId="174" fontId="85" fillId="39" borderId="58" xfId="23422" applyNumberFormat="1" applyFont="1" applyFill="1" applyBorder="1" applyAlignment="1">
      <alignment horizontal="center" vertical="center"/>
    </xf>
    <xf numFmtId="40" fontId="14" fillId="39" borderId="58" xfId="0" applyNumberFormat="1" applyFont="1" applyFill="1" applyBorder="1" applyAlignment="1">
      <alignment horizontal="center" vertical="center"/>
    </xf>
    <xf numFmtId="181" fontId="14" fillId="39" borderId="58" xfId="23422" applyNumberFormat="1" applyFont="1" applyFill="1" applyBorder="1" applyAlignment="1">
      <alignment horizontal="center" vertical="center"/>
    </xf>
    <xf numFmtId="40" fontId="14" fillId="39" borderId="69" xfId="0" applyNumberFormat="1" applyFont="1" applyFill="1" applyBorder="1" applyAlignment="1">
      <alignment horizontal="center" vertical="center"/>
    </xf>
    <xf numFmtId="167" fontId="85" fillId="39" borderId="69" xfId="23422" applyNumberFormat="1" applyFont="1" applyFill="1" applyBorder="1" applyAlignment="1">
      <alignment horizontal="center" vertical="center"/>
    </xf>
    <xf numFmtId="4" fontId="85" fillId="39" borderId="69" xfId="0" applyNumberFormat="1" applyFont="1" applyFill="1" applyBorder="1" applyAlignment="1">
      <alignment horizontal="center" vertical="center"/>
    </xf>
    <xf numFmtId="40" fontId="14" fillId="39" borderId="58" xfId="23422" applyFont="1" applyFill="1" applyBorder="1" applyAlignment="1">
      <alignment horizontal="center" vertical="center"/>
    </xf>
    <xf numFmtId="40" fontId="14" fillId="39" borderId="58" xfId="23422" applyFont="1" applyFill="1" applyBorder="1" applyAlignment="1">
      <alignment horizontal="center" vertical="center" wrapText="1"/>
    </xf>
    <xf numFmtId="40" fontId="85" fillId="39" borderId="58" xfId="23422" applyFont="1" applyFill="1" applyBorder="1" applyAlignment="1">
      <alignment horizontal="center" vertical="center"/>
    </xf>
    <xf numFmtId="0" fontId="86" fillId="0" borderId="0" xfId="41058"/>
    <xf numFmtId="187" fontId="29" fillId="0" borderId="0" xfId="41058" applyNumberFormat="1" applyFont="1" applyAlignment="1">
      <alignment horizontal="center" vertical="center" wrapText="1"/>
    </xf>
    <xf numFmtId="0" fontId="29" fillId="0" borderId="0" xfId="41058" applyFont="1" applyAlignment="1">
      <alignment horizontal="center" vertical="center" wrapText="1"/>
    </xf>
    <xf numFmtId="167" fontId="8" fillId="0" borderId="0" xfId="41054" applyFont="1" applyAlignment="1" applyProtection="1">
      <alignment horizontal="center" vertical="center" wrapText="1"/>
      <protection locked="0"/>
    </xf>
    <xf numFmtId="0" fontId="8" fillId="0" borderId="4" xfId="41058" applyFont="1" applyBorder="1" applyAlignment="1">
      <alignment horizontal="center" vertical="center"/>
    </xf>
    <xf numFmtId="0" fontId="8" fillId="0" borderId="3" xfId="41058" applyFont="1" applyBorder="1" applyAlignment="1">
      <alignment horizontal="center" vertical="center"/>
    </xf>
    <xf numFmtId="182" fontId="8" fillId="0" borderId="2" xfId="41054" applyNumberFormat="1" applyFont="1" applyBorder="1" applyAlignment="1" applyProtection="1">
      <alignment horizontal="center" vertical="center" wrapText="1"/>
      <protection locked="0"/>
    </xf>
    <xf numFmtId="186" fontId="8" fillId="0" borderId="2" xfId="41054" applyNumberFormat="1" applyFont="1" applyBorder="1" applyAlignment="1" applyProtection="1">
      <alignment horizontal="center" vertical="center" wrapText="1"/>
      <protection locked="0"/>
    </xf>
    <xf numFmtId="167" fontId="8" fillId="0" borderId="2" xfId="41054" applyFont="1" applyBorder="1" applyAlignment="1" applyProtection="1">
      <alignment horizontal="center" vertical="center" wrapText="1"/>
      <protection locked="0"/>
    </xf>
    <xf numFmtId="167" fontId="30" fillId="0" borderId="2" xfId="41054" applyFont="1" applyBorder="1" applyAlignment="1" applyProtection="1">
      <alignment horizontal="center" vertical="center" wrapText="1"/>
      <protection locked="0"/>
    </xf>
    <xf numFmtId="167" fontId="8" fillId="0" borderId="3" xfId="41054" applyFont="1" applyBorder="1" applyAlignment="1" applyProtection="1">
      <alignment horizontal="center" vertical="center" wrapText="1"/>
      <protection locked="0"/>
    </xf>
    <xf numFmtId="0" fontId="8" fillId="0" borderId="132" xfId="41058" applyFont="1" applyBorder="1" applyAlignment="1">
      <alignment horizontal="center" vertical="center"/>
    </xf>
    <xf numFmtId="0" fontId="8" fillId="0" borderId="167" xfId="41058" applyFont="1" applyBorder="1" applyAlignment="1">
      <alignment horizontal="center" vertical="center"/>
    </xf>
    <xf numFmtId="167" fontId="8" fillId="0" borderId="178" xfId="41054" applyFont="1" applyBorder="1" applyAlignment="1" applyProtection="1">
      <alignment horizontal="center" vertical="center" wrapText="1"/>
      <protection locked="0"/>
    </xf>
    <xf numFmtId="182" fontId="8" fillId="0" borderId="13" xfId="41054" applyNumberFormat="1" applyFont="1" applyBorder="1" applyAlignment="1" applyProtection="1">
      <alignment horizontal="center" vertical="center" wrapText="1"/>
      <protection locked="0"/>
    </xf>
    <xf numFmtId="186" fontId="8" fillId="0" borderId="13" xfId="41054" applyNumberFormat="1" applyFont="1" applyBorder="1" applyAlignment="1" applyProtection="1">
      <alignment horizontal="center" vertical="center" wrapText="1"/>
      <protection locked="0"/>
    </xf>
    <xf numFmtId="167" fontId="8" fillId="0" borderId="13" xfId="41054" applyFont="1" applyBorder="1" applyAlignment="1" applyProtection="1">
      <alignment horizontal="center" vertical="center" wrapText="1"/>
      <protection locked="0"/>
    </xf>
    <xf numFmtId="167" fontId="30" fillId="0" borderId="13" xfId="41054" applyFont="1" applyBorder="1" applyAlignment="1" applyProtection="1">
      <alignment horizontal="center" vertical="center" wrapText="1"/>
      <protection locked="0"/>
    </xf>
    <xf numFmtId="182" fontId="8" fillId="40" borderId="90" xfId="41054" applyNumberFormat="1" applyFont="1" applyFill="1" applyBorder="1" applyAlignment="1" applyProtection="1">
      <alignment horizontal="center" vertical="center" wrapText="1"/>
      <protection locked="0"/>
    </xf>
    <xf numFmtId="182" fontId="8" fillId="40" borderId="89" xfId="41054" applyNumberFormat="1" applyFont="1" applyFill="1" applyBorder="1" applyAlignment="1" applyProtection="1">
      <alignment horizontal="center" vertical="center" wrapText="1"/>
      <protection locked="0"/>
    </xf>
    <xf numFmtId="182" fontId="7" fillId="40" borderId="20" xfId="41054" applyNumberFormat="1" applyFont="1" applyFill="1" applyBorder="1" applyAlignment="1">
      <alignment horizontal="centerContinuous" vertical="center" wrapText="1"/>
    </xf>
    <xf numFmtId="182" fontId="7" fillId="40" borderId="75" xfId="41054" applyNumberFormat="1" applyFont="1" applyFill="1" applyBorder="1" applyAlignment="1">
      <alignment horizontal="centerContinuous" vertical="center" wrapText="1"/>
    </xf>
    <xf numFmtId="182" fontId="7" fillId="40" borderId="36" xfId="41054" applyNumberFormat="1" applyFont="1" applyFill="1" applyBorder="1" applyAlignment="1">
      <alignment horizontal="centerContinuous" vertical="center" wrapText="1"/>
    </xf>
    <xf numFmtId="0" fontId="8" fillId="0" borderId="13" xfId="41058" applyFont="1" applyBorder="1" applyAlignment="1">
      <alignment horizontal="center" vertical="center"/>
    </xf>
    <xf numFmtId="37" fontId="22" fillId="0" borderId="0" xfId="23422" applyNumberFormat="1" applyFont="1" applyAlignment="1">
      <alignment horizontal="right" vertical="center"/>
    </xf>
    <xf numFmtId="4" fontId="28" fillId="0" borderId="0" xfId="0" applyNumberFormat="1" applyFont="1" applyAlignment="1">
      <alignment vertical="top"/>
    </xf>
    <xf numFmtId="0" fontId="7" fillId="0" borderId="2" xfId="17" applyBorder="1" applyAlignment="1">
      <alignment horizontal="left" vertical="top" wrapText="1"/>
    </xf>
    <xf numFmtId="0" fontId="11" fillId="0" borderId="0" xfId="0" applyNumberFormat="1" applyFont="1" applyAlignment="1">
      <alignment horizontal="center" vertical="top"/>
    </xf>
    <xf numFmtId="0" fontId="7" fillId="0" borderId="0" xfId="0" applyNumberFormat="1" applyFont="1" applyAlignment="1">
      <alignment horizontal="center" vertical="top"/>
    </xf>
    <xf numFmtId="0" fontId="12" fillId="0" borderId="0" xfId="0" applyNumberFormat="1" applyFont="1" applyAlignment="1">
      <alignment horizontal="center" vertical="top"/>
    </xf>
    <xf numFmtId="165" fontId="12" fillId="0" borderId="0" xfId="21" applyFont="1" applyAlignment="1">
      <alignment horizontal="center" vertical="top"/>
    </xf>
    <xf numFmtId="0" fontId="10" fillId="0" borderId="0" xfId="0" applyNumberFormat="1" applyFont="1" applyAlignment="1">
      <alignment horizontal="left" vertical="top"/>
    </xf>
    <xf numFmtId="0" fontId="15" fillId="0" borderId="0" xfId="0" applyNumberFormat="1" applyFont="1" applyAlignment="1">
      <alignment vertical="top"/>
    </xf>
    <xf numFmtId="165" fontId="15" fillId="0" borderId="0" xfId="21" applyFont="1" applyAlignment="1">
      <alignment vertical="top"/>
    </xf>
    <xf numFmtId="0" fontId="13" fillId="0" borderId="0" xfId="0" applyNumberFormat="1" applyFont="1" applyAlignment="1">
      <alignment vertical="top"/>
    </xf>
    <xf numFmtId="3" fontId="8" fillId="0" borderId="0" xfId="0" applyNumberFormat="1" applyFont="1" applyAlignment="1">
      <alignment vertical="top"/>
    </xf>
    <xf numFmtId="167" fontId="9" fillId="0" borderId="0" xfId="0" applyFont="1" applyAlignment="1">
      <alignment vertical="top"/>
    </xf>
    <xf numFmtId="165" fontId="13" fillId="8" borderId="0" xfId="21" applyFont="1" applyFill="1" applyAlignment="1">
      <alignment vertical="center" wrapText="1"/>
    </xf>
    <xf numFmtId="0" fontId="7" fillId="8" borderId="0" xfId="0" applyNumberFormat="1" applyFont="1" applyFill="1" applyAlignment="1">
      <alignment vertical="center"/>
    </xf>
    <xf numFmtId="39" fontId="14" fillId="0" borderId="129" xfId="0" applyNumberFormat="1" applyFont="1" applyBorder="1" applyAlignment="1">
      <alignment horizontal="center" vertical="center" wrapText="1"/>
    </xf>
    <xf numFmtId="38" fontId="14" fillId="39" borderId="40" xfId="23422" applyNumberFormat="1" applyFont="1" applyFill="1" applyBorder="1" applyAlignment="1">
      <alignment horizontal="centerContinuous" vertical="center" wrapText="1"/>
    </xf>
    <xf numFmtId="37" fontId="62" fillId="11" borderId="21" xfId="0" applyNumberFormat="1" applyFont="1" applyFill="1" applyBorder="1" applyAlignment="1">
      <alignment horizontal="center" vertical="center" wrapText="1"/>
    </xf>
    <xf numFmtId="167" fontId="8" fillId="9" borderId="21" xfId="0" applyFont="1" applyFill="1" applyBorder="1" applyAlignment="1">
      <alignment horizontal="center" vertical="center" wrapText="1"/>
    </xf>
    <xf numFmtId="39" fontId="62" fillId="11" borderId="19" xfId="0" applyNumberFormat="1" applyFont="1" applyFill="1" applyBorder="1" applyAlignment="1">
      <alignment horizontal="center" vertical="center" wrapText="1"/>
    </xf>
    <xf numFmtId="39" fontId="62" fillId="11" borderId="105" xfId="0" applyNumberFormat="1" applyFont="1" applyFill="1" applyBorder="1" applyAlignment="1">
      <alignment horizontal="center" vertical="center" wrapText="1"/>
    </xf>
    <xf numFmtId="167" fontId="8" fillId="9" borderId="105" xfId="0" applyFont="1" applyFill="1" applyBorder="1" applyAlignment="1">
      <alignment horizontal="center" vertical="center" wrapText="1"/>
    </xf>
    <xf numFmtId="39" fontId="62" fillId="11" borderId="2" xfId="0" applyNumberFormat="1" applyFont="1" applyFill="1" applyBorder="1" applyAlignment="1">
      <alignment horizontal="center" vertical="center" wrapText="1"/>
    </xf>
    <xf numFmtId="9" fontId="7" fillId="0" borderId="105" xfId="19" applyFont="1" applyBorder="1" applyAlignment="1">
      <alignment horizontal="center" vertical="center" wrapText="1"/>
    </xf>
    <xf numFmtId="9" fontId="7" fillId="0" borderId="19" xfId="19" applyFont="1" applyBorder="1" applyAlignment="1">
      <alignment horizontal="center" vertical="center" wrapText="1"/>
    </xf>
    <xf numFmtId="37" fontId="7" fillId="0" borderId="105" xfId="0" applyNumberFormat="1" applyFont="1" applyBorder="1" applyAlignment="1">
      <alignment horizontal="center" vertical="center" wrapText="1"/>
    </xf>
    <xf numFmtId="39" fontId="8" fillId="9" borderId="105" xfId="0" applyNumberFormat="1" applyFont="1" applyFill="1" applyBorder="1" applyAlignment="1">
      <alignment horizontal="center" vertical="center" wrapText="1"/>
    </xf>
    <xf numFmtId="37" fontId="7" fillId="0" borderId="151" xfId="0" applyNumberFormat="1" applyFont="1" applyBorder="1" applyAlignment="1">
      <alignment horizontal="center" vertical="center" wrapText="1"/>
    </xf>
    <xf numFmtId="167" fontId="8" fillId="9" borderId="151" xfId="0" applyFont="1" applyFill="1" applyBorder="1" applyAlignment="1">
      <alignment horizontal="center" vertical="center" wrapText="1"/>
    </xf>
    <xf numFmtId="39" fontId="7" fillId="0" borderId="151" xfId="0" applyNumberFormat="1" applyFont="1" applyBorder="1" applyAlignment="1">
      <alignment horizontal="center" vertical="center" wrapText="1"/>
    </xf>
    <xf numFmtId="37" fontId="22" fillId="0" borderId="0" xfId="23422" applyNumberFormat="1" applyFont="1" applyAlignment="1">
      <alignment horizontal="left" vertical="center"/>
    </xf>
    <xf numFmtId="39" fontId="7" fillId="0" borderId="3" xfId="0" applyNumberFormat="1" applyFont="1" applyBorder="1" applyAlignment="1">
      <alignment horizontal="center" vertical="center" wrapText="1"/>
    </xf>
    <xf numFmtId="39" fontId="62" fillId="11" borderId="210" xfId="0" applyNumberFormat="1" applyFont="1" applyFill="1" applyBorder="1" applyAlignment="1">
      <alignment horizontal="center" vertical="center" wrapText="1"/>
    </xf>
    <xf numFmtId="37" fontId="14" fillId="0" borderId="207" xfId="0" applyNumberFormat="1" applyFont="1" applyBorder="1" applyAlignment="1">
      <alignment horizontal="center" vertical="center" wrapText="1"/>
    </xf>
    <xf numFmtId="39" fontId="14" fillId="0" borderId="207" xfId="0" applyNumberFormat="1" applyFont="1" applyBorder="1" applyAlignment="1">
      <alignment horizontal="center" vertical="center" wrapText="1"/>
    </xf>
    <xf numFmtId="167" fontId="14" fillId="9" borderId="24" xfId="0" applyFont="1" applyFill="1" applyBorder="1" applyAlignment="1">
      <alignment horizontal="center" vertical="center" wrapText="1"/>
    </xf>
    <xf numFmtId="37" fontId="13" fillId="0" borderId="24" xfId="0" applyNumberFormat="1" applyFont="1" applyBorder="1" applyAlignment="1">
      <alignment horizontal="center" vertical="center" wrapText="1"/>
    </xf>
    <xf numFmtId="183" fontId="13" fillId="0" borderId="24" xfId="0" applyNumberFormat="1" applyFont="1" applyBorder="1" applyAlignment="1">
      <alignment horizontal="center" vertical="center" wrapText="1"/>
    </xf>
    <xf numFmtId="183" fontId="14" fillId="9" borderId="24" xfId="0" applyNumberFormat="1" applyFont="1" applyFill="1" applyBorder="1" applyAlignment="1">
      <alignment horizontal="center" vertical="center" wrapText="1"/>
    </xf>
    <xf numFmtId="39" fontId="13" fillId="0" borderId="188" xfId="0" applyNumberFormat="1" applyFont="1" applyBorder="1" applyAlignment="1">
      <alignment horizontal="center" vertical="center" wrapText="1"/>
    </xf>
    <xf numFmtId="39" fontId="14" fillId="9" borderId="130" xfId="0" applyNumberFormat="1" applyFont="1" applyFill="1" applyBorder="1" applyAlignment="1">
      <alignment horizontal="center" vertical="center" wrapText="1"/>
    </xf>
    <xf numFmtId="167" fontId="14" fillId="9" borderId="157" xfId="0" applyFont="1" applyFill="1" applyBorder="1" applyAlignment="1">
      <alignment horizontal="center" vertical="center" wrapText="1"/>
    </xf>
    <xf numFmtId="39" fontId="14" fillId="9" borderId="157" xfId="0" applyNumberFormat="1" applyFont="1" applyFill="1" applyBorder="1" applyAlignment="1">
      <alignment horizontal="center" vertical="center" wrapText="1"/>
    </xf>
    <xf numFmtId="39" fontId="8" fillId="9" borderId="173" xfId="0" applyNumberFormat="1" applyFont="1" applyFill="1" applyBorder="1" applyAlignment="1">
      <alignment horizontal="center" vertical="center" wrapText="1"/>
    </xf>
    <xf numFmtId="39" fontId="14" fillId="9" borderId="174" xfId="0" applyNumberFormat="1" applyFont="1" applyFill="1" applyBorder="1" applyAlignment="1">
      <alignment horizontal="center" vertical="center" wrapText="1"/>
    </xf>
    <xf numFmtId="37" fontId="13" fillId="0" borderId="157" xfId="0" applyNumberFormat="1" applyFont="1" applyBorder="1" applyAlignment="1">
      <alignment horizontal="center" vertical="center" wrapText="1"/>
    </xf>
    <xf numFmtId="37" fontId="7" fillId="0" borderId="16" xfId="0" applyNumberFormat="1" applyFont="1" applyBorder="1" applyAlignment="1">
      <alignment horizontal="center" vertical="center" wrapText="1"/>
    </xf>
    <xf numFmtId="37" fontId="13" fillId="0" borderId="130" xfId="0" applyNumberFormat="1" applyFont="1" applyBorder="1" applyAlignment="1">
      <alignment horizontal="center" vertical="center" wrapText="1"/>
    </xf>
    <xf numFmtId="183" fontId="13" fillId="0" borderId="130" xfId="0" applyNumberFormat="1" applyFont="1" applyBorder="1" applyAlignment="1">
      <alignment horizontal="center" vertical="center" wrapText="1"/>
    </xf>
    <xf numFmtId="183" fontId="13" fillId="0" borderId="157" xfId="0" applyNumberFormat="1" applyFont="1" applyBorder="1" applyAlignment="1">
      <alignment horizontal="center" vertical="center" wrapText="1"/>
    </xf>
    <xf numFmtId="183" fontId="14" fillId="9" borderId="157" xfId="0" applyNumberFormat="1" applyFont="1" applyFill="1" applyBorder="1" applyAlignment="1">
      <alignment horizontal="center" vertical="center" wrapText="1"/>
    </xf>
    <xf numFmtId="167" fontId="8" fillId="9" borderId="173" xfId="0" applyFont="1" applyFill="1" applyBorder="1" applyAlignment="1">
      <alignment horizontal="center" vertical="center" wrapText="1"/>
    </xf>
    <xf numFmtId="183" fontId="7" fillId="0" borderId="173" xfId="0" applyNumberFormat="1" applyFont="1" applyBorder="1" applyAlignment="1">
      <alignment horizontal="center" vertical="center" wrapText="1"/>
    </xf>
    <xf numFmtId="183" fontId="13" fillId="0" borderId="174" xfId="0" applyNumberFormat="1" applyFont="1" applyBorder="1" applyAlignment="1">
      <alignment horizontal="center" vertical="center" wrapText="1"/>
    </xf>
    <xf numFmtId="37" fontId="13" fillId="10" borderId="27" xfId="0" applyNumberFormat="1" applyFont="1" applyFill="1" applyBorder="1" applyAlignment="1">
      <alignment horizontal="center" vertical="center" wrapText="1"/>
    </xf>
    <xf numFmtId="9" fontId="7" fillId="8" borderId="2" xfId="19" applyFont="1" applyFill="1" applyBorder="1" applyAlignment="1">
      <alignment horizontal="center" vertical="center" wrapText="1"/>
    </xf>
    <xf numFmtId="167" fontId="93" fillId="0" borderId="0" xfId="0" applyFont="1" applyAlignment="1">
      <alignment horizontal="centerContinuous" vertical="center"/>
    </xf>
    <xf numFmtId="165" fontId="7" fillId="0" borderId="0" xfId="21" applyFont="1" applyAlignment="1">
      <alignment vertical="center"/>
    </xf>
    <xf numFmtId="167" fontId="7" fillId="0" borderId="0" xfId="0" applyFont="1" applyAlignment="1">
      <alignment horizontal="justify" vertical="center"/>
    </xf>
    <xf numFmtId="167" fontId="7" fillId="0" borderId="0" xfId="0" applyFont="1" applyAlignment="1">
      <alignment horizontal="right" vertical="center"/>
    </xf>
    <xf numFmtId="10" fontId="7" fillId="0" borderId="0" xfId="0" applyNumberFormat="1" applyFont="1" applyAlignment="1">
      <alignment horizontal="left" vertical="center"/>
    </xf>
    <xf numFmtId="0" fontId="7" fillId="0" borderId="201" xfId="15007" applyNumberFormat="1" applyFont="1" applyBorder="1" applyAlignment="1">
      <alignment horizontal="center" vertical="center"/>
    </xf>
    <xf numFmtId="0" fontId="7" fillId="0" borderId="0" xfId="15007" applyNumberFormat="1" applyFont="1"/>
    <xf numFmtId="167" fontId="7" fillId="0" borderId="217" xfId="0" applyFont="1" applyBorder="1" applyAlignment="1">
      <alignment horizontal="center" vertical="center"/>
    </xf>
    <xf numFmtId="0" fontId="7" fillId="0" borderId="0" xfId="15007" applyNumberFormat="1" applyFont="1" applyAlignment="1">
      <alignment vertical="center"/>
    </xf>
    <xf numFmtId="0" fontId="7" fillId="0" borderId="0" xfId="15007" applyNumberFormat="1" applyFont="1" applyAlignment="1">
      <alignment horizontal="center" vertical="center"/>
    </xf>
    <xf numFmtId="0" fontId="8" fillId="0" borderId="41" xfId="0" quotePrefix="1" applyNumberFormat="1" applyFont="1" applyBorder="1" applyAlignment="1">
      <alignment horizontal="center" vertical="center" wrapText="1"/>
    </xf>
    <xf numFmtId="40" fontId="8" fillId="0" borderId="3" xfId="21" applyNumberFormat="1" applyFont="1" applyBorder="1" applyAlignment="1">
      <alignment horizontal="center" vertical="center"/>
    </xf>
    <xf numFmtId="40" fontId="8" fillId="0" borderId="62" xfId="21" applyNumberFormat="1" applyFont="1" applyBorder="1" applyAlignment="1">
      <alignment vertical="center"/>
    </xf>
    <xf numFmtId="167" fontId="8" fillId="0" borderId="0" xfId="0" applyFont="1" applyAlignment="1">
      <alignment vertical="center"/>
    </xf>
    <xf numFmtId="0" fontId="8" fillId="0" borderId="41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vertical="center" wrapText="1"/>
    </xf>
    <xf numFmtId="167" fontId="7" fillId="0" borderId="205" xfId="0" applyFont="1" applyBorder="1" applyAlignment="1">
      <alignment horizontal="justify" vertical="center"/>
    </xf>
    <xf numFmtId="40" fontId="7" fillId="0" borderId="220" xfId="0" applyNumberFormat="1" applyFont="1" applyBorder="1" applyAlignment="1">
      <alignment horizontal="center" vertical="center"/>
    </xf>
    <xf numFmtId="190" fontId="7" fillId="0" borderId="220" xfId="0" applyNumberFormat="1" applyFont="1" applyBorder="1" applyAlignment="1">
      <alignment horizontal="center" vertical="center"/>
    </xf>
    <xf numFmtId="191" fontId="7" fillId="0" borderId="220" xfId="0" applyNumberFormat="1" applyFont="1" applyBorder="1" applyAlignment="1">
      <alignment horizontal="center" vertical="center"/>
    </xf>
    <xf numFmtId="40" fontId="7" fillId="0" borderId="139" xfId="21" applyNumberFormat="1" applyFont="1" applyBorder="1" applyAlignment="1">
      <alignment vertical="center"/>
    </xf>
    <xf numFmtId="0" fontId="8" fillId="0" borderId="186" xfId="0" applyNumberFormat="1" applyFont="1" applyBorder="1" applyAlignment="1">
      <alignment vertical="center" wrapText="1"/>
    </xf>
    <xf numFmtId="167" fontId="7" fillId="0" borderId="186" xfId="0" applyFont="1" applyBorder="1" applyAlignment="1">
      <alignment horizontal="justify" vertical="center"/>
    </xf>
    <xf numFmtId="40" fontId="7" fillId="0" borderId="186" xfId="0" applyNumberFormat="1" applyFont="1" applyBorder="1" applyAlignment="1">
      <alignment vertical="center"/>
    </xf>
    <xf numFmtId="167" fontId="7" fillId="0" borderId="186" xfId="0" applyFont="1" applyBorder="1" applyAlignment="1">
      <alignment vertical="center"/>
    </xf>
    <xf numFmtId="0" fontId="8" fillId="0" borderId="0" xfId="0" applyNumberFormat="1" applyFont="1" applyAlignment="1">
      <alignment vertical="center" wrapText="1"/>
    </xf>
    <xf numFmtId="167" fontId="94" fillId="0" borderId="0" xfId="0" applyFont="1" applyAlignment="1">
      <alignment horizontal="center" vertical="center"/>
    </xf>
    <xf numFmtId="4" fontId="94" fillId="0" borderId="0" xfId="0" applyNumberFormat="1" applyFont="1" applyAlignment="1">
      <alignment horizontal="right" vertical="center"/>
    </xf>
    <xf numFmtId="192" fontId="94" fillId="0" borderId="0" xfId="0" applyNumberFormat="1" applyFont="1" applyAlignment="1">
      <alignment horizontal="right" vertical="center"/>
    </xf>
    <xf numFmtId="0" fontId="8" fillId="0" borderId="31" xfId="0" applyNumberFormat="1" applyFont="1" applyBorder="1" applyAlignment="1">
      <alignment horizontal="center" vertical="center" wrapText="1"/>
    </xf>
    <xf numFmtId="40" fontId="7" fillId="0" borderId="0" xfId="21" applyNumberFormat="1" applyFont="1" applyAlignment="1">
      <alignment vertical="center"/>
    </xf>
    <xf numFmtId="40" fontId="7" fillId="0" borderId="0" xfId="0" applyNumberFormat="1" applyFont="1" applyAlignment="1">
      <alignment horizontal="left" vertical="center"/>
    </xf>
    <xf numFmtId="193" fontId="7" fillId="0" borderId="0" xfId="21" applyNumberFormat="1" applyFont="1" applyAlignment="1">
      <alignment vertical="center"/>
    </xf>
    <xf numFmtId="165" fontId="7" fillId="0" borderId="0" xfId="24466"/>
    <xf numFmtId="167" fontId="7" fillId="0" borderId="222" xfId="0" applyFont="1" applyBorder="1" applyAlignment="1">
      <alignment horizontal="left" vertical="center"/>
    </xf>
    <xf numFmtId="167" fontId="7" fillId="0" borderId="223" xfId="0" applyFont="1" applyBorder="1" applyAlignment="1">
      <alignment vertical="center"/>
    </xf>
    <xf numFmtId="165" fontId="7" fillId="0" borderId="223" xfId="21" applyFont="1" applyBorder="1" applyAlignment="1">
      <alignment vertical="center"/>
    </xf>
    <xf numFmtId="2" fontId="7" fillId="0" borderId="223" xfId="0" applyNumberFormat="1" applyFont="1" applyBorder="1" applyAlignment="1">
      <alignment vertical="center"/>
    </xf>
    <xf numFmtId="40" fontId="7" fillId="0" borderId="223" xfId="21" applyNumberFormat="1" applyFont="1" applyBorder="1" applyAlignment="1">
      <alignment horizontal="right" vertical="center"/>
    </xf>
    <xf numFmtId="40" fontId="7" fillId="0" borderId="224" xfId="21" applyNumberFormat="1" applyFont="1" applyBorder="1" applyAlignment="1">
      <alignment vertical="center"/>
    </xf>
    <xf numFmtId="165" fontId="7" fillId="0" borderId="0" xfId="23420"/>
    <xf numFmtId="0" fontId="7" fillId="0" borderId="0" xfId="15007" applyNumberFormat="1" applyFont="1" applyAlignment="1">
      <alignment horizontal="justify" vertical="top"/>
    </xf>
    <xf numFmtId="186" fontId="7" fillId="0" borderId="8" xfId="0" applyNumberFormat="1" applyFont="1" applyBorder="1" applyAlignment="1">
      <alignment horizontal="center" vertical="center"/>
    </xf>
    <xf numFmtId="0" fontId="8" fillId="0" borderId="41" xfId="0" applyNumberFormat="1" applyFont="1" applyBorder="1" applyAlignment="1">
      <alignment horizontal="center" vertical="top" wrapText="1"/>
    </xf>
    <xf numFmtId="49" fontId="7" fillId="0" borderId="31" xfId="41057" applyNumberFormat="1" applyFont="1" applyBorder="1" applyAlignment="1" applyProtection="1">
      <alignment horizontal="center" vertical="center" wrapText="1"/>
    </xf>
    <xf numFmtId="39" fontId="7" fillId="0" borderId="127" xfId="0" applyNumberFormat="1" applyFont="1" applyBorder="1" applyAlignment="1">
      <alignment horizontal="center" vertical="center" wrapText="1"/>
    </xf>
    <xf numFmtId="167" fontId="13" fillId="0" borderId="157" xfId="0" applyFont="1" applyBorder="1" applyAlignment="1">
      <alignment horizontal="center" vertical="center" wrapText="1"/>
    </xf>
    <xf numFmtId="167" fontId="13" fillId="0" borderId="130" xfId="0" applyFont="1" applyBorder="1" applyAlignment="1">
      <alignment horizontal="center" vertical="center" wrapText="1"/>
    </xf>
    <xf numFmtId="167" fontId="13" fillId="0" borderId="0" xfId="0" applyFont="1" applyAlignment="1">
      <alignment horizontal="center" vertical="center" wrapText="1"/>
    </xf>
    <xf numFmtId="37" fontId="14" fillId="0" borderId="229" xfId="0" applyNumberFormat="1" applyFont="1" applyBorder="1" applyAlignment="1">
      <alignment horizontal="center" vertical="center" wrapText="1"/>
    </xf>
    <xf numFmtId="39" fontId="14" fillId="9" borderId="24" xfId="0" applyNumberFormat="1" applyFont="1" applyFill="1" applyBorder="1" applyAlignment="1">
      <alignment horizontal="center" vertical="center" wrapText="1"/>
    </xf>
    <xf numFmtId="39" fontId="13" fillId="0" borderId="0" xfId="0" applyNumberFormat="1" applyFont="1" applyAlignment="1">
      <alignment horizontal="center" vertical="center" wrapText="1"/>
    </xf>
    <xf numFmtId="39" fontId="14" fillId="0" borderId="229" xfId="0" applyNumberFormat="1" applyFont="1" applyBorder="1" applyAlignment="1">
      <alignment horizontal="center" vertical="center" wrapText="1"/>
    </xf>
    <xf numFmtId="183" fontId="8" fillId="9" borderId="19" xfId="0" applyNumberFormat="1" applyFont="1" applyFill="1" applyBorder="1" applyAlignment="1">
      <alignment horizontal="center" vertical="center" wrapText="1"/>
    </xf>
    <xf numFmtId="167" fontId="7" fillId="8" borderId="19" xfId="0" applyFont="1" applyFill="1" applyBorder="1" applyAlignment="1">
      <alignment horizontal="center" vertical="center" wrapText="1"/>
    </xf>
    <xf numFmtId="9" fontId="7" fillId="8" borderId="13" xfId="19" applyFont="1" applyFill="1" applyBorder="1" applyAlignment="1">
      <alignment horizontal="center" vertical="center" wrapText="1"/>
    </xf>
    <xf numFmtId="167" fontId="13" fillId="0" borderId="24" xfId="0" applyFont="1" applyBorder="1" applyAlignment="1">
      <alignment horizontal="center" vertical="center" wrapText="1"/>
    </xf>
    <xf numFmtId="186" fontId="7" fillId="8" borderId="2" xfId="0" applyNumberFormat="1" applyFont="1" applyFill="1" applyBorder="1" applyAlignment="1">
      <alignment horizontal="center" vertical="center" wrapText="1"/>
    </xf>
    <xf numFmtId="167" fontId="13" fillId="10" borderId="27" xfId="0" applyFont="1" applyFill="1" applyBorder="1" applyAlignment="1">
      <alignment horizontal="center" vertical="center" wrapText="1"/>
    </xf>
    <xf numFmtId="167" fontId="13" fillId="9" borderId="24" xfId="0" applyFont="1" applyFill="1" applyBorder="1" applyAlignment="1">
      <alignment horizontal="center" vertical="center" wrapText="1"/>
    </xf>
    <xf numFmtId="167" fontId="7" fillId="9" borderId="130" xfId="0" applyFont="1" applyFill="1" applyBorder="1" applyAlignment="1">
      <alignment horizontal="center" vertical="center" wrapText="1"/>
    </xf>
    <xf numFmtId="167" fontId="7" fillId="9" borderId="157" xfId="0" applyFont="1" applyFill="1" applyBorder="1" applyAlignment="1">
      <alignment horizontal="center" vertical="center" wrapText="1"/>
    </xf>
    <xf numFmtId="4" fontId="7" fillId="0" borderId="236" xfId="0" applyNumberFormat="1" applyFont="1" applyBorder="1" applyAlignment="1">
      <alignment horizontal="center" vertical="center" wrapText="1"/>
    </xf>
    <xf numFmtId="185" fontId="7" fillId="0" borderId="228" xfId="0" applyNumberFormat="1" applyFont="1" applyBorder="1" applyAlignment="1">
      <alignment horizontal="center" vertical="center" wrapText="1"/>
    </xf>
    <xf numFmtId="185" fontId="7" fillId="39" borderId="228" xfId="0" applyNumberFormat="1" applyFont="1" applyFill="1" applyBorder="1" applyAlignment="1">
      <alignment horizontal="center" vertical="center" wrapText="1"/>
    </xf>
    <xf numFmtId="167" fontId="13" fillId="0" borderId="229" xfId="0" applyFont="1" applyBorder="1" applyAlignment="1">
      <alignment horizontal="center" vertical="center" wrapText="1"/>
    </xf>
    <xf numFmtId="186" fontId="13" fillId="0" borderId="229" xfId="0" applyNumberFormat="1" applyFont="1" applyBorder="1" applyAlignment="1">
      <alignment horizontal="center" vertical="center" wrapText="1"/>
    </xf>
    <xf numFmtId="183" fontId="14" fillId="9" borderId="130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Alignment="1">
      <alignment vertical="top"/>
    </xf>
    <xf numFmtId="0" fontId="13" fillId="0" borderId="0" xfId="0" applyNumberFormat="1" applyFont="1" applyAlignment="1">
      <alignment horizontal="left" vertical="top"/>
    </xf>
    <xf numFmtId="0" fontId="13" fillId="0" borderId="0" xfId="29073" applyFont="1" applyAlignment="1">
      <alignment horizontal="left" vertical="top"/>
    </xf>
    <xf numFmtId="39" fontId="14" fillId="0" borderId="123" xfId="0" applyNumberFormat="1" applyFont="1" applyBorder="1" applyAlignment="1">
      <alignment horizontal="center" vertical="center" wrapText="1"/>
    </xf>
    <xf numFmtId="37" fontId="8" fillId="0" borderId="13" xfId="0" applyNumberFormat="1" applyFont="1" applyBorder="1" applyAlignment="1">
      <alignment horizontal="center" vertical="center" wrapText="1"/>
    </xf>
    <xf numFmtId="39" fontId="8" fillId="0" borderId="2" xfId="0" applyNumberFormat="1" applyFont="1" applyBorder="1" applyAlignment="1">
      <alignment horizontal="center" vertical="center" wrapText="1"/>
    </xf>
    <xf numFmtId="39" fontId="8" fillId="0" borderId="13" xfId="0" applyNumberFormat="1" applyFont="1" applyBorder="1" applyAlignment="1">
      <alignment horizontal="center" vertical="center" wrapText="1"/>
    </xf>
    <xf numFmtId="39" fontId="8" fillId="0" borderId="173" xfId="0" applyNumberFormat="1" applyFont="1" applyBorder="1" applyAlignment="1">
      <alignment horizontal="center" vertical="center" wrapText="1"/>
    </xf>
    <xf numFmtId="39" fontId="8" fillId="0" borderId="189" xfId="0" applyNumberFormat="1" applyFont="1" applyBorder="1" applyAlignment="1">
      <alignment horizontal="center" vertical="center" wrapText="1"/>
    </xf>
    <xf numFmtId="167" fontId="28" fillId="44" borderId="0" xfId="11464" applyNumberFormat="1" applyFont="1" applyFill="1" applyAlignment="1">
      <alignment horizontal="left" vertical="center"/>
    </xf>
    <xf numFmtId="167" fontId="28" fillId="44" borderId="0" xfId="11464" applyNumberFormat="1" applyFont="1" applyFill="1" applyAlignment="1">
      <alignment horizontal="center" vertical="center"/>
    </xf>
    <xf numFmtId="184" fontId="28" fillId="44" borderId="0" xfId="19" applyNumberFormat="1" applyFont="1" applyFill="1" applyAlignment="1">
      <alignment horizontal="center" vertical="center"/>
    </xf>
    <xf numFmtId="167" fontId="28" fillId="44" borderId="0" xfId="11464" quotePrefix="1" applyNumberFormat="1" applyFont="1" applyFill="1" applyAlignment="1">
      <alignment horizontal="center" vertical="center"/>
    </xf>
    <xf numFmtId="167" fontId="7" fillId="0" borderId="167" xfId="0" applyFont="1" applyBorder="1" applyAlignment="1">
      <alignment horizontal="center" vertical="center" wrapText="1"/>
    </xf>
    <xf numFmtId="167" fontId="8" fillId="0" borderId="250" xfId="0" applyFont="1" applyBorder="1" applyAlignment="1">
      <alignment horizontal="center" vertical="center" wrapText="1"/>
    </xf>
    <xf numFmtId="167" fontId="14" fillId="0" borderId="128" xfId="41054" applyFont="1" applyBorder="1" applyAlignment="1">
      <alignment horizontal="center" vertical="center"/>
    </xf>
    <xf numFmtId="167" fontId="14" fillId="0" borderId="128" xfId="41054" applyFont="1" applyBorder="1" applyAlignment="1">
      <alignment horizontal="center" vertical="center" wrapText="1"/>
    </xf>
    <xf numFmtId="0" fontId="14" fillId="0" borderId="128" xfId="0" applyNumberFormat="1" applyFont="1" applyBorder="1" applyAlignment="1">
      <alignment horizontal="center" vertical="center"/>
    </xf>
    <xf numFmtId="0" fontId="14" fillId="0" borderId="198" xfId="0" applyNumberFormat="1" applyFont="1" applyBorder="1" applyAlignment="1">
      <alignment horizontal="center" vertical="center"/>
    </xf>
    <xf numFmtId="167" fontId="14" fillId="0" borderId="252" xfId="0" applyFont="1" applyBorder="1" applyAlignment="1">
      <alignment horizontal="center" vertical="center" wrapText="1"/>
    </xf>
    <xf numFmtId="183" fontId="8" fillId="9" borderId="105" xfId="0" applyNumberFormat="1" applyFont="1" applyFill="1" applyBorder="1" applyAlignment="1">
      <alignment horizontal="center" vertical="center" wrapText="1"/>
    </xf>
    <xf numFmtId="183" fontId="7" fillId="0" borderId="105" xfId="0" applyNumberFormat="1" applyFont="1" applyBorder="1" applyAlignment="1">
      <alignment horizontal="center" vertical="center" wrapText="1"/>
    </xf>
    <xf numFmtId="0" fontId="96" fillId="0" borderId="0" xfId="0" applyNumberFormat="1" applyFont="1" applyAlignment="1">
      <alignment horizontal="left" vertical="center"/>
    </xf>
    <xf numFmtId="0" fontId="10" fillId="0" borderId="0" xfId="0" applyNumberFormat="1" applyFont="1" applyAlignment="1">
      <alignment horizontal="left" vertical="center"/>
    </xf>
    <xf numFmtId="167" fontId="9" fillId="0" borderId="108" xfId="0" applyFont="1" applyBorder="1"/>
    <xf numFmtId="0" fontId="13" fillId="0" borderId="0" xfId="0" applyNumberFormat="1" applyFont="1" applyAlignment="1">
      <alignment vertical="center"/>
    </xf>
    <xf numFmtId="0" fontId="14" fillId="34" borderId="254" xfId="0" applyNumberFormat="1" applyFont="1" applyFill="1" applyBorder="1" applyAlignment="1">
      <alignment horizontal="center" vertical="center" wrapText="1"/>
    </xf>
    <xf numFmtId="0" fontId="14" fillId="34" borderId="254" xfId="0" applyNumberFormat="1" applyFont="1" applyFill="1" applyBorder="1" applyAlignment="1">
      <alignment horizontal="center" vertical="center"/>
    </xf>
    <xf numFmtId="165" fontId="14" fillId="34" borderId="254" xfId="0" applyNumberFormat="1" applyFont="1" applyFill="1" applyBorder="1" applyAlignment="1">
      <alignment horizontal="center" vertical="center"/>
    </xf>
    <xf numFmtId="165" fontId="14" fillId="34" borderId="254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left" vertical="center"/>
    </xf>
    <xf numFmtId="165" fontId="7" fillId="0" borderId="0" xfId="21" applyFont="1" applyAlignment="1">
      <alignment horizontal="left" vertical="center"/>
    </xf>
    <xf numFmtId="10" fontId="7" fillId="0" borderId="0" xfId="19" applyNumberFormat="1" applyFont="1" applyAlignment="1">
      <alignment vertical="center"/>
    </xf>
    <xf numFmtId="165" fontId="13" fillId="0" borderId="0" xfId="0" applyNumberFormat="1" applyFont="1" applyAlignment="1">
      <alignment vertical="center"/>
    </xf>
    <xf numFmtId="0" fontId="14" fillId="34" borderId="8" xfId="0" applyNumberFormat="1" applyFont="1" applyFill="1" applyBorder="1" applyAlignment="1">
      <alignment horizontal="center" vertical="center" wrapText="1"/>
    </xf>
    <xf numFmtId="0" fontId="14" fillId="34" borderId="204" xfId="0" applyNumberFormat="1" applyFont="1" applyFill="1" applyBorder="1" applyAlignment="1">
      <alignment horizontal="center" vertical="center" wrapText="1"/>
    </xf>
    <xf numFmtId="165" fontId="13" fillId="34" borderId="0" xfId="21" applyFont="1" applyFill="1" applyAlignment="1">
      <alignment vertical="center"/>
    </xf>
    <xf numFmtId="165" fontId="13" fillId="34" borderId="0" xfId="0" applyNumberFormat="1" applyFont="1" applyFill="1" applyAlignment="1">
      <alignment vertical="center"/>
    </xf>
    <xf numFmtId="10" fontId="13" fillId="34" borderId="0" xfId="19" applyNumberFormat="1" applyFont="1" applyFill="1" applyAlignment="1">
      <alignment vertical="center"/>
    </xf>
    <xf numFmtId="0" fontId="13" fillId="34" borderId="0" xfId="0" applyNumberFormat="1" applyFont="1" applyFill="1" applyAlignment="1">
      <alignment vertical="center"/>
    </xf>
    <xf numFmtId="0" fontId="13" fillId="34" borderId="0" xfId="0" applyNumberFormat="1" applyFont="1" applyFill="1" applyAlignment="1">
      <alignment horizontal="center" vertical="center"/>
    </xf>
    <xf numFmtId="0" fontId="13" fillId="34" borderId="0" xfId="0" applyNumberFormat="1" applyFont="1" applyFill="1" applyAlignment="1">
      <alignment horizontal="right" vertical="center"/>
    </xf>
    <xf numFmtId="0" fontId="96" fillId="0" borderId="0" xfId="11593" applyFont="1" applyAlignment="1">
      <alignment vertical="center"/>
    </xf>
    <xf numFmtId="0" fontId="59" fillId="0" borderId="0" xfId="0" applyNumberFormat="1" applyFont="1" applyAlignment="1">
      <alignment horizontal="centerContinuous" vertical="center"/>
    </xf>
    <xf numFmtId="9" fontId="13" fillId="43" borderId="0" xfId="21" applyNumberFormat="1" applyFont="1" applyFill="1" applyAlignment="1">
      <alignment horizontal="center" vertical="center"/>
    </xf>
    <xf numFmtId="9" fontId="13" fillId="48" borderId="0" xfId="21" applyNumberFormat="1" applyFont="1" applyFill="1" applyAlignment="1">
      <alignment horizontal="center" vertical="center"/>
    </xf>
    <xf numFmtId="9" fontId="13" fillId="49" borderId="0" xfId="21" applyNumberFormat="1" applyFont="1" applyFill="1" applyAlignment="1">
      <alignment horizontal="center" vertical="center"/>
    </xf>
    <xf numFmtId="0" fontId="7" fillId="0" borderId="0" xfId="0" applyNumberFormat="1" applyFont="1" applyAlignment="1" applyProtection="1">
      <alignment vertical="center"/>
      <protection locked="0"/>
    </xf>
    <xf numFmtId="167" fontId="19" fillId="0" borderId="0" xfId="0" applyFont="1" applyAlignment="1" applyProtection="1">
      <alignment horizontal="left" vertical="center" wrapText="1"/>
      <protection locked="0"/>
    </xf>
    <xf numFmtId="168" fontId="17" fillId="0" borderId="0" xfId="22" quotePrefix="1" applyNumberFormat="1" applyFont="1" applyAlignment="1" applyProtection="1">
      <alignment vertical="center"/>
      <protection locked="0"/>
    </xf>
    <xf numFmtId="0" fontId="8" fillId="0" borderId="0" xfId="0" applyNumberFormat="1" applyFont="1" applyAlignment="1" applyProtection="1">
      <alignment horizontal="left" vertical="center"/>
      <protection locked="0"/>
    </xf>
    <xf numFmtId="0" fontId="8" fillId="0" borderId="0" xfId="0" applyNumberFormat="1" applyFont="1" applyAlignment="1" applyProtection="1">
      <alignment horizontal="right" vertical="center"/>
      <protection locked="0"/>
    </xf>
    <xf numFmtId="168" fontId="85" fillId="0" borderId="0" xfId="22" quotePrefix="1" applyNumberFormat="1" applyFont="1" applyAlignment="1" applyProtection="1">
      <alignment horizontal="right" vertical="center"/>
      <protection locked="0"/>
    </xf>
    <xf numFmtId="37" fontId="7" fillId="33" borderId="0" xfId="0" applyNumberFormat="1" applyFont="1" applyFill="1" applyAlignment="1" applyProtection="1">
      <alignment horizontal="center"/>
      <protection locked="0"/>
    </xf>
    <xf numFmtId="39" fontId="13" fillId="9" borderId="24" xfId="0" applyNumberFormat="1" applyFont="1" applyFill="1" applyBorder="1" applyAlignment="1">
      <alignment horizontal="center" vertical="center" wrapText="1"/>
    </xf>
    <xf numFmtId="185" fontId="7" fillId="0" borderId="0" xfId="0" applyNumberFormat="1" applyFont="1" applyAlignment="1">
      <alignment horizontal="center" vertical="center" wrapText="1"/>
    </xf>
    <xf numFmtId="185" fontId="7" fillId="9" borderId="24" xfId="0" applyNumberFormat="1" applyFont="1" applyFill="1" applyBorder="1" applyAlignment="1">
      <alignment horizontal="center" vertical="center" wrapText="1"/>
    </xf>
    <xf numFmtId="185" fontId="13" fillId="0" borderId="130" xfId="0" applyNumberFormat="1" applyFont="1" applyBorder="1" applyAlignment="1">
      <alignment horizontal="center" vertical="center" wrapText="1"/>
    </xf>
    <xf numFmtId="185" fontId="13" fillId="0" borderId="157" xfId="0" applyNumberFormat="1" applyFont="1" applyBorder="1" applyAlignment="1">
      <alignment horizontal="center" vertical="center" wrapText="1"/>
    </xf>
    <xf numFmtId="185" fontId="13" fillId="0" borderId="24" xfId="0" applyNumberFormat="1" applyFont="1" applyBorder="1" applyAlignment="1">
      <alignment horizontal="center" vertical="center" wrapText="1"/>
    </xf>
    <xf numFmtId="185" fontId="7" fillId="8" borderId="181" xfId="0" applyNumberFormat="1" applyFont="1" applyFill="1" applyBorder="1" applyAlignment="1">
      <alignment horizontal="center" vertical="center" wrapText="1"/>
    </xf>
    <xf numFmtId="185" fontId="13" fillId="9" borderId="157" xfId="0" applyNumberFormat="1" applyFont="1" applyFill="1" applyBorder="1" applyAlignment="1">
      <alignment horizontal="center" vertical="center" wrapText="1"/>
    </xf>
    <xf numFmtId="185" fontId="13" fillId="9" borderId="24" xfId="0" applyNumberFormat="1" applyFont="1" applyFill="1" applyBorder="1" applyAlignment="1">
      <alignment horizontal="center" vertical="center" wrapText="1"/>
    </xf>
    <xf numFmtId="185" fontId="8" fillId="0" borderId="181" xfId="0" applyNumberFormat="1" applyFont="1" applyBorder="1" applyAlignment="1">
      <alignment horizontal="center" vertical="center" wrapText="1"/>
    </xf>
    <xf numFmtId="185" fontId="8" fillId="0" borderId="256" xfId="0" applyNumberFormat="1" applyFont="1" applyBorder="1" applyAlignment="1">
      <alignment horizontal="center" vertical="center" wrapText="1"/>
    </xf>
    <xf numFmtId="167" fontId="8" fillId="0" borderId="248" xfId="0" applyFont="1" applyBorder="1" applyAlignment="1">
      <alignment horizontal="center" vertical="center" wrapText="1"/>
    </xf>
    <xf numFmtId="167" fontId="8" fillId="0" borderId="128" xfId="0" applyFont="1" applyBorder="1" applyAlignment="1">
      <alignment horizontal="center" vertical="center" wrapText="1"/>
    </xf>
    <xf numFmtId="9" fontId="8" fillId="9" borderId="2" xfId="19" applyFont="1" applyFill="1" applyBorder="1" applyAlignment="1">
      <alignment horizontal="center" vertical="center" wrapText="1"/>
    </xf>
    <xf numFmtId="9" fontId="7" fillId="0" borderId="0" xfId="19" applyFont="1" applyAlignment="1">
      <alignment horizontal="center" vertical="center" wrapText="1"/>
    </xf>
    <xf numFmtId="9" fontId="8" fillId="9" borderId="19" xfId="19" applyFont="1" applyFill="1" applyBorder="1" applyAlignment="1">
      <alignment horizontal="center" vertical="center" wrapText="1"/>
    </xf>
    <xf numFmtId="183" fontId="13" fillId="0" borderId="39" xfId="0" applyNumberFormat="1" applyFont="1" applyBorder="1" applyAlignment="1">
      <alignment horizontal="center" vertical="center" wrapText="1"/>
    </xf>
    <xf numFmtId="185" fontId="14" fillId="10" borderId="163" xfId="0" applyNumberFormat="1" applyFont="1" applyFill="1" applyBorder="1" applyAlignment="1">
      <alignment horizontal="center" vertical="center" wrapText="1"/>
    </xf>
    <xf numFmtId="185" fontId="13" fillId="0" borderId="162" xfId="0" applyNumberFormat="1" applyFont="1" applyBorder="1" applyAlignment="1">
      <alignment horizontal="center" vertical="center" wrapText="1"/>
    </xf>
    <xf numFmtId="185" fontId="14" fillId="9" borderId="93" xfId="0" applyNumberFormat="1" applyFont="1" applyFill="1" applyBorder="1" applyAlignment="1">
      <alignment horizontal="center" vertical="center" wrapText="1"/>
    </xf>
    <xf numFmtId="185" fontId="13" fillId="0" borderId="165" xfId="0" applyNumberFormat="1" applyFont="1" applyBorder="1" applyAlignment="1">
      <alignment horizontal="center" vertical="center" wrapText="1"/>
    </xf>
    <xf numFmtId="185" fontId="13" fillId="0" borderId="93" xfId="0" applyNumberFormat="1" applyFont="1" applyBorder="1" applyAlignment="1">
      <alignment horizontal="center" vertical="center" wrapText="1"/>
    </xf>
    <xf numFmtId="185" fontId="13" fillId="0" borderId="164" xfId="0" applyNumberFormat="1" applyFont="1" applyBorder="1" applyAlignment="1">
      <alignment horizontal="center" vertical="center" wrapText="1"/>
    </xf>
    <xf numFmtId="185" fontId="13" fillId="0" borderId="0" xfId="0" applyNumberFormat="1" applyFont="1" applyAlignment="1">
      <alignment horizontal="center" vertical="center" wrapText="1"/>
    </xf>
    <xf numFmtId="10" fontId="13" fillId="11" borderId="0" xfId="19" applyNumberFormat="1" applyFont="1" applyFill="1" applyAlignment="1">
      <alignment vertical="center"/>
    </xf>
    <xf numFmtId="165" fontId="13" fillId="11" borderId="0" xfId="0" applyNumberFormat="1" applyFont="1" applyFill="1" applyAlignment="1">
      <alignment vertical="center"/>
    </xf>
    <xf numFmtId="0" fontId="96" fillId="0" borderId="0" xfId="11593" applyFont="1" applyAlignment="1">
      <alignment horizontal="centerContinuous" vertical="center"/>
    </xf>
    <xf numFmtId="0" fontId="7" fillId="0" borderId="0" xfId="0" applyNumberFormat="1" applyFont="1" applyAlignment="1">
      <alignment horizontal="left" vertical="top" wrapText="1"/>
    </xf>
    <xf numFmtId="185" fontId="7" fillId="0" borderId="0" xfId="0" applyNumberFormat="1" applyFont="1" applyAlignment="1">
      <alignment vertical="top"/>
    </xf>
    <xf numFmtId="10" fontId="7" fillId="0" borderId="0" xfId="19" applyNumberFormat="1" applyFont="1" applyAlignment="1">
      <alignment vertical="top"/>
    </xf>
    <xf numFmtId="194" fontId="13" fillId="43" borderId="0" xfId="21" applyNumberFormat="1" applyFont="1" applyFill="1" applyAlignment="1">
      <alignment horizontal="center" vertical="center"/>
    </xf>
    <xf numFmtId="10" fontId="13" fillId="48" borderId="0" xfId="21" applyNumberFormat="1" applyFont="1" applyFill="1" applyAlignment="1">
      <alignment horizontal="center" vertical="center"/>
    </xf>
    <xf numFmtId="0" fontId="13" fillId="49" borderId="0" xfId="21" applyNumberFormat="1" applyFont="1" applyFill="1" applyAlignment="1">
      <alignment horizontal="center" vertical="center"/>
    </xf>
    <xf numFmtId="185" fontId="14" fillId="10" borderId="26" xfId="0" applyNumberFormat="1" applyFont="1" applyFill="1" applyBorder="1" applyAlignment="1">
      <alignment horizontal="center" vertical="center" wrapText="1"/>
    </xf>
    <xf numFmtId="165" fontId="13" fillId="34" borderId="263" xfId="0" applyNumberFormat="1" applyFont="1" applyFill="1" applyBorder="1" applyAlignment="1">
      <alignment horizontal="center" vertical="center" wrapText="1"/>
    </xf>
    <xf numFmtId="167" fontId="9" fillId="0" borderId="0" xfId="0" applyFont="1" applyAlignment="1">
      <alignment horizontal="center" vertical="top"/>
    </xf>
    <xf numFmtId="167" fontId="9" fillId="0" borderId="265" xfId="0" applyFont="1" applyBorder="1"/>
    <xf numFmtId="165" fontId="13" fillId="8" borderId="0" xfId="21" applyFont="1" applyFill="1" applyAlignment="1">
      <alignment horizontal="left" vertical="center"/>
    </xf>
    <xf numFmtId="0" fontId="13" fillId="8" borderId="0" xfId="0" applyNumberFormat="1" applyFont="1" applyFill="1" applyAlignment="1">
      <alignment horizontal="center" vertical="center" wrapText="1"/>
    </xf>
    <xf numFmtId="0" fontId="7" fillId="8" borderId="0" xfId="0" applyNumberFormat="1" applyFont="1" applyFill="1" applyAlignment="1">
      <alignment horizontal="center" vertical="center"/>
    </xf>
    <xf numFmtId="0" fontId="99" fillId="8" borderId="0" xfId="0" applyNumberFormat="1" applyFont="1" applyFill="1" applyAlignment="1">
      <alignment horizontal="center" vertical="center"/>
    </xf>
    <xf numFmtId="0" fontId="28" fillId="8" borderId="0" xfId="0" applyNumberFormat="1" applyFont="1" applyFill="1" applyAlignment="1">
      <alignment horizontal="left" vertical="center"/>
    </xf>
    <xf numFmtId="185" fontId="7" fillId="9" borderId="165" xfId="0" applyNumberFormat="1" applyFont="1" applyFill="1" applyBorder="1" applyAlignment="1">
      <alignment horizontal="center" vertical="center" wrapText="1"/>
    </xf>
    <xf numFmtId="185" fontId="7" fillId="9" borderId="93" xfId="0" applyNumberFormat="1" applyFont="1" applyFill="1" applyBorder="1" applyAlignment="1">
      <alignment horizontal="center" vertical="center" wrapText="1"/>
    </xf>
    <xf numFmtId="9" fontId="67" fillId="0" borderId="2" xfId="19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10" fontId="28" fillId="0" borderId="0" xfId="19" applyNumberFormat="1" applyFont="1" applyAlignment="1">
      <alignment horizontal="left" vertical="center"/>
    </xf>
    <xf numFmtId="0" fontId="101" fillId="0" borderId="0" xfId="0" applyNumberFormat="1" applyFont="1" applyAlignment="1">
      <alignment horizontal="left" vertical="center"/>
    </xf>
    <xf numFmtId="169" fontId="7" fillId="0" borderId="0" xfId="0" applyNumberFormat="1" applyFont="1" applyAlignment="1">
      <alignment horizontal="center" vertical="center" wrapText="1"/>
    </xf>
    <xf numFmtId="169" fontId="0" fillId="0" borderId="0" xfId="0" applyNumberFormat="1"/>
    <xf numFmtId="167" fontId="14" fillId="0" borderId="20" xfId="0" applyFont="1" applyBorder="1" applyAlignment="1">
      <alignment horizontal="center" vertical="center" wrapText="1"/>
    </xf>
    <xf numFmtId="167" fontId="14" fillId="0" borderId="128" xfId="0" applyFont="1" applyBorder="1" applyAlignment="1">
      <alignment horizontal="center" vertical="center" wrapText="1"/>
    </xf>
    <xf numFmtId="167" fontId="14" fillId="0" borderId="248" xfId="0" applyFont="1" applyBorder="1" applyAlignment="1">
      <alignment horizontal="center" vertical="center" wrapText="1"/>
    </xf>
    <xf numFmtId="167" fontId="26" fillId="0" borderId="0" xfId="0" applyFont="1" applyAlignment="1">
      <alignment horizontal="center" vertical="center"/>
    </xf>
    <xf numFmtId="167" fontId="14" fillId="0" borderId="90" xfId="0" applyFont="1" applyBorder="1" applyAlignment="1">
      <alignment horizontal="center" vertical="center" wrapText="1"/>
    </xf>
    <xf numFmtId="167" fontId="14" fillId="0" borderId="242" xfId="0" applyFont="1" applyBorder="1" applyAlignment="1">
      <alignment horizontal="center" vertical="center" wrapText="1"/>
    </xf>
    <xf numFmtId="167" fontId="14" fillId="0" borderId="244" xfId="0" applyFont="1" applyBorder="1" applyAlignment="1">
      <alignment horizontal="center" vertical="center" wrapText="1"/>
    </xf>
    <xf numFmtId="185" fontId="14" fillId="0" borderId="128" xfId="0" applyNumberFormat="1" applyFont="1" applyBorder="1" applyAlignment="1">
      <alignment horizontal="center" vertical="center" wrapText="1"/>
    </xf>
    <xf numFmtId="39" fontId="14" fillId="0" borderId="20" xfId="0" applyNumberFormat="1" applyFont="1" applyBorder="1" applyAlignment="1">
      <alignment horizontal="center" vertical="center" wrapText="1"/>
    </xf>
    <xf numFmtId="37" fontId="14" fillId="0" borderId="243" xfId="0" applyNumberFormat="1" applyFont="1" applyBorder="1" applyAlignment="1">
      <alignment horizontal="center" vertical="center" wrapText="1"/>
    </xf>
    <xf numFmtId="37" fontId="14" fillId="0" borderId="20" xfId="0" applyNumberFormat="1" applyFont="1" applyBorder="1" applyAlignment="1">
      <alignment horizontal="center" vertical="center" wrapText="1"/>
    </xf>
    <xf numFmtId="167" fontId="8" fillId="0" borderId="181" xfId="0" applyFont="1" applyBorder="1" applyAlignment="1">
      <alignment horizontal="center" vertical="center" wrapText="1"/>
    </xf>
    <xf numFmtId="167" fontId="14" fillId="0" borderId="200" xfId="0" applyFont="1" applyBorder="1" applyAlignment="1">
      <alignment horizontal="centerContinuous" vertical="center" wrapText="1"/>
    </xf>
    <xf numFmtId="167" fontId="14" fillId="0" borderId="197" xfId="0" applyFont="1" applyBorder="1" applyAlignment="1">
      <alignment horizontal="centerContinuous" vertical="center" wrapText="1"/>
    </xf>
    <xf numFmtId="167" fontId="14" fillId="0" borderId="20" xfId="0" applyFont="1" applyBorder="1" applyAlignment="1">
      <alignment horizontal="centerContinuous" vertical="center" wrapText="1"/>
    </xf>
    <xf numFmtId="167" fontId="14" fillId="0" borderId="128" xfId="0" applyFont="1" applyBorder="1" applyAlignment="1">
      <alignment horizontal="centerContinuous" vertical="center" wrapText="1"/>
    </xf>
    <xf numFmtId="167" fontId="14" fillId="0" borderId="198" xfId="0" applyFont="1" applyBorder="1" applyAlignment="1">
      <alignment horizontal="center" vertical="center" wrapText="1"/>
    </xf>
    <xf numFmtId="39" fontId="14" fillId="0" borderId="248" xfId="0" applyNumberFormat="1" applyFont="1" applyBorder="1" applyAlignment="1">
      <alignment horizontal="center" vertical="center" wrapText="1"/>
    </xf>
    <xf numFmtId="185" fontId="14" fillId="0" borderId="20" xfId="0" applyNumberFormat="1" applyFont="1" applyBorder="1" applyAlignment="1">
      <alignment horizontal="centerContinuous" vertical="center" wrapText="1"/>
    </xf>
    <xf numFmtId="185" fontId="14" fillId="0" borderId="243" xfId="0" applyNumberFormat="1" applyFont="1" applyBorder="1" applyAlignment="1">
      <alignment horizontal="centerContinuous" vertical="center" wrapText="1"/>
    </xf>
    <xf numFmtId="185" fontId="14" fillId="0" borderId="90" xfId="0" applyNumberFormat="1" applyFont="1" applyBorder="1" applyAlignment="1">
      <alignment horizontal="centerContinuous" vertical="center" wrapText="1"/>
    </xf>
    <xf numFmtId="185" fontId="14" fillId="0" borderId="248" xfId="0" applyNumberFormat="1" applyFont="1" applyBorder="1" applyAlignment="1">
      <alignment horizontal="centerContinuous" vertical="center" wrapText="1"/>
    </xf>
    <xf numFmtId="39" fontId="8" fillId="0" borderId="127" xfId="0" applyNumberFormat="1" applyFont="1" applyBorder="1" applyAlignment="1">
      <alignment horizontal="center" vertical="center" wrapText="1"/>
    </xf>
    <xf numFmtId="39" fontId="14" fillId="0" borderId="265" xfId="0" applyNumberFormat="1" applyFont="1" applyBorder="1" applyAlignment="1">
      <alignment horizontal="center" vertical="center" wrapText="1"/>
    </xf>
    <xf numFmtId="39" fontId="14" fillId="0" borderId="90" xfId="0" applyNumberFormat="1" applyFont="1" applyBorder="1" applyAlignment="1">
      <alignment horizontal="center" vertical="center" wrapText="1"/>
    </xf>
    <xf numFmtId="39" fontId="14" fillId="0" borderId="128" xfId="0" applyNumberFormat="1" applyFont="1" applyBorder="1" applyAlignment="1">
      <alignment horizontal="center" vertical="center" wrapText="1"/>
    </xf>
    <xf numFmtId="39" fontId="14" fillId="0" borderId="198" xfId="0" applyNumberFormat="1" applyFont="1" applyBorder="1" applyAlignment="1">
      <alignment horizontal="center" vertical="center" wrapText="1"/>
    </xf>
    <xf numFmtId="39" fontId="14" fillId="0" borderId="243" xfId="0" applyNumberFormat="1" applyFont="1" applyBorder="1" applyAlignment="1">
      <alignment horizontal="center" vertical="center" wrapText="1"/>
    </xf>
    <xf numFmtId="39" fontId="7" fillId="11" borderId="2" xfId="0" applyNumberFormat="1" applyFont="1" applyFill="1" applyBorder="1" applyAlignment="1">
      <alignment horizontal="center" vertical="center" wrapText="1"/>
    </xf>
    <xf numFmtId="167" fontId="8" fillId="11" borderId="105" xfId="0" applyFont="1" applyFill="1" applyBorder="1" applyAlignment="1">
      <alignment horizontal="center" vertical="center" wrapText="1"/>
    </xf>
    <xf numFmtId="39" fontId="7" fillId="11" borderId="19" xfId="0" applyNumberFormat="1" applyFont="1" applyFill="1" applyBorder="1" applyAlignment="1">
      <alignment horizontal="center" vertical="center" wrapText="1"/>
    </xf>
    <xf numFmtId="167" fontId="8" fillId="11" borderId="19" xfId="0" applyFont="1" applyFill="1" applyBorder="1" applyAlignment="1">
      <alignment horizontal="center" vertical="center" wrapText="1"/>
    </xf>
    <xf numFmtId="167" fontId="102" fillId="9" borderId="157" xfId="0" applyFont="1" applyFill="1" applyBorder="1" applyAlignment="1">
      <alignment horizontal="center" vertical="center" wrapText="1"/>
    </xf>
    <xf numFmtId="167" fontId="102" fillId="9" borderId="24" xfId="0" applyFont="1" applyFill="1" applyBorder="1" applyAlignment="1">
      <alignment horizontal="center" vertical="center" wrapText="1"/>
    </xf>
    <xf numFmtId="167" fontId="102" fillId="9" borderId="130" xfId="0" applyFont="1" applyFill="1" applyBorder="1" applyAlignment="1">
      <alignment horizontal="center" vertical="center" wrapText="1"/>
    </xf>
    <xf numFmtId="167" fontId="102" fillId="9" borderId="267" xfId="0" applyFont="1" applyFill="1" applyBorder="1" applyAlignment="1">
      <alignment horizontal="center" vertical="center" wrapText="1"/>
    </xf>
    <xf numFmtId="37" fontId="13" fillId="8" borderId="0" xfId="0" applyNumberFormat="1" applyFont="1" applyFill="1" applyAlignment="1">
      <alignment horizontal="center" vertical="center" wrapText="1"/>
    </xf>
    <xf numFmtId="39" fontId="7" fillId="8" borderId="0" xfId="0" applyNumberFormat="1" applyFont="1" applyFill="1" applyAlignment="1">
      <alignment horizontal="center" vertical="center" wrapText="1"/>
    </xf>
    <xf numFmtId="39" fontId="7" fillId="11" borderId="0" xfId="0" applyNumberFormat="1" applyFont="1" applyFill="1" applyAlignment="1">
      <alignment horizontal="center" vertical="center" wrapText="1"/>
    </xf>
    <xf numFmtId="40" fontId="8" fillId="0" borderId="268" xfId="21" applyNumberFormat="1" applyFont="1" applyBorder="1" applyAlignment="1">
      <alignment vertical="center"/>
    </xf>
    <xf numFmtId="167" fontId="10" fillId="10" borderId="184" xfId="41057" applyNumberFormat="1" applyFont="1" applyFill="1" applyBorder="1" applyAlignment="1" applyProtection="1">
      <alignment horizontal="center" vertical="center" wrapText="1"/>
    </xf>
    <xf numFmtId="167" fontId="14" fillId="0" borderId="109" xfId="0" applyFont="1" applyBorder="1" applyAlignment="1">
      <alignment horizontal="center" vertical="center" wrapText="1"/>
    </xf>
    <xf numFmtId="167" fontId="14" fillId="0" borderId="208" xfId="0" applyFont="1" applyBorder="1" applyAlignment="1">
      <alignment horizontal="center" vertical="center" wrapText="1"/>
    </xf>
    <xf numFmtId="167" fontId="14" fillId="10" borderId="253" xfId="41057" applyNumberFormat="1" applyFont="1" applyFill="1" applyBorder="1" applyAlignment="1" applyProtection="1">
      <alignment horizontal="center" vertical="center" wrapText="1"/>
    </xf>
    <xf numFmtId="199" fontId="8" fillId="11" borderId="0" xfId="22756" applyNumberFormat="1" applyFont="1" applyFill="1" applyAlignment="1">
      <alignment horizontal="center" vertical="center"/>
    </xf>
    <xf numFmtId="167" fontId="14" fillId="0" borderId="149" xfId="0" applyFont="1" applyBorder="1" applyAlignment="1">
      <alignment horizontal="center" vertical="center" wrapText="1"/>
    </xf>
    <xf numFmtId="167" fontId="14" fillId="0" borderId="150" xfId="0" applyFont="1" applyBorder="1" applyAlignment="1">
      <alignment horizontal="center" vertical="center" wrapText="1"/>
    </xf>
    <xf numFmtId="186" fontId="102" fillId="9" borderId="24" xfId="0" applyNumberFormat="1" applyFont="1" applyFill="1" applyBorder="1" applyAlignment="1">
      <alignment horizontal="center" vertical="center" wrapText="1"/>
    </xf>
    <xf numFmtId="183" fontId="7" fillId="0" borderId="0" xfId="0" applyNumberFormat="1" applyFont="1" applyAlignment="1">
      <alignment horizontal="center" vertical="center" wrapText="1"/>
    </xf>
    <xf numFmtId="183" fontId="14" fillId="0" borderId="128" xfId="0" applyNumberFormat="1" applyFont="1" applyBorder="1" applyAlignment="1">
      <alignment horizontal="center" vertical="center" wrapText="1"/>
    </xf>
    <xf numFmtId="183" fontId="8" fillId="0" borderId="3" xfId="0" applyNumberFormat="1" applyFont="1" applyBorder="1" applyAlignment="1">
      <alignment horizontal="center" vertical="center" wrapText="1"/>
    </xf>
    <xf numFmtId="183" fontId="7" fillId="9" borderId="157" xfId="0" applyNumberFormat="1" applyFont="1" applyFill="1" applyBorder="1" applyAlignment="1">
      <alignment horizontal="center" vertical="center" wrapText="1"/>
    </xf>
    <xf numFmtId="183" fontId="14" fillId="0" borderId="248" xfId="0" applyNumberFormat="1" applyFont="1" applyBorder="1" applyAlignment="1">
      <alignment horizontal="center" vertical="center" wrapText="1"/>
    </xf>
    <xf numFmtId="183" fontId="7" fillId="9" borderId="24" xfId="0" applyNumberFormat="1" applyFont="1" applyFill="1" applyBorder="1" applyAlignment="1">
      <alignment horizontal="center" vertical="center" wrapText="1"/>
    </xf>
    <xf numFmtId="183" fontId="7" fillId="0" borderId="19" xfId="0" applyNumberFormat="1" applyFont="1" applyBorder="1" applyAlignment="1">
      <alignment horizontal="center" vertical="center" wrapText="1"/>
    </xf>
    <xf numFmtId="183" fontId="13" fillId="0" borderId="114" xfId="0" applyNumberFormat="1" applyFont="1" applyBorder="1" applyAlignment="1">
      <alignment horizontal="center" vertical="center" wrapText="1"/>
    </xf>
    <xf numFmtId="183" fontId="14" fillId="0" borderId="198" xfId="0" applyNumberFormat="1" applyFont="1" applyBorder="1" applyAlignment="1">
      <alignment horizontal="center" vertical="center" wrapText="1"/>
    </xf>
    <xf numFmtId="183" fontId="14" fillId="0" borderId="243" xfId="0" applyNumberFormat="1" applyFont="1" applyBorder="1" applyAlignment="1">
      <alignment horizontal="center" vertical="center" wrapText="1"/>
    </xf>
    <xf numFmtId="183" fontId="7" fillId="0" borderId="3" xfId="0" applyNumberFormat="1" applyFont="1" applyBorder="1" applyAlignment="1">
      <alignment horizontal="center" vertical="center" wrapText="1"/>
    </xf>
    <xf numFmtId="183" fontId="8" fillId="9" borderId="24" xfId="0" applyNumberFormat="1" applyFont="1" applyFill="1" applyBorder="1" applyAlignment="1">
      <alignment horizontal="center" vertical="center" wrapText="1"/>
    </xf>
    <xf numFmtId="183" fontId="7" fillId="0" borderId="259" xfId="0" applyNumberFormat="1" applyFont="1" applyBorder="1" applyAlignment="1">
      <alignment horizontal="center" vertical="center" wrapText="1"/>
    </xf>
    <xf numFmtId="39" fontId="7" fillId="0" borderId="262" xfId="0" applyNumberFormat="1" applyFont="1" applyBorder="1" applyAlignment="1">
      <alignment horizontal="center" vertical="center" wrapText="1"/>
    </xf>
    <xf numFmtId="167" fontId="13" fillId="10" borderId="259" xfId="41054" applyFont="1" applyFill="1" applyBorder="1" applyAlignment="1" applyProtection="1">
      <alignment horizontal="center" vertical="center" wrapText="1"/>
      <protection locked="0"/>
    </xf>
    <xf numFmtId="167" fontId="13" fillId="10" borderId="173" xfId="41054" applyFont="1" applyFill="1" applyBorder="1" applyAlignment="1" applyProtection="1">
      <alignment horizontal="center" vertical="center" wrapText="1"/>
      <protection locked="0"/>
    </xf>
    <xf numFmtId="167" fontId="13" fillId="10" borderId="250" xfId="41054" applyFont="1" applyFill="1" applyBorder="1" applyAlignment="1" applyProtection="1">
      <alignment horizontal="center" vertical="center" wrapText="1"/>
      <protection locked="0"/>
    </xf>
    <xf numFmtId="186" fontId="13" fillId="0" borderId="81" xfId="41054" applyNumberFormat="1" applyFont="1" applyBorder="1" applyAlignment="1">
      <alignment horizontal="center" vertical="center"/>
    </xf>
    <xf numFmtId="186" fontId="13" fillId="0" borderId="2" xfId="41054" applyNumberFormat="1" applyFont="1" applyBorder="1" applyAlignment="1">
      <alignment horizontal="center" vertical="center"/>
    </xf>
    <xf numFmtId="187" fontId="7" fillId="38" borderId="81" xfId="41054" applyNumberFormat="1" applyFont="1" applyFill="1" applyBorder="1" applyAlignment="1">
      <alignment horizontal="center" vertical="center" wrapText="1"/>
    </xf>
    <xf numFmtId="187" fontId="7" fillId="38" borderId="2" xfId="41054" applyNumberFormat="1" applyFont="1" applyFill="1" applyBorder="1" applyAlignment="1">
      <alignment horizontal="center" vertical="center" wrapText="1"/>
    </xf>
    <xf numFmtId="187" fontId="7" fillId="38" borderId="242" xfId="41054" applyNumberFormat="1" applyFont="1" applyFill="1" applyBorder="1" applyAlignment="1">
      <alignment horizontal="center" vertical="center" wrapText="1"/>
    </xf>
    <xf numFmtId="182" fontId="7" fillId="0" borderId="81" xfId="41054" applyNumberFormat="1" applyFont="1" applyBorder="1" applyAlignment="1">
      <alignment horizontal="center" vertical="center"/>
    </xf>
    <xf numFmtId="182" fontId="7" fillId="0" borderId="2" xfId="41054" applyNumberFormat="1" applyFont="1" applyBorder="1" applyAlignment="1">
      <alignment horizontal="center" vertical="center"/>
    </xf>
    <xf numFmtId="182" fontId="7" fillId="0" borderId="242" xfId="41054" applyNumberFormat="1" applyFont="1" applyBorder="1" applyAlignment="1">
      <alignment horizontal="center" vertical="center"/>
    </xf>
    <xf numFmtId="182" fontId="7" fillId="38" borderId="81" xfId="41054" applyNumberFormat="1" applyFont="1" applyFill="1" applyBorder="1" applyAlignment="1">
      <alignment horizontal="center" vertical="center"/>
    </xf>
    <xf numFmtId="182" fontId="7" fillId="38" borderId="2" xfId="41054" applyNumberFormat="1" applyFont="1" applyFill="1" applyBorder="1" applyAlignment="1">
      <alignment horizontal="center" vertical="center"/>
    </xf>
    <xf numFmtId="182" fontId="7" fillId="38" borderId="242" xfId="41054" applyNumberFormat="1" applyFont="1" applyFill="1" applyBorder="1" applyAlignment="1">
      <alignment horizontal="center" vertical="center"/>
    </xf>
    <xf numFmtId="186" fontId="7" fillId="38" borderId="81" xfId="41054" applyNumberFormat="1" applyFont="1" applyFill="1" applyBorder="1" applyAlignment="1">
      <alignment horizontal="center" vertical="center"/>
    </xf>
    <xf numFmtId="186" fontId="7" fillId="38" borderId="2" xfId="41054" applyNumberFormat="1" applyFont="1" applyFill="1" applyBorder="1" applyAlignment="1">
      <alignment horizontal="center" vertical="center"/>
    </xf>
    <xf numFmtId="186" fontId="7" fillId="38" borderId="242" xfId="41054" applyNumberFormat="1" applyFont="1" applyFill="1" applyBorder="1" applyAlignment="1">
      <alignment horizontal="center" vertical="center"/>
    </xf>
    <xf numFmtId="189" fontId="7" fillId="38" borderId="81" xfId="41054" applyNumberFormat="1" applyFont="1" applyFill="1" applyBorder="1" applyAlignment="1">
      <alignment horizontal="center" vertical="center"/>
    </xf>
    <xf numFmtId="189" fontId="7" fillId="38" borderId="2" xfId="41054" applyNumberFormat="1" applyFont="1" applyFill="1" applyBorder="1" applyAlignment="1">
      <alignment horizontal="center" vertical="center"/>
    </xf>
    <xf numFmtId="189" fontId="7" fillId="38" borderId="242" xfId="41054" applyNumberFormat="1" applyFont="1" applyFill="1" applyBorder="1" applyAlignment="1">
      <alignment horizontal="center" vertical="center"/>
    </xf>
    <xf numFmtId="37" fontId="7" fillId="0" borderId="81" xfId="41054" applyNumberFormat="1" applyFont="1" applyBorder="1" applyAlignment="1">
      <alignment horizontal="center" vertical="center"/>
    </xf>
    <xf numFmtId="37" fontId="7" fillId="0" borderId="2" xfId="41054" applyNumberFormat="1" applyFont="1" applyBorder="1" applyAlignment="1">
      <alignment horizontal="center" vertical="center"/>
    </xf>
    <xf numFmtId="37" fontId="7" fillId="0" borderId="242" xfId="41054" applyNumberFormat="1" applyFont="1" applyBorder="1" applyAlignment="1">
      <alignment horizontal="center" vertical="center"/>
    </xf>
    <xf numFmtId="37" fontId="7" fillId="38" borderId="81" xfId="41054" applyNumberFormat="1" applyFont="1" applyFill="1" applyBorder="1" applyAlignment="1">
      <alignment horizontal="center" vertical="center"/>
    </xf>
    <xf numFmtId="37" fontId="7" fillId="38" borderId="2" xfId="41054" applyNumberFormat="1" applyFont="1" applyFill="1" applyBorder="1" applyAlignment="1">
      <alignment horizontal="center" vertical="center"/>
    </xf>
    <xf numFmtId="37" fontId="7" fillId="38" borderId="242" xfId="41054" applyNumberFormat="1" applyFont="1" applyFill="1" applyBorder="1" applyAlignment="1">
      <alignment horizontal="center" vertical="center"/>
    </xf>
    <xf numFmtId="37" fontId="13" fillId="0" borderId="81" xfId="41054" applyNumberFormat="1" applyFont="1" applyBorder="1" applyAlignment="1">
      <alignment horizontal="center" vertical="center"/>
    </xf>
    <xf numFmtId="37" fontId="13" fillId="0" borderId="2" xfId="41054" applyNumberFormat="1" applyFont="1" applyBorder="1" applyAlignment="1">
      <alignment horizontal="center" vertical="center"/>
    </xf>
    <xf numFmtId="37" fontId="13" fillId="0" borderId="242" xfId="41054" applyNumberFormat="1" applyFont="1" applyBorder="1" applyAlignment="1">
      <alignment horizontal="center" vertical="center"/>
    </xf>
    <xf numFmtId="186" fontId="7" fillId="38" borderId="183" xfId="41054" applyNumberFormat="1" applyFont="1" applyFill="1" applyBorder="1" applyAlignment="1">
      <alignment horizontal="center" vertical="center"/>
    </xf>
    <xf numFmtId="186" fontId="7" fillId="38" borderId="19" xfId="41054" applyNumberFormat="1" applyFont="1" applyFill="1" applyBorder="1" applyAlignment="1">
      <alignment horizontal="center" vertical="center"/>
    </xf>
    <xf numFmtId="186" fontId="7" fillId="38" borderId="248" xfId="41054" applyNumberFormat="1" applyFont="1" applyFill="1" applyBorder="1" applyAlignment="1">
      <alignment horizontal="center" vertical="center"/>
    </xf>
    <xf numFmtId="186" fontId="7" fillId="38" borderId="81" xfId="41054" applyNumberFormat="1" applyFont="1" applyFill="1" applyBorder="1" applyAlignment="1" applyProtection="1">
      <alignment horizontal="center" vertical="center"/>
      <protection locked="0"/>
    </xf>
    <xf numFmtId="186" fontId="7" fillId="38" borderId="2" xfId="41054" applyNumberFormat="1" applyFont="1" applyFill="1" applyBorder="1" applyAlignment="1" applyProtection="1">
      <alignment horizontal="center" vertical="center"/>
      <protection locked="0"/>
    </xf>
    <xf numFmtId="186" fontId="7" fillId="38" borderId="242" xfId="41054" applyNumberFormat="1" applyFont="1" applyFill="1" applyBorder="1" applyAlignment="1" applyProtection="1">
      <alignment horizontal="center" vertical="center"/>
      <protection locked="0"/>
    </xf>
    <xf numFmtId="182" fontId="7" fillId="0" borderId="14" xfId="41054" applyNumberFormat="1" applyFont="1" applyBorder="1" applyAlignment="1">
      <alignment horizontal="center" vertical="center"/>
    </xf>
    <xf numFmtId="182" fontId="7" fillId="0" borderId="16" xfId="41054" applyNumberFormat="1" applyFont="1" applyBorder="1" applyAlignment="1">
      <alignment horizontal="center" vertical="center"/>
    </xf>
    <xf numFmtId="182" fontId="7" fillId="0" borderId="243" xfId="41054" applyNumberFormat="1" applyFont="1" applyBorder="1" applyAlignment="1">
      <alignment horizontal="center" vertical="center"/>
    </xf>
    <xf numFmtId="167" fontId="61" fillId="0" borderId="0" xfId="41054" applyFont="1" applyAlignment="1">
      <alignment horizontal="center" vertical="center" wrapText="1"/>
    </xf>
    <xf numFmtId="186" fontId="7" fillId="0" borderId="89" xfId="41054" applyNumberFormat="1" applyFont="1" applyBorder="1" applyAlignment="1" applyProtection="1">
      <alignment horizontal="center" vertical="center"/>
      <protection locked="0"/>
    </xf>
    <xf numFmtId="186" fontId="7" fillId="0" borderId="89" xfId="41054" applyNumberFormat="1" applyFont="1" applyBorder="1" applyAlignment="1" applyProtection="1">
      <alignment horizontal="center" vertical="center" wrapText="1"/>
      <protection locked="0"/>
    </xf>
    <xf numFmtId="186" fontId="61" fillId="0" borderId="0" xfId="41054" applyNumberFormat="1" applyFont="1" applyAlignment="1" applyProtection="1">
      <alignment horizontal="center" vertical="center"/>
      <protection locked="0"/>
    </xf>
    <xf numFmtId="187" fontId="61" fillId="0" borderId="0" xfId="41054" applyNumberFormat="1" applyFont="1" applyAlignment="1">
      <alignment horizontal="center" vertical="center"/>
    </xf>
    <xf numFmtId="39" fontId="7" fillId="38" borderId="183" xfId="41054" applyNumberFormat="1" applyFont="1" applyFill="1" applyBorder="1" applyAlignment="1">
      <alignment horizontal="center" vertical="center"/>
    </xf>
    <xf numFmtId="39" fontId="7" fillId="38" borderId="19" xfId="41054" applyNumberFormat="1" applyFont="1" applyFill="1" applyBorder="1" applyAlignment="1">
      <alignment horizontal="center" vertical="center"/>
    </xf>
    <xf numFmtId="39" fontId="7" fillId="38" borderId="248" xfId="41054" applyNumberFormat="1" applyFont="1" applyFill="1" applyBorder="1" applyAlignment="1">
      <alignment horizontal="center" vertical="center"/>
    </xf>
    <xf numFmtId="182" fontId="7" fillId="38" borderId="183" xfId="41054" applyNumberFormat="1" applyFont="1" applyFill="1" applyBorder="1" applyAlignment="1">
      <alignment horizontal="center" vertical="center"/>
    </xf>
    <xf numFmtId="182" fontId="7" fillId="38" borderId="19" xfId="41054" applyNumberFormat="1" applyFont="1" applyFill="1" applyBorder="1" applyAlignment="1">
      <alignment horizontal="center" vertical="center"/>
    </xf>
    <xf numFmtId="182" fontId="7" fillId="38" borderId="248" xfId="41054" applyNumberFormat="1" applyFont="1" applyFill="1" applyBorder="1" applyAlignment="1">
      <alignment horizontal="center" vertical="center"/>
    </xf>
    <xf numFmtId="39" fontId="9" fillId="38" borderId="183" xfId="41054" applyNumberFormat="1" applyFont="1" applyFill="1" applyBorder="1" applyAlignment="1">
      <alignment horizontal="center" vertical="center"/>
    </xf>
    <xf numFmtId="39" fontId="9" fillId="38" borderId="19" xfId="41054" applyNumberFormat="1" applyFont="1" applyFill="1" applyBorder="1" applyAlignment="1">
      <alignment horizontal="center" vertical="center"/>
    </xf>
    <xf numFmtId="39" fontId="9" fillId="38" borderId="248" xfId="41054" applyNumberFormat="1" applyFont="1" applyFill="1" applyBorder="1" applyAlignment="1">
      <alignment horizontal="center" vertical="center"/>
    </xf>
    <xf numFmtId="186" fontId="7" fillId="38" borderId="177" xfId="41054" applyNumberFormat="1" applyFont="1" applyFill="1" applyBorder="1" applyAlignment="1">
      <alignment horizontal="center" vertical="center"/>
    </xf>
    <xf numFmtId="186" fontId="7" fillId="38" borderId="105" xfId="41054" applyNumberFormat="1" applyFont="1" applyFill="1" applyBorder="1" applyAlignment="1">
      <alignment horizontal="center" vertical="center"/>
    </xf>
    <xf numFmtId="186" fontId="7" fillId="0" borderId="0" xfId="41054" applyNumberFormat="1" applyFont="1" applyAlignment="1" applyProtection="1">
      <alignment horizontal="center" vertical="center"/>
      <protection locked="0"/>
    </xf>
    <xf numFmtId="186" fontId="7" fillId="38" borderId="198" xfId="41054" applyNumberFormat="1" applyFont="1" applyFill="1" applyBorder="1" applyAlignment="1">
      <alignment horizontal="center" vertical="center"/>
    </xf>
    <xf numFmtId="182" fontId="7" fillId="0" borderId="0" xfId="41054" applyNumberFormat="1" applyFont="1" applyAlignment="1">
      <alignment horizontal="left" vertical="center"/>
    </xf>
    <xf numFmtId="37" fontId="14" fillId="10" borderId="146" xfId="0" applyNumberFormat="1" applyFont="1" applyFill="1" applyBorder="1" applyAlignment="1">
      <alignment horizontal="center" vertical="center" wrapText="1"/>
    </xf>
    <xf numFmtId="37" fontId="14" fillId="0" borderId="128" xfId="0" applyNumberFormat="1" applyFont="1" applyBorder="1" applyAlignment="1">
      <alignment horizontal="center" vertical="center" wrapText="1"/>
    </xf>
    <xf numFmtId="40" fontId="8" fillId="0" borderId="62" xfId="21" applyNumberFormat="1" applyFont="1" applyBorder="1" applyAlignment="1">
      <alignment vertical="top"/>
    </xf>
    <xf numFmtId="185" fontId="14" fillId="0" borderId="248" xfId="0" applyNumberFormat="1" applyFont="1" applyBorder="1" applyAlignment="1">
      <alignment horizontal="center" vertical="center" wrapText="1"/>
    </xf>
    <xf numFmtId="185" fontId="7" fillId="9" borderId="164" xfId="0" applyNumberFormat="1" applyFont="1" applyFill="1" applyBorder="1" applyAlignment="1">
      <alignment horizontal="center" vertical="center" wrapText="1"/>
    </xf>
    <xf numFmtId="0" fontId="13" fillId="34" borderId="263" xfId="0" applyNumberFormat="1" applyFont="1" applyFill="1" applyBorder="1" applyAlignment="1">
      <alignment horizontal="center" vertical="center" wrapText="1"/>
    </xf>
    <xf numFmtId="0" fontId="13" fillId="34" borderId="263" xfId="0" applyNumberFormat="1" applyFont="1" applyFill="1" applyBorder="1" applyAlignment="1">
      <alignment horizontal="center" vertical="center"/>
    </xf>
    <xf numFmtId="39" fontId="7" fillId="9" borderId="0" xfId="0" applyNumberFormat="1" applyFont="1" applyFill="1" applyAlignment="1">
      <alignment horizontal="center" vertical="center" wrapText="1"/>
    </xf>
    <xf numFmtId="167" fontId="14" fillId="0" borderId="248" xfId="0" applyFont="1" applyBorder="1" applyAlignment="1">
      <alignment horizontal="centerContinuous" vertical="center" wrapText="1"/>
    </xf>
    <xf numFmtId="167" fontId="14" fillId="0" borderId="90" xfId="0" applyFont="1" applyBorder="1" applyAlignment="1">
      <alignment horizontal="centerContinuous" vertical="center" wrapText="1"/>
    </xf>
    <xf numFmtId="185" fontId="7" fillId="0" borderId="0" xfId="0" applyNumberFormat="1" applyFont="1" applyAlignment="1">
      <alignment horizontal="left" vertical="center"/>
    </xf>
    <xf numFmtId="185" fontId="7" fillId="9" borderId="130" xfId="0" applyNumberFormat="1" applyFont="1" applyFill="1" applyBorder="1" applyAlignment="1">
      <alignment horizontal="center" vertical="center" wrapText="1"/>
    </xf>
    <xf numFmtId="186" fontId="7" fillId="8" borderId="13" xfId="0" applyNumberFormat="1" applyFont="1" applyFill="1" applyBorder="1" applyAlignment="1">
      <alignment horizontal="center" vertical="center" wrapText="1"/>
    </xf>
    <xf numFmtId="186" fontId="7" fillId="8" borderId="16" xfId="0" applyNumberFormat="1" applyFont="1" applyFill="1" applyBorder="1" applyAlignment="1">
      <alignment horizontal="center" vertical="center" wrapText="1"/>
    </xf>
    <xf numFmtId="167" fontId="109" fillId="10" borderId="27" xfId="0" applyFont="1" applyFill="1" applyBorder="1" applyAlignment="1">
      <alignment horizontal="center" vertical="center" wrapText="1"/>
    </xf>
    <xf numFmtId="167" fontId="110" fillId="0" borderId="0" xfId="0" applyFont="1" applyAlignment="1">
      <alignment horizontal="center" vertical="center" wrapText="1"/>
    </xf>
    <xf numFmtId="167" fontId="109" fillId="0" borderId="0" xfId="0" applyFont="1" applyAlignment="1">
      <alignment horizontal="center" vertical="center" wrapText="1"/>
    </xf>
    <xf numFmtId="185" fontId="112" fillId="0" borderId="0" xfId="0" applyNumberFormat="1" applyFont="1" applyAlignment="1">
      <alignment horizontal="center" vertical="center" wrapText="1"/>
    </xf>
    <xf numFmtId="185" fontId="109" fillId="9" borderId="157" xfId="0" applyNumberFormat="1" applyFont="1" applyFill="1" applyBorder="1" applyAlignment="1">
      <alignment horizontal="center" vertical="center" wrapText="1"/>
    </xf>
    <xf numFmtId="167" fontId="112" fillId="0" borderId="0" xfId="0" applyFont="1" applyAlignment="1">
      <alignment horizontal="center" vertical="center" wrapText="1"/>
    </xf>
    <xf numFmtId="167" fontId="112" fillId="9" borderId="24" xfId="0" applyFont="1" applyFill="1" applyBorder="1" applyAlignment="1">
      <alignment horizontal="center" vertical="center" wrapText="1"/>
    </xf>
    <xf numFmtId="167" fontId="112" fillId="0" borderId="0" xfId="0" applyFont="1" applyAlignment="1">
      <alignment horizontal="center" vertical="center"/>
    </xf>
    <xf numFmtId="167" fontId="111" fillId="0" borderId="0" xfId="0" applyFont="1" applyAlignment="1">
      <alignment horizontal="center" vertical="center"/>
    </xf>
    <xf numFmtId="167" fontId="111" fillId="0" borderId="0" xfId="0" applyFont="1" applyAlignment="1">
      <alignment horizontal="center" vertical="center" wrapText="1"/>
    </xf>
    <xf numFmtId="0" fontId="13" fillId="34" borderId="269" xfId="0" applyNumberFormat="1" applyFont="1" applyFill="1" applyBorder="1" applyAlignment="1">
      <alignment horizontal="center" vertical="center" wrapText="1"/>
    </xf>
    <xf numFmtId="0" fontId="99" fillId="34" borderId="263" xfId="0" applyNumberFormat="1" applyFont="1" applyFill="1" applyBorder="1" applyAlignment="1">
      <alignment horizontal="center" vertical="center"/>
    </xf>
    <xf numFmtId="165" fontId="14" fillId="8" borderId="0" xfId="0" applyNumberFormat="1" applyFont="1" applyFill="1" applyAlignment="1">
      <alignment horizontal="center" vertical="center"/>
    </xf>
    <xf numFmtId="185" fontId="7" fillId="0" borderId="0" xfId="0" applyNumberFormat="1" applyFont="1" applyAlignment="1">
      <alignment horizontal="center" vertical="top"/>
    </xf>
    <xf numFmtId="0" fontId="13" fillId="0" borderId="0" xfId="21" applyNumberFormat="1" applyFont="1" applyAlignment="1">
      <alignment horizontal="center" vertical="center"/>
    </xf>
    <xf numFmtId="185" fontId="7" fillId="8" borderId="3" xfId="0" applyNumberFormat="1" applyFont="1" applyFill="1" applyBorder="1" applyAlignment="1">
      <alignment horizontal="center" vertical="center" wrapText="1"/>
    </xf>
    <xf numFmtId="167" fontId="7" fillId="0" borderId="262" xfId="0" applyFont="1" applyBorder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left" vertical="top"/>
    </xf>
    <xf numFmtId="0" fontId="67" fillId="41" borderId="0" xfId="0" applyNumberFormat="1" applyFont="1" applyFill="1" applyAlignment="1">
      <alignment horizontal="center" vertical="top"/>
    </xf>
    <xf numFmtId="184" fontId="8" fillId="0" borderId="19" xfId="22756" applyNumberFormat="1" applyFont="1" applyBorder="1" applyAlignment="1">
      <alignment horizontal="center" vertical="center"/>
    </xf>
    <xf numFmtId="0" fontId="7" fillId="0" borderId="0" xfId="0" applyNumberFormat="1" applyFont="1" applyAlignment="1">
      <alignment horizontal="left" vertical="center" wrapText="1"/>
    </xf>
    <xf numFmtId="0" fontId="13" fillId="36" borderId="0" xfId="0" applyNumberFormat="1" applyFont="1" applyFill="1" applyAlignment="1">
      <alignment horizontal="center" vertical="center"/>
    </xf>
    <xf numFmtId="0" fontId="13" fillId="36" borderId="0" xfId="0" applyNumberFormat="1" applyFont="1" applyFill="1" applyAlignment="1">
      <alignment horizontal="right" vertical="center"/>
    </xf>
    <xf numFmtId="165" fontId="13" fillId="36" borderId="0" xfId="21" applyFont="1" applyFill="1" applyAlignment="1">
      <alignment vertical="center"/>
    </xf>
    <xf numFmtId="165" fontId="13" fillId="36" borderId="0" xfId="0" applyNumberFormat="1" applyFont="1" applyFill="1" applyAlignment="1">
      <alignment vertical="center"/>
    </xf>
    <xf numFmtId="10" fontId="13" fillId="36" borderId="0" xfId="19" applyNumberFormat="1" applyFont="1" applyFill="1" applyAlignment="1">
      <alignment vertical="center"/>
    </xf>
    <xf numFmtId="0" fontId="13" fillId="36" borderId="0" xfId="0" applyNumberFormat="1" applyFont="1" applyFill="1" applyAlignment="1">
      <alignment vertical="center"/>
    </xf>
    <xf numFmtId="165" fontId="7" fillId="0" borderId="0" xfId="0" applyNumberFormat="1" applyFont="1" applyAlignment="1">
      <alignment horizontal="center" vertical="center"/>
    </xf>
    <xf numFmtId="165" fontId="13" fillId="34" borderId="0" xfId="0" applyNumberFormat="1" applyFont="1" applyFill="1" applyAlignment="1">
      <alignment horizontal="center" vertical="center"/>
    </xf>
    <xf numFmtId="165" fontId="7" fillId="0" borderId="0" xfId="21" applyFont="1" applyAlignment="1">
      <alignment horizontal="center" vertical="center"/>
    </xf>
    <xf numFmtId="165" fontId="13" fillId="34" borderId="0" xfId="21" applyFont="1" applyFill="1" applyAlignment="1">
      <alignment horizontal="center" vertical="center"/>
    </xf>
    <xf numFmtId="165" fontId="13" fillId="36" borderId="0" xfId="21" applyFont="1" applyFill="1" applyAlignment="1">
      <alignment horizontal="center" vertical="center"/>
    </xf>
    <xf numFmtId="167" fontId="8" fillId="47" borderId="0" xfId="11464" applyNumberFormat="1" applyFont="1" applyFill="1" applyAlignment="1">
      <alignment horizontal="center" vertical="center"/>
    </xf>
    <xf numFmtId="201" fontId="8" fillId="0" borderId="86" xfId="22756" applyNumberFormat="1" applyFont="1" applyBorder="1" applyAlignment="1">
      <alignment horizontal="center" vertical="center" wrapText="1"/>
    </xf>
    <xf numFmtId="201" fontId="8" fillId="0" borderId="0" xfId="19" applyNumberFormat="1" applyFont="1" applyAlignment="1">
      <alignment horizontal="center" vertical="center"/>
    </xf>
    <xf numFmtId="186" fontId="8" fillId="47" borderId="0" xfId="11464" applyNumberFormat="1" applyFont="1" applyFill="1" applyAlignment="1">
      <alignment horizontal="center" vertical="center"/>
    </xf>
    <xf numFmtId="167" fontId="8" fillId="47" borderId="0" xfId="11464" applyNumberFormat="1" applyFont="1" applyFill="1" applyAlignment="1">
      <alignment vertical="center"/>
    </xf>
    <xf numFmtId="202" fontId="8" fillId="9" borderId="0" xfId="11464" applyNumberFormat="1" applyFont="1" applyFill="1" applyAlignment="1">
      <alignment vertical="center"/>
    </xf>
    <xf numFmtId="193" fontId="13" fillId="8" borderId="0" xfId="21" applyNumberFormat="1" applyFont="1" applyFill="1" applyAlignment="1">
      <alignment vertical="center" wrapText="1"/>
    </xf>
    <xf numFmtId="37" fontId="22" fillId="0" borderId="0" xfId="23422" applyNumberFormat="1" applyFont="1" applyAlignment="1">
      <alignment horizontal="left" vertical="top"/>
    </xf>
    <xf numFmtId="0" fontId="13" fillId="0" borderId="0" xfId="14471" applyFont="1" applyAlignment="1">
      <alignment vertical="center"/>
    </xf>
    <xf numFmtId="0" fontId="7" fillId="0" borderId="0" xfId="14471" applyFont="1" applyAlignment="1">
      <alignment vertical="center"/>
    </xf>
    <xf numFmtId="0" fontId="7" fillId="0" borderId="0" xfId="14471" applyFont="1"/>
    <xf numFmtId="40" fontId="14" fillId="32" borderId="0" xfId="23422" applyFont="1" applyFill="1" applyAlignment="1">
      <alignment horizontal="center" vertical="center"/>
    </xf>
    <xf numFmtId="0" fontId="13" fillId="0" borderId="0" xfId="14471" applyFont="1" applyAlignment="1">
      <alignment horizontal="right" vertical="center"/>
    </xf>
    <xf numFmtId="40" fontId="8" fillId="32" borderId="0" xfId="23422" applyFont="1" applyFill="1" applyAlignment="1">
      <alignment horizontal="center" vertical="center"/>
    </xf>
    <xf numFmtId="40" fontId="8" fillId="0" borderId="0" xfId="23422" applyFont="1" applyAlignment="1">
      <alignment horizontal="center" vertical="center"/>
    </xf>
    <xf numFmtId="0" fontId="7" fillId="0" borderId="0" xfId="14471" applyFont="1" applyAlignment="1">
      <alignment horizontal="center" vertical="center"/>
    </xf>
    <xf numFmtId="40" fontId="8" fillId="0" borderId="0" xfId="23422" quotePrefix="1" applyFont="1" applyAlignment="1">
      <alignment horizontal="center" vertical="center" wrapText="1"/>
    </xf>
    <xf numFmtId="0" fontId="7" fillId="0" borderId="0" xfId="14471" applyFont="1" applyAlignment="1">
      <alignment horizontal="right" vertical="center"/>
    </xf>
    <xf numFmtId="40" fontId="7" fillId="0" borderId="0" xfId="14471" applyNumberFormat="1" applyFont="1" applyAlignment="1">
      <alignment horizontal="center" vertical="center"/>
    </xf>
    <xf numFmtId="167" fontId="13" fillId="0" borderId="0" xfId="0" applyFont="1"/>
    <xf numFmtId="174" fontId="8" fillId="0" borderId="0" xfId="23422" applyNumberFormat="1" applyFont="1" applyAlignment="1">
      <alignment horizontal="center" vertical="center"/>
    </xf>
    <xf numFmtId="0" fontId="7" fillId="0" borderId="0" xfId="14471" applyFont="1" applyAlignment="1">
      <alignment horizontal="left" vertical="center"/>
    </xf>
    <xf numFmtId="38" fontId="8" fillId="0" borderId="0" xfId="23422" applyNumberFormat="1" applyFont="1" applyAlignment="1">
      <alignment horizontal="left" vertical="center"/>
    </xf>
    <xf numFmtId="181" fontId="8" fillId="0" borderId="0" xfId="23422" applyNumberFormat="1" applyFont="1" applyAlignment="1">
      <alignment horizontal="left" vertical="center"/>
    </xf>
    <xf numFmtId="4" fontId="7" fillId="0" borderId="0" xfId="14471" applyNumberFormat="1" applyFont="1"/>
    <xf numFmtId="40" fontId="60" fillId="0" borderId="0" xfId="23422" applyFont="1" applyAlignment="1">
      <alignment horizontal="centerContinuous" vertical="center" wrapText="1"/>
    </xf>
    <xf numFmtId="38" fontId="8" fillId="0" borderId="0" xfId="23422" quotePrefix="1" applyNumberFormat="1" applyFont="1" applyAlignment="1">
      <alignment horizontal="centerContinuous" vertical="center" wrapText="1"/>
    </xf>
    <xf numFmtId="203" fontId="7" fillId="0" borderId="0" xfId="14471" applyNumberFormat="1" applyFont="1"/>
    <xf numFmtId="0" fontId="7" fillId="0" borderId="0" xfId="14471" quotePrefix="1" applyFont="1" applyAlignment="1">
      <alignment vertical="center"/>
    </xf>
    <xf numFmtId="4" fontId="7" fillId="0" borderId="0" xfId="14471" applyNumberFormat="1" applyFont="1" applyAlignment="1">
      <alignment horizontal="right" vertical="center"/>
    </xf>
    <xf numFmtId="0" fontId="13" fillId="0" borderId="0" xfId="14471" applyFont="1"/>
    <xf numFmtId="0" fontId="13" fillId="0" borderId="0" xfId="0" applyNumberFormat="1" applyFont="1"/>
    <xf numFmtId="0" fontId="7" fillId="0" borderId="0" xfId="0" applyNumberFormat="1" applyFont="1"/>
    <xf numFmtId="2" fontId="7" fillId="0" borderId="0" xfId="14471" applyNumberFormat="1" applyFont="1"/>
    <xf numFmtId="2" fontId="7" fillId="0" borderId="0" xfId="0" applyNumberFormat="1" applyFont="1" applyAlignment="1">
      <alignment horizontal="center"/>
    </xf>
    <xf numFmtId="204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2" fontId="7" fillId="0" borderId="0" xfId="14471" applyNumberFormat="1" applyFont="1" applyAlignment="1">
      <alignment horizontal="center" vertical="center"/>
    </xf>
    <xf numFmtId="4" fontId="7" fillId="0" borderId="0" xfId="0" applyNumberFormat="1" applyFont="1"/>
    <xf numFmtId="205" fontId="85" fillId="0" borderId="0" xfId="22" quotePrefix="1" applyNumberFormat="1" applyFont="1" applyAlignment="1" applyProtection="1">
      <alignment vertical="center"/>
      <protection locked="0"/>
    </xf>
    <xf numFmtId="0" fontId="13" fillId="39" borderId="0" xfId="14471" applyFont="1" applyFill="1" applyAlignment="1">
      <alignment vertical="center"/>
    </xf>
    <xf numFmtId="0" fontId="7" fillId="39" borderId="0" xfId="14471" applyFont="1" applyFill="1" applyAlignment="1">
      <alignment vertical="center"/>
    </xf>
    <xf numFmtId="37" fontId="117" fillId="0" borderId="44" xfId="23422" applyNumberFormat="1" applyFont="1" applyBorder="1" applyAlignment="1">
      <alignment horizontal="center" vertical="center"/>
    </xf>
    <xf numFmtId="0" fontId="117" fillId="0" borderId="0" xfId="23422" applyNumberFormat="1" applyFont="1" applyAlignment="1">
      <alignment horizontal="center" vertical="center"/>
    </xf>
    <xf numFmtId="0" fontId="7" fillId="0" borderId="0" xfId="14471" quotePrefix="1" applyFont="1" applyAlignment="1">
      <alignment horizontal="right" vertical="center"/>
    </xf>
    <xf numFmtId="206" fontId="7" fillId="0" borderId="0" xfId="14471" quotePrefix="1" applyNumberFormat="1" applyFont="1" applyAlignment="1">
      <alignment horizontal="left" vertical="center"/>
    </xf>
    <xf numFmtId="207" fontId="7" fillId="0" borderId="0" xfId="14471" applyNumberFormat="1" applyFont="1" applyAlignment="1">
      <alignment horizontal="left" vertical="center"/>
    </xf>
    <xf numFmtId="0" fontId="7" fillId="0" borderId="0" xfId="0" quotePrefix="1" applyNumberFormat="1" applyFont="1"/>
    <xf numFmtId="2" fontId="7" fillId="0" borderId="59" xfId="14471" applyNumberFormat="1" applyFont="1" applyBorder="1" applyAlignment="1">
      <alignment horizontal="center" vertical="center"/>
    </xf>
    <xf numFmtId="0" fontId="7" fillId="0" borderId="227" xfId="14471" applyFont="1" applyBorder="1" applyAlignment="1">
      <alignment horizontal="center" vertical="center"/>
    </xf>
    <xf numFmtId="2" fontId="7" fillId="0" borderId="227" xfId="14471" applyNumberFormat="1" applyFont="1" applyBorder="1" applyAlignment="1">
      <alignment horizontal="center" vertical="center"/>
    </xf>
    <xf numFmtId="0" fontId="7" fillId="0" borderId="227" xfId="14471" applyFont="1" applyBorder="1" applyAlignment="1">
      <alignment horizontal="center"/>
    </xf>
    <xf numFmtId="4" fontId="7" fillId="0" borderId="227" xfId="14471" applyNumberFormat="1" applyFont="1" applyBorder="1" applyAlignment="1">
      <alignment horizontal="center" vertical="center"/>
    </xf>
    <xf numFmtId="0" fontId="7" fillId="0" borderId="227" xfId="14471" applyFont="1" applyBorder="1" applyAlignment="1">
      <alignment horizontal="center" vertical="center" wrapText="1"/>
    </xf>
    <xf numFmtId="0" fontId="7" fillId="0" borderId="59" xfId="14471" applyFont="1" applyBorder="1" applyAlignment="1">
      <alignment horizontal="center" vertical="center"/>
    </xf>
    <xf numFmtId="0" fontId="7" fillId="0" borderId="59" xfId="14471" applyFont="1" applyBorder="1" applyAlignment="1">
      <alignment horizontal="center"/>
    </xf>
    <xf numFmtId="4" fontId="7" fillId="0" borderId="59" xfId="14471" applyNumberFormat="1" applyFont="1" applyBorder="1" applyAlignment="1">
      <alignment horizontal="center" vertical="center"/>
    </xf>
    <xf numFmtId="0" fontId="7" fillId="39" borderId="269" xfId="14471" applyFont="1" applyFill="1" applyBorder="1" applyAlignment="1">
      <alignment horizontal="center" vertical="center"/>
    </xf>
    <xf numFmtId="0" fontId="7" fillId="39" borderId="263" xfId="14471" applyFont="1" applyFill="1" applyBorder="1" applyAlignment="1">
      <alignment horizontal="center" vertical="center"/>
    </xf>
    <xf numFmtId="0" fontId="7" fillId="39" borderId="264" xfId="14471" applyFont="1" applyFill="1" applyBorder="1" applyAlignment="1">
      <alignment horizontal="center" vertical="center"/>
    </xf>
    <xf numFmtId="40" fontId="8" fillId="0" borderId="271" xfId="23422" applyFont="1" applyBorder="1" applyAlignment="1">
      <alignment horizontal="right" vertical="center"/>
    </xf>
    <xf numFmtId="181" fontId="8" fillId="0" borderId="271" xfId="23422" applyNumberFormat="1" applyFont="1" applyBorder="1" applyAlignment="1">
      <alignment horizontal="left" vertical="center"/>
    </xf>
    <xf numFmtId="38" fontId="8" fillId="0" borderId="271" xfId="23422" applyNumberFormat="1" applyFont="1" applyBorder="1" applyAlignment="1">
      <alignment horizontal="left" vertical="center"/>
    </xf>
    <xf numFmtId="40" fontId="8" fillId="0" borderId="227" xfId="23422" applyFont="1" applyBorder="1" applyAlignment="1">
      <alignment horizontal="right" vertical="center"/>
    </xf>
    <xf numFmtId="181" fontId="8" fillId="0" borderId="227" xfId="23422" applyNumberFormat="1" applyFont="1" applyBorder="1" applyAlignment="1">
      <alignment horizontal="left" vertical="center"/>
    </xf>
    <xf numFmtId="38" fontId="13" fillId="0" borderId="227" xfId="23422" applyNumberFormat="1" applyFont="1" applyBorder="1" applyAlignment="1">
      <alignment horizontal="left" vertical="center"/>
    </xf>
    <xf numFmtId="40" fontId="8" fillId="0" borderId="227" xfId="23422" applyFont="1" applyBorder="1" applyAlignment="1">
      <alignment horizontal="right" vertical="center" wrapText="1"/>
    </xf>
    <xf numFmtId="0" fontId="7" fillId="39" borderId="67" xfId="0" applyNumberFormat="1" applyFont="1" applyFill="1" applyBorder="1" applyAlignment="1">
      <alignment horizontal="centerContinuous" vertical="center"/>
    </xf>
    <xf numFmtId="49" fontId="8" fillId="39" borderId="203" xfId="0" applyNumberFormat="1" applyFont="1" applyFill="1" applyBorder="1" applyAlignment="1">
      <alignment horizontal="center" vertical="center"/>
    </xf>
    <xf numFmtId="49" fontId="8" fillId="39" borderId="8" xfId="0" applyNumberFormat="1" applyFont="1" applyFill="1" applyBorder="1" applyAlignment="1">
      <alignment horizontal="center" vertical="center"/>
    </xf>
    <xf numFmtId="0" fontId="30" fillId="39" borderId="8" xfId="0" applyNumberFormat="1" applyFont="1" applyFill="1" applyBorder="1" applyAlignment="1">
      <alignment horizontal="center" vertical="center" wrapText="1"/>
    </xf>
    <xf numFmtId="49" fontId="8" fillId="39" borderId="204" xfId="0" applyNumberFormat="1" applyFont="1" applyFill="1" applyBorder="1" applyAlignment="1">
      <alignment horizontal="center" vertical="center"/>
    </xf>
    <xf numFmtId="49" fontId="8" fillId="39" borderId="8" xfId="0" applyNumberFormat="1" applyFont="1" applyFill="1" applyBorder="1" applyAlignment="1">
      <alignment horizontal="center" vertical="center" wrapText="1"/>
    </xf>
    <xf numFmtId="2" fontId="7" fillId="0" borderId="227" xfId="0" applyNumberFormat="1" applyFont="1" applyBorder="1" applyAlignment="1">
      <alignment horizontal="center"/>
    </xf>
    <xf numFmtId="204" fontId="7" fillId="0" borderId="227" xfId="0" applyNumberFormat="1" applyFont="1" applyBorder="1" applyAlignment="1">
      <alignment horizontal="center"/>
    </xf>
    <xf numFmtId="1" fontId="7" fillId="0" borderId="227" xfId="0" applyNumberFormat="1" applyFont="1" applyBorder="1" applyAlignment="1">
      <alignment horizontal="center"/>
    </xf>
    <xf numFmtId="49" fontId="8" fillId="39" borderId="204" xfId="0" applyNumberFormat="1" applyFont="1" applyFill="1" applyBorder="1" applyAlignment="1">
      <alignment horizontal="center" vertical="center" wrapText="1"/>
    </xf>
    <xf numFmtId="0" fontId="7" fillId="0" borderId="0" xfId="14471" quotePrefix="1" applyFont="1" applyAlignment="1">
      <alignment horizontal="center" vertical="center"/>
    </xf>
    <xf numFmtId="167" fontId="119" fillId="0" borderId="0" xfId="0" applyFont="1" applyAlignment="1">
      <alignment horizontal="right" vertical="center"/>
    </xf>
    <xf numFmtId="49" fontId="8" fillId="39" borderId="203" xfId="0" applyNumberFormat="1" applyFont="1" applyFill="1" applyBorder="1" applyAlignment="1">
      <alignment horizontal="center" vertical="center" wrapText="1"/>
    </xf>
    <xf numFmtId="2" fontId="7" fillId="0" borderId="59" xfId="0" applyNumberFormat="1" applyFont="1" applyBorder="1" applyAlignment="1">
      <alignment horizontal="center" vertical="center"/>
    </xf>
    <xf numFmtId="0" fontId="7" fillId="39" borderId="201" xfId="0" applyNumberFormat="1" applyFont="1" applyFill="1" applyBorder="1" applyAlignment="1">
      <alignment horizontal="centerContinuous" vertical="center"/>
    </xf>
    <xf numFmtId="186" fontId="7" fillId="0" borderId="59" xfId="0" applyNumberFormat="1" applyFont="1" applyBorder="1" applyAlignment="1">
      <alignment horizontal="center" vertical="center"/>
    </xf>
    <xf numFmtId="167" fontId="30" fillId="39" borderId="8" xfId="0" applyFont="1" applyFill="1" applyBorder="1" applyAlignment="1">
      <alignment horizontal="center" vertical="center" wrapText="1"/>
    </xf>
    <xf numFmtId="167" fontId="119" fillId="0" borderId="0" xfId="0" applyFont="1" applyAlignment="1">
      <alignment horizontal="left" vertical="center"/>
    </xf>
    <xf numFmtId="37" fontId="13" fillId="0" borderId="0" xfId="23422" applyNumberFormat="1" applyFont="1" applyAlignment="1">
      <alignment horizontal="left" vertical="center"/>
    </xf>
    <xf numFmtId="164" fontId="28" fillId="44" borderId="0" xfId="41059" applyFont="1" applyFill="1" applyAlignment="1">
      <alignment horizontal="center" vertical="center"/>
    </xf>
    <xf numFmtId="39" fontId="7" fillId="50" borderId="2" xfId="0" applyNumberFormat="1" applyFont="1" applyFill="1" applyBorder="1" applyAlignment="1">
      <alignment horizontal="center" vertical="center" wrapText="1"/>
    </xf>
    <xf numFmtId="39" fontId="7" fillId="50" borderId="19" xfId="0" applyNumberFormat="1" applyFont="1" applyFill="1" applyBorder="1" applyAlignment="1">
      <alignment horizontal="center" vertical="center" wrapText="1"/>
    </xf>
    <xf numFmtId="186" fontId="120" fillId="9" borderId="130" xfId="0" applyNumberFormat="1" applyFont="1" applyFill="1" applyBorder="1" applyAlignment="1">
      <alignment horizontal="center" vertical="center" wrapText="1"/>
    </xf>
    <xf numFmtId="186" fontId="120" fillId="9" borderId="24" xfId="0" applyNumberFormat="1" applyFont="1" applyFill="1" applyBorder="1" applyAlignment="1">
      <alignment horizontal="center" vertical="center" wrapText="1"/>
    </xf>
    <xf numFmtId="167" fontId="14" fillId="0" borderId="149" xfId="0" applyFont="1" applyBorder="1" applyAlignment="1">
      <alignment horizontal="centerContinuous" vertical="center" wrapText="1"/>
    </xf>
    <xf numFmtId="186" fontId="7" fillId="0" borderId="2" xfId="0" applyNumberFormat="1" applyFont="1" applyBorder="1" applyAlignment="1">
      <alignment horizontal="center" vertical="center" wrapText="1"/>
    </xf>
    <xf numFmtId="186" fontId="7" fillId="9" borderId="157" xfId="0" applyNumberFormat="1" applyFont="1" applyFill="1" applyBorder="1" applyAlignment="1">
      <alignment horizontal="center" vertical="center" wrapText="1"/>
    </xf>
    <xf numFmtId="167" fontId="8" fillId="0" borderId="4" xfId="0" applyFont="1" applyBorder="1" applyAlignment="1">
      <alignment horizontal="left" vertical="top" wrapText="1"/>
    </xf>
    <xf numFmtId="167" fontId="8" fillId="0" borderId="0" xfId="0" applyFont="1" applyAlignment="1">
      <alignment horizontal="left" vertical="top" wrapText="1"/>
    </xf>
    <xf numFmtId="40" fontId="7" fillId="0" borderId="2" xfId="21" applyNumberFormat="1" applyFont="1" applyBorder="1" applyAlignment="1">
      <alignment horizontal="center" vertical="top"/>
    </xf>
    <xf numFmtId="40" fontId="8" fillId="0" borderId="2" xfId="21" applyNumberFormat="1" applyFont="1" applyBorder="1" applyAlignment="1">
      <alignment horizontal="center" vertical="top"/>
    </xf>
    <xf numFmtId="40" fontId="8" fillId="0" borderId="2" xfId="21" applyNumberFormat="1" applyFont="1" applyBorder="1" applyAlignment="1">
      <alignment horizontal="center" vertical="top" wrapText="1"/>
    </xf>
    <xf numFmtId="185" fontId="14" fillId="0" borderId="20" xfId="0" applyNumberFormat="1" applyFont="1" applyBorder="1" applyAlignment="1">
      <alignment horizontal="center" vertical="center" wrapText="1"/>
    </xf>
    <xf numFmtId="185" fontId="14" fillId="0" borderId="128" xfId="0" applyNumberFormat="1" applyFont="1" applyBorder="1" applyAlignment="1">
      <alignment horizontal="centerContinuous" vertical="center" wrapText="1"/>
    </xf>
    <xf numFmtId="185" fontId="14" fillId="0" borderId="243" xfId="0" applyNumberFormat="1" applyFont="1" applyBorder="1" applyAlignment="1">
      <alignment horizontal="center" vertical="center" wrapText="1"/>
    </xf>
    <xf numFmtId="185" fontId="14" fillId="0" borderId="90" xfId="0" applyNumberFormat="1" applyFont="1" applyBorder="1" applyAlignment="1">
      <alignment horizontal="center" vertical="center" wrapText="1"/>
    </xf>
    <xf numFmtId="0" fontId="122" fillId="0" borderId="0" xfId="0" applyNumberFormat="1" applyFont="1" applyAlignment="1">
      <alignment horizontal="left" vertical="center"/>
    </xf>
    <xf numFmtId="0" fontId="123" fillId="0" borderId="0" xfId="0" applyNumberFormat="1" applyFont="1" applyAlignment="1">
      <alignment horizontal="left" vertical="center"/>
    </xf>
    <xf numFmtId="0" fontId="124" fillId="0" borderId="0" xfId="0" applyNumberFormat="1" applyFont="1" applyAlignment="1">
      <alignment vertical="top"/>
    </xf>
    <xf numFmtId="0" fontId="126" fillId="0" borderId="0" xfId="0" applyNumberFormat="1" applyFont="1" applyAlignment="1">
      <alignment horizontal="center" vertical="top"/>
    </xf>
    <xf numFmtId="0" fontId="124" fillId="0" borderId="0" xfId="0" applyNumberFormat="1" applyFont="1" applyAlignment="1">
      <alignment horizontal="center" vertical="top"/>
    </xf>
    <xf numFmtId="0" fontId="124" fillId="0" borderId="0" xfId="0" applyNumberFormat="1" applyFont="1" applyAlignment="1">
      <alignment horizontal="center" vertical="center"/>
    </xf>
    <xf numFmtId="0" fontId="128" fillId="0" borderId="0" xfId="0" applyNumberFormat="1" applyFont="1" applyAlignment="1">
      <alignment horizontal="left" vertical="center"/>
    </xf>
    <xf numFmtId="0" fontId="129" fillId="0" borderId="0" xfId="0" applyNumberFormat="1" applyFont="1" applyAlignment="1">
      <alignment horizontal="center" vertical="top"/>
    </xf>
    <xf numFmtId="0" fontId="128" fillId="0" borderId="0" xfId="0" applyNumberFormat="1" applyFont="1" applyAlignment="1">
      <alignment vertical="top"/>
    </xf>
    <xf numFmtId="0" fontId="131" fillId="0" borderId="0" xfId="0" applyNumberFormat="1" applyFont="1" applyAlignment="1">
      <alignment vertical="top"/>
    </xf>
    <xf numFmtId="165" fontId="131" fillId="0" borderId="0" xfId="21" applyFont="1" applyAlignment="1">
      <alignment vertical="top"/>
    </xf>
    <xf numFmtId="0" fontId="132" fillId="0" borderId="0" xfId="0" applyNumberFormat="1" applyFont="1" applyAlignment="1">
      <alignment horizontal="left" vertical="center"/>
    </xf>
    <xf numFmtId="0" fontId="132" fillId="0" borderId="0" xfId="0" applyNumberFormat="1" applyFont="1" applyAlignment="1">
      <alignment horizontal="left" vertical="top"/>
    </xf>
    <xf numFmtId="0" fontId="132" fillId="0" borderId="0" xfId="29073" applyFont="1" applyAlignment="1">
      <alignment horizontal="left" vertical="top"/>
    </xf>
    <xf numFmtId="0" fontId="132" fillId="0" borderId="0" xfId="0" applyNumberFormat="1" applyFont="1" applyAlignment="1">
      <alignment vertical="top"/>
    </xf>
    <xf numFmtId="0" fontId="123" fillId="0" borderId="0" xfId="0" applyNumberFormat="1" applyFont="1" applyAlignment="1">
      <alignment horizontal="centerContinuous" vertical="center"/>
    </xf>
    <xf numFmtId="165" fontId="124" fillId="0" borderId="0" xfId="21" applyFont="1" applyAlignment="1">
      <alignment horizontal="centerContinuous" vertical="center"/>
    </xf>
    <xf numFmtId="0" fontId="132" fillId="34" borderId="269" xfId="0" applyNumberFormat="1" applyFont="1" applyFill="1" applyBorder="1" applyAlignment="1">
      <alignment horizontal="center" vertical="center"/>
    </xf>
    <xf numFmtId="0" fontId="132" fillId="34" borderId="263" xfId="0" applyNumberFormat="1" applyFont="1" applyFill="1" applyBorder="1" applyAlignment="1">
      <alignment horizontal="center" vertical="center" wrapText="1"/>
    </xf>
    <xf numFmtId="0" fontId="132" fillId="34" borderId="263" xfId="0" applyNumberFormat="1" applyFont="1" applyFill="1" applyBorder="1" applyAlignment="1">
      <alignment horizontal="center" vertical="center"/>
    </xf>
    <xf numFmtId="165" fontId="132" fillId="34" borderId="263" xfId="0" applyNumberFormat="1" applyFont="1" applyFill="1" applyBorder="1" applyAlignment="1">
      <alignment horizontal="center" vertical="center" wrapText="1"/>
    </xf>
    <xf numFmtId="0" fontId="132" fillId="34" borderId="264" xfId="0" applyNumberFormat="1" applyFont="1" applyFill="1" applyBorder="1" applyAlignment="1">
      <alignment horizontal="center" vertical="center"/>
    </xf>
    <xf numFmtId="0" fontId="124" fillId="0" borderId="0" xfId="0" applyNumberFormat="1" applyFont="1" applyAlignment="1">
      <alignment vertical="center"/>
    </xf>
    <xf numFmtId="0" fontId="124" fillId="0" borderId="2" xfId="17" applyFont="1" applyBorder="1" applyAlignment="1">
      <alignment horizontal="center" vertical="top" wrapText="1"/>
    </xf>
    <xf numFmtId="0" fontId="124" fillId="0" borderId="2" xfId="17" applyFont="1" applyBorder="1" applyAlignment="1">
      <alignment horizontal="left" vertical="top" wrapText="1"/>
    </xf>
    <xf numFmtId="0" fontId="127" fillId="0" borderId="2" xfId="17" applyFont="1" applyBorder="1" applyAlignment="1">
      <alignment horizontal="center" vertical="top" wrapText="1"/>
    </xf>
    <xf numFmtId="165" fontId="124" fillId="0" borderId="2" xfId="21" applyFont="1" applyBorder="1" applyAlignment="1">
      <alignment horizontal="right" vertical="top" wrapText="1"/>
    </xf>
    <xf numFmtId="165" fontId="124" fillId="0" borderId="2" xfId="23420" applyFont="1" applyBorder="1" applyAlignment="1">
      <alignment horizontal="center" vertical="top" wrapText="1"/>
    </xf>
    <xf numFmtId="165" fontId="124" fillId="0" borderId="2" xfId="21" applyFont="1" applyBorder="1" applyAlignment="1">
      <alignment vertical="top" wrapText="1"/>
    </xf>
    <xf numFmtId="0" fontId="124" fillId="0" borderId="2" xfId="17" quotePrefix="1" applyFont="1" applyBorder="1" applyAlignment="1">
      <alignment horizontal="center" vertical="top" wrapText="1"/>
    </xf>
    <xf numFmtId="0" fontId="124" fillId="0" borderId="2" xfId="18" applyFont="1" applyBorder="1" applyAlignment="1">
      <alignment horizontal="center" vertical="top" wrapText="1"/>
    </xf>
    <xf numFmtId="165" fontId="124" fillId="0" borderId="0" xfId="0" applyNumberFormat="1" applyFont="1" applyAlignment="1">
      <alignment vertical="center"/>
    </xf>
    <xf numFmtId="167" fontId="124" fillId="0" borderId="0" xfId="0" applyFont="1" applyAlignment="1">
      <alignment vertical="center"/>
    </xf>
    <xf numFmtId="167" fontId="124" fillId="0" borderId="0" xfId="0" applyFont="1" applyAlignment="1">
      <alignment vertical="top"/>
    </xf>
    <xf numFmtId="167" fontId="134" fillId="0" borderId="0" xfId="0" applyFont="1" applyAlignment="1">
      <alignment vertical="top"/>
    </xf>
    <xf numFmtId="0" fontId="132" fillId="0" borderId="0" xfId="17" applyFont="1" applyAlignment="1">
      <alignment vertical="center" wrapText="1"/>
    </xf>
    <xf numFmtId="165" fontId="134" fillId="0" borderId="0" xfId="21" applyFont="1" applyAlignment="1">
      <alignment vertical="top"/>
    </xf>
    <xf numFmtId="0" fontId="135" fillId="46" borderId="233" xfId="0" applyNumberFormat="1" applyFont="1" applyFill="1" applyBorder="1" applyAlignment="1">
      <alignment horizontal="center" vertical="center" wrapText="1"/>
    </xf>
    <xf numFmtId="167" fontId="132" fillId="46" borderId="233" xfId="0" applyFont="1" applyFill="1" applyBorder="1" applyAlignment="1">
      <alignment horizontal="center" vertical="center"/>
    </xf>
    <xf numFmtId="196" fontId="124" fillId="0" borderId="0" xfId="0" applyNumberFormat="1" applyFont="1" applyAlignment="1">
      <alignment horizontal="center" vertical="center"/>
    </xf>
    <xf numFmtId="198" fontId="124" fillId="0" borderId="0" xfId="0" applyNumberFormat="1" applyFont="1" applyAlignment="1">
      <alignment horizontal="center" vertical="center"/>
    </xf>
    <xf numFmtId="197" fontId="124" fillId="0" borderId="0" xfId="0" applyNumberFormat="1" applyFont="1" applyAlignment="1">
      <alignment horizontal="center" vertical="center"/>
    </xf>
    <xf numFmtId="167" fontId="134" fillId="0" borderId="0" xfId="0" applyFont="1" applyAlignment="1">
      <alignment vertical="center"/>
    </xf>
    <xf numFmtId="0" fontId="59" fillId="0" borderId="0" xfId="0" applyNumberFormat="1" applyFont="1" applyAlignment="1">
      <alignment horizontal="left" vertical="center"/>
    </xf>
    <xf numFmtId="0" fontId="7" fillId="0" borderId="3" xfId="41062" applyNumberFormat="1" applyBorder="1" applyAlignment="1">
      <alignment horizontal="center" vertical="top" wrapText="1"/>
    </xf>
    <xf numFmtId="167" fontId="28" fillId="0" borderId="0" xfId="0" applyFont="1" applyAlignment="1">
      <alignment vertical="center"/>
    </xf>
    <xf numFmtId="167" fontId="7" fillId="0" borderId="202" xfId="0" applyFont="1" applyBorder="1" applyAlignment="1">
      <alignment horizontal="center" vertical="center"/>
    </xf>
    <xf numFmtId="0" fontId="8" fillId="0" borderId="2" xfId="41058" applyFont="1" applyBorder="1" applyAlignment="1">
      <alignment horizontal="center" vertical="center"/>
    </xf>
    <xf numFmtId="182" fontId="13" fillId="0" borderId="0" xfId="41054" applyNumberFormat="1" applyFont="1" applyAlignment="1">
      <alignment horizontal="left" vertical="center"/>
    </xf>
    <xf numFmtId="167" fontId="0" fillId="0" borderId="0" xfId="0"/>
    <xf numFmtId="167" fontId="7" fillId="0" borderId="0" xfId="41054" applyFont="1" applyAlignment="1" applyProtection="1">
      <alignment horizontal="left" vertical="center"/>
      <protection locked="0"/>
    </xf>
    <xf numFmtId="182" fontId="7" fillId="0" borderId="0" xfId="41054" applyNumberFormat="1" applyFont="1" applyAlignment="1" applyProtection="1">
      <alignment horizontal="left" vertical="center"/>
      <protection locked="0"/>
    </xf>
    <xf numFmtId="187" fontId="8" fillId="0" borderId="0" xfId="0" applyNumberFormat="1" applyFont="1" applyAlignment="1">
      <alignment horizontal="center" vertical="center" wrapText="1"/>
    </xf>
    <xf numFmtId="167" fontId="7" fillId="0" borderId="0" xfId="41054" applyFont="1" applyAlignment="1" applyProtection="1">
      <alignment horizontal="left"/>
      <protection locked="0"/>
    </xf>
    <xf numFmtId="0" fontId="7" fillId="0" borderId="3" xfId="18" applyBorder="1" applyAlignment="1">
      <alignment horizontal="center" vertical="top" wrapText="1"/>
    </xf>
    <xf numFmtId="0" fontId="13" fillId="0" borderId="0" xfId="0" applyNumberFormat="1" applyFont="1" applyAlignment="1">
      <alignment horizontal="right" vertical="center"/>
    </xf>
    <xf numFmtId="167" fontId="13" fillId="46" borderId="233" xfId="0" applyFont="1" applyFill="1" applyBorder="1" applyAlignment="1">
      <alignment horizontal="center" vertical="center"/>
    </xf>
    <xf numFmtId="165" fontId="7" fillId="0" borderId="0" xfId="0" applyNumberFormat="1" applyFont="1" applyAlignment="1">
      <alignment vertical="center"/>
    </xf>
    <xf numFmtId="39" fontId="8" fillId="0" borderId="105" xfId="41064" applyNumberFormat="1" applyFont="1" applyBorder="1" applyAlignment="1">
      <alignment horizontal="center" vertical="center"/>
    </xf>
    <xf numFmtId="39" fontId="14" fillId="51" borderId="105" xfId="41064" applyNumberFormat="1" applyFont="1" applyFill="1" applyBorder="1" applyAlignment="1">
      <alignment horizontal="center" vertical="center"/>
    </xf>
    <xf numFmtId="39" fontId="69" fillId="0" borderId="79" xfId="41064" applyNumberFormat="1" applyFont="1" applyBorder="1" applyAlignment="1">
      <alignment horizontal="center" vertical="center"/>
    </xf>
    <xf numFmtId="185" fontId="9" fillId="0" borderId="0" xfId="0" applyNumberFormat="1" applyFont="1" applyAlignment="1">
      <alignment vertical="top"/>
    </xf>
    <xf numFmtId="0" fontId="84" fillId="0" borderId="0" xfId="0" applyNumberFormat="1" applyFont="1" applyAlignment="1">
      <alignment vertical="top"/>
    </xf>
    <xf numFmtId="167" fontId="138" fillId="0" borderId="0" xfId="0" applyFont="1" applyAlignment="1">
      <alignment vertical="center"/>
    </xf>
    <xf numFmtId="0" fontId="13" fillId="0" borderId="0" xfId="29073" applyFont="1" applyAlignment="1">
      <alignment vertical="center"/>
    </xf>
    <xf numFmtId="9" fontId="7" fillId="8" borderId="3" xfId="19" applyFont="1" applyFill="1" applyBorder="1" applyAlignment="1">
      <alignment horizontal="center" vertical="center" wrapText="1"/>
    </xf>
    <xf numFmtId="165" fontId="7" fillId="0" borderId="2" xfId="23420" applyFont="1" applyBorder="1" applyAlignment="1">
      <alignment horizontal="center" vertical="top" wrapText="1"/>
    </xf>
    <xf numFmtId="0" fontId="7" fillId="0" borderId="2" xfId="18" applyBorder="1" applyAlignment="1">
      <alignment horizontal="center" vertical="top" wrapText="1"/>
    </xf>
    <xf numFmtId="9" fontId="8" fillId="9" borderId="13" xfId="19" applyFont="1" applyFill="1" applyBorder="1" applyAlignment="1">
      <alignment horizontal="center" vertical="center" wrapText="1"/>
    </xf>
    <xf numFmtId="9" fontId="14" fillId="9" borderId="157" xfId="19" applyFont="1" applyFill="1" applyBorder="1" applyAlignment="1">
      <alignment horizontal="center" vertical="center" wrapText="1"/>
    </xf>
    <xf numFmtId="167" fontId="61" fillId="0" borderId="0" xfId="41054" applyFont="1" applyAlignment="1" applyProtection="1">
      <alignment horizontal="center" vertical="center" wrapText="1"/>
      <protection locked="0"/>
    </xf>
    <xf numFmtId="182" fontId="7" fillId="38" borderId="177" xfId="41054" applyNumberFormat="1" applyFont="1" applyFill="1" applyBorder="1" applyAlignment="1">
      <alignment horizontal="center" vertical="center"/>
    </xf>
    <xf numFmtId="182" fontId="7" fillId="38" borderId="105" xfId="41054" applyNumberFormat="1" applyFont="1" applyFill="1" applyBorder="1" applyAlignment="1">
      <alignment horizontal="center" vertical="center"/>
    </xf>
    <xf numFmtId="182" fontId="7" fillId="38" borderId="198" xfId="41054" applyNumberFormat="1" applyFont="1" applyFill="1" applyBorder="1" applyAlignment="1">
      <alignment horizontal="center" vertical="center"/>
    </xf>
    <xf numFmtId="185" fontId="0" fillId="0" borderId="0" xfId="0" applyNumberFormat="1"/>
    <xf numFmtId="182" fontId="0" fillId="0" borderId="0" xfId="0" applyNumberFormat="1"/>
    <xf numFmtId="186" fontId="0" fillId="0" borderId="0" xfId="0" applyNumberFormat="1"/>
    <xf numFmtId="185" fontId="13" fillId="0" borderId="34" xfId="0" applyNumberFormat="1" applyFont="1" applyBorder="1" applyAlignment="1">
      <alignment horizontal="center" vertical="center" wrapText="1"/>
    </xf>
    <xf numFmtId="185" fontId="13" fillId="0" borderId="229" xfId="0" applyNumberFormat="1" applyFont="1" applyBorder="1" applyAlignment="1">
      <alignment horizontal="center" vertical="center" wrapText="1"/>
    </xf>
    <xf numFmtId="0" fontId="29" fillId="0" borderId="0" xfId="41058" applyFont="1" applyAlignment="1">
      <alignment horizontal="center" vertical="center"/>
    </xf>
    <xf numFmtId="211" fontId="29" fillId="0" borderId="0" xfId="41058" applyNumberFormat="1" applyFont="1" applyAlignment="1">
      <alignment horizontal="center" vertical="center" wrapText="1"/>
    </xf>
    <xf numFmtId="0" fontId="132" fillId="0" borderId="0" xfId="0" applyNumberFormat="1" applyFont="1" applyAlignment="1">
      <alignment horizontal="center" vertical="center"/>
    </xf>
    <xf numFmtId="0" fontId="124" fillId="0" borderId="0" xfId="0" applyNumberFormat="1" applyFont="1" applyAlignment="1">
      <alignment horizontal="right" vertical="center"/>
    </xf>
    <xf numFmtId="165" fontId="13" fillId="0" borderId="0" xfId="21" applyFont="1" applyFill="1" applyAlignment="1">
      <alignment horizontal="left" vertical="center"/>
    </xf>
    <xf numFmtId="0" fontId="13" fillId="0" borderId="0" xfId="29073" applyFont="1" applyAlignment="1">
      <alignment vertical="center" wrapText="1"/>
    </xf>
    <xf numFmtId="212" fontId="7" fillId="0" borderId="0" xfId="0" applyNumberFormat="1" applyFont="1" applyAlignment="1">
      <alignment vertical="center"/>
    </xf>
    <xf numFmtId="39" fontId="7" fillId="0" borderId="0" xfId="0" applyNumberFormat="1" applyFont="1" applyAlignment="1">
      <alignment vertical="center"/>
    </xf>
    <xf numFmtId="167" fontId="142" fillId="0" borderId="0" xfId="0" applyFont="1" applyAlignment="1">
      <alignment vertical="top"/>
    </xf>
    <xf numFmtId="0" fontId="9" fillId="0" borderId="0" xfId="0" pivotButton="1" applyNumberFormat="1" applyFont="1"/>
    <xf numFmtId="0" fontId="9" fillId="0" borderId="0" xfId="0" applyNumberFormat="1" applyFont="1" applyAlignment="1">
      <alignment horizontal="left"/>
    </xf>
    <xf numFmtId="0" fontId="9" fillId="0" borderId="0" xfId="0" applyNumberFormat="1" applyFont="1"/>
    <xf numFmtId="185" fontId="8" fillId="0" borderId="277" xfId="0" applyNumberFormat="1" applyFont="1" applyBorder="1" applyAlignment="1">
      <alignment horizontal="center" vertical="center" wrapText="1"/>
    </xf>
    <xf numFmtId="167" fontId="134" fillId="0" borderId="0" xfId="0" applyFont="1" applyAlignment="1">
      <alignment horizontal="center" vertical="center"/>
    </xf>
    <xf numFmtId="0" fontId="123" fillId="0" borderId="0" xfId="0" applyNumberFormat="1" applyFont="1" applyAlignment="1">
      <alignment horizontal="center" vertical="center"/>
    </xf>
    <xf numFmtId="165" fontId="132" fillId="0" borderId="0" xfId="21" applyFont="1" applyFill="1" applyAlignment="1">
      <alignment horizontal="left" vertical="center"/>
    </xf>
    <xf numFmtId="165" fontId="132" fillId="0" borderId="0" xfId="21" applyFont="1" applyFill="1" applyAlignment="1">
      <alignment vertical="center"/>
    </xf>
    <xf numFmtId="165" fontId="132" fillId="0" borderId="0" xfId="21" applyFont="1" applyFill="1" applyAlignment="1">
      <alignment horizontal="right" vertical="center"/>
    </xf>
    <xf numFmtId="167" fontId="7" fillId="0" borderId="233" xfId="0" applyFont="1" applyBorder="1" applyAlignment="1">
      <alignment horizontal="center" vertical="center"/>
    </xf>
    <xf numFmtId="167" fontId="7" fillId="0" borderId="233" xfId="0" applyFont="1" applyBorder="1" applyAlignment="1">
      <alignment horizontal="center" vertical="center" wrapText="1"/>
    </xf>
    <xf numFmtId="186" fontId="7" fillId="0" borderId="233" xfId="0" applyNumberFormat="1" applyFont="1" applyBorder="1" applyAlignment="1">
      <alignment horizontal="center" vertical="center" wrapText="1"/>
    </xf>
    <xf numFmtId="185" fontId="7" fillId="0" borderId="233" xfId="0" applyNumberFormat="1" applyFont="1" applyBorder="1" applyAlignment="1">
      <alignment horizontal="center" vertical="center" wrapText="1"/>
    </xf>
    <xf numFmtId="182" fontId="7" fillId="0" borderId="233" xfId="0" applyNumberFormat="1" applyFont="1" applyBorder="1" applyAlignment="1">
      <alignment horizontal="center" vertical="center" wrapText="1"/>
    </xf>
    <xf numFmtId="2" fontId="7" fillId="0" borderId="233" xfId="0" applyNumberFormat="1" applyFont="1" applyBorder="1" applyAlignment="1">
      <alignment horizontal="center" vertical="center"/>
    </xf>
    <xf numFmtId="2" fontId="7" fillId="0" borderId="105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39" fontId="7" fillId="37" borderId="0" xfId="0" applyNumberFormat="1" applyFont="1" applyFill="1" applyAlignment="1">
      <alignment horizontal="center" vertical="center" wrapText="1"/>
    </xf>
    <xf numFmtId="167" fontId="148" fillId="0" borderId="0" xfId="0" applyFont="1" applyAlignment="1" applyProtection="1">
      <alignment horizontal="center" vertical="center"/>
      <protection locked="0"/>
    </xf>
    <xf numFmtId="39" fontId="149" fillId="0" borderId="0" xfId="0" applyNumberFormat="1" applyFont="1" applyAlignment="1">
      <alignment horizontal="center" vertical="center" wrapText="1"/>
    </xf>
    <xf numFmtId="37" fontId="148" fillId="0" borderId="0" xfId="0" applyNumberFormat="1" applyFont="1" applyAlignment="1">
      <alignment horizontal="center" vertical="center" wrapText="1"/>
    </xf>
    <xf numFmtId="39" fontId="148" fillId="0" borderId="0" xfId="0" applyNumberFormat="1" applyFont="1" applyAlignment="1">
      <alignment horizontal="center" vertical="center" wrapText="1"/>
    </xf>
    <xf numFmtId="9" fontId="148" fillId="0" borderId="0" xfId="19" applyFont="1" applyAlignment="1">
      <alignment horizontal="center" vertical="center" wrapText="1"/>
    </xf>
    <xf numFmtId="37" fontId="7" fillId="0" borderId="2" xfId="23422" applyNumberFormat="1" applyFont="1" applyFill="1" applyBorder="1" applyAlignment="1">
      <alignment horizontal="center" vertical="center"/>
    </xf>
    <xf numFmtId="167" fontId="8" fillId="11" borderId="2" xfId="0" applyFont="1" applyFill="1" applyBorder="1" applyAlignment="1">
      <alignment horizontal="center" vertical="center" wrapText="1"/>
    </xf>
    <xf numFmtId="167" fontId="8" fillId="0" borderId="19" xfId="0" applyFont="1" applyBorder="1" applyAlignment="1">
      <alignment horizontal="center" vertical="center" wrapText="1"/>
    </xf>
    <xf numFmtId="37" fontId="13" fillId="0" borderId="19" xfId="0" applyNumberFormat="1" applyFont="1" applyBorder="1" applyAlignment="1">
      <alignment horizontal="center" vertical="center" wrapText="1"/>
    </xf>
    <xf numFmtId="39" fontId="27" fillId="0" borderId="0" xfId="0" applyNumberFormat="1" applyFont="1" applyAlignment="1">
      <alignment horizontal="center" vertical="center" wrapText="1"/>
    </xf>
    <xf numFmtId="183" fontId="26" fillId="0" borderId="178" xfId="0" applyNumberFormat="1" applyFont="1" applyBorder="1" applyAlignment="1">
      <alignment horizontal="center" vertical="center" wrapText="1"/>
    </xf>
    <xf numFmtId="183" fontId="26" fillId="0" borderId="0" xfId="0" applyNumberFormat="1" applyFont="1" applyAlignment="1">
      <alignment horizontal="center" vertical="center" wrapText="1"/>
    </xf>
    <xf numFmtId="183" fontId="14" fillId="0" borderId="90" xfId="0" applyNumberFormat="1" applyFont="1" applyBorder="1" applyAlignment="1">
      <alignment horizontal="center" vertical="center" wrapText="1"/>
    </xf>
    <xf numFmtId="183" fontId="14" fillId="0" borderId="20" xfId="0" applyNumberFormat="1" applyFont="1" applyBorder="1" applyAlignment="1">
      <alignment horizontal="center" vertical="center" wrapText="1"/>
    </xf>
    <xf numFmtId="183" fontId="26" fillId="9" borderId="130" xfId="0" applyNumberFormat="1" applyFont="1" applyFill="1" applyBorder="1" applyAlignment="1">
      <alignment horizontal="center" vertical="center" wrapText="1"/>
    </xf>
    <xf numFmtId="183" fontId="26" fillId="0" borderId="13" xfId="0" applyNumberFormat="1" applyFont="1" applyBorder="1" applyAlignment="1">
      <alignment horizontal="center" vertical="center" wrapText="1"/>
    </xf>
    <xf numFmtId="183" fontId="26" fillId="0" borderId="2" xfId="0" applyNumberFormat="1" applyFont="1" applyBorder="1" applyAlignment="1">
      <alignment horizontal="center" vertical="center" wrapText="1"/>
    </xf>
    <xf numFmtId="183" fontId="27" fillId="9" borderId="2" xfId="0" applyNumberFormat="1" applyFont="1" applyFill="1" applyBorder="1" applyAlignment="1">
      <alignment horizontal="center" vertical="center" wrapText="1"/>
    </xf>
    <xf numFmtId="183" fontId="26" fillId="0" borderId="105" xfId="0" applyNumberFormat="1" applyFont="1" applyBorder="1" applyAlignment="1">
      <alignment horizontal="center" vertical="center" wrapText="1"/>
    </xf>
    <xf numFmtId="183" fontId="27" fillId="9" borderId="105" xfId="0" applyNumberFormat="1" applyFont="1" applyFill="1" applyBorder="1" applyAlignment="1">
      <alignment horizontal="center" vertical="center" wrapText="1"/>
    </xf>
    <xf numFmtId="183" fontId="26" fillId="0" borderId="19" xfId="0" applyNumberFormat="1" applyFont="1" applyBorder="1" applyAlignment="1">
      <alignment horizontal="center" vertical="center" wrapText="1"/>
    </xf>
    <xf numFmtId="183" fontId="27" fillId="9" borderId="19" xfId="0" applyNumberFormat="1" applyFont="1" applyFill="1" applyBorder="1" applyAlignment="1">
      <alignment horizontal="center" vertical="center" wrapText="1"/>
    </xf>
    <xf numFmtId="183" fontId="26" fillId="0" borderId="16" xfId="0" applyNumberFormat="1" applyFont="1" applyBorder="1" applyAlignment="1">
      <alignment horizontal="center" vertical="center" wrapText="1"/>
    </xf>
    <xf numFmtId="183" fontId="27" fillId="0" borderId="20" xfId="0" applyNumberFormat="1" applyFont="1" applyBorder="1" applyAlignment="1">
      <alignment horizontal="center" vertical="center" wrapText="1"/>
    </xf>
    <xf numFmtId="183" fontId="26" fillId="0" borderId="157" xfId="0" applyNumberFormat="1" applyFont="1" applyBorder="1" applyAlignment="1">
      <alignment horizontal="center" vertical="center" wrapText="1"/>
    </xf>
    <xf numFmtId="183" fontId="27" fillId="0" borderId="128" xfId="0" applyNumberFormat="1" applyFont="1" applyBorder="1" applyAlignment="1">
      <alignment horizontal="center" vertical="center" wrapText="1"/>
    </xf>
    <xf numFmtId="183" fontId="26" fillId="0" borderId="24" xfId="0" applyNumberFormat="1" applyFont="1" applyBorder="1" applyAlignment="1">
      <alignment horizontal="center" vertical="center" wrapText="1"/>
    </xf>
    <xf numFmtId="183" fontId="27" fillId="0" borderId="198" xfId="0" applyNumberFormat="1" applyFont="1" applyBorder="1" applyAlignment="1">
      <alignment horizontal="center" vertical="center" wrapText="1"/>
    </xf>
    <xf numFmtId="183" fontId="26" fillId="0" borderId="114" xfId="0" applyNumberFormat="1" applyFont="1" applyBorder="1" applyAlignment="1">
      <alignment horizontal="center" vertical="center" wrapText="1"/>
    </xf>
    <xf numFmtId="183" fontId="26" fillId="0" borderId="39" xfId="0" applyNumberFormat="1" applyFont="1" applyBorder="1" applyAlignment="1">
      <alignment horizontal="center" vertical="center" wrapText="1"/>
    </xf>
    <xf numFmtId="183" fontId="27" fillId="0" borderId="248" xfId="0" applyNumberFormat="1" applyFont="1" applyBorder="1" applyAlignment="1">
      <alignment horizontal="center" vertical="center" wrapText="1"/>
    </xf>
    <xf numFmtId="183" fontId="27" fillId="0" borderId="243" xfId="0" applyNumberFormat="1" applyFont="1" applyBorder="1" applyAlignment="1">
      <alignment horizontal="center" vertical="center" wrapText="1"/>
    </xf>
    <xf numFmtId="37" fontId="27" fillId="0" borderId="213" xfId="0" applyNumberFormat="1" applyFont="1" applyBorder="1" applyAlignment="1">
      <alignment horizontal="center" vertical="center" wrapText="1"/>
    </xf>
    <xf numFmtId="37" fontId="27" fillId="0" borderId="170" xfId="0" applyNumberFormat="1" applyFont="1" applyBorder="1" applyAlignment="1">
      <alignment horizontal="center" vertical="center" wrapText="1"/>
    </xf>
    <xf numFmtId="183" fontId="26" fillId="0" borderId="36" xfId="0" applyNumberFormat="1" applyFont="1" applyBorder="1" applyAlignment="1">
      <alignment horizontal="center" vertical="center" wrapText="1"/>
    </xf>
    <xf numFmtId="183" fontId="26" fillId="9" borderId="168" xfId="0" applyNumberFormat="1" applyFont="1" applyFill="1" applyBorder="1" applyAlignment="1">
      <alignment horizontal="center" vertical="center" wrapText="1"/>
    </xf>
    <xf numFmtId="183" fontId="27" fillId="9" borderId="16" xfId="0" applyNumberFormat="1" applyFont="1" applyFill="1" applyBorder="1" applyAlignment="1">
      <alignment horizontal="center" vertical="center" wrapText="1"/>
    </xf>
    <xf numFmtId="183" fontId="27" fillId="0" borderId="90" xfId="0" applyNumberFormat="1" applyFont="1" applyBorder="1" applyAlignment="1">
      <alignment horizontal="center" vertical="center" wrapText="1"/>
    </xf>
    <xf numFmtId="183" fontId="26" fillId="0" borderId="130" xfId="0" applyNumberFormat="1" applyFont="1" applyBorder="1" applyAlignment="1">
      <alignment horizontal="center" vertical="center" wrapText="1"/>
    </xf>
    <xf numFmtId="183" fontId="27" fillId="9" borderId="36" xfId="0" applyNumberFormat="1" applyFont="1" applyFill="1" applyBorder="1" applyAlignment="1">
      <alignment horizontal="center" vertical="center" wrapText="1"/>
    </xf>
    <xf numFmtId="39" fontId="7" fillId="43" borderId="0" xfId="0" applyNumberFormat="1" applyFont="1" applyFill="1" applyAlignment="1">
      <alignment horizontal="center" vertical="center" wrapText="1"/>
    </xf>
    <xf numFmtId="2" fontId="14" fillId="0" borderId="20" xfId="0" applyNumberFormat="1" applyFont="1" applyBorder="1" applyAlignment="1">
      <alignment horizontal="center" vertical="center" wrapText="1"/>
    </xf>
    <xf numFmtId="2" fontId="14" fillId="0" borderId="128" xfId="0" applyNumberFormat="1" applyFont="1" applyBorder="1" applyAlignment="1">
      <alignment horizontal="center" vertical="center" wrapText="1"/>
    </xf>
    <xf numFmtId="2" fontId="14" fillId="0" borderId="90" xfId="0" applyNumberFormat="1" applyFont="1" applyBorder="1" applyAlignment="1">
      <alignment horizontal="center" vertical="center" wrapText="1"/>
    </xf>
    <xf numFmtId="213" fontId="150" fillId="0" borderId="0" xfId="0" applyNumberFormat="1" applyFont="1"/>
    <xf numFmtId="37" fontId="13" fillId="0" borderId="174" xfId="0" applyNumberFormat="1" applyFont="1" applyBorder="1" applyAlignment="1">
      <alignment horizontal="center" vertical="center" wrapText="1"/>
    </xf>
    <xf numFmtId="40" fontId="7" fillId="0" borderId="0" xfId="0" applyNumberFormat="1" applyFont="1" applyAlignment="1">
      <alignment horizontal="center" vertical="center" wrapText="1"/>
    </xf>
    <xf numFmtId="40" fontId="8" fillId="0" borderId="0" xfId="0" applyNumberFormat="1" applyFont="1" applyAlignment="1">
      <alignment horizontal="center" vertical="center"/>
    </xf>
    <xf numFmtId="40" fontId="14" fillId="39" borderId="203" xfId="0" applyNumberFormat="1" applyFont="1" applyFill="1" applyBorder="1" applyAlignment="1">
      <alignment horizontal="center" vertical="center" wrapText="1"/>
    </xf>
    <xf numFmtId="40" fontId="14" fillId="39" borderId="8" xfId="0" applyNumberFormat="1" applyFont="1" applyFill="1" applyBorder="1" applyAlignment="1">
      <alignment horizontal="center" vertical="center" wrapText="1"/>
    </xf>
    <xf numFmtId="37" fontId="7" fillId="0" borderId="233" xfId="0" applyNumberFormat="1" applyFont="1" applyBorder="1" applyAlignment="1">
      <alignment horizontal="center" vertical="center" wrapText="1"/>
    </xf>
    <xf numFmtId="37" fontId="14" fillId="0" borderId="114" xfId="0" applyNumberFormat="1" applyFont="1" applyBorder="1" applyAlignment="1">
      <alignment horizontal="center" vertical="center" wrapText="1"/>
    </xf>
    <xf numFmtId="39" fontId="7" fillId="11" borderId="233" xfId="0" applyNumberFormat="1" applyFont="1" applyFill="1" applyBorder="1" applyAlignment="1">
      <alignment horizontal="center" vertical="center" wrapText="1"/>
    </xf>
    <xf numFmtId="195" fontId="8" fillId="0" borderId="0" xfId="0" applyNumberFormat="1" applyFont="1" applyAlignment="1">
      <alignment horizontal="center" vertical="center" wrapText="1"/>
    </xf>
    <xf numFmtId="0" fontId="150" fillId="0" borderId="0" xfId="0" applyNumberFormat="1" applyFont="1"/>
    <xf numFmtId="37" fontId="14" fillId="50" borderId="128" xfId="0" applyNumberFormat="1" applyFont="1" applyFill="1" applyBorder="1" applyAlignment="1">
      <alignment horizontal="center" vertical="center" wrapText="1"/>
    </xf>
    <xf numFmtId="188" fontId="8" fillId="0" borderId="0" xfId="0" applyNumberFormat="1" applyFont="1" applyAlignment="1">
      <alignment horizontal="center" vertical="center" wrapText="1"/>
    </xf>
    <xf numFmtId="37" fontId="14" fillId="10" borderId="146" xfId="41057" applyNumberFormat="1" applyFont="1" applyFill="1" applyBorder="1" applyAlignment="1" applyProtection="1">
      <alignment horizontal="center" vertical="center" wrapText="1"/>
    </xf>
    <xf numFmtId="39" fontId="14" fillId="0" borderId="242" xfId="0" applyNumberFormat="1" applyFont="1" applyBorder="1" applyAlignment="1">
      <alignment horizontal="center" vertical="center" wrapText="1"/>
    </xf>
    <xf numFmtId="37" fontId="14" fillId="0" borderId="90" xfId="0" applyNumberFormat="1" applyFont="1" applyBorder="1" applyAlignment="1">
      <alignment horizontal="center" vertical="center" wrapText="1"/>
    </xf>
    <xf numFmtId="167" fontId="14" fillId="0" borderId="80" xfId="0" applyFont="1" applyBorder="1" applyAlignment="1">
      <alignment horizontal="center" vertical="center" wrapText="1"/>
    </xf>
    <xf numFmtId="37" fontId="8" fillId="0" borderId="2" xfId="0" applyNumberFormat="1" applyFont="1" applyBorder="1" applyAlignment="1">
      <alignment horizontal="center" vertical="center" wrapText="1"/>
    </xf>
    <xf numFmtId="185" fontId="14" fillId="0" borderId="198" xfId="0" applyNumberFormat="1" applyFont="1" applyBorder="1" applyAlignment="1">
      <alignment horizontal="centerContinuous" vertical="center" wrapText="1"/>
    </xf>
    <xf numFmtId="10" fontId="7" fillId="8" borderId="167" xfId="19" applyNumberFormat="1" applyFont="1" applyFill="1" applyBorder="1" applyAlignment="1">
      <alignment horizontal="center" vertical="center" wrapText="1"/>
    </xf>
    <xf numFmtId="167" fontId="109" fillId="9" borderId="157" xfId="0" applyFont="1" applyFill="1" applyBorder="1" applyAlignment="1">
      <alignment horizontal="center" vertical="center" wrapText="1"/>
    </xf>
    <xf numFmtId="167" fontId="84" fillId="0" borderId="0" xfId="0" applyFont="1" applyAlignment="1">
      <alignment horizontal="center" vertical="center" wrapText="1"/>
    </xf>
    <xf numFmtId="167" fontId="84" fillId="0" borderId="120" xfId="0" applyFont="1" applyBorder="1" applyAlignment="1">
      <alignment horizontal="center" vertical="center" wrapText="1"/>
    </xf>
    <xf numFmtId="37" fontId="152" fillId="10" borderId="258" xfId="41057" applyNumberFormat="1" applyFont="1" applyFill="1" applyBorder="1" applyAlignment="1" applyProtection="1">
      <alignment vertical="center" wrapText="1"/>
    </xf>
    <xf numFmtId="39" fontId="84" fillId="0" borderId="178" xfId="0" applyNumberFormat="1" applyFont="1" applyBorder="1" applyAlignment="1">
      <alignment horizontal="center" vertical="center" wrapText="1"/>
    </xf>
    <xf numFmtId="39" fontId="84" fillId="0" borderId="0" xfId="0" applyNumberFormat="1" applyFont="1" applyAlignment="1">
      <alignment horizontal="center" vertical="center" wrapText="1"/>
    </xf>
    <xf numFmtId="39" fontId="84" fillId="0" borderId="118" xfId="0" applyNumberFormat="1" applyFont="1" applyBorder="1" applyAlignment="1">
      <alignment horizontal="center" vertical="center" wrapText="1"/>
    </xf>
    <xf numFmtId="39" fontId="84" fillId="0" borderId="3" xfId="0" applyNumberFormat="1" applyFont="1" applyBorder="1" applyAlignment="1">
      <alignment horizontal="center" vertical="center" wrapText="1"/>
    </xf>
    <xf numFmtId="39" fontId="84" fillId="0" borderId="127" xfId="0" applyNumberFormat="1" applyFont="1" applyBorder="1" applyAlignment="1">
      <alignment horizontal="center" vertical="center" wrapText="1"/>
    </xf>
    <xf numFmtId="39" fontId="24" fillId="0" borderId="265" xfId="0" applyNumberFormat="1" applyFont="1" applyBorder="1" applyAlignment="1">
      <alignment horizontal="center" vertical="center" wrapText="1"/>
    </xf>
    <xf numFmtId="37" fontId="152" fillId="10" borderId="184" xfId="41057" applyNumberFormat="1" applyFont="1" applyFill="1" applyBorder="1" applyAlignment="1" applyProtection="1">
      <alignment vertical="center" wrapText="1"/>
    </xf>
    <xf numFmtId="39" fontId="84" fillId="0" borderId="235" xfId="0" applyNumberFormat="1" applyFont="1" applyBorder="1" applyAlignment="1">
      <alignment horizontal="center" vertical="center" wrapText="1"/>
    </xf>
    <xf numFmtId="37" fontId="84" fillId="0" borderId="178" xfId="0" applyNumberFormat="1" applyFont="1" applyBorder="1" applyAlignment="1">
      <alignment horizontal="center" vertical="center" wrapText="1"/>
    </xf>
    <xf numFmtId="39" fontId="84" fillId="0" borderId="176" xfId="0" applyNumberFormat="1" applyFont="1" applyBorder="1" applyAlignment="1">
      <alignment horizontal="center" vertical="center" wrapText="1"/>
    </xf>
    <xf numFmtId="39" fontId="84" fillId="0" borderId="282" xfId="0" applyNumberFormat="1" applyFont="1" applyBorder="1" applyAlignment="1">
      <alignment horizontal="center" vertical="center" wrapText="1"/>
    </xf>
    <xf numFmtId="37" fontId="24" fillId="0" borderId="119" xfId="0" applyNumberFormat="1" applyFont="1" applyBorder="1" applyAlignment="1">
      <alignment horizontal="center" vertical="center" wrapText="1"/>
    </xf>
    <xf numFmtId="39" fontId="24" fillId="0" borderId="196" xfId="0" applyNumberFormat="1" applyFont="1" applyBorder="1" applyAlignment="1">
      <alignment horizontal="center" vertical="center" wrapText="1"/>
    </xf>
    <xf numFmtId="39" fontId="24" fillId="0" borderId="120" xfId="0" applyNumberFormat="1" applyFont="1" applyBorder="1" applyAlignment="1">
      <alignment horizontal="center" vertical="center" wrapText="1"/>
    </xf>
    <xf numFmtId="37" fontId="24" fillId="0" borderId="178" xfId="0" applyNumberFormat="1" applyFont="1" applyBorder="1" applyAlignment="1">
      <alignment horizontal="center" vertical="center" wrapText="1"/>
    </xf>
    <xf numFmtId="37" fontId="24" fillId="0" borderId="118" xfId="0" applyNumberFormat="1" applyFont="1" applyBorder="1" applyAlignment="1">
      <alignment horizontal="center" vertical="center" wrapText="1"/>
    </xf>
    <xf numFmtId="39" fontId="24" fillId="0" borderId="176" xfId="0" applyNumberFormat="1" applyFont="1" applyBorder="1" applyAlignment="1">
      <alignment horizontal="center" vertical="center" wrapText="1"/>
    </xf>
    <xf numFmtId="39" fontId="24" fillId="0" borderId="178" xfId="0" applyNumberFormat="1" applyFont="1" applyBorder="1" applyAlignment="1">
      <alignment horizontal="center" vertical="center" wrapText="1"/>
    </xf>
    <xf numFmtId="39" fontId="24" fillId="0" borderId="0" xfId="0" applyNumberFormat="1" applyFont="1" applyAlignment="1">
      <alignment horizontal="center" vertical="center" wrapText="1"/>
    </xf>
    <xf numFmtId="39" fontId="24" fillId="0" borderId="118" xfId="0" applyNumberFormat="1" applyFont="1" applyBorder="1" applyAlignment="1">
      <alignment horizontal="center" vertical="center" wrapText="1"/>
    </xf>
    <xf numFmtId="2" fontId="24" fillId="0" borderId="178" xfId="0" applyNumberFormat="1" applyFont="1" applyBorder="1" applyAlignment="1">
      <alignment horizontal="center" vertical="center" wrapText="1"/>
    </xf>
    <xf numFmtId="2" fontId="24" fillId="0" borderId="0" xfId="0" applyNumberFormat="1" applyFont="1" applyAlignment="1">
      <alignment horizontal="center" vertical="center" wrapText="1"/>
    </xf>
    <xf numFmtId="2" fontId="24" fillId="0" borderId="118" xfId="0" applyNumberFormat="1" applyFont="1" applyBorder="1" applyAlignment="1">
      <alignment horizontal="center" vertical="center" wrapText="1"/>
    </xf>
    <xf numFmtId="37" fontId="24" fillId="0" borderId="0" xfId="0" applyNumberFormat="1" applyFont="1" applyAlignment="1">
      <alignment horizontal="center" vertical="center" wrapText="1"/>
    </xf>
    <xf numFmtId="37" fontId="24" fillId="0" borderId="59" xfId="0" applyNumberFormat="1" applyFont="1" applyBorder="1" applyAlignment="1">
      <alignment horizontal="center" vertical="center" wrapText="1"/>
    </xf>
    <xf numFmtId="39" fontId="24" fillId="0" borderId="59" xfId="0" applyNumberFormat="1" applyFont="1" applyBorder="1" applyAlignment="1">
      <alignment horizontal="center" vertical="center" wrapText="1"/>
    </xf>
    <xf numFmtId="37" fontId="7" fillId="0" borderId="119" xfId="0" applyNumberFormat="1" applyFont="1" applyBorder="1" applyAlignment="1">
      <alignment horizontal="center" vertical="center" wrapText="1"/>
    </xf>
    <xf numFmtId="37" fontId="7" fillId="0" borderId="196" xfId="0" applyNumberFormat="1" applyFont="1" applyBorder="1" applyAlignment="1">
      <alignment horizontal="center" vertical="center" wrapText="1"/>
    </xf>
    <xf numFmtId="37" fontId="7" fillId="0" borderId="120" xfId="0" applyNumberFormat="1" applyFont="1" applyBorder="1" applyAlignment="1">
      <alignment horizontal="center" vertical="center" wrapText="1"/>
    </xf>
    <xf numFmtId="39" fontId="7" fillId="0" borderId="196" xfId="0" applyNumberFormat="1" applyFont="1" applyBorder="1" applyAlignment="1">
      <alignment horizontal="center" vertical="center" wrapText="1"/>
    </xf>
    <xf numFmtId="37" fontId="7" fillId="0" borderId="175" xfId="0" applyNumberFormat="1" applyFont="1" applyBorder="1" applyAlignment="1">
      <alignment horizontal="center" vertical="center" wrapText="1"/>
    </xf>
    <xf numFmtId="39" fontId="7" fillId="0" borderId="175" xfId="0" applyNumberFormat="1" applyFont="1" applyBorder="1" applyAlignment="1">
      <alignment horizontal="center" vertical="center" wrapText="1"/>
    </xf>
    <xf numFmtId="39" fontId="7" fillId="36" borderId="0" xfId="0" applyNumberFormat="1" applyFont="1" applyFill="1" applyAlignment="1">
      <alignment horizontal="center" vertical="center" wrapText="1"/>
    </xf>
    <xf numFmtId="188" fontId="7" fillId="0" borderId="0" xfId="0" applyNumberFormat="1" applyFont="1" applyAlignment="1">
      <alignment horizontal="center" vertical="center" wrapText="1"/>
    </xf>
    <xf numFmtId="39" fontId="13" fillId="9" borderId="157" xfId="0" applyNumberFormat="1" applyFont="1" applyFill="1" applyBorder="1" applyAlignment="1">
      <alignment horizontal="center" vertical="center" wrapText="1"/>
    </xf>
    <xf numFmtId="39" fontId="13" fillId="9" borderId="114" xfId="0" applyNumberFormat="1" applyFont="1" applyFill="1" applyBorder="1" applyAlignment="1">
      <alignment horizontal="center" vertical="center" wrapText="1"/>
    </xf>
    <xf numFmtId="9" fontId="7" fillId="8" borderId="105" xfId="19" applyFont="1" applyFill="1" applyBorder="1" applyAlignment="1">
      <alignment horizontal="center" vertical="center" wrapText="1"/>
    </xf>
    <xf numFmtId="185" fontId="67" fillId="0" borderId="2" xfId="0" applyNumberFormat="1" applyFont="1" applyBorder="1" applyAlignment="1">
      <alignment horizontal="center" vertical="center" wrapText="1"/>
    </xf>
    <xf numFmtId="185" fontId="7" fillId="36" borderId="24" xfId="0" applyNumberFormat="1" applyFont="1" applyFill="1" applyBorder="1" applyAlignment="1">
      <alignment horizontal="center" vertical="center" wrapText="1"/>
    </xf>
    <xf numFmtId="195" fontId="8" fillId="8" borderId="105" xfId="0" applyNumberFormat="1" applyFont="1" applyFill="1" applyBorder="1" applyAlignment="1">
      <alignment horizontal="center" vertical="center" wrapText="1"/>
    </xf>
    <xf numFmtId="0" fontId="8" fillId="8" borderId="2" xfId="0" quotePrefix="1" applyNumberFormat="1" applyFont="1" applyFill="1" applyBorder="1" applyAlignment="1">
      <alignment horizontal="center" vertical="center" wrapText="1"/>
    </xf>
    <xf numFmtId="215" fontId="8" fillId="8" borderId="19" xfId="0" quotePrefix="1" applyNumberFormat="1" applyFont="1" applyFill="1" applyBorder="1" applyAlignment="1">
      <alignment horizontal="center" vertical="center" wrapText="1"/>
    </xf>
    <xf numFmtId="216" fontId="8" fillId="8" borderId="19" xfId="0" quotePrefix="1" applyNumberFormat="1" applyFont="1" applyFill="1" applyBorder="1" applyAlignment="1">
      <alignment horizontal="center" vertical="center" wrapText="1"/>
    </xf>
    <xf numFmtId="219" fontId="7" fillId="8" borderId="0" xfId="0" applyNumberFormat="1" applyFont="1" applyFill="1" applyAlignment="1">
      <alignment horizontal="center" vertical="center" wrapText="1"/>
    </xf>
    <xf numFmtId="219" fontId="7" fillId="8" borderId="232" xfId="0" applyNumberFormat="1" applyFont="1" applyFill="1" applyBorder="1" applyAlignment="1">
      <alignment horizontal="center" vertical="center" wrapText="1"/>
    </xf>
    <xf numFmtId="219" fontId="7" fillId="8" borderId="3" xfId="0" applyNumberFormat="1" applyFont="1" applyFill="1" applyBorder="1" applyAlignment="1">
      <alignment horizontal="center" vertical="center" wrapText="1"/>
    </xf>
    <xf numFmtId="185" fontId="13" fillId="8" borderId="111" xfId="0" applyNumberFormat="1" applyFont="1" applyFill="1" applyBorder="1" applyAlignment="1">
      <alignment horizontal="center" vertical="center"/>
    </xf>
    <xf numFmtId="167" fontId="13" fillId="8" borderId="111" xfId="0" applyFont="1" applyFill="1" applyBorder="1" applyAlignment="1">
      <alignment horizontal="center" vertical="center" wrapText="1"/>
    </xf>
    <xf numFmtId="195" fontId="8" fillId="8" borderId="2" xfId="0" applyNumberFormat="1" applyFont="1" applyFill="1" applyBorder="1" applyAlignment="1">
      <alignment horizontal="center" vertical="center" wrapText="1"/>
    </xf>
    <xf numFmtId="217" fontId="8" fillId="8" borderId="19" xfId="0" quotePrefix="1" applyNumberFormat="1" applyFont="1" applyFill="1" applyBorder="1" applyAlignment="1">
      <alignment horizontal="center" vertical="center" wrapText="1"/>
    </xf>
    <xf numFmtId="216" fontId="8" fillId="8" borderId="18" xfId="0" quotePrefix="1" applyNumberFormat="1" applyFont="1" applyFill="1" applyBorder="1" applyAlignment="1">
      <alignment horizontal="center" vertical="center" wrapText="1"/>
    </xf>
    <xf numFmtId="214" fontId="8" fillId="8" borderId="19" xfId="0" quotePrefix="1" applyNumberFormat="1" applyFont="1" applyFill="1" applyBorder="1" applyAlignment="1">
      <alignment horizontal="center" vertical="center" wrapText="1"/>
    </xf>
    <xf numFmtId="218" fontId="8" fillId="8" borderId="19" xfId="0" quotePrefix="1" applyNumberFormat="1" applyFont="1" applyFill="1" applyBorder="1" applyAlignment="1">
      <alignment horizontal="center" vertical="center" wrapText="1"/>
    </xf>
    <xf numFmtId="188" fontId="8" fillId="8" borderId="0" xfId="0" applyNumberFormat="1" applyFont="1" applyFill="1" applyAlignment="1">
      <alignment horizontal="center" vertical="center" wrapText="1"/>
    </xf>
    <xf numFmtId="188" fontId="8" fillId="8" borderId="232" xfId="0" applyNumberFormat="1" applyFont="1" applyFill="1" applyBorder="1" applyAlignment="1">
      <alignment horizontal="center" vertical="center" wrapText="1"/>
    </xf>
    <xf numFmtId="188" fontId="8" fillId="8" borderId="3" xfId="0" applyNumberFormat="1" applyFont="1" applyFill="1" applyBorder="1" applyAlignment="1">
      <alignment horizontal="center" vertical="center" wrapText="1"/>
    </xf>
    <xf numFmtId="188" fontId="8" fillId="8" borderId="2" xfId="0" applyNumberFormat="1" applyFont="1" applyFill="1" applyBorder="1" applyAlignment="1">
      <alignment horizontal="center" vertical="center" wrapText="1"/>
    </xf>
    <xf numFmtId="0" fontId="150" fillId="8" borderId="0" xfId="0" applyNumberFormat="1" applyFont="1" applyFill="1"/>
    <xf numFmtId="0" fontId="150" fillId="8" borderId="3" xfId="0" applyNumberFormat="1" applyFont="1" applyFill="1" applyBorder="1"/>
    <xf numFmtId="213" fontId="150" fillId="8" borderId="0" xfId="0" applyNumberFormat="1" applyFont="1" applyFill="1"/>
    <xf numFmtId="213" fontId="150" fillId="8" borderId="3" xfId="0" applyNumberFormat="1" applyFont="1" applyFill="1" applyBorder="1"/>
    <xf numFmtId="4" fontId="0" fillId="8" borderId="0" xfId="0" applyNumberFormat="1" applyFill="1"/>
    <xf numFmtId="188" fontId="8" fillId="8" borderId="4" xfId="0" applyNumberFormat="1" applyFont="1" applyFill="1" applyBorder="1" applyAlignment="1">
      <alignment horizontal="center" vertical="center" wrapText="1"/>
    </xf>
    <xf numFmtId="215" fontId="8" fillId="8" borderId="105" xfId="0" quotePrefix="1" applyNumberFormat="1" applyFont="1" applyFill="1" applyBorder="1" applyAlignment="1">
      <alignment horizontal="center" vertical="center" wrapText="1"/>
    </xf>
    <xf numFmtId="216" fontId="8" fillId="8" borderId="105" xfId="0" quotePrefix="1" applyNumberFormat="1" applyFont="1" applyFill="1" applyBorder="1" applyAlignment="1">
      <alignment horizontal="center" vertical="center" wrapText="1"/>
    </xf>
    <xf numFmtId="188" fontId="7" fillId="8" borderId="2" xfId="0" applyNumberFormat="1" applyFont="1" applyFill="1" applyBorder="1" applyAlignment="1">
      <alignment horizontal="center" vertical="center" wrapText="1"/>
    </xf>
    <xf numFmtId="167" fontId="8" fillId="0" borderId="20" xfId="0" applyFont="1" applyBorder="1" applyAlignment="1">
      <alignment horizontal="center" vertical="center" wrapText="1"/>
    </xf>
    <xf numFmtId="167" fontId="8" fillId="0" borderId="90" xfId="0" applyFont="1" applyBorder="1" applyAlignment="1">
      <alignment horizontal="center" vertical="center" wrapText="1"/>
    </xf>
    <xf numFmtId="167" fontId="14" fillId="10" borderId="283" xfId="0" applyFont="1" applyFill="1" applyBorder="1" applyAlignment="1">
      <alignment horizontal="center" vertical="center" wrapText="1"/>
    </xf>
    <xf numFmtId="167" fontId="8" fillId="8" borderId="90" xfId="0" applyFont="1" applyFill="1" applyBorder="1" applyAlignment="1">
      <alignment horizontal="center" vertical="center" wrapText="1"/>
    </xf>
    <xf numFmtId="167" fontId="7" fillId="0" borderId="189" xfId="0" applyFont="1" applyBorder="1" applyAlignment="1">
      <alignment horizontal="center" vertical="center" wrapText="1"/>
    </xf>
    <xf numFmtId="167" fontId="8" fillId="0" borderId="75" xfId="0" applyFont="1" applyBorder="1" applyAlignment="1">
      <alignment horizontal="center" vertical="center" wrapText="1"/>
    </xf>
    <xf numFmtId="167" fontId="8" fillId="0" borderId="154" xfId="0" applyFont="1" applyBorder="1" applyAlignment="1">
      <alignment horizontal="center" vertical="center" wrapText="1"/>
    </xf>
    <xf numFmtId="167" fontId="8" fillId="8" borderId="128" xfId="0" applyFont="1" applyFill="1" applyBorder="1" applyAlignment="1">
      <alignment horizontal="center" vertical="center" wrapText="1"/>
    </xf>
    <xf numFmtId="167" fontId="8" fillId="8" borderId="20" xfId="0" applyFont="1" applyFill="1" applyBorder="1" applyAlignment="1">
      <alignment horizontal="center" vertical="center" wrapText="1"/>
    </xf>
    <xf numFmtId="167" fontId="84" fillId="0" borderId="285" xfId="0" applyFont="1" applyBorder="1" applyAlignment="1">
      <alignment horizontal="center" vertical="center" wrapText="1"/>
    </xf>
    <xf numFmtId="167" fontId="84" fillId="0" borderId="119" xfId="0" applyFont="1" applyBorder="1" applyAlignment="1">
      <alignment horizontal="center" vertical="center" wrapText="1"/>
    </xf>
    <xf numFmtId="167" fontId="84" fillId="0" borderId="196" xfId="0" applyFont="1" applyBorder="1" applyAlignment="1">
      <alignment horizontal="center" vertical="center" wrapText="1"/>
    </xf>
    <xf numFmtId="167" fontId="84" fillId="0" borderId="124" xfId="0" applyFont="1" applyBorder="1" applyAlignment="1">
      <alignment horizontal="center" vertical="center" wrapText="1"/>
    </xf>
    <xf numFmtId="167" fontId="84" fillId="0" borderId="125" xfId="0" applyFont="1" applyBorder="1" applyAlignment="1">
      <alignment horizontal="center" vertical="center" wrapText="1"/>
    </xf>
    <xf numFmtId="167" fontId="7" fillId="50" borderId="2" xfId="0" applyFont="1" applyFill="1" applyBorder="1" applyAlignment="1">
      <alignment horizontal="center" vertical="center" wrapText="1"/>
    </xf>
    <xf numFmtId="9" fontId="7" fillId="0" borderId="18" xfId="19" applyFont="1" applyBorder="1" applyAlignment="1">
      <alignment horizontal="center" vertical="center" wrapText="1"/>
    </xf>
    <xf numFmtId="9" fontId="7" fillId="0" borderId="2" xfId="19" applyFont="1" applyFill="1" applyBorder="1" applyAlignment="1">
      <alignment horizontal="center" vertical="center" wrapText="1"/>
    </xf>
    <xf numFmtId="167" fontId="84" fillId="0" borderId="136" xfId="0" applyFont="1" applyBorder="1" applyAlignment="1">
      <alignment horizontal="center" vertical="center" wrapText="1"/>
    </xf>
    <xf numFmtId="39" fontId="14" fillId="0" borderId="250" xfId="0" applyNumberFormat="1" applyFont="1" applyBorder="1" applyAlignment="1">
      <alignment horizontal="center" vertical="center" wrapText="1"/>
    </xf>
    <xf numFmtId="167" fontId="14" fillId="0" borderId="197" xfId="0" applyFont="1" applyBorder="1" applyAlignment="1">
      <alignment horizontal="center" vertical="center" wrapText="1"/>
    </xf>
    <xf numFmtId="167" fontId="14" fillId="0" borderId="243" xfId="0" applyFont="1" applyBorder="1" applyAlignment="1">
      <alignment horizontal="center" vertical="center" wrapText="1"/>
    </xf>
    <xf numFmtId="167" fontId="8" fillId="0" borderId="16" xfId="0" applyFont="1" applyBorder="1" applyAlignment="1">
      <alignment horizontal="center" vertical="center" wrapText="1"/>
    </xf>
    <xf numFmtId="167" fontId="7" fillId="0" borderId="19" xfId="0" applyFont="1" applyBorder="1" applyAlignment="1">
      <alignment horizontal="center" vertical="center" wrapText="1"/>
    </xf>
    <xf numFmtId="167" fontId="13" fillId="8" borderId="105" xfId="0" applyFont="1" applyFill="1" applyBorder="1" applyAlignment="1">
      <alignment horizontal="center" vertical="center" wrapText="1"/>
    </xf>
    <xf numFmtId="167" fontId="13" fillId="8" borderId="2" xfId="0" applyFont="1" applyFill="1" applyBorder="1" applyAlignment="1">
      <alignment horizontal="center" vertical="center" wrapText="1"/>
    </xf>
    <xf numFmtId="185" fontId="13" fillId="9" borderId="114" xfId="0" applyNumberFormat="1" applyFont="1" applyFill="1" applyBorder="1" applyAlignment="1">
      <alignment horizontal="center" vertical="center" wrapText="1"/>
    </xf>
    <xf numFmtId="185" fontId="7" fillId="9" borderId="114" xfId="0" applyNumberFormat="1" applyFont="1" applyFill="1" applyBorder="1" applyAlignment="1">
      <alignment horizontal="center" vertical="center" wrapText="1"/>
    </xf>
    <xf numFmtId="185" fontId="120" fillId="9" borderId="24" xfId="0" applyNumberFormat="1" applyFont="1" applyFill="1" applyBorder="1" applyAlignment="1">
      <alignment horizontal="center" vertical="center" wrapText="1"/>
    </xf>
    <xf numFmtId="185" fontId="120" fillId="9" borderId="164" xfId="0" applyNumberFormat="1" applyFont="1" applyFill="1" applyBorder="1" applyAlignment="1">
      <alignment horizontal="center" vertical="center" wrapText="1"/>
    </xf>
    <xf numFmtId="185" fontId="8" fillId="9" borderId="93" xfId="0" applyNumberFormat="1" applyFont="1" applyFill="1" applyBorder="1" applyAlignment="1">
      <alignment horizontal="center" vertical="center" wrapText="1"/>
    </xf>
    <xf numFmtId="185" fontId="120" fillId="9" borderId="130" xfId="0" applyNumberFormat="1" applyFont="1" applyFill="1" applyBorder="1" applyAlignment="1">
      <alignment horizontal="center" vertical="center" wrapText="1"/>
    </xf>
    <xf numFmtId="185" fontId="7" fillId="9" borderId="169" xfId="0" applyNumberFormat="1" applyFont="1" applyFill="1" applyBorder="1" applyAlignment="1">
      <alignment horizontal="center" vertical="center" wrapText="1"/>
    </xf>
    <xf numFmtId="185" fontId="26" fillId="36" borderId="2" xfId="0" applyNumberFormat="1" applyFont="1" applyFill="1" applyBorder="1" applyAlignment="1">
      <alignment horizontal="center" vertical="center" wrapText="1"/>
    </xf>
    <xf numFmtId="183" fontId="14" fillId="0" borderId="242" xfId="0" applyNumberFormat="1" applyFont="1" applyBorder="1" applyAlignment="1">
      <alignment horizontal="center" vertical="center" wrapText="1"/>
    </xf>
    <xf numFmtId="9" fontId="7" fillId="0" borderId="13" xfId="19" applyFont="1" applyFill="1" applyBorder="1" applyAlignment="1">
      <alignment horizontal="center" vertical="center" wrapText="1"/>
    </xf>
    <xf numFmtId="37" fontId="13" fillId="0" borderId="0" xfId="0" applyNumberFormat="1" applyFont="1" applyAlignment="1">
      <alignment horizontal="left" vertical="center"/>
    </xf>
    <xf numFmtId="39" fontId="7" fillId="0" borderId="0" xfId="0" applyNumberFormat="1" applyFont="1" applyAlignment="1">
      <alignment horizontal="left" vertical="center"/>
    </xf>
    <xf numFmtId="37" fontId="7" fillId="0" borderId="0" xfId="0" applyNumberFormat="1" applyFont="1" applyAlignment="1">
      <alignment horizontal="left" vertical="center"/>
    </xf>
    <xf numFmtId="183" fontId="7" fillId="0" borderId="0" xfId="0" applyNumberFormat="1" applyFont="1" applyAlignment="1">
      <alignment horizontal="left" vertical="center"/>
    </xf>
    <xf numFmtId="37" fontId="26" fillId="0" borderId="0" xfId="0" applyNumberFormat="1" applyFont="1" applyAlignment="1">
      <alignment horizontal="left" vertical="center"/>
    </xf>
    <xf numFmtId="183" fontId="26" fillId="0" borderId="0" xfId="0" applyNumberFormat="1" applyFont="1" applyAlignment="1">
      <alignment horizontal="left" vertical="center"/>
    </xf>
    <xf numFmtId="9" fontId="7" fillId="0" borderId="0" xfId="19" applyFont="1" applyAlignment="1">
      <alignment horizontal="left" vertical="center"/>
    </xf>
    <xf numFmtId="183" fontId="8" fillId="9" borderId="173" xfId="0" applyNumberFormat="1" applyFont="1" applyFill="1" applyBorder="1" applyAlignment="1">
      <alignment horizontal="center" vertical="center" wrapText="1"/>
    </xf>
    <xf numFmtId="220" fontId="7" fillId="0" borderId="13" xfId="0" applyNumberFormat="1" applyFont="1" applyBorder="1" applyAlignment="1">
      <alignment horizontal="center" vertical="center" wrapText="1"/>
    </xf>
    <xf numFmtId="220" fontId="8" fillId="9" borderId="13" xfId="0" applyNumberFormat="1" applyFont="1" applyFill="1" applyBorder="1" applyAlignment="1">
      <alignment horizontal="center" vertical="center" wrapText="1"/>
    </xf>
    <xf numFmtId="220" fontId="13" fillId="0" borderId="157" xfId="0" applyNumberFormat="1" applyFont="1" applyBorder="1" applyAlignment="1">
      <alignment horizontal="center" vertical="center" wrapText="1"/>
    </xf>
    <xf numFmtId="220" fontId="7" fillId="0" borderId="16" xfId="0" applyNumberFormat="1" applyFont="1" applyBorder="1" applyAlignment="1">
      <alignment horizontal="center" vertical="center" wrapText="1"/>
    </xf>
    <xf numFmtId="220" fontId="13" fillId="0" borderId="130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8" fillId="9" borderId="13" xfId="0" applyNumberFormat="1" applyFont="1" applyFill="1" applyBorder="1" applyAlignment="1">
      <alignment horizontal="center" vertical="center" wrapText="1"/>
    </xf>
    <xf numFmtId="1" fontId="13" fillId="0" borderId="157" xfId="0" applyNumberFormat="1" applyFont="1" applyBorder="1" applyAlignment="1">
      <alignment horizontal="center" vertical="center" wrapText="1"/>
    </xf>
    <xf numFmtId="1" fontId="7" fillId="0" borderId="16" xfId="0" applyNumberFormat="1" applyFont="1" applyBorder="1" applyAlignment="1">
      <alignment horizontal="center" vertical="center" wrapText="1"/>
    </xf>
    <xf numFmtId="1" fontId="8" fillId="9" borderId="16" xfId="0" applyNumberFormat="1" applyFont="1" applyFill="1" applyBorder="1" applyAlignment="1">
      <alignment horizontal="center" vertical="center" wrapText="1"/>
    </xf>
    <xf numFmtId="1" fontId="13" fillId="0" borderId="130" xfId="0" applyNumberFormat="1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1" fontId="8" fillId="9" borderId="2" xfId="0" applyNumberFormat="1" applyFont="1" applyFill="1" applyBorder="1" applyAlignment="1">
      <alignment horizontal="center" vertical="center" wrapText="1"/>
    </xf>
    <xf numFmtId="1" fontId="13" fillId="0" borderId="24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8" fillId="9" borderId="19" xfId="0" applyNumberFormat="1" applyFont="1" applyFill="1" applyBorder="1" applyAlignment="1">
      <alignment horizontal="center" vertical="center" wrapText="1"/>
    </xf>
    <xf numFmtId="1" fontId="13" fillId="0" borderId="39" xfId="0" applyNumberFormat="1" applyFont="1" applyBorder="1" applyAlignment="1">
      <alignment horizontal="center" vertical="center" wrapText="1"/>
    </xf>
    <xf numFmtId="1" fontId="7" fillId="9" borderId="157" xfId="0" applyNumberFormat="1" applyFont="1" applyFill="1" applyBorder="1" applyAlignment="1">
      <alignment horizontal="center" vertical="center" wrapText="1"/>
    </xf>
    <xf numFmtId="1" fontId="7" fillId="9" borderId="24" xfId="0" applyNumberFormat="1" applyFont="1" applyFill="1" applyBorder="1" applyAlignment="1">
      <alignment horizontal="center" vertical="center" wrapText="1"/>
    </xf>
    <xf numFmtId="1" fontId="7" fillId="9" borderId="39" xfId="0" applyNumberFormat="1" applyFont="1" applyFill="1" applyBorder="1" applyAlignment="1">
      <alignment horizontal="center" vertical="center" wrapText="1"/>
    </xf>
    <xf numFmtId="204" fontId="7" fillId="0" borderId="2" xfId="0" applyNumberFormat="1" applyFont="1" applyBorder="1" applyAlignment="1">
      <alignment horizontal="center" vertical="center" wrapText="1"/>
    </xf>
    <xf numFmtId="204" fontId="8" fillId="9" borderId="2" xfId="0" applyNumberFormat="1" applyFont="1" applyFill="1" applyBorder="1" applyAlignment="1">
      <alignment horizontal="center" vertical="center" wrapText="1"/>
    </xf>
    <xf numFmtId="204" fontId="13" fillId="0" borderId="24" xfId="0" applyNumberFormat="1" applyFont="1" applyBorder="1" applyAlignment="1">
      <alignment horizontal="center" vertical="center" wrapText="1"/>
    </xf>
    <xf numFmtId="204" fontId="7" fillId="0" borderId="19" xfId="0" applyNumberFormat="1" applyFont="1" applyBorder="1" applyAlignment="1">
      <alignment horizontal="center" vertical="center" wrapText="1"/>
    </xf>
    <xf numFmtId="204" fontId="8" fillId="9" borderId="19" xfId="0" applyNumberFormat="1" applyFont="1" applyFill="1" applyBorder="1" applyAlignment="1">
      <alignment horizontal="center" vertical="center" wrapText="1"/>
    </xf>
    <xf numFmtId="204" fontId="13" fillId="0" borderId="39" xfId="0" applyNumberFormat="1" applyFont="1" applyBorder="1" applyAlignment="1">
      <alignment horizontal="center" vertical="center" wrapText="1"/>
    </xf>
    <xf numFmtId="204" fontId="7" fillId="0" borderId="13" xfId="0" applyNumberFormat="1" applyFont="1" applyBorder="1" applyAlignment="1">
      <alignment horizontal="center" vertical="center" wrapText="1"/>
    </xf>
    <xf numFmtId="204" fontId="8" fillId="9" borderId="13" xfId="0" applyNumberFormat="1" applyFont="1" applyFill="1" applyBorder="1" applyAlignment="1">
      <alignment horizontal="center" vertical="center" wrapText="1"/>
    </xf>
    <xf numFmtId="204" fontId="13" fillId="0" borderId="157" xfId="0" applyNumberFormat="1" applyFont="1" applyBorder="1" applyAlignment="1">
      <alignment horizontal="center" vertical="center" wrapText="1"/>
    </xf>
    <xf numFmtId="204" fontId="14" fillId="9" borderId="157" xfId="0" applyNumberFormat="1" applyFont="1" applyFill="1" applyBorder="1" applyAlignment="1">
      <alignment horizontal="center" vertical="center" wrapText="1"/>
    </xf>
    <xf numFmtId="204" fontId="14" fillId="9" borderId="24" xfId="0" applyNumberFormat="1" applyFont="1" applyFill="1" applyBorder="1" applyAlignment="1">
      <alignment horizontal="center" vertical="center" wrapText="1"/>
    </xf>
    <xf numFmtId="204" fontId="7" fillId="0" borderId="16" xfId="0" applyNumberFormat="1" applyFont="1" applyBorder="1" applyAlignment="1">
      <alignment horizontal="center" vertical="center" wrapText="1"/>
    </xf>
    <xf numFmtId="204" fontId="8" fillId="9" borderId="16" xfId="0" applyNumberFormat="1" applyFont="1" applyFill="1" applyBorder="1" applyAlignment="1">
      <alignment horizontal="center" vertical="center" wrapText="1"/>
    </xf>
    <xf numFmtId="204" fontId="13" fillId="0" borderId="130" xfId="0" applyNumberFormat="1" applyFont="1" applyBorder="1" applyAlignment="1">
      <alignment horizontal="center" vertical="center" wrapText="1"/>
    </xf>
    <xf numFmtId="204" fontId="7" fillId="0" borderId="173" xfId="0" applyNumberFormat="1" applyFont="1" applyBorder="1" applyAlignment="1">
      <alignment horizontal="center" vertical="center" wrapText="1"/>
    </xf>
    <xf numFmtId="204" fontId="8" fillId="9" borderId="173" xfId="0" applyNumberFormat="1" applyFont="1" applyFill="1" applyBorder="1" applyAlignment="1">
      <alignment horizontal="center" vertical="center" wrapText="1"/>
    </xf>
    <xf numFmtId="204" fontId="13" fillId="0" borderId="174" xfId="0" applyNumberFormat="1" applyFont="1" applyBorder="1" applyAlignment="1">
      <alignment horizontal="center" vertical="center" wrapText="1"/>
    </xf>
    <xf numFmtId="195" fontId="7" fillId="0" borderId="189" xfId="0" applyNumberFormat="1" applyFont="1" applyBorder="1" applyAlignment="1">
      <alignment horizontal="center" vertical="center" wrapText="1"/>
    </xf>
    <xf numFmtId="195" fontId="13" fillId="0" borderId="188" xfId="0" applyNumberFormat="1" applyFont="1" applyBorder="1" applyAlignment="1">
      <alignment horizontal="center" vertical="center" wrapText="1"/>
    </xf>
    <xf numFmtId="195" fontId="7" fillId="0" borderId="2" xfId="19" applyNumberFormat="1" applyFont="1" applyFill="1" applyBorder="1" applyAlignment="1">
      <alignment horizontal="center" vertical="center" wrapText="1"/>
    </xf>
    <xf numFmtId="195" fontId="102" fillId="9" borderId="24" xfId="0" applyNumberFormat="1" applyFont="1" applyFill="1" applyBorder="1" applyAlignment="1">
      <alignment horizontal="center" vertical="center" wrapText="1"/>
    </xf>
    <xf numFmtId="195" fontId="7" fillId="0" borderId="16" xfId="0" applyNumberFormat="1" applyFont="1" applyBorder="1" applyAlignment="1">
      <alignment horizontal="center" vertical="center" wrapText="1"/>
    </xf>
    <xf numFmtId="195" fontId="7" fillId="9" borderId="130" xfId="0" applyNumberFormat="1" applyFont="1" applyFill="1" applyBorder="1" applyAlignment="1">
      <alignment horizontal="center" vertical="center" wrapText="1"/>
    </xf>
    <xf numFmtId="195" fontId="7" fillId="0" borderId="13" xfId="0" applyNumberFormat="1" applyFont="1" applyBorder="1" applyAlignment="1">
      <alignment horizontal="center" vertical="center" wrapText="1"/>
    </xf>
    <xf numFmtId="195" fontId="102" fillId="9" borderId="157" xfId="0" applyNumberFormat="1" applyFont="1" applyFill="1" applyBorder="1" applyAlignment="1">
      <alignment horizontal="center" vertical="center" wrapText="1"/>
    </xf>
    <xf numFmtId="195" fontId="7" fillId="0" borderId="2" xfId="0" applyNumberFormat="1" applyFont="1" applyBorder="1" applyAlignment="1">
      <alignment horizontal="center" vertical="center" wrapText="1"/>
    </xf>
    <xf numFmtId="195" fontId="13" fillId="0" borderId="24" xfId="0" applyNumberFormat="1" applyFont="1" applyBorder="1" applyAlignment="1">
      <alignment horizontal="center" vertical="center" wrapText="1"/>
    </xf>
    <xf numFmtId="195" fontId="13" fillId="0" borderId="130" xfId="0" applyNumberFormat="1" applyFont="1" applyBorder="1" applyAlignment="1">
      <alignment horizontal="center" vertical="center" wrapText="1"/>
    </xf>
    <xf numFmtId="195" fontId="7" fillId="0" borderId="173" xfId="0" applyNumberFormat="1" applyFont="1" applyBorder="1" applyAlignment="1">
      <alignment horizontal="center" vertical="center" wrapText="1"/>
    </xf>
    <xf numFmtId="195" fontId="13" fillId="0" borderId="174" xfId="0" applyNumberFormat="1" applyFont="1" applyBorder="1" applyAlignment="1">
      <alignment horizontal="center" vertical="center" wrapText="1"/>
    </xf>
    <xf numFmtId="195" fontId="7" fillId="0" borderId="3" xfId="0" applyNumberFormat="1" applyFont="1" applyBorder="1" applyAlignment="1">
      <alignment horizontal="center" vertical="center" wrapText="1"/>
    </xf>
    <xf numFmtId="195" fontId="8" fillId="9" borderId="24" xfId="0" applyNumberFormat="1" applyFont="1" applyFill="1" applyBorder="1" applyAlignment="1">
      <alignment horizontal="center" vertical="center" wrapText="1"/>
    </xf>
    <xf numFmtId="37" fontId="13" fillId="0" borderId="229" xfId="0" applyNumberFormat="1" applyFont="1" applyBorder="1" applyAlignment="1">
      <alignment horizontal="center" vertical="center" wrapText="1"/>
    </xf>
    <xf numFmtId="37" fontId="7" fillId="0" borderId="160" xfId="0" applyNumberFormat="1" applyFont="1" applyBorder="1" applyAlignment="1">
      <alignment horizontal="center" vertical="center" wrapText="1"/>
    </xf>
    <xf numFmtId="37" fontId="13" fillId="0" borderId="179" xfId="0" applyNumberFormat="1" applyFont="1" applyBorder="1" applyAlignment="1">
      <alignment horizontal="center" vertical="center" wrapText="1"/>
    </xf>
    <xf numFmtId="195" fontId="7" fillId="9" borderId="24" xfId="0" applyNumberFormat="1" applyFont="1" applyFill="1" applyBorder="1" applyAlignment="1">
      <alignment horizontal="center" vertical="center" wrapText="1"/>
    </xf>
    <xf numFmtId="220" fontId="7" fillId="0" borderId="21" xfId="0" applyNumberFormat="1" applyFont="1" applyBorder="1" applyAlignment="1">
      <alignment horizontal="center" vertical="center" wrapText="1"/>
    </xf>
    <xf numFmtId="220" fontId="13" fillId="0" borderId="22" xfId="0" applyNumberFormat="1" applyFont="1" applyBorder="1" applyAlignment="1">
      <alignment horizontal="center" vertical="center" wrapText="1"/>
    </xf>
    <xf numFmtId="39" fontId="24" fillId="0" borderId="119" xfId="0" applyNumberFormat="1" applyFont="1" applyBorder="1" applyAlignment="1">
      <alignment horizontal="center" vertical="center" wrapText="1"/>
    </xf>
    <xf numFmtId="220" fontId="14" fillId="9" borderId="157" xfId="0" applyNumberFormat="1" applyFont="1" applyFill="1" applyBorder="1" applyAlignment="1">
      <alignment horizontal="center" vertical="center" wrapText="1"/>
    </xf>
    <xf numFmtId="220" fontId="7" fillId="0" borderId="2" xfId="0" applyNumberFormat="1" applyFont="1" applyBorder="1" applyAlignment="1">
      <alignment horizontal="center" vertical="center" wrapText="1"/>
    </xf>
    <xf numFmtId="220" fontId="7" fillId="9" borderId="24" xfId="0" applyNumberFormat="1" applyFont="1" applyFill="1" applyBorder="1" applyAlignment="1">
      <alignment horizontal="center" vertical="center" wrapText="1"/>
    </xf>
    <xf numFmtId="220" fontId="13" fillId="0" borderId="24" xfId="0" applyNumberFormat="1" applyFont="1" applyBorder="1" applyAlignment="1">
      <alignment horizontal="center" vertical="center" wrapText="1"/>
    </xf>
    <xf numFmtId="220" fontId="13" fillId="0" borderId="39" xfId="0" applyNumberFormat="1" applyFont="1" applyBorder="1" applyAlignment="1">
      <alignment horizontal="center" vertical="center" wrapText="1"/>
    </xf>
    <xf numFmtId="220" fontId="7" fillId="0" borderId="19" xfId="0" applyNumberFormat="1" applyFont="1" applyBorder="1" applyAlignment="1">
      <alignment horizontal="center" vertical="center" wrapText="1"/>
    </xf>
    <xf numFmtId="220" fontId="7" fillId="0" borderId="28" xfId="0" applyNumberFormat="1" applyFont="1" applyBorder="1" applyAlignment="1">
      <alignment horizontal="center" vertical="center" wrapText="1"/>
    </xf>
    <xf numFmtId="220" fontId="102" fillId="9" borderId="267" xfId="0" applyNumberFormat="1" applyFont="1" applyFill="1" applyBorder="1" applyAlignment="1">
      <alignment horizontal="center" vertical="center" wrapText="1"/>
    </xf>
    <xf numFmtId="220" fontId="7" fillId="0" borderId="189" xfId="0" applyNumberFormat="1" applyFont="1" applyBorder="1" applyAlignment="1">
      <alignment horizontal="center" vertical="center" wrapText="1"/>
    </xf>
    <xf numFmtId="220" fontId="13" fillId="0" borderId="188" xfId="0" applyNumberFormat="1" applyFont="1" applyBorder="1" applyAlignment="1">
      <alignment horizontal="center" vertical="center" wrapText="1"/>
    </xf>
    <xf numFmtId="219" fontId="7" fillId="0" borderId="0" xfId="0" applyNumberFormat="1" applyFont="1" applyAlignment="1">
      <alignment horizontal="center" vertical="center" wrapText="1"/>
    </xf>
    <xf numFmtId="195" fontId="7" fillId="8" borderId="256" xfId="0" applyNumberFormat="1" applyFont="1" applyFill="1" applyBorder="1" applyAlignment="1">
      <alignment horizontal="center" vertical="center" wrapText="1"/>
    </xf>
    <xf numFmtId="195" fontId="111" fillId="0" borderId="188" xfId="0" applyNumberFormat="1" applyFont="1" applyBorder="1" applyAlignment="1">
      <alignment horizontal="center" vertical="center" wrapText="1"/>
    </xf>
    <xf numFmtId="195" fontId="7" fillId="8" borderId="181" xfId="0" applyNumberFormat="1" applyFont="1" applyFill="1" applyBorder="1" applyAlignment="1">
      <alignment horizontal="center" vertical="center" wrapText="1"/>
    </xf>
    <xf numFmtId="195" fontId="111" fillId="0" borderId="174" xfId="0" applyNumberFormat="1" applyFont="1" applyBorder="1" applyAlignment="1">
      <alignment horizontal="center" vertical="center" wrapText="1"/>
    </xf>
    <xf numFmtId="195" fontId="112" fillId="9" borderId="24" xfId="0" applyNumberFormat="1" applyFont="1" applyFill="1" applyBorder="1" applyAlignment="1">
      <alignment horizontal="center" vertical="center" wrapText="1"/>
    </xf>
    <xf numFmtId="195" fontId="111" fillId="0" borderId="24" xfId="0" applyNumberFormat="1" applyFont="1" applyBorder="1" applyAlignment="1">
      <alignment horizontal="center" vertical="center" wrapText="1"/>
    </xf>
    <xf numFmtId="195" fontId="7" fillId="8" borderId="167" xfId="0" applyNumberFormat="1" applyFont="1" applyFill="1" applyBorder="1" applyAlignment="1">
      <alignment horizontal="center" vertical="center" wrapText="1"/>
    </xf>
    <xf numFmtId="195" fontId="7" fillId="8" borderId="3" xfId="19" applyNumberFormat="1" applyFont="1" applyFill="1" applyBorder="1" applyAlignment="1">
      <alignment horizontal="center" vertical="center" wrapText="1"/>
    </xf>
    <xf numFmtId="195" fontId="7" fillId="9" borderId="39" xfId="0" applyNumberFormat="1" applyFont="1" applyFill="1" applyBorder="1" applyAlignment="1">
      <alignment horizontal="center" vertical="center" wrapText="1"/>
    </xf>
    <xf numFmtId="195" fontId="109" fillId="9" borderId="24" xfId="0" applyNumberFormat="1" applyFont="1" applyFill="1" applyBorder="1" applyAlignment="1">
      <alignment horizontal="center" vertical="center" wrapText="1"/>
    </xf>
    <xf numFmtId="195" fontId="7" fillId="0" borderId="127" xfId="0" applyNumberFormat="1" applyFont="1" applyBorder="1" applyAlignment="1">
      <alignment horizontal="center" vertical="center" wrapText="1"/>
    </xf>
    <xf numFmtId="195" fontId="111" fillId="0" borderId="130" xfId="0" applyNumberFormat="1" applyFont="1" applyBorder="1" applyAlignment="1">
      <alignment horizontal="center" vertical="center" wrapText="1"/>
    </xf>
    <xf numFmtId="195" fontId="7" fillId="8" borderId="3" xfId="0" applyNumberFormat="1" applyFont="1" applyFill="1" applyBorder="1" applyAlignment="1">
      <alignment horizontal="center" vertical="center" wrapText="1"/>
    </xf>
    <xf numFmtId="195" fontId="112" fillId="9" borderId="157" xfId="0" applyNumberFormat="1" applyFont="1" applyFill="1" applyBorder="1" applyAlignment="1">
      <alignment horizontal="center" vertical="center" wrapText="1"/>
    </xf>
    <xf numFmtId="195" fontId="7" fillId="0" borderId="3" xfId="19" applyNumberFormat="1" applyFont="1" applyFill="1" applyBorder="1" applyAlignment="1">
      <alignment horizontal="center" vertical="center" wrapText="1"/>
    </xf>
    <xf numFmtId="195" fontId="112" fillId="0" borderId="13" xfId="0" applyNumberFormat="1" applyFont="1" applyBorder="1" applyAlignment="1">
      <alignment horizontal="center" vertical="center" wrapText="1"/>
    </xf>
    <xf numFmtId="195" fontId="7" fillId="0" borderId="167" xfId="0" applyNumberFormat="1" applyFont="1" applyBorder="1" applyAlignment="1">
      <alignment horizontal="center" vertical="center" wrapText="1"/>
    </xf>
    <xf numFmtId="195" fontId="111" fillId="0" borderId="157" xfId="0" applyNumberFormat="1" applyFont="1" applyBorder="1" applyAlignment="1">
      <alignment horizontal="center" vertical="center" wrapText="1"/>
    </xf>
    <xf numFmtId="195" fontId="8" fillId="0" borderId="252" xfId="0" applyNumberFormat="1" applyFont="1" applyBorder="1" applyAlignment="1">
      <alignment horizontal="center" vertical="center" wrapText="1"/>
    </xf>
    <xf numFmtId="195" fontId="115" fillId="9" borderId="267" xfId="0" applyNumberFormat="1" applyFont="1" applyFill="1" applyBorder="1" applyAlignment="1">
      <alignment horizontal="center" vertical="center" wrapText="1"/>
    </xf>
    <xf numFmtId="221" fontId="14" fillId="0" borderId="20" xfId="0" applyNumberFormat="1" applyFont="1" applyBorder="1" applyAlignment="1">
      <alignment horizontal="center" vertical="center" wrapText="1"/>
    </xf>
    <xf numFmtId="221" fontId="7" fillId="0" borderId="13" xfId="0" applyNumberFormat="1" applyFont="1" applyBorder="1" applyAlignment="1">
      <alignment horizontal="center" vertical="center" wrapText="1"/>
    </xf>
    <xf numFmtId="221" fontId="14" fillId="9" borderId="157" xfId="0" applyNumberFormat="1" applyFont="1" applyFill="1" applyBorder="1" applyAlignment="1">
      <alignment horizontal="center" vertical="center" wrapText="1"/>
    </xf>
    <xf numFmtId="221" fontId="7" fillId="8" borderId="0" xfId="0" applyNumberFormat="1" applyFont="1" applyFill="1" applyAlignment="1">
      <alignment horizontal="center" vertical="center" wrapText="1"/>
    </xf>
    <xf numFmtId="221" fontId="7" fillId="0" borderId="0" xfId="0" applyNumberFormat="1" applyFont="1" applyAlignment="1">
      <alignment horizontal="center" vertical="center" wrapText="1"/>
    </xf>
    <xf numFmtId="221" fontId="14" fillId="0" borderId="20" xfId="0" applyNumberFormat="1" applyFont="1" applyBorder="1" applyAlignment="1">
      <alignment horizontal="centerContinuous" vertical="center" wrapText="1"/>
    </xf>
    <xf numFmtId="221" fontId="14" fillId="0" borderId="128" xfId="0" applyNumberFormat="1" applyFont="1" applyBorder="1" applyAlignment="1">
      <alignment horizontal="center" vertical="center" wrapText="1"/>
    </xf>
    <xf numFmtId="221" fontId="7" fillId="8" borderId="3" xfId="0" applyNumberFormat="1" applyFont="1" applyFill="1" applyBorder="1" applyAlignment="1">
      <alignment horizontal="center" vertical="center" wrapText="1"/>
    </xf>
    <xf numFmtId="221" fontId="109" fillId="9" borderId="24" xfId="0" applyNumberFormat="1" applyFont="1" applyFill="1" applyBorder="1" applyAlignment="1">
      <alignment horizontal="center" vertical="center" wrapText="1"/>
    </xf>
    <xf numFmtId="221" fontId="112" fillId="0" borderId="0" xfId="0" applyNumberFormat="1" applyFont="1" applyAlignment="1">
      <alignment horizontal="center" vertical="center" wrapText="1"/>
    </xf>
    <xf numFmtId="221" fontId="7" fillId="8" borderId="3" xfId="19" applyNumberFormat="1" applyFont="1" applyFill="1" applyBorder="1" applyAlignment="1">
      <alignment horizontal="center" vertical="center" wrapText="1"/>
    </xf>
    <xf numFmtId="221" fontId="112" fillId="9" borderId="24" xfId="0" applyNumberFormat="1" applyFont="1" applyFill="1" applyBorder="1" applyAlignment="1">
      <alignment horizontal="center" vertical="center" wrapText="1"/>
    </xf>
    <xf numFmtId="221" fontId="14" fillId="0" borderId="248" xfId="0" applyNumberFormat="1" applyFont="1" applyBorder="1" applyAlignment="1">
      <alignment horizontal="center" vertical="center" wrapText="1"/>
    </xf>
    <xf numFmtId="221" fontId="14" fillId="0" borderId="242" xfId="0" applyNumberFormat="1" applyFont="1" applyBorder="1" applyAlignment="1">
      <alignment horizontal="center" vertical="center" wrapText="1"/>
    </xf>
    <xf numFmtId="221" fontId="14" fillId="0" borderId="198" xfId="0" applyNumberFormat="1" applyFont="1" applyBorder="1" applyAlignment="1">
      <alignment horizontal="center" vertical="center" wrapText="1"/>
    </xf>
    <xf numFmtId="221" fontId="7" fillId="9" borderId="24" xfId="0" applyNumberFormat="1" applyFont="1" applyFill="1" applyBorder="1" applyAlignment="1">
      <alignment horizontal="center" vertical="center" wrapText="1"/>
    </xf>
    <xf numFmtId="195" fontId="14" fillId="9" borderId="157" xfId="0" applyNumberFormat="1" applyFont="1" applyFill="1" applyBorder="1" applyAlignment="1">
      <alignment horizontal="center" vertical="center" wrapText="1"/>
    </xf>
    <xf numFmtId="195" fontId="7" fillId="9" borderId="157" xfId="0" applyNumberFormat="1" applyFont="1" applyFill="1" applyBorder="1" applyAlignment="1">
      <alignment horizontal="center" vertical="center" wrapText="1"/>
    </xf>
    <xf numFmtId="195" fontId="7" fillId="8" borderId="2" xfId="0" applyNumberFormat="1" applyFont="1" applyFill="1" applyBorder="1" applyAlignment="1">
      <alignment horizontal="center" vertical="center" wrapText="1"/>
    </xf>
    <xf numFmtId="195" fontId="7" fillId="8" borderId="13" xfId="0" applyNumberFormat="1" applyFont="1" applyFill="1" applyBorder="1" applyAlignment="1">
      <alignment horizontal="center" vertical="center" wrapText="1"/>
    </xf>
    <xf numFmtId="195" fontId="13" fillId="0" borderId="157" xfId="0" applyNumberFormat="1" applyFont="1" applyBorder="1" applyAlignment="1">
      <alignment horizontal="center" vertical="center" wrapText="1"/>
    </xf>
    <xf numFmtId="195" fontId="7" fillId="0" borderId="105" xfId="0" applyNumberFormat="1" applyFont="1" applyBorder="1" applyAlignment="1">
      <alignment horizontal="center" vertical="center" wrapText="1"/>
    </xf>
    <xf numFmtId="195" fontId="13" fillId="0" borderId="114" xfId="0" applyNumberFormat="1" applyFont="1" applyBorder="1" applyAlignment="1">
      <alignment horizontal="center" vertical="center" wrapText="1"/>
    </xf>
    <xf numFmtId="195" fontId="7" fillId="0" borderId="19" xfId="0" applyNumberFormat="1" applyFont="1" applyBorder="1" applyAlignment="1">
      <alignment horizontal="center" vertical="center" wrapText="1"/>
    </xf>
    <xf numFmtId="195" fontId="13" fillId="0" borderId="39" xfId="0" applyNumberFormat="1" applyFont="1" applyBorder="1" applyAlignment="1">
      <alignment horizontal="center" vertical="center" wrapText="1"/>
    </xf>
    <xf numFmtId="221" fontId="7" fillId="8" borderId="2" xfId="0" applyNumberFormat="1" applyFont="1" applyFill="1" applyBorder="1" applyAlignment="1">
      <alignment horizontal="center" vertical="center" wrapText="1"/>
    </xf>
    <xf numFmtId="221" fontId="7" fillId="0" borderId="0" xfId="0" applyNumberFormat="1" applyFont="1" applyAlignment="1">
      <alignment horizontal="left" vertical="center"/>
    </xf>
    <xf numFmtId="221" fontId="26" fillId="0" borderId="0" xfId="0" applyNumberFormat="1" applyFont="1" applyAlignment="1">
      <alignment horizontal="center" vertical="center" wrapText="1"/>
    </xf>
    <xf numFmtId="195" fontId="120" fillId="9" borderId="24" xfId="0" applyNumberFormat="1" applyFont="1" applyFill="1" applyBorder="1" applyAlignment="1">
      <alignment horizontal="center" vertical="center" wrapText="1"/>
    </xf>
    <xf numFmtId="195" fontId="7" fillId="9" borderId="165" xfId="0" applyNumberFormat="1" applyFont="1" applyFill="1" applyBorder="1" applyAlignment="1">
      <alignment horizontal="center" vertical="center" wrapText="1"/>
    </xf>
    <xf numFmtId="195" fontId="14" fillId="9" borderId="93" xfId="0" applyNumberFormat="1" applyFont="1" applyFill="1" applyBorder="1" applyAlignment="1">
      <alignment horizontal="center" vertical="center" wrapText="1"/>
    </xf>
    <xf numFmtId="195" fontId="13" fillId="0" borderId="164" xfId="0" applyNumberFormat="1" applyFont="1" applyBorder="1" applyAlignment="1">
      <alignment horizontal="center" vertical="center" wrapText="1"/>
    </xf>
    <xf numFmtId="195" fontId="13" fillId="9" borderId="165" xfId="0" applyNumberFormat="1" applyFont="1" applyFill="1" applyBorder="1" applyAlignment="1">
      <alignment horizontal="center" vertical="center" wrapText="1"/>
    </xf>
    <xf numFmtId="195" fontId="7" fillId="9" borderId="93" xfId="0" applyNumberFormat="1" applyFont="1" applyFill="1" applyBorder="1" applyAlignment="1">
      <alignment horizontal="center" vertical="center" wrapText="1"/>
    </xf>
    <xf numFmtId="195" fontId="13" fillId="0" borderId="93" xfId="0" applyNumberFormat="1" applyFont="1" applyBorder="1" applyAlignment="1">
      <alignment horizontal="center" vertical="center" wrapText="1"/>
    </xf>
    <xf numFmtId="195" fontId="7" fillId="9" borderId="164" xfId="0" applyNumberFormat="1" applyFont="1" applyFill="1" applyBorder="1" applyAlignment="1">
      <alignment horizontal="center" vertical="center" wrapText="1"/>
    </xf>
    <xf numFmtId="195" fontId="7" fillId="0" borderId="36" xfId="0" applyNumberFormat="1" applyFont="1" applyBorder="1" applyAlignment="1">
      <alignment horizontal="center" vertical="center" wrapText="1"/>
    </xf>
    <xf numFmtId="222" fontId="7" fillId="0" borderId="2" xfId="0" applyNumberFormat="1" applyFont="1" applyBorder="1" applyAlignment="1">
      <alignment horizontal="center" vertical="center" wrapText="1"/>
    </xf>
    <xf numFmtId="222" fontId="14" fillId="9" borderId="93" xfId="0" applyNumberFormat="1" applyFont="1" applyFill="1" applyBorder="1" applyAlignment="1">
      <alignment horizontal="center" vertical="center" wrapText="1"/>
    </xf>
    <xf numFmtId="195" fontId="7" fillId="0" borderId="2" xfId="0" quotePrefix="1" applyNumberFormat="1" applyFont="1" applyBorder="1" applyAlignment="1">
      <alignment horizontal="center" vertical="center" wrapText="1"/>
    </xf>
    <xf numFmtId="195" fontId="13" fillId="0" borderId="171" xfId="0" applyNumberFormat="1" applyFont="1" applyBorder="1" applyAlignment="1">
      <alignment horizontal="center" vertical="center" wrapText="1"/>
    </xf>
    <xf numFmtId="195" fontId="13" fillId="0" borderId="168" xfId="0" applyNumberFormat="1" applyFont="1" applyBorder="1" applyAlignment="1">
      <alignment horizontal="center" vertical="center" wrapText="1"/>
    </xf>
    <xf numFmtId="9" fontId="7" fillId="0" borderId="233" xfId="19" applyFont="1" applyBorder="1" applyAlignment="1">
      <alignment horizontal="center" vertical="center" wrapText="1"/>
    </xf>
    <xf numFmtId="167" fontId="7" fillId="0" borderId="36" xfId="0" applyFont="1" applyBorder="1" applyAlignment="1">
      <alignment horizontal="center" vertical="center" wrapText="1"/>
    </xf>
    <xf numFmtId="222" fontId="7" fillId="9" borderId="93" xfId="0" applyNumberFormat="1" applyFont="1" applyFill="1" applyBorder="1" applyAlignment="1">
      <alignment horizontal="center" vertical="center" wrapText="1"/>
    </xf>
    <xf numFmtId="222" fontId="8" fillId="0" borderId="35" xfId="0" applyNumberFormat="1" applyFont="1" applyBorder="1" applyAlignment="1">
      <alignment horizontal="center" vertical="center" wrapText="1"/>
    </xf>
    <xf numFmtId="222" fontId="7" fillId="0" borderId="36" xfId="0" applyNumberFormat="1" applyFont="1" applyBorder="1" applyAlignment="1">
      <alignment horizontal="center" vertical="center" wrapText="1"/>
    </xf>
    <xf numFmtId="222" fontId="13" fillId="9" borderId="191" xfId="0" applyNumberFormat="1" applyFont="1" applyFill="1" applyBorder="1" applyAlignment="1">
      <alignment horizontal="center" vertical="center" wrapText="1"/>
    </xf>
    <xf numFmtId="167" fontId="84" fillId="0" borderId="175" xfId="0" applyFont="1" applyBorder="1" applyAlignment="1">
      <alignment horizontal="center" vertical="center" wrapText="1"/>
    </xf>
    <xf numFmtId="167" fontId="24" fillId="0" borderId="288" xfId="0" applyFont="1" applyBorder="1" applyAlignment="1">
      <alignment horizontal="center" vertical="center" wrapText="1"/>
    </xf>
    <xf numFmtId="188" fontId="7" fillId="8" borderId="0" xfId="0" applyNumberFormat="1" applyFont="1" applyFill="1" applyAlignment="1">
      <alignment horizontal="center" vertical="center" wrapText="1"/>
    </xf>
    <xf numFmtId="188" fontId="7" fillId="8" borderId="232" xfId="0" applyNumberFormat="1" applyFont="1" applyFill="1" applyBorder="1" applyAlignment="1">
      <alignment horizontal="center" vertical="center" wrapText="1"/>
    </xf>
    <xf numFmtId="188" fontId="7" fillId="8" borderId="3" xfId="0" applyNumberFormat="1" applyFont="1" applyFill="1" applyBorder="1" applyAlignment="1">
      <alignment horizontal="center" vertical="center" wrapText="1"/>
    </xf>
    <xf numFmtId="195" fontId="14" fillId="8" borderId="233" xfId="0" applyNumberFormat="1" applyFont="1" applyFill="1" applyBorder="1" applyAlignment="1">
      <alignment horizontal="center" vertical="center" wrapText="1"/>
    </xf>
    <xf numFmtId="195" fontId="13" fillId="0" borderId="165" xfId="0" applyNumberFormat="1" applyFont="1" applyBorder="1" applyAlignment="1">
      <alignment horizontal="center" vertical="center" wrapText="1"/>
    </xf>
    <xf numFmtId="195" fontId="7" fillId="0" borderId="181" xfId="0" applyNumberFormat="1" applyFont="1" applyBorder="1" applyAlignment="1">
      <alignment horizontal="center" vertical="center" wrapText="1"/>
    </xf>
    <xf numFmtId="195" fontId="13" fillId="0" borderId="180" xfId="0" applyNumberFormat="1" applyFont="1" applyBorder="1" applyAlignment="1">
      <alignment horizontal="center" vertical="center" wrapText="1"/>
    </xf>
    <xf numFmtId="195" fontId="8" fillId="0" borderId="16" xfId="0" applyNumberFormat="1" applyFont="1" applyBorder="1" applyAlignment="1">
      <alignment horizontal="center" vertical="center" wrapText="1"/>
    </xf>
    <xf numFmtId="39" fontId="80" fillId="0" borderId="262" xfId="0" applyNumberFormat="1" applyFont="1" applyBorder="1" applyAlignment="1">
      <alignment vertical="center" wrapText="1"/>
    </xf>
    <xf numFmtId="167" fontId="8" fillId="0" borderId="195" xfId="0" applyFont="1" applyBorder="1" applyAlignment="1">
      <alignment horizontal="center" vertical="center" wrapText="1"/>
    </xf>
    <xf numFmtId="185" fontId="13" fillId="0" borderId="195" xfId="0" applyNumberFormat="1" applyFont="1" applyBorder="1" applyAlignment="1">
      <alignment horizontal="center" vertical="center" wrapText="1"/>
    </xf>
    <xf numFmtId="37" fontId="14" fillId="0" borderId="75" xfId="0" applyNumberFormat="1" applyFont="1" applyBorder="1" applyAlignment="1">
      <alignment horizontal="center" vertical="center" wrapText="1"/>
    </xf>
    <xf numFmtId="39" fontId="14" fillId="0" borderId="154" xfId="0" applyNumberFormat="1" applyFont="1" applyBorder="1" applyAlignment="1">
      <alignment horizontal="center" vertical="center" wrapText="1"/>
    </xf>
    <xf numFmtId="39" fontId="14" fillId="0" borderId="75" xfId="0" applyNumberFormat="1" applyFont="1" applyBorder="1" applyAlignment="1">
      <alignment horizontal="center" vertical="center" wrapText="1"/>
    </xf>
    <xf numFmtId="39" fontId="14" fillId="0" borderId="111" xfId="0" applyNumberFormat="1" applyFont="1" applyBorder="1" applyAlignment="1">
      <alignment horizontal="center" vertical="center" wrapText="1"/>
    </xf>
    <xf numFmtId="39" fontId="14" fillId="0" borderId="40" xfId="0" applyNumberFormat="1" applyFont="1" applyBorder="1" applyAlignment="1">
      <alignment horizontal="center" vertical="center" wrapText="1"/>
    </xf>
    <xf numFmtId="39" fontId="14" fillId="0" borderId="194" xfId="0" applyNumberFormat="1" applyFont="1" applyBorder="1" applyAlignment="1">
      <alignment horizontal="center" vertical="center" wrapText="1"/>
    </xf>
    <xf numFmtId="39" fontId="14" fillId="0" borderId="77" xfId="0" applyNumberFormat="1" applyFont="1" applyBorder="1" applyAlignment="1">
      <alignment horizontal="center" vertical="center" wrapText="1"/>
    </xf>
    <xf numFmtId="39" fontId="7" fillId="0" borderId="195" xfId="0" applyNumberFormat="1" applyFont="1" applyBorder="1" applyAlignment="1">
      <alignment horizontal="center" vertical="center" wrapText="1"/>
    </xf>
    <xf numFmtId="39" fontId="13" fillId="0" borderId="195" xfId="0" applyNumberFormat="1" applyFont="1" applyBorder="1" applyAlignment="1">
      <alignment horizontal="center" vertical="center" wrapText="1"/>
    </xf>
    <xf numFmtId="37" fontId="152" fillId="10" borderId="289" xfId="41057" applyNumberFormat="1" applyFont="1" applyFill="1" applyBorder="1" applyAlignment="1" applyProtection="1">
      <alignment horizontal="center" vertical="center" wrapText="1"/>
    </xf>
    <xf numFmtId="37" fontId="14" fillId="0" borderId="4" xfId="0" applyNumberFormat="1" applyFont="1" applyBorder="1" applyAlignment="1">
      <alignment horizontal="center" vertical="center" wrapText="1"/>
    </xf>
    <xf numFmtId="167" fontId="84" fillId="10" borderId="176" xfId="0" applyFont="1" applyFill="1" applyBorder="1" applyAlignment="1">
      <alignment horizontal="center" vertical="center" wrapText="1"/>
    </xf>
    <xf numFmtId="39" fontId="8" fillId="10" borderId="176" xfId="0" applyNumberFormat="1" applyFont="1" applyFill="1" applyBorder="1" applyAlignment="1">
      <alignment horizontal="center" vertical="center" wrapText="1"/>
    </xf>
    <xf numFmtId="183" fontId="26" fillId="9" borderId="24" xfId="0" applyNumberFormat="1" applyFont="1" applyFill="1" applyBorder="1" applyAlignment="1">
      <alignment horizontal="center" vertical="center" wrapText="1"/>
    </xf>
    <xf numFmtId="195" fontId="7" fillId="0" borderId="256" xfId="0" applyNumberFormat="1" applyFont="1" applyBorder="1" applyAlignment="1">
      <alignment horizontal="center" vertical="center" wrapText="1"/>
    </xf>
    <xf numFmtId="195" fontId="7" fillId="10" borderId="176" xfId="0" applyNumberFormat="1" applyFont="1" applyFill="1" applyBorder="1" applyAlignment="1">
      <alignment horizontal="center" vertical="center" wrapText="1"/>
    </xf>
    <xf numFmtId="195" fontId="13" fillId="10" borderId="180" xfId="0" applyNumberFormat="1" applyFont="1" applyFill="1" applyBorder="1" applyAlignment="1">
      <alignment horizontal="center" vertical="center" wrapText="1"/>
    </xf>
    <xf numFmtId="195" fontId="7" fillId="8" borderId="127" xfId="0" applyNumberFormat="1" applyFont="1" applyFill="1" applyBorder="1" applyAlignment="1">
      <alignment horizontal="center" vertical="center" wrapText="1"/>
    </xf>
    <xf numFmtId="195" fontId="8" fillId="9" borderId="157" xfId="0" applyNumberFormat="1" applyFont="1" applyFill="1" applyBorder="1" applyAlignment="1">
      <alignment horizontal="center" vertical="center" wrapText="1"/>
    </xf>
    <xf numFmtId="195" fontId="7" fillId="0" borderId="116" xfId="0" applyNumberFormat="1" applyFont="1" applyBorder="1" applyAlignment="1">
      <alignment horizontal="center" vertical="center" wrapText="1"/>
    </xf>
    <xf numFmtId="3" fontId="7" fillId="8" borderId="127" xfId="0" applyNumberFormat="1" applyFont="1" applyFill="1" applyBorder="1" applyAlignment="1">
      <alignment horizontal="center" vertical="center" wrapText="1"/>
    </xf>
    <xf numFmtId="39" fontId="14" fillId="8" borderId="105" xfId="0" applyNumberFormat="1" applyFont="1" applyFill="1" applyBorder="1" applyAlignment="1">
      <alignment horizontal="center" vertical="center" wrapText="1"/>
    </xf>
    <xf numFmtId="195" fontId="13" fillId="9" borderId="24" xfId="0" applyNumberFormat="1" applyFont="1" applyFill="1" applyBorder="1" applyAlignment="1">
      <alignment horizontal="center" vertical="center" wrapText="1"/>
    </xf>
    <xf numFmtId="195" fontId="13" fillId="9" borderId="130" xfId="0" applyNumberFormat="1" applyFont="1" applyFill="1" applyBorder="1" applyAlignment="1">
      <alignment horizontal="center" vertical="center" wrapText="1"/>
    </xf>
    <xf numFmtId="223" fontId="8" fillId="8" borderId="19" xfId="0" quotePrefix="1" applyNumberFormat="1" applyFont="1" applyFill="1" applyBorder="1" applyAlignment="1">
      <alignment horizontal="center" vertical="center" wrapText="1"/>
    </xf>
    <xf numFmtId="167" fontId="8" fillId="0" borderId="127" xfId="0" applyFont="1" applyBorder="1" applyAlignment="1">
      <alignment horizontal="center" vertical="center" wrapText="1"/>
    </xf>
    <xf numFmtId="167" fontId="154" fillId="0" borderId="235" xfId="0" applyFont="1" applyBorder="1" applyAlignment="1">
      <alignment horizontal="left" vertical="center"/>
    </xf>
    <xf numFmtId="167" fontId="28" fillId="0" borderId="235" xfId="0" applyFont="1" applyBorder="1" applyAlignment="1">
      <alignment horizontal="left" vertical="center"/>
    </xf>
    <xf numFmtId="167" fontId="67" fillId="0" borderId="188" xfId="0" applyFont="1" applyBorder="1" applyAlignment="1">
      <alignment horizontal="center" vertical="center" wrapText="1"/>
    </xf>
    <xf numFmtId="167" fontId="24" fillId="0" borderId="265" xfId="0" applyFont="1" applyBorder="1" applyAlignment="1">
      <alignment horizontal="center" vertical="center" wrapText="1"/>
    </xf>
    <xf numFmtId="195" fontId="120" fillId="9" borderId="130" xfId="0" applyNumberFormat="1" applyFont="1" applyFill="1" applyBorder="1" applyAlignment="1">
      <alignment horizontal="center" vertical="center" wrapText="1"/>
    </xf>
    <xf numFmtId="167" fontId="13" fillId="9" borderId="157" xfId="0" applyFont="1" applyFill="1" applyBorder="1" applyAlignment="1">
      <alignment horizontal="center" vertical="center" wrapText="1"/>
    </xf>
    <xf numFmtId="167" fontId="7" fillId="9" borderId="39" xfId="0" applyFont="1" applyFill="1" applyBorder="1" applyAlignment="1">
      <alignment horizontal="center" vertical="center" wrapText="1"/>
    </xf>
    <xf numFmtId="186" fontId="7" fillId="8" borderId="19" xfId="0" applyNumberFormat="1" applyFont="1" applyFill="1" applyBorder="1" applyAlignment="1">
      <alignment horizontal="center" vertical="center" wrapText="1"/>
    </xf>
    <xf numFmtId="186" fontId="7" fillId="8" borderId="105" xfId="0" applyNumberFormat="1" applyFont="1" applyFill="1" applyBorder="1" applyAlignment="1">
      <alignment horizontal="center" vertical="center" wrapText="1"/>
    </xf>
    <xf numFmtId="167" fontId="26" fillId="8" borderId="2" xfId="0" applyFont="1" applyFill="1" applyBorder="1" applyAlignment="1">
      <alignment horizontal="center" vertical="center" wrapText="1"/>
    </xf>
    <xf numFmtId="222" fontId="7" fillId="8" borderId="2" xfId="0" applyNumberFormat="1" applyFont="1" applyFill="1" applyBorder="1" applyAlignment="1">
      <alignment horizontal="center" vertical="center" wrapText="1"/>
    </xf>
    <xf numFmtId="167" fontId="13" fillId="0" borderId="39" xfId="0" applyFont="1" applyBorder="1" applyAlignment="1">
      <alignment horizontal="center" vertical="center" wrapText="1"/>
    </xf>
    <xf numFmtId="167" fontId="7" fillId="9" borderId="168" xfId="0" applyFont="1" applyFill="1" applyBorder="1" applyAlignment="1">
      <alignment horizontal="center" vertical="center" wrapText="1"/>
    </xf>
    <xf numFmtId="167" fontId="7" fillId="9" borderId="229" xfId="0" applyFont="1" applyFill="1" applyBorder="1" applyAlignment="1">
      <alignment horizontal="center" vertical="center" wrapText="1"/>
    </xf>
    <xf numFmtId="167" fontId="13" fillId="0" borderId="174" xfId="0" applyFont="1" applyBorder="1" applyAlignment="1">
      <alignment horizontal="center" vertical="center" wrapText="1"/>
    </xf>
    <xf numFmtId="222" fontId="7" fillId="8" borderId="13" xfId="0" applyNumberFormat="1" applyFont="1" applyFill="1" applyBorder="1" applyAlignment="1">
      <alignment horizontal="center" vertical="center" wrapText="1"/>
    </xf>
    <xf numFmtId="39" fontId="14" fillId="0" borderId="0" xfId="0" applyNumberFormat="1" applyFont="1" applyAlignment="1">
      <alignment horizontal="center" vertical="center" wrapText="1"/>
    </xf>
    <xf numFmtId="167" fontId="84" fillId="0" borderId="176" xfId="0" applyFont="1" applyBorder="1" applyAlignment="1">
      <alignment horizontal="center" vertical="center" wrapText="1"/>
    </xf>
    <xf numFmtId="225" fontId="8" fillId="8" borderId="19" xfId="0" quotePrefix="1" applyNumberFormat="1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 wrapText="1"/>
    </xf>
    <xf numFmtId="0" fontId="8" fillId="8" borderId="2" xfId="0" applyNumberFormat="1" applyFont="1" applyFill="1" applyBorder="1" applyAlignment="1">
      <alignment horizontal="center" vertical="center" wrapText="1"/>
    </xf>
    <xf numFmtId="186" fontId="26" fillId="0" borderId="0" xfId="0" applyNumberFormat="1" applyFont="1" applyAlignment="1" applyProtection="1">
      <alignment horizontal="center" vertical="center"/>
      <protection locked="0"/>
    </xf>
    <xf numFmtId="37" fontId="7" fillId="9" borderId="233" xfId="0" applyNumberFormat="1" applyFont="1" applyFill="1" applyBorder="1" applyAlignment="1">
      <alignment horizontal="center" vertical="center" wrapText="1"/>
    </xf>
    <xf numFmtId="37" fontId="7" fillId="9" borderId="160" xfId="0" applyNumberFormat="1" applyFont="1" applyFill="1" applyBorder="1" applyAlignment="1">
      <alignment horizontal="center" vertical="center" wrapText="1"/>
    </xf>
    <xf numFmtId="39" fontId="7" fillId="9" borderId="28" xfId="0" applyNumberFormat="1" applyFont="1" applyFill="1" applyBorder="1" applyAlignment="1">
      <alignment horizontal="center" vertical="center" wrapText="1"/>
    </xf>
    <xf numFmtId="1" fontId="14" fillId="0" borderId="71" xfId="0" applyNumberFormat="1" applyFont="1" applyBorder="1" applyAlignment="1">
      <alignment horizontal="center" vertical="center" wrapText="1"/>
    </xf>
    <xf numFmtId="1" fontId="62" fillId="11" borderId="105" xfId="0" applyNumberFormat="1" applyFont="1" applyFill="1" applyBorder="1" applyAlignment="1">
      <alignment horizontal="center" vertical="center" wrapText="1"/>
    </xf>
    <xf numFmtId="1" fontId="8" fillId="9" borderId="105" xfId="0" applyNumberFormat="1" applyFont="1" applyFill="1" applyBorder="1" applyAlignment="1">
      <alignment horizontal="center" vertical="center" wrapText="1"/>
    </xf>
    <xf numFmtId="1" fontId="14" fillId="0" borderId="90" xfId="0" applyNumberFormat="1" applyFont="1" applyBorder="1" applyAlignment="1">
      <alignment horizontal="center" vertical="center" wrapText="1"/>
    </xf>
    <xf numFmtId="1" fontId="24" fillId="0" borderId="120" xfId="0" applyNumberFormat="1" applyFont="1" applyBorder="1" applyAlignment="1">
      <alignment horizontal="center" vertical="center" wrapText="1"/>
    </xf>
    <xf numFmtId="185" fontId="7" fillId="9" borderId="157" xfId="0" applyNumberFormat="1" applyFont="1" applyFill="1" applyBorder="1" applyAlignment="1">
      <alignment horizontal="center" vertical="center" wrapText="1"/>
    </xf>
    <xf numFmtId="185" fontId="7" fillId="9" borderId="39" xfId="0" applyNumberFormat="1" applyFont="1" applyFill="1" applyBorder="1" applyAlignment="1">
      <alignment horizontal="center" vertical="center" wrapText="1"/>
    </xf>
    <xf numFmtId="167" fontId="7" fillId="8" borderId="16" xfId="0" applyFont="1" applyFill="1" applyBorder="1" applyAlignment="1">
      <alignment horizontal="center" vertical="center" wrapText="1"/>
    </xf>
    <xf numFmtId="188" fontId="8" fillId="8" borderId="290" xfId="0" applyNumberFormat="1" applyFont="1" applyFill="1" applyBorder="1" applyAlignment="1">
      <alignment horizontal="center" vertical="center" wrapText="1"/>
    </xf>
    <xf numFmtId="188" fontId="8" fillId="8" borderId="150" xfId="0" applyNumberFormat="1" applyFont="1" applyFill="1" applyBorder="1" applyAlignment="1">
      <alignment horizontal="center" vertical="center" wrapText="1"/>
    </xf>
    <xf numFmtId="167" fontId="7" fillId="0" borderId="150" xfId="0" applyFont="1" applyBorder="1" applyAlignment="1">
      <alignment horizontal="center" vertical="center" wrapText="1"/>
    </xf>
    <xf numFmtId="37" fontId="26" fillId="0" borderId="150" xfId="0" applyNumberFormat="1" applyFont="1" applyBorder="1" applyAlignment="1">
      <alignment horizontal="center" vertical="center" wrapText="1"/>
    </xf>
    <xf numFmtId="0" fontId="8" fillId="8" borderId="3" xfId="0" quotePrefix="1" applyNumberFormat="1" applyFont="1" applyFill="1" applyBorder="1" applyAlignment="1">
      <alignment horizontal="center" vertical="center" wrapText="1"/>
    </xf>
    <xf numFmtId="195" fontId="8" fillId="8" borderId="198" xfId="0" applyNumberFormat="1" applyFont="1" applyFill="1" applyBorder="1" applyAlignment="1">
      <alignment horizontal="center" vertical="center" wrapText="1"/>
    </xf>
    <xf numFmtId="0" fontId="8" fillId="8" borderId="242" xfId="0" quotePrefix="1" applyNumberFormat="1" applyFont="1" applyFill="1" applyBorder="1" applyAlignment="1">
      <alignment horizontal="center" vertical="center" wrapText="1"/>
    </xf>
    <xf numFmtId="217" fontId="8" fillId="8" borderId="248" xfId="0" quotePrefix="1" applyNumberFormat="1" applyFont="1" applyFill="1" applyBorder="1" applyAlignment="1">
      <alignment horizontal="center" vertical="center" wrapText="1"/>
    </xf>
    <xf numFmtId="195" fontId="8" fillId="8" borderId="177" xfId="0" applyNumberFormat="1" applyFont="1" applyFill="1" applyBorder="1" applyAlignment="1">
      <alignment horizontal="center" vertical="center" wrapText="1"/>
    </xf>
    <xf numFmtId="0" fontId="8" fillId="8" borderId="81" xfId="0" quotePrefix="1" applyNumberFormat="1" applyFont="1" applyFill="1" applyBorder="1" applyAlignment="1">
      <alignment horizontal="center" vertical="center" wrapText="1"/>
    </xf>
    <xf numFmtId="216" fontId="8" fillId="8" borderId="183" xfId="0" quotePrefix="1" applyNumberFormat="1" applyFont="1" applyFill="1" applyBorder="1" applyAlignment="1">
      <alignment horizontal="center" vertical="center" wrapText="1"/>
    </xf>
    <xf numFmtId="188" fontId="8" fillId="8" borderId="196" xfId="0" applyNumberFormat="1" applyFont="1" applyFill="1" applyBorder="1" applyAlignment="1">
      <alignment horizontal="center" vertical="center" wrapText="1"/>
    </xf>
    <xf numFmtId="167" fontId="7" fillId="0" borderId="196" xfId="0" applyFont="1" applyBorder="1" applyAlignment="1">
      <alignment horizontal="center" vertical="center" wrapText="1"/>
    </xf>
    <xf numFmtId="37" fontId="26" fillId="0" borderId="196" xfId="0" applyNumberFormat="1" applyFont="1" applyBorder="1" applyAlignment="1">
      <alignment horizontal="center" vertical="center" wrapText="1"/>
    </xf>
    <xf numFmtId="167" fontId="26" fillId="0" borderId="150" xfId="0" applyFont="1" applyBorder="1" applyAlignment="1">
      <alignment horizontal="center" vertical="center" wrapText="1"/>
    </xf>
    <xf numFmtId="217" fontId="8" fillId="8" borderId="18" xfId="0" quotePrefix="1" applyNumberFormat="1" applyFont="1" applyFill="1" applyBorder="1" applyAlignment="1">
      <alignment horizontal="center" vertical="center" wrapText="1"/>
    </xf>
    <xf numFmtId="167" fontId="26" fillId="0" borderId="196" xfId="0" applyFont="1" applyBorder="1" applyAlignment="1">
      <alignment horizontal="center" vertical="center" wrapText="1"/>
    </xf>
    <xf numFmtId="195" fontId="8" fillId="8" borderId="3" xfId="0" applyNumberFormat="1" applyFont="1" applyFill="1" applyBorder="1" applyAlignment="1">
      <alignment horizontal="center" vertical="center" wrapText="1"/>
    </xf>
    <xf numFmtId="167" fontId="7" fillId="8" borderId="0" xfId="0" applyFont="1" applyFill="1" applyAlignment="1">
      <alignment horizontal="center" vertical="center" wrapText="1"/>
    </xf>
    <xf numFmtId="167" fontId="7" fillId="8" borderId="150" xfId="0" applyFont="1" applyFill="1" applyBorder="1" applyAlignment="1">
      <alignment horizontal="center" vertical="center" wrapText="1"/>
    </xf>
    <xf numFmtId="167" fontId="7" fillId="8" borderId="196" xfId="0" applyFont="1" applyFill="1" applyBorder="1" applyAlignment="1">
      <alignment horizontal="center" vertical="center" wrapText="1"/>
    </xf>
    <xf numFmtId="216" fontId="8" fillId="8" borderId="248" xfId="0" quotePrefix="1" applyNumberFormat="1" applyFont="1" applyFill="1" applyBorder="1" applyAlignment="1">
      <alignment horizontal="center" vertical="center" wrapText="1"/>
    </xf>
    <xf numFmtId="167" fontId="7" fillId="9" borderId="174" xfId="0" applyFont="1" applyFill="1" applyBorder="1" applyAlignment="1">
      <alignment horizontal="center" vertical="center" wrapText="1"/>
    </xf>
    <xf numFmtId="167" fontId="14" fillId="0" borderId="290" xfId="0" applyFont="1" applyBorder="1" applyAlignment="1">
      <alignment horizontal="centerContinuous" vertical="center" wrapText="1"/>
    </xf>
    <xf numFmtId="182" fontId="7" fillId="8" borderId="2" xfId="0" applyNumberFormat="1" applyFont="1" applyFill="1" applyBorder="1" applyAlignment="1">
      <alignment horizontal="center" vertical="center" wrapText="1"/>
    </xf>
    <xf numFmtId="195" fontId="14" fillId="8" borderId="226" xfId="0" applyNumberFormat="1" applyFont="1" applyFill="1" applyBorder="1" applyAlignment="1">
      <alignment horizontal="center" vertical="center" wrapText="1"/>
    </xf>
    <xf numFmtId="195" fontId="8" fillId="8" borderId="158" xfId="0" applyNumberFormat="1" applyFont="1" applyFill="1" applyBorder="1" applyAlignment="1">
      <alignment horizontal="center" vertical="center" wrapText="1"/>
    </xf>
    <xf numFmtId="0" fontId="8" fillId="8" borderId="158" xfId="0" quotePrefix="1" applyNumberFormat="1" applyFont="1" applyFill="1" applyBorder="1" applyAlignment="1">
      <alignment horizontal="center" vertical="center" wrapText="1"/>
    </xf>
    <xf numFmtId="225" fontId="8" fillId="8" borderId="82" xfId="0" quotePrefix="1" applyNumberFormat="1" applyFont="1" applyFill="1" applyBorder="1" applyAlignment="1">
      <alignment horizontal="center" vertical="center" wrapText="1"/>
    </xf>
    <xf numFmtId="188" fontId="8" fillId="8" borderId="158" xfId="0" applyNumberFormat="1" applyFont="1" applyFill="1" applyBorder="1" applyAlignment="1">
      <alignment horizontal="center" vertical="center" wrapText="1"/>
    </xf>
    <xf numFmtId="167" fontId="7" fillId="8" borderId="21" xfId="0" applyFont="1" applyFill="1" applyBorder="1" applyAlignment="1">
      <alignment horizontal="center" vertical="center" wrapText="1"/>
    </xf>
    <xf numFmtId="167" fontId="121" fillId="9" borderId="24" xfId="0" applyFont="1" applyFill="1" applyBorder="1" applyAlignment="1">
      <alignment horizontal="center" vertical="center" wrapText="1"/>
    </xf>
    <xf numFmtId="167" fontId="121" fillId="9" borderId="130" xfId="0" applyFont="1" applyFill="1" applyBorder="1" applyAlignment="1">
      <alignment horizontal="center" vertical="center" wrapText="1"/>
    </xf>
    <xf numFmtId="167" fontId="13" fillId="9" borderId="130" xfId="0" applyFont="1" applyFill="1" applyBorder="1" applyAlignment="1">
      <alignment horizontal="center" vertical="center" wrapText="1"/>
    </xf>
    <xf numFmtId="167" fontId="67" fillId="8" borderId="13" xfId="0" applyFont="1" applyFill="1" applyBorder="1" applyAlignment="1">
      <alignment horizontal="center" vertical="center" wrapText="1"/>
    </xf>
    <xf numFmtId="167" fontId="8" fillId="0" borderId="277" xfId="0" applyFont="1" applyBorder="1" applyAlignment="1">
      <alignment horizontal="center" vertical="center" wrapText="1"/>
    </xf>
    <xf numFmtId="167" fontId="103" fillId="9" borderId="267" xfId="0" applyFont="1" applyFill="1" applyBorder="1" applyAlignment="1">
      <alignment horizontal="center" vertical="center" wrapText="1"/>
    </xf>
    <xf numFmtId="182" fontId="7" fillId="0" borderId="2" xfId="19" applyNumberFormat="1" applyFont="1" applyFill="1" applyBorder="1" applyAlignment="1">
      <alignment horizontal="center" vertical="center" wrapText="1"/>
    </xf>
    <xf numFmtId="167" fontId="14" fillId="0" borderId="3" xfId="0" applyFont="1" applyBorder="1" applyAlignment="1">
      <alignment horizontal="center" vertical="center" wrapText="1"/>
    </xf>
    <xf numFmtId="167" fontId="14" fillId="0" borderId="200" xfId="0" applyFont="1" applyBorder="1" applyAlignment="1">
      <alignment horizontal="center" vertical="center" wrapText="1"/>
    </xf>
    <xf numFmtId="167" fontId="8" fillId="0" borderId="167" xfId="0" applyFont="1" applyBorder="1" applyAlignment="1">
      <alignment horizontal="center" vertical="center" wrapText="1"/>
    </xf>
    <xf numFmtId="167" fontId="8" fillId="0" borderId="3" xfId="0" applyFont="1" applyBorder="1" applyAlignment="1">
      <alignment horizontal="center" vertical="center" wrapText="1"/>
    </xf>
    <xf numFmtId="167" fontId="8" fillId="0" borderId="116" xfId="0" applyFont="1" applyBorder="1" applyAlignment="1">
      <alignment horizontal="center" vertical="center" wrapText="1"/>
    </xf>
    <xf numFmtId="167" fontId="14" fillId="0" borderId="35" xfId="0" applyFont="1" applyBorder="1" applyAlignment="1">
      <alignment horizontal="center" vertical="center" wrapText="1"/>
    </xf>
    <xf numFmtId="167" fontId="14" fillId="0" borderId="228" xfId="0" applyFont="1" applyBorder="1" applyAlignment="1">
      <alignment horizontal="center" vertical="center" wrapText="1"/>
    </xf>
    <xf numFmtId="167" fontId="14" fillId="0" borderId="232" xfId="0" applyFont="1" applyBorder="1" applyAlignment="1">
      <alignment horizontal="center" vertical="center" wrapText="1"/>
    </xf>
    <xf numFmtId="183" fontId="14" fillId="10" borderId="26" xfId="0" applyNumberFormat="1" applyFont="1" applyFill="1" applyBorder="1" applyAlignment="1">
      <alignment horizontal="center" vertical="center" wrapText="1"/>
    </xf>
    <xf numFmtId="183" fontId="13" fillId="10" borderId="27" xfId="0" applyNumberFormat="1" applyFont="1" applyFill="1" applyBorder="1" applyAlignment="1">
      <alignment horizontal="center" vertical="center" wrapText="1"/>
    </xf>
    <xf numFmtId="183" fontId="7" fillId="0" borderId="28" xfId="0" applyNumberFormat="1" applyFont="1" applyBorder="1" applyAlignment="1">
      <alignment horizontal="center" vertical="center" wrapText="1"/>
    </xf>
    <xf numFmtId="183" fontId="13" fillId="0" borderId="0" xfId="0" applyNumberFormat="1" applyFont="1" applyAlignment="1">
      <alignment horizontal="center" vertical="center" wrapText="1"/>
    </xf>
    <xf numFmtId="167" fontId="14" fillId="0" borderId="177" xfId="0" applyFont="1" applyBorder="1" applyAlignment="1">
      <alignment horizontal="center" vertical="center" wrapText="1"/>
    </xf>
    <xf numFmtId="167" fontId="14" fillId="0" borderId="231" xfId="0" applyFont="1" applyBorder="1" applyAlignment="1">
      <alignment horizontal="center" vertical="center" wrapText="1"/>
    </xf>
    <xf numFmtId="39" fontId="84" fillId="0" borderId="195" xfId="0" applyNumberFormat="1" applyFont="1" applyBorder="1" applyAlignment="1">
      <alignment horizontal="center" vertical="center" wrapText="1"/>
    </xf>
    <xf numFmtId="39" fontId="8" fillId="0" borderId="246" xfId="0" applyNumberFormat="1" applyFont="1" applyBorder="1" applyAlignment="1">
      <alignment horizontal="center" vertical="center" wrapText="1"/>
    </xf>
    <xf numFmtId="39" fontId="8" fillId="0" borderId="3" xfId="0" applyNumberFormat="1" applyFont="1" applyBorder="1" applyAlignment="1">
      <alignment horizontal="center" vertical="center" wrapText="1"/>
    </xf>
    <xf numFmtId="39" fontId="8" fillId="0" borderId="167" xfId="0" applyNumberFormat="1" applyFont="1" applyBorder="1" applyAlignment="1">
      <alignment horizontal="center" vertical="center" wrapText="1"/>
    </xf>
    <xf numFmtId="39" fontId="7" fillId="0" borderId="181" xfId="0" applyNumberFormat="1" applyFont="1" applyBorder="1" applyAlignment="1">
      <alignment horizontal="center" vertical="center" wrapText="1"/>
    </xf>
    <xf numFmtId="39" fontId="7" fillId="0" borderId="167" xfId="0" applyNumberFormat="1" applyFont="1" applyBorder="1" applyAlignment="1">
      <alignment horizontal="center" vertical="center" wrapText="1"/>
    </xf>
    <xf numFmtId="167" fontId="8" fillId="0" borderId="18" xfId="0" applyFont="1" applyBorder="1" applyAlignment="1">
      <alignment horizontal="center" vertical="center" wrapText="1"/>
    </xf>
    <xf numFmtId="167" fontId="8" fillId="0" borderId="232" xfId="0" applyFont="1" applyBorder="1" applyAlignment="1">
      <alignment horizontal="center" vertical="center" wrapText="1"/>
    </xf>
    <xf numFmtId="186" fontId="84" fillId="0" borderId="136" xfId="0" applyNumberFormat="1" applyFont="1" applyBorder="1" applyAlignment="1">
      <alignment horizontal="center" vertical="center" wrapText="1"/>
    </xf>
    <xf numFmtId="186" fontId="8" fillId="0" borderId="35" xfId="0" applyNumberFormat="1" applyFont="1" applyBorder="1" applyAlignment="1">
      <alignment horizontal="center" vertical="center" wrapText="1"/>
    </xf>
    <xf numFmtId="186" fontId="84" fillId="0" borderId="196" xfId="0" applyNumberFormat="1" applyFont="1" applyBorder="1" applyAlignment="1">
      <alignment horizontal="center" vertical="center" wrapText="1"/>
    </xf>
    <xf numFmtId="186" fontId="8" fillId="0" borderId="3" xfId="0" applyNumberFormat="1" applyFont="1" applyBorder="1" applyAlignment="1">
      <alignment horizontal="center" vertical="center" wrapText="1"/>
    </xf>
    <xf numFmtId="186" fontId="84" fillId="0" borderId="124" xfId="0" applyNumberFormat="1" applyFont="1" applyBorder="1" applyAlignment="1">
      <alignment horizontal="center" vertical="center" wrapText="1"/>
    </xf>
    <xf numFmtId="186" fontId="8" fillId="0" borderId="18" xfId="0" applyNumberFormat="1" applyFont="1" applyBorder="1" applyAlignment="1">
      <alignment horizontal="center" vertical="center" wrapText="1"/>
    </xf>
    <xf numFmtId="186" fontId="84" fillId="0" borderId="192" xfId="0" applyNumberFormat="1" applyFont="1" applyBorder="1" applyAlignment="1">
      <alignment horizontal="center" vertical="center" wrapText="1"/>
    </xf>
    <xf numFmtId="186" fontId="8" fillId="0" borderId="228" xfId="0" applyNumberFormat="1" applyFont="1" applyBorder="1" applyAlignment="1">
      <alignment horizontal="center" vertical="center" wrapText="1"/>
    </xf>
    <xf numFmtId="186" fontId="84" fillId="0" borderId="120" xfId="0" applyNumberFormat="1" applyFont="1" applyBorder="1" applyAlignment="1">
      <alignment horizontal="center" vertical="center" wrapText="1"/>
    </xf>
    <xf numFmtId="186" fontId="8" fillId="0" borderId="127" xfId="0" applyNumberFormat="1" applyFont="1" applyBorder="1" applyAlignment="1">
      <alignment horizontal="center" vertical="center" wrapText="1"/>
    </xf>
    <xf numFmtId="39" fontId="8" fillId="0" borderId="181" xfId="0" applyNumberFormat="1" applyFont="1" applyBorder="1" applyAlignment="1">
      <alignment horizontal="center" vertical="center" wrapText="1"/>
    </xf>
    <xf numFmtId="167" fontId="84" fillId="0" borderId="282" xfId="0" applyFont="1" applyBorder="1" applyAlignment="1">
      <alignment horizontal="center" vertical="center" wrapText="1"/>
    </xf>
    <xf numFmtId="167" fontId="8" fillId="0" borderId="246" xfId="0" applyFont="1" applyBorder="1" applyAlignment="1">
      <alignment horizontal="center" vertical="center" wrapText="1"/>
    </xf>
    <xf numFmtId="167" fontId="84" fillId="0" borderId="118" xfId="0" applyFont="1" applyBorder="1" applyAlignment="1">
      <alignment horizontal="center" vertical="center" wrapText="1"/>
    </xf>
    <xf numFmtId="167" fontId="84" fillId="0" borderId="59" xfId="0" applyFont="1" applyBorder="1" applyAlignment="1">
      <alignment horizontal="center" vertical="center" wrapText="1"/>
    </xf>
    <xf numFmtId="167" fontId="84" fillId="0" borderId="186" xfId="0" applyFont="1" applyBorder="1" applyAlignment="1">
      <alignment horizontal="center" vertical="center" wrapText="1"/>
    </xf>
    <xf numFmtId="167" fontId="84" fillId="0" borderId="178" xfId="0" applyFont="1" applyBorder="1" applyAlignment="1">
      <alignment horizontal="center" vertical="center" wrapText="1"/>
    </xf>
    <xf numFmtId="167" fontId="8" fillId="0" borderId="256" xfId="0" applyFont="1" applyBorder="1" applyAlignment="1">
      <alignment horizontal="center" vertical="center" wrapText="1"/>
    </xf>
    <xf numFmtId="167" fontId="8" fillId="55" borderId="3" xfId="0" applyFont="1" applyFill="1" applyBorder="1" applyAlignment="1">
      <alignment horizontal="center" vertical="center" wrapText="1"/>
    </xf>
    <xf numFmtId="167" fontId="8" fillId="54" borderId="127" xfId="0" applyFont="1" applyFill="1" applyBorder="1" applyAlignment="1">
      <alignment horizontal="center" vertical="center" wrapText="1"/>
    </xf>
    <xf numFmtId="167" fontId="27" fillId="9" borderId="3" xfId="0" applyFont="1" applyFill="1" applyBorder="1" applyAlignment="1">
      <alignment horizontal="center" vertical="center" wrapText="1"/>
    </xf>
    <xf numFmtId="167" fontId="28" fillId="9" borderId="3" xfId="0" applyFont="1" applyFill="1" applyBorder="1" applyAlignment="1">
      <alignment horizontal="center" vertical="center" wrapText="1"/>
    </xf>
    <xf numFmtId="167" fontId="28" fillId="0" borderId="3" xfId="0" applyFont="1" applyBorder="1" applyAlignment="1">
      <alignment vertical="center" wrapText="1"/>
    </xf>
    <xf numFmtId="167" fontId="8" fillId="54" borderId="18" xfId="0" applyFont="1" applyFill="1" applyBorder="1" applyAlignment="1">
      <alignment horizontal="center" vertical="center" wrapText="1"/>
    </xf>
    <xf numFmtId="167" fontId="8" fillId="0" borderId="35" xfId="0" applyFont="1" applyBorder="1" applyAlignment="1">
      <alignment horizontal="center" vertical="center" wrapText="1"/>
    </xf>
    <xf numFmtId="39" fontId="8" fillId="0" borderId="128" xfId="0" applyNumberFormat="1" applyFont="1" applyBorder="1" applyAlignment="1">
      <alignment horizontal="center" vertical="center" wrapText="1"/>
    </xf>
    <xf numFmtId="39" fontId="8" fillId="0" borderId="90" xfId="0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39" fontId="8" fillId="0" borderId="18" xfId="0" applyNumberFormat="1" applyFont="1" applyBorder="1" applyAlignment="1">
      <alignment horizontal="center" vertical="center" wrapText="1"/>
    </xf>
    <xf numFmtId="1" fontId="7" fillId="0" borderId="18" xfId="0" applyNumberFormat="1" applyFont="1" applyBorder="1" applyAlignment="1">
      <alignment horizontal="center" vertical="center" wrapText="1"/>
    </xf>
    <xf numFmtId="227" fontId="7" fillId="0" borderId="13" xfId="0" applyNumberFormat="1" applyFont="1" applyBorder="1" applyAlignment="1">
      <alignment horizontal="center" vertical="center" wrapText="1"/>
    </xf>
    <xf numFmtId="227" fontId="7" fillId="0" borderId="2" xfId="0" applyNumberFormat="1" applyFont="1" applyBorder="1" applyAlignment="1">
      <alignment horizontal="center" vertical="center" wrapText="1"/>
    </xf>
    <xf numFmtId="227" fontId="7" fillId="0" borderId="16" xfId="0" applyNumberFormat="1" applyFont="1" applyBorder="1" applyAlignment="1">
      <alignment horizontal="center" vertical="center" wrapText="1"/>
    </xf>
    <xf numFmtId="167" fontId="24" fillId="0" borderId="238" xfId="0" applyFont="1" applyBorder="1" applyAlignment="1">
      <alignment horizontal="center" vertical="center" wrapText="1"/>
    </xf>
    <xf numFmtId="185" fontId="8" fillId="0" borderId="252" xfId="0" applyNumberFormat="1" applyFont="1" applyBorder="1" applyAlignment="1">
      <alignment horizontal="center" vertical="center" wrapText="1"/>
    </xf>
    <xf numFmtId="186" fontId="13" fillId="0" borderId="24" xfId="0" applyNumberFormat="1" applyFont="1" applyBorder="1" applyAlignment="1">
      <alignment horizontal="center" vertical="center" wrapText="1"/>
    </xf>
    <xf numFmtId="186" fontId="13" fillId="0" borderId="130" xfId="0" applyNumberFormat="1" applyFont="1" applyBorder="1" applyAlignment="1">
      <alignment horizontal="center" vertical="center" wrapText="1"/>
    </xf>
    <xf numFmtId="227" fontId="67" fillId="0" borderId="16" xfId="0" applyNumberFormat="1" applyFont="1" applyBorder="1" applyAlignment="1">
      <alignment horizontal="center" vertical="center" wrapText="1"/>
    </xf>
    <xf numFmtId="226" fontId="7" fillId="9" borderId="130" xfId="0" applyNumberFormat="1" applyFont="1" applyFill="1" applyBorder="1" applyAlignment="1">
      <alignment horizontal="center" vertical="center" wrapText="1"/>
    </xf>
    <xf numFmtId="183" fontId="7" fillId="9" borderId="130" xfId="0" applyNumberFormat="1" applyFont="1" applyFill="1" applyBorder="1" applyAlignment="1">
      <alignment horizontal="center" vertical="center" wrapText="1"/>
    </xf>
    <xf numFmtId="183" fontId="13" fillId="9" borderId="267" xfId="0" applyNumberFormat="1" applyFont="1" applyFill="1" applyBorder="1" applyAlignment="1">
      <alignment horizontal="center" vertical="center" wrapText="1"/>
    </xf>
    <xf numFmtId="185" fontId="7" fillId="0" borderId="111" xfId="0" applyNumberFormat="1" applyFont="1" applyBorder="1" applyAlignment="1">
      <alignment horizontal="center" vertical="center" wrapText="1"/>
    </xf>
    <xf numFmtId="4" fontId="7" fillId="0" borderId="291" xfId="0" applyNumberFormat="1" applyFont="1" applyBorder="1" applyAlignment="1">
      <alignment horizontal="center" vertical="center" wrapText="1"/>
    </xf>
    <xf numFmtId="4" fontId="26" fillId="0" borderId="2" xfId="17" applyNumberFormat="1" applyFont="1" applyBorder="1" applyAlignment="1">
      <alignment horizontal="center" vertical="top" wrapText="1"/>
    </xf>
    <xf numFmtId="4" fontId="7" fillId="0" borderId="278" xfId="0" applyNumberFormat="1" applyFont="1" applyBorder="1" applyAlignment="1">
      <alignment horizontal="center" vertical="center" wrapText="1"/>
    </xf>
    <xf numFmtId="9" fontId="7" fillId="8" borderId="167" xfId="19" applyFont="1" applyFill="1" applyBorder="1" applyAlignment="1">
      <alignment horizontal="center" vertical="center" wrapText="1"/>
    </xf>
    <xf numFmtId="9" fontId="8" fillId="0" borderId="167" xfId="19" applyFont="1" applyBorder="1" applyAlignment="1">
      <alignment horizontal="center" vertical="center" wrapText="1"/>
    </xf>
    <xf numFmtId="186" fontId="7" fillId="0" borderId="232" xfId="0" applyNumberFormat="1" applyFont="1" applyBorder="1" applyAlignment="1">
      <alignment horizontal="center" vertical="center" wrapText="1"/>
    </xf>
    <xf numFmtId="185" fontId="7" fillId="0" borderId="232" xfId="0" applyNumberFormat="1" applyFont="1" applyBorder="1" applyAlignment="1">
      <alignment horizontal="center" vertical="center" wrapText="1"/>
    </xf>
    <xf numFmtId="186" fontId="13" fillId="0" borderId="114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vertical="center" wrapText="1"/>
    </xf>
    <xf numFmtId="195" fontId="7" fillId="9" borderId="13" xfId="0" applyNumberFormat="1" applyFont="1" applyFill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center" vertical="center" wrapText="1"/>
    </xf>
    <xf numFmtId="183" fontId="13" fillId="9" borderId="24" xfId="0" applyNumberFormat="1" applyFont="1" applyFill="1" applyBorder="1" applyAlignment="1">
      <alignment horizontal="center" vertical="center" wrapText="1"/>
    </xf>
    <xf numFmtId="0" fontId="124" fillId="56" borderId="0" xfId="0" applyNumberFormat="1" applyFont="1" applyFill="1" applyAlignment="1">
      <alignment horizontal="center" vertical="center"/>
    </xf>
    <xf numFmtId="189" fontId="7" fillId="0" borderId="2" xfId="0" applyNumberFormat="1" applyFont="1" applyBorder="1" applyAlignment="1">
      <alignment horizontal="center" vertical="center" wrapText="1"/>
    </xf>
    <xf numFmtId="39" fontId="84" fillId="0" borderId="59" xfId="0" applyNumberFormat="1" applyFont="1" applyBorder="1" applyAlignment="1">
      <alignment horizontal="center" vertical="center" wrapText="1"/>
    </xf>
    <xf numFmtId="183" fontId="13" fillId="9" borderId="39" xfId="0" applyNumberFormat="1" applyFont="1" applyFill="1" applyBorder="1" applyAlignment="1">
      <alignment horizontal="center" vertical="center" wrapText="1"/>
    </xf>
    <xf numFmtId="9" fontId="157" fillId="0" borderId="0" xfId="19" applyFont="1" applyAlignment="1">
      <alignment horizontal="center" vertical="top" wrapText="1"/>
    </xf>
    <xf numFmtId="10" fontId="132" fillId="45" borderId="233" xfId="19" applyNumberFormat="1" applyFont="1" applyFill="1" applyBorder="1" applyAlignment="1">
      <alignment vertical="center"/>
    </xf>
    <xf numFmtId="0" fontId="7" fillId="0" borderId="81" xfId="0" applyNumberFormat="1" applyFont="1" applyBorder="1" applyAlignment="1">
      <alignment horizontal="right" vertical="center"/>
    </xf>
    <xf numFmtId="0" fontId="7" fillId="0" borderId="242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7" fillId="0" borderId="2" xfId="0" applyNumberFormat="1" applyFont="1" applyBorder="1" applyAlignment="1">
      <alignment vertical="top" wrapText="1"/>
    </xf>
    <xf numFmtId="0" fontId="7" fillId="0" borderId="242" xfId="0" applyNumberFormat="1" applyFont="1" applyBorder="1" applyAlignment="1">
      <alignment horizontal="center" vertical="top" wrapText="1"/>
    </xf>
    <xf numFmtId="0" fontId="124" fillId="0" borderId="81" xfId="0" applyNumberFormat="1" applyFont="1" applyBorder="1" applyAlignment="1">
      <alignment horizontal="right" vertical="center"/>
    </xf>
    <xf numFmtId="0" fontId="7" fillId="0" borderId="81" xfId="0" applyNumberFormat="1" applyFont="1" applyBorder="1" applyAlignment="1">
      <alignment horizontal="right" vertical="center" wrapText="1"/>
    </xf>
    <xf numFmtId="0" fontId="7" fillId="0" borderId="2" xfId="0" applyNumberFormat="1" applyFont="1" applyBorder="1" applyAlignment="1">
      <alignment vertical="center" wrapText="1"/>
    </xf>
    <xf numFmtId="0" fontId="7" fillId="0" borderId="242" xfId="0" applyNumberFormat="1" applyFont="1" applyBorder="1" applyAlignment="1">
      <alignment horizontal="center" vertical="center" wrapText="1"/>
    </xf>
    <xf numFmtId="0" fontId="7" fillId="0" borderId="243" xfId="0" applyNumberFormat="1" applyFont="1" applyBorder="1" applyAlignment="1">
      <alignment horizontal="center" vertical="center"/>
    </xf>
    <xf numFmtId="0" fontId="7" fillId="0" borderId="118" xfId="0" applyNumberFormat="1" applyFont="1" applyBorder="1" applyAlignment="1">
      <alignment horizontal="center" vertical="center"/>
    </xf>
    <xf numFmtId="0" fontId="7" fillId="0" borderId="77" xfId="0" applyNumberFormat="1" applyFont="1" applyBorder="1" applyAlignment="1">
      <alignment horizontal="center" vertical="center"/>
    </xf>
    <xf numFmtId="0" fontId="7" fillId="0" borderId="16" xfId="0" applyNumberFormat="1" applyFont="1" applyBorder="1" applyAlignment="1">
      <alignment vertical="center" wrapText="1"/>
    </xf>
    <xf numFmtId="0" fontId="7" fillId="0" borderId="243" xfId="0" applyNumberFormat="1" applyFont="1" applyBorder="1" applyAlignment="1">
      <alignment horizontal="center" vertical="center" wrapText="1"/>
    </xf>
    <xf numFmtId="37" fontId="13" fillId="39" borderId="270" xfId="23422" applyNumberFormat="1" applyFont="1" applyFill="1" applyBorder="1" applyAlignment="1">
      <alignment horizontal="left" vertical="center"/>
    </xf>
    <xf numFmtId="37" fontId="125" fillId="39" borderId="63" xfId="23422" applyNumberFormat="1" applyFont="1" applyFill="1" applyBorder="1" applyAlignment="1">
      <alignment horizontal="center" vertical="center"/>
    </xf>
    <xf numFmtId="37" fontId="125" fillId="39" borderId="292" xfId="23422" applyNumberFormat="1" applyFont="1" applyFill="1" applyBorder="1" applyAlignment="1">
      <alignment horizontal="center" vertical="center"/>
    </xf>
    <xf numFmtId="167" fontId="7" fillId="39" borderId="274" xfId="0" applyFont="1" applyFill="1" applyBorder="1" applyAlignment="1">
      <alignment horizontal="center" vertical="center"/>
    </xf>
    <xf numFmtId="224" fontId="156" fillId="0" borderId="2" xfId="41062" applyNumberFormat="1" applyFont="1" applyBorder="1" applyAlignment="1">
      <alignment horizontal="center" vertical="center" wrapText="1"/>
    </xf>
    <xf numFmtId="39" fontId="24" fillId="0" borderId="124" xfId="0" applyNumberFormat="1" applyFont="1" applyBorder="1" applyAlignment="1">
      <alignment horizontal="center" vertical="center" wrapText="1"/>
    </xf>
    <xf numFmtId="0" fontId="130" fillId="0" borderId="0" xfId="0" applyNumberFormat="1" applyFont="1" applyAlignment="1">
      <alignment horizontal="center" vertical="center"/>
    </xf>
    <xf numFmtId="0" fontId="156" fillId="0" borderId="2" xfId="17" applyFont="1" applyBorder="1" applyAlignment="1">
      <alignment horizontal="center" vertical="center" wrapText="1"/>
    </xf>
    <xf numFmtId="0" fontId="130" fillId="0" borderId="2" xfId="17" applyFont="1" applyBorder="1" applyAlignment="1">
      <alignment horizontal="center" vertical="center" wrapText="1"/>
    </xf>
    <xf numFmtId="0" fontId="7" fillId="0" borderId="2" xfId="17" applyBorder="1" applyAlignment="1">
      <alignment horizontal="center" vertical="center" wrapText="1"/>
    </xf>
    <xf numFmtId="200" fontId="156" fillId="0" borderId="2" xfId="17" applyNumberFormat="1" applyFont="1" applyBorder="1" applyAlignment="1">
      <alignment horizontal="center" vertical="center" wrapText="1"/>
    </xf>
    <xf numFmtId="167" fontId="7" fillId="9" borderId="21" xfId="0" applyFont="1" applyFill="1" applyBorder="1" applyAlignment="1">
      <alignment horizontal="center" vertical="center" wrapText="1"/>
    </xf>
    <xf numFmtId="167" fontId="7" fillId="9" borderId="2" xfId="0" applyFont="1" applyFill="1" applyBorder="1" applyAlignment="1">
      <alignment horizontal="center" vertical="center" wrapText="1"/>
    </xf>
    <xf numFmtId="167" fontId="7" fillId="9" borderId="16" xfId="0" applyFont="1" applyFill="1" applyBorder="1" applyAlignment="1">
      <alignment horizontal="center" vertical="center" wrapText="1"/>
    </xf>
    <xf numFmtId="0" fontId="13" fillId="0" borderId="2" xfId="17" applyFont="1" applyBorder="1" applyAlignment="1">
      <alignment horizontal="left" vertical="center" wrapText="1"/>
    </xf>
    <xf numFmtId="228" fontId="26" fillId="9" borderId="2" xfId="17" applyNumberFormat="1" applyFont="1" applyFill="1" applyBorder="1" applyAlignment="1">
      <alignment horizontal="center" vertical="center" wrapText="1"/>
    </xf>
    <xf numFmtId="229" fontId="26" fillId="9" borderId="2" xfId="17" applyNumberFormat="1" applyFont="1" applyFill="1" applyBorder="1" applyAlignment="1">
      <alignment horizontal="center" vertical="center" wrapText="1"/>
    </xf>
    <xf numFmtId="185" fontId="84" fillId="0" borderId="235" xfId="0" applyNumberFormat="1" applyFont="1" applyBorder="1" applyAlignment="1">
      <alignment horizontal="center" vertical="center" wrapText="1"/>
    </xf>
    <xf numFmtId="185" fontId="110" fillId="0" borderId="256" xfId="0" applyNumberFormat="1" applyFont="1" applyBorder="1" applyAlignment="1">
      <alignment horizontal="center" vertical="center" wrapText="1"/>
    </xf>
    <xf numFmtId="185" fontId="84" fillId="0" borderId="176" xfId="0" applyNumberFormat="1" applyFont="1" applyBorder="1" applyAlignment="1">
      <alignment horizontal="center" vertical="center" wrapText="1"/>
    </xf>
    <xf numFmtId="185" fontId="110" fillId="0" borderId="181" xfId="0" applyNumberFormat="1" applyFont="1" applyBorder="1" applyAlignment="1">
      <alignment horizontal="center" vertical="center" wrapText="1"/>
    </xf>
    <xf numFmtId="9" fontId="84" fillId="0" borderId="178" xfId="19" applyFont="1" applyBorder="1" applyAlignment="1">
      <alignment horizontal="center" vertical="center" wrapText="1"/>
    </xf>
    <xf numFmtId="9" fontId="110" fillId="0" borderId="167" xfId="19" applyFont="1" applyBorder="1" applyAlignment="1">
      <alignment horizontal="center" vertical="center" wrapText="1"/>
    </xf>
    <xf numFmtId="221" fontId="84" fillId="0" borderId="0" xfId="0" applyNumberFormat="1" applyFont="1" applyAlignment="1">
      <alignment horizontal="center" vertical="center" wrapText="1"/>
    </xf>
    <xf numFmtId="221" fontId="110" fillId="0" borderId="3" xfId="0" applyNumberFormat="1" applyFont="1" applyBorder="1" applyAlignment="1">
      <alignment horizontal="center" vertical="center" wrapText="1"/>
    </xf>
    <xf numFmtId="185" fontId="84" fillId="0" borderId="0" xfId="0" applyNumberFormat="1" applyFont="1" applyAlignment="1">
      <alignment horizontal="center" vertical="center" wrapText="1"/>
    </xf>
    <xf numFmtId="185" fontId="110" fillId="0" borderId="3" xfId="0" applyNumberFormat="1" applyFont="1" applyBorder="1" applyAlignment="1">
      <alignment horizontal="center" vertical="center" wrapText="1"/>
    </xf>
    <xf numFmtId="185" fontId="8" fillId="0" borderId="3" xfId="0" applyNumberFormat="1" applyFont="1" applyBorder="1" applyAlignment="1">
      <alignment horizontal="center" vertical="center" wrapText="1"/>
    </xf>
    <xf numFmtId="185" fontId="84" fillId="0" borderId="178" xfId="0" applyNumberFormat="1" applyFont="1" applyBorder="1" applyAlignment="1">
      <alignment horizontal="center" vertical="center" wrapText="1"/>
    </xf>
    <xf numFmtId="185" fontId="110" fillId="0" borderId="167" xfId="0" applyNumberFormat="1" applyFont="1" applyBorder="1" applyAlignment="1">
      <alignment horizontal="center" vertical="center" wrapText="1"/>
    </xf>
    <xf numFmtId="221" fontId="84" fillId="0" borderId="0" xfId="19" applyNumberFormat="1" applyFont="1" applyBorder="1" applyAlignment="1">
      <alignment horizontal="center" vertical="center" wrapText="1"/>
    </xf>
    <xf numFmtId="221" fontId="110" fillId="0" borderId="3" xfId="19" applyNumberFormat="1" applyFont="1" applyBorder="1" applyAlignment="1">
      <alignment horizontal="center" vertical="center" wrapText="1"/>
    </xf>
    <xf numFmtId="185" fontId="84" fillId="0" borderId="59" xfId="0" applyNumberFormat="1" applyFont="1" applyBorder="1" applyAlignment="1">
      <alignment horizontal="center" vertical="center" wrapText="1"/>
    </xf>
    <xf numFmtId="185" fontId="110" fillId="0" borderId="18" xfId="0" applyNumberFormat="1" applyFont="1" applyBorder="1" applyAlignment="1">
      <alignment horizontal="center" vertical="center" wrapText="1"/>
    </xf>
    <xf numFmtId="185" fontId="110" fillId="0" borderId="127" xfId="0" applyNumberFormat="1" applyFont="1" applyBorder="1" applyAlignment="1">
      <alignment horizontal="center" vertical="center" wrapText="1"/>
    </xf>
    <xf numFmtId="185" fontId="84" fillId="0" borderId="119" xfId="0" applyNumberFormat="1" applyFont="1" applyBorder="1" applyAlignment="1">
      <alignment horizontal="center" vertical="center" wrapText="1"/>
    </xf>
    <xf numFmtId="185" fontId="84" fillId="0" borderId="118" xfId="0" applyNumberFormat="1" applyFont="1" applyBorder="1" applyAlignment="1">
      <alignment horizontal="center" vertical="center" wrapText="1"/>
    </xf>
    <xf numFmtId="185" fontId="8" fillId="0" borderId="167" xfId="0" applyNumberFormat="1" applyFont="1" applyBorder="1" applyAlignment="1">
      <alignment horizontal="center" vertical="center" wrapText="1"/>
    </xf>
    <xf numFmtId="185" fontId="8" fillId="0" borderId="127" xfId="0" applyNumberFormat="1" applyFont="1" applyBorder="1" applyAlignment="1">
      <alignment horizontal="center" vertical="center" wrapText="1"/>
    </xf>
    <xf numFmtId="185" fontId="112" fillId="0" borderId="167" xfId="0" applyNumberFormat="1" applyFont="1" applyBorder="1" applyAlignment="1">
      <alignment horizontal="center" vertical="center" wrapText="1"/>
    </xf>
    <xf numFmtId="185" fontId="84" fillId="0" borderId="196" xfId="0" applyNumberFormat="1" applyFont="1" applyBorder="1" applyAlignment="1">
      <alignment horizontal="center" vertical="center" wrapText="1"/>
    </xf>
    <xf numFmtId="185" fontId="84" fillId="0" borderId="120" xfId="0" applyNumberFormat="1" applyFont="1" applyBorder="1" applyAlignment="1">
      <alignment horizontal="center" vertical="center" wrapText="1"/>
    </xf>
    <xf numFmtId="167" fontId="84" fillId="0" borderId="265" xfId="0" applyFont="1" applyBorder="1" applyAlignment="1">
      <alignment horizontal="center" vertical="center" wrapText="1"/>
    </xf>
    <xf numFmtId="167" fontId="110" fillId="0" borderId="116" xfId="0" applyFont="1" applyBorder="1" applyAlignment="1">
      <alignment horizontal="center" vertical="center" wrapText="1"/>
    </xf>
    <xf numFmtId="167" fontId="84" fillId="0" borderId="0" xfId="0" applyFont="1" applyAlignment="1">
      <alignment horizontal="center" vertical="center"/>
    </xf>
    <xf numFmtId="167" fontId="151" fillId="0" borderId="0" xfId="0" applyFont="1" applyAlignment="1">
      <alignment horizontal="center" vertical="center"/>
    </xf>
    <xf numFmtId="167" fontId="151" fillId="0" borderId="0" xfId="0" applyFont="1" applyAlignment="1">
      <alignment horizontal="right" vertical="center"/>
    </xf>
    <xf numFmtId="222" fontId="7" fillId="0" borderId="3" xfId="0" applyNumberFormat="1" applyFont="1" applyBorder="1" applyAlignment="1">
      <alignment horizontal="center" vertical="center" wrapText="1"/>
    </xf>
    <xf numFmtId="0" fontId="7" fillId="0" borderId="16" xfId="0" applyNumberFormat="1" applyFont="1" applyBorder="1" applyAlignment="1">
      <alignment horizontal="center" vertical="center"/>
    </xf>
    <xf numFmtId="185" fontId="84" fillId="0" borderId="285" xfId="0" applyNumberFormat="1" applyFont="1" applyBorder="1" applyAlignment="1">
      <alignment horizontal="center" vertical="center" wrapText="1"/>
    </xf>
    <xf numFmtId="185" fontId="84" fillId="0" borderId="175" xfId="0" applyNumberFormat="1" applyFont="1" applyBorder="1" applyAlignment="1">
      <alignment horizontal="center" vertical="center" wrapText="1"/>
    </xf>
    <xf numFmtId="221" fontId="84" fillId="0" borderId="196" xfId="0" applyNumberFormat="1" applyFont="1" applyBorder="1" applyAlignment="1">
      <alignment horizontal="center" vertical="center" wrapText="1"/>
    </xf>
    <xf numFmtId="185" fontId="84" fillId="0" borderId="136" xfId="0" applyNumberFormat="1" applyFont="1" applyBorder="1" applyAlignment="1">
      <alignment horizontal="center" vertical="center" wrapText="1"/>
    </xf>
    <xf numFmtId="185" fontId="8" fillId="0" borderId="35" xfId="0" applyNumberFormat="1" applyFont="1" applyBorder="1" applyAlignment="1">
      <alignment horizontal="center" vertical="center" wrapText="1"/>
    </xf>
    <xf numFmtId="185" fontId="84" fillId="0" borderId="125" xfId="0" applyNumberFormat="1" applyFont="1" applyBorder="1" applyAlignment="1">
      <alignment horizontal="center" vertical="center" wrapText="1"/>
    </xf>
    <xf numFmtId="185" fontId="8" fillId="0" borderId="232" xfId="0" applyNumberFormat="1" applyFont="1" applyBorder="1" applyAlignment="1">
      <alignment horizontal="center" vertical="center" wrapText="1"/>
    </xf>
    <xf numFmtId="185" fontId="84" fillId="0" borderId="124" xfId="0" applyNumberFormat="1" applyFont="1" applyBorder="1" applyAlignment="1">
      <alignment horizontal="center" vertical="center" wrapText="1"/>
    </xf>
    <xf numFmtId="185" fontId="8" fillId="0" borderId="18" xfId="0" applyNumberFormat="1" applyFont="1" applyBorder="1" applyAlignment="1">
      <alignment horizontal="center" vertical="center" wrapText="1"/>
    </xf>
    <xf numFmtId="188" fontId="84" fillId="0" borderId="119" xfId="0" applyNumberFormat="1" applyFont="1" applyBorder="1" applyAlignment="1">
      <alignment horizontal="center" vertical="center" wrapText="1"/>
    </xf>
    <xf numFmtId="188" fontId="8" fillId="0" borderId="167" xfId="0" applyNumberFormat="1" applyFont="1" applyBorder="1" applyAlignment="1">
      <alignment horizontal="center" vertical="center" wrapText="1"/>
    </xf>
    <xf numFmtId="188" fontId="84" fillId="0" borderId="196" xfId="0" applyNumberFormat="1" applyFont="1" applyBorder="1" applyAlignment="1">
      <alignment horizontal="center" vertical="center" wrapText="1"/>
    </xf>
    <xf numFmtId="188" fontId="8" fillId="0" borderId="3" xfId="0" applyNumberFormat="1" applyFont="1" applyBorder="1" applyAlignment="1">
      <alignment horizontal="center" vertical="center" wrapText="1"/>
    </xf>
    <xf numFmtId="188" fontId="84" fillId="0" borderId="120" xfId="0" applyNumberFormat="1" applyFont="1" applyBorder="1" applyAlignment="1">
      <alignment horizontal="center" vertical="center" wrapText="1"/>
    </xf>
    <xf numFmtId="188" fontId="8" fillId="0" borderId="127" xfId="0" applyNumberFormat="1" applyFont="1" applyBorder="1" applyAlignment="1">
      <alignment horizontal="center" vertical="center" wrapText="1"/>
    </xf>
    <xf numFmtId="185" fontId="84" fillId="0" borderId="288" xfId="0" applyNumberFormat="1" applyFont="1" applyBorder="1" applyAlignment="1">
      <alignment horizontal="center" vertical="center" wrapText="1"/>
    </xf>
    <xf numFmtId="185" fontId="8" fillId="0" borderId="116" xfId="0" applyNumberFormat="1" applyFont="1" applyBorder="1" applyAlignment="1">
      <alignment horizontal="center" vertical="center" wrapText="1"/>
    </xf>
    <xf numFmtId="221" fontId="8" fillId="11" borderId="3" xfId="0" applyNumberFormat="1" applyFont="1" applyFill="1" applyBorder="1" applyAlignment="1">
      <alignment horizontal="center" vertical="center" wrapText="1"/>
    </xf>
    <xf numFmtId="37" fontId="14" fillId="10" borderId="184" xfId="41057" applyNumberFormat="1" applyFont="1" applyFill="1" applyBorder="1" applyAlignment="1" applyProtection="1">
      <alignment horizontal="center" vertical="center" wrapText="1"/>
    </xf>
    <xf numFmtId="167" fontId="84" fillId="0" borderId="195" xfId="0" applyFont="1" applyBorder="1" applyAlignment="1">
      <alignment horizontal="center" vertical="center" wrapText="1"/>
    </xf>
    <xf numFmtId="188" fontId="84" fillId="0" borderId="0" xfId="0" applyNumberFormat="1" applyFont="1" applyAlignment="1">
      <alignment horizontal="center" vertical="center" wrapText="1"/>
    </xf>
    <xf numFmtId="188" fontId="84" fillId="0" borderId="118" xfId="0" applyNumberFormat="1" applyFont="1" applyBorder="1" applyAlignment="1">
      <alignment horizontal="center" vertical="center" wrapText="1"/>
    </xf>
    <xf numFmtId="222" fontId="84" fillId="0" borderId="79" xfId="0" applyNumberFormat="1" applyFont="1" applyBorder="1" applyAlignment="1">
      <alignment horizontal="center" vertical="center" wrapText="1"/>
    </xf>
    <xf numFmtId="182" fontId="8" fillId="0" borderId="3" xfId="0" applyNumberFormat="1" applyFont="1" applyBorder="1" applyAlignment="1">
      <alignment horizontal="center" vertical="center" wrapText="1"/>
    </xf>
    <xf numFmtId="182" fontId="8" fillId="0" borderId="127" xfId="0" applyNumberFormat="1" applyFont="1" applyBorder="1" applyAlignment="1">
      <alignment horizontal="center" vertical="center" wrapText="1"/>
    </xf>
    <xf numFmtId="39" fontId="98" fillId="0" borderId="116" xfId="0" applyNumberFormat="1" applyFont="1" applyBorder="1" applyAlignment="1">
      <alignment vertical="center" wrapText="1"/>
    </xf>
    <xf numFmtId="167" fontId="8" fillId="0" borderId="118" xfId="0" applyFont="1" applyBorder="1" applyAlignment="1">
      <alignment horizontal="center" vertical="center" wrapText="1"/>
    </xf>
    <xf numFmtId="167" fontId="8" fillId="0" borderId="178" xfId="0" applyFont="1" applyBorder="1" applyAlignment="1">
      <alignment horizontal="center" vertical="center" wrapText="1"/>
    </xf>
    <xf numFmtId="39" fontId="80" fillId="0" borderId="265" xfId="0" applyNumberFormat="1" applyFont="1" applyBorder="1" applyAlignment="1">
      <alignment vertical="center" wrapText="1"/>
    </xf>
    <xf numFmtId="186" fontId="158" fillId="9" borderId="93" xfId="0" applyNumberFormat="1" applyFont="1" applyFill="1" applyBorder="1" applyAlignment="1">
      <alignment horizontal="center" vertical="center" wrapText="1"/>
    </xf>
    <xf numFmtId="195" fontId="13" fillId="9" borderId="93" xfId="0" applyNumberFormat="1" applyFont="1" applyFill="1" applyBorder="1" applyAlignment="1">
      <alignment horizontal="center" vertical="center" wrapText="1"/>
    </xf>
    <xf numFmtId="37" fontId="8" fillId="0" borderId="167" xfId="0" applyNumberFormat="1" applyFont="1" applyBorder="1" applyAlignment="1">
      <alignment horizontal="center" vertical="center" wrapText="1"/>
    </xf>
    <xf numFmtId="183" fontId="84" fillId="0" borderId="178" xfId="0" applyNumberFormat="1" applyFont="1" applyBorder="1" applyAlignment="1">
      <alignment horizontal="center" vertical="center" wrapText="1"/>
    </xf>
    <xf numFmtId="183" fontId="8" fillId="0" borderId="167" xfId="0" applyNumberFormat="1" applyFont="1" applyBorder="1" applyAlignment="1">
      <alignment horizontal="center" vertical="center" wrapText="1"/>
    </xf>
    <xf numFmtId="183" fontId="84" fillId="0" borderId="0" xfId="0" applyNumberFormat="1" applyFont="1" applyAlignment="1">
      <alignment horizontal="center" vertical="center" wrapText="1"/>
    </xf>
    <xf numFmtId="183" fontId="84" fillId="0" borderId="118" xfId="0" applyNumberFormat="1" applyFont="1" applyBorder="1" applyAlignment="1">
      <alignment horizontal="center" vertical="center" wrapText="1"/>
    </xf>
    <xf numFmtId="183" fontId="8" fillId="0" borderId="127" xfId="0" applyNumberFormat="1" applyFont="1" applyBorder="1" applyAlignment="1">
      <alignment horizontal="center" vertical="center" wrapText="1"/>
    </xf>
    <xf numFmtId="183" fontId="27" fillId="0" borderId="127" xfId="0" applyNumberFormat="1" applyFont="1" applyBorder="1" applyAlignment="1">
      <alignment horizontal="center" vertical="center" wrapText="1"/>
    </xf>
    <xf numFmtId="183" fontId="27" fillId="0" borderId="167" xfId="0" applyNumberFormat="1" applyFont="1" applyBorder="1" applyAlignment="1">
      <alignment horizontal="center" vertical="center" wrapText="1"/>
    </xf>
    <xf numFmtId="183" fontId="27" fillId="0" borderId="3" xfId="0" applyNumberFormat="1" applyFont="1" applyBorder="1" applyAlignment="1">
      <alignment horizontal="center" vertical="center" wrapText="1"/>
    </xf>
    <xf numFmtId="183" fontId="27" fillId="0" borderId="232" xfId="0" applyNumberFormat="1" applyFont="1" applyBorder="1" applyAlignment="1">
      <alignment horizontal="center" vertical="center" wrapText="1"/>
    </xf>
    <xf numFmtId="183" fontId="27" fillId="0" borderId="18" xfId="0" applyNumberFormat="1" applyFont="1" applyBorder="1" applyAlignment="1">
      <alignment horizontal="center" vertical="center" wrapText="1"/>
    </xf>
    <xf numFmtId="183" fontId="27" fillId="0" borderId="35" xfId="0" applyNumberFormat="1" applyFont="1" applyBorder="1" applyAlignment="1">
      <alignment horizontal="center" vertical="center" wrapText="1"/>
    </xf>
    <xf numFmtId="183" fontId="8" fillId="0" borderId="232" xfId="0" applyNumberFormat="1" applyFont="1" applyBorder="1" applyAlignment="1">
      <alignment horizontal="center" vertical="center" wrapText="1"/>
    </xf>
    <xf numFmtId="183" fontId="8" fillId="0" borderId="18" xfId="0" applyNumberFormat="1" applyFont="1" applyBorder="1" applyAlignment="1">
      <alignment horizontal="center" vertical="center" wrapText="1"/>
    </xf>
    <xf numFmtId="9" fontId="84" fillId="0" borderId="0" xfId="19" applyFont="1" applyBorder="1" applyAlignment="1">
      <alignment horizontal="center" vertical="center" wrapText="1"/>
    </xf>
    <xf numFmtId="9" fontId="8" fillId="0" borderId="3" xfId="19" applyFont="1" applyBorder="1" applyAlignment="1">
      <alignment horizontal="center" vertical="center" wrapText="1"/>
    </xf>
    <xf numFmtId="183" fontId="84" fillId="0" borderId="119" xfId="0" applyNumberFormat="1" applyFont="1" applyBorder="1" applyAlignment="1">
      <alignment horizontal="center" vertical="center" wrapText="1"/>
    </xf>
    <xf numFmtId="183" fontId="84" fillId="0" borderId="120" xfId="0" applyNumberFormat="1" applyFont="1" applyBorder="1" applyAlignment="1">
      <alignment horizontal="center" vertical="center" wrapText="1"/>
    </xf>
    <xf numFmtId="183" fontId="8" fillId="0" borderId="181" xfId="0" applyNumberFormat="1" applyFont="1" applyBorder="1" applyAlignment="1">
      <alignment horizontal="center" vertical="center" wrapText="1"/>
    </xf>
    <xf numFmtId="183" fontId="84" fillId="0" borderId="196" xfId="0" applyNumberFormat="1" applyFont="1" applyBorder="1" applyAlignment="1">
      <alignment horizontal="center" vertical="center" wrapText="1"/>
    </xf>
    <xf numFmtId="39" fontId="8" fillId="0" borderId="116" xfId="0" applyNumberFormat="1" applyFont="1" applyBorder="1" applyAlignment="1">
      <alignment horizontal="center" vertical="center" wrapText="1"/>
    </xf>
    <xf numFmtId="195" fontId="13" fillId="9" borderId="157" xfId="0" applyNumberFormat="1" applyFont="1" applyFill="1" applyBorder="1" applyAlignment="1">
      <alignment horizontal="center" vertical="center" wrapText="1"/>
    </xf>
    <xf numFmtId="222" fontId="7" fillId="8" borderId="3" xfId="0" applyNumberFormat="1" applyFont="1" applyFill="1" applyBorder="1" applyAlignment="1">
      <alignment horizontal="center" vertical="center" wrapText="1"/>
    </xf>
    <xf numFmtId="9" fontId="7" fillId="0" borderId="3" xfId="0" applyNumberFormat="1" applyFont="1" applyBorder="1" applyAlignment="1">
      <alignment horizontal="center" vertical="center" wrapText="1"/>
    </xf>
    <xf numFmtId="39" fontId="8" fillId="0" borderId="256" xfId="0" applyNumberFormat="1" applyFont="1" applyBorder="1" applyAlignment="1">
      <alignment horizontal="center" vertical="center" wrapText="1"/>
    </xf>
    <xf numFmtId="2" fontId="84" fillId="0" borderId="0" xfId="19" applyNumberFormat="1" applyFont="1" applyBorder="1" applyAlignment="1">
      <alignment horizontal="center" vertical="center" wrapText="1"/>
    </xf>
    <xf numFmtId="2" fontId="8" fillId="0" borderId="3" xfId="19" applyNumberFormat="1" applyFont="1" applyBorder="1" applyAlignment="1">
      <alignment horizontal="center" vertical="center" wrapText="1"/>
    </xf>
    <xf numFmtId="221" fontId="84" fillId="0" borderId="178" xfId="0" applyNumberFormat="1" applyFont="1" applyBorder="1" applyAlignment="1">
      <alignment horizontal="center" vertical="center" wrapText="1"/>
    </xf>
    <xf numFmtId="221" fontId="8" fillId="0" borderId="167" xfId="0" applyNumberFormat="1" applyFont="1" applyBorder="1" applyAlignment="1">
      <alignment horizontal="center" vertical="center" wrapText="1"/>
    </xf>
    <xf numFmtId="39" fontId="24" fillId="0" borderId="288" xfId="0" applyNumberFormat="1" applyFont="1" applyBorder="1" applyAlignment="1">
      <alignment horizontal="center" vertical="center" wrapText="1"/>
    </xf>
    <xf numFmtId="39" fontId="84" fillId="0" borderId="196" xfId="0" applyNumberFormat="1" applyFont="1" applyBorder="1" applyAlignment="1">
      <alignment horizontal="center" vertical="center" wrapText="1"/>
    </xf>
    <xf numFmtId="39" fontId="84" fillId="0" borderId="186" xfId="0" applyNumberFormat="1" applyFont="1" applyBorder="1" applyAlignment="1">
      <alignment horizontal="center" vertical="center" wrapText="1"/>
    </xf>
    <xf numFmtId="39" fontId="8" fillId="0" borderId="232" xfId="0" applyNumberFormat="1" applyFont="1" applyBorder="1" applyAlignment="1">
      <alignment horizontal="center" vertical="center" wrapText="1"/>
    </xf>
    <xf numFmtId="188" fontId="84" fillId="0" borderId="59" xfId="0" applyNumberFormat="1" applyFont="1" applyBorder="1" applyAlignment="1">
      <alignment horizontal="center" vertical="center" wrapText="1"/>
    </xf>
    <xf numFmtId="188" fontId="8" fillId="0" borderId="18" xfId="0" applyNumberFormat="1" applyFont="1" applyBorder="1" applyAlignment="1">
      <alignment horizontal="center" vertical="center" wrapText="1"/>
    </xf>
    <xf numFmtId="188" fontId="84" fillId="0" borderId="186" xfId="0" applyNumberFormat="1" applyFont="1" applyBorder="1" applyAlignment="1">
      <alignment horizontal="center" vertical="center" wrapText="1"/>
    </xf>
    <xf numFmtId="188" fontId="8" fillId="0" borderId="232" xfId="0" applyNumberFormat="1" applyFont="1" applyBorder="1" applyAlignment="1">
      <alignment horizontal="center" vertical="center" wrapText="1"/>
    </xf>
    <xf numFmtId="188" fontId="84" fillId="0" borderId="124" xfId="0" applyNumberFormat="1" applyFont="1" applyBorder="1" applyAlignment="1">
      <alignment horizontal="center" vertical="center" wrapText="1"/>
    </xf>
    <xf numFmtId="9" fontId="7" fillId="0" borderId="105" xfId="19" applyFont="1" applyFill="1" applyBorder="1" applyAlignment="1">
      <alignment horizontal="center" vertical="center" wrapText="1"/>
    </xf>
    <xf numFmtId="3" fontId="7" fillId="8" borderId="181" xfId="0" applyNumberFormat="1" applyFont="1" applyFill="1" applyBorder="1" applyAlignment="1">
      <alignment horizontal="center" vertical="center" wrapText="1"/>
    </xf>
    <xf numFmtId="3" fontId="13" fillId="0" borderId="174" xfId="0" applyNumberFormat="1" applyFont="1" applyBorder="1" applyAlignment="1">
      <alignment horizontal="center" vertical="center" wrapText="1"/>
    </xf>
    <xf numFmtId="3" fontId="7" fillId="8" borderId="167" xfId="0" applyNumberFormat="1" applyFont="1" applyFill="1" applyBorder="1" applyAlignment="1">
      <alignment horizontal="center" vertical="center" wrapText="1"/>
    </xf>
    <xf numFmtId="3" fontId="13" fillId="0" borderId="157" xfId="0" applyNumberFormat="1" applyFont="1" applyBorder="1" applyAlignment="1">
      <alignment horizontal="center" vertical="center" wrapText="1"/>
    </xf>
    <xf numFmtId="165" fontId="7" fillId="0" borderId="2" xfId="21" applyFont="1" applyBorder="1" applyAlignment="1">
      <alignment vertical="top" wrapText="1"/>
    </xf>
    <xf numFmtId="167" fontId="8" fillId="9" borderId="3" xfId="0" applyFont="1" applyFill="1" applyBorder="1" applyAlignment="1">
      <alignment horizontal="center" vertical="center" wrapText="1"/>
    </xf>
    <xf numFmtId="224" fontId="27" fillId="9" borderId="3" xfId="41062" applyNumberFormat="1" applyFont="1" applyFill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195" fontId="7" fillId="9" borderId="2" xfId="0" applyNumberFormat="1" applyFont="1" applyFill="1" applyBorder="1" applyAlignment="1">
      <alignment horizontal="center" vertical="center" wrapText="1"/>
    </xf>
    <xf numFmtId="195" fontId="7" fillId="9" borderId="16" xfId="0" applyNumberFormat="1" applyFont="1" applyFill="1" applyBorder="1" applyAlignment="1">
      <alignment horizontal="center" vertical="center" wrapText="1"/>
    </xf>
    <xf numFmtId="3" fontId="7" fillId="9" borderId="2" xfId="0" applyNumberFormat="1" applyFont="1" applyFill="1" applyBorder="1" applyAlignment="1">
      <alignment horizontal="center" vertical="center" wrapText="1"/>
    </xf>
    <xf numFmtId="9" fontId="7" fillId="9" borderId="2" xfId="19" applyFont="1" applyFill="1" applyBorder="1" applyAlignment="1">
      <alignment horizontal="center" vertical="center" wrapText="1"/>
    </xf>
    <xf numFmtId="220" fontId="7" fillId="9" borderId="2" xfId="0" applyNumberFormat="1" applyFont="1" applyFill="1" applyBorder="1" applyAlignment="1">
      <alignment horizontal="center" vertical="center" wrapText="1"/>
    </xf>
    <xf numFmtId="221" fontId="7" fillId="9" borderId="13" xfId="0" applyNumberFormat="1" applyFont="1" applyFill="1" applyBorder="1" applyAlignment="1">
      <alignment horizontal="center" vertical="center" wrapText="1"/>
    </xf>
    <xf numFmtId="167" fontId="8" fillId="53" borderId="167" xfId="0" applyFont="1" applyFill="1" applyBorder="1" applyAlignment="1">
      <alignment horizontal="center" vertical="center"/>
    </xf>
    <xf numFmtId="9" fontId="137" fillId="0" borderId="0" xfId="0" applyNumberFormat="1" applyFont="1" applyAlignment="1">
      <alignment horizontal="center" vertical="top"/>
    </xf>
    <xf numFmtId="9" fontId="159" fillId="0" borderId="0" xfId="19" applyFont="1" applyAlignment="1">
      <alignment horizontal="center" vertical="top" wrapText="1"/>
    </xf>
    <xf numFmtId="9" fontId="160" fillId="0" borderId="0" xfId="19" applyFont="1" applyAlignment="1">
      <alignment horizontal="center" vertical="top"/>
    </xf>
    <xf numFmtId="9" fontId="7" fillId="8" borderId="19" xfId="19" applyFont="1" applyFill="1" applyBorder="1" applyAlignment="1">
      <alignment horizontal="center" vertical="center" wrapText="1"/>
    </xf>
    <xf numFmtId="167" fontId="14" fillId="9" borderId="39" xfId="0" applyFont="1" applyFill="1" applyBorder="1" applyAlignment="1">
      <alignment horizontal="center" vertical="center" wrapText="1"/>
    </xf>
    <xf numFmtId="9" fontId="84" fillId="0" borderId="59" xfId="19" applyFont="1" applyBorder="1" applyAlignment="1">
      <alignment horizontal="center" vertical="center" wrapText="1"/>
    </xf>
    <xf numFmtId="9" fontId="8" fillId="0" borderId="18" xfId="19" applyFont="1" applyBorder="1" applyAlignment="1">
      <alignment horizontal="center" vertical="center" wrapText="1"/>
    </xf>
    <xf numFmtId="9" fontId="7" fillId="9" borderId="19" xfId="19" applyFont="1" applyFill="1" applyBorder="1" applyAlignment="1">
      <alignment horizontal="center" vertical="center" wrapText="1"/>
    </xf>
    <xf numFmtId="39" fontId="13" fillId="9" borderId="39" xfId="0" applyNumberFormat="1" applyFont="1" applyFill="1" applyBorder="1" applyAlignment="1">
      <alignment horizontal="center" vertical="center" wrapText="1"/>
    </xf>
    <xf numFmtId="195" fontId="7" fillId="9" borderId="171" xfId="0" applyNumberFormat="1" applyFont="1" applyFill="1" applyBorder="1" applyAlignment="1">
      <alignment horizontal="center" vertical="center" wrapText="1"/>
    </xf>
    <xf numFmtId="222" fontId="14" fillId="9" borderId="171" xfId="0" applyNumberFormat="1" applyFont="1" applyFill="1" applyBorder="1" applyAlignment="1">
      <alignment horizontal="center" vertical="center" wrapText="1"/>
    </xf>
    <xf numFmtId="205" fontId="26" fillId="0" borderId="2" xfId="17" applyNumberFormat="1" applyFont="1" applyBorder="1" applyAlignment="1">
      <alignment horizontal="center" vertical="center" wrapText="1"/>
    </xf>
    <xf numFmtId="208" fontId="26" fillId="0" borderId="2" xfId="17" applyNumberFormat="1" applyFont="1" applyBorder="1" applyAlignment="1">
      <alignment horizontal="center" vertical="center" wrapText="1"/>
    </xf>
    <xf numFmtId="0" fontId="133" fillId="0" borderId="0" xfId="0" applyNumberFormat="1" applyFont="1" applyAlignment="1">
      <alignment horizontal="center" vertical="center"/>
    </xf>
    <xf numFmtId="0" fontId="7" fillId="0" borderId="0" xfId="29073" applyFont="1" applyAlignment="1">
      <alignment horizontal="center" vertical="center" wrapText="1"/>
    </xf>
    <xf numFmtId="0" fontId="161" fillId="44" borderId="263" xfId="0" applyNumberFormat="1" applyFont="1" applyFill="1" applyBorder="1" applyAlignment="1">
      <alignment horizontal="center" vertical="center" wrapText="1"/>
    </xf>
    <xf numFmtId="0" fontId="151" fillId="9" borderId="2" xfId="17" applyFont="1" applyFill="1" applyBorder="1" applyAlignment="1">
      <alignment horizontal="center" vertical="center" wrapText="1"/>
    </xf>
    <xf numFmtId="0" fontId="8" fillId="0" borderId="2" xfId="17" applyFont="1" applyBorder="1" applyAlignment="1">
      <alignment horizontal="center" vertical="center" wrapText="1"/>
    </xf>
    <xf numFmtId="167" fontId="152" fillId="10" borderId="184" xfId="41057" applyNumberFormat="1" applyFont="1" applyFill="1" applyBorder="1" applyAlignment="1" applyProtection="1">
      <alignment vertical="center" wrapText="1"/>
    </xf>
    <xf numFmtId="167" fontId="14" fillId="10" borderId="146" xfId="41057" applyNumberFormat="1" applyFont="1" applyFill="1" applyBorder="1" applyAlignment="1" applyProtection="1">
      <alignment vertical="center" wrapText="1"/>
    </xf>
    <xf numFmtId="167" fontId="13" fillId="8" borderId="0" xfId="0" applyFont="1" applyFill="1" applyAlignment="1">
      <alignment horizontal="center" vertical="center" wrapText="1"/>
    </xf>
    <xf numFmtId="167" fontId="7" fillId="0" borderId="127" xfId="0" applyFont="1" applyBorder="1" applyAlignment="1">
      <alignment horizontal="center" vertical="center" wrapText="1"/>
    </xf>
    <xf numFmtId="167" fontId="7" fillId="0" borderId="3" xfId="0" applyFont="1" applyBorder="1" applyAlignment="1">
      <alignment horizontal="center" vertical="center" wrapText="1"/>
    </xf>
    <xf numFmtId="167" fontId="7" fillId="0" borderId="181" xfId="0" applyFont="1" applyBorder="1" applyAlignment="1">
      <alignment horizontal="center" vertical="center" wrapText="1"/>
    </xf>
    <xf numFmtId="167" fontId="7" fillId="53" borderId="167" xfId="0" applyFont="1" applyFill="1" applyBorder="1" applyAlignment="1">
      <alignment horizontal="center" vertical="center"/>
    </xf>
    <xf numFmtId="167" fontId="14" fillId="0" borderId="198" xfId="0" applyFont="1" applyBorder="1" applyAlignment="1">
      <alignment horizontal="centerContinuous" vertical="center" wrapText="1"/>
    </xf>
    <xf numFmtId="167" fontId="7" fillId="8" borderId="3" xfId="19" applyNumberFormat="1" applyFont="1" applyFill="1" applyBorder="1" applyAlignment="1">
      <alignment horizontal="center" vertical="center" wrapText="1"/>
    </xf>
    <xf numFmtId="167" fontId="7" fillId="9" borderId="0" xfId="0" applyFont="1" applyFill="1" applyAlignment="1">
      <alignment horizontal="center" vertical="center" wrapText="1"/>
    </xf>
    <xf numFmtId="167" fontId="7" fillId="0" borderId="35" xfId="0" applyFont="1" applyBorder="1" applyAlignment="1">
      <alignment horizontal="center" vertical="center" wrapText="1"/>
    </xf>
    <xf numFmtId="167" fontId="7" fillId="8" borderId="36" xfId="0" applyFont="1" applyFill="1" applyBorder="1" applyAlignment="1">
      <alignment horizontal="center" vertical="center" wrapText="1"/>
    </xf>
    <xf numFmtId="167" fontId="13" fillId="0" borderId="168" xfId="0" applyFont="1" applyBorder="1" applyAlignment="1">
      <alignment horizontal="center" vertical="center" wrapText="1"/>
    </xf>
    <xf numFmtId="167" fontId="7" fillId="0" borderId="232" xfId="0" applyFont="1" applyBorder="1" applyAlignment="1">
      <alignment horizontal="center" vertical="center" wrapText="1"/>
    </xf>
    <xf numFmtId="167" fontId="7" fillId="8" borderId="105" xfId="0" applyFont="1" applyFill="1" applyBorder="1" applyAlignment="1">
      <alignment horizontal="center" vertical="center" wrapText="1"/>
    </xf>
    <xf numFmtId="167" fontId="7" fillId="0" borderId="18" xfId="0" applyFont="1" applyBorder="1" applyAlignment="1">
      <alignment horizontal="center" vertical="center" wrapText="1"/>
    </xf>
    <xf numFmtId="167" fontId="162" fillId="9" borderId="157" xfId="0" applyFont="1" applyFill="1" applyBorder="1" applyAlignment="1">
      <alignment horizontal="center" vertical="center" wrapText="1"/>
    </xf>
    <xf numFmtId="167" fontId="162" fillId="9" borderId="130" xfId="0" applyFont="1" applyFill="1" applyBorder="1" applyAlignment="1">
      <alignment horizontal="center" vertical="center" wrapText="1"/>
    </xf>
    <xf numFmtId="4" fontId="163" fillId="0" borderId="2" xfId="17" applyNumberFormat="1" applyFont="1" applyBorder="1" applyAlignment="1">
      <alignment horizontal="center" vertical="top" wrapText="1"/>
    </xf>
    <xf numFmtId="9" fontId="159" fillId="0" borderId="0" xfId="19" applyFont="1" applyAlignment="1">
      <alignment horizontal="center" vertical="center" wrapText="1"/>
    </xf>
    <xf numFmtId="165" fontId="7" fillId="0" borderId="2" xfId="21" applyFont="1" applyBorder="1" applyAlignment="1">
      <alignment horizontal="center" vertical="top" wrapText="1"/>
    </xf>
    <xf numFmtId="165" fontId="124" fillId="0" borderId="2" xfId="21" applyFont="1" applyBorder="1" applyAlignment="1">
      <alignment horizontal="center" vertical="top" wrapText="1"/>
    </xf>
    <xf numFmtId="165" fontId="7" fillId="0" borderId="2" xfId="21" applyFont="1" applyFill="1" applyBorder="1" applyAlignment="1">
      <alignment horizontal="center" vertical="top" wrapText="1"/>
    </xf>
    <xf numFmtId="209" fontId="7" fillId="0" borderId="2" xfId="23420" applyNumberFormat="1" applyFont="1" applyBorder="1" applyAlignment="1">
      <alignment horizontal="center" vertical="top" wrapText="1"/>
    </xf>
    <xf numFmtId="165" fontId="127" fillId="0" borderId="0" xfId="0" applyNumberFormat="1" applyFont="1" applyAlignment="1">
      <alignment horizontal="center" vertical="top"/>
    </xf>
    <xf numFmtId="3" fontId="127" fillId="0" borderId="0" xfId="0" applyNumberFormat="1" applyFont="1" applyAlignment="1">
      <alignment horizontal="center" vertical="top"/>
    </xf>
    <xf numFmtId="167" fontId="134" fillId="0" borderId="0" xfId="0" applyFont="1" applyAlignment="1">
      <alignment horizontal="center" vertical="top"/>
    </xf>
    <xf numFmtId="10" fontId="132" fillId="0" borderId="0" xfId="19" applyNumberFormat="1" applyFont="1" applyFill="1" applyAlignment="1">
      <alignment horizontal="center" vertical="center"/>
    </xf>
    <xf numFmtId="0" fontId="137" fillId="0" borderId="0" xfId="0" applyNumberFormat="1" applyFont="1" applyAlignment="1">
      <alignment vertical="center"/>
    </xf>
    <xf numFmtId="0" fontId="130" fillId="52" borderId="2" xfId="17" applyFont="1" applyFill="1" applyBorder="1" applyAlignment="1">
      <alignment horizontal="center" vertical="center" wrapText="1"/>
    </xf>
    <xf numFmtId="186" fontId="14" fillId="0" borderId="4" xfId="11464" applyNumberFormat="1" applyFont="1" applyBorder="1" applyAlignment="1">
      <alignment horizontal="center" vertical="center"/>
    </xf>
    <xf numFmtId="0" fontId="13" fillId="0" borderId="0" xfId="29073" applyFont="1" applyAlignment="1">
      <alignment horizontal="centerContinuous" vertical="center"/>
    </xf>
    <xf numFmtId="167" fontId="9" fillId="0" borderId="0" xfId="0" applyFont="1" applyAlignment="1">
      <alignment horizontal="centerContinuous"/>
    </xf>
    <xf numFmtId="0" fontId="10" fillId="0" borderId="0" xfId="0" applyNumberFormat="1" applyFont="1" applyAlignment="1">
      <alignment horizontal="centerContinuous" vertical="center"/>
    </xf>
    <xf numFmtId="0" fontId="13" fillId="8" borderId="301" xfId="0" applyNumberFormat="1" applyFont="1" applyFill="1" applyBorder="1" applyAlignment="1">
      <alignment horizontal="center" vertical="center"/>
    </xf>
    <xf numFmtId="0" fontId="13" fillId="8" borderId="8" xfId="0" applyNumberFormat="1" applyFont="1" applyFill="1" applyBorder="1" applyAlignment="1">
      <alignment horizontal="center" vertical="center"/>
    </xf>
    <xf numFmtId="0" fontId="13" fillId="8" borderId="204" xfId="0" applyNumberFormat="1" applyFont="1" applyFill="1" applyBorder="1" applyAlignment="1">
      <alignment horizontal="center" vertical="center"/>
    </xf>
    <xf numFmtId="0" fontId="7" fillId="0" borderId="298" xfId="0" applyNumberFormat="1" applyFont="1" applyBorder="1" applyAlignment="1">
      <alignment horizontal="center" vertical="center"/>
    </xf>
    <xf numFmtId="0" fontId="7" fillId="0" borderId="296" xfId="0" applyNumberFormat="1" applyFont="1" applyBorder="1" applyAlignment="1">
      <alignment horizontal="center" vertical="center"/>
    </xf>
    <xf numFmtId="0" fontId="7" fillId="0" borderId="275" xfId="0" applyNumberFormat="1" applyFont="1" applyBorder="1" applyAlignment="1">
      <alignment vertical="top" wrapText="1"/>
    </xf>
    <xf numFmtId="9" fontId="164" fillId="0" borderId="0" xfId="0" applyNumberFormat="1" applyFont="1" applyAlignment="1">
      <alignment horizontal="center" vertical="top"/>
    </xf>
    <xf numFmtId="10" fontId="132" fillId="34" borderId="224" xfId="19" applyNumberFormat="1" applyFont="1" applyFill="1" applyBorder="1" applyAlignment="1">
      <alignment horizontal="center" vertical="center"/>
    </xf>
    <xf numFmtId="0" fontId="132" fillId="34" borderId="2" xfId="17" applyFont="1" applyFill="1" applyBorder="1" applyAlignment="1">
      <alignment vertical="center" wrapText="1"/>
    </xf>
    <xf numFmtId="0" fontId="132" fillId="34" borderId="2" xfId="17" applyFont="1" applyFill="1" applyBorder="1" applyAlignment="1">
      <alignment horizontal="left" vertical="center" wrapText="1"/>
    </xf>
    <xf numFmtId="0" fontId="124" fillId="34" borderId="2" xfId="17" applyFont="1" applyFill="1" applyBorder="1" applyAlignment="1">
      <alignment horizontal="center" vertical="center" wrapText="1"/>
    </xf>
    <xf numFmtId="4" fontId="124" fillId="34" borderId="2" xfId="17" applyNumberFormat="1" applyFont="1" applyFill="1" applyBorder="1" applyAlignment="1">
      <alignment horizontal="center" vertical="center" wrapText="1"/>
    </xf>
    <xf numFmtId="165" fontId="7" fillId="34" borderId="2" xfId="21" applyFont="1" applyFill="1" applyBorder="1" applyAlignment="1">
      <alignment horizontal="center" vertical="center"/>
    </xf>
    <xf numFmtId="165" fontId="132" fillId="34" borderId="2" xfId="21" applyFont="1" applyFill="1" applyBorder="1" applyAlignment="1">
      <alignment horizontal="right" vertical="center"/>
    </xf>
    <xf numFmtId="165" fontId="132" fillId="34" borderId="2" xfId="21" applyFont="1" applyFill="1" applyBorder="1" applyAlignment="1">
      <alignment vertical="center" wrapText="1"/>
    </xf>
    <xf numFmtId="165" fontId="13" fillId="34" borderId="2" xfId="21" applyFont="1" applyFill="1" applyBorder="1" applyAlignment="1">
      <alignment horizontal="right" vertical="center"/>
    </xf>
    <xf numFmtId="0" fontId="13" fillId="34" borderId="2" xfId="17" applyFont="1" applyFill="1" applyBorder="1" applyAlignment="1">
      <alignment horizontal="left" vertical="center" wrapText="1"/>
    </xf>
    <xf numFmtId="0" fontId="130" fillId="34" borderId="2" xfId="17" applyFont="1" applyFill="1" applyBorder="1" applyAlignment="1">
      <alignment horizontal="center" vertical="center" wrapText="1"/>
    </xf>
    <xf numFmtId="0" fontId="132" fillId="34" borderId="0" xfId="17" applyFont="1" applyFill="1" applyAlignment="1">
      <alignment horizontal="center" vertical="center" wrapText="1"/>
    </xf>
    <xf numFmtId="0" fontId="132" fillId="34" borderId="0" xfId="17" applyFont="1" applyFill="1" applyAlignment="1">
      <alignment vertical="center" wrapText="1"/>
    </xf>
    <xf numFmtId="0" fontId="132" fillId="34" borderId="0" xfId="17" applyFont="1" applyFill="1" applyAlignment="1">
      <alignment horizontal="left" vertical="center" wrapText="1"/>
    </xf>
    <xf numFmtId="0" fontId="124" fillId="34" borderId="0" xfId="17" applyFont="1" applyFill="1" applyAlignment="1">
      <alignment horizontal="center" vertical="center" wrapText="1"/>
    </xf>
    <xf numFmtId="165" fontId="124" fillId="34" borderId="0" xfId="21" applyFont="1" applyFill="1" applyAlignment="1">
      <alignment horizontal="center" vertical="center"/>
    </xf>
    <xf numFmtId="165" fontId="132" fillId="34" borderId="0" xfId="21" applyFont="1" applyFill="1" applyAlignment="1">
      <alignment horizontal="right" vertical="center"/>
    </xf>
    <xf numFmtId="165" fontId="132" fillId="34" borderId="0" xfId="21" applyFont="1" applyFill="1" applyAlignment="1">
      <alignment vertical="center" wrapText="1"/>
    </xf>
    <xf numFmtId="10" fontId="132" fillId="34" borderId="0" xfId="19" applyNumberFormat="1" applyFont="1" applyFill="1" applyAlignment="1">
      <alignment horizontal="center" vertical="center" wrapText="1"/>
    </xf>
    <xf numFmtId="200" fontId="156" fillId="0" borderId="233" xfId="17" applyNumberFormat="1" applyFont="1" applyBorder="1" applyAlignment="1">
      <alignment horizontal="center" vertical="center" wrapText="1"/>
    </xf>
    <xf numFmtId="165" fontId="124" fillId="0" borderId="233" xfId="0" applyNumberFormat="1" applyFont="1" applyBorder="1" applyAlignment="1">
      <alignment horizontal="center" vertical="center"/>
    </xf>
    <xf numFmtId="0" fontId="124" fillId="0" borderId="233" xfId="0" applyNumberFormat="1" applyFont="1" applyBorder="1" applyAlignment="1">
      <alignment horizontal="center" vertical="center"/>
    </xf>
    <xf numFmtId="231" fontId="156" fillId="0" borderId="233" xfId="17" applyNumberFormat="1" applyFont="1" applyBorder="1" applyAlignment="1">
      <alignment horizontal="center" vertical="center" wrapText="1"/>
    </xf>
    <xf numFmtId="0" fontId="7" fillId="8" borderId="233" xfId="0" applyNumberFormat="1" applyFont="1" applyFill="1" applyBorder="1" applyAlignment="1">
      <alignment horizontal="center" vertical="center"/>
    </xf>
    <xf numFmtId="165" fontId="124" fillId="0" borderId="233" xfId="0" applyNumberFormat="1" applyFont="1" applyBorder="1" applyAlignment="1">
      <alignment vertical="center"/>
    </xf>
    <xf numFmtId="186" fontId="14" fillId="0" borderId="0" xfId="11464" applyNumberFormat="1" applyFont="1" applyAlignment="1">
      <alignment horizontal="center" vertical="center"/>
    </xf>
    <xf numFmtId="39" fontId="8" fillId="0" borderId="232" xfId="11464" applyNumberFormat="1" applyFont="1" applyBorder="1" applyAlignment="1">
      <alignment horizontal="right" vertical="center" wrapText="1"/>
    </xf>
    <xf numFmtId="39" fontId="8" fillId="0" borderId="79" xfId="11464" applyNumberFormat="1" applyFont="1" applyBorder="1" applyAlignment="1">
      <alignment horizontal="right" vertical="center" wrapText="1"/>
    </xf>
    <xf numFmtId="39" fontId="8" fillId="0" borderId="160" xfId="11464" applyNumberFormat="1" applyFont="1" applyBorder="1" applyAlignment="1">
      <alignment horizontal="right" vertical="center" wrapText="1"/>
    </xf>
    <xf numFmtId="233" fontId="156" fillId="0" borderId="233" xfId="17" applyNumberFormat="1" applyFont="1" applyBorder="1" applyAlignment="1">
      <alignment horizontal="center" vertical="center" wrapText="1"/>
    </xf>
    <xf numFmtId="186" fontId="28" fillId="0" borderId="178" xfId="11464" applyNumberFormat="1" applyFont="1" applyBorder="1" applyAlignment="1">
      <alignment horizontal="center" vertical="center"/>
    </xf>
    <xf numFmtId="186" fontId="27" fillId="0" borderId="2" xfId="11464" applyNumberFormat="1" applyFont="1" applyBorder="1" applyAlignment="1">
      <alignment horizontal="center" vertical="center"/>
    </xf>
    <xf numFmtId="186" fontId="27" fillId="0" borderId="16" xfId="11464" applyNumberFormat="1" applyFont="1" applyBorder="1" applyAlignment="1">
      <alignment horizontal="center" vertical="center"/>
    </xf>
    <xf numFmtId="198" fontId="27" fillId="0" borderId="2" xfId="0" applyNumberFormat="1" applyFont="1" applyBorder="1" applyAlignment="1">
      <alignment horizontal="center" vertical="center"/>
    </xf>
    <xf numFmtId="232" fontId="27" fillId="0" borderId="16" xfId="0" applyNumberFormat="1" applyFont="1" applyBorder="1" applyAlignment="1">
      <alignment horizontal="center" vertical="center"/>
    </xf>
    <xf numFmtId="186" fontId="27" fillId="0" borderId="13" xfId="11464" applyNumberFormat="1" applyFont="1" applyBorder="1" applyAlignment="1">
      <alignment horizontal="center" vertical="center"/>
    </xf>
    <xf numFmtId="167" fontId="165" fillId="0" borderId="132" xfId="11464" applyNumberFormat="1" applyFont="1" applyBorder="1" applyAlignment="1">
      <alignment horizontal="center" vertical="center"/>
    </xf>
    <xf numFmtId="167" fontId="165" fillId="0" borderId="77" xfId="11464" applyNumberFormat="1" applyFont="1" applyBorder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0" fontId="13" fillId="0" borderId="0" xfId="0" applyNumberFormat="1" applyFont="1" applyAlignment="1">
      <alignment horizontal="left" vertical="center"/>
    </xf>
    <xf numFmtId="165" fontId="13" fillId="0" borderId="0" xfId="0" applyNumberFormat="1" applyFont="1" applyAlignment="1">
      <alignment horizontal="right" vertical="center"/>
    </xf>
    <xf numFmtId="165" fontId="13" fillId="0" borderId="0" xfId="21" applyFont="1" applyFill="1" applyAlignment="1">
      <alignment vertical="center"/>
    </xf>
    <xf numFmtId="10" fontId="13" fillId="0" borderId="0" xfId="19" applyNumberFormat="1" applyFont="1" applyFill="1" applyAlignment="1">
      <alignment horizontal="center" vertical="center"/>
    </xf>
    <xf numFmtId="0" fontId="7" fillId="0" borderId="0" xfId="17" applyAlignment="1">
      <alignment horizontal="center" vertical="top" wrapText="1"/>
    </xf>
    <xf numFmtId="0" fontId="7" fillId="0" borderId="0" xfId="0" applyNumberFormat="1" applyFont="1" applyAlignment="1">
      <alignment horizontal="right" vertical="center"/>
    </xf>
    <xf numFmtId="165" fontId="13" fillId="0" borderId="0" xfId="21" applyFont="1" applyFill="1" applyAlignment="1">
      <alignment horizontal="right" vertical="center"/>
    </xf>
    <xf numFmtId="198" fontId="7" fillId="0" borderId="0" xfId="0" applyNumberFormat="1" applyFont="1" applyAlignment="1">
      <alignment horizontal="center" vertical="center"/>
    </xf>
    <xf numFmtId="9" fontId="84" fillId="40" borderId="0" xfId="0" applyNumberFormat="1" applyFont="1" applyFill="1" applyAlignment="1">
      <alignment horizontal="center" vertical="top"/>
    </xf>
    <xf numFmtId="10" fontId="84" fillId="43" borderId="0" xfId="19" applyNumberFormat="1" applyFont="1" applyFill="1" applyAlignment="1">
      <alignment horizontal="center" vertical="center"/>
    </xf>
    <xf numFmtId="9" fontId="84" fillId="40" borderId="0" xfId="0" applyNumberFormat="1" applyFont="1" applyFill="1" applyAlignment="1">
      <alignment horizontal="center" vertical="center"/>
    </xf>
    <xf numFmtId="0" fontId="13" fillId="34" borderId="269" xfId="0" applyNumberFormat="1" applyFont="1" applyFill="1" applyBorder="1" applyAlignment="1">
      <alignment horizontal="center" vertical="center"/>
    </xf>
    <xf numFmtId="9" fontId="99" fillId="40" borderId="0" xfId="0" applyNumberFormat="1" applyFont="1" applyFill="1" applyAlignment="1">
      <alignment horizontal="center" vertical="center" wrapText="1"/>
    </xf>
    <xf numFmtId="0" fontId="24" fillId="43" borderId="0" xfId="0" applyNumberFormat="1" applyFont="1" applyFill="1" applyAlignment="1">
      <alignment horizontal="center" vertical="center" wrapText="1"/>
    </xf>
    <xf numFmtId="165" fontId="7" fillId="0" borderId="0" xfId="0" applyNumberFormat="1" applyFont="1" applyAlignment="1">
      <alignment horizontal="right" vertical="center"/>
    </xf>
    <xf numFmtId="4" fontId="67" fillId="0" borderId="0" xfId="0" applyNumberFormat="1" applyFont="1" applyAlignment="1">
      <alignment vertical="center"/>
    </xf>
    <xf numFmtId="9" fontId="8" fillId="0" borderId="0" xfId="0" applyNumberFormat="1" applyFont="1" applyAlignment="1">
      <alignment horizontal="center" vertical="top"/>
    </xf>
    <xf numFmtId="167" fontId="14" fillId="0" borderId="79" xfId="11464" applyNumberFormat="1" applyFont="1" applyBorder="1" applyAlignment="1">
      <alignment horizontal="center" vertical="center"/>
    </xf>
    <xf numFmtId="167" fontId="14" fillId="0" borderId="227" xfId="11464" applyNumberFormat="1" applyFont="1" applyBorder="1" applyAlignment="1">
      <alignment horizontal="center" vertical="center"/>
    </xf>
    <xf numFmtId="167" fontId="14" fillId="0" borderId="186" xfId="11464" applyNumberFormat="1" applyFont="1" applyBorder="1" applyAlignment="1">
      <alignment horizontal="center" vertical="center"/>
    </xf>
    <xf numFmtId="167" fontId="14" fillId="0" borderId="59" xfId="11464" applyNumberFormat="1" applyFont="1" applyBorder="1" applyAlignment="1">
      <alignment horizontal="center" vertical="center"/>
    </xf>
    <xf numFmtId="167" fontId="14" fillId="0" borderId="232" xfId="11464" applyNumberFormat="1" applyFont="1" applyBorder="1" applyAlignment="1">
      <alignment horizontal="center" vertical="center"/>
    </xf>
    <xf numFmtId="167" fontId="14" fillId="0" borderId="127" xfId="11464" applyNumberFormat="1" applyFont="1" applyBorder="1" applyAlignment="1">
      <alignment horizontal="center" vertical="center"/>
    </xf>
    <xf numFmtId="39" fontId="8" fillId="51" borderId="18" xfId="11464" applyNumberFormat="1" applyFont="1" applyFill="1" applyBorder="1" applyAlignment="1">
      <alignment horizontal="right" vertical="center" wrapText="1"/>
    </xf>
    <xf numFmtId="201" fontId="8" fillId="51" borderId="18" xfId="22756" applyNumberFormat="1" applyFont="1" applyFill="1" applyBorder="1" applyAlignment="1">
      <alignment horizontal="center" vertical="center" wrapText="1"/>
    </xf>
    <xf numFmtId="10" fontId="7" fillId="0" borderId="0" xfId="19" applyNumberFormat="1" applyFont="1" applyAlignment="1">
      <alignment horizontal="left" vertical="center"/>
    </xf>
    <xf numFmtId="10" fontId="7" fillId="0" borderId="0" xfId="19" applyNumberFormat="1" applyFont="1" applyAlignment="1">
      <alignment horizontal="left" vertical="center" wrapText="1"/>
    </xf>
    <xf numFmtId="205" fontId="7" fillId="0" borderId="0" xfId="0" applyNumberFormat="1" applyFont="1" applyAlignment="1">
      <alignment horizontal="left" vertical="center"/>
    </xf>
    <xf numFmtId="205" fontId="67" fillId="0" borderId="0" xfId="0" applyNumberFormat="1" applyFont="1" applyAlignment="1">
      <alignment horizontal="left" vertical="center"/>
    </xf>
    <xf numFmtId="167" fontId="8" fillId="0" borderId="293" xfId="0" applyFont="1" applyBorder="1" applyAlignment="1">
      <alignment horizontal="left" vertical="top" wrapText="1"/>
    </xf>
    <xf numFmtId="40" fontId="8" fillId="0" borderId="254" xfId="21" applyNumberFormat="1" applyFont="1" applyBorder="1" applyAlignment="1">
      <alignment horizontal="center" vertical="top" wrapText="1"/>
    </xf>
    <xf numFmtId="40" fontId="7" fillId="0" borderId="254" xfId="21" applyNumberFormat="1" applyFont="1" applyBorder="1" applyAlignment="1">
      <alignment horizontal="center" vertical="top"/>
    </xf>
    <xf numFmtId="40" fontId="8" fillId="0" borderId="220" xfId="21" applyNumberFormat="1" applyFont="1" applyBorder="1" applyAlignment="1">
      <alignment horizontal="center" vertical="center"/>
    </xf>
    <xf numFmtId="40" fontId="8" fillId="0" borderId="294" xfId="21" applyNumberFormat="1" applyFont="1" applyBorder="1" applyAlignment="1">
      <alignment vertical="center"/>
    </xf>
    <xf numFmtId="40" fontId="8" fillId="0" borderId="0" xfId="21" applyNumberFormat="1" applyFont="1" applyBorder="1" applyAlignment="1">
      <alignment horizontal="center" vertical="top"/>
    </xf>
    <xf numFmtId="40" fontId="8" fillId="0" borderId="0" xfId="21" applyNumberFormat="1" applyFont="1" applyBorder="1" applyAlignment="1">
      <alignment horizontal="right" vertical="center"/>
    </xf>
    <xf numFmtId="0" fontId="124" fillId="0" borderId="302" xfId="0" applyNumberFormat="1" applyFont="1" applyBorder="1" applyAlignment="1">
      <alignment horizontal="right" vertical="center"/>
    </xf>
    <xf numFmtId="0" fontId="7" fillId="0" borderId="298" xfId="0" applyNumberFormat="1" applyFont="1" applyBorder="1" applyAlignment="1">
      <alignment horizontal="center" vertical="top" wrapText="1"/>
    </xf>
    <xf numFmtId="9" fontId="7" fillId="0" borderId="127" xfId="19" applyFont="1" applyBorder="1" applyAlignment="1">
      <alignment horizontal="center" vertical="center" wrapText="1"/>
    </xf>
    <xf numFmtId="9" fontId="111" fillId="0" borderId="39" xfId="19" applyFont="1" applyBorder="1" applyAlignment="1">
      <alignment horizontal="center" vertical="center" wrapText="1"/>
    </xf>
    <xf numFmtId="184" fontId="111" fillId="0" borderId="130" xfId="19" applyNumberFormat="1" applyFont="1" applyBorder="1" applyAlignment="1">
      <alignment horizontal="center" vertical="center" wrapText="1"/>
    </xf>
    <xf numFmtId="167" fontId="109" fillId="9" borderId="165" xfId="0" applyFont="1" applyFill="1" applyBorder="1" applyAlignment="1">
      <alignment horizontal="center" vertical="center" wrapText="1"/>
    </xf>
    <xf numFmtId="221" fontId="109" fillId="9" borderId="93" xfId="0" applyNumberFormat="1" applyFont="1" applyFill="1" applyBorder="1" applyAlignment="1">
      <alignment horizontal="center" vertical="center" wrapText="1"/>
    </xf>
    <xf numFmtId="195" fontId="112" fillId="9" borderId="93" xfId="0" applyNumberFormat="1" applyFont="1" applyFill="1" applyBorder="1" applyAlignment="1">
      <alignment horizontal="center" vertical="center" wrapText="1"/>
    </xf>
    <xf numFmtId="10" fontId="7" fillId="8" borderId="13" xfId="19" applyNumberFormat="1" applyFont="1" applyFill="1" applyBorder="1" applyAlignment="1">
      <alignment horizontal="center" vertical="center" wrapText="1"/>
    </xf>
    <xf numFmtId="195" fontId="112" fillId="9" borderId="171" xfId="0" applyNumberFormat="1" applyFont="1" applyFill="1" applyBorder="1" applyAlignment="1">
      <alignment horizontal="center" vertical="center" wrapText="1"/>
    </xf>
    <xf numFmtId="195" fontId="7" fillId="0" borderId="18" xfId="0" applyNumberFormat="1" applyFont="1" applyBorder="1" applyAlignment="1">
      <alignment horizontal="center" vertical="center" wrapText="1"/>
    </xf>
    <xf numFmtId="195" fontId="112" fillId="9" borderId="39" xfId="0" applyNumberFormat="1" applyFont="1" applyFill="1" applyBorder="1" applyAlignment="1">
      <alignment horizontal="center" vertical="center" wrapText="1"/>
    </xf>
    <xf numFmtId="185" fontId="7" fillId="8" borderId="167" xfId="0" applyNumberFormat="1" applyFont="1" applyFill="1" applyBorder="1" applyAlignment="1">
      <alignment horizontal="center" vertical="center" wrapText="1"/>
    </xf>
    <xf numFmtId="195" fontId="111" fillId="0" borderId="39" xfId="0" applyNumberFormat="1" applyFont="1" applyBorder="1" applyAlignment="1">
      <alignment horizontal="center" vertical="center" wrapText="1"/>
    </xf>
    <xf numFmtId="185" fontId="110" fillId="0" borderId="228" xfId="0" applyNumberFormat="1" applyFont="1" applyBorder="1" applyAlignment="1">
      <alignment horizontal="center" vertical="center" wrapText="1"/>
    </xf>
    <xf numFmtId="221" fontId="7" fillId="8" borderId="233" xfId="0" applyNumberFormat="1" applyFont="1" applyFill="1" applyBorder="1" applyAlignment="1">
      <alignment horizontal="center" vertical="center" wrapText="1"/>
    </xf>
    <xf numFmtId="195" fontId="112" fillId="9" borderId="229" xfId="0" applyNumberFormat="1" applyFont="1" applyFill="1" applyBorder="1" applyAlignment="1">
      <alignment horizontal="center" vertical="center" wrapText="1"/>
    </xf>
    <xf numFmtId="185" fontId="110" fillId="0" borderId="35" xfId="0" applyNumberFormat="1" applyFont="1" applyBorder="1" applyAlignment="1">
      <alignment horizontal="center" vertical="center" wrapText="1"/>
    </xf>
    <xf numFmtId="221" fontId="7" fillId="8" borderId="35" xfId="19" applyNumberFormat="1" applyFont="1" applyFill="1" applyBorder="1" applyAlignment="1">
      <alignment horizontal="center" vertical="center" wrapText="1"/>
    </xf>
    <xf numFmtId="195" fontId="112" fillId="9" borderId="168" xfId="0" applyNumberFormat="1" applyFont="1" applyFill="1" applyBorder="1" applyAlignment="1">
      <alignment horizontal="center" vertical="center" wrapText="1"/>
    </xf>
    <xf numFmtId="221" fontId="14" fillId="0" borderId="90" xfId="0" applyNumberFormat="1" applyFont="1" applyBorder="1" applyAlignment="1">
      <alignment horizontal="center" vertical="center" wrapText="1"/>
    </xf>
    <xf numFmtId="195" fontId="112" fillId="9" borderId="130" xfId="0" applyNumberFormat="1" applyFont="1" applyFill="1" applyBorder="1" applyAlignment="1">
      <alignment horizontal="center" vertical="center" wrapText="1"/>
    </xf>
    <xf numFmtId="221" fontId="7" fillId="8" borderId="127" xfId="19" applyNumberFormat="1" applyFont="1" applyFill="1" applyBorder="1" applyAlignment="1">
      <alignment horizontal="center" vertical="center" wrapText="1"/>
    </xf>
    <xf numFmtId="221" fontId="112" fillId="9" borderId="130" xfId="0" applyNumberFormat="1" applyFont="1" applyFill="1" applyBorder="1" applyAlignment="1">
      <alignment horizontal="center" vertical="center" wrapText="1"/>
    </xf>
    <xf numFmtId="0" fontId="96" fillId="0" borderId="0" xfId="11593" applyFont="1" applyAlignment="1">
      <alignment horizontal="center" vertical="center"/>
    </xf>
    <xf numFmtId="195" fontId="7" fillId="0" borderId="127" xfId="19" applyNumberFormat="1" applyFont="1" applyBorder="1" applyAlignment="1">
      <alignment horizontal="center" vertical="center" wrapText="1"/>
    </xf>
    <xf numFmtId="195" fontId="7" fillId="0" borderId="13" xfId="19" applyNumberFormat="1" applyFont="1" applyFill="1" applyBorder="1" applyAlignment="1">
      <alignment horizontal="center" vertical="center" wrapText="1"/>
    </xf>
    <xf numFmtId="185" fontId="84" fillId="0" borderId="192" xfId="0" applyNumberFormat="1" applyFont="1" applyBorder="1" applyAlignment="1">
      <alignment horizontal="center" vertical="center" wrapText="1"/>
    </xf>
    <xf numFmtId="167" fontId="164" fillId="0" borderId="79" xfId="0" applyFont="1" applyBorder="1" applyAlignment="1">
      <alignment horizontal="center" vertical="center" wrapText="1"/>
    </xf>
    <xf numFmtId="37" fontId="152" fillId="0" borderId="258" xfId="41057" applyNumberFormat="1" applyFont="1" applyFill="1" applyBorder="1" applyAlignment="1" applyProtection="1">
      <alignment vertical="center" wrapText="1"/>
    </xf>
    <xf numFmtId="37" fontId="14" fillId="0" borderId="146" xfId="41057" applyNumberFormat="1" applyFont="1" applyFill="1" applyBorder="1" applyAlignment="1" applyProtection="1">
      <alignment horizontal="center" vertical="center" wrapText="1"/>
    </xf>
    <xf numFmtId="185" fontId="67" fillId="0" borderId="16" xfId="0" applyNumberFormat="1" applyFont="1" applyBorder="1" applyAlignment="1">
      <alignment horizontal="center" vertical="center" wrapText="1"/>
    </xf>
    <xf numFmtId="186" fontId="102" fillId="9" borderId="130" xfId="0" applyNumberFormat="1" applyFont="1" applyFill="1" applyBorder="1" applyAlignment="1">
      <alignment horizontal="center" vertical="center" wrapText="1"/>
    </xf>
    <xf numFmtId="185" fontId="14" fillId="9" borderId="167" xfId="0" applyNumberFormat="1" applyFont="1" applyFill="1" applyBorder="1" applyAlignment="1">
      <alignment horizontal="center" vertical="center" wrapText="1"/>
    </xf>
    <xf numFmtId="37" fontId="7" fillId="8" borderId="13" xfId="0" applyNumberFormat="1" applyFont="1" applyFill="1" applyBorder="1" applyAlignment="1">
      <alignment horizontal="center" vertical="center" wrapText="1"/>
    </xf>
    <xf numFmtId="37" fontId="7" fillId="8" borderId="16" xfId="0" applyNumberFormat="1" applyFont="1" applyFill="1" applyBorder="1" applyAlignment="1">
      <alignment horizontal="center" vertical="center" wrapText="1"/>
    </xf>
    <xf numFmtId="167" fontId="84" fillId="0" borderId="192" xfId="0" applyFont="1" applyBorder="1" applyAlignment="1">
      <alignment horizontal="center" vertical="center" wrapText="1"/>
    </xf>
    <xf numFmtId="0" fontId="96" fillId="0" borderId="0" xfId="11593" applyFont="1" applyAlignment="1">
      <alignment horizontal="left" vertical="center"/>
    </xf>
    <xf numFmtId="186" fontId="7" fillId="0" borderId="0" xfId="0" applyNumberFormat="1" applyFont="1" applyAlignment="1">
      <alignment horizontal="center" vertical="top" wrapText="1"/>
    </xf>
    <xf numFmtId="167" fontId="7" fillId="0" borderId="0" xfId="0" applyFont="1" applyAlignment="1">
      <alignment vertical="top" wrapText="1"/>
    </xf>
    <xf numFmtId="185" fontId="7" fillId="0" borderId="0" xfId="0" applyNumberFormat="1" applyFont="1" applyAlignment="1">
      <alignment vertical="top" wrapText="1"/>
    </xf>
    <xf numFmtId="167" fontId="7" fillId="0" borderId="0" xfId="0" applyFont="1" applyAlignment="1">
      <alignment horizontal="center" vertical="top" wrapText="1"/>
    </xf>
    <xf numFmtId="0" fontId="13" fillId="34" borderId="264" xfId="0" applyNumberFormat="1" applyFont="1" applyFill="1" applyBorder="1" applyAlignment="1">
      <alignment horizontal="center" vertical="center" wrapText="1"/>
    </xf>
    <xf numFmtId="10" fontId="7" fillId="0" borderId="0" xfId="19" applyNumberFormat="1" applyFont="1" applyAlignment="1">
      <alignment horizontal="center" vertical="top" wrapText="1"/>
    </xf>
    <xf numFmtId="165" fontId="7" fillId="0" borderId="201" xfId="0" applyNumberFormat="1" applyFont="1" applyBorder="1" applyAlignment="1">
      <alignment horizontal="right" vertical="center"/>
    </xf>
    <xf numFmtId="205" fontId="7" fillId="0" borderId="303" xfId="0" applyNumberFormat="1" applyFont="1" applyBorder="1" applyAlignment="1">
      <alignment horizontal="centerContinuous" vertical="center"/>
    </xf>
    <xf numFmtId="0" fontId="124" fillId="0" borderId="304" xfId="0" applyNumberFormat="1" applyFont="1" applyBorder="1" applyAlignment="1">
      <alignment horizontal="centerContinuous" vertical="top"/>
    </xf>
    <xf numFmtId="165" fontId="7" fillId="0" borderId="142" xfId="0" applyNumberFormat="1" applyFont="1" applyBorder="1" applyAlignment="1">
      <alignment horizontal="right" vertical="center"/>
    </xf>
    <xf numFmtId="4" fontId="7" fillId="0" borderId="233" xfId="0" applyNumberFormat="1" applyFont="1" applyBorder="1" applyAlignment="1">
      <alignment horizontal="center" vertical="center"/>
    </xf>
    <xf numFmtId="4" fontId="7" fillId="0" borderId="143" xfId="0" applyNumberFormat="1" applyFont="1" applyBorder="1" applyAlignment="1">
      <alignment horizontal="center" vertical="center"/>
    </xf>
    <xf numFmtId="10" fontId="7" fillId="0" borderId="233" xfId="19" applyNumberFormat="1" applyFont="1" applyBorder="1" applyAlignment="1">
      <alignment horizontal="center" vertical="center"/>
    </xf>
    <xf numFmtId="10" fontId="7" fillId="0" borderId="143" xfId="19" applyNumberFormat="1" applyFont="1" applyBorder="1" applyAlignment="1">
      <alignment horizontal="center" vertical="center"/>
    </xf>
    <xf numFmtId="165" fontId="7" fillId="0" borderId="203" xfId="0" applyNumberFormat="1" applyFont="1" applyBorder="1" applyAlignment="1">
      <alignment horizontal="right" vertical="center"/>
    </xf>
    <xf numFmtId="10" fontId="7" fillId="0" borderId="8" xfId="19" applyNumberFormat="1" applyFont="1" applyBorder="1" applyAlignment="1">
      <alignment horizontal="center" vertical="center"/>
    </xf>
    <xf numFmtId="10" fontId="7" fillId="0" borderId="204" xfId="19" applyNumberFormat="1" applyFont="1" applyBorder="1" applyAlignment="1">
      <alignment horizontal="center" vertical="center"/>
    </xf>
    <xf numFmtId="0" fontId="13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 wrapText="1"/>
    </xf>
    <xf numFmtId="234" fontId="7" fillId="0" borderId="0" xfId="0" applyNumberFormat="1" applyFont="1" applyAlignment="1">
      <alignment horizontal="center" vertical="center"/>
    </xf>
    <xf numFmtId="205" fontId="28" fillId="0" borderId="0" xfId="0" applyNumberFormat="1" applyFont="1" applyAlignment="1">
      <alignment horizontal="left" vertical="center"/>
    </xf>
    <xf numFmtId="183" fontId="7" fillId="0" borderId="0" xfId="0" applyNumberFormat="1" applyFont="1" applyAlignment="1" applyProtection="1">
      <alignment vertical="center"/>
      <protection locked="0"/>
    </xf>
    <xf numFmtId="183" fontId="19" fillId="0" borderId="0" xfId="0" applyNumberFormat="1" applyFont="1" applyAlignment="1" applyProtection="1">
      <alignment horizontal="left" vertical="center" wrapText="1"/>
      <protection locked="0"/>
    </xf>
    <xf numFmtId="183" fontId="17" fillId="0" borderId="0" xfId="22" quotePrefix="1" applyNumberFormat="1" applyFont="1" applyAlignment="1" applyProtection="1">
      <alignment vertical="center"/>
      <protection locked="0"/>
    </xf>
    <xf numFmtId="183" fontId="7" fillId="0" borderId="0" xfId="0" applyNumberFormat="1" applyFont="1" applyAlignment="1" applyProtection="1">
      <alignment horizontal="center" vertical="center"/>
      <protection locked="0"/>
    </xf>
    <xf numFmtId="183" fontId="14" fillId="12" borderId="10" xfId="0" applyNumberFormat="1" applyFont="1" applyFill="1" applyBorder="1" applyAlignment="1">
      <alignment horizontal="centerContinuous" vertical="center" wrapText="1"/>
    </xf>
    <xf numFmtId="183" fontId="7" fillId="0" borderId="0" xfId="0" applyNumberFormat="1" applyFont="1" applyAlignment="1" applyProtection="1">
      <alignment horizontal="center"/>
      <protection locked="0"/>
    </xf>
    <xf numFmtId="40" fontId="7" fillId="39" borderId="294" xfId="23422" applyFont="1" applyFill="1" applyBorder="1" applyAlignment="1">
      <alignment vertical="center"/>
    </xf>
    <xf numFmtId="40" fontId="7" fillId="39" borderId="62" xfId="23422" applyFont="1" applyFill="1" applyBorder="1" applyAlignment="1">
      <alignment vertical="center"/>
    </xf>
    <xf numFmtId="40" fontId="7" fillId="0" borderId="0" xfId="23422" applyFont="1" applyFill="1" applyBorder="1" applyAlignment="1">
      <alignment vertical="center"/>
    </xf>
    <xf numFmtId="40" fontId="7" fillId="39" borderId="274" xfId="0" applyNumberFormat="1" applyFont="1" applyFill="1" applyBorder="1" applyAlignment="1">
      <alignment horizontal="center" vertical="center"/>
    </xf>
    <xf numFmtId="40" fontId="7" fillId="0" borderId="0" xfId="23422" applyFont="1" applyFill="1" applyBorder="1" applyAlignment="1">
      <alignment horizontal="center" vertical="center"/>
    </xf>
    <xf numFmtId="40" fontId="7" fillId="39" borderId="221" xfId="23422" applyFont="1" applyFill="1" applyBorder="1" applyAlignment="1">
      <alignment horizontal="center" vertical="center"/>
    </xf>
    <xf numFmtId="37" fontId="8" fillId="0" borderId="19" xfId="0" applyNumberFormat="1" applyFont="1" applyBorder="1" applyAlignment="1">
      <alignment horizontal="center" vertical="center" wrapText="1"/>
    </xf>
    <xf numFmtId="39" fontId="166" fillId="11" borderId="19" xfId="0" applyNumberFormat="1" applyFont="1" applyFill="1" applyBorder="1" applyAlignment="1">
      <alignment horizontal="center" vertical="center" wrapText="1"/>
    </xf>
    <xf numFmtId="37" fontId="8" fillId="0" borderId="0" xfId="0" applyNumberFormat="1" applyFont="1" applyAlignment="1">
      <alignment horizontal="center" vertical="center" wrapText="1"/>
    </xf>
    <xf numFmtId="3" fontId="7" fillId="0" borderId="3" xfId="0" applyNumberFormat="1" applyFont="1" applyBorder="1" applyAlignment="1">
      <alignment horizontal="center" vertical="center" wrapText="1"/>
    </xf>
    <xf numFmtId="3" fontId="7" fillId="0" borderId="127" xfId="0" applyNumberFormat="1" applyFont="1" applyBorder="1" applyAlignment="1">
      <alignment horizontal="center" vertical="center" wrapText="1"/>
    </xf>
    <xf numFmtId="195" fontId="7" fillId="9" borderId="173" xfId="0" applyNumberFormat="1" applyFont="1" applyFill="1" applyBorder="1" applyAlignment="1">
      <alignment horizontal="center" vertical="center" wrapText="1"/>
    </xf>
    <xf numFmtId="167" fontId="8" fillId="0" borderId="80" xfId="0" applyFont="1" applyBorder="1" applyAlignment="1">
      <alignment horizontal="center" vertical="center" wrapText="1"/>
    </xf>
    <xf numFmtId="167" fontId="8" fillId="0" borderId="197" xfId="0" applyFont="1" applyBorder="1" applyAlignment="1">
      <alignment horizontal="center" vertical="center" wrapText="1"/>
    </xf>
    <xf numFmtId="215" fontId="8" fillId="8" borderId="0" xfId="0" quotePrefix="1" applyNumberFormat="1" applyFont="1" applyFill="1" applyAlignment="1">
      <alignment horizontal="center" vertical="center" wrapText="1"/>
    </xf>
    <xf numFmtId="217" fontId="8" fillId="8" borderId="150" xfId="0" quotePrefix="1" applyNumberFormat="1" applyFont="1" applyFill="1" applyBorder="1" applyAlignment="1">
      <alignment horizontal="center" vertical="center" wrapText="1"/>
    </xf>
    <xf numFmtId="216" fontId="8" fillId="8" borderId="196" xfId="0" quotePrefix="1" applyNumberFormat="1" applyFont="1" applyFill="1" applyBorder="1" applyAlignment="1">
      <alignment horizontal="center" vertical="center" wrapText="1"/>
    </xf>
    <xf numFmtId="216" fontId="8" fillId="8" borderId="0" xfId="0" quotePrefix="1" applyNumberFormat="1" applyFont="1" applyFill="1" applyAlignment="1">
      <alignment horizontal="center" vertical="center" wrapText="1"/>
    </xf>
    <xf numFmtId="216" fontId="8" fillId="8" borderId="150" xfId="0" quotePrefix="1" applyNumberFormat="1" applyFont="1" applyFill="1" applyBorder="1" applyAlignment="1">
      <alignment horizontal="center" vertical="center" wrapText="1"/>
    </xf>
    <xf numFmtId="217" fontId="8" fillId="8" borderId="0" xfId="0" quotePrefix="1" applyNumberFormat="1" applyFont="1" applyFill="1" applyAlignment="1">
      <alignment horizontal="center" vertical="center" wrapText="1"/>
    </xf>
    <xf numFmtId="218" fontId="8" fillId="8" borderId="0" xfId="0" quotePrefix="1" applyNumberFormat="1" applyFont="1" applyFill="1" applyAlignment="1">
      <alignment horizontal="center" vertical="center" wrapText="1"/>
    </xf>
    <xf numFmtId="225" fontId="8" fillId="8" borderId="0" xfId="0" quotePrefix="1" applyNumberFormat="1" applyFont="1" applyFill="1" applyAlignment="1">
      <alignment horizontal="center" vertical="center" wrapText="1"/>
    </xf>
    <xf numFmtId="214" fontId="8" fillId="8" borderId="0" xfId="0" quotePrefix="1" applyNumberFormat="1" applyFont="1" applyFill="1" applyAlignment="1">
      <alignment horizontal="center" vertical="center" wrapText="1"/>
    </xf>
    <xf numFmtId="0" fontId="7" fillId="0" borderId="14" xfId="0" applyNumberFormat="1" applyFont="1" applyBorder="1" applyAlignment="1">
      <alignment horizontal="right" vertical="center"/>
    </xf>
    <xf numFmtId="186" fontId="13" fillId="0" borderId="13" xfId="41054" applyNumberFormat="1" applyFont="1" applyBorder="1" applyAlignment="1">
      <alignment horizontal="center" vertical="center"/>
    </xf>
    <xf numFmtId="186" fontId="13" fillId="0" borderId="244" xfId="41054" applyNumberFormat="1" applyFont="1" applyBorder="1" applyAlignment="1">
      <alignment horizontal="center" vertical="center"/>
    </xf>
    <xf numFmtId="182" fontId="7" fillId="9" borderId="2" xfId="41054" applyNumberFormat="1" applyFont="1" applyFill="1" applyBorder="1" applyAlignment="1">
      <alignment horizontal="center" vertical="center"/>
    </xf>
    <xf numFmtId="182" fontId="7" fillId="9" borderId="242" xfId="41054" applyNumberFormat="1" applyFont="1" applyFill="1" applyBorder="1" applyAlignment="1">
      <alignment horizontal="center" vertical="center"/>
    </xf>
    <xf numFmtId="182" fontId="7" fillId="11" borderId="2" xfId="41054" applyNumberFormat="1" applyFont="1" applyFill="1" applyBorder="1" applyAlignment="1">
      <alignment horizontal="center" vertical="center"/>
    </xf>
    <xf numFmtId="182" fontId="7" fillId="11" borderId="242" xfId="41054" applyNumberFormat="1" applyFont="1" applyFill="1" applyBorder="1" applyAlignment="1">
      <alignment horizontal="center" vertical="center"/>
    </xf>
    <xf numFmtId="37" fontId="167" fillId="10" borderId="26" xfId="0" applyNumberFormat="1" applyFont="1" applyFill="1" applyBorder="1" applyAlignment="1">
      <alignment horizontal="center" vertical="center" wrapText="1"/>
    </xf>
    <xf numFmtId="37" fontId="168" fillId="0" borderId="16" xfId="0" applyNumberFormat="1" applyFont="1" applyBorder="1" applyAlignment="1">
      <alignment horizontal="center" vertical="center" wrapText="1"/>
    </xf>
    <xf numFmtId="39" fontId="8" fillId="0" borderId="118" xfId="0" applyNumberFormat="1" applyFont="1" applyBorder="1" applyAlignment="1">
      <alignment horizontal="center" vertical="center" wrapText="1"/>
    </xf>
    <xf numFmtId="39" fontId="8" fillId="0" borderId="178" xfId="0" applyNumberFormat="1" applyFont="1" applyBorder="1" applyAlignment="1">
      <alignment horizontal="center" vertical="center" wrapText="1"/>
    </xf>
    <xf numFmtId="195" fontId="7" fillId="0" borderId="132" xfId="0" applyNumberFormat="1" applyFont="1" applyBorder="1" applyAlignment="1">
      <alignment horizontal="center" vertical="center" wrapText="1"/>
    </xf>
    <xf numFmtId="195" fontId="7" fillId="0" borderId="4" xfId="0" applyNumberFormat="1" applyFont="1" applyBorder="1" applyAlignment="1">
      <alignment horizontal="center" vertical="center" wrapText="1"/>
    </xf>
    <xf numFmtId="195" fontId="7" fillId="0" borderId="77" xfId="0" applyNumberFormat="1" applyFont="1" applyBorder="1" applyAlignment="1">
      <alignment horizontal="center" vertical="center" wrapText="1"/>
    </xf>
    <xf numFmtId="167" fontId="9" fillId="0" borderId="0" xfId="0" applyFont="1" applyAlignment="1">
      <alignment horizontal="left"/>
    </xf>
    <xf numFmtId="0" fontId="67" fillId="11" borderId="305" xfId="17" applyFont="1" applyFill="1" applyBorder="1" applyAlignment="1">
      <alignment horizontal="center" vertical="center" wrapText="1"/>
    </xf>
    <xf numFmtId="0" fontId="141" fillId="11" borderId="305" xfId="17" applyFont="1" applyFill="1" applyBorder="1" applyAlignment="1">
      <alignment horizontal="center" vertical="center" wrapText="1"/>
    </xf>
    <xf numFmtId="0" fontId="169" fillId="34" borderId="2" xfId="17" applyFont="1" applyFill="1" applyBorder="1" applyAlignment="1">
      <alignment horizontal="center" vertical="center" wrapText="1"/>
    </xf>
    <xf numFmtId="0" fontId="170" fillId="44" borderId="263" xfId="0" applyNumberFormat="1" applyFont="1" applyFill="1" applyBorder="1" applyAlignment="1">
      <alignment horizontal="center" vertical="center" wrapText="1"/>
    </xf>
    <xf numFmtId="4" fontId="7" fillId="34" borderId="0" xfId="17" applyNumberFormat="1" applyFill="1" applyAlignment="1">
      <alignment horizontal="center" vertical="center" wrapText="1"/>
    </xf>
    <xf numFmtId="165" fontId="7" fillId="0" borderId="0" xfId="21" applyFont="1" applyAlignment="1">
      <alignment vertical="top"/>
    </xf>
    <xf numFmtId="43" fontId="124" fillId="0" borderId="0" xfId="0" applyNumberFormat="1" applyFont="1" applyAlignment="1">
      <alignment vertical="center"/>
    </xf>
    <xf numFmtId="2" fontId="141" fillId="11" borderId="305" xfId="17" applyNumberFormat="1" applyFont="1" applyFill="1" applyBorder="1" applyAlignment="1">
      <alignment horizontal="center" vertical="center" wrapText="1"/>
    </xf>
    <xf numFmtId="165" fontId="124" fillId="50" borderId="0" xfId="0" applyNumberFormat="1" applyFont="1" applyFill="1" applyAlignment="1">
      <alignment vertical="center"/>
    </xf>
    <xf numFmtId="0" fontId="124" fillId="50" borderId="0" xfId="0" applyNumberFormat="1" applyFont="1" applyFill="1" applyAlignment="1">
      <alignment vertical="center"/>
    </xf>
    <xf numFmtId="0" fontId="174" fillId="34" borderId="2" xfId="41057" applyFont="1" applyFill="1" applyBorder="1" applyAlignment="1" applyProtection="1">
      <alignment horizontal="center" vertical="center" wrapText="1"/>
    </xf>
    <xf numFmtId="0" fontId="26" fillId="0" borderId="2" xfId="17" applyFont="1" applyBorder="1" applyAlignment="1">
      <alignment horizontal="center" vertical="top" wrapText="1"/>
    </xf>
    <xf numFmtId="0" fontId="26" fillId="0" borderId="2" xfId="17" applyFont="1" applyBorder="1" applyAlignment="1">
      <alignment horizontal="center" vertical="center" wrapText="1"/>
    </xf>
    <xf numFmtId="40" fontId="174" fillId="34" borderId="2" xfId="41057" applyNumberFormat="1" applyFont="1" applyFill="1" applyBorder="1" applyAlignment="1" applyProtection="1">
      <alignment horizontal="center" vertical="center" wrapText="1"/>
    </xf>
    <xf numFmtId="4" fontId="26" fillId="42" borderId="2" xfId="17" applyNumberFormat="1" applyFont="1" applyFill="1" applyBorder="1" applyAlignment="1">
      <alignment horizontal="center" vertical="top" wrapText="1"/>
    </xf>
    <xf numFmtId="40" fontId="174" fillId="34" borderId="2" xfId="41057" quotePrefix="1" applyNumberFormat="1" applyFont="1" applyFill="1" applyBorder="1" applyAlignment="1" applyProtection="1">
      <alignment horizontal="center" vertical="center" wrapText="1"/>
    </xf>
    <xf numFmtId="4" fontId="26" fillId="34" borderId="2" xfId="17" applyNumberFormat="1" applyFont="1" applyFill="1" applyBorder="1" applyAlignment="1">
      <alignment horizontal="center" vertical="center" wrapText="1"/>
    </xf>
    <xf numFmtId="39" fontId="14" fillId="0" borderId="197" xfId="0" applyNumberFormat="1" applyFont="1" applyBorder="1" applyAlignment="1">
      <alignment horizontal="center" vertical="center" wrapText="1"/>
    </xf>
    <xf numFmtId="40" fontId="7" fillId="34" borderId="2" xfId="17" applyNumberFormat="1" applyFill="1" applyBorder="1" applyAlignment="1">
      <alignment horizontal="center" vertical="center" wrapText="1"/>
    </xf>
    <xf numFmtId="0" fontId="156" fillId="0" borderId="2" xfId="17" applyFont="1" applyBorder="1" applyAlignment="1">
      <alignment horizontal="center" vertical="top" wrapText="1"/>
    </xf>
    <xf numFmtId="0" fontId="7" fillId="0" borderId="2" xfId="0" applyNumberFormat="1" applyFont="1" applyBorder="1" applyAlignment="1">
      <alignment horizontal="center" vertical="top"/>
    </xf>
    <xf numFmtId="0" fontId="7" fillId="0" borderId="2" xfId="17" quotePrefix="1" applyBorder="1" applyAlignment="1">
      <alignment horizontal="center" vertical="top" wrapText="1"/>
    </xf>
    <xf numFmtId="40" fontId="7" fillId="34" borderId="0" xfId="17" applyNumberFormat="1" applyFill="1" applyAlignment="1">
      <alignment horizontal="center" vertical="center" wrapText="1"/>
    </xf>
    <xf numFmtId="0" fontId="130" fillId="0" borderId="0" xfId="17" applyFont="1" applyAlignment="1">
      <alignment horizontal="center" vertical="center" wrapText="1"/>
    </xf>
    <xf numFmtId="0" fontId="7" fillId="0" borderId="3" xfId="41062" applyNumberFormat="1" applyBorder="1" applyAlignment="1">
      <alignment horizontal="center" vertical="center" wrapText="1"/>
    </xf>
    <xf numFmtId="0" fontId="83" fillId="34" borderId="2" xfId="41057" applyFill="1" applyBorder="1" applyAlignment="1" applyProtection="1">
      <alignment horizontal="center" vertical="center" wrapText="1"/>
    </xf>
    <xf numFmtId="9" fontId="13" fillId="46" borderId="233" xfId="0" applyNumberFormat="1" applyFont="1" applyFill="1" applyBorder="1" applyAlignment="1">
      <alignment horizontal="center" vertical="center" wrapText="1"/>
    </xf>
    <xf numFmtId="39" fontId="14" fillId="0" borderId="257" xfId="0" applyNumberFormat="1" applyFont="1" applyBorder="1" applyAlignment="1">
      <alignment horizontal="center" vertical="center" wrapText="1"/>
    </xf>
    <xf numFmtId="183" fontId="7" fillId="0" borderId="21" xfId="0" applyNumberFormat="1" applyFont="1" applyBorder="1" applyAlignment="1">
      <alignment horizontal="center" vertical="center" wrapText="1"/>
    </xf>
    <xf numFmtId="226" fontId="7" fillId="9" borderId="24" xfId="0" applyNumberFormat="1" applyFont="1" applyFill="1" applyBorder="1" applyAlignment="1">
      <alignment horizontal="center" vertical="center" wrapText="1"/>
    </xf>
    <xf numFmtId="0" fontId="7" fillId="0" borderId="3" xfId="18" applyBorder="1" applyAlignment="1">
      <alignment horizontal="center" vertical="center" wrapText="1"/>
    </xf>
    <xf numFmtId="183" fontId="7" fillId="39" borderId="2" xfId="0" applyNumberFormat="1" applyFont="1" applyFill="1" applyBorder="1" applyAlignment="1">
      <alignment horizontal="center" vertical="center" wrapText="1"/>
    </xf>
    <xf numFmtId="39" fontId="84" fillId="0" borderId="192" xfId="0" applyNumberFormat="1" applyFont="1" applyBorder="1" applyAlignment="1">
      <alignment horizontal="center" vertical="center" wrapText="1"/>
    </xf>
    <xf numFmtId="39" fontId="8" fillId="0" borderId="228" xfId="0" applyNumberFormat="1" applyFont="1" applyBorder="1" applyAlignment="1">
      <alignment horizontal="center" vertical="center" wrapText="1"/>
    </xf>
    <xf numFmtId="183" fontId="7" fillId="0" borderId="233" xfId="0" applyNumberFormat="1" applyFont="1" applyBorder="1" applyAlignment="1">
      <alignment horizontal="center" vertical="center" wrapText="1"/>
    </xf>
    <xf numFmtId="183" fontId="13" fillId="0" borderId="229" xfId="0" applyNumberFormat="1" applyFont="1" applyBorder="1" applyAlignment="1">
      <alignment horizontal="center" vertical="center" wrapText="1"/>
    </xf>
    <xf numFmtId="39" fontId="84" fillId="0" borderId="124" xfId="0" applyNumberFormat="1" applyFont="1" applyBorder="1" applyAlignment="1">
      <alignment horizontal="center" vertical="center" wrapText="1"/>
    </xf>
    <xf numFmtId="183" fontId="7" fillId="9" borderId="39" xfId="0" applyNumberFormat="1" applyFont="1" applyFill="1" applyBorder="1" applyAlignment="1">
      <alignment horizontal="center" vertical="center" wrapText="1"/>
    </xf>
    <xf numFmtId="39" fontId="84" fillId="0" borderId="125" xfId="0" applyNumberFormat="1" applyFont="1" applyBorder="1" applyAlignment="1">
      <alignment horizontal="center" vertical="center" wrapText="1"/>
    </xf>
    <xf numFmtId="183" fontId="7" fillId="9" borderId="114" xfId="0" applyNumberFormat="1" applyFont="1" applyFill="1" applyBorder="1" applyAlignment="1">
      <alignment horizontal="center" vertical="center" wrapText="1"/>
    </xf>
    <xf numFmtId="39" fontId="84" fillId="0" borderId="227" xfId="0" applyNumberFormat="1" applyFont="1" applyBorder="1" applyAlignment="1">
      <alignment horizontal="center" vertical="center" wrapText="1"/>
    </xf>
    <xf numFmtId="183" fontId="7" fillId="39" borderId="19" xfId="0" applyNumberFormat="1" applyFont="1" applyFill="1" applyBorder="1" applyAlignment="1">
      <alignment horizontal="center" vertical="center" wrapText="1"/>
    </xf>
    <xf numFmtId="183" fontId="7" fillId="39" borderId="13" xfId="0" applyNumberFormat="1" applyFont="1" applyFill="1" applyBorder="1" applyAlignment="1">
      <alignment horizontal="center" vertical="center" wrapText="1"/>
    </xf>
    <xf numFmtId="183" fontId="7" fillId="39" borderId="16" xfId="0" applyNumberFormat="1" applyFont="1" applyFill="1" applyBorder="1" applyAlignment="1">
      <alignment horizontal="center" vertical="center" wrapText="1"/>
    </xf>
    <xf numFmtId="183" fontId="7" fillId="9" borderId="22" xfId="0" applyNumberFormat="1" applyFont="1" applyFill="1" applyBorder="1" applyAlignment="1">
      <alignment horizontal="center" vertical="center" wrapText="1"/>
    </xf>
    <xf numFmtId="183" fontId="7" fillId="39" borderId="233" xfId="0" applyNumberFormat="1" applyFont="1" applyFill="1" applyBorder="1" applyAlignment="1">
      <alignment horizontal="center" vertical="center" wrapText="1"/>
    </xf>
    <xf numFmtId="183" fontId="13" fillId="0" borderId="16" xfId="0" applyNumberFormat="1" applyFont="1" applyBorder="1" applyAlignment="1">
      <alignment horizontal="center" vertical="center" wrapText="1"/>
    </xf>
    <xf numFmtId="183" fontId="13" fillId="0" borderId="2" xfId="0" applyNumberFormat="1" applyFont="1" applyBorder="1" applyAlignment="1">
      <alignment horizontal="center" vertical="center" wrapText="1"/>
    </xf>
    <xf numFmtId="183" fontId="13" fillId="0" borderId="19" xfId="0" applyNumberFormat="1" applyFont="1" applyBorder="1" applyAlignment="1">
      <alignment horizontal="center" vertical="center" wrapText="1"/>
    </xf>
    <xf numFmtId="167" fontId="14" fillId="12" borderId="8" xfId="0" applyFont="1" applyFill="1" applyBorder="1" applyAlignment="1">
      <alignment horizontal="center" vertical="center" wrapText="1"/>
    </xf>
    <xf numFmtId="167" fontId="140" fillId="36" borderId="233" xfId="0" applyFont="1" applyFill="1" applyBorder="1" applyAlignment="1">
      <alignment horizontal="right" vertical="center"/>
    </xf>
    <xf numFmtId="235" fontId="140" fillId="36" borderId="233" xfId="0" applyNumberFormat="1" applyFont="1" applyFill="1" applyBorder="1" applyAlignment="1">
      <alignment horizontal="center" vertical="center"/>
    </xf>
    <xf numFmtId="204" fontId="140" fillId="0" borderId="233" xfId="0" applyNumberFormat="1" applyFont="1" applyBorder="1" applyAlignment="1">
      <alignment horizontal="center" vertical="center"/>
    </xf>
    <xf numFmtId="236" fontId="140" fillId="0" borderId="233" xfId="0" applyNumberFormat="1" applyFont="1" applyBorder="1" applyAlignment="1">
      <alignment horizontal="center" vertical="center"/>
    </xf>
    <xf numFmtId="37" fontId="14" fillId="0" borderId="248" xfId="0" applyNumberFormat="1" applyFont="1" applyBorder="1" applyAlignment="1">
      <alignment horizontal="center" vertical="center" wrapText="1"/>
    </xf>
    <xf numFmtId="40" fontId="14" fillId="39" borderId="216" xfId="0" applyNumberFormat="1" applyFont="1" applyFill="1" applyBorder="1" applyAlignment="1">
      <alignment horizontal="center" vertical="center" wrapText="1"/>
    </xf>
    <xf numFmtId="37" fontId="117" fillId="0" borderId="0" xfId="23422" applyNumberFormat="1" applyFont="1" applyBorder="1" applyAlignment="1">
      <alignment horizontal="center" vertical="center"/>
    </xf>
    <xf numFmtId="40" fontId="16" fillId="0" borderId="105" xfId="0" applyNumberFormat="1" applyFont="1" applyBorder="1" applyAlignment="1">
      <alignment horizontal="centerContinuous" vertical="center"/>
    </xf>
    <xf numFmtId="40" fontId="16" fillId="0" borderId="19" xfId="0" applyNumberFormat="1" applyFont="1" applyBorder="1" applyAlignment="1">
      <alignment horizontal="centerContinuous" vertical="center"/>
    </xf>
    <xf numFmtId="40" fontId="16" fillId="0" borderId="144" xfId="0" applyNumberFormat="1" applyFont="1" applyBorder="1" applyAlignment="1">
      <alignment horizontal="center" vertical="center"/>
    </xf>
    <xf numFmtId="40" fontId="16" fillId="0" borderId="233" xfId="0" applyNumberFormat="1" applyFont="1" applyBorder="1" applyAlignment="1">
      <alignment horizontal="center" vertical="center"/>
    </xf>
    <xf numFmtId="40" fontId="16" fillId="0" borderId="219" xfId="0" applyNumberFormat="1" applyFont="1" applyBorder="1" applyAlignment="1">
      <alignment horizontal="center" vertical="center"/>
    </xf>
    <xf numFmtId="186" fontId="7" fillId="0" borderId="0" xfId="0" applyNumberFormat="1" applyFont="1" applyAlignment="1">
      <alignment vertical="center"/>
    </xf>
    <xf numFmtId="186" fontId="117" fillId="0" borderId="0" xfId="23422" applyNumberFormat="1" applyFont="1" applyAlignment="1">
      <alignment horizontal="center" vertical="center"/>
    </xf>
    <xf numFmtId="186" fontId="8" fillId="0" borderId="0" xfId="0" applyNumberFormat="1" applyFont="1" applyAlignment="1">
      <alignment horizontal="center" vertical="center"/>
    </xf>
    <xf numFmtId="186" fontId="7" fillId="0" borderId="0" xfId="0" applyNumberFormat="1" applyFont="1"/>
    <xf numFmtId="37" fontId="13" fillId="9" borderId="24" xfId="0" applyNumberFormat="1" applyFont="1" applyFill="1" applyBorder="1" applyAlignment="1">
      <alignment horizontal="center" vertical="center" wrapText="1"/>
    </xf>
    <xf numFmtId="237" fontId="156" fillId="0" borderId="233" xfId="17" applyNumberFormat="1" applyFont="1" applyBorder="1" applyAlignment="1">
      <alignment horizontal="center" vertical="center" wrapText="1"/>
    </xf>
    <xf numFmtId="167" fontId="7" fillId="0" borderId="0" xfId="41067" applyNumberFormat="1" applyFont="1" applyAlignment="1">
      <alignment horizontal="center" vertical="center" wrapText="1"/>
    </xf>
    <xf numFmtId="185" fontId="7" fillId="0" borderId="0" xfId="41067" applyNumberFormat="1" applyFont="1" applyAlignment="1">
      <alignment horizontal="center" vertical="center" wrapText="1"/>
    </xf>
    <xf numFmtId="167" fontId="7" fillId="0" borderId="0" xfId="41067" applyNumberFormat="1" applyFont="1" applyAlignment="1">
      <alignment horizontal="center" vertical="center"/>
    </xf>
    <xf numFmtId="0" fontId="7" fillId="0" borderId="0" xfId="41067" applyFont="1" applyAlignment="1">
      <alignment horizontal="center" vertical="center" wrapText="1"/>
    </xf>
    <xf numFmtId="167" fontId="7" fillId="0" borderId="195" xfId="41067" applyNumberFormat="1" applyFont="1" applyBorder="1" applyAlignment="1">
      <alignment horizontal="center" vertical="center" wrapText="1"/>
    </xf>
    <xf numFmtId="185" fontId="103" fillId="9" borderId="267" xfId="0" applyNumberFormat="1" applyFont="1" applyFill="1" applyBorder="1" applyAlignment="1">
      <alignment horizontal="center" vertical="center" wrapText="1"/>
    </xf>
    <xf numFmtId="167" fontId="7" fillId="0" borderId="277" xfId="0" applyFont="1" applyBorder="1" applyAlignment="1">
      <alignment horizontal="center" vertical="center" wrapText="1"/>
    </xf>
    <xf numFmtId="167" fontId="137" fillId="0" borderId="262" xfId="0" applyFont="1" applyBorder="1" applyAlignment="1">
      <alignment horizontal="center" vertical="center" wrapText="1"/>
    </xf>
    <xf numFmtId="185" fontId="13" fillId="0" borderId="130" xfId="41067" applyNumberFormat="1" applyFont="1" applyBorder="1" applyAlignment="1">
      <alignment horizontal="center" vertical="center" wrapText="1"/>
    </xf>
    <xf numFmtId="186" fontId="7" fillId="0" borderId="89" xfId="41067" applyNumberFormat="1" applyFont="1" applyBorder="1" applyAlignment="1">
      <alignment horizontal="center" vertical="center" wrapText="1"/>
    </xf>
    <xf numFmtId="167" fontId="8" fillId="0" borderId="0" xfId="41067" applyNumberFormat="1" applyFont="1" applyAlignment="1">
      <alignment horizontal="center" vertical="center" wrapText="1"/>
    </xf>
    <xf numFmtId="167" fontId="137" fillId="0" borderId="0" xfId="41067" applyNumberFormat="1" applyFont="1" applyAlignment="1">
      <alignment horizontal="center" vertical="center"/>
    </xf>
    <xf numFmtId="0" fontId="14" fillId="0" borderId="90" xfId="41067" applyFont="1" applyBorder="1" applyAlignment="1">
      <alignment horizontal="center" vertical="center" wrapText="1"/>
    </xf>
    <xf numFmtId="186" fontId="7" fillId="0" borderId="36" xfId="41067" applyNumberFormat="1" applyFont="1" applyBorder="1" applyAlignment="1">
      <alignment horizontal="center" vertical="center" wrapText="1"/>
    </xf>
    <xf numFmtId="0" fontId="14" fillId="0" borderId="20" xfId="41067" applyFont="1" applyBorder="1" applyAlignment="1">
      <alignment horizontal="center" vertical="center" wrapText="1"/>
    </xf>
    <xf numFmtId="185" fontId="13" fillId="0" borderId="229" xfId="41067" applyNumberFormat="1" applyFont="1" applyBorder="1" applyAlignment="1">
      <alignment horizontal="center" vertical="center" wrapText="1"/>
    </xf>
    <xf numFmtId="186" fontId="7" fillId="0" borderId="233" xfId="41067" applyNumberFormat="1" applyFont="1" applyBorder="1" applyAlignment="1">
      <alignment horizontal="center" vertical="center" wrapText="1"/>
    </xf>
    <xf numFmtId="185" fontId="13" fillId="0" borderId="39" xfId="41067" applyNumberFormat="1" applyFont="1" applyBorder="1" applyAlignment="1">
      <alignment horizontal="center" vertical="center" wrapText="1"/>
    </xf>
    <xf numFmtId="185" fontId="13" fillId="0" borderId="179" xfId="41067" applyNumberFormat="1" applyFont="1" applyBorder="1" applyAlignment="1">
      <alignment horizontal="center" vertical="center" wrapText="1"/>
    </xf>
    <xf numFmtId="185" fontId="30" fillId="0" borderId="89" xfId="41067" applyNumberFormat="1" applyFont="1" applyBorder="1" applyAlignment="1">
      <alignment horizontal="center" vertical="center" wrapText="1"/>
    </xf>
    <xf numFmtId="185" fontId="8" fillId="0" borderId="0" xfId="41067" applyNumberFormat="1" applyFont="1" applyAlignment="1">
      <alignment horizontal="center" vertical="center" wrapText="1"/>
    </xf>
    <xf numFmtId="167" fontId="147" fillId="0" borderId="0" xfId="41067" applyNumberFormat="1" applyFont="1" applyAlignment="1">
      <alignment horizontal="center" vertical="center"/>
    </xf>
    <xf numFmtId="167" fontId="14" fillId="0" borderId="183" xfId="41067" applyNumberFormat="1" applyFont="1" applyBorder="1" applyAlignment="1">
      <alignment horizontal="center" vertical="center" wrapText="1"/>
    </xf>
    <xf numFmtId="167" fontId="84" fillId="0" borderId="0" xfId="41067" applyNumberFormat="1" applyFont="1" applyAlignment="1">
      <alignment horizontal="center" vertical="center"/>
    </xf>
    <xf numFmtId="0" fontId="28" fillId="0" borderId="248" xfId="41067" applyFont="1" applyBorder="1" applyAlignment="1">
      <alignment horizontal="center" wrapText="1"/>
    </xf>
    <xf numFmtId="2" fontId="8" fillId="0" borderId="242" xfId="41067" applyNumberFormat="1" applyFont="1" applyBorder="1" applyAlignment="1">
      <alignment horizontal="center" vertical="center" wrapText="1"/>
    </xf>
    <xf numFmtId="167" fontId="145" fillId="0" borderId="0" xfId="41067" applyNumberFormat="1" applyFont="1" applyAlignment="1">
      <alignment horizontal="center" vertical="center"/>
    </xf>
    <xf numFmtId="0" fontId="14" fillId="0" borderId="248" xfId="41067" applyFont="1" applyBorder="1" applyAlignment="1">
      <alignment vertical="center" wrapText="1"/>
    </xf>
    <xf numFmtId="167" fontId="14" fillId="0" borderId="0" xfId="41067" applyNumberFormat="1" applyFont="1" applyAlignment="1">
      <alignment horizontal="center" vertical="center" wrapText="1"/>
    </xf>
    <xf numFmtId="2" fontId="8" fillId="0" borderId="244" xfId="41067" applyNumberFormat="1" applyFont="1" applyBorder="1" applyAlignment="1">
      <alignment horizontal="center" vertical="center" wrapText="1"/>
    </xf>
    <xf numFmtId="0" fontId="14" fillId="0" borderId="149" xfId="41067" applyFont="1" applyBorder="1" applyAlignment="1">
      <alignment vertical="center" wrapText="1"/>
    </xf>
    <xf numFmtId="0" fontId="139" fillId="0" borderId="149" xfId="41067" applyFont="1" applyBorder="1" applyAlignment="1">
      <alignment horizontal="center" vertical="center" wrapText="1"/>
    </xf>
    <xf numFmtId="185" fontId="7" fillId="0" borderId="89" xfId="41067" applyNumberFormat="1" applyFont="1" applyBorder="1" applyAlignment="1">
      <alignment horizontal="center" vertical="center" wrapText="1"/>
    </xf>
    <xf numFmtId="167" fontId="8" fillId="0" borderId="3" xfId="41067" applyNumberFormat="1" applyFont="1" applyBorder="1" applyAlignment="1">
      <alignment horizontal="center" vertical="center" wrapText="1"/>
    </xf>
    <xf numFmtId="185" fontId="14" fillId="0" borderId="3" xfId="41067" applyNumberFormat="1" applyFont="1" applyBorder="1" applyAlignment="1">
      <alignment horizontal="center" vertical="center" wrapText="1"/>
    </xf>
    <xf numFmtId="185" fontId="14" fillId="0" borderId="0" xfId="41067" applyNumberFormat="1" applyFont="1" applyAlignment="1">
      <alignment horizontal="center" vertical="center" wrapText="1"/>
    </xf>
    <xf numFmtId="167" fontId="146" fillId="0" borderId="0" xfId="41067" applyNumberFormat="1" applyFont="1" applyAlignment="1">
      <alignment horizontal="center" vertical="center"/>
    </xf>
    <xf numFmtId="2" fontId="8" fillId="0" borderId="198" xfId="41067" applyNumberFormat="1" applyFont="1" applyBorder="1" applyAlignment="1">
      <alignment horizontal="center" vertical="center" wrapText="1"/>
    </xf>
    <xf numFmtId="167" fontId="26" fillId="47" borderId="233" xfId="41067" applyNumberFormat="1" applyFont="1" applyFill="1" applyBorder="1" applyAlignment="1">
      <alignment horizontal="center" vertical="center" wrapText="1"/>
    </xf>
    <xf numFmtId="185" fontId="26" fillId="47" borderId="233" xfId="41067" applyNumberFormat="1" applyFont="1" applyFill="1" applyBorder="1" applyAlignment="1">
      <alignment horizontal="center" vertical="center" wrapText="1"/>
    </xf>
    <xf numFmtId="167" fontId="27" fillId="47" borderId="150" xfId="41067" applyNumberFormat="1" applyFont="1" applyFill="1" applyBorder="1" applyAlignment="1">
      <alignment horizontal="center" vertical="center"/>
    </xf>
    <xf numFmtId="167" fontId="28" fillId="47" borderId="150" xfId="41067" applyNumberFormat="1" applyFont="1" applyFill="1" applyBorder="1" applyAlignment="1">
      <alignment vertical="center"/>
    </xf>
    <xf numFmtId="186" fontId="30" fillId="0" borderId="105" xfId="41067" applyNumberFormat="1" applyFont="1" applyBorder="1" applyAlignment="1">
      <alignment horizontal="center" vertical="center" wrapText="1"/>
    </xf>
    <xf numFmtId="167" fontId="8" fillId="0" borderId="186" xfId="41067" applyNumberFormat="1" applyFont="1" applyBorder="1" applyAlignment="1">
      <alignment horizontal="center" vertical="center" wrapText="1"/>
    </xf>
    <xf numFmtId="167" fontId="137" fillId="0" borderId="186" xfId="41067" applyNumberFormat="1" applyFont="1" applyBorder="1" applyAlignment="1">
      <alignment horizontal="center" vertical="center"/>
    </xf>
    <xf numFmtId="185" fontId="13" fillId="0" borderId="157" xfId="41067" applyNumberFormat="1" applyFont="1" applyBorder="1" applyAlignment="1">
      <alignment horizontal="center" vertical="center" wrapText="1"/>
    </xf>
    <xf numFmtId="186" fontId="30" fillId="0" borderId="36" xfId="41067" applyNumberFormat="1" applyFont="1" applyBorder="1" applyAlignment="1">
      <alignment horizontal="center" vertical="center" wrapText="1"/>
    </xf>
    <xf numFmtId="167" fontId="8" fillId="0" borderId="35" xfId="41067" applyNumberFormat="1" applyFont="1" applyBorder="1" applyAlignment="1">
      <alignment horizontal="center" vertical="center" wrapText="1"/>
    </xf>
    <xf numFmtId="167" fontId="137" fillId="0" borderId="79" xfId="41067" applyNumberFormat="1" applyFont="1" applyBorder="1" applyAlignment="1">
      <alignment horizontal="center" vertical="center"/>
    </xf>
    <xf numFmtId="185" fontId="13" fillId="0" borderId="114" xfId="41067" applyNumberFormat="1" applyFont="1" applyBorder="1" applyAlignment="1">
      <alignment horizontal="center" vertical="center" wrapText="1"/>
    </xf>
    <xf numFmtId="186" fontId="30" fillId="0" borderId="233" xfId="41067" applyNumberFormat="1" applyFont="1" applyBorder="1" applyAlignment="1">
      <alignment horizontal="center" vertical="center" wrapText="1"/>
    </xf>
    <xf numFmtId="185" fontId="8" fillId="0" borderId="3" xfId="41067" applyNumberFormat="1" applyFont="1" applyBorder="1" applyAlignment="1">
      <alignment horizontal="center" vertical="center" wrapText="1"/>
    </xf>
    <xf numFmtId="185" fontId="7" fillId="9" borderId="39" xfId="41067" applyNumberFormat="1" applyFont="1" applyFill="1" applyBorder="1" applyAlignment="1">
      <alignment horizontal="center" vertical="center" wrapText="1"/>
    </xf>
    <xf numFmtId="0" fontId="14" fillId="0" borderId="128" xfId="41067" applyFont="1" applyBorder="1" applyAlignment="1">
      <alignment horizontal="left" vertical="top" wrapText="1"/>
    </xf>
    <xf numFmtId="186" fontId="7" fillId="0" borderId="2" xfId="41067" applyNumberFormat="1" applyFont="1" applyBorder="1" applyAlignment="1">
      <alignment horizontal="center" vertical="center" wrapText="1"/>
    </xf>
    <xf numFmtId="185" fontId="7" fillId="9" borderId="114" xfId="41067" applyNumberFormat="1" applyFont="1" applyFill="1" applyBorder="1" applyAlignment="1">
      <alignment horizontal="center" vertical="center" wrapText="1"/>
    </xf>
    <xf numFmtId="185" fontId="7" fillId="9" borderId="157" xfId="41067" applyNumberFormat="1" applyFont="1" applyFill="1" applyBorder="1" applyAlignment="1">
      <alignment horizontal="center" vertical="center" wrapText="1"/>
    </xf>
    <xf numFmtId="167" fontId="7" fillId="0" borderId="3" xfId="41067" applyNumberFormat="1" applyFont="1" applyBorder="1" applyAlignment="1">
      <alignment horizontal="center" vertical="center" wrapText="1"/>
    </xf>
    <xf numFmtId="167" fontId="14" fillId="0" borderId="81" xfId="41067" applyNumberFormat="1" applyFont="1" applyBorder="1" applyAlignment="1">
      <alignment horizontal="center" vertical="center" wrapText="1"/>
    </xf>
    <xf numFmtId="167" fontId="8" fillId="0" borderId="177" xfId="41067" applyNumberFormat="1" applyFont="1" applyBorder="1" applyAlignment="1">
      <alignment horizontal="center" vertical="center" wrapText="1"/>
    </xf>
    <xf numFmtId="167" fontId="8" fillId="0" borderId="272" xfId="41067" applyNumberFormat="1" applyFont="1" applyBorder="1" applyAlignment="1">
      <alignment horizontal="center" vertical="center" wrapText="1"/>
    </xf>
    <xf numFmtId="185" fontId="13" fillId="10" borderId="27" xfId="41067" applyNumberFormat="1" applyFont="1" applyFill="1" applyBorder="1" applyAlignment="1">
      <alignment horizontal="center" vertical="center" wrapText="1"/>
    </xf>
    <xf numFmtId="167" fontId="23" fillId="10" borderId="26" xfId="41067" applyNumberFormat="1" applyFont="1" applyFill="1" applyBorder="1" applyAlignment="1">
      <alignment horizontal="center" vertical="center" wrapText="1"/>
    </xf>
    <xf numFmtId="185" fontId="60" fillId="0" borderId="0" xfId="41067" applyNumberFormat="1" applyFont="1" applyAlignment="1">
      <alignment horizontal="center" vertical="center" wrapText="1"/>
    </xf>
    <xf numFmtId="4" fontId="7" fillId="0" borderId="2" xfId="17" applyNumberFormat="1" applyBorder="1" applyAlignment="1">
      <alignment horizontal="center" vertical="top" wrapText="1"/>
    </xf>
    <xf numFmtId="10" fontId="7" fillId="0" borderId="2" xfId="19" applyNumberFormat="1" applyFont="1" applyBorder="1" applyAlignment="1">
      <alignment horizontal="center" vertical="top" wrapText="1"/>
    </xf>
    <xf numFmtId="167" fontId="14" fillId="0" borderId="20" xfId="41067" applyNumberFormat="1" applyFont="1" applyBorder="1" applyAlignment="1">
      <alignment horizontal="center" vertical="center" wrapText="1"/>
    </xf>
    <xf numFmtId="167" fontId="14" fillId="0" borderId="248" xfId="41067" applyNumberFormat="1" applyFont="1" applyBorder="1" applyAlignment="1">
      <alignment horizontal="center" vertical="center" wrapText="1"/>
    </xf>
    <xf numFmtId="167" fontId="14" fillId="0" borderId="128" xfId="41067" applyNumberFormat="1" applyFont="1" applyBorder="1" applyAlignment="1">
      <alignment horizontal="center" vertical="center" wrapText="1"/>
    </xf>
    <xf numFmtId="167" fontId="14" fillId="0" borderId="90" xfId="41067" applyNumberFormat="1" applyFont="1" applyBorder="1" applyAlignment="1">
      <alignment horizontal="center" vertical="center" wrapText="1"/>
    </xf>
    <xf numFmtId="207" fontId="8" fillId="0" borderId="241" xfId="41067" applyNumberFormat="1" applyFont="1" applyBorder="1" applyAlignment="1">
      <alignment horizontal="center" vertical="center" wrapText="1"/>
    </xf>
    <xf numFmtId="207" fontId="8" fillId="0" borderId="198" xfId="41067" applyNumberFormat="1" applyFont="1" applyBorder="1" applyAlignment="1">
      <alignment horizontal="center" vertical="center" wrapText="1"/>
    </xf>
    <xf numFmtId="167" fontId="7" fillId="49" borderId="3" xfId="41067" applyNumberFormat="1" applyFont="1" applyFill="1" applyBorder="1" applyAlignment="1">
      <alignment horizontal="center" vertical="center" wrapText="1"/>
    </xf>
    <xf numFmtId="49" fontId="8" fillId="0" borderId="248" xfId="41067" applyNumberFormat="1" applyFont="1" applyBorder="1" applyAlignment="1">
      <alignment horizontal="left" vertical="center" wrapText="1" indent="2"/>
    </xf>
    <xf numFmtId="197" fontId="14" fillId="0" borderId="228" xfId="41067" applyNumberFormat="1" applyFont="1" applyBorder="1" applyAlignment="1">
      <alignment horizontal="center" vertical="center" wrapText="1"/>
    </xf>
    <xf numFmtId="2" fontId="8" fillId="0" borderId="167" xfId="41067" applyNumberFormat="1" applyFont="1" applyBorder="1" applyAlignment="1">
      <alignment horizontal="center" vertical="center" wrapText="1"/>
    </xf>
    <xf numFmtId="167" fontId="14" fillId="0" borderId="18" xfId="41067" applyNumberFormat="1" applyFont="1" applyBorder="1" applyAlignment="1">
      <alignment horizontal="center" vertical="center" wrapText="1"/>
    </xf>
    <xf numFmtId="2" fontId="8" fillId="0" borderId="232" xfId="41067" applyNumberFormat="1" applyFont="1" applyBorder="1" applyAlignment="1">
      <alignment horizontal="center" vertical="center" wrapText="1"/>
    </xf>
    <xf numFmtId="167" fontId="14" fillId="0" borderId="167" xfId="41067" applyNumberFormat="1" applyFont="1" applyBorder="1" applyAlignment="1">
      <alignment horizontal="center" vertical="center" wrapText="1"/>
    </xf>
    <xf numFmtId="167" fontId="14" fillId="0" borderId="18" xfId="41068" applyNumberFormat="1" applyFont="1" applyBorder="1" applyAlignment="1">
      <alignment horizontal="center" vertical="center" wrapText="1"/>
    </xf>
    <xf numFmtId="167" fontId="8" fillId="0" borderId="167" xfId="41067" applyNumberFormat="1" applyFont="1" applyBorder="1" applyAlignment="1">
      <alignment horizontal="center" vertical="center" wrapText="1"/>
    </xf>
    <xf numFmtId="167" fontId="27" fillId="47" borderId="0" xfId="41067" applyNumberFormat="1" applyFont="1" applyFill="1" applyAlignment="1">
      <alignment horizontal="left" vertical="center"/>
    </xf>
    <xf numFmtId="165" fontId="124" fillId="0" borderId="0" xfId="21" applyFont="1" applyAlignment="1">
      <alignment horizontal="center" vertical="center"/>
    </xf>
    <xf numFmtId="9" fontId="13" fillId="46" borderId="111" xfId="0" applyNumberFormat="1" applyFont="1" applyFill="1" applyBorder="1" applyAlignment="1">
      <alignment horizontal="center" vertical="center" wrapText="1"/>
    </xf>
    <xf numFmtId="10" fontId="132" fillId="45" borderId="228" xfId="19" applyNumberFormat="1" applyFont="1" applyFill="1" applyBorder="1" applyAlignment="1">
      <alignment vertical="center"/>
    </xf>
    <xf numFmtId="0" fontId="135" fillId="46" borderId="228" xfId="0" applyNumberFormat="1" applyFont="1" applyFill="1" applyBorder="1" applyAlignment="1">
      <alignment horizontal="center" vertical="center" wrapText="1"/>
    </xf>
    <xf numFmtId="0" fontId="7" fillId="8" borderId="228" xfId="0" applyNumberFormat="1" applyFont="1" applyFill="1" applyBorder="1" applyAlignment="1">
      <alignment horizontal="center" vertical="center"/>
    </xf>
    <xf numFmtId="231" fontId="156" fillId="0" borderId="228" xfId="17" applyNumberFormat="1" applyFont="1" applyBorder="1" applyAlignment="1">
      <alignment horizontal="center" vertical="center" wrapText="1"/>
    </xf>
    <xf numFmtId="233" fontId="156" fillId="0" borderId="228" xfId="17" applyNumberFormat="1" applyFont="1" applyBorder="1" applyAlignment="1">
      <alignment horizontal="center" vertical="center" wrapText="1"/>
    </xf>
    <xf numFmtId="0" fontId="141" fillId="11" borderId="224" xfId="17" applyFont="1" applyFill="1" applyBorder="1" applyAlignment="1">
      <alignment horizontal="center" vertical="center" wrapText="1"/>
    </xf>
    <xf numFmtId="200" fontId="156" fillId="0" borderId="228" xfId="17" applyNumberFormat="1" applyFont="1" applyBorder="1" applyAlignment="1">
      <alignment horizontal="center" vertical="center" wrapText="1"/>
    </xf>
    <xf numFmtId="237" fontId="156" fillId="0" borderId="228" xfId="17" applyNumberFormat="1" applyFont="1" applyBorder="1" applyAlignment="1">
      <alignment horizontal="center" vertical="center" wrapText="1"/>
    </xf>
    <xf numFmtId="0" fontId="124" fillId="0" borderId="228" xfId="0" applyNumberFormat="1" applyFont="1" applyBorder="1" applyAlignment="1">
      <alignment horizontal="center" vertical="center"/>
    </xf>
    <xf numFmtId="167" fontId="13" fillId="46" borderId="227" xfId="0" applyFont="1" applyFill="1" applyBorder="1" applyAlignment="1">
      <alignment horizontal="center" vertical="center"/>
    </xf>
    <xf numFmtId="10" fontId="84" fillId="43" borderId="0" xfId="19" applyNumberFormat="1" applyFont="1" applyFill="1" applyBorder="1" applyAlignment="1">
      <alignment horizontal="center" vertical="center"/>
    </xf>
    <xf numFmtId="0" fontId="161" fillId="44" borderId="223" xfId="0" applyNumberFormat="1" applyFont="1" applyFill="1" applyBorder="1" applyAlignment="1">
      <alignment horizontal="center" vertical="center" wrapText="1"/>
    </xf>
    <xf numFmtId="0" fontId="156" fillId="0" borderId="0" xfId="17" applyFont="1" applyAlignment="1">
      <alignment horizontal="center" vertical="center" wrapText="1"/>
    </xf>
    <xf numFmtId="0" fontId="151" fillId="9" borderId="0" xfId="17" applyFont="1" applyFill="1" applyAlignment="1">
      <alignment horizontal="center" vertical="center" wrapText="1"/>
    </xf>
    <xf numFmtId="228" fontId="26" fillId="9" borderId="0" xfId="17" applyNumberFormat="1" applyFont="1" applyFill="1" applyAlignment="1">
      <alignment horizontal="center" vertical="center" wrapText="1"/>
    </xf>
    <xf numFmtId="208" fontId="26" fillId="0" borderId="0" xfId="17" applyNumberFormat="1" applyFont="1" applyAlignment="1">
      <alignment horizontal="center" vertical="center" wrapText="1"/>
    </xf>
    <xf numFmtId="0" fontId="7" fillId="0" borderId="0" xfId="17" applyAlignment="1">
      <alignment horizontal="center" vertical="center" wrapText="1"/>
    </xf>
    <xf numFmtId="0" fontId="67" fillId="11" borderId="223" xfId="17" applyFont="1" applyFill="1" applyBorder="1" applyAlignment="1">
      <alignment horizontal="center" vertical="center" wrapText="1"/>
    </xf>
    <xf numFmtId="200" fontId="156" fillId="0" borderId="0" xfId="17" applyNumberFormat="1" applyFont="1" applyAlignment="1">
      <alignment horizontal="center" vertical="center" wrapText="1"/>
    </xf>
    <xf numFmtId="205" fontId="26" fillId="0" borderId="0" xfId="17" applyNumberFormat="1" applyFont="1" applyAlignment="1">
      <alignment horizontal="center" vertical="center" wrapText="1"/>
    </xf>
    <xf numFmtId="224" fontId="156" fillId="0" borderId="0" xfId="41062" applyNumberFormat="1" applyFont="1" applyAlignment="1">
      <alignment horizontal="center" vertical="center" wrapText="1"/>
    </xf>
    <xf numFmtId="229" fontId="26" fillId="9" borderId="0" xfId="17" applyNumberFormat="1" applyFont="1" applyFill="1" applyAlignment="1">
      <alignment horizontal="center" vertical="center" wrapText="1"/>
    </xf>
    <xf numFmtId="0" fontId="169" fillId="34" borderId="0" xfId="17" applyFont="1" applyFill="1" applyAlignment="1">
      <alignment horizontal="center" vertical="center" wrapText="1"/>
    </xf>
    <xf numFmtId="0" fontId="8" fillId="0" borderId="0" xfId="17" applyFont="1" applyAlignment="1">
      <alignment horizontal="center" vertical="center" wrapText="1"/>
    </xf>
    <xf numFmtId="0" fontId="130" fillId="34" borderId="0" xfId="17" applyFont="1" applyFill="1" applyAlignment="1">
      <alignment horizontal="center" vertical="center" wrapText="1"/>
    </xf>
    <xf numFmtId="0" fontId="130" fillId="52" borderId="0" xfId="17" applyFont="1" applyFill="1" applyAlignment="1">
      <alignment horizontal="center" vertical="center" wrapText="1"/>
    </xf>
    <xf numFmtId="167" fontId="101" fillId="39" borderId="0" xfId="0" applyFont="1" applyFill="1" applyAlignment="1">
      <alignment vertical="top"/>
    </xf>
    <xf numFmtId="167" fontId="13" fillId="39" borderId="0" xfId="0" applyFont="1" applyFill="1"/>
    <xf numFmtId="167" fontId="9" fillId="39" borderId="0" xfId="0" applyFont="1" applyFill="1"/>
    <xf numFmtId="167" fontId="13" fillId="39" borderId="0" xfId="0" applyFont="1" applyFill="1" applyAlignment="1">
      <alignment vertical="center"/>
    </xf>
    <xf numFmtId="167" fontId="14" fillId="39" borderId="0" xfId="0" applyFont="1" applyFill="1" applyAlignment="1">
      <alignment horizontal="right" vertical="top"/>
    </xf>
    <xf numFmtId="167" fontId="14" fillId="39" borderId="0" xfId="0" applyFont="1" applyFill="1" applyAlignment="1">
      <alignment horizontal="left" vertical="top"/>
    </xf>
    <xf numFmtId="167" fontId="14" fillId="39" borderId="0" xfId="0" applyFont="1" applyFill="1" applyAlignment="1">
      <alignment vertical="top"/>
    </xf>
    <xf numFmtId="167" fontId="9" fillId="39" borderId="0" xfId="0" applyFont="1" applyFill="1" applyAlignment="1">
      <alignment vertical="top"/>
    </xf>
    <xf numFmtId="195" fontId="26" fillId="0" borderId="256" xfId="0" applyNumberFormat="1" applyFont="1" applyBorder="1" applyAlignment="1">
      <alignment horizontal="center" vertical="center" wrapText="1"/>
    </xf>
    <xf numFmtId="195" fontId="7" fillId="0" borderId="233" xfId="0" applyNumberFormat="1" applyFont="1" applyBorder="1" applyAlignment="1">
      <alignment horizontal="center" vertical="center" wrapText="1"/>
    </xf>
    <xf numFmtId="37" fontId="176" fillId="10" borderId="26" xfId="0" applyNumberFormat="1" applyFont="1" applyFill="1" applyBorder="1" applyAlignment="1">
      <alignment horizontal="center" vertical="center" wrapText="1"/>
    </xf>
    <xf numFmtId="220" fontId="177" fillId="0" borderId="21" xfId="0" applyNumberFormat="1" applyFont="1" applyBorder="1" applyAlignment="1">
      <alignment horizontal="center" vertical="center" wrapText="1"/>
    </xf>
    <xf numFmtId="37" fontId="177" fillId="0" borderId="13" xfId="0" applyNumberFormat="1" applyFont="1" applyBorder="1" applyAlignment="1">
      <alignment horizontal="center" vertical="center" wrapText="1"/>
    </xf>
    <xf numFmtId="39" fontId="177" fillId="0" borderId="2" xfId="0" applyNumberFormat="1" applyFont="1" applyBorder="1" applyAlignment="1">
      <alignment horizontal="center" vertical="center" wrapText="1"/>
    </xf>
    <xf numFmtId="39" fontId="177" fillId="0" borderId="16" xfId="0" applyNumberFormat="1" applyFont="1" applyBorder="1" applyAlignment="1">
      <alignment horizontal="center" vertical="center" wrapText="1"/>
    </xf>
    <xf numFmtId="183" fontId="177" fillId="0" borderId="13" xfId="0" applyNumberFormat="1" applyFont="1" applyBorder="1" applyAlignment="1">
      <alignment horizontal="center" vertical="center" wrapText="1"/>
    </xf>
    <xf numFmtId="183" fontId="177" fillId="0" borderId="2" xfId="0" applyNumberFormat="1" applyFont="1" applyBorder="1" applyAlignment="1">
      <alignment horizontal="center" vertical="center" wrapText="1"/>
    </xf>
    <xf numFmtId="183" fontId="177" fillId="0" borderId="16" xfId="0" applyNumberFormat="1" applyFont="1" applyBorder="1" applyAlignment="1">
      <alignment horizontal="center" vertical="center" wrapText="1"/>
    </xf>
    <xf numFmtId="37" fontId="177" fillId="0" borderId="16" xfId="0" applyNumberFormat="1" applyFont="1" applyBorder="1" applyAlignment="1">
      <alignment horizontal="center" vertical="center" wrapText="1"/>
    </xf>
    <xf numFmtId="37" fontId="177" fillId="0" borderId="173" xfId="0" applyNumberFormat="1" applyFont="1" applyBorder="1" applyAlignment="1">
      <alignment horizontal="center" vertical="center" wrapText="1"/>
    </xf>
    <xf numFmtId="183" fontId="177" fillId="0" borderId="178" xfId="0" applyNumberFormat="1" applyFont="1" applyBorder="1" applyAlignment="1">
      <alignment horizontal="center" vertical="center" wrapText="1"/>
    </xf>
    <xf numFmtId="183" fontId="177" fillId="0" borderId="0" xfId="0" applyNumberFormat="1" applyFont="1" applyAlignment="1">
      <alignment horizontal="center" vertical="center" wrapText="1"/>
    </xf>
    <xf numFmtId="183" fontId="177" fillId="0" borderId="105" xfId="0" applyNumberFormat="1" applyFont="1" applyBorder="1" applyAlignment="1">
      <alignment horizontal="center" vertical="center" wrapText="1"/>
    </xf>
    <xf numFmtId="183" fontId="177" fillId="0" borderId="19" xfId="0" applyNumberFormat="1" applyFont="1" applyBorder="1" applyAlignment="1">
      <alignment horizontal="center" vertical="center" wrapText="1"/>
    </xf>
    <xf numFmtId="9" fontId="177" fillId="0" borderId="13" xfId="19" applyFont="1" applyFill="1" applyBorder="1" applyAlignment="1">
      <alignment horizontal="center" vertical="center" wrapText="1"/>
    </xf>
    <xf numFmtId="9" fontId="177" fillId="0" borderId="2" xfId="19" applyFont="1" applyFill="1" applyBorder="1" applyAlignment="1">
      <alignment horizontal="center" vertical="center" wrapText="1"/>
    </xf>
    <xf numFmtId="183" fontId="177" fillId="0" borderId="3" xfId="0" applyNumberFormat="1" applyFont="1" applyBorder="1" applyAlignment="1">
      <alignment horizontal="center" vertical="center" wrapText="1"/>
    </xf>
    <xf numFmtId="183" fontId="177" fillId="0" borderId="36" xfId="0" applyNumberFormat="1" applyFont="1" applyBorder="1" applyAlignment="1">
      <alignment horizontal="center" vertical="center" wrapText="1"/>
    </xf>
    <xf numFmtId="183" fontId="177" fillId="0" borderId="173" xfId="0" applyNumberFormat="1" applyFont="1" applyBorder="1" applyAlignment="1">
      <alignment horizontal="center" vertical="center" wrapText="1"/>
    </xf>
    <xf numFmtId="39" fontId="177" fillId="0" borderId="28" xfId="0" applyNumberFormat="1" applyFont="1" applyBorder="1" applyAlignment="1">
      <alignment horizontal="center" vertical="center" wrapText="1"/>
    </xf>
    <xf numFmtId="39" fontId="177" fillId="0" borderId="0" xfId="0" applyNumberFormat="1" applyFont="1" applyAlignment="1">
      <alignment horizontal="center" vertical="center" wrapText="1"/>
    </xf>
    <xf numFmtId="0" fontId="7" fillId="0" borderId="3" xfId="41062" quotePrefix="1" applyNumberFormat="1" applyBorder="1" applyAlignment="1">
      <alignment horizontal="center" vertical="center" wrapText="1"/>
    </xf>
    <xf numFmtId="184" fontId="13" fillId="0" borderId="0" xfId="19" applyNumberFormat="1" applyFont="1" applyFill="1" applyAlignment="1">
      <alignment horizontal="right" vertical="center"/>
    </xf>
    <xf numFmtId="0" fontId="8" fillId="0" borderId="4" xfId="17" applyFont="1" applyBorder="1" applyAlignment="1">
      <alignment horizontal="left" vertical="center" wrapText="1"/>
    </xf>
    <xf numFmtId="0" fontId="132" fillId="9" borderId="263" xfId="0" applyNumberFormat="1" applyFont="1" applyFill="1" applyBorder="1" applyAlignment="1">
      <alignment horizontal="center" vertical="center" wrapText="1"/>
    </xf>
    <xf numFmtId="0" fontId="13" fillId="9" borderId="263" xfId="0" applyNumberFormat="1" applyFont="1" applyFill="1" applyBorder="1" applyAlignment="1">
      <alignment horizontal="center" vertical="center"/>
    </xf>
    <xf numFmtId="0" fontId="13" fillId="9" borderId="263" xfId="0" applyNumberFormat="1" applyFont="1" applyFill="1" applyBorder="1" applyAlignment="1">
      <alignment horizontal="center" vertical="center" wrapText="1"/>
    </xf>
    <xf numFmtId="165" fontId="13" fillId="9" borderId="263" xfId="0" applyNumberFormat="1" applyFont="1" applyFill="1" applyBorder="1" applyAlignment="1">
      <alignment horizontal="center" vertical="center" wrapText="1"/>
    </xf>
    <xf numFmtId="167" fontId="9" fillId="0" borderId="0" xfId="0" applyFont="1" applyAlignment="1">
      <alignment horizontal="left" vertical="center" wrapText="1"/>
    </xf>
    <xf numFmtId="0" fontId="8" fillId="0" borderId="0" xfId="17" applyFont="1" applyAlignment="1">
      <alignment horizontal="left" vertical="center" wrapText="1"/>
    </xf>
    <xf numFmtId="165" fontId="124" fillId="0" borderId="0" xfId="21" applyFont="1" applyAlignment="1">
      <alignment vertical="top"/>
    </xf>
    <xf numFmtId="0" fontId="156" fillId="57" borderId="2" xfId="41062" applyNumberFormat="1" applyFont="1" applyFill="1" applyBorder="1" applyAlignment="1">
      <alignment horizontal="center" vertical="center" wrapText="1"/>
    </xf>
    <xf numFmtId="0" fontId="156" fillId="57" borderId="0" xfId="41062" applyNumberFormat="1" applyFont="1" applyFill="1" applyAlignment="1">
      <alignment horizontal="center" vertical="center" wrapText="1"/>
    </xf>
    <xf numFmtId="39" fontId="8" fillId="0" borderId="235" xfId="0" applyNumberFormat="1" applyFont="1" applyBorder="1" applyAlignment="1">
      <alignment horizontal="center" vertical="center" wrapText="1"/>
    </xf>
    <xf numFmtId="39" fontId="8" fillId="53" borderId="118" xfId="0" applyNumberFormat="1" applyFont="1" applyFill="1" applyBorder="1" applyAlignment="1">
      <alignment horizontal="center" vertical="center"/>
    </xf>
    <xf numFmtId="39" fontId="8" fillId="53" borderId="178" xfId="0" applyNumberFormat="1" applyFont="1" applyFill="1" applyBorder="1" applyAlignment="1">
      <alignment horizontal="center" vertical="center"/>
    </xf>
    <xf numFmtId="39" fontId="8" fillId="0" borderId="176" xfId="0" applyNumberFormat="1" applyFont="1" applyBorder="1" applyAlignment="1">
      <alignment horizontal="center" vertical="center" wrapText="1"/>
    </xf>
    <xf numFmtId="9" fontId="8" fillId="0" borderId="178" xfId="19" applyFont="1" applyBorder="1" applyAlignment="1">
      <alignment horizontal="center" vertical="center" wrapText="1"/>
    </xf>
    <xf numFmtId="37" fontId="8" fillId="0" borderId="176" xfId="0" applyNumberFormat="1" applyFont="1" applyBorder="1" applyAlignment="1">
      <alignment horizontal="center" vertical="center" wrapText="1"/>
    </xf>
    <xf numFmtId="37" fontId="8" fillId="0" borderId="178" xfId="0" applyNumberFormat="1" applyFont="1" applyBorder="1" applyAlignment="1">
      <alignment horizontal="center" vertical="center" wrapText="1"/>
    </xf>
    <xf numFmtId="221" fontId="8" fillId="0" borderId="0" xfId="0" applyNumberFormat="1" applyFont="1" applyAlignment="1">
      <alignment horizontal="center" vertical="center" wrapText="1"/>
    </xf>
    <xf numFmtId="9" fontId="8" fillId="0" borderId="0" xfId="19" applyFont="1" applyBorder="1" applyAlignment="1">
      <alignment horizontal="center" vertical="center" wrapText="1"/>
    </xf>
    <xf numFmtId="2" fontId="8" fillId="0" borderId="0" xfId="19" applyNumberFormat="1" applyFont="1" applyBorder="1" applyAlignment="1">
      <alignment horizontal="center" vertical="center" wrapText="1"/>
    </xf>
    <xf numFmtId="221" fontId="8" fillId="0" borderId="178" xfId="0" applyNumberFormat="1" applyFont="1" applyBorder="1" applyAlignment="1">
      <alignment horizontal="center" vertical="center" wrapText="1"/>
    </xf>
    <xf numFmtId="39" fontId="8" fillId="0" borderId="265" xfId="0" applyNumberFormat="1" applyFont="1" applyBorder="1" applyAlignment="1">
      <alignment horizontal="center" vertical="center" wrapText="1"/>
    </xf>
    <xf numFmtId="195" fontId="7" fillId="0" borderId="307" xfId="0" applyNumberFormat="1" applyFont="1" applyBorder="1" applyAlignment="1">
      <alignment horizontal="center" vertical="center" wrapText="1"/>
    </xf>
    <xf numFmtId="195" fontId="7" fillId="10" borderId="175" xfId="0" applyNumberFormat="1" applyFont="1" applyFill="1" applyBorder="1" applyAlignment="1">
      <alignment horizontal="center" vertical="center" wrapText="1"/>
    </xf>
    <xf numFmtId="195" fontId="7" fillId="8" borderId="12" xfId="0" applyNumberFormat="1" applyFont="1" applyFill="1" applyBorder="1" applyAlignment="1">
      <alignment horizontal="center" vertical="center" wrapText="1"/>
    </xf>
    <xf numFmtId="195" fontId="7" fillId="8" borderId="81" xfId="0" applyNumberFormat="1" applyFont="1" applyFill="1" applyBorder="1" applyAlignment="1">
      <alignment horizontal="center" vertical="center" wrapText="1"/>
    </xf>
    <xf numFmtId="195" fontId="7" fillId="8" borderId="14" xfId="0" applyNumberFormat="1" applyFont="1" applyFill="1" applyBorder="1" applyAlignment="1">
      <alignment horizontal="center" vertical="center" wrapText="1"/>
    </xf>
    <xf numFmtId="195" fontId="7" fillId="0" borderId="196" xfId="0" applyNumberFormat="1" applyFont="1" applyBorder="1" applyAlignment="1">
      <alignment horizontal="center" vertical="center" wrapText="1"/>
    </xf>
    <xf numFmtId="195" fontId="7" fillId="0" borderId="120" xfId="0" applyNumberFormat="1" applyFont="1" applyBorder="1" applyAlignment="1">
      <alignment horizontal="center" vertical="center" wrapText="1"/>
    </xf>
    <xf numFmtId="195" fontId="7" fillId="0" borderId="12" xfId="0" applyNumberFormat="1" applyFont="1" applyBorder="1" applyAlignment="1">
      <alignment horizontal="center" vertical="center" wrapText="1"/>
    </xf>
    <xf numFmtId="195" fontId="7" fillId="0" borderId="81" xfId="0" applyNumberFormat="1" applyFont="1" applyBorder="1" applyAlignment="1">
      <alignment horizontal="center" vertical="center" wrapText="1"/>
    </xf>
    <xf numFmtId="9" fontId="7" fillId="8" borderId="81" xfId="19" applyFont="1" applyFill="1" applyBorder="1" applyAlignment="1">
      <alignment horizontal="center" vertical="center" wrapText="1"/>
    </xf>
    <xf numFmtId="3" fontId="7" fillId="8" borderId="14" xfId="0" applyNumberFormat="1" applyFont="1" applyFill="1" applyBorder="1" applyAlignment="1">
      <alignment horizontal="center" vertical="center" wrapText="1"/>
    </xf>
    <xf numFmtId="195" fontId="7" fillId="0" borderId="14" xfId="0" applyNumberFormat="1" applyFont="1" applyBorder="1" applyAlignment="1">
      <alignment horizontal="center" vertical="center" wrapText="1"/>
    </xf>
    <xf numFmtId="195" fontId="7" fillId="0" borderId="259" xfId="0" applyNumberFormat="1" applyFont="1" applyBorder="1" applyAlignment="1">
      <alignment horizontal="center" vertical="center" wrapText="1"/>
    </xf>
    <xf numFmtId="9" fontId="7" fillId="8" borderId="12" xfId="19" applyFont="1" applyFill="1" applyBorder="1" applyAlignment="1">
      <alignment horizontal="center" vertical="center" wrapText="1"/>
    </xf>
    <xf numFmtId="3" fontId="7" fillId="8" borderId="259" xfId="0" applyNumberFormat="1" applyFont="1" applyFill="1" applyBorder="1" applyAlignment="1">
      <alignment horizontal="center" vertical="center" wrapText="1"/>
    </xf>
    <xf numFmtId="3" fontId="7" fillId="8" borderId="12" xfId="0" applyNumberFormat="1" applyFont="1" applyFill="1" applyBorder="1" applyAlignment="1">
      <alignment horizontal="center" vertical="center" wrapText="1"/>
    </xf>
    <xf numFmtId="222" fontId="7" fillId="8" borderId="81" xfId="0" applyNumberFormat="1" applyFont="1" applyFill="1" applyBorder="1" applyAlignment="1">
      <alignment horizontal="center" vertical="center" wrapText="1"/>
    </xf>
    <xf numFmtId="9" fontId="7" fillId="0" borderId="81" xfId="0" applyNumberFormat="1" applyFont="1" applyBorder="1" applyAlignment="1">
      <alignment horizontal="center" vertical="center" wrapText="1"/>
    </xf>
    <xf numFmtId="222" fontId="7" fillId="8" borderId="12" xfId="0" applyNumberFormat="1" applyFont="1" applyFill="1" applyBorder="1" applyAlignment="1">
      <alignment horizontal="center" vertical="center" wrapText="1"/>
    </xf>
    <xf numFmtId="39" fontId="97" fillId="0" borderId="252" xfId="0" applyNumberFormat="1" applyFont="1" applyBorder="1" applyAlignment="1">
      <alignment vertical="center" wrapText="1"/>
    </xf>
    <xf numFmtId="39" fontId="75" fillId="0" borderId="277" xfId="0" applyNumberFormat="1" applyFont="1" applyBorder="1" applyAlignment="1">
      <alignment vertical="center" wrapText="1"/>
    </xf>
    <xf numFmtId="185" fontId="102" fillId="9" borderId="267" xfId="0" applyNumberFormat="1" applyFont="1" applyFill="1" applyBorder="1" applyAlignment="1">
      <alignment horizontal="center" vertical="center" wrapText="1"/>
    </xf>
    <xf numFmtId="186" fontId="103" fillId="9" borderId="267" xfId="0" applyNumberFormat="1" applyFont="1" applyFill="1" applyBorder="1" applyAlignment="1">
      <alignment horizontal="center" vertical="center" wrapText="1"/>
    </xf>
    <xf numFmtId="185" fontId="13" fillId="0" borderId="168" xfId="41067" applyNumberFormat="1" applyFont="1" applyBorder="1" applyAlignment="1">
      <alignment horizontal="center" vertical="center" wrapText="1"/>
    </xf>
    <xf numFmtId="167" fontId="7" fillId="0" borderId="252" xfId="0" applyFont="1" applyBorder="1" applyAlignment="1">
      <alignment horizontal="center" vertical="center" wrapText="1"/>
    </xf>
    <xf numFmtId="167" fontId="7" fillId="0" borderId="135" xfId="0" applyFont="1" applyBorder="1" applyAlignment="1">
      <alignment horizontal="center" vertical="center"/>
    </xf>
    <xf numFmtId="167" fontId="7" fillId="0" borderId="240" xfId="0" applyFont="1" applyBorder="1" applyAlignment="1" applyProtection="1">
      <alignment horizontal="center" vertical="center"/>
      <protection locked="0"/>
    </xf>
    <xf numFmtId="167" fontId="7" fillId="0" borderId="135" xfId="0" applyFont="1" applyBorder="1" applyAlignment="1" applyProtection="1">
      <alignment horizontal="center" vertical="center"/>
      <protection locked="0"/>
    </xf>
    <xf numFmtId="39" fontId="7" fillId="0" borderId="115" xfId="0" applyNumberFormat="1" applyFont="1" applyBorder="1" applyAlignment="1">
      <alignment horizontal="center" vertical="center"/>
    </xf>
    <xf numFmtId="39" fontId="7" fillId="0" borderId="115" xfId="0" applyNumberFormat="1" applyFont="1" applyBorder="1" applyAlignment="1" applyProtection="1">
      <alignment horizontal="center" vertical="center"/>
      <protection locked="0"/>
    </xf>
    <xf numFmtId="37" fontId="7" fillId="0" borderId="240" xfId="0" applyNumberFormat="1" applyFont="1" applyBorder="1" applyAlignment="1" applyProtection="1">
      <alignment horizontal="center" vertical="center"/>
      <protection locked="0"/>
    </xf>
    <xf numFmtId="37" fontId="7" fillId="0" borderId="255" xfId="0" applyNumberFormat="1" applyFont="1" applyBorder="1" applyAlignment="1" applyProtection="1">
      <alignment horizontal="center" vertical="center"/>
      <protection locked="0"/>
    </xf>
    <xf numFmtId="37" fontId="7" fillId="0" borderId="115" xfId="0" applyNumberFormat="1" applyFont="1" applyBorder="1" applyAlignment="1" applyProtection="1">
      <alignment horizontal="center" vertical="center"/>
      <protection locked="0"/>
    </xf>
    <xf numFmtId="37" fontId="7" fillId="0" borderId="134" xfId="0" applyNumberFormat="1" applyFont="1" applyBorder="1" applyAlignment="1" applyProtection="1">
      <alignment horizontal="center" vertical="center"/>
      <protection locked="0"/>
    </xf>
    <xf numFmtId="10" fontId="132" fillId="34" borderId="275" xfId="19" applyNumberFormat="1" applyFont="1" applyFill="1" applyBorder="1" applyAlignment="1">
      <alignment horizontal="center" vertical="center" wrapText="1"/>
    </xf>
    <xf numFmtId="10" fontId="124" fillId="0" borderId="2" xfId="19" applyNumberFormat="1" applyFont="1" applyBorder="1" applyAlignment="1">
      <alignment horizontal="center" vertical="top" wrapText="1"/>
    </xf>
    <xf numFmtId="10" fontId="132" fillId="34" borderId="2" xfId="19" applyNumberFormat="1" applyFont="1" applyFill="1" applyBorder="1" applyAlignment="1">
      <alignment horizontal="center" vertical="center" wrapText="1"/>
    </xf>
    <xf numFmtId="0" fontId="132" fillId="34" borderId="275" xfId="17" applyFont="1" applyFill="1" applyBorder="1" applyAlignment="1">
      <alignment horizontal="center" vertical="center" wrapText="1"/>
    </xf>
    <xf numFmtId="4" fontId="124" fillId="0" borderId="2" xfId="17" applyNumberFormat="1" applyFont="1" applyBorder="1" applyAlignment="1">
      <alignment horizontal="center" vertical="top" wrapText="1"/>
    </xf>
    <xf numFmtId="0" fontId="132" fillId="34" borderId="2" xfId="17" applyFont="1" applyFill="1" applyBorder="1" applyAlignment="1">
      <alignment horizontal="center" vertical="center" wrapText="1"/>
    </xf>
    <xf numFmtId="0" fontId="124" fillId="0" borderId="2" xfId="0" applyNumberFormat="1" applyFont="1" applyBorder="1" applyAlignment="1">
      <alignment vertical="top"/>
    </xf>
    <xf numFmtId="165" fontId="7" fillId="0" borderId="0" xfId="21" applyFont="1" applyBorder="1" applyAlignment="1">
      <alignment horizontal="center" vertical="top" wrapText="1"/>
    </xf>
    <xf numFmtId="167" fontId="14" fillId="0" borderId="290" xfId="0" applyFont="1" applyBorder="1" applyAlignment="1">
      <alignment horizontal="center" vertical="center" wrapText="1"/>
    </xf>
    <xf numFmtId="185" fontId="7" fillId="8" borderId="16" xfId="0" applyNumberFormat="1" applyFont="1" applyFill="1" applyBorder="1" applyAlignment="1">
      <alignment horizontal="center" vertical="center" wrapText="1"/>
    </xf>
    <xf numFmtId="185" fontId="7" fillId="8" borderId="13" xfId="0" applyNumberFormat="1" applyFont="1" applyFill="1" applyBorder="1" applyAlignment="1">
      <alignment horizontal="center" vertical="center" wrapText="1"/>
    </xf>
    <xf numFmtId="185" fontId="7" fillId="8" borderId="105" xfId="0" applyNumberFormat="1" applyFont="1" applyFill="1" applyBorder="1" applyAlignment="1">
      <alignment horizontal="center" vertical="center" wrapText="1"/>
    </xf>
    <xf numFmtId="9" fontId="8" fillId="0" borderId="19" xfId="22756" applyFont="1" applyFill="1" applyBorder="1" applyAlignment="1">
      <alignment horizontal="center" vertical="center"/>
    </xf>
    <xf numFmtId="0" fontId="59" fillId="0" borderId="0" xfId="0" applyNumberFormat="1" applyFont="1" applyAlignment="1">
      <alignment horizontal="center" vertical="center"/>
    </xf>
    <xf numFmtId="167" fontId="14" fillId="0" borderId="237" xfId="0" applyFont="1" applyBorder="1" applyAlignment="1">
      <alignment horizontal="center" vertical="center" wrapText="1"/>
    </xf>
    <xf numFmtId="167" fontId="106" fillId="0" borderId="231" xfId="0" applyFont="1" applyBorder="1" applyAlignment="1">
      <alignment horizontal="center" vertical="center" wrapText="1"/>
    </xf>
    <xf numFmtId="167" fontId="7" fillId="0" borderId="114" xfId="0" applyFont="1" applyBorder="1" applyAlignment="1">
      <alignment horizontal="center" vertical="center" wrapText="1"/>
    </xf>
    <xf numFmtId="167" fontId="14" fillId="0" borderId="308" xfId="0" applyFont="1" applyBorder="1" applyAlignment="1">
      <alignment horizontal="center" vertical="center" wrapText="1"/>
    </xf>
    <xf numFmtId="167" fontId="8" fillId="0" borderId="252" xfId="0" applyFont="1" applyBorder="1" applyAlignment="1">
      <alignment horizontal="center" vertical="center" wrapText="1"/>
    </xf>
    <xf numFmtId="186" fontId="8" fillId="0" borderId="252" xfId="0" applyNumberFormat="1" applyFont="1" applyBorder="1" applyAlignment="1">
      <alignment horizontal="center" vertical="center" wrapText="1"/>
    </xf>
    <xf numFmtId="167" fontId="8" fillId="9" borderId="267" xfId="0" applyFont="1" applyFill="1" applyBorder="1" applyAlignment="1">
      <alignment horizontal="center" vertical="center" wrapText="1"/>
    </xf>
    <xf numFmtId="39" fontId="7" fillId="0" borderId="277" xfId="0" applyNumberFormat="1" applyFont="1" applyBorder="1" applyAlignment="1">
      <alignment horizontal="center" vertical="center" wrapText="1"/>
    </xf>
    <xf numFmtId="37" fontId="13" fillId="9" borderId="157" xfId="0" applyNumberFormat="1" applyFont="1" applyFill="1" applyBorder="1" applyAlignment="1">
      <alignment horizontal="center" vertical="center" wrapText="1"/>
    </xf>
    <xf numFmtId="167" fontId="120" fillId="9" borderId="29" xfId="0" applyFont="1" applyFill="1" applyBorder="1" applyAlignment="1">
      <alignment horizontal="center" vertical="center" wrapText="1"/>
    </xf>
    <xf numFmtId="220" fontId="7" fillId="0" borderId="277" xfId="0" applyNumberFormat="1" applyFont="1" applyBorder="1" applyAlignment="1">
      <alignment horizontal="center" vertical="center" wrapText="1"/>
    </xf>
    <xf numFmtId="185" fontId="14" fillId="9" borderId="39" xfId="0" applyNumberFormat="1" applyFont="1" applyFill="1" applyBorder="1" applyAlignment="1">
      <alignment horizontal="center" vertical="center" wrapText="1"/>
    </xf>
    <xf numFmtId="195" fontId="80" fillId="0" borderId="277" xfId="0" applyNumberFormat="1" applyFont="1" applyBorder="1" applyAlignment="1">
      <alignment vertical="center" wrapText="1"/>
    </xf>
    <xf numFmtId="195" fontId="102" fillId="9" borderId="309" xfId="0" applyNumberFormat="1" applyFont="1" applyFill="1" applyBorder="1" applyAlignment="1">
      <alignment horizontal="center" vertical="center" wrapText="1"/>
    </xf>
    <xf numFmtId="39" fontId="80" fillId="0" borderId="277" xfId="0" applyNumberFormat="1" applyFont="1" applyBorder="1" applyAlignment="1">
      <alignment vertical="center" wrapText="1"/>
    </xf>
    <xf numFmtId="186" fontId="103" fillId="9" borderId="309" xfId="0" applyNumberFormat="1" applyFont="1" applyFill="1" applyBorder="1" applyAlignment="1">
      <alignment horizontal="center" vertical="center" wrapText="1"/>
    </xf>
    <xf numFmtId="0" fontId="156" fillId="43" borderId="2" xfId="41062" applyNumberFormat="1" applyFont="1" applyFill="1" applyBorder="1" applyAlignment="1">
      <alignment horizontal="center" vertical="center" wrapText="1"/>
    </xf>
    <xf numFmtId="0" fontId="156" fillId="43" borderId="0" xfId="41062" applyNumberFormat="1" applyFont="1" applyFill="1" applyAlignment="1">
      <alignment horizontal="center" vertical="center" wrapText="1"/>
    </xf>
    <xf numFmtId="209" fontId="7" fillId="52" borderId="2" xfId="23420" applyNumberFormat="1" applyFont="1" applyFill="1" applyBorder="1" applyAlignment="1">
      <alignment horizontal="right" vertical="top" wrapText="1"/>
    </xf>
    <xf numFmtId="10" fontId="7" fillId="52" borderId="0" xfId="19" applyNumberFormat="1" applyFont="1" applyFill="1" applyAlignment="1">
      <alignment horizontal="left" vertical="center" wrapText="1"/>
    </xf>
    <xf numFmtId="167" fontId="14" fillId="0" borderId="250" xfId="0" applyFont="1" applyBorder="1" applyAlignment="1">
      <alignment horizontal="center" vertical="center" wrapText="1"/>
    </xf>
    <xf numFmtId="0" fontId="7" fillId="0" borderId="239" xfId="0" applyNumberFormat="1" applyFont="1" applyBorder="1" applyAlignment="1" applyProtection="1">
      <alignment horizontal="center" vertical="center"/>
      <protection locked="0"/>
    </xf>
    <xf numFmtId="0" fontId="7" fillId="0" borderId="133" xfId="0" applyNumberFormat="1" applyFont="1" applyBorder="1" applyAlignment="1" applyProtection="1">
      <alignment horizontal="center" vertical="center"/>
      <protection locked="0"/>
    </xf>
    <xf numFmtId="185" fontId="7" fillId="0" borderId="13" xfId="0" applyNumberFormat="1" applyFont="1" applyBorder="1" applyAlignment="1">
      <alignment horizontal="center" vertical="center" wrapText="1"/>
    </xf>
    <xf numFmtId="185" fontId="7" fillId="0" borderId="173" xfId="0" applyNumberFormat="1" applyFont="1" applyBorder="1" applyAlignment="1">
      <alignment horizontal="center" vertical="center" wrapText="1"/>
    </xf>
    <xf numFmtId="37" fontId="14" fillId="10" borderId="289" xfId="0" applyNumberFormat="1" applyFont="1" applyFill="1" applyBorder="1" applyAlignment="1">
      <alignment horizontal="center" vertical="center" wrapText="1"/>
    </xf>
    <xf numFmtId="195" fontId="7" fillId="0" borderId="308" xfId="0" applyNumberFormat="1" applyFont="1" applyBorder="1" applyAlignment="1">
      <alignment horizontal="center" vertical="center" wrapText="1"/>
    </xf>
    <xf numFmtId="195" fontId="7" fillId="0" borderId="252" xfId="0" applyNumberFormat="1" applyFont="1" applyBorder="1" applyAlignment="1">
      <alignment horizontal="center" vertical="center" wrapText="1"/>
    </xf>
    <xf numFmtId="195" fontId="104" fillId="9" borderId="267" xfId="0" applyNumberFormat="1" applyFont="1" applyFill="1" applyBorder="1" applyAlignment="1">
      <alignment horizontal="center" vertical="center" wrapText="1"/>
    </xf>
    <xf numFmtId="167" fontId="7" fillId="8" borderId="173" xfId="0" applyFont="1" applyFill="1" applyBorder="1" applyAlignment="1">
      <alignment horizontal="center" vertical="center" wrapText="1"/>
    </xf>
    <xf numFmtId="10" fontId="7" fillId="8" borderId="3" xfId="19" applyNumberFormat="1" applyFont="1" applyFill="1" applyBorder="1" applyAlignment="1">
      <alignment horizontal="center" vertical="center" wrapText="1"/>
    </xf>
    <xf numFmtId="167" fontId="109" fillId="9" borderId="24" xfId="0" applyFont="1" applyFill="1" applyBorder="1" applyAlignment="1">
      <alignment horizontal="center" vertical="center" wrapText="1"/>
    </xf>
    <xf numFmtId="165" fontId="132" fillId="34" borderId="263" xfId="21" applyFont="1" applyFill="1" applyBorder="1" applyAlignment="1">
      <alignment vertical="center"/>
    </xf>
    <xf numFmtId="167" fontId="13" fillId="0" borderId="0" xfId="0" applyFont="1" applyAlignment="1">
      <alignment horizontal="center"/>
    </xf>
    <xf numFmtId="167" fontId="7" fillId="0" borderId="0" xfId="0" applyFont="1" applyAlignment="1">
      <alignment horizontal="center"/>
    </xf>
    <xf numFmtId="167" fontId="13" fillId="0" borderId="0" xfId="0" applyFont="1" applyAlignment="1">
      <alignment horizontal="right"/>
    </xf>
    <xf numFmtId="0" fontId="7" fillId="54" borderId="0" xfId="0" applyNumberFormat="1" applyFont="1" applyFill="1" applyAlignment="1">
      <alignment horizontal="left"/>
    </xf>
    <xf numFmtId="167" fontId="113" fillId="0" borderId="314" xfId="0" applyFont="1" applyBorder="1" applyAlignment="1">
      <alignment horizontal="center" vertical="center" wrapText="1"/>
    </xf>
    <xf numFmtId="167" fontId="113" fillId="0" borderId="315" xfId="0" applyFont="1" applyBorder="1" applyAlignment="1">
      <alignment horizontal="center" vertical="center" wrapText="1"/>
    </xf>
    <xf numFmtId="167" fontId="179" fillId="0" borderId="318" xfId="0" applyFont="1" applyBorder="1" applyAlignment="1">
      <alignment horizontal="center" vertical="center" wrapText="1"/>
    </xf>
    <xf numFmtId="167" fontId="113" fillId="11" borderId="317" xfId="0" applyFont="1" applyFill="1" applyBorder="1" applyAlignment="1">
      <alignment horizontal="center" vertical="center" wrapText="1"/>
    </xf>
    <xf numFmtId="167" fontId="113" fillId="11" borderId="318" xfId="0" applyFont="1" applyFill="1" applyBorder="1" applyAlignment="1">
      <alignment horizontal="center" vertical="center" wrapText="1"/>
    </xf>
    <xf numFmtId="167" fontId="113" fillId="47" borderId="318" xfId="0" applyFont="1" applyFill="1" applyBorder="1" applyAlignment="1">
      <alignment horizontal="center" vertical="center" wrapText="1"/>
    </xf>
    <xf numFmtId="167" fontId="113" fillId="47" borderId="318" xfId="0" applyFont="1" applyFill="1" applyBorder="1" applyAlignment="1">
      <alignment horizontal="left" vertical="center" wrapText="1" indent="1"/>
    </xf>
    <xf numFmtId="167" fontId="13" fillId="47" borderId="0" xfId="0" applyFont="1" applyFill="1"/>
    <xf numFmtId="167" fontId="183" fillId="0" borderId="320" xfId="0" applyFont="1" applyBorder="1" applyAlignment="1">
      <alignment vertical="center" wrapText="1"/>
    </xf>
    <xf numFmtId="167" fontId="183" fillId="0" borderId="0" xfId="0" applyFont="1" applyAlignment="1">
      <alignment vertical="center" wrapText="1"/>
    </xf>
    <xf numFmtId="167" fontId="7" fillId="54" borderId="0" xfId="0" applyFont="1" applyFill="1"/>
    <xf numFmtId="167" fontId="184" fillId="0" borderId="0" xfId="0" applyFont="1" applyAlignment="1">
      <alignment vertical="center"/>
    </xf>
    <xf numFmtId="167" fontId="9" fillId="0" borderId="0" xfId="0" applyFont="1" applyAlignment="1">
      <alignment horizontal="center"/>
    </xf>
    <xf numFmtId="167" fontId="113" fillId="0" borderId="0" xfId="0" applyFont="1" applyAlignment="1">
      <alignment horizontal="center" vertical="center"/>
    </xf>
    <xf numFmtId="167" fontId="113" fillId="0" borderId="0" xfId="0" applyFont="1" applyAlignment="1">
      <alignment vertical="center"/>
    </xf>
    <xf numFmtId="167" fontId="113" fillId="0" borderId="315" xfId="0" applyFont="1" applyBorder="1" applyAlignment="1">
      <alignment horizontal="left" vertical="center" wrapText="1" indent="1"/>
    </xf>
    <xf numFmtId="167" fontId="113" fillId="0" borderId="318" xfId="0" applyFont="1" applyBorder="1" applyAlignment="1">
      <alignment horizontal="left" vertical="center" wrapText="1" indent="1"/>
    </xf>
    <xf numFmtId="167" fontId="185" fillId="0" borderId="0" xfId="0" applyFont="1" applyAlignment="1">
      <alignment vertical="center"/>
    </xf>
    <xf numFmtId="167" fontId="113" fillId="47" borderId="318" xfId="0" applyFont="1" applyFill="1" applyBorder="1" applyAlignment="1">
      <alignment horizontal="right" vertical="center" wrapText="1"/>
    </xf>
    <xf numFmtId="167" fontId="187" fillId="0" borderId="0" xfId="0" applyFont="1" applyAlignment="1">
      <alignment vertical="center"/>
    </xf>
    <xf numFmtId="167" fontId="113" fillId="0" borderId="322" xfId="0" applyFont="1" applyBorder="1" applyAlignment="1">
      <alignment horizontal="left" vertical="center" wrapText="1" indent="1"/>
    </xf>
    <xf numFmtId="167" fontId="113" fillId="11" borderId="318" xfId="0" applyFont="1" applyFill="1" applyBorder="1" applyAlignment="1">
      <alignment horizontal="left" vertical="center" wrapText="1" indent="1"/>
    </xf>
    <xf numFmtId="167" fontId="113" fillId="59" borderId="318" xfId="0" applyFont="1" applyFill="1" applyBorder="1" applyAlignment="1">
      <alignment horizontal="center" vertical="center" wrapText="1"/>
    </xf>
    <xf numFmtId="167" fontId="113" fillId="0" borderId="0" xfId="0" applyFont="1" applyAlignment="1">
      <alignment horizontal="center" vertical="center" wrapText="1"/>
    </xf>
    <xf numFmtId="167" fontId="113" fillId="0" borderId="0" xfId="0" applyFont="1" applyAlignment="1">
      <alignment horizontal="left" vertical="center" wrapText="1" indent="1"/>
    </xf>
    <xf numFmtId="167" fontId="113" fillId="0" borderId="325" xfId="0" applyFont="1" applyBorder="1" applyAlignment="1">
      <alignment horizontal="center" vertical="center" wrapText="1"/>
    </xf>
    <xf numFmtId="167" fontId="188" fillId="0" borderId="325" xfId="0" applyFont="1" applyBorder="1" applyAlignment="1">
      <alignment horizontal="center" vertical="center" wrapText="1"/>
    </xf>
    <xf numFmtId="167" fontId="179" fillId="0" borderId="325" xfId="0" applyFont="1" applyBorder="1" applyAlignment="1">
      <alignment horizontal="center" vertical="center" wrapText="1"/>
    </xf>
    <xf numFmtId="167" fontId="113" fillId="11" borderId="325" xfId="0" applyFont="1" applyFill="1" applyBorder="1" applyAlignment="1">
      <alignment horizontal="center" vertical="center" wrapText="1"/>
    </xf>
    <xf numFmtId="167" fontId="113" fillId="47" borderId="325" xfId="0" applyFont="1" applyFill="1" applyBorder="1" applyAlignment="1">
      <alignment horizontal="center" vertical="center" wrapText="1"/>
    </xf>
    <xf numFmtId="167" fontId="113" fillId="47" borderId="325" xfId="0" applyFont="1" applyFill="1" applyBorder="1" applyAlignment="1">
      <alignment horizontal="left" vertical="center" wrapText="1" indent="1"/>
    </xf>
    <xf numFmtId="167" fontId="180" fillId="0" borderId="0" xfId="0" applyFont="1" applyAlignment="1">
      <alignment vertical="center"/>
    </xf>
    <xf numFmtId="167" fontId="113" fillId="11" borderId="318" xfId="0" applyFont="1" applyFill="1" applyBorder="1" applyAlignment="1">
      <alignment horizontal="right" vertical="center" wrapText="1"/>
    </xf>
    <xf numFmtId="167" fontId="150" fillId="0" borderId="0" xfId="0" applyFont="1" applyAlignment="1">
      <alignment vertical="center"/>
    </xf>
    <xf numFmtId="167" fontId="113" fillId="54" borderId="0" xfId="0" applyFont="1" applyFill="1" applyAlignment="1">
      <alignment vertical="center"/>
    </xf>
    <xf numFmtId="167" fontId="189" fillId="0" borderId="0" xfId="0" applyFont="1" applyAlignment="1">
      <alignment vertical="center"/>
    </xf>
    <xf numFmtId="167" fontId="173" fillId="0" borderId="0" xfId="0" applyFont="1" applyAlignment="1">
      <alignment vertical="center"/>
    </xf>
    <xf numFmtId="167" fontId="155" fillId="0" borderId="0" xfId="0" applyFont="1" applyAlignment="1">
      <alignment vertical="center"/>
    </xf>
    <xf numFmtId="167" fontId="113" fillId="59" borderId="0" xfId="0" applyFont="1" applyFill="1" applyAlignment="1">
      <alignment vertical="center"/>
    </xf>
    <xf numFmtId="167" fontId="113" fillId="0" borderId="322" xfId="0" applyFont="1" applyBorder="1" applyAlignment="1">
      <alignment horizontal="left" vertical="center" wrapText="1"/>
    </xf>
    <xf numFmtId="167" fontId="113" fillId="0" borderId="318" xfId="0" applyFont="1" applyBorder="1" applyAlignment="1">
      <alignment horizontal="left" vertical="center" wrapText="1"/>
    </xf>
    <xf numFmtId="167" fontId="150" fillId="54" borderId="0" xfId="0" applyFont="1" applyFill="1"/>
    <xf numFmtId="167" fontId="113" fillId="59" borderId="318" xfId="0" applyFont="1" applyFill="1" applyBorder="1" applyAlignment="1">
      <alignment horizontal="left" vertical="center" wrapText="1" indent="1"/>
    </xf>
    <xf numFmtId="167" fontId="191" fillId="0" borderId="317" xfId="0" applyFont="1" applyBorder="1" applyAlignment="1">
      <alignment horizontal="center" vertical="center" wrapText="1"/>
    </xf>
    <xf numFmtId="167" fontId="191" fillId="0" borderId="318" xfId="0" applyFont="1" applyBorder="1" applyAlignment="1">
      <alignment horizontal="center" vertical="center" wrapText="1"/>
    </xf>
    <xf numFmtId="167" fontId="191" fillId="0" borderId="315" xfId="0" applyFont="1" applyBorder="1" applyAlignment="1">
      <alignment horizontal="center" vertical="center" wrapText="1"/>
    </xf>
    <xf numFmtId="167" fontId="186" fillId="0" borderId="0" xfId="0" applyFont="1" applyAlignment="1">
      <alignment vertical="center"/>
    </xf>
    <xf numFmtId="167" fontId="193" fillId="0" borderId="0" xfId="0" applyFont="1" applyAlignment="1">
      <alignment vertical="center"/>
    </xf>
    <xf numFmtId="167" fontId="113" fillId="11" borderId="313" xfId="0" applyFont="1" applyFill="1" applyBorder="1" applyAlignment="1">
      <alignment vertical="center" wrapText="1"/>
    </xf>
    <xf numFmtId="167" fontId="7" fillId="0" borderId="320" xfId="0" applyFont="1" applyBorder="1"/>
    <xf numFmtId="167" fontId="113" fillId="0" borderId="0" xfId="0" applyFont="1" applyAlignment="1">
      <alignment horizontal="left" vertical="center" wrapText="1"/>
    </xf>
    <xf numFmtId="167" fontId="191" fillId="0" borderId="323" xfId="0" applyFont="1" applyBorder="1" applyAlignment="1">
      <alignment vertical="center" wrapText="1"/>
    </xf>
    <xf numFmtId="167" fontId="113" fillId="11" borderId="311" xfId="0" applyFont="1" applyFill="1" applyBorder="1" applyAlignment="1">
      <alignment vertical="center" wrapText="1"/>
    </xf>
    <xf numFmtId="167" fontId="113" fillId="59" borderId="317" xfId="0" applyFont="1" applyFill="1" applyBorder="1" applyAlignment="1">
      <alignment horizontal="center" vertical="center" wrapText="1"/>
    </xf>
    <xf numFmtId="167" fontId="7" fillId="0" borderId="320" xfId="0" applyFont="1" applyBorder="1" applyAlignment="1">
      <alignment horizontal="center"/>
    </xf>
    <xf numFmtId="167" fontId="113" fillId="59" borderId="325" xfId="0" applyFont="1" applyFill="1" applyBorder="1" applyAlignment="1">
      <alignment horizontal="center" vertical="center" wrapText="1"/>
    </xf>
    <xf numFmtId="167" fontId="188" fillId="0" borderId="320" xfId="0" applyFont="1" applyBorder="1" applyAlignment="1">
      <alignment vertical="center" wrapText="1"/>
    </xf>
    <xf numFmtId="167" fontId="188" fillId="0" borderId="0" xfId="0" applyFont="1" applyAlignment="1">
      <alignment vertical="center" wrapText="1"/>
    </xf>
    <xf numFmtId="167" fontId="179" fillId="0" borderId="0" xfId="0" applyFont="1" applyAlignment="1">
      <alignment vertical="center"/>
    </xf>
    <xf numFmtId="167" fontId="194" fillId="0" borderId="0" xfId="0" applyFont="1" applyAlignment="1">
      <alignment vertical="center"/>
    </xf>
    <xf numFmtId="195" fontId="26" fillId="8" borderId="127" xfId="0" applyNumberFormat="1" applyFont="1" applyFill="1" applyBorder="1" applyAlignment="1">
      <alignment horizontal="center" vertical="center" wrapText="1"/>
    </xf>
    <xf numFmtId="165" fontId="7" fillId="0" borderId="2" xfId="23420" applyFont="1" applyFill="1" applyBorder="1" applyAlignment="1">
      <alignment horizontal="center" vertical="top" wrapText="1"/>
    </xf>
    <xf numFmtId="165" fontId="124" fillId="0" borderId="2" xfId="21" applyFont="1" applyFill="1" applyBorder="1" applyAlignment="1">
      <alignment horizontal="center" vertical="top" wrapText="1"/>
    </xf>
    <xf numFmtId="10" fontId="124" fillId="0" borderId="2" xfId="19" applyNumberFormat="1" applyFont="1" applyFill="1" applyBorder="1" applyAlignment="1">
      <alignment horizontal="center" vertical="top" wrapText="1"/>
    </xf>
    <xf numFmtId="165" fontId="7" fillId="60" borderId="2" xfId="21" applyFont="1" applyFill="1" applyBorder="1" applyAlignment="1">
      <alignment horizontal="center" vertical="top" wrapText="1"/>
    </xf>
    <xf numFmtId="205" fontId="13" fillId="0" borderId="0" xfId="23422" applyNumberFormat="1" applyFont="1" applyAlignment="1">
      <alignment horizontal="left" vertical="center"/>
    </xf>
    <xf numFmtId="39" fontId="14" fillId="0" borderId="149" xfId="0" applyNumberFormat="1" applyFont="1" applyBorder="1" applyAlignment="1">
      <alignment horizontal="center" vertical="center" wrapText="1"/>
    </xf>
    <xf numFmtId="167" fontId="179" fillId="0" borderId="317" xfId="0" applyFont="1" applyBorder="1" applyAlignment="1">
      <alignment horizontal="center" vertical="center" wrapText="1"/>
    </xf>
    <xf numFmtId="167" fontId="113" fillId="0" borderId="322" xfId="0" applyFont="1" applyBorder="1" applyAlignment="1">
      <alignment horizontal="center" vertical="center" wrapText="1"/>
    </xf>
    <xf numFmtId="167" fontId="113" fillId="0" borderId="323" xfId="0" applyFont="1" applyBorder="1" applyAlignment="1">
      <alignment horizontal="center" vertical="center" wrapText="1"/>
    </xf>
    <xf numFmtId="167" fontId="113" fillId="0" borderId="318" xfId="0" applyFont="1" applyBorder="1" applyAlignment="1">
      <alignment horizontal="center" vertical="center" wrapText="1"/>
    </xf>
    <xf numFmtId="167" fontId="113" fillId="0" borderId="316" xfId="0" applyFont="1" applyBorder="1" applyAlignment="1">
      <alignment horizontal="center" vertical="center" wrapText="1"/>
    </xf>
    <xf numFmtId="167" fontId="113" fillId="0" borderId="317" xfId="0" applyFont="1" applyBorder="1" applyAlignment="1">
      <alignment horizontal="center" vertical="center" wrapText="1"/>
    </xf>
    <xf numFmtId="2" fontId="7" fillId="0" borderId="271" xfId="0" applyNumberFormat="1" applyFont="1" applyBorder="1" applyAlignment="1">
      <alignment horizontal="center" vertical="center"/>
    </xf>
    <xf numFmtId="186" fontId="7" fillId="0" borderId="271" xfId="0" applyNumberFormat="1" applyFont="1" applyBorder="1" applyAlignment="1">
      <alignment horizontal="center" vertical="center"/>
    </xf>
    <xf numFmtId="2" fontId="7" fillId="0" borderId="271" xfId="0" applyNumberFormat="1" applyFont="1" applyBorder="1" applyAlignment="1">
      <alignment horizontal="center"/>
    </xf>
    <xf numFmtId="0" fontId="7" fillId="0" borderId="271" xfId="0" applyNumberFormat="1" applyFont="1" applyBorder="1" applyAlignment="1">
      <alignment horizontal="center"/>
    </xf>
    <xf numFmtId="0" fontId="7" fillId="39" borderId="304" xfId="0" applyNumberFormat="1" applyFont="1" applyFill="1" applyBorder="1" applyAlignment="1">
      <alignment horizontal="centerContinuous" vertical="center"/>
    </xf>
    <xf numFmtId="0" fontId="7" fillId="39" borderId="303" xfId="0" applyNumberFormat="1" applyFont="1" applyFill="1" applyBorder="1" applyAlignment="1">
      <alignment horizontal="centerContinuous" vertical="center"/>
    </xf>
    <xf numFmtId="2" fontId="7" fillId="0" borderId="271" xfId="14471" applyNumberFormat="1" applyFont="1" applyBorder="1" applyAlignment="1">
      <alignment horizontal="center" vertical="center"/>
    </xf>
    <xf numFmtId="1" fontId="7" fillId="0" borderId="271" xfId="0" applyNumberFormat="1" applyFont="1" applyBorder="1" applyAlignment="1">
      <alignment horizontal="center"/>
    </xf>
    <xf numFmtId="204" fontId="7" fillId="0" borderId="271" xfId="0" applyNumberFormat="1" applyFont="1" applyBorder="1" applyAlignment="1">
      <alignment horizontal="center"/>
    </xf>
    <xf numFmtId="0" fontId="7" fillId="39" borderId="328" xfId="0" applyNumberFormat="1" applyFont="1" applyFill="1" applyBorder="1" applyAlignment="1">
      <alignment horizontal="centerContinuous" vertical="center"/>
    </xf>
    <xf numFmtId="0" fontId="7" fillId="39" borderId="271" xfId="0" applyNumberFormat="1" applyFont="1" applyFill="1" applyBorder="1" applyAlignment="1">
      <alignment horizontal="centerContinuous" vertical="center"/>
    </xf>
    <xf numFmtId="0" fontId="7" fillId="39" borderId="326" xfId="0" applyNumberFormat="1" applyFont="1" applyFill="1" applyBorder="1" applyAlignment="1">
      <alignment horizontal="centerContinuous" vertical="center"/>
    </xf>
    <xf numFmtId="0" fontId="7" fillId="39" borderId="227" xfId="14471" applyFont="1" applyFill="1" applyBorder="1" applyAlignment="1">
      <alignment horizontal="center" vertical="center"/>
    </xf>
    <xf numFmtId="40" fontId="7" fillId="0" borderId="217" xfId="23422" applyFont="1" applyBorder="1" applyAlignment="1">
      <alignment horizontal="center" vertical="center"/>
    </xf>
    <xf numFmtId="38" fontId="7" fillId="0" borderId="329" xfId="23422" applyNumberFormat="1" applyFont="1" applyBorder="1" applyAlignment="1">
      <alignment horizontal="center" vertical="center"/>
    </xf>
    <xf numFmtId="40" fontId="7" fillId="0" borderId="330" xfId="23422" applyFont="1" applyBorder="1" applyAlignment="1">
      <alignment horizontal="center" vertical="center"/>
    </xf>
    <xf numFmtId="38" fontId="7" fillId="0" borderId="331" xfId="23422" applyNumberFormat="1" applyFont="1" applyBorder="1" applyAlignment="1">
      <alignment horizontal="center" vertical="center"/>
    </xf>
    <xf numFmtId="38" fontId="8" fillId="0" borderId="0" xfId="23422" applyNumberFormat="1" applyFont="1" applyBorder="1" applyAlignment="1">
      <alignment horizontal="left" vertical="center"/>
    </xf>
    <xf numFmtId="40" fontId="8" fillId="0" borderId="0" xfId="23422" applyFont="1" applyBorder="1" applyAlignment="1">
      <alignment horizontal="right" vertical="center"/>
    </xf>
    <xf numFmtId="40" fontId="7" fillId="0" borderId="328" xfId="23422" applyFont="1" applyBorder="1" applyAlignment="1">
      <alignment horizontal="center" vertical="center"/>
    </xf>
    <xf numFmtId="38" fontId="7" fillId="0" borderId="67" xfId="23422" applyNumberFormat="1" applyFont="1" applyBorder="1" applyAlignment="1">
      <alignment horizontal="center" vertical="center"/>
    </xf>
    <xf numFmtId="40" fontId="8" fillId="0" borderId="0" xfId="23422" applyFont="1" applyBorder="1" applyAlignment="1">
      <alignment horizontal="right" vertical="center" wrapText="1"/>
    </xf>
    <xf numFmtId="38" fontId="13" fillId="0" borderId="0" xfId="23422" applyNumberFormat="1" applyFont="1" applyBorder="1" applyAlignment="1">
      <alignment horizontal="left" vertical="center"/>
    </xf>
    <xf numFmtId="38" fontId="8" fillId="0" borderId="227" xfId="23422" applyNumberFormat="1" applyFont="1" applyBorder="1" applyAlignment="1">
      <alignment horizontal="left" vertical="center"/>
    </xf>
    <xf numFmtId="2" fontId="7" fillId="11" borderId="0" xfId="14471" applyNumberFormat="1" applyFont="1" applyFill="1"/>
    <xf numFmtId="167" fontId="7" fillId="39" borderId="0" xfId="0" applyFont="1" applyFill="1" applyAlignment="1">
      <alignment horizontal="center" vertical="center"/>
    </xf>
    <xf numFmtId="167" fontId="7" fillId="39" borderId="327" xfId="0" applyFont="1" applyFill="1" applyBorder="1" applyAlignment="1">
      <alignment horizontal="center" vertical="center"/>
    </xf>
    <xf numFmtId="167" fontId="26" fillId="39" borderId="0" xfId="0" applyFont="1" applyFill="1" applyAlignment="1">
      <alignment horizontal="center" vertical="center"/>
    </xf>
    <xf numFmtId="195" fontId="7" fillId="0" borderId="228" xfId="0" applyNumberFormat="1" applyFont="1" applyBorder="1" applyAlignment="1">
      <alignment horizontal="center" vertical="center" wrapText="1"/>
    </xf>
    <xf numFmtId="0" fontId="8" fillId="0" borderId="2" xfId="17" applyFont="1" applyBorder="1" applyAlignment="1">
      <alignment horizontal="center" vertical="top" wrapText="1"/>
    </xf>
    <xf numFmtId="4" fontId="7" fillId="52" borderId="2" xfId="23420" applyNumberFormat="1" applyFont="1" applyFill="1" applyBorder="1" applyAlignment="1">
      <alignment horizontal="right" vertical="top" wrapText="1"/>
    </xf>
    <xf numFmtId="185" fontId="14" fillId="0" borderId="131" xfId="0" applyNumberFormat="1" applyFont="1" applyBorder="1" applyAlignment="1">
      <alignment horizontal="center" vertical="center" wrapText="1"/>
    </xf>
    <xf numFmtId="0" fontId="7" fillId="0" borderId="81" xfId="0" applyNumberFormat="1" applyFont="1" applyBorder="1" applyAlignment="1">
      <alignment horizontal="center" vertical="center" wrapText="1"/>
    </xf>
    <xf numFmtId="0" fontId="7" fillId="0" borderId="274" xfId="0" applyNumberFormat="1" applyFont="1" applyBorder="1" applyAlignment="1">
      <alignment horizontal="center" vertical="center"/>
    </xf>
    <xf numFmtId="10" fontId="13" fillId="39" borderId="2" xfId="19" applyNumberFormat="1" applyFont="1" applyFill="1" applyBorder="1" applyAlignment="1">
      <alignment horizontal="center" vertical="center" wrapText="1"/>
    </xf>
    <xf numFmtId="40" fontId="23" fillId="38" borderId="138" xfId="23422" applyFont="1" applyFill="1" applyBorder="1" applyAlignment="1">
      <alignment horizontal="centerContinuous" vertical="center" wrapText="1"/>
    </xf>
    <xf numFmtId="188" fontId="7" fillId="0" borderId="115" xfId="0" applyNumberFormat="1" applyFont="1" applyBorder="1" applyAlignment="1">
      <alignment horizontal="center" vertical="center"/>
    </xf>
    <xf numFmtId="37" fontId="14" fillId="0" borderId="178" xfId="0" applyNumberFormat="1" applyFont="1" applyBorder="1" applyAlignment="1">
      <alignment horizontal="center" vertical="center" wrapText="1"/>
    </xf>
    <xf numFmtId="37" fontId="14" fillId="0" borderId="118" xfId="0" applyNumberFormat="1" applyFont="1" applyBorder="1" applyAlignment="1">
      <alignment horizontal="center" vertical="center" wrapText="1"/>
    </xf>
    <xf numFmtId="39" fontId="14" fillId="0" borderId="176" xfId="0" applyNumberFormat="1" applyFont="1" applyBorder="1" applyAlignment="1">
      <alignment horizontal="center" vertical="center" wrapText="1"/>
    </xf>
    <xf numFmtId="39" fontId="14" fillId="0" borderId="178" xfId="0" applyNumberFormat="1" applyFont="1" applyBorder="1" applyAlignment="1">
      <alignment horizontal="center" vertical="center" wrapText="1"/>
    </xf>
    <xf numFmtId="39" fontId="14" fillId="0" borderId="118" xfId="0" applyNumberFormat="1" applyFont="1" applyBorder="1" applyAlignment="1">
      <alignment horizontal="center" vertical="center" wrapText="1"/>
    </xf>
    <xf numFmtId="37" fontId="14" fillId="0" borderId="0" xfId="0" applyNumberFormat="1" applyFont="1" applyAlignment="1">
      <alignment horizontal="center" vertical="center" wrapText="1"/>
    </xf>
    <xf numFmtId="167" fontId="28" fillId="50" borderId="3" xfId="0" applyFont="1" applyFill="1" applyBorder="1" applyAlignment="1">
      <alignment horizontal="center" vertical="center" wrapText="1"/>
    </xf>
    <xf numFmtId="39" fontId="8" fillId="0" borderId="195" xfId="0" applyNumberFormat="1" applyFont="1" applyBorder="1" applyAlignment="1">
      <alignment horizontal="center" vertical="center" wrapText="1"/>
    </xf>
    <xf numFmtId="2" fontId="14" fillId="0" borderId="178" xfId="0" applyNumberFormat="1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 wrapText="1"/>
    </xf>
    <xf numFmtId="2" fontId="14" fillId="0" borderId="118" xfId="0" applyNumberFormat="1" applyFont="1" applyBorder="1" applyAlignment="1">
      <alignment horizontal="center" vertical="center" wrapText="1"/>
    </xf>
    <xf numFmtId="37" fontId="7" fillId="0" borderId="178" xfId="0" applyNumberFormat="1" applyFont="1" applyBorder="1" applyAlignment="1">
      <alignment horizontal="center" vertical="center" wrapText="1"/>
    </xf>
    <xf numFmtId="37" fontId="7" fillId="0" borderId="118" xfId="0" applyNumberFormat="1" applyFont="1" applyBorder="1" applyAlignment="1">
      <alignment horizontal="center" vertical="center" wrapText="1"/>
    </xf>
    <xf numFmtId="37" fontId="7" fillId="0" borderId="176" xfId="0" applyNumberFormat="1" applyFont="1" applyBorder="1" applyAlignment="1">
      <alignment horizontal="center" vertical="center" wrapText="1"/>
    </xf>
    <xf numFmtId="39" fontId="7" fillId="0" borderId="176" xfId="0" applyNumberFormat="1" applyFont="1" applyBorder="1" applyAlignment="1">
      <alignment horizontal="center" vertical="center" wrapText="1"/>
    </xf>
    <xf numFmtId="1" fontId="14" fillId="0" borderId="118" xfId="0" applyNumberFormat="1" applyFont="1" applyBorder="1" applyAlignment="1">
      <alignment horizontal="center" vertical="center" wrapText="1"/>
    </xf>
    <xf numFmtId="37" fontId="14" fillId="0" borderId="59" xfId="0" applyNumberFormat="1" applyFont="1" applyBorder="1" applyAlignment="1">
      <alignment horizontal="center" vertical="center" wrapText="1"/>
    </xf>
    <xf numFmtId="39" fontId="14" fillId="0" borderId="59" xfId="0" applyNumberFormat="1" applyFont="1" applyBorder="1" applyAlignment="1">
      <alignment horizontal="center" vertical="center" wrapText="1"/>
    </xf>
    <xf numFmtId="230" fontId="8" fillId="0" borderId="0" xfId="0" applyNumberFormat="1" applyFont="1" applyAlignment="1">
      <alignment horizontal="center" vertical="center" wrapText="1"/>
    </xf>
    <xf numFmtId="0" fontId="10" fillId="0" borderId="0" xfId="0" applyNumberFormat="1" applyFont="1" applyAlignment="1">
      <alignment vertical="center" wrapText="1"/>
    </xf>
    <xf numFmtId="0" fontId="10" fillId="0" borderId="0" xfId="0" applyNumberFormat="1" applyFont="1" applyAlignment="1">
      <alignment vertical="center"/>
    </xf>
    <xf numFmtId="0" fontId="13" fillId="0" borderId="0" xfId="11593" applyFont="1" applyAlignment="1">
      <alignment horizontal="right" vertical="center"/>
    </xf>
    <xf numFmtId="0" fontId="13" fillId="0" borderId="0" xfId="11593" applyFont="1" applyAlignment="1">
      <alignment horizontal="left" vertical="center"/>
    </xf>
    <xf numFmtId="10" fontId="8" fillId="34" borderId="16" xfId="19" applyNumberFormat="1" applyFont="1" applyFill="1" applyBorder="1" applyAlignment="1">
      <alignment horizontal="center" vertical="center"/>
    </xf>
    <xf numFmtId="186" fontId="7" fillId="39" borderId="233" xfId="0" applyNumberFormat="1" applyFont="1" applyFill="1" applyBorder="1" applyAlignment="1">
      <alignment horizontal="center" vertical="center" wrapText="1"/>
    </xf>
    <xf numFmtId="185" fontId="7" fillId="39" borderId="233" xfId="0" applyNumberFormat="1" applyFont="1" applyFill="1" applyBorder="1" applyAlignment="1">
      <alignment horizontal="center" vertical="center" wrapText="1"/>
    </xf>
    <xf numFmtId="183" fontId="177" fillId="0" borderId="81" xfId="0" applyNumberFormat="1" applyFont="1" applyBorder="1" applyAlignment="1">
      <alignment horizontal="center" vertical="center" wrapText="1"/>
    </xf>
    <xf numFmtId="183" fontId="26" fillId="9" borderId="157" xfId="0" applyNumberFormat="1" applyFont="1" applyFill="1" applyBorder="1" applyAlignment="1">
      <alignment horizontal="center" vertical="center" wrapText="1"/>
    </xf>
    <xf numFmtId="37" fontId="26" fillId="0" borderId="157" xfId="0" applyNumberFormat="1" applyFont="1" applyBorder="1" applyAlignment="1">
      <alignment horizontal="center" vertical="center" wrapText="1"/>
    </xf>
    <xf numFmtId="37" fontId="26" fillId="0" borderId="130" xfId="0" applyNumberFormat="1" applyFont="1" applyBorder="1" applyAlignment="1">
      <alignment horizontal="center" vertical="center" wrapText="1"/>
    </xf>
    <xf numFmtId="39" fontId="14" fillId="0" borderId="244" xfId="0" applyNumberFormat="1" applyFont="1" applyBorder="1" applyAlignment="1">
      <alignment horizontal="center" vertical="center" wrapText="1"/>
    </xf>
    <xf numFmtId="43" fontId="7" fillId="0" borderId="0" xfId="0" applyNumberFormat="1" applyFont="1" applyAlignment="1">
      <alignment vertical="center"/>
    </xf>
    <xf numFmtId="167" fontId="14" fillId="0" borderId="183" xfId="0" applyFont="1" applyBorder="1" applyAlignment="1">
      <alignment horizontal="center" vertical="center" wrapText="1"/>
    </xf>
    <xf numFmtId="167" fontId="14" fillId="0" borderId="234" xfId="0" applyFont="1" applyBorder="1" applyAlignment="1">
      <alignment horizontal="center" vertical="center" wrapText="1"/>
    </xf>
    <xf numFmtId="183" fontId="8" fillId="9" borderId="233" xfId="0" applyNumberFormat="1" applyFont="1" applyFill="1" applyBorder="1" applyAlignment="1">
      <alignment horizontal="center" vertical="center" wrapText="1"/>
    </xf>
    <xf numFmtId="195" fontId="8" fillId="9" borderId="229" xfId="0" applyNumberFormat="1" applyFont="1" applyFill="1" applyBorder="1" applyAlignment="1">
      <alignment horizontal="center" vertical="center" wrapText="1"/>
    </xf>
    <xf numFmtId="183" fontId="14" fillId="0" borderId="244" xfId="0" applyNumberFormat="1" applyFont="1" applyBorder="1" applyAlignment="1">
      <alignment horizontal="center" vertical="center" wrapText="1"/>
    </xf>
    <xf numFmtId="37" fontId="14" fillId="0" borderId="198" xfId="0" applyNumberFormat="1" applyFont="1" applyBorder="1" applyAlignment="1">
      <alignment horizontal="center" vertical="center" wrapText="1"/>
    </xf>
    <xf numFmtId="167" fontId="14" fillId="0" borderId="332" xfId="0" applyFont="1" applyBorder="1" applyAlignment="1">
      <alignment horizontal="center" vertical="center" wrapText="1"/>
    </xf>
    <xf numFmtId="167" fontId="8" fillId="0" borderId="262" xfId="0" applyFont="1" applyBorder="1" applyAlignment="1">
      <alignment horizontal="center" vertical="center" wrapText="1"/>
    </xf>
    <xf numFmtId="167" fontId="8" fillId="0" borderId="173" xfId="0" applyFont="1" applyBorder="1" applyAlignment="1">
      <alignment horizontal="center" vertical="center" wrapText="1"/>
    </xf>
    <xf numFmtId="185" fontId="7" fillId="0" borderId="13" xfId="41067" applyNumberFormat="1" applyFont="1" applyBorder="1" applyAlignment="1">
      <alignment horizontal="center" vertical="center" wrapText="1"/>
    </xf>
    <xf numFmtId="185" fontId="7" fillId="0" borderId="19" xfId="41067" applyNumberFormat="1" applyFont="1" applyBorder="1" applyAlignment="1">
      <alignment horizontal="center" vertical="center" wrapText="1"/>
    </xf>
    <xf numFmtId="186" fontId="7" fillId="0" borderId="105" xfId="41067" applyNumberFormat="1" applyFont="1" applyBorder="1" applyAlignment="1">
      <alignment horizontal="center" vertical="center" wrapText="1"/>
    </xf>
    <xf numFmtId="186" fontId="7" fillId="0" borderId="19" xfId="41067" applyNumberFormat="1" applyFont="1" applyBorder="1" applyAlignment="1">
      <alignment horizontal="center" vertical="center" wrapText="1"/>
    </xf>
    <xf numFmtId="186" fontId="7" fillId="0" borderId="13" xfId="41067" applyNumberFormat="1" applyFont="1" applyBorder="1" applyAlignment="1">
      <alignment horizontal="center" vertical="center" wrapText="1"/>
    </xf>
    <xf numFmtId="185" fontId="7" fillId="0" borderId="16" xfId="41067" applyNumberFormat="1" applyFont="1" applyBorder="1" applyAlignment="1">
      <alignment horizontal="center" vertical="center" wrapText="1"/>
    </xf>
    <xf numFmtId="167" fontId="7" fillId="0" borderId="105" xfId="0" applyFont="1" applyBorder="1" applyAlignment="1">
      <alignment horizontal="center" vertical="center" wrapText="1"/>
    </xf>
    <xf numFmtId="0" fontId="7" fillId="0" borderId="227" xfId="14471" applyFont="1" applyBorder="1" applyAlignment="1">
      <alignment vertical="center"/>
    </xf>
    <xf numFmtId="0" fontId="8" fillId="0" borderId="227" xfId="14471" applyFont="1" applyBorder="1" applyAlignment="1">
      <alignment horizontal="center" vertical="center"/>
    </xf>
    <xf numFmtId="0" fontId="8" fillId="0" borderId="0" xfId="14471" applyFont="1" applyAlignment="1">
      <alignment horizontal="center" vertical="center"/>
    </xf>
    <xf numFmtId="4" fontId="7" fillId="0" borderId="0" xfId="14471" applyNumberFormat="1" applyFont="1" applyAlignment="1">
      <alignment horizontal="center" vertical="center"/>
    </xf>
    <xf numFmtId="228" fontId="7" fillId="0" borderId="0" xfId="14471" applyNumberFormat="1" applyFont="1" applyAlignment="1">
      <alignment horizontal="center" vertical="center"/>
    </xf>
    <xf numFmtId="0" fontId="7" fillId="0" borderId="0" xfId="14471" applyFont="1" applyAlignment="1">
      <alignment horizontal="center" vertical="center" wrapText="1"/>
    </xf>
    <xf numFmtId="0" fontId="7" fillId="39" borderId="202" xfId="0" applyNumberFormat="1" applyFont="1" applyFill="1" applyBorder="1" applyAlignment="1">
      <alignment horizontal="centerContinuous" vertical="center"/>
    </xf>
    <xf numFmtId="0" fontId="14" fillId="0" borderId="150" xfId="41067" applyFont="1" applyBorder="1" applyAlignment="1">
      <alignment vertical="center" wrapText="1"/>
    </xf>
    <xf numFmtId="9" fontId="14" fillId="0" borderId="244" xfId="19" applyFont="1" applyBorder="1" applyAlignment="1">
      <alignment horizontal="center" vertical="center" wrapText="1"/>
    </xf>
    <xf numFmtId="2" fontId="7" fillId="39" borderId="59" xfId="14471" applyNumberFormat="1" applyFont="1" applyFill="1" applyBorder="1" applyAlignment="1">
      <alignment horizontal="center" vertical="center"/>
    </xf>
    <xf numFmtId="0" fontId="1" fillId="0" borderId="0" xfId="41075" applyAlignment="1">
      <alignment horizontal="center" vertical="center"/>
    </xf>
    <xf numFmtId="2" fontId="1" fillId="0" borderId="0" xfId="41075" applyNumberFormat="1" applyAlignment="1">
      <alignment horizontal="center" vertical="center"/>
    </xf>
    <xf numFmtId="0" fontId="1" fillId="39" borderId="200" xfId="41075" applyFill="1" applyBorder="1" applyAlignment="1">
      <alignment horizontal="center" vertical="center"/>
    </xf>
    <xf numFmtId="0" fontId="1" fillId="39" borderId="193" xfId="41075" applyFill="1" applyBorder="1" applyAlignment="1">
      <alignment horizontal="center" vertical="center"/>
    </xf>
    <xf numFmtId="0" fontId="1" fillId="39" borderId="199" xfId="41075" applyFill="1" applyBorder="1" applyAlignment="1">
      <alignment horizontal="center" vertical="center"/>
    </xf>
    <xf numFmtId="4" fontId="1" fillId="0" borderId="233" xfId="41075" applyNumberFormat="1" applyBorder="1" applyAlignment="1">
      <alignment horizontal="center" vertical="center"/>
    </xf>
    <xf numFmtId="0" fontId="1" fillId="0" borderId="233" xfId="41075" applyBorder="1" applyAlignment="1">
      <alignment horizontal="center" vertical="center"/>
    </xf>
    <xf numFmtId="238" fontId="1" fillId="0" borderId="228" xfId="41075" applyNumberFormat="1" applyBorder="1" applyAlignment="1">
      <alignment horizontal="left" vertical="center"/>
    </xf>
    <xf numFmtId="0" fontId="1" fillId="0" borderId="192" xfId="41075" applyBorder="1" applyAlignment="1">
      <alignment horizontal="right" vertical="center"/>
    </xf>
    <xf numFmtId="4" fontId="1" fillId="0" borderId="128" xfId="41075" applyNumberFormat="1" applyBorder="1" applyAlignment="1">
      <alignment horizontal="center" vertical="center"/>
    </xf>
    <xf numFmtId="239" fontId="1" fillId="0" borderId="228" xfId="41075" applyNumberFormat="1" applyBorder="1" applyAlignment="1">
      <alignment horizontal="left" vertical="center"/>
    </xf>
    <xf numFmtId="2" fontId="1" fillId="0" borderId="233" xfId="41075" applyNumberFormat="1" applyBorder="1" applyAlignment="1">
      <alignment horizontal="center" vertical="center"/>
    </xf>
    <xf numFmtId="204" fontId="1" fillId="0" borderId="233" xfId="41075" applyNumberFormat="1" applyBorder="1" applyAlignment="1">
      <alignment horizontal="center" vertical="center"/>
    </xf>
    <xf numFmtId="238" fontId="1" fillId="0" borderId="18" xfId="41075" applyNumberFormat="1" applyBorder="1" applyAlignment="1">
      <alignment horizontal="left" vertical="center"/>
    </xf>
    <xf numFmtId="0" fontId="1" fillId="39" borderId="248" xfId="41075" applyFill="1" applyBorder="1" applyAlignment="1">
      <alignment horizontal="center" vertical="center"/>
    </xf>
    <xf numFmtId="0" fontId="1" fillId="39" borderId="19" xfId="41075" applyFill="1" applyBorder="1" applyAlignment="1">
      <alignment horizontal="center" vertical="center"/>
    </xf>
    <xf numFmtId="0" fontId="1" fillId="0" borderId="19" xfId="41075" applyBorder="1" applyAlignment="1">
      <alignment horizontal="center" vertical="center"/>
    </xf>
    <xf numFmtId="239" fontId="1" fillId="0" borderId="18" xfId="41075" applyNumberFormat="1" applyBorder="1" applyAlignment="1">
      <alignment horizontal="left" vertical="center"/>
    </xf>
    <xf numFmtId="0" fontId="1" fillId="0" borderId="124" xfId="41075" applyBorder="1" applyAlignment="1">
      <alignment horizontal="right" vertical="center"/>
    </xf>
    <xf numFmtId="0" fontId="195" fillId="10" borderId="89" xfId="41075" applyFont="1" applyFill="1" applyBorder="1" applyAlignment="1">
      <alignment horizontal="center" vertical="center" wrapText="1"/>
    </xf>
    <xf numFmtId="0" fontId="195" fillId="10" borderId="89" xfId="41075" applyFont="1" applyFill="1" applyBorder="1" applyAlignment="1">
      <alignment horizontal="center" vertical="center"/>
    </xf>
    <xf numFmtId="0" fontId="195" fillId="10" borderId="92" xfId="41075" applyFont="1" applyFill="1" applyBorder="1" applyAlignment="1">
      <alignment horizontal="center" vertical="center"/>
    </xf>
    <xf numFmtId="4" fontId="197" fillId="0" borderId="233" xfId="41075" applyNumberFormat="1" applyFont="1" applyBorder="1" applyAlignment="1">
      <alignment horizontal="center" vertical="center"/>
    </xf>
    <xf numFmtId="4" fontId="197" fillId="0" borderId="128" xfId="41075" applyNumberFormat="1" applyFont="1" applyBorder="1" applyAlignment="1">
      <alignment horizontal="center" vertical="center"/>
    </xf>
    <xf numFmtId="39" fontId="13" fillId="0" borderId="24" xfId="0" applyNumberFormat="1" applyFont="1" applyBorder="1" applyAlignment="1">
      <alignment horizontal="center" vertical="center" wrapText="1"/>
    </xf>
    <xf numFmtId="195" fontId="8" fillId="61" borderId="233" xfId="21" applyNumberFormat="1" applyFont="1" applyFill="1" applyBorder="1" applyAlignment="1">
      <alignment horizontal="center" vertical="center"/>
    </xf>
    <xf numFmtId="39" fontId="13" fillId="0" borderId="157" xfId="0" applyNumberFormat="1" applyFont="1" applyBorder="1" applyAlignment="1">
      <alignment horizontal="center" vertical="center" wrapText="1"/>
    </xf>
    <xf numFmtId="1" fontId="13" fillId="0" borderId="114" xfId="0" applyNumberFormat="1" applyFont="1" applyBorder="1" applyAlignment="1">
      <alignment horizontal="center" vertical="center" wrapText="1"/>
    </xf>
    <xf numFmtId="4" fontId="7" fillId="39" borderId="227" xfId="14471" applyNumberFormat="1" applyFont="1" applyFill="1" applyBorder="1" applyAlignment="1">
      <alignment horizontal="center" vertical="center"/>
    </xf>
    <xf numFmtId="2" fontId="7" fillId="0" borderId="0" xfId="14471" applyNumberFormat="1" applyFont="1" applyAlignment="1">
      <alignment vertical="center"/>
    </xf>
    <xf numFmtId="240" fontId="7" fillId="0" borderId="0" xfId="14471" applyNumberFormat="1" applyFont="1" applyAlignment="1">
      <alignment horizontal="left" vertical="center"/>
    </xf>
    <xf numFmtId="4" fontId="7" fillId="38" borderId="59" xfId="14471" applyNumberFormat="1" applyFont="1" applyFill="1" applyBorder="1" applyAlignment="1">
      <alignment horizontal="center" vertical="center"/>
    </xf>
    <xf numFmtId="4" fontId="7" fillId="38" borderId="227" xfId="14471" applyNumberFormat="1" applyFont="1" applyFill="1" applyBorder="1" applyAlignment="1">
      <alignment horizontal="center" vertical="center"/>
    </xf>
    <xf numFmtId="0" fontId="7" fillId="39" borderId="43" xfId="0" applyNumberFormat="1" applyFont="1" applyFill="1" applyBorder="1" applyAlignment="1">
      <alignment horizontal="centerContinuous" vertical="center"/>
    </xf>
    <xf numFmtId="0" fontId="7" fillId="39" borderId="66" xfId="0" applyNumberFormat="1" applyFont="1" applyFill="1" applyBorder="1" applyAlignment="1">
      <alignment horizontal="centerContinuous" vertical="center"/>
    </xf>
    <xf numFmtId="0" fontId="7" fillId="39" borderId="10" xfId="0" applyNumberFormat="1" applyFont="1" applyFill="1" applyBorder="1" applyAlignment="1">
      <alignment horizontal="centerContinuous" vertical="center"/>
    </xf>
    <xf numFmtId="185" fontId="7" fillId="0" borderId="2" xfId="0" applyNumberFormat="1" applyFont="1" applyBorder="1" applyAlignment="1">
      <alignment horizontal="center" vertical="center" wrapText="1"/>
    </xf>
    <xf numFmtId="185" fontId="7" fillId="50" borderId="2" xfId="0" applyNumberFormat="1" applyFont="1" applyFill="1" applyBorder="1" applyAlignment="1">
      <alignment horizontal="center" vertical="center" wrapText="1"/>
    </xf>
    <xf numFmtId="39" fontId="7" fillId="9" borderId="277" xfId="0" applyNumberFormat="1" applyFont="1" applyFill="1" applyBorder="1" applyAlignment="1">
      <alignment horizontal="center" vertical="center" wrapText="1"/>
    </xf>
    <xf numFmtId="4" fontId="7" fillId="0" borderId="273" xfId="0" applyNumberFormat="1" applyFont="1" applyBorder="1" applyAlignment="1">
      <alignment horizontal="center" vertical="center" wrapText="1"/>
    </xf>
    <xf numFmtId="184" fontId="8" fillId="0" borderId="19" xfId="22756" applyNumberFormat="1" applyFont="1" applyFill="1" applyBorder="1" applyAlignment="1">
      <alignment horizontal="center" vertical="center"/>
    </xf>
    <xf numFmtId="222" fontId="14" fillId="9" borderId="114" xfId="0" applyNumberFormat="1" applyFont="1" applyFill="1" applyBorder="1" applyAlignment="1">
      <alignment horizontal="center" vertical="center" wrapText="1"/>
    </xf>
    <xf numFmtId="0" fontId="7" fillId="0" borderId="336" xfId="14471" applyFont="1" applyBorder="1" applyAlignment="1">
      <alignment horizontal="center"/>
    </xf>
    <xf numFmtId="0" fontId="7" fillId="0" borderId="111" xfId="14471" applyFont="1" applyBorder="1" applyAlignment="1">
      <alignment horizontal="center"/>
    </xf>
    <xf numFmtId="0" fontId="7" fillId="0" borderId="111" xfId="14471" applyFont="1" applyBorder="1" applyAlignment="1">
      <alignment horizontal="center" vertical="center" wrapText="1"/>
    </xf>
    <xf numFmtId="4" fontId="7" fillId="62" borderId="326" xfId="14471" applyNumberFormat="1" applyFont="1" applyFill="1" applyBorder="1" applyAlignment="1">
      <alignment horizontal="center" vertical="center"/>
    </xf>
    <xf numFmtId="4" fontId="7" fillId="62" borderId="228" xfId="14471" applyNumberFormat="1" applyFont="1" applyFill="1" applyBorder="1" applyAlignment="1">
      <alignment horizontal="center" vertical="center"/>
    </xf>
    <xf numFmtId="1" fontId="7" fillId="0" borderId="105" xfId="0" applyNumberFormat="1" applyFont="1" applyBorder="1" applyAlignment="1">
      <alignment horizontal="center" vertical="center" wrapText="1"/>
    </xf>
    <xf numFmtId="167" fontId="13" fillId="0" borderId="114" xfId="0" applyFont="1" applyBorder="1" applyAlignment="1">
      <alignment horizontal="center" vertical="center" wrapText="1"/>
    </xf>
    <xf numFmtId="43" fontId="124" fillId="0" borderId="0" xfId="0" applyNumberFormat="1" applyFont="1" applyAlignment="1">
      <alignment horizontal="center" vertical="center"/>
    </xf>
    <xf numFmtId="43" fontId="124" fillId="0" borderId="0" xfId="0" applyNumberFormat="1" applyFont="1" applyAlignment="1">
      <alignment vertical="top"/>
    </xf>
    <xf numFmtId="167" fontId="14" fillId="0" borderId="167" xfId="0" applyFont="1" applyBorder="1" applyAlignment="1">
      <alignment horizontal="center" vertical="center" wrapText="1"/>
    </xf>
    <xf numFmtId="185" fontId="120" fillId="9" borderId="39" xfId="0" applyNumberFormat="1" applyFont="1" applyFill="1" applyBorder="1" applyAlignment="1">
      <alignment horizontal="center" vertical="center" wrapText="1"/>
    </xf>
    <xf numFmtId="167" fontId="137" fillId="0" borderId="175" xfId="0" applyFont="1" applyBorder="1" applyAlignment="1">
      <alignment horizontal="center" vertical="center" wrapText="1"/>
    </xf>
    <xf numFmtId="185" fontId="120" fillId="9" borderId="174" xfId="0" applyNumberFormat="1" applyFont="1" applyFill="1" applyBorder="1" applyAlignment="1">
      <alignment horizontal="center" vertical="center" wrapText="1"/>
    </xf>
    <xf numFmtId="185" fontId="13" fillId="0" borderId="337" xfId="0" applyNumberFormat="1" applyFont="1" applyBorder="1" applyAlignment="1">
      <alignment horizontal="center" vertical="center" wrapText="1"/>
    </xf>
    <xf numFmtId="167" fontId="137" fillId="0" borderId="176" xfId="0" applyFont="1" applyBorder="1" applyAlignment="1">
      <alignment horizontal="center" vertical="center" wrapText="1"/>
    </xf>
    <xf numFmtId="195" fontId="120" fillId="9" borderId="174" xfId="0" applyNumberFormat="1" applyFont="1" applyFill="1" applyBorder="1" applyAlignment="1">
      <alignment horizontal="center" vertical="center" wrapText="1"/>
    </xf>
    <xf numFmtId="167" fontId="84" fillId="0" borderId="235" xfId="0" applyFont="1" applyBorder="1" applyAlignment="1">
      <alignment horizontal="center" vertical="center" wrapText="1"/>
    </xf>
    <xf numFmtId="195" fontId="13" fillId="0" borderId="337" xfId="0" applyNumberFormat="1" applyFont="1" applyBorder="1" applyAlignment="1">
      <alignment horizontal="center" vertical="center" wrapText="1"/>
    </xf>
    <xf numFmtId="167" fontId="7" fillId="9" borderId="114" xfId="0" applyFont="1" applyFill="1" applyBorder="1" applyAlignment="1">
      <alignment horizontal="center" vertical="center" wrapText="1"/>
    </xf>
    <xf numFmtId="167" fontId="84" fillId="0" borderId="199" xfId="0" applyFont="1" applyBorder="1" applyAlignment="1">
      <alignment horizontal="center" vertical="center" wrapText="1"/>
    </xf>
    <xf numFmtId="167" fontId="8" fillId="0" borderId="160" xfId="0" applyFont="1" applyBorder="1" applyAlignment="1">
      <alignment horizontal="center" vertical="center" wrapText="1"/>
    </xf>
    <xf numFmtId="167" fontId="7" fillId="0" borderId="89" xfId="0" applyFont="1" applyBorder="1" applyAlignment="1">
      <alignment horizontal="center" vertical="center" wrapText="1"/>
    </xf>
    <xf numFmtId="167" fontId="13" fillId="0" borderId="179" xfId="0" applyFont="1" applyBorder="1" applyAlignment="1">
      <alignment horizontal="center" vertical="center" wrapText="1"/>
    </xf>
    <xf numFmtId="37" fontId="24" fillId="0" borderId="186" xfId="0" applyNumberFormat="1" applyFont="1" applyBorder="1" applyAlignment="1">
      <alignment horizontal="center" vertical="center" wrapText="1"/>
    </xf>
    <xf numFmtId="37" fontId="14" fillId="0" borderId="186" xfId="0" applyNumberFormat="1" applyFont="1" applyBorder="1" applyAlignment="1">
      <alignment horizontal="center" vertical="center" wrapText="1"/>
    </xf>
    <xf numFmtId="37" fontId="14" fillId="0" borderId="244" xfId="0" applyNumberFormat="1" applyFont="1" applyBorder="1" applyAlignment="1">
      <alignment horizontal="center" vertical="center" wrapText="1"/>
    </xf>
    <xf numFmtId="183" fontId="27" fillId="0" borderId="242" xfId="0" applyNumberFormat="1" applyFont="1" applyBorder="1" applyAlignment="1">
      <alignment horizontal="center" vertical="center" wrapText="1"/>
    </xf>
    <xf numFmtId="183" fontId="177" fillId="0" borderId="233" xfId="0" applyNumberFormat="1" applyFont="1" applyBorder="1" applyAlignment="1">
      <alignment horizontal="center" vertical="center" wrapText="1"/>
    </xf>
    <xf numFmtId="183" fontId="27" fillId="0" borderId="228" xfId="0" applyNumberFormat="1" applyFont="1" applyBorder="1" applyAlignment="1">
      <alignment horizontal="center" vertical="center" wrapText="1"/>
    </xf>
    <xf numFmtId="183" fontId="26" fillId="0" borderId="233" xfId="0" applyNumberFormat="1" applyFont="1" applyBorder="1" applyAlignment="1">
      <alignment horizontal="center" vertical="center" wrapText="1"/>
    </xf>
    <xf numFmtId="183" fontId="27" fillId="9" borderId="233" xfId="0" applyNumberFormat="1" applyFont="1" applyFill="1" applyBorder="1" applyAlignment="1">
      <alignment horizontal="center" vertical="center" wrapText="1"/>
    </xf>
    <xf numFmtId="183" fontId="26" fillId="0" borderId="229" xfId="0" applyNumberFormat="1" applyFont="1" applyBorder="1" applyAlignment="1">
      <alignment horizontal="center" vertical="center" wrapText="1"/>
    </xf>
    <xf numFmtId="183" fontId="177" fillId="0" borderId="89" xfId="0" applyNumberFormat="1" applyFont="1" applyBorder="1" applyAlignment="1">
      <alignment horizontal="center" vertical="center" wrapText="1"/>
    </xf>
    <xf numFmtId="183" fontId="8" fillId="0" borderId="160" xfId="0" applyNumberFormat="1" applyFont="1" applyBorder="1" applyAlignment="1">
      <alignment horizontal="center" vertical="center" wrapText="1"/>
    </xf>
    <xf numFmtId="183" fontId="7" fillId="0" borderId="89" xfId="0" applyNumberFormat="1" applyFont="1" applyBorder="1" applyAlignment="1">
      <alignment horizontal="center" vertical="center" wrapText="1"/>
    </xf>
    <xf numFmtId="183" fontId="8" fillId="9" borderId="89" xfId="0" applyNumberFormat="1" applyFont="1" applyFill="1" applyBorder="1" applyAlignment="1">
      <alignment horizontal="center" vertical="center" wrapText="1"/>
    </xf>
    <xf numFmtId="183" fontId="13" fillId="0" borderId="179" xfId="0" applyNumberFormat="1" applyFont="1" applyBorder="1" applyAlignment="1">
      <alignment horizontal="center" vertical="center" wrapText="1"/>
    </xf>
    <xf numFmtId="9" fontId="14" fillId="9" borderId="24" xfId="19" applyFont="1" applyFill="1" applyBorder="1" applyAlignment="1">
      <alignment horizontal="center" vertical="center" wrapText="1"/>
    </xf>
    <xf numFmtId="9" fontId="14" fillId="0" borderId="128" xfId="19" applyFont="1" applyBorder="1" applyAlignment="1">
      <alignment horizontal="center" vertical="center" wrapText="1"/>
    </xf>
    <xf numFmtId="167" fontId="14" fillId="0" borderId="233" xfId="0" applyFont="1" applyBorder="1" applyAlignment="1">
      <alignment vertical="center" wrapText="1"/>
    </xf>
    <xf numFmtId="0" fontId="13" fillId="34" borderId="264" xfId="0" applyNumberFormat="1" applyFont="1" applyFill="1" applyBorder="1" applyAlignment="1">
      <alignment horizontal="center" vertical="center"/>
    </xf>
    <xf numFmtId="37" fontId="7" fillId="56" borderId="2" xfId="23422" applyNumberFormat="1" applyFont="1" applyFill="1" applyBorder="1" applyAlignment="1">
      <alignment horizontal="center" vertical="center"/>
    </xf>
    <xf numFmtId="174" fontId="7" fillId="56" borderId="2" xfId="0" applyNumberFormat="1" applyFont="1" applyFill="1" applyBorder="1" applyAlignment="1">
      <alignment horizontal="center" vertical="center"/>
    </xf>
    <xf numFmtId="174" fontId="9" fillId="56" borderId="2" xfId="0" applyNumberFormat="1" applyFont="1" applyFill="1" applyBorder="1" applyAlignment="1">
      <alignment horizontal="center" vertical="center"/>
    </xf>
    <xf numFmtId="40" fontId="7" fillId="56" borderId="2" xfId="0" applyNumberFormat="1" applyFont="1" applyFill="1" applyBorder="1" applyAlignment="1">
      <alignment horizontal="center" vertical="center"/>
    </xf>
    <xf numFmtId="181" fontId="7" fillId="56" borderId="0" xfId="23422" applyNumberFormat="1" applyFont="1" applyFill="1" applyAlignment="1">
      <alignment horizontal="center" vertical="center"/>
    </xf>
    <xf numFmtId="181" fontId="7" fillId="56" borderId="2" xfId="23422" applyNumberFormat="1" applyFont="1" applyFill="1" applyBorder="1" applyAlignment="1">
      <alignment horizontal="center" vertical="center"/>
    </xf>
    <xf numFmtId="39" fontId="16" fillId="56" borderId="4" xfId="0" applyNumberFormat="1" applyFont="1" applyFill="1" applyBorder="1" applyAlignment="1">
      <alignment horizontal="center" vertical="center"/>
    </xf>
    <xf numFmtId="39" fontId="16" fillId="56" borderId="0" xfId="0" applyNumberFormat="1" applyFont="1" applyFill="1" applyAlignment="1">
      <alignment horizontal="center" vertical="center"/>
    </xf>
    <xf numFmtId="39" fontId="16" fillId="56" borderId="3" xfId="0" applyNumberFormat="1" applyFont="1" applyFill="1" applyBorder="1" applyAlignment="1">
      <alignment horizontal="center" vertical="center"/>
    </xf>
    <xf numFmtId="39" fontId="7" fillId="56" borderId="2" xfId="0" applyNumberFormat="1" applyFont="1" applyFill="1" applyBorder="1" applyAlignment="1">
      <alignment horizontal="center" vertical="center"/>
    </xf>
    <xf numFmtId="4" fontId="7" fillId="56" borderId="0" xfId="0" applyNumberFormat="1" applyFont="1" applyFill="1" applyAlignment="1">
      <alignment horizontal="center" vertical="center"/>
    </xf>
    <xf numFmtId="40" fontId="7" fillId="56" borderId="0" xfId="23422" applyFont="1" applyFill="1" applyAlignment="1">
      <alignment horizontal="center" vertical="center"/>
    </xf>
    <xf numFmtId="40" fontId="7" fillId="56" borderId="2" xfId="23422" applyFont="1" applyFill="1" applyBorder="1" applyAlignment="1">
      <alignment horizontal="center" vertical="center"/>
    </xf>
    <xf numFmtId="174" fontId="9" fillId="56" borderId="0" xfId="0" applyNumberFormat="1" applyFont="1" applyFill="1" applyAlignment="1">
      <alignment horizontal="center" vertical="center"/>
    </xf>
    <xf numFmtId="38" fontId="7" fillId="56" borderId="2" xfId="23422" applyNumberFormat="1" applyFont="1" applyFill="1" applyBorder="1" applyAlignment="1">
      <alignment horizontal="center" vertical="center"/>
    </xf>
    <xf numFmtId="40" fontId="7" fillId="56" borderId="0" xfId="23422" applyFont="1" applyFill="1" applyAlignment="1">
      <alignment vertical="center"/>
    </xf>
    <xf numFmtId="174" fontId="9" fillId="56" borderId="0" xfId="23422" applyNumberFormat="1" applyFont="1" applyFill="1" applyAlignment="1">
      <alignment vertical="center"/>
    </xf>
    <xf numFmtId="40" fontId="64" fillId="56" borderId="0" xfId="23422" applyFont="1" applyFill="1" applyAlignment="1">
      <alignment vertical="center"/>
    </xf>
    <xf numFmtId="37" fontId="13" fillId="52" borderId="26" xfId="0" applyNumberFormat="1" applyFont="1" applyFill="1" applyBorder="1" applyAlignment="1">
      <alignment horizontal="center" vertical="center" wrapText="1"/>
    </xf>
    <xf numFmtId="37" fontId="62" fillId="52" borderId="21" xfId="0" applyNumberFormat="1" applyFont="1" applyFill="1" applyBorder="1" applyAlignment="1">
      <alignment horizontal="center" vertical="center" wrapText="1"/>
    </xf>
    <xf numFmtId="39" fontId="62" fillId="52" borderId="19" xfId="0" applyNumberFormat="1" applyFont="1" applyFill="1" applyBorder="1" applyAlignment="1">
      <alignment horizontal="center" vertical="center" wrapText="1"/>
    </xf>
    <xf numFmtId="1" fontId="62" fillId="52" borderId="105" xfId="0" applyNumberFormat="1" applyFont="1" applyFill="1" applyBorder="1" applyAlignment="1">
      <alignment horizontal="center" vertical="center" wrapText="1"/>
    </xf>
    <xf numFmtId="39" fontId="62" fillId="52" borderId="2" xfId="0" applyNumberFormat="1" applyFont="1" applyFill="1" applyBorder="1" applyAlignment="1">
      <alignment horizontal="center" vertical="center" wrapText="1"/>
    </xf>
    <xf numFmtId="39" fontId="62" fillId="52" borderId="105" xfId="0" applyNumberFormat="1" applyFont="1" applyFill="1" applyBorder="1" applyAlignment="1">
      <alignment horizontal="center" vertical="center" wrapText="1"/>
    </xf>
    <xf numFmtId="39" fontId="62" fillId="52" borderId="210" xfId="0" applyNumberFormat="1" applyFont="1" applyFill="1" applyBorder="1" applyAlignment="1">
      <alignment horizontal="center" vertical="center" wrapText="1"/>
    </xf>
    <xf numFmtId="37" fontId="13" fillId="52" borderId="19" xfId="0" applyNumberFormat="1" applyFont="1" applyFill="1" applyBorder="1" applyAlignment="1">
      <alignment horizontal="center" vertical="center" wrapText="1"/>
    </xf>
    <xf numFmtId="37" fontId="8" fillId="52" borderId="19" xfId="0" applyNumberFormat="1" applyFont="1" applyFill="1" applyBorder="1" applyAlignment="1">
      <alignment horizontal="center" vertical="center" wrapText="1"/>
    </xf>
    <xf numFmtId="39" fontId="7" fillId="52" borderId="2" xfId="0" applyNumberFormat="1" applyFont="1" applyFill="1" applyBorder="1" applyAlignment="1">
      <alignment horizontal="center" vertical="center" wrapText="1"/>
    </xf>
    <xf numFmtId="9" fontId="67" fillId="52" borderId="2" xfId="19" applyFont="1" applyFill="1" applyBorder="1" applyAlignment="1">
      <alignment horizontal="center" vertical="center" wrapText="1"/>
    </xf>
    <xf numFmtId="9" fontId="7" fillId="52" borderId="105" xfId="19" applyFont="1" applyFill="1" applyBorder="1" applyAlignment="1">
      <alignment horizontal="center" vertical="center" wrapText="1"/>
    </xf>
    <xf numFmtId="9" fontId="7" fillId="52" borderId="2" xfId="19" applyFont="1" applyFill="1" applyBorder="1" applyAlignment="1">
      <alignment horizontal="center" vertical="center" wrapText="1"/>
    </xf>
    <xf numFmtId="39" fontId="7" fillId="52" borderId="105" xfId="0" applyNumberFormat="1" applyFont="1" applyFill="1" applyBorder="1" applyAlignment="1">
      <alignment horizontal="center" vertical="center" wrapText="1"/>
    </xf>
    <xf numFmtId="9" fontId="7" fillId="52" borderId="19" xfId="19" applyFont="1" applyFill="1" applyBorder="1" applyAlignment="1">
      <alignment horizontal="center" vertical="center" wrapText="1"/>
    </xf>
    <xf numFmtId="39" fontId="7" fillId="52" borderId="19" xfId="0" applyNumberFormat="1" applyFont="1" applyFill="1" applyBorder="1" applyAlignment="1">
      <alignment horizontal="center" vertical="center" wrapText="1"/>
    </xf>
    <xf numFmtId="37" fontId="7" fillId="52" borderId="105" xfId="0" applyNumberFormat="1" applyFont="1" applyFill="1" applyBorder="1" applyAlignment="1">
      <alignment horizontal="center" vertical="center" wrapText="1"/>
    </xf>
    <xf numFmtId="37" fontId="7" fillId="52" borderId="2" xfId="0" applyNumberFormat="1" applyFont="1" applyFill="1" applyBorder="1" applyAlignment="1">
      <alignment horizontal="center" vertical="center" wrapText="1"/>
    </xf>
    <xf numFmtId="37" fontId="7" fillId="52" borderId="19" xfId="0" applyNumberFormat="1" applyFont="1" applyFill="1" applyBorder="1" applyAlignment="1">
      <alignment horizontal="center" vertical="center" wrapText="1"/>
    </xf>
    <xf numFmtId="183" fontId="7" fillId="52" borderId="2" xfId="0" applyNumberFormat="1" applyFont="1" applyFill="1" applyBorder="1" applyAlignment="1">
      <alignment horizontal="center" vertical="center" wrapText="1"/>
    </xf>
    <xf numFmtId="39" fontId="7" fillId="52" borderId="233" xfId="0" applyNumberFormat="1" applyFont="1" applyFill="1" applyBorder="1" applyAlignment="1">
      <alignment horizontal="center" vertical="center" wrapText="1"/>
    </xf>
    <xf numFmtId="37" fontId="7" fillId="52" borderId="233" xfId="0" applyNumberFormat="1" applyFont="1" applyFill="1" applyBorder="1" applyAlignment="1">
      <alignment horizontal="center" vertical="center" wrapText="1"/>
    </xf>
    <xf numFmtId="37" fontId="7" fillId="52" borderId="135" xfId="0" applyNumberFormat="1" applyFont="1" applyFill="1" applyBorder="1" applyAlignment="1">
      <alignment horizontal="center" vertical="center" wrapText="1"/>
    </xf>
    <xf numFmtId="37" fontId="7" fillId="52" borderId="151" xfId="0" applyNumberFormat="1" applyFont="1" applyFill="1" applyBorder="1" applyAlignment="1">
      <alignment horizontal="center" vertical="center" wrapText="1"/>
    </xf>
    <xf numFmtId="39" fontId="7" fillId="52" borderId="262" xfId="0" applyNumberFormat="1" applyFont="1" applyFill="1" applyBorder="1" applyAlignment="1">
      <alignment horizontal="center" vertical="center" wrapText="1"/>
    </xf>
    <xf numFmtId="37" fontId="14" fillId="52" borderId="26" xfId="0" applyNumberFormat="1" applyFont="1" applyFill="1" applyBorder="1" applyAlignment="1">
      <alignment horizontal="center" vertical="center" wrapText="1"/>
    </xf>
    <xf numFmtId="195" fontId="7" fillId="52" borderId="189" xfId="0" applyNumberFormat="1" applyFont="1" applyFill="1" applyBorder="1" applyAlignment="1">
      <alignment horizontal="center" vertical="center" wrapText="1"/>
    </xf>
    <xf numFmtId="37" fontId="7" fillId="52" borderId="13" xfId="0" applyNumberFormat="1" applyFont="1" applyFill="1" applyBorder="1" applyAlignment="1">
      <alignment horizontal="center" vertical="center" wrapText="1"/>
    </xf>
    <xf numFmtId="39" fontId="7" fillId="52" borderId="16" xfId="0" applyNumberFormat="1" applyFont="1" applyFill="1" applyBorder="1" applyAlignment="1">
      <alignment horizontal="center" vertical="center" wrapText="1"/>
    </xf>
    <xf numFmtId="9" fontId="7" fillId="52" borderId="13" xfId="19" applyFont="1" applyFill="1" applyBorder="1" applyAlignment="1">
      <alignment horizontal="center" vertical="center" wrapText="1"/>
    </xf>
    <xf numFmtId="195" fontId="7" fillId="52" borderId="2" xfId="19" applyNumberFormat="1" applyFont="1" applyFill="1" applyBorder="1" applyAlignment="1">
      <alignment horizontal="center" vertical="center" wrapText="1"/>
    </xf>
    <xf numFmtId="195" fontId="7" fillId="52" borderId="16" xfId="0" applyNumberFormat="1" applyFont="1" applyFill="1" applyBorder="1" applyAlignment="1">
      <alignment horizontal="center" vertical="center" wrapText="1"/>
    </xf>
    <xf numFmtId="195" fontId="7" fillId="52" borderId="13" xfId="0" applyNumberFormat="1" applyFont="1" applyFill="1" applyBorder="1" applyAlignment="1">
      <alignment horizontal="center" vertical="center" wrapText="1"/>
    </xf>
    <xf numFmtId="195" fontId="7" fillId="52" borderId="2" xfId="0" applyNumberFormat="1" applyFont="1" applyFill="1" applyBorder="1" applyAlignment="1">
      <alignment horizontal="center" vertical="center" wrapText="1"/>
    </xf>
    <xf numFmtId="195" fontId="7" fillId="52" borderId="173" xfId="0" applyNumberFormat="1" applyFont="1" applyFill="1" applyBorder="1" applyAlignment="1">
      <alignment horizontal="center" vertical="center" wrapText="1"/>
    </xf>
    <xf numFmtId="3" fontId="7" fillId="52" borderId="13" xfId="0" applyNumberFormat="1" applyFont="1" applyFill="1" applyBorder="1" applyAlignment="1">
      <alignment horizontal="center" vertical="center" wrapText="1"/>
    </xf>
    <xf numFmtId="195" fontId="7" fillId="52" borderId="3" xfId="0" applyNumberFormat="1" applyFont="1" applyFill="1" applyBorder="1" applyAlignment="1">
      <alignment horizontal="center" vertical="center" wrapText="1"/>
    </xf>
    <xf numFmtId="195" fontId="7" fillId="52" borderId="228" xfId="0" applyNumberFormat="1" applyFont="1" applyFill="1" applyBorder="1" applyAlignment="1">
      <alignment horizontal="center" vertical="center" wrapText="1"/>
    </xf>
    <xf numFmtId="37" fontId="7" fillId="52" borderId="160" xfId="0" applyNumberFormat="1" applyFont="1" applyFill="1" applyBorder="1" applyAlignment="1">
      <alignment horizontal="center" vertical="center" wrapText="1"/>
    </xf>
    <xf numFmtId="39" fontId="7" fillId="52" borderId="277" xfId="0" applyNumberFormat="1" applyFont="1" applyFill="1" applyBorder="1" applyAlignment="1">
      <alignment horizontal="center" vertical="center" wrapText="1"/>
    </xf>
    <xf numFmtId="220" fontId="7" fillId="52" borderId="21" xfId="0" applyNumberFormat="1" applyFont="1" applyFill="1" applyBorder="1" applyAlignment="1">
      <alignment horizontal="center" vertical="center" wrapText="1"/>
    </xf>
    <xf numFmtId="39" fontId="8" fillId="52" borderId="16" xfId="0" applyNumberFormat="1" applyFont="1" applyFill="1" applyBorder="1" applyAlignment="1">
      <alignment horizontal="center" vertical="center" wrapText="1"/>
    </xf>
    <xf numFmtId="183" fontId="7" fillId="52" borderId="13" xfId="0" applyNumberFormat="1" applyFont="1" applyFill="1" applyBorder="1" applyAlignment="1">
      <alignment horizontal="center" vertical="center" wrapText="1"/>
    </xf>
    <xf numFmtId="183" fontId="7" fillId="52" borderId="16" xfId="0" applyNumberFormat="1" applyFont="1" applyFill="1" applyBorder="1" applyAlignment="1">
      <alignment horizontal="center" vertical="center" wrapText="1"/>
    </xf>
    <xf numFmtId="37" fontId="7" fillId="52" borderId="16" xfId="0" applyNumberFormat="1" applyFont="1" applyFill="1" applyBorder="1" applyAlignment="1">
      <alignment horizontal="center" vertical="center" wrapText="1"/>
    </xf>
    <xf numFmtId="37" fontId="7" fillId="52" borderId="173" xfId="0" applyNumberFormat="1" applyFont="1" applyFill="1" applyBorder="1" applyAlignment="1">
      <alignment horizontal="center" vertical="center" wrapText="1"/>
    </xf>
    <xf numFmtId="183" fontId="26" fillId="52" borderId="178" xfId="0" applyNumberFormat="1" applyFont="1" applyFill="1" applyBorder="1" applyAlignment="1">
      <alignment horizontal="center" vertical="center" wrapText="1"/>
    </xf>
    <xf numFmtId="183" fontId="26" fillId="52" borderId="0" xfId="0" applyNumberFormat="1" applyFont="1" applyFill="1" applyAlignment="1">
      <alignment horizontal="center" vertical="center" wrapText="1"/>
    </xf>
    <xf numFmtId="183" fontId="26" fillId="52" borderId="13" xfId="0" applyNumberFormat="1" applyFont="1" applyFill="1" applyBorder="1" applyAlignment="1">
      <alignment horizontal="center" vertical="center" wrapText="1"/>
    </xf>
    <xf numFmtId="183" fontId="26" fillId="52" borderId="2" xfId="0" applyNumberFormat="1" applyFont="1" applyFill="1" applyBorder="1" applyAlignment="1">
      <alignment horizontal="center" vertical="center" wrapText="1"/>
    </xf>
    <xf numFmtId="183" fontId="26" fillId="52" borderId="16" xfId="0" applyNumberFormat="1" applyFont="1" applyFill="1" applyBorder="1" applyAlignment="1">
      <alignment horizontal="center" vertical="center" wrapText="1"/>
    </xf>
    <xf numFmtId="183" fontId="26" fillId="52" borderId="105" xfId="0" applyNumberFormat="1" applyFont="1" applyFill="1" applyBorder="1" applyAlignment="1">
      <alignment horizontal="center" vertical="center" wrapText="1"/>
    </xf>
    <xf numFmtId="183" fontId="26" fillId="52" borderId="19" xfId="0" applyNumberFormat="1" applyFont="1" applyFill="1" applyBorder="1" applyAlignment="1">
      <alignment horizontal="center" vertical="center" wrapText="1"/>
    </xf>
    <xf numFmtId="183" fontId="7" fillId="52" borderId="105" xfId="0" applyNumberFormat="1" applyFont="1" applyFill="1" applyBorder="1" applyAlignment="1">
      <alignment horizontal="center" vertical="center" wrapText="1"/>
    </xf>
    <xf numFmtId="183" fontId="7" fillId="52" borderId="19" xfId="0" applyNumberFormat="1" applyFont="1" applyFill="1" applyBorder="1" applyAlignment="1">
      <alignment horizontal="center" vertical="center" wrapText="1"/>
    </xf>
    <xf numFmtId="183" fontId="7" fillId="52" borderId="3" xfId="0" applyNumberFormat="1" applyFont="1" applyFill="1" applyBorder="1" applyAlignment="1">
      <alignment horizontal="center" vertical="center" wrapText="1"/>
    </xf>
    <xf numFmtId="183" fontId="7" fillId="52" borderId="89" xfId="0" applyNumberFormat="1" applyFont="1" applyFill="1" applyBorder="1" applyAlignment="1">
      <alignment horizontal="center" vertical="center" wrapText="1"/>
    </xf>
    <xf numFmtId="183" fontId="26" fillId="52" borderId="36" xfId="0" applyNumberFormat="1" applyFont="1" applyFill="1" applyBorder="1" applyAlignment="1">
      <alignment horizontal="center" vertical="center" wrapText="1"/>
    </xf>
    <xf numFmtId="183" fontId="26" fillId="52" borderId="233" xfId="0" applyNumberFormat="1" applyFont="1" applyFill="1" applyBorder="1" applyAlignment="1">
      <alignment horizontal="center" vertical="center" wrapText="1"/>
    </xf>
    <xf numFmtId="183" fontId="7" fillId="52" borderId="173" xfId="0" applyNumberFormat="1" applyFont="1" applyFill="1" applyBorder="1" applyAlignment="1">
      <alignment horizontal="center" vertical="center" wrapText="1"/>
    </xf>
    <xf numFmtId="39" fontId="7" fillId="52" borderId="189" xfId="0" applyNumberFormat="1" applyFont="1" applyFill="1" applyBorder="1" applyAlignment="1">
      <alignment horizontal="center" vertical="center" wrapText="1"/>
    </xf>
    <xf numFmtId="39" fontId="7" fillId="52" borderId="13" xfId="0" applyNumberFormat="1" applyFont="1" applyFill="1" applyBorder="1" applyAlignment="1">
      <alignment horizontal="center" vertical="center" wrapText="1"/>
    </xf>
    <xf numFmtId="220" fontId="7" fillId="52" borderId="13" xfId="0" applyNumberFormat="1" applyFont="1" applyFill="1" applyBorder="1" applyAlignment="1">
      <alignment horizontal="center" vertical="center" wrapText="1"/>
    </xf>
    <xf numFmtId="1" fontId="7" fillId="52" borderId="16" xfId="0" applyNumberFormat="1" applyFont="1" applyFill="1" applyBorder="1" applyAlignment="1">
      <alignment horizontal="center" vertical="center" wrapText="1"/>
    </xf>
    <xf numFmtId="1" fontId="7" fillId="52" borderId="13" xfId="0" applyNumberFormat="1" applyFont="1" applyFill="1" applyBorder="1" applyAlignment="1">
      <alignment horizontal="center" vertical="center" wrapText="1"/>
    </xf>
    <xf numFmtId="1" fontId="7" fillId="52" borderId="2" xfId="0" applyNumberFormat="1" applyFont="1" applyFill="1" applyBorder="1" applyAlignment="1">
      <alignment horizontal="center" vertical="center" wrapText="1"/>
    </xf>
    <xf numFmtId="1" fontId="7" fillId="52" borderId="19" xfId="0" applyNumberFormat="1" applyFont="1" applyFill="1" applyBorder="1" applyAlignment="1">
      <alignment horizontal="center" vertical="center" wrapText="1"/>
    </xf>
    <xf numFmtId="1" fontId="7" fillId="52" borderId="105" xfId="0" applyNumberFormat="1" applyFont="1" applyFill="1" applyBorder="1" applyAlignment="1">
      <alignment horizontal="center" vertical="center" wrapText="1"/>
    </xf>
    <xf numFmtId="204" fontId="7" fillId="52" borderId="2" xfId="0" applyNumberFormat="1" applyFont="1" applyFill="1" applyBorder="1" applyAlignment="1">
      <alignment horizontal="center" vertical="center" wrapText="1"/>
    </xf>
    <xf numFmtId="204" fontId="7" fillId="52" borderId="19" xfId="0" applyNumberFormat="1" applyFont="1" applyFill="1" applyBorder="1" applyAlignment="1">
      <alignment horizontal="center" vertical="center" wrapText="1"/>
    </xf>
    <xf numFmtId="204" fontId="7" fillId="52" borderId="13" xfId="0" applyNumberFormat="1" applyFont="1" applyFill="1" applyBorder="1" applyAlignment="1">
      <alignment horizontal="center" vertical="center" wrapText="1"/>
    </xf>
    <xf numFmtId="204" fontId="7" fillId="52" borderId="16" xfId="0" applyNumberFormat="1" applyFont="1" applyFill="1" applyBorder="1" applyAlignment="1">
      <alignment horizontal="center" vertical="center" wrapText="1"/>
    </xf>
    <xf numFmtId="204" fontId="7" fillId="52" borderId="173" xfId="0" applyNumberFormat="1" applyFont="1" applyFill="1" applyBorder="1" applyAlignment="1">
      <alignment horizontal="center" vertical="center" wrapText="1"/>
    </xf>
    <xf numFmtId="9" fontId="159" fillId="0" borderId="0" xfId="19" applyFont="1" applyFill="1" applyAlignment="1">
      <alignment horizontal="center" vertical="top" wrapText="1"/>
    </xf>
    <xf numFmtId="39" fontId="8" fillId="0" borderId="198" xfId="0" applyNumberFormat="1" applyFont="1" applyBorder="1" applyAlignment="1">
      <alignment horizontal="center" vertical="center" wrapText="1"/>
    </xf>
    <xf numFmtId="167" fontId="8" fillId="0" borderId="198" xfId="0" applyFont="1" applyBorder="1" applyAlignment="1">
      <alignment horizontal="center" vertical="center" wrapText="1"/>
    </xf>
    <xf numFmtId="39" fontId="7" fillId="0" borderId="232" xfId="0" applyNumberFormat="1" applyFont="1" applyBorder="1" applyAlignment="1">
      <alignment horizontal="center" vertical="center" wrapText="1"/>
    </xf>
    <xf numFmtId="0" fontId="7" fillId="0" borderId="3" xfId="41062" quotePrefix="1" applyNumberFormat="1" applyBorder="1" applyAlignment="1">
      <alignment horizontal="center" vertical="top" wrapText="1"/>
    </xf>
    <xf numFmtId="0" fontId="26" fillId="0" borderId="2" xfId="17" applyFont="1" applyBorder="1" applyAlignment="1">
      <alignment horizontal="left" vertical="top" wrapText="1"/>
    </xf>
    <xf numFmtId="167" fontId="198" fillId="0" borderId="0" xfId="0" applyFont="1"/>
    <xf numFmtId="165" fontId="124" fillId="0" borderId="0" xfId="21" applyFont="1" applyAlignment="1">
      <alignment vertical="center"/>
    </xf>
    <xf numFmtId="165" fontId="26" fillId="0" borderId="2" xfId="21" applyFont="1" applyFill="1" applyBorder="1" applyAlignment="1">
      <alignment horizontal="center" vertical="top" wrapText="1"/>
    </xf>
    <xf numFmtId="165" fontId="26" fillId="0" borderId="2" xfId="23420" applyFont="1" applyBorder="1" applyAlignment="1">
      <alignment horizontal="center" vertical="top" wrapText="1"/>
    </xf>
    <xf numFmtId="165" fontId="26" fillId="0" borderId="2" xfId="21" applyFont="1" applyBorder="1" applyAlignment="1">
      <alignment horizontal="center" vertical="top" wrapText="1"/>
    </xf>
    <xf numFmtId="10" fontId="26" fillId="0" borderId="2" xfId="19" applyNumberFormat="1" applyFont="1" applyBorder="1" applyAlignment="1">
      <alignment horizontal="center" vertical="top" wrapText="1"/>
    </xf>
    <xf numFmtId="165" fontId="26" fillId="0" borderId="0" xfId="0" applyNumberFormat="1" applyFont="1" applyAlignment="1">
      <alignment vertical="center"/>
    </xf>
    <xf numFmtId="0" fontId="26" fillId="0" borderId="0" xfId="0" applyNumberFormat="1" applyFont="1" applyAlignment="1">
      <alignment vertical="center"/>
    </xf>
    <xf numFmtId="0" fontId="26" fillId="0" borderId="0" xfId="0" applyNumberFormat="1" applyFont="1" applyAlignment="1">
      <alignment vertical="top"/>
    </xf>
    <xf numFmtId="167" fontId="199" fillId="0" borderId="0" xfId="0" applyFont="1"/>
    <xf numFmtId="4" fontId="26" fillId="52" borderId="2" xfId="23420" applyNumberFormat="1" applyFont="1" applyFill="1" applyBorder="1" applyAlignment="1">
      <alignment horizontal="right" vertical="top" wrapText="1"/>
    </xf>
    <xf numFmtId="43" fontId="26" fillId="0" borderId="0" xfId="0" applyNumberFormat="1" applyFont="1" applyAlignment="1">
      <alignment vertical="center"/>
    </xf>
    <xf numFmtId="0" fontId="156" fillId="43" borderId="2" xfId="41062" applyNumberFormat="1" applyFont="1" applyFill="1" applyBorder="1" applyAlignment="1">
      <alignment horizontal="center" vertical="center" wrapText="1"/>
    </xf>
    <xf numFmtId="0" fontId="156" fillId="36" borderId="2" xfId="41062" applyNumberFormat="1" applyFont="1" applyFill="1" applyBorder="1" applyAlignment="1">
      <alignment horizontal="center" vertical="center" wrapText="1"/>
    </xf>
    <xf numFmtId="10" fontId="139" fillId="45" borderId="233" xfId="19" applyNumberFormat="1" applyFont="1" applyFill="1" applyBorder="1" applyAlignment="1">
      <alignment horizontal="center" vertical="center"/>
    </xf>
    <xf numFmtId="0" fontId="156" fillId="57" borderId="2" xfId="41062" applyNumberFormat="1" applyFont="1" applyFill="1" applyBorder="1" applyAlignment="1">
      <alignment horizontal="center" vertical="center" wrapText="1"/>
    </xf>
    <xf numFmtId="0" fontId="156" fillId="58" borderId="2" xfId="41062" applyNumberFormat="1" applyFont="1" applyFill="1" applyBorder="1" applyAlignment="1">
      <alignment horizontal="center" vertical="center" wrapText="1"/>
    </xf>
    <xf numFmtId="0" fontId="156" fillId="40" borderId="2" xfId="41062" applyNumberFormat="1" applyFont="1" applyFill="1" applyBorder="1" applyAlignment="1">
      <alignment horizontal="center" vertical="center" wrapText="1"/>
    </xf>
    <xf numFmtId="0" fontId="132" fillId="34" borderId="306" xfId="0" applyNumberFormat="1" applyFont="1" applyFill="1" applyBorder="1" applyAlignment="1">
      <alignment horizontal="center" vertical="center"/>
    </xf>
    <xf numFmtId="0" fontId="132" fillId="34" borderId="223" xfId="0" applyNumberFormat="1" applyFont="1" applyFill="1" applyBorder="1" applyAlignment="1">
      <alignment horizontal="center" vertical="center"/>
    </xf>
    <xf numFmtId="165" fontId="175" fillId="45" borderId="0" xfId="21" applyFont="1" applyFill="1" applyAlignment="1">
      <alignment horizontal="center" vertical="center" wrapText="1"/>
    </xf>
    <xf numFmtId="165" fontId="171" fillId="45" borderId="0" xfId="21" applyFont="1" applyFill="1" applyAlignment="1">
      <alignment horizontal="center" vertical="center" wrapText="1"/>
    </xf>
    <xf numFmtId="0" fontId="156" fillId="9" borderId="2" xfId="17" applyFont="1" applyFill="1" applyBorder="1" applyAlignment="1">
      <alignment horizontal="center" vertical="center" wrapText="1"/>
    </xf>
    <xf numFmtId="0" fontId="156" fillId="50" borderId="2" xfId="17" applyFont="1" applyFill="1" applyBorder="1" applyAlignment="1">
      <alignment horizontal="center" vertical="center" wrapText="1"/>
    </xf>
    <xf numFmtId="186" fontId="14" fillId="0" borderId="119" xfId="11464" applyNumberFormat="1" applyFont="1" applyBorder="1" applyAlignment="1">
      <alignment horizontal="center" vertical="center"/>
    </xf>
    <xf numFmtId="186" fontId="14" fillId="0" borderId="196" xfId="11464" applyNumberFormat="1" applyFont="1" applyBorder="1" applyAlignment="1">
      <alignment horizontal="center" vertical="center"/>
    </xf>
    <xf numFmtId="186" fontId="14" fillId="0" borderId="120" xfId="11464" applyNumberFormat="1" applyFont="1" applyBorder="1" applyAlignment="1">
      <alignment horizontal="center" vertical="center"/>
    </xf>
    <xf numFmtId="186" fontId="14" fillId="0" borderId="13" xfId="11464" applyNumberFormat="1" applyFont="1" applyBorder="1" applyAlignment="1">
      <alignment horizontal="center" vertical="center" wrapText="1"/>
    </xf>
    <xf numFmtId="186" fontId="14" fillId="0" borderId="2" xfId="11464" applyNumberFormat="1" applyFont="1" applyBorder="1" applyAlignment="1">
      <alignment horizontal="center" vertical="center" wrapText="1"/>
    </xf>
    <xf numFmtId="186" fontId="14" fillId="0" borderId="16" xfId="11464" applyNumberFormat="1" applyFont="1" applyBorder="1" applyAlignment="1">
      <alignment horizontal="center" vertical="center" wrapText="1"/>
    </xf>
    <xf numFmtId="164" fontId="14" fillId="34" borderId="111" xfId="10257" applyNumberFormat="1" applyFont="1" applyFill="1" applyBorder="1" applyAlignment="1">
      <alignment horizontal="center" vertical="center" wrapText="1"/>
    </xf>
    <xf numFmtId="164" fontId="14" fillId="34" borderId="228" xfId="10257" applyNumberFormat="1" applyFont="1" applyFill="1" applyBorder="1" applyAlignment="1">
      <alignment horizontal="center" vertical="center" wrapText="1"/>
    </xf>
    <xf numFmtId="167" fontId="14" fillId="34" borderId="107" xfId="11464" applyNumberFormat="1" applyFont="1" applyFill="1" applyBorder="1" applyAlignment="1">
      <alignment horizontal="center" vertical="center"/>
    </xf>
    <xf numFmtId="167" fontId="14" fillId="34" borderId="18" xfId="11464" applyNumberFormat="1" applyFont="1" applyFill="1" applyBorder="1" applyAlignment="1">
      <alignment horizontal="center" vertical="center"/>
    </xf>
    <xf numFmtId="9" fontId="14" fillId="34" borderId="111" xfId="22756" applyFont="1" applyFill="1" applyBorder="1" applyAlignment="1">
      <alignment horizontal="center" vertical="center"/>
    </xf>
    <xf numFmtId="9" fontId="14" fillId="34" borderId="110" xfId="22756" applyFont="1" applyFill="1" applyBorder="1" applyAlignment="1">
      <alignment horizontal="center" vertical="center"/>
    </xf>
    <xf numFmtId="164" fontId="8" fillId="0" borderId="227" xfId="10257" applyNumberFormat="1" applyFont="1" applyBorder="1" applyAlignment="1">
      <alignment horizontal="center" vertical="center" wrapText="1"/>
    </xf>
    <xf numFmtId="164" fontId="8" fillId="0" borderId="72" xfId="10257" applyNumberFormat="1" applyFont="1" applyBorder="1" applyAlignment="1">
      <alignment horizontal="center" vertical="center" wrapText="1"/>
    </xf>
    <xf numFmtId="167" fontId="14" fillId="34" borderId="35" xfId="11464" applyNumberFormat="1" applyFont="1" applyFill="1" applyBorder="1" applyAlignment="1">
      <alignment horizontal="center" vertical="center"/>
    </xf>
    <xf numFmtId="167" fontId="14" fillId="34" borderId="110" xfId="11464" applyNumberFormat="1" applyFont="1" applyFill="1" applyBorder="1" applyAlignment="1">
      <alignment horizontal="center" vertical="center"/>
    </xf>
    <xf numFmtId="164" fontId="14" fillId="34" borderId="75" xfId="10257" applyNumberFormat="1" applyFont="1" applyFill="1" applyBorder="1" applyAlignment="1">
      <alignment horizontal="center" vertical="center" wrapText="1"/>
    </xf>
    <xf numFmtId="164" fontId="14" fillId="34" borderId="35" xfId="10257" applyNumberFormat="1" applyFont="1" applyFill="1" applyBorder="1" applyAlignment="1">
      <alignment horizontal="center" vertical="center" wrapText="1"/>
    </xf>
    <xf numFmtId="167" fontId="23" fillId="34" borderId="76" xfId="11464" applyNumberFormat="1" applyFont="1" applyFill="1" applyBorder="1" applyAlignment="1">
      <alignment horizontal="center" vertical="center"/>
    </xf>
    <xf numFmtId="167" fontId="23" fillId="34" borderId="78" xfId="11464" applyNumberFormat="1" applyFont="1" applyFill="1" applyBorder="1" applyAlignment="1">
      <alignment horizontal="center" vertical="center"/>
    </xf>
    <xf numFmtId="167" fontId="23" fillId="34" borderId="77" xfId="11464" applyNumberFormat="1" applyFont="1" applyFill="1" applyBorder="1" applyAlignment="1">
      <alignment horizontal="center" vertical="center"/>
    </xf>
    <xf numFmtId="167" fontId="23" fillId="34" borderId="15" xfId="11464" applyNumberFormat="1" applyFont="1" applyFill="1" applyBorder="1" applyAlignment="1">
      <alignment horizontal="center" vertical="center"/>
    </xf>
    <xf numFmtId="164" fontId="8" fillId="0" borderId="59" xfId="10257" applyNumberFormat="1" applyFont="1" applyBorder="1" applyAlignment="1">
      <alignment horizontal="center" vertical="center" wrapText="1"/>
    </xf>
    <xf numFmtId="164" fontId="8" fillId="0" borderId="18" xfId="10257" applyNumberFormat="1" applyFont="1" applyBorder="1" applyAlignment="1">
      <alignment horizontal="center" vertical="center" wrapText="1"/>
    </xf>
    <xf numFmtId="167" fontId="95" fillId="36" borderId="0" xfId="11464" applyNumberFormat="1" applyFont="1" applyFill="1" applyAlignment="1">
      <alignment horizontal="center" vertical="center" wrapText="1"/>
    </xf>
    <xf numFmtId="167" fontId="95" fillId="37" borderId="0" xfId="11464" applyNumberFormat="1" applyFont="1" applyFill="1" applyAlignment="1">
      <alignment horizontal="center" vertical="center" wrapText="1"/>
    </xf>
    <xf numFmtId="167" fontId="23" fillId="34" borderId="12" xfId="41057" applyNumberFormat="1" applyFont="1" applyFill="1" applyBorder="1" applyAlignment="1" applyProtection="1">
      <alignment horizontal="center" vertical="center"/>
    </xf>
    <xf numFmtId="167" fontId="23" fillId="34" borderId="14" xfId="41057" applyNumberFormat="1" applyFont="1" applyFill="1" applyBorder="1" applyAlignment="1" applyProtection="1">
      <alignment horizontal="center" vertical="center"/>
    </xf>
    <xf numFmtId="167" fontId="23" fillId="34" borderId="13" xfId="11464" applyNumberFormat="1" applyFont="1" applyFill="1" applyBorder="1" applyAlignment="1">
      <alignment horizontal="center" vertical="center"/>
    </xf>
    <xf numFmtId="167" fontId="23" fillId="34" borderId="16" xfId="11464" applyNumberFormat="1" applyFont="1" applyFill="1" applyBorder="1" applyAlignment="1">
      <alignment horizontal="center" vertical="center"/>
    </xf>
    <xf numFmtId="167" fontId="23" fillId="34" borderId="75" xfId="11464" applyNumberFormat="1" applyFont="1" applyFill="1" applyBorder="1" applyAlignment="1">
      <alignment horizontal="center" vertical="center"/>
    </xf>
    <xf numFmtId="167" fontId="23" fillId="34" borderId="35" xfId="11464" applyNumberFormat="1" applyFont="1" applyFill="1" applyBorder="1" applyAlignment="1">
      <alignment horizontal="center" vertical="center"/>
    </xf>
    <xf numFmtId="210" fontId="14" fillId="34" borderId="111" xfId="22756" applyNumberFormat="1" applyFont="1" applyFill="1" applyBorder="1" applyAlignment="1">
      <alignment horizontal="center" vertical="center"/>
    </xf>
    <xf numFmtId="210" fontId="14" fillId="34" borderId="228" xfId="22756" applyNumberFormat="1" applyFont="1" applyFill="1" applyBorder="1" applyAlignment="1">
      <alignment horizontal="center" vertical="center"/>
    </xf>
    <xf numFmtId="167" fontId="14" fillId="34" borderId="127" xfId="11464" applyNumberFormat="1" applyFont="1" applyFill="1" applyBorder="1" applyAlignment="1">
      <alignment horizontal="center" vertical="center"/>
    </xf>
    <xf numFmtId="0" fontId="8" fillId="0" borderId="4" xfId="17" applyFont="1" applyBorder="1" applyAlignment="1">
      <alignment horizontal="left" vertical="center" wrapText="1"/>
    </xf>
    <xf numFmtId="0" fontId="8" fillId="0" borderId="0" xfId="17" applyFont="1" applyAlignment="1">
      <alignment horizontal="left" vertical="center" wrapText="1"/>
    </xf>
    <xf numFmtId="0" fontId="8" fillId="0" borderId="3" xfId="17" applyFont="1" applyBorder="1" applyAlignment="1">
      <alignment horizontal="left" vertical="center" wrapText="1"/>
    </xf>
    <xf numFmtId="165" fontId="13" fillId="0" borderId="0" xfId="21" applyFont="1" applyAlignment="1">
      <alignment horizontal="center" vertical="center"/>
    </xf>
    <xf numFmtId="0" fontId="7" fillId="0" borderId="9" xfId="15007" applyNumberFormat="1" applyFont="1" applyBorder="1" applyAlignment="1">
      <alignment horizontal="center" vertical="center"/>
    </xf>
    <xf numFmtId="0" fontId="7" fillId="0" borderId="42" xfId="15007" applyNumberFormat="1" applyFont="1" applyBorder="1" applyAlignment="1">
      <alignment horizontal="center" vertical="center"/>
    </xf>
    <xf numFmtId="0" fontId="7" fillId="0" borderId="43" xfId="15007" applyNumberFormat="1" applyFont="1" applyBorder="1" applyAlignment="1">
      <alignment horizontal="center" vertical="center"/>
    </xf>
    <xf numFmtId="0" fontId="7" fillId="0" borderId="214" xfId="15007" applyNumberFormat="1" applyFont="1" applyBorder="1" applyAlignment="1">
      <alignment horizontal="center" vertical="center" wrapText="1"/>
    </xf>
    <xf numFmtId="0" fontId="7" fillId="0" borderId="215" xfId="15007" applyNumberFormat="1" applyFont="1" applyBorder="1" applyAlignment="1">
      <alignment horizontal="center" vertical="center" wrapText="1"/>
    </xf>
    <xf numFmtId="0" fontId="7" fillId="0" borderId="216" xfId="15007" applyNumberFormat="1" applyFont="1" applyBorder="1" applyAlignment="1">
      <alignment horizontal="center" vertical="center" wrapText="1"/>
    </xf>
    <xf numFmtId="167" fontId="7" fillId="0" borderId="275" xfId="0" applyFont="1" applyBorder="1" applyAlignment="1">
      <alignment horizontal="center" vertical="center"/>
    </xf>
    <xf numFmtId="167" fontId="7" fillId="0" borderId="19" xfId="0" applyFont="1" applyBorder="1" applyAlignment="1">
      <alignment horizontal="center" vertical="center"/>
    </xf>
    <xf numFmtId="167" fontId="7" fillId="0" borderId="9" xfId="0" applyFont="1" applyBorder="1" applyAlignment="1">
      <alignment horizontal="center" vertical="center"/>
    </xf>
    <xf numFmtId="167" fontId="7" fillId="0" borderId="42" xfId="0" applyFont="1" applyBorder="1" applyAlignment="1">
      <alignment horizontal="center" vertical="center"/>
    </xf>
    <xf numFmtId="167" fontId="7" fillId="0" borderId="43" xfId="0" applyFont="1" applyBorder="1" applyAlignment="1">
      <alignment horizontal="center" vertical="center"/>
    </xf>
    <xf numFmtId="167" fontId="8" fillId="0" borderId="214" xfId="0" applyFont="1" applyBorder="1" applyAlignment="1">
      <alignment horizontal="center" vertical="center"/>
    </xf>
    <xf numFmtId="167" fontId="8" fillId="0" borderId="216" xfId="0" applyFont="1" applyBorder="1" applyAlignment="1">
      <alignment horizontal="center" vertical="center"/>
    </xf>
    <xf numFmtId="167" fontId="7" fillId="0" borderId="296" xfId="0" quotePrefix="1" applyFont="1" applyBorder="1" applyAlignment="1">
      <alignment horizontal="center" vertical="center"/>
    </xf>
    <xf numFmtId="167" fontId="7" fillId="0" borderId="295" xfId="0" quotePrefix="1" applyFont="1" applyBorder="1" applyAlignment="1">
      <alignment horizontal="center" vertical="center"/>
    </xf>
    <xf numFmtId="167" fontId="7" fillId="0" borderId="40" xfId="0" quotePrefix="1" applyFont="1" applyBorder="1" applyAlignment="1">
      <alignment horizontal="center" vertical="center"/>
    </xf>
    <xf numFmtId="167" fontId="7" fillId="0" borderId="18" xfId="0" quotePrefix="1" applyFont="1" applyBorder="1" applyAlignment="1">
      <alignment horizontal="center" vertical="center"/>
    </xf>
    <xf numFmtId="167" fontId="7" fillId="0" borderId="30" xfId="0" applyFont="1" applyBorder="1" applyAlignment="1">
      <alignment horizontal="center" vertical="center"/>
    </xf>
    <xf numFmtId="167" fontId="7" fillId="0" borderId="218" xfId="0" applyFont="1" applyBorder="1" applyAlignment="1">
      <alignment horizontal="center" vertical="center"/>
    </xf>
    <xf numFmtId="167" fontId="7" fillId="0" borderId="5" xfId="0" applyFont="1" applyBorder="1" applyAlignment="1">
      <alignment horizontal="center" vertical="center"/>
    </xf>
    <xf numFmtId="167" fontId="7" fillId="0" borderId="274" xfId="0" applyFont="1" applyBorder="1" applyAlignment="1">
      <alignment horizontal="center" vertical="center"/>
    </xf>
    <xf numFmtId="167" fontId="7" fillId="0" borderId="7" xfId="0" applyFont="1" applyBorder="1" applyAlignment="1">
      <alignment horizontal="center" vertical="center"/>
    </xf>
    <xf numFmtId="167" fontId="7" fillId="0" borderId="40" xfId="0" applyFont="1" applyBorder="1" applyAlignment="1">
      <alignment horizontal="center" vertical="center"/>
    </xf>
    <xf numFmtId="167" fontId="7" fillId="0" borderId="59" xfId="0" applyFont="1" applyBorder="1" applyAlignment="1">
      <alignment horizontal="center" vertical="center"/>
    </xf>
    <xf numFmtId="167" fontId="7" fillId="0" borderId="18" xfId="0" applyFont="1" applyBorder="1" applyAlignment="1">
      <alignment horizontal="center" vertical="center"/>
    </xf>
    <xf numFmtId="0" fontId="8" fillId="0" borderId="194" xfId="17" applyFont="1" applyBorder="1" applyAlignment="1">
      <alignment horizontal="left" vertical="center" wrapText="1"/>
    </xf>
    <xf numFmtId="167" fontId="9" fillId="0" borderId="186" xfId="0" applyFont="1" applyBorder="1" applyAlignment="1">
      <alignment horizontal="left" vertical="center" wrapText="1"/>
    </xf>
    <xf numFmtId="0" fontId="8" fillId="0" borderId="138" xfId="17" applyFont="1" applyBorder="1" applyAlignment="1">
      <alignment horizontal="left" vertical="center" wrapText="1"/>
    </xf>
    <xf numFmtId="167" fontId="9" fillId="0" borderId="293" xfId="0" applyFont="1" applyBorder="1" applyAlignment="1">
      <alignment horizontal="left" vertical="center" wrapText="1"/>
    </xf>
    <xf numFmtId="167" fontId="7" fillId="0" borderId="32" xfId="0" applyFont="1" applyBorder="1" applyAlignment="1">
      <alignment horizontal="center" vertical="center" wrapText="1"/>
    </xf>
    <xf numFmtId="167" fontId="7" fillId="0" borderId="219" xfId="0" applyFont="1" applyBorder="1" applyAlignment="1">
      <alignment horizontal="center" vertical="center"/>
    </xf>
    <xf numFmtId="167" fontId="7" fillId="0" borderId="6" xfId="0" applyFont="1" applyBorder="1" applyAlignment="1">
      <alignment horizontal="center" vertical="center" wrapText="1"/>
    </xf>
    <xf numFmtId="167" fontId="7" fillId="0" borderId="6" xfId="0" applyFont="1" applyBorder="1" applyAlignment="1">
      <alignment horizontal="center" vertical="center"/>
    </xf>
    <xf numFmtId="167" fontId="9" fillId="0" borderId="0" xfId="0" applyFont="1" applyAlignment="1">
      <alignment horizontal="left" vertical="center" wrapText="1"/>
    </xf>
    <xf numFmtId="0" fontId="156" fillId="57" borderId="0" xfId="41062" applyNumberFormat="1" applyFont="1" applyFill="1" applyAlignment="1">
      <alignment horizontal="center" vertical="center" wrapText="1"/>
    </xf>
    <xf numFmtId="0" fontId="156" fillId="58" borderId="0" xfId="41062" applyNumberFormat="1" applyFont="1" applyFill="1" applyAlignment="1">
      <alignment horizontal="center" vertical="center" wrapText="1"/>
    </xf>
    <xf numFmtId="0" fontId="156" fillId="43" borderId="0" xfId="41062" applyNumberFormat="1" applyFont="1" applyFill="1" applyAlignment="1">
      <alignment horizontal="center" vertical="center" wrapText="1"/>
    </xf>
    <xf numFmtId="0" fontId="156" fillId="40" borderId="0" xfId="41062" applyNumberFormat="1" applyFont="1" applyFill="1" applyAlignment="1">
      <alignment horizontal="center" vertical="center" wrapText="1"/>
    </xf>
    <xf numFmtId="0" fontId="156" fillId="9" borderId="0" xfId="17" applyFont="1" applyFill="1" applyAlignment="1">
      <alignment horizontal="center" vertical="center" wrapText="1"/>
    </xf>
    <xf numFmtId="0" fontId="156" fillId="36" borderId="0" xfId="41062" applyNumberFormat="1" applyFont="1" applyFill="1" applyAlignment="1">
      <alignment horizontal="center" vertical="center" wrapText="1"/>
    </xf>
    <xf numFmtId="0" fontId="156" fillId="50" borderId="0" xfId="17" applyFont="1" applyFill="1" applyAlignment="1">
      <alignment horizontal="center" vertical="center" wrapText="1"/>
    </xf>
    <xf numFmtId="0" fontId="13" fillId="8" borderId="10" xfId="0" applyNumberFormat="1" applyFont="1" applyFill="1" applyBorder="1" applyAlignment="1">
      <alignment horizontal="center" vertical="center"/>
    </xf>
    <xf numFmtId="0" fontId="13" fillId="8" borderId="202" xfId="0" applyNumberFormat="1" applyFont="1" applyFill="1" applyBorder="1" applyAlignment="1">
      <alignment horizontal="center" vertical="center"/>
    </xf>
    <xf numFmtId="0" fontId="13" fillId="8" borderId="299" xfId="0" applyNumberFormat="1" applyFont="1" applyFill="1" applyBorder="1" applyAlignment="1">
      <alignment horizontal="center" vertical="center"/>
    </xf>
    <xf numFmtId="0" fontId="13" fillId="8" borderId="297" xfId="0" applyNumberFormat="1" applyFont="1" applyFill="1" applyBorder="1" applyAlignment="1">
      <alignment horizontal="center" vertical="center"/>
    </xf>
    <xf numFmtId="0" fontId="13" fillId="8" borderId="31" xfId="0" applyNumberFormat="1" applyFont="1" applyFill="1" applyBorder="1" applyAlignment="1">
      <alignment horizontal="center" vertical="center"/>
    </xf>
    <xf numFmtId="0" fontId="13" fillId="8" borderId="298" xfId="0" applyNumberFormat="1" applyFont="1" applyFill="1" applyBorder="1" applyAlignment="1">
      <alignment horizontal="center" vertical="center" wrapText="1"/>
    </xf>
    <xf numFmtId="0" fontId="13" fillId="8" borderId="300" xfId="0" applyNumberFormat="1" applyFont="1" applyFill="1" applyBorder="1" applyAlignment="1">
      <alignment horizontal="center" vertical="center" wrapText="1"/>
    </xf>
    <xf numFmtId="0" fontId="96" fillId="0" borderId="0" xfId="11593" applyFont="1" applyAlignment="1">
      <alignment horizontal="center" vertical="center"/>
    </xf>
    <xf numFmtId="0" fontId="14" fillId="34" borderId="10" xfId="0" applyNumberFormat="1" applyFont="1" applyFill="1" applyBorder="1" applyAlignment="1">
      <alignment horizontal="center" vertical="center"/>
    </xf>
    <xf numFmtId="0" fontId="14" fillId="34" borderId="202" xfId="0" applyNumberFormat="1" applyFont="1" applyFill="1" applyBorder="1" applyAlignment="1">
      <alignment horizontal="center" vertical="center"/>
    </xf>
    <xf numFmtId="0" fontId="14" fillId="34" borderId="9" xfId="0" applyNumberFormat="1" applyFont="1" applyFill="1" applyBorder="1" applyAlignment="1">
      <alignment horizontal="center" vertical="center" wrapText="1"/>
    </xf>
    <xf numFmtId="0" fontId="14" fillId="34" borderId="42" xfId="0" applyNumberFormat="1" applyFont="1" applyFill="1" applyBorder="1" applyAlignment="1">
      <alignment horizontal="center" vertical="center" wrapText="1"/>
    </xf>
    <xf numFmtId="0" fontId="14" fillId="34" borderId="43" xfId="0" applyNumberFormat="1" applyFont="1" applyFill="1" applyBorder="1" applyAlignment="1">
      <alignment horizontal="center" vertical="center" wrapText="1"/>
    </xf>
    <xf numFmtId="0" fontId="13" fillId="34" borderId="6" xfId="0" applyNumberFormat="1" applyFont="1" applyFill="1" applyBorder="1" applyAlignment="1">
      <alignment horizontal="center" vertical="center"/>
    </xf>
    <xf numFmtId="0" fontId="13" fillId="34" borderId="254" xfId="0" applyNumberFormat="1" applyFont="1" applyFill="1" applyBorder="1" applyAlignment="1">
      <alignment horizontal="center" vertical="center"/>
    </xf>
    <xf numFmtId="167" fontId="24" fillId="10" borderId="145" xfId="0" applyFont="1" applyFill="1" applyBorder="1" applyAlignment="1">
      <alignment horizontal="center" vertical="center" textRotation="90" wrapText="1"/>
    </xf>
    <xf numFmtId="167" fontId="24" fillId="10" borderId="140" xfId="0" applyFont="1" applyFill="1" applyBorder="1" applyAlignment="1">
      <alignment horizontal="center" vertical="center" textRotation="90" wrapText="1"/>
    </xf>
    <xf numFmtId="167" fontId="24" fillId="10" borderId="141" xfId="0" applyFont="1" applyFill="1" applyBorder="1" applyAlignment="1">
      <alignment horizontal="center" vertical="center" textRotation="90" wrapText="1"/>
    </xf>
    <xf numFmtId="167" fontId="14" fillId="0" borderId="231" xfId="0" applyFont="1" applyBorder="1" applyAlignment="1">
      <alignment horizontal="center" vertical="center" wrapText="1"/>
    </xf>
    <xf numFmtId="167" fontId="14" fillId="0" borderId="108" xfId="0" applyFont="1" applyBorder="1" applyAlignment="1">
      <alignment horizontal="center" vertical="center" wrapText="1"/>
    </xf>
    <xf numFmtId="167" fontId="14" fillId="0" borderId="109" xfId="0" applyFont="1" applyBorder="1" applyAlignment="1">
      <alignment horizontal="center" vertical="center" wrapText="1"/>
    </xf>
    <xf numFmtId="186" fontId="7" fillId="39" borderId="233" xfId="0" applyNumberFormat="1" applyFont="1" applyFill="1" applyBorder="1" applyAlignment="1">
      <alignment horizontal="center" vertical="center" wrapText="1"/>
    </xf>
    <xf numFmtId="186" fontId="8" fillId="9" borderId="233" xfId="0" applyNumberFormat="1" applyFont="1" applyFill="1" applyBorder="1" applyAlignment="1">
      <alignment horizontal="center" vertical="center" wrapText="1"/>
    </xf>
    <xf numFmtId="39" fontId="14" fillId="0" borderId="172" xfId="0" applyNumberFormat="1" applyFont="1" applyBorder="1" applyAlignment="1">
      <alignment horizontal="center" vertical="center" wrapText="1"/>
    </xf>
    <xf numFmtId="39" fontId="14" fillId="0" borderId="250" xfId="0" applyNumberFormat="1" applyFont="1" applyBorder="1" applyAlignment="1">
      <alignment horizontal="center" vertical="center" wrapText="1"/>
    </xf>
    <xf numFmtId="39" fontId="14" fillId="0" borderId="131" xfId="0" applyNumberFormat="1" applyFont="1" applyBorder="1" applyAlignment="1">
      <alignment horizontal="center" vertical="center" wrapText="1"/>
    </xf>
    <xf numFmtId="39" fontId="14" fillId="0" borderId="23" xfId="0" applyNumberFormat="1" applyFont="1" applyBorder="1" applyAlignment="1">
      <alignment horizontal="center" vertical="center" wrapText="1"/>
    </xf>
    <xf numFmtId="39" fontId="14" fillId="0" borderId="129" xfId="0" applyNumberFormat="1" applyFont="1" applyBorder="1" applyAlignment="1">
      <alignment horizontal="center" vertical="center" wrapText="1"/>
    </xf>
    <xf numFmtId="37" fontId="10" fillId="10" borderId="146" xfId="41057" applyNumberFormat="1" applyFont="1" applyFill="1" applyBorder="1" applyAlignment="1" applyProtection="1">
      <alignment horizontal="center" vertical="center" wrapText="1"/>
    </xf>
    <xf numFmtId="37" fontId="10" fillId="10" borderId="266" xfId="41057" applyNumberFormat="1" applyFont="1" applyFill="1" applyBorder="1" applyAlignment="1" applyProtection="1">
      <alignment horizontal="center" vertical="center" wrapText="1"/>
    </xf>
    <xf numFmtId="39" fontId="14" fillId="0" borderId="117" xfId="0" applyNumberFormat="1" applyFont="1" applyBorder="1" applyAlignment="1">
      <alignment horizontal="center" vertical="center" wrapText="1"/>
    </xf>
    <xf numFmtId="39" fontId="14" fillId="0" borderId="247" xfId="0" applyNumberFormat="1" applyFont="1" applyBorder="1" applyAlignment="1">
      <alignment horizontal="center" vertical="center" wrapText="1"/>
    </xf>
    <xf numFmtId="39" fontId="14" fillId="0" borderId="212" xfId="0" applyNumberFormat="1" applyFont="1" applyBorder="1" applyAlignment="1">
      <alignment horizontal="center" vertical="center" wrapText="1"/>
    </xf>
    <xf numFmtId="39" fontId="14" fillId="0" borderId="260" xfId="0" applyNumberFormat="1" applyFont="1" applyBorder="1" applyAlignment="1">
      <alignment horizontal="center" vertical="center" wrapText="1"/>
    </xf>
    <xf numFmtId="39" fontId="14" fillId="0" borderId="108" xfId="0" applyNumberFormat="1" applyFont="1" applyBorder="1" applyAlignment="1">
      <alignment horizontal="center" vertical="center" wrapText="1"/>
    </xf>
    <xf numFmtId="39" fontId="14" fillId="0" borderId="148" xfId="0" applyNumberFormat="1" applyFont="1" applyBorder="1" applyAlignment="1">
      <alignment horizontal="center" vertical="center" wrapText="1"/>
    </xf>
    <xf numFmtId="167" fontId="14" fillId="0" borderId="131" xfId="0" applyFont="1" applyBorder="1" applyAlignment="1">
      <alignment horizontal="center" vertical="center" wrapText="1"/>
    </xf>
    <xf numFmtId="167" fontId="14" fillId="0" borderId="23" xfId="0" applyFont="1" applyBorder="1" applyAlignment="1">
      <alignment horizontal="center" vertical="center" wrapText="1"/>
    </xf>
    <xf numFmtId="167" fontId="14" fillId="0" borderId="129" xfId="0" applyFont="1" applyBorder="1" applyAlignment="1">
      <alignment horizontal="center" vertical="center" wrapText="1"/>
    </xf>
    <xf numFmtId="39" fontId="14" fillId="0" borderId="156" xfId="0" applyNumberFormat="1" applyFont="1" applyBorder="1" applyAlignment="1">
      <alignment horizontal="center" vertical="center" wrapText="1"/>
    </xf>
    <xf numFmtId="39" fontId="14" fillId="0" borderId="231" xfId="0" applyNumberFormat="1" applyFont="1" applyBorder="1" applyAlignment="1">
      <alignment horizontal="center" vertical="center" wrapText="1"/>
    </xf>
    <xf numFmtId="39" fontId="14" fillId="0" borderId="169" xfId="0" applyNumberFormat="1" applyFont="1" applyBorder="1" applyAlignment="1">
      <alignment horizontal="center" vertical="center" wrapText="1"/>
    </xf>
    <xf numFmtId="39" fontId="14" fillId="0" borderId="211" xfId="0" applyNumberFormat="1" applyFont="1" applyBorder="1" applyAlignment="1">
      <alignment horizontal="center" vertical="center" wrapText="1"/>
    </xf>
    <xf numFmtId="39" fontId="14" fillId="0" borderId="279" xfId="0" applyNumberFormat="1" applyFont="1" applyBorder="1" applyAlignment="1">
      <alignment horizontal="center" vertical="center" wrapText="1"/>
    </xf>
    <xf numFmtId="37" fontId="14" fillId="0" borderId="206" xfId="0" applyNumberFormat="1" applyFont="1" applyBorder="1" applyAlignment="1">
      <alignment horizontal="center" vertical="center" wrapText="1"/>
    </xf>
    <xf numFmtId="37" fontId="14" fillId="0" borderId="23" xfId="0" applyNumberFormat="1" applyFont="1" applyBorder="1" applyAlignment="1">
      <alignment horizontal="center" vertical="center" wrapText="1"/>
    </xf>
    <xf numFmtId="37" fontId="14" fillId="0" borderId="25" xfId="0" applyNumberFormat="1" applyFont="1" applyBorder="1" applyAlignment="1">
      <alignment horizontal="center" vertical="center" wrapText="1"/>
    </xf>
    <xf numFmtId="37" fontId="14" fillId="0" borderId="70" xfId="0" applyNumberFormat="1" applyFont="1" applyBorder="1" applyAlignment="1">
      <alignment horizontal="center" vertical="center" wrapText="1"/>
    </xf>
    <xf numFmtId="37" fontId="14" fillId="0" borderId="211" xfId="0" applyNumberFormat="1" applyFont="1" applyBorder="1" applyAlignment="1">
      <alignment horizontal="center" vertical="center" wrapText="1"/>
    </xf>
    <xf numFmtId="39" fontId="14" fillId="0" borderId="70" xfId="0" applyNumberFormat="1" applyFont="1" applyBorder="1" applyAlignment="1">
      <alignment horizontal="center" vertical="center" wrapText="1"/>
    </xf>
    <xf numFmtId="39" fontId="14" fillId="0" borderId="71" xfId="0" applyNumberFormat="1" applyFont="1" applyBorder="1" applyAlignment="1">
      <alignment horizontal="center" vertical="center" wrapText="1"/>
    </xf>
    <xf numFmtId="39" fontId="14" fillId="0" borderId="206" xfId="0" applyNumberFormat="1" applyFont="1" applyBorder="1" applyAlignment="1">
      <alignment horizontal="center" vertical="center" wrapText="1"/>
    </xf>
    <xf numFmtId="39" fontId="14" fillId="0" borderId="25" xfId="0" applyNumberFormat="1" applyFont="1" applyBorder="1" applyAlignment="1">
      <alignment horizontal="center" vertical="center" wrapText="1"/>
    </xf>
    <xf numFmtId="37" fontId="14" fillId="0" borderId="211" xfId="0" applyNumberFormat="1" applyFont="1" applyBorder="1" applyAlignment="1">
      <alignment horizontal="center" vertical="center" textRotation="90" wrapText="1"/>
    </xf>
    <xf numFmtId="37" fontId="14" fillId="0" borderId="279" xfId="0" applyNumberFormat="1" applyFont="1" applyBorder="1" applyAlignment="1">
      <alignment horizontal="center" vertical="center" wrapText="1"/>
    </xf>
    <xf numFmtId="167" fontId="24" fillId="10" borderId="93" xfId="0" applyFont="1" applyFill="1" applyBorder="1" applyAlignment="1">
      <alignment horizontal="center" vertical="center" textRotation="90" wrapText="1"/>
    </xf>
    <xf numFmtId="39" fontId="14" fillId="0" borderId="109" xfId="0" applyNumberFormat="1" applyFont="1" applyBorder="1" applyAlignment="1">
      <alignment horizontal="center" vertical="center" wrapText="1"/>
    </xf>
    <xf numFmtId="39" fontId="14" fillId="0" borderId="29" xfId="0" applyNumberFormat="1" applyFont="1" applyBorder="1" applyAlignment="1">
      <alignment horizontal="center" vertical="center" wrapText="1"/>
    </xf>
    <xf numFmtId="39" fontId="10" fillId="0" borderId="33" xfId="41057" applyNumberFormat="1" applyFont="1" applyBorder="1" applyAlignment="1" applyProtection="1">
      <alignment horizontal="center" vertical="center" wrapText="1"/>
    </xf>
    <xf numFmtId="39" fontId="10" fillId="0" borderId="34" xfId="41057" applyNumberFormat="1" applyFont="1" applyBorder="1" applyAlignment="1" applyProtection="1">
      <alignment horizontal="center" vertical="center" wrapText="1"/>
    </xf>
    <xf numFmtId="39" fontId="14" fillId="0" borderId="113" xfId="0" applyNumberFormat="1" applyFont="1" applyBorder="1" applyAlignment="1">
      <alignment horizontal="center" vertical="center" wrapText="1"/>
    </xf>
    <xf numFmtId="39" fontId="14" fillId="0" borderId="208" xfId="0" applyNumberFormat="1" applyFont="1" applyBorder="1" applyAlignment="1">
      <alignment horizontal="center" vertical="center" wrapText="1"/>
    </xf>
    <xf numFmtId="39" fontId="14" fillId="0" borderId="209" xfId="0" applyNumberFormat="1" applyFont="1" applyBorder="1" applyAlignment="1">
      <alignment horizontal="center" vertical="center" wrapText="1"/>
    </xf>
    <xf numFmtId="39" fontId="14" fillId="0" borderId="230" xfId="0" applyNumberFormat="1" applyFont="1" applyBorder="1" applyAlignment="1">
      <alignment horizontal="center" vertical="center" wrapText="1"/>
    </xf>
    <xf numFmtId="37" fontId="14" fillId="0" borderId="229" xfId="0" applyNumberFormat="1" applyFont="1" applyBorder="1" applyAlignment="1">
      <alignment horizontal="center" vertical="center" wrapText="1"/>
    </xf>
    <xf numFmtId="37" fontId="14" fillId="0" borderId="208" xfId="0" applyNumberFormat="1" applyFont="1" applyBorder="1" applyAlignment="1">
      <alignment horizontal="center" vertical="center" wrapText="1"/>
    </xf>
    <xf numFmtId="37" fontId="14" fillId="0" borderId="230" xfId="0" applyNumberFormat="1" applyFont="1" applyBorder="1" applyAlignment="1">
      <alignment horizontal="center" vertical="center" wrapText="1"/>
    </xf>
    <xf numFmtId="39" fontId="14" fillId="0" borderId="187" xfId="0" applyNumberFormat="1" applyFont="1" applyBorder="1" applyAlignment="1">
      <alignment horizontal="center" vertical="center" wrapText="1"/>
    </xf>
    <xf numFmtId="39" fontId="14" fillId="0" borderId="251" xfId="0" applyNumberFormat="1" applyFont="1" applyBorder="1" applyAlignment="1">
      <alignment horizontal="center" vertical="center" wrapText="1"/>
    </xf>
    <xf numFmtId="39" fontId="14" fillId="0" borderId="155" xfId="0" applyNumberFormat="1" applyFont="1" applyBorder="1" applyAlignment="1">
      <alignment horizontal="center" vertical="center" wrapText="1"/>
    </xf>
    <xf numFmtId="39" fontId="14" fillId="0" borderId="153" xfId="0" applyNumberFormat="1" applyFont="1" applyBorder="1" applyAlignment="1">
      <alignment horizontal="center" vertical="center" wrapText="1"/>
    </xf>
    <xf numFmtId="39" fontId="14" fillId="0" borderId="276" xfId="0" applyNumberFormat="1" applyFont="1" applyBorder="1" applyAlignment="1">
      <alignment horizontal="center" vertical="center" wrapText="1"/>
    </xf>
    <xf numFmtId="39" fontId="14" fillId="0" borderId="245" xfId="0" applyNumberFormat="1" applyFont="1" applyBorder="1" applyAlignment="1">
      <alignment horizontal="center" vertical="center" wrapText="1"/>
    </xf>
    <xf numFmtId="37" fontId="14" fillId="0" borderId="156" xfId="0" applyNumberFormat="1" applyFont="1" applyBorder="1" applyAlignment="1">
      <alignment horizontal="center" vertical="center" wrapText="1"/>
    </xf>
    <xf numFmtId="37" fontId="14" fillId="0" borderId="108" xfId="0" applyNumberFormat="1" applyFont="1" applyBorder="1" applyAlignment="1">
      <alignment horizontal="center" vertical="center" wrapText="1"/>
    </xf>
    <xf numFmtId="37" fontId="14" fillId="0" borderId="148" xfId="0" applyNumberFormat="1" applyFont="1" applyBorder="1" applyAlignment="1">
      <alignment horizontal="center" vertical="center" wrapText="1"/>
    </xf>
    <xf numFmtId="39" fontId="14" fillId="0" borderId="3" xfId="0" applyNumberFormat="1" applyFont="1" applyBorder="1" applyAlignment="1">
      <alignment horizontal="center" vertical="center" wrapText="1"/>
    </xf>
    <xf numFmtId="39" fontId="14" fillId="0" borderId="242" xfId="0" applyNumberFormat="1" applyFont="1" applyBorder="1" applyAlignment="1">
      <alignment horizontal="center" vertical="center" wrapText="1"/>
    </xf>
    <xf numFmtId="39" fontId="14" fillId="0" borderId="35" xfId="0" applyNumberFormat="1" applyFont="1" applyBorder="1" applyAlignment="1">
      <alignment horizontal="center" vertical="center" wrapText="1"/>
    </xf>
    <xf numFmtId="39" fontId="14" fillId="0" borderId="228" xfId="0" applyNumberFormat="1" applyFont="1" applyBorder="1" applyAlignment="1">
      <alignment horizontal="center" vertical="center" wrapText="1"/>
    </xf>
    <xf numFmtId="39" fontId="14" fillId="0" borderId="160" xfId="0" applyNumberFormat="1" applyFont="1" applyBorder="1" applyAlignment="1">
      <alignment horizontal="center" vertical="center" wrapText="1"/>
    </xf>
    <xf numFmtId="37" fontId="14" fillId="0" borderId="18" xfId="0" applyNumberFormat="1" applyFont="1" applyBorder="1" applyAlignment="1">
      <alignment horizontal="center" vertical="center" wrapText="1"/>
    </xf>
    <xf numFmtId="37" fontId="14" fillId="0" borderId="248" xfId="0" applyNumberFormat="1" applyFont="1" applyBorder="1" applyAlignment="1">
      <alignment horizontal="center" vertical="center" wrapText="1"/>
    </xf>
    <xf numFmtId="37" fontId="14" fillId="0" borderId="160" xfId="0" applyNumberFormat="1" applyFont="1" applyBorder="1" applyAlignment="1">
      <alignment horizontal="center" vertical="center" wrapText="1"/>
    </xf>
    <xf numFmtId="37" fontId="14" fillId="0" borderId="90" xfId="0" applyNumberFormat="1" applyFont="1" applyBorder="1" applyAlignment="1">
      <alignment horizontal="center" vertical="center" wrapText="1"/>
    </xf>
    <xf numFmtId="37" fontId="14" fillId="0" borderId="181" xfId="0" applyNumberFormat="1" applyFont="1" applyBorder="1" applyAlignment="1">
      <alignment horizontal="center" vertical="center" wrapText="1"/>
    </xf>
    <xf numFmtId="37" fontId="14" fillId="0" borderId="250" xfId="0" applyNumberFormat="1" applyFont="1" applyBorder="1" applyAlignment="1">
      <alignment horizontal="center" vertical="center" wrapText="1"/>
    </xf>
    <xf numFmtId="183" fontId="14" fillId="0" borderId="172" xfId="0" applyNumberFormat="1" applyFont="1" applyBorder="1" applyAlignment="1">
      <alignment horizontal="center" vertical="center" wrapText="1"/>
    </xf>
    <xf numFmtId="183" fontId="14" fillId="0" borderId="3" xfId="0" applyNumberFormat="1" applyFont="1" applyBorder="1" applyAlignment="1">
      <alignment horizontal="center" vertical="center" wrapText="1"/>
    </xf>
    <xf numFmtId="183" fontId="14" fillId="0" borderId="25" xfId="0" applyNumberFormat="1" applyFont="1" applyBorder="1" applyAlignment="1">
      <alignment horizontal="center" vertical="center" wrapText="1"/>
    </xf>
    <xf numFmtId="183" fontId="14" fillId="0" borderId="129" xfId="0" applyNumberFormat="1" applyFont="1" applyBorder="1" applyAlignment="1">
      <alignment horizontal="center" vertical="center" wrapText="1"/>
    </xf>
    <xf numFmtId="183" fontId="14" fillId="0" borderId="167" xfId="0" applyNumberFormat="1" applyFont="1" applyBorder="1" applyAlignment="1">
      <alignment horizontal="center" vertical="center" wrapText="1"/>
    </xf>
    <xf numFmtId="183" fontId="14" fillId="0" borderId="127" xfId="0" applyNumberFormat="1" applyFont="1" applyBorder="1" applyAlignment="1">
      <alignment horizontal="center" vertical="center" wrapText="1"/>
    </xf>
    <xf numFmtId="183" fontId="14" fillId="0" borderId="178" xfId="0" applyNumberFormat="1" applyFont="1" applyBorder="1" applyAlignment="1">
      <alignment horizontal="center" vertical="center" wrapText="1"/>
    </xf>
    <xf numFmtId="183" fontId="14" fillId="0" borderId="0" xfId="0" applyNumberFormat="1" applyFont="1" applyAlignment="1">
      <alignment horizontal="center" vertical="center" wrapText="1"/>
    </xf>
    <xf numFmtId="183" fontId="14" fillId="0" borderId="118" xfId="0" applyNumberFormat="1" applyFont="1" applyBorder="1" applyAlignment="1">
      <alignment horizontal="center" vertical="center" wrapText="1"/>
    </xf>
    <xf numFmtId="39" fontId="14" fillId="0" borderId="252" xfId="0" applyNumberFormat="1" applyFont="1" applyBorder="1" applyAlignment="1">
      <alignment horizontal="center" vertical="center" wrapText="1"/>
    </xf>
    <xf numFmtId="183" fontId="14" fillId="0" borderId="131" xfId="0" applyNumberFormat="1" applyFont="1" applyBorder="1" applyAlignment="1">
      <alignment horizontal="center" vertical="center" wrapText="1"/>
    </xf>
    <xf numFmtId="183" fontId="14" fillId="0" borderId="23" xfId="0" applyNumberFormat="1" applyFont="1" applyBorder="1" applyAlignment="1">
      <alignment horizontal="center" vertical="center" wrapText="1"/>
    </xf>
    <xf numFmtId="183" fontId="14" fillId="0" borderId="131" xfId="0" applyNumberFormat="1" applyFont="1" applyBorder="1" applyAlignment="1">
      <alignment horizontal="center" vertical="center" textRotation="90" wrapText="1"/>
    </xf>
    <xf numFmtId="183" fontId="14" fillId="0" borderId="23" xfId="0" applyNumberFormat="1" applyFont="1" applyBorder="1" applyAlignment="1">
      <alignment horizontal="center" vertical="center" textRotation="90" wrapText="1"/>
    </xf>
    <xf numFmtId="183" fontId="14" fillId="0" borderId="129" xfId="0" applyNumberFormat="1" applyFont="1" applyBorder="1" applyAlignment="1">
      <alignment horizontal="center" vertical="center" textRotation="90" wrapText="1"/>
    </xf>
    <xf numFmtId="183" fontId="14" fillId="0" borderId="155" xfId="0" applyNumberFormat="1" applyFont="1" applyBorder="1" applyAlignment="1">
      <alignment horizontal="center" vertical="center" wrapText="1"/>
    </xf>
    <xf numFmtId="183" fontId="14" fillId="0" borderId="211" xfId="0" applyNumberFormat="1" applyFont="1" applyBorder="1" applyAlignment="1">
      <alignment horizontal="center" vertical="center" wrapText="1"/>
    </xf>
    <xf numFmtId="183" fontId="14" fillId="0" borderId="206" xfId="0" applyNumberFormat="1" applyFont="1" applyBorder="1" applyAlignment="1">
      <alignment horizontal="center" vertical="center" wrapText="1"/>
    </xf>
    <xf numFmtId="183" fontId="14" fillId="0" borderId="153" xfId="0" applyNumberFormat="1" applyFont="1" applyBorder="1" applyAlignment="1">
      <alignment horizontal="center" vertical="center" wrapText="1"/>
    </xf>
    <xf numFmtId="183" fontId="14" fillId="0" borderId="176" xfId="0" applyNumberFormat="1" applyFont="1" applyBorder="1" applyAlignment="1">
      <alignment horizontal="center" vertical="center" wrapText="1"/>
    </xf>
    <xf numFmtId="183" fontId="14" fillId="0" borderId="260" xfId="0" applyNumberFormat="1" applyFont="1" applyBorder="1" applyAlignment="1">
      <alignment horizontal="center" vertical="center" wrapText="1"/>
    </xf>
    <xf numFmtId="183" fontId="27" fillId="0" borderId="131" xfId="0" applyNumberFormat="1" applyFont="1" applyBorder="1" applyAlignment="1">
      <alignment horizontal="center" vertical="center" textRotation="90" wrapText="1"/>
    </xf>
    <xf numFmtId="183" fontId="27" fillId="0" borderId="23" xfId="0" applyNumberFormat="1" applyFont="1" applyBorder="1" applyAlignment="1">
      <alignment horizontal="center" vertical="center" textRotation="90" wrapText="1"/>
    </xf>
    <xf numFmtId="183" fontId="27" fillId="0" borderId="129" xfId="0" applyNumberFormat="1" applyFont="1" applyBorder="1" applyAlignment="1">
      <alignment horizontal="center" vertical="center" textRotation="90" wrapText="1"/>
    </xf>
    <xf numFmtId="183" fontId="14" fillId="0" borderId="12" xfId="0" applyNumberFormat="1" applyFont="1" applyBorder="1" applyAlignment="1">
      <alignment horizontal="center" vertical="center" wrapText="1"/>
    </xf>
    <xf numFmtId="183" fontId="14" fillId="0" borderId="81" xfId="0" applyNumberFormat="1" applyFont="1" applyBorder="1" applyAlignment="1">
      <alignment horizontal="center" vertical="center" wrapText="1"/>
    </xf>
    <xf numFmtId="183" fontId="14" fillId="0" borderId="14" xfId="0" applyNumberFormat="1" applyFont="1" applyBorder="1" applyAlignment="1">
      <alignment horizontal="center" vertical="center" wrapText="1"/>
    </xf>
    <xf numFmtId="167" fontId="14" fillId="0" borderId="206" xfId="0" applyFont="1" applyBorder="1" applyAlignment="1">
      <alignment horizontal="center" vertical="center" wrapText="1"/>
    </xf>
    <xf numFmtId="37" fontId="153" fillId="0" borderId="131" xfId="0" applyNumberFormat="1" applyFont="1" applyBorder="1" applyAlignment="1">
      <alignment horizontal="center" vertical="center" wrapText="1"/>
    </xf>
    <xf numFmtId="37" fontId="153" fillId="0" borderId="129" xfId="0" applyNumberFormat="1" applyFont="1" applyBorder="1" applyAlignment="1">
      <alignment horizontal="center" vertical="center" wrapText="1"/>
    </xf>
    <xf numFmtId="37" fontId="14" fillId="0" borderId="114" xfId="0" applyNumberFormat="1" applyFont="1" applyBorder="1" applyAlignment="1">
      <alignment horizontal="center" vertical="center" wrapText="1"/>
    </xf>
    <xf numFmtId="37" fontId="14" fillId="0" borderId="155" xfId="0" applyNumberFormat="1" applyFont="1" applyBorder="1" applyAlignment="1">
      <alignment horizontal="center" vertical="center" wrapText="1"/>
    </xf>
    <xf numFmtId="37" fontId="14" fillId="0" borderId="168" xfId="0" applyNumberFormat="1" applyFont="1" applyBorder="1" applyAlignment="1">
      <alignment horizontal="center" vertical="center" wrapText="1"/>
    </xf>
    <xf numFmtId="39" fontId="14" fillId="0" borderId="225" xfId="0" applyNumberFormat="1" applyFont="1" applyBorder="1" applyAlignment="1">
      <alignment horizontal="center" vertical="center" wrapText="1"/>
    </xf>
    <xf numFmtId="39" fontId="14" fillId="0" borderId="152" xfId="0" applyNumberFormat="1" applyFont="1" applyBorder="1" applyAlignment="1">
      <alignment horizontal="center" vertical="center" wrapText="1"/>
    </xf>
    <xf numFmtId="37" fontId="14" fillId="0" borderId="172" xfId="0" applyNumberFormat="1" applyFont="1" applyBorder="1" applyAlignment="1">
      <alignment horizontal="center" vertical="center" wrapText="1"/>
    </xf>
    <xf numFmtId="37" fontId="14" fillId="0" borderId="131" xfId="0" applyNumberFormat="1" applyFont="1" applyBorder="1" applyAlignment="1">
      <alignment horizontal="center" vertical="center" wrapText="1"/>
    </xf>
    <xf numFmtId="37" fontId="14" fillId="0" borderId="131" xfId="0" applyNumberFormat="1" applyFont="1" applyBorder="1" applyAlignment="1">
      <alignment horizontal="center" vertical="center" textRotation="90" wrapText="1"/>
    </xf>
    <xf numFmtId="37" fontId="14" fillId="0" borderId="23" xfId="0" applyNumberFormat="1" applyFont="1" applyBorder="1" applyAlignment="1">
      <alignment horizontal="center" vertical="center" textRotation="90" wrapText="1"/>
    </xf>
    <xf numFmtId="37" fontId="14" fillId="0" borderId="129" xfId="0" applyNumberFormat="1" applyFont="1" applyBorder="1" applyAlignment="1">
      <alignment horizontal="center" vertical="center" wrapText="1"/>
    </xf>
    <xf numFmtId="167" fontId="24" fillId="10" borderId="108" xfId="0" applyFont="1" applyFill="1" applyBorder="1" applyAlignment="1">
      <alignment horizontal="center" vertical="center" textRotation="90" wrapText="1"/>
    </xf>
    <xf numFmtId="167" fontId="24" fillId="10" borderId="147" xfId="0" applyFont="1" applyFill="1" applyBorder="1" applyAlignment="1">
      <alignment horizontal="center" vertical="center" textRotation="90" wrapText="1"/>
    </xf>
    <xf numFmtId="37" fontId="14" fillId="0" borderId="20" xfId="0" applyNumberFormat="1" applyFont="1" applyBorder="1" applyAlignment="1">
      <alignment horizontal="center" vertical="center" wrapText="1"/>
    </xf>
    <xf numFmtId="37" fontId="14" fillId="0" borderId="243" xfId="0" applyNumberFormat="1" applyFont="1" applyBorder="1" applyAlignment="1">
      <alignment horizontal="center" vertical="center" wrapText="1"/>
    </xf>
    <xf numFmtId="37" fontId="14" fillId="0" borderId="129" xfId="0" applyNumberFormat="1" applyFont="1" applyBorder="1" applyAlignment="1">
      <alignment horizontal="center" vertical="center" textRotation="90" wrapText="1"/>
    </xf>
    <xf numFmtId="37" fontId="14" fillId="0" borderId="212" xfId="0" applyNumberFormat="1" applyFont="1" applyBorder="1" applyAlignment="1">
      <alignment horizontal="center" vertical="center" wrapText="1"/>
    </xf>
    <xf numFmtId="37" fontId="14" fillId="0" borderId="260" xfId="0" applyNumberFormat="1" applyFont="1" applyBorder="1" applyAlignment="1">
      <alignment horizontal="center" vertical="center" wrapText="1"/>
    </xf>
    <xf numFmtId="39" fontId="14" fillId="8" borderId="105" xfId="0" applyNumberFormat="1" applyFont="1" applyFill="1" applyBorder="1" applyAlignment="1">
      <alignment horizontal="center" vertical="center" wrapText="1"/>
    </xf>
    <xf numFmtId="39" fontId="14" fillId="8" borderId="2" xfId="0" applyNumberFormat="1" applyFont="1" applyFill="1" applyBorder="1" applyAlignment="1">
      <alignment horizontal="center" vertical="center" wrapText="1"/>
    </xf>
    <xf numFmtId="195" fontId="14" fillId="8" borderId="111" xfId="0" applyNumberFormat="1" applyFont="1" applyFill="1" applyBorder="1" applyAlignment="1">
      <alignment horizontal="center" vertical="center" wrapText="1"/>
    </xf>
    <xf numFmtId="195" fontId="14" fillId="8" borderId="227" xfId="0" applyNumberFormat="1" applyFont="1" applyFill="1" applyBorder="1" applyAlignment="1">
      <alignment horizontal="center" vertical="center" wrapText="1"/>
    </xf>
    <xf numFmtId="195" fontId="14" fillId="8" borderId="228" xfId="0" applyNumberFormat="1" applyFont="1" applyFill="1" applyBorder="1" applyAlignment="1">
      <alignment horizontal="center" vertical="center" wrapText="1"/>
    </xf>
    <xf numFmtId="39" fontId="14" fillId="8" borderId="19" xfId="0" applyNumberFormat="1" applyFont="1" applyFill="1" applyBorder="1" applyAlignment="1">
      <alignment horizontal="center" vertical="center" wrapText="1"/>
    </xf>
    <xf numFmtId="39" fontId="14" fillId="0" borderId="111" xfId="0" applyNumberFormat="1" applyFont="1" applyBorder="1" applyAlignment="1">
      <alignment horizontal="center" vertical="center" wrapText="1"/>
    </xf>
    <xf numFmtId="39" fontId="14" fillId="0" borderId="197" xfId="0" applyNumberFormat="1" applyFont="1" applyBorder="1" applyAlignment="1">
      <alignment horizontal="center" vertical="center" wrapText="1"/>
    </xf>
    <xf numFmtId="39" fontId="14" fillId="0" borderId="154" xfId="0" applyNumberFormat="1" applyFont="1" applyBorder="1" applyAlignment="1">
      <alignment horizontal="center" vertical="center" wrapText="1"/>
    </xf>
    <xf numFmtId="39" fontId="14" fillId="0" borderId="200" xfId="0" applyNumberFormat="1" applyFont="1" applyBorder="1" applyAlignment="1">
      <alignment horizontal="center" vertical="center" wrapText="1"/>
    </xf>
    <xf numFmtId="39" fontId="14" fillId="0" borderId="105" xfId="0" applyNumberFormat="1" applyFont="1" applyBorder="1" applyAlignment="1">
      <alignment horizontal="center" vertical="center" wrapText="1"/>
    </xf>
    <xf numFmtId="39" fontId="14" fillId="0" borderId="2" xfId="0" applyNumberFormat="1" applyFont="1" applyBorder="1" applyAlignment="1">
      <alignment horizontal="center" vertical="center" wrapText="1"/>
    </xf>
    <xf numFmtId="39" fontId="14" fillId="0" borderId="19" xfId="0" applyNumberFormat="1" applyFont="1" applyBorder="1" applyAlignment="1">
      <alignment horizontal="center" vertical="center" wrapText="1"/>
    </xf>
    <xf numFmtId="39" fontId="14" fillId="0" borderId="75" xfId="0" applyNumberFormat="1" applyFont="1" applyBorder="1" applyAlignment="1">
      <alignment horizontal="center" vertical="center" wrapText="1"/>
    </xf>
    <xf numFmtId="39" fontId="14" fillId="0" borderId="80" xfId="0" applyNumberFormat="1" applyFont="1" applyBorder="1" applyAlignment="1">
      <alignment horizontal="center" vertical="center" wrapText="1"/>
    </xf>
    <xf numFmtId="39" fontId="14" fillId="0" borderId="13" xfId="0" applyNumberFormat="1" applyFont="1" applyBorder="1" applyAlignment="1">
      <alignment horizontal="center" vertical="center" wrapText="1"/>
    </xf>
    <xf numFmtId="39" fontId="14" fillId="0" borderId="290" xfId="0" applyNumberFormat="1" applyFont="1" applyBorder="1" applyAlignment="1">
      <alignment horizontal="center" vertical="center" wrapText="1"/>
    </xf>
    <xf numFmtId="39" fontId="14" fillId="0" borderId="16" xfId="0" applyNumberFormat="1" applyFont="1" applyBorder="1" applyAlignment="1">
      <alignment horizontal="center" vertical="center" wrapText="1"/>
    </xf>
    <xf numFmtId="37" fontId="10" fillId="10" borderId="184" xfId="41057" applyNumberFormat="1" applyFont="1" applyFill="1" applyBorder="1" applyAlignment="1" applyProtection="1">
      <alignment horizontal="center" vertical="center" wrapText="1"/>
    </xf>
    <xf numFmtId="39" fontId="14" fillId="0" borderId="265" xfId="0" applyNumberFormat="1" applyFont="1" applyBorder="1" applyAlignment="1">
      <alignment horizontal="center" vertical="center" wrapText="1"/>
    </xf>
    <xf numFmtId="39" fontId="14" fillId="0" borderId="21" xfId="0" applyNumberFormat="1" applyFont="1" applyBorder="1" applyAlignment="1">
      <alignment horizontal="center" vertical="center" wrapText="1"/>
    </xf>
    <xf numFmtId="39" fontId="14" fillId="0" borderId="167" xfId="0" applyNumberFormat="1" applyFont="1" applyBorder="1" applyAlignment="1">
      <alignment horizontal="center" vertical="center" wrapText="1"/>
    </xf>
    <xf numFmtId="167" fontId="17" fillId="0" borderId="3" xfId="0" applyFont="1" applyBorder="1" applyAlignment="1">
      <alignment horizontal="center" vertical="center" wrapText="1"/>
    </xf>
    <xf numFmtId="167" fontId="17" fillId="0" borderId="127" xfId="0" applyFont="1" applyBorder="1" applyAlignment="1">
      <alignment horizontal="center" vertical="center" wrapText="1"/>
    </xf>
    <xf numFmtId="37" fontId="14" fillId="0" borderId="35" xfId="0" applyNumberFormat="1" applyFont="1" applyBorder="1" applyAlignment="1">
      <alignment horizontal="center" vertical="center" wrapText="1"/>
    </xf>
    <xf numFmtId="37" fontId="14" fillId="0" borderId="228" xfId="0" applyNumberFormat="1" applyFont="1" applyBorder="1" applyAlignment="1">
      <alignment horizontal="center" vertical="center" wrapText="1"/>
    </xf>
    <xf numFmtId="37" fontId="14" fillId="0" borderId="178" xfId="0" applyNumberFormat="1" applyFont="1" applyBorder="1" applyAlignment="1">
      <alignment horizontal="center" vertical="center" wrapText="1"/>
    </xf>
    <xf numFmtId="37" fontId="14" fillId="0" borderId="118" xfId="0" applyNumberFormat="1" applyFont="1" applyBorder="1" applyAlignment="1">
      <alignment horizontal="center" vertical="center" wrapText="1"/>
    </xf>
    <xf numFmtId="167" fontId="24" fillId="10" borderId="261" xfId="0" applyFont="1" applyFill="1" applyBorder="1" applyAlignment="1">
      <alignment horizontal="center" vertical="center" textRotation="90" wrapText="1"/>
    </xf>
    <xf numFmtId="39" fontId="14" fillId="0" borderId="256" xfId="0" applyNumberFormat="1" applyFont="1" applyBorder="1" applyAlignment="1">
      <alignment horizontal="center" vertical="center" wrapText="1"/>
    </xf>
    <xf numFmtId="39" fontId="14" fillId="0" borderId="284" xfId="0" applyNumberFormat="1" applyFont="1" applyBorder="1" applyAlignment="1">
      <alignment horizontal="center" vertical="center" wrapText="1"/>
    </xf>
    <xf numFmtId="39" fontId="14" fillId="0" borderId="79" xfId="0" applyNumberFormat="1" applyFont="1" applyBorder="1" applyAlignment="1">
      <alignment horizontal="center" vertical="center" wrapText="1"/>
    </xf>
    <xf numFmtId="39" fontId="14" fillId="0" borderId="193" xfId="0" applyNumberFormat="1" applyFont="1" applyBorder="1" applyAlignment="1">
      <alignment horizontal="center" vertical="center" wrapText="1"/>
    </xf>
    <xf numFmtId="39" fontId="14" fillId="0" borderId="127" xfId="0" applyNumberFormat="1" applyFont="1" applyBorder="1" applyAlignment="1">
      <alignment horizontal="center" vertical="center" wrapText="1"/>
    </xf>
    <xf numFmtId="39" fontId="14" fillId="0" borderId="310" xfId="0" applyNumberFormat="1" applyFont="1" applyBorder="1" applyAlignment="1">
      <alignment horizontal="center" vertical="center" wrapText="1"/>
    </xf>
    <xf numFmtId="39" fontId="13" fillId="10" borderId="176" xfId="0" applyNumberFormat="1" applyFont="1" applyFill="1" applyBorder="1" applyAlignment="1">
      <alignment horizontal="center" vertical="center" wrapText="1"/>
    </xf>
    <xf numFmtId="39" fontId="14" fillId="0" borderId="178" xfId="0" applyNumberFormat="1" applyFont="1" applyBorder="1" applyAlignment="1">
      <alignment horizontal="center" vertical="center" wrapText="1"/>
    </xf>
    <xf numFmtId="39" fontId="14" fillId="0" borderId="213" xfId="0" applyNumberFormat="1" applyFont="1" applyBorder="1" applyAlignment="1">
      <alignment horizontal="center" vertical="center" wrapText="1"/>
    </xf>
    <xf numFmtId="39" fontId="14" fillId="0" borderId="176" xfId="0" applyNumberFormat="1" applyFont="1" applyBorder="1" applyAlignment="1">
      <alignment horizontal="center" vertical="center" wrapText="1"/>
    </xf>
    <xf numFmtId="37" fontId="14" fillId="0" borderId="176" xfId="0" applyNumberFormat="1" applyFont="1" applyBorder="1" applyAlignment="1">
      <alignment horizontal="center" vertical="center" wrapText="1"/>
    </xf>
    <xf numFmtId="39" fontId="14" fillId="0" borderId="0" xfId="0" applyNumberFormat="1" applyFont="1" applyAlignment="1">
      <alignment horizontal="center" vertical="center" wrapText="1"/>
    </xf>
    <xf numFmtId="39" fontId="14" fillId="0" borderId="118" xfId="0" applyNumberFormat="1" applyFont="1" applyBorder="1" applyAlignment="1">
      <alignment horizontal="center" vertical="center" wrapText="1"/>
    </xf>
    <xf numFmtId="37" fontId="14" fillId="0" borderId="0" xfId="0" applyNumberFormat="1" applyFont="1" applyAlignment="1">
      <alignment horizontal="center" vertical="center" wrapText="1"/>
    </xf>
    <xf numFmtId="167" fontId="14" fillId="0" borderId="167" xfId="0" applyFont="1" applyBorder="1" applyAlignment="1">
      <alignment horizontal="center" vertical="center" wrapText="1"/>
    </xf>
    <xf numFmtId="167" fontId="14" fillId="0" borderId="127" xfId="0" applyFont="1" applyBorder="1" applyAlignment="1">
      <alignment horizontal="center" vertical="center" wrapText="1"/>
    </xf>
    <xf numFmtId="167" fontId="14" fillId="0" borderId="3" xfId="0" applyFont="1" applyBorder="1" applyAlignment="1">
      <alignment horizontal="center" vertical="center" wrapText="1"/>
    </xf>
    <xf numFmtId="185" fontId="14" fillId="0" borderId="167" xfId="0" applyNumberFormat="1" applyFont="1" applyBorder="1" applyAlignment="1">
      <alignment horizontal="center" vertical="center" wrapText="1"/>
    </xf>
    <xf numFmtId="185" fontId="14" fillId="0" borderId="3" xfId="0" applyNumberFormat="1" applyFont="1" applyBorder="1" applyAlignment="1">
      <alignment horizontal="center" vertical="center" wrapText="1"/>
    </xf>
    <xf numFmtId="185" fontId="14" fillId="0" borderId="127" xfId="0" applyNumberFormat="1" applyFont="1" applyBorder="1" applyAlignment="1">
      <alignment horizontal="center" vertical="center" wrapText="1"/>
    </xf>
    <xf numFmtId="183" fontId="14" fillId="0" borderId="18" xfId="0" applyNumberFormat="1" applyFont="1" applyBorder="1" applyAlignment="1">
      <alignment horizontal="center" vertical="center" wrapText="1"/>
    </xf>
    <xf numFmtId="183" fontId="14" fillId="0" borderId="228" xfId="0" applyNumberFormat="1" applyFont="1" applyBorder="1" applyAlignment="1">
      <alignment horizontal="center" vertical="center" wrapText="1"/>
    </xf>
    <xf numFmtId="183" fontId="14" fillId="0" borderId="160" xfId="0" applyNumberFormat="1" applyFont="1" applyBorder="1" applyAlignment="1">
      <alignment horizontal="center" vertical="center" wrapText="1"/>
    </xf>
    <xf numFmtId="185" fontId="14" fillId="0" borderId="131" xfId="0" applyNumberFormat="1" applyFont="1" applyBorder="1" applyAlignment="1">
      <alignment horizontal="center" vertical="center" wrapText="1"/>
    </xf>
    <xf numFmtId="185" fontId="14" fillId="0" borderId="23" xfId="0" applyNumberFormat="1" applyFont="1" applyBorder="1" applyAlignment="1">
      <alignment horizontal="center" vertical="center" wrapText="1"/>
    </xf>
    <xf numFmtId="185" fontId="14" fillId="0" borderId="129" xfId="0" applyNumberFormat="1" applyFont="1" applyBorder="1" applyAlignment="1">
      <alignment horizontal="center" vertical="center" wrapText="1"/>
    </xf>
    <xf numFmtId="37" fontId="84" fillId="10" borderId="146" xfId="41057" applyNumberFormat="1" applyFont="1" applyFill="1" applyBorder="1" applyAlignment="1" applyProtection="1">
      <alignment horizontal="center" vertical="center" wrapText="1"/>
    </xf>
    <xf numFmtId="37" fontId="84" fillId="10" borderId="266" xfId="41057" applyNumberFormat="1" applyFont="1" applyFill="1" applyBorder="1" applyAlignment="1" applyProtection="1">
      <alignment horizontal="center" vertical="center" wrapText="1"/>
    </xf>
    <xf numFmtId="167" fontId="107" fillId="10" borderId="108" xfId="0" applyFont="1" applyFill="1" applyBorder="1" applyAlignment="1">
      <alignment horizontal="center" vertical="center" textRotation="90" wrapText="1"/>
    </xf>
    <xf numFmtId="167" fontId="107" fillId="10" borderId="141" xfId="0" applyFont="1" applyFill="1" applyBorder="1" applyAlignment="1">
      <alignment horizontal="center" vertical="center" textRotation="90" wrapText="1"/>
    </xf>
    <xf numFmtId="167" fontId="14" fillId="0" borderId="277" xfId="0" applyFont="1" applyBorder="1" applyAlignment="1">
      <alignment horizontal="center" vertical="center" wrapText="1"/>
    </xf>
    <xf numFmtId="167" fontId="109" fillId="0" borderId="245" xfId="0" applyFont="1" applyBorder="1" applyAlignment="1">
      <alignment horizontal="center" vertical="center" wrapText="1"/>
    </xf>
    <xf numFmtId="185" fontId="109" fillId="0" borderId="23" xfId="0" applyNumberFormat="1" applyFont="1" applyBorder="1" applyAlignment="1">
      <alignment horizontal="center" vertical="center" wrapText="1"/>
    </xf>
    <xf numFmtId="185" fontId="109" fillId="0" borderId="129" xfId="0" applyNumberFormat="1" applyFont="1" applyBorder="1" applyAlignment="1">
      <alignment horizontal="center" vertical="center" wrapText="1"/>
    </xf>
    <xf numFmtId="167" fontId="109" fillId="0" borderId="23" xfId="0" applyFont="1" applyBorder="1" applyAlignment="1">
      <alignment horizontal="center" vertical="center" wrapText="1"/>
    </xf>
    <xf numFmtId="167" fontId="109" fillId="0" borderId="129" xfId="0" applyFont="1" applyBorder="1" applyAlignment="1">
      <alignment horizontal="center" vertical="center" wrapText="1"/>
    </xf>
    <xf numFmtId="185" fontId="14" fillId="0" borderId="155" xfId="0" applyNumberFormat="1" applyFont="1" applyBorder="1" applyAlignment="1">
      <alignment horizontal="center" vertical="center" wrapText="1"/>
    </xf>
    <xf numFmtId="185" fontId="14" fillId="0" borderId="25" xfId="0" applyNumberFormat="1" applyFont="1" applyBorder="1" applyAlignment="1">
      <alignment horizontal="center" vertical="center" wrapText="1"/>
    </xf>
    <xf numFmtId="185" fontId="14" fillId="0" borderId="211" xfId="0" applyNumberFormat="1" applyFont="1" applyBorder="1" applyAlignment="1">
      <alignment horizontal="center" vertical="center" wrapText="1"/>
    </xf>
    <xf numFmtId="185" fontId="14" fillId="0" borderId="153" xfId="0" applyNumberFormat="1" applyFont="1" applyBorder="1" applyAlignment="1">
      <alignment horizontal="center" vertical="center" wrapText="1"/>
    </xf>
    <xf numFmtId="167" fontId="108" fillId="10" borderId="184" xfId="41057" applyNumberFormat="1" applyFont="1" applyFill="1" applyBorder="1" applyAlignment="1" applyProtection="1">
      <alignment horizontal="center" vertical="center" wrapText="1"/>
    </xf>
    <xf numFmtId="167" fontId="108" fillId="10" borderId="249" xfId="41057" applyNumberFormat="1" applyFont="1" applyFill="1" applyBorder="1" applyAlignment="1" applyProtection="1">
      <alignment horizontal="center" vertical="center" wrapText="1"/>
    </xf>
    <xf numFmtId="185" fontId="109" fillId="0" borderId="280" xfId="0" applyNumberFormat="1" applyFont="1" applyBorder="1" applyAlignment="1">
      <alignment horizontal="center" vertical="center" wrapText="1"/>
    </xf>
    <xf numFmtId="185" fontId="109" fillId="0" borderId="281" xfId="0" applyNumberFormat="1" applyFont="1" applyBorder="1" applyAlignment="1">
      <alignment horizontal="center" vertical="center" wrapText="1"/>
    </xf>
    <xf numFmtId="185" fontId="14" fillId="0" borderId="212" xfId="0" applyNumberFormat="1" applyFont="1" applyBorder="1" applyAlignment="1">
      <alignment horizontal="center" vertical="center" wrapText="1"/>
    </xf>
    <xf numFmtId="185" fontId="14" fillId="0" borderId="260" xfId="0" applyNumberFormat="1" applyFont="1" applyBorder="1" applyAlignment="1">
      <alignment horizontal="center" vertical="center" wrapText="1"/>
    </xf>
    <xf numFmtId="185" fontId="109" fillId="0" borderId="212" xfId="0" applyNumberFormat="1" applyFont="1" applyBorder="1" applyAlignment="1">
      <alignment horizontal="center" vertical="center" wrapText="1"/>
    </xf>
    <xf numFmtId="185" fontId="109" fillId="0" borderId="260" xfId="0" applyNumberFormat="1" applyFont="1" applyBorder="1" applyAlignment="1">
      <alignment horizontal="center" vertical="center" wrapText="1"/>
    </xf>
    <xf numFmtId="167" fontId="10" fillId="10" borderId="146" xfId="41057" applyNumberFormat="1" applyFont="1" applyFill="1" applyBorder="1" applyAlignment="1" applyProtection="1">
      <alignment horizontal="center" vertical="center" wrapText="1"/>
    </xf>
    <xf numFmtId="167" fontId="10" fillId="10" borderId="26" xfId="41057" applyNumberFormat="1" applyFont="1" applyFill="1" applyBorder="1" applyAlignment="1" applyProtection="1">
      <alignment horizontal="center" vertical="center" wrapText="1"/>
    </xf>
    <xf numFmtId="167" fontId="10" fillId="10" borderId="258" xfId="41057" applyNumberFormat="1" applyFont="1" applyFill="1" applyBorder="1" applyAlignment="1" applyProtection="1">
      <alignment horizontal="center" vertical="center" wrapText="1"/>
    </xf>
    <xf numFmtId="167" fontId="14" fillId="0" borderId="187" xfId="0" applyFont="1" applyBorder="1" applyAlignment="1">
      <alignment horizontal="center" vertical="center" wrapText="1"/>
    </xf>
    <xf numFmtId="167" fontId="14" fillId="0" borderId="189" xfId="0" applyFont="1" applyBorder="1" applyAlignment="1">
      <alignment horizontal="center" vertical="center" wrapText="1"/>
    </xf>
    <xf numFmtId="167" fontId="14" fillId="0" borderId="251" xfId="0" applyFont="1" applyBorder="1" applyAlignment="1">
      <alignment horizontal="center" vertical="center" wrapText="1"/>
    </xf>
    <xf numFmtId="167" fontId="14" fillId="0" borderId="172" xfId="0" applyFont="1" applyBorder="1" applyAlignment="1">
      <alignment horizontal="center" vertical="center" wrapText="1"/>
    </xf>
    <xf numFmtId="167" fontId="14" fillId="0" borderId="173" xfId="0" applyFont="1" applyBorder="1" applyAlignment="1">
      <alignment horizontal="center" vertical="center" wrapText="1"/>
    </xf>
    <xf numFmtId="167" fontId="14" fillId="0" borderId="250" xfId="0" applyFont="1" applyBorder="1" applyAlignment="1">
      <alignment horizontal="center" vertical="center" wrapText="1"/>
    </xf>
    <xf numFmtId="185" fontId="14" fillId="0" borderId="172" xfId="0" applyNumberFormat="1" applyFont="1" applyBorder="1" applyAlignment="1">
      <alignment horizontal="center" vertical="center" wrapText="1"/>
    </xf>
    <xf numFmtId="185" fontId="14" fillId="0" borderId="173" xfId="0" applyNumberFormat="1" applyFont="1" applyBorder="1" applyAlignment="1">
      <alignment horizontal="center" vertical="center" wrapText="1"/>
    </xf>
    <xf numFmtId="185" fontId="14" fillId="0" borderId="250" xfId="0" applyNumberFormat="1" applyFont="1" applyBorder="1" applyAlignment="1">
      <alignment horizontal="center" vertical="center" wrapText="1"/>
    </xf>
    <xf numFmtId="167" fontId="14" fillId="0" borderId="276" xfId="0" applyFont="1" applyBorder="1" applyAlignment="1">
      <alignment horizontal="center" vertical="center" wrapText="1"/>
    </xf>
    <xf numFmtId="167" fontId="14" fillId="0" borderId="245" xfId="0" applyFont="1" applyBorder="1" applyAlignment="1">
      <alignment horizontal="center" vertical="center" wrapText="1"/>
    </xf>
    <xf numFmtId="167" fontId="14" fillId="0" borderId="13" xfId="0" applyFont="1" applyBorder="1" applyAlignment="1">
      <alignment horizontal="center" vertical="center" wrapText="1"/>
    </xf>
    <xf numFmtId="167" fontId="14" fillId="0" borderId="16" xfId="0" applyFont="1" applyBorder="1" applyAlignment="1">
      <alignment horizontal="center" vertical="center" wrapText="1"/>
    </xf>
    <xf numFmtId="167" fontId="14" fillId="0" borderId="2" xfId="0" applyFont="1" applyBorder="1" applyAlignment="1">
      <alignment horizontal="center" vertical="center" wrapText="1"/>
    </xf>
    <xf numFmtId="37" fontId="14" fillId="0" borderId="13" xfId="0" applyNumberFormat="1" applyFont="1" applyBorder="1" applyAlignment="1">
      <alignment horizontal="center" vertical="center" wrapText="1"/>
    </xf>
    <xf numFmtId="37" fontId="14" fillId="0" borderId="16" xfId="0" applyNumberFormat="1" applyFont="1" applyBorder="1" applyAlignment="1">
      <alignment horizontal="center" vertical="center" wrapText="1"/>
    </xf>
    <xf numFmtId="167" fontId="14" fillId="0" borderId="156" xfId="0" applyFont="1" applyBorder="1" applyAlignment="1">
      <alignment horizontal="center" vertical="center" wrapText="1"/>
    </xf>
    <xf numFmtId="167" fontId="14" fillId="0" borderId="148" xfId="0" applyFont="1" applyBorder="1" applyAlignment="1">
      <alignment horizontal="center" vertical="center" wrapText="1"/>
    </xf>
    <xf numFmtId="167" fontId="14" fillId="0" borderId="232" xfId="0" applyFont="1" applyBorder="1" applyAlignment="1">
      <alignment horizontal="center" vertical="center" wrapText="1"/>
    </xf>
    <xf numFmtId="167" fontId="14" fillId="0" borderId="18" xfId="0" applyFont="1" applyBorder="1" applyAlignment="1">
      <alignment horizontal="center" vertical="center" wrapText="1"/>
    </xf>
    <xf numFmtId="167" fontId="13" fillId="8" borderId="111" xfId="0" applyFont="1" applyFill="1" applyBorder="1" applyAlignment="1">
      <alignment horizontal="center" vertical="center" wrapText="1"/>
    </xf>
    <xf numFmtId="167" fontId="13" fillId="8" borderId="227" xfId="0" applyFont="1" applyFill="1" applyBorder="1" applyAlignment="1">
      <alignment horizontal="center" vertical="center" wrapText="1"/>
    </xf>
    <xf numFmtId="167" fontId="13" fillId="8" borderId="228" xfId="0" applyFont="1" applyFill="1" applyBorder="1" applyAlignment="1">
      <alignment horizontal="center" vertical="center" wrapText="1"/>
    </xf>
    <xf numFmtId="185" fontId="13" fillId="8" borderId="111" xfId="0" applyNumberFormat="1" applyFont="1" applyFill="1" applyBorder="1" applyAlignment="1">
      <alignment horizontal="center" vertical="center"/>
    </xf>
    <xf numFmtId="185" fontId="13" fillId="8" borderId="227" xfId="0" applyNumberFormat="1" applyFont="1" applyFill="1" applyBorder="1" applyAlignment="1">
      <alignment horizontal="center" vertical="center"/>
    </xf>
    <xf numFmtId="185" fontId="13" fillId="8" borderId="228" xfId="0" applyNumberFormat="1" applyFont="1" applyFill="1" applyBorder="1" applyAlignment="1">
      <alignment horizontal="center" vertical="center"/>
    </xf>
    <xf numFmtId="183" fontId="14" fillId="0" borderId="212" xfId="0" applyNumberFormat="1" applyFont="1" applyBorder="1" applyAlignment="1">
      <alignment horizontal="center" vertical="center" wrapText="1"/>
    </xf>
    <xf numFmtId="183" fontId="14" fillId="0" borderId="181" xfId="0" applyNumberFormat="1" applyFont="1" applyBorder="1" applyAlignment="1">
      <alignment horizontal="center" vertical="center" wrapText="1"/>
    </xf>
    <xf numFmtId="167" fontId="14" fillId="0" borderId="212" xfId="0" applyFont="1" applyBorder="1" applyAlignment="1">
      <alignment horizontal="center" vertical="center" wrapText="1"/>
    </xf>
    <xf numFmtId="167" fontId="14" fillId="0" borderId="181" xfId="0" applyFont="1" applyBorder="1" applyAlignment="1">
      <alignment horizontal="center" vertical="center" wrapText="1"/>
    </xf>
    <xf numFmtId="167" fontId="14" fillId="0" borderId="131" xfId="0" applyFont="1" applyBorder="1" applyAlignment="1">
      <alignment horizontal="center" vertical="center" textRotation="90" wrapText="1"/>
    </xf>
    <xf numFmtId="167" fontId="14" fillId="0" borderId="23" xfId="0" applyFont="1" applyBorder="1" applyAlignment="1">
      <alignment horizontal="center" vertical="center" textRotation="90" wrapText="1"/>
    </xf>
    <xf numFmtId="167" fontId="14" fillId="0" borderId="129" xfId="0" applyFont="1" applyBorder="1" applyAlignment="1">
      <alignment horizontal="center" vertical="center" textRotation="90" wrapText="1"/>
    </xf>
    <xf numFmtId="167" fontId="14" fillId="0" borderId="193" xfId="0" applyFont="1" applyBorder="1" applyAlignment="1">
      <alignment horizontal="center" vertical="center" wrapText="1"/>
    </xf>
    <xf numFmtId="167" fontId="14" fillId="0" borderId="200" xfId="0" applyFont="1" applyBorder="1" applyAlignment="1">
      <alignment horizontal="center" vertical="center" wrapText="1"/>
    </xf>
    <xf numFmtId="167" fontId="28" fillId="36" borderId="4" xfId="0" applyFont="1" applyFill="1" applyBorder="1" applyAlignment="1">
      <alignment horizontal="center" vertical="center"/>
    </xf>
    <xf numFmtId="167" fontId="28" fillId="36" borderId="0" xfId="0" applyFont="1" applyFill="1" applyAlignment="1">
      <alignment horizontal="center" vertical="center"/>
    </xf>
    <xf numFmtId="167" fontId="28" fillId="36" borderId="3" xfId="0" applyFont="1" applyFill="1" applyBorder="1" applyAlignment="1">
      <alignment horizontal="center" vertical="center"/>
    </xf>
    <xf numFmtId="185" fontId="8" fillId="52" borderId="3" xfId="0" applyNumberFormat="1" applyFont="1" applyFill="1" applyBorder="1" applyAlignment="1">
      <alignment horizontal="center" vertical="center" wrapText="1"/>
    </xf>
    <xf numFmtId="221" fontId="8" fillId="52" borderId="3" xfId="0" applyNumberFormat="1" applyFont="1" applyFill="1" applyBorder="1" applyAlignment="1">
      <alignment horizontal="center" vertical="center" wrapText="1"/>
    </xf>
    <xf numFmtId="185" fontId="8" fillId="50" borderId="167" xfId="0" applyNumberFormat="1" applyFont="1" applyFill="1" applyBorder="1" applyAlignment="1">
      <alignment horizontal="center" vertical="center" wrapText="1"/>
    </xf>
    <xf numFmtId="185" fontId="8" fillId="50" borderId="3" xfId="0" applyNumberFormat="1" applyFont="1" applyFill="1" applyBorder="1" applyAlignment="1">
      <alignment horizontal="center" vertical="center" wrapText="1"/>
    </xf>
    <xf numFmtId="221" fontId="8" fillId="52" borderId="127" xfId="0" applyNumberFormat="1" applyFont="1" applyFill="1" applyBorder="1" applyAlignment="1">
      <alignment horizontal="center" vertical="center" wrapText="1"/>
    </xf>
    <xf numFmtId="185" fontId="8" fillId="9" borderId="167" xfId="0" applyNumberFormat="1" applyFont="1" applyFill="1" applyBorder="1" applyAlignment="1">
      <alignment horizontal="center" vertical="center" wrapText="1"/>
    </xf>
    <xf numFmtId="185" fontId="8" fillId="9" borderId="3" xfId="0" applyNumberFormat="1" applyFont="1" applyFill="1" applyBorder="1" applyAlignment="1">
      <alignment horizontal="center" vertical="center" wrapText="1"/>
    </xf>
    <xf numFmtId="185" fontId="8" fillId="9" borderId="127" xfId="0" applyNumberFormat="1" applyFont="1" applyFill="1" applyBorder="1" applyAlignment="1">
      <alignment horizontal="center" vertical="center" wrapText="1"/>
    </xf>
    <xf numFmtId="167" fontId="14" fillId="0" borderId="178" xfId="0" applyFont="1" applyBorder="1" applyAlignment="1">
      <alignment horizontal="center" vertical="center" wrapText="1"/>
    </xf>
    <xf numFmtId="167" fontId="14" fillId="0" borderId="0" xfId="0" applyFont="1" applyAlignment="1">
      <alignment horizontal="center" vertical="center" wrapText="1"/>
    </xf>
    <xf numFmtId="167" fontId="28" fillId="50" borderId="3" xfId="0" applyFont="1" applyFill="1" applyBorder="1" applyAlignment="1">
      <alignment horizontal="center" vertical="center" wrapText="1"/>
    </xf>
    <xf numFmtId="167" fontId="8" fillId="53" borderId="167" xfId="0" applyFont="1" applyFill="1" applyBorder="1" applyAlignment="1">
      <alignment horizontal="center" vertical="center" wrapText="1"/>
    </xf>
    <xf numFmtId="167" fontId="8" fillId="53" borderId="3" xfId="0" applyFont="1" applyFill="1" applyBorder="1" applyAlignment="1">
      <alignment horizontal="center" vertical="center" wrapText="1"/>
    </xf>
    <xf numFmtId="167" fontId="8" fillId="53" borderId="18" xfId="0" applyFont="1" applyFill="1" applyBorder="1" applyAlignment="1">
      <alignment horizontal="center" vertical="center" wrapText="1"/>
    </xf>
    <xf numFmtId="167" fontId="14" fillId="53" borderId="3" xfId="0" applyFont="1" applyFill="1" applyBorder="1" applyAlignment="1">
      <alignment horizontal="center" vertical="center" wrapText="1"/>
    </xf>
    <xf numFmtId="167" fontId="14" fillId="53" borderId="127" xfId="0" applyFont="1" applyFill="1" applyBorder="1" applyAlignment="1">
      <alignment horizontal="center" vertical="center" wrapText="1"/>
    </xf>
    <xf numFmtId="167" fontId="10" fillId="10" borderId="184" xfId="41057" applyNumberFormat="1" applyFont="1" applyFill="1" applyBorder="1" applyAlignment="1" applyProtection="1">
      <alignment horizontal="center" vertical="center" wrapText="1"/>
    </xf>
    <xf numFmtId="167" fontId="8" fillId="0" borderId="187" xfId="0" applyFont="1" applyBorder="1" applyAlignment="1">
      <alignment horizontal="center" vertical="center" wrapText="1"/>
    </xf>
    <xf numFmtId="167" fontId="8" fillId="0" borderId="189" xfId="0" applyFont="1" applyBorder="1" applyAlignment="1">
      <alignment horizontal="center" vertical="center" wrapText="1"/>
    </xf>
    <xf numFmtId="167" fontId="8" fillId="0" borderId="284" xfId="0" applyFont="1" applyBorder="1" applyAlignment="1">
      <alignment horizontal="center" vertical="center" wrapText="1"/>
    </xf>
    <xf numFmtId="167" fontId="8" fillId="0" borderId="212" xfId="0" applyFont="1" applyBorder="1" applyAlignment="1">
      <alignment horizontal="center" vertical="center" wrapText="1"/>
    </xf>
    <xf numFmtId="167" fontId="8" fillId="0" borderId="176" xfId="0" applyFont="1" applyBorder="1" applyAlignment="1">
      <alignment horizontal="center" vertical="center" wrapText="1"/>
    </xf>
    <xf numFmtId="167" fontId="8" fillId="0" borderId="25" xfId="0" applyFont="1" applyBorder="1" applyAlignment="1">
      <alignment horizontal="center" vertical="center" wrapText="1"/>
    </xf>
    <xf numFmtId="167" fontId="8" fillId="0" borderId="19" xfId="0" applyFont="1" applyBorder="1" applyAlignment="1">
      <alignment horizontal="center" vertical="center" wrapText="1"/>
    </xf>
    <xf numFmtId="167" fontId="8" fillId="0" borderId="153" xfId="0" applyFont="1" applyBorder="1" applyAlignment="1">
      <alignment horizontal="center" vertical="center" wrapText="1"/>
    </xf>
    <xf numFmtId="167" fontId="8" fillId="0" borderId="89" xfId="0" applyFont="1" applyBorder="1" applyAlignment="1">
      <alignment horizontal="center" vertical="center" wrapText="1"/>
    </xf>
    <xf numFmtId="167" fontId="8" fillId="0" borderId="116" xfId="0" applyFont="1" applyBorder="1" applyAlignment="1">
      <alignment horizontal="center" vertical="center" wrapText="1"/>
    </xf>
    <xf numFmtId="167" fontId="8" fillId="0" borderId="262" xfId="0" applyFont="1" applyBorder="1" applyAlignment="1">
      <alignment horizontal="center" vertical="center" wrapText="1"/>
    </xf>
    <xf numFmtId="167" fontId="8" fillId="0" borderId="123" xfId="0" applyFont="1" applyBorder="1" applyAlignment="1">
      <alignment horizontal="center" vertical="center" wrapText="1"/>
    </xf>
    <xf numFmtId="167" fontId="8" fillId="0" borderId="156" xfId="0" applyFont="1" applyBorder="1" applyAlignment="1">
      <alignment horizontal="center" vertical="center" wrapText="1"/>
    </xf>
    <xf numFmtId="167" fontId="8" fillId="0" borderId="167" xfId="0" applyFont="1" applyBorder="1" applyAlignment="1">
      <alignment horizontal="center" vertical="center" wrapText="1"/>
    </xf>
    <xf numFmtId="167" fontId="8" fillId="0" borderId="108" xfId="0" applyFont="1" applyBorder="1" applyAlignment="1">
      <alignment horizontal="center" vertical="center" wrapText="1"/>
    </xf>
    <xf numFmtId="167" fontId="8" fillId="0" borderId="3" xfId="0" applyFont="1" applyBorder="1" applyAlignment="1">
      <alignment horizontal="center" vertical="center" wrapText="1"/>
    </xf>
    <xf numFmtId="167" fontId="8" fillId="0" borderId="148" xfId="0" applyFont="1" applyBorder="1" applyAlignment="1">
      <alignment horizontal="center" vertical="center" wrapText="1"/>
    </xf>
    <xf numFmtId="167" fontId="8" fillId="0" borderId="127" xfId="0" applyFont="1" applyBorder="1" applyAlignment="1">
      <alignment horizontal="center" vertical="center" wrapText="1"/>
    </xf>
    <xf numFmtId="167" fontId="8" fillId="8" borderId="131" xfId="0" applyFont="1" applyFill="1" applyBorder="1" applyAlignment="1">
      <alignment horizontal="center" vertical="center" wrapText="1"/>
    </xf>
    <xf numFmtId="167" fontId="8" fillId="8" borderId="13" xfId="0" applyFont="1" applyFill="1" applyBorder="1" applyAlignment="1">
      <alignment horizontal="center" vertical="center" wrapText="1"/>
    </xf>
    <xf numFmtId="167" fontId="8" fillId="8" borderId="23" xfId="0" applyFont="1" applyFill="1" applyBorder="1" applyAlignment="1">
      <alignment horizontal="center" vertical="center" wrapText="1"/>
    </xf>
    <xf numFmtId="167" fontId="8" fillId="8" borderId="2" xfId="0" applyFont="1" applyFill="1" applyBorder="1" applyAlignment="1">
      <alignment horizontal="center" vertical="center" wrapText="1"/>
    </xf>
    <xf numFmtId="167" fontId="8" fillId="0" borderId="131" xfId="0" applyFont="1" applyBorder="1" applyAlignment="1">
      <alignment horizontal="center" vertical="center" textRotation="90" wrapText="1"/>
    </xf>
    <xf numFmtId="167" fontId="8" fillId="0" borderId="23" xfId="0" applyFont="1" applyBorder="1" applyAlignment="1">
      <alignment horizontal="center" vertical="center" textRotation="90" wrapText="1"/>
    </xf>
    <xf numFmtId="167" fontId="8" fillId="0" borderId="129" xfId="0" applyFont="1" applyBorder="1" applyAlignment="1">
      <alignment horizontal="center" vertical="center" textRotation="90" wrapText="1"/>
    </xf>
    <xf numFmtId="167" fontId="8" fillId="0" borderId="131" xfId="0" applyFont="1" applyBorder="1" applyAlignment="1">
      <alignment horizontal="center" vertical="center" wrapText="1"/>
    </xf>
    <xf numFmtId="167" fontId="8" fillId="0" borderId="13" xfId="0" applyFont="1" applyBorder="1" applyAlignment="1">
      <alignment horizontal="center" vertical="center" wrapText="1"/>
    </xf>
    <xf numFmtId="167" fontId="8" fillId="0" borderId="23" xfId="0" applyFont="1" applyBorder="1" applyAlignment="1">
      <alignment horizontal="center" vertical="center" wrapText="1"/>
    </xf>
    <xf numFmtId="167" fontId="8" fillId="0" borderId="2" xfId="0" applyFont="1" applyBorder="1" applyAlignment="1">
      <alignment horizontal="center" vertical="center" wrapText="1"/>
    </xf>
    <xf numFmtId="167" fontId="8" fillId="0" borderId="129" xfId="0" applyFont="1" applyBorder="1" applyAlignment="1">
      <alignment horizontal="center" vertical="center" wrapText="1"/>
    </xf>
    <xf numFmtId="167" fontId="8" fillId="0" borderId="16" xfId="0" applyFont="1" applyBorder="1" applyAlignment="1">
      <alignment horizontal="center" vertical="center" wrapText="1"/>
    </xf>
    <xf numFmtId="167" fontId="8" fillId="0" borderId="172" xfId="0" applyFont="1" applyBorder="1" applyAlignment="1">
      <alignment horizontal="center" vertical="center" wrapText="1"/>
    </xf>
    <xf numFmtId="167" fontId="8" fillId="0" borderId="173" xfId="0" applyFont="1" applyBorder="1" applyAlignment="1">
      <alignment horizontal="center" vertical="center" wrapText="1"/>
    </xf>
    <xf numFmtId="167" fontId="8" fillId="0" borderId="211" xfId="0" applyFont="1" applyBorder="1" applyAlignment="1">
      <alignment horizontal="center" vertical="center" wrapText="1"/>
    </xf>
    <xf numFmtId="167" fontId="8" fillId="0" borderId="233" xfId="0" applyFont="1" applyBorder="1" applyAlignment="1">
      <alignment horizontal="center" vertical="center" wrapText="1"/>
    </xf>
    <xf numFmtId="167" fontId="8" fillId="0" borderId="155" xfId="0" applyFont="1" applyBorder="1" applyAlignment="1">
      <alignment horizontal="center" vertical="center" wrapText="1"/>
    </xf>
    <xf numFmtId="167" fontId="8" fillId="0" borderId="36" xfId="0" applyFont="1" applyBorder="1" applyAlignment="1">
      <alignment horizontal="center" vertical="center" wrapText="1"/>
    </xf>
    <xf numFmtId="167" fontId="8" fillId="0" borderId="105" xfId="0" applyFont="1" applyBorder="1" applyAlignment="1">
      <alignment horizontal="center" vertical="center" wrapText="1"/>
    </xf>
    <xf numFmtId="0" fontId="8" fillId="0" borderId="131" xfId="0" applyNumberFormat="1" applyFont="1" applyBorder="1" applyAlignment="1">
      <alignment horizontal="center" vertical="center" textRotation="90" wrapText="1"/>
    </xf>
    <xf numFmtId="167" fontId="9" fillId="0" borderId="23" xfId="0" applyFont="1" applyBorder="1" applyAlignment="1">
      <alignment horizontal="center" vertical="center" textRotation="90" wrapText="1"/>
    </xf>
    <xf numFmtId="167" fontId="9" fillId="0" borderId="129" xfId="0" applyFont="1" applyBorder="1" applyAlignment="1">
      <alignment horizontal="center" vertical="center" textRotation="90" wrapText="1"/>
    </xf>
    <xf numFmtId="0" fontId="8" fillId="0" borderId="1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167" fontId="9" fillId="0" borderId="13" xfId="0" applyFont="1" applyBorder="1"/>
    <xf numFmtId="167" fontId="9" fillId="0" borderId="23" xfId="0" applyFont="1" applyBorder="1"/>
    <xf numFmtId="167" fontId="9" fillId="0" borderId="2" xfId="0" applyFont="1" applyBorder="1"/>
    <xf numFmtId="167" fontId="9" fillId="0" borderId="129" xfId="0" applyFont="1" applyBorder="1"/>
    <xf numFmtId="167" fontId="9" fillId="0" borderId="16" xfId="0" applyFont="1" applyBorder="1"/>
    <xf numFmtId="0" fontId="8" fillId="0" borderId="156" xfId="0" applyNumberFormat="1" applyFont="1" applyBorder="1" applyAlignment="1">
      <alignment horizontal="center" vertical="center" wrapText="1"/>
    </xf>
    <xf numFmtId="0" fontId="8" fillId="0" borderId="167" xfId="0" applyNumberFormat="1" applyFont="1" applyBorder="1" applyAlignment="1">
      <alignment horizontal="center" vertical="center" wrapText="1"/>
    </xf>
    <xf numFmtId="0" fontId="8" fillId="0" borderId="108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148" xfId="0" applyNumberFormat="1" applyFont="1" applyBorder="1" applyAlignment="1">
      <alignment horizontal="center" vertical="center" wrapText="1"/>
    </xf>
    <xf numFmtId="0" fontId="8" fillId="0" borderId="127" xfId="0" applyNumberFormat="1" applyFont="1" applyBorder="1" applyAlignment="1">
      <alignment horizontal="center" vertical="center" wrapText="1"/>
    </xf>
    <xf numFmtId="167" fontId="8" fillId="0" borderId="172" xfId="0" applyFont="1" applyBorder="1" applyAlignment="1">
      <alignment horizontal="center" vertical="center" textRotation="90" wrapText="1"/>
    </xf>
    <xf numFmtId="167" fontId="8" fillId="0" borderId="181" xfId="0" applyFont="1" applyBorder="1" applyAlignment="1">
      <alignment horizontal="center" vertical="center" wrapText="1"/>
    </xf>
    <xf numFmtId="167" fontId="14" fillId="0" borderId="280" xfId="0" applyFont="1" applyBorder="1" applyAlignment="1">
      <alignment horizontal="center" vertical="center" wrapText="1"/>
    </xf>
    <xf numFmtId="167" fontId="14" fillId="0" borderId="281" xfId="0" applyFont="1" applyBorder="1" applyAlignment="1">
      <alignment horizontal="center" vertical="center" wrapText="1"/>
    </xf>
    <xf numFmtId="167" fontId="14" fillId="0" borderId="260" xfId="0" applyFont="1" applyBorder="1" applyAlignment="1">
      <alignment horizontal="center" vertical="center" wrapText="1"/>
    </xf>
    <xf numFmtId="167" fontId="14" fillId="0" borderId="35" xfId="0" applyFont="1" applyBorder="1" applyAlignment="1">
      <alignment horizontal="center" vertical="center" wrapText="1"/>
    </xf>
    <xf numFmtId="167" fontId="14" fillId="0" borderId="228" xfId="0" applyFont="1" applyBorder="1" applyAlignment="1">
      <alignment horizontal="center" vertical="center" wrapText="1"/>
    </xf>
    <xf numFmtId="167" fontId="14" fillId="0" borderId="160" xfId="0" applyFont="1" applyBorder="1" applyAlignment="1">
      <alignment horizontal="center" vertical="center" wrapText="1"/>
    </xf>
    <xf numFmtId="167" fontId="14" fillId="0" borderId="155" xfId="0" applyFont="1" applyBorder="1" applyAlignment="1">
      <alignment horizontal="center" vertical="center" wrapText="1"/>
    </xf>
    <xf numFmtId="167" fontId="14" fillId="0" borderId="211" xfId="0" applyFont="1" applyBorder="1" applyAlignment="1">
      <alignment horizontal="center" vertical="center" wrapText="1"/>
    </xf>
    <xf numFmtId="167" fontId="14" fillId="0" borderId="237" xfId="0" applyFont="1" applyBorder="1" applyAlignment="1">
      <alignment horizontal="center" vertical="center" wrapText="1"/>
    </xf>
    <xf numFmtId="167" fontId="14" fillId="0" borderId="287" xfId="0" applyFont="1" applyBorder="1" applyAlignment="1">
      <alignment horizontal="center" vertical="center" wrapText="1"/>
    </xf>
    <xf numFmtId="167" fontId="10" fillId="10" borderId="249" xfId="41057" applyNumberFormat="1" applyFont="1" applyFill="1" applyBorder="1" applyAlignment="1" applyProtection="1">
      <alignment horizontal="center" vertical="center" wrapText="1"/>
    </xf>
    <xf numFmtId="167" fontId="14" fillId="0" borderId="25" xfId="0" applyFont="1" applyBorder="1" applyAlignment="1">
      <alignment horizontal="center" vertical="center" wrapText="1"/>
    </xf>
    <xf numFmtId="167" fontId="14" fillId="0" borderId="12" xfId="0" applyFont="1" applyBorder="1" applyAlignment="1">
      <alignment horizontal="center" vertical="center" wrapText="1"/>
    </xf>
    <xf numFmtId="167" fontId="14" fillId="0" borderId="81" xfId="0" applyFont="1" applyBorder="1" applyAlignment="1">
      <alignment horizontal="center" vertical="center" wrapText="1"/>
    </xf>
    <xf numFmtId="167" fontId="14" fillId="0" borderId="183" xfId="0" applyFont="1" applyBorder="1" applyAlignment="1">
      <alignment horizontal="center" vertical="center" wrapText="1"/>
    </xf>
    <xf numFmtId="167" fontId="14" fillId="0" borderId="118" xfId="0" applyFont="1" applyBorder="1" applyAlignment="1">
      <alignment horizontal="center" vertical="center" wrapText="1"/>
    </xf>
    <xf numFmtId="167" fontId="14" fillId="0" borderId="14" xfId="0" applyFont="1" applyBorder="1" applyAlignment="1">
      <alignment horizontal="center" vertical="center" wrapText="1"/>
    </xf>
    <xf numFmtId="167" fontId="10" fillId="10" borderId="266" xfId="41057" applyNumberFormat="1" applyFont="1" applyFill="1" applyBorder="1" applyAlignment="1" applyProtection="1">
      <alignment horizontal="center" vertical="center" wrapText="1"/>
    </xf>
    <xf numFmtId="167" fontId="14" fillId="0" borderId="161" xfId="0" applyFont="1" applyBorder="1" applyAlignment="1">
      <alignment horizontal="center" vertical="center" textRotation="90" wrapText="1"/>
    </xf>
    <xf numFmtId="167" fontId="14" fillId="0" borderId="159" xfId="0" applyFont="1" applyBorder="1" applyAlignment="1">
      <alignment horizontal="center" vertical="center" textRotation="90" wrapText="1"/>
    </xf>
    <xf numFmtId="167" fontId="14" fillId="0" borderId="108" xfId="0" applyFont="1" applyBorder="1" applyAlignment="1">
      <alignment horizontal="center" vertical="center" textRotation="90" wrapText="1"/>
    </xf>
    <xf numFmtId="37" fontId="14" fillId="0" borderId="167" xfId="0" applyNumberFormat="1" applyFont="1" applyBorder="1" applyAlignment="1">
      <alignment horizontal="center" vertical="center" wrapText="1"/>
    </xf>
    <xf numFmtId="37" fontId="14" fillId="0" borderId="127" xfId="0" applyNumberFormat="1" applyFont="1" applyBorder="1" applyAlignment="1">
      <alignment horizontal="center" vertical="center" wrapText="1"/>
    </xf>
    <xf numFmtId="167" fontId="14" fillId="0" borderId="182" xfId="0" applyFont="1" applyBorder="1" applyAlignment="1">
      <alignment horizontal="center" vertical="center" wrapText="1"/>
    </xf>
    <xf numFmtId="167" fontId="14" fillId="0" borderId="286" xfId="0" applyFont="1" applyBorder="1" applyAlignment="1">
      <alignment horizontal="center" vertical="center" wrapText="1"/>
    </xf>
    <xf numFmtId="167" fontId="14" fillId="0" borderId="175" xfId="0" applyFont="1" applyBorder="1" applyAlignment="1">
      <alignment horizontal="center" vertical="center" wrapText="1"/>
    </xf>
    <xf numFmtId="183" fontId="14" fillId="0" borderId="194" xfId="0" applyNumberFormat="1" applyFont="1" applyBorder="1" applyAlignment="1">
      <alignment horizontal="center" vertical="center" wrapText="1"/>
    </xf>
    <xf numFmtId="183" fontId="14" fillId="0" borderId="290" xfId="0" applyNumberFormat="1" applyFont="1" applyBorder="1" applyAlignment="1">
      <alignment horizontal="center" vertical="center" wrapText="1"/>
    </xf>
    <xf numFmtId="183" fontId="14" fillId="0" borderId="111" xfId="0" applyNumberFormat="1" applyFont="1" applyBorder="1" applyAlignment="1">
      <alignment horizontal="center" vertical="center" wrapText="1"/>
    </xf>
    <xf numFmtId="183" fontId="14" fillId="0" borderId="197" xfId="0" applyNumberFormat="1" applyFont="1" applyBorder="1" applyAlignment="1">
      <alignment horizontal="center" vertical="center" wrapText="1"/>
    </xf>
    <xf numFmtId="167" fontId="14" fillId="0" borderId="36" xfId="0" applyFont="1" applyBorder="1" applyAlignment="1">
      <alignment horizontal="center" vertical="center" wrapText="1"/>
    </xf>
    <xf numFmtId="167" fontId="14" fillId="0" borderId="233" xfId="0" applyFont="1" applyBorder="1" applyAlignment="1">
      <alignment horizontal="center" vertical="center" wrapText="1"/>
    </xf>
    <xf numFmtId="167" fontId="14" fillId="0" borderId="75" xfId="0" applyFont="1" applyBorder="1" applyAlignment="1">
      <alignment horizontal="center" vertical="center" wrapText="1"/>
    </xf>
    <xf numFmtId="167" fontId="14" fillId="0" borderId="80" xfId="0" applyFont="1" applyBorder="1" applyAlignment="1">
      <alignment horizontal="center" vertical="center" wrapText="1"/>
    </xf>
    <xf numFmtId="167" fontId="14" fillId="0" borderId="111" xfId="0" applyFont="1" applyBorder="1" applyAlignment="1">
      <alignment horizontal="center" vertical="center" wrapText="1"/>
    </xf>
    <xf numFmtId="167" fontId="14" fillId="0" borderId="197" xfId="0" applyFont="1" applyBorder="1" applyAlignment="1">
      <alignment horizontal="center" vertical="center" wrapText="1"/>
    </xf>
    <xf numFmtId="183" fontId="14" fillId="0" borderId="154" xfId="0" applyNumberFormat="1" applyFont="1" applyBorder="1" applyAlignment="1">
      <alignment horizontal="center" vertical="center" wrapText="1"/>
    </xf>
    <xf numFmtId="183" fontId="14" fillId="0" borderId="200" xfId="0" applyNumberFormat="1" applyFont="1" applyBorder="1" applyAlignment="1">
      <alignment horizontal="center" vertical="center" wrapText="1"/>
    </xf>
    <xf numFmtId="167" fontId="14" fillId="0" borderId="154" xfId="0" applyFont="1" applyBorder="1" applyAlignment="1">
      <alignment horizontal="center" vertical="center" wrapText="1"/>
    </xf>
    <xf numFmtId="39" fontId="14" fillId="0" borderId="194" xfId="0" applyNumberFormat="1" applyFont="1" applyBorder="1" applyAlignment="1">
      <alignment horizontal="center" vertical="center" wrapText="1"/>
    </xf>
    <xf numFmtId="167" fontId="14" fillId="0" borderId="40" xfId="0" applyFont="1" applyBorder="1" applyAlignment="1">
      <alignment horizontal="center" vertical="center" wrapText="1"/>
    </xf>
    <xf numFmtId="167" fontId="14" fillId="0" borderId="149" xfId="0" applyFont="1" applyBorder="1" applyAlignment="1">
      <alignment horizontal="center" vertical="center" wrapText="1"/>
    </xf>
    <xf numFmtId="167" fontId="14" fillId="0" borderId="176" xfId="0" applyFont="1" applyBorder="1" applyAlignment="1">
      <alignment horizontal="center" vertical="center" wrapText="1"/>
    </xf>
    <xf numFmtId="167" fontId="14" fillId="0" borderId="19" xfId="0" applyFont="1" applyBorder="1" applyAlignment="1">
      <alignment horizontal="center" vertical="center" wrapText="1"/>
    </xf>
    <xf numFmtId="167" fontId="14" fillId="0" borderId="238" xfId="0" applyFont="1" applyBorder="1" applyAlignment="1">
      <alignment horizontal="center" vertical="center" wrapText="1"/>
    </xf>
    <xf numFmtId="167" fontId="14" fillId="0" borderId="105" xfId="0" applyFont="1" applyBorder="1" applyAlignment="1">
      <alignment horizontal="center" vertical="center" wrapText="1"/>
    </xf>
    <xf numFmtId="167" fontId="14" fillId="0" borderId="153" xfId="0" applyFont="1" applyBorder="1" applyAlignment="1">
      <alignment horizontal="center" vertical="center" wrapText="1"/>
    </xf>
    <xf numFmtId="167" fontId="14" fillId="0" borderId="79" xfId="0" applyFont="1" applyBorder="1" applyAlignment="1">
      <alignment horizontal="center" vertical="center" wrapText="1"/>
    </xf>
    <xf numFmtId="167" fontId="28" fillId="0" borderId="280" xfId="0" applyFont="1" applyBorder="1" applyAlignment="1">
      <alignment horizontal="center" vertical="center" wrapText="1"/>
    </xf>
    <xf numFmtId="167" fontId="28" fillId="0" borderId="235" xfId="0" applyFont="1" applyBorder="1" applyAlignment="1">
      <alignment horizontal="center" vertical="center" wrapText="1"/>
    </xf>
    <xf numFmtId="167" fontId="28" fillId="0" borderId="281" xfId="0" applyFont="1" applyBorder="1" applyAlignment="1">
      <alignment horizontal="center" vertical="center" wrapText="1"/>
    </xf>
    <xf numFmtId="167" fontId="14" fillId="0" borderId="170" xfId="0" applyFont="1" applyBorder="1" applyAlignment="1">
      <alignment horizontal="center" vertical="center" wrapText="1"/>
    </xf>
    <xf numFmtId="167" fontId="14" fillId="0" borderId="227" xfId="0" applyFont="1" applyBorder="1" applyAlignment="1">
      <alignment horizontal="center" vertical="center" wrapText="1"/>
    </xf>
    <xf numFmtId="183" fontId="14" fillId="0" borderId="75" xfId="0" applyNumberFormat="1" applyFont="1" applyBorder="1" applyAlignment="1">
      <alignment horizontal="center" vertical="center" wrapText="1"/>
    </xf>
    <xf numFmtId="183" fontId="14" fillId="0" borderId="80" xfId="0" applyNumberFormat="1" applyFont="1" applyBorder="1" applyAlignment="1">
      <alignment horizontal="center" vertical="center" wrapText="1"/>
    </xf>
    <xf numFmtId="167" fontId="14" fillId="0" borderId="89" xfId="0" applyFont="1" applyBorder="1" applyAlignment="1">
      <alignment horizontal="center" vertical="center" wrapText="1"/>
    </xf>
    <xf numFmtId="39" fontId="14" fillId="8" borderId="192" xfId="0" applyNumberFormat="1" applyFont="1" applyFill="1" applyBorder="1" applyAlignment="1">
      <alignment horizontal="center" vertical="center" wrapText="1"/>
    </xf>
    <xf numFmtId="39" fontId="14" fillId="8" borderId="228" xfId="0" applyNumberFormat="1" applyFont="1" applyFill="1" applyBorder="1" applyAlignment="1">
      <alignment horizontal="center" vertical="center" wrapText="1"/>
    </xf>
    <xf numFmtId="195" fontId="14" fillId="8" borderId="105" xfId="0" applyNumberFormat="1" applyFont="1" applyFill="1" applyBorder="1" applyAlignment="1">
      <alignment horizontal="center" vertical="center" wrapText="1"/>
    </xf>
    <xf numFmtId="195" fontId="14" fillId="8" borderId="19" xfId="0" applyNumberFormat="1" applyFont="1" applyFill="1" applyBorder="1" applyAlignment="1">
      <alignment horizontal="center" vertical="center" wrapText="1"/>
    </xf>
    <xf numFmtId="195" fontId="14" fillId="8" borderId="197" xfId="0" applyNumberFormat="1" applyFont="1" applyFill="1" applyBorder="1" applyAlignment="1">
      <alignment horizontal="center" vertical="center" wrapText="1"/>
    </xf>
    <xf numFmtId="195" fontId="14" fillId="8" borderId="192" xfId="0" applyNumberFormat="1" applyFont="1" applyFill="1" applyBorder="1" applyAlignment="1">
      <alignment horizontal="center" vertical="center" wrapText="1"/>
    </xf>
    <xf numFmtId="167" fontId="10" fillId="10" borderId="146" xfId="0" applyFont="1" applyFill="1" applyBorder="1" applyAlignment="1">
      <alignment horizontal="center" vertical="center" wrapText="1"/>
    </xf>
    <xf numFmtId="167" fontId="10" fillId="10" borderId="26" xfId="0" applyFont="1" applyFill="1" applyBorder="1" applyAlignment="1">
      <alignment horizontal="center" vertical="center" wrapText="1"/>
    </xf>
    <xf numFmtId="167" fontId="10" fillId="10" borderId="266" xfId="0" applyFont="1" applyFill="1" applyBorder="1" applyAlignment="1">
      <alignment horizontal="center" vertical="center" wrapText="1"/>
    </xf>
    <xf numFmtId="167" fontId="14" fillId="0" borderId="33" xfId="0" applyFont="1" applyBorder="1" applyAlignment="1">
      <alignment horizontal="center" vertical="center" wrapText="1"/>
    </xf>
    <xf numFmtId="167" fontId="14" fillId="0" borderId="273" xfId="0" applyFont="1" applyBorder="1" applyAlignment="1">
      <alignment horizontal="center" vertical="center" wrapText="1"/>
    </xf>
    <xf numFmtId="167" fontId="14" fillId="0" borderId="257" xfId="0" applyFont="1" applyBorder="1" applyAlignment="1">
      <alignment horizontal="center" vertical="center" wrapText="1"/>
    </xf>
    <xf numFmtId="167" fontId="14" fillId="0" borderId="243" xfId="0" applyFont="1" applyBorder="1" applyAlignment="1">
      <alignment horizontal="center" vertical="center" wrapText="1"/>
    </xf>
    <xf numFmtId="167" fontId="14" fillId="0" borderId="167" xfId="0" applyFont="1" applyBorder="1" applyAlignment="1">
      <alignment horizontal="center" vertical="center" textRotation="90" wrapText="1"/>
    </xf>
    <xf numFmtId="167" fontId="14" fillId="0" borderId="3" xfId="0" applyFont="1" applyBorder="1" applyAlignment="1">
      <alignment horizontal="center" vertical="center" textRotation="90" wrapText="1"/>
    </xf>
    <xf numFmtId="167" fontId="14" fillId="0" borderId="127" xfId="0" applyFont="1" applyBorder="1" applyAlignment="1">
      <alignment horizontal="center" vertical="center" textRotation="90" wrapText="1"/>
    </xf>
    <xf numFmtId="185" fontId="14" fillId="0" borderId="156" xfId="0" applyNumberFormat="1" applyFont="1" applyBorder="1" applyAlignment="1">
      <alignment horizontal="center" vertical="center" wrapText="1"/>
    </xf>
    <xf numFmtId="185" fontId="14" fillId="0" borderId="178" xfId="0" applyNumberFormat="1" applyFont="1" applyBorder="1" applyAlignment="1">
      <alignment horizontal="center" vertical="center" wrapText="1"/>
    </xf>
    <xf numFmtId="185" fontId="14" fillId="0" borderId="108" xfId="0" applyNumberFormat="1" applyFont="1" applyBorder="1" applyAlignment="1">
      <alignment horizontal="center" vertical="center" wrapText="1"/>
    </xf>
    <xf numFmtId="185" fontId="14" fillId="0" borderId="0" xfId="0" applyNumberFormat="1" applyFont="1" applyAlignment="1">
      <alignment horizontal="center" vertical="center" wrapText="1"/>
    </xf>
    <xf numFmtId="185" fontId="14" fillId="0" borderId="148" xfId="0" applyNumberFormat="1" applyFont="1" applyBorder="1" applyAlignment="1">
      <alignment horizontal="center" vertical="center" wrapText="1"/>
    </xf>
    <xf numFmtId="185" fontId="14" fillId="0" borderId="118" xfId="0" applyNumberFormat="1" applyFont="1" applyBorder="1" applyAlignment="1">
      <alignment horizontal="center" vertical="center" wrapText="1"/>
    </xf>
    <xf numFmtId="167" fontId="14" fillId="0" borderId="186" xfId="0" applyFont="1" applyBorder="1" applyAlignment="1">
      <alignment horizontal="center" vertical="center" wrapText="1"/>
    </xf>
    <xf numFmtId="167" fontId="14" fillId="0" borderId="290" xfId="0" applyFont="1" applyBorder="1" applyAlignment="1">
      <alignment horizontal="center" vertical="center" wrapText="1"/>
    </xf>
    <xf numFmtId="167" fontId="14" fillId="0" borderId="208" xfId="0" applyFont="1" applyBorder="1" applyAlignment="1">
      <alignment horizontal="center" vertical="center" wrapText="1"/>
    </xf>
    <xf numFmtId="167" fontId="14" fillId="0" borderId="190" xfId="0" applyFont="1" applyBorder="1" applyAlignment="1">
      <alignment horizontal="center" vertical="center" wrapText="1"/>
    </xf>
    <xf numFmtId="167" fontId="14" fillId="0" borderId="13" xfId="0" applyFont="1" applyBorder="1" applyAlignment="1">
      <alignment horizontal="center" vertical="center" textRotation="90" wrapText="1"/>
    </xf>
    <xf numFmtId="167" fontId="14" fillId="0" borderId="2" xfId="0" applyFont="1" applyBorder="1" applyAlignment="1">
      <alignment horizontal="center" vertical="center" textRotation="90" wrapText="1"/>
    </xf>
    <xf numFmtId="167" fontId="14" fillId="0" borderId="16" xfId="0" applyFont="1" applyBorder="1" applyAlignment="1">
      <alignment horizontal="center" vertical="center" textRotation="90" wrapText="1"/>
    </xf>
    <xf numFmtId="0" fontId="196" fillId="10" borderId="175" xfId="41075" applyFont="1" applyFill="1" applyBorder="1" applyAlignment="1">
      <alignment horizontal="center" vertical="center"/>
    </xf>
    <xf numFmtId="0" fontId="196" fillId="10" borderId="176" xfId="41075" applyFont="1" applyFill="1" applyBorder="1" applyAlignment="1">
      <alignment horizontal="center" vertical="center"/>
    </xf>
    <xf numFmtId="0" fontId="196" fillId="10" borderId="260" xfId="41075" applyFont="1" applyFill="1" applyBorder="1" applyAlignment="1">
      <alignment horizontal="center" vertical="center"/>
    </xf>
    <xf numFmtId="0" fontId="195" fillId="10" borderId="75" xfId="41075" applyFont="1" applyFill="1" applyBorder="1" applyAlignment="1">
      <alignment horizontal="center" vertical="center"/>
    </xf>
    <xf numFmtId="0" fontId="195" fillId="10" borderId="80" xfId="41075" applyFont="1" applyFill="1" applyBorder="1" applyAlignment="1">
      <alignment horizontal="center" vertical="center"/>
    </xf>
    <xf numFmtId="167" fontId="13" fillId="10" borderId="145" xfId="0" applyFont="1" applyFill="1" applyBorder="1" applyAlignment="1">
      <alignment horizontal="center" vertical="center" textRotation="90" wrapText="1"/>
    </xf>
    <xf numFmtId="167" fontId="13" fillId="10" borderId="108" xfId="0" applyFont="1" applyFill="1" applyBorder="1" applyAlignment="1">
      <alignment horizontal="center" vertical="center" textRotation="90" wrapText="1"/>
    </xf>
    <xf numFmtId="167" fontId="13" fillId="10" borderId="147" xfId="0" applyFont="1" applyFill="1" applyBorder="1" applyAlignment="1">
      <alignment horizontal="center" vertical="center" textRotation="90" wrapText="1"/>
    </xf>
    <xf numFmtId="0" fontId="195" fillId="10" borderId="136" xfId="41075" applyFont="1" applyFill="1" applyBorder="1" applyAlignment="1">
      <alignment horizontal="center" vertical="center"/>
    </xf>
    <xf numFmtId="0" fontId="195" fillId="10" borderId="35" xfId="41075" applyFont="1" applyFill="1" applyBorder="1" applyAlignment="1">
      <alignment horizontal="center" vertical="center"/>
    </xf>
    <xf numFmtId="0" fontId="195" fillId="10" borderId="13" xfId="41075" applyFont="1" applyFill="1" applyBorder="1" applyAlignment="1">
      <alignment horizontal="center" vertical="center" wrapText="1"/>
    </xf>
    <xf numFmtId="0" fontId="195" fillId="10" borderId="16" xfId="41075" applyFont="1" applyFill="1" applyBorder="1" applyAlignment="1">
      <alignment horizontal="center" vertical="center" wrapText="1"/>
    </xf>
    <xf numFmtId="186" fontId="7" fillId="0" borderId="105" xfId="41067" applyNumberFormat="1" applyFont="1" applyBorder="1" applyAlignment="1">
      <alignment horizontal="center" vertical="center" wrapText="1"/>
    </xf>
    <xf numFmtId="186" fontId="7" fillId="0" borderId="19" xfId="41067" applyNumberFormat="1" applyFont="1" applyBorder="1" applyAlignment="1">
      <alignment horizontal="center" vertical="center" wrapText="1"/>
    </xf>
    <xf numFmtId="185" fontId="7" fillId="0" borderId="13" xfId="41067" applyNumberFormat="1" applyFont="1" applyBorder="1" applyAlignment="1">
      <alignment horizontal="center" vertical="center" wrapText="1"/>
    </xf>
    <xf numFmtId="185" fontId="7" fillId="0" borderId="19" xfId="41067" applyNumberFormat="1" applyFont="1" applyBorder="1" applyAlignment="1">
      <alignment horizontal="center" vertical="center" wrapText="1"/>
    </xf>
    <xf numFmtId="185" fontId="7" fillId="0" borderId="105" xfId="41067" applyNumberFormat="1" applyFont="1" applyBorder="1" applyAlignment="1">
      <alignment horizontal="center" vertical="center" wrapText="1"/>
    </xf>
    <xf numFmtId="186" fontId="7" fillId="0" borderId="13" xfId="41067" applyNumberFormat="1" applyFont="1" applyBorder="1" applyAlignment="1">
      <alignment horizontal="center" vertical="center" wrapText="1"/>
    </xf>
    <xf numFmtId="185" fontId="7" fillId="0" borderId="16" xfId="41067" applyNumberFormat="1" applyFont="1" applyBorder="1" applyAlignment="1">
      <alignment horizontal="center" vertical="center" wrapText="1"/>
    </xf>
    <xf numFmtId="186" fontId="7" fillId="0" borderId="21" xfId="41067" applyNumberFormat="1" applyFont="1" applyBorder="1" applyAlignment="1">
      <alignment horizontal="center" vertical="center" wrapText="1"/>
    </xf>
    <xf numFmtId="185" fontId="7" fillId="0" borderId="2" xfId="41067" applyNumberFormat="1" applyFont="1" applyBorder="1" applyAlignment="1">
      <alignment horizontal="center" vertical="center" wrapText="1"/>
    </xf>
    <xf numFmtId="185" fontId="7" fillId="9" borderId="114" xfId="41067" applyNumberFormat="1" applyFont="1" applyFill="1" applyBorder="1" applyAlignment="1">
      <alignment horizontal="center" vertical="center" wrapText="1"/>
    </xf>
    <xf numFmtId="185" fontId="7" fillId="9" borderId="39" xfId="41067" applyNumberFormat="1" applyFont="1" applyFill="1" applyBorder="1" applyAlignment="1">
      <alignment horizontal="center" vertical="center" wrapText="1"/>
    </xf>
    <xf numFmtId="185" fontId="7" fillId="9" borderId="229" xfId="41067" applyNumberFormat="1" applyFont="1" applyFill="1" applyBorder="1" applyAlignment="1">
      <alignment horizontal="center" vertical="center" wrapText="1"/>
    </xf>
    <xf numFmtId="185" fontId="7" fillId="9" borderId="24" xfId="41067" applyNumberFormat="1" applyFont="1" applyFill="1" applyBorder="1" applyAlignment="1">
      <alignment horizontal="center" vertical="center" wrapText="1"/>
    </xf>
    <xf numFmtId="167" fontId="13" fillId="0" borderId="237" xfId="0" applyFont="1" applyBorder="1" applyAlignment="1">
      <alignment horizontal="center" vertical="center" wrapText="1"/>
    </xf>
    <xf numFmtId="167" fontId="13" fillId="0" borderId="238" xfId="0" applyFont="1" applyBorder="1" applyAlignment="1">
      <alignment horizontal="center" vertical="center" wrapText="1"/>
    </xf>
    <xf numFmtId="167" fontId="13" fillId="0" borderId="287" xfId="0" applyFont="1" applyBorder="1" applyAlignment="1">
      <alignment horizontal="center" vertical="center" wrapText="1"/>
    </xf>
    <xf numFmtId="185" fontId="7" fillId="9" borderId="157" xfId="41067" applyNumberFormat="1" applyFont="1" applyFill="1" applyBorder="1" applyAlignment="1">
      <alignment horizontal="center" vertical="center" wrapText="1"/>
    </xf>
    <xf numFmtId="167" fontId="23" fillId="0" borderId="118" xfId="41067" applyNumberFormat="1" applyFont="1" applyBorder="1" applyAlignment="1">
      <alignment horizontal="center" vertical="center" wrapText="1"/>
    </xf>
    <xf numFmtId="167" fontId="23" fillId="0" borderId="170" xfId="41067" applyNumberFormat="1" applyFont="1" applyBorder="1" applyAlignment="1">
      <alignment horizontal="center" vertical="center" wrapText="1"/>
    </xf>
    <xf numFmtId="167" fontId="14" fillId="0" borderId="167" xfId="41067" applyNumberFormat="1" applyFont="1" applyBorder="1" applyAlignment="1">
      <alignment horizontal="center" vertical="center" wrapText="1"/>
    </xf>
    <xf numFmtId="167" fontId="9" fillId="0" borderId="3" xfId="0" applyFont="1" applyBorder="1" applyAlignment="1">
      <alignment horizontal="center" vertical="center" wrapText="1"/>
    </xf>
    <xf numFmtId="167" fontId="9" fillId="0" borderId="18" xfId="0" applyFont="1" applyBorder="1" applyAlignment="1">
      <alignment horizontal="center" vertical="center" wrapText="1"/>
    </xf>
    <xf numFmtId="167" fontId="14" fillId="0" borderId="3" xfId="41067" applyNumberFormat="1" applyFont="1" applyBorder="1" applyAlignment="1">
      <alignment horizontal="center" vertical="center" wrapText="1"/>
    </xf>
    <xf numFmtId="167" fontId="9" fillId="0" borderId="127" xfId="0" applyFont="1" applyBorder="1" applyAlignment="1">
      <alignment horizontal="center" vertical="center" wrapText="1"/>
    </xf>
    <xf numFmtId="167" fontId="13" fillId="0" borderId="79" xfId="41067" applyNumberFormat="1" applyFont="1" applyBorder="1" applyAlignment="1">
      <alignment horizontal="center" vertical="center"/>
    </xf>
    <xf numFmtId="167" fontId="13" fillId="0" borderId="80" xfId="41067" applyNumberFormat="1" applyFont="1" applyBorder="1" applyAlignment="1">
      <alignment horizontal="center" vertical="center"/>
    </xf>
    <xf numFmtId="167" fontId="13" fillId="0" borderId="193" xfId="41067" applyNumberFormat="1" applyFont="1" applyBorder="1" applyAlignment="1">
      <alignment horizontal="center" vertical="center"/>
    </xf>
    <xf numFmtId="167" fontId="13" fillId="0" borderId="200" xfId="41067" applyNumberFormat="1" applyFont="1" applyBorder="1" applyAlignment="1">
      <alignment horizontal="center" vertical="center"/>
    </xf>
    <xf numFmtId="167" fontId="13" fillId="0" borderId="145" xfId="41067" applyNumberFormat="1" applyFont="1" applyBorder="1" applyAlignment="1">
      <alignment horizontal="center" vertical="center" textRotation="90" wrapText="1"/>
    </xf>
    <xf numFmtId="167" fontId="13" fillId="0" borderId="108" xfId="41067" applyNumberFormat="1" applyFont="1" applyBorder="1" applyAlignment="1">
      <alignment horizontal="center" vertical="center" textRotation="90" wrapText="1"/>
    </xf>
    <xf numFmtId="167" fontId="24" fillId="0" borderId="108" xfId="41067" applyNumberFormat="1" applyFont="1" applyBorder="1" applyAlignment="1">
      <alignment horizontal="center" vertical="center" textRotation="90" wrapText="1"/>
    </xf>
    <xf numFmtId="167" fontId="13" fillId="0" borderId="148" xfId="41067" applyNumberFormat="1" applyFont="1" applyBorder="1" applyAlignment="1">
      <alignment horizontal="center" vertical="center" textRotation="90" wrapText="1"/>
    </xf>
    <xf numFmtId="167" fontId="96" fillId="0" borderId="161" xfId="41067" applyNumberFormat="1" applyFont="1" applyBorder="1" applyAlignment="1">
      <alignment horizontal="center" vertical="center" textRotation="90" wrapText="1"/>
    </xf>
    <xf numFmtId="167" fontId="96" fillId="0" borderId="159" xfId="41067" applyNumberFormat="1" applyFont="1" applyBorder="1" applyAlignment="1">
      <alignment horizontal="center" vertical="center" textRotation="90" wrapText="1"/>
    </xf>
    <xf numFmtId="167" fontId="96" fillId="0" borderId="185" xfId="41067" applyNumberFormat="1" applyFont="1" applyBorder="1" applyAlignment="1">
      <alignment horizontal="center" vertical="center" textRotation="90" wrapText="1"/>
    </xf>
    <xf numFmtId="167" fontId="13" fillId="0" borderId="161" xfId="41067" applyNumberFormat="1" applyFont="1" applyBorder="1" applyAlignment="1">
      <alignment horizontal="center" vertical="center" textRotation="90" wrapText="1"/>
    </xf>
    <xf numFmtId="167" fontId="13" fillId="0" borderId="159" xfId="41067" applyNumberFormat="1" applyFont="1" applyBorder="1" applyAlignment="1">
      <alignment horizontal="center" vertical="center" textRotation="90" wrapText="1"/>
    </xf>
    <xf numFmtId="167" fontId="13" fillId="0" borderId="185" xfId="41067" applyNumberFormat="1" applyFont="1" applyBorder="1" applyAlignment="1">
      <alignment horizontal="center" vertical="center" textRotation="90" wrapText="1"/>
    </xf>
    <xf numFmtId="167" fontId="23" fillId="0" borderId="199" xfId="41067" applyNumberFormat="1" applyFont="1" applyBorder="1" applyAlignment="1">
      <alignment horizontal="center" vertical="center" wrapText="1"/>
    </xf>
    <xf numFmtId="167" fontId="23" fillId="0" borderId="200" xfId="41067" applyNumberFormat="1" applyFont="1" applyBorder="1" applyAlignment="1">
      <alignment horizontal="center" vertical="center" wrapText="1"/>
    </xf>
    <xf numFmtId="185" fontId="7" fillId="9" borderId="168" xfId="41067" applyNumberFormat="1" applyFont="1" applyFill="1" applyBorder="1" applyAlignment="1">
      <alignment horizontal="center" vertical="center" wrapText="1"/>
    </xf>
    <xf numFmtId="185" fontId="7" fillId="9" borderId="22" xfId="41067" applyNumberFormat="1" applyFont="1" applyFill="1" applyBorder="1" applyAlignment="1">
      <alignment horizontal="center" vertical="center" wrapText="1"/>
    </xf>
    <xf numFmtId="167" fontId="24" fillId="10" borderId="145" xfId="41067" applyNumberFormat="1" applyFont="1" applyFill="1" applyBorder="1" applyAlignment="1">
      <alignment horizontal="center" vertical="center" textRotation="90" wrapText="1"/>
    </xf>
    <xf numFmtId="167" fontId="24" fillId="10" borderId="108" xfId="41067" applyNumberFormat="1" applyFont="1" applyFill="1" applyBorder="1" applyAlignment="1">
      <alignment horizontal="center" vertical="center" textRotation="90" wrapText="1"/>
    </xf>
    <xf numFmtId="167" fontId="24" fillId="10" borderId="147" xfId="41067" applyNumberFormat="1" applyFont="1" applyFill="1" applyBorder="1" applyAlignment="1">
      <alignment horizontal="center" vertical="center" textRotation="90" wrapText="1"/>
    </xf>
    <xf numFmtId="37" fontId="14" fillId="10" borderId="184" xfId="41057" applyNumberFormat="1" applyFont="1" applyFill="1" applyBorder="1" applyAlignment="1" applyProtection="1">
      <alignment horizontal="center" vertical="center" wrapText="1"/>
    </xf>
    <xf numFmtId="167" fontId="23" fillId="0" borderId="192" xfId="41067" applyNumberFormat="1" applyFont="1" applyBorder="1" applyAlignment="1">
      <alignment horizontal="center" vertical="center" wrapText="1"/>
    </xf>
    <xf numFmtId="167" fontId="23" fillId="0" borderId="197" xfId="41067" applyNumberFormat="1" applyFont="1" applyBorder="1" applyAlignment="1">
      <alignment horizontal="center" vertical="center" wrapText="1"/>
    </xf>
    <xf numFmtId="167" fontId="23" fillId="0" borderId="227" xfId="41067" applyNumberFormat="1" applyFont="1" applyBorder="1" applyAlignment="1">
      <alignment horizontal="center" vertical="center" wrapText="1"/>
    </xf>
    <xf numFmtId="167" fontId="23" fillId="0" borderId="79" xfId="41067" applyNumberFormat="1" applyFont="1" applyBorder="1" applyAlignment="1">
      <alignment horizontal="center" vertical="center" wrapText="1"/>
    </xf>
    <xf numFmtId="167" fontId="23" fillId="0" borderId="80" xfId="41067" applyNumberFormat="1" applyFont="1" applyBorder="1" applyAlignment="1">
      <alignment horizontal="center" vertical="center" wrapText="1"/>
    </xf>
    <xf numFmtId="2" fontId="8" fillId="0" borderId="244" xfId="41067" applyNumberFormat="1" applyFont="1" applyBorder="1" applyAlignment="1">
      <alignment horizontal="center" vertical="center" wrapText="1"/>
    </xf>
    <xf numFmtId="2" fontId="8" fillId="0" borderId="248" xfId="41067" applyNumberFormat="1" applyFont="1" applyBorder="1" applyAlignment="1">
      <alignment horizontal="center" vertical="center" wrapText="1"/>
    </xf>
    <xf numFmtId="167" fontId="13" fillId="0" borderId="190" xfId="41067" applyNumberFormat="1" applyFont="1" applyBorder="1" applyAlignment="1">
      <alignment horizontal="center" vertical="center"/>
    </xf>
    <xf numFmtId="167" fontId="13" fillId="0" borderId="208" xfId="41067" applyNumberFormat="1" applyFont="1" applyBorder="1" applyAlignment="1">
      <alignment horizontal="center" vertical="center"/>
    </xf>
    <xf numFmtId="167" fontId="13" fillId="0" borderId="227" xfId="41067" applyNumberFormat="1" applyFont="1" applyBorder="1" applyAlignment="1">
      <alignment horizontal="center" vertical="center"/>
    </xf>
    <xf numFmtId="167" fontId="13" fillId="0" borderId="197" xfId="41067" applyNumberFormat="1" applyFont="1" applyBorder="1" applyAlignment="1">
      <alignment horizontal="center" vertical="center"/>
    </xf>
    <xf numFmtId="167" fontId="13" fillId="0" borderId="231" xfId="41067" applyNumberFormat="1" applyFont="1" applyBorder="1" applyAlignment="1">
      <alignment horizontal="center" vertical="center"/>
    </xf>
    <xf numFmtId="167" fontId="13" fillId="0" borderId="186" xfId="41067" applyNumberFormat="1" applyFont="1" applyBorder="1" applyAlignment="1">
      <alignment horizontal="center" vertical="center"/>
    </xf>
    <xf numFmtId="167" fontId="13" fillId="0" borderId="290" xfId="41067" applyNumberFormat="1" applyFont="1" applyBorder="1" applyAlignment="1">
      <alignment horizontal="center" vertical="center"/>
    </xf>
    <xf numFmtId="167" fontId="13" fillId="0" borderId="161" xfId="41067" applyNumberFormat="1" applyFont="1" applyBorder="1" applyAlignment="1">
      <alignment horizontal="center" vertical="center" wrapText="1"/>
    </xf>
    <xf numFmtId="167" fontId="13" fillId="0" borderId="159" xfId="41067" applyNumberFormat="1" applyFont="1" applyBorder="1" applyAlignment="1">
      <alignment horizontal="center" vertical="center" wrapText="1"/>
    </xf>
    <xf numFmtId="167" fontId="13" fillId="0" borderId="185" xfId="41067" applyNumberFormat="1" applyFont="1" applyBorder="1" applyAlignment="1">
      <alignment horizontal="center" vertical="center" wrapText="1"/>
    </xf>
    <xf numFmtId="167" fontId="13" fillId="0" borderId="156" xfId="41067" applyNumberFormat="1" applyFont="1" applyBorder="1" applyAlignment="1">
      <alignment horizontal="center" vertical="center" wrapText="1"/>
    </xf>
    <xf numFmtId="167" fontId="13" fillId="0" borderId="167" xfId="41067" applyNumberFormat="1" applyFont="1" applyBorder="1" applyAlignment="1">
      <alignment horizontal="center" vertical="center" wrapText="1"/>
    </xf>
    <xf numFmtId="167" fontId="13" fillId="0" borderId="148" xfId="41067" applyNumberFormat="1" applyFont="1" applyBorder="1" applyAlignment="1">
      <alignment horizontal="center" vertical="center" wrapText="1"/>
    </xf>
    <xf numFmtId="167" fontId="13" fillId="0" borderId="127" xfId="41067" applyNumberFormat="1" applyFont="1" applyBorder="1" applyAlignment="1">
      <alignment horizontal="center" vertical="center" wrapText="1"/>
    </xf>
    <xf numFmtId="167" fontId="24" fillId="0" borderId="159" xfId="41067" applyNumberFormat="1" applyFont="1" applyBorder="1" applyAlignment="1">
      <alignment horizontal="center" vertical="center" textRotation="90" wrapText="1"/>
    </xf>
    <xf numFmtId="167" fontId="13" fillId="0" borderId="212" xfId="41068" applyNumberFormat="1" applyFont="1" applyBorder="1" applyAlignment="1">
      <alignment horizontal="center" vertical="center" wrapText="1"/>
    </xf>
    <xf numFmtId="167" fontId="13" fillId="0" borderId="176" xfId="41068" applyNumberFormat="1" applyFont="1" applyBorder="1" applyAlignment="1">
      <alignment horizontal="center" vertical="center" wrapText="1"/>
    </xf>
    <xf numFmtId="167" fontId="13" fillId="0" borderId="260" xfId="41068" applyNumberFormat="1" applyFont="1" applyBorder="1" applyAlignment="1">
      <alignment horizontal="center" vertical="center" wrapText="1"/>
    </xf>
    <xf numFmtId="167" fontId="190" fillId="0" borderId="316" xfId="0" applyFont="1" applyBorder="1" applyAlignment="1">
      <alignment horizontal="left" vertical="center" wrapText="1"/>
    </xf>
    <xf numFmtId="167" fontId="190" fillId="0" borderId="317" xfId="0" applyFont="1" applyBorder="1" applyAlignment="1">
      <alignment horizontal="left" vertical="center" wrapText="1"/>
    </xf>
    <xf numFmtId="167" fontId="113" fillId="0" borderId="311" xfId="0" applyFont="1" applyBorder="1" applyAlignment="1">
      <alignment horizontal="center" vertical="center" wrapText="1"/>
    </xf>
    <xf numFmtId="167" fontId="113" fillId="0" borderId="312" xfId="0" applyFont="1" applyBorder="1" applyAlignment="1">
      <alignment horizontal="center" vertical="center" wrapText="1"/>
    </xf>
    <xf numFmtId="167" fontId="113" fillId="0" borderId="313" xfId="0" applyFont="1" applyBorder="1" applyAlignment="1">
      <alignment horizontal="center" vertical="center" wrapText="1"/>
    </xf>
    <xf numFmtId="167" fontId="188" fillId="0" borderId="319" xfId="0" applyFont="1" applyBorder="1" applyAlignment="1">
      <alignment horizontal="left" vertical="center" wrapText="1"/>
    </xf>
    <xf numFmtId="167" fontId="188" fillId="0" borderId="0" xfId="0" applyFont="1" applyAlignment="1">
      <alignment horizontal="left" vertical="center" wrapText="1"/>
    </xf>
    <xf numFmtId="167" fontId="190" fillId="0" borderId="316" xfId="0" applyFont="1" applyBorder="1" applyAlignment="1">
      <alignment horizontal="center" vertical="center" wrapText="1"/>
    </xf>
    <xf numFmtId="167" fontId="190" fillId="0" borderId="317" xfId="0" applyFont="1" applyBorder="1" applyAlignment="1">
      <alignment horizontal="center" vertical="center" wrapText="1"/>
    </xf>
    <xf numFmtId="167" fontId="188" fillId="0" borderId="315" xfId="0" applyFont="1" applyBorder="1" applyAlignment="1">
      <alignment horizontal="left" vertical="center" wrapText="1"/>
    </xf>
    <xf numFmtId="167" fontId="113" fillId="0" borderId="311" xfId="0" applyFont="1" applyBorder="1" applyAlignment="1">
      <alignment horizontal="left" vertical="center" wrapText="1"/>
    </xf>
    <xf numFmtId="167" fontId="113" fillId="0" borderId="312" xfId="0" applyFont="1" applyBorder="1" applyAlignment="1">
      <alignment horizontal="left" vertical="center" wrapText="1"/>
    </xf>
    <xf numFmtId="167" fontId="113" fillId="0" borderId="313" xfId="0" applyFont="1" applyBorder="1" applyAlignment="1">
      <alignment horizontal="left" vertical="center" wrapText="1"/>
    </xf>
    <xf numFmtId="167" fontId="113" fillId="47" borderId="311" xfId="0" applyFont="1" applyFill="1" applyBorder="1" applyAlignment="1">
      <alignment horizontal="center" vertical="center" wrapText="1"/>
    </xf>
    <xf numFmtId="167" fontId="113" fillId="47" borderId="312" xfId="0" applyFont="1" applyFill="1" applyBorder="1" applyAlignment="1">
      <alignment horizontal="center" vertical="center" wrapText="1"/>
    </xf>
    <xf numFmtId="167" fontId="113" fillId="47" borderId="313" xfId="0" applyFont="1" applyFill="1" applyBorder="1" applyAlignment="1">
      <alignment horizontal="center" vertical="center" wrapText="1"/>
    </xf>
    <xf numFmtId="167" fontId="7" fillId="0" borderId="311" xfId="0" applyFont="1" applyBorder="1" applyAlignment="1">
      <alignment horizontal="center" wrapText="1"/>
    </xf>
    <xf numFmtId="167" fontId="7" fillId="0" borderId="313" xfId="0" applyFont="1" applyBorder="1" applyAlignment="1">
      <alignment horizontal="center" wrapText="1"/>
    </xf>
    <xf numFmtId="167" fontId="113" fillId="0" borderId="316" xfId="0" applyFont="1" applyBorder="1" applyAlignment="1">
      <alignment horizontal="center" vertical="center" wrapText="1"/>
    </xf>
    <xf numFmtId="167" fontId="113" fillId="0" borderId="317" xfId="0" applyFont="1" applyBorder="1" applyAlignment="1">
      <alignment horizontal="center" vertical="center" wrapText="1"/>
    </xf>
    <xf numFmtId="167" fontId="188" fillId="0" borderId="312" xfId="0" applyFont="1" applyBorder="1" applyAlignment="1">
      <alignment horizontal="left" vertical="center" wrapText="1"/>
    </xf>
    <xf numFmtId="167" fontId="183" fillId="0" borderId="324" xfId="0" applyFont="1" applyBorder="1" applyAlignment="1">
      <alignment horizontal="left" vertical="center" wrapText="1"/>
    </xf>
    <xf numFmtId="167" fontId="183" fillId="0" borderId="319" xfId="0" applyFont="1" applyBorder="1" applyAlignment="1">
      <alignment horizontal="left" vertical="center" wrapText="1"/>
    </xf>
    <xf numFmtId="167" fontId="186" fillId="0" borderId="0" xfId="0" applyFont="1" applyAlignment="1">
      <alignment horizontal="left" vertical="center" wrapText="1"/>
    </xf>
    <xf numFmtId="167" fontId="186" fillId="0" borderId="315" xfId="0" applyFont="1" applyBorder="1" applyAlignment="1">
      <alignment horizontal="left" vertical="center" wrapText="1"/>
    </xf>
    <xf numFmtId="167" fontId="113" fillId="0" borderId="311" xfId="0" applyFont="1" applyBorder="1" applyAlignment="1">
      <alignment horizontal="left" vertical="center" wrapText="1" indent="2"/>
    </xf>
    <xf numFmtId="167" fontId="113" fillId="0" borderId="313" xfId="0" applyFont="1" applyBorder="1" applyAlignment="1">
      <alignment horizontal="left" vertical="center" wrapText="1" indent="2"/>
    </xf>
    <xf numFmtId="167" fontId="186" fillId="0" borderId="320" xfId="0" applyFont="1" applyBorder="1" applyAlignment="1">
      <alignment horizontal="left" vertical="center" wrapText="1"/>
    </xf>
    <xf numFmtId="167" fontId="183" fillId="0" borderId="0" xfId="0" applyFont="1" applyAlignment="1">
      <alignment horizontal="center" vertical="center" wrapText="1"/>
    </xf>
    <xf numFmtId="167" fontId="186" fillId="0" borderId="320" xfId="0" applyFont="1" applyBorder="1" applyAlignment="1">
      <alignment horizontal="center" vertical="center" wrapText="1"/>
    </xf>
    <xf numFmtId="167" fontId="113" fillId="0" borderId="321" xfId="0" applyFont="1" applyBorder="1" applyAlignment="1">
      <alignment horizontal="center" vertical="center" wrapText="1"/>
    </xf>
    <xf numFmtId="167" fontId="113" fillId="0" borderId="322" xfId="0" applyFont="1" applyBorder="1" applyAlignment="1">
      <alignment horizontal="center" vertical="center" wrapText="1"/>
    </xf>
    <xf numFmtId="167" fontId="113" fillId="0" borderId="323" xfId="0" applyFont="1" applyBorder="1" applyAlignment="1">
      <alignment horizontal="center" vertical="center" wrapText="1"/>
    </xf>
    <xf numFmtId="167" fontId="113" fillId="0" borderId="318" xfId="0" applyFont="1" applyBorder="1" applyAlignment="1">
      <alignment horizontal="center" vertical="center" wrapText="1"/>
    </xf>
    <xf numFmtId="167" fontId="183" fillId="0" borderId="0" xfId="0" applyFont="1" applyAlignment="1">
      <alignment horizontal="left" vertical="center" wrapText="1"/>
    </xf>
    <xf numFmtId="167" fontId="183" fillId="0" borderId="315" xfId="0" applyFont="1" applyBorder="1" applyAlignment="1">
      <alignment horizontal="left" vertical="center" wrapText="1"/>
    </xf>
    <xf numFmtId="167" fontId="179" fillId="0" borderId="316" xfId="0" applyFont="1" applyBorder="1" applyAlignment="1">
      <alignment horizontal="center" vertical="center" wrapText="1"/>
    </xf>
    <xf numFmtId="167" fontId="179" fillId="0" borderId="317" xfId="0" applyFont="1" applyBorder="1" applyAlignment="1">
      <alignment horizontal="center" vertical="center" wrapText="1"/>
    </xf>
    <xf numFmtId="167" fontId="183" fillId="0" borderId="320" xfId="0" applyFont="1" applyBorder="1" applyAlignment="1">
      <alignment horizontal="left" vertical="center" wrapText="1"/>
    </xf>
    <xf numFmtId="167" fontId="183" fillId="0" borderId="312" xfId="0" applyFont="1" applyBorder="1" applyAlignment="1">
      <alignment horizontal="left" vertical="center" wrapText="1"/>
    </xf>
    <xf numFmtId="167" fontId="14" fillId="0" borderId="244" xfId="0" applyFont="1" applyBorder="1" applyAlignment="1">
      <alignment horizontal="center" vertical="center" wrapText="1"/>
    </xf>
    <xf numFmtId="11" fontId="7" fillId="40" borderId="13" xfId="41054" applyNumberFormat="1" applyFont="1" applyFill="1" applyBorder="1" applyAlignment="1">
      <alignment horizontal="center" vertical="center" wrapText="1"/>
    </xf>
    <xf numFmtId="11" fontId="7" fillId="40" borderId="16" xfId="41054" applyNumberFormat="1" applyFont="1" applyFill="1" applyBorder="1" applyAlignment="1">
      <alignment horizontal="center" vertical="center" wrapText="1"/>
    </xf>
    <xf numFmtId="182" fontId="7" fillId="40" borderId="13" xfId="41054" applyNumberFormat="1" applyFont="1" applyFill="1" applyBorder="1" applyAlignment="1">
      <alignment horizontal="center" vertical="center" wrapText="1"/>
    </xf>
    <xf numFmtId="182" fontId="7" fillId="40" borderId="16" xfId="41054" applyNumberFormat="1" applyFont="1" applyFill="1" applyBorder="1" applyAlignment="1">
      <alignment horizontal="center" vertical="center" wrapText="1"/>
    </xf>
    <xf numFmtId="182" fontId="8" fillId="40" borderId="154" xfId="41054" applyNumberFormat="1" applyFont="1" applyFill="1" applyBorder="1" applyAlignment="1" applyProtection="1">
      <alignment horizontal="center" vertical="center" wrapText="1"/>
      <protection locked="0"/>
    </xf>
    <xf numFmtId="182" fontId="8" fillId="40" borderId="193" xfId="41054" applyNumberFormat="1" applyFont="1" applyFill="1" applyBorder="1" applyAlignment="1" applyProtection="1">
      <alignment horizontal="center" vertical="center" wrapText="1"/>
      <protection locked="0"/>
    </xf>
    <xf numFmtId="182" fontId="8" fillId="40" borderId="160" xfId="41054" applyNumberFormat="1" applyFont="1" applyFill="1" applyBorder="1" applyAlignment="1" applyProtection="1">
      <alignment horizontal="center" vertical="center" wrapText="1"/>
      <protection locked="0"/>
    </xf>
    <xf numFmtId="167" fontId="7" fillId="40" borderId="37" xfId="41054" applyFont="1" applyFill="1" applyBorder="1" applyAlignment="1">
      <alignment horizontal="center" vertical="center" wrapText="1"/>
    </xf>
    <xf numFmtId="167" fontId="7" fillId="40" borderId="92" xfId="41054" applyFont="1" applyFill="1" applyBorder="1" applyAlignment="1">
      <alignment horizontal="center" vertical="center" wrapText="1"/>
    </xf>
    <xf numFmtId="167" fontId="7" fillId="40" borderId="36" xfId="41054" applyFont="1" applyFill="1" applyBorder="1" applyAlignment="1">
      <alignment horizontal="center" vertical="center" wrapText="1"/>
    </xf>
    <xf numFmtId="167" fontId="7" fillId="40" borderId="89" xfId="41054" applyFont="1" applyFill="1" applyBorder="1" applyAlignment="1">
      <alignment horizontal="center" vertical="center" wrapText="1"/>
    </xf>
    <xf numFmtId="11" fontId="7" fillId="40" borderId="36" xfId="41054" applyNumberFormat="1" applyFont="1" applyFill="1" applyBorder="1" applyAlignment="1">
      <alignment horizontal="center" vertical="center" wrapText="1"/>
    </xf>
    <xf numFmtId="11" fontId="7" fillId="40" borderId="89" xfId="41054" applyNumberFormat="1" applyFont="1" applyFill="1" applyBorder="1" applyAlignment="1">
      <alignment horizontal="center" vertical="center" wrapText="1"/>
    </xf>
    <xf numFmtId="167" fontId="144" fillId="8" borderId="111" xfId="0" applyFont="1" applyFill="1" applyBorder="1" applyAlignment="1">
      <alignment horizontal="left" vertical="center"/>
    </xf>
    <xf numFmtId="167" fontId="144" fillId="8" borderId="227" xfId="0" applyFont="1" applyFill="1" applyBorder="1" applyAlignment="1">
      <alignment horizontal="left" vertical="center"/>
    </xf>
    <xf numFmtId="167" fontId="144" fillId="8" borderId="228" xfId="0" applyFont="1" applyFill="1" applyBorder="1" applyAlignment="1">
      <alignment horizontal="left" vertical="center"/>
    </xf>
    <xf numFmtId="167" fontId="7" fillId="8" borderId="227" xfId="0" applyFont="1" applyFill="1" applyBorder="1" applyAlignment="1">
      <alignment horizontal="center" vertical="center"/>
    </xf>
    <xf numFmtId="167" fontId="7" fillId="8" borderId="228" xfId="0" applyFont="1" applyFill="1" applyBorder="1" applyAlignment="1">
      <alignment horizontal="center" vertical="center"/>
    </xf>
    <xf numFmtId="167" fontId="7" fillId="0" borderId="105" xfId="0" applyFont="1" applyBorder="1" applyAlignment="1">
      <alignment horizontal="center" vertical="center" wrapText="1"/>
    </xf>
    <xf numFmtId="167" fontId="7" fillId="0" borderId="19" xfId="0" applyFont="1" applyBorder="1" applyAlignment="1">
      <alignment horizontal="center" vertical="center" wrapText="1"/>
    </xf>
    <xf numFmtId="2" fontId="7" fillId="0" borderId="105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167" fontId="7" fillId="0" borderId="105" xfId="0" applyFont="1" applyBorder="1" applyAlignment="1">
      <alignment horizontal="center" vertical="center"/>
    </xf>
    <xf numFmtId="186" fontId="7" fillId="0" borderId="105" xfId="0" applyNumberFormat="1" applyFont="1" applyBorder="1" applyAlignment="1">
      <alignment horizontal="center" vertical="center"/>
    </xf>
    <xf numFmtId="186" fontId="7" fillId="0" borderId="19" xfId="0" applyNumberFormat="1" applyFont="1" applyBorder="1" applyAlignment="1">
      <alignment horizontal="center" vertical="center"/>
    </xf>
    <xf numFmtId="185" fontId="7" fillId="0" borderId="105" xfId="0" applyNumberFormat="1" applyFont="1" applyBorder="1" applyAlignment="1">
      <alignment horizontal="center" vertical="center"/>
    </xf>
    <xf numFmtId="185" fontId="7" fillId="0" borderId="19" xfId="0" applyNumberFormat="1" applyFont="1" applyBorder="1" applyAlignment="1">
      <alignment horizontal="center" vertical="center"/>
    </xf>
    <xf numFmtId="182" fontId="7" fillId="0" borderId="105" xfId="0" applyNumberFormat="1" applyFont="1" applyBorder="1" applyAlignment="1">
      <alignment horizontal="center" vertical="center"/>
    </xf>
    <xf numFmtId="182" fontId="7" fillId="0" borderId="19" xfId="0" applyNumberFormat="1" applyFont="1" applyBorder="1" applyAlignment="1">
      <alignment horizontal="center" vertical="center"/>
    </xf>
    <xf numFmtId="167" fontId="143" fillId="0" borderId="111" xfId="0" applyFont="1" applyBorder="1" applyAlignment="1">
      <alignment horizontal="center" vertical="center"/>
    </xf>
    <xf numFmtId="167" fontId="143" fillId="0" borderId="227" xfId="0" applyFont="1" applyBorder="1" applyAlignment="1">
      <alignment horizontal="center" vertical="center"/>
    </xf>
    <xf numFmtId="167" fontId="143" fillId="0" borderId="228" xfId="0" applyFont="1" applyBorder="1" applyAlignment="1">
      <alignment horizontal="center" vertical="center"/>
    </xf>
    <xf numFmtId="167" fontId="7" fillId="0" borderId="233" xfId="0" applyFont="1" applyBorder="1" applyAlignment="1">
      <alignment horizontal="center" vertical="center" wrapText="1"/>
    </xf>
    <xf numFmtId="167" fontId="7" fillId="0" borderId="233" xfId="0" applyFont="1" applyBorder="1" applyAlignment="1">
      <alignment horizontal="center" vertical="center"/>
    </xf>
    <xf numFmtId="186" fontId="7" fillId="0" borderId="233" xfId="0" applyNumberFormat="1" applyFont="1" applyBorder="1" applyAlignment="1">
      <alignment horizontal="center" vertical="center"/>
    </xf>
    <xf numFmtId="185" fontId="7" fillId="0" borderId="233" xfId="0" applyNumberFormat="1" applyFont="1" applyBorder="1" applyAlignment="1">
      <alignment horizontal="center" vertical="center"/>
    </xf>
    <xf numFmtId="182" fontId="7" fillId="0" borderId="233" xfId="0" applyNumberFormat="1" applyFont="1" applyBorder="1" applyAlignment="1">
      <alignment horizontal="center" vertical="center"/>
    </xf>
    <xf numFmtId="2" fontId="7" fillId="0" borderId="233" xfId="0" applyNumberFormat="1" applyFont="1" applyBorder="1" applyAlignment="1">
      <alignment horizontal="center" vertical="center"/>
    </xf>
    <xf numFmtId="167" fontId="13" fillId="0" borderId="91" xfId="41054" applyFont="1" applyBorder="1" applyAlignment="1">
      <alignment horizontal="center" vertical="center" wrapText="1"/>
    </xf>
    <xf numFmtId="0" fontId="13" fillId="0" borderId="87" xfId="0" applyNumberFormat="1" applyFont="1" applyBorder="1"/>
    <xf numFmtId="0" fontId="13" fillId="0" borderId="128" xfId="0" applyNumberFormat="1" applyFont="1" applyBorder="1"/>
    <xf numFmtId="167" fontId="14" fillId="0" borderId="87" xfId="41054" applyFont="1" applyBorder="1" applyAlignment="1">
      <alignment horizontal="center" vertical="center"/>
    </xf>
    <xf numFmtId="0" fontId="66" fillId="0" borderId="128" xfId="0" applyNumberFormat="1" applyFont="1" applyBorder="1"/>
    <xf numFmtId="167" fontId="24" fillId="10" borderId="119" xfId="0" applyFont="1" applyFill="1" applyBorder="1" applyAlignment="1">
      <alignment horizontal="center" vertical="center" textRotation="90" wrapText="1"/>
    </xf>
    <xf numFmtId="167" fontId="24" fillId="10" borderId="196" xfId="0" applyFont="1" applyFill="1" applyBorder="1" applyAlignment="1">
      <alignment horizontal="center" vertical="center" textRotation="90" wrapText="1"/>
    </xf>
    <xf numFmtId="167" fontId="24" fillId="10" borderId="120" xfId="0" applyFont="1" applyFill="1" applyBorder="1" applyAlignment="1">
      <alignment horizontal="center" vertical="center" textRotation="90" wrapText="1"/>
    </xf>
    <xf numFmtId="167" fontId="10" fillId="10" borderId="181" xfId="41057" applyNumberFormat="1" applyFont="1" applyFill="1" applyBorder="1" applyAlignment="1" applyProtection="1">
      <alignment horizontal="center" vertical="center"/>
    </xf>
    <xf numFmtId="0" fontId="10" fillId="10" borderId="173" xfId="41057" applyFont="1" applyFill="1" applyBorder="1" applyAlignment="1" applyProtection="1"/>
    <xf numFmtId="0" fontId="10" fillId="10" borderId="250" xfId="41057" applyFont="1" applyFill="1" applyBorder="1" applyAlignment="1" applyProtection="1"/>
    <xf numFmtId="167" fontId="13" fillId="0" borderId="183" xfId="41054" applyFont="1" applyBorder="1" applyAlignment="1">
      <alignment horizontal="center" vertical="center"/>
    </xf>
    <xf numFmtId="167" fontId="13" fillId="0" borderId="91" xfId="41054" applyFont="1" applyBorder="1" applyAlignment="1">
      <alignment horizontal="center" vertical="center"/>
    </xf>
    <xf numFmtId="167" fontId="14" fillId="0" borderId="19" xfId="41054" applyFont="1" applyBorder="1" applyAlignment="1">
      <alignment horizontal="center" vertical="center"/>
    </xf>
    <xf numFmtId="0" fontId="66" fillId="0" borderId="248" xfId="0" applyNumberFormat="1" applyFont="1" applyBorder="1"/>
    <xf numFmtId="0" fontId="66" fillId="0" borderId="87" xfId="0" applyNumberFormat="1" applyFont="1" applyBorder="1"/>
    <xf numFmtId="0" fontId="66" fillId="0" borderId="91" xfId="0" applyNumberFormat="1" applyFont="1" applyBorder="1"/>
    <xf numFmtId="0" fontId="66" fillId="0" borderId="234" xfId="0" applyNumberFormat="1" applyFont="1" applyBorder="1"/>
    <xf numFmtId="167" fontId="14" fillId="0" borderId="199" xfId="41054" applyFont="1" applyBorder="1" applyAlignment="1">
      <alignment horizontal="center" vertical="center" wrapText="1"/>
    </xf>
    <xf numFmtId="167" fontId="14" fillId="0" borderId="193" xfId="41054" applyFont="1" applyBorder="1" applyAlignment="1">
      <alignment horizontal="center" vertical="center" wrapText="1"/>
    </xf>
    <xf numFmtId="167" fontId="14" fillId="0" borderId="200" xfId="41054" applyFont="1" applyBorder="1" applyAlignment="1">
      <alignment horizontal="center" vertical="center" wrapText="1"/>
    </xf>
    <xf numFmtId="167" fontId="14" fillId="0" borderId="87" xfId="41054" applyFont="1" applyBorder="1" applyAlignment="1">
      <alignment horizontal="center" vertical="center" wrapText="1"/>
    </xf>
    <xf numFmtId="0" fontId="66" fillId="0" borderId="233" xfId="0" applyNumberFormat="1" applyFont="1" applyBorder="1"/>
    <xf numFmtId="167" fontId="14" fillId="0" borderId="128" xfId="41054" applyFont="1" applyBorder="1" applyAlignment="1">
      <alignment horizontal="center" vertical="center"/>
    </xf>
    <xf numFmtId="167" fontId="7" fillId="11" borderId="119" xfId="41054" applyFont="1" applyFill="1" applyBorder="1" applyAlignment="1" applyProtection="1">
      <alignment horizontal="center" vertical="center" wrapText="1"/>
      <protection locked="0"/>
    </xf>
    <xf numFmtId="167" fontId="7" fillId="11" borderId="178" xfId="41054" applyFont="1" applyFill="1" applyBorder="1" applyAlignment="1" applyProtection="1">
      <alignment horizontal="center" vertical="center" wrapText="1"/>
      <protection locked="0"/>
    </xf>
    <xf numFmtId="167" fontId="7" fillId="11" borderId="213" xfId="41054" applyFont="1" applyFill="1" applyBorder="1" applyAlignment="1" applyProtection="1">
      <alignment horizontal="center" vertical="center" wrapText="1"/>
      <protection locked="0"/>
    </xf>
    <xf numFmtId="167" fontId="7" fillId="11" borderId="120" xfId="41054" applyFont="1" applyFill="1" applyBorder="1" applyAlignment="1" applyProtection="1">
      <alignment horizontal="center" vertical="center" wrapText="1"/>
      <protection locked="0"/>
    </xf>
    <xf numFmtId="167" fontId="7" fillId="11" borderId="118" xfId="41054" applyFont="1" applyFill="1" applyBorder="1" applyAlignment="1" applyProtection="1">
      <alignment horizontal="center" vertical="center" wrapText="1"/>
      <protection locked="0"/>
    </xf>
    <xf numFmtId="167" fontId="7" fillId="11" borderId="170" xfId="41054" applyFont="1" applyFill="1" applyBorder="1" applyAlignment="1" applyProtection="1">
      <alignment horizontal="center" vertical="center" wrapText="1"/>
      <protection locked="0"/>
    </xf>
    <xf numFmtId="167" fontId="14" fillId="0" borderId="105" xfId="41054" applyFont="1" applyBorder="1" applyAlignment="1">
      <alignment horizontal="center" vertical="center" wrapText="1"/>
    </xf>
    <xf numFmtId="167" fontId="14" fillId="0" borderId="2" xfId="41054" applyFont="1" applyBorder="1" applyAlignment="1">
      <alignment horizontal="center" vertical="center" wrapText="1"/>
    </xf>
    <xf numFmtId="167" fontId="17" fillId="0" borderId="192" xfId="41054" applyFont="1" applyBorder="1" applyAlignment="1">
      <alignment horizontal="center" vertical="center" wrapText="1"/>
    </xf>
    <xf numFmtId="167" fontId="17" fillId="0" borderId="112" xfId="41054" applyFont="1" applyBorder="1" applyAlignment="1">
      <alignment horizontal="center" vertical="center" wrapText="1"/>
    </xf>
    <xf numFmtId="167" fontId="17" fillId="0" borderId="197" xfId="41054" applyFont="1" applyBorder="1" applyAlignment="1">
      <alignment horizontal="center" vertical="center" wrapText="1"/>
    </xf>
    <xf numFmtId="0" fontId="66" fillId="0" borderId="177" xfId="0" applyNumberFormat="1" applyFont="1" applyBorder="1"/>
    <xf numFmtId="167" fontId="14" fillId="0" borderId="19" xfId="41054" applyFont="1" applyBorder="1" applyAlignment="1">
      <alignment horizontal="center" vertical="center" wrapText="1"/>
    </xf>
    <xf numFmtId="37" fontId="17" fillId="33" borderId="0" xfId="0" applyNumberFormat="1" applyFont="1" applyFill="1" applyAlignment="1" applyProtection="1">
      <alignment horizontal="center" vertical="center" wrapText="1"/>
      <protection locked="0"/>
    </xf>
    <xf numFmtId="170" fontId="13" fillId="12" borderId="201" xfId="41057" applyNumberFormat="1" applyFont="1" applyFill="1" applyBorder="1" applyAlignment="1" applyProtection="1">
      <alignment horizontal="center" vertical="center" wrapText="1"/>
    </xf>
    <xf numFmtId="167" fontId="13" fillId="12" borderId="142" xfId="41057" applyNumberFormat="1" applyFont="1" applyFill="1" applyBorder="1" applyAlignment="1" applyProtection="1">
      <alignment horizontal="center" vertical="center" wrapText="1"/>
    </xf>
    <xf numFmtId="167" fontId="13" fillId="12" borderId="203" xfId="41057" applyNumberFormat="1" applyFont="1" applyFill="1" applyBorder="1" applyAlignment="1" applyProtection="1">
      <alignment horizontal="center" vertical="center" wrapText="1"/>
    </xf>
    <xf numFmtId="0" fontId="14" fillId="12" borderId="10" xfId="0" applyNumberFormat="1" applyFont="1" applyFill="1" applyBorder="1" applyAlignment="1">
      <alignment horizontal="center" vertical="center" wrapText="1"/>
    </xf>
    <xf numFmtId="0" fontId="14" fillId="12" borderId="87" xfId="0" applyNumberFormat="1" applyFont="1" applyFill="1" applyBorder="1" applyAlignment="1">
      <alignment horizontal="center" vertical="center" wrapText="1"/>
    </xf>
    <xf numFmtId="0" fontId="14" fillId="12" borderId="8" xfId="0" applyNumberFormat="1" applyFont="1" applyFill="1" applyBorder="1" applyAlignment="1">
      <alignment horizontal="center" vertical="center" wrapText="1"/>
    </xf>
    <xf numFmtId="183" fontId="14" fillId="12" borderId="87" xfId="0" applyNumberFormat="1" applyFont="1" applyFill="1" applyBorder="1" applyAlignment="1">
      <alignment horizontal="center" vertical="center" wrapText="1"/>
    </xf>
    <xf numFmtId="183" fontId="0" fillId="0" borderId="8" xfId="0" applyNumberFormat="1" applyBorder="1"/>
    <xf numFmtId="39" fontId="14" fillId="12" borderId="87" xfId="0" applyNumberFormat="1" applyFont="1" applyFill="1" applyBorder="1" applyAlignment="1">
      <alignment horizontal="center" vertical="center" wrapText="1"/>
    </xf>
    <xf numFmtId="167" fontId="0" fillId="0" borderId="8" xfId="0" applyBorder="1"/>
    <xf numFmtId="167" fontId="14" fillId="12" borderId="8" xfId="0" applyFont="1" applyFill="1" applyBorder="1" applyAlignment="1">
      <alignment horizontal="center" vertical="center" wrapText="1"/>
    </xf>
    <xf numFmtId="167" fontId="14" fillId="12" borderId="296" xfId="0" applyFont="1" applyFill="1" applyBorder="1" applyAlignment="1">
      <alignment horizontal="center" vertical="center" wrapText="1"/>
    </xf>
    <xf numFmtId="167" fontId="14" fillId="12" borderId="274" xfId="0" applyFont="1" applyFill="1" applyBorder="1" applyAlignment="1">
      <alignment horizontal="center" vertical="center" wrapText="1"/>
    </xf>
    <xf numFmtId="167" fontId="14" fillId="12" borderId="295" xfId="0" applyFont="1" applyFill="1" applyBorder="1" applyAlignment="1">
      <alignment horizontal="center" vertical="center" wrapText="1"/>
    </xf>
    <xf numFmtId="167" fontId="14" fillId="47" borderId="233" xfId="0" applyFont="1" applyFill="1" applyBorder="1" applyAlignment="1">
      <alignment horizontal="center" vertical="center" wrapText="1"/>
    </xf>
    <xf numFmtId="167" fontId="14" fillId="47" borderId="8" xfId="0" applyFont="1" applyFill="1" applyBorder="1" applyAlignment="1">
      <alignment horizontal="center" vertical="center" wrapText="1"/>
    </xf>
    <xf numFmtId="167" fontId="14" fillId="12" borderId="233" xfId="0" applyFont="1" applyFill="1" applyBorder="1" applyAlignment="1">
      <alignment horizontal="center" vertical="center" wrapText="1"/>
    </xf>
    <xf numFmtId="37" fontId="14" fillId="39" borderId="6" xfId="41057" applyNumberFormat="1" applyFont="1" applyFill="1" applyBorder="1" applyAlignment="1" applyProtection="1">
      <alignment horizontal="center" vertical="center"/>
    </xf>
    <xf numFmtId="37" fontId="14" fillId="39" borderId="2" xfId="41057" applyNumberFormat="1" applyFont="1" applyFill="1" applyBorder="1" applyAlignment="1" applyProtection="1">
      <alignment horizontal="center" vertical="center"/>
    </xf>
    <xf numFmtId="37" fontId="14" fillId="39" borderId="121" xfId="41057" applyNumberFormat="1" applyFont="1" applyFill="1" applyBorder="1" applyAlignment="1" applyProtection="1">
      <alignment horizontal="center" vertical="center"/>
    </xf>
    <xf numFmtId="40" fontId="14" fillId="39" borderId="6" xfId="23422" applyFont="1" applyFill="1" applyBorder="1" applyAlignment="1">
      <alignment horizontal="center" vertical="center" wrapText="1"/>
    </xf>
    <xf numFmtId="40" fontId="14" fillId="39" borderId="2" xfId="23422" applyFont="1" applyFill="1" applyBorder="1" applyAlignment="1">
      <alignment horizontal="center" vertical="center"/>
    </xf>
    <xf numFmtId="40" fontId="14" fillId="39" borderId="121" xfId="23422" applyFont="1" applyFill="1" applyBorder="1" applyAlignment="1">
      <alignment horizontal="center" vertical="center"/>
    </xf>
    <xf numFmtId="40" fontId="14" fillId="39" borderId="105" xfId="23422" applyFont="1" applyFill="1" applyBorder="1" applyAlignment="1">
      <alignment horizontal="center" vertical="center" wrapText="1"/>
    </xf>
    <xf numFmtId="205" fontId="13" fillId="0" borderId="0" xfId="23422" applyNumberFormat="1" applyFont="1" applyAlignment="1">
      <alignment horizontal="left" vertical="center"/>
    </xf>
    <xf numFmtId="174" fontId="14" fillId="39" borderId="9" xfId="23422" applyNumberFormat="1" applyFont="1" applyFill="1" applyBorder="1" applyAlignment="1">
      <alignment horizontal="center" vertical="center"/>
    </xf>
    <xf numFmtId="174" fontId="14" fillId="39" borderId="42" xfId="23422" applyNumberFormat="1" applyFont="1" applyFill="1" applyBorder="1" applyAlignment="1">
      <alignment horizontal="center" vertical="center"/>
    </xf>
    <xf numFmtId="174" fontId="14" fillId="39" borderId="43" xfId="23422" applyNumberFormat="1" applyFont="1" applyFill="1" applyBorder="1" applyAlignment="1">
      <alignment horizontal="center" vertical="center"/>
    </xf>
    <xf numFmtId="174" fontId="14" fillId="39" borderId="111" xfId="23422" applyNumberFormat="1" applyFont="1" applyFill="1" applyBorder="1" applyAlignment="1">
      <alignment horizontal="center" vertical="center"/>
    </xf>
    <xf numFmtId="174" fontId="14" fillId="39" borderId="112" xfId="23422" applyNumberFormat="1" applyFont="1" applyFill="1" applyBorder="1" applyAlignment="1">
      <alignment horizontal="center" vertical="center"/>
    </xf>
    <xf numFmtId="174" fontId="14" fillId="39" borderId="110" xfId="23422" applyNumberFormat="1" applyFont="1" applyFill="1" applyBorder="1" applyAlignment="1">
      <alignment horizontal="center" vertical="center"/>
    </xf>
    <xf numFmtId="181" fontId="14" fillId="39" borderId="111" xfId="23422" applyNumberFormat="1" applyFont="1" applyFill="1" applyBorder="1" applyAlignment="1">
      <alignment horizontal="center" vertical="center"/>
    </xf>
    <xf numFmtId="181" fontId="14" fillId="39" borderId="112" xfId="23422" applyNumberFormat="1" applyFont="1" applyFill="1" applyBorder="1" applyAlignment="1">
      <alignment horizontal="center" vertical="center"/>
    </xf>
    <xf numFmtId="181" fontId="14" fillId="39" borderId="110" xfId="23422" applyNumberFormat="1" applyFont="1" applyFill="1" applyBorder="1" applyAlignment="1">
      <alignment horizontal="center" vertical="center"/>
    </xf>
    <xf numFmtId="40" fontId="16" fillId="0" borderId="233" xfId="0" applyNumberFormat="1" applyFont="1" applyBorder="1" applyAlignment="1">
      <alignment horizontal="center" vertical="center"/>
    </xf>
    <xf numFmtId="40" fontId="16" fillId="0" borderId="143" xfId="0" applyNumberFormat="1" applyFont="1" applyBorder="1" applyAlignment="1">
      <alignment horizontal="center" vertical="center"/>
    </xf>
    <xf numFmtId="40" fontId="14" fillId="39" borderId="270" xfId="0" applyNumberFormat="1" applyFont="1" applyFill="1" applyBorder="1" applyAlignment="1">
      <alignment horizontal="center" vertical="center"/>
    </xf>
    <xf numFmtId="40" fontId="14" fillId="39" borderId="274" xfId="0" applyNumberFormat="1" applyFont="1" applyFill="1" applyBorder="1" applyAlignment="1">
      <alignment horizontal="center" vertical="center"/>
    </xf>
    <xf numFmtId="40" fontId="14" fillId="39" borderId="221" xfId="0" applyNumberFormat="1" applyFont="1" applyFill="1" applyBorder="1" applyAlignment="1">
      <alignment horizontal="center" vertical="center"/>
    </xf>
    <xf numFmtId="40" fontId="14" fillId="39" borderId="142" xfId="0" applyNumberFormat="1" applyFont="1" applyFill="1" applyBorder="1" applyAlignment="1">
      <alignment horizontal="center" vertical="center"/>
    </xf>
    <xf numFmtId="40" fontId="14" fillId="39" borderId="228" xfId="0" applyNumberFormat="1" applyFont="1" applyFill="1" applyBorder="1" applyAlignment="1">
      <alignment horizontal="center" vertical="center"/>
    </xf>
    <xf numFmtId="40" fontId="14" fillId="39" borderId="233" xfId="0" applyNumberFormat="1" applyFont="1" applyFill="1" applyBorder="1" applyAlignment="1">
      <alignment horizontal="center" vertical="center"/>
    </xf>
    <xf numFmtId="40" fontId="14" fillId="39" borderId="233" xfId="0" applyNumberFormat="1" applyFont="1" applyFill="1" applyBorder="1" applyAlignment="1">
      <alignment horizontal="center" vertical="center" wrapText="1"/>
    </xf>
    <xf numFmtId="40" fontId="14" fillId="39" borderId="8" xfId="0" applyNumberFormat="1" applyFont="1" applyFill="1" applyBorder="1" applyAlignment="1">
      <alignment horizontal="center" vertical="center" wrapText="1"/>
    </xf>
    <xf numFmtId="186" fontId="14" fillId="39" borderId="233" xfId="0" applyNumberFormat="1" applyFont="1" applyFill="1" applyBorder="1" applyAlignment="1">
      <alignment horizontal="center" vertical="center" wrapText="1"/>
    </xf>
    <xf numFmtId="186" fontId="17" fillId="39" borderId="8" xfId="0" applyNumberFormat="1" applyFont="1" applyFill="1" applyBorder="1" applyAlignment="1">
      <alignment horizontal="center" vertical="center" wrapText="1"/>
    </xf>
    <xf numFmtId="40" fontId="14" fillId="39" borderId="143" xfId="0" applyNumberFormat="1" applyFont="1" applyFill="1" applyBorder="1" applyAlignment="1">
      <alignment horizontal="center" vertical="center" wrapText="1"/>
    </xf>
    <xf numFmtId="40" fontId="14" fillId="39" borderId="204" xfId="0" applyNumberFormat="1" applyFont="1" applyFill="1" applyBorder="1" applyAlignment="1">
      <alignment horizontal="center" vertical="center" wrapText="1"/>
    </xf>
    <xf numFmtId="40" fontId="14" fillId="39" borderId="111" xfId="0" applyNumberFormat="1" applyFont="1" applyFill="1" applyBorder="1" applyAlignment="1">
      <alignment horizontal="center" vertical="center" wrapText="1"/>
    </xf>
    <xf numFmtId="40" fontId="14" fillId="39" borderId="227" xfId="0" applyNumberFormat="1" applyFont="1" applyFill="1" applyBorder="1" applyAlignment="1">
      <alignment horizontal="center" vertical="center" wrapText="1"/>
    </xf>
    <xf numFmtId="40" fontId="14" fillId="39" borderId="228" xfId="0" applyNumberFormat="1" applyFont="1" applyFill="1" applyBorder="1" applyAlignment="1">
      <alignment horizontal="center" vertical="center" wrapText="1"/>
    </xf>
    <xf numFmtId="40" fontId="14" fillId="39" borderId="105" xfId="0" applyNumberFormat="1" applyFont="1" applyFill="1" applyBorder="1" applyAlignment="1">
      <alignment horizontal="center" vertical="center" wrapText="1"/>
    </xf>
    <xf numFmtId="40" fontId="14" fillId="39" borderId="254" xfId="0" applyNumberFormat="1" applyFont="1" applyFill="1" applyBorder="1" applyAlignment="1">
      <alignment horizontal="center" vertical="center" wrapText="1"/>
    </xf>
    <xf numFmtId="40" fontId="14" fillId="39" borderId="9" xfId="23422" applyFont="1" applyFill="1" applyBorder="1" applyAlignment="1">
      <alignment horizontal="center" vertical="center"/>
    </xf>
    <xf numFmtId="40" fontId="14" fillId="39" borderId="42" xfId="23422" applyFont="1" applyFill="1" applyBorder="1" applyAlignment="1">
      <alignment horizontal="center" vertical="center"/>
    </xf>
    <xf numFmtId="40" fontId="14" fillId="39" borderId="43" xfId="23422" applyFont="1" applyFill="1" applyBorder="1" applyAlignment="1">
      <alignment horizontal="center" vertical="center"/>
    </xf>
    <xf numFmtId="40" fontId="8" fillId="39" borderId="67" xfId="23422" applyFont="1" applyFill="1" applyBorder="1" applyAlignment="1">
      <alignment horizontal="center" vertical="center"/>
    </xf>
    <xf numFmtId="40" fontId="8" fillId="39" borderId="42" xfId="23422" applyFont="1" applyFill="1" applyBorder="1" applyAlignment="1">
      <alignment horizontal="center" vertical="center"/>
    </xf>
    <xf numFmtId="40" fontId="8" fillId="39" borderId="66" xfId="23422" applyFont="1" applyFill="1" applyBorder="1" applyAlignment="1">
      <alignment horizontal="center" vertical="center"/>
    </xf>
    <xf numFmtId="40" fontId="14" fillId="39" borderId="4" xfId="23422" applyFont="1" applyFill="1" applyBorder="1" applyAlignment="1">
      <alignment horizontal="center" vertical="center" wrapText="1"/>
    </xf>
    <xf numFmtId="167" fontId="14" fillId="39" borderId="58" xfId="0" applyFont="1" applyFill="1" applyBorder="1" applyAlignment="1">
      <alignment vertical="center" wrapText="1"/>
    </xf>
    <xf numFmtId="40" fontId="14" fillId="39" borderId="32" xfId="23422" applyFont="1" applyFill="1" applyBorder="1" applyAlignment="1">
      <alignment horizontal="center" vertical="center" wrapText="1"/>
    </xf>
    <xf numFmtId="40" fontId="14" fillId="39" borderId="60" xfId="23422" applyFont="1" applyFill="1" applyBorder="1" applyAlignment="1">
      <alignment horizontal="center" vertical="center"/>
    </xf>
    <xf numFmtId="40" fontId="14" fillId="39" borderId="122" xfId="23422" applyFont="1" applyFill="1" applyBorder="1" applyAlignment="1">
      <alignment horizontal="center" vertical="center"/>
    </xf>
    <xf numFmtId="40" fontId="14" fillId="39" borderId="111" xfId="23422" applyFont="1" applyFill="1" applyBorder="1" applyAlignment="1">
      <alignment horizontal="center" vertical="center"/>
    </xf>
    <xf numFmtId="40" fontId="14" fillId="39" borderId="110" xfId="23422" applyFont="1" applyFill="1" applyBorder="1" applyAlignment="1">
      <alignment horizontal="center" vertical="center"/>
    </xf>
    <xf numFmtId="40" fontId="14" fillId="39" borderId="5" xfId="23422" applyFont="1" applyFill="1" applyBorder="1" applyAlignment="1">
      <alignment horizontal="center" vertical="center" wrapText="1"/>
    </xf>
    <xf numFmtId="40" fontId="14" fillId="39" borderId="7" xfId="23422" applyFont="1" applyFill="1" applyBorder="1" applyAlignment="1">
      <alignment horizontal="center" vertical="center"/>
    </xf>
    <xf numFmtId="40" fontId="14" fillId="39" borderId="40" xfId="23422" applyFont="1" applyFill="1" applyBorder="1" applyAlignment="1">
      <alignment horizontal="center" vertical="center"/>
    </xf>
    <xf numFmtId="40" fontId="14" fillId="39" borderId="18" xfId="23422" applyFont="1" applyFill="1" applyBorder="1" applyAlignment="1">
      <alignment horizontal="center" vertical="center"/>
    </xf>
    <xf numFmtId="40" fontId="85" fillId="39" borderId="4" xfId="23422" applyFont="1" applyFill="1" applyBorder="1" applyAlignment="1">
      <alignment horizontal="center" vertical="center" wrapText="1"/>
    </xf>
    <xf numFmtId="167" fontId="85" fillId="39" borderId="58" xfId="0" applyFont="1" applyFill="1" applyBorder="1" applyAlignment="1">
      <alignment vertical="center" wrapText="1"/>
    </xf>
    <xf numFmtId="40" fontId="7" fillId="11" borderId="0" xfId="0" applyNumberFormat="1" applyFont="1" applyFill="1" applyAlignment="1">
      <alignment horizontal="center" vertical="center"/>
    </xf>
    <xf numFmtId="40" fontId="14" fillId="39" borderId="2" xfId="23422" applyFont="1" applyFill="1" applyBorder="1" applyAlignment="1">
      <alignment horizontal="center" vertical="center" wrapText="1"/>
    </xf>
    <xf numFmtId="40" fontId="14" fillId="39" borderId="121" xfId="23422" applyFont="1" applyFill="1" applyBorder="1" applyAlignment="1">
      <alignment horizontal="center" vertical="center" wrapText="1"/>
    </xf>
    <xf numFmtId="40" fontId="8" fillId="39" borderId="270" xfId="23422" applyFont="1" applyFill="1" applyBorder="1" applyAlignment="1">
      <alignment horizontal="center"/>
    </xf>
    <xf numFmtId="40" fontId="8" fillId="39" borderId="274" xfId="23422" applyFont="1" applyFill="1" applyBorder="1" applyAlignment="1">
      <alignment horizontal="center"/>
    </xf>
    <xf numFmtId="40" fontId="8" fillId="39" borderId="221" xfId="23422" applyFont="1" applyFill="1" applyBorder="1" applyAlignment="1">
      <alignment horizontal="center"/>
    </xf>
    <xf numFmtId="40" fontId="8" fillId="39" borderId="63" xfId="23422" applyFont="1" applyFill="1" applyBorder="1" applyAlignment="1">
      <alignment horizontal="center" vertical="center"/>
    </xf>
    <xf numFmtId="40" fontId="8" fillId="39" borderId="0" xfId="23422" applyFont="1" applyFill="1" applyBorder="1" applyAlignment="1">
      <alignment horizontal="center" vertical="center"/>
    </xf>
    <xf numFmtId="40" fontId="8" fillId="39" borderId="62" xfId="23422" applyFont="1" applyFill="1" applyBorder="1" applyAlignment="1">
      <alignment horizontal="center" vertical="center"/>
    </xf>
    <xf numFmtId="40" fontId="8" fillId="39" borderId="333" xfId="23422" applyFont="1" applyFill="1" applyBorder="1" applyAlignment="1">
      <alignment horizontal="center" vertical="center"/>
    </xf>
    <xf numFmtId="40" fontId="8" fillId="39" borderId="334" xfId="23422" applyFont="1" applyFill="1" applyBorder="1" applyAlignment="1">
      <alignment horizontal="center" vertical="center"/>
    </xf>
    <xf numFmtId="40" fontId="8" fillId="39" borderId="335" xfId="23422" applyFont="1" applyFill="1" applyBorder="1" applyAlignment="1">
      <alignment horizontal="center" vertical="center"/>
    </xf>
    <xf numFmtId="0" fontId="7" fillId="39" borderId="201" xfId="14471" applyFont="1" applyFill="1" applyBorder="1" applyAlignment="1">
      <alignment horizontal="center" vertical="center"/>
    </xf>
    <xf numFmtId="0" fontId="7" fillId="39" borderId="142" xfId="14471" applyFont="1" applyFill="1" applyBorder="1" applyAlignment="1">
      <alignment horizontal="center" vertical="center"/>
    </xf>
    <xf numFmtId="0" fontId="7" fillId="39" borderId="203" xfId="14471" applyFont="1" applyFill="1" applyBorder="1" applyAlignment="1">
      <alignment horizontal="center" vertical="center"/>
    </xf>
    <xf numFmtId="0" fontId="7" fillId="39" borderId="303" xfId="14471" applyFont="1" applyFill="1" applyBorder="1" applyAlignment="1">
      <alignment horizontal="center" vertical="center" wrapText="1"/>
    </xf>
    <xf numFmtId="0" fontId="7" fillId="39" borderId="233" xfId="14471" applyFont="1" applyFill="1" applyBorder="1" applyAlignment="1">
      <alignment horizontal="center" vertical="center" wrapText="1"/>
    </xf>
    <xf numFmtId="0" fontId="7" fillId="39" borderId="8" xfId="14471" applyFont="1" applyFill="1" applyBorder="1" applyAlignment="1">
      <alignment horizontal="center" vertical="center" wrapText="1"/>
    </xf>
    <xf numFmtId="167" fontId="7" fillId="39" borderId="67" xfId="0" applyFont="1" applyFill="1" applyBorder="1" applyAlignment="1">
      <alignment horizontal="center" vertical="center"/>
    </xf>
    <xf numFmtId="167" fontId="7" fillId="39" borderId="271" xfId="0" applyFont="1" applyFill="1" applyBorder="1" applyAlignment="1">
      <alignment horizontal="center" vertical="center"/>
    </xf>
    <xf numFmtId="167" fontId="7" fillId="39" borderId="66" xfId="0" applyFont="1" applyFill="1" applyBorder="1" applyAlignment="1">
      <alignment horizontal="center" vertical="center"/>
    </xf>
    <xf numFmtId="0" fontId="7" fillId="39" borderId="304" xfId="14471" applyFont="1" applyFill="1" applyBorder="1" applyAlignment="1">
      <alignment horizontal="center" vertical="center" wrapText="1"/>
    </xf>
    <xf numFmtId="0" fontId="7" fillId="39" borderId="143" xfId="14471" applyFont="1" applyFill="1" applyBorder="1" applyAlignment="1">
      <alignment horizontal="center" vertical="center" wrapText="1"/>
    </xf>
    <xf numFmtId="0" fontId="7" fillId="39" borderId="204" xfId="14471" applyFont="1" applyFill="1" applyBorder="1" applyAlignment="1">
      <alignment horizontal="center" vertical="center" wrapText="1"/>
    </xf>
    <xf numFmtId="2" fontId="7" fillId="39" borderId="59" xfId="14471" applyNumberFormat="1" applyFont="1" applyFill="1" applyBorder="1" applyAlignment="1">
      <alignment horizontal="center" vertical="center"/>
    </xf>
    <xf numFmtId="2" fontId="7" fillId="0" borderId="0" xfId="14471" applyNumberFormat="1" applyFont="1" applyAlignment="1">
      <alignment horizontal="center" vertical="center"/>
    </xf>
    <xf numFmtId="4" fontId="13" fillId="0" borderId="0" xfId="14471" applyNumberFormat="1" applyFont="1" applyAlignment="1">
      <alignment horizontal="center" vertical="center"/>
    </xf>
    <xf numFmtId="0" fontId="7" fillId="39" borderId="67" xfId="0" applyNumberFormat="1" applyFont="1" applyFill="1" applyBorder="1" applyAlignment="1">
      <alignment horizontal="center" vertical="center"/>
    </xf>
    <xf numFmtId="0" fontId="7" fillId="39" borderId="271" xfId="0" applyNumberFormat="1" applyFont="1" applyFill="1" applyBorder="1" applyAlignment="1">
      <alignment horizontal="center" vertical="center"/>
    </xf>
    <xf numFmtId="167" fontId="9" fillId="0" borderId="66" xfId="0" applyFont="1" applyBorder="1" applyAlignment="1">
      <alignment vertical="center"/>
    </xf>
    <xf numFmtId="167" fontId="9" fillId="0" borderId="328" xfId="0" applyFont="1" applyBorder="1" applyAlignment="1">
      <alignment vertical="center"/>
    </xf>
    <xf numFmtId="167" fontId="7" fillId="39" borderId="328" xfId="0" applyFont="1" applyFill="1" applyBorder="1" applyAlignment="1">
      <alignment horizontal="center" vertical="center"/>
    </xf>
    <xf numFmtId="40" fontId="8" fillId="39" borderId="292" xfId="23422" applyFont="1" applyFill="1" applyBorder="1" applyAlignment="1">
      <alignment horizontal="center" vertical="center"/>
    </xf>
    <xf numFmtId="40" fontId="8" fillId="39" borderId="327" xfId="23422" applyFont="1" applyFill="1" applyBorder="1" applyAlignment="1">
      <alignment horizontal="center" vertical="center"/>
    </xf>
    <xf numFmtId="40" fontId="8" fillId="39" borderId="294" xfId="23422" applyFont="1" applyFill="1" applyBorder="1" applyAlignment="1">
      <alignment horizontal="center" vertical="center"/>
    </xf>
  </cellXfs>
  <cellStyles count="41076">
    <cellStyle name="20% - Ênfase1 10" xfId="23" xr:uid="{00000000-0005-0000-0000-000000000000}"/>
    <cellStyle name="20% - Ênfase1 10 2" xfId="40458" xr:uid="{00000000-0005-0000-0000-000001000000}"/>
    <cellStyle name="20% - Ênfase1 100" xfId="24" xr:uid="{00000000-0005-0000-0000-000002000000}"/>
    <cellStyle name="20% - Ênfase1 101" xfId="25" xr:uid="{00000000-0005-0000-0000-000003000000}"/>
    <cellStyle name="20% - Ênfase1 102" xfId="26" xr:uid="{00000000-0005-0000-0000-000004000000}"/>
    <cellStyle name="20% - Ênfase1 103" xfId="27" xr:uid="{00000000-0005-0000-0000-000005000000}"/>
    <cellStyle name="20% - Ênfase1 104" xfId="28" xr:uid="{00000000-0005-0000-0000-000006000000}"/>
    <cellStyle name="20% - Ênfase1 105" xfId="29" xr:uid="{00000000-0005-0000-0000-000007000000}"/>
    <cellStyle name="20% - Ênfase1 106" xfId="30" xr:uid="{00000000-0005-0000-0000-000008000000}"/>
    <cellStyle name="20% - Ênfase1 107" xfId="31" xr:uid="{00000000-0005-0000-0000-000009000000}"/>
    <cellStyle name="20% - Ênfase1 108" xfId="32" xr:uid="{00000000-0005-0000-0000-00000A000000}"/>
    <cellStyle name="20% - Ênfase1 109" xfId="33" xr:uid="{00000000-0005-0000-0000-00000B000000}"/>
    <cellStyle name="20% - Ênfase1 11" xfId="34" xr:uid="{00000000-0005-0000-0000-00000C000000}"/>
    <cellStyle name="20% - Ênfase1 11 2" xfId="40459" xr:uid="{00000000-0005-0000-0000-00000D000000}"/>
    <cellStyle name="20% - Ênfase1 110" xfId="35" xr:uid="{00000000-0005-0000-0000-00000E000000}"/>
    <cellStyle name="20% - Ênfase1 111" xfId="36" xr:uid="{00000000-0005-0000-0000-00000F000000}"/>
    <cellStyle name="20% - Ênfase1 112" xfId="37" xr:uid="{00000000-0005-0000-0000-000010000000}"/>
    <cellStyle name="20% - Ênfase1 113" xfId="38" xr:uid="{00000000-0005-0000-0000-000011000000}"/>
    <cellStyle name="20% - Ênfase1 114" xfId="39" xr:uid="{00000000-0005-0000-0000-000012000000}"/>
    <cellStyle name="20% - Ênfase1 115" xfId="40" xr:uid="{00000000-0005-0000-0000-000013000000}"/>
    <cellStyle name="20% - Ênfase1 116" xfId="41" xr:uid="{00000000-0005-0000-0000-000014000000}"/>
    <cellStyle name="20% - Ênfase1 117" xfId="42" xr:uid="{00000000-0005-0000-0000-000015000000}"/>
    <cellStyle name="20% - Ênfase1 118" xfId="43" xr:uid="{00000000-0005-0000-0000-000016000000}"/>
    <cellStyle name="20% - Ênfase1 119" xfId="44" xr:uid="{00000000-0005-0000-0000-000017000000}"/>
    <cellStyle name="20% - Ênfase1 12" xfId="45" xr:uid="{00000000-0005-0000-0000-000018000000}"/>
    <cellStyle name="20% - Ênfase1 12 2" xfId="40460" xr:uid="{00000000-0005-0000-0000-000019000000}"/>
    <cellStyle name="20% - Ênfase1 120" xfId="46" xr:uid="{00000000-0005-0000-0000-00001A000000}"/>
    <cellStyle name="20% - Ênfase1 121" xfId="47" xr:uid="{00000000-0005-0000-0000-00001B000000}"/>
    <cellStyle name="20% - Ênfase1 122" xfId="48" xr:uid="{00000000-0005-0000-0000-00001C000000}"/>
    <cellStyle name="20% - Ênfase1 123" xfId="49" xr:uid="{00000000-0005-0000-0000-00001D000000}"/>
    <cellStyle name="20% - Ênfase1 124" xfId="50" xr:uid="{00000000-0005-0000-0000-00001E000000}"/>
    <cellStyle name="20% - Ênfase1 125" xfId="51" xr:uid="{00000000-0005-0000-0000-00001F000000}"/>
    <cellStyle name="20% - Ênfase1 126" xfId="52" xr:uid="{00000000-0005-0000-0000-000020000000}"/>
    <cellStyle name="20% - Ênfase1 127" xfId="53" xr:uid="{00000000-0005-0000-0000-000021000000}"/>
    <cellStyle name="20% - Ênfase1 128" xfId="54" xr:uid="{00000000-0005-0000-0000-000022000000}"/>
    <cellStyle name="20% - Ênfase1 129" xfId="55" xr:uid="{00000000-0005-0000-0000-000023000000}"/>
    <cellStyle name="20% - Ênfase1 13" xfId="56" xr:uid="{00000000-0005-0000-0000-000024000000}"/>
    <cellStyle name="20% - Ênfase1 13 2" xfId="40461" xr:uid="{00000000-0005-0000-0000-000025000000}"/>
    <cellStyle name="20% - Ênfase1 130" xfId="57" xr:uid="{00000000-0005-0000-0000-000026000000}"/>
    <cellStyle name="20% - Ênfase1 131" xfId="58" xr:uid="{00000000-0005-0000-0000-000027000000}"/>
    <cellStyle name="20% - Ênfase1 132" xfId="59" xr:uid="{00000000-0005-0000-0000-000028000000}"/>
    <cellStyle name="20% - Ênfase1 133" xfId="60" xr:uid="{00000000-0005-0000-0000-000029000000}"/>
    <cellStyle name="20% - Ênfase1 134" xfId="61" xr:uid="{00000000-0005-0000-0000-00002A000000}"/>
    <cellStyle name="20% - Ênfase1 135" xfId="62" xr:uid="{00000000-0005-0000-0000-00002B000000}"/>
    <cellStyle name="20% - Ênfase1 136" xfId="63" xr:uid="{00000000-0005-0000-0000-00002C000000}"/>
    <cellStyle name="20% - Ênfase1 137" xfId="64" xr:uid="{00000000-0005-0000-0000-00002D000000}"/>
    <cellStyle name="20% - Ênfase1 138" xfId="65" xr:uid="{00000000-0005-0000-0000-00002E000000}"/>
    <cellStyle name="20% - Ênfase1 139" xfId="66" xr:uid="{00000000-0005-0000-0000-00002F000000}"/>
    <cellStyle name="20% - Ênfase1 14" xfId="67" xr:uid="{00000000-0005-0000-0000-000030000000}"/>
    <cellStyle name="20% - Ênfase1 140" xfId="68" xr:uid="{00000000-0005-0000-0000-000031000000}"/>
    <cellStyle name="20% - Ênfase1 141" xfId="69" xr:uid="{00000000-0005-0000-0000-000032000000}"/>
    <cellStyle name="20% - Ênfase1 142" xfId="70" xr:uid="{00000000-0005-0000-0000-000033000000}"/>
    <cellStyle name="20% - Ênfase1 143" xfId="71" xr:uid="{00000000-0005-0000-0000-000034000000}"/>
    <cellStyle name="20% - Ênfase1 144" xfId="72" xr:uid="{00000000-0005-0000-0000-000035000000}"/>
    <cellStyle name="20% - Ênfase1 145" xfId="73" xr:uid="{00000000-0005-0000-0000-000036000000}"/>
    <cellStyle name="20% - Ênfase1 146" xfId="74" xr:uid="{00000000-0005-0000-0000-000037000000}"/>
    <cellStyle name="20% - Ênfase1 147" xfId="75" xr:uid="{00000000-0005-0000-0000-000038000000}"/>
    <cellStyle name="20% - Ênfase1 148" xfId="76" xr:uid="{00000000-0005-0000-0000-000039000000}"/>
    <cellStyle name="20% - Ênfase1 149" xfId="77" xr:uid="{00000000-0005-0000-0000-00003A000000}"/>
    <cellStyle name="20% - Ênfase1 15" xfId="78" xr:uid="{00000000-0005-0000-0000-00003B000000}"/>
    <cellStyle name="20% - Ênfase1 15 2" xfId="79" xr:uid="{00000000-0005-0000-0000-00003C000000}"/>
    <cellStyle name="20% - Ênfase1 15 3" xfId="80" xr:uid="{00000000-0005-0000-0000-00003D000000}"/>
    <cellStyle name="20% - Ênfase1 150" xfId="81" xr:uid="{00000000-0005-0000-0000-00003E000000}"/>
    <cellStyle name="20% - Ênfase1 151" xfId="82" xr:uid="{00000000-0005-0000-0000-00003F000000}"/>
    <cellStyle name="20% - Ênfase1 152" xfId="83" xr:uid="{00000000-0005-0000-0000-000040000000}"/>
    <cellStyle name="20% - Ênfase1 153" xfId="84" xr:uid="{00000000-0005-0000-0000-000041000000}"/>
    <cellStyle name="20% - Ênfase1 154" xfId="85" xr:uid="{00000000-0005-0000-0000-000042000000}"/>
    <cellStyle name="20% - Ênfase1 155" xfId="86" xr:uid="{00000000-0005-0000-0000-000043000000}"/>
    <cellStyle name="20% - Ênfase1 156" xfId="87" xr:uid="{00000000-0005-0000-0000-000044000000}"/>
    <cellStyle name="20% - Ênfase1 157" xfId="88" xr:uid="{00000000-0005-0000-0000-000045000000}"/>
    <cellStyle name="20% - Ênfase1 158" xfId="89" xr:uid="{00000000-0005-0000-0000-000046000000}"/>
    <cellStyle name="20% - Ênfase1 159" xfId="90" xr:uid="{00000000-0005-0000-0000-000047000000}"/>
    <cellStyle name="20% - Ênfase1 16" xfId="91" xr:uid="{00000000-0005-0000-0000-000048000000}"/>
    <cellStyle name="20% - Ênfase1 16 2" xfId="92" xr:uid="{00000000-0005-0000-0000-000049000000}"/>
    <cellStyle name="20% - Ênfase1 16 3" xfId="93" xr:uid="{00000000-0005-0000-0000-00004A000000}"/>
    <cellStyle name="20% - Ênfase1 160" xfId="94" xr:uid="{00000000-0005-0000-0000-00004B000000}"/>
    <cellStyle name="20% - Ênfase1 161" xfId="95" xr:uid="{00000000-0005-0000-0000-00004C000000}"/>
    <cellStyle name="20% - Ênfase1 162" xfId="96" xr:uid="{00000000-0005-0000-0000-00004D000000}"/>
    <cellStyle name="20% - Ênfase1 163" xfId="97" xr:uid="{00000000-0005-0000-0000-00004E000000}"/>
    <cellStyle name="20% - Ênfase1 164" xfId="98" xr:uid="{00000000-0005-0000-0000-00004F000000}"/>
    <cellStyle name="20% - Ênfase1 165" xfId="99" xr:uid="{00000000-0005-0000-0000-000050000000}"/>
    <cellStyle name="20% - Ênfase1 166" xfId="100" xr:uid="{00000000-0005-0000-0000-000051000000}"/>
    <cellStyle name="20% - Ênfase1 167" xfId="101" xr:uid="{00000000-0005-0000-0000-000052000000}"/>
    <cellStyle name="20% - Ênfase1 168" xfId="102" xr:uid="{00000000-0005-0000-0000-000053000000}"/>
    <cellStyle name="20% - Ênfase1 169" xfId="103" xr:uid="{00000000-0005-0000-0000-000054000000}"/>
    <cellStyle name="20% - Ênfase1 17" xfId="104" xr:uid="{00000000-0005-0000-0000-000055000000}"/>
    <cellStyle name="20% - Ênfase1 17 2" xfId="105" xr:uid="{00000000-0005-0000-0000-000056000000}"/>
    <cellStyle name="20% - Ênfase1 17 3" xfId="106" xr:uid="{00000000-0005-0000-0000-000057000000}"/>
    <cellStyle name="20% - Ênfase1 170" xfId="107" xr:uid="{00000000-0005-0000-0000-000058000000}"/>
    <cellStyle name="20% - Ênfase1 171" xfId="108" xr:uid="{00000000-0005-0000-0000-000059000000}"/>
    <cellStyle name="20% - Ênfase1 172" xfId="109" xr:uid="{00000000-0005-0000-0000-00005A000000}"/>
    <cellStyle name="20% - Ênfase1 173" xfId="110" xr:uid="{00000000-0005-0000-0000-00005B000000}"/>
    <cellStyle name="20% - Ênfase1 174" xfId="111" xr:uid="{00000000-0005-0000-0000-00005C000000}"/>
    <cellStyle name="20% - Ênfase1 175" xfId="112" xr:uid="{00000000-0005-0000-0000-00005D000000}"/>
    <cellStyle name="20% - Ênfase1 176" xfId="113" xr:uid="{00000000-0005-0000-0000-00005E000000}"/>
    <cellStyle name="20% - Ênfase1 177" xfId="114" xr:uid="{00000000-0005-0000-0000-00005F000000}"/>
    <cellStyle name="20% - Ênfase1 178" xfId="115" xr:uid="{00000000-0005-0000-0000-000060000000}"/>
    <cellStyle name="20% - Ênfase1 179" xfId="116" xr:uid="{00000000-0005-0000-0000-000061000000}"/>
    <cellStyle name="20% - Ênfase1 18" xfId="117" xr:uid="{00000000-0005-0000-0000-000062000000}"/>
    <cellStyle name="20% - Ênfase1 18 2" xfId="118" xr:uid="{00000000-0005-0000-0000-000063000000}"/>
    <cellStyle name="20% - Ênfase1 18 3" xfId="119" xr:uid="{00000000-0005-0000-0000-000064000000}"/>
    <cellStyle name="20% - Ênfase1 180" xfId="120" xr:uid="{00000000-0005-0000-0000-000065000000}"/>
    <cellStyle name="20% - Ênfase1 181" xfId="121" xr:uid="{00000000-0005-0000-0000-000066000000}"/>
    <cellStyle name="20% - Ênfase1 182" xfId="122" xr:uid="{00000000-0005-0000-0000-000067000000}"/>
    <cellStyle name="20% - Ênfase1 183" xfId="123" xr:uid="{00000000-0005-0000-0000-000068000000}"/>
    <cellStyle name="20% - Ênfase1 184" xfId="124" xr:uid="{00000000-0005-0000-0000-000069000000}"/>
    <cellStyle name="20% - Ênfase1 185" xfId="125" xr:uid="{00000000-0005-0000-0000-00006A000000}"/>
    <cellStyle name="20% - Ênfase1 186" xfId="126" xr:uid="{00000000-0005-0000-0000-00006B000000}"/>
    <cellStyle name="20% - Ênfase1 187" xfId="127" xr:uid="{00000000-0005-0000-0000-00006C000000}"/>
    <cellStyle name="20% - Ênfase1 188" xfId="128" xr:uid="{00000000-0005-0000-0000-00006D000000}"/>
    <cellStyle name="20% - Ênfase1 189" xfId="129" xr:uid="{00000000-0005-0000-0000-00006E000000}"/>
    <cellStyle name="20% - Ênfase1 19" xfId="130" xr:uid="{00000000-0005-0000-0000-00006F000000}"/>
    <cellStyle name="20% - Ênfase1 19 2" xfId="131" xr:uid="{00000000-0005-0000-0000-000070000000}"/>
    <cellStyle name="20% - Ênfase1 19 3" xfId="132" xr:uid="{00000000-0005-0000-0000-000071000000}"/>
    <cellStyle name="20% - Ênfase1 190" xfId="133" xr:uid="{00000000-0005-0000-0000-000072000000}"/>
    <cellStyle name="20% - Ênfase1 2" xfId="1" xr:uid="{00000000-0005-0000-0000-000073000000}"/>
    <cellStyle name="20% - Ênfase1 2 10" xfId="2" xr:uid="{00000000-0005-0000-0000-000074000000}"/>
    <cellStyle name="20% - Ênfase1 2 10 2" xfId="134" xr:uid="{00000000-0005-0000-0000-000075000000}"/>
    <cellStyle name="20% - Ênfase1 2 10 3" xfId="135" xr:uid="{00000000-0005-0000-0000-000076000000}"/>
    <cellStyle name="20% - Ênfase1 2 10 4" xfId="136" xr:uid="{00000000-0005-0000-0000-000077000000}"/>
    <cellStyle name="20% - Ênfase1 2 10 5" xfId="137" xr:uid="{00000000-0005-0000-0000-000078000000}"/>
    <cellStyle name="20% - Ênfase1 2 10 6" xfId="138" xr:uid="{00000000-0005-0000-0000-000079000000}"/>
    <cellStyle name="20% - Ênfase1 2 10 7" xfId="139" xr:uid="{00000000-0005-0000-0000-00007A000000}"/>
    <cellStyle name="20% - Ênfase1 2 11" xfId="140" xr:uid="{00000000-0005-0000-0000-00007B000000}"/>
    <cellStyle name="20% - Ênfase1 2 11 2" xfId="141" xr:uid="{00000000-0005-0000-0000-00007C000000}"/>
    <cellStyle name="20% - Ênfase1 2 11 3" xfId="142" xr:uid="{00000000-0005-0000-0000-00007D000000}"/>
    <cellStyle name="20% - Ênfase1 2 11 4" xfId="143" xr:uid="{00000000-0005-0000-0000-00007E000000}"/>
    <cellStyle name="20% - Ênfase1 2 11 5" xfId="144" xr:uid="{00000000-0005-0000-0000-00007F000000}"/>
    <cellStyle name="20% - Ênfase1 2 11 6" xfId="145" xr:uid="{00000000-0005-0000-0000-000080000000}"/>
    <cellStyle name="20% - Ênfase1 2 11 7" xfId="146" xr:uid="{00000000-0005-0000-0000-000081000000}"/>
    <cellStyle name="20% - Ênfase1 2 12" xfId="3" xr:uid="{00000000-0005-0000-0000-000082000000}"/>
    <cellStyle name="20% - Ênfase1 2 12 2" xfId="29370" xr:uid="{00000000-0005-0000-0000-000083000000}"/>
    <cellStyle name="20% - Ênfase1 2 13" xfId="4" xr:uid="{00000000-0005-0000-0000-000084000000}"/>
    <cellStyle name="20% - Ênfase1 2 13 2" xfId="29369" xr:uid="{00000000-0005-0000-0000-000085000000}"/>
    <cellStyle name="20% - Ênfase1 2 14" xfId="5" xr:uid="{00000000-0005-0000-0000-000086000000}"/>
    <cellStyle name="20% - Ênfase1 2 14 2" xfId="29368" xr:uid="{00000000-0005-0000-0000-000087000000}"/>
    <cellStyle name="20% - Ênfase1 2 15" xfId="6" xr:uid="{00000000-0005-0000-0000-000088000000}"/>
    <cellStyle name="20% - Ênfase1 2 15 2" xfId="29367" xr:uid="{00000000-0005-0000-0000-000089000000}"/>
    <cellStyle name="20% - Ênfase1 2 16" xfId="7" xr:uid="{00000000-0005-0000-0000-00008A000000}"/>
    <cellStyle name="20% - Ênfase1 2 16 2" xfId="29378" xr:uid="{00000000-0005-0000-0000-00008B000000}"/>
    <cellStyle name="20% - Ênfase1 2 17" xfId="8" xr:uid="{00000000-0005-0000-0000-00008C000000}"/>
    <cellStyle name="20% - Ênfase1 2 17 2" xfId="29366" xr:uid="{00000000-0005-0000-0000-00008D000000}"/>
    <cellStyle name="20% - Ênfase1 2 18" xfId="9" xr:uid="{00000000-0005-0000-0000-00008E000000}"/>
    <cellStyle name="20% - Ênfase1 2 18 2" xfId="29365" xr:uid="{00000000-0005-0000-0000-00008F000000}"/>
    <cellStyle name="20% - Ênfase1 2 19" xfId="147" xr:uid="{00000000-0005-0000-0000-000090000000}"/>
    <cellStyle name="20% - Ênfase1 2 2" xfId="148" xr:uid="{00000000-0005-0000-0000-000091000000}"/>
    <cellStyle name="20% - Ênfase1 2 20" xfId="149" xr:uid="{00000000-0005-0000-0000-000092000000}"/>
    <cellStyle name="20% - Ênfase1 2 21" xfId="150" xr:uid="{00000000-0005-0000-0000-000093000000}"/>
    <cellStyle name="20% - Ênfase1 2 22" xfId="151" xr:uid="{00000000-0005-0000-0000-000094000000}"/>
    <cellStyle name="20% - Ênfase1 2 23" xfId="152" xr:uid="{00000000-0005-0000-0000-000095000000}"/>
    <cellStyle name="20% - Ênfase1 2 24" xfId="153" xr:uid="{00000000-0005-0000-0000-000096000000}"/>
    <cellStyle name="20% - Ênfase1 2 25" xfId="154" xr:uid="{00000000-0005-0000-0000-000097000000}"/>
    <cellStyle name="20% - Ênfase1 2 26" xfId="155" xr:uid="{00000000-0005-0000-0000-000098000000}"/>
    <cellStyle name="20% - Ênfase1 2 27" xfId="156" xr:uid="{00000000-0005-0000-0000-000099000000}"/>
    <cellStyle name="20% - Ênfase1 2 28" xfId="157" xr:uid="{00000000-0005-0000-0000-00009A000000}"/>
    <cellStyle name="20% - Ênfase1 2 29" xfId="158" xr:uid="{00000000-0005-0000-0000-00009B000000}"/>
    <cellStyle name="20% - Ênfase1 2 3" xfId="159" xr:uid="{00000000-0005-0000-0000-00009C000000}"/>
    <cellStyle name="20% - Ênfase1 2 30" xfId="160" xr:uid="{00000000-0005-0000-0000-00009D000000}"/>
    <cellStyle name="20% - Ênfase1 2 31" xfId="161" xr:uid="{00000000-0005-0000-0000-00009E000000}"/>
    <cellStyle name="20% - Ênfase1 2 32" xfId="162" xr:uid="{00000000-0005-0000-0000-00009F000000}"/>
    <cellStyle name="20% - Ênfase1 2 33" xfId="163" xr:uid="{00000000-0005-0000-0000-0000A0000000}"/>
    <cellStyle name="20% - Ênfase1 2 34" xfId="164" xr:uid="{00000000-0005-0000-0000-0000A1000000}"/>
    <cellStyle name="20% - Ênfase1 2 35" xfId="165" xr:uid="{00000000-0005-0000-0000-0000A2000000}"/>
    <cellStyle name="20% - Ênfase1 2 36" xfId="29371" xr:uid="{00000000-0005-0000-0000-0000A3000000}"/>
    <cellStyle name="20% - Ênfase1 2 4" xfId="166" xr:uid="{00000000-0005-0000-0000-0000A4000000}"/>
    <cellStyle name="20% - Ênfase1 2 5" xfId="167" xr:uid="{00000000-0005-0000-0000-0000A5000000}"/>
    <cellStyle name="20% - Ênfase1 2 6" xfId="168" xr:uid="{00000000-0005-0000-0000-0000A6000000}"/>
    <cellStyle name="20% - Ênfase1 2 7" xfId="169" xr:uid="{00000000-0005-0000-0000-0000A7000000}"/>
    <cellStyle name="20% - Ênfase1 2 8" xfId="170" xr:uid="{00000000-0005-0000-0000-0000A8000000}"/>
    <cellStyle name="20% - Ênfase1 2 8 2" xfId="171" xr:uid="{00000000-0005-0000-0000-0000A9000000}"/>
    <cellStyle name="20% - Ênfase1 2 8 3" xfId="172" xr:uid="{00000000-0005-0000-0000-0000AA000000}"/>
    <cellStyle name="20% - Ênfase1 2 8 4" xfId="173" xr:uid="{00000000-0005-0000-0000-0000AB000000}"/>
    <cellStyle name="20% - Ênfase1 2 8 5" xfId="174" xr:uid="{00000000-0005-0000-0000-0000AC000000}"/>
    <cellStyle name="20% - Ênfase1 2 8 6" xfId="175" xr:uid="{00000000-0005-0000-0000-0000AD000000}"/>
    <cellStyle name="20% - Ênfase1 2 8 7" xfId="176" xr:uid="{00000000-0005-0000-0000-0000AE000000}"/>
    <cellStyle name="20% - Ênfase1 2 9" xfId="177" xr:uid="{00000000-0005-0000-0000-0000AF000000}"/>
    <cellStyle name="20% - Ênfase1 2 9 2" xfId="178" xr:uid="{00000000-0005-0000-0000-0000B0000000}"/>
    <cellStyle name="20% - Ênfase1 2 9 3" xfId="179" xr:uid="{00000000-0005-0000-0000-0000B1000000}"/>
    <cellStyle name="20% - Ênfase1 2 9 4" xfId="180" xr:uid="{00000000-0005-0000-0000-0000B2000000}"/>
    <cellStyle name="20% - Ênfase1 2 9 5" xfId="181" xr:uid="{00000000-0005-0000-0000-0000B3000000}"/>
    <cellStyle name="20% - Ênfase1 2 9 6" xfId="182" xr:uid="{00000000-0005-0000-0000-0000B4000000}"/>
    <cellStyle name="20% - Ênfase1 2 9 7" xfId="183" xr:uid="{00000000-0005-0000-0000-0000B5000000}"/>
    <cellStyle name="20% - Ênfase1 20" xfId="184" xr:uid="{00000000-0005-0000-0000-0000B6000000}"/>
    <cellStyle name="20% - Ênfase1 20 2" xfId="185" xr:uid="{00000000-0005-0000-0000-0000B7000000}"/>
    <cellStyle name="20% - Ênfase1 20 3" xfId="186" xr:uid="{00000000-0005-0000-0000-0000B8000000}"/>
    <cellStyle name="20% - Ênfase1 21" xfId="187" xr:uid="{00000000-0005-0000-0000-0000B9000000}"/>
    <cellStyle name="20% - Ênfase1 22" xfId="188" xr:uid="{00000000-0005-0000-0000-0000BA000000}"/>
    <cellStyle name="20% - Ênfase1 23" xfId="189" xr:uid="{00000000-0005-0000-0000-0000BB000000}"/>
    <cellStyle name="20% - Ênfase1 24" xfId="190" xr:uid="{00000000-0005-0000-0000-0000BC000000}"/>
    <cellStyle name="20% - Ênfase1 24 2" xfId="40929" xr:uid="{00000000-0005-0000-0000-0000BD000000}"/>
    <cellStyle name="20% - Ênfase1 25" xfId="191" xr:uid="{00000000-0005-0000-0000-0000BE000000}"/>
    <cellStyle name="20% - Ênfase1 25 2" xfId="40964" xr:uid="{00000000-0005-0000-0000-0000BF000000}"/>
    <cellStyle name="20% - Ênfase1 26" xfId="192" xr:uid="{00000000-0005-0000-0000-0000C0000000}"/>
    <cellStyle name="20% - Ênfase1 26 10" xfId="193" xr:uid="{00000000-0005-0000-0000-0000C1000000}"/>
    <cellStyle name="20% - Ênfase1 26 11" xfId="194" xr:uid="{00000000-0005-0000-0000-0000C2000000}"/>
    <cellStyle name="20% - Ênfase1 26 12" xfId="195" xr:uid="{00000000-0005-0000-0000-0000C3000000}"/>
    <cellStyle name="20% - Ênfase1 26 13" xfId="196" xr:uid="{00000000-0005-0000-0000-0000C4000000}"/>
    <cellStyle name="20% - Ênfase1 26 14" xfId="197" xr:uid="{00000000-0005-0000-0000-0000C5000000}"/>
    <cellStyle name="20% - Ênfase1 26 15" xfId="198" xr:uid="{00000000-0005-0000-0000-0000C6000000}"/>
    <cellStyle name="20% - Ênfase1 26 16" xfId="199" xr:uid="{00000000-0005-0000-0000-0000C7000000}"/>
    <cellStyle name="20% - Ênfase1 26 2" xfId="200" xr:uid="{00000000-0005-0000-0000-0000C8000000}"/>
    <cellStyle name="20% - Ênfase1 26 3" xfId="201" xr:uid="{00000000-0005-0000-0000-0000C9000000}"/>
    <cellStyle name="20% - Ênfase1 26 4" xfId="202" xr:uid="{00000000-0005-0000-0000-0000CA000000}"/>
    <cellStyle name="20% - Ênfase1 26 5" xfId="203" xr:uid="{00000000-0005-0000-0000-0000CB000000}"/>
    <cellStyle name="20% - Ênfase1 26 6" xfId="204" xr:uid="{00000000-0005-0000-0000-0000CC000000}"/>
    <cellStyle name="20% - Ênfase1 26 7" xfId="205" xr:uid="{00000000-0005-0000-0000-0000CD000000}"/>
    <cellStyle name="20% - Ênfase1 26 8" xfId="206" xr:uid="{00000000-0005-0000-0000-0000CE000000}"/>
    <cellStyle name="20% - Ênfase1 26 9" xfId="207" xr:uid="{00000000-0005-0000-0000-0000CF000000}"/>
    <cellStyle name="20% - Ênfase1 27" xfId="208" xr:uid="{00000000-0005-0000-0000-0000D0000000}"/>
    <cellStyle name="20% - Ênfase1 27 10" xfId="209" xr:uid="{00000000-0005-0000-0000-0000D1000000}"/>
    <cellStyle name="20% - Ênfase1 27 11" xfId="210" xr:uid="{00000000-0005-0000-0000-0000D2000000}"/>
    <cellStyle name="20% - Ênfase1 27 12" xfId="211" xr:uid="{00000000-0005-0000-0000-0000D3000000}"/>
    <cellStyle name="20% - Ênfase1 27 13" xfId="212" xr:uid="{00000000-0005-0000-0000-0000D4000000}"/>
    <cellStyle name="20% - Ênfase1 27 14" xfId="213" xr:uid="{00000000-0005-0000-0000-0000D5000000}"/>
    <cellStyle name="20% - Ênfase1 27 15" xfId="214" xr:uid="{00000000-0005-0000-0000-0000D6000000}"/>
    <cellStyle name="20% - Ênfase1 27 16" xfId="215" xr:uid="{00000000-0005-0000-0000-0000D7000000}"/>
    <cellStyle name="20% - Ênfase1 27 2" xfId="216" xr:uid="{00000000-0005-0000-0000-0000D8000000}"/>
    <cellStyle name="20% - Ênfase1 27 3" xfId="217" xr:uid="{00000000-0005-0000-0000-0000D9000000}"/>
    <cellStyle name="20% - Ênfase1 27 4" xfId="218" xr:uid="{00000000-0005-0000-0000-0000DA000000}"/>
    <cellStyle name="20% - Ênfase1 27 5" xfId="219" xr:uid="{00000000-0005-0000-0000-0000DB000000}"/>
    <cellStyle name="20% - Ênfase1 27 6" xfId="220" xr:uid="{00000000-0005-0000-0000-0000DC000000}"/>
    <cellStyle name="20% - Ênfase1 27 7" xfId="221" xr:uid="{00000000-0005-0000-0000-0000DD000000}"/>
    <cellStyle name="20% - Ênfase1 27 8" xfId="222" xr:uid="{00000000-0005-0000-0000-0000DE000000}"/>
    <cellStyle name="20% - Ênfase1 27 9" xfId="223" xr:uid="{00000000-0005-0000-0000-0000DF000000}"/>
    <cellStyle name="20% - Ênfase1 28" xfId="224" xr:uid="{00000000-0005-0000-0000-0000E0000000}"/>
    <cellStyle name="20% - Ênfase1 28 10" xfId="225" xr:uid="{00000000-0005-0000-0000-0000E1000000}"/>
    <cellStyle name="20% - Ênfase1 28 11" xfId="226" xr:uid="{00000000-0005-0000-0000-0000E2000000}"/>
    <cellStyle name="20% - Ênfase1 28 12" xfId="227" xr:uid="{00000000-0005-0000-0000-0000E3000000}"/>
    <cellStyle name="20% - Ênfase1 28 13" xfId="228" xr:uid="{00000000-0005-0000-0000-0000E4000000}"/>
    <cellStyle name="20% - Ênfase1 28 14" xfId="229" xr:uid="{00000000-0005-0000-0000-0000E5000000}"/>
    <cellStyle name="20% - Ênfase1 28 15" xfId="230" xr:uid="{00000000-0005-0000-0000-0000E6000000}"/>
    <cellStyle name="20% - Ênfase1 28 16" xfId="231" xr:uid="{00000000-0005-0000-0000-0000E7000000}"/>
    <cellStyle name="20% - Ênfase1 28 2" xfId="232" xr:uid="{00000000-0005-0000-0000-0000E8000000}"/>
    <cellStyle name="20% - Ênfase1 28 3" xfId="233" xr:uid="{00000000-0005-0000-0000-0000E9000000}"/>
    <cellStyle name="20% - Ênfase1 28 4" xfId="234" xr:uid="{00000000-0005-0000-0000-0000EA000000}"/>
    <cellStyle name="20% - Ênfase1 28 5" xfId="235" xr:uid="{00000000-0005-0000-0000-0000EB000000}"/>
    <cellStyle name="20% - Ênfase1 28 6" xfId="236" xr:uid="{00000000-0005-0000-0000-0000EC000000}"/>
    <cellStyle name="20% - Ênfase1 28 7" xfId="237" xr:uid="{00000000-0005-0000-0000-0000ED000000}"/>
    <cellStyle name="20% - Ênfase1 28 8" xfId="238" xr:uid="{00000000-0005-0000-0000-0000EE000000}"/>
    <cellStyle name="20% - Ênfase1 28 9" xfId="239" xr:uid="{00000000-0005-0000-0000-0000EF000000}"/>
    <cellStyle name="20% - Ênfase1 29" xfId="240" xr:uid="{00000000-0005-0000-0000-0000F0000000}"/>
    <cellStyle name="20% - Ênfase1 29 10" xfId="241" xr:uid="{00000000-0005-0000-0000-0000F1000000}"/>
    <cellStyle name="20% - Ênfase1 29 11" xfId="242" xr:uid="{00000000-0005-0000-0000-0000F2000000}"/>
    <cellStyle name="20% - Ênfase1 29 12" xfId="243" xr:uid="{00000000-0005-0000-0000-0000F3000000}"/>
    <cellStyle name="20% - Ênfase1 29 13" xfId="244" xr:uid="{00000000-0005-0000-0000-0000F4000000}"/>
    <cellStyle name="20% - Ênfase1 29 14" xfId="245" xr:uid="{00000000-0005-0000-0000-0000F5000000}"/>
    <cellStyle name="20% - Ênfase1 29 15" xfId="246" xr:uid="{00000000-0005-0000-0000-0000F6000000}"/>
    <cellStyle name="20% - Ênfase1 29 16" xfId="247" xr:uid="{00000000-0005-0000-0000-0000F7000000}"/>
    <cellStyle name="20% - Ênfase1 29 2" xfId="248" xr:uid="{00000000-0005-0000-0000-0000F8000000}"/>
    <cellStyle name="20% - Ênfase1 29 3" xfId="249" xr:uid="{00000000-0005-0000-0000-0000F9000000}"/>
    <cellStyle name="20% - Ênfase1 29 4" xfId="250" xr:uid="{00000000-0005-0000-0000-0000FA000000}"/>
    <cellStyle name="20% - Ênfase1 29 5" xfId="251" xr:uid="{00000000-0005-0000-0000-0000FB000000}"/>
    <cellStyle name="20% - Ênfase1 29 6" xfId="252" xr:uid="{00000000-0005-0000-0000-0000FC000000}"/>
    <cellStyle name="20% - Ênfase1 29 7" xfId="253" xr:uid="{00000000-0005-0000-0000-0000FD000000}"/>
    <cellStyle name="20% - Ênfase1 29 8" xfId="254" xr:uid="{00000000-0005-0000-0000-0000FE000000}"/>
    <cellStyle name="20% - Ênfase1 29 9" xfId="255" xr:uid="{00000000-0005-0000-0000-0000FF000000}"/>
    <cellStyle name="20% - Ênfase1 3" xfId="256" xr:uid="{00000000-0005-0000-0000-000000010000}"/>
    <cellStyle name="20% - Ênfase1 3 10" xfId="257" xr:uid="{00000000-0005-0000-0000-000001010000}"/>
    <cellStyle name="20% - Ênfase1 3 11" xfId="258" xr:uid="{00000000-0005-0000-0000-000002010000}"/>
    <cellStyle name="20% - Ênfase1 3 2" xfId="259" xr:uid="{00000000-0005-0000-0000-000003010000}"/>
    <cellStyle name="20% - Ênfase1 3 3" xfId="260" xr:uid="{00000000-0005-0000-0000-000004010000}"/>
    <cellStyle name="20% - Ênfase1 3 4" xfId="261" xr:uid="{00000000-0005-0000-0000-000005010000}"/>
    <cellStyle name="20% - Ênfase1 3 5" xfId="262" xr:uid="{00000000-0005-0000-0000-000006010000}"/>
    <cellStyle name="20% - Ênfase1 3 6" xfId="263" xr:uid="{00000000-0005-0000-0000-000007010000}"/>
    <cellStyle name="20% - Ênfase1 3 7" xfId="264" xr:uid="{00000000-0005-0000-0000-000008010000}"/>
    <cellStyle name="20% - Ênfase1 3 8" xfId="265" xr:uid="{00000000-0005-0000-0000-000009010000}"/>
    <cellStyle name="20% - Ênfase1 3 9" xfId="266" xr:uid="{00000000-0005-0000-0000-00000A010000}"/>
    <cellStyle name="20% - Ênfase1 30" xfId="267" xr:uid="{00000000-0005-0000-0000-00000B010000}"/>
    <cellStyle name="20% - Ênfase1 31" xfId="268" xr:uid="{00000000-0005-0000-0000-00000C010000}"/>
    <cellStyle name="20% - Ênfase1 32" xfId="269" xr:uid="{00000000-0005-0000-0000-00000D010000}"/>
    <cellStyle name="20% - Ênfase1 33" xfId="270" xr:uid="{00000000-0005-0000-0000-00000E010000}"/>
    <cellStyle name="20% - Ênfase1 34" xfId="271" xr:uid="{00000000-0005-0000-0000-00000F010000}"/>
    <cellStyle name="20% - Ênfase1 35" xfId="272" xr:uid="{00000000-0005-0000-0000-000010010000}"/>
    <cellStyle name="20% - Ênfase1 36" xfId="273" xr:uid="{00000000-0005-0000-0000-000011010000}"/>
    <cellStyle name="20% - Ênfase1 37" xfId="274" xr:uid="{00000000-0005-0000-0000-000012010000}"/>
    <cellStyle name="20% - Ênfase1 38" xfId="275" xr:uid="{00000000-0005-0000-0000-000013010000}"/>
    <cellStyle name="20% - Ênfase1 39" xfId="276" xr:uid="{00000000-0005-0000-0000-000014010000}"/>
    <cellStyle name="20% - Ênfase1 4" xfId="277" xr:uid="{00000000-0005-0000-0000-000015010000}"/>
    <cellStyle name="20% - Ênfase1 4 10" xfId="278" xr:uid="{00000000-0005-0000-0000-000016010000}"/>
    <cellStyle name="20% - Ênfase1 4 11" xfId="279" xr:uid="{00000000-0005-0000-0000-000017010000}"/>
    <cellStyle name="20% - Ênfase1 4 2" xfId="280" xr:uid="{00000000-0005-0000-0000-000018010000}"/>
    <cellStyle name="20% - Ênfase1 4 3" xfId="281" xr:uid="{00000000-0005-0000-0000-000019010000}"/>
    <cellStyle name="20% - Ênfase1 4 4" xfId="282" xr:uid="{00000000-0005-0000-0000-00001A010000}"/>
    <cellStyle name="20% - Ênfase1 4 5" xfId="283" xr:uid="{00000000-0005-0000-0000-00001B010000}"/>
    <cellStyle name="20% - Ênfase1 4 6" xfId="284" xr:uid="{00000000-0005-0000-0000-00001C010000}"/>
    <cellStyle name="20% - Ênfase1 4 7" xfId="285" xr:uid="{00000000-0005-0000-0000-00001D010000}"/>
    <cellStyle name="20% - Ênfase1 4 8" xfId="286" xr:uid="{00000000-0005-0000-0000-00001E010000}"/>
    <cellStyle name="20% - Ênfase1 4 9" xfId="287" xr:uid="{00000000-0005-0000-0000-00001F010000}"/>
    <cellStyle name="20% - Ênfase1 40" xfId="288" xr:uid="{00000000-0005-0000-0000-000020010000}"/>
    <cellStyle name="20% - Ênfase1 41" xfId="289" xr:uid="{00000000-0005-0000-0000-000021010000}"/>
    <cellStyle name="20% - Ênfase1 42" xfId="290" xr:uid="{00000000-0005-0000-0000-000022010000}"/>
    <cellStyle name="20% - Ênfase1 43" xfId="291" xr:uid="{00000000-0005-0000-0000-000023010000}"/>
    <cellStyle name="20% - Ênfase1 44" xfId="292" xr:uid="{00000000-0005-0000-0000-000024010000}"/>
    <cellStyle name="20% - Ênfase1 45" xfId="293" xr:uid="{00000000-0005-0000-0000-000025010000}"/>
    <cellStyle name="20% - Ênfase1 46" xfId="294" xr:uid="{00000000-0005-0000-0000-000026010000}"/>
    <cellStyle name="20% - Ênfase1 47" xfId="295" xr:uid="{00000000-0005-0000-0000-000027010000}"/>
    <cellStyle name="20% - Ênfase1 48" xfId="296" xr:uid="{00000000-0005-0000-0000-000028010000}"/>
    <cellStyle name="20% - Ênfase1 49" xfId="297" xr:uid="{00000000-0005-0000-0000-000029010000}"/>
    <cellStyle name="20% - Ênfase1 5" xfId="298" xr:uid="{00000000-0005-0000-0000-00002A010000}"/>
    <cellStyle name="20% - Ênfase1 5 2" xfId="299" xr:uid="{00000000-0005-0000-0000-00002B010000}"/>
    <cellStyle name="20% - Ênfase1 5 3" xfId="300" xr:uid="{00000000-0005-0000-0000-00002C010000}"/>
    <cellStyle name="20% - Ênfase1 5 4" xfId="301" xr:uid="{00000000-0005-0000-0000-00002D010000}"/>
    <cellStyle name="20% - Ênfase1 50" xfId="302" xr:uid="{00000000-0005-0000-0000-00002E010000}"/>
    <cellStyle name="20% - Ênfase1 51" xfId="303" xr:uid="{00000000-0005-0000-0000-00002F010000}"/>
    <cellStyle name="20% - Ênfase1 52" xfId="304" xr:uid="{00000000-0005-0000-0000-000030010000}"/>
    <cellStyle name="20% - Ênfase1 53" xfId="305" xr:uid="{00000000-0005-0000-0000-000031010000}"/>
    <cellStyle name="20% - Ênfase1 54" xfId="306" xr:uid="{00000000-0005-0000-0000-000032010000}"/>
    <cellStyle name="20% - Ênfase1 55" xfId="307" xr:uid="{00000000-0005-0000-0000-000033010000}"/>
    <cellStyle name="20% - Ênfase1 56" xfId="308" xr:uid="{00000000-0005-0000-0000-000034010000}"/>
    <cellStyle name="20% - Ênfase1 57" xfId="309" xr:uid="{00000000-0005-0000-0000-000035010000}"/>
    <cellStyle name="20% - Ênfase1 58" xfId="310" xr:uid="{00000000-0005-0000-0000-000036010000}"/>
    <cellStyle name="20% - Ênfase1 59" xfId="311" xr:uid="{00000000-0005-0000-0000-000037010000}"/>
    <cellStyle name="20% - Ênfase1 6" xfId="312" xr:uid="{00000000-0005-0000-0000-000038010000}"/>
    <cellStyle name="20% - Ênfase1 6 2" xfId="313" xr:uid="{00000000-0005-0000-0000-000039010000}"/>
    <cellStyle name="20% - Ênfase1 6 3" xfId="314" xr:uid="{00000000-0005-0000-0000-00003A010000}"/>
    <cellStyle name="20% - Ênfase1 6 4" xfId="315" xr:uid="{00000000-0005-0000-0000-00003B010000}"/>
    <cellStyle name="20% - Ênfase1 60" xfId="316" xr:uid="{00000000-0005-0000-0000-00003C010000}"/>
    <cellStyle name="20% - Ênfase1 61" xfId="317" xr:uid="{00000000-0005-0000-0000-00003D010000}"/>
    <cellStyle name="20% - Ênfase1 62" xfId="318" xr:uid="{00000000-0005-0000-0000-00003E010000}"/>
    <cellStyle name="20% - Ênfase1 63" xfId="319" xr:uid="{00000000-0005-0000-0000-00003F010000}"/>
    <cellStyle name="20% - Ênfase1 64" xfId="320" xr:uid="{00000000-0005-0000-0000-000040010000}"/>
    <cellStyle name="20% - Ênfase1 65" xfId="321" xr:uid="{00000000-0005-0000-0000-000041010000}"/>
    <cellStyle name="20% - Ênfase1 66" xfId="322" xr:uid="{00000000-0005-0000-0000-000042010000}"/>
    <cellStyle name="20% - Ênfase1 67" xfId="323" xr:uid="{00000000-0005-0000-0000-000043010000}"/>
    <cellStyle name="20% - Ênfase1 68" xfId="324" xr:uid="{00000000-0005-0000-0000-000044010000}"/>
    <cellStyle name="20% - Ênfase1 69" xfId="325" xr:uid="{00000000-0005-0000-0000-000045010000}"/>
    <cellStyle name="20% - Ênfase1 7" xfId="326" xr:uid="{00000000-0005-0000-0000-000046010000}"/>
    <cellStyle name="20% - Ênfase1 7 2" xfId="327" xr:uid="{00000000-0005-0000-0000-000047010000}"/>
    <cellStyle name="20% - Ênfase1 7 3" xfId="328" xr:uid="{00000000-0005-0000-0000-000048010000}"/>
    <cellStyle name="20% - Ênfase1 7 4" xfId="329" xr:uid="{00000000-0005-0000-0000-000049010000}"/>
    <cellStyle name="20% - Ênfase1 70" xfId="330" xr:uid="{00000000-0005-0000-0000-00004A010000}"/>
    <cellStyle name="20% - Ênfase1 71" xfId="331" xr:uid="{00000000-0005-0000-0000-00004B010000}"/>
    <cellStyle name="20% - Ênfase1 72" xfId="332" xr:uid="{00000000-0005-0000-0000-00004C010000}"/>
    <cellStyle name="20% - Ênfase1 73" xfId="333" xr:uid="{00000000-0005-0000-0000-00004D010000}"/>
    <cellStyle name="20% - Ênfase1 74" xfId="334" xr:uid="{00000000-0005-0000-0000-00004E010000}"/>
    <cellStyle name="20% - Ênfase1 75" xfId="335" xr:uid="{00000000-0005-0000-0000-00004F010000}"/>
    <cellStyle name="20% - Ênfase1 76" xfId="336" xr:uid="{00000000-0005-0000-0000-000050010000}"/>
    <cellStyle name="20% - Ênfase1 77" xfId="337" xr:uid="{00000000-0005-0000-0000-000051010000}"/>
    <cellStyle name="20% - Ênfase1 78" xfId="338" xr:uid="{00000000-0005-0000-0000-000052010000}"/>
    <cellStyle name="20% - Ênfase1 79" xfId="339" xr:uid="{00000000-0005-0000-0000-000053010000}"/>
    <cellStyle name="20% - Ênfase1 8" xfId="340" xr:uid="{00000000-0005-0000-0000-000054010000}"/>
    <cellStyle name="20% - Ênfase1 8 2" xfId="341" xr:uid="{00000000-0005-0000-0000-000055010000}"/>
    <cellStyle name="20% - Ênfase1 8 3" xfId="342" xr:uid="{00000000-0005-0000-0000-000056010000}"/>
    <cellStyle name="20% - Ênfase1 8 4" xfId="343" xr:uid="{00000000-0005-0000-0000-000057010000}"/>
    <cellStyle name="20% - Ênfase1 80" xfId="344" xr:uid="{00000000-0005-0000-0000-000058010000}"/>
    <cellStyle name="20% - Ênfase1 81" xfId="345" xr:uid="{00000000-0005-0000-0000-000059010000}"/>
    <cellStyle name="20% - Ênfase1 82" xfId="346" xr:uid="{00000000-0005-0000-0000-00005A010000}"/>
    <cellStyle name="20% - Ênfase1 83" xfId="347" xr:uid="{00000000-0005-0000-0000-00005B010000}"/>
    <cellStyle name="20% - Ênfase1 84" xfId="348" xr:uid="{00000000-0005-0000-0000-00005C010000}"/>
    <cellStyle name="20% - Ênfase1 85" xfId="349" xr:uid="{00000000-0005-0000-0000-00005D010000}"/>
    <cellStyle name="20% - Ênfase1 86" xfId="350" xr:uid="{00000000-0005-0000-0000-00005E010000}"/>
    <cellStyle name="20% - Ênfase1 87" xfId="351" xr:uid="{00000000-0005-0000-0000-00005F010000}"/>
    <cellStyle name="20% - Ênfase1 88" xfId="352" xr:uid="{00000000-0005-0000-0000-000060010000}"/>
    <cellStyle name="20% - Ênfase1 89" xfId="353" xr:uid="{00000000-0005-0000-0000-000061010000}"/>
    <cellStyle name="20% - Ênfase1 9" xfId="354" xr:uid="{00000000-0005-0000-0000-000062010000}"/>
    <cellStyle name="20% - Ênfase1 90" xfId="355" xr:uid="{00000000-0005-0000-0000-000063010000}"/>
    <cellStyle name="20% - Ênfase1 91" xfId="356" xr:uid="{00000000-0005-0000-0000-000064010000}"/>
    <cellStyle name="20% - Ênfase1 92" xfId="357" xr:uid="{00000000-0005-0000-0000-000065010000}"/>
    <cellStyle name="20% - Ênfase1 93" xfId="358" xr:uid="{00000000-0005-0000-0000-000066010000}"/>
    <cellStyle name="20% - Ênfase1 94" xfId="359" xr:uid="{00000000-0005-0000-0000-000067010000}"/>
    <cellStyle name="20% - Ênfase1 95" xfId="360" xr:uid="{00000000-0005-0000-0000-000068010000}"/>
    <cellStyle name="20% - Ênfase1 96" xfId="361" xr:uid="{00000000-0005-0000-0000-000069010000}"/>
    <cellStyle name="20% - Ênfase1 97" xfId="362" xr:uid="{00000000-0005-0000-0000-00006A010000}"/>
    <cellStyle name="20% - Ênfase1 98" xfId="363" xr:uid="{00000000-0005-0000-0000-00006B010000}"/>
    <cellStyle name="20% - Ênfase1 99" xfId="364" xr:uid="{00000000-0005-0000-0000-00006C010000}"/>
    <cellStyle name="20% - Ênfase2 10" xfId="365" xr:uid="{00000000-0005-0000-0000-00006D010000}"/>
    <cellStyle name="20% - Ênfase2 10 2" xfId="40462" xr:uid="{00000000-0005-0000-0000-00006E010000}"/>
    <cellStyle name="20% - Ênfase2 100" xfId="366" xr:uid="{00000000-0005-0000-0000-00006F010000}"/>
    <cellStyle name="20% - Ênfase2 101" xfId="367" xr:uid="{00000000-0005-0000-0000-000070010000}"/>
    <cellStyle name="20% - Ênfase2 102" xfId="368" xr:uid="{00000000-0005-0000-0000-000071010000}"/>
    <cellStyle name="20% - Ênfase2 103" xfId="369" xr:uid="{00000000-0005-0000-0000-000072010000}"/>
    <cellStyle name="20% - Ênfase2 104" xfId="370" xr:uid="{00000000-0005-0000-0000-000073010000}"/>
    <cellStyle name="20% - Ênfase2 105" xfId="371" xr:uid="{00000000-0005-0000-0000-000074010000}"/>
    <cellStyle name="20% - Ênfase2 106" xfId="372" xr:uid="{00000000-0005-0000-0000-000075010000}"/>
    <cellStyle name="20% - Ênfase2 107" xfId="373" xr:uid="{00000000-0005-0000-0000-000076010000}"/>
    <cellStyle name="20% - Ênfase2 108" xfId="374" xr:uid="{00000000-0005-0000-0000-000077010000}"/>
    <cellStyle name="20% - Ênfase2 109" xfId="375" xr:uid="{00000000-0005-0000-0000-000078010000}"/>
    <cellStyle name="20% - Ênfase2 11" xfId="376" xr:uid="{00000000-0005-0000-0000-000079010000}"/>
    <cellStyle name="20% - Ênfase2 11 2" xfId="40463" xr:uid="{00000000-0005-0000-0000-00007A010000}"/>
    <cellStyle name="20% - Ênfase2 110" xfId="377" xr:uid="{00000000-0005-0000-0000-00007B010000}"/>
    <cellStyle name="20% - Ênfase2 111" xfId="378" xr:uid="{00000000-0005-0000-0000-00007C010000}"/>
    <cellStyle name="20% - Ênfase2 112" xfId="379" xr:uid="{00000000-0005-0000-0000-00007D010000}"/>
    <cellStyle name="20% - Ênfase2 113" xfId="380" xr:uid="{00000000-0005-0000-0000-00007E010000}"/>
    <cellStyle name="20% - Ênfase2 114" xfId="381" xr:uid="{00000000-0005-0000-0000-00007F010000}"/>
    <cellStyle name="20% - Ênfase2 115" xfId="382" xr:uid="{00000000-0005-0000-0000-000080010000}"/>
    <cellStyle name="20% - Ênfase2 116" xfId="383" xr:uid="{00000000-0005-0000-0000-000081010000}"/>
    <cellStyle name="20% - Ênfase2 117" xfId="384" xr:uid="{00000000-0005-0000-0000-000082010000}"/>
    <cellStyle name="20% - Ênfase2 118" xfId="385" xr:uid="{00000000-0005-0000-0000-000083010000}"/>
    <cellStyle name="20% - Ênfase2 119" xfId="386" xr:uid="{00000000-0005-0000-0000-000084010000}"/>
    <cellStyle name="20% - Ênfase2 12" xfId="387" xr:uid="{00000000-0005-0000-0000-000085010000}"/>
    <cellStyle name="20% - Ênfase2 12 2" xfId="40464" xr:uid="{00000000-0005-0000-0000-000086010000}"/>
    <cellStyle name="20% - Ênfase2 120" xfId="388" xr:uid="{00000000-0005-0000-0000-000087010000}"/>
    <cellStyle name="20% - Ênfase2 121" xfId="389" xr:uid="{00000000-0005-0000-0000-000088010000}"/>
    <cellStyle name="20% - Ênfase2 122" xfId="390" xr:uid="{00000000-0005-0000-0000-000089010000}"/>
    <cellStyle name="20% - Ênfase2 123" xfId="391" xr:uid="{00000000-0005-0000-0000-00008A010000}"/>
    <cellStyle name="20% - Ênfase2 124" xfId="392" xr:uid="{00000000-0005-0000-0000-00008B010000}"/>
    <cellStyle name="20% - Ênfase2 125" xfId="393" xr:uid="{00000000-0005-0000-0000-00008C010000}"/>
    <cellStyle name="20% - Ênfase2 126" xfId="394" xr:uid="{00000000-0005-0000-0000-00008D010000}"/>
    <cellStyle name="20% - Ênfase2 127" xfId="395" xr:uid="{00000000-0005-0000-0000-00008E010000}"/>
    <cellStyle name="20% - Ênfase2 128" xfId="396" xr:uid="{00000000-0005-0000-0000-00008F010000}"/>
    <cellStyle name="20% - Ênfase2 129" xfId="397" xr:uid="{00000000-0005-0000-0000-000090010000}"/>
    <cellStyle name="20% - Ênfase2 13" xfId="398" xr:uid="{00000000-0005-0000-0000-000091010000}"/>
    <cellStyle name="20% - Ênfase2 13 2" xfId="40465" xr:uid="{00000000-0005-0000-0000-000092010000}"/>
    <cellStyle name="20% - Ênfase2 130" xfId="399" xr:uid="{00000000-0005-0000-0000-000093010000}"/>
    <cellStyle name="20% - Ênfase2 131" xfId="400" xr:uid="{00000000-0005-0000-0000-000094010000}"/>
    <cellStyle name="20% - Ênfase2 132" xfId="401" xr:uid="{00000000-0005-0000-0000-000095010000}"/>
    <cellStyle name="20% - Ênfase2 133" xfId="402" xr:uid="{00000000-0005-0000-0000-000096010000}"/>
    <cellStyle name="20% - Ênfase2 134" xfId="403" xr:uid="{00000000-0005-0000-0000-000097010000}"/>
    <cellStyle name="20% - Ênfase2 135" xfId="404" xr:uid="{00000000-0005-0000-0000-000098010000}"/>
    <cellStyle name="20% - Ênfase2 136" xfId="405" xr:uid="{00000000-0005-0000-0000-000099010000}"/>
    <cellStyle name="20% - Ênfase2 137" xfId="406" xr:uid="{00000000-0005-0000-0000-00009A010000}"/>
    <cellStyle name="20% - Ênfase2 138" xfId="407" xr:uid="{00000000-0005-0000-0000-00009B010000}"/>
    <cellStyle name="20% - Ênfase2 139" xfId="408" xr:uid="{00000000-0005-0000-0000-00009C010000}"/>
    <cellStyle name="20% - Ênfase2 14" xfId="409" xr:uid="{00000000-0005-0000-0000-00009D010000}"/>
    <cellStyle name="20% - Ênfase2 140" xfId="410" xr:uid="{00000000-0005-0000-0000-00009E010000}"/>
    <cellStyle name="20% - Ênfase2 141" xfId="411" xr:uid="{00000000-0005-0000-0000-00009F010000}"/>
    <cellStyle name="20% - Ênfase2 142" xfId="412" xr:uid="{00000000-0005-0000-0000-0000A0010000}"/>
    <cellStyle name="20% - Ênfase2 143" xfId="413" xr:uid="{00000000-0005-0000-0000-0000A1010000}"/>
    <cellStyle name="20% - Ênfase2 144" xfId="414" xr:uid="{00000000-0005-0000-0000-0000A2010000}"/>
    <cellStyle name="20% - Ênfase2 145" xfId="415" xr:uid="{00000000-0005-0000-0000-0000A3010000}"/>
    <cellStyle name="20% - Ênfase2 146" xfId="416" xr:uid="{00000000-0005-0000-0000-0000A4010000}"/>
    <cellStyle name="20% - Ênfase2 147" xfId="417" xr:uid="{00000000-0005-0000-0000-0000A5010000}"/>
    <cellStyle name="20% - Ênfase2 148" xfId="418" xr:uid="{00000000-0005-0000-0000-0000A6010000}"/>
    <cellStyle name="20% - Ênfase2 149" xfId="419" xr:uid="{00000000-0005-0000-0000-0000A7010000}"/>
    <cellStyle name="20% - Ênfase2 15" xfId="420" xr:uid="{00000000-0005-0000-0000-0000A8010000}"/>
    <cellStyle name="20% - Ênfase2 15 2" xfId="421" xr:uid="{00000000-0005-0000-0000-0000A9010000}"/>
    <cellStyle name="20% - Ênfase2 15 3" xfId="422" xr:uid="{00000000-0005-0000-0000-0000AA010000}"/>
    <cellStyle name="20% - Ênfase2 150" xfId="423" xr:uid="{00000000-0005-0000-0000-0000AB010000}"/>
    <cellStyle name="20% - Ênfase2 151" xfId="424" xr:uid="{00000000-0005-0000-0000-0000AC010000}"/>
    <cellStyle name="20% - Ênfase2 152" xfId="425" xr:uid="{00000000-0005-0000-0000-0000AD010000}"/>
    <cellStyle name="20% - Ênfase2 153" xfId="426" xr:uid="{00000000-0005-0000-0000-0000AE010000}"/>
    <cellStyle name="20% - Ênfase2 154" xfId="427" xr:uid="{00000000-0005-0000-0000-0000AF010000}"/>
    <cellStyle name="20% - Ênfase2 155" xfId="428" xr:uid="{00000000-0005-0000-0000-0000B0010000}"/>
    <cellStyle name="20% - Ênfase2 156" xfId="429" xr:uid="{00000000-0005-0000-0000-0000B1010000}"/>
    <cellStyle name="20% - Ênfase2 157" xfId="430" xr:uid="{00000000-0005-0000-0000-0000B2010000}"/>
    <cellStyle name="20% - Ênfase2 158" xfId="431" xr:uid="{00000000-0005-0000-0000-0000B3010000}"/>
    <cellStyle name="20% - Ênfase2 159" xfId="432" xr:uid="{00000000-0005-0000-0000-0000B4010000}"/>
    <cellStyle name="20% - Ênfase2 16" xfId="433" xr:uid="{00000000-0005-0000-0000-0000B5010000}"/>
    <cellStyle name="20% - Ênfase2 16 2" xfId="434" xr:uid="{00000000-0005-0000-0000-0000B6010000}"/>
    <cellStyle name="20% - Ênfase2 16 3" xfId="435" xr:uid="{00000000-0005-0000-0000-0000B7010000}"/>
    <cellStyle name="20% - Ênfase2 160" xfId="436" xr:uid="{00000000-0005-0000-0000-0000B8010000}"/>
    <cellStyle name="20% - Ênfase2 161" xfId="437" xr:uid="{00000000-0005-0000-0000-0000B9010000}"/>
    <cellStyle name="20% - Ênfase2 162" xfId="438" xr:uid="{00000000-0005-0000-0000-0000BA010000}"/>
    <cellStyle name="20% - Ênfase2 163" xfId="439" xr:uid="{00000000-0005-0000-0000-0000BB010000}"/>
    <cellStyle name="20% - Ênfase2 164" xfId="440" xr:uid="{00000000-0005-0000-0000-0000BC010000}"/>
    <cellStyle name="20% - Ênfase2 165" xfId="441" xr:uid="{00000000-0005-0000-0000-0000BD010000}"/>
    <cellStyle name="20% - Ênfase2 166" xfId="442" xr:uid="{00000000-0005-0000-0000-0000BE010000}"/>
    <cellStyle name="20% - Ênfase2 167" xfId="443" xr:uid="{00000000-0005-0000-0000-0000BF010000}"/>
    <cellStyle name="20% - Ênfase2 168" xfId="444" xr:uid="{00000000-0005-0000-0000-0000C0010000}"/>
    <cellStyle name="20% - Ênfase2 169" xfId="445" xr:uid="{00000000-0005-0000-0000-0000C1010000}"/>
    <cellStyle name="20% - Ênfase2 17" xfId="446" xr:uid="{00000000-0005-0000-0000-0000C2010000}"/>
    <cellStyle name="20% - Ênfase2 17 2" xfId="447" xr:uid="{00000000-0005-0000-0000-0000C3010000}"/>
    <cellStyle name="20% - Ênfase2 17 3" xfId="448" xr:uid="{00000000-0005-0000-0000-0000C4010000}"/>
    <cellStyle name="20% - Ênfase2 170" xfId="449" xr:uid="{00000000-0005-0000-0000-0000C5010000}"/>
    <cellStyle name="20% - Ênfase2 171" xfId="450" xr:uid="{00000000-0005-0000-0000-0000C6010000}"/>
    <cellStyle name="20% - Ênfase2 172" xfId="451" xr:uid="{00000000-0005-0000-0000-0000C7010000}"/>
    <cellStyle name="20% - Ênfase2 173" xfId="452" xr:uid="{00000000-0005-0000-0000-0000C8010000}"/>
    <cellStyle name="20% - Ênfase2 174" xfId="453" xr:uid="{00000000-0005-0000-0000-0000C9010000}"/>
    <cellStyle name="20% - Ênfase2 175" xfId="454" xr:uid="{00000000-0005-0000-0000-0000CA010000}"/>
    <cellStyle name="20% - Ênfase2 176" xfId="455" xr:uid="{00000000-0005-0000-0000-0000CB010000}"/>
    <cellStyle name="20% - Ênfase2 177" xfId="456" xr:uid="{00000000-0005-0000-0000-0000CC010000}"/>
    <cellStyle name="20% - Ênfase2 178" xfId="457" xr:uid="{00000000-0005-0000-0000-0000CD010000}"/>
    <cellStyle name="20% - Ênfase2 179" xfId="458" xr:uid="{00000000-0005-0000-0000-0000CE010000}"/>
    <cellStyle name="20% - Ênfase2 18" xfId="459" xr:uid="{00000000-0005-0000-0000-0000CF010000}"/>
    <cellStyle name="20% - Ênfase2 18 2" xfId="460" xr:uid="{00000000-0005-0000-0000-0000D0010000}"/>
    <cellStyle name="20% - Ênfase2 18 3" xfId="461" xr:uid="{00000000-0005-0000-0000-0000D1010000}"/>
    <cellStyle name="20% - Ênfase2 180" xfId="462" xr:uid="{00000000-0005-0000-0000-0000D2010000}"/>
    <cellStyle name="20% - Ênfase2 181" xfId="463" xr:uid="{00000000-0005-0000-0000-0000D3010000}"/>
    <cellStyle name="20% - Ênfase2 182" xfId="464" xr:uid="{00000000-0005-0000-0000-0000D4010000}"/>
    <cellStyle name="20% - Ênfase2 183" xfId="465" xr:uid="{00000000-0005-0000-0000-0000D5010000}"/>
    <cellStyle name="20% - Ênfase2 184" xfId="466" xr:uid="{00000000-0005-0000-0000-0000D6010000}"/>
    <cellStyle name="20% - Ênfase2 185" xfId="467" xr:uid="{00000000-0005-0000-0000-0000D7010000}"/>
    <cellStyle name="20% - Ênfase2 186" xfId="468" xr:uid="{00000000-0005-0000-0000-0000D8010000}"/>
    <cellStyle name="20% - Ênfase2 187" xfId="469" xr:uid="{00000000-0005-0000-0000-0000D9010000}"/>
    <cellStyle name="20% - Ênfase2 188" xfId="470" xr:uid="{00000000-0005-0000-0000-0000DA010000}"/>
    <cellStyle name="20% - Ênfase2 189" xfId="471" xr:uid="{00000000-0005-0000-0000-0000DB010000}"/>
    <cellStyle name="20% - Ênfase2 19" xfId="472" xr:uid="{00000000-0005-0000-0000-0000DC010000}"/>
    <cellStyle name="20% - Ênfase2 19 2" xfId="473" xr:uid="{00000000-0005-0000-0000-0000DD010000}"/>
    <cellStyle name="20% - Ênfase2 19 3" xfId="474" xr:uid="{00000000-0005-0000-0000-0000DE010000}"/>
    <cellStyle name="20% - Ênfase2 190" xfId="475" xr:uid="{00000000-0005-0000-0000-0000DF010000}"/>
    <cellStyle name="20% - Ênfase2 2" xfId="476" xr:uid="{00000000-0005-0000-0000-0000E0010000}"/>
    <cellStyle name="20% - Ênfase2 2 10" xfId="477" xr:uid="{00000000-0005-0000-0000-0000E1010000}"/>
    <cellStyle name="20% - Ênfase2 2 10 2" xfId="478" xr:uid="{00000000-0005-0000-0000-0000E2010000}"/>
    <cellStyle name="20% - Ênfase2 2 10 3" xfId="479" xr:uid="{00000000-0005-0000-0000-0000E3010000}"/>
    <cellStyle name="20% - Ênfase2 2 10 4" xfId="480" xr:uid="{00000000-0005-0000-0000-0000E4010000}"/>
    <cellStyle name="20% - Ênfase2 2 10 5" xfId="481" xr:uid="{00000000-0005-0000-0000-0000E5010000}"/>
    <cellStyle name="20% - Ênfase2 2 10 6" xfId="482" xr:uid="{00000000-0005-0000-0000-0000E6010000}"/>
    <cellStyle name="20% - Ênfase2 2 10 7" xfId="483" xr:uid="{00000000-0005-0000-0000-0000E7010000}"/>
    <cellStyle name="20% - Ênfase2 2 11" xfId="484" xr:uid="{00000000-0005-0000-0000-0000E8010000}"/>
    <cellStyle name="20% - Ênfase2 2 11 2" xfId="485" xr:uid="{00000000-0005-0000-0000-0000E9010000}"/>
    <cellStyle name="20% - Ênfase2 2 11 3" xfId="486" xr:uid="{00000000-0005-0000-0000-0000EA010000}"/>
    <cellStyle name="20% - Ênfase2 2 11 4" xfId="487" xr:uid="{00000000-0005-0000-0000-0000EB010000}"/>
    <cellStyle name="20% - Ênfase2 2 11 5" xfId="488" xr:uid="{00000000-0005-0000-0000-0000EC010000}"/>
    <cellStyle name="20% - Ênfase2 2 11 6" xfId="489" xr:uid="{00000000-0005-0000-0000-0000ED010000}"/>
    <cellStyle name="20% - Ênfase2 2 11 7" xfId="490" xr:uid="{00000000-0005-0000-0000-0000EE010000}"/>
    <cellStyle name="20% - Ênfase2 2 12" xfId="491" xr:uid="{00000000-0005-0000-0000-0000EF010000}"/>
    <cellStyle name="20% - Ênfase2 2 13" xfId="492" xr:uid="{00000000-0005-0000-0000-0000F0010000}"/>
    <cellStyle name="20% - Ênfase2 2 14" xfId="493" xr:uid="{00000000-0005-0000-0000-0000F1010000}"/>
    <cellStyle name="20% - Ênfase2 2 15" xfId="494" xr:uid="{00000000-0005-0000-0000-0000F2010000}"/>
    <cellStyle name="20% - Ênfase2 2 16" xfId="495" xr:uid="{00000000-0005-0000-0000-0000F3010000}"/>
    <cellStyle name="20% - Ênfase2 2 17" xfId="496" xr:uid="{00000000-0005-0000-0000-0000F4010000}"/>
    <cellStyle name="20% - Ênfase2 2 18" xfId="497" xr:uid="{00000000-0005-0000-0000-0000F5010000}"/>
    <cellStyle name="20% - Ênfase2 2 19" xfId="498" xr:uid="{00000000-0005-0000-0000-0000F6010000}"/>
    <cellStyle name="20% - Ênfase2 2 2" xfId="499" xr:uid="{00000000-0005-0000-0000-0000F7010000}"/>
    <cellStyle name="20% - Ênfase2 2 20" xfId="500" xr:uid="{00000000-0005-0000-0000-0000F8010000}"/>
    <cellStyle name="20% - Ênfase2 2 21" xfId="501" xr:uid="{00000000-0005-0000-0000-0000F9010000}"/>
    <cellStyle name="20% - Ênfase2 2 22" xfId="502" xr:uid="{00000000-0005-0000-0000-0000FA010000}"/>
    <cellStyle name="20% - Ênfase2 2 23" xfId="503" xr:uid="{00000000-0005-0000-0000-0000FB010000}"/>
    <cellStyle name="20% - Ênfase2 2 24" xfId="504" xr:uid="{00000000-0005-0000-0000-0000FC010000}"/>
    <cellStyle name="20% - Ênfase2 2 25" xfId="505" xr:uid="{00000000-0005-0000-0000-0000FD010000}"/>
    <cellStyle name="20% - Ênfase2 2 26" xfId="506" xr:uid="{00000000-0005-0000-0000-0000FE010000}"/>
    <cellStyle name="20% - Ênfase2 2 27" xfId="507" xr:uid="{00000000-0005-0000-0000-0000FF010000}"/>
    <cellStyle name="20% - Ênfase2 2 28" xfId="508" xr:uid="{00000000-0005-0000-0000-000000020000}"/>
    <cellStyle name="20% - Ênfase2 2 29" xfId="509" xr:uid="{00000000-0005-0000-0000-000001020000}"/>
    <cellStyle name="20% - Ênfase2 2 3" xfId="510" xr:uid="{00000000-0005-0000-0000-000002020000}"/>
    <cellStyle name="20% - Ênfase2 2 30" xfId="511" xr:uid="{00000000-0005-0000-0000-000003020000}"/>
    <cellStyle name="20% - Ênfase2 2 31" xfId="512" xr:uid="{00000000-0005-0000-0000-000004020000}"/>
    <cellStyle name="20% - Ênfase2 2 32" xfId="513" xr:uid="{00000000-0005-0000-0000-000005020000}"/>
    <cellStyle name="20% - Ênfase2 2 33" xfId="514" xr:uid="{00000000-0005-0000-0000-000006020000}"/>
    <cellStyle name="20% - Ênfase2 2 34" xfId="515" xr:uid="{00000000-0005-0000-0000-000007020000}"/>
    <cellStyle name="20% - Ênfase2 2 35" xfId="516" xr:uid="{00000000-0005-0000-0000-000008020000}"/>
    <cellStyle name="20% - Ênfase2 2 4" xfId="517" xr:uid="{00000000-0005-0000-0000-000009020000}"/>
    <cellStyle name="20% - Ênfase2 2 5" xfId="518" xr:uid="{00000000-0005-0000-0000-00000A020000}"/>
    <cellStyle name="20% - Ênfase2 2 6" xfId="519" xr:uid="{00000000-0005-0000-0000-00000B020000}"/>
    <cellStyle name="20% - Ênfase2 2 7" xfId="520" xr:uid="{00000000-0005-0000-0000-00000C020000}"/>
    <cellStyle name="20% - Ênfase2 2 8" xfId="521" xr:uid="{00000000-0005-0000-0000-00000D020000}"/>
    <cellStyle name="20% - Ênfase2 2 8 2" xfId="522" xr:uid="{00000000-0005-0000-0000-00000E020000}"/>
    <cellStyle name="20% - Ênfase2 2 8 3" xfId="523" xr:uid="{00000000-0005-0000-0000-00000F020000}"/>
    <cellStyle name="20% - Ênfase2 2 8 4" xfId="524" xr:uid="{00000000-0005-0000-0000-000010020000}"/>
    <cellStyle name="20% - Ênfase2 2 8 5" xfId="525" xr:uid="{00000000-0005-0000-0000-000011020000}"/>
    <cellStyle name="20% - Ênfase2 2 8 6" xfId="526" xr:uid="{00000000-0005-0000-0000-000012020000}"/>
    <cellStyle name="20% - Ênfase2 2 8 7" xfId="527" xr:uid="{00000000-0005-0000-0000-000013020000}"/>
    <cellStyle name="20% - Ênfase2 2 9" xfId="528" xr:uid="{00000000-0005-0000-0000-000014020000}"/>
    <cellStyle name="20% - Ênfase2 2 9 2" xfId="529" xr:uid="{00000000-0005-0000-0000-000015020000}"/>
    <cellStyle name="20% - Ênfase2 2 9 3" xfId="530" xr:uid="{00000000-0005-0000-0000-000016020000}"/>
    <cellStyle name="20% - Ênfase2 2 9 4" xfId="531" xr:uid="{00000000-0005-0000-0000-000017020000}"/>
    <cellStyle name="20% - Ênfase2 2 9 5" xfId="532" xr:uid="{00000000-0005-0000-0000-000018020000}"/>
    <cellStyle name="20% - Ênfase2 2 9 6" xfId="533" xr:uid="{00000000-0005-0000-0000-000019020000}"/>
    <cellStyle name="20% - Ênfase2 2 9 7" xfId="534" xr:uid="{00000000-0005-0000-0000-00001A020000}"/>
    <cellStyle name="20% - Ênfase2 20" xfId="535" xr:uid="{00000000-0005-0000-0000-00001B020000}"/>
    <cellStyle name="20% - Ênfase2 20 2" xfId="536" xr:uid="{00000000-0005-0000-0000-00001C020000}"/>
    <cellStyle name="20% - Ênfase2 20 3" xfId="537" xr:uid="{00000000-0005-0000-0000-00001D020000}"/>
    <cellStyle name="20% - Ênfase2 21" xfId="538" xr:uid="{00000000-0005-0000-0000-00001E020000}"/>
    <cellStyle name="20% - Ênfase2 22" xfId="539" xr:uid="{00000000-0005-0000-0000-00001F020000}"/>
    <cellStyle name="20% - Ênfase2 23" xfId="540" xr:uid="{00000000-0005-0000-0000-000020020000}"/>
    <cellStyle name="20% - Ênfase2 24" xfId="541" xr:uid="{00000000-0005-0000-0000-000021020000}"/>
    <cellStyle name="20% - Ênfase2 24 2" xfId="40930" xr:uid="{00000000-0005-0000-0000-000022020000}"/>
    <cellStyle name="20% - Ênfase2 25" xfId="542" xr:uid="{00000000-0005-0000-0000-000023020000}"/>
    <cellStyle name="20% - Ênfase2 25 2" xfId="40965" xr:uid="{00000000-0005-0000-0000-000024020000}"/>
    <cellStyle name="20% - Ênfase2 26" xfId="543" xr:uid="{00000000-0005-0000-0000-000025020000}"/>
    <cellStyle name="20% - Ênfase2 26 10" xfId="544" xr:uid="{00000000-0005-0000-0000-000026020000}"/>
    <cellStyle name="20% - Ênfase2 26 11" xfId="545" xr:uid="{00000000-0005-0000-0000-000027020000}"/>
    <cellStyle name="20% - Ênfase2 26 12" xfId="546" xr:uid="{00000000-0005-0000-0000-000028020000}"/>
    <cellStyle name="20% - Ênfase2 26 13" xfId="547" xr:uid="{00000000-0005-0000-0000-000029020000}"/>
    <cellStyle name="20% - Ênfase2 26 14" xfId="548" xr:uid="{00000000-0005-0000-0000-00002A020000}"/>
    <cellStyle name="20% - Ênfase2 26 15" xfId="549" xr:uid="{00000000-0005-0000-0000-00002B020000}"/>
    <cellStyle name="20% - Ênfase2 26 16" xfId="550" xr:uid="{00000000-0005-0000-0000-00002C020000}"/>
    <cellStyle name="20% - Ênfase2 26 2" xfId="551" xr:uid="{00000000-0005-0000-0000-00002D020000}"/>
    <cellStyle name="20% - Ênfase2 26 3" xfId="552" xr:uid="{00000000-0005-0000-0000-00002E020000}"/>
    <cellStyle name="20% - Ênfase2 26 4" xfId="553" xr:uid="{00000000-0005-0000-0000-00002F020000}"/>
    <cellStyle name="20% - Ênfase2 26 5" xfId="554" xr:uid="{00000000-0005-0000-0000-000030020000}"/>
    <cellStyle name="20% - Ênfase2 26 6" xfId="555" xr:uid="{00000000-0005-0000-0000-000031020000}"/>
    <cellStyle name="20% - Ênfase2 26 7" xfId="556" xr:uid="{00000000-0005-0000-0000-000032020000}"/>
    <cellStyle name="20% - Ênfase2 26 8" xfId="557" xr:uid="{00000000-0005-0000-0000-000033020000}"/>
    <cellStyle name="20% - Ênfase2 26 9" xfId="558" xr:uid="{00000000-0005-0000-0000-000034020000}"/>
    <cellStyle name="20% - Ênfase2 27" xfId="559" xr:uid="{00000000-0005-0000-0000-000035020000}"/>
    <cellStyle name="20% - Ênfase2 27 10" xfId="560" xr:uid="{00000000-0005-0000-0000-000036020000}"/>
    <cellStyle name="20% - Ênfase2 27 11" xfId="561" xr:uid="{00000000-0005-0000-0000-000037020000}"/>
    <cellStyle name="20% - Ênfase2 27 12" xfId="562" xr:uid="{00000000-0005-0000-0000-000038020000}"/>
    <cellStyle name="20% - Ênfase2 27 13" xfId="563" xr:uid="{00000000-0005-0000-0000-000039020000}"/>
    <cellStyle name="20% - Ênfase2 27 14" xfId="564" xr:uid="{00000000-0005-0000-0000-00003A020000}"/>
    <cellStyle name="20% - Ênfase2 27 15" xfId="565" xr:uid="{00000000-0005-0000-0000-00003B020000}"/>
    <cellStyle name="20% - Ênfase2 27 16" xfId="566" xr:uid="{00000000-0005-0000-0000-00003C020000}"/>
    <cellStyle name="20% - Ênfase2 27 2" xfId="567" xr:uid="{00000000-0005-0000-0000-00003D020000}"/>
    <cellStyle name="20% - Ênfase2 27 3" xfId="568" xr:uid="{00000000-0005-0000-0000-00003E020000}"/>
    <cellStyle name="20% - Ênfase2 27 4" xfId="569" xr:uid="{00000000-0005-0000-0000-00003F020000}"/>
    <cellStyle name="20% - Ênfase2 27 5" xfId="570" xr:uid="{00000000-0005-0000-0000-000040020000}"/>
    <cellStyle name="20% - Ênfase2 27 6" xfId="571" xr:uid="{00000000-0005-0000-0000-000041020000}"/>
    <cellStyle name="20% - Ênfase2 27 7" xfId="572" xr:uid="{00000000-0005-0000-0000-000042020000}"/>
    <cellStyle name="20% - Ênfase2 27 8" xfId="573" xr:uid="{00000000-0005-0000-0000-000043020000}"/>
    <cellStyle name="20% - Ênfase2 27 9" xfId="574" xr:uid="{00000000-0005-0000-0000-000044020000}"/>
    <cellStyle name="20% - Ênfase2 28" xfId="575" xr:uid="{00000000-0005-0000-0000-000045020000}"/>
    <cellStyle name="20% - Ênfase2 28 10" xfId="576" xr:uid="{00000000-0005-0000-0000-000046020000}"/>
    <cellStyle name="20% - Ênfase2 28 11" xfId="577" xr:uid="{00000000-0005-0000-0000-000047020000}"/>
    <cellStyle name="20% - Ênfase2 28 12" xfId="578" xr:uid="{00000000-0005-0000-0000-000048020000}"/>
    <cellStyle name="20% - Ênfase2 28 13" xfId="579" xr:uid="{00000000-0005-0000-0000-000049020000}"/>
    <cellStyle name="20% - Ênfase2 28 14" xfId="580" xr:uid="{00000000-0005-0000-0000-00004A020000}"/>
    <cellStyle name="20% - Ênfase2 28 15" xfId="581" xr:uid="{00000000-0005-0000-0000-00004B020000}"/>
    <cellStyle name="20% - Ênfase2 28 16" xfId="582" xr:uid="{00000000-0005-0000-0000-00004C020000}"/>
    <cellStyle name="20% - Ênfase2 28 2" xfId="583" xr:uid="{00000000-0005-0000-0000-00004D020000}"/>
    <cellStyle name="20% - Ênfase2 28 3" xfId="584" xr:uid="{00000000-0005-0000-0000-00004E020000}"/>
    <cellStyle name="20% - Ênfase2 28 4" xfId="585" xr:uid="{00000000-0005-0000-0000-00004F020000}"/>
    <cellStyle name="20% - Ênfase2 28 5" xfId="586" xr:uid="{00000000-0005-0000-0000-000050020000}"/>
    <cellStyle name="20% - Ênfase2 28 6" xfId="587" xr:uid="{00000000-0005-0000-0000-000051020000}"/>
    <cellStyle name="20% - Ênfase2 28 7" xfId="588" xr:uid="{00000000-0005-0000-0000-000052020000}"/>
    <cellStyle name="20% - Ênfase2 28 8" xfId="589" xr:uid="{00000000-0005-0000-0000-000053020000}"/>
    <cellStyle name="20% - Ênfase2 28 9" xfId="590" xr:uid="{00000000-0005-0000-0000-000054020000}"/>
    <cellStyle name="20% - Ênfase2 29" xfId="591" xr:uid="{00000000-0005-0000-0000-000055020000}"/>
    <cellStyle name="20% - Ênfase2 29 10" xfId="592" xr:uid="{00000000-0005-0000-0000-000056020000}"/>
    <cellStyle name="20% - Ênfase2 29 11" xfId="593" xr:uid="{00000000-0005-0000-0000-000057020000}"/>
    <cellStyle name="20% - Ênfase2 29 12" xfId="594" xr:uid="{00000000-0005-0000-0000-000058020000}"/>
    <cellStyle name="20% - Ênfase2 29 13" xfId="595" xr:uid="{00000000-0005-0000-0000-000059020000}"/>
    <cellStyle name="20% - Ênfase2 29 14" xfId="596" xr:uid="{00000000-0005-0000-0000-00005A020000}"/>
    <cellStyle name="20% - Ênfase2 29 15" xfId="597" xr:uid="{00000000-0005-0000-0000-00005B020000}"/>
    <cellStyle name="20% - Ênfase2 29 16" xfId="598" xr:uid="{00000000-0005-0000-0000-00005C020000}"/>
    <cellStyle name="20% - Ênfase2 29 2" xfId="599" xr:uid="{00000000-0005-0000-0000-00005D020000}"/>
    <cellStyle name="20% - Ênfase2 29 3" xfId="600" xr:uid="{00000000-0005-0000-0000-00005E020000}"/>
    <cellStyle name="20% - Ênfase2 29 4" xfId="601" xr:uid="{00000000-0005-0000-0000-00005F020000}"/>
    <cellStyle name="20% - Ênfase2 29 5" xfId="602" xr:uid="{00000000-0005-0000-0000-000060020000}"/>
    <cellStyle name="20% - Ênfase2 29 6" xfId="603" xr:uid="{00000000-0005-0000-0000-000061020000}"/>
    <cellStyle name="20% - Ênfase2 29 7" xfId="604" xr:uid="{00000000-0005-0000-0000-000062020000}"/>
    <cellStyle name="20% - Ênfase2 29 8" xfId="605" xr:uid="{00000000-0005-0000-0000-000063020000}"/>
    <cellStyle name="20% - Ênfase2 29 9" xfId="606" xr:uid="{00000000-0005-0000-0000-000064020000}"/>
    <cellStyle name="20% - Ênfase2 3" xfId="607" xr:uid="{00000000-0005-0000-0000-000065020000}"/>
    <cellStyle name="20% - Ênfase2 3 10" xfId="608" xr:uid="{00000000-0005-0000-0000-000066020000}"/>
    <cellStyle name="20% - Ênfase2 3 11" xfId="609" xr:uid="{00000000-0005-0000-0000-000067020000}"/>
    <cellStyle name="20% - Ênfase2 3 2" xfId="610" xr:uid="{00000000-0005-0000-0000-000068020000}"/>
    <cellStyle name="20% - Ênfase2 3 3" xfId="611" xr:uid="{00000000-0005-0000-0000-000069020000}"/>
    <cellStyle name="20% - Ênfase2 3 4" xfId="612" xr:uid="{00000000-0005-0000-0000-00006A020000}"/>
    <cellStyle name="20% - Ênfase2 3 5" xfId="613" xr:uid="{00000000-0005-0000-0000-00006B020000}"/>
    <cellStyle name="20% - Ênfase2 3 6" xfId="614" xr:uid="{00000000-0005-0000-0000-00006C020000}"/>
    <cellStyle name="20% - Ênfase2 3 7" xfId="615" xr:uid="{00000000-0005-0000-0000-00006D020000}"/>
    <cellStyle name="20% - Ênfase2 3 8" xfId="616" xr:uid="{00000000-0005-0000-0000-00006E020000}"/>
    <cellStyle name="20% - Ênfase2 3 9" xfId="617" xr:uid="{00000000-0005-0000-0000-00006F020000}"/>
    <cellStyle name="20% - Ênfase2 30" xfId="618" xr:uid="{00000000-0005-0000-0000-000070020000}"/>
    <cellStyle name="20% - Ênfase2 31" xfId="619" xr:uid="{00000000-0005-0000-0000-000071020000}"/>
    <cellStyle name="20% - Ênfase2 32" xfId="620" xr:uid="{00000000-0005-0000-0000-000072020000}"/>
    <cellStyle name="20% - Ênfase2 33" xfId="621" xr:uid="{00000000-0005-0000-0000-000073020000}"/>
    <cellStyle name="20% - Ênfase2 34" xfId="622" xr:uid="{00000000-0005-0000-0000-000074020000}"/>
    <cellStyle name="20% - Ênfase2 35" xfId="623" xr:uid="{00000000-0005-0000-0000-000075020000}"/>
    <cellStyle name="20% - Ênfase2 36" xfId="624" xr:uid="{00000000-0005-0000-0000-000076020000}"/>
    <cellStyle name="20% - Ênfase2 37" xfId="625" xr:uid="{00000000-0005-0000-0000-000077020000}"/>
    <cellStyle name="20% - Ênfase2 38" xfId="626" xr:uid="{00000000-0005-0000-0000-000078020000}"/>
    <cellStyle name="20% - Ênfase2 39" xfId="627" xr:uid="{00000000-0005-0000-0000-000079020000}"/>
    <cellStyle name="20% - Ênfase2 4" xfId="628" xr:uid="{00000000-0005-0000-0000-00007A020000}"/>
    <cellStyle name="20% - Ênfase2 4 10" xfId="629" xr:uid="{00000000-0005-0000-0000-00007B020000}"/>
    <cellStyle name="20% - Ênfase2 4 11" xfId="630" xr:uid="{00000000-0005-0000-0000-00007C020000}"/>
    <cellStyle name="20% - Ênfase2 4 2" xfId="631" xr:uid="{00000000-0005-0000-0000-00007D020000}"/>
    <cellStyle name="20% - Ênfase2 4 3" xfId="632" xr:uid="{00000000-0005-0000-0000-00007E020000}"/>
    <cellStyle name="20% - Ênfase2 4 4" xfId="633" xr:uid="{00000000-0005-0000-0000-00007F020000}"/>
    <cellStyle name="20% - Ênfase2 4 5" xfId="634" xr:uid="{00000000-0005-0000-0000-000080020000}"/>
    <cellStyle name="20% - Ênfase2 4 6" xfId="635" xr:uid="{00000000-0005-0000-0000-000081020000}"/>
    <cellStyle name="20% - Ênfase2 4 7" xfId="636" xr:uid="{00000000-0005-0000-0000-000082020000}"/>
    <cellStyle name="20% - Ênfase2 4 8" xfId="637" xr:uid="{00000000-0005-0000-0000-000083020000}"/>
    <cellStyle name="20% - Ênfase2 4 9" xfId="638" xr:uid="{00000000-0005-0000-0000-000084020000}"/>
    <cellStyle name="20% - Ênfase2 40" xfId="639" xr:uid="{00000000-0005-0000-0000-000085020000}"/>
    <cellStyle name="20% - Ênfase2 41" xfId="640" xr:uid="{00000000-0005-0000-0000-000086020000}"/>
    <cellStyle name="20% - Ênfase2 42" xfId="641" xr:uid="{00000000-0005-0000-0000-000087020000}"/>
    <cellStyle name="20% - Ênfase2 43" xfId="642" xr:uid="{00000000-0005-0000-0000-000088020000}"/>
    <cellStyle name="20% - Ênfase2 44" xfId="643" xr:uid="{00000000-0005-0000-0000-000089020000}"/>
    <cellStyle name="20% - Ênfase2 45" xfId="644" xr:uid="{00000000-0005-0000-0000-00008A020000}"/>
    <cellStyle name="20% - Ênfase2 46" xfId="645" xr:uid="{00000000-0005-0000-0000-00008B020000}"/>
    <cellStyle name="20% - Ênfase2 47" xfId="646" xr:uid="{00000000-0005-0000-0000-00008C020000}"/>
    <cellStyle name="20% - Ênfase2 48" xfId="647" xr:uid="{00000000-0005-0000-0000-00008D020000}"/>
    <cellStyle name="20% - Ênfase2 49" xfId="648" xr:uid="{00000000-0005-0000-0000-00008E020000}"/>
    <cellStyle name="20% - Ênfase2 5" xfId="649" xr:uid="{00000000-0005-0000-0000-00008F020000}"/>
    <cellStyle name="20% - Ênfase2 5 2" xfId="650" xr:uid="{00000000-0005-0000-0000-000090020000}"/>
    <cellStyle name="20% - Ênfase2 5 3" xfId="651" xr:uid="{00000000-0005-0000-0000-000091020000}"/>
    <cellStyle name="20% - Ênfase2 5 4" xfId="652" xr:uid="{00000000-0005-0000-0000-000092020000}"/>
    <cellStyle name="20% - Ênfase2 50" xfId="653" xr:uid="{00000000-0005-0000-0000-000093020000}"/>
    <cellStyle name="20% - Ênfase2 51" xfId="654" xr:uid="{00000000-0005-0000-0000-000094020000}"/>
    <cellStyle name="20% - Ênfase2 52" xfId="655" xr:uid="{00000000-0005-0000-0000-000095020000}"/>
    <cellStyle name="20% - Ênfase2 53" xfId="656" xr:uid="{00000000-0005-0000-0000-000096020000}"/>
    <cellStyle name="20% - Ênfase2 54" xfId="657" xr:uid="{00000000-0005-0000-0000-000097020000}"/>
    <cellStyle name="20% - Ênfase2 55" xfId="658" xr:uid="{00000000-0005-0000-0000-000098020000}"/>
    <cellStyle name="20% - Ênfase2 56" xfId="659" xr:uid="{00000000-0005-0000-0000-000099020000}"/>
    <cellStyle name="20% - Ênfase2 57" xfId="660" xr:uid="{00000000-0005-0000-0000-00009A020000}"/>
    <cellStyle name="20% - Ênfase2 58" xfId="661" xr:uid="{00000000-0005-0000-0000-00009B020000}"/>
    <cellStyle name="20% - Ênfase2 59" xfId="662" xr:uid="{00000000-0005-0000-0000-00009C020000}"/>
    <cellStyle name="20% - Ênfase2 6" xfId="663" xr:uid="{00000000-0005-0000-0000-00009D020000}"/>
    <cellStyle name="20% - Ênfase2 6 2" xfId="664" xr:uid="{00000000-0005-0000-0000-00009E020000}"/>
    <cellStyle name="20% - Ênfase2 6 3" xfId="665" xr:uid="{00000000-0005-0000-0000-00009F020000}"/>
    <cellStyle name="20% - Ênfase2 6 4" xfId="666" xr:uid="{00000000-0005-0000-0000-0000A0020000}"/>
    <cellStyle name="20% - Ênfase2 60" xfId="667" xr:uid="{00000000-0005-0000-0000-0000A1020000}"/>
    <cellStyle name="20% - Ênfase2 61" xfId="668" xr:uid="{00000000-0005-0000-0000-0000A2020000}"/>
    <cellStyle name="20% - Ênfase2 62" xfId="669" xr:uid="{00000000-0005-0000-0000-0000A3020000}"/>
    <cellStyle name="20% - Ênfase2 63" xfId="670" xr:uid="{00000000-0005-0000-0000-0000A4020000}"/>
    <cellStyle name="20% - Ênfase2 64" xfId="671" xr:uid="{00000000-0005-0000-0000-0000A5020000}"/>
    <cellStyle name="20% - Ênfase2 65" xfId="672" xr:uid="{00000000-0005-0000-0000-0000A6020000}"/>
    <cellStyle name="20% - Ênfase2 66" xfId="673" xr:uid="{00000000-0005-0000-0000-0000A7020000}"/>
    <cellStyle name="20% - Ênfase2 67" xfId="674" xr:uid="{00000000-0005-0000-0000-0000A8020000}"/>
    <cellStyle name="20% - Ênfase2 68" xfId="675" xr:uid="{00000000-0005-0000-0000-0000A9020000}"/>
    <cellStyle name="20% - Ênfase2 69" xfId="676" xr:uid="{00000000-0005-0000-0000-0000AA020000}"/>
    <cellStyle name="20% - Ênfase2 7" xfId="677" xr:uid="{00000000-0005-0000-0000-0000AB020000}"/>
    <cellStyle name="20% - Ênfase2 7 2" xfId="678" xr:uid="{00000000-0005-0000-0000-0000AC020000}"/>
    <cellStyle name="20% - Ênfase2 7 3" xfId="679" xr:uid="{00000000-0005-0000-0000-0000AD020000}"/>
    <cellStyle name="20% - Ênfase2 7 4" xfId="680" xr:uid="{00000000-0005-0000-0000-0000AE020000}"/>
    <cellStyle name="20% - Ênfase2 70" xfId="681" xr:uid="{00000000-0005-0000-0000-0000AF020000}"/>
    <cellStyle name="20% - Ênfase2 71" xfId="682" xr:uid="{00000000-0005-0000-0000-0000B0020000}"/>
    <cellStyle name="20% - Ênfase2 72" xfId="683" xr:uid="{00000000-0005-0000-0000-0000B1020000}"/>
    <cellStyle name="20% - Ênfase2 73" xfId="684" xr:uid="{00000000-0005-0000-0000-0000B2020000}"/>
    <cellStyle name="20% - Ênfase2 74" xfId="685" xr:uid="{00000000-0005-0000-0000-0000B3020000}"/>
    <cellStyle name="20% - Ênfase2 75" xfId="686" xr:uid="{00000000-0005-0000-0000-0000B4020000}"/>
    <cellStyle name="20% - Ênfase2 76" xfId="687" xr:uid="{00000000-0005-0000-0000-0000B5020000}"/>
    <cellStyle name="20% - Ênfase2 77" xfId="688" xr:uid="{00000000-0005-0000-0000-0000B6020000}"/>
    <cellStyle name="20% - Ênfase2 78" xfId="689" xr:uid="{00000000-0005-0000-0000-0000B7020000}"/>
    <cellStyle name="20% - Ênfase2 79" xfId="690" xr:uid="{00000000-0005-0000-0000-0000B8020000}"/>
    <cellStyle name="20% - Ênfase2 8" xfId="691" xr:uid="{00000000-0005-0000-0000-0000B9020000}"/>
    <cellStyle name="20% - Ênfase2 8 2" xfId="692" xr:uid="{00000000-0005-0000-0000-0000BA020000}"/>
    <cellStyle name="20% - Ênfase2 8 3" xfId="693" xr:uid="{00000000-0005-0000-0000-0000BB020000}"/>
    <cellStyle name="20% - Ênfase2 8 4" xfId="694" xr:uid="{00000000-0005-0000-0000-0000BC020000}"/>
    <cellStyle name="20% - Ênfase2 80" xfId="695" xr:uid="{00000000-0005-0000-0000-0000BD020000}"/>
    <cellStyle name="20% - Ênfase2 81" xfId="696" xr:uid="{00000000-0005-0000-0000-0000BE020000}"/>
    <cellStyle name="20% - Ênfase2 82" xfId="697" xr:uid="{00000000-0005-0000-0000-0000BF020000}"/>
    <cellStyle name="20% - Ênfase2 83" xfId="698" xr:uid="{00000000-0005-0000-0000-0000C0020000}"/>
    <cellStyle name="20% - Ênfase2 84" xfId="699" xr:uid="{00000000-0005-0000-0000-0000C1020000}"/>
    <cellStyle name="20% - Ênfase2 85" xfId="700" xr:uid="{00000000-0005-0000-0000-0000C2020000}"/>
    <cellStyle name="20% - Ênfase2 86" xfId="701" xr:uid="{00000000-0005-0000-0000-0000C3020000}"/>
    <cellStyle name="20% - Ênfase2 87" xfId="702" xr:uid="{00000000-0005-0000-0000-0000C4020000}"/>
    <cellStyle name="20% - Ênfase2 88" xfId="703" xr:uid="{00000000-0005-0000-0000-0000C5020000}"/>
    <cellStyle name="20% - Ênfase2 89" xfId="704" xr:uid="{00000000-0005-0000-0000-0000C6020000}"/>
    <cellStyle name="20% - Ênfase2 9" xfId="705" xr:uid="{00000000-0005-0000-0000-0000C7020000}"/>
    <cellStyle name="20% - Ênfase2 90" xfId="706" xr:uid="{00000000-0005-0000-0000-0000C8020000}"/>
    <cellStyle name="20% - Ênfase2 91" xfId="707" xr:uid="{00000000-0005-0000-0000-0000C9020000}"/>
    <cellStyle name="20% - Ênfase2 92" xfId="708" xr:uid="{00000000-0005-0000-0000-0000CA020000}"/>
    <cellStyle name="20% - Ênfase2 93" xfId="709" xr:uid="{00000000-0005-0000-0000-0000CB020000}"/>
    <cellStyle name="20% - Ênfase2 94" xfId="710" xr:uid="{00000000-0005-0000-0000-0000CC020000}"/>
    <cellStyle name="20% - Ênfase2 95" xfId="711" xr:uid="{00000000-0005-0000-0000-0000CD020000}"/>
    <cellStyle name="20% - Ênfase2 96" xfId="712" xr:uid="{00000000-0005-0000-0000-0000CE020000}"/>
    <cellStyle name="20% - Ênfase2 97" xfId="713" xr:uid="{00000000-0005-0000-0000-0000CF020000}"/>
    <cellStyle name="20% - Ênfase2 98" xfId="714" xr:uid="{00000000-0005-0000-0000-0000D0020000}"/>
    <cellStyle name="20% - Ênfase2 99" xfId="715" xr:uid="{00000000-0005-0000-0000-0000D1020000}"/>
    <cellStyle name="20% - Ênfase3 10" xfId="716" xr:uid="{00000000-0005-0000-0000-0000D2020000}"/>
    <cellStyle name="20% - Ênfase3 10 2" xfId="40466" xr:uid="{00000000-0005-0000-0000-0000D3020000}"/>
    <cellStyle name="20% - Ênfase3 100" xfId="717" xr:uid="{00000000-0005-0000-0000-0000D4020000}"/>
    <cellStyle name="20% - Ênfase3 101" xfId="718" xr:uid="{00000000-0005-0000-0000-0000D5020000}"/>
    <cellStyle name="20% - Ênfase3 102" xfId="719" xr:uid="{00000000-0005-0000-0000-0000D6020000}"/>
    <cellStyle name="20% - Ênfase3 103" xfId="720" xr:uid="{00000000-0005-0000-0000-0000D7020000}"/>
    <cellStyle name="20% - Ênfase3 104" xfId="721" xr:uid="{00000000-0005-0000-0000-0000D8020000}"/>
    <cellStyle name="20% - Ênfase3 105" xfId="722" xr:uid="{00000000-0005-0000-0000-0000D9020000}"/>
    <cellStyle name="20% - Ênfase3 106" xfId="723" xr:uid="{00000000-0005-0000-0000-0000DA020000}"/>
    <cellStyle name="20% - Ênfase3 107" xfId="724" xr:uid="{00000000-0005-0000-0000-0000DB020000}"/>
    <cellStyle name="20% - Ênfase3 108" xfId="725" xr:uid="{00000000-0005-0000-0000-0000DC020000}"/>
    <cellStyle name="20% - Ênfase3 109" xfId="726" xr:uid="{00000000-0005-0000-0000-0000DD020000}"/>
    <cellStyle name="20% - Ênfase3 11" xfId="727" xr:uid="{00000000-0005-0000-0000-0000DE020000}"/>
    <cellStyle name="20% - Ênfase3 11 2" xfId="40467" xr:uid="{00000000-0005-0000-0000-0000DF020000}"/>
    <cellStyle name="20% - Ênfase3 110" xfId="728" xr:uid="{00000000-0005-0000-0000-0000E0020000}"/>
    <cellStyle name="20% - Ênfase3 111" xfId="729" xr:uid="{00000000-0005-0000-0000-0000E1020000}"/>
    <cellStyle name="20% - Ênfase3 112" xfId="730" xr:uid="{00000000-0005-0000-0000-0000E2020000}"/>
    <cellStyle name="20% - Ênfase3 113" xfId="731" xr:uid="{00000000-0005-0000-0000-0000E3020000}"/>
    <cellStyle name="20% - Ênfase3 114" xfId="732" xr:uid="{00000000-0005-0000-0000-0000E4020000}"/>
    <cellStyle name="20% - Ênfase3 115" xfId="733" xr:uid="{00000000-0005-0000-0000-0000E5020000}"/>
    <cellStyle name="20% - Ênfase3 116" xfId="734" xr:uid="{00000000-0005-0000-0000-0000E6020000}"/>
    <cellStyle name="20% - Ênfase3 117" xfId="735" xr:uid="{00000000-0005-0000-0000-0000E7020000}"/>
    <cellStyle name="20% - Ênfase3 118" xfId="736" xr:uid="{00000000-0005-0000-0000-0000E8020000}"/>
    <cellStyle name="20% - Ênfase3 119" xfId="737" xr:uid="{00000000-0005-0000-0000-0000E9020000}"/>
    <cellStyle name="20% - Ênfase3 12" xfId="738" xr:uid="{00000000-0005-0000-0000-0000EA020000}"/>
    <cellStyle name="20% - Ênfase3 12 2" xfId="40468" xr:uid="{00000000-0005-0000-0000-0000EB020000}"/>
    <cellStyle name="20% - Ênfase3 120" xfId="739" xr:uid="{00000000-0005-0000-0000-0000EC020000}"/>
    <cellStyle name="20% - Ênfase3 121" xfId="740" xr:uid="{00000000-0005-0000-0000-0000ED020000}"/>
    <cellStyle name="20% - Ênfase3 122" xfId="741" xr:uid="{00000000-0005-0000-0000-0000EE020000}"/>
    <cellStyle name="20% - Ênfase3 123" xfId="742" xr:uid="{00000000-0005-0000-0000-0000EF020000}"/>
    <cellStyle name="20% - Ênfase3 124" xfId="743" xr:uid="{00000000-0005-0000-0000-0000F0020000}"/>
    <cellStyle name="20% - Ênfase3 125" xfId="744" xr:uid="{00000000-0005-0000-0000-0000F1020000}"/>
    <cellStyle name="20% - Ênfase3 126" xfId="745" xr:uid="{00000000-0005-0000-0000-0000F2020000}"/>
    <cellStyle name="20% - Ênfase3 127" xfId="746" xr:uid="{00000000-0005-0000-0000-0000F3020000}"/>
    <cellStyle name="20% - Ênfase3 128" xfId="747" xr:uid="{00000000-0005-0000-0000-0000F4020000}"/>
    <cellStyle name="20% - Ênfase3 129" xfId="748" xr:uid="{00000000-0005-0000-0000-0000F5020000}"/>
    <cellStyle name="20% - Ênfase3 13" xfId="749" xr:uid="{00000000-0005-0000-0000-0000F6020000}"/>
    <cellStyle name="20% - Ênfase3 13 2" xfId="40469" xr:uid="{00000000-0005-0000-0000-0000F7020000}"/>
    <cellStyle name="20% - Ênfase3 130" xfId="750" xr:uid="{00000000-0005-0000-0000-0000F8020000}"/>
    <cellStyle name="20% - Ênfase3 131" xfId="751" xr:uid="{00000000-0005-0000-0000-0000F9020000}"/>
    <cellStyle name="20% - Ênfase3 132" xfId="752" xr:uid="{00000000-0005-0000-0000-0000FA020000}"/>
    <cellStyle name="20% - Ênfase3 133" xfId="753" xr:uid="{00000000-0005-0000-0000-0000FB020000}"/>
    <cellStyle name="20% - Ênfase3 134" xfId="754" xr:uid="{00000000-0005-0000-0000-0000FC020000}"/>
    <cellStyle name="20% - Ênfase3 135" xfId="755" xr:uid="{00000000-0005-0000-0000-0000FD020000}"/>
    <cellStyle name="20% - Ênfase3 136" xfId="756" xr:uid="{00000000-0005-0000-0000-0000FE020000}"/>
    <cellStyle name="20% - Ênfase3 137" xfId="757" xr:uid="{00000000-0005-0000-0000-0000FF020000}"/>
    <cellStyle name="20% - Ênfase3 138" xfId="758" xr:uid="{00000000-0005-0000-0000-000000030000}"/>
    <cellStyle name="20% - Ênfase3 139" xfId="759" xr:uid="{00000000-0005-0000-0000-000001030000}"/>
    <cellStyle name="20% - Ênfase3 14" xfId="760" xr:uid="{00000000-0005-0000-0000-000002030000}"/>
    <cellStyle name="20% - Ênfase3 140" xfId="761" xr:uid="{00000000-0005-0000-0000-000003030000}"/>
    <cellStyle name="20% - Ênfase3 141" xfId="762" xr:uid="{00000000-0005-0000-0000-000004030000}"/>
    <cellStyle name="20% - Ênfase3 142" xfId="763" xr:uid="{00000000-0005-0000-0000-000005030000}"/>
    <cellStyle name="20% - Ênfase3 143" xfId="764" xr:uid="{00000000-0005-0000-0000-000006030000}"/>
    <cellStyle name="20% - Ênfase3 144" xfId="765" xr:uid="{00000000-0005-0000-0000-000007030000}"/>
    <cellStyle name="20% - Ênfase3 145" xfId="766" xr:uid="{00000000-0005-0000-0000-000008030000}"/>
    <cellStyle name="20% - Ênfase3 146" xfId="767" xr:uid="{00000000-0005-0000-0000-000009030000}"/>
    <cellStyle name="20% - Ênfase3 147" xfId="768" xr:uid="{00000000-0005-0000-0000-00000A030000}"/>
    <cellStyle name="20% - Ênfase3 148" xfId="769" xr:uid="{00000000-0005-0000-0000-00000B030000}"/>
    <cellStyle name="20% - Ênfase3 149" xfId="770" xr:uid="{00000000-0005-0000-0000-00000C030000}"/>
    <cellStyle name="20% - Ênfase3 15" xfId="771" xr:uid="{00000000-0005-0000-0000-00000D030000}"/>
    <cellStyle name="20% - Ênfase3 15 2" xfId="772" xr:uid="{00000000-0005-0000-0000-00000E030000}"/>
    <cellStyle name="20% - Ênfase3 15 3" xfId="773" xr:uid="{00000000-0005-0000-0000-00000F030000}"/>
    <cellStyle name="20% - Ênfase3 150" xfId="774" xr:uid="{00000000-0005-0000-0000-000010030000}"/>
    <cellStyle name="20% - Ênfase3 151" xfId="775" xr:uid="{00000000-0005-0000-0000-000011030000}"/>
    <cellStyle name="20% - Ênfase3 152" xfId="776" xr:uid="{00000000-0005-0000-0000-000012030000}"/>
    <cellStyle name="20% - Ênfase3 153" xfId="777" xr:uid="{00000000-0005-0000-0000-000013030000}"/>
    <cellStyle name="20% - Ênfase3 154" xfId="778" xr:uid="{00000000-0005-0000-0000-000014030000}"/>
    <cellStyle name="20% - Ênfase3 155" xfId="779" xr:uid="{00000000-0005-0000-0000-000015030000}"/>
    <cellStyle name="20% - Ênfase3 156" xfId="780" xr:uid="{00000000-0005-0000-0000-000016030000}"/>
    <cellStyle name="20% - Ênfase3 157" xfId="781" xr:uid="{00000000-0005-0000-0000-000017030000}"/>
    <cellStyle name="20% - Ênfase3 158" xfId="782" xr:uid="{00000000-0005-0000-0000-000018030000}"/>
    <cellStyle name="20% - Ênfase3 159" xfId="783" xr:uid="{00000000-0005-0000-0000-000019030000}"/>
    <cellStyle name="20% - Ênfase3 16" xfId="784" xr:uid="{00000000-0005-0000-0000-00001A030000}"/>
    <cellStyle name="20% - Ênfase3 16 2" xfId="785" xr:uid="{00000000-0005-0000-0000-00001B030000}"/>
    <cellStyle name="20% - Ênfase3 16 3" xfId="786" xr:uid="{00000000-0005-0000-0000-00001C030000}"/>
    <cellStyle name="20% - Ênfase3 160" xfId="787" xr:uid="{00000000-0005-0000-0000-00001D030000}"/>
    <cellStyle name="20% - Ênfase3 161" xfId="788" xr:uid="{00000000-0005-0000-0000-00001E030000}"/>
    <cellStyle name="20% - Ênfase3 162" xfId="789" xr:uid="{00000000-0005-0000-0000-00001F030000}"/>
    <cellStyle name="20% - Ênfase3 163" xfId="790" xr:uid="{00000000-0005-0000-0000-000020030000}"/>
    <cellStyle name="20% - Ênfase3 164" xfId="791" xr:uid="{00000000-0005-0000-0000-000021030000}"/>
    <cellStyle name="20% - Ênfase3 165" xfId="792" xr:uid="{00000000-0005-0000-0000-000022030000}"/>
    <cellStyle name="20% - Ênfase3 166" xfId="793" xr:uid="{00000000-0005-0000-0000-000023030000}"/>
    <cellStyle name="20% - Ênfase3 167" xfId="794" xr:uid="{00000000-0005-0000-0000-000024030000}"/>
    <cellStyle name="20% - Ênfase3 168" xfId="795" xr:uid="{00000000-0005-0000-0000-000025030000}"/>
    <cellStyle name="20% - Ênfase3 169" xfId="796" xr:uid="{00000000-0005-0000-0000-000026030000}"/>
    <cellStyle name="20% - Ênfase3 17" xfId="797" xr:uid="{00000000-0005-0000-0000-000027030000}"/>
    <cellStyle name="20% - Ênfase3 17 2" xfId="798" xr:uid="{00000000-0005-0000-0000-000028030000}"/>
    <cellStyle name="20% - Ênfase3 17 3" xfId="799" xr:uid="{00000000-0005-0000-0000-000029030000}"/>
    <cellStyle name="20% - Ênfase3 170" xfId="800" xr:uid="{00000000-0005-0000-0000-00002A030000}"/>
    <cellStyle name="20% - Ênfase3 171" xfId="801" xr:uid="{00000000-0005-0000-0000-00002B030000}"/>
    <cellStyle name="20% - Ênfase3 172" xfId="802" xr:uid="{00000000-0005-0000-0000-00002C030000}"/>
    <cellStyle name="20% - Ênfase3 173" xfId="803" xr:uid="{00000000-0005-0000-0000-00002D030000}"/>
    <cellStyle name="20% - Ênfase3 174" xfId="804" xr:uid="{00000000-0005-0000-0000-00002E030000}"/>
    <cellStyle name="20% - Ênfase3 175" xfId="805" xr:uid="{00000000-0005-0000-0000-00002F030000}"/>
    <cellStyle name="20% - Ênfase3 176" xfId="806" xr:uid="{00000000-0005-0000-0000-000030030000}"/>
    <cellStyle name="20% - Ênfase3 177" xfId="807" xr:uid="{00000000-0005-0000-0000-000031030000}"/>
    <cellStyle name="20% - Ênfase3 178" xfId="808" xr:uid="{00000000-0005-0000-0000-000032030000}"/>
    <cellStyle name="20% - Ênfase3 179" xfId="809" xr:uid="{00000000-0005-0000-0000-000033030000}"/>
    <cellStyle name="20% - Ênfase3 18" xfId="810" xr:uid="{00000000-0005-0000-0000-000034030000}"/>
    <cellStyle name="20% - Ênfase3 18 2" xfId="811" xr:uid="{00000000-0005-0000-0000-000035030000}"/>
    <cellStyle name="20% - Ênfase3 18 3" xfId="812" xr:uid="{00000000-0005-0000-0000-000036030000}"/>
    <cellStyle name="20% - Ênfase3 180" xfId="813" xr:uid="{00000000-0005-0000-0000-000037030000}"/>
    <cellStyle name="20% - Ênfase3 181" xfId="814" xr:uid="{00000000-0005-0000-0000-000038030000}"/>
    <cellStyle name="20% - Ênfase3 182" xfId="815" xr:uid="{00000000-0005-0000-0000-000039030000}"/>
    <cellStyle name="20% - Ênfase3 183" xfId="816" xr:uid="{00000000-0005-0000-0000-00003A030000}"/>
    <cellStyle name="20% - Ênfase3 184" xfId="817" xr:uid="{00000000-0005-0000-0000-00003B030000}"/>
    <cellStyle name="20% - Ênfase3 185" xfId="818" xr:uid="{00000000-0005-0000-0000-00003C030000}"/>
    <cellStyle name="20% - Ênfase3 186" xfId="819" xr:uid="{00000000-0005-0000-0000-00003D030000}"/>
    <cellStyle name="20% - Ênfase3 187" xfId="820" xr:uid="{00000000-0005-0000-0000-00003E030000}"/>
    <cellStyle name="20% - Ênfase3 188" xfId="821" xr:uid="{00000000-0005-0000-0000-00003F030000}"/>
    <cellStyle name="20% - Ênfase3 189" xfId="822" xr:uid="{00000000-0005-0000-0000-000040030000}"/>
    <cellStyle name="20% - Ênfase3 19" xfId="823" xr:uid="{00000000-0005-0000-0000-000041030000}"/>
    <cellStyle name="20% - Ênfase3 19 2" xfId="824" xr:uid="{00000000-0005-0000-0000-000042030000}"/>
    <cellStyle name="20% - Ênfase3 19 3" xfId="825" xr:uid="{00000000-0005-0000-0000-000043030000}"/>
    <cellStyle name="20% - Ênfase3 190" xfId="826" xr:uid="{00000000-0005-0000-0000-000044030000}"/>
    <cellStyle name="20% - Ênfase3 2" xfId="827" xr:uid="{00000000-0005-0000-0000-000045030000}"/>
    <cellStyle name="20% - Ênfase3 2 10" xfId="828" xr:uid="{00000000-0005-0000-0000-000046030000}"/>
    <cellStyle name="20% - Ênfase3 2 10 2" xfId="829" xr:uid="{00000000-0005-0000-0000-000047030000}"/>
    <cellStyle name="20% - Ênfase3 2 10 3" xfId="830" xr:uid="{00000000-0005-0000-0000-000048030000}"/>
    <cellStyle name="20% - Ênfase3 2 10 4" xfId="831" xr:uid="{00000000-0005-0000-0000-000049030000}"/>
    <cellStyle name="20% - Ênfase3 2 10 5" xfId="832" xr:uid="{00000000-0005-0000-0000-00004A030000}"/>
    <cellStyle name="20% - Ênfase3 2 10 6" xfId="833" xr:uid="{00000000-0005-0000-0000-00004B030000}"/>
    <cellStyle name="20% - Ênfase3 2 10 7" xfId="834" xr:uid="{00000000-0005-0000-0000-00004C030000}"/>
    <cellStyle name="20% - Ênfase3 2 11" xfId="835" xr:uid="{00000000-0005-0000-0000-00004D030000}"/>
    <cellStyle name="20% - Ênfase3 2 11 2" xfId="836" xr:uid="{00000000-0005-0000-0000-00004E030000}"/>
    <cellStyle name="20% - Ênfase3 2 11 3" xfId="837" xr:uid="{00000000-0005-0000-0000-00004F030000}"/>
    <cellStyle name="20% - Ênfase3 2 11 4" xfId="838" xr:uid="{00000000-0005-0000-0000-000050030000}"/>
    <cellStyle name="20% - Ênfase3 2 11 5" xfId="839" xr:uid="{00000000-0005-0000-0000-000051030000}"/>
    <cellStyle name="20% - Ênfase3 2 11 6" xfId="840" xr:uid="{00000000-0005-0000-0000-000052030000}"/>
    <cellStyle name="20% - Ênfase3 2 11 7" xfId="841" xr:uid="{00000000-0005-0000-0000-000053030000}"/>
    <cellStyle name="20% - Ênfase3 2 12" xfId="842" xr:uid="{00000000-0005-0000-0000-000054030000}"/>
    <cellStyle name="20% - Ênfase3 2 13" xfId="843" xr:uid="{00000000-0005-0000-0000-000055030000}"/>
    <cellStyle name="20% - Ênfase3 2 14" xfId="844" xr:uid="{00000000-0005-0000-0000-000056030000}"/>
    <cellStyle name="20% - Ênfase3 2 15" xfId="845" xr:uid="{00000000-0005-0000-0000-000057030000}"/>
    <cellStyle name="20% - Ênfase3 2 16" xfId="846" xr:uid="{00000000-0005-0000-0000-000058030000}"/>
    <cellStyle name="20% - Ênfase3 2 17" xfId="847" xr:uid="{00000000-0005-0000-0000-000059030000}"/>
    <cellStyle name="20% - Ênfase3 2 18" xfId="848" xr:uid="{00000000-0005-0000-0000-00005A030000}"/>
    <cellStyle name="20% - Ênfase3 2 19" xfId="849" xr:uid="{00000000-0005-0000-0000-00005B030000}"/>
    <cellStyle name="20% - Ênfase3 2 2" xfId="850" xr:uid="{00000000-0005-0000-0000-00005C030000}"/>
    <cellStyle name="20% - Ênfase3 2 20" xfId="851" xr:uid="{00000000-0005-0000-0000-00005D030000}"/>
    <cellStyle name="20% - Ênfase3 2 21" xfId="852" xr:uid="{00000000-0005-0000-0000-00005E030000}"/>
    <cellStyle name="20% - Ênfase3 2 22" xfId="853" xr:uid="{00000000-0005-0000-0000-00005F030000}"/>
    <cellStyle name="20% - Ênfase3 2 23" xfId="854" xr:uid="{00000000-0005-0000-0000-000060030000}"/>
    <cellStyle name="20% - Ênfase3 2 24" xfId="855" xr:uid="{00000000-0005-0000-0000-000061030000}"/>
    <cellStyle name="20% - Ênfase3 2 25" xfId="856" xr:uid="{00000000-0005-0000-0000-000062030000}"/>
    <cellStyle name="20% - Ênfase3 2 26" xfId="857" xr:uid="{00000000-0005-0000-0000-000063030000}"/>
    <cellStyle name="20% - Ênfase3 2 27" xfId="858" xr:uid="{00000000-0005-0000-0000-000064030000}"/>
    <cellStyle name="20% - Ênfase3 2 28" xfId="859" xr:uid="{00000000-0005-0000-0000-000065030000}"/>
    <cellStyle name="20% - Ênfase3 2 29" xfId="860" xr:uid="{00000000-0005-0000-0000-000066030000}"/>
    <cellStyle name="20% - Ênfase3 2 3" xfId="861" xr:uid="{00000000-0005-0000-0000-000067030000}"/>
    <cellStyle name="20% - Ênfase3 2 30" xfId="862" xr:uid="{00000000-0005-0000-0000-000068030000}"/>
    <cellStyle name="20% - Ênfase3 2 31" xfId="863" xr:uid="{00000000-0005-0000-0000-000069030000}"/>
    <cellStyle name="20% - Ênfase3 2 32" xfId="864" xr:uid="{00000000-0005-0000-0000-00006A030000}"/>
    <cellStyle name="20% - Ênfase3 2 33" xfId="865" xr:uid="{00000000-0005-0000-0000-00006B030000}"/>
    <cellStyle name="20% - Ênfase3 2 34" xfId="866" xr:uid="{00000000-0005-0000-0000-00006C030000}"/>
    <cellStyle name="20% - Ênfase3 2 35" xfId="867" xr:uid="{00000000-0005-0000-0000-00006D030000}"/>
    <cellStyle name="20% - Ênfase3 2 4" xfId="868" xr:uid="{00000000-0005-0000-0000-00006E030000}"/>
    <cellStyle name="20% - Ênfase3 2 5" xfId="869" xr:uid="{00000000-0005-0000-0000-00006F030000}"/>
    <cellStyle name="20% - Ênfase3 2 6" xfId="870" xr:uid="{00000000-0005-0000-0000-000070030000}"/>
    <cellStyle name="20% - Ênfase3 2 7" xfId="871" xr:uid="{00000000-0005-0000-0000-000071030000}"/>
    <cellStyle name="20% - Ênfase3 2 8" xfId="872" xr:uid="{00000000-0005-0000-0000-000072030000}"/>
    <cellStyle name="20% - Ênfase3 2 8 2" xfId="873" xr:uid="{00000000-0005-0000-0000-000073030000}"/>
    <cellStyle name="20% - Ênfase3 2 8 3" xfId="874" xr:uid="{00000000-0005-0000-0000-000074030000}"/>
    <cellStyle name="20% - Ênfase3 2 8 4" xfId="875" xr:uid="{00000000-0005-0000-0000-000075030000}"/>
    <cellStyle name="20% - Ênfase3 2 8 5" xfId="876" xr:uid="{00000000-0005-0000-0000-000076030000}"/>
    <cellStyle name="20% - Ênfase3 2 8 6" xfId="877" xr:uid="{00000000-0005-0000-0000-000077030000}"/>
    <cellStyle name="20% - Ênfase3 2 8 7" xfId="878" xr:uid="{00000000-0005-0000-0000-000078030000}"/>
    <cellStyle name="20% - Ênfase3 2 9" xfId="879" xr:uid="{00000000-0005-0000-0000-000079030000}"/>
    <cellStyle name="20% - Ênfase3 2 9 2" xfId="880" xr:uid="{00000000-0005-0000-0000-00007A030000}"/>
    <cellStyle name="20% - Ênfase3 2 9 3" xfId="881" xr:uid="{00000000-0005-0000-0000-00007B030000}"/>
    <cellStyle name="20% - Ênfase3 2 9 4" xfId="882" xr:uid="{00000000-0005-0000-0000-00007C030000}"/>
    <cellStyle name="20% - Ênfase3 2 9 5" xfId="883" xr:uid="{00000000-0005-0000-0000-00007D030000}"/>
    <cellStyle name="20% - Ênfase3 2 9 6" xfId="884" xr:uid="{00000000-0005-0000-0000-00007E030000}"/>
    <cellStyle name="20% - Ênfase3 2 9 7" xfId="885" xr:uid="{00000000-0005-0000-0000-00007F030000}"/>
    <cellStyle name="20% - Ênfase3 20" xfId="886" xr:uid="{00000000-0005-0000-0000-000080030000}"/>
    <cellStyle name="20% - Ênfase3 20 2" xfId="887" xr:uid="{00000000-0005-0000-0000-000081030000}"/>
    <cellStyle name="20% - Ênfase3 20 3" xfId="888" xr:uid="{00000000-0005-0000-0000-000082030000}"/>
    <cellStyle name="20% - Ênfase3 21" xfId="889" xr:uid="{00000000-0005-0000-0000-000083030000}"/>
    <cellStyle name="20% - Ênfase3 22" xfId="890" xr:uid="{00000000-0005-0000-0000-000084030000}"/>
    <cellStyle name="20% - Ênfase3 23" xfId="891" xr:uid="{00000000-0005-0000-0000-000085030000}"/>
    <cellStyle name="20% - Ênfase3 24" xfId="892" xr:uid="{00000000-0005-0000-0000-000086030000}"/>
    <cellStyle name="20% - Ênfase3 24 2" xfId="40931" xr:uid="{00000000-0005-0000-0000-000087030000}"/>
    <cellStyle name="20% - Ênfase3 25" xfId="893" xr:uid="{00000000-0005-0000-0000-000088030000}"/>
    <cellStyle name="20% - Ênfase3 25 2" xfId="40966" xr:uid="{00000000-0005-0000-0000-000089030000}"/>
    <cellStyle name="20% - Ênfase3 26" xfId="894" xr:uid="{00000000-0005-0000-0000-00008A030000}"/>
    <cellStyle name="20% - Ênfase3 26 10" xfId="895" xr:uid="{00000000-0005-0000-0000-00008B030000}"/>
    <cellStyle name="20% - Ênfase3 26 11" xfId="896" xr:uid="{00000000-0005-0000-0000-00008C030000}"/>
    <cellStyle name="20% - Ênfase3 26 12" xfId="897" xr:uid="{00000000-0005-0000-0000-00008D030000}"/>
    <cellStyle name="20% - Ênfase3 26 13" xfId="898" xr:uid="{00000000-0005-0000-0000-00008E030000}"/>
    <cellStyle name="20% - Ênfase3 26 14" xfId="899" xr:uid="{00000000-0005-0000-0000-00008F030000}"/>
    <cellStyle name="20% - Ênfase3 26 15" xfId="900" xr:uid="{00000000-0005-0000-0000-000090030000}"/>
    <cellStyle name="20% - Ênfase3 26 16" xfId="901" xr:uid="{00000000-0005-0000-0000-000091030000}"/>
    <cellStyle name="20% - Ênfase3 26 2" xfId="902" xr:uid="{00000000-0005-0000-0000-000092030000}"/>
    <cellStyle name="20% - Ênfase3 26 3" xfId="903" xr:uid="{00000000-0005-0000-0000-000093030000}"/>
    <cellStyle name="20% - Ênfase3 26 4" xfId="904" xr:uid="{00000000-0005-0000-0000-000094030000}"/>
    <cellStyle name="20% - Ênfase3 26 5" xfId="905" xr:uid="{00000000-0005-0000-0000-000095030000}"/>
    <cellStyle name="20% - Ênfase3 26 6" xfId="906" xr:uid="{00000000-0005-0000-0000-000096030000}"/>
    <cellStyle name="20% - Ênfase3 26 7" xfId="907" xr:uid="{00000000-0005-0000-0000-000097030000}"/>
    <cellStyle name="20% - Ênfase3 26 8" xfId="908" xr:uid="{00000000-0005-0000-0000-000098030000}"/>
    <cellStyle name="20% - Ênfase3 26 9" xfId="909" xr:uid="{00000000-0005-0000-0000-000099030000}"/>
    <cellStyle name="20% - Ênfase3 27" xfId="910" xr:uid="{00000000-0005-0000-0000-00009A030000}"/>
    <cellStyle name="20% - Ênfase3 27 10" xfId="911" xr:uid="{00000000-0005-0000-0000-00009B030000}"/>
    <cellStyle name="20% - Ênfase3 27 11" xfId="912" xr:uid="{00000000-0005-0000-0000-00009C030000}"/>
    <cellStyle name="20% - Ênfase3 27 12" xfId="913" xr:uid="{00000000-0005-0000-0000-00009D030000}"/>
    <cellStyle name="20% - Ênfase3 27 13" xfId="914" xr:uid="{00000000-0005-0000-0000-00009E030000}"/>
    <cellStyle name="20% - Ênfase3 27 14" xfId="915" xr:uid="{00000000-0005-0000-0000-00009F030000}"/>
    <cellStyle name="20% - Ênfase3 27 15" xfId="916" xr:uid="{00000000-0005-0000-0000-0000A0030000}"/>
    <cellStyle name="20% - Ênfase3 27 16" xfId="917" xr:uid="{00000000-0005-0000-0000-0000A1030000}"/>
    <cellStyle name="20% - Ênfase3 27 2" xfId="918" xr:uid="{00000000-0005-0000-0000-0000A2030000}"/>
    <cellStyle name="20% - Ênfase3 27 3" xfId="919" xr:uid="{00000000-0005-0000-0000-0000A3030000}"/>
    <cellStyle name="20% - Ênfase3 27 4" xfId="920" xr:uid="{00000000-0005-0000-0000-0000A4030000}"/>
    <cellStyle name="20% - Ênfase3 27 5" xfId="921" xr:uid="{00000000-0005-0000-0000-0000A5030000}"/>
    <cellStyle name="20% - Ênfase3 27 6" xfId="922" xr:uid="{00000000-0005-0000-0000-0000A6030000}"/>
    <cellStyle name="20% - Ênfase3 27 7" xfId="923" xr:uid="{00000000-0005-0000-0000-0000A7030000}"/>
    <cellStyle name="20% - Ênfase3 27 8" xfId="924" xr:uid="{00000000-0005-0000-0000-0000A8030000}"/>
    <cellStyle name="20% - Ênfase3 27 9" xfId="925" xr:uid="{00000000-0005-0000-0000-0000A9030000}"/>
    <cellStyle name="20% - Ênfase3 28" xfId="926" xr:uid="{00000000-0005-0000-0000-0000AA030000}"/>
    <cellStyle name="20% - Ênfase3 28 10" xfId="927" xr:uid="{00000000-0005-0000-0000-0000AB030000}"/>
    <cellStyle name="20% - Ênfase3 28 11" xfId="928" xr:uid="{00000000-0005-0000-0000-0000AC030000}"/>
    <cellStyle name="20% - Ênfase3 28 12" xfId="929" xr:uid="{00000000-0005-0000-0000-0000AD030000}"/>
    <cellStyle name="20% - Ênfase3 28 13" xfId="930" xr:uid="{00000000-0005-0000-0000-0000AE030000}"/>
    <cellStyle name="20% - Ênfase3 28 14" xfId="931" xr:uid="{00000000-0005-0000-0000-0000AF030000}"/>
    <cellStyle name="20% - Ênfase3 28 15" xfId="932" xr:uid="{00000000-0005-0000-0000-0000B0030000}"/>
    <cellStyle name="20% - Ênfase3 28 16" xfId="933" xr:uid="{00000000-0005-0000-0000-0000B1030000}"/>
    <cellStyle name="20% - Ênfase3 28 2" xfId="934" xr:uid="{00000000-0005-0000-0000-0000B2030000}"/>
    <cellStyle name="20% - Ênfase3 28 3" xfId="935" xr:uid="{00000000-0005-0000-0000-0000B3030000}"/>
    <cellStyle name="20% - Ênfase3 28 4" xfId="936" xr:uid="{00000000-0005-0000-0000-0000B4030000}"/>
    <cellStyle name="20% - Ênfase3 28 5" xfId="937" xr:uid="{00000000-0005-0000-0000-0000B5030000}"/>
    <cellStyle name="20% - Ênfase3 28 6" xfId="938" xr:uid="{00000000-0005-0000-0000-0000B6030000}"/>
    <cellStyle name="20% - Ênfase3 28 7" xfId="939" xr:uid="{00000000-0005-0000-0000-0000B7030000}"/>
    <cellStyle name="20% - Ênfase3 28 8" xfId="940" xr:uid="{00000000-0005-0000-0000-0000B8030000}"/>
    <cellStyle name="20% - Ênfase3 28 9" xfId="941" xr:uid="{00000000-0005-0000-0000-0000B9030000}"/>
    <cellStyle name="20% - Ênfase3 29" xfId="942" xr:uid="{00000000-0005-0000-0000-0000BA030000}"/>
    <cellStyle name="20% - Ênfase3 29 10" xfId="943" xr:uid="{00000000-0005-0000-0000-0000BB030000}"/>
    <cellStyle name="20% - Ênfase3 29 11" xfId="944" xr:uid="{00000000-0005-0000-0000-0000BC030000}"/>
    <cellStyle name="20% - Ênfase3 29 12" xfId="945" xr:uid="{00000000-0005-0000-0000-0000BD030000}"/>
    <cellStyle name="20% - Ênfase3 29 13" xfId="946" xr:uid="{00000000-0005-0000-0000-0000BE030000}"/>
    <cellStyle name="20% - Ênfase3 29 14" xfId="947" xr:uid="{00000000-0005-0000-0000-0000BF030000}"/>
    <cellStyle name="20% - Ênfase3 29 15" xfId="948" xr:uid="{00000000-0005-0000-0000-0000C0030000}"/>
    <cellStyle name="20% - Ênfase3 29 16" xfId="949" xr:uid="{00000000-0005-0000-0000-0000C1030000}"/>
    <cellStyle name="20% - Ênfase3 29 2" xfId="950" xr:uid="{00000000-0005-0000-0000-0000C2030000}"/>
    <cellStyle name="20% - Ênfase3 29 3" xfId="951" xr:uid="{00000000-0005-0000-0000-0000C3030000}"/>
    <cellStyle name="20% - Ênfase3 29 4" xfId="952" xr:uid="{00000000-0005-0000-0000-0000C4030000}"/>
    <cellStyle name="20% - Ênfase3 29 5" xfId="953" xr:uid="{00000000-0005-0000-0000-0000C5030000}"/>
    <cellStyle name="20% - Ênfase3 29 6" xfId="954" xr:uid="{00000000-0005-0000-0000-0000C6030000}"/>
    <cellStyle name="20% - Ênfase3 29 7" xfId="955" xr:uid="{00000000-0005-0000-0000-0000C7030000}"/>
    <cellStyle name="20% - Ênfase3 29 8" xfId="956" xr:uid="{00000000-0005-0000-0000-0000C8030000}"/>
    <cellStyle name="20% - Ênfase3 29 9" xfId="957" xr:uid="{00000000-0005-0000-0000-0000C9030000}"/>
    <cellStyle name="20% - Ênfase3 3" xfId="958" xr:uid="{00000000-0005-0000-0000-0000CA030000}"/>
    <cellStyle name="20% - Ênfase3 3 10" xfId="959" xr:uid="{00000000-0005-0000-0000-0000CB030000}"/>
    <cellStyle name="20% - Ênfase3 3 11" xfId="960" xr:uid="{00000000-0005-0000-0000-0000CC030000}"/>
    <cellStyle name="20% - Ênfase3 3 2" xfId="961" xr:uid="{00000000-0005-0000-0000-0000CD030000}"/>
    <cellStyle name="20% - Ênfase3 3 3" xfId="962" xr:uid="{00000000-0005-0000-0000-0000CE030000}"/>
    <cellStyle name="20% - Ênfase3 3 4" xfId="963" xr:uid="{00000000-0005-0000-0000-0000CF030000}"/>
    <cellStyle name="20% - Ênfase3 3 5" xfId="964" xr:uid="{00000000-0005-0000-0000-0000D0030000}"/>
    <cellStyle name="20% - Ênfase3 3 6" xfId="965" xr:uid="{00000000-0005-0000-0000-0000D1030000}"/>
    <cellStyle name="20% - Ênfase3 3 7" xfId="966" xr:uid="{00000000-0005-0000-0000-0000D2030000}"/>
    <cellStyle name="20% - Ênfase3 3 8" xfId="967" xr:uid="{00000000-0005-0000-0000-0000D3030000}"/>
    <cellStyle name="20% - Ênfase3 3 9" xfId="968" xr:uid="{00000000-0005-0000-0000-0000D4030000}"/>
    <cellStyle name="20% - Ênfase3 30" xfId="969" xr:uid="{00000000-0005-0000-0000-0000D5030000}"/>
    <cellStyle name="20% - Ênfase3 31" xfId="970" xr:uid="{00000000-0005-0000-0000-0000D6030000}"/>
    <cellStyle name="20% - Ênfase3 32" xfId="971" xr:uid="{00000000-0005-0000-0000-0000D7030000}"/>
    <cellStyle name="20% - Ênfase3 33" xfId="972" xr:uid="{00000000-0005-0000-0000-0000D8030000}"/>
    <cellStyle name="20% - Ênfase3 34" xfId="973" xr:uid="{00000000-0005-0000-0000-0000D9030000}"/>
    <cellStyle name="20% - Ênfase3 35" xfId="974" xr:uid="{00000000-0005-0000-0000-0000DA030000}"/>
    <cellStyle name="20% - Ênfase3 36" xfId="975" xr:uid="{00000000-0005-0000-0000-0000DB030000}"/>
    <cellStyle name="20% - Ênfase3 37" xfId="976" xr:uid="{00000000-0005-0000-0000-0000DC030000}"/>
    <cellStyle name="20% - Ênfase3 38" xfId="977" xr:uid="{00000000-0005-0000-0000-0000DD030000}"/>
    <cellStyle name="20% - Ênfase3 39" xfId="978" xr:uid="{00000000-0005-0000-0000-0000DE030000}"/>
    <cellStyle name="20% - Ênfase3 4" xfId="979" xr:uid="{00000000-0005-0000-0000-0000DF030000}"/>
    <cellStyle name="20% - Ênfase3 4 10" xfId="980" xr:uid="{00000000-0005-0000-0000-0000E0030000}"/>
    <cellStyle name="20% - Ênfase3 4 11" xfId="981" xr:uid="{00000000-0005-0000-0000-0000E1030000}"/>
    <cellStyle name="20% - Ênfase3 4 2" xfId="982" xr:uid="{00000000-0005-0000-0000-0000E2030000}"/>
    <cellStyle name="20% - Ênfase3 4 3" xfId="983" xr:uid="{00000000-0005-0000-0000-0000E3030000}"/>
    <cellStyle name="20% - Ênfase3 4 4" xfId="984" xr:uid="{00000000-0005-0000-0000-0000E4030000}"/>
    <cellStyle name="20% - Ênfase3 4 5" xfId="985" xr:uid="{00000000-0005-0000-0000-0000E5030000}"/>
    <cellStyle name="20% - Ênfase3 4 6" xfId="986" xr:uid="{00000000-0005-0000-0000-0000E6030000}"/>
    <cellStyle name="20% - Ênfase3 4 7" xfId="987" xr:uid="{00000000-0005-0000-0000-0000E7030000}"/>
    <cellStyle name="20% - Ênfase3 4 8" xfId="988" xr:uid="{00000000-0005-0000-0000-0000E8030000}"/>
    <cellStyle name="20% - Ênfase3 4 9" xfId="989" xr:uid="{00000000-0005-0000-0000-0000E9030000}"/>
    <cellStyle name="20% - Ênfase3 40" xfId="990" xr:uid="{00000000-0005-0000-0000-0000EA030000}"/>
    <cellStyle name="20% - Ênfase3 41" xfId="991" xr:uid="{00000000-0005-0000-0000-0000EB030000}"/>
    <cellStyle name="20% - Ênfase3 42" xfId="992" xr:uid="{00000000-0005-0000-0000-0000EC030000}"/>
    <cellStyle name="20% - Ênfase3 43" xfId="993" xr:uid="{00000000-0005-0000-0000-0000ED030000}"/>
    <cellStyle name="20% - Ênfase3 44" xfId="994" xr:uid="{00000000-0005-0000-0000-0000EE030000}"/>
    <cellStyle name="20% - Ênfase3 45" xfId="995" xr:uid="{00000000-0005-0000-0000-0000EF030000}"/>
    <cellStyle name="20% - Ênfase3 46" xfId="996" xr:uid="{00000000-0005-0000-0000-0000F0030000}"/>
    <cellStyle name="20% - Ênfase3 47" xfId="997" xr:uid="{00000000-0005-0000-0000-0000F1030000}"/>
    <cellStyle name="20% - Ênfase3 48" xfId="998" xr:uid="{00000000-0005-0000-0000-0000F2030000}"/>
    <cellStyle name="20% - Ênfase3 49" xfId="999" xr:uid="{00000000-0005-0000-0000-0000F3030000}"/>
    <cellStyle name="20% - Ênfase3 5" xfId="1000" xr:uid="{00000000-0005-0000-0000-0000F4030000}"/>
    <cellStyle name="20% - Ênfase3 5 2" xfId="1001" xr:uid="{00000000-0005-0000-0000-0000F5030000}"/>
    <cellStyle name="20% - Ênfase3 5 3" xfId="1002" xr:uid="{00000000-0005-0000-0000-0000F6030000}"/>
    <cellStyle name="20% - Ênfase3 5 4" xfId="1003" xr:uid="{00000000-0005-0000-0000-0000F7030000}"/>
    <cellStyle name="20% - Ênfase3 50" xfId="1004" xr:uid="{00000000-0005-0000-0000-0000F8030000}"/>
    <cellStyle name="20% - Ênfase3 51" xfId="1005" xr:uid="{00000000-0005-0000-0000-0000F9030000}"/>
    <cellStyle name="20% - Ênfase3 52" xfId="1006" xr:uid="{00000000-0005-0000-0000-0000FA030000}"/>
    <cellStyle name="20% - Ênfase3 53" xfId="1007" xr:uid="{00000000-0005-0000-0000-0000FB030000}"/>
    <cellStyle name="20% - Ênfase3 54" xfId="1008" xr:uid="{00000000-0005-0000-0000-0000FC030000}"/>
    <cellStyle name="20% - Ênfase3 55" xfId="1009" xr:uid="{00000000-0005-0000-0000-0000FD030000}"/>
    <cellStyle name="20% - Ênfase3 56" xfId="1010" xr:uid="{00000000-0005-0000-0000-0000FE030000}"/>
    <cellStyle name="20% - Ênfase3 57" xfId="1011" xr:uid="{00000000-0005-0000-0000-0000FF030000}"/>
    <cellStyle name="20% - Ênfase3 58" xfId="1012" xr:uid="{00000000-0005-0000-0000-000000040000}"/>
    <cellStyle name="20% - Ênfase3 59" xfId="1013" xr:uid="{00000000-0005-0000-0000-000001040000}"/>
    <cellStyle name="20% - Ênfase3 6" xfId="1014" xr:uid="{00000000-0005-0000-0000-000002040000}"/>
    <cellStyle name="20% - Ênfase3 6 2" xfId="1015" xr:uid="{00000000-0005-0000-0000-000003040000}"/>
    <cellStyle name="20% - Ênfase3 6 3" xfId="1016" xr:uid="{00000000-0005-0000-0000-000004040000}"/>
    <cellStyle name="20% - Ênfase3 6 4" xfId="1017" xr:uid="{00000000-0005-0000-0000-000005040000}"/>
    <cellStyle name="20% - Ênfase3 60" xfId="1018" xr:uid="{00000000-0005-0000-0000-000006040000}"/>
    <cellStyle name="20% - Ênfase3 61" xfId="1019" xr:uid="{00000000-0005-0000-0000-000007040000}"/>
    <cellStyle name="20% - Ênfase3 62" xfId="1020" xr:uid="{00000000-0005-0000-0000-000008040000}"/>
    <cellStyle name="20% - Ênfase3 63" xfId="1021" xr:uid="{00000000-0005-0000-0000-000009040000}"/>
    <cellStyle name="20% - Ênfase3 64" xfId="1022" xr:uid="{00000000-0005-0000-0000-00000A040000}"/>
    <cellStyle name="20% - Ênfase3 65" xfId="1023" xr:uid="{00000000-0005-0000-0000-00000B040000}"/>
    <cellStyle name="20% - Ênfase3 66" xfId="1024" xr:uid="{00000000-0005-0000-0000-00000C040000}"/>
    <cellStyle name="20% - Ênfase3 67" xfId="1025" xr:uid="{00000000-0005-0000-0000-00000D040000}"/>
    <cellStyle name="20% - Ênfase3 68" xfId="1026" xr:uid="{00000000-0005-0000-0000-00000E040000}"/>
    <cellStyle name="20% - Ênfase3 69" xfId="1027" xr:uid="{00000000-0005-0000-0000-00000F040000}"/>
    <cellStyle name="20% - Ênfase3 7" xfId="1028" xr:uid="{00000000-0005-0000-0000-000010040000}"/>
    <cellStyle name="20% - Ênfase3 7 2" xfId="1029" xr:uid="{00000000-0005-0000-0000-000011040000}"/>
    <cellStyle name="20% - Ênfase3 7 3" xfId="1030" xr:uid="{00000000-0005-0000-0000-000012040000}"/>
    <cellStyle name="20% - Ênfase3 7 4" xfId="1031" xr:uid="{00000000-0005-0000-0000-000013040000}"/>
    <cellStyle name="20% - Ênfase3 70" xfId="1032" xr:uid="{00000000-0005-0000-0000-000014040000}"/>
    <cellStyle name="20% - Ênfase3 71" xfId="1033" xr:uid="{00000000-0005-0000-0000-000015040000}"/>
    <cellStyle name="20% - Ênfase3 72" xfId="1034" xr:uid="{00000000-0005-0000-0000-000016040000}"/>
    <cellStyle name="20% - Ênfase3 73" xfId="1035" xr:uid="{00000000-0005-0000-0000-000017040000}"/>
    <cellStyle name="20% - Ênfase3 74" xfId="1036" xr:uid="{00000000-0005-0000-0000-000018040000}"/>
    <cellStyle name="20% - Ênfase3 75" xfId="1037" xr:uid="{00000000-0005-0000-0000-000019040000}"/>
    <cellStyle name="20% - Ênfase3 76" xfId="1038" xr:uid="{00000000-0005-0000-0000-00001A040000}"/>
    <cellStyle name="20% - Ênfase3 77" xfId="1039" xr:uid="{00000000-0005-0000-0000-00001B040000}"/>
    <cellStyle name="20% - Ênfase3 78" xfId="1040" xr:uid="{00000000-0005-0000-0000-00001C040000}"/>
    <cellStyle name="20% - Ênfase3 79" xfId="1041" xr:uid="{00000000-0005-0000-0000-00001D040000}"/>
    <cellStyle name="20% - Ênfase3 8" xfId="1042" xr:uid="{00000000-0005-0000-0000-00001E040000}"/>
    <cellStyle name="20% - Ênfase3 8 2" xfId="1043" xr:uid="{00000000-0005-0000-0000-00001F040000}"/>
    <cellStyle name="20% - Ênfase3 8 3" xfId="1044" xr:uid="{00000000-0005-0000-0000-000020040000}"/>
    <cellStyle name="20% - Ênfase3 8 4" xfId="1045" xr:uid="{00000000-0005-0000-0000-000021040000}"/>
    <cellStyle name="20% - Ênfase3 80" xfId="1046" xr:uid="{00000000-0005-0000-0000-000022040000}"/>
    <cellStyle name="20% - Ênfase3 81" xfId="1047" xr:uid="{00000000-0005-0000-0000-000023040000}"/>
    <cellStyle name="20% - Ênfase3 82" xfId="1048" xr:uid="{00000000-0005-0000-0000-000024040000}"/>
    <cellStyle name="20% - Ênfase3 83" xfId="1049" xr:uid="{00000000-0005-0000-0000-000025040000}"/>
    <cellStyle name="20% - Ênfase3 84" xfId="1050" xr:uid="{00000000-0005-0000-0000-000026040000}"/>
    <cellStyle name="20% - Ênfase3 85" xfId="1051" xr:uid="{00000000-0005-0000-0000-000027040000}"/>
    <cellStyle name="20% - Ênfase3 86" xfId="1052" xr:uid="{00000000-0005-0000-0000-000028040000}"/>
    <cellStyle name="20% - Ênfase3 87" xfId="1053" xr:uid="{00000000-0005-0000-0000-000029040000}"/>
    <cellStyle name="20% - Ênfase3 88" xfId="1054" xr:uid="{00000000-0005-0000-0000-00002A040000}"/>
    <cellStyle name="20% - Ênfase3 89" xfId="1055" xr:uid="{00000000-0005-0000-0000-00002B040000}"/>
    <cellStyle name="20% - Ênfase3 9" xfId="1056" xr:uid="{00000000-0005-0000-0000-00002C040000}"/>
    <cellStyle name="20% - Ênfase3 90" xfId="1057" xr:uid="{00000000-0005-0000-0000-00002D040000}"/>
    <cellStyle name="20% - Ênfase3 91" xfId="1058" xr:uid="{00000000-0005-0000-0000-00002E040000}"/>
    <cellStyle name="20% - Ênfase3 92" xfId="1059" xr:uid="{00000000-0005-0000-0000-00002F040000}"/>
    <cellStyle name="20% - Ênfase3 93" xfId="1060" xr:uid="{00000000-0005-0000-0000-000030040000}"/>
    <cellStyle name="20% - Ênfase3 94" xfId="1061" xr:uid="{00000000-0005-0000-0000-000031040000}"/>
    <cellStyle name="20% - Ênfase3 95" xfId="1062" xr:uid="{00000000-0005-0000-0000-000032040000}"/>
    <cellStyle name="20% - Ênfase3 96" xfId="1063" xr:uid="{00000000-0005-0000-0000-000033040000}"/>
    <cellStyle name="20% - Ênfase3 97" xfId="1064" xr:uid="{00000000-0005-0000-0000-000034040000}"/>
    <cellStyle name="20% - Ênfase3 98" xfId="1065" xr:uid="{00000000-0005-0000-0000-000035040000}"/>
    <cellStyle name="20% - Ênfase3 99" xfId="1066" xr:uid="{00000000-0005-0000-0000-000036040000}"/>
    <cellStyle name="20% - Ênfase4 10" xfId="1067" xr:uid="{00000000-0005-0000-0000-000037040000}"/>
    <cellStyle name="20% - Ênfase4 10 2" xfId="40470" xr:uid="{00000000-0005-0000-0000-000038040000}"/>
    <cellStyle name="20% - Ênfase4 100" xfId="1068" xr:uid="{00000000-0005-0000-0000-000039040000}"/>
    <cellStyle name="20% - Ênfase4 101" xfId="1069" xr:uid="{00000000-0005-0000-0000-00003A040000}"/>
    <cellStyle name="20% - Ênfase4 102" xfId="1070" xr:uid="{00000000-0005-0000-0000-00003B040000}"/>
    <cellStyle name="20% - Ênfase4 103" xfId="1071" xr:uid="{00000000-0005-0000-0000-00003C040000}"/>
    <cellStyle name="20% - Ênfase4 104" xfId="1072" xr:uid="{00000000-0005-0000-0000-00003D040000}"/>
    <cellStyle name="20% - Ênfase4 105" xfId="1073" xr:uid="{00000000-0005-0000-0000-00003E040000}"/>
    <cellStyle name="20% - Ênfase4 106" xfId="1074" xr:uid="{00000000-0005-0000-0000-00003F040000}"/>
    <cellStyle name="20% - Ênfase4 107" xfId="1075" xr:uid="{00000000-0005-0000-0000-000040040000}"/>
    <cellStyle name="20% - Ênfase4 108" xfId="1076" xr:uid="{00000000-0005-0000-0000-000041040000}"/>
    <cellStyle name="20% - Ênfase4 109" xfId="1077" xr:uid="{00000000-0005-0000-0000-000042040000}"/>
    <cellStyle name="20% - Ênfase4 11" xfId="1078" xr:uid="{00000000-0005-0000-0000-000043040000}"/>
    <cellStyle name="20% - Ênfase4 11 2" xfId="40471" xr:uid="{00000000-0005-0000-0000-000044040000}"/>
    <cellStyle name="20% - Ênfase4 110" xfId="1079" xr:uid="{00000000-0005-0000-0000-000045040000}"/>
    <cellStyle name="20% - Ênfase4 111" xfId="1080" xr:uid="{00000000-0005-0000-0000-000046040000}"/>
    <cellStyle name="20% - Ênfase4 112" xfId="1081" xr:uid="{00000000-0005-0000-0000-000047040000}"/>
    <cellStyle name="20% - Ênfase4 113" xfId="1082" xr:uid="{00000000-0005-0000-0000-000048040000}"/>
    <cellStyle name="20% - Ênfase4 114" xfId="1083" xr:uid="{00000000-0005-0000-0000-000049040000}"/>
    <cellStyle name="20% - Ênfase4 115" xfId="1084" xr:uid="{00000000-0005-0000-0000-00004A040000}"/>
    <cellStyle name="20% - Ênfase4 116" xfId="1085" xr:uid="{00000000-0005-0000-0000-00004B040000}"/>
    <cellStyle name="20% - Ênfase4 117" xfId="1086" xr:uid="{00000000-0005-0000-0000-00004C040000}"/>
    <cellStyle name="20% - Ênfase4 118" xfId="1087" xr:uid="{00000000-0005-0000-0000-00004D040000}"/>
    <cellStyle name="20% - Ênfase4 119" xfId="1088" xr:uid="{00000000-0005-0000-0000-00004E040000}"/>
    <cellStyle name="20% - Ênfase4 12" xfId="1089" xr:uid="{00000000-0005-0000-0000-00004F040000}"/>
    <cellStyle name="20% - Ênfase4 12 2" xfId="40472" xr:uid="{00000000-0005-0000-0000-000050040000}"/>
    <cellStyle name="20% - Ênfase4 120" xfId="1090" xr:uid="{00000000-0005-0000-0000-000051040000}"/>
    <cellStyle name="20% - Ênfase4 121" xfId="1091" xr:uid="{00000000-0005-0000-0000-000052040000}"/>
    <cellStyle name="20% - Ênfase4 122" xfId="1092" xr:uid="{00000000-0005-0000-0000-000053040000}"/>
    <cellStyle name="20% - Ênfase4 123" xfId="1093" xr:uid="{00000000-0005-0000-0000-000054040000}"/>
    <cellStyle name="20% - Ênfase4 124" xfId="1094" xr:uid="{00000000-0005-0000-0000-000055040000}"/>
    <cellStyle name="20% - Ênfase4 125" xfId="1095" xr:uid="{00000000-0005-0000-0000-000056040000}"/>
    <cellStyle name="20% - Ênfase4 126" xfId="1096" xr:uid="{00000000-0005-0000-0000-000057040000}"/>
    <cellStyle name="20% - Ênfase4 127" xfId="1097" xr:uid="{00000000-0005-0000-0000-000058040000}"/>
    <cellStyle name="20% - Ênfase4 128" xfId="1098" xr:uid="{00000000-0005-0000-0000-000059040000}"/>
    <cellStyle name="20% - Ênfase4 129" xfId="1099" xr:uid="{00000000-0005-0000-0000-00005A040000}"/>
    <cellStyle name="20% - Ênfase4 13" xfId="1100" xr:uid="{00000000-0005-0000-0000-00005B040000}"/>
    <cellStyle name="20% - Ênfase4 13 2" xfId="40473" xr:uid="{00000000-0005-0000-0000-00005C040000}"/>
    <cellStyle name="20% - Ênfase4 130" xfId="1101" xr:uid="{00000000-0005-0000-0000-00005D040000}"/>
    <cellStyle name="20% - Ênfase4 131" xfId="1102" xr:uid="{00000000-0005-0000-0000-00005E040000}"/>
    <cellStyle name="20% - Ênfase4 132" xfId="1103" xr:uid="{00000000-0005-0000-0000-00005F040000}"/>
    <cellStyle name="20% - Ênfase4 133" xfId="1104" xr:uid="{00000000-0005-0000-0000-000060040000}"/>
    <cellStyle name="20% - Ênfase4 134" xfId="1105" xr:uid="{00000000-0005-0000-0000-000061040000}"/>
    <cellStyle name="20% - Ênfase4 135" xfId="1106" xr:uid="{00000000-0005-0000-0000-000062040000}"/>
    <cellStyle name="20% - Ênfase4 136" xfId="1107" xr:uid="{00000000-0005-0000-0000-000063040000}"/>
    <cellStyle name="20% - Ênfase4 137" xfId="1108" xr:uid="{00000000-0005-0000-0000-000064040000}"/>
    <cellStyle name="20% - Ênfase4 138" xfId="1109" xr:uid="{00000000-0005-0000-0000-000065040000}"/>
    <cellStyle name="20% - Ênfase4 139" xfId="1110" xr:uid="{00000000-0005-0000-0000-000066040000}"/>
    <cellStyle name="20% - Ênfase4 14" xfId="1111" xr:uid="{00000000-0005-0000-0000-000067040000}"/>
    <cellStyle name="20% - Ênfase4 140" xfId="1112" xr:uid="{00000000-0005-0000-0000-000068040000}"/>
    <cellStyle name="20% - Ênfase4 141" xfId="1113" xr:uid="{00000000-0005-0000-0000-000069040000}"/>
    <cellStyle name="20% - Ênfase4 142" xfId="1114" xr:uid="{00000000-0005-0000-0000-00006A040000}"/>
    <cellStyle name="20% - Ênfase4 143" xfId="1115" xr:uid="{00000000-0005-0000-0000-00006B040000}"/>
    <cellStyle name="20% - Ênfase4 144" xfId="1116" xr:uid="{00000000-0005-0000-0000-00006C040000}"/>
    <cellStyle name="20% - Ênfase4 145" xfId="1117" xr:uid="{00000000-0005-0000-0000-00006D040000}"/>
    <cellStyle name="20% - Ênfase4 146" xfId="1118" xr:uid="{00000000-0005-0000-0000-00006E040000}"/>
    <cellStyle name="20% - Ênfase4 147" xfId="1119" xr:uid="{00000000-0005-0000-0000-00006F040000}"/>
    <cellStyle name="20% - Ênfase4 148" xfId="1120" xr:uid="{00000000-0005-0000-0000-000070040000}"/>
    <cellStyle name="20% - Ênfase4 149" xfId="1121" xr:uid="{00000000-0005-0000-0000-000071040000}"/>
    <cellStyle name="20% - Ênfase4 15" xfId="1122" xr:uid="{00000000-0005-0000-0000-000072040000}"/>
    <cellStyle name="20% - Ênfase4 15 2" xfId="1123" xr:uid="{00000000-0005-0000-0000-000073040000}"/>
    <cellStyle name="20% - Ênfase4 15 3" xfId="1124" xr:uid="{00000000-0005-0000-0000-000074040000}"/>
    <cellStyle name="20% - Ênfase4 150" xfId="1125" xr:uid="{00000000-0005-0000-0000-000075040000}"/>
    <cellStyle name="20% - Ênfase4 151" xfId="1126" xr:uid="{00000000-0005-0000-0000-000076040000}"/>
    <cellStyle name="20% - Ênfase4 152" xfId="1127" xr:uid="{00000000-0005-0000-0000-000077040000}"/>
    <cellStyle name="20% - Ênfase4 153" xfId="1128" xr:uid="{00000000-0005-0000-0000-000078040000}"/>
    <cellStyle name="20% - Ênfase4 154" xfId="1129" xr:uid="{00000000-0005-0000-0000-000079040000}"/>
    <cellStyle name="20% - Ênfase4 155" xfId="1130" xr:uid="{00000000-0005-0000-0000-00007A040000}"/>
    <cellStyle name="20% - Ênfase4 156" xfId="1131" xr:uid="{00000000-0005-0000-0000-00007B040000}"/>
    <cellStyle name="20% - Ênfase4 157" xfId="1132" xr:uid="{00000000-0005-0000-0000-00007C040000}"/>
    <cellStyle name="20% - Ênfase4 158" xfId="1133" xr:uid="{00000000-0005-0000-0000-00007D040000}"/>
    <cellStyle name="20% - Ênfase4 159" xfId="1134" xr:uid="{00000000-0005-0000-0000-00007E040000}"/>
    <cellStyle name="20% - Ênfase4 16" xfId="1135" xr:uid="{00000000-0005-0000-0000-00007F040000}"/>
    <cellStyle name="20% - Ênfase4 16 2" xfId="1136" xr:uid="{00000000-0005-0000-0000-000080040000}"/>
    <cellStyle name="20% - Ênfase4 16 3" xfId="1137" xr:uid="{00000000-0005-0000-0000-000081040000}"/>
    <cellStyle name="20% - Ênfase4 160" xfId="1138" xr:uid="{00000000-0005-0000-0000-000082040000}"/>
    <cellStyle name="20% - Ênfase4 161" xfId="1139" xr:uid="{00000000-0005-0000-0000-000083040000}"/>
    <cellStyle name="20% - Ênfase4 162" xfId="1140" xr:uid="{00000000-0005-0000-0000-000084040000}"/>
    <cellStyle name="20% - Ênfase4 163" xfId="1141" xr:uid="{00000000-0005-0000-0000-000085040000}"/>
    <cellStyle name="20% - Ênfase4 164" xfId="1142" xr:uid="{00000000-0005-0000-0000-000086040000}"/>
    <cellStyle name="20% - Ênfase4 165" xfId="1143" xr:uid="{00000000-0005-0000-0000-000087040000}"/>
    <cellStyle name="20% - Ênfase4 166" xfId="1144" xr:uid="{00000000-0005-0000-0000-000088040000}"/>
    <cellStyle name="20% - Ênfase4 167" xfId="1145" xr:uid="{00000000-0005-0000-0000-000089040000}"/>
    <cellStyle name="20% - Ênfase4 168" xfId="1146" xr:uid="{00000000-0005-0000-0000-00008A040000}"/>
    <cellStyle name="20% - Ênfase4 169" xfId="1147" xr:uid="{00000000-0005-0000-0000-00008B040000}"/>
    <cellStyle name="20% - Ênfase4 17" xfId="1148" xr:uid="{00000000-0005-0000-0000-00008C040000}"/>
    <cellStyle name="20% - Ênfase4 17 2" xfId="1149" xr:uid="{00000000-0005-0000-0000-00008D040000}"/>
    <cellStyle name="20% - Ênfase4 17 3" xfId="1150" xr:uid="{00000000-0005-0000-0000-00008E040000}"/>
    <cellStyle name="20% - Ênfase4 170" xfId="1151" xr:uid="{00000000-0005-0000-0000-00008F040000}"/>
    <cellStyle name="20% - Ênfase4 171" xfId="1152" xr:uid="{00000000-0005-0000-0000-000090040000}"/>
    <cellStyle name="20% - Ênfase4 172" xfId="1153" xr:uid="{00000000-0005-0000-0000-000091040000}"/>
    <cellStyle name="20% - Ênfase4 173" xfId="1154" xr:uid="{00000000-0005-0000-0000-000092040000}"/>
    <cellStyle name="20% - Ênfase4 174" xfId="1155" xr:uid="{00000000-0005-0000-0000-000093040000}"/>
    <cellStyle name="20% - Ênfase4 175" xfId="1156" xr:uid="{00000000-0005-0000-0000-000094040000}"/>
    <cellStyle name="20% - Ênfase4 176" xfId="1157" xr:uid="{00000000-0005-0000-0000-000095040000}"/>
    <cellStyle name="20% - Ênfase4 177" xfId="1158" xr:uid="{00000000-0005-0000-0000-000096040000}"/>
    <cellStyle name="20% - Ênfase4 178" xfId="1159" xr:uid="{00000000-0005-0000-0000-000097040000}"/>
    <cellStyle name="20% - Ênfase4 179" xfId="1160" xr:uid="{00000000-0005-0000-0000-000098040000}"/>
    <cellStyle name="20% - Ênfase4 18" xfId="1161" xr:uid="{00000000-0005-0000-0000-000099040000}"/>
    <cellStyle name="20% - Ênfase4 18 2" xfId="1162" xr:uid="{00000000-0005-0000-0000-00009A040000}"/>
    <cellStyle name="20% - Ênfase4 18 3" xfId="1163" xr:uid="{00000000-0005-0000-0000-00009B040000}"/>
    <cellStyle name="20% - Ênfase4 180" xfId="1164" xr:uid="{00000000-0005-0000-0000-00009C040000}"/>
    <cellStyle name="20% - Ênfase4 181" xfId="1165" xr:uid="{00000000-0005-0000-0000-00009D040000}"/>
    <cellStyle name="20% - Ênfase4 182" xfId="1166" xr:uid="{00000000-0005-0000-0000-00009E040000}"/>
    <cellStyle name="20% - Ênfase4 183" xfId="1167" xr:uid="{00000000-0005-0000-0000-00009F040000}"/>
    <cellStyle name="20% - Ênfase4 184" xfId="1168" xr:uid="{00000000-0005-0000-0000-0000A0040000}"/>
    <cellStyle name="20% - Ênfase4 185" xfId="1169" xr:uid="{00000000-0005-0000-0000-0000A1040000}"/>
    <cellStyle name="20% - Ênfase4 186" xfId="1170" xr:uid="{00000000-0005-0000-0000-0000A2040000}"/>
    <cellStyle name="20% - Ênfase4 187" xfId="1171" xr:uid="{00000000-0005-0000-0000-0000A3040000}"/>
    <cellStyle name="20% - Ênfase4 188" xfId="1172" xr:uid="{00000000-0005-0000-0000-0000A4040000}"/>
    <cellStyle name="20% - Ênfase4 189" xfId="1173" xr:uid="{00000000-0005-0000-0000-0000A5040000}"/>
    <cellStyle name="20% - Ênfase4 19" xfId="1174" xr:uid="{00000000-0005-0000-0000-0000A6040000}"/>
    <cellStyle name="20% - Ênfase4 19 2" xfId="1175" xr:uid="{00000000-0005-0000-0000-0000A7040000}"/>
    <cellStyle name="20% - Ênfase4 19 3" xfId="1176" xr:uid="{00000000-0005-0000-0000-0000A8040000}"/>
    <cellStyle name="20% - Ênfase4 190" xfId="1177" xr:uid="{00000000-0005-0000-0000-0000A9040000}"/>
    <cellStyle name="20% - Ênfase4 2" xfId="1178" xr:uid="{00000000-0005-0000-0000-0000AA040000}"/>
    <cellStyle name="20% - Ênfase4 2 10" xfId="1179" xr:uid="{00000000-0005-0000-0000-0000AB040000}"/>
    <cellStyle name="20% - Ênfase4 2 10 2" xfId="1180" xr:uid="{00000000-0005-0000-0000-0000AC040000}"/>
    <cellStyle name="20% - Ênfase4 2 10 3" xfId="1181" xr:uid="{00000000-0005-0000-0000-0000AD040000}"/>
    <cellStyle name="20% - Ênfase4 2 10 4" xfId="1182" xr:uid="{00000000-0005-0000-0000-0000AE040000}"/>
    <cellStyle name="20% - Ênfase4 2 10 5" xfId="1183" xr:uid="{00000000-0005-0000-0000-0000AF040000}"/>
    <cellStyle name="20% - Ênfase4 2 10 6" xfId="1184" xr:uid="{00000000-0005-0000-0000-0000B0040000}"/>
    <cellStyle name="20% - Ênfase4 2 10 7" xfId="1185" xr:uid="{00000000-0005-0000-0000-0000B1040000}"/>
    <cellStyle name="20% - Ênfase4 2 11" xfId="1186" xr:uid="{00000000-0005-0000-0000-0000B2040000}"/>
    <cellStyle name="20% - Ênfase4 2 11 2" xfId="1187" xr:uid="{00000000-0005-0000-0000-0000B3040000}"/>
    <cellStyle name="20% - Ênfase4 2 11 3" xfId="1188" xr:uid="{00000000-0005-0000-0000-0000B4040000}"/>
    <cellStyle name="20% - Ênfase4 2 11 4" xfId="1189" xr:uid="{00000000-0005-0000-0000-0000B5040000}"/>
    <cellStyle name="20% - Ênfase4 2 11 5" xfId="1190" xr:uid="{00000000-0005-0000-0000-0000B6040000}"/>
    <cellStyle name="20% - Ênfase4 2 11 6" xfId="1191" xr:uid="{00000000-0005-0000-0000-0000B7040000}"/>
    <cellStyle name="20% - Ênfase4 2 11 7" xfId="1192" xr:uid="{00000000-0005-0000-0000-0000B8040000}"/>
    <cellStyle name="20% - Ênfase4 2 12" xfId="1193" xr:uid="{00000000-0005-0000-0000-0000B9040000}"/>
    <cellStyle name="20% - Ênfase4 2 13" xfId="1194" xr:uid="{00000000-0005-0000-0000-0000BA040000}"/>
    <cellStyle name="20% - Ênfase4 2 14" xfId="1195" xr:uid="{00000000-0005-0000-0000-0000BB040000}"/>
    <cellStyle name="20% - Ênfase4 2 15" xfId="1196" xr:uid="{00000000-0005-0000-0000-0000BC040000}"/>
    <cellStyle name="20% - Ênfase4 2 16" xfId="1197" xr:uid="{00000000-0005-0000-0000-0000BD040000}"/>
    <cellStyle name="20% - Ênfase4 2 17" xfId="1198" xr:uid="{00000000-0005-0000-0000-0000BE040000}"/>
    <cellStyle name="20% - Ênfase4 2 18" xfId="1199" xr:uid="{00000000-0005-0000-0000-0000BF040000}"/>
    <cellStyle name="20% - Ênfase4 2 19" xfId="1200" xr:uid="{00000000-0005-0000-0000-0000C0040000}"/>
    <cellStyle name="20% - Ênfase4 2 2" xfId="1201" xr:uid="{00000000-0005-0000-0000-0000C1040000}"/>
    <cellStyle name="20% - Ênfase4 2 20" xfId="1202" xr:uid="{00000000-0005-0000-0000-0000C2040000}"/>
    <cellStyle name="20% - Ênfase4 2 21" xfId="1203" xr:uid="{00000000-0005-0000-0000-0000C3040000}"/>
    <cellStyle name="20% - Ênfase4 2 22" xfId="1204" xr:uid="{00000000-0005-0000-0000-0000C4040000}"/>
    <cellStyle name="20% - Ênfase4 2 23" xfId="1205" xr:uid="{00000000-0005-0000-0000-0000C5040000}"/>
    <cellStyle name="20% - Ênfase4 2 24" xfId="1206" xr:uid="{00000000-0005-0000-0000-0000C6040000}"/>
    <cellStyle name="20% - Ênfase4 2 25" xfId="1207" xr:uid="{00000000-0005-0000-0000-0000C7040000}"/>
    <cellStyle name="20% - Ênfase4 2 26" xfId="1208" xr:uid="{00000000-0005-0000-0000-0000C8040000}"/>
    <cellStyle name="20% - Ênfase4 2 27" xfId="1209" xr:uid="{00000000-0005-0000-0000-0000C9040000}"/>
    <cellStyle name="20% - Ênfase4 2 28" xfId="1210" xr:uid="{00000000-0005-0000-0000-0000CA040000}"/>
    <cellStyle name="20% - Ênfase4 2 29" xfId="1211" xr:uid="{00000000-0005-0000-0000-0000CB040000}"/>
    <cellStyle name="20% - Ênfase4 2 3" xfId="1212" xr:uid="{00000000-0005-0000-0000-0000CC040000}"/>
    <cellStyle name="20% - Ênfase4 2 30" xfId="1213" xr:uid="{00000000-0005-0000-0000-0000CD040000}"/>
    <cellStyle name="20% - Ênfase4 2 31" xfId="1214" xr:uid="{00000000-0005-0000-0000-0000CE040000}"/>
    <cellStyle name="20% - Ênfase4 2 32" xfId="1215" xr:uid="{00000000-0005-0000-0000-0000CF040000}"/>
    <cellStyle name="20% - Ênfase4 2 33" xfId="1216" xr:uid="{00000000-0005-0000-0000-0000D0040000}"/>
    <cellStyle name="20% - Ênfase4 2 34" xfId="1217" xr:uid="{00000000-0005-0000-0000-0000D1040000}"/>
    <cellStyle name="20% - Ênfase4 2 35" xfId="1218" xr:uid="{00000000-0005-0000-0000-0000D2040000}"/>
    <cellStyle name="20% - Ênfase4 2 4" xfId="1219" xr:uid="{00000000-0005-0000-0000-0000D3040000}"/>
    <cellStyle name="20% - Ênfase4 2 5" xfId="1220" xr:uid="{00000000-0005-0000-0000-0000D4040000}"/>
    <cellStyle name="20% - Ênfase4 2 6" xfId="1221" xr:uid="{00000000-0005-0000-0000-0000D5040000}"/>
    <cellStyle name="20% - Ênfase4 2 7" xfId="1222" xr:uid="{00000000-0005-0000-0000-0000D6040000}"/>
    <cellStyle name="20% - Ênfase4 2 8" xfId="1223" xr:uid="{00000000-0005-0000-0000-0000D7040000}"/>
    <cellStyle name="20% - Ênfase4 2 8 2" xfId="1224" xr:uid="{00000000-0005-0000-0000-0000D8040000}"/>
    <cellStyle name="20% - Ênfase4 2 8 3" xfId="1225" xr:uid="{00000000-0005-0000-0000-0000D9040000}"/>
    <cellStyle name="20% - Ênfase4 2 8 4" xfId="1226" xr:uid="{00000000-0005-0000-0000-0000DA040000}"/>
    <cellStyle name="20% - Ênfase4 2 8 5" xfId="1227" xr:uid="{00000000-0005-0000-0000-0000DB040000}"/>
    <cellStyle name="20% - Ênfase4 2 8 6" xfId="1228" xr:uid="{00000000-0005-0000-0000-0000DC040000}"/>
    <cellStyle name="20% - Ênfase4 2 8 7" xfId="1229" xr:uid="{00000000-0005-0000-0000-0000DD040000}"/>
    <cellStyle name="20% - Ênfase4 2 9" xfId="1230" xr:uid="{00000000-0005-0000-0000-0000DE040000}"/>
    <cellStyle name="20% - Ênfase4 2 9 2" xfId="1231" xr:uid="{00000000-0005-0000-0000-0000DF040000}"/>
    <cellStyle name="20% - Ênfase4 2 9 3" xfId="1232" xr:uid="{00000000-0005-0000-0000-0000E0040000}"/>
    <cellStyle name="20% - Ênfase4 2 9 4" xfId="1233" xr:uid="{00000000-0005-0000-0000-0000E1040000}"/>
    <cellStyle name="20% - Ênfase4 2 9 5" xfId="1234" xr:uid="{00000000-0005-0000-0000-0000E2040000}"/>
    <cellStyle name="20% - Ênfase4 2 9 6" xfId="1235" xr:uid="{00000000-0005-0000-0000-0000E3040000}"/>
    <cellStyle name="20% - Ênfase4 2 9 7" xfId="1236" xr:uid="{00000000-0005-0000-0000-0000E4040000}"/>
    <cellStyle name="20% - Ênfase4 20" xfId="1237" xr:uid="{00000000-0005-0000-0000-0000E5040000}"/>
    <cellStyle name="20% - Ênfase4 20 2" xfId="1238" xr:uid="{00000000-0005-0000-0000-0000E6040000}"/>
    <cellStyle name="20% - Ênfase4 20 3" xfId="1239" xr:uid="{00000000-0005-0000-0000-0000E7040000}"/>
    <cellStyle name="20% - Ênfase4 21" xfId="1240" xr:uid="{00000000-0005-0000-0000-0000E8040000}"/>
    <cellStyle name="20% - Ênfase4 22" xfId="1241" xr:uid="{00000000-0005-0000-0000-0000E9040000}"/>
    <cellStyle name="20% - Ênfase4 23" xfId="1242" xr:uid="{00000000-0005-0000-0000-0000EA040000}"/>
    <cellStyle name="20% - Ênfase4 24" xfId="1243" xr:uid="{00000000-0005-0000-0000-0000EB040000}"/>
    <cellStyle name="20% - Ênfase4 24 2" xfId="40932" xr:uid="{00000000-0005-0000-0000-0000EC040000}"/>
    <cellStyle name="20% - Ênfase4 25" xfId="1244" xr:uid="{00000000-0005-0000-0000-0000ED040000}"/>
    <cellStyle name="20% - Ênfase4 25 2" xfId="40967" xr:uid="{00000000-0005-0000-0000-0000EE040000}"/>
    <cellStyle name="20% - Ênfase4 26" xfId="1245" xr:uid="{00000000-0005-0000-0000-0000EF040000}"/>
    <cellStyle name="20% - Ênfase4 26 10" xfId="1246" xr:uid="{00000000-0005-0000-0000-0000F0040000}"/>
    <cellStyle name="20% - Ênfase4 26 11" xfId="1247" xr:uid="{00000000-0005-0000-0000-0000F1040000}"/>
    <cellStyle name="20% - Ênfase4 26 12" xfId="1248" xr:uid="{00000000-0005-0000-0000-0000F2040000}"/>
    <cellStyle name="20% - Ênfase4 26 13" xfId="1249" xr:uid="{00000000-0005-0000-0000-0000F3040000}"/>
    <cellStyle name="20% - Ênfase4 26 14" xfId="1250" xr:uid="{00000000-0005-0000-0000-0000F4040000}"/>
    <cellStyle name="20% - Ênfase4 26 15" xfId="1251" xr:uid="{00000000-0005-0000-0000-0000F5040000}"/>
    <cellStyle name="20% - Ênfase4 26 16" xfId="1252" xr:uid="{00000000-0005-0000-0000-0000F6040000}"/>
    <cellStyle name="20% - Ênfase4 26 2" xfId="1253" xr:uid="{00000000-0005-0000-0000-0000F7040000}"/>
    <cellStyle name="20% - Ênfase4 26 3" xfId="1254" xr:uid="{00000000-0005-0000-0000-0000F8040000}"/>
    <cellStyle name="20% - Ênfase4 26 4" xfId="1255" xr:uid="{00000000-0005-0000-0000-0000F9040000}"/>
    <cellStyle name="20% - Ênfase4 26 5" xfId="1256" xr:uid="{00000000-0005-0000-0000-0000FA040000}"/>
    <cellStyle name="20% - Ênfase4 26 6" xfId="1257" xr:uid="{00000000-0005-0000-0000-0000FB040000}"/>
    <cellStyle name="20% - Ênfase4 26 7" xfId="1258" xr:uid="{00000000-0005-0000-0000-0000FC040000}"/>
    <cellStyle name="20% - Ênfase4 26 8" xfId="1259" xr:uid="{00000000-0005-0000-0000-0000FD040000}"/>
    <cellStyle name="20% - Ênfase4 26 9" xfId="1260" xr:uid="{00000000-0005-0000-0000-0000FE040000}"/>
    <cellStyle name="20% - Ênfase4 27" xfId="1261" xr:uid="{00000000-0005-0000-0000-0000FF040000}"/>
    <cellStyle name="20% - Ênfase4 27 10" xfId="1262" xr:uid="{00000000-0005-0000-0000-000000050000}"/>
    <cellStyle name="20% - Ênfase4 27 11" xfId="1263" xr:uid="{00000000-0005-0000-0000-000001050000}"/>
    <cellStyle name="20% - Ênfase4 27 12" xfId="1264" xr:uid="{00000000-0005-0000-0000-000002050000}"/>
    <cellStyle name="20% - Ênfase4 27 13" xfId="1265" xr:uid="{00000000-0005-0000-0000-000003050000}"/>
    <cellStyle name="20% - Ênfase4 27 14" xfId="1266" xr:uid="{00000000-0005-0000-0000-000004050000}"/>
    <cellStyle name="20% - Ênfase4 27 15" xfId="1267" xr:uid="{00000000-0005-0000-0000-000005050000}"/>
    <cellStyle name="20% - Ênfase4 27 16" xfId="1268" xr:uid="{00000000-0005-0000-0000-000006050000}"/>
    <cellStyle name="20% - Ênfase4 27 2" xfId="1269" xr:uid="{00000000-0005-0000-0000-000007050000}"/>
    <cellStyle name="20% - Ênfase4 27 3" xfId="1270" xr:uid="{00000000-0005-0000-0000-000008050000}"/>
    <cellStyle name="20% - Ênfase4 27 4" xfId="1271" xr:uid="{00000000-0005-0000-0000-000009050000}"/>
    <cellStyle name="20% - Ênfase4 27 5" xfId="1272" xr:uid="{00000000-0005-0000-0000-00000A050000}"/>
    <cellStyle name="20% - Ênfase4 27 6" xfId="1273" xr:uid="{00000000-0005-0000-0000-00000B050000}"/>
    <cellStyle name="20% - Ênfase4 27 7" xfId="1274" xr:uid="{00000000-0005-0000-0000-00000C050000}"/>
    <cellStyle name="20% - Ênfase4 27 8" xfId="1275" xr:uid="{00000000-0005-0000-0000-00000D050000}"/>
    <cellStyle name="20% - Ênfase4 27 9" xfId="1276" xr:uid="{00000000-0005-0000-0000-00000E050000}"/>
    <cellStyle name="20% - Ênfase4 28" xfId="1277" xr:uid="{00000000-0005-0000-0000-00000F050000}"/>
    <cellStyle name="20% - Ênfase4 28 10" xfId="1278" xr:uid="{00000000-0005-0000-0000-000010050000}"/>
    <cellStyle name="20% - Ênfase4 28 11" xfId="1279" xr:uid="{00000000-0005-0000-0000-000011050000}"/>
    <cellStyle name="20% - Ênfase4 28 12" xfId="1280" xr:uid="{00000000-0005-0000-0000-000012050000}"/>
    <cellStyle name="20% - Ênfase4 28 13" xfId="1281" xr:uid="{00000000-0005-0000-0000-000013050000}"/>
    <cellStyle name="20% - Ênfase4 28 14" xfId="1282" xr:uid="{00000000-0005-0000-0000-000014050000}"/>
    <cellStyle name="20% - Ênfase4 28 15" xfId="1283" xr:uid="{00000000-0005-0000-0000-000015050000}"/>
    <cellStyle name="20% - Ênfase4 28 16" xfId="1284" xr:uid="{00000000-0005-0000-0000-000016050000}"/>
    <cellStyle name="20% - Ênfase4 28 2" xfId="1285" xr:uid="{00000000-0005-0000-0000-000017050000}"/>
    <cellStyle name="20% - Ênfase4 28 3" xfId="1286" xr:uid="{00000000-0005-0000-0000-000018050000}"/>
    <cellStyle name="20% - Ênfase4 28 4" xfId="1287" xr:uid="{00000000-0005-0000-0000-000019050000}"/>
    <cellStyle name="20% - Ênfase4 28 5" xfId="1288" xr:uid="{00000000-0005-0000-0000-00001A050000}"/>
    <cellStyle name="20% - Ênfase4 28 6" xfId="1289" xr:uid="{00000000-0005-0000-0000-00001B050000}"/>
    <cellStyle name="20% - Ênfase4 28 7" xfId="1290" xr:uid="{00000000-0005-0000-0000-00001C050000}"/>
    <cellStyle name="20% - Ênfase4 28 8" xfId="1291" xr:uid="{00000000-0005-0000-0000-00001D050000}"/>
    <cellStyle name="20% - Ênfase4 28 9" xfId="1292" xr:uid="{00000000-0005-0000-0000-00001E050000}"/>
    <cellStyle name="20% - Ênfase4 29" xfId="1293" xr:uid="{00000000-0005-0000-0000-00001F050000}"/>
    <cellStyle name="20% - Ênfase4 29 10" xfId="1294" xr:uid="{00000000-0005-0000-0000-000020050000}"/>
    <cellStyle name="20% - Ênfase4 29 11" xfId="1295" xr:uid="{00000000-0005-0000-0000-000021050000}"/>
    <cellStyle name="20% - Ênfase4 29 12" xfId="1296" xr:uid="{00000000-0005-0000-0000-000022050000}"/>
    <cellStyle name="20% - Ênfase4 29 13" xfId="1297" xr:uid="{00000000-0005-0000-0000-000023050000}"/>
    <cellStyle name="20% - Ênfase4 29 14" xfId="1298" xr:uid="{00000000-0005-0000-0000-000024050000}"/>
    <cellStyle name="20% - Ênfase4 29 15" xfId="1299" xr:uid="{00000000-0005-0000-0000-000025050000}"/>
    <cellStyle name="20% - Ênfase4 29 16" xfId="1300" xr:uid="{00000000-0005-0000-0000-000026050000}"/>
    <cellStyle name="20% - Ênfase4 29 2" xfId="1301" xr:uid="{00000000-0005-0000-0000-000027050000}"/>
    <cellStyle name="20% - Ênfase4 29 3" xfId="1302" xr:uid="{00000000-0005-0000-0000-000028050000}"/>
    <cellStyle name="20% - Ênfase4 29 4" xfId="1303" xr:uid="{00000000-0005-0000-0000-000029050000}"/>
    <cellStyle name="20% - Ênfase4 29 5" xfId="1304" xr:uid="{00000000-0005-0000-0000-00002A050000}"/>
    <cellStyle name="20% - Ênfase4 29 6" xfId="1305" xr:uid="{00000000-0005-0000-0000-00002B050000}"/>
    <cellStyle name="20% - Ênfase4 29 7" xfId="1306" xr:uid="{00000000-0005-0000-0000-00002C050000}"/>
    <cellStyle name="20% - Ênfase4 29 8" xfId="1307" xr:uid="{00000000-0005-0000-0000-00002D050000}"/>
    <cellStyle name="20% - Ênfase4 29 9" xfId="1308" xr:uid="{00000000-0005-0000-0000-00002E050000}"/>
    <cellStyle name="20% - Ênfase4 3" xfId="1309" xr:uid="{00000000-0005-0000-0000-00002F050000}"/>
    <cellStyle name="20% - Ênfase4 3 10" xfId="1310" xr:uid="{00000000-0005-0000-0000-000030050000}"/>
    <cellStyle name="20% - Ênfase4 3 11" xfId="1311" xr:uid="{00000000-0005-0000-0000-000031050000}"/>
    <cellStyle name="20% - Ênfase4 3 2" xfId="1312" xr:uid="{00000000-0005-0000-0000-000032050000}"/>
    <cellStyle name="20% - Ênfase4 3 3" xfId="1313" xr:uid="{00000000-0005-0000-0000-000033050000}"/>
    <cellStyle name="20% - Ênfase4 3 4" xfId="1314" xr:uid="{00000000-0005-0000-0000-000034050000}"/>
    <cellStyle name="20% - Ênfase4 3 5" xfId="1315" xr:uid="{00000000-0005-0000-0000-000035050000}"/>
    <cellStyle name="20% - Ênfase4 3 6" xfId="1316" xr:uid="{00000000-0005-0000-0000-000036050000}"/>
    <cellStyle name="20% - Ênfase4 3 7" xfId="1317" xr:uid="{00000000-0005-0000-0000-000037050000}"/>
    <cellStyle name="20% - Ênfase4 3 8" xfId="1318" xr:uid="{00000000-0005-0000-0000-000038050000}"/>
    <cellStyle name="20% - Ênfase4 3 9" xfId="1319" xr:uid="{00000000-0005-0000-0000-000039050000}"/>
    <cellStyle name="20% - Ênfase4 30" xfId="1320" xr:uid="{00000000-0005-0000-0000-00003A050000}"/>
    <cellStyle name="20% - Ênfase4 31" xfId="1321" xr:uid="{00000000-0005-0000-0000-00003B050000}"/>
    <cellStyle name="20% - Ênfase4 32" xfId="1322" xr:uid="{00000000-0005-0000-0000-00003C050000}"/>
    <cellStyle name="20% - Ênfase4 33" xfId="1323" xr:uid="{00000000-0005-0000-0000-00003D050000}"/>
    <cellStyle name="20% - Ênfase4 34" xfId="1324" xr:uid="{00000000-0005-0000-0000-00003E050000}"/>
    <cellStyle name="20% - Ênfase4 35" xfId="1325" xr:uid="{00000000-0005-0000-0000-00003F050000}"/>
    <cellStyle name="20% - Ênfase4 36" xfId="1326" xr:uid="{00000000-0005-0000-0000-000040050000}"/>
    <cellStyle name="20% - Ênfase4 37" xfId="1327" xr:uid="{00000000-0005-0000-0000-000041050000}"/>
    <cellStyle name="20% - Ênfase4 38" xfId="1328" xr:uid="{00000000-0005-0000-0000-000042050000}"/>
    <cellStyle name="20% - Ênfase4 39" xfId="1329" xr:uid="{00000000-0005-0000-0000-000043050000}"/>
    <cellStyle name="20% - Ênfase4 4" xfId="1330" xr:uid="{00000000-0005-0000-0000-000044050000}"/>
    <cellStyle name="20% - Ênfase4 4 10" xfId="1331" xr:uid="{00000000-0005-0000-0000-000045050000}"/>
    <cellStyle name="20% - Ênfase4 4 11" xfId="1332" xr:uid="{00000000-0005-0000-0000-000046050000}"/>
    <cellStyle name="20% - Ênfase4 4 2" xfId="1333" xr:uid="{00000000-0005-0000-0000-000047050000}"/>
    <cellStyle name="20% - Ênfase4 4 3" xfId="1334" xr:uid="{00000000-0005-0000-0000-000048050000}"/>
    <cellStyle name="20% - Ênfase4 4 4" xfId="1335" xr:uid="{00000000-0005-0000-0000-000049050000}"/>
    <cellStyle name="20% - Ênfase4 4 5" xfId="1336" xr:uid="{00000000-0005-0000-0000-00004A050000}"/>
    <cellStyle name="20% - Ênfase4 4 6" xfId="1337" xr:uid="{00000000-0005-0000-0000-00004B050000}"/>
    <cellStyle name="20% - Ênfase4 4 7" xfId="1338" xr:uid="{00000000-0005-0000-0000-00004C050000}"/>
    <cellStyle name="20% - Ênfase4 4 8" xfId="1339" xr:uid="{00000000-0005-0000-0000-00004D050000}"/>
    <cellStyle name="20% - Ênfase4 4 9" xfId="1340" xr:uid="{00000000-0005-0000-0000-00004E050000}"/>
    <cellStyle name="20% - Ênfase4 40" xfId="1341" xr:uid="{00000000-0005-0000-0000-00004F050000}"/>
    <cellStyle name="20% - Ênfase4 41" xfId="1342" xr:uid="{00000000-0005-0000-0000-000050050000}"/>
    <cellStyle name="20% - Ênfase4 42" xfId="1343" xr:uid="{00000000-0005-0000-0000-000051050000}"/>
    <cellStyle name="20% - Ênfase4 43" xfId="1344" xr:uid="{00000000-0005-0000-0000-000052050000}"/>
    <cellStyle name="20% - Ênfase4 44" xfId="1345" xr:uid="{00000000-0005-0000-0000-000053050000}"/>
    <cellStyle name="20% - Ênfase4 45" xfId="1346" xr:uid="{00000000-0005-0000-0000-000054050000}"/>
    <cellStyle name="20% - Ênfase4 46" xfId="1347" xr:uid="{00000000-0005-0000-0000-000055050000}"/>
    <cellStyle name="20% - Ênfase4 47" xfId="1348" xr:uid="{00000000-0005-0000-0000-000056050000}"/>
    <cellStyle name="20% - Ênfase4 48" xfId="1349" xr:uid="{00000000-0005-0000-0000-000057050000}"/>
    <cellStyle name="20% - Ênfase4 49" xfId="1350" xr:uid="{00000000-0005-0000-0000-000058050000}"/>
    <cellStyle name="20% - Ênfase4 5" xfId="1351" xr:uid="{00000000-0005-0000-0000-000059050000}"/>
    <cellStyle name="20% - Ênfase4 5 2" xfId="1352" xr:uid="{00000000-0005-0000-0000-00005A050000}"/>
    <cellStyle name="20% - Ênfase4 5 3" xfId="1353" xr:uid="{00000000-0005-0000-0000-00005B050000}"/>
    <cellStyle name="20% - Ênfase4 5 4" xfId="1354" xr:uid="{00000000-0005-0000-0000-00005C050000}"/>
    <cellStyle name="20% - Ênfase4 50" xfId="1355" xr:uid="{00000000-0005-0000-0000-00005D050000}"/>
    <cellStyle name="20% - Ênfase4 51" xfId="1356" xr:uid="{00000000-0005-0000-0000-00005E050000}"/>
    <cellStyle name="20% - Ênfase4 52" xfId="1357" xr:uid="{00000000-0005-0000-0000-00005F050000}"/>
    <cellStyle name="20% - Ênfase4 53" xfId="1358" xr:uid="{00000000-0005-0000-0000-000060050000}"/>
    <cellStyle name="20% - Ênfase4 54" xfId="1359" xr:uid="{00000000-0005-0000-0000-000061050000}"/>
    <cellStyle name="20% - Ênfase4 55" xfId="1360" xr:uid="{00000000-0005-0000-0000-000062050000}"/>
    <cellStyle name="20% - Ênfase4 56" xfId="1361" xr:uid="{00000000-0005-0000-0000-000063050000}"/>
    <cellStyle name="20% - Ênfase4 57" xfId="1362" xr:uid="{00000000-0005-0000-0000-000064050000}"/>
    <cellStyle name="20% - Ênfase4 58" xfId="1363" xr:uid="{00000000-0005-0000-0000-000065050000}"/>
    <cellStyle name="20% - Ênfase4 59" xfId="1364" xr:uid="{00000000-0005-0000-0000-000066050000}"/>
    <cellStyle name="20% - Ênfase4 6" xfId="1365" xr:uid="{00000000-0005-0000-0000-000067050000}"/>
    <cellStyle name="20% - Ênfase4 6 2" xfId="1366" xr:uid="{00000000-0005-0000-0000-000068050000}"/>
    <cellStyle name="20% - Ênfase4 6 3" xfId="1367" xr:uid="{00000000-0005-0000-0000-000069050000}"/>
    <cellStyle name="20% - Ênfase4 6 4" xfId="1368" xr:uid="{00000000-0005-0000-0000-00006A050000}"/>
    <cellStyle name="20% - Ênfase4 60" xfId="1369" xr:uid="{00000000-0005-0000-0000-00006B050000}"/>
    <cellStyle name="20% - Ênfase4 61" xfId="1370" xr:uid="{00000000-0005-0000-0000-00006C050000}"/>
    <cellStyle name="20% - Ênfase4 62" xfId="1371" xr:uid="{00000000-0005-0000-0000-00006D050000}"/>
    <cellStyle name="20% - Ênfase4 63" xfId="1372" xr:uid="{00000000-0005-0000-0000-00006E050000}"/>
    <cellStyle name="20% - Ênfase4 64" xfId="1373" xr:uid="{00000000-0005-0000-0000-00006F050000}"/>
    <cellStyle name="20% - Ênfase4 65" xfId="1374" xr:uid="{00000000-0005-0000-0000-000070050000}"/>
    <cellStyle name="20% - Ênfase4 66" xfId="1375" xr:uid="{00000000-0005-0000-0000-000071050000}"/>
    <cellStyle name="20% - Ênfase4 67" xfId="1376" xr:uid="{00000000-0005-0000-0000-000072050000}"/>
    <cellStyle name="20% - Ênfase4 68" xfId="1377" xr:uid="{00000000-0005-0000-0000-000073050000}"/>
    <cellStyle name="20% - Ênfase4 69" xfId="1378" xr:uid="{00000000-0005-0000-0000-000074050000}"/>
    <cellStyle name="20% - Ênfase4 7" xfId="1379" xr:uid="{00000000-0005-0000-0000-000075050000}"/>
    <cellStyle name="20% - Ênfase4 7 2" xfId="1380" xr:uid="{00000000-0005-0000-0000-000076050000}"/>
    <cellStyle name="20% - Ênfase4 7 3" xfId="1381" xr:uid="{00000000-0005-0000-0000-000077050000}"/>
    <cellStyle name="20% - Ênfase4 7 4" xfId="1382" xr:uid="{00000000-0005-0000-0000-000078050000}"/>
    <cellStyle name="20% - Ênfase4 70" xfId="1383" xr:uid="{00000000-0005-0000-0000-000079050000}"/>
    <cellStyle name="20% - Ênfase4 71" xfId="1384" xr:uid="{00000000-0005-0000-0000-00007A050000}"/>
    <cellStyle name="20% - Ênfase4 72" xfId="1385" xr:uid="{00000000-0005-0000-0000-00007B050000}"/>
    <cellStyle name="20% - Ênfase4 73" xfId="1386" xr:uid="{00000000-0005-0000-0000-00007C050000}"/>
    <cellStyle name="20% - Ênfase4 74" xfId="1387" xr:uid="{00000000-0005-0000-0000-00007D050000}"/>
    <cellStyle name="20% - Ênfase4 75" xfId="1388" xr:uid="{00000000-0005-0000-0000-00007E050000}"/>
    <cellStyle name="20% - Ênfase4 76" xfId="1389" xr:uid="{00000000-0005-0000-0000-00007F050000}"/>
    <cellStyle name="20% - Ênfase4 77" xfId="1390" xr:uid="{00000000-0005-0000-0000-000080050000}"/>
    <cellStyle name="20% - Ênfase4 78" xfId="1391" xr:uid="{00000000-0005-0000-0000-000081050000}"/>
    <cellStyle name="20% - Ênfase4 79" xfId="1392" xr:uid="{00000000-0005-0000-0000-000082050000}"/>
    <cellStyle name="20% - Ênfase4 8" xfId="1393" xr:uid="{00000000-0005-0000-0000-000083050000}"/>
    <cellStyle name="20% - Ênfase4 8 2" xfId="1394" xr:uid="{00000000-0005-0000-0000-000084050000}"/>
    <cellStyle name="20% - Ênfase4 8 3" xfId="1395" xr:uid="{00000000-0005-0000-0000-000085050000}"/>
    <cellStyle name="20% - Ênfase4 8 4" xfId="1396" xr:uid="{00000000-0005-0000-0000-000086050000}"/>
    <cellStyle name="20% - Ênfase4 80" xfId="1397" xr:uid="{00000000-0005-0000-0000-000087050000}"/>
    <cellStyle name="20% - Ênfase4 81" xfId="1398" xr:uid="{00000000-0005-0000-0000-000088050000}"/>
    <cellStyle name="20% - Ênfase4 82" xfId="1399" xr:uid="{00000000-0005-0000-0000-000089050000}"/>
    <cellStyle name="20% - Ênfase4 83" xfId="1400" xr:uid="{00000000-0005-0000-0000-00008A050000}"/>
    <cellStyle name="20% - Ênfase4 84" xfId="1401" xr:uid="{00000000-0005-0000-0000-00008B050000}"/>
    <cellStyle name="20% - Ênfase4 85" xfId="1402" xr:uid="{00000000-0005-0000-0000-00008C050000}"/>
    <cellStyle name="20% - Ênfase4 86" xfId="1403" xr:uid="{00000000-0005-0000-0000-00008D050000}"/>
    <cellStyle name="20% - Ênfase4 87" xfId="1404" xr:uid="{00000000-0005-0000-0000-00008E050000}"/>
    <cellStyle name="20% - Ênfase4 88" xfId="1405" xr:uid="{00000000-0005-0000-0000-00008F050000}"/>
    <cellStyle name="20% - Ênfase4 89" xfId="1406" xr:uid="{00000000-0005-0000-0000-000090050000}"/>
    <cellStyle name="20% - Ênfase4 9" xfId="1407" xr:uid="{00000000-0005-0000-0000-000091050000}"/>
    <cellStyle name="20% - Ênfase4 90" xfId="1408" xr:uid="{00000000-0005-0000-0000-000092050000}"/>
    <cellStyle name="20% - Ênfase4 91" xfId="1409" xr:uid="{00000000-0005-0000-0000-000093050000}"/>
    <cellStyle name="20% - Ênfase4 92" xfId="1410" xr:uid="{00000000-0005-0000-0000-000094050000}"/>
    <cellStyle name="20% - Ênfase4 93" xfId="1411" xr:uid="{00000000-0005-0000-0000-000095050000}"/>
    <cellStyle name="20% - Ênfase4 94" xfId="1412" xr:uid="{00000000-0005-0000-0000-000096050000}"/>
    <cellStyle name="20% - Ênfase4 95" xfId="1413" xr:uid="{00000000-0005-0000-0000-000097050000}"/>
    <cellStyle name="20% - Ênfase4 96" xfId="1414" xr:uid="{00000000-0005-0000-0000-000098050000}"/>
    <cellStyle name="20% - Ênfase4 97" xfId="1415" xr:uid="{00000000-0005-0000-0000-000099050000}"/>
    <cellStyle name="20% - Ênfase4 98" xfId="1416" xr:uid="{00000000-0005-0000-0000-00009A050000}"/>
    <cellStyle name="20% - Ênfase4 99" xfId="1417" xr:uid="{00000000-0005-0000-0000-00009B050000}"/>
    <cellStyle name="20% - Ênfase5 10" xfId="1418" xr:uid="{00000000-0005-0000-0000-00009C050000}"/>
    <cellStyle name="20% - Ênfase5 10 2" xfId="40474" xr:uid="{00000000-0005-0000-0000-00009D050000}"/>
    <cellStyle name="20% - Ênfase5 100" xfId="1419" xr:uid="{00000000-0005-0000-0000-00009E050000}"/>
    <cellStyle name="20% - Ênfase5 101" xfId="1420" xr:uid="{00000000-0005-0000-0000-00009F050000}"/>
    <cellStyle name="20% - Ênfase5 102" xfId="1421" xr:uid="{00000000-0005-0000-0000-0000A0050000}"/>
    <cellStyle name="20% - Ênfase5 103" xfId="1422" xr:uid="{00000000-0005-0000-0000-0000A1050000}"/>
    <cellStyle name="20% - Ênfase5 104" xfId="1423" xr:uid="{00000000-0005-0000-0000-0000A2050000}"/>
    <cellStyle name="20% - Ênfase5 105" xfId="1424" xr:uid="{00000000-0005-0000-0000-0000A3050000}"/>
    <cellStyle name="20% - Ênfase5 106" xfId="1425" xr:uid="{00000000-0005-0000-0000-0000A4050000}"/>
    <cellStyle name="20% - Ênfase5 107" xfId="1426" xr:uid="{00000000-0005-0000-0000-0000A5050000}"/>
    <cellStyle name="20% - Ênfase5 108" xfId="1427" xr:uid="{00000000-0005-0000-0000-0000A6050000}"/>
    <cellStyle name="20% - Ênfase5 109" xfId="1428" xr:uid="{00000000-0005-0000-0000-0000A7050000}"/>
    <cellStyle name="20% - Ênfase5 11" xfId="1429" xr:uid="{00000000-0005-0000-0000-0000A8050000}"/>
    <cellStyle name="20% - Ênfase5 11 2" xfId="40475" xr:uid="{00000000-0005-0000-0000-0000A9050000}"/>
    <cellStyle name="20% - Ênfase5 110" xfId="1430" xr:uid="{00000000-0005-0000-0000-0000AA050000}"/>
    <cellStyle name="20% - Ênfase5 111" xfId="1431" xr:uid="{00000000-0005-0000-0000-0000AB050000}"/>
    <cellStyle name="20% - Ênfase5 112" xfId="1432" xr:uid="{00000000-0005-0000-0000-0000AC050000}"/>
    <cellStyle name="20% - Ênfase5 113" xfId="1433" xr:uid="{00000000-0005-0000-0000-0000AD050000}"/>
    <cellStyle name="20% - Ênfase5 114" xfId="1434" xr:uid="{00000000-0005-0000-0000-0000AE050000}"/>
    <cellStyle name="20% - Ênfase5 115" xfId="1435" xr:uid="{00000000-0005-0000-0000-0000AF050000}"/>
    <cellStyle name="20% - Ênfase5 116" xfId="1436" xr:uid="{00000000-0005-0000-0000-0000B0050000}"/>
    <cellStyle name="20% - Ênfase5 117" xfId="1437" xr:uid="{00000000-0005-0000-0000-0000B1050000}"/>
    <cellStyle name="20% - Ênfase5 118" xfId="1438" xr:uid="{00000000-0005-0000-0000-0000B2050000}"/>
    <cellStyle name="20% - Ênfase5 119" xfId="1439" xr:uid="{00000000-0005-0000-0000-0000B3050000}"/>
    <cellStyle name="20% - Ênfase5 12" xfId="1440" xr:uid="{00000000-0005-0000-0000-0000B4050000}"/>
    <cellStyle name="20% - Ênfase5 12 2" xfId="40476" xr:uid="{00000000-0005-0000-0000-0000B5050000}"/>
    <cellStyle name="20% - Ênfase5 120" xfId="1441" xr:uid="{00000000-0005-0000-0000-0000B6050000}"/>
    <cellStyle name="20% - Ênfase5 121" xfId="1442" xr:uid="{00000000-0005-0000-0000-0000B7050000}"/>
    <cellStyle name="20% - Ênfase5 122" xfId="1443" xr:uid="{00000000-0005-0000-0000-0000B8050000}"/>
    <cellStyle name="20% - Ênfase5 123" xfId="1444" xr:uid="{00000000-0005-0000-0000-0000B9050000}"/>
    <cellStyle name="20% - Ênfase5 124" xfId="1445" xr:uid="{00000000-0005-0000-0000-0000BA050000}"/>
    <cellStyle name="20% - Ênfase5 125" xfId="1446" xr:uid="{00000000-0005-0000-0000-0000BB050000}"/>
    <cellStyle name="20% - Ênfase5 126" xfId="1447" xr:uid="{00000000-0005-0000-0000-0000BC050000}"/>
    <cellStyle name="20% - Ênfase5 127" xfId="1448" xr:uid="{00000000-0005-0000-0000-0000BD050000}"/>
    <cellStyle name="20% - Ênfase5 128" xfId="1449" xr:uid="{00000000-0005-0000-0000-0000BE050000}"/>
    <cellStyle name="20% - Ênfase5 129" xfId="1450" xr:uid="{00000000-0005-0000-0000-0000BF050000}"/>
    <cellStyle name="20% - Ênfase5 13" xfId="1451" xr:uid="{00000000-0005-0000-0000-0000C0050000}"/>
    <cellStyle name="20% - Ênfase5 13 2" xfId="40477" xr:uid="{00000000-0005-0000-0000-0000C1050000}"/>
    <cellStyle name="20% - Ênfase5 130" xfId="1452" xr:uid="{00000000-0005-0000-0000-0000C2050000}"/>
    <cellStyle name="20% - Ênfase5 131" xfId="1453" xr:uid="{00000000-0005-0000-0000-0000C3050000}"/>
    <cellStyle name="20% - Ênfase5 132" xfId="1454" xr:uid="{00000000-0005-0000-0000-0000C4050000}"/>
    <cellStyle name="20% - Ênfase5 133" xfId="1455" xr:uid="{00000000-0005-0000-0000-0000C5050000}"/>
    <cellStyle name="20% - Ênfase5 134" xfId="1456" xr:uid="{00000000-0005-0000-0000-0000C6050000}"/>
    <cellStyle name="20% - Ênfase5 135" xfId="1457" xr:uid="{00000000-0005-0000-0000-0000C7050000}"/>
    <cellStyle name="20% - Ênfase5 136" xfId="1458" xr:uid="{00000000-0005-0000-0000-0000C8050000}"/>
    <cellStyle name="20% - Ênfase5 137" xfId="1459" xr:uid="{00000000-0005-0000-0000-0000C9050000}"/>
    <cellStyle name="20% - Ênfase5 138" xfId="1460" xr:uid="{00000000-0005-0000-0000-0000CA050000}"/>
    <cellStyle name="20% - Ênfase5 139" xfId="1461" xr:uid="{00000000-0005-0000-0000-0000CB050000}"/>
    <cellStyle name="20% - Ênfase5 14" xfId="1462" xr:uid="{00000000-0005-0000-0000-0000CC050000}"/>
    <cellStyle name="20% - Ênfase5 140" xfId="1463" xr:uid="{00000000-0005-0000-0000-0000CD050000}"/>
    <cellStyle name="20% - Ênfase5 141" xfId="1464" xr:uid="{00000000-0005-0000-0000-0000CE050000}"/>
    <cellStyle name="20% - Ênfase5 142" xfId="1465" xr:uid="{00000000-0005-0000-0000-0000CF050000}"/>
    <cellStyle name="20% - Ênfase5 143" xfId="1466" xr:uid="{00000000-0005-0000-0000-0000D0050000}"/>
    <cellStyle name="20% - Ênfase5 144" xfId="1467" xr:uid="{00000000-0005-0000-0000-0000D1050000}"/>
    <cellStyle name="20% - Ênfase5 145" xfId="1468" xr:uid="{00000000-0005-0000-0000-0000D2050000}"/>
    <cellStyle name="20% - Ênfase5 146" xfId="1469" xr:uid="{00000000-0005-0000-0000-0000D3050000}"/>
    <cellStyle name="20% - Ênfase5 147" xfId="1470" xr:uid="{00000000-0005-0000-0000-0000D4050000}"/>
    <cellStyle name="20% - Ênfase5 148" xfId="1471" xr:uid="{00000000-0005-0000-0000-0000D5050000}"/>
    <cellStyle name="20% - Ênfase5 149" xfId="1472" xr:uid="{00000000-0005-0000-0000-0000D6050000}"/>
    <cellStyle name="20% - Ênfase5 15" xfId="1473" xr:uid="{00000000-0005-0000-0000-0000D7050000}"/>
    <cellStyle name="20% - Ênfase5 15 2" xfId="1474" xr:uid="{00000000-0005-0000-0000-0000D8050000}"/>
    <cellStyle name="20% - Ênfase5 15 3" xfId="1475" xr:uid="{00000000-0005-0000-0000-0000D9050000}"/>
    <cellStyle name="20% - Ênfase5 150" xfId="1476" xr:uid="{00000000-0005-0000-0000-0000DA050000}"/>
    <cellStyle name="20% - Ênfase5 151" xfId="1477" xr:uid="{00000000-0005-0000-0000-0000DB050000}"/>
    <cellStyle name="20% - Ênfase5 152" xfId="1478" xr:uid="{00000000-0005-0000-0000-0000DC050000}"/>
    <cellStyle name="20% - Ênfase5 153" xfId="1479" xr:uid="{00000000-0005-0000-0000-0000DD050000}"/>
    <cellStyle name="20% - Ênfase5 154" xfId="1480" xr:uid="{00000000-0005-0000-0000-0000DE050000}"/>
    <cellStyle name="20% - Ênfase5 155" xfId="1481" xr:uid="{00000000-0005-0000-0000-0000DF050000}"/>
    <cellStyle name="20% - Ênfase5 156" xfId="1482" xr:uid="{00000000-0005-0000-0000-0000E0050000}"/>
    <cellStyle name="20% - Ênfase5 157" xfId="1483" xr:uid="{00000000-0005-0000-0000-0000E1050000}"/>
    <cellStyle name="20% - Ênfase5 158" xfId="1484" xr:uid="{00000000-0005-0000-0000-0000E2050000}"/>
    <cellStyle name="20% - Ênfase5 159" xfId="1485" xr:uid="{00000000-0005-0000-0000-0000E3050000}"/>
    <cellStyle name="20% - Ênfase5 16" xfId="1486" xr:uid="{00000000-0005-0000-0000-0000E4050000}"/>
    <cellStyle name="20% - Ênfase5 16 2" xfId="1487" xr:uid="{00000000-0005-0000-0000-0000E5050000}"/>
    <cellStyle name="20% - Ênfase5 16 3" xfId="1488" xr:uid="{00000000-0005-0000-0000-0000E6050000}"/>
    <cellStyle name="20% - Ênfase5 160" xfId="1489" xr:uid="{00000000-0005-0000-0000-0000E7050000}"/>
    <cellStyle name="20% - Ênfase5 161" xfId="1490" xr:uid="{00000000-0005-0000-0000-0000E8050000}"/>
    <cellStyle name="20% - Ênfase5 162" xfId="1491" xr:uid="{00000000-0005-0000-0000-0000E9050000}"/>
    <cellStyle name="20% - Ênfase5 163" xfId="1492" xr:uid="{00000000-0005-0000-0000-0000EA050000}"/>
    <cellStyle name="20% - Ênfase5 164" xfId="1493" xr:uid="{00000000-0005-0000-0000-0000EB050000}"/>
    <cellStyle name="20% - Ênfase5 165" xfId="1494" xr:uid="{00000000-0005-0000-0000-0000EC050000}"/>
    <cellStyle name="20% - Ênfase5 166" xfId="1495" xr:uid="{00000000-0005-0000-0000-0000ED050000}"/>
    <cellStyle name="20% - Ênfase5 167" xfId="1496" xr:uid="{00000000-0005-0000-0000-0000EE050000}"/>
    <cellStyle name="20% - Ênfase5 168" xfId="1497" xr:uid="{00000000-0005-0000-0000-0000EF050000}"/>
    <cellStyle name="20% - Ênfase5 169" xfId="1498" xr:uid="{00000000-0005-0000-0000-0000F0050000}"/>
    <cellStyle name="20% - Ênfase5 17" xfId="1499" xr:uid="{00000000-0005-0000-0000-0000F1050000}"/>
    <cellStyle name="20% - Ênfase5 17 2" xfId="1500" xr:uid="{00000000-0005-0000-0000-0000F2050000}"/>
    <cellStyle name="20% - Ênfase5 17 3" xfId="1501" xr:uid="{00000000-0005-0000-0000-0000F3050000}"/>
    <cellStyle name="20% - Ênfase5 170" xfId="1502" xr:uid="{00000000-0005-0000-0000-0000F4050000}"/>
    <cellStyle name="20% - Ênfase5 171" xfId="1503" xr:uid="{00000000-0005-0000-0000-0000F5050000}"/>
    <cellStyle name="20% - Ênfase5 172" xfId="1504" xr:uid="{00000000-0005-0000-0000-0000F6050000}"/>
    <cellStyle name="20% - Ênfase5 173" xfId="1505" xr:uid="{00000000-0005-0000-0000-0000F7050000}"/>
    <cellStyle name="20% - Ênfase5 174" xfId="1506" xr:uid="{00000000-0005-0000-0000-0000F8050000}"/>
    <cellStyle name="20% - Ênfase5 175" xfId="1507" xr:uid="{00000000-0005-0000-0000-0000F9050000}"/>
    <cellStyle name="20% - Ênfase5 176" xfId="1508" xr:uid="{00000000-0005-0000-0000-0000FA050000}"/>
    <cellStyle name="20% - Ênfase5 177" xfId="1509" xr:uid="{00000000-0005-0000-0000-0000FB050000}"/>
    <cellStyle name="20% - Ênfase5 178" xfId="1510" xr:uid="{00000000-0005-0000-0000-0000FC050000}"/>
    <cellStyle name="20% - Ênfase5 179" xfId="1511" xr:uid="{00000000-0005-0000-0000-0000FD050000}"/>
    <cellStyle name="20% - Ênfase5 18" xfId="1512" xr:uid="{00000000-0005-0000-0000-0000FE050000}"/>
    <cellStyle name="20% - Ênfase5 18 2" xfId="1513" xr:uid="{00000000-0005-0000-0000-0000FF050000}"/>
    <cellStyle name="20% - Ênfase5 18 3" xfId="1514" xr:uid="{00000000-0005-0000-0000-000000060000}"/>
    <cellStyle name="20% - Ênfase5 180" xfId="1515" xr:uid="{00000000-0005-0000-0000-000001060000}"/>
    <cellStyle name="20% - Ênfase5 181" xfId="1516" xr:uid="{00000000-0005-0000-0000-000002060000}"/>
    <cellStyle name="20% - Ênfase5 182" xfId="1517" xr:uid="{00000000-0005-0000-0000-000003060000}"/>
    <cellStyle name="20% - Ênfase5 183" xfId="1518" xr:uid="{00000000-0005-0000-0000-000004060000}"/>
    <cellStyle name="20% - Ênfase5 184" xfId="1519" xr:uid="{00000000-0005-0000-0000-000005060000}"/>
    <cellStyle name="20% - Ênfase5 185" xfId="1520" xr:uid="{00000000-0005-0000-0000-000006060000}"/>
    <cellStyle name="20% - Ênfase5 186" xfId="1521" xr:uid="{00000000-0005-0000-0000-000007060000}"/>
    <cellStyle name="20% - Ênfase5 187" xfId="1522" xr:uid="{00000000-0005-0000-0000-000008060000}"/>
    <cellStyle name="20% - Ênfase5 188" xfId="1523" xr:uid="{00000000-0005-0000-0000-000009060000}"/>
    <cellStyle name="20% - Ênfase5 189" xfId="1524" xr:uid="{00000000-0005-0000-0000-00000A060000}"/>
    <cellStyle name="20% - Ênfase5 19" xfId="1525" xr:uid="{00000000-0005-0000-0000-00000B060000}"/>
    <cellStyle name="20% - Ênfase5 19 2" xfId="1526" xr:uid="{00000000-0005-0000-0000-00000C060000}"/>
    <cellStyle name="20% - Ênfase5 19 3" xfId="1527" xr:uid="{00000000-0005-0000-0000-00000D060000}"/>
    <cellStyle name="20% - Ênfase5 190" xfId="1528" xr:uid="{00000000-0005-0000-0000-00000E060000}"/>
    <cellStyle name="20% - Ênfase5 2" xfId="1529" xr:uid="{00000000-0005-0000-0000-00000F060000}"/>
    <cellStyle name="20% - Ênfase5 2 10" xfId="1530" xr:uid="{00000000-0005-0000-0000-000010060000}"/>
    <cellStyle name="20% - Ênfase5 2 11" xfId="1531" xr:uid="{00000000-0005-0000-0000-000011060000}"/>
    <cellStyle name="20% - Ênfase5 2 12" xfId="1532" xr:uid="{00000000-0005-0000-0000-000012060000}"/>
    <cellStyle name="20% - Ênfase5 2 13" xfId="1533" xr:uid="{00000000-0005-0000-0000-000013060000}"/>
    <cellStyle name="20% - Ênfase5 2 14" xfId="1534" xr:uid="{00000000-0005-0000-0000-000014060000}"/>
    <cellStyle name="20% - Ênfase5 2 15" xfId="1535" xr:uid="{00000000-0005-0000-0000-000015060000}"/>
    <cellStyle name="20% - Ênfase5 2 16" xfId="1536" xr:uid="{00000000-0005-0000-0000-000016060000}"/>
    <cellStyle name="20% - Ênfase5 2 17" xfId="1537" xr:uid="{00000000-0005-0000-0000-000017060000}"/>
    <cellStyle name="20% - Ênfase5 2 18" xfId="1538" xr:uid="{00000000-0005-0000-0000-000018060000}"/>
    <cellStyle name="20% - Ênfase5 2 19" xfId="1539" xr:uid="{00000000-0005-0000-0000-000019060000}"/>
    <cellStyle name="20% - Ênfase5 2 2" xfId="1540" xr:uid="{00000000-0005-0000-0000-00001A060000}"/>
    <cellStyle name="20% - Ênfase5 2 20" xfId="1541" xr:uid="{00000000-0005-0000-0000-00001B060000}"/>
    <cellStyle name="20% - Ênfase5 2 21" xfId="1542" xr:uid="{00000000-0005-0000-0000-00001C060000}"/>
    <cellStyle name="20% - Ênfase5 2 22" xfId="1543" xr:uid="{00000000-0005-0000-0000-00001D060000}"/>
    <cellStyle name="20% - Ênfase5 2 23" xfId="1544" xr:uid="{00000000-0005-0000-0000-00001E060000}"/>
    <cellStyle name="20% - Ênfase5 2 24" xfId="1545" xr:uid="{00000000-0005-0000-0000-00001F060000}"/>
    <cellStyle name="20% - Ênfase5 2 25" xfId="1546" xr:uid="{00000000-0005-0000-0000-000020060000}"/>
    <cellStyle name="20% - Ênfase5 2 26" xfId="1547" xr:uid="{00000000-0005-0000-0000-000021060000}"/>
    <cellStyle name="20% - Ênfase5 2 27" xfId="1548" xr:uid="{00000000-0005-0000-0000-000022060000}"/>
    <cellStyle name="20% - Ênfase5 2 28" xfId="1549" xr:uid="{00000000-0005-0000-0000-000023060000}"/>
    <cellStyle name="20% - Ênfase5 2 29" xfId="1550" xr:uid="{00000000-0005-0000-0000-000024060000}"/>
    <cellStyle name="20% - Ênfase5 2 3" xfId="1551" xr:uid="{00000000-0005-0000-0000-000025060000}"/>
    <cellStyle name="20% - Ênfase5 2 30" xfId="1552" xr:uid="{00000000-0005-0000-0000-000026060000}"/>
    <cellStyle name="20% - Ênfase5 2 31" xfId="1553" xr:uid="{00000000-0005-0000-0000-000027060000}"/>
    <cellStyle name="20% - Ênfase5 2 32" xfId="1554" xr:uid="{00000000-0005-0000-0000-000028060000}"/>
    <cellStyle name="20% - Ênfase5 2 33" xfId="1555" xr:uid="{00000000-0005-0000-0000-000029060000}"/>
    <cellStyle name="20% - Ênfase5 2 34" xfId="1556" xr:uid="{00000000-0005-0000-0000-00002A060000}"/>
    <cellStyle name="20% - Ênfase5 2 35" xfId="1557" xr:uid="{00000000-0005-0000-0000-00002B060000}"/>
    <cellStyle name="20% - Ênfase5 2 4" xfId="1558" xr:uid="{00000000-0005-0000-0000-00002C060000}"/>
    <cellStyle name="20% - Ênfase5 2 5" xfId="1559" xr:uid="{00000000-0005-0000-0000-00002D060000}"/>
    <cellStyle name="20% - Ênfase5 2 6" xfId="1560" xr:uid="{00000000-0005-0000-0000-00002E060000}"/>
    <cellStyle name="20% - Ênfase5 2 7" xfId="1561" xr:uid="{00000000-0005-0000-0000-00002F060000}"/>
    <cellStyle name="20% - Ênfase5 2 8" xfId="1562" xr:uid="{00000000-0005-0000-0000-000030060000}"/>
    <cellStyle name="20% - Ênfase5 2 9" xfId="1563" xr:uid="{00000000-0005-0000-0000-000031060000}"/>
    <cellStyle name="20% - Ênfase5 20" xfId="1564" xr:uid="{00000000-0005-0000-0000-000032060000}"/>
    <cellStyle name="20% - Ênfase5 20 2" xfId="1565" xr:uid="{00000000-0005-0000-0000-000033060000}"/>
    <cellStyle name="20% - Ênfase5 20 3" xfId="1566" xr:uid="{00000000-0005-0000-0000-000034060000}"/>
    <cellStyle name="20% - Ênfase5 21" xfId="1567" xr:uid="{00000000-0005-0000-0000-000035060000}"/>
    <cellStyle name="20% - Ênfase5 22" xfId="1568" xr:uid="{00000000-0005-0000-0000-000036060000}"/>
    <cellStyle name="20% - Ênfase5 23" xfId="1569" xr:uid="{00000000-0005-0000-0000-000037060000}"/>
    <cellStyle name="20% - Ênfase5 24" xfId="1570" xr:uid="{00000000-0005-0000-0000-000038060000}"/>
    <cellStyle name="20% - Ênfase5 25" xfId="1571" xr:uid="{00000000-0005-0000-0000-000039060000}"/>
    <cellStyle name="20% - Ênfase5 26" xfId="1572" xr:uid="{00000000-0005-0000-0000-00003A060000}"/>
    <cellStyle name="20% - Ênfase5 27" xfId="1573" xr:uid="{00000000-0005-0000-0000-00003B060000}"/>
    <cellStyle name="20% - Ênfase5 28" xfId="1574" xr:uid="{00000000-0005-0000-0000-00003C060000}"/>
    <cellStyle name="20% - Ênfase5 29" xfId="1575" xr:uid="{00000000-0005-0000-0000-00003D060000}"/>
    <cellStyle name="20% - Ênfase5 3" xfId="1576" xr:uid="{00000000-0005-0000-0000-00003E060000}"/>
    <cellStyle name="20% - Ênfase5 3 2" xfId="1577" xr:uid="{00000000-0005-0000-0000-00003F060000}"/>
    <cellStyle name="20% - Ênfase5 3 3" xfId="1578" xr:uid="{00000000-0005-0000-0000-000040060000}"/>
    <cellStyle name="20% - Ênfase5 3 4" xfId="1579" xr:uid="{00000000-0005-0000-0000-000041060000}"/>
    <cellStyle name="20% - Ênfase5 3 5" xfId="1580" xr:uid="{00000000-0005-0000-0000-000042060000}"/>
    <cellStyle name="20% - Ênfase5 3 6" xfId="1581" xr:uid="{00000000-0005-0000-0000-000043060000}"/>
    <cellStyle name="20% - Ênfase5 3 7" xfId="1582" xr:uid="{00000000-0005-0000-0000-000044060000}"/>
    <cellStyle name="20% - Ênfase5 30" xfId="1583" xr:uid="{00000000-0005-0000-0000-000045060000}"/>
    <cellStyle name="20% - Ênfase5 31" xfId="1584" xr:uid="{00000000-0005-0000-0000-000046060000}"/>
    <cellStyle name="20% - Ênfase5 32" xfId="1585" xr:uid="{00000000-0005-0000-0000-000047060000}"/>
    <cellStyle name="20% - Ênfase5 33" xfId="1586" xr:uid="{00000000-0005-0000-0000-000048060000}"/>
    <cellStyle name="20% - Ênfase5 34" xfId="1587" xr:uid="{00000000-0005-0000-0000-000049060000}"/>
    <cellStyle name="20% - Ênfase5 35" xfId="1588" xr:uid="{00000000-0005-0000-0000-00004A060000}"/>
    <cellStyle name="20% - Ênfase5 36" xfId="1589" xr:uid="{00000000-0005-0000-0000-00004B060000}"/>
    <cellStyle name="20% - Ênfase5 37" xfId="1590" xr:uid="{00000000-0005-0000-0000-00004C060000}"/>
    <cellStyle name="20% - Ênfase5 38" xfId="1591" xr:uid="{00000000-0005-0000-0000-00004D060000}"/>
    <cellStyle name="20% - Ênfase5 39" xfId="1592" xr:uid="{00000000-0005-0000-0000-00004E060000}"/>
    <cellStyle name="20% - Ênfase5 4" xfId="1593" xr:uid="{00000000-0005-0000-0000-00004F060000}"/>
    <cellStyle name="20% - Ênfase5 4 2" xfId="1594" xr:uid="{00000000-0005-0000-0000-000050060000}"/>
    <cellStyle name="20% - Ênfase5 4 3" xfId="1595" xr:uid="{00000000-0005-0000-0000-000051060000}"/>
    <cellStyle name="20% - Ênfase5 4 4" xfId="1596" xr:uid="{00000000-0005-0000-0000-000052060000}"/>
    <cellStyle name="20% - Ênfase5 4 5" xfId="1597" xr:uid="{00000000-0005-0000-0000-000053060000}"/>
    <cellStyle name="20% - Ênfase5 4 6" xfId="1598" xr:uid="{00000000-0005-0000-0000-000054060000}"/>
    <cellStyle name="20% - Ênfase5 4 7" xfId="1599" xr:uid="{00000000-0005-0000-0000-000055060000}"/>
    <cellStyle name="20% - Ênfase5 40" xfId="1600" xr:uid="{00000000-0005-0000-0000-000056060000}"/>
    <cellStyle name="20% - Ênfase5 41" xfId="1601" xr:uid="{00000000-0005-0000-0000-000057060000}"/>
    <cellStyle name="20% - Ênfase5 42" xfId="1602" xr:uid="{00000000-0005-0000-0000-000058060000}"/>
    <cellStyle name="20% - Ênfase5 43" xfId="1603" xr:uid="{00000000-0005-0000-0000-000059060000}"/>
    <cellStyle name="20% - Ênfase5 44" xfId="1604" xr:uid="{00000000-0005-0000-0000-00005A060000}"/>
    <cellStyle name="20% - Ênfase5 45" xfId="1605" xr:uid="{00000000-0005-0000-0000-00005B060000}"/>
    <cellStyle name="20% - Ênfase5 46" xfId="1606" xr:uid="{00000000-0005-0000-0000-00005C060000}"/>
    <cellStyle name="20% - Ênfase5 47" xfId="1607" xr:uid="{00000000-0005-0000-0000-00005D060000}"/>
    <cellStyle name="20% - Ênfase5 48" xfId="1608" xr:uid="{00000000-0005-0000-0000-00005E060000}"/>
    <cellStyle name="20% - Ênfase5 49" xfId="1609" xr:uid="{00000000-0005-0000-0000-00005F060000}"/>
    <cellStyle name="20% - Ênfase5 5" xfId="1610" xr:uid="{00000000-0005-0000-0000-000060060000}"/>
    <cellStyle name="20% - Ênfase5 5 2" xfId="1611" xr:uid="{00000000-0005-0000-0000-000061060000}"/>
    <cellStyle name="20% - Ênfase5 5 3" xfId="1612" xr:uid="{00000000-0005-0000-0000-000062060000}"/>
    <cellStyle name="20% - Ênfase5 5 4" xfId="1613" xr:uid="{00000000-0005-0000-0000-000063060000}"/>
    <cellStyle name="20% - Ênfase5 50" xfId="1614" xr:uid="{00000000-0005-0000-0000-000064060000}"/>
    <cellStyle name="20% - Ênfase5 51" xfId="1615" xr:uid="{00000000-0005-0000-0000-000065060000}"/>
    <cellStyle name="20% - Ênfase5 52" xfId="1616" xr:uid="{00000000-0005-0000-0000-000066060000}"/>
    <cellStyle name="20% - Ênfase5 53" xfId="1617" xr:uid="{00000000-0005-0000-0000-000067060000}"/>
    <cellStyle name="20% - Ênfase5 54" xfId="1618" xr:uid="{00000000-0005-0000-0000-000068060000}"/>
    <cellStyle name="20% - Ênfase5 55" xfId="1619" xr:uid="{00000000-0005-0000-0000-000069060000}"/>
    <cellStyle name="20% - Ênfase5 56" xfId="1620" xr:uid="{00000000-0005-0000-0000-00006A060000}"/>
    <cellStyle name="20% - Ênfase5 57" xfId="1621" xr:uid="{00000000-0005-0000-0000-00006B060000}"/>
    <cellStyle name="20% - Ênfase5 58" xfId="1622" xr:uid="{00000000-0005-0000-0000-00006C060000}"/>
    <cellStyle name="20% - Ênfase5 59" xfId="1623" xr:uid="{00000000-0005-0000-0000-00006D060000}"/>
    <cellStyle name="20% - Ênfase5 6" xfId="1624" xr:uid="{00000000-0005-0000-0000-00006E060000}"/>
    <cellStyle name="20% - Ênfase5 6 2" xfId="1625" xr:uid="{00000000-0005-0000-0000-00006F060000}"/>
    <cellStyle name="20% - Ênfase5 6 3" xfId="1626" xr:uid="{00000000-0005-0000-0000-000070060000}"/>
    <cellStyle name="20% - Ênfase5 6 4" xfId="1627" xr:uid="{00000000-0005-0000-0000-000071060000}"/>
    <cellStyle name="20% - Ênfase5 60" xfId="1628" xr:uid="{00000000-0005-0000-0000-000072060000}"/>
    <cellStyle name="20% - Ênfase5 61" xfId="1629" xr:uid="{00000000-0005-0000-0000-000073060000}"/>
    <cellStyle name="20% - Ênfase5 62" xfId="1630" xr:uid="{00000000-0005-0000-0000-000074060000}"/>
    <cellStyle name="20% - Ênfase5 63" xfId="1631" xr:uid="{00000000-0005-0000-0000-000075060000}"/>
    <cellStyle name="20% - Ênfase5 64" xfId="1632" xr:uid="{00000000-0005-0000-0000-000076060000}"/>
    <cellStyle name="20% - Ênfase5 65" xfId="1633" xr:uid="{00000000-0005-0000-0000-000077060000}"/>
    <cellStyle name="20% - Ênfase5 66" xfId="1634" xr:uid="{00000000-0005-0000-0000-000078060000}"/>
    <cellStyle name="20% - Ênfase5 67" xfId="1635" xr:uid="{00000000-0005-0000-0000-000079060000}"/>
    <cellStyle name="20% - Ênfase5 68" xfId="1636" xr:uid="{00000000-0005-0000-0000-00007A060000}"/>
    <cellStyle name="20% - Ênfase5 69" xfId="1637" xr:uid="{00000000-0005-0000-0000-00007B060000}"/>
    <cellStyle name="20% - Ênfase5 7" xfId="1638" xr:uid="{00000000-0005-0000-0000-00007C060000}"/>
    <cellStyle name="20% - Ênfase5 7 2" xfId="1639" xr:uid="{00000000-0005-0000-0000-00007D060000}"/>
    <cellStyle name="20% - Ênfase5 7 3" xfId="1640" xr:uid="{00000000-0005-0000-0000-00007E060000}"/>
    <cellStyle name="20% - Ênfase5 7 4" xfId="1641" xr:uid="{00000000-0005-0000-0000-00007F060000}"/>
    <cellStyle name="20% - Ênfase5 70" xfId="1642" xr:uid="{00000000-0005-0000-0000-000080060000}"/>
    <cellStyle name="20% - Ênfase5 71" xfId="1643" xr:uid="{00000000-0005-0000-0000-000081060000}"/>
    <cellStyle name="20% - Ênfase5 72" xfId="1644" xr:uid="{00000000-0005-0000-0000-000082060000}"/>
    <cellStyle name="20% - Ênfase5 73" xfId="1645" xr:uid="{00000000-0005-0000-0000-000083060000}"/>
    <cellStyle name="20% - Ênfase5 74" xfId="1646" xr:uid="{00000000-0005-0000-0000-000084060000}"/>
    <cellStyle name="20% - Ênfase5 75" xfId="1647" xr:uid="{00000000-0005-0000-0000-000085060000}"/>
    <cellStyle name="20% - Ênfase5 76" xfId="1648" xr:uid="{00000000-0005-0000-0000-000086060000}"/>
    <cellStyle name="20% - Ênfase5 77" xfId="1649" xr:uid="{00000000-0005-0000-0000-000087060000}"/>
    <cellStyle name="20% - Ênfase5 78" xfId="1650" xr:uid="{00000000-0005-0000-0000-000088060000}"/>
    <cellStyle name="20% - Ênfase5 79" xfId="1651" xr:uid="{00000000-0005-0000-0000-000089060000}"/>
    <cellStyle name="20% - Ênfase5 8" xfId="1652" xr:uid="{00000000-0005-0000-0000-00008A060000}"/>
    <cellStyle name="20% - Ênfase5 8 2" xfId="1653" xr:uid="{00000000-0005-0000-0000-00008B060000}"/>
    <cellStyle name="20% - Ênfase5 8 3" xfId="1654" xr:uid="{00000000-0005-0000-0000-00008C060000}"/>
    <cellStyle name="20% - Ênfase5 8 4" xfId="1655" xr:uid="{00000000-0005-0000-0000-00008D060000}"/>
    <cellStyle name="20% - Ênfase5 80" xfId="1656" xr:uid="{00000000-0005-0000-0000-00008E060000}"/>
    <cellStyle name="20% - Ênfase5 81" xfId="1657" xr:uid="{00000000-0005-0000-0000-00008F060000}"/>
    <cellStyle name="20% - Ênfase5 82" xfId="1658" xr:uid="{00000000-0005-0000-0000-000090060000}"/>
    <cellStyle name="20% - Ênfase5 83" xfId="1659" xr:uid="{00000000-0005-0000-0000-000091060000}"/>
    <cellStyle name="20% - Ênfase5 84" xfId="1660" xr:uid="{00000000-0005-0000-0000-000092060000}"/>
    <cellStyle name="20% - Ênfase5 85" xfId="1661" xr:uid="{00000000-0005-0000-0000-000093060000}"/>
    <cellStyle name="20% - Ênfase5 86" xfId="1662" xr:uid="{00000000-0005-0000-0000-000094060000}"/>
    <cellStyle name="20% - Ênfase5 87" xfId="1663" xr:uid="{00000000-0005-0000-0000-000095060000}"/>
    <cellStyle name="20% - Ênfase5 88" xfId="1664" xr:uid="{00000000-0005-0000-0000-000096060000}"/>
    <cellStyle name="20% - Ênfase5 89" xfId="1665" xr:uid="{00000000-0005-0000-0000-000097060000}"/>
    <cellStyle name="20% - Ênfase5 9" xfId="1666" xr:uid="{00000000-0005-0000-0000-000098060000}"/>
    <cellStyle name="20% - Ênfase5 90" xfId="1667" xr:uid="{00000000-0005-0000-0000-000099060000}"/>
    <cellStyle name="20% - Ênfase5 91" xfId="1668" xr:uid="{00000000-0005-0000-0000-00009A060000}"/>
    <cellStyle name="20% - Ênfase5 92" xfId="1669" xr:uid="{00000000-0005-0000-0000-00009B060000}"/>
    <cellStyle name="20% - Ênfase5 93" xfId="1670" xr:uid="{00000000-0005-0000-0000-00009C060000}"/>
    <cellStyle name="20% - Ênfase5 94" xfId="1671" xr:uid="{00000000-0005-0000-0000-00009D060000}"/>
    <cellStyle name="20% - Ênfase5 95" xfId="1672" xr:uid="{00000000-0005-0000-0000-00009E060000}"/>
    <cellStyle name="20% - Ênfase5 96" xfId="1673" xr:uid="{00000000-0005-0000-0000-00009F060000}"/>
    <cellStyle name="20% - Ênfase5 97" xfId="1674" xr:uid="{00000000-0005-0000-0000-0000A0060000}"/>
    <cellStyle name="20% - Ênfase5 98" xfId="1675" xr:uid="{00000000-0005-0000-0000-0000A1060000}"/>
    <cellStyle name="20% - Ênfase5 99" xfId="1676" xr:uid="{00000000-0005-0000-0000-0000A2060000}"/>
    <cellStyle name="20% - Ênfase6 10" xfId="1677" xr:uid="{00000000-0005-0000-0000-0000A3060000}"/>
    <cellStyle name="20% - Ênfase6 10 2" xfId="40478" xr:uid="{00000000-0005-0000-0000-0000A4060000}"/>
    <cellStyle name="20% - Ênfase6 100" xfId="1678" xr:uid="{00000000-0005-0000-0000-0000A5060000}"/>
    <cellStyle name="20% - Ênfase6 101" xfId="1679" xr:uid="{00000000-0005-0000-0000-0000A6060000}"/>
    <cellStyle name="20% - Ênfase6 102" xfId="1680" xr:uid="{00000000-0005-0000-0000-0000A7060000}"/>
    <cellStyle name="20% - Ênfase6 103" xfId="1681" xr:uid="{00000000-0005-0000-0000-0000A8060000}"/>
    <cellStyle name="20% - Ênfase6 104" xfId="1682" xr:uid="{00000000-0005-0000-0000-0000A9060000}"/>
    <cellStyle name="20% - Ênfase6 105" xfId="1683" xr:uid="{00000000-0005-0000-0000-0000AA060000}"/>
    <cellStyle name="20% - Ênfase6 106" xfId="1684" xr:uid="{00000000-0005-0000-0000-0000AB060000}"/>
    <cellStyle name="20% - Ênfase6 107" xfId="1685" xr:uid="{00000000-0005-0000-0000-0000AC060000}"/>
    <cellStyle name="20% - Ênfase6 108" xfId="1686" xr:uid="{00000000-0005-0000-0000-0000AD060000}"/>
    <cellStyle name="20% - Ênfase6 109" xfId="1687" xr:uid="{00000000-0005-0000-0000-0000AE060000}"/>
    <cellStyle name="20% - Ênfase6 11" xfId="1688" xr:uid="{00000000-0005-0000-0000-0000AF060000}"/>
    <cellStyle name="20% - Ênfase6 11 2" xfId="40479" xr:uid="{00000000-0005-0000-0000-0000B0060000}"/>
    <cellStyle name="20% - Ênfase6 110" xfId="1689" xr:uid="{00000000-0005-0000-0000-0000B1060000}"/>
    <cellStyle name="20% - Ênfase6 111" xfId="1690" xr:uid="{00000000-0005-0000-0000-0000B2060000}"/>
    <cellStyle name="20% - Ênfase6 112" xfId="1691" xr:uid="{00000000-0005-0000-0000-0000B3060000}"/>
    <cellStyle name="20% - Ênfase6 113" xfId="1692" xr:uid="{00000000-0005-0000-0000-0000B4060000}"/>
    <cellStyle name="20% - Ênfase6 114" xfId="1693" xr:uid="{00000000-0005-0000-0000-0000B5060000}"/>
    <cellStyle name="20% - Ênfase6 115" xfId="1694" xr:uid="{00000000-0005-0000-0000-0000B6060000}"/>
    <cellStyle name="20% - Ênfase6 116" xfId="1695" xr:uid="{00000000-0005-0000-0000-0000B7060000}"/>
    <cellStyle name="20% - Ênfase6 117" xfId="1696" xr:uid="{00000000-0005-0000-0000-0000B8060000}"/>
    <cellStyle name="20% - Ênfase6 118" xfId="1697" xr:uid="{00000000-0005-0000-0000-0000B9060000}"/>
    <cellStyle name="20% - Ênfase6 119" xfId="1698" xr:uid="{00000000-0005-0000-0000-0000BA060000}"/>
    <cellStyle name="20% - Ênfase6 12" xfId="1699" xr:uid="{00000000-0005-0000-0000-0000BB060000}"/>
    <cellStyle name="20% - Ênfase6 12 2" xfId="40480" xr:uid="{00000000-0005-0000-0000-0000BC060000}"/>
    <cellStyle name="20% - Ênfase6 120" xfId="1700" xr:uid="{00000000-0005-0000-0000-0000BD060000}"/>
    <cellStyle name="20% - Ênfase6 121" xfId="1701" xr:uid="{00000000-0005-0000-0000-0000BE060000}"/>
    <cellStyle name="20% - Ênfase6 122" xfId="1702" xr:uid="{00000000-0005-0000-0000-0000BF060000}"/>
    <cellStyle name="20% - Ênfase6 123" xfId="1703" xr:uid="{00000000-0005-0000-0000-0000C0060000}"/>
    <cellStyle name="20% - Ênfase6 124" xfId="1704" xr:uid="{00000000-0005-0000-0000-0000C1060000}"/>
    <cellStyle name="20% - Ênfase6 125" xfId="1705" xr:uid="{00000000-0005-0000-0000-0000C2060000}"/>
    <cellStyle name="20% - Ênfase6 126" xfId="1706" xr:uid="{00000000-0005-0000-0000-0000C3060000}"/>
    <cellStyle name="20% - Ênfase6 127" xfId="1707" xr:uid="{00000000-0005-0000-0000-0000C4060000}"/>
    <cellStyle name="20% - Ênfase6 128" xfId="1708" xr:uid="{00000000-0005-0000-0000-0000C5060000}"/>
    <cellStyle name="20% - Ênfase6 129" xfId="1709" xr:uid="{00000000-0005-0000-0000-0000C6060000}"/>
    <cellStyle name="20% - Ênfase6 13" xfId="1710" xr:uid="{00000000-0005-0000-0000-0000C7060000}"/>
    <cellStyle name="20% - Ênfase6 13 2" xfId="40481" xr:uid="{00000000-0005-0000-0000-0000C8060000}"/>
    <cellStyle name="20% - Ênfase6 130" xfId="1711" xr:uid="{00000000-0005-0000-0000-0000C9060000}"/>
    <cellStyle name="20% - Ênfase6 131" xfId="1712" xr:uid="{00000000-0005-0000-0000-0000CA060000}"/>
    <cellStyle name="20% - Ênfase6 132" xfId="1713" xr:uid="{00000000-0005-0000-0000-0000CB060000}"/>
    <cellStyle name="20% - Ênfase6 133" xfId="1714" xr:uid="{00000000-0005-0000-0000-0000CC060000}"/>
    <cellStyle name="20% - Ênfase6 134" xfId="1715" xr:uid="{00000000-0005-0000-0000-0000CD060000}"/>
    <cellStyle name="20% - Ênfase6 135" xfId="1716" xr:uid="{00000000-0005-0000-0000-0000CE060000}"/>
    <cellStyle name="20% - Ênfase6 136" xfId="1717" xr:uid="{00000000-0005-0000-0000-0000CF060000}"/>
    <cellStyle name="20% - Ênfase6 137" xfId="1718" xr:uid="{00000000-0005-0000-0000-0000D0060000}"/>
    <cellStyle name="20% - Ênfase6 138" xfId="1719" xr:uid="{00000000-0005-0000-0000-0000D1060000}"/>
    <cellStyle name="20% - Ênfase6 139" xfId="1720" xr:uid="{00000000-0005-0000-0000-0000D2060000}"/>
    <cellStyle name="20% - Ênfase6 14" xfId="1721" xr:uid="{00000000-0005-0000-0000-0000D3060000}"/>
    <cellStyle name="20% - Ênfase6 140" xfId="1722" xr:uid="{00000000-0005-0000-0000-0000D4060000}"/>
    <cellStyle name="20% - Ênfase6 141" xfId="1723" xr:uid="{00000000-0005-0000-0000-0000D5060000}"/>
    <cellStyle name="20% - Ênfase6 142" xfId="1724" xr:uid="{00000000-0005-0000-0000-0000D6060000}"/>
    <cellStyle name="20% - Ênfase6 143" xfId="1725" xr:uid="{00000000-0005-0000-0000-0000D7060000}"/>
    <cellStyle name="20% - Ênfase6 144" xfId="1726" xr:uid="{00000000-0005-0000-0000-0000D8060000}"/>
    <cellStyle name="20% - Ênfase6 145" xfId="1727" xr:uid="{00000000-0005-0000-0000-0000D9060000}"/>
    <cellStyle name="20% - Ênfase6 146" xfId="1728" xr:uid="{00000000-0005-0000-0000-0000DA060000}"/>
    <cellStyle name="20% - Ênfase6 147" xfId="1729" xr:uid="{00000000-0005-0000-0000-0000DB060000}"/>
    <cellStyle name="20% - Ênfase6 148" xfId="1730" xr:uid="{00000000-0005-0000-0000-0000DC060000}"/>
    <cellStyle name="20% - Ênfase6 149" xfId="1731" xr:uid="{00000000-0005-0000-0000-0000DD060000}"/>
    <cellStyle name="20% - Ênfase6 15" xfId="1732" xr:uid="{00000000-0005-0000-0000-0000DE060000}"/>
    <cellStyle name="20% - Ênfase6 15 2" xfId="1733" xr:uid="{00000000-0005-0000-0000-0000DF060000}"/>
    <cellStyle name="20% - Ênfase6 15 3" xfId="1734" xr:uid="{00000000-0005-0000-0000-0000E0060000}"/>
    <cellStyle name="20% - Ênfase6 150" xfId="1735" xr:uid="{00000000-0005-0000-0000-0000E1060000}"/>
    <cellStyle name="20% - Ênfase6 151" xfId="1736" xr:uid="{00000000-0005-0000-0000-0000E2060000}"/>
    <cellStyle name="20% - Ênfase6 152" xfId="1737" xr:uid="{00000000-0005-0000-0000-0000E3060000}"/>
    <cellStyle name="20% - Ênfase6 153" xfId="1738" xr:uid="{00000000-0005-0000-0000-0000E4060000}"/>
    <cellStyle name="20% - Ênfase6 154" xfId="1739" xr:uid="{00000000-0005-0000-0000-0000E5060000}"/>
    <cellStyle name="20% - Ênfase6 155" xfId="1740" xr:uid="{00000000-0005-0000-0000-0000E6060000}"/>
    <cellStyle name="20% - Ênfase6 156" xfId="1741" xr:uid="{00000000-0005-0000-0000-0000E7060000}"/>
    <cellStyle name="20% - Ênfase6 157" xfId="1742" xr:uid="{00000000-0005-0000-0000-0000E8060000}"/>
    <cellStyle name="20% - Ênfase6 158" xfId="1743" xr:uid="{00000000-0005-0000-0000-0000E9060000}"/>
    <cellStyle name="20% - Ênfase6 159" xfId="1744" xr:uid="{00000000-0005-0000-0000-0000EA060000}"/>
    <cellStyle name="20% - Ênfase6 16" xfId="1745" xr:uid="{00000000-0005-0000-0000-0000EB060000}"/>
    <cellStyle name="20% - Ênfase6 16 2" xfId="1746" xr:uid="{00000000-0005-0000-0000-0000EC060000}"/>
    <cellStyle name="20% - Ênfase6 16 3" xfId="1747" xr:uid="{00000000-0005-0000-0000-0000ED060000}"/>
    <cellStyle name="20% - Ênfase6 160" xfId="1748" xr:uid="{00000000-0005-0000-0000-0000EE060000}"/>
    <cellStyle name="20% - Ênfase6 161" xfId="1749" xr:uid="{00000000-0005-0000-0000-0000EF060000}"/>
    <cellStyle name="20% - Ênfase6 162" xfId="1750" xr:uid="{00000000-0005-0000-0000-0000F0060000}"/>
    <cellStyle name="20% - Ênfase6 163" xfId="1751" xr:uid="{00000000-0005-0000-0000-0000F1060000}"/>
    <cellStyle name="20% - Ênfase6 164" xfId="1752" xr:uid="{00000000-0005-0000-0000-0000F2060000}"/>
    <cellStyle name="20% - Ênfase6 165" xfId="1753" xr:uid="{00000000-0005-0000-0000-0000F3060000}"/>
    <cellStyle name="20% - Ênfase6 166" xfId="1754" xr:uid="{00000000-0005-0000-0000-0000F4060000}"/>
    <cellStyle name="20% - Ênfase6 167" xfId="1755" xr:uid="{00000000-0005-0000-0000-0000F5060000}"/>
    <cellStyle name="20% - Ênfase6 168" xfId="1756" xr:uid="{00000000-0005-0000-0000-0000F6060000}"/>
    <cellStyle name="20% - Ênfase6 169" xfId="1757" xr:uid="{00000000-0005-0000-0000-0000F7060000}"/>
    <cellStyle name="20% - Ênfase6 17" xfId="1758" xr:uid="{00000000-0005-0000-0000-0000F8060000}"/>
    <cellStyle name="20% - Ênfase6 17 2" xfId="1759" xr:uid="{00000000-0005-0000-0000-0000F9060000}"/>
    <cellStyle name="20% - Ênfase6 17 3" xfId="1760" xr:uid="{00000000-0005-0000-0000-0000FA060000}"/>
    <cellStyle name="20% - Ênfase6 170" xfId="1761" xr:uid="{00000000-0005-0000-0000-0000FB060000}"/>
    <cellStyle name="20% - Ênfase6 171" xfId="1762" xr:uid="{00000000-0005-0000-0000-0000FC060000}"/>
    <cellStyle name="20% - Ênfase6 172" xfId="1763" xr:uid="{00000000-0005-0000-0000-0000FD060000}"/>
    <cellStyle name="20% - Ênfase6 173" xfId="1764" xr:uid="{00000000-0005-0000-0000-0000FE060000}"/>
    <cellStyle name="20% - Ênfase6 174" xfId="1765" xr:uid="{00000000-0005-0000-0000-0000FF060000}"/>
    <cellStyle name="20% - Ênfase6 175" xfId="1766" xr:uid="{00000000-0005-0000-0000-000000070000}"/>
    <cellStyle name="20% - Ênfase6 176" xfId="1767" xr:uid="{00000000-0005-0000-0000-000001070000}"/>
    <cellStyle name="20% - Ênfase6 177" xfId="1768" xr:uid="{00000000-0005-0000-0000-000002070000}"/>
    <cellStyle name="20% - Ênfase6 178" xfId="1769" xr:uid="{00000000-0005-0000-0000-000003070000}"/>
    <cellStyle name="20% - Ênfase6 179" xfId="1770" xr:uid="{00000000-0005-0000-0000-000004070000}"/>
    <cellStyle name="20% - Ênfase6 18" xfId="1771" xr:uid="{00000000-0005-0000-0000-000005070000}"/>
    <cellStyle name="20% - Ênfase6 18 2" xfId="1772" xr:uid="{00000000-0005-0000-0000-000006070000}"/>
    <cellStyle name="20% - Ênfase6 18 3" xfId="1773" xr:uid="{00000000-0005-0000-0000-000007070000}"/>
    <cellStyle name="20% - Ênfase6 180" xfId="1774" xr:uid="{00000000-0005-0000-0000-000008070000}"/>
    <cellStyle name="20% - Ênfase6 181" xfId="1775" xr:uid="{00000000-0005-0000-0000-000009070000}"/>
    <cellStyle name="20% - Ênfase6 182" xfId="1776" xr:uid="{00000000-0005-0000-0000-00000A070000}"/>
    <cellStyle name="20% - Ênfase6 183" xfId="1777" xr:uid="{00000000-0005-0000-0000-00000B070000}"/>
    <cellStyle name="20% - Ênfase6 184" xfId="1778" xr:uid="{00000000-0005-0000-0000-00000C070000}"/>
    <cellStyle name="20% - Ênfase6 185" xfId="1779" xr:uid="{00000000-0005-0000-0000-00000D070000}"/>
    <cellStyle name="20% - Ênfase6 186" xfId="1780" xr:uid="{00000000-0005-0000-0000-00000E070000}"/>
    <cellStyle name="20% - Ênfase6 187" xfId="1781" xr:uid="{00000000-0005-0000-0000-00000F070000}"/>
    <cellStyle name="20% - Ênfase6 188" xfId="1782" xr:uid="{00000000-0005-0000-0000-000010070000}"/>
    <cellStyle name="20% - Ênfase6 189" xfId="1783" xr:uid="{00000000-0005-0000-0000-000011070000}"/>
    <cellStyle name="20% - Ênfase6 19" xfId="1784" xr:uid="{00000000-0005-0000-0000-000012070000}"/>
    <cellStyle name="20% - Ênfase6 19 2" xfId="1785" xr:uid="{00000000-0005-0000-0000-000013070000}"/>
    <cellStyle name="20% - Ênfase6 19 3" xfId="1786" xr:uid="{00000000-0005-0000-0000-000014070000}"/>
    <cellStyle name="20% - Ênfase6 190" xfId="1787" xr:uid="{00000000-0005-0000-0000-000015070000}"/>
    <cellStyle name="20% - Ênfase6 2" xfId="1788" xr:uid="{00000000-0005-0000-0000-000016070000}"/>
    <cellStyle name="20% - Ênfase6 2 10" xfId="1789" xr:uid="{00000000-0005-0000-0000-000017070000}"/>
    <cellStyle name="20% - Ênfase6 2 10 2" xfId="1790" xr:uid="{00000000-0005-0000-0000-000018070000}"/>
    <cellStyle name="20% - Ênfase6 2 10 3" xfId="1791" xr:uid="{00000000-0005-0000-0000-000019070000}"/>
    <cellStyle name="20% - Ênfase6 2 10 4" xfId="1792" xr:uid="{00000000-0005-0000-0000-00001A070000}"/>
    <cellStyle name="20% - Ênfase6 2 10 5" xfId="1793" xr:uid="{00000000-0005-0000-0000-00001B070000}"/>
    <cellStyle name="20% - Ênfase6 2 10 6" xfId="1794" xr:uid="{00000000-0005-0000-0000-00001C070000}"/>
    <cellStyle name="20% - Ênfase6 2 10 7" xfId="1795" xr:uid="{00000000-0005-0000-0000-00001D070000}"/>
    <cellStyle name="20% - Ênfase6 2 11" xfId="1796" xr:uid="{00000000-0005-0000-0000-00001E070000}"/>
    <cellStyle name="20% - Ênfase6 2 11 2" xfId="1797" xr:uid="{00000000-0005-0000-0000-00001F070000}"/>
    <cellStyle name="20% - Ênfase6 2 11 3" xfId="1798" xr:uid="{00000000-0005-0000-0000-000020070000}"/>
    <cellStyle name="20% - Ênfase6 2 11 4" xfId="1799" xr:uid="{00000000-0005-0000-0000-000021070000}"/>
    <cellStyle name="20% - Ênfase6 2 11 5" xfId="1800" xr:uid="{00000000-0005-0000-0000-000022070000}"/>
    <cellStyle name="20% - Ênfase6 2 11 6" xfId="1801" xr:uid="{00000000-0005-0000-0000-000023070000}"/>
    <cellStyle name="20% - Ênfase6 2 11 7" xfId="1802" xr:uid="{00000000-0005-0000-0000-000024070000}"/>
    <cellStyle name="20% - Ênfase6 2 12" xfId="1803" xr:uid="{00000000-0005-0000-0000-000025070000}"/>
    <cellStyle name="20% - Ênfase6 2 13" xfId="1804" xr:uid="{00000000-0005-0000-0000-000026070000}"/>
    <cellStyle name="20% - Ênfase6 2 14" xfId="1805" xr:uid="{00000000-0005-0000-0000-000027070000}"/>
    <cellStyle name="20% - Ênfase6 2 15" xfId="1806" xr:uid="{00000000-0005-0000-0000-000028070000}"/>
    <cellStyle name="20% - Ênfase6 2 16" xfId="1807" xr:uid="{00000000-0005-0000-0000-000029070000}"/>
    <cellStyle name="20% - Ênfase6 2 17" xfId="1808" xr:uid="{00000000-0005-0000-0000-00002A070000}"/>
    <cellStyle name="20% - Ênfase6 2 18" xfId="1809" xr:uid="{00000000-0005-0000-0000-00002B070000}"/>
    <cellStyle name="20% - Ênfase6 2 19" xfId="1810" xr:uid="{00000000-0005-0000-0000-00002C070000}"/>
    <cellStyle name="20% - Ênfase6 2 2" xfId="1811" xr:uid="{00000000-0005-0000-0000-00002D070000}"/>
    <cellStyle name="20% - Ênfase6 2 20" xfId="1812" xr:uid="{00000000-0005-0000-0000-00002E070000}"/>
    <cellStyle name="20% - Ênfase6 2 21" xfId="1813" xr:uid="{00000000-0005-0000-0000-00002F070000}"/>
    <cellStyle name="20% - Ênfase6 2 22" xfId="1814" xr:uid="{00000000-0005-0000-0000-000030070000}"/>
    <cellStyle name="20% - Ênfase6 2 23" xfId="1815" xr:uid="{00000000-0005-0000-0000-000031070000}"/>
    <cellStyle name="20% - Ênfase6 2 24" xfId="1816" xr:uid="{00000000-0005-0000-0000-000032070000}"/>
    <cellStyle name="20% - Ênfase6 2 25" xfId="1817" xr:uid="{00000000-0005-0000-0000-000033070000}"/>
    <cellStyle name="20% - Ênfase6 2 26" xfId="1818" xr:uid="{00000000-0005-0000-0000-000034070000}"/>
    <cellStyle name="20% - Ênfase6 2 27" xfId="1819" xr:uid="{00000000-0005-0000-0000-000035070000}"/>
    <cellStyle name="20% - Ênfase6 2 28" xfId="1820" xr:uid="{00000000-0005-0000-0000-000036070000}"/>
    <cellStyle name="20% - Ênfase6 2 29" xfId="1821" xr:uid="{00000000-0005-0000-0000-000037070000}"/>
    <cellStyle name="20% - Ênfase6 2 3" xfId="1822" xr:uid="{00000000-0005-0000-0000-000038070000}"/>
    <cellStyle name="20% - Ênfase6 2 30" xfId="1823" xr:uid="{00000000-0005-0000-0000-000039070000}"/>
    <cellStyle name="20% - Ênfase6 2 31" xfId="1824" xr:uid="{00000000-0005-0000-0000-00003A070000}"/>
    <cellStyle name="20% - Ênfase6 2 32" xfId="1825" xr:uid="{00000000-0005-0000-0000-00003B070000}"/>
    <cellStyle name="20% - Ênfase6 2 33" xfId="1826" xr:uid="{00000000-0005-0000-0000-00003C070000}"/>
    <cellStyle name="20% - Ênfase6 2 34" xfId="1827" xr:uid="{00000000-0005-0000-0000-00003D070000}"/>
    <cellStyle name="20% - Ênfase6 2 35" xfId="1828" xr:uid="{00000000-0005-0000-0000-00003E070000}"/>
    <cellStyle name="20% - Ênfase6 2 4" xfId="1829" xr:uid="{00000000-0005-0000-0000-00003F070000}"/>
    <cellStyle name="20% - Ênfase6 2 5" xfId="1830" xr:uid="{00000000-0005-0000-0000-000040070000}"/>
    <cellStyle name="20% - Ênfase6 2 6" xfId="1831" xr:uid="{00000000-0005-0000-0000-000041070000}"/>
    <cellStyle name="20% - Ênfase6 2 7" xfId="1832" xr:uid="{00000000-0005-0000-0000-000042070000}"/>
    <cellStyle name="20% - Ênfase6 2 8" xfId="1833" xr:uid="{00000000-0005-0000-0000-000043070000}"/>
    <cellStyle name="20% - Ênfase6 2 8 2" xfId="1834" xr:uid="{00000000-0005-0000-0000-000044070000}"/>
    <cellStyle name="20% - Ênfase6 2 8 3" xfId="1835" xr:uid="{00000000-0005-0000-0000-000045070000}"/>
    <cellStyle name="20% - Ênfase6 2 8 4" xfId="1836" xr:uid="{00000000-0005-0000-0000-000046070000}"/>
    <cellStyle name="20% - Ênfase6 2 8 5" xfId="1837" xr:uid="{00000000-0005-0000-0000-000047070000}"/>
    <cellStyle name="20% - Ênfase6 2 8 6" xfId="1838" xr:uid="{00000000-0005-0000-0000-000048070000}"/>
    <cellStyle name="20% - Ênfase6 2 8 7" xfId="1839" xr:uid="{00000000-0005-0000-0000-000049070000}"/>
    <cellStyle name="20% - Ênfase6 2 9" xfId="1840" xr:uid="{00000000-0005-0000-0000-00004A070000}"/>
    <cellStyle name="20% - Ênfase6 2 9 2" xfId="1841" xr:uid="{00000000-0005-0000-0000-00004B070000}"/>
    <cellStyle name="20% - Ênfase6 2 9 3" xfId="1842" xr:uid="{00000000-0005-0000-0000-00004C070000}"/>
    <cellStyle name="20% - Ênfase6 2 9 4" xfId="1843" xr:uid="{00000000-0005-0000-0000-00004D070000}"/>
    <cellStyle name="20% - Ênfase6 2 9 5" xfId="1844" xr:uid="{00000000-0005-0000-0000-00004E070000}"/>
    <cellStyle name="20% - Ênfase6 2 9 6" xfId="1845" xr:uid="{00000000-0005-0000-0000-00004F070000}"/>
    <cellStyle name="20% - Ênfase6 2 9 7" xfId="1846" xr:uid="{00000000-0005-0000-0000-000050070000}"/>
    <cellStyle name="20% - Ênfase6 20" xfId="1847" xr:uid="{00000000-0005-0000-0000-000051070000}"/>
    <cellStyle name="20% - Ênfase6 20 2" xfId="1848" xr:uid="{00000000-0005-0000-0000-000052070000}"/>
    <cellStyle name="20% - Ênfase6 20 3" xfId="1849" xr:uid="{00000000-0005-0000-0000-000053070000}"/>
    <cellStyle name="20% - Ênfase6 21" xfId="1850" xr:uid="{00000000-0005-0000-0000-000054070000}"/>
    <cellStyle name="20% - Ênfase6 22" xfId="1851" xr:uid="{00000000-0005-0000-0000-000055070000}"/>
    <cellStyle name="20% - Ênfase6 23" xfId="1852" xr:uid="{00000000-0005-0000-0000-000056070000}"/>
    <cellStyle name="20% - Ênfase6 24" xfId="1853" xr:uid="{00000000-0005-0000-0000-000057070000}"/>
    <cellStyle name="20% - Ênfase6 24 2" xfId="40933" xr:uid="{00000000-0005-0000-0000-000058070000}"/>
    <cellStyle name="20% - Ênfase6 25" xfId="1854" xr:uid="{00000000-0005-0000-0000-000059070000}"/>
    <cellStyle name="20% - Ênfase6 25 2" xfId="40968" xr:uid="{00000000-0005-0000-0000-00005A070000}"/>
    <cellStyle name="20% - Ênfase6 26" xfId="1855" xr:uid="{00000000-0005-0000-0000-00005B070000}"/>
    <cellStyle name="20% - Ênfase6 26 10" xfId="1856" xr:uid="{00000000-0005-0000-0000-00005C070000}"/>
    <cellStyle name="20% - Ênfase6 26 11" xfId="1857" xr:uid="{00000000-0005-0000-0000-00005D070000}"/>
    <cellStyle name="20% - Ênfase6 26 12" xfId="1858" xr:uid="{00000000-0005-0000-0000-00005E070000}"/>
    <cellStyle name="20% - Ênfase6 26 13" xfId="1859" xr:uid="{00000000-0005-0000-0000-00005F070000}"/>
    <cellStyle name="20% - Ênfase6 26 14" xfId="1860" xr:uid="{00000000-0005-0000-0000-000060070000}"/>
    <cellStyle name="20% - Ênfase6 26 15" xfId="1861" xr:uid="{00000000-0005-0000-0000-000061070000}"/>
    <cellStyle name="20% - Ênfase6 26 16" xfId="1862" xr:uid="{00000000-0005-0000-0000-000062070000}"/>
    <cellStyle name="20% - Ênfase6 26 2" xfId="1863" xr:uid="{00000000-0005-0000-0000-000063070000}"/>
    <cellStyle name="20% - Ênfase6 26 3" xfId="1864" xr:uid="{00000000-0005-0000-0000-000064070000}"/>
    <cellStyle name="20% - Ênfase6 26 4" xfId="1865" xr:uid="{00000000-0005-0000-0000-000065070000}"/>
    <cellStyle name="20% - Ênfase6 26 5" xfId="1866" xr:uid="{00000000-0005-0000-0000-000066070000}"/>
    <cellStyle name="20% - Ênfase6 26 6" xfId="1867" xr:uid="{00000000-0005-0000-0000-000067070000}"/>
    <cellStyle name="20% - Ênfase6 26 7" xfId="1868" xr:uid="{00000000-0005-0000-0000-000068070000}"/>
    <cellStyle name="20% - Ênfase6 26 8" xfId="1869" xr:uid="{00000000-0005-0000-0000-000069070000}"/>
    <cellStyle name="20% - Ênfase6 26 9" xfId="1870" xr:uid="{00000000-0005-0000-0000-00006A070000}"/>
    <cellStyle name="20% - Ênfase6 27" xfId="1871" xr:uid="{00000000-0005-0000-0000-00006B070000}"/>
    <cellStyle name="20% - Ênfase6 27 10" xfId="1872" xr:uid="{00000000-0005-0000-0000-00006C070000}"/>
    <cellStyle name="20% - Ênfase6 27 11" xfId="1873" xr:uid="{00000000-0005-0000-0000-00006D070000}"/>
    <cellStyle name="20% - Ênfase6 27 12" xfId="1874" xr:uid="{00000000-0005-0000-0000-00006E070000}"/>
    <cellStyle name="20% - Ênfase6 27 13" xfId="1875" xr:uid="{00000000-0005-0000-0000-00006F070000}"/>
    <cellStyle name="20% - Ênfase6 27 14" xfId="1876" xr:uid="{00000000-0005-0000-0000-000070070000}"/>
    <cellStyle name="20% - Ênfase6 27 15" xfId="1877" xr:uid="{00000000-0005-0000-0000-000071070000}"/>
    <cellStyle name="20% - Ênfase6 27 16" xfId="1878" xr:uid="{00000000-0005-0000-0000-000072070000}"/>
    <cellStyle name="20% - Ênfase6 27 2" xfId="1879" xr:uid="{00000000-0005-0000-0000-000073070000}"/>
    <cellStyle name="20% - Ênfase6 27 3" xfId="1880" xr:uid="{00000000-0005-0000-0000-000074070000}"/>
    <cellStyle name="20% - Ênfase6 27 4" xfId="1881" xr:uid="{00000000-0005-0000-0000-000075070000}"/>
    <cellStyle name="20% - Ênfase6 27 5" xfId="1882" xr:uid="{00000000-0005-0000-0000-000076070000}"/>
    <cellStyle name="20% - Ênfase6 27 6" xfId="1883" xr:uid="{00000000-0005-0000-0000-000077070000}"/>
    <cellStyle name="20% - Ênfase6 27 7" xfId="1884" xr:uid="{00000000-0005-0000-0000-000078070000}"/>
    <cellStyle name="20% - Ênfase6 27 8" xfId="1885" xr:uid="{00000000-0005-0000-0000-000079070000}"/>
    <cellStyle name="20% - Ênfase6 27 9" xfId="1886" xr:uid="{00000000-0005-0000-0000-00007A070000}"/>
    <cellStyle name="20% - Ênfase6 28" xfId="1887" xr:uid="{00000000-0005-0000-0000-00007B070000}"/>
    <cellStyle name="20% - Ênfase6 28 10" xfId="1888" xr:uid="{00000000-0005-0000-0000-00007C070000}"/>
    <cellStyle name="20% - Ênfase6 28 11" xfId="1889" xr:uid="{00000000-0005-0000-0000-00007D070000}"/>
    <cellStyle name="20% - Ênfase6 28 12" xfId="1890" xr:uid="{00000000-0005-0000-0000-00007E070000}"/>
    <cellStyle name="20% - Ênfase6 28 13" xfId="1891" xr:uid="{00000000-0005-0000-0000-00007F070000}"/>
    <cellStyle name="20% - Ênfase6 28 14" xfId="1892" xr:uid="{00000000-0005-0000-0000-000080070000}"/>
    <cellStyle name="20% - Ênfase6 28 15" xfId="1893" xr:uid="{00000000-0005-0000-0000-000081070000}"/>
    <cellStyle name="20% - Ênfase6 28 16" xfId="1894" xr:uid="{00000000-0005-0000-0000-000082070000}"/>
    <cellStyle name="20% - Ênfase6 28 2" xfId="1895" xr:uid="{00000000-0005-0000-0000-000083070000}"/>
    <cellStyle name="20% - Ênfase6 28 3" xfId="1896" xr:uid="{00000000-0005-0000-0000-000084070000}"/>
    <cellStyle name="20% - Ênfase6 28 4" xfId="1897" xr:uid="{00000000-0005-0000-0000-000085070000}"/>
    <cellStyle name="20% - Ênfase6 28 5" xfId="1898" xr:uid="{00000000-0005-0000-0000-000086070000}"/>
    <cellStyle name="20% - Ênfase6 28 6" xfId="1899" xr:uid="{00000000-0005-0000-0000-000087070000}"/>
    <cellStyle name="20% - Ênfase6 28 7" xfId="1900" xr:uid="{00000000-0005-0000-0000-000088070000}"/>
    <cellStyle name="20% - Ênfase6 28 8" xfId="1901" xr:uid="{00000000-0005-0000-0000-000089070000}"/>
    <cellStyle name="20% - Ênfase6 28 9" xfId="1902" xr:uid="{00000000-0005-0000-0000-00008A070000}"/>
    <cellStyle name="20% - Ênfase6 29" xfId="1903" xr:uid="{00000000-0005-0000-0000-00008B070000}"/>
    <cellStyle name="20% - Ênfase6 29 10" xfId="1904" xr:uid="{00000000-0005-0000-0000-00008C070000}"/>
    <cellStyle name="20% - Ênfase6 29 11" xfId="1905" xr:uid="{00000000-0005-0000-0000-00008D070000}"/>
    <cellStyle name="20% - Ênfase6 29 12" xfId="1906" xr:uid="{00000000-0005-0000-0000-00008E070000}"/>
    <cellStyle name="20% - Ênfase6 29 13" xfId="1907" xr:uid="{00000000-0005-0000-0000-00008F070000}"/>
    <cellStyle name="20% - Ênfase6 29 14" xfId="1908" xr:uid="{00000000-0005-0000-0000-000090070000}"/>
    <cellStyle name="20% - Ênfase6 29 15" xfId="1909" xr:uid="{00000000-0005-0000-0000-000091070000}"/>
    <cellStyle name="20% - Ênfase6 29 16" xfId="1910" xr:uid="{00000000-0005-0000-0000-000092070000}"/>
    <cellStyle name="20% - Ênfase6 29 2" xfId="1911" xr:uid="{00000000-0005-0000-0000-000093070000}"/>
    <cellStyle name="20% - Ênfase6 29 3" xfId="1912" xr:uid="{00000000-0005-0000-0000-000094070000}"/>
    <cellStyle name="20% - Ênfase6 29 4" xfId="1913" xr:uid="{00000000-0005-0000-0000-000095070000}"/>
    <cellStyle name="20% - Ênfase6 29 5" xfId="1914" xr:uid="{00000000-0005-0000-0000-000096070000}"/>
    <cellStyle name="20% - Ênfase6 29 6" xfId="1915" xr:uid="{00000000-0005-0000-0000-000097070000}"/>
    <cellStyle name="20% - Ênfase6 29 7" xfId="1916" xr:uid="{00000000-0005-0000-0000-000098070000}"/>
    <cellStyle name="20% - Ênfase6 29 8" xfId="1917" xr:uid="{00000000-0005-0000-0000-000099070000}"/>
    <cellStyle name="20% - Ênfase6 29 9" xfId="1918" xr:uid="{00000000-0005-0000-0000-00009A070000}"/>
    <cellStyle name="20% - Ênfase6 3" xfId="1919" xr:uid="{00000000-0005-0000-0000-00009B070000}"/>
    <cellStyle name="20% - Ênfase6 3 10" xfId="1920" xr:uid="{00000000-0005-0000-0000-00009C070000}"/>
    <cellStyle name="20% - Ênfase6 3 11" xfId="1921" xr:uid="{00000000-0005-0000-0000-00009D070000}"/>
    <cellStyle name="20% - Ênfase6 3 2" xfId="1922" xr:uid="{00000000-0005-0000-0000-00009E070000}"/>
    <cellStyle name="20% - Ênfase6 3 3" xfId="1923" xr:uid="{00000000-0005-0000-0000-00009F070000}"/>
    <cellStyle name="20% - Ênfase6 3 4" xfId="1924" xr:uid="{00000000-0005-0000-0000-0000A0070000}"/>
    <cellStyle name="20% - Ênfase6 3 5" xfId="1925" xr:uid="{00000000-0005-0000-0000-0000A1070000}"/>
    <cellStyle name="20% - Ênfase6 3 6" xfId="1926" xr:uid="{00000000-0005-0000-0000-0000A2070000}"/>
    <cellStyle name="20% - Ênfase6 3 7" xfId="1927" xr:uid="{00000000-0005-0000-0000-0000A3070000}"/>
    <cellStyle name="20% - Ênfase6 3 8" xfId="1928" xr:uid="{00000000-0005-0000-0000-0000A4070000}"/>
    <cellStyle name="20% - Ênfase6 3 9" xfId="1929" xr:uid="{00000000-0005-0000-0000-0000A5070000}"/>
    <cellStyle name="20% - Ênfase6 30" xfId="1930" xr:uid="{00000000-0005-0000-0000-0000A6070000}"/>
    <cellStyle name="20% - Ênfase6 31" xfId="1931" xr:uid="{00000000-0005-0000-0000-0000A7070000}"/>
    <cellStyle name="20% - Ênfase6 32" xfId="1932" xr:uid="{00000000-0005-0000-0000-0000A8070000}"/>
    <cellStyle name="20% - Ênfase6 33" xfId="1933" xr:uid="{00000000-0005-0000-0000-0000A9070000}"/>
    <cellStyle name="20% - Ênfase6 34" xfId="1934" xr:uid="{00000000-0005-0000-0000-0000AA070000}"/>
    <cellStyle name="20% - Ênfase6 35" xfId="1935" xr:uid="{00000000-0005-0000-0000-0000AB070000}"/>
    <cellStyle name="20% - Ênfase6 36" xfId="1936" xr:uid="{00000000-0005-0000-0000-0000AC070000}"/>
    <cellStyle name="20% - Ênfase6 37" xfId="1937" xr:uid="{00000000-0005-0000-0000-0000AD070000}"/>
    <cellStyle name="20% - Ênfase6 38" xfId="1938" xr:uid="{00000000-0005-0000-0000-0000AE070000}"/>
    <cellStyle name="20% - Ênfase6 39" xfId="1939" xr:uid="{00000000-0005-0000-0000-0000AF070000}"/>
    <cellStyle name="20% - Ênfase6 4" xfId="1940" xr:uid="{00000000-0005-0000-0000-0000B0070000}"/>
    <cellStyle name="20% - Ênfase6 4 10" xfId="1941" xr:uid="{00000000-0005-0000-0000-0000B1070000}"/>
    <cellStyle name="20% - Ênfase6 4 11" xfId="1942" xr:uid="{00000000-0005-0000-0000-0000B2070000}"/>
    <cellStyle name="20% - Ênfase6 4 2" xfId="1943" xr:uid="{00000000-0005-0000-0000-0000B3070000}"/>
    <cellStyle name="20% - Ênfase6 4 3" xfId="1944" xr:uid="{00000000-0005-0000-0000-0000B4070000}"/>
    <cellStyle name="20% - Ênfase6 4 4" xfId="1945" xr:uid="{00000000-0005-0000-0000-0000B5070000}"/>
    <cellStyle name="20% - Ênfase6 4 5" xfId="1946" xr:uid="{00000000-0005-0000-0000-0000B6070000}"/>
    <cellStyle name="20% - Ênfase6 4 6" xfId="1947" xr:uid="{00000000-0005-0000-0000-0000B7070000}"/>
    <cellStyle name="20% - Ênfase6 4 7" xfId="1948" xr:uid="{00000000-0005-0000-0000-0000B8070000}"/>
    <cellStyle name="20% - Ênfase6 4 8" xfId="1949" xr:uid="{00000000-0005-0000-0000-0000B9070000}"/>
    <cellStyle name="20% - Ênfase6 4 9" xfId="1950" xr:uid="{00000000-0005-0000-0000-0000BA070000}"/>
    <cellStyle name="20% - Ênfase6 40" xfId="1951" xr:uid="{00000000-0005-0000-0000-0000BB070000}"/>
    <cellStyle name="20% - Ênfase6 41" xfId="1952" xr:uid="{00000000-0005-0000-0000-0000BC070000}"/>
    <cellStyle name="20% - Ênfase6 42" xfId="1953" xr:uid="{00000000-0005-0000-0000-0000BD070000}"/>
    <cellStyle name="20% - Ênfase6 43" xfId="1954" xr:uid="{00000000-0005-0000-0000-0000BE070000}"/>
    <cellStyle name="20% - Ênfase6 44" xfId="1955" xr:uid="{00000000-0005-0000-0000-0000BF070000}"/>
    <cellStyle name="20% - Ênfase6 45" xfId="1956" xr:uid="{00000000-0005-0000-0000-0000C0070000}"/>
    <cellStyle name="20% - Ênfase6 46" xfId="1957" xr:uid="{00000000-0005-0000-0000-0000C1070000}"/>
    <cellStyle name="20% - Ênfase6 47" xfId="1958" xr:uid="{00000000-0005-0000-0000-0000C2070000}"/>
    <cellStyle name="20% - Ênfase6 48" xfId="1959" xr:uid="{00000000-0005-0000-0000-0000C3070000}"/>
    <cellStyle name="20% - Ênfase6 49" xfId="1960" xr:uid="{00000000-0005-0000-0000-0000C4070000}"/>
    <cellStyle name="20% - Ênfase6 5" xfId="1961" xr:uid="{00000000-0005-0000-0000-0000C5070000}"/>
    <cellStyle name="20% - Ênfase6 5 2" xfId="1962" xr:uid="{00000000-0005-0000-0000-0000C6070000}"/>
    <cellStyle name="20% - Ênfase6 5 3" xfId="1963" xr:uid="{00000000-0005-0000-0000-0000C7070000}"/>
    <cellStyle name="20% - Ênfase6 5 4" xfId="1964" xr:uid="{00000000-0005-0000-0000-0000C8070000}"/>
    <cellStyle name="20% - Ênfase6 50" xfId="1965" xr:uid="{00000000-0005-0000-0000-0000C9070000}"/>
    <cellStyle name="20% - Ênfase6 51" xfId="1966" xr:uid="{00000000-0005-0000-0000-0000CA070000}"/>
    <cellStyle name="20% - Ênfase6 52" xfId="1967" xr:uid="{00000000-0005-0000-0000-0000CB070000}"/>
    <cellStyle name="20% - Ênfase6 53" xfId="1968" xr:uid="{00000000-0005-0000-0000-0000CC070000}"/>
    <cellStyle name="20% - Ênfase6 54" xfId="1969" xr:uid="{00000000-0005-0000-0000-0000CD070000}"/>
    <cellStyle name="20% - Ênfase6 55" xfId="1970" xr:uid="{00000000-0005-0000-0000-0000CE070000}"/>
    <cellStyle name="20% - Ênfase6 56" xfId="1971" xr:uid="{00000000-0005-0000-0000-0000CF070000}"/>
    <cellStyle name="20% - Ênfase6 57" xfId="1972" xr:uid="{00000000-0005-0000-0000-0000D0070000}"/>
    <cellStyle name="20% - Ênfase6 58" xfId="1973" xr:uid="{00000000-0005-0000-0000-0000D1070000}"/>
    <cellStyle name="20% - Ênfase6 59" xfId="1974" xr:uid="{00000000-0005-0000-0000-0000D2070000}"/>
    <cellStyle name="20% - Ênfase6 6" xfId="1975" xr:uid="{00000000-0005-0000-0000-0000D3070000}"/>
    <cellStyle name="20% - Ênfase6 6 2" xfId="1976" xr:uid="{00000000-0005-0000-0000-0000D4070000}"/>
    <cellStyle name="20% - Ênfase6 6 3" xfId="1977" xr:uid="{00000000-0005-0000-0000-0000D5070000}"/>
    <cellStyle name="20% - Ênfase6 6 4" xfId="1978" xr:uid="{00000000-0005-0000-0000-0000D6070000}"/>
    <cellStyle name="20% - Ênfase6 60" xfId="1979" xr:uid="{00000000-0005-0000-0000-0000D7070000}"/>
    <cellStyle name="20% - Ênfase6 61" xfId="1980" xr:uid="{00000000-0005-0000-0000-0000D8070000}"/>
    <cellStyle name="20% - Ênfase6 62" xfId="1981" xr:uid="{00000000-0005-0000-0000-0000D9070000}"/>
    <cellStyle name="20% - Ênfase6 63" xfId="1982" xr:uid="{00000000-0005-0000-0000-0000DA070000}"/>
    <cellStyle name="20% - Ênfase6 64" xfId="1983" xr:uid="{00000000-0005-0000-0000-0000DB070000}"/>
    <cellStyle name="20% - Ênfase6 65" xfId="1984" xr:uid="{00000000-0005-0000-0000-0000DC070000}"/>
    <cellStyle name="20% - Ênfase6 66" xfId="1985" xr:uid="{00000000-0005-0000-0000-0000DD070000}"/>
    <cellStyle name="20% - Ênfase6 67" xfId="1986" xr:uid="{00000000-0005-0000-0000-0000DE070000}"/>
    <cellStyle name="20% - Ênfase6 68" xfId="1987" xr:uid="{00000000-0005-0000-0000-0000DF070000}"/>
    <cellStyle name="20% - Ênfase6 69" xfId="1988" xr:uid="{00000000-0005-0000-0000-0000E0070000}"/>
    <cellStyle name="20% - Ênfase6 7" xfId="1989" xr:uid="{00000000-0005-0000-0000-0000E1070000}"/>
    <cellStyle name="20% - Ênfase6 7 2" xfId="1990" xr:uid="{00000000-0005-0000-0000-0000E2070000}"/>
    <cellStyle name="20% - Ênfase6 7 3" xfId="1991" xr:uid="{00000000-0005-0000-0000-0000E3070000}"/>
    <cellStyle name="20% - Ênfase6 7 4" xfId="1992" xr:uid="{00000000-0005-0000-0000-0000E4070000}"/>
    <cellStyle name="20% - Ênfase6 70" xfId="1993" xr:uid="{00000000-0005-0000-0000-0000E5070000}"/>
    <cellStyle name="20% - Ênfase6 71" xfId="1994" xr:uid="{00000000-0005-0000-0000-0000E6070000}"/>
    <cellStyle name="20% - Ênfase6 72" xfId="1995" xr:uid="{00000000-0005-0000-0000-0000E7070000}"/>
    <cellStyle name="20% - Ênfase6 73" xfId="1996" xr:uid="{00000000-0005-0000-0000-0000E8070000}"/>
    <cellStyle name="20% - Ênfase6 74" xfId="1997" xr:uid="{00000000-0005-0000-0000-0000E9070000}"/>
    <cellStyle name="20% - Ênfase6 75" xfId="1998" xr:uid="{00000000-0005-0000-0000-0000EA070000}"/>
    <cellStyle name="20% - Ênfase6 76" xfId="1999" xr:uid="{00000000-0005-0000-0000-0000EB070000}"/>
    <cellStyle name="20% - Ênfase6 77" xfId="2000" xr:uid="{00000000-0005-0000-0000-0000EC070000}"/>
    <cellStyle name="20% - Ênfase6 78" xfId="2001" xr:uid="{00000000-0005-0000-0000-0000ED070000}"/>
    <cellStyle name="20% - Ênfase6 79" xfId="2002" xr:uid="{00000000-0005-0000-0000-0000EE070000}"/>
    <cellStyle name="20% - Ênfase6 8" xfId="2003" xr:uid="{00000000-0005-0000-0000-0000EF070000}"/>
    <cellStyle name="20% - Ênfase6 8 2" xfId="2004" xr:uid="{00000000-0005-0000-0000-0000F0070000}"/>
    <cellStyle name="20% - Ênfase6 8 3" xfId="2005" xr:uid="{00000000-0005-0000-0000-0000F1070000}"/>
    <cellStyle name="20% - Ênfase6 8 4" xfId="2006" xr:uid="{00000000-0005-0000-0000-0000F2070000}"/>
    <cellStyle name="20% - Ênfase6 80" xfId="2007" xr:uid="{00000000-0005-0000-0000-0000F3070000}"/>
    <cellStyle name="20% - Ênfase6 81" xfId="2008" xr:uid="{00000000-0005-0000-0000-0000F4070000}"/>
    <cellStyle name="20% - Ênfase6 82" xfId="2009" xr:uid="{00000000-0005-0000-0000-0000F5070000}"/>
    <cellStyle name="20% - Ênfase6 83" xfId="2010" xr:uid="{00000000-0005-0000-0000-0000F6070000}"/>
    <cellStyle name="20% - Ênfase6 84" xfId="2011" xr:uid="{00000000-0005-0000-0000-0000F7070000}"/>
    <cellStyle name="20% - Ênfase6 85" xfId="2012" xr:uid="{00000000-0005-0000-0000-0000F8070000}"/>
    <cellStyle name="20% - Ênfase6 86" xfId="2013" xr:uid="{00000000-0005-0000-0000-0000F9070000}"/>
    <cellStyle name="20% - Ênfase6 87" xfId="2014" xr:uid="{00000000-0005-0000-0000-0000FA070000}"/>
    <cellStyle name="20% - Ênfase6 88" xfId="2015" xr:uid="{00000000-0005-0000-0000-0000FB070000}"/>
    <cellStyle name="20% - Ênfase6 89" xfId="2016" xr:uid="{00000000-0005-0000-0000-0000FC070000}"/>
    <cellStyle name="20% - Ênfase6 9" xfId="2017" xr:uid="{00000000-0005-0000-0000-0000FD070000}"/>
    <cellStyle name="20% - Ênfase6 90" xfId="2018" xr:uid="{00000000-0005-0000-0000-0000FE070000}"/>
    <cellStyle name="20% - Ênfase6 91" xfId="2019" xr:uid="{00000000-0005-0000-0000-0000FF070000}"/>
    <cellStyle name="20% - Ênfase6 92" xfId="2020" xr:uid="{00000000-0005-0000-0000-000000080000}"/>
    <cellStyle name="20% - Ênfase6 93" xfId="2021" xr:uid="{00000000-0005-0000-0000-000001080000}"/>
    <cellStyle name="20% - Ênfase6 94" xfId="2022" xr:uid="{00000000-0005-0000-0000-000002080000}"/>
    <cellStyle name="20% - Ênfase6 95" xfId="2023" xr:uid="{00000000-0005-0000-0000-000003080000}"/>
    <cellStyle name="20% - Ênfase6 96" xfId="2024" xr:uid="{00000000-0005-0000-0000-000004080000}"/>
    <cellStyle name="20% - Ênfase6 97" xfId="2025" xr:uid="{00000000-0005-0000-0000-000005080000}"/>
    <cellStyle name="20% - Ênfase6 98" xfId="2026" xr:uid="{00000000-0005-0000-0000-000006080000}"/>
    <cellStyle name="20% - Ênfase6 99" xfId="2027" xr:uid="{00000000-0005-0000-0000-000007080000}"/>
    <cellStyle name="40% - Ênfase1 10" xfId="2028" xr:uid="{00000000-0005-0000-0000-000008080000}"/>
    <cellStyle name="40% - Ênfase1 10 2" xfId="40482" xr:uid="{00000000-0005-0000-0000-000009080000}"/>
    <cellStyle name="40% - Ênfase1 100" xfId="2029" xr:uid="{00000000-0005-0000-0000-00000A080000}"/>
    <cellStyle name="40% - Ênfase1 101" xfId="2030" xr:uid="{00000000-0005-0000-0000-00000B080000}"/>
    <cellStyle name="40% - Ênfase1 102" xfId="2031" xr:uid="{00000000-0005-0000-0000-00000C080000}"/>
    <cellStyle name="40% - Ênfase1 103" xfId="2032" xr:uid="{00000000-0005-0000-0000-00000D080000}"/>
    <cellStyle name="40% - Ênfase1 104" xfId="2033" xr:uid="{00000000-0005-0000-0000-00000E080000}"/>
    <cellStyle name="40% - Ênfase1 105" xfId="2034" xr:uid="{00000000-0005-0000-0000-00000F080000}"/>
    <cellStyle name="40% - Ênfase1 106" xfId="2035" xr:uid="{00000000-0005-0000-0000-000010080000}"/>
    <cellStyle name="40% - Ênfase1 107" xfId="2036" xr:uid="{00000000-0005-0000-0000-000011080000}"/>
    <cellStyle name="40% - Ênfase1 108" xfId="2037" xr:uid="{00000000-0005-0000-0000-000012080000}"/>
    <cellStyle name="40% - Ênfase1 109" xfId="2038" xr:uid="{00000000-0005-0000-0000-000013080000}"/>
    <cellStyle name="40% - Ênfase1 11" xfId="2039" xr:uid="{00000000-0005-0000-0000-000014080000}"/>
    <cellStyle name="40% - Ênfase1 11 2" xfId="40483" xr:uid="{00000000-0005-0000-0000-000015080000}"/>
    <cellStyle name="40% - Ênfase1 110" xfId="2040" xr:uid="{00000000-0005-0000-0000-000016080000}"/>
    <cellStyle name="40% - Ênfase1 111" xfId="2041" xr:uid="{00000000-0005-0000-0000-000017080000}"/>
    <cellStyle name="40% - Ênfase1 112" xfId="2042" xr:uid="{00000000-0005-0000-0000-000018080000}"/>
    <cellStyle name="40% - Ênfase1 113" xfId="2043" xr:uid="{00000000-0005-0000-0000-000019080000}"/>
    <cellStyle name="40% - Ênfase1 114" xfId="2044" xr:uid="{00000000-0005-0000-0000-00001A080000}"/>
    <cellStyle name="40% - Ênfase1 115" xfId="2045" xr:uid="{00000000-0005-0000-0000-00001B080000}"/>
    <cellStyle name="40% - Ênfase1 116" xfId="2046" xr:uid="{00000000-0005-0000-0000-00001C080000}"/>
    <cellStyle name="40% - Ênfase1 117" xfId="2047" xr:uid="{00000000-0005-0000-0000-00001D080000}"/>
    <cellStyle name="40% - Ênfase1 118" xfId="2048" xr:uid="{00000000-0005-0000-0000-00001E080000}"/>
    <cellStyle name="40% - Ênfase1 119" xfId="2049" xr:uid="{00000000-0005-0000-0000-00001F080000}"/>
    <cellStyle name="40% - Ênfase1 12" xfId="2050" xr:uid="{00000000-0005-0000-0000-000020080000}"/>
    <cellStyle name="40% - Ênfase1 12 2" xfId="40484" xr:uid="{00000000-0005-0000-0000-000021080000}"/>
    <cellStyle name="40% - Ênfase1 120" xfId="2051" xr:uid="{00000000-0005-0000-0000-000022080000}"/>
    <cellStyle name="40% - Ênfase1 121" xfId="2052" xr:uid="{00000000-0005-0000-0000-000023080000}"/>
    <cellStyle name="40% - Ênfase1 122" xfId="2053" xr:uid="{00000000-0005-0000-0000-000024080000}"/>
    <cellStyle name="40% - Ênfase1 123" xfId="2054" xr:uid="{00000000-0005-0000-0000-000025080000}"/>
    <cellStyle name="40% - Ênfase1 124" xfId="2055" xr:uid="{00000000-0005-0000-0000-000026080000}"/>
    <cellStyle name="40% - Ênfase1 125" xfId="2056" xr:uid="{00000000-0005-0000-0000-000027080000}"/>
    <cellStyle name="40% - Ênfase1 126" xfId="2057" xr:uid="{00000000-0005-0000-0000-000028080000}"/>
    <cellStyle name="40% - Ênfase1 127" xfId="2058" xr:uid="{00000000-0005-0000-0000-000029080000}"/>
    <cellStyle name="40% - Ênfase1 128" xfId="2059" xr:uid="{00000000-0005-0000-0000-00002A080000}"/>
    <cellStyle name="40% - Ênfase1 129" xfId="2060" xr:uid="{00000000-0005-0000-0000-00002B080000}"/>
    <cellStyle name="40% - Ênfase1 13" xfId="2061" xr:uid="{00000000-0005-0000-0000-00002C080000}"/>
    <cellStyle name="40% - Ênfase1 13 2" xfId="40485" xr:uid="{00000000-0005-0000-0000-00002D080000}"/>
    <cellStyle name="40% - Ênfase1 130" xfId="2062" xr:uid="{00000000-0005-0000-0000-00002E080000}"/>
    <cellStyle name="40% - Ênfase1 131" xfId="2063" xr:uid="{00000000-0005-0000-0000-00002F080000}"/>
    <cellStyle name="40% - Ênfase1 132" xfId="2064" xr:uid="{00000000-0005-0000-0000-000030080000}"/>
    <cellStyle name="40% - Ênfase1 133" xfId="2065" xr:uid="{00000000-0005-0000-0000-000031080000}"/>
    <cellStyle name="40% - Ênfase1 134" xfId="2066" xr:uid="{00000000-0005-0000-0000-000032080000}"/>
    <cellStyle name="40% - Ênfase1 135" xfId="2067" xr:uid="{00000000-0005-0000-0000-000033080000}"/>
    <cellStyle name="40% - Ênfase1 136" xfId="2068" xr:uid="{00000000-0005-0000-0000-000034080000}"/>
    <cellStyle name="40% - Ênfase1 137" xfId="2069" xr:uid="{00000000-0005-0000-0000-000035080000}"/>
    <cellStyle name="40% - Ênfase1 138" xfId="2070" xr:uid="{00000000-0005-0000-0000-000036080000}"/>
    <cellStyle name="40% - Ênfase1 139" xfId="2071" xr:uid="{00000000-0005-0000-0000-000037080000}"/>
    <cellStyle name="40% - Ênfase1 14" xfId="2072" xr:uid="{00000000-0005-0000-0000-000038080000}"/>
    <cellStyle name="40% - Ênfase1 140" xfId="2073" xr:uid="{00000000-0005-0000-0000-000039080000}"/>
    <cellStyle name="40% - Ênfase1 141" xfId="2074" xr:uid="{00000000-0005-0000-0000-00003A080000}"/>
    <cellStyle name="40% - Ênfase1 142" xfId="2075" xr:uid="{00000000-0005-0000-0000-00003B080000}"/>
    <cellStyle name="40% - Ênfase1 143" xfId="2076" xr:uid="{00000000-0005-0000-0000-00003C080000}"/>
    <cellStyle name="40% - Ênfase1 144" xfId="2077" xr:uid="{00000000-0005-0000-0000-00003D080000}"/>
    <cellStyle name="40% - Ênfase1 145" xfId="2078" xr:uid="{00000000-0005-0000-0000-00003E080000}"/>
    <cellStyle name="40% - Ênfase1 146" xfId="2079" xr:uid="{00000000-0005-0000-0000-00003F080000}"/>
    <cellStyle name="40% - Ênfase1 147" xfId="2080" xr:uid="{00000000-0005-0000-0000-000040080000}"/>
    <cellStyle name="40% - Ênfase1 148" xfId="2081" xr:uid="{00000000-0005-0000-0000-000041080000}"/>
    <cellStyle name="40% - Ênfase1 149" xfId="2082" xr:uid="{00000000-0005-0000-0000-000042080000}"/>
    <cellStyle name="40% - Ênfase1 15" xfId="2083" xr:uid="{00000000-0005-0000-0000-000043080000}"/>
    <cellStyle name="40% - Ênfase1 15 2" xfId="2084" xr:uid="{00000000-0005-0000-0000-000044080000}"/>
    <cellStyle name="40% - Ênfase1 15 3" xfId="2085" xr:uid="{00000000-0005-0000-0000-000045080000}"/>
    <cellStyle name="40% - Ênfase1 150" xfId="2086" xr:uid="{00000000-0005-0000-0000-000046080000}"/>
    <cellStyle name="40% - Ênfase1 151" xfId="2087" xr:uid="{00000000-0005-0000-0000-000047080000}"/>
    <cellStyle name="40% - Ênfase1 152" xfId="2088" xr:uid="{00000000-0005-0000-0000-000048080000}"/>
    <cellStyle name="40% - Ênfase1 153" xfId="2089" xr:uid="{00000000-0005-0000-0000-000049080000}"/>
    <cellStyle name="40% - Ênfase1 154" xfId="2090" xr:uid="{00000000-0005-0000-0000-00004A080000}"/>
    <cellStyle name="40% - Ênfase1 155" xfId="2091" xr:uid="{00000000-0005-0000-0000-00004B080000}"/>
    <cellStyle name="40% - Ênfase1 156" xfId="2092" xr:uid="{00000000-0005-0000-0000-00004C080000}"/>
    <cellStyle name="40% - Ênfase1 157" xfId="2093" xr:uid="{00000000-0005-0000-0000-00004D080000}"/>
    <cellStyle name="40% - Ênfase1 158" xfId="2094" xr:uid="{00000000-0005-0000-0000-00004E080000}"/>
    <cellStyle name="40% - Ênfase1 159" xfId="2095" xr:uid="{00000000-0005-0000-0000-00004F080000}"/>
    <cellStyle name="40% - Ênfase1 16" xfId="2096" xr:uid="{00000000-0005-0000-0000-000050080000}"/>
    <cellStyle name="40% - Ênfase1 16 2" xfId="2097" xr:uid="{00000000-0005-0000-0000-000051080000}"/>
    <cellStyle name="40% - Ênfase1 16 3" xfId="2098" xr:uid="{00000000-0005-0000-0000-000052080000}"/>
    <cellStyle name="40% - Ênfase1 160" xfId="2099" xr:uid="{00000000-0005-0000-0000-000053080000}"/>
    <cellStyle name="40% - Ênfase1 161" xfId="2100" xr:uid="{00000000-0005-0000-0000-000054080000}"/>
    <cellStyle name="40% - Ênfase1 162" xfId="2101" xr:uid="{00000000-0005-0000-0000-000055080000}"/>
    <cellStyle name="40% - Ênfase1 163" xfId="2102" xr:uid="{00000000-0005-0000-0000-000056080000}"/>
    <cellStyle name="40% - Ênfase1 164" xfId="2103" xr:uid="{00000000-0005-0000-0000-000057080000}"/>
    <cellStyle name="40% - Ênfase1 165" xfId="2104" xr:uid="{00000000-0005-0000-0000-000058080000}"/>
    <cellStyle name="40% - Ênfase1 166" xfId="2105" xr:uid="{00000000-0005-0000-0000-000059080000}"/>
    <cellStyle name="40% - Ênfase1 167" xfId="2106" xr:uid="{00000000-0005-0000-0000-00005A080000}"/>
    <cellStyle name="40% - Ênfase1 168" xfId="2107" xr:uid="{00000000-0005-0000-0000-00005B080000}"/>
    <cellStyle name="40% - Ênfase1 169" xfId="2108" xr:uid="{00000000-0005-0000-0000-00005C080000}"/>
    <cellStyle name="40% - Ênfase1 17" xfId="2109" xr:uid="{00000000-0005-0000-0000-00005D080000}"/>
    <cellStyle name="40% - Ênfase1 17 2" xfId="2110" xr:uid="{00000000-0005-0000-0000-00005E080000}"/>
    <cellStyle name="40% - Ênfase1 17 3" xfId="2111" xr:uid="{00000000-0005-0000-0000-00005F080000}"/>
    <cellStyle name="40% - Ênfase1 170" xfId="2112" xr:uid="{00000000-0005-0000-0000-000060080000}"/>
    <cellStyle name="40% - Ênfase1 171" xfId="2113" xr:uid="{00000000-0005-0000-0000-000061080000}"/>
    <cellStyle name="40% - Ênfase1 172" xfId="2114" xr:uid="{00000000-0005-0000-0000-000062080000}"/>
    <cellStyle name="40% - Ênfase1 173" xfId="2115" xr:uid="{00000000-0005-0000-0000-000063080000}"/>
    <cellStyle name="40% - Ênfase1 174" xfId="2116" xr:uid="{00000000-0005-0000-0000-000064080000}"/>
    <cellStyle name="40% - Ênfase1 175" xfId="2117" xr:uid="{00000000-0005-0000-0000-000065080000}"/>
    <cellStyle name="40% - Ênfase1 176" xfId="2118" xr:uid="{00000000-0005-0000-0000-000066080000}"/>
    <cellStyle name="40% - Ênfase1 177" xfId="2119" xr:uid="{00000000-0005-0000-0000-000067080000}"/>
    <cellStyle name="40% - Ênfase1 178" xfId="2120" xr:uid="{00000000-0005-0000-0000-000068080000}"/>
    <cellStyle name="40% - Ênfase1 179" xfId="2121" xr:uid="{00000000-0005-0000-0000-000069080000}"/>
    <cellStyle name="40% - Ênfase1 18" xfId="2122" xr:uid="{00000000-0005-0000-0000-00006A080000}"/>
    <cellStyle name="40% - Ênfase1 18 2" xfId="2123" xr:uid="{00000000-0005-0000-0000-00006B080000}"/>
    <cellStyle name="40% - Ênfase1 18 3" xfId="2124" xr:uid="{00000000-0005-0000-0000-00006C080000}"/>
    <cellStyle name="40% - Ênfase1 180" xfId="2125" xr:uid="{00000000-0005-0000-0000-00006D080000}"/>
    <cellStyle name="40% - Ênfase1 181" xfId="2126" xr:uid="{00000000-0005-0000-0000-00006E080000}"/>
    <cellStyle name="40% - Ênfase1 182" xfId="2127" xr:uid="{00000000-0005-0000-0000-00006F080000}"/>
    <cellStyle name="40% - Ênfase1 183" xfId="2128" xr:uid="{00000000-0005-0000-0000-000070080000}"/>
    <cellStyle name="40% - Ênfase1 184" xfId="2129" xr:uid="{00000000-0005-0000-0000-000071080000}"/>
    <cellStyle name="40% - Ênfase1 185" xfId="2130" xr:uid="{00000000-0005-0000-0000-000072080000}"/>
    <cellStyle name="40% - Ênfase1 186" xfId="2131" xr:uid="{00000000-0005-0000-0000-000073080000}"/>
    <cellStyle name="40% - Ênfase1 187" xfId="2132" xr:uid="{00000000-0005-0000-0000-000074080000}"/>
    <cellStyle name="40% - Ênfase1 188" xfId="2133" xr:uid="{00000000-0005-0000-0000-000075080000}"/>
    <cellStyle name="40% - Ênfase1 189" xfId="2134" xr:uid="{00000000-0005-0000-0000-000076080000}"/>
    <cellStyle name="40% - Ênfase1 19" xfId="2135" xr:uid="{00000000-0005-0000-0000-000077080000}"/>
    <cellStyle name="40% - Ênfase1 19 2" xfId="2136" xr:uid="{00000000-0005-0000-0000-000078080000}"/>
    <cellStyle name="40% - Ênfase1 19 3" xfId="2137" xr:uid="{00000000-0005-0000-0000-000079080000}"/>
    <cellStyle name="40% - Ênfase1 190" xfId="2138" xr:uid="{00000000-0005-0000-0000-00007A080000}"/>
    <cellStyle name="40% - Ênfase1 2" xfId="2139" xr:uid="{00000000-0005-0000-0000-00007B080000}"/>
    <cellStyle name="40% - Ênfase1 2 10" xfId="2140" xr:uid="{00000000-0005-0000-0000-00007C080000}"/>
    <cellStyle name="40% - Ênfase1 2 10 2" xfId="2141" xr:uid="{00000000-0005-0000-0000-00007D080000}"/>
    <cellStyle name="40% - Ênfase1 2 10 3" xfId="2142" xr:uid="{00000000-0005-0000-0000-00007E080000}"/>
    <cellStyle name="40% - Ênfase1 2 10 4" xfId="2143" xr:uid="{00000000-0005-0000-0000-00007F080000}"/>
    <cellStyle name="40% - Ênfase1 2 10 5" xfId="2144" xr:uid="{00000000-0005-0000-0000-000080080000}"/>
    <cellStyle name="40% - Ênfase1 2 10 6" xfId="2145" xr:uid="{00000000-0005-0000-0000-000081080000}"/>
    <cellStyle name="40% - Ênfase1 2 10 7" xfId="2146" xr:uid="{00000000-0005-0000-0000-000082080000}"/>
    <cellStyle name="40% - Ênfase1 2 11" xfId="2147" xr:uid="{00000000-0005-0000-0000-000083080000}"/>
    <cellStyle name="40% - Ênfase1 2 11 2" xfId="2148" xr:uid="{00000000-0005-0000-0000-000084080000}"/>
    <cellStyle name="40% - Ênfase1 2 11 3" xfId="2149" xr:uid="{00000000-0005-0000-0000-000085080000}"/>
    <cellStyle name="40% - Ênfase1 2 11 4" xfId="2150" xr:uid="{00000000-0005-0000-0000-000086080000}"/>
    <cellStyle name="40% - Ênfase1 2 11 5" xfId="2151" xr:uid="{00000000-0005-0000-0000-000087080000}"/>
    <cellStyle name="40% - Ênfase1 2 11 6" xfId="2152" xr:uid="{00000000-0005-0000-0000-000088080000}"/>
    <cellStyle name="40% - Ênfase1 2 11 7" xfId="2153" xr:uid="{00000000-0005-0000-0000-000089080000}"/>
    <cellStyle name="40% - Ênfase1 2 12" xfId="2154" xr:uid="{00000000-0005-0000-0000-00008A080000}"/>
    <cellStyle name="40% - Ênfase1 2 13" xfId="2155" xr:uid="{00000000-0005-0000-0000-00008B080000}"/>
    <cellStyle name="40% - Ênfase1 2 14" xfId="2156" xr:uid="{00000000-0005-0000-0000-00008C080000}"/>
    <cellStyle name="40% - Ênfase1 2 15" xfId="2157" xr:uid="{00000000-0005-0000-0000-00008D080000}"/>
    <cellStyle name="40% - Ênfase1 2 16" xfId="2158" xr:uid="{00000000-0005-0000-0000-00008E080000}"/>
    <cellStyle name="40% - Ênfase1 2 17" xfId="2159" xr:uid="{00000000-0005-0000-0000-00008F080000}"/>
    <cellStyle name="40% - Ênfase1 2 18" xfId="2160" xr:uid="{00000000-0005-0000-0000-000090080000}"/>
    <cellStyle name="40% - Ênfase1 2 19" xfId="2161" xr:uid="{00000000-0005-0000-0000-000091080000}"/>
    <cellStyle name="40% - Ênfase1 2 2" xfId="2162" xr:uid="{00000000-0005-0000-0000-000092080000}"/>
    <cellStyle name="40% - Ênfase1 2 20" xfId="2163" xr:uid="{00000000-0005-0000-0000-000093080000}"/>
    <cellStyle name="40% - Ênfase1 2 21" xfId="2164" xr:uid="{00000000-0005-0000-0000-000094080000}"/>
    <cellStyle name="40% - Ênfase1 2 22" xfId="2165" xr:uid="{00000000-0005-0000-0000-000095080000}"/>
    <cellStyle name="40% - Ênfase1 2 23" xfId="2166" xr:uid="{00000000-0005-0000-0000-000096080000}"/>
    <cellStyle name="40% - Ênfase1 2 24" xfId="2167" xr:uid="{00000000-0005-0000-0000-000097080000}"/>
    <cellStyle name="40% - Ênfase1 2 25" xfId="2168" xr:uid="{00000000-0005-0000-0000-000098080000}"/>
    <cellStyle name="40% - Ênfase1 2 26" xfId="2169" xr:uid="{00000000-0005-0000-0000-000099080000}"/>
    <cellStyle name="40% - Ênfase1 2 27" xfId="2170" xr:uid="{00000000-0005-0000-0000-00009A080000}"/>
    <cellStyle name="40% - Ênfase1 2 28" xfId="2171" xr:uid="{00000000-0005-0000-0000-00009B080000}"/>
    <cellStyle name="40% - Ênfase1 2 29" xfId="2172" xr:uid="{00000000-0005-0000-0000-00009C080000}"/>
    <cellStyle name="40% - Ênfase1 2 3" xfId="2173" xr:uid="{00000000-0005-0000-0000-00009D080000}"/>
    <cellStyle name="40% - Ênfase1 2 30" xfId="2174" xr:uid="{00000000-0005-0000-0000-00009E080000}"/>
    <cellStyle name="40% - Ênfase1 2 31" xfId="2175" xr:uid="{00000000-0005-0000-0000-00009F080000}"/>
    <cellStyle name="40% - Ênfase1 2 32" xfId="2176" xr:uid="{00000000-0005-0000-0000-0000A0080000}"/>
    <cellStyle name="40% - Ênfase1 2 33" xfId="2177" xr:uid="{00000000-0005-0000-0000-0000A1080000}"/>
    <cellStyle name="40% - Ênfase1 2 34" xfId="2178" xr:uid="{00000000-0005-0000-0000-0000A2080000}"/>
    <cellStyle name="40% - Ênfase1 2 35" xfId="2179" xr:uid="{00000000-0005-0000-0000-0000A3080000}"/>
    <cellStyle name="40% - Ênfase1 2 4" xfId="2180" xr:uid="{00000000-0005-0000-0000-0000A4080000}"/>
    <cellStyle name="40% - Ênfase1 2 5" xfId="2181" xr:uid="{00000000-0005-0000-0000-0000A5080000}"/>
    <cellStyle name="40% - Ênfase1 2 6" xfId="2182" xr:uid="{00000000-0005-0000-0000-0000A6080000}"/>
    <cellStyle name="40% - Ênfase1 2 7" xfId="2183" xr:uid="{00000000-0005-0000-0000-0000A7080000}"/>
    <cellStyle name="40% - Ênfase1 2 8" xfId="2184" xr:uid="{00000000-0005-0000-0000-0000A8080000}"/>
    <cellStyle name="40% - Ênfase1 2 8 2" xfId="2185" xr:uid="{00000000-0005-0000-0000-0000A9080000}"/>
    <cellStyle name="40% - Ênfase1 2 8 3" xfId="2186" xr:uid="{00000000-0005-0000-0000-0000AA080000}"/>
    <cellStyle name="40% - Ênfase1 2 8 4" xfId="2187" xr:uid="{00000000-0005-0000-0000-0000AB080000}"/>
    <cellStyle name="40% - Ênfase1 2 8 5" xfId="2188" xr:uid="{00000000-0005-0000-0000-0000AC080000}"/>
    <cellStyle name="40% - Ênfase1 2 8 6" xfId="2189" xr:uid="{00000000-0005-0000-0000-0000AD080000}"/>
    <cellStyle name="40% - Ênfase1 2 8 7" xfId="2190" xr:uid="{00000000-0005-0000-0000-0000AE080000}"/>
    <cellStyle name="40% - Ênfase1 2 9" xfId="2191" xr:uid="{00000000-0005-0000-0000-0000AF080000}"/>
    <cellStyle name="40% - Ênfase1 2 9 2" xfId="2192" xr:uid="{00000000-0005-0000-0000-0000B0080000}"/>
    <cellStyle name="40% - Ênfase1 2 9 3" xfId="2193" xr:uid="{00000000-0005-0000-0000-0000B1080000}"/>
    <cellStyle name="40% - Ênfase1 2 9 4" xfId="2194" xr:uid="{00000000-0005-0000-0000-0000B2080000}"/>
    <cellStyle name="40% - Ênfase1 2 9 5" xfId="2195" xr:uid="{00000000-0005-0000-0000-0000B3080000}"/>
    <cellStyle name="40% - Ênfase1 2 9 6" xfId="2196" xr:uid="{00000000-0005-0000-0000-0000B4080000}"/>
    <cellStyle name="40% - Ênfase1 2 9 7" xfId="2197" xr:uid="{00000000-0005-0000-0000-0000B5080000}"/>
    <cellStyle name="40% - Ênfase1 20" xfId="2198" xr:uid="{00000000-0005-0000-0000-0000B6080000}"/>
    <cellStyle name="40% - Ênfase1 20 2" xfId="2199" xr:uid="{00000000-0005-0000-0000-0000B7080000}"/>
    <cellStyle name="40% - Ênfase1 20 3" xfId="2200" xr:uid="{00000000-0005-0000-0000-0000B8080000}"/>
    <cellStyle name="40% - Ênfase1 21" xfId="2201" xr:uid="{00000000-0005-0000-0000-0000B9080000}"/>
    <cellStyle name="40% - Ênfase1 22" xfId="2202" xr:uid="{00000000-0005-0000-0000-0000BA080000}"/>
    <cellStyle name="40% - Ênfase1 23" xfId="2203" xr:uid="{00000000-0005-0000-0000-0000BB080000}"/>
    <cellStyle name="40% - Ênfase1 24" xfId="2204" xr:uid="{00000000-0005-0000-0000-0000BC080000}"/>
    <cellStyle name="40% - Ênfase1 24 2" xfId="40934" xr:uid="{00000000-0005-0000-0000-0000BD080000}"/>
    <cellStyle name="40% - Ênfase1 25" xfId="2205" xr:uid="{00000000-0005-0000-0000-0000BE080000}"/>
    <cellStyle name="40% - Ênfase1 25 2" xfId="40969" xr:uid="{00000000-0005-0000-0000-0000BF080000}"/>
    <cellStyle name="40% - Ênfase1 26" xfId="2206" xr:uid="{00000000-0005-0000-0000-0000C0080000}"/>
    <cellStyle name="40% - Ênfase1 26 10" xfId="2207" xr:uid="{00000000-0005-0000-0000-0000C1080000}"/>
    <cellStyle name="40% - Ênfase1 26 11" xfId="2208" xr:uid="{00000000-0005-0000-0000-0000C2080000}"/>
    <cellStyle name="40% - Ênfase1 26 12" xfId="2209" xr:uid="{00000000-0005-0000-0000-0000C3080000}"/>
    <cellStyle name="40% - Ênfase1 26 13" xfId="2210" xr:uid="{00000000-0005-0000-0000-0000C4080000}"/>
    <cellStyle name="40% - Ênfase1 26 14" xfId="2211" xr:uid="{00000000-0005-0000-0000-0000C5080000}"/>
    <cellStyle name="40% - Ênfase1 26 15" xfId="2212" xr:uid="{00000000-0005-0000-0000-0000C6080000}"/>
    <cellStyle name="40% - Ênfase1 26 16" xfId="2213" xr:uid="{00000000-0005-0000-0000-0000C7080000}"/>
    <cellStyle name="40% - Ênfase1 26 2" xfId="2214" xr:uid="{00000000-0005-0000-0000-0000C8080000}"/>
    <cellStyle name="40% - Ênfase1 26 3" xfId="2215" xr:uid="{00000000-0005-0000-0000-0000C9080000}"/>
    <cellStyle name="40% - Ênfase1 26 4" xfId="2216" xr:uid="{00000000-0005-0000-0000-0000CA080000}"/>
    <cellStyle name="40% - Ênfase1 26 5" xfId="2217" xr:uid="{00000000-0005-0000-0000-0000CB080000}"/>
    <cellStyle name="40% - Ênfase1 26 6" xfId="2218" xr:uid="{00000000-0005-0000-0000-0000CC080000}"/>
    <cellStyle name="40% - Ênfase1 26 7" xfId="2219" xr:uid="{00000000-0005-0000-0000-0000CD080000}"/>
    <cellStyle name="40% - Ênfase1 26 8" xfId="2220" xr:uid="{00000000-0005-0000-0000-0000CE080000}"/>
    <cellStyle name="40% - Ênfase1 26 9" xfId="2221" xr:uid="{00000000-0005-0000-0000-0000CF080000}"/>
    <cellStyle name="40% - Ênfase1 27" xfId="2222" xr:uid="{00000000-0005-0000-0000-0000D0080000}"/>
    <cellStyle name="40% - Ênfase1 27 10" xfId="2223" xr:uid="{00000000-0005-0000-0000-0000D1080000}"/>
    <cellStyle name="40% - Ênfase1 27 11" xfId="2224" xr:uid="{00000000-0005-0000-0000-0000D2080000}"/>
    <cellStyle name="40% - Ênfase1 27 12" xfId="2225" xr:uid="{00000000-0005-0000-0000-0000D3080000}"/>
    <cellStyle name="40% - Ênfase1 27 13" xfId="2226" xr:uid="{00000000-0005-0000-0000-0000D4080000}"/>
    <cellStyle name="40% - Ênfase1 27 14" xfId="2227" xr:uid="{00000000-0005-0000-0000-0000D5080000}"/>
    <cellStyle name="40% - Ênfase1 27 15" xfId="2228" xr:uid="{00000000-0005-0000-0000-0000D6080000}"/>
    <cellStyle name="40% - Ênfase1 27 16" xfId="2229" xr:uid="{00000000-0005-0000-0000-0000D7080000}"/>
    <cellStyle name="40% - Ênfase1 27 2" xfId="2230" xr:uid="{00000000-0005-0000-0000-0000D8080000}"/>
    <cellStyle name="40% - Ênfase1 27 3" xfId="2231" xr:uid="{00000000-0005-0000-0000-0000D9080000}"/>
    <cellStyle name="40% - Ênfase1 27 4" xfId="2232" xr:uid="{00000000-0005-0000-0000-0000DA080000}"/>
    <cellStyle name="40% - Ênfase1 27 5" xfId="2233" xr:uid="{00000000-0005-0000-0000-0000DB080000}"/>
    <cellStyle name="40% - Ênfase1 27 6" xfId="2234" xr:uid="{00000000-0005-0000-0000-0000DC080000}"/>
    <cellStyle name="40% - Ênfase1 27 7" xfId="2235" xr:uid="{00000000-0005-0000-0000-0000DD080000}"/>
    <cellStyle name="40% - Ênfase1 27 8" xfId="2236" xr:uid="{00000000-0005-0000-0000-0000DE080000}"/>
    <cellStyle name="40% - Ênfase1 27 9" xfId="2237" xr:uid="{00000000-0005-0000-0000-0000DF080000}"/>
    <cellStyle name="40% - Ênfase1 28" xfId="2238" xr:uid="{00000000-0005-0000-0000-0000E0080000}"/>
    <cellStyle name="40% - Ênfase1 28 10" xfId="2239" xr:uid="{00000000-0005-0000-0000-0000E1080000}"/>
    <cellStyle name="40% - Ênfase1 28 11" xfId="2240" xr:uid="{00000000-0005-0000-0000-0000E2080000}"/>
    <cellStyle name="40% - Ênfase1 28 12" xfId="2241" xr:uid="{00000000-0005-0000-0000-0000E3080000}"/>
    <cellStyle name="40% - Ênfase1 28 13" xfId="2242" xr:uid="{00000000-0005-0000-0000-0000E4080000}"/>
    <cellStyle name="40% - Ênfase1 28 14" xfId="2243" xr:uid="{00000000-0005-0000-0000-0000E5080000}"/>
    <cellStyle name="40% - Ênfase1 28 15" xfId="2244" xr:uid="{00000000-0005-0000-0000-0000E6080000}"/>
    <cellStyle name="40% - Ênfase1 28 16" xfId="2245" xr:uid="{00000000-0005-0000-0000-0000E7080000}"/>
    <cellStyle name="40% - Ênfase1 28 2" xfId="2246" xr:uid="{00000000-0005-0000-0000-0000E8080000}"/>
    <cellStyle name="40% - Ênfase1 28 3" xfId="2247" xr:uid="{00000000-0005-0000-0000-0000E9080000}"/>
    <cellStyle name="40% - Ênfase1 28 4" xfId="2248" xr:uid="{00000000-0005-0000-0000-0000EA080000}"/>
    <cellStyle name="40% - Ênfase1 28 5" xfId="2249" xr:uid="{00000000-0005-0000-0000-0000EB080000}"/>
    <cellStyle name="40% - Ênfase1 28 6" xfId="2250" xr:uid="{00000000-0005-0000-0000-0000EC080000}"/>
    <cellStyle name="40% - Ênfase1 28 7" xfId="2251" xr:uid="{00000000-0005-0000-0000-0000ED080000}"/>
    <cellStyle name="40% - Ênfase1 28 8" xfId="2252" xr:uid="{00000000-0005-0000-0000-0000EE080000}"/>
    <cellStyle name="40% - Ênfase1 28 9" xfId="2253" xr:uid="{00000000-0005-0000-0000-0000EF080000}"/>
    <cellStyle name="40% - Ênfase1 29" xfId="2254" xr:uid="{00000000-0005-0000-0000-0000F0080000}"/>
    <cellStyle name="40% - Ênfase1 29 10" xfId="2255" xr:uid="{00000000-0005-0000-0000-0000F1080000}"/>
    <cellStyle name="40% - Ênfase1 29 11" xfId="2256" xr:uid="{00000000-0005-0000-0000-0000F2080000}"/>
    <cellStyle name="40% - Ênfase1 29 12" xfId="2257" xr:uid="{00000000-0005-0000-0000-0000F3080000}"/>
    <cellStyle name="40% - Ênfase1 29 13" xfId="2258" xr:uid="{00000000-0005-0000-0000-0000F4080000}"/>
    <cellStyle name="40% - Ênfase1 29 14" xfId="2259" xr:uid="{00000000-0005-0000-0000-0000F5080000}"/>
    <cellStyle name="40% - Ênfase1 29 15" xfId="2260" xr:uid="{00000000-0005-0000-0000-0000F6080000}"/>
    <cellStyle name="40% - Ênfase1 29 16" xfId="2261" xr:uid="{00000000-0005-0000-0000-0000F7080000}"/>
    <cellStyle name="40% - Ênfase1 29 2" xfId="2262" xr:uid="{00000000-0005-0000-0000-0000F8080000}"/>
    <cellStyle name="40% - Ênfase1 29 3" xfId="2263" xr:uid="{00000000-0005-0000-0000-0000F9080000}"/>
    <cellStyle name="40% - Ênfase1 29 4" xfId="2264" xr:uid="{00000000-0005-0000-0000-0000FA080000}"/>
    <cellStyle name="40% - Ênfase1 29 5" xfId="2265" xr:uid="{00000000-0005-0000-0000-0000FB080000}"/>
    <cellStyle name="40% - Ênfase1 29 6" xfId="2266" xr:uid="{00000000-0005-0000-0000-0000FC080000}"/>
    <cellStyle name="40% - Ênfase1 29 7" xfId="2267" xr:uid="{00000000-0005-0000-0000-0000FD080000}"/>
    <cellStyle name="40% - Ênfase1 29 8" xfId="2268" xr:uid="{00000000-0005-0000-0000-0000FE080000}"/>
    <cellStyle name="40% - Ênfase1 29 9" xfId="2269" xr:uid="{00000000-0005-0000-0000-0000FF080000}"/>
    <cellStyle name="40% - Ênfase1 3" xfId="2270" xr:uid="{00000000-0005-0000-0000-000000090000}"/>
    <cellStyle name="40% - Ênfase1 3 10" xfId="2271" xr:uid="{00000000-0005-0000-0000-000001090000}"/>
    <cellStyle name="40% - Ênfase1 3 11" xfId="2272" xr:uid="{00000000-0005-0000-0000-000002090000}"/>
    <cellStyle name="40% - Ênfase1 3 2" xfId="2273" xr:uid="{00000000-0005-0000-0000-000003090000}"/>
    <cellStyle name="40% - Ênfase1 3 3" xfId="2274" xr:uid="{00000000-0005-0000-0000-000004090000}"/>
    <cellStyle name="40% - Ênfase1 3 4" xfId="2275" xr:uid="{00000000-0005-0000-0000-000005090000}"/>
    <cellStyle name="40% - Ênfase1 3 5" xfId="2276" xr:uid="{00000000-0005-0000-0000-000006090000}"/>
    <cellStyle name="40% - Ênfase1 3 6" xfId="2277" xr:uid="{00000000-0005-0000-0000-000007090000}"/>
    <cellStyle name="40% - Ênfase1 3 7" xfId="2278" xr:uid="{00000000-0005-0000-0000-000008090000}"/>
    <cellStyle name="40% - Ênfase1 3 8" xfId="2279" xr:uid="{00000000-0005-0000-0000-000009090000}"/>
    <cellStyle name="40% - Ênfase1 3 9" xfId="2280" xr:uid="{00000000-0005-0000-0000-00000A090000}"/>
    <cellStyle name="40% - Ênfase1 30" xfId="2281" xr:uid="{00000000-0005-0000-0000-00000B090000}"/>
    <cellStyle name="40% - Ênfase1 31" xfId="2282" xr:uid="{00000000-0005-0000-0000-00000C090000}"/>
    <cellStyle name="40% - Ênfase1 32" xfId="2283" xr:uid="{00000000-0005-0000-0000-00000D090000}"/>
    <cellStyle name="40% - Ênfase1 33" xfId="2284" xr:uid="{00000000-0005-0000-0000-00000E090000}"/>
    <cellStyle name="40% - Ênfase1 34" xfId="2285" xr:uid="{00000000-0005-0000-0000-00000F090000}"/>
    <cellStyle name="40% - Ênfase1 35" xfId="2286" xr:uid="{00000000-0005-0000-0000-000010090000}"/>
    <cellStyle name="40% - Ênfase1 36" xfId="2287" xr:uid="{00000000-0005-0000-0000-000011090000}"/>
    <cellStyle name="40% - Ênfase1 37" xfId="2288" xr:uid="{00000000-0005-0000-0000-000012090000}"/>
    <cellStyle name="40% - Ênfase1 38" xfId="2289" xr:uid="{00000000-0005-0000-0000-000013090000}"/>
    <cellStyle name="40% - Ênfase1 39" xfId="2290" xr:uid="{00000000-0005-0000-0000-000014090000}"/>
    <cellStyle name="40% - Ênfase1 4" xfId="2291" xr:uid="{00000000-0005-0000-0000-000015090000}"/>
    <cellStyle name="40% - Ênfase1 4 10" xfId="2292" xr:uid="{00000000-0005-0000-0000-000016090000}"/>
    <cellStyle name="40% - Ênfase1 4 11" xfId="2293" xr:uid="{00000000-0005-0000-0000-000017090000}"/>
    <cellStyle name="40% - Ênfase1 4 2" xfId="2294" xr:uid="{00000000-0005-0000-0000-000018090000}"/>
    <cellStyle name="40% - Ênfase1 4 3" xfId="2295" xr:uid="{00000000-0005-0000-0000-000019090000}"/>
    <cellStyle name="40% - Ênfase1 4 4" xfId="2296" xr:uid="{00000000-0005-0000-0000-00001A090000}"/>
    <cellStyle name="40% - Ênfase1 4 5" xfId="2297" xr:uid="{00000000-0005-0000-0000-00001B090000}"/>
    <cellStyle name="40% - Ênfase1 4 6" xfId="2298" xr:uid="{00000000-0005-0000-0000-00001C090000}"/>
    <cellStyle name="40% - Ênfase1 4 7" xfId="2299" xr:uid="{00000000-0005-0000-0000-00001D090000}"/>
    <cellStyle name="40% - Ênfase1 4 8" xfId="2300" xr:uid="{00000000-0005-0000-0000-00001E090000}"/>
    <cellStyle name="40% - Ênfase1 4 9" xfId="2301" xr:uid="{00000000-0005-0000-0000-00001F090000}"/>
    <cellStyle name="40% - Ênfase1 40" xfId="2302" xr:uid="{00000000-0005-0000-0000-000020090000}"/>
    <cellStyle name="40% - Ênfase1 41" xfId="2303" xr:uid="{00000000-0005-0000-0000-000021090000}"/>
    <cellStyle name="40% - Ênfase1 42" xfId="2304" xr:uid="{00000000-0005-0000-0000-000022090000}"/>
    <cellStyle name="40% - Ênfase1 43" xfId="2305" xr:uid="{00000000-0005-0000-0000-000023090000}"/>
    <cellStyle name="40% - Ênfase1 44" xfId="2306" xr:uid="{00000000-0005-0000-0000-000024090000}"/>
    <cellStyle name="40% - Ênfase1 45" xfId="2307" xr:uid="{00000000-0005-0000-0000-000025090000}"/>
    <cellStyle name="40% - Ênfase1 46" xfId="2308" xr:uid="{00000000-0005-0000-0000-000026090000}"/>
    <cellStyle name="40% - Ênfase1 47" xfId="2309" xr:uid="{00000000-0005-0000-0000-000027090000}"/>
    <cellStyle name="40% - Ênfase1 48" xfId="2310" xr:uid="{00000000-0005-0000-0000-000028090000}"/>
    <cellStyle name="40% - Ênfase1 49" xfId="2311" xr:uid="{00000000-0005-0000-0000-000029090000}"/>
    <cellStyle name="40% - Ênfase1 5" xfId="2312" xr:uid="{00000000-0005-0000-0000-00002A090000}"/>
    <cellStyle name="40% - Ênfase1 5 2" xfId="2313" xr:uid="{00000000-0005-0000-0000-00002B090000}"/>
    <cellStyle name="40% - Ênfase1 5 3" xfId="2314" xr:uid="{00000000-0005-0000-0000-00002C090000}"/>
    <cellStyle name="40% - Ênfase1 5 4" xfId="2315" xr:uid="{00000000-0005-0000-0000-00002D090000}"/>
    <cellStyle name="40% - Ênfase1 50" xfId="2316" xr:uid="{00000000-0005-0000-0000-00002E090000}"/>
    <cellStyle name="40% - Ênfase1 51" xfId="2317" xr:uid="{00000000-0005-0000-0000-00002F090000}"/>
    <cellStyle name="40% - Ênfase1 52" xfId="2318" xr:uid="{00000000-0005-0000-0000-000030090000}"/>
    <cellStyle name="40% - Ênfase1 53" xfId="2319" xr:uid="{00000000-0005-0000-0000-000031090000}"/>
    <cellStyle name="40% - Ênfase1 54" xfId="2320" xr:uid="{00000000-0005-0000-0000-000032090000}"/>
    <cellStyle name="40% - Ênfase1 55" xfId="2321" xr:uid="{00000000-0005-0000-0000-000033090000}"/>
    <cellStyle name="40% - Ênfase1 56" xfId="2322" xr:uid="{00000000-0005-0000-0000-000034090000}"/>
    <cellStyle name="40% - Ênfase1 57" xfId="2323" xr:uid="{00000000-0005-0000-0000-000035090000}"/>
    <cellStyle name="40% - Ênfase1 58" xfId="2324" xr:uid="{00000000-0005-0000-0000-000036090000}"/>
    <cellStyle name="40% - Ênfase1 59" xfId="2325" xr:uid="{00000000-0005-0000-0000-000037090000}"/>
    <cellStyle name="40% - Ênfase1 6" xfId="2326" xr:uid="{00000000-0005-0000-0000-000038090000}"/>
    <cellStyle name="40% - Ênfase1 6 2" xfId="2327" xr:uid="{00000000-0005-0000-0000-000039090000}"/>
    <cellStyle name="40% - Ênfase1 6 3" xfId="2328" xr:uid="{00000000-0005-0000-0000-00003A090000}"/>
    <cellStyle name="40% - Ênfase1 6 4" xfId="2329" xr:uid="{00000000-0005-0000-0000-00003B090000}"/>
    <cellStyle name="40% - Ênfase1 60" xfId="2330" xr:uid="{00000000-0005-0000-0000-00003C090000}"/>
    <cellStyle name="40% - Ênfase1 61" xfId="2331" xr:uid="{00000000-0005-0000-0000-00003D090000}"/>
    <cellStyle name="40% - Ênfase1 62" xfId="2332" xr:uid="{00000000-0005-0000-0000-00003E090000}"/>
    <cellStyle name="40% - Ênfase1 63" xfId="2333" xr:uid="{00000000-0005-0000-0000-00003F090000}"/>
    <cellStyle name="40% - Ênfase1 64" xfId="2334" xr:uid="{00000000-0005-0000-0000-000040090000}"/>
    <cellStyle name="40% - Ênfase1 65" xfId="2335" xr:uid="{00000000-0005-0000-0000-000041090000}"/>
    <cellStyle name="40% - Ênfase1 66" xfId="2336" xr:uid="{00000000-0005-0000-0000-000042090000}"/>
    <cellStyle name="40% - Ênfase1 67" xfId="2337" xr:uid="{00000000-0005-0000-0000-000043090000}"/>
    <cellStyle name="40% - Ênfase1 68" xfId="2338" xr:uid="{00000000-0005-0000-0000-000044090000}"/>
    <cellStyle name="40% - Ênfase1 69" xfId="2339" xr:uid="{00000000-0005-0000-0000-000045090000}"/>
    <cellStyle name="40% - Ênfase1 7" xfId="2340" xr:uid="{00000000-0005-0000-0000-000046090000}"/>
    <cellStyle name="40% - Ênfase1 7 2" xfId="2341" xr:uid="{00000000-0005-0000-0000-000047090000}"/>
    <cellStyle name="40% - Ênfase1 7 3" xfId="2342" xr:uid="{00000000-0005-0000-0000-000048090000}"/>
    <cellStyle name="40% - Ênfase1 7 4" xfId="2343" xr:uid="{00000000-0005-0000-0000-000049090000}"/>
    <cellStyle name="40% - Ênfase1 70" xfId="2344" xr:uid="{00000000-0005-0000-0000-00004A090000}"/>
    <cellStyle name="40% - Ênfase1 71" xfId="2345" xr:uid="{00000000-0005-0000-0000-00004B090000}"/>
    <cellStyle name="40% - Ênfase1 72" xfId="2346" xr:uid="{00000000-0005-0000-0000-00004C090000}"/>
    <cellStyle name="40% - Ênfase1 73" xfId="2347" xr:uid="{00000000-0005-0000-0000-00004D090000}"/>
    <cellStyle name="40% - Ênfase1 74" xfId="2348" xr:uid="{00000000-0005-0000-0000-00004E090000}"/>
    <cellStyle name="40% - Ênfase1 75" xfId="2349" xr:uid="{00000000-0005-0000-0000-00004F090000}"/>
    <cellStyle name="40% - Ênfase1 76" xfId="2350" xr:uid="{00000000-0005-0000-0000-000050090000}"/>
    <cellStyle name="40% - Ênfase1 77" xfId="2351" xr:uid="{00000000-0005-0000-0000-000051090000}"/>
    <cellStyle name="40% - Ênfase1 78" xfId="2352" xr:uid="{00000000-0005-0000-0000-000052090000}"/>
    <cellStyle name="40% - Ênfase1 79" xfId="2353" xr:uid="{00000000-0005-0000-0000-000053090000}"/>
    <cellStyle name="40% - Ênfase1 8" xfId="2354" xr:uid="{00000000-0005-0000-0000-000054090000}"/>
    <cellStyle name="40% - Ênfase1 8 2" xfId="2355" xr:uid="{00000000-0005-0000-0000-000055090000}"/>
    <cellStyle name="40% - Ênfase1 8 3" xfId="2356" xr:uid="{00000000-0005-0000-0000-000056090000}"/>
    <cellStyle name="40% - Ênfase1 8 4" xfId="2357" xr:uid="{00000000-0005-0000-0000-000057090000}"/>
    <cellStyle name="40% - Ênfase1 80" xfId="2358" xr:uid="{00000000-0005-0000-0000-000058090000}"/>
    <cellStyle name="40% - Ênfase1 81" xfId="2359" xr:uid="{00000000-0005-0000-0000-000059090000}"/>
    <cellStyle name="40% - Ênfase1 82" xfId="2360" xr:uid="{00000000-0005-0000-0000-00005A090000}"/>
    <cellStyle name="40% - Ênfase1 83" xfId="2361" xr:uid="{00000000-0005-0000-0000-00005B090000}"/>
    <cellStyle name="40% - Ênfase1 84" xfId="2362" xr:uid="{00000000-0005-0000-0000-00005C090000}"/>
    <cellStyle name="40% - Ênfase1 85" xfId="2363" xr:uid="{00000000-0005-0000-0000-00005D090000}"/>
    <cellStyle name="40% - Ênfase1 86" xfId="2364" xr:uid="{00000000-0005-0000-0000-00005E090000}"/>
    <cellStyle name="40% - Ênfase1 87" xfId="2365" xr:uid="{00000000-0005-0000-0000-00005F090000}"/>
    <cellStyle name="40% - Ênfase1 88" xfId="2366" xr:uid="{00000000-0005-0000-0000-000060090000}"/>
    <cellStyle name="40% - Ênfase1 89" xfId="2367" xr:uid="{00000000-0005-0000-0000-000061090000}"/>
    <cellStyle name="40% - Ênfase1 9" xfId="2368" xr:uid="{00000000-0005-0000-0000-000062090000}"/>
    <cellStyle name="40% - Ênfase1 90" xfId="2369" xr:uid="{00000000-0005-0000-0000-000063090000}"/>
    <cellStyle name="40% - Ênfase1 91" xfId="2370" xr:uid="{00000000-0005-0000-0000-000064090000}"/>
    <cellStyle name="40% - Ênfase1 92" xfId="2371" xr:uid="{00000000-0005-0000-0000-000065090000}"/>
    <cellStyle name="40% - Ênfase1 93" xfId="2372" xr:uid="{00000000-0005-0000-0000-000066090000}"/>
    <cellStyle name="40% - Ênfase1 94" xfId="2373" xr:uid="{00000000-0005-0000-0000-000067090000}"/>
    <cellStyle name="40% - Ênfase1 95" xfId="2374" xr:uid="{00000000-0005-0000-0000-000068090000}"/>
    <cellStyle name="40% - Ênfase1 96" xfId="2375" xr:uid="{00000000-0005-0000-0000-000069090000}"/>
    <cellStyle name="40% - Ênfase1 97" xfId="2376" xr:uid="{00000000-0005-0000-0000-00006A090000}"/>
    <cellStyle name="40% - Ênfase1 98" xfId="2377" xr:uid="{00000000-0005-0000-0000-00006B090000}"/>
    <cellStyle name="40% - Ênfase1 99" xfId="2378" xr:uid="{00000000-0005-0000-0000-00006C090000}"/>
    <cellStyle name="40% - Ênfase2 10" xfId="2379" xr:uid="{00000000-0005-0000-0000-00006D090000}"/>
    <cellStyle name="40% - Ênfase2 10 2" xfId="40486" xr:uid="{00000000-0005-0000-0000-00006E090000}"/>
    <cellStyle name="40% - Ênfase2 100" xfId="2380" xr:uid="{00000000-0005-0000-0000-00006F090000}"/>
    <cellStyle name="40% - Ênfase2 101" xfId="2381" xr:uid="{00000000-0005-0000-0000-000070090000}"/>
    <cellStyle name="40% - Ênfase2 102" xfId="2382" xr:uid="{00000000-0005-0000-0000-000071090000}"/>
    <cellStyle name="40% - Ênfase2 103" xfId="2383" xr:uid="{00000000-0005-0000-0000-000072090000}"/>
    <cellStyle name="40% - Ênfase2 104" xfId="2384" xr:uid="{00000000-0005-0000-0000-000073090000}"/>
    <cellStyle name="40% - Ênfase2 105" xfId="2385" xr:uid="{00000000-0005-0000-0000-000074090000}"/>
    <cellStyle name="40% - Ênfase2 106" xfId="2386" xr:uid="{00000000-0005-0000-0000-000075090000}"/>
    <cellStyle name="40% - Ênfase2 107" xfId="2387" xr:uid="{00000000-0005-0000-0000-000076090000}"/>
    <cellStyle name="40% - Ênfase2 108" xfId="2388" xr:uid="{00000000-0005-0000-0000-000077090000}"/>
    <cellStyle name="40% - Ênfase2 109" xfId="2389" xr:uid="{00000000-0005-0000-0000-000078090000}"/>
    <cellStyle name="40% - Ênfase2 11" xfId="2390" xr:uid="{00000000-0005-0000-0000-000079090000}"/>
    <cellStyle name="40% - Ênfase2 11 2" xfId="40487" xr:uid="{00000000-0005-0000-0000-00007A090000}"/>
    <cellStyle name="40% - Ênfase2 110" xfId="2391" xr:uid="{00000000-0005-0000-0000-00007B090000}"/>
    <cellStyle name="40% - Ênfase2 111" xfId="2392" xr:uid="{00000000-0005-0000-0000-00007C090000}"/>
    <cellStyle name="40% - Ênfase2 112" xfId="2393" xr:uid="{00000000-0005-0000-0000-00007D090000}"/>
    <cellStyle name="40% - Ênfase2 113" xfId="2394" xr:uid="{00000000-0005-0000-0000-00007E090000}"/>
    <cellStyle name="40% - Ênfase2 114" xfId="2395" xr:uid="{00000000-0005-0000-0000-00007F090000}"/>
    <cellStyle name="40% - Ênfase2 115" xfId="2396" xr:uid="{00000000-0005-0000-0000-000080090000}"/>
    <cellStyle name="40% - Ênfase2 116" xfId="2397" xr:uid="{00000000-0005-0000-0000-000081090000}"/>
    <cellStyle name="40% - Ênfase2 117" xfId="2398" xr:uid="{00000000-0005-0000-0000-000082090000}"/>
    <cellStyle name="40% - Ênfase2 118" xfId="2399" xr:uid="{00000000-0005-0000-0000-000083090000}"/>
    <cellStyle name="40% - Ênfase2 119" xfId="2400" xr:uid="{00000000-0005-0000-0000-000084090000}"/>
    <cellStyle name="40% - Ênfase2 12" xfId="2401" xr:uid="{00000000-0005-0000-0000-000085090000}"/>
    <cellStyle name="40% - Ênfase2 12 2" xfId="40488" xr:uid="{00000000-0005-0000-0000-000086090000}"/>
    <cellStyle name="40% - Ênfase2 120" xfId="2402" xr:uid="{00000000-0005-0000-0000-000087090000}"/>
    <cellStyle name="40% - Ênfase2 121" xfId="2403" xr:uid="{00000000-0005-0000-0000-000088090000}"/>
    <cellStyle name="40% - Ênfase2 122" xfId="2404" xr:uid="{00000000-0005-0000-0000-000089090000}"/>
    <cellStyle name="40% - Ênfase2 123" xfId="2405" xr:uid="{00000000-0005-0000-0000-00008A090000}"/>
    <cellStyle name="40% - Ênfase2 124" xfId="2406" xr:uid="{00000000-0005-0000-0000-00008B090000}"/>
    <cellStyle name="40% - Ênfase2 125" xfId="2407" xr:uid="{00000000-0005-0000-0000-00008C090000}"/>
    <cellStyle name="40% - Ênfase2 126" xfId="2408" xr:uid="{00000000-0005-0000-0000-00008D090000}"/>
    <cellStyle name="40% - Ênfase2 127" xfId="2409" xr:uid="{00000000-0005-0000-0000-00008E090000}"/>
    <cellStyle name="40% - Ênfase2 128" xfId="2410" xr:uid="{00000000-0005-0000-0000-00008F090000}"/>
    <cellStyle name="40% - Ênfase2 129" xfId="2411" xr:uid="{00000000-0005-0000-0000-000090090000}"/>
    <cellStyle name="40% - Ênfase2 13" xfId="2412" xr:uid="{00000000-0005-0000-0000-000091090000}"/>
    <cellStyle name="40% - Ênfase2 13 2" xfId="40489" xr:uid="{00000000-0005-0000-0000-000092090000}"/>
    <cellStyle name="40% - Ênfase2 130" xfId="2413" xr:uid="{00000000-0005-0000-0000-000093090000}"/>
    <cellStyle name="40% - Ênfase2 131" xfId="2414" xr:uid="{00000000-0005-0000-0000-000094090000}"/>
    <cellStyle name="40% - Ênfase2 132" xfId="2415" xr:uid="{00000000-0005-0000-0000-000095090000}"/>
    <cellStyle name="40% - Ênfase2 133" xfId="2416" xr:uid="{00000000-0005-0000-0000-000096090000}"/>
    <cellStyle name="40% - Ênfase2 134" xfId="2417" xr:uid="{00000000-0005-0000-0000-000097090000}"/>
    <cellStyle name="40% - Ênfase2 135" xfId="2418" xr:uid="{00000000-0005-0000-0000-000098090000}"/>
    <cellStyle name="40% - Ênfase2 136" xfId="2419" xr:uid="{00000000-0005-0000-0000-000099090000}"/>
    <cellStyle name="40% - Ênfase2 137" xfId="2420" xr:uid="{00000000-0005-0000-0000-00009A090000}"/>
    <cellStyle name="40% - Ênfase2 138" xfId="2421" xr:uid="{00000000-0005-0000-0000-00009B090000}"/>
    <cellStyle name="40% - Ênfase2 139" xfId="2422" xr:uid="{00000000-0005-0000-0000-00009C090000}"/>
    <cellStyle name="40% - Ênfase2 14" xfId="2423" xr:uid="{00000000-0005-0000-0000-00009D090000}"/>
    <cellStyle name="40% - Ênfase2 140" xfId="2424" xr:uid="{00000000-0005-0000-0000-00009E090000}"/>
    <cellStyle name="40% - Ênfase2 141" xfId="2425" xr:uid="{00000000-0005-0000-0000-00009F090000}"/>
    <cellStyle name="40% - Ênfase2 142" xfId="2426" xr:uid="{00000000-0005-0000-0000-0000A0090000}"/>
    <cellStyle name="40% - Ênfase2 143" xfId="2427" xr:uid="{00000000-0005-0000-0000-0000A1090000}"/>
    <cellStyle name="40% - Ênfase2 144" xfId="2428" xr:uid="{00000000-0005-0000-0000-0000A2090000}"/>
    <cellStyle name="40% - Ênfase2 145" xfId="2429" xr:uid="{00000000-0005-0000-0000-0000A3090000}"/>
    <cellStyle name="40% - Ênfase2 146" xfId="2430" xr:uid="{00000000-0005-0000-0000-0000A4090000}"/>
    <cellStyle name="40% - Ênfase2 147" xfId="2431" xr:uid="{00000000-0005-0000-0000-0000A5090000}"/>
    <cellStyle name="40% - Ênfase2 148" xfId="2432" xr:uid="{00000000-0005-0000-0000-0000A6090000}"/>
    <cellStyle name="40% - Ênfase2 149" xfId="2433" xr:uid="{00000000-0005-0000-0000-0000A7090000}"/>
    <cellStyle name="40% - Ênfase2 15" xfId="2434" xr:uid="{00000000-0005-0000-0000-0000A8090000}"/>
    <cellStyle name="40% - Ênfase2 15 2" xfId="2435" xr:uid="{00000000-0005-0000-0000-0000A9090000}"/>
    <cellStyle name="40% - Ênfase2 15 3" xfId="2436" xr:uid="{00000000-0005-0000-0000-0000AA090000}"/>
    <cellStyle name="40% - Ênfase2 150" xfId="2437" xr:uid="{00000000-0005-0000-0000-0000AB090000}"/>
    <cellStyle name="40% - Ênfase2 151" xfId="2438" xr:uid="{00000000-0005-0000-0000-0000AC090000}"/>
    <cellStyle name="40% - Ênfase2 152" xfId="2439" xr:uid="{00000000-0005-0000-0000-0000AD090000}"/>
    <cellStyle name="40% - Ênfase2 153" xfId="2440" xr:uid="{00000000-0005-0000-0000-0000AE090000}"/>
    <cellStyle name="40% - Ênfase2 154" xfId="2441" xr:uid="{00000000-0005-0000-0000-0000AF090000}"/>
    <cellStyle name="40% - Ênfase2 155" xfId="2442" xr:uid="{00000000-0005-0000-0000-0000B0090000}"/>
    <cellStyle name="40% - Ênfase2 156" xfId="2443" xr:uid="{00000000-0005-0000-0000-0000B1090000}"/>
    <cellStyle name="40% - Ênfase2 157" xfId="2444" xr:uid="{00000000-0005-0000-0000-0000B2090000}"/>
    <cellStyle name="40% - Ênfase2 158" xfId="2445" xr:uid="{00000000-0005-0000-0000-0000B3090000}"/>
    <cellStyle name="40% - Ênfase2 159" xfId="2446" xr:uid="{00000000-0005-0000-0000-0000B4090000}"/>
    <cellStyle name="40% - Ênfase2 16" xfId="2447" xr:uid="{00000000-0005-0000-0000-0000B5090000}"/>
    <cellStyle name="40% - Ênfase2 16 2" xfId="2448" xr:uid="{00000000-0005-0000-0000-0000B6090000}"/>
    <cellStyle name="40% - Ênfase2 16 3" xfId="2449" xr:uid="{00000000-0005-0000-0000-0000B7090000}"/>
    <cellStyle name="40% - Ênfase2 160" xfId="2450" xr:uid="{00000000-0005-0000-0000-0000B8090000}"/>
    <cellStyle name="40% - Ênfase2 161" xfId="2451" xr:uid="{00000000-0005-0000-0000-0000B9090000}"/>
    <cellStyle name="40% - Ênfase2 162" xfId="2452" xr:uid="{00000000-0005-0000-0000-0000BA090000}"/>
    <cellStyle name="40% - Ênfase2 163" xfId="2453" xr:uid="{00000000-0005-0000-0000-0000BB090000}"/>
    <cellStyle name="40% - Ênfase2 164" xfId="2454" xr:uid="{00000000-0005-0000-0000-0000BC090000}"/>
    <cellStyle name="40% - Ênfase2 165" xfId="2455" xr:uid="{00000000-0005-0000-0000-0000BD090000}"/>
    <cellStyle name="40% - Ênfase2 166" xfId="2456" xr:uid="{00000000-0005-0000-0000-0000BE090000}"/>
    <cellStyle name="40% - Ênfase2 167" xfId="2457" xr:uid="{00000000-0005-0000-0000-0000BF090000}"/>
    <cellStyle name="40% - Ênfase2 168" xfId="2458" xr:uid="{00000000-0005-0000-0000-0000C0090000}"/>
    <cellStyle name="40% - Ênfase2 169" xfId="2459" xr:uid="{00000000-0005-0000-0000-0000C1090000}"/>
    <cellStyle name="40% - Ênfase2 17" xfId="2460" xr:uid="{00000000-0005-0000-0000-0000C2090000}"/>
    <cellStyle name="40% - Ênfase2 17 2" xfId="2461" xr:uid="{00000000-0005-0000-0000-0000C3090000}"/>
    <cellStyle name="40% - Ênfase2 17 3" xfId="2462" xr:uid="{00000000-0005-0000-0000-0000C4090000}"/>
    <cellStyle name="40% - Ênfase2 170" xfId="2463" xr:uid="{00000000-0005-0000-0000-0000C5090000}"/>
    <cellStyle name="40% - Ênfase2 171" xfId="2464" xr:uid="{00000000-0005-0000-0000-0000C6090000}"/>
    <cellStyle name="40% - Ênfase2 172" xfId="2465" xr:uid="{00000000-0005-0000-0000-0000C7090000}"/>
    <cellStyle name="40% - Ênfase2 173" xfId="2466" xr:uid="{00000000-0005-0000-0000-0000C8090000}"/>
    <cellStyle name="40% - Ênfase2 174" xfId="2467" xr:uid="{00000000-0005-0000-0000-0000C9090000}"/>
    <cellStyle name="40% - Ênfase2 175" xfId="2468" xr:uid="{00000000-0005-0000-0000-0000CA090000}"/>
    <cellStyle name="40% - Ênfase2 176" xfId="2469" xr:uid="{00000000-0005-0000-0000-0000CB090000}"/>
    <cellStyle name="40% - Ênfase2 177" xfId="2470" xr:uid="{00000000-0005-0000-0000-0000CC090000}"/>
    <cellStyle name="40% - Ênfase2 178" xfId="2471" xr:uid="{00000000-0005-0000-0000-0000CD090000}"/>
    <cellStyle name="40% - Ênfase2 179" xfId="2472" xr:uid="{00000000-0005-0000-0000-0000CE090000}"/>
    <cellStyle name="40% - Ênfase2 18" xfId="2473" xr:uid="{00000000-0005-0000-0000-0000CF090000}"/>
    <cellStyle name="40% - Ênfase2 18 2" xfId="2474" xr:uid="{00000000-0005-0000-0000-0000D0090000}"/>
    <cellStyle name="40% - Ênfase2 18 3" xfId="2475" xr:uid="{00000000-0005-0000-0000-0000D1090000}"/>
    <cellStyle name="40% - Ênfase2 180" xfId="2476" xr:uid="{00000000-0005-0000-0000-0000D2090000}"/>
    <cellStyle name="40% - Ênfase2 181" xfId="2477" xr:uid="{00000000-0005-0000-0000-0000D3090000}"/>
    <cellStyle name="40% - Ênfase2 182" xfId="2478" xr:uid="{00000000-0005-0000-0000-0000D4090000}"/>
    <cellStyle name="40% - Ênfase2 183" xfId="2479" xr:uid="{00000000-0005-0000-0000-0000D5090000}"/>
    <cellStyle name="40% - Ênfase2 184" xfId="2480" xr:uid="{00000000-0005-0000-0000-0000D6090000}"/>
    <cellStyle name="40% - Ênfase2 185" xfId="2481" xr:uid="{00000000-0005-0000-0000-0000D7090000}"/>
    <cellStyle name="40% - Ênfase2 186" xfId="2482" xr:uid="{00000000-0005-0000-0000-0000D8090000}"/>
    <cellStyle name="40% - Ênfase2 187" xfId="2483" xr:uid="{00000000-0005-0000-0000-0000D9090000}"/>
    <cellStyle name="40% - Ênfase2 188" xfId="2484" xr:uid="{00000000-0005-0000-0000-0000DA090000}"/>
    <cellStyle name="40% - Ênfase2 189" xfId="2485" xr:uid="{00000000-0005-0000-0000-0000DB090000}"/>
    <cellStyle name="40% - Ênfase2 19" xfId="2486" xr:uid="{00000000-0005-0000-0000-0000DC090000}"/>
    <cellStyle name="40% - Ênfase2 19 2" xfId="2487" xr:uid="{00000000-0005-0000-0000-0000DD090000}"/>
    <cellStyle name="40% - Ênfase2 19 3" xfId="2488" xr:uid="{00000000-0005-0000-0000-0000DE090000}"/>
    <cellStyle name="40% - Ênfase2 190" xfId="2489" xr:uid="{00000000-0005-0000-0000-0000DF090000}"/>
    <cellStyle name="40% - Ênfase2 2" xfId="2490" xr:uid="{00000000-0005-0000-0000-0000E0090000}"/>
    <cellStyle name="40% - Ênfase2 2 10" xfId="2491" xr:uid="{00000000-0005-0000-0000-0000E1090000}"/>
    <cellStyle name="40% - Ênfase2 2 11" xfId="2492" xr:uid="{00000000-0005-0000-0000-0000E2090000}"/>
    <cellStyle name="40% - Ênfase2 2 12" xfId="2493" xr:uid="{00000000-0005-0000-0000-0000E3090000}"/>
    <cellStyle name="40% - Ênfase2 2 13" xfId="2494" xr:uid="{00000000-0005-0000-0000-0000E4090000}"/>
    <cellStyle name="40% - Ênfase2 2 14" xfId="2495" xr:uid="{00000000-0005-0000-0000-0000E5090000}"/>
    <cellStyle name="40% - Ênfase2 2 15" xfId="2496" xr:uid="{00000000-0005-0000-0000-0000E6090000}"/>
    <cellStyle name="40% - Ênfase2 2 16" xfId="2497" xr:uid="{00000000-0005-0000-0000-0000E7090000}"/>
    <cellStyle name="40% - Ênfase2 2 17" xfId="2498" xr:uid="{00000000-0005-0000-0000-0000E8090000}"/>
    <cellStyle name="40% - Ênfase2 2 18" xfId="2499" xr:uid="{00000000-0005-0000-0000-0000E9090000}"/>
    <cellStyle name="40% - Ênfase2 2 19" xfId="2500" xr:uid="{00000000-0005-0000-0000-0000EA090000}"/>
    <cellStyle name="40% - Ênfase2 2 2" xfId="2501" xr:uid="{00000000-0005-0000-0000-0000EB090000}"/>
    <cellStyle name="40% - Ênfase2 2 20" xfId="2502" xr:uid="{00000000-0005-0000-0000-0000EC090000}"/>
    <cellStyle name="40% - Ênfase2 2 21" xfId="2503" xr:uid="{00000000-0005-0000-0000-0000ED090000}"/>
    <cellStyle name="40% - Ênfase2 2 22" xfId="2504" xr:uid="{00000000-0005-0000-0000-0000EE090000}"/>
    <cellStyle name="40% - Ênfase2 2 23" xfId="2505" xr:uid="{00000000-0005-0000-0000-0000EF090000}"/>
    <cellStyle name="40% - Ênfase2 2 24" xfId="2506" xr:uid="{00000000-0005-0000-0000-0000F0090000}"/>
    <cellStyle name="40% - Ênfase2 2 25" xfId="2507" xr:uid="{00000000-0005-0000-0000-0000F1090000}"/>
    <cellStyle name="40% - Ênfase2 2 26" xfId="2508" xr:uid="{00000000-0005-0000-0000-0000F2090000}"/>
    <cellStyle name="40% - Ênfase2 2 27" xfId="2509" xr:uid="{00000000-0005-0000-0000-0000F3090000}"/>
    <cellStyle name="40% - Ênfase2 2 28" xfId="2510" xr:uid="{00000000-0005-0000-0000-0000F4090000}"/>
    <cellStyle name="40% - Ênfase2 2 29" xfId="2511" xr:uid="{00000000-0005-0000-0000-0000F5090000}"/>
    <cellStyle name="40% - Ênfase2 2 3" xfId="2512" xr:uid="{00000000-0005-0000-0000-0000F6090000}"/>
    <cellStyle name="40% - Ênfase2 2 30" xfId="2513" xr:uid="{00000000-0005-0000-0000-0000F7090000}"/>
    <cellStyle name="40% - Ênfase2 2 31" xfId="2514" xr:uid="{00000000-0005-0000-0000-0000F8090000}"/>
    <cellStyle name="40% - Ênfase2 2 32" xfId="2515" xr:uid="{00000000-0005-0000-0000-0000F9090000}"/>
    <cellStyle name="40% - Ênfase2 2 33" xfId="2516" xr:uid="{00000000-0005-0000-0000-0000FA090000}"/>
    <cellStyle name="40% - Ênfase2 2 34" xfId="2517" xr:uid="{00000000-0005-0000-0000-0000FB090000}"/>
    <cellStyle name="40% - Ênfase2 2 35" xfId="2518" xr:uid="{00000000-0005-0000-0000-0000FC090000}"/>
    <cellStyle name="40% - Ênfase2 2 4" xfId="2519" xr:uid="{00000000-0005-0000-0000-0000FD090000}"/>
    <cellStyle name="40% - Ênfase2 2 5" xfId="2520" xr:uid="{00000000-0005-0000-0000-0000FE090000}"/>
    <cellStyle name="40% - Ênfase2 2 6" xfId="2521" xr:uid="{00000000-0005-0000-0000-0000FF090000}"/>
    <cellStyle name="40% - Ênfase2 2 7" xfId="2522" xr:uid="{00000000-0005-0000-0000-0000000A0000}"/>
    <cellStyle name="40% - Ênfase2 2 8" xfId="2523" xr:uid="{00000000-0005-0000-0000-0000010A0000}"/>
    <cellStyle name="40% - Ênfase2 2 9" xfId="2524" xr:uid="{00000000-0005-0000-0000-0000020A0000}"/>
    <cellStyle name="40% - Ênfase2 20" xfId="2525" xr:uid="{00000000-0005-0000-0000-0000030A0000}"/>
    <cellStyle name="40% - Ênfase2 20 2" xfId="2526" xr:uid="{00000000-0005-0000-0000-0000040A0000}"/>
    <cellStyle name="40% - Ênfase2 20 3" xfId="2527" xr:uid="{00000000-0005-0000-0000-0000050A0000}"/>
    <cellStyle name="40% - Ênfase2 21" xfId="2528" xr:uid="{00000000-0005-0000-0000-0000060A0000}"/>
    <cellStyle name="40% - Ênfase2 22" xfId="2529" xr:uid="{00000000-0005-0000-0000-0000070A0000}"/>
    <cellStyle name="40% - Ênfase2 23" xfId="2530" xr:uid="{00000000-0005-0000-0000-0000080A0000}"/>
    <cellStyle name="40% - Ênfase2 24" xfId="2531" xr:uid="{00000000-0005-0000-0000-0000090A0000}"/>
    <cellStyle name="40% - Ênfase2 25" xfId="2532" xr:uid="{00000000-0005-0000-0000-00000A0A0000}"/>
    <cellStyle name="40% - Ênfase2 26" xfId="2533" xr:uid="{00000000-0005-0000-0000-00000B0A0000}"/>
    <cellStyle name="40% - Ênfase2 27" xfId="2534" xr:uid="{00000000-0005-0000-0000-00000C0A0000}"/>
    <cellStyle name="40% - Ênfase2 28" xfId="2535" xr:uid="{00000000-0005-0000-0000-00000D0A0000}"/>
    <cellStyle name="40% - Ênfase2 29" xfId="2536" xr:uid="{00000000-0005-0000-0000-00000E0A0000}"/>
    <cellStyle name="40% - Ênfase2 3" xfId="2537" xr:uid="{00000000-0005-0000-0000-00000F0A0000}"/>
    <cellStyle name="40% - Ênfase2 3 2" xfId="2538" xr:uid="{00000000-0005-0000-0000-0000100A0000}"/>
    <cellStyle name="40% - Ênfase2 3 3" xfId="2539" xr:uid="{00000000-0005-0000-0000-0000110A0000}"/>
    <cellStyle name="40% - Ênfase2 3 4" xfId="2540" xr:uid="{00000000-0005-0000-0000-0000120A0000}"/>
    <cellStyle name="40% - Ênfase2 3 5" xfId="2541" xr:uid="{00000000-0005-0000-0000-0000130A0000}"/>
    <cellStyle name="40% - Ênfase2 3 6" xfId="2542" xr:uid="{00000000-0005-0000-0000-0000140A0000}"/>
    <cellStyle name="40% - Ênfase2 3 7" xfId="2543" xr:uid="{00000000-0005-0000-0000-0000150A0000}"/>
    <cellStyle name="40% - Ênfase2 30" xfId="2544" xr:uid="{00000000-0005-0000-0000-0000160A0000}"/>
    <cellStyle name="40% - Ênfase2 31" xfId="2545" xr:uid="{00000000-0005-0000-0000-0000170A0000}"/>
    <cellStyle name="40% - Ênfase2 32" xfId="2546" xr:uid="{00000000-0005-0000-0000-0000180A0000}"/>
    <cellStyle name="40% - Ênfase2 33" xfId="2547" xr:uid="{00000000-0005-0000-0000-0000190A0000}"/>
    <cellStyle name="40% - Ênfase2 34" xfId="2548" xr:uid="{00000000-0005-0000-0000-00001A0A0000}"/>
    <cellStyle name="40% - Ênfase2 35" xfId="2549" xr:uid="{00000000-0005-0000-0000-00001B0A0000}"/>
    <cellStyle name="40% - Ênfase2 36" xfId="2550" xr:uid="{00000000-0005-0000-0000-00001C0A0000}"/>
    <cellStyle name="40% - Ênfase2 37" xfId="2551" xr:uid="{00000000-0005-0000-0000-00001D0A0000}"/>
    <cellStyle name="40% - Ênfase2 38" xfId="2552" xr:uid="{00000000-0005-0000-0000-00001E0A0000}"/>
    <cellStyle name="40% - Ênfase2 39" xfId="2553" xr:uid="{00000000-0005-0000-0000-00001F0A0000}"/>
    <cellStyle name="40% - Ênfase2 4" xfId="2554" xr:uid="{00000000-0005-0000-0000-0000200A0000}"/>
    <cellStyle name="40% - Ênfase2 4 2" xfId="2555" xr:uid="{00000000-0005-0000-0000-0000210A0000}"/>
    <cellStyle name="40% - Ênfase2 4 3" xfId="2556" xr:uid="{00000000-0005-0000-0000-0000220A0000}"/>
    <cellStyle name="40% - Ênfase2 4 4" xfId="2557" xr:uid="{00000000-0005-0000-0000-0000230A0000}"/>
    <cellStyle name="40% - Ênfase2 4 5" xfId="2558" xr:uid="{00000000-0005-0000-0000-0000240A0000}"/>
    <cellStyle name="40% - Ênfase2 4 6" xfId="2559" xr:uid="{00000000-0005-0000-0000-0000250A0000}"/>
    <cellStyle name="40% - Ênfase2 4 7" xfId="2560" xr:uid="{00000000-0005-0000-0000-0000260A0000}"/>
    <cellStyle name="40% - Ênfase2 40" xfId="2561" xr:uid="{00000000-0005-0000-0000-0000270A0000}"/>
    <cellStyle name="40% - Ênfase2 41" xfId="2562" xr:uid="{00000000-0005-0000-0000-0000280A0000}"/>
    <cellStyle name="40% - Ênfase2 42" xfId="2563" xr:uid="{00000000-0005-0000-0000-0000290A0000}"/>
    <cellStyle name="40% - Ênfase2 43" xfId="2564" xr:uid="{00000000-0005-0000-0000-00002A0A0000}"/>
    <cellStyle name="40% - Ênfase2 44" xfId="2565" xr:uid="{00000000-0005-0000-0000-00002B0A0000}"/>
    <cellStyle name="40% - Ênfase2 45" xfId="2566" xr:uid="{00000000-0005-0000-0000-00002C0A0000}"/>
    <cellStyle name="40% - Ênfase2 46" xfId="2567" xr:uid="{00000000-0005-0000-0000-00002D0A0000}"/>
    <cellStyle name="40% - Ênfase2 47" xfId="2568" xr:uid="{00000000-0005-0000-0000-00002E0A0000}"/>
    <cellStyle name="40% - Ênfase2 48" xfId="2569" xr:uid="{00000000-0005-0000-0000-00002F0A0000}"/>
    <cellStyle name="40% - Ênfase2 49" xfId="2570" xr:uid="{00000000-0005-0000-0000-0000300A0000}"/>
    <cellStyle name="40% - Ênfase2 5" xfId="2571" xr:uid="{00000000-0005-0000-0000-0000310A0000}"/>
    <cellStyle name="40% - Ênfase2 5 2" xfId="2572" xr:uid="{00000000-0005-0000-0000-0000320A0000}"/>
    <cellStyle name="40% - Ênfase2 5 3" xfId="2573" xr:uid="{00000000-0005-0000-0000-0000330A0000}"/>
    <cellStyle name="40% - Ênfase2 5 4" xfId="2574" xr:uid="{00000000-0005-0000-0000-0000340A0000}"/>
    <cellStyle name="40% - Ênfase2 50" xfId="2575" xr:uid="{00000000-0005-0000-0000-0000350A0000}"/>
    <cellStyle name="40% - Ênfase2 51" xfId="2576" xr:uid="{00000000-0005-0000-0000-0000360A0000}"/>
    <cellStyle name="40% - Ênfase2 52" xfId="2577" xr:uid="{00000000-0005-0000-0000-0000370A0000}"/>
    <cellStyle name="40% - Ênfase2 53" xfId="2578" xr:uid="{00000000-0005-0000-0000-0000380A0000}"/>
    <cellStyle name="40% - Ênfase2 54" xfId="2579" xr:uid="{00000000-0005-0000-0000-0000390A0000}"/>
    <cellStyle name="40% - Ênfase2 55" xfId="2580" xr:uid="{00000000-0005-0000-0000-00003A0A0000}"/>
    <cellStyle name="40% - Ênfase2 56" xfId="2581" xr:uid="{00000000-0005-0000-0000-00003B0A0000}"/>
    <cellStyle name="40% - Ênfase2 57" xfId="2582" xr:uid="{00000000-0005-0000-0000-00003C0A0000}"/>
    <cellStyle name="40% - Ênfase2 58" xfId="2583" xr:uid="{00000000-0005-0000-0000-00003D0A0000}"/>
    <cellStyle name="40% - Ênfase2 59" xfId="2584" xr:uid="{00000000-0005-0000-0000-00003E0A0000}"/>
    <cellStyle name="40% - Ênfase2 6" xfId="2585" xr:uid="{00000000-0005-0000-0000-00003F0A0000}"/>
    <cellStyle name="40% - Ênfase2 6 2" xfId="2586" xr:uid="{00000000-0005-0000-0000-0000400A0000}"/>
    <cellStyle name="40% - Ênfase2 6 3" xfId="2587" xr:uid="{00000000-0005-0000-0000-0000410A0000}"/>
    <cellStyle name="40% - Ênfase2 6 4" xfId="2588" xr:uid="{00000000-0005-0000-0000-0000420A0000}"/>
    <cellStyle name="40% - Ênfase2 60" xfId="2589" xr:uid="{00000000-0005-0000-0000-0000430A0000}"/>
    <cellStyle name="40% - Ênfase2 61" xfId="2590" xr:uid="{00000000-0005-0000-0000-0000440A0000}"/>
    <cellStyle name="40% - Ênfase2 62" xfId="2591" xr:uid="{00000000-0005-0000-0000-0000450A0000}"/>
    <cellStyle name="40% - Ênfase2 63" xfId="2592" xr:uid="{00000000-0005-0000-0000-0000460A0000}"/>
    <cellStyle name="40% - Ênfase2 64" xfId="2593" xr:uid="{00000000-0005-0000-0000-0000470A0000}"/>
    <cellStyle name="40% - Ênfase2 65" xfId="2594" xr:uid="{00000000-0005-0000-0000-0000480A0000}"/>
    <cellStyle name="40% - Ênfase2 66" xfId="2595" xr:uid="{00000000-0005-0000-0000-0000490A0000}"/>
    <cellStyle name="40% - Ênfase2 67" xfId="2596" xr:uid="{00000000-0005-0000-0000-00004A0A0000}"/>
    <cellStyle name="40% - Ênfase2 68" xfId="2597" xr:uid="{00000000-0005-0000-0000-00004B0A0000}"/>
    <cellStyle name="40% - Ênfase2 69" xfId="2598" xr:uid="{00000000-0005-0000-0000-00004C0A0000}"/>
    <cellStyle name="40% - Ênfase2 7" xfId="2599" xr:uid="{00000000-0005-0000-0000-00004D0A0000}"/>
    <cellStyle name="40% - Ênfase2 7 2" xfId="2600" xr:uid="{00000000-0005-0000-0000-00004E0A0000}"/>
    <cellStyle name="40% - Ênfase2 7 3" xfId="2601" xr:uid="{00000000-0005-0000-0000-00004F0A0000}"/>
    <cellStyle name="40% - Ênfase2 7 4" xfId="2602" xr:uid="{00000000-0005-0000-0000-0000500A0000}"/>
    <cellStyle name="40% - Ênfase2 70" xfId="2603" xr:uid="{00000000-0005-0000-0000-0000510A0000}"/>
    <cellStyle name="40% - Ênfase2 71" xfId="2604" xr:uid="{00000000-0005-0000-0000-0000520A0000}"/>
    <cellStyle name="40% - Ênfase2 72" xfId="2605" xr:uid="{00000000-0005-0000-0000-0000530A0000}"/>
    <cellStyle name="40% - Ênfase2 73" xfId="2606" xr:uid="{00000000-0005-0000-0000-0000540A0000}"/>
    <cellStyle name="40% - Ênfase2 74" xfId="2607" xr:uid="{00000000-0005-0000-0000-0000550A0000}"/>
    <cellStyle name="40% - Ênfase2 75" xfId="2608" xr:uid="{00000000-0005-0000-0000-0000560A0000}"/>
    <cellStyle name="40% - Ênfase2 76" xfId="2609" xr:uid="{00000000-0005-0000-0000-0000570A0000}"/>
    <cellStyle name="40% - Ênfase2 77" xfId="2610" xr:uid="{00000000-0005-0000-0000-0000580A0000}"/>
    <cellStyle name="40% - Ênfase2 78" xfId="2611" xr:uid="{00000000-0005-0000-0000-0000590A0000}"/>
    <cellStyle name="40% - Ênfase2 79" xfId="2612" xr:uid="{00000000-0005-0000-0000-00005A0A0000}"/>
    <cellStyle name="40% - Ênfase2 8" xfId="2613" xr:uid="{00000000-0005-0000-0000-00005B0A0000}"/>
    <cellStyle name="40% - Ênfase2 8 2" xfId="2614" xr:uid="{00000000-0005-0000-0000-00005C0A0000}"/>
    <cellStyle name="40% - Ênfase2 8 3" xfId="2615" xr:uid="{00000000-0005-0000-0000-00005D0A0000}"/>
    <cellStyle name="40% - Ênfase2 8 4" xfId="2616" xr:uid="{00000000-0005-0000-0000-00005E0A0000}"/>
    <cellStyle name="40% - Ênfase2 80" xfId="2617" xr:uid="{00000000-0005-0000-0000-00005F0A0000}"/>
    <cellStyle name="40% - Ênfase2 81" xfId="2618" xr:uid="{00000000-0005-0000-0000-0000600A0000}"/>
    <cellStyle name="40% - Ênfase2 82" xfId="2619" xr:uid="{00000000-0005-0000-0000-0000610A0000}"/>
    <cellStyle name="40% - Ênfase2 83" xfId="2620" xr:uid="{00000000-0005-0000-0000-0000620A0000}"/>
    <cellStyle name="40% - Ênfase2 84" xfId="2621" xr:uid="{00000000-0005-0000-0000-0000630A0000}"/>
    <cellStyle name="40% - Ênfase2 85" xfId="2622" xr:uid="{00000000-0005-0000-0000-0000640A0000}"/>
    <cellStyle name="40% - Ênfase2 86" xfId="2623" xr:uid="{00000000-0005-0000-0000-0000650A0000}"/>
    <cellStyle name="40% - Ênfase2 87" xfId="2624" xr:uid="{00000000-0005-0000-0000-0000660A0000}"/>
    <cellStyle name="40% - Ênfase2 88" xfId="2625" xr:uid="{00000000-0005-0000-0000-0000670A0000}"/>
    <cellStyle name="40% - Ênfase2 89" xfId="2626" xr:uid="{00000000-0005-0000-0000-0000680A0000}"/>
    <cellStyle name="40% - Ênfase2 9" xfId="2627" xr:uid="{00000000-0005-0000-0000-0000690A0000}"/>
    <cellStyle name="40% - Ênfase2 90" xfId="2628" xr:uid="{00000000-0005-0000-0000-00006A0A0000}"/>
    <cellStyle name="40% - Ênfase2 91" xfId="2629" xr:uid="{00000000-0005-0000-0000-00006B0A0000}"/>
    <cellStyle name="40% - Ênfase2 92" xfId="2630" xr:uid="{00000000-0005-0000-0000-00006C0A0000}"/>
    <cellStyle name="40% - Ênfase2 93" xfId="2631" xr:uid="{00000000-0005-0000-0000-00006D0A0000}"/>
    <cellStyle name="40% - Ênfase2 94" xfId="2632" xr:uid="{00000000-0005-0000-0000-00006E0A0000}"/>
    <cellStyle name="40% - Ênfase2 95" xfId="2633" xr:uid="{00000000-0005-0000-0000-00006F0A0000}"/>
    <cellStyle name="40% - Ênfase2 96" xfId="2634" xr:uid="{00000000-0005-0000-0000-0000700A0000}"/>
    <cellStyle name="40% - Ênfase2 97" xfId="2635" xr:uid="{00000000-0005-0000-0000-0000710A0000}"/>
    <cellStyle name="40% - Ênfase2 98" xfId="2636" xr:uid="{00000000-0005-0000-0000-0000720A0000}"/>
    <cellStyle name="40% - Ênfase2 99" xfId="2637" xr:uid="{00000000-0005-0000-0000-0000730A0000}"/>
    <cellStyle name="40% - Ênfase3 10" xfId="2638" xr:uid="{00000000-0005-0000-0000-0000740A0000}"/>
    <cellStyle name="40% - Ênfase3 10 2" xfId="40490" xr:uid="{00000000-0005-0000-0000-0000750A0000}"/>
    <cellStyle name="40% - Ênfase3 100" xfId="2639" xr:uid="{00000000-0005-0000-0000-0000760A0000}"/>
    <cellStyle name="40% - Ênfase3 101" xfId="2640" xr:uid="{00000000-0005-0000-0000-0000770A0000}"/>
    <cellStyle name="40% - Ênfase3 102" xfId="2641" xr:uid="{00000000-0005-0000-0000-0000780A0000}"/>
    <cellStyle name="40% - Ênfase3 103" xfId="2642" xr:uid="{00000000-0005-0000-0000-0000790A0000}"/>
    <cellStyle name="40% - Ênfase3 104" xfId="2643" xr:uid="{00000000-0005-0000-0000-00007A0A0000}"/>
    <cellStyle name="40% - Ênfase3 105" xfId="2644" xr:uid="{00000000-0005-0000-0000-00007B0A0000}"/>
    <cellStyle name="40% - Ênfase3 106" xfId="2645" xr:uid="{00000000-0005-0000-0000-00007C0A0000}"/>
    <cellStyle name="40% - Ênfase3 107" xfId="2646" xr:uid="{00000000-0005-0000-0000-00007D0A0000}"/>
    <cellStyle name="40% - Ênfase3 108" xfId="2647" xr:uid="{00000000-0005-0000-0000-00007E0A0000}"/>
    <cellStyle name="40% - Ênfase3 109" xfId="2648" xr:uid="{00000000-0005-0000-0000-00007F0A0000}"/>
    <cellStyle name="40% - Ênfase3 11" xfId="2649" xr:uid="{00000000-0005-0000-0000-0000800A0000}"/>
    <cellStyle name="40% - Ênfase3 11 2" xfId="40491" xr:uid="{00000000-0005-0000-0000-0000810A0000}"/>
    <cellStyle name="40% - Ênfase3 110" xfId="2650" xr:uid="{00000000-0005-0000-0000-0000820A0000}"/>
    <cellStyle name="40% - Ênfase3 111" xfId="2651" xr:uid="{00000000-0005-0000-0000-0000830A0000}"/>
    <cellStyle name="40% - Ênfase3 112" xfId="2652" xr:uid="{00000000-0005-0000-0000-0000840A0000}"/>
    <cellStyle name="40% - Ênfase3 113" xfId="2653" xr:uid="{00000000-0005-0000-0000-0000850A0000}"/>
    <cellStyle name="40% - Ênfase3 114" xfId="2654" xr:uid="{00000000-0005-0000-0000-0000860A0000}"/>
    <cellStyle name="40% - Ênfase3 115" xfId="2655" xr:uid="{00000000-0005-0000-0000-0000870A0000}"/>
    <cellStyle name="40% - Ênfase3 116" xfId="2656" xr:uid="{00000000-0005-0000-0000-0000880A0000}"/>
    <cellStyle name="40% - Ênfase3 117" xfId="2657" xr:uid="{00000000-0005-0000-0000-0000890A0000}"/>
    <cellStyle name="40% - Ênfase3 118" xfId="2658" xr:uid="{00000000-0005-0000-0000-00008A0A0000}"/>
    <cellStyle name="40% - Ênfase3 119" xfId="2659" xr:uid="{00000000-0005-0000-0000-00008B0A0000}"/>
    <cellStyle name="40% - Ênfase3 12" xfId="2660" xr:uid="{00000000-0005-0000-0000-00008C0A0000}"/>
    <cellStyle name="40% - Ênfase3 12 2" xfId="40492" xr:uid="{00000000-0005-0000-0000-00008D0A0000}"/>
    <cellStyle name="40% - Ênfase3 120" xfId="2661" xr:uid="{00000000-0005-0000-0000-00008E0A0000}"/>
    <cellStyle name="40% - Ênfase3 121" xfId="2662" xr:uid="{00000000-0005-0000-0000-00008F0A0000}"/>
    <cellStyle name="40% - Ênfase3 122" xfId="2663" xr:uid="{00000000-0005-0000-0000-0000900A0000}"/>
    <cellStyle name="40% - Ênfase3 123" xfId="2664" xr:uid="{00000000-0005-0000-0000-0000910A0000}"/>
    <cellStyle name="40% - Ênfase3 124" xfId="2665" xr:uid="{00000000-0005-0000-0000-0000920A0000}"/>
    <cellStyle name="40% - Ênfase3 125" xfId="2666" xr:uid="{00000000-0005-0000-0000-0000930A0000}"/>
    <cellStyle name="40% - Ênfase3 126" xfId="2667" xr:uid="{00000000-0005-0000-0000-0000940A0000}"/>
    <cellStyle name="40% - Ênfase3 127" xfId="2668" xr:uid="{00000000-0005-0000-0000-0000950A0000}"/>
    <cellStyle name="40% - Ênfase3 128" xfId="2669" xr:uid="{00000000-0005-0000-0000-0000960A0000}"/>
    <cellStyle name="40% - Ênfase3 129" xfId="2670" xr:uid="{00000000-0005-0000-0000-0000970A0000}"/>
    <cellStyle name="40% - Ênfase3 13" xfId="2671" xr:uid="{00000000-0005-0000-0000-0000980A0000}"/>
    <cellStyle name="40% - Ênfase3 13 2" xfId="40493" xr:uid="{00000000-0005-0000-0000-0000990A0000}"/>
    <cellStyle name="40% - Ênfase3 130" xfId="2672" xr:uid="{00000000-0005-0000-0000-00009A0A0000}"/>
    <cellStyle name="40% - Ênfase3 131" xfId="2673" xr:uid="{00000000-0005-0000-0000-00009B0A0000}"/>
    <cellStyle name="40% - Ênfase3 132" xfId="2674" xr:uid="{00000000-0005-0000-0000-00009C0A0000}"/>
    <cellStyle name="40% - Ênfase3 133" xfId="2675" xr:uid="{00000000-0005-0000-0000-00009D0A0000}"/>
    <cellStyle name="40% - Ênfase3 134" xfId="2676" xr:uid="{00000000-0005-0000-0000-00009E0A0000}"/>
    <cellStyle name="40% - Ênfase3 135" xfId="2677" xr:uid="{00000000-0005-0000-0000-00009F0A0000}"/>
    <cellStyle name="40% - Ênfase3 136" xfId="2678" xr:uid="{00000000-0005-0000-0000-0000A00A0000}"/>
    <cellStyle name="40% - Ênfase3 137" xfId="2679" xr:uid="{00000000-0005-0000-0000-0000A10A0000}"/>
    <cellStyle name="40% - Ênfase3 138" xfId="2680" xr:uid="{00000000-0005-0000-0000-0000A20A0000}"/>
    <cellStyle name="40% - Ênfase3 139" xfId="2681" xr:uid="{00000000-0005-0000-0000-0000A30A0000}"/>
    <cellStyle name="40% - Ênfase3 14" xfId="2682" xr:uid="{00000000-0005-0000-0000-0000A40A0000}"/>
    <cellStyle name="40% - Ênfase3 140" xfId="2683" xr:uid="{00000000-0005-0000-0000-0000A50A0000}"/>
    <cellStyle name="40% - Ênfase3 141" xfId="2684" xr:uid="{00000000-0005-0000-0000-0000A60A0000}"/>
    <cellStyle name="40% - Ênfase3 142" xfId="2685" xr:uid="{00000000-0005-0000-0000-0000A70A0000}"/>
    <cellStyle name="40% - Ênfase3 143" xfId="2686" xr:uid="{00000000-0005-0000-0000-0000A80A0000}"/>
    <cellStyle name="40% - Ênfase3 144" xfId="2687" xr:uid="{00000000-0005-0000-0000-0000A90A0000}"/>
    <cellStyle name="40% - Ênfase3 145" xfId="2688" xr:uid="{00000000-0005-0000-0000-0000AA0A0000}"/>
    <cellStyle name="40% - Ênfase3 146" xfId="2689" xr:uid="{00000000-0005-0000-0000-0000AB0A0000}"/>
    <cellStyle name="40% - Ênfase3 147" xfId="2690" xr:uid="{00000000-0005-0000-0000-0000AC0A0000}"/>
    <cellStyle name="40% - Ênfase3 148" xfId="2691" xr:uid="{00000000-0005-0000-0000-0000AD0A0000}"/>
    <cellStyle name="40% - Ênfase3 149" xfId="2692" xr:uid="{00000000-0005-0000-0000-0000AE0A0000}"/>
    <cellStyle name="40% - Ênfase3 15" xfId="2693" xr:uid="{00000000-0005-0000-0000-0000AF0A0000}"/>
    <cellStyle name="40% - Ênfase3 15 2" xfId="2694" xr:uid="{00000000-0005-0000-0000-0000B00A0000}"/>
    <cellStyle name="40% - Ênfase3 15 3" xfId="2695" xr:uid="{00000000-0005-0000-0000-0000B10A0000}"/>
    <cellStyle name="40% - Ênfase3 150" xfId="2696" xr:uid="{00000000-0005-0000-0000-0000B20A0000}"/>
    <cellStyle name="40% - Ênfase3 151" xfId="2697" xr:uid="{00000000-0005-0000-0000-0000B30A0000}"/>
    <cellStyle name="40% - Ênfase3 152" xfId="2698" xr:uid="{00000000-0005-0000-0000-0000B40A0000}"/>
    <cellStyle name="40% - Ênfase3 153" xfId="2699" xr:uid="{00000000-0005-0000-0000-0000B50A0000}"/>
    <cellStyle name="40% - Ênfase3 154" xfId="2700" xr:uid="{00000000-0005-0000-0000-0000B60A0000}"/>
    <cellStyle name="40% - Ênfase3 155" xfId="2701" xr:uid="{00000000-0005-0000-0000-0000B70A0000}"/>
    <cellStyle name="40% - Ênfase3 156" xfId="2702" xr:uid="{00000000-0005-0000-0000-0000B80A0000}"/>
    <cellStyle name="40% - Ênfase3 157" xfId="2703" xr:uid="{00000000-0005-0000-0000-0000B90A0000}"/>
    <cellStyle name="40% - Ênfase3 158" xfId="2704" xr:uid="{00000000-0005-0000-0000-0000BA0A0000}"/>
    <cellStyle name="40% - Ênfase3 159" xfId="2705" xr:uid="{00000000-0005-0000-0000-0000BB0A0000}"/>
    <cellStyle name="40% - Ênfase3 16" xfId="2706" xr:uid="{00000000-0005-0000-0000-0000BC0A0000}"/>
    <cellStyle name="40% - Ênfase3 16 2" xfId="2707" xr:uid="{00000000-0005-0000-0000-0000BD0A0000}"/>
    <cellStyle name="40% - Ênfase3 16 3" xfId="2708" xr:uid="{00000000-0005-0000-0000-0000BE0A0000}"/>
    <cellStyle name="40% - Ênfase3 160" xfId="2709" xr:uid="{00000000-0005-0000-0000-0000BF0A0000}"/>
    <cellStyle name="40% - Ênfase3 161" xfId="2710" xr:uid="{00000000-0005-0000-0000-0000C00A0000}"/>
    <cellStyle name="40% - Ênfase3 162" xfId="2711" xr:uid="{00000000-0005-0000-0000-0000C10A0000}"/>
    <cellStyle name="40% - Ênfase3 163" xfId="2712" xr:uid="{00000000-0005-0000-0000-0000C20A0000}"/>
    <cellStyle name="40% - Ênfase3 164" xfId="2713" xr:uid="{00000000-0005-0000-0000-0000C30A0000}"/>
    <cellStyle name="40% - Ênfase3 165" xfId="2714" xr:uid="{00000000-0005-0000-0000-0000C40A0000}"/>
    <cellStyle name="40% - Ênfase3 166" xfId="2715" xr:uid="{00000000-0005-0000-0000-0000C50A0000}"/>
    <cellStyle name="40% - Ênfase3 167" xfId="2716" xr:uid="{00000000-0005-0000-0000-0000C60A0000}"/>
    <cellStyle name="40% - Ênfase3 168" xfId="2717" xr:uid="{00000000-0005-0000-0000-0000C70A0000}"/>
    <cellStyle name="40% - Ênfase3 169" xfId="2718" xr:uid="{00000000-0005-0000-0000-0000C80A0000}"/>
    <cellStyle name="40% - Ênfase3 17" xfId="2719" xr:uid="{00000000-0005-0000-0000-0000C90A0000}"/>
    <cellStyle name="40% - Ênfase3 17 2" xfId="2720" xr:uid="{00000000-0005-0000-0000-0000CA0A0000}"/>
    <cellStyle name="40% - Ênfase3 17 3" xfId="2721" xr:uid="{00000000-0005-0000-0000-0000CB0A0000}"/>
    <cellStyle name="40% - Ênfase3 170" xfId="2722" xr:uid="{00000000-0005-0000-0000-0000CC0A0000}"/>
    <cellStyle name="40% - Ênfase3 171" xfId="2723" xr:uid="{00000000-0005-0000-0000-0000CD0A0000}"/>
    <cellStyle name="40% - Ênfase3 172" xfId="2724" xr:uid="{00000000-0005-0000-0000-0000CE0A0000}"/>
    <cellStyle name="40% - Ênfase3 173" xfId="2725" xr:uid="{00000000-0005-0000-0000-0000CF0A0000}"/>
    <cellStyle name="40% - Ênfase3 174" xfId="2726" xr:uid="{00000000-0005-0000-0000-0000D00A0000}"/>
    <cellStyle name="40% - Ênfase3 175" xfId="2727" xr:uid="{00000000-0005-0000-0000-0000D10A0000}"/>
    <cellStyle name="40% - Ênfase3 176" xfId="2728" xr:uid="{00000000-0005-0000-0000-0000D20A0000}"/>
    <cellStyle name="40% - Ênfase3 177" xfId="2729" xr:uid="{00000000-0005-0000-0000-0000D30A0000}"/>
    <cellStyle name="40% - Ênfase3 178" xfId="2730" xr:uid="{00000000-0005-0000-0000-0000D40A0000}"/>
    <cellStyle name="40% - Ênfase3 179" xfId="2731" xr:uid="{00000000-0005-0000-0000-0000D50A0000}"/>
    <cellStyle name="40% - Ênfase3 18" xfId="2732" xr:uid="{00000000-0005-0000-0000-0000D60A0000}"/>
    <cellStyle name="40% - Ênfase3 18 2" xfId="2733" xr:uid="{00000000-0005-0000-0000-0000D70A0000}"/>
    <cellStyle name="40% - Ênfase3 18 3" xfId="2734" xr:uid="{00000000-0005-0000-0000-0000D80A0000}"/>
    <cellStyle name="40% - Ênfase3 180" xfId="2735" xr:uid="{00000000-0005-0000-0000-0000D90A0000}"/>
    <cellStyle name="40% - Ênfase3 181" xfId="2736" xr:uid="{00000000-0005-0000-0000-0000DA0A0000}"/>
    <cellStyle name="40% - Ênfase3 182" xfId="2737" xr:uid="{00000000-0005-0000-0000-0000DB0A0000}"/>
    <cellStyle name="40% - Ênfase3 183" xfId="2738" xr:uid="{00000000-0005-0000-0000-0000DC0A0000}"/>
    <cellStyle name="40% - Ênfase3 184" xfId="2739" xr:uid="{00000000-0005-0000-0000-0000DD0A0000}"/>
    <cellStyle name="40% - Ênfase3 185" xfId="2740" xr:uid="{00000000-0005-0000-0000-0000DE0A0000}"/>
    <cellStyle name="40% - Ênfase3 186" xfId="2741" xr:uid="{00000000-0005-0000-0000-0000DF0A0000}"/>
    <cellStyle name="40% - Ênfase3 187" xfId="2742" xr:uid="{00000000-0005-0000-0000-0000E00A0000}"/>
    <cellStyle name="40% - Ênfase3 188" xfId="2743" xr:uid="{00000000-0005-0000-0000-0000E10A0000}"/>
    <cellStyle name="40% - Ênfase3 189" xfId="2744" xr:uid="{00000000-0005-0000-0000-0000E20A0000}"/>
    <cellStyle name="40% - Ênfase3 19" xfId="2745" xr:uid="{00000000-0005-0000-0000-0000E30A0000}"/>
    <cellStyle name="40% - Ênfase3 19 2" xfId="2746" xr:uid="{00000000-0005-0000-0000-0000E40A0000}"/>
    <cellStyle name="40% - Ênfase3 19 3" xfId="2747" xr:uid="{00000000-0005-0000-0000-0000E50A0000}"/>
    <cellStyle name="40% - Ênfase3 190" xfId="2748" xr:uid="{00000000-0005-0000-0000-0000E60A0000}"/>
    <cellStyle name="40% - Ênfase3 2" xfId="2749" xr:uid="{00000000-0005-0000-0000-0000E70A0000}"/>
    <cellStyle name="40% - Ênfase3 2 10" xfId="2750" xr:uid="{00000000-0005-0000-0000-0000E80A0000}"/>
    <cellStyle name="40% - Ênfase3 2 10 2" xfId="2751" xr:uid="{00000000-0005-0000-0000-0000E90A0000}"/>
    <cellStyle name="40% - Ênfase3 2 10 3" xfId="2752" xr:uid="{00000000-0005-0000-0000-0000EA0A0000}"/>
    <cellStyle name="40% - Ênfase3 2 10 4" xfId="2753" xr:uid="{00000000-0005-0000-0000-0000EB0A0000}"/>
    <cellStyle name="40% - Ênfase3 2 10 5" xfId="2754" xr:uid="{00000000-0005-0000-0000-0000EC0A0000}"/>
    <cellStyle name="40% - Ênfase3 2 10 6" xfId="2755" xr:uid="{00000000-0005-0000-0000-0000ED0A0000}"/>
    <cellStyle name="40% - Ênfase3 2 10 7" xfId="2756" xr:uid="{00000000-0005-0000-0000-0000EE0A0000}"/>
    <cellStyle name="40% - Ênfase3 2 11" xfId="2757" xr:uid="{00000000-0005-0000-0000-0000EF0A0000}"/>
    <cellStyle name="40% - Ênfase3 2 11 2" xfId="2758" xr:uid="{00000000-0005-0000-0000-0000F00A0000}"/>
    <cellStyle name="40% - Ênfase3 2 11 3" xfId="2759" xr:uid="{00000000-0005-0000-0000-0000F10A0000}"/>
    <cellStyle name="40% - Ênfase3 2 11 4" xfId="2760" xr:uid="{00000000-0005-0000-0000-0000F20A0000}"/>
    <cellStyle name="40% - Ênfase3 2 11 5" xfId="2761" xr:uid="{00000000-0005-0000-0000-0000F30A0000}"/>
    <cellStyle name="40% - Ênfase3 2 11 6" xfId="2762" xr:uid="{00000000-0005-0000-0000-0000F40A0000}"/>
    <cellStyle name="40% - Ênfase3 2 11 7" xfId="2763" xr:uid="{00000000-0005-0000-0000-0000F50A0000}"/>
    <cellStyle name="40% - Ênfase3 2 12" xfId="2764" xr:uid="{00000000-0005-0000-0000-0000F60A0000}"/>
    <cellStyle name="40% - Ênfase3 2 13" xfId="2765" xr:uid="{00000000-0005-0000-0000-0000F70A0000}"/>
    <cellStyle name="40% - Ênfase3 2 14" xfId="2766" xr:uid="{00000000-0005-0000-0000-0000F80A0000}"/>
    <cellStyle name="40% - Ênfase3 2 15" xfId="2767" xr:uid="{00000000-0005-0000-0000-0000F90A0000}"/>
    <cellStyle name="40% - Ênfase3 2 16" xfId="2768" xr:uid="{00000000-0005-0000-0000-0000FA0A0000}"/>
    <cellStyle name="40% - Ênfase3 2 17" xfId="2769" xr:uid="{00000000-0005-0000-0000-0000FB0A0000}"/>
    <cellStyle name="40% - Ênfase3 2 18" xfId="2770" xr:uid="{00000000-0005-0000-0000-0000FC0A0000}"/>
    <cellStyle name="40% - Ênfase3 2 19" xfId="2771" xr:uid="{00000000-0005-0000-0000-0000FD0A0000}"/>
    <cellStyle name="40% - Ênfase3 2 2" xfId="2772" xr:uid="{00000000-0005-0000-0000-0000FE0A0000}"/>
    <cellStyle name="40% - Ênfase3 2 20" xfId="2773" xr:uid="{00000000-0005-0000-0000-0000FF0A0000}"/>
    <cellStyle name="40% - Ênfase3 2 21" xfId="2774" xr:uid="{00000000-0005-0000-0000-0000000B0000}"/>
    <cellStyle name="40% - Ênfase3 2 22" xfId="2775" xr:uid="{00000000-0005-0000-0000-0000010B0000}"/>
    <cellStyle name="40% - Ênfase3 2 23" xfId="2776" xr:uid="{00000000-0005-0000-0000-0000020B0000}"/>
    <cellStyle name="40% - Ênfase3 2 24" xfId="2777" xr:uid="{00000000-0005-0000-0000-0000030B0000}"/>
    <cellStyle name="40% - Ênfase3 2 25" xfId="2778" xr:uid="{00000000-0005-0000-0000-0000040B0000}"/>
    <cellStyle name="40% - Ênfase3 2 26" xfId="2779" xr:uid="{00000000-0005-0000-0000-0000050B0000}"/>
    <cellStyle name="40% - Ênfase3 2 27" xfId="2780" xr:uid="{00000000-0005-0000-0000-0000060B0000}"/>
    <cellStyle name="40% - Ênfase3 2 28" xfId="2781" xr:uid="{00000000-0005-0000-0000-0000070B0000}"/>
    <cellStyle name="40% - Ênfase3 2 29" xfId="2782" xr:uid="{00000000-0005-0000-0000-0000080B0000}"/>
    <cellStyle name="40% - Ênfase3 2 3" xfId="2783" xr:uid="{00000000-0005-0000-0000-0000090B0000}"/>
    <cellStyle name="40% - Ênfase3 2 30" xfId="2784" xr:uid="{00000000-0005-0000-0000-00000A0B0000}"/>
    <cellStyle name="40% - Ênfase3 2 31" xfId="2785" xr:uid="{00000000-0005-0000-0000-00000B0B0000}"/>
    <cellStyle name="40% - Ênfase3 2 32" xfId="2786" xr:uid="{00000000-0005-0000-0000-00000C0B0000}"/>
    <cellStyle name="40% - Ênfase3 2 33" xfId="2787" xr:uid="{00000000-0005-0000-0000-00000D0B0000}"/>
    <cellStyle name="40% - Ênfase3 2 34" xfId="2788" xr:uid="{00000000-0005-0000-0000-00000E0B0000}"/>
    <cellStyle name="40% - Ênfase3 2 35" xfId="2789" xr:uid="{00000000-0005-0000-0000-00000F0B0000}"/>
    <cellStyle name="40% - Ênfase3 2 4" xfId="2790" xr:uid="{00000000-0005-0000-0000-0000100B0000}"/>
    <cellStyle name="40% - Ênfase3 2 5" xfId="2791" xr:uid="{00000000-0005-0000-0000-0000110B0000}"/>
    <cellStyle name="40% - Ênfase3 2 6" xfId="2792" xr:uid="{00000000-0005-0000-0000-0000120B0000}"/>
    <cellStyle name="40% - Ênfase3 2 7" xfId="2793" xr:uid="{00000000-0005-0000-0000-0000130B0000}"/>
    <cellStyle name="40% - Ênfase3 2 8" xfId="2794" xr:uid="{00000000-0005-0000-0000-0000140B0000}"/>
    <cellStyle name="40% - Ênfase3 2 8 2" xfId="2795" xr:uid="{00000000-0005-0000-0000-0000150B0000}"/>
    <cellStyle name="40% - Ênfase3 2 8 3" xfId="2796" xr:uid="{00000000-0005-0000-0000-0000160B0000}"/>
    <cellStyle name="40% - Ênfase3 2 8 4" xfId="2797" xr:uid="{00000000-0005-0000-0000-0000170B0000}"/>
    <cellStyle name="40% - Ênfase3 2 8 5" xfId="2798" xr:uid="{00000000-0005-0000-0000-0000180B0000}"/>
    <cellStyle name="40% - Ênfase3 2 8 6" xfId="2799" xr:uid="{00000000-0005-0000-0000-0000190B0000}"/>
    <cellStyle name="40% - Ênfase3 2 8 7" xfId="2800" xr:uid="{00000000-0005-0000-0000-00001A0B0000}"/>
    <cellStyle name="40% - Ênfase3 2 9" xfId="2801" xr:uid="{00000000-0005-0000-0000-00001B0B0000}"/>
    <cellStyle name="40% - Ênfase3 2 9 2" xfId="2802" xr:uid="{00000000-0005-0000-0000-00001C0B0000}"/>
    <cellStyle name="40% - Ênfase3 2 9 3" xfId="2803" xr:uid="{00000000-0005-0000-0000-00001D0B0000}"/>
    <cellStyle name="40% - Ênfase3 2 9 4" xfId="2804" xr:uid="{00000000-0005-0000-0000-00001E0B0000}"/>
    <cellStyle name="40% - Ênfase3 2 9 5" xfId="2805" xr:uid="{00000000-0005-0000-0000-00001F0B0000}"/>
    <cellStyle name="40% - Ênfase3 2 9 6" xfId="2806" xr:uid="{00000000-0005-0000-0000-0000200B0000}"/>
    <cellStyle name="40% - Ênfase3 2 9 7" xfId="2807" xr:uid="{00000000-0005-0000-0000-0000210B0000}"/>
    <cellStyle name="40% - Ênfase3 20" xfId="2808" xr:uid="{00000000-0005-0000-0000-0000220B0000}"/>
    <cellStyle name="40% - Ênfase3 20 2" xfId="2809" xr:uid="{00000000-0005-0000-0000-0000230B0000}"/>
    <cellStyle name="40% - Ênfase3 20 3" xfId="2810" xr:uid="{00000000-0005-0000-0000-0000240B0000}"/>
    <cellStyle name="40% - Ênfase3 21" xfId="2811" xr:uid="{00000000-0005-0000-0000-0000250B0000}"/>
    <cellStyle name="40% - Ênfase3 22" xfId="2812" xr:uid="{00000000-0005-0000-0000-0000260B0000}"/>
    <cellStyle name="40% - Ênfase3 23" xfId="2813" xr:uid="{00000000-0005-0000-0000-0000270B0000}"/>
    <cellStyle name="40% - Ênfase3 24" xfId="2814" xr:uid="{00000000-0005-0000-0000-0000280B0000}"/>
    <cellStyle name="40% - Ênfase3 24 2" xfId="40935" xr:uid="{00000000-0005-0000-0000-0000290B0000}"/>
    <cellStyle name="40% - Ênfase3 25" xfId="2815" xr:uid="{00000000-0005-0000-0000-00002A0B0000}"/>
    <cellStyle name="40% - Ênfase3 25 2" xfId="40970" xr:uid="{00000000-0005-0000-0000-00002B0B0000}"/>
    <cellStyle name="40% - Ênfase3 26" xfId="2816" xr:uid="{00000000-0005-0000-0000-00002C0B0000}"/>
    <cellStyle name="40% - Ênfase3 26 10" xfId="2817" xr:uid="{00000000-0005-0000-0000-00002D0B0000}"/>
    <cellStyle name="40% - Ênfase3 26 11" xfId="2818" xr:uid="{00000000-0005-0000-0000-00002E0B0000}"/>
    <cellStyle name="40% - Ênfase3 26 12" xfId="2819" xr:uid="{00000000-0005-0000-0000-00002F0B0000}"/>
    <cellStyle name="40% - Ênfase3 26 13" xfId="2820" xr:uid="{00000000-0005-0000-0000-0000300B0000}"/>
    <cellStyle name="40% - Ênfase3 26 14" xfId="2821" xr:uid="{00000000-0005-0000-0000-0000310B0000}"/>
    <cellStyle name="40% - Ênfase3 26 15" xfId="2822" xr:uid="{00000000-0005-0000-0000-0000320B0000}"/>
    <cellStyle name="40% - Ênfase3 26 16" xfId="2823" xr:uid="{00000000-0005-0000-0000-0000330B0000}"/>
    <cellStyle name="40% - Ênfase3 26 2" xfId="2824" xr:uid="{00000000-0005-0000-0000-0000340B0000}"/>
    <cellStyle name="40% - Ênfase3 26 3" xfId="2825" xr:uid="{00000000-0005-0000-0000-0000350B0000}"/>
    <cellStyle name="40% - Ênfase3 26 4" xfId="2826" xr:uid="{00000000-0005-0000-0000-0000360B0000}"/>
    <cellStyle name="40% - Ênfase3 26 5" xfId="2827" xr:uid="{00000000-0005-0000-0000-0000370B0000}"/>
    <cellStyle name="40% - Ênfase3 26 6" xfId="2828" xr:uid="{00000000-0005-0000-0000-0000380B0000}"/>
    <cellStyle name="40% - Ênfase3 26 7" xfId="2829" xr:uid="{00000000-0005-0000-0000-0000390B0000}"/>
    <cellStyle name="40% - Ênfase3 26 8" xfId="2830" xr:uid="{00000000-0005-0000-0000-00003A0B0000}"/>
    <cellStyle name="40% - Ênfase3 26 9" xfId="2831" xr:uid="{00000000-0005-0000-0000-00003B0B0000}"/>
    <cellStyle name="40% - Ênfase3 27" xfId="2832" xr:uid="{00000000-0005-0000-0000-00003C0B0000}"/>
    <cellStyle name="40% - Ênfase3 27 10" xfId="2833" xr:uid="{00000000-0005-0000-0000-00003D0B0000}"/>
    <cellStyle name="40% - Ênfase3 27 11" xfId="2834" xr:uid="{00000000-0005-0000-0000-00003E0B0000}"/>
    <cellStyle name="40% - Ênfase3 27 12" xfId="2835" xr:uid="{00000000-0005-0000-0000-00003F0B0000}"/>
    <cellStyle name="40% - Ênfase3 27 13" xfId="2836" xr:uid="{00000000-0005-0000-0000-0000400B0000}"/>
    <cellStyle name="40% - Ênfase3 27 14" xfId="2837" xr:uid="{00000000-0005-0000-0000-0000410B0000}"/>
    <cellStyle name="40% - Ênfase3 27 15" xfId="2838" xr:uid="{00000000-0005-0000-0000-0000420B0000}"/>
    <cellStyle name="40% - Ênfase3 27 16" xfId="2839" xr:uid="{00000000-0005-0000-0000-0000430B0000}"/>
    <cellStyle name="40% - Ênfase3 27 2" xfId="2840" xr:uid="{00000000-0005-0000-0000-0000440B0000}"/>
    <cellStyle name="40% - Ênfase3 27 3" xfId="2841" xr:uid="{00000000-0005-0000-0000-0000450B0000}"/>
    <cellStyle name="40% - Ênfase3 27 4" xfId="2842" xr:uid="{00000000-0005-0000-0000-0000460B0000}"/>
    <cellStyle name="40% - Ênfase3 27 5" xfId="2843" xr:uid="{00000000-0005-0000-0000-0000470B0000}"/>
    <cellStyle name="40% - Ênfase3 27 6" xfId="2844" xr:uid="{00000000-0005-0000-0000-0000480B0000}"/>
    <cellStyle name="40% - Ênfase3 27 7" xfId="2845" xr:uid="{00000000-0005-0000-0000-0000490B0000}"/>
    <cellStyle name="40% - Ênfase3 27 8" xfId="2846" xr:uid="{00000000-0005-0000-0000-00004A0B0000}"/>
    <cellStyle name="40% - Ênfase3 27 9" xfId="2847" xr:uid="{00000000-0005-0000-0000-00004B0B0000}"/>
    <cellStyle name="40% - Ênfase3 28" xfId="2848" xr:uid="{00000000-0005-0000-0000-00004C0B0000}"/>
    <cellStyle name="40% - Ênfase3 28 10" xfId="2849" xr:uid="{00000000-0005-0000-0000-00004D0B0000}"/>
    <cellStyle name="40% - Ênfase3 28 11" xfId="2850" xr:uid="{00000000-0005-0000-0000-00004E0B0000}"/>
    <cellStyle name="40% - Ênfase3 28 12" xfId="2851" xr:uid="{00000000-0005-0000-0000-00004F0B0000}"/>
    <cellStyle name="40% - Ênfase3 28 13" xfId="2852" xr:uid="{00000000-0005-0000-0000-0000500B0000}"/>
    <cellStyle name="40% - Ênfase3 28 14" xfId="2853" xr:uid="{00000000-0005-0000-0000-0000510B0000}"/>
    <cellStyle name="40% - Ênfase3 28 15" xfId="2854" xr:uid="{00000000-0005-0000-0000-0000520B0000}"/>
    <cellStyle name="40% - Ênfase3 28 16" xfId="2855" xr:uid="{00000000-0005-0000-0000-0000530B0000}"/>
    <cellStyle name="40% - Ênfase3 28 2" xfId="2856" xr:uid="{00000000-0005-0000-0000-0000540B0000}"/>
    <cellStyle name="40% - Ênfase3 28 3" xfId="2857" xr:uid="{00000000-0005-0000-0000-0000550B0000}"/>
    <cellStyle name="40% - Ênfase3 28 4" xfId="2858" xr:uid="{00000000-0005-0000-0000-0000560B0000}"/>
    <cellStyle name="40% - Ênfase3 28 5" xfId="2859" xr:uid="{00000000-0005-0000-0000-0000570B0000}"/>
    <cellStyle name="40% - Ênfase3 28 6" xfId="2860" xr:uid="{00000000-0005-0000-0000-0000580B0000}"/>
    <cellStyle name="40% - Ênfase3 28 7" xfId="2861" xr:uid="{00000000-0005-0000-0000-0000590B0000}"/>
    <cellStyle name="40% - Ênfase3 28 8" xfId="2862" xr:uid="{00000000-0005-0000-0000-00005A0B0000}"/>
    <cellStyle name="40% - Ênfase3 28 9" xfId="2863" xr:uid="{00000000-0005-0000-0000-00005B0B0000}"/>
    <cellStyle name="40% - Ênfase3 29" xfId="2864" xr:uid="{00000000-0005-0000-0000-00005C0B0000}"/>
    <cellStyle name="40% - Ênfase3 29 10" xfId="2865" xr:uid="{00000000-0005-0000-0000-00005D0B0000}"/>
    <cellStyle name="40% - Ênfase3 29 11" xfId="2866" xr:uid="{00000000-0005-0000-0000-00005E0B0000}"/>
    <cellStyle name="40% - Ênfase3 29 12" xfId="2867" xr:uid="{00000000-0005-0000-0000-00005F0B0000}"/>
    <cellStyle name="40% - Ênfase3 29 13" xfId="2868" xr:uid="{00000000-0005-0000-0000-0000600B0000}"/>
    <cellStyle name="40% - Ênfase3 29 14" xfId="2869" xr:uid="{00000000-0005-0000-0000-0000610B0000}"/>
    <cellStyle name="40% - Ênfase3 29 15" xfId="2870" xr:uid="{00000000-0005-0000-0000-0000620B0000}"/>
    <cellStyle name="40% - Ênfase3 29 16" xfId="2871" xr:uid="{00000000-0005-0000-0000-0000630B0000}"/>
    <cellStyle name="40% - Ênfase3 29 2" xfId="2872" xr:uid="{00000000-0005-0000-0000-0000640B0000}"/>
    <cellStyle name="40% - Ênfase3 29 3" xfId="2873" xr:uid="{00000000-0005-0000-0000-0000650B0000}"/>
    <cellStyle name="40% - Ênfase3 29 4" xfId="2874" xr:uid="{00000000-0005-0000-0000-0000660B0000}"/>
    <cellStyle name="40% - Ênfase3 29 5" xfId="2875" xr:uid="{00000000-0005-0000-0000-0000670B0000}"/>
    <cellStyle name="40% - Ênfase3 29 6" xfId="2876" xr:uid="{00000000-0005-0000-0000-0000680B0000}"/>
    <cellStyle name="40% - Ênfase3 29 7" xfId="2877" xr:uid="{00000000-0005-0000-0000-0000690B0000}"/>
    <cellStyle name="40% - Ênfase3 29 8" xfId="2878" xr:uid="{00000000-0005-0000-0000-00006A0B0000}"/>
    <cellStyle name="40% - Ênfase3 29 9" xfId="2879" xr:uid="{00000000-0005-0000-0000-00006B0B0000}"/>
    <cellStyle name="40% - Ênfase3 3" xfId="2880" xr:uid="{00000000-0005-0000-0000-00006C0B0000}"/>
    <cellStyle name="40% - Ênfase3 3 10" xfId="2881" xr:uid="{00000000-0005-0000-0000-00006D0B0000}"/>
    <cellStyle name="40% - Ênfase3 3 11" xfId="2882" xr:uid="{00000000-0005-0000-0000-00006E0B0000}"/>
    <cellStyle name="40% - Ênfase3 3 2" xfId="2883" xr:uid="{00000000-0005-0000-0000-00006F0B0000}"/>
    <cellStyle name="40% - Ênfase3 3 3" xfId="2884" xr:uid="{00000000-0005-0000-0000-0000700B0000}"/>
    <cellStyle name="40% - Ênfase3 3 4" xfId="2885" xr:uid="{00000000-0005-0000-0000-0000710B0000}"/>
    <cellStyle name="40% - Ênfase3 3 5" xfId="2886" xr:uid="{00000000-0005-0000-0000-0000720B0000}"/>
    <cellStyle name="40% - Ênfase3 3 6" xfId="2887" xr:uid="{00000000-0005-0000-0000-0000730B0000}"/>
    <cellStyle name="40% - Ênfase3 3 7" xfId="2888" xr:uid="{00000000-0005-0000-0000-0000740B0000}"/>
    <cellStyle name="40% - Ênfase3 3 8" xfId="2889" xr:uid="{00000000-0005-0000-0000-0000750B0000}"/>
    <cellStyle name="40% - Ênfase3 3 9" xfId="2890" xr:uid="{00000000-0005-0000-0000-0000760B0000}"/>
    <cellStyle name="40% - Ênfase3 30" xfId="2891" xr:uid="{00000000-0005-0000-0000-0000770B0000}"/>
    <cellStyle name="40% - Ênfase3 31" xfId="2892" xr:uid="{00000000-0005-0000-0000-0000780B0000}"/>
    <cellStyle name="40% - Ênfase3 32" xfId="2893" xr:uid="{00000000-0005-0000-0000-0000790B0000}"/>
    <cellStyle name="40% - Ênfase3 33" xfId="2894" xr:uid="{00000000-0005-0000-0000-00007A0B0000}"/>
    <cellStyle name="40% - Ênfase3 34" xfId="2895" xr:uid="{00000000-0005-0000-0000-00007B0B0000}"/>
    <cellStyle name="40% - Ênfase3 35" xfId="2896" xr:uid="{00000000-0005-0000-0000-00007C0B0000}"/>
    <cellStyle name="40% - Ênfase3 36" xfId="2897" xr:uid="{00000000-0005-0000-0000-00007D0B0000}"/>
    <cellStyle name="40% - Ênfase3 37" xfId="2898" xr:uid="{00000000-0005-0000-0000-00007E0B0000}"/>
    <cellStyle name="40% - Ênfase3 38" xfId="2899" xr:uid="{00000000-0005-0000-0000-00007F0B0000}"/>
    <cellStyle name="40% - Ênfase3 39" xfId="2900" xr:uid="{00000000-0005-0000-0000-0000800B0000}"/>
    <cellStyle name="40% - Ênfase3 4" xfId="2901" xr:uid="{00000000-0005-0000-0000-0000810B0000}"/>
    <cellStyle name="40% - Ênfase3 4 10" xfId="2902" xr:uid="{00000000-0005-0000-0000-0000820B0000}"/>
    <cellStyle name="40% - Ênfase3 4 11" xfId="2903" xr:uid="{00000000-0005-0000-0000-0000830B0000}"/>
    <cellStyle name="40% - Ênfase3 4 2" xfId="2904" xr:uid="{00000000-0005-0000-0000-0000840B0000}"/>
    <cellStyle name="40% - Ênfase3 4 3" xfId="2905" xr:uid="{00000000-0005-0000-0000-0000850B0000}"/>
    <cellStyle name="40% - Ênfase3 4 4" xfId="2906" xr:uid="{00000000-0005-0000-0000-0000860B0000}"/>
    <cellStyle name="40% - Ênfase3 4 5" xfId="2907" xr:uid="{00000000-0005-0000-0000-0000870B0000}"/>
    <cellStyle name="40% - Ênfase3 4 6" xfId="2908" xr:uid="{00000000-0005-0000-0000-0000880B0000}"/>
    <cellStyle name="40% - Ênfase3 4 7" xfId="2909" xr:uid="{00000000-0005-0000-0000-0000890B0000}"/>
    <cellStyle name="40% - Ênfase3 4 8" xfId="2910" xr:uid="{00000000-0005-0000-0000-00008A0B0000}"/>
    <cellStyle name="40% - Ênfase3 4 9" xfId="2911" xr:uid="{00000000-0005-0000-0000-00008B0B0000}"/>
    <cellStyle name="40% - Ênfase3 40" xfId="2912" xr:uid="{00000000-0005-0000-0000-00008C0B0000}"/>
    <cellStyle name="40% - Ênfase3 41" xfId="2913" xr:uid="{00000000-0005-0000-0000-00008D0B0000}"/>
    <cellStyle name="40% - Ênfase3 42" xfId="2914" xr:uid="{00000000-0005-0000-0000-00008E0B0000}"/>
    <cellStyle name="40% - Ênfase3 43" xfId="2915" xr:uid="{00000000-0005-0000-0000-00008F0B0000}"/>
    <cellStyle name="40% - Ênfase3 44" xfId="2916" xr:uid="{00000000-0005-0000-0000-0000900B0000}"/>
    <cellStyle name="40% - Ênfase3 45" xfId="2917" xr:uid="{00000000-0005-0000-0000-0000910B0000}"/>
    <cellStyle name="40% - Ênfase3 46" xfId="2918" xr:uid="{00000000-0005-0000-0000-0000920B0000}"/>
    <cellStyle name="40% - Ênfase3 47" xfId="2919" xr:uid="{00000000-0005-0000-0000-0000930B0000}"/>
    <cellStyle name="40% - Ênfase3 48" xfId="2920" xr:uid="{00000000-0005-0000-0000-0000940B0000}"/>
    <cellStyle name="40% - Ênfase3 49" xfId="2921" xr:uid="{00000000-0005-0000-0000-0000950B0000}"/>
    <cellStyle name="40% - Ênfase3 5" xfId="2922" xr:uid="{00000000-0005-0000-0000-0000960B0000}"/>
    <cellStyle name="40% - Ênfase3 5 2" xfId="2923" xr:uid="{00000000-0005-0000-0000-0000970B0000}"/>
    <cellStyle name="40% - Ênfase3 5 3" xfId="2924" xr:uid="{00000000-0005-0000-0000-0000980B0000}"/>
    <cellStyle name="40% - Ênfase3 5 4" xfId="2925" xr:uid="{00000000-0005-0000-0000-0000990B0000}"/>
    <cellStyle name="40% - Ênfase3 50" xfId="2926" xr:uid="{00000000-0005-0000-0000-00009A0B0000}"/>
    <cellStyle name="40% - Ênfase3 51" xfId="2927" xr:uid="{00000000-0005-0000-0000-00009B0B0000}"/>
    <cellStyle name="40% - Ênfase3 52" xfId="2928" xr:uid="{00000000-0005-0000-0000-00009C0B0000}"/>
    <cellStyle name="40% - Ênfase3 53" xfId="2929" xr:uid="{00000000-0005-0000-0000-00009D0B0000}"/>
    <cellStyle name="40% - Ênfase3 54" xfId="2930" xr:uid="{00000000-0005-0000-0000-00009E0B0000}"/>
    <cellStyle name="40% - Ênfase3 55" xfId="2931" xr:uid="{00000000-0005-0000-0000-00009F0B0000}"/>
    <cellStyle name="40% - Ênfase3 56" xfId="2932" xr:uid="{00000000-0005-0000-0000-0000A00B0000}"/>
    <cellStyle name="40% - Ênfase3 57" xfId="2933" xr:uid="{00000000-0005-0000-0000-0000A10B0000}"/>
    <cellStyle name="40% - Ênfase3 58" xfId="2934" xr:uid="{00000000-0005-0000-0000-0000A20B0000}"/>
    <cellStyle name="40% - Ênfase3 59" xfId="2935" xr:uid="{00000000-0005-0000-0000-0000A30B0000}"/>
    <cellStyle name="40% - Ênfase3 6" xfId="2936" xr:uid="{00000000-0005-0000-0000-0000A40B0000}"/>
    <cellStyle name="40% - Ênfase3 6 2" xfId="2937" xr:uid="{00000000-0005-0000-0000-0000A50B0000}"/>
    <cellStyle name="40% - Ênfase3 6 3" xfId="2938" xr:uid="{00000000-0005-0000-0000-0000A60B0000}"/>
    <cellStyle name="40% - Ênfase3 6 4" xfId="2939" xr:uid="{00000000-0005-0000-0000-0000A70B0000}"/>
    <cellStyle name="40% - Ênfase3 60" xfId="2940" xr:uid="{00000000-0005-0000-0000-0000A80B0000}"/>
    <cellStyle name="40% - Ênfase3 61" xfId="2941" xr:uid="{00000000-0005-0000-0000-0000A90B0000}"/>
    <cellStyle name="40% - Ênfase3 62" xfId="2942" xr:uid="{00000000-0005-0000-0000-0000AA0B0000}"/>
    <cellStyle name="40% - Ênfase3 63" xfId="2943" xr:uid="{00000000-0005-0000-0000-0000AB0B0000}"/>
    <cellStyle name="40% - Ênfase3 64" xfId="2944" xr:uid="{00000000-0005-0000-0000-0000AC0B0000}"/>
    <cellStyle name="40% - Ênfase3 65" xfId="2945" xr:uid="{00000000-0005-0000-0000-0000AD0B0000}"/>
    <cellStyle name="40% - Ênfase3 66" xfId="2946" xr:uid="{00000000-0005-0000-0000-0000AE0B0000}"/>
    <cellStyle name="40% - Ênfase3 67" xfId="2947" xr:uid="{00000000-0005-0000-0000-0000AF0B0000}"/>
    <cellStyle name="40% - Ênfase3 68" xfId="2948" xr:uid="{00000000-0005-0000-0000-0000B00B0000}"/>
    <cellStyle name="40% - Ênfase3 69" xfId="2949" xr:uid="{00000000-0005-0000-0000-0000B10B0000}"/>
    <cellStyle name="40% - Ênfase3 7" xfId="2950" xr:uid="{00000000-0005-0000-0000-0000B20B0000}"/>
    <cellStyle name="40% - Ênfase3 7 2" xfId="2951" xr:uid="{00000000-0005-0000-0000-0000B30B0000}"/>
    <cellStyle name="40% - Ênfase3 7 3" xfId="2952" xr:uid="{00000000-0005-0000-0000-0000B40B0000}"/>
    <cellStyle name="40% - Ênfase3 7 4" xfId="2953" xr:uid="{00000000-0005-0000-0000-0000B50B0000}"/>
    <cellStyle name="40% - Ênfase3 70" xfId="2954" xr:uid="{00000000-0005-0000-0000-0000B60B0000}"/>
    <cellStyle name="40% - Ênfase3 71" xfId="2955" xr:uid="{00000000-0005-0000-0000-0000B70B0000}"/>
    <cellStyle name="40% - Ênfase3 72" xfId="2956" xr:uid="{00000000-0005-0000-0000-0000B80B0000}"/>
    <cellStyle name="40% - Ênfase3 73" xfId="2957" xr:uid="{00000000-0005-0000-0000-0000B90B0000}"/>
    <cellStyle name="40% - Ênfase3 74" xfId="2958" xr:uid="{00000000-0005-0000-0000-0000BA0B0000}"/>
    <cellStyle name="40% - Ênfase3 75" xfId="2959" xr:uid="{00000000-0005-0000-0000-0000BB0B0000}"/>
    <cellStyle name="40% - Ênfase3 76" xfId="2960" xr:uid="{00000000-0005-0000-0000-0000BC0B0000}"/>
    <cellStyle name="40% - Ênfase3 77" xfId="2961" xr:uid="{00000000-0005-0000-0000-0000BD0B0000}"/>
    <cellStyle name="40% - Ênfase3 78" xfId="2962" xr:uid="{00000000-0005-0000-0000-0000BE0B0000}"/>
    <cellStyle name="40% - Ênfase3 79" xfId="2963" xr:uid="{00000000-0005-0000-0000-0000BF0B0000}"/>
    <cellStyle name="40% - Ênfase3 8" xfId="2964" xr:uid="{00000000-0005-0000-0000-0000C00B0000}"/>
    <cellStyle name="40% - Ênfase3 8 2" xfId="2965" xr:uid="{00000000-0005-0000-0000-0000C10B0000}"/>
    <cellStyle name="40% - Ênfase3 8 3" xfId="2966" xr:uid="{00000000-0005-0000-0000-0000C20B0000}"/>
    <cellStyle name="40% - Ênfase3 8 4" xfId="2967" xr:uid="{00000000-0005-0000-0000-0000C30B0000}"/>
    <cellStyle name="40% - Ênfase3 80" xfId="2968" xr:uid="{00000000-0005-0000-0000-0000C40B0000}"/>
    <cellStyle name="40% - Ênfase3 81" xfId="2969" xr:uid="{00000000-0005-0000-0000-0000C50B0000}"/>
    <cellStyle name="40% - Ênfase3 82" xfId="2970" xr:uid="{00000000-0005-0000-0000-0000C60B0000}"/>
    <cellStyle name="40% - Ênfase3 83" xfId="2971" xr:uid="{00000000-0005-0000-0000-0000C70B0000}"/>
    <cellStyle name="40% - Ênfase3 84" xfId="2972" xr:uid="{00000000-0005-0000-0000-0000C80B0000}"/>
    <cellStyle name="40% - Ênfase3 85" xfId="2973" xr:uid="{00000000-0005-0000-0000-0000C90B0000}"/>
    <cellStyle name="40% - Ênfase3 86" xfId="2974" xr:uid="{00000000-0005-0000-0000-0000CA0B0000}"/>
    <cellStyle name="40% - Ênfase3 87" xfId="2975" xr:uid="{00000000-0005-0000-0000-0000CB0B0000}"/>
    <cellStyle name="40% - Ênfase3 88" xfId="2976" xr:uid="{00000000-0005-0000-0000-0000CC0B0000}"/>
    <cellStyle name="40% - Ênfase3 89" xfId="2977" xr:uid="{00000000-0005-0000-0000-0000CD0B0000}"/>
    <cellStyle name="40% - Ênfase3 9" xfId="2978" xr:uid="{00000000-0005-0000-0000-0000CE0B0000}"/>
    <cellStyle name="40% - Ênfase3 90" xfId="2979" xr:uid="{00000000-0005-0000-0000-0000CF0B0000}"/>
    <cellStyle name="40% - Ênfase3 91" xfId="2980" xr:uid="{00000000-0005-0000-0000-0000D00B0000}"/>
    <cellStyle name="40% - Ênfase3 92" xfId="2981" xr:uid="{00000000-0005-0000-0000-0000D10B0000}"/>
    <cellStyle name="40% - Ênfase3 93" xfId="2982" xr:uid="{00000000-0005-0000-0000-0000D20B0000}"/>
    <cellStyle name="40% - Ênfase3 94" xfId="2983" xr:uid="{00000000-0005-0000-0000-0000D30B0000}"/>
    <cellStyle name="40% - Ênfase3 95" xfId="2984" xr:uid="{00000000-0005-0000-0000-0000D40B0000}"/>
    <cellStyle name="40% - Ênfase3 96" xfId="2985" xr:uid="{00000000-0005-0000-0000-0000D50B0000}"/>
    <cellStyle name="40% - Ênfase3 97" xfId="2986" xr:uid="{00000000-0005-0000-0000-0000D60B0000}"/>
    <cellStyle name="40% - Ênfase3 98" xfId="2987" xr:uid="{00000000-0005-0000-0000-0000D70B0000}"/>
    <cellStyle name="40% - Ênfase3 99" xfId="2988" xr:uid="{00000000-0005-0000-0000-0000D80B0000}"/>
    <cellStyle name="40% - Ênfase4 10" xfId="2989" xr:uid="{00000000-0005-0000-0000-0000D90B0000}"/>
    <cellStyle name="40% - Ênfase4 10 2" xfId="40494" xr:uid="{00000000-0005-0000-0000-0000DA0B0000}"/>
    <cellStyle name="40% - Ênfase4 100" xfId="2990" xr:uid="{00000000-0005-0000-0000-0000DB0B0000}"/>
    <cellStyle name="40% - Ênfase4 101" xfId="2991" xr:uid="{00000000-0005-0000-0000-0000DC0B0000}"/>
    <cellStyle name="40% - Ênfase4 102" xfId="2992" xr:uid="{00000000-0005-0000-0000-0000DD0B0000}"/>
    <cellStyle name="40% - Ênfase4 103" xfId="2993" xr:uid="{00000000-0005-0000-0000-0000DE0B0000}"/>
    <cellStyle name="40% - Ênfase4 104" xfId="2994" xr:uid="{00000000-0005-0000-0000-0000DF0B0000}"/>
    <cellStyle name="40% - Ênfase4 105" xfId="2995" xr:uid="{00000000-0005-0000-0000-0000E00B0000}"/>
    <cellStyle name="40% - Ênfase4 106" xfId="2996" xr:uid="{00000000-0005-0000-0000-0000E10B0000}"/>
    <cellStyle name="40% - Ênfase4 107" xfId="2997" xr:uid="{00000000-0005-0000-0000-0000E20B0000}"/>
    <cellStyle name="40% - Ênfase4 108" xfId="2998" xr:uid="{00000000-0005-0000-0000-0000E30B0000}"/>
    <cellStyle name="40% - Ênfase4 109" xfId="2999" xr:uid="{00000000-0005-0000-0000-0000E40B0000}"/>
    <cellStyle name="40% - Ênfase4 11" xfId="3000" xr:uid="{00000000-0005-0000-0000-0000E50B0000}"/>
    <cellStyle name="40% - Ênfase4 11 2" xfId="40495" xr:uid="{00000000-0005-0000-0000-0000E60B0000}"/>
    <cellStyle name="40% - Ênfase4 110" xfId="3001" xr:uid="{00000000-0005-0000-0000-0000E70B0000}"/>
    <cellStyle name="40% - Ênfase4 111" xfId="3002" xr:uid="{00000000-0005-0000-0000-0000E80B0000}"/>
    <cellStyle name="40% - Ênfase4 112" xfId="3003" xr:uid="{00000000-0005-0000-0000-0000E90B0000}"/>
    <cellStyle name="40% - Ênfase4 113" xfId="3004" xr:uid="{00000000-0005-0000-0000-0000EA0B0000}"/>
    <cellStyle name="40% - Ênfase4 114" xfId="3005" xr:uid="{00000000-0005-0000-0000-0000EB0B0000}"/>
    <cellStyle name="40% - Ênfase4 115" xfId="3006" xr:uid="{00000000-0005-0000-0000-0000EC0B0000}"/>
    <cellStyle name="40% - Ênfase4 116" xfId="3007" xr:uid="{00000000-0005-0000-0000-0000ED0B0000}"/>
    <cellStyle name="40% - Ênfase4 117" xfId="3008" xr:uid="{00000000-0005-0000-0000-0000EE0B0000}"/>
    <cellStyle name="40% - Ênfase4 118" xfId="3009" xr:uid="{00000000-0005-0000-0000-0000EF0B0000}"/>
    <cellStyle name="40% - Ênfase4 119" xfId="3010" xr:uid="{00000000-0005-0000-0000-0000F00B0000}"/>
    <cellStyle name="40% - Ênfase4 12" xfId="3011" xr:uid="{00000000-0005-0000-0000-0000F10B0000}"/>
    <cellStyle name="40% - Ênfase4 12 2" xfId="40496" xr:uid="{00000000-0005-0000-0000-0000F20B0000}"/>
    <cellStyle name="40% - Ênfase4 120" xfId="3012" xr:uid="{00000000-0005-0000-0000-0000F30B0000}"/>
    <cellStyle name="40% - Ênfase4 121" xfId="3013" xr:uid="{00000000-0005-0000-0000-0000F40B0000}"/>
    <cellStyle name="40% - Ênfase4 122" xfId="3014" xr:uid="{00000000-0005-0000-0000-0000F50B0000}"/>
    <cellStyle name="40% - Ênfase4 123" xfId="3015" xr:uid="{00000000-0005-0000-0000-0000F60B0000}"/>
    <cellStyle name="40% - Ênfase4 124" xfId="3016" xr:uid="{00000000-0005-0000-0000-0000F70B0000}"/>
    <cellStyle name="40% - Ênfase4 125" xfId="3017" xr:uid="{00000000-0005-0000-0000-0000F80B0000}"/>
    <cellStyle name="40% - Ênfase4 126" xfId="3018" xr:uid="{00000000-0005-0000-0000-0000F90B0000}"/>
    <cellStyle name="40% - Ênfase4 127" xfId="3019" xr:uid="{00000000-0005-0000-0000-0000FA0B0000}"/>
    <cellStyle name="40% - Ênfase4 128" xfId="3020" xr:uid="{00000000-0005-0000-0000-0000FB0B0000}"/>
    <cellStyle name="40% - Ênfase4 129" xfId="3021" xr:uid="{00000000-0005-0000-0000-0000FC0B0000}"/>
    <cellStyle name="40% - Ênfase4 13" xfId="3022" xr:uid="{00000000-0005-0000-0000-0000FD0B0000}"/>
    <cellStyle name="40% - Ênfase4 13 2" xfId="40497" xr:uid="{00000000-0005-0000-0000-0000FE0B0000}"/>
    <cellStyle name="40% - Ênfase4 130" xfId="3023" xr:uid="{00000000-0005-0000-0000-0000FF0B0000}"/>
    <cellStyle name="40% - Ênfase4 131" xfId="3024" xr:uid="{00000000-0005-0000-0000-0000000C0000}"/>
    <cellStyle name="40% - Ênfase4 132" xfId="3025" xr:uid="{00000000-0005-0000-0000-0000010C0000}"/>
    <cellStyle name="40% - Ênfase4 133" xfId="3026" xr:uid="{00000000-0005-0000-0000-0000020C0000}"/>
    <cellStyle name="40% - Ênfase4 134" xfId="3027" xr:uid="{00000000-0005-0000-0000-0000030C0000}"/>
    <cellStyle name="40% - Ênfase4 135" xfId="3028" xr:uid="{00000000-0005-0000-0000-0000040C0000}"/>
    <cellStyle name="40% - Ênfase4 136" xfId="3029" xr:uid="{00000000-0005-0000-0000-0000050C0000}"/>
    <cellStyle name="40% - Ênfase4 137" xfId="3030" xr:uid="{00000000-0005-0000-0000-0000060C0000}"/>
    <cellStyle name="40% - Ênfase4 138" xfId="3031" xr:uid="{00000000-0005-0000-0000-0000070C0000}"/>
    <cellStyle name="40% - Ênfase4 139" xfId="3032" xr:uid="{00000000-0005-0000-0000-0000080C0000}"/>
    <cellStyle name="40% - Ênfase4 14" xfId="3033" xr:uid="{00000000-0005-0000-0000-0000090C0000}"/>
    <cellStyle name="40% - Ênfase4 140" xfId="3034" xr:uid="{00000000-0005-0000-0000-00000A0C0000}"/>
    <cellStyle name="40% - Ênfase4 141" xfId="3035" xr:uid="{00000000-0005-0000-0000-00000B0C0000}"/>
    <cellStyle name="40% - Ênfase4 142" xfId="3036" xr:uid="{00000000-0005-0000-0000-00000C0C0000}"/>
    <cellStyle name="40% - Ênfase4 143" xfId="3037" xr:uid="{00000000-0005-0000-0000-00000D0C0000}"/>
    <cellStyle name="40% - Ênfase4 144" xfId="3038" xr:uid="{00000000-0005-0000-0000-00000E0C0000}"/>
    <cellStyle name="40% - Ênfase4 145" xfId="3039" xr:uid="{00000000-0005-0000-0000-00000F0C0000}"/>
    <cellStyle name="40% - Ênfase4 146" xfId="3040" xr:uid="{00000000-0005-0000-0000-0000100C0000}"/>
    <cellStyle name="40% - Ênfase4 147" xfId="3041" xr:uid="{00000000-0005-0000-0000-0000110C0000}"/>
    <cellStyle name="40% - Ênfase4 148" xfId="3042" xr:uid="{00000000-0005-0000-0000-0000120C0000}"/>
    <cellStyle name="40% - Ênfase4 149" xfId="3043" xr:uid="{00000000-0005-0000-0000-0000130C0000}"/>
    <cellStyle name="40% - Ênfase4 15" xfId="3044" xr:uid="{00000000-0005-0000-0000-0000140C0000}"/>
    <cellStyle name="40% - Ênfase4 15 2" xfId="3045" xr:uid="{00000000-0005-0000-0000-0000150C0000}"/>
    <cellStyle name="40% - Ênfase4 15 3" xfId="3046" xr:uid="{00000000-0005-0000-0000-0000160C0000}"/>
    <cellStyle name="40% - Ênfase4 150" xfId="3047" xr:uid="{00000000-0005-0000-0000-0000170C0000}"/>
    <cellStyle name="40% - Ênfase4 151" xfId="3048" xr:uid="{00000000-0005-0000-0000-0000180C0000}"/>
    <cellStyle name="40% - Ênfase4 152" xfId="3049" xr:uid="{00000000-0005-0000-0000-0000190C0000}"/>
    <cellStyle name="40% - Ênfase4 153" xfId="3050" xr:uid="{00000000-0005-0000-0000-00001A0C0000}"/>
    <cellStyle name="40% - Ênfase4 154" xfId="3051" xr:uid="{00000000-0005-0000-0000-00001B0C0000}"/>
    <cellStyle name="40% - Ênfase4 155" xfId="3052" xr:uid="{00000000-0005-0000-0000-00001C0C0000}"/>
    <cellStyle name="40% - Ênfase4 156" xfId="3053" xr:uid="{00000000-0005-0000-0000-00001D0C0000}"/>
    <cellStyle name="40% - Ênfase4 157" xfId="3054" xr:uid="{00000000-0005-0000-0000-00001E0C0000}"/>
    <cellStyle name="40% - Ênfase4 158" xfId="3055" xr:uid="{00000000-0005-0000-0000-00001F0C0000}"/>
    <cellStyle name="40% - Ênfase4 159" xfId="3056" xr:uid="{00000000-0005-0000-0000-0000200C0000}"/>
    <cellStyle name="40% - Ênfase4 16" xfId="3057" xr:uid="{00000000-0005-0000-0000-0000210C0000}"/>
    <cellStyle name="40% - Ênfase4 16 2" xfId="3058" xr:uid="{00000000-0005-0000-0000-0000220C0000}"/>
    <cellStyle name="40% - Ênfase4 16 3" xfId="3059" xr:uid="{00000000-0005-0000-0000-0000230C0000}"/>
    <cellStyle name="40% - Ênfase4 160" xfId="3060" xr:uid="{00000000-0005-0000-0000-0000240C0000}"/>
    <cellStyle name="40% - Ênfase4 161" xfId="3061" xr:uid="{00000000-0005-0000-0000-0000250C0000}"/>
    <cellStyle name="40% - Ênfase4 162" xfId="3062" xr:uid="{00000000-0005-0000-0000-0000260C0000}"/>
    <cellStyle name="40% - Ênfase4 163" xfId="3063" xr:uid="{00000000-0005-0000-0000-0000270C0000}"/>
    <cellStyle name="40% - Ênfase4 164" xfId="3064" xr:uid="{00000000-0005-0000-0000-0000280C0000}"/>
    <cellStyle name="40% - Ênfase4 165" xfId="3065" xr:uid="{00000000-0005-0000-0000-0000290C0000}"/>
    <cellStyle name="40% - Ênfase4 166" xfId="3066" xr:uid="{00000000-0005-0000-0000-00002A0C0000}"/>
    <cellStyle name="40% - Ênfase4 167" xfId="3067" xr:uid="{00000000-0005-0000-0000-00002B0C0000}"/>
    <cellStyle name="40% - Ênfase4 168" xfId="3068" xr:uid="{00000000-0005-0000-0000-00002C0C0000}"/>
    <cellStyle name="40% - Ênfase4 169" xfId="3069" xr:uid="{00000000-0005-0000-0000-00002D0C0000}"/>
    <cellStyle name="40% - Ênfase4 17" xfId="3070" xr:uid="{00000000-0005-0000-0000-00002E0C0000}"/>
    <cellStyle name="40% - Ênfase4 17 2" xfId="3071" xr:uid="{00000000-0005-0000-0000-00002F0C0000}"/>
    <cellStyle name="40% - Ênfase4 17 3" xfId="3072" xr:uid="{00000000-0005-0000-0000-0000300C0000}"/>
    <cellStyle name="40% - Ênfase4 170" xfId="3073" xr:uid="{00000000-0005-0000-0000-0000310C0000}"/>
    <cellStyle name="40% - Ênfase4 171" xfId="3074" xr:uid="{00000000-0005-0000-0000-0000320C0000}"/>
    <cellStyle name="40% - Ênfase4 172" xfId="3075" xr:uid="{00000000-0005-0000-0000-0000330C0000}"/>
    <cellStyle name="40% - Ênfase4 173" xfId="3076" xr:uid="{00000000-0005-0000-0000-0000340C0000}"/>
    <cellStyle name="40% - Ênfase4 174" xfId="3077" xr:uid="{00000000-0005-0000-0000-0000350C0000}"/>
    <cellStyle name="40% - Ênfase4 175" xfId="3078" xr:uid="{00000000-0005-0000-0000-0000360C0000}"/>
    <cellStyle name="40% - Ênfase4 176" xfId="3079" xr:uid="{00000000-0005-0000-0000-0000370C0000}"/>
    <cellStyle name="40% - Ênfase4 177" xfId="3080" xr:uid="{00000000-0005-0000-0000-0000380C0000}"/>
    <cellStyle name="40% - Ênfase4 178" xfId="3081" xr:uid="{00000000-0005-0000-0000-0000390C0000}"/>
    <cellStyle name="40% - Ênfase4 179" xfId="3082" xr:uid="{00000000-0005-0000-0000-00003A0C0000}"/>
    <cellStyle name="40% - Ênfase4 18" xfId="3083" xr:uid="{00000000-0005-0000-0000-00003B0C0000}"/>
    <cellStyle name="40% - Ênfase4 18 2" xfId="3084" xr:uid="{00000000-0005-0000-0000-00003C0C0000}"/>
    <cellStyle name="40% - Ênfase4 18 3" xfId="3085" xr:uid="{00000000-0005-0000-0000-00003D0C0000}"/>
    <cellStyle name="40% - Ênfase4 180" xfId="3086" xr:uid="{00000000-0005-0000-0000-00003E0C0000}"/>
    <cellStyle name="40% - Ênfase4 181" xfId="3087" xr:uid="{00000000-0005-0000-0000-00003F0C0000}"/>
    <cellStyle name="40% - Ênfase4 182" xfId="3088" xr:uid="{00000000-0005-0000-0000-0000400C0000}"/>
    <cellStyle name="40% - Ênfase4 183" xfId="3089" xr:uid="{00000000-0005-0000-0000-0000410C0000}"/>
    <cellStyle name="40% - Ênfase4 184" xfId="3090" xr:uid="{00000000-0005-0000-0000-0000420C0000}"/>
    <cellStyle name="40% - Ênfase4 185" xfId="3091" xr:uid="{00000000-0005-0000-0000-0000430C0000}"/>
    <cellStyle name="40% - Ênfase4 186" xfId="3092" xr:uid="{00000000-0005-0000-0000-0000440C0000}"/>
    <cellStyle name="40% - Ênfase4 187" xfId="3093" xr:uid="{00000000-0005-0000-0000-0000450C0000}"/>
    <cellStyle name="40% - Ênfase4 188" xfId="3094" xr:uid="{00000000-0005-0000-0000-0000460C0000}"/>
    <cellStyle name="40% - Ênfase4 189" xfId="3095" xr:uid="{00000000-0005-0000-0000-0000470C0000}"/>
    <cellStyle name="40% - Ênfase4 19" xfId="3096" xr:uid="{00000000-0005-0000-0000-0000480C0000}"/>
    <cellStyle name="40% - Ênfase4 19 2" xfId="3097" xr:uid="{00000000-0005-0000-0000-0000490C0000}"/>
    <cellStyle name="40% - Ênfase4 19 3" xfId="3098" xr:uid="{00000000-0005-0000-0000-00004A0C0000}"/>
    <cellStyle name="40% - Ênfase4 190" xfId="3099" xr:uid="{00000000-0005-0000-0000-00004B0C0000}"/>
    <cellStyle name="40% - Ênfase4 2" xfId="3100" xr:uid="{00000000-0005-0000-0000-00004C0C0000}"/>
    <cellStyle name="40% - Ênfase4 2 10" xfId="3101" xr:uid="{00000000-0005-0000-0000-00004D0C0000}"/>
    <cellStyle name="40% - Ênfase4 2 10 2" xfId="3102" xr:uid="{00000000-0005-0000-0000-00004E0C0000}"/>
    <cellStyle name="40% - Ênfase4 2 10 3" xfId="3103" xr:uid="{00000000-0005-0000-0000-00004F0C0000}"/>
    <cellStyle name="40% - Ênfase4 2 10 4" xfId="3104" xr:uid="{00000000-0005-0000-0000-0000500C0000}"/>
    <cellStyle name="40% - Ênfase4 2 10 5" xfId="3105" xr:uid="{00000000-0005-0000-0000-0000510C0000}"/>
    <cellStyle name="40% - Ênfase4 2 10 6" xfId="3106" xr:uid="{00000000-0005-0000-0000-0000520C0000}"/>
    <cellStyle name="40% - Ênfase4 2 10 7" xfId="3107" xr:uid="{00000000-0005-0000-0000-0000530C0000}"/>
    <cellStyle name="40% - Ênfase4 2 11" xfId="3108" xr:uid="{00000000-0005-0000-0000-0000540C0000}"/>
    <cellStyle name="40% - Ênfase4 2 11 2" xfId="3109" xr:uid="{00000000-0005-0000-0000-0000550C0000}"/>
    <cellStyle name="40% - Ênfase4 2 11 3" xfId="3110" xr:uid="{00000000-0005-0000-0000-0000560C0000}"/>
    <cellStyle name="40% - Ênfase4 2 11 4" xfId="3111" xr:uid="{00000000-0005-0000-0000-0000570C0000}"/>
    <cellStyle name="40% - Ênfase4 2 11 5" xfId="3112" xr:uid="{00000000-0005-0000-0000-0000580C0000}"/>
    <cellStyle name="40% - Ênfase4 2 11 6" xfId="3113" xr:uid="{00000000-0005-0000-0000-0000590C0000}"/>
    <cellStyle name="40% - Ênfase4 2 11 7" xfId="3114" xr:uid="{00000000-0005-0000-0000-00005A0C0000}"/>
    <cellStyle name="40% - Ênfase4 2 12" xfId="3115" xr:uid="{00000000-0005-0000-0000-00005B0C0000}"/>
    <cellStyle name="40% - Ênfase4 2 13" xfId="3116" xr:uid="{00000000-0005-0000-0000-00005C0C0000}"/>
    <cellStyle name="40% - Ênfase4 2 14" xfId="3117" xr:uid="{00000000-0005-0000-0000-00005D0C0000}"/>
    <cellStyle name="40% - Ênfase4 2 15" xfId="3118" xr:uid="{00000000-0005-0000-0000-00005E0C0000}"/>
    <cellStyle name="40% - Ênfase4 2 16" xfId="3119" xr:uid="{00000000-0005-0000-0000-00005F0C0000}"/>
    <cellStyle name="40% - Ênfase4 2 17" xfId="3120" xr:uid="{00000000-0005-0000-0000-0000600C0000}"/>
    <cellStyle name="40% - Ênfase4 2 18" xfId="3121" xr:uid="{00000000-0005-0000-0000-0000610C0000}"/>
    <cellStyle name="40% - Ênfase4 2 19" xfId="3122" xr:uid="{00000000-0005-0000-0000-0000620C0000}"/>
    <cellStyle name="40% - Ênfase4 2 2" xfId="3123" xr:uid="{00000000-0005-0000-0000-0000630C0000}"/>
    <cellStyle name="40% - Ênfase4 2 20" xfId="3124" xr:uid="{00000000-0005-0000-0000-0000640C0000}"/>
    <cellStyle name="40% - Ênfase4 2 21" xfId="3125" xr:uid="{00000000-0005-0000-0000-0000650C0000}"/>
    <cellStyle name="40% - Ênfase4 2 22" xfId="3126" xr:uid="{00000000-0005-0000-0000-0000660C0000}"/>
    <cellStyle name="40% - Ênfase4 2 23" xfId="3127" xr:uid="{00000000-0005-0000-0000-0000670C0000}"/>
    <cellStyle name="40% - Ênfase4 2 24" xfId="3128" xr:uid="{00000000-0005-0000-0000-0000680C0000}"/>
    <cellStyle name="40% - Ênfase4 2 25" xfId="3129" xr:uid="{00000000-0005-0000-0000-0000690C0000}"/>
    <cellStyle name="40% - Ênfase4 2 26" xfId="3130" xr:uid="{00000000-0005-0000-0000-00006A0C0000}"/>
    <cellStyle name="40% - Ênfase4 2 27" xfId="3131" xr:uid="{00000000-0005-0000-0000-00006B0C0000}"/>
    <cellStyle name="40% - Ênfase4 2 28" xfId="3132" xr:uid="{00000000-0005-0000-0000-00006C0C0000}"/>
    <cellStyle name="40% - Ênfase4 2 29" xfId="3133" xr:uid="{00000000-0005-0000-0000-00006D0C0000}"/>
    <cellStyle name="40% - Ênfase4 2 3" xfId="3134" xr:uid="{00000000-0005-0000-0000-00006E0C0000}"/>
    <cellStyle name="40% - Ênfase4 2 30" xfId="3135" xr:uid="{00000000-0005-0000-0000-00006F0C0000}"/>
    <cellStyle name="40% - Ênfase4 2 31" xfId="3136" xr:uid="{00000000-0005-0000-0000-0000700C0000}"/>
    <cellStyle name="40% - Ênfase4 2 32" xfId="3137" xr:uid="{00000000-0005-0000-0000-0000710C0000}"/>
    <cellStyle name="40% - Ênfase4 2 33" xfId="3138" xr:uid="{00000000-0005-0000-0000-0000720C0000}"/>
    <cellStyle name="40% - Ênfase4 2 34" xfId="3139" xr:uid="{00000000-0005-0000-0000-0000730C0000}"/>
    <cellStyle name="40% - Ênfase4 2 35" xfId="3140" xr:uid="{00000000-0005-0000-0000-0000740C0000}"/>
    <cellStyle name="40% - Ênfase4 2 4" xfId="3141" xr:uid="{00000000-0005-0000-0000-0000750C0000}"/>
    <cellStyle name="40% - Ênfase4 2 5" xfId="3142" xr:uid="{00000000-0005-0000-0000-0000760C0000}"/>
    <cellStyle name="40% - Ênfase4 2 6" xfId="3143" xr:uid="{00000000-0005-0000-0000-0000770C0000}"/>
    <cellStyle name="40% - Ênfase4 2 7" xfId="3144" xr:uid="{00000000-0005-0000-0000-0000780C0000}"/>
    <cellStyle name="40% - Ênfase4 2 8" xfId="3145" xr:uid="{00000000-0005-0000-0000-0000790C0000}"/>
    <cellStyle name="40% - Ênfase4 2 8 2" xfId="3146" xr:uid="{00000000-0005-0000-0000-00007A0C0000}"/>
    <cellStyle name="40% - Ênfase4 2 8 3" xfId="3147" xr:uid="{00000000-0005-0000-0000-00007B0C0000}"/>
    <cellStyle name="40% - Ênfase4 2 8 4" xfId="3148" xr:uid="{00000000-0005-0000-0000-00007C0C0000}"/>
    <cellStyle name="40% - Ênfase4 2 8 5" xfId="3149" xr:uid="{00000000-0005-0000-0000-00007D0C0000}"/>
    <cellStyle name="40% - Ênfase4 2 8 6" xfId="3150" xr:uid="{00000000-0005-0000-0000-00007E0C0000}"/>
    <cellStyle name="40% - Ênfase4 2 8 7" xfId="3151" xr:uid="{00000000-0005-0000-0000-00007F0C0000}"/>
    <cellStyle name="40% - Ênfase4 2 9" xfId="3152" xr:uid="{00000000-0005-0000-0000-0000800C0000}"/>
    <cellStyle name="40% - Ênfase4 2 9 2" xfId="3153" xr:uid="{00000000-0005-0000-0000-0000810C0000}"/>
    <cellStyle name="40% - Ênfase4 2 9 3" xfId="3154" xr:uid="{00000000-0005-0000-0000-0000820C0000}"/>
    <cellStyle name="40% - Ênfase4 2 9 4" xfId="3155" xr:uid="{00000000-0005-0000-0000-0000830C0000}"/>
    <cellStyle name="40% - Ênfase4 2 9 5" xfId="3156" xr:uid="{00000000-0005-0000-0000-0000840C0000}"/>
    <cellStyle name="40% - Ênfase4 2 9 6" xfId="3157" xr:uid="{00000000-0005-0000-0000-0000850C0000}"/>
    <cellStyle name="40% - Ênfase4 2 9 7" xfId="3158" xr:uid="{00000000-0005-0000-0000-0000860C0000}"/>
    <cellStyle name="40% - Ênfase4 20" xfId="3159" xr:uid="{00000000-0005-0000-0000-0000870C0000}"/>
    <cellStyle name="40% - Ênfase4 20 2" xfId="3160" xr:uid="{00000000-0005-0000-0000-0000880C0000}"/>
    <cellStyle name="40% - Ênfase4 20 3" xfId="3161" xr:uid="{00000000-0005-0000-0000-0000890C0000}"/>
    <cellStyle name="40% - Ênfase4 21" xfId="3162" xr:uid="{00000000-0005-0000-0000-00008A0C0000}"/>
    <cellStyle name="40% - Ênfase4 22" xfId="3163" xr:uid="{00000000-0005-0000-0000-00008B0C0000}"/>
    <cellStyle name="40% - Ênfase4 23" xfId="3164" xr:uid="{00000000-0005-0000-0000-00008C0C0000}"/>
    <cellStyle name="40% - Ênfase4 24" xfId="3165" xr:uid="{00000000-0005-0000-0000-00008D0C0000}"/>
    <cellStyle name="40% - Ênfase4 24 2" xfId="40936" xr:uid="{00000000-0005-0000-0000-00008E0C0000}"/>
    <cellStyle name="40% - Ênfase4 25" xfId="3166" xr:uid="{00000000-0005-0000-0000-00008F0C0000}"/>
    <cellStyle name="40% - Ênfase4 25 2" xfId="40971" xr:uid="{00000000-0005-0000-0000-0000900C0000}"/>
    <cellStyle name="40% - Ênfase4 26" xfId="3167" xr:uid="{00000000-0005-0000-0000-0000910C0000}"/>
    <cellStyle name="40% - Ênfase4 26 10" xfId="3168" xr:uid="{00000000-0005-0000-0000-0000920C0000}"/>
    <cellStyle name="40% - Ênfase4 26 11" xfId="3169" xr:uid="{00000000-0005-0000-0000-0000930C0000}"/>
    <cellStyle name="40% - Ênfase4 26 12" xfId="3170" xr:uid="{00000000-0005-0000-0000-0000940C0000}"/>
    <cellStyle name="40% - Ênfase4 26 13" xfId="3171" xr:uid="{00000000-0005-0000-0000-0000950C0000}"/>
    <cellStyle name="40% - Ênfase4 26 14" xfId="3172" xr:uid="{00000000-0005-0000-0000-0000960C0000}"/>
    <cellStyle name="40% - Ênfase4 26 15" xfId="3173" xr:uid="{00000000-0005-0000-0000-0000970C0000}"/>
    <cellStyle name="40% - Ênfase4 26 16" xfId="3174" xr:uid="{00000000-0005-0000-0000-0000980C0000}"/>
    <cellStyle name="40% - Ênfase4 26 2" xfId="3175" xr:uid="{00000000-0005-0000-0000-0000990C0000}"/>
    <cellStyle name="40% - Ênfase4 26 3" xfId="3176" xr:uid="{00000000-0005-0000-0000-00009A0C0000}"/>
    <cellStyle name="40% - Ênfase4 26 4" xfId="3177" xr:uid="{00000000-0005-0000-0000-00009B0C0000}"/>
    <cellStyle name="40% - Ênfase4 26 5" xfId="3178" xr:uid="{00000000-0005-0000-0000-00009C0C0000}"/>
    <cellStyle name="40% - Ênfase4 26 6" xfId="3179" xr:uid="{00000000-0005-0000-0000-00009D0C0000}"/>
    <cellStyle name="40% - Ênfase4 26 7" xfId="3180" xr:uid="{00000000-0005-0000-0000-00009E0C0000}"/>
    <cellStyle name="40% - Ênfase4 26 8" xfId="3181" xr:uid="{00000000-0005-0000-0000-00009F0C0000}"/>
    <cellStyle name="40% - Ênfase4 26 9" xfId="3182" xr:uid="{00000000-0005-0000-0000-0000A00C0000}"/>
    <cellStyle name="40% - Ênfase4 27" xfId="3183" xr:uid="{00000000-0005-0000-0000-0000A10C0000}"/>
    <cellStyle name="40% - Ênfase4 27 10" xfId="3184" xr:uid="{00000000-0005-0000-0000-0000A20C0000}"/>
    <cellStyle name="40% - Ênfase4 27 11" xfId="3185" xr:uid="{00000000-0005-0000-0000-0000A30C0000}"/>
    <cellStyle name="40% - Ênfase4 27 12" xfId="3186" xr:uid="{00000000-0005-0000-0000-0000A40C0000}"/>
    <cellStyle name="40% - Ênfase4 27 13" xfId="3187" xr:uid="{00000000-0005-0000-0000-0000A50C0000}"/>
    <cellStyle name="40% - Ênfase4 27 14" xfId="3188" xr:uid="{00000000-0005-0000-0000-0000A60C0000}"/>
    <cellStyle name="40% - Ênfase4 27 15" xfId="3189" xr:uid="{00000000-0005-0000-0000-0000A70C0000}"/>
    <cellStyle name="40% - Ênfase4 27 16" xfId="3190" xr:uid="{00000000-0005-0000-0000-0000A80C0000}"/>
    <cellStyle name="40% - Ênfase4 27 2" xfId="3191" xr:uid="{00000000-0005-0000-0000-0000A90C0000}"/>
    <cellStyle name="40% - Ênfase4 27 3" xfId="3192" xr:uid="{00000000-0005-0000-0000-0000AA0C0000}"/>
    <cellStyle name="40% - Ênfase4 27 4" xfId="3193" xr:uid="{00000000-0005-0000-0000-0000AB0C0000}"/>
    <cellStyle name="40% - Ênfase4 27 5" xfId="3194" xr:uid="{00000000-0005-0000-0000-0000AC0C0000}"/>
    <cellStyle name="40% - Ênfase4 27 6" xfId="3195" xr:uid="{00000000-0005-0000-0000-0000AD0C0000}"/>
    <cellStyle name="40% - Ênfase4 27 7" xfId="3196" xr:uid="{00000000-0005-0000-0000-0000AE0C0000}"/>
    <cellStyle name="40% - Ênfase4 27 8" xfId="3197" xr:uid="{00000000-0005-0000-0000-0000AF0C0000}"/>
    <cellStyle name="40% - Ênfase4 27 9" xfId="3198" xr:uid="{00000000-0005-0000-0000-0000B00C0000}"/>
    <cellStyle name="40% - Ênfase4 28" xfId="3199" xr:uid="{00000000-0005-0000-0000-0000B10C0000}"/>
    <cellStyle name="40% - Ênfase4 28 10" xfId="3200" xr:uid="{00000000-0005-0000-0000-0000B20C0000}"/>
    <cellStyle name="40% - Ênfase4 28 11" xfId="3201" xr:uid="{00000000-0005-0000-0000-0000B30C0000}"/>
    <cellStyle name="40% - Ênfase4 28 12" xfId="3202" xr:uid="{00000000-0005-0000-0000-0000B40C0000}"/>
    <cellStyle name="40% - Ênfase4 28 13" xfId="3203" xr:uid="{00000000-0005-0000-0000-0000B50C0000}"/>
    <cellStyle name="40% - Ênfase4 28 14" xfId="3204" xr:uid="{00000000-0005-0000-0000-0000B60C0000}"/>
    <cellStyle name="40% - Ênfase4 28 15" xfId="3205" xr:uid="{00000000-0005-0000-0000-0000B70C0000}"/>
    <cellStyle name="40% - Ênfase4 28 16" xfId="3206" xr:uid="{00000000-0005-0000-0000-0000B80C0000}"/>
    <cellStyle name="40% - Ênfase4 28 2" xfId="3207" xr:uid="{00000000-0005-0000-0000-0000B90C0000}"/>
    <cellStyle name="40% - Ênfase4 28 3" xfId="3208" xr:uid="{00000000-0005-0000-0000-0000BA0C0000}"/>
    <cellStyle name="40% - Ênfase4 28 4" xfId="3209" xr:uid="{00000000-0005-0000-0000-0000BB0C0000}"/>
    <cellStyle name="40% - Ênfase4 28 5" xfId="3210" xr:uid="{00000000-0005-0000-0000-0000BC0C0000}"/>
    <cellStyle name="40% - Ênfase4 28 6" xfId="3211" xr:uid="{00000000-0005-0000-0000-0000BD0C0000}"/>
    <cellStyle name="40% - Ênfase4 28 7" xfId="3212" xr:uid="{00000000-0005-0000-0000-0000BE0C0000}"/>
    <cellStyle name="40% - Ênfase4 28 8" xfId="3213" xr:uid="{00000000-0005-0000-0000-0000BF0C0000}"/>
    <cellStyle name="40% - Ênfase4 28 9" xfId="3214" xr:uid="{00000000-0005-0000-0000-0000C00C0000}"/>
    <cellStyle name="40% - Ênfase4 29" xfId="3215" xr:uid="{00000000-0005-0000-0000-0000C10C0000}"/>
    <cellStyle name="40% - Ênfase4 29 10" xfId="3216" xr:uid="{00000000-0005-0000-0000-0000C20C0000}"/>
    <cellStyle name="40% - Ênfase4 29 11" xfId="3217" xr:uid="{00000000-0005-0000-0000-0000C30C0000}"/>
    <cellStyle name="40% - Ênfase4 29 12" xfId="3218" xr:uid="{00000000-0005-0000-0000-0000C40C0000}"/>
    <cellStyle name="40% - Ênfase4 29 13" xfId="3219" xr:uid="{00000000-0005-0000-0000-0000C50C0000}"/>
    <cellStyle name="40% - Ênfase4 29 14" xfId="3220" xr:uid="{00000000-0005-0000-0000-0000C60C0000}"/>
    <cellStyle name="40% - Ênfase4 29 15" xfId="3221" xr:uid="{00000000-0005-0000-0000-0000C70C0000}"/>
    <cellStyle name="40% - Ênfase4 29 16" xfId="3222" xr:uid="{00000000-0005-0000-0000-0000C80C0000}"/>
    <cellStyle name="40% - Ênfase4 29 2" xfId="3223" xr:uid="{00000000-0005-0000-0000-0000C90C0000}"/>
    <cellStyle name="40% - Ênfase4 29 3" xfId="3224" xr:uid="{00000000-0005-0000-0000-0000CA0C0000}"/>
    <cellStyle name="40% - Ênfase4 29 4" xfId="3225" xr:uid="{00000000-0005-0000-0000-0000CB0C0000}"/>
    <cellStyle name="40% - Ênfase4 29 5" xfId="3226" xr:uid="{00000000-0005-0000-0000-0000CC0C0000}"/>
    <cellStyle name="40% - Ênfase4 29 6" xfId="3227" xr:uid="{00000000-0005-0000-0000-0000CD0C0000}"/>
    <cellStyle name="40% - Ênfase4 29 7" xfId="3228" xr:uid="{00000000-0005-0000-0000-0000CE0C0000}"/>
    <cellStyle name="40% - Ênfase4 29 8" xfId="3229" xr:uid="{00000000-0005-0000-0000-0000CF0C0000}"/>
    <cellStyle name="40% - Ênfase4 29 9" xfId="3230" xr:uid="{00000000-0005-0000-0000-0000D00C0000}"/>
    <cellStyle name="40% - Ênfase4 3" xfId="3231" xr:uid="{00000000-0005-0000-0000-0000D10C0000}"/>
    <cellStyle name="40% - Ênfase4 3 10" xfId="3232" xr:uid="{00000000-0005-0000-0000-0000D20C0000}"/>
    <cellStyle name="40% - Ênfase4 3 11" xfId="3233" xr:uid="{00000000-0005-0000-0000-0000D30C0000}"/>
    <cellStyle name="40% - Ênfase4 3 2" xfId="3234" xr:uid="{00000000-0005-0000-0000-0000D40C0000}"/>
    <cellStyle name="40% - Ênfase4 3 3" xfId="3235" xr:uid="{00000000-0005-0000-0000-0000D50C0000}"/>
    <cellStyle name="40% - Ênfase4 3 4" xfId="3236" xr:uid="{00000000-0005-0000-0000-0000D60C0000}"/>
    <cellStyle name="40% - Ênfase4 3 5" xfId="3237" xr:uid="{00000000-0005-0000-0000-0000D70C0000}"/>
    <cellStyle name="40% - Ênfase4 3 6" xfId="3238" xr:uid="{00000000-0005-0000-0000-0000D80C0000}"/>
    <cellStyle name="40% - Ênfase4 3 7" xfId="3239" xr:uid="{00000000-0005-0000-0000-0000D90C0000}"/>
    <cellStyle name="40% - Ênfase4 3 8" xfId="3240" xr:uid="{00000000-0005-0000-0000-0000DA0C0000}"/>
    <cellStyle name="40% - Ênfase4 3 9" xfId="3241" xr:uid="{00000000-0005-0000-0000-0000DB0C0000}"/>
    <cellStyle name="40% - Ênfase4 30" xfId="3242" xr:uid="{00000000-0005-0000-0000-0000DC0C0000}"/>
    <cellStyle name="40% - Ênfase4 31" xfId="3243" xr:uid="{00000000-0005-0000-0000-0000DD0C0000}"/>
    <cellStyle name="40% - Ênfase4 32" xfId="3244" xr:uid="{00000000-0005-0000-0000-0000DE0C0000}"/>
    <cellStyle name="40% - Ênfase4 33" xfId="3245" xr:uid="{00000000-0005-0000-0000-0000DF0C0000}"/>
    <cellStyle name="40% - Ênfase4 34" xfId="3246" xr:uid="{00000000-0005-0000-0000-0000E00C0000}"/>
    <cellStyle name="40% - Ênfase4 35" xfId="3247" xr:uid="{00000000-0005-0000-0000-0000E10C0000}"/>
    <cellStyle name="40% - Ênfase4 36" xfId="3248" xr:uid="{00000000-0005-0000-0000-0000E20C0000}"/>
    <cellStyle name="40% - Ênfase4 37" xfId="3249" xr:uid="{00000000-0005-0000-0000-0000E30C0000}"/>
    <cellStyle name="40% - Ênfase4 38" xfId="3250" xr:uid="{00000000-0005-0000-0000-0000E40C0000}"/>
    <cellStyle name="40% - Ênfase4 39" xfId="3251" xr:uid="{00000000-0005-0000-0000-0000E50C0000}"/>
    <cellStyle name="40% - Ênfase4 4" xfId="3252" xr:uid="{00000000-0005-0000-0000-0000E60C0000}"/>
    <cellStyle name="40% - Ênfase4 4 10" xfId="3253" xr:uid="{00000000-0005-0000-0000-0000E70C0000}"/>
    <cellStyle name="40% - Ênfase4 4 11" xfId="3254" xr:uid="{00000000-0005-0000-0000-0000E80C0000}"/>
    <cellStyle name="40% - Ênfase4 4 2" xfId="3255" xr:uid="{00000000-0005-0000-0000-0000E90C0000}"/>
    <cellStyle name="40% - Ênfase4 4 3" xfId="3256" xr:uid="{00000000-0005-0000-0000-0000EA0C0000}"/>
    <cellStyle name="40% - Ênfase4 4 4" xfId="3257" xr:uid="{00000000-0005-0000-0000-0000EB0C0000}"/>
    <cellStyle name="40% - Ênfase4 4 5" xfId="3258" xr:uid="{00000000-0005-0000-0000-0000EC0C0000}"/>
    <cellStyle name="40% - Ênfase4 4 6" xfId="3259" xr:uid="{00000000-0005-0000-0000-0000ED0C0000}"/>
    <cellStyle name="40% - Ênfase4 4 7" xfId="3260" xr:uid="{00000000-0005-0000-0000-0000EE0C0000}"/>
    <cellStyle name="40% - Ênfase4 4 8" xfId="3261" xr:uid="{00000000-0005-0000-0000-0000EF0C0000}"/>
    <cellStyle name="40% - Ênfase4 4 9" xfId="3262" xr:uid="{00000000-0005-0000-0000-0000F00C0000}"/>
    <cellStyle name="40% - Ênfase4 40" xfId="3263" xr:uid="{00000000-0005-0000-0000-0000F10C0000}"/>
    <cellStyle name="40% - Ênfase4 41" xfId="3264" xr:uid="{00000000-0005-0000-0000-0000F20C0000}"/>
    <cellStyle name="40% - Ênfase4 42" xfId="3265" xr:uid="{00000000-0005-0000-0000-0000F30C0000}"/>
    <cellStyle name="40% - Ênfase4 43" xfId="3266" xr:uid="{00000000-0005-0000-0000-0000F40C0000}"/>
    <cellStyle name="40% - Ênfase4 44" xfId="3267" xr:uid="{00000000-0005-0000-0000-0000F50C0000}"/>
    <cellStyle name="40% - Ênfase4 45" xfId="3268" xr:uid="{00000000-0005-0000-0000-0000F60C0000}"/>
    <cellStyle name="40% - Ênfase4 46" xfId="3269" xr:uid="{00000000-0005-0000-0000-0000F70C0000}"/>
    <cellStyle name="40% - Ênfase4 47" xfId="3270" xr:uid="{00000000-0005-0000-0000-0000F80C0000}"/>
    <cellStyle name="40% - Ênfase4 48" xfId="3271" xr:uid="{00000000-0005-0000-0000-0000F90C0000}"/>
    <cellStyle name="40% - Ênfase4 49" xfId="3272" xr:uid="{00000000-0005-0000-0000-0000FA0C0000}"/>
    <cellStyle name="40% - Ênfase4 5" xfId="3273" xr:uid="{00000000-0005-0000-0000-0000FB0C0000}"/>
    <cellStyle name="40% - Ênfase4 5 2" xfId="3274" xr:uid="{00000000-0005-0000-0000-0000FC0C0000}"/>
    <cellStyle name="40% - Ênfase4 5 3" xfId="3275" xr:uid="{00000000-0005-0000-0000-0000FD0C0000}"/>
    <cellStyle name="40% - Ênfase4 5 4" xfId="3276" xr:uid="{00000000-0005-0000-0000-0000FE0C0000}"/>
    <cellStyle name="40% - Ênfase4 50" xfId="3277" xr:uid="{00000000-0005-0000-0000-0000FF0C0000}"/>
    <cellStyle name="40% - Ênfase4 51" xfId="3278" xr:uid="{00000000-0005-0000-0000-0000000D0000}"/>
    <cellStyle name="40% - Ênfase4 52" xfId="3279" xr:uid="{00000000-0005-0000-0000-0000010D0000}"/>
    <cellStyle name="40% - Ênfase4 53" xfId="3280" xr:uid="{00000000-0005-0000-0000-0000020D0000}"/>
    <cellStyle name="40% - Ênfase4 54" xfId="3281" xr:uid="{00000000-0005-0000-0000-0000030D0000}"/>
    <cellStyle name="40% - Ênfase4 55" xfId="3282" xr:uid="{00000000-0005-0000-0000-0000040D0000}"/>
    <cellStyle name="40% - Ênfase4 56" xfId="3283" xr:uid="{00000000-0005-0000-0000-0000050D0000}"/>
    <cellStyle name="40% - Ênfase4 57" xfId="3284" xr:uid="{00000000-0005-0000-0000-0000060D0000}"/>
    <cellStyle name="40% - Ênfase4 58" xfId="3285" xr:uid="{00000000-0005-0000-0000-0000070D0000}"/>
    <cellStyle name="40% - Ênfase4 59" xfId="3286" xr:uid="{00000000-0005-0000-0000-0000080D0000}"/>
    <cellStyle name="40% - Ênfase4 6" xfId="3287" xr:uid="{00000000-0005-0000-0000-0000090D0000}"/>
    <cellStyle name="40% - Ênfase4 6 2" xfId="3288" xr:uid="{00000000-0005-0000-0000-00000A0D0000}"/>
    <cellStyle name="40% - Ênfase4 6 3" xfId="3289" xr:uid="{00000000-0005-0000-0000-00000B0D0000}"/>
    <cellStyle name="40% - Ênfase4 6 4" xfId="3290" xr:uid="{00000000-0005-0000-0000-00000C0D0000}"/>
    <cellStyle name="40% - Ênfase4 60" xfId="3291" xr:uid="{00000000-0005-0000-0000-00000D0D0000}"/>
    <cellStyle name="40% - Ênfase4 61" xfId="3292" xr:uid="{00000000-0005-0000-0000-00000E0D0000}"/>
    <cellStyle name="40% - Ênfase4 62" xfId="3293" xr:uid="{00000000-0005-0000-0000-00000F0D0000}"/>
    <cellStyle name="40% - Ênfase4 63" xfId="3294" xr:uid="{00000000-0005-0000-0000-0000100D0000}"/>
    <cellStyle name="40% - Ênfase4 64" xfId="3295" xr:uid="{00000000-0005-0000-0000-0000110D0000}"/>
    <cellStyle name="40% - Ênfase4 65" xfId="3296" xr:uid="{00000000-0005-0000-0000-0000120D0000}"/>
    <cellStyle name="40% - Ênfase4 66" xfId="3297" xr:uid="{00000000-0005-0000-0000-0000130D0000}"/>
    <cellStyle name="40% - Ênfase4 67" xfId="3298" xr:uid="{00000000-0005-0000-0000-0000140D0000}"/>
    <cellStyle name="40% - Ênfase4 68" xfId="3299" xr:uid="{00000000-0005-0000-0000-0000150D0000}"/>
    <cellStyle name="40% - Ênfase4 69" xfId="3300" xr:uid="{00000000-0005-0000-0000-0000160D0000}"/>
    <cellStyle name="40% - Ênfase4 7" xfId="3301" xr:uid="{00000000-0005-0000-0000-0000170D0000}"/>
    <cellStyle name="40% - Ênfase4 7 2" xfId="3302" xr:uid="{00000000-0005-0000-0000-0000180D0000}"/>
    <cellStyle name="40% - Ênfase4 7 3" xfId="3303" xr:uid="{00000000-0005-0000-0000-0000190D0000}"/>
    <cellStyle name="40% - Ênfase4 7 4" xfId="3304" xr:uid="{00000000-0005-0000-0000-00001A0D0000}"/>
    <cellStyle name="40% - Ênfase4 70" xfId="3305" xr:uid="{00000000-0005-0000-0000-00001B0D0000}"/>
    <cellStyle name="40% - Ênfase4 71" xfId="3306" xr:uid="{00000000-0005-0000-0000-00001C0D0000}"/>
    <cellStyle name="40% - Ênfase4 72" xfId="3307" xr:uid="{00000000-0005-0000-0000-00001D0D0000}"/>
    <cellStyle name="40% - Ênfase4 73" xfId="3308" xr:uid="{00000000-0005-0000-0000-00001E0D0000}"/>
    <cellStyle name="40% - Ênfase4 74" xfId="3309" xr:uid="{00000000-0005-0000-0000-00001F0D0000}"/>
    <cellStyle name="40% - Ênfase4 75" xfId="3310" xr:uid="{00000000-0005-0000-0000-0000200D0000}"/>
    <cellStyle name="40% - Ênfase4 76" xfId="3311" xr:uid="{00000000-0005-0000-0000-0000210D0000}"/>
    <cellStyle name="40% - Ênfase4 77" xfId="3312" xr:uid="{00000000-0005-0000-0000-0000220D0000}"/>
    <cellStyle name="40% - Ênfase4 78" xfId="3313" xr:uid="{00000000-0005-0000-0000-0000230D0000}"/>
    <cellStyle name="40% - Ênfase4 79" xfId="3314" xr:uid="{00000000-0005-0000-0000-0000240D0000}"/>
    <cellStyle name="40% - Ênfase4 8" xfId="3315" xr:uid="{00000000-0005-0000-0000-0000250D0000}"/>
    <cellStyle name="40% - Ênfase4 8 2" xfId="3316" xr:uid="{00000000-0005-0000-0000-0000260D0000}"/>
    <cellStyle name="40% - Ênfase4 8 3" xfId="3317" xr:uid="{00000000-0005-0000-0000-0000270D0000}"/>
    <cellStyle name="40% - Ênfase4 8 4" xfId="3318" xr:uid="{00000000-0005-0000-0000-0000280D0000}"/>
    <cellStyle name="40% - Ênfase4 80" xfId="3319" xr:uid="{00000000-0005-0000-0000-0000290D0000}"/>
    <cellStyle name="40% - Ênfase4 81" xfId="3320" xr:uid="{00000000-0005-0000-0000-00002A0D0000}"/>
    <cellStyle name="40% - Ênfase4 82" xfId="3321" xr:uid="{00000000-0005-0000-0000-00002B0D0000}"/>
    <cellStyle name="40% - Ênfase4 83" xfId="3322" xr:uid="{00000000-0005-0000-0000-00002C0D0000}"/>
    <cellStyle name="40% - Ênfase4 84" xfId="3323" xr:uid="{00000000-0005-0000-0000-00002D0D0000}"/>
    <cellStyle name="40% - Ênfase4 85" xfId="3324" xr:uid="{00000000-0005-0000-0000-00002E0D0000}"/>
    <cellStyle name="40% - Ênfase4 86" xfId="3325" xr:uid="{00000000-0005-0000-0000-00002F0D0000}"/>
    <cellStyle name="40% - Ênfase4 87" xfId="3326" xr:uid="{00000000-0005-0000-0000-0000300D0000}"/>
    <cellStyle name="40% - Ênfase4 88" xfId="3327" xr:uid="{00000000-0005-0000-0000-0000310D0000}"/>
    <cellStyle name="40% - Ênfase4 89" xfId="3328" xr:uid="{00000000-0005-0000-0000-0000320D0000}"/>
    <cellStyle name="40% - Ênfase4 9" xfId="3329" xr:uid="{00000000-0005-0000-0000-0000330D0000}"/>
    <cellStyle name="40% - Ênfase4 90" xfId="3330" xr:uid="{00000000-0005-0000-0000-0000340D0000}"/>
    <cellStyle name="40% - Ênfase4 91" xfId="3331" xr:uid="{00000000-0005-0000-0000-0000350D0000}"/>
    <cellStyle name="40% - Ênfase4 92" xfId="3332" xr:uid="{00000000-0005-0000-0000-0000360D0000}"/>
    <cellStyle name="40% - Ênfase4 93" xfId="3333" xr:uid="{00000000-0005-0000-0000-0000370D0000}"/>
    <cellStyle name="40% - Ênfase4 94" xfId="3334" xr:uid="{00000000-0005-0000-0000-0000380D0000}"/>
    <cellStyle name="40% - Ênfase4 95" xfId="3335" xr:uid="{00000000-0005-0000-0000-0000390D0000}"/>
    <cellStyle name="40% - Ênfase4 96" xfId="3336" xr:uid="{00000000-0005-0000-0000-00003A0D0000}"/>
    <cellStyle name="40% - Ênfase4 97" xfId="3337" xr:uid="{00000000-0005-0000-0000-00003B0D0000}"/>
    <cellStyle name="40% - Ênfase4 98" xfId="3338" xr:uid="{00000000-0005-0000-0000-00003C0D0000}"/>
    <cellStyle name="40% - Ênfase4 99" xfId="3339" xr:uid="{00000000-0005-0000-0000-00003D0D0000}"/>
    <cellStyle name="40% - Ênfase5 10" xfId="3340" xr:uid="{00000000-0005-0000-0000-00003E0D0000}"/>
    <cellStyle name="40% - Ênfase5 10 2" xfId="40498" xr:uid="{00000000-0005-0000-0000-00003F0D0000}"/>
    <cellStyle name="40% - Ênfase5 100" xfId="3341" xr:uid="{00000000-0005-0000-0000-0000400D0000}"/>
    <cellStyle name="40% - Ênfase5 101" xfId="3342" xr:uid="{00000000-0005-0000-0000-0000410D0000}"/>
    <cellStyle name="40% - Ênfase5 102" xfId="3343" xr:uid="{00000000-0005-0000-0000-0000420D0000}"/>
    <cellStyle name="40% - Ênfase5 103" xfId="3344" xr:uid="{00000000-0005-0000-0000-0000430D0000}"/>
    <cellStyle name="40% - Ênfase5 104" xfId="3345" xr:uid="{00000000-0005-0000-0000-0000440D0000}"/>
    <cellStyle name="40% - Ênfase5 105" xfId="3346" xr:uid="{00000000-0005-0000-0000-0000450D0000}"/>
    <cellStyle name="40% - Ênfase5 106" xfId="3347" xr:uid="{00000000-0005-0000-0000-0000460D0000}"/>
    <cellStyle name="40% - Ênfase5 107" xfId="3348" xr:uid="{00000000-0005-0000-0000-0000470D0000}"/>
    <cellStyle name="40% - Ênfase5 108" xfId="3349" xr:uid="{00000000-0005-0000-0000-0000480D0000}"/>
    <cellStyle name="40% - Ênfase5 109" xfId="3350" xr:uid="{00000000-0005-0000-0000-0000490D0000}"/>
    <cellStyle name="40% - Ênfase5 11" xfId="3351" xr:uid="{00000000-0005-0000-0000-00004A0D0000}"/>
    <cellStyle name="40% - Ênfase5 11 2" xfId="40499" xr:uid="{00000000-0005-0000-0000-00004B0D0000}"/>
    <cellStyle name="40% - Ênfase5 110" xfId="3352" xr:uid="{00000000-0005-0000-0000-00004C0D0000}"/>
    <cellStyle name="40% - Ênfase5 111" xfId="3353" xr:uid="{00000000-0005-0000-0000-00004D0D0000}"/>
    <cellStyle name="40% - Ênfase5 112" xfId="3354" xr:uid="{00000000-0005-0000-0000-00004E0D0000}"/>
    <cellStyle name="40% - Ênfase5 113" xfId="3355" xr:uid="{00000000-0005-0000-0000-00004F0D0000}"/>
    <cellStyle name="40% - Ênfase5 114" xfId="3356" xr:uid="{00000000-0005-0000-0000-0000500D0000}"/>
    <cellStyle name="40% - Ênfase5 115" xfId="3357" xr:uid="{00000000-0005-0000-0000-0000510D0000}"/>
    <cellStyle name="40% - Ênfase5 116" xfId="3358" xr:uid="{00000000-0005-0000-0000-0000520D0000}"/>
    <cellStyle name="40% - Ênfase5 117" xfId="3359" xr:uid="{00000000-0005-0000-0000-0000530D0000}"/>
    <cellStyle name="40% - Ênfase5 118" xfId="3360" xr:uid="{00000000-0005-0000-0000-0000540D0000}"/>
    <cellStyle name="40% - Ênfase5 119" xfId="3361" xr:uid="{00000000-0005-0000-0000-0000550D0000}"/>
    <cellStyle name="40% - Ênfase5 12" xfId="3362" xr:uid="{00000000-0005-0000-0000-0000560D0000}"/>
    <cellStyle name="40% - Ênfase5 12 2" xfId="40500" xr:uid="{00000000-0005-0000-0000-0000570D0000}"/>
    <cellStyle name="40% - Ênfase5 120" xfId="3363" xr:uid="{00000000-0005-0000-0000-0000580D0000}"/>
    <cellStyle name="40% - Ênfase5 121" xfId="3364" xr:uid="{00000000-0005-0000-0000-0000590D0000}"/>
    <cellStyle name="40% - Ênfase5 122" xfId="3365" xr:uid="{00000000-0005-0000-0000-00005A0D0000}"/>
    <cellStyle name="40% - Ênfase5 123" xfId="3366" xr:uid="{00000000-0005-0000-0000-00005B0D0000}"/>
    <cellStyle name="40% - Ênfase5 124" xfId="3367" xr:uid="{00000000-0005-0000-0000-00005C0D0000}"/>
    <cellStyle name="40% - Ênfase5 125" xfId="3368" xr:uid="{00000000-0005-0000-0000-00005D0D0000}"/>
    <cellStyle name="40% - Ênfase5 126" xfId="3369" xr:uid="{00000000-0005-0000-0000-00005E0D0000}"/>
    <cellStyle name="40% - Ênfase5 127" xfId="3370" xr:uid="{00000000-0005-0000-0000-00005F0D0000}"/>
    <cellStyle name="40% - Ênfase5 128" xfId="3371" xr:uid="{00000000-0005-0000-0000-0000600D0000}"/>
    <cellStyle name="40% - Ênfase5 129" xfId="3372" xr:uid="{00000000-0005-0000-0000-0000610D0000}"/>
    <cellStyle name="40% - Ênfase5 13" xfId="3373" xr:uid="{00000000-0005-0000-0000-0000620D0000}"/>
    <cellStyle name="40% - Ênfase5 13 2" xfId="40501" xr:uid="{00000000-0005-0000-0000-0000630D0000}"/>
    <cellStyle name="40% - Ênfase5 130" xfId="3374" xr:uid="{00000000-0005-0000-0000-0000640D0000}"/>
    <cellStyle name="40% - Ênfase5 131" xfId="3375" xr:uid="{00000000-0005-0000-0000-0000650D0000}"/>
    <cellStyle name="40% - Ênfase5 132" xfId="3376" xr:uid="{00000000-0005-0000-0000-0000660D0000}"/>
    <cellStyle name="40% - Ênfase5 133" xfId="3377" xr:uid="{00000000-0005-0000-0000-0000670D0000}"/>
    <cellStyle name="40% - Ênfase5 134" xfId="3378" xr:uid="{00000000-0005-0000-0000-0000680D0000}"/>
    <cellStyle name="40% - Ênfase5 135" xfId="3379" xr:uid="{00000000-0005-0000-0000-0000690D0000}"/>
    <cellStyle name="40% - Ênfase5 136" xfId="3380" xr:uid="{00000000-0005-0000-0000-00006A0D0000}"/>
    <cellStyle name="40% - Ênfase5 137" xfId="3381" xr:uid="{00000000-0005-0000-0000-00006B0D0000}"/>
    <cellStyle name="40% - Ênfase5 138" xfId="3382" xr:uid="{00000000-0005-0000-0000-00006C0D0000}"/>
    <cellStyle name="40% - Ênfase5 139" xfId="3383" xr:uid="{00000000-0005-0000-0000-00006D0D0000}"/>
    <cellStyle name="40% - Ênfase5 14" xfId="3384" xr:uid="{00000000-0005-0000-0000-00006E0D0000}"/>
    <cellStyle name="40% - Ênfase5 140" xfId="3385" xr:uid="{00000000-0005-0000-0000-00006F0D0000}"/>
    <cellStyle name="40% - Ênfase5 141" xfId="3386" xr:uid="{00000000-0005-0000-0000-0000700D0000}"/>
    <cellStyle name="40% - Ênfase5 142" xfId="3387" xr:uid="{00000000-0005-0000-0000-0000710D0000}"/>
    <cellStyle name="40% - Ênfase5 143" xfId="3388" xr:uid="{00000000-0005-0000-0000-0000720D0000}"/>
    <cellStyle name="40% - Ênfase5 144" xfId="3389" xr:uid="{00000000-0005-0000-0000-0000730D0000}"/>
    <cellStyle name="40% - Ênfase5 145" xfId="3390" xr:uid="{00000000-0005-0000-0000-0000740D0000}"/>
    <cellStyle name="40% - Ênfase5 146" xfId="3391" xr:uid="{00000000-0005-0000-0000-0000750D0000}"/>
    <cellStyle name="40% - Ênfase5 147" xfId="3392" xr:uid="{00000000-0005-0000-0000-0000760D0000}"/>
    <cellStyle name="40% - Ênfase5 148" xfId="3393" xr:uid="{00000000-0005-0000-0000-0000770D0000}"/>
    <cellStyle name="40% - Ênfase5 149" xfId="3394" xr:uid="{00000000-0005-0000-0000-0000780D0000}"/>
    <cellStyle name="40% - Ênfase5 15" xfId="3395" xr:uid="{00000000-0005-0000-0000-0000790D0000}"/>
    <cellStyle name="40% - Ênfase5 15 2" xfId="3396" xr:uid="{00000000-0005-0000-0000-00007A0D0000}"/>
    <cellStyle name="40% - Ênfase5 15 3" xfId="3397" xr:uid="{00000000-0005-0000-0000-00007B0D0000}"/>
    <cellStyle name="40% - Ênfase5 150" xfId="3398" xr:uid="{00000000-0005-0000-0000-00007C0D0000}"/>
    <cellStyle name="40% - Ênfase5 151" xfId="3399" xr:uid="{00000000-0005-0000-0000-00007D0D0000}"/>
    <cellStyle name="40% - Ênfase5 152" xfId="3400" xr:uid="{00000000-0005-0000-0000-00007E0D0000}"/>
    <cellStyle name="40% - Ênfase5 153" xfId="3401" xr:uid="{00000000-0005-0000-0000-00007F0D0000}"/>
    <cellStyle name="40% - Ênfase5 154" xfId="3402" xr:uid="{00000000-0005-0000-0000-0000800D0000}"/>
    <cellStyle name="40% - Ênfase5 155" xfId="3403" xr:uid="{00000000-0005-0000-0000-0000810D0000}"/>
    <cellStyle name="40% - Ênfase5 156" xfId="3404" xr:uid="{00000000-0005-0000-0000-0000820D0000}"/>
    <cellStyle name="40% - Ênfase5 157" xfId="3405" xr:uid="{00000000-0005-0000-0000-0000830D0000}"/>
    <cellStyle name="40% - Ênfase5 158" xfId="3406" xr:uid="{00000000-0005-0000-0000-0000840D0000}"/>
    <cellStyle name="40% - Ênfase5 159" xfId="3407" xr:uid="{00000000-0005-0000-0000-0000850D0000}"/>
    <cellStyle name="40% - Ênfase5 16" xfId="3408" xr:uid="{00000000-0005-0000-0000-0000860D0000}"/>
    <cellStyle name="40% - Ênfase5 16 2" xfId="3409" xr:uid="{00000000-0005-0000-0000-0000870D0000}"/>
    <cellStyle name="40% - Ênfase5 16 3" xfId="3410" xr:uid="{00000000-0005-0000-0000-0000880D0000}"/>
    <cellStyle name="40% - Ênfase5 160" xfId="3411" xr:uid="{00000000-0005-0000-0000-0000890D0000}"/>
    <cellStyle name="40% - Ênfase5 161" xfId="3412" xr:uid="{00000000-0005-0000-0000-00008A0D0000}"/>
    <cellStyle name="40% - Ênfase5 162" xfId="3413" xr:uid="{00000000-0005-0000-0000-00008B0D0000}"/>
    <cellStyle name="40% - Ênfase5 163" xfId="3414" xr:uid="{00000000-0005-0000-0000-00008C0D0000}"/>
    <cellStyle name="40% - Ênfase5 164" xfId="3415" xr:uid="{00000000-0005-0000-0000-00008D0D0000}"/>
    <cellStyle name="40% - Ênfase5 165" xfId="3416" xr:uid="{00000000-0005-0000-0000-00008E0D0000}"/>
    <cellStyle name="40% - Ênfase5 166" xfId="3417" xr:uid="{00000000-0005-0000-0000-00008F0D0000}"/>
    <cellStyle name="40% - Ênfase5 167" xfId="3418" xr:uid="{00000000-0005-0000-0000-0000900D0000}"/>
    <cellStyle name="40% - Ênfase5 168" xfId="3419" xr:uid="{00000000-0005-0000-0000-0000910D0000}"/>
    <cellStyle name="40% - Ênfase5 169" xfId="3420" xr:uid="{00000000-0005-0000-0000-0000920D0000}"/>
    <cellStyle name="40% - Ênfase5 17" xfId="3421" xr:uid="{00000000-0005-0000-0000-0000930D0000}"/>
    <cellStyle name="40% - Ênfase5 17 2" xfId="3422" xr:uid="{00000000-0005-0000-0000-0000940D0000}"/>
    <cellStyle name="40% - Ênfase5 17 3" xfId="3423" xr:uid="{00000000-0005-0000-0000-0000950D0000}"/>
    <cellStyle name="40% - Ênfase5 170" xfId="3424" xr:uid="{00000000-0005-0000-0000-0000960D0000}"/>
    <cellStyle name="40% - Ênfase5 171" xfId="3425" xr:uid="{00000000-0005-0000-0000-0000970D0000}"/>
    <cellStyle name="40% - Ênfase5 172" xfId="3426" xr:uid="{00000000-0005-0000-0000-0000980D0000}"/>
    <cellStyle name="40% - Ênfase5 173" xfId="3427" xr:uid="{00000000-0005-0000-0000-0000990D0000}"/>
    <cellStyle name="40% - Ênfase5 174" xfId="3428" xr:uid="{00000000-0005-0000-0000-00009A0D0000}"/>
    <cellStyle name="40% - Ênfase5 175" xfId="3429" xr:uid="{00000000-0005-0000-0000-00009B0D0000}"/>
    <cellStyle name="40% - Ênfase5 176" xfId="3430" xr:uid="{00000000-0005-0000-0000-00009C0D0000}"/>
    <cellStyle name="40% - Ênfase5 177" xfId="3431" xr:uid="{00000000-0005-0000-0000-00009D0D0000}"/>
    <cellStyle name="40% - Ênfase5 178" xfId="3432" xr:uid="{00000000-0005-0000-0000-00009E0D0000}"/>
    <cellStyle name="40% - Ênfase5 179" xfId="3433" xr:uid="{00000000-0005-0000-0000-00009F0D0000}"/>
    <cellStyle name="40% - Ênfase5 18" xfId="3434" xr:uid="{00000000-0005-0000-0000-0000A00D0000}"/>
    <cellStyle name="40% - Ênfase5 18 2" xfId="3435" xr:uid="{00000000-0005-0000-0000-0000A10D0000}"/>
    <cellStyle name="40% - Ênfase5 18 3" xfId="3436" xr:uid="{00000000-0005-0000-0000-0000A20D0000}"/>
    <cellStyle name="40% - Ênfase5 180" xfId="3437" xr:uid="{00000000-0005-0000-0000-0000A30D0000}"/>
    <cellStyle name="40% - Ênfase5 181" xfId="3438" xr:uid="{00000000-0005-0000-0000-0000A40D0000}"/>
    <cellStyle name="40% - Ênfase5 182" xfId="3439" xr:uid="{00000000-0005-0000-0000-0000A50D0000}"/>
    <cellStyle name="40% - Ênfase5 183" xfId="3440" xr:uid="{00000000-0005-0000-0000-0000A60D0000}"/>
    <cellStyle name="40% - Ênfase5 184" xfId="3441" xr:uid="{00000000-0005-0000-0000-0000A70D0000}"/>
    <cellStyle name="40% - Ênfase5 185" xfId="3442" xr:uid="{00000000-0005-0000-0000-0000A80D0000}"/>
    <cellStyle name="40% - Ênfase5 186" xfId="3443" xr:uid="{00000000-0005-0000-0000-0000A90D0000}"/>
    <cellStyle name="40% - Ênfase5 187" xfId="3444" xr:uid="{00000000-0005-0000-0000-0000AA0D0000}"/>
    <cellStyle name="40% - Ênfase5 188" xfId="3445" xr:uid="{00000000-0005-0000-0000-0000AB0D0000}"/>
    <cellStyle name="40% - Ênfase5 189" xfId="3446" xr:uid="{00000000-0005-0000-0000-0000AC0D0000}"/>
    <cellStyle name="40% - Ênfase5 19" xfId="3447" xr:uid="{00000000-0005-0000-0000-0000AD0D0000}"/>
    <cellStyle name="40% - Ênfase5 19 2" xfId="3448" xr:uid="{00000000-0005-0000-0000-0000AE0D0000}"/>
    <cellStyle name="40% - Ênfase5 19 3" xfId="3449" xr:uid="{00000000-0005-0000-0000-0000AF0D0000}"/>
    <cellStyle name="40% - Ênfase5 190" xfId="3450" xr:uid="{00000000-0005-0000-0000-0000B00D0000}"/>
    <cellStyle name="40% - Ênfase5 2" xfId="3451" xr:uid="{00000000-0005-0000-0000-0000B10D0000}"/>
    <cellStyle name="40% - Ênfase5 2 10" xfId="3452" xr:uid="{00000000-0005-0000-0000-0000B20D0000}"/>
    <cellStyle name="40% - Ênfase5 2 10 2" xfId="3453" xr:uid="{00000000-0005-0000-0000-0000B30D0000}"/>
    <cellStyle name="40% - Ênfase5 2 10 3" xfId="3454" xr:uid="{00000000-0005-0000-0000-0000B40D0000}"/>
    <cellStyle name="40% - Ênfase5 2 10 4" xfId="3455" xr:uid="{00000000-0005-0000-0000-0000B50D0000}"/>
    <cellStyle name="40% - Ênfase5 2 10 5" xfId="3456" xr:uid="{00000000-0005-0000-0000-0000B60D0000}"/>
    <cellStyle name="40% - Ênfase5 2 10 6" xfId="3457" xr:uid="{00000000-0005-0000-0000-0000B70D0000}"/>
    <cellStyle name="40% - Ênfase5 2 10 7" xfId="3458" xr:uid="{00000000-0005-0000-0000-0000B80D0000}"/>
    <cellStyle name="40% - Ênfase5 2 11" xfId="3459" xr:uid="{00000000-0005-0000-0000-0000B90D0000}"/>
    <cellStyle name="40% - Ênfase5 2 11 2" xfId="3460" xr:uid="{00000000-0005-0000-0000-0000BA0D0000}"/>
    <cellStyle name="40% - Ênfase5 2 11 3" xfId="3461" xr:uid="{00000000-0005-0000-0000-0000BB0D0000}"/>
    <cellStyle name="40% - Ênfase5 2 11 4" xfId="3462" xr:uid="{00000000-0005-0000-0000-0000BC0D0000}"/>
    <cellStyle name="40% - Ênfase5 2 11 5" xfId="3463" xr:uid="{00000000-0005-0000-0000-0000BD0D0000}"/>
    <cellStyle name="40% - Ênfase5 2 11 6" xfId="3464" xr:uid="{00000000-0005-0000-0000-0000BE0D0000}"/>
    <cellStyle name="40% - Ênfase5 2 11 7" xfId="3465" xr:uid="{00000000-0005-0000-0000-0000BF0D0000}"/>
    <cellStyle name="40% - Ênfase5 2 12" xfId="3466" xr:uid="{00000000-0005-0000-0000-0000C00D0000}"/>
    <cellStyle name="40% - Ênfase5 2 13" xfId="3467" xr:uid="{00000000-0005-0000-0000-0000C10D0000}"/>
    <cellStyle name="40% - Ênfase5 2 14" xfId="3468" xr:uid="{00000000-0005-0000-0000-0000C20D0000}"/>
    <cellStyle name="40% - Ênfase5 2 15" xfId="3469" xr:uid="{00000000-0005-0000-0000-0000C30D0000}"/>
    <cellStyle name="40% - Ênfase5 2 16" xfId="3470" xr:uid="{00000000-0005-0000-0000-0000C40D0000}"/>
    <cellStyle name="40% - Ênfase5 2 17" xfId="3471" xr:uid="{00000000-0005-0000-0000-0000C50D0000}"/>
    <cellStyle name="40% - Ênfase5 2 18" xfId="3472" xr:uid="{00000000-0005-0000-0000-0000C60D0000}"/>
    <cellStyle name="40% - Ênfase5 2 19" xfId="3473" xr:uid="{00000000-0005-0000-0000-0000C70D0000}"/>
    <cellStyle name="40% - Ênfase5 2 2" xfId="3474" xr:uid="{00000000-0005-0000-0000-0000C80D0000}"/>
    <cellStyle name="40% - Ênfase5 2 20" xfId="3475" xr:uid="{00000000-0005-0000-0000-0000C90D0000}"/>
    <cellStyle name="40% - Ênfase5 2 21" xfId="3476" xr:uid="{00000000-0005-0000-0000-0000CA0D0000}"/>
    <cellStyle name="40% - Ênfase5 2 22" xfId="3477" xr:uid="{00000000-0005-0000-0000-0000CB0D0000}"/>
    <cellStyle name="40% - Ênfase5 2 23" xfId="3478" xr:uid="{00000000-0005-0000-0000-0000CC0D0000}"/>
    <cellStyle name="40% - Ênfase5 2 24" xfId="3479" xr:uid="{00000000-0005-0000-0000-0000CD0D0000}"/>
    <cellStyle name="40% - Ênfase5 2 25" xfId="3480" xr:uid="{00000000-0005-0000-0000-0000CE0D0000}"/>
    <cellStyle name="40% - Ênfase5 2 26" xfId="3481" xr:uid="{00000000-0005-0000-0000-0000CF0D0000}"/>
    <cellStyle name="40% - Ênfase5 2 27" xfId="3482" xr:uid="{00000000-0005-0000-0000-0000D00D0000}"/>
    <cellStyle name="40% - Ênfase5 2 28" xfId="3483" xr:uid="{00000000-0005-0000-0000-0000D10D0000}"/>
    <cellStyle name="40% - Ênfase5 2 29" xfId="3484" xr:uid="{00000000-0005-0000-0000-0000D20D0000}"/>
    <cellStyle name="40% - Ênfase5 2 3" xfId="3485" xr:uid="{00000000-0005-0000-0000-0000D30D0000}"/>
    <cellStyle name="40% - Ênfase5 2 30" xfId="3486" xr:uid="{00000000-0005-0000-0000-0000D40D0000}"/>
    <cellStyle name="40% - Ênfase5 2 31" xfId="3487" xr:uid="{00000000-0005-0000-0000-0000D50D0000}"/>
    <cellStyle name="40% - Ênfase5 2 32" xfId="3488" xr:uid="{00000000-0005-0000-0000-0000D60D0000}"/>
    <cellStyle name="40% - Ênfase5 2 33" xfId="3489" xr:uid="{00000000-0005-0000-0000-0000D70D0000}"/>
    <cellStyle name="40% - Ênfase5 2 34" xfId="3490" xr:uid="{00000000-0005-0000-0000-0000D80D0000}"/>
    <cellStyle name="40% - Ênfase5 2 35" xfId="3491" xr:uid="{00000000-0005-0000-0000-0000D90D0000}"/>
    <cellStyle name="40% - Ênfase5 2 4" xfId="3492" xr:uid="{00000000-0005-0000-0000-0000DA0D0000}"/>
    <cellStyle name="40% - Ênfase5 2 5" xfId="3493" xr:uid="{00000000-0005-0000-0000-0000DB0D0000}"/>
    <cellStyle name="40% - Ênfase5 2 6" xfId="3494" xr:uid="{00000000-0005-0000-0000-0000DC0D0000}"/>
    <cellStyle name="40% - Ênfase5 2 7" xfId="3495" xr:uid="{00000000-0005-0000-0000-0000DD0D0000}"/>
    <cellStyle name="40% - Ênfase5 2 8" xfId="3496" xr:uid="{00000000-0005-0000-0000-0000DE0D0000}"/>
    <cellStyle name="40% - Ênfase5 2 8 2" xfId="3497" xr:uid="{00000000-0005-0000-0000-0000DF0D0000}"/>
    <cellStyle name="40% - Ênfase5 2 8 3" xfId="3498" xr:uid="{00000000-0005-0000-0000-0000E00D0000}"/>
    <cellStyle name="40% - Ênfase5 2 8 4" xfId="3499" xr:uid="{00000000-0005-0000-0000-0000E10D0000}"/>
    <cellStyle name="40% - Ênfase5 2 8 5" xfId="3500" xr:uid="{00000000-0005-0000-0000-0000E20D0000}"/>
    <cellStyle name="40% - Ênfase5 2 8 6" xfId="3501" xr:uid="{00000000-0005-0000-0000-0000E30D0000}"/>
    <cellStyle name="40% - Ênfase5 2 8 7" xfId="3502" xr:uid="{00000000-0005-0000-0000-0000E40D0000}"/>
    <cellStyle name="40% - Ênfase5 2 9" xfId="3503" xr:uid="{00000000-0005-0000-0000-0000E50D0000}"/>
    <cellStyle name="40% - Ênfase5 2 9 2" xfId="3504" xr:uid="{00000000-0005-0000-0000-0000E60D0000}"/>
    <cellStyle name="40% - Ênfase5 2 9 3" xfId="3505" xr:uid="{00000000-0005-0000-0000-0000E70D0000}"/>
    <cellStyle name="40% - Ênfase5 2 9 4" xfId="3506" xr:uid="{00000000-0005-0000-0000-0000E80D0000}"/>
    <cellStyle name="40% - Ênfase5 2 9 5" xfId="3507" xr:uid="{00000000-0005-0000-0000-0000E90D0000}"/>
    <cellStyle name="40% - Ênfase5 2 9 6" xfId="3508" xr:uid="{00000000-0005-0000-0000-0000EA0D0000}"/>
    <cellStyle name="40% - Ênfase5 2 9 7" xfId="3509" xr:uid="{00000000-0005-0000-0000-0000EB0D0000}"/>
    <cellStyle name="40% - Ênfase5 20" xfId="3510" xr:uid="{00000000-0005-0000-0000-0000EC0D0000}"/>
    <cellStyle name="40% - Ênfase5 20 2" xfId="3511" xr:uid="{00000000-0005-0000-0000-0000ED0D0000}"/>
    <cellStyle name="40% - Ênfase5 20 3" xfId="3512" xr:uid="{00000000-0005-0000-0000-0000EE0D0000}"/>
    <cellStyle name="40% - Ênfase5 21" xfId="3513" xr:uid="{00000000-0005-0000-0000-0000EF0D0000}"/>
    <cellStyle name="40% - Ênfase5 22" xfId="3514" xr:uid="{00000000-0005-0000-0000-0000F00D0000}"/>
    <cellStyle name="40% - Ênfase5 23" xfId="3515" xr:uid="{00000000-0005-0000-0000-0000F10D0000}"/>
    <cellStyle name="40% - Ênfase5 24" xfId="3516" xr:uid="{00000000-0005-0000-0000-0000F20D0000}"/>
    <cellStyle name="40% - Ênfase5 24 2" xfId="40937" xr:uid="{00000000-0005-0000-0000-0000F30D0000}"/>
    <cellStyle name="40% - Ênfase5 25" xfId="3517" xr:uid="{00000000-0005-0000-0000-0000F40D0000}"/>
    <cellStyle name="40% - Ênfase5 25 2" xfId="40972" xr:uid="{00000000-0005-0000-0000-0000F50D0000}"/>
    <cellStyle name="40% - Ênfase5 26" xfId="3518" xr:uid="{00000000-0005-0000-0000-0000F60D0000}"/>
    <cellStyle name="40% - Ênfase5 26 10" xfId="3519" xr:uid="{00000000-0005-0000-0000-0000F70D0000}"/>
    <cellStyle name="40% - Ênfase5 26 11" xfId="3520" xr:uid="{00000000-0005-0000-0000-0000F80D0000}"/>
    <cellStyle name="40% - Ênfase5 26 12" xfId="3521" xr:uid="{00000000-0005-0000-0000-0000F90D0000}"/>
    <cellStyle name="40% - Ênfase5 26 13" xfId="3522" xr:uid="{00000000-0005-0000-0000-0000FA0D0000}"/>
    <cellStyle name="40% - Ênfase5 26 14" xfId="3523" xr:uid="{00000000-0005-0000-0000-0000FB0D0000}"/>
    <cellStyle name="40% - Ênfase5 26 15" xfId="3524" xr:uid="{00000000-0005-0000-0000-0000FC0D0000}"/>
    <cellStyle name="40% - Ênfase5 26 16" xfId="3525" xr:uid="{00000000-0005-0000-0000-0000FD0D0000}"/>
    <cellStyle name="40% - Ênfase5 26 2" xfId="3526" xr:uid="{00000000-0005-0000-0000-0000FE0D0000}"/>
    <cellStyle name="40% - Ênfase5 26 3" xfId="3527" xr:uid="{00000000-0005-0000-0000-0000FF0D0000}"/>
    <cellStyle name="40% - Ênfase5 26 4" xfId="3528" xr:uid="{00000000-0005-0000-0000-0000000E0000}"/>
    <cellStyle name="40% - Ênfase5 26 5" xfId="3529" xr:uid="{00000000-0005-0000-0000-0000010E0000}"/>
    <cellStyle name="40% - Ênfase5 26 6" xfId="3530" xr:uid="{00000000-0005-0000-0000-0000020E0000}"/>
    <cellStyle name="40% - Ênfase5 26 7" xfId="3531" xr:uid="{00000000-0005-0000-0000-0000030E0000}"/>
    <cellStyle name="40% - Ênfase5 26 8" xfId="3532" xr:uid="{00000000-0005-0000-0000-0000040E0000}"/>
    <cellStyle name="40% - Ênfase5 26 9" xfId="3533" xr:uid="{00000000-0005-0000-0000-0000050E0000}"/>
    <cellStyle name="40% - Ênfase5 27" xfId="3534" xr:uid="{00000000-0005-0000-0000-0000060E0000}"/>
    <cellStyle name="40% - Ênfase5 27 10" xfId="3535" xr:uid="{00000000-0005-0000-0000-0000070E0000}"/>
    <cellStyle name="40% - Ênfase5 27 11" xfId="3536" xr:uid="{00000000-0005-0000-0000-0000080E0000}"/>
    <cellStyle name="40% - Ênfase5 27 12" xfId="3537" xr:uid="{00000000-0005-0000-0000-0000090E0000}"/>
    <cellStyle name="40% - Ênfase5 27 13" xfId="3538" xr:uid="{00000000-0005-0000-0000-00000A0E0000}"/>
    <cellStyle name="40% - Ênfase5 27 14" xfId="3539" xr:uid="{00000000-0005-0000-0000-00000B0E0000}"/>
    <cellStyle name="40% - Ênfase5 27 15" xfId="3540" xr:uid="{00000000-0005-0000-0000-00000C0E0000}"/>
    <cellStyle name="40% - Ênfase5 27 16" xfId="3541" xr:uid="{00000000-0005-0000-0000-00000D0E0000}"/>
    <cellStyle name="40% - Ênfase5 27 2" xfId="3542" xr:uid="{00000000-0005-0000-0000-00000E0E0000}"/>
    <cellStyle name="40% - Ênfase5 27 3" xfId="3543" xr:uid="{00000000-0005-0000-0000-00000F0E0000}"/>
    <cellStyle name="40% - Ênfase5 27 4" xfId="3544" xr:uid="{00000000-0005-0000-0000-0000100E0000}"/>
    <cellStyle name="40% - Ênfase5 27 5" xfId="3545" xr:uid="{00000000-0005-0000-0000-0000110E0000}"/>
    <cellStyle name="40% - Ênfase5 27 6" xfId="3546" xr:uid="{00000000-0005-0000-0000-0000120E0000}"/>
    <cellStyle name="40% - Ênfase5 27 7" xfId="3547" xr:uid="{00000000-0005-0000-0000-0000130E0000}"/>
    <cellStyle name="40% - Ênfase5 27 8" xfId="3548" xr:uid="{00000000-0005-0000-0000-0000140E0000}"/>
    <cellStyle name="40% - Ênfase5 27 9" xfId="3549" xr:uid="{00000000-0005-0000-0000-0000150E0000}"/>
    <cellStyle name="40% - Ênfase5 28" xfId="3550" xr:uid="{00000000-0005-0000-0000-0000160E0000}"/>
    <cellStyle name="40% - Ênfase5 28 10" xfId="3551" xr:uid="{00000000-0005-0000-0000-0000170E0000}"/>
    <cellStyle name="40% - Ênfase5 28 11" xfId="3552" xr:uid="{00000000-0005-0000-0000-0000180E0000}"/>
    <cellStyle name="40% - Ênfase5 28 12" xfId="3553" xr:uid="{00000000-0005-0000-0000-0000190E0000}"/>
    <cellStyle name="40% - Ênfase5 28 13" xfId="3554" xr:uid="{00000000-0005-0000-0000-00001A0E0000}"/>
    <cellStyle name="40% - Ênfase5 28 14" xfId="3555" xr:uid="{00000000-0005-0000-0000-00001B0E0000}"/>
    <cellStyle name="40% - Ênfase5 28 15" xfId="3556" xr:uid="{00000000-0005-0000-0000-00001C0E0000}"/>
    <cellStyle name="40% - Ênfase5 28 16" xfId="3557" xr:uid="{00000000-0005-0000-0000-00001D0E0000}"/>
    <cellStyle name="40% - Ênfase5 28 2" xfId="3558" xr:uid="{00000000-0005-0000-0000-00001E0E0000}"/>
    <cellStyle name="40% - Ênfase5 28 3" xfId="3559" xr:uid="{00000000-0005-0000-0000-00001F0E0000}"/>
    <cellStyle name="40% - Ênfase5 28 4" xfId="3560" xr:uid="{00000000-0005-0000-0000-0000200E0000}"/>
    <cellStyle name="40% - Ênfase5 28 5" xfId="3561" xr:uid="{00000000-0005-0000-0000-0000210E0000}"/>
    <cellStyle name="40% - Ênfase5 28 6" xfId="3562" xr:uid="{00000000-0005-0000-0000-0000220E0000}"/>
    <cellStyle name="40% - Ênfase5 28 7" xfId="3563" xr:uid="{00000000-0005-0000-0000-0000230E0000}"/>
    <cellStyle name="40% - Ênfase5 28 8" xfId="3564" xr:uid="{00000000-0005-0000-0000-0000240E0000}"/>
    <cellStyle name="40% - Ênfase5 28 9" xfId="3565" xr:uid="{00000000-0005-0000-0000-0000250E0000}"/>
    <cellStyle name="40% - Ênfase5 29" xfId="3566" xr:uid="{00000000-0005-0000-0000-0000260E0000}"/>
    <cellStyle name="40% - Ênfase5 29 10" xfId="3567" xr:uid="{00000000-0005-0000-0000-0000270E0000}"/>
    <cellStyle name="40% - Ênfase5 29 11" xfId="3568" xr:uid="{00000000-0005-0000-0000-0000280E0000}"/>
    <cellStyle name="40% - Ênfase5 29 12" xfId="3569" xr:uid="{00000000-0005-0000-0000-0000290E0000}"/>
    <cellStyle name="40% - Ênfase5 29 13" xfId="3570" xr:uid="{00000000-0005-0000-0000-00002A0E0000}"/>
    <cellStyle name="40% - Ênfase5 29 14" xfId="3571" xr:uid="{00000000-0005-0000-0000-00002B0E0000}"/>
    <cellStyle name="40% - Ênfase5 29 15" xfId="3572" xr:uid="{00000000-0005-0000-0000-00002C0E0000}"/>
    <cellStyle name="40% - Ênfase5 29 16" xfId="3573" xr:uid="{00000000-0005-0000-0000-00002D0E0000}"/>
    <cellStyle name="40% - Ênfase5 29 2" xfId="3574" xr:uid="{00000000-0005-0000-0000-00002E0E0000}"/>
    <cellStyle name="40% - Ênfase5 29 3" xfId="3575" xr:uid="{00000000-0005-0000-0000-00002F0E0000}"/>
    <cellStyle name="40% - Ênfase5 29 4" xfId="3576" xr:uid="{00000000-0005-0000-0000-0000300E0000}"/>
    <cellStyle name="40% - Ênfase5 29 5" xfId="3577" xr:uid="{00000000-0005-0000-0000-0000310E0000}"/>
    <cellStyle name="40% - Ênfase5 29 6" xfId="3578" xr:uid="{00000000-0005-0000-0000-0000320E0000}"/>
    <cellStyle name="40% - Ênfase5 29 7" xfId="3579" xr:uid="{00000000-0005-0000-0000-0000330E0000}"/>
    <cellStyle name="40% - Ênfase5 29 8" xfId="3580" xr:uid="{00000000-0005-0000-0000-0000340E0000}"/>
    <cellStyle name="40% - Ênfase5 29 9" xfId="3581" xr:uid="{00000000-0005-0000-0000-0000350E0000}"/>
    <cellStyle name="40% - Ênfase5 3" xfId="3582" xr:uid="{00000000-0005-0000-0000-0000360E0000}"/>
    <cellStyle name="40% - Ênfase5 3 10" xfId="3583" xr:uid="{00000000-0005-0000-0000-0000370E0000}"/>
    <cellStyle name="40% - Ênfase5 3 11" xfId="3584" xr:uid="{00000000-0005-0000-0000-0000380E0000}"/>
    <cellStyle name="40% - Ênfase5 3 2" xfId="3585" xr:uid="{00000000-0005-0000-0000-0000390E0000}"/>
    <cellStyle name="40% - Ênfase5 3 3" xfId="3586" xr:uid="{00000000-0005-0000-0000-00003A0E0000}"/>
    <cellStyle name="40% - Ênfase5 3 4" xfId="3587" xr:uid="{00000000-0005-0000-0000-00003B0E0000}"/>
    <cellStyle name="40% - Ênfase5 3 5" xfId="3588" xr:uid="{00000000-0005-0000-0000-00003C0E0000}"/>
    <cellStyle name="40% - Ênfase5 3 6" xfId="3589" xr:uid="{00000000-0005-0000-0000-00003D0E0000}"/>
    <cellStyle name="40% - Ênfase5 3 7" xfId="3590" xr:uid="{00000000-0005-0000-0000-00003E0E0000}"/>
    <cellStyle name="40% - Ênfase5 3 8" xfId="3591" xr:uid="{00000000-0005-0000-0000-00003F0E0000}"/>
    <cellStyle name="40% - Ênfase5 3 9" xfId="3592" xr:uid="{00000000-0005-0000-0000-0000400E0000}"/>
    <cellStyle name="40% - Ênfase5 30" xfId="3593" xr:uid="{00000000-0005-0000-0000-0000410E0000}"/>
    <cellStyle name="40% - Ênfase5 31" xfId="3594" xr:uid="{00000000-0005-0000-0000-0000420E0000}"/>
    <cellStyle name="40% - Ênfase5 32" xfId="3595" xr:uid="{00000000-0005-0000-0000-0000430E0000}"/>
    <cellStyle name="40% - Ênfase5 33" xfId="3596" xr:uid="{00000000-0005-0000-0000-0000440E0000}"/>
    <cellStyle name="40% - Ênfase5 34" xfId="3597" xr:uid="{00000000-0005-0000-0000-0000450E0000}"/>
    <cellStyle name="40% - Ênfase5 35" xfId="3598" xr:uid="{00000000-0005-0000-0000-0000460E0000}"/>
    <cellStyle name="40% - Ênfase5 36" xfId="3599" xr:uid="{00000000-0005-0000-0000-0000470E0000}"/>
    <cellStyle name="40% - Ênfase5 37" xfId="3600" xr:uid="{00000000-0005-0000-0000-0000480E0000}"/>
    <cellStyle name="40% - Ênfase5 38" xfId="3601" xr:uid="{00000000-0005-0000-0000-0000490E0000}"/>
    <cellStyle name="40% - Ênfase5 39" xfId="3602" xr:uid="{00000000-0005-0000-0000-00004A0E0000}"/>
    <cellStyle name="40% - Ênfase5 4" xfId="3603" xr:uid="{00000000-0005-0000-0000-00004B0E0000}"/>
    <cellStyle name="40% - Ênfase5 4 10" xfId="3604" xr:uid="{00000000-0005-0000-0000-00004C0E0000}"/>
    <cellStyle name="40% - Ênfase5 4 11" xfId="3605" xr:uid="{00000000-0005-0000-0000-00004D0E0000}"/>
    <cellStyle name="40% - Ênfase5 4 2" xfId="3606" xr:uid="{00000000-0005-0000-0000-00004E0E0000}"/>
    <cellStyle name="40% - Ênfase5 4 3" xfId="3607" xr:uid="{00000000-0005-0000-0000-00004F0E0000}"/>
    <cellStyle name="40% - Ênfase5 4 4" xfId="3608" xr:uid="{00000000-0005-0000-0000-0000500E0000}"/>
    <cellStyle name="40% - Ênfase5 4 5" xfId="3609" xr:uid="{00000000-0005-0000-0000-0000510E0000}"/>
    <cellStyle name="40% - Ênfase5 4 6" xfId="3610" xr:uid="{00000000-0005-0000-0000-0000520E0000}"/>
    <cellStyle name="40% - Ênfase5 4 7" xfId="3611" xr:uid="{00000000-0005-0000-0000-0000530E0000}"/>
    <cellStyle name="40% - Ênfase5 4 8" xfId="3612" xr:uid="{00000000-0005-0000-0000-0000540E0000}"/>
    <cellStyle name="40% - Ênfase5 4 9" xfId="3613" xr:uid="{00000000-0005-0000-0000-0000550E0000}"/>
    <cellStyle name="40% - Ênfase5 40" xfId="3614" xr:uid="{00000000-0005-0000-0000-0000560E0000}"/>
    <cellStyle name="40% - Ênfase5 41" xfId="3615" xr:uid="{00000000-0005-0000-0000-0000570E0000}"/>
    <cellStyle name="40% - Ênfase5 42" xfId="3616" xr:uid="{00000000-0005-0000-0000-0000580E0000}"/>
    <cellStyle name="40% - Ênfase5 43" xfId="3617" xr:uid="{00000000-0005-0000-0000-0000590E0000}"/>
    <cellStyle name="40% - Ênfase5 44" xfId="3618" xr:uid="{00000000-0005-0000-0000-00005A0E0000}"/>
    <cellStyle name="40% - Ênfase5 45" xfId="3619" xr:uid="{00000000-0005-0000-0000-00005B0E0000}"/>
    <cellStyle name="40% - Ênfase5 46" xfId="3620" xr:uid="{00000000-0005-0000-0000-00005C0E0000}"/>
    <cellStyle name="40% - Ênfase5 47" xfId="3621" xr:uid="{00000000-0005-0000-0000-00005D0E0000}"/>
    <cellStyle name="40% - Ênfase5 48" xfId="3622" xr:uid="{00000000-0005-0000-0000-00005E0E0000}"/>
    <cellStyle name="40% - Ênfase5 49" xfId="3623" xr:uid="{00000000-0005-0000-0000-00005F0E0000}"/>
    <cellStyle name="40% - Ênfase5 5" xfId="3624" xr:uid="{00000000-0005-0000-0000-0000600E0000}"/>
    <cellStyle name="40% - Ênfase5 5 2" xfId="3625" xr:uid="{00000000-0005-0000-0000-0000610E0000}"/>
    <cellStyle name="40% - Ênfase5 5 3" xfId="3626" xr:uid="{00000000-0005-0000-0000-0000620E0000}"/>
    <cellStyle name="40% - Ênfase5 5 4" xfId="3627" xr:uid="{00000000-0005-0000-0000-0000630E0000}"/>
    <cellStyle name="40% - Ênfase5 50" xfId="3628" xr:uid="{00000000-0005-0000-0000-0000640E0000}"/>
    <cellStyle name="40% - Ênfase5 51" xfId="3629" xr:uid="{00000000-0005-0000-0000-0000650E0000}"/>
    <cellStyle name="40% - Ênfase5 52" xfId="3630" xr:uid="{00000000-0005-0000-0000-0000660E0000}"/>
    <cellStyle name="40% - Ênfase5 53" xfId="3631" xr:uid="{00000000-0005-0000-0000-0000670E0000}"/>
    <cellStyle name="40% - Ênfase5 54" xfId="3632" xr:uid="{00000000-0005-0000-0000-0000680E0000}"/>
    <cellStyle name="40% - Ênfase5 55" xfId="3633" xr:uid="{00000000-0005-0000-0000-0000690E0000}"/>
    <cellStyle name="40% - Ênfase5 56" xfId="3634" xr:uid="{00000000-0005-0000-0000-00006A0E0000}"/>
    <cellStyle name="40% - Ênfase5 57" xfId="3635" xr:uid="{00000000-0005-0000-0000-00006B0E0000}"/>
    <cellStyle name="40% - Ênfase5 58" xfId="3636" xr:uid="{00000000-0005-0000-0000-00006C0E0000}"/>
    <cellStyle name="40% - Ênfase5 59" xfId="3637" xr:uid="{00000000-0005-0000-0000-00006D0E0000}"/>
    <cellStyle name="40% - Ênfase5 6" xfId="3638" xr:uid="{00000000-0005-0000-0000-00006E0E0000}"/>
    <cellStyle name="40% - Ênfase5 6 2" xfId="3639" xr:uid="{00000000-0005-0000-0000-00006F0E0000}"/>
    <cellStyle name="40% - Ênfase5 6 3" xfId="3640" xr:uid="{00000000-0005-0000-0000-0000700E0000}"/>
    <cellStyle name="40% - Ênfase5 6 4" xfId="3641" xr:uid="{00000000-0005-0000-0000-0000710E0000}"/>
    <cellStyle name="40% - Ênfase5 60" xfId="3642" xr:uid="{00000000-0005-0000-0000-0000720E0000}"/>
    <cellStyle name="40% - Ênfase5 61" xfId="3643" xr:uid="{00000000-0005-0000-0000-0000730E0000}"/>
    <cellStyle name="40% - Ênfase5 62" xfId="3644" xr:uid="{00000000-0005-0000-0000-0000740E0000}"/>
    <cellStyle name="40% - Ênfase5 63" xfId="3645" xr:uid="{00000000-0005-0000-0000-0000750E0000}"/>
    <cellStyle name="40% - Ênfase5 64" xfId="3646" xr:uid="{00000000-0005-0000-0000-0000760E0000}"/>
    <cellStyle name="40% - Ênfase5 65" xfId="3647" xr:uid="{00000000-0005-0000-0000-0000770E0000}"/>
    <cellStyle name="40% - Ênfase5 66" xfId="3648" xr:uid="{00000000-0005-0000-0000-0000780E0000}"/>
    <cellStyle name="40% - Ênfase5 67" xfId="3649" xr:uid="{00000000-0005-0000-0000-0000790E0000}"/>
    <cellStyle name="40% - Ênfase5 68" xfId="3650" xr:uid="{00000000-0005-0000-0000-00007A0E0000}"/>
    <cellStyle name="40% - Ênfase5 69" xfId="3651" xr:uid="{00000000-0005-0000-0000-00007B0E0000}"/>
    <cellStyle name="40% - Ênfase5 7" xfId="3652" xr:uid="{00000000-0005-0000-0000-00007C0E0000}"/>
    <cellStyle name="40% - Ênfase5 7 2" xfId="3653" xr:uid="{00000000-0005-0000-0000-00007D0E0000}"/>
    <cellStyle name="40% - Ênfase5 7 3" xfId="3654" xr:uid="{00000000-0005-0000-0000-00007E0E0000}"/>
    <cellStyle name="40% - Ênfase5 7 4" xfId="3655" xr:uid="{00000000-0005-0000-0000-00007F0E0000}"/>
    <cellStyle name="40% - Ênfase5 70" xfId="3656" xr:uid="{00000000-0005-0000-0000-0000800E0000}"/>
    <cellStyle name="40% - Ênfase5 71" xfId="3657" xr:uid="{00000000-0005-0000-0000-0000810E0000}"/>
    <cellStyle name="40% - Ênfase5 72" xfId="3658" xr:uid="{00000000-0005-0000-0000-0000820E0000}"/>
    <cellStyle name="40% - Ênfase5 73" xfId="3659" xr:uid="{00000000-0005-0000-0000-0000830E0000}"/>
    <cellStyle name="40% - Ênfase5 74" xfId="3660" xr:uid="{00000000-0005-0000-0000-0000840E0000}"/>
    <cellStyle name="40% - Ênfase5 75" xfId="3661" xr:uid="{00000000-0005-0000-0000-0000850E0000}"/>
    <cellStyle name="40% - Ênfase5 76" xfId="3662" xr:uid="{00000000-0005-0000-0000-0000860E0000}"/>
    <cellStyle name="40% - Ênfase5 77" xfId="3663" xr:uid="{00000000-0005-0000-0000-0000870E0000}"/>
    <cellStyle name="40% - Ênfase5 78" xfId="3664" xr:uid="{00000000-0005-0000-0000-0000880E0000}"/>
    <cellStyle name="40% - Ênfase5 79" xfId="3665" xr:uid="{00000000-0005-0000-0000-0000890E0000}"/>
    <cellStyle name="40% - Ênfase5 8" xfId="3666" xr:uid="{00000000-0005-0000-0000-00008A0E0000}"/>
    <cellStyle name="40% - Ênfase5 8 2" xfId="3667" xr:uid="{00000000-0005-0000-0000-00008B0E0000}"/>
    <cellStyle name="40% - Ênfase5 8 3" xfId="3668" xr:uid="{00000000-0005-0000-0000-00008C0E0000}"/>
    <cellStyle name="40% - Ênfase5 8 4" xfId="3669" xr:uid="{00000000-0005-0000-0000-00008D0E0000}"/>
    <cellStyle name="40% - Ênfase5 80" xfId="3670" xr:uid="{00000000-0005-0000-0000-00008E0E0000}"/>
    <cellStyle name="40% - Ênfase5 81" xfId="3671" xr:uid="{00000000-0005-0000-0000-00008F0E0000}"/>
    <cellStyle name="40% - Ênfase5 82" xfId="3672" xr:uid="{00000000-0005-0000-0000-0000900E0000}"/>
    <cellStyle name="40% - Ênfase5 83" xfId="3673" xr:uid="{00000000-0005-0000-0000-0000910E0000}"/>
    <cellStyle name="40% - Ênfase5 84" xfId="3674" xr:uid="{00000000-0005-0000-0000-0000920E0000}"/>
    <cellStyle name="40% - Ênfase5 85" xfId="3675" xr:uid="{00000000-0005-0000-0000-0000930E0000}"/>
    <cellStyle name="40% - Ênfase5 86" xfId="3676" xr:uid="{00000000-0005-0000-0000-0000940E0000}"/>
    <cellStyle name="40% - Ênfase5 87" xfId="3677" xr:uid="{00000000-0005-0000-0000-0000950E0000}"/>
    <cellStyle name="40% - Ênfase5 88" xfId="3678" xr:uid="{00000000-0005-0000-0000-0000960E0000}"/>
    <cellStyle name="40% - Ênfase5 89" xfId="3679" xr:uid="{00000000-0005-0000-0000-0000970E0000}"/>
    <cellStyle name="40% - Ênfase5 9" xfId="3680" xr:uid="{00000000-0005-0000-0000-0000980E0000}"/>
    <cellStyle name="40% - Ênfase5 90" xfId="3681" xr:uid="{00000000-0005-0000-0000-0000990E0000}"/>
    <cellStyle name="40% - Ênfase5 91" xfId="3682" xr:uid="{00000000-0005-0000-0000-00009A0E0000}"/>
    <cellStyle name="40% - Ênfase5 92" xfId="3683" xr:uid="{00000000-0005-0000-0000-00009B0E0000}"/>
    <cellStyle name="40% - Ênfase5 93" xfId="3684" xr:uid="{00000000-0005-0000-0000-00009C0E0000}"/>
    <cellStyle name="40% - Ênfase5 94" xfId="3685" xr:uid="{00000000-0005-0000-0000-00009D0E0000}"/>
    <cellStyle name="40% - Ênfase5 95" xfId="3686" xr:uid="{00000000-0005-0000-0000-00009E0E0000}"/>
    <cellStyle name="40% - Ênfase5 96" xfId="3687" xr:uid="{00000000-0005-0000-0000-00009F0E0000}"/>
    <cellStyle name="40% - Ênfase5 97" xfId="3688" xr:uid="{00000000-0005-0000-0000-0000A00E0000}"/>
    <cellStyle name="40% - Ênfase5 98" xfId="3689" xr:uid="{00000000-0005-0000-0000-0000A10E0000}"/>
    <cellStyle name="40% - Ênfase5 99" xfId="3690" xr:uid="{00000000-0005-0000-0000-0000A20E0000}"/>
    <cellStyle name="40% - Ênfase6 10" xfId="3691" xr:uid="{00000000-0005-0000-0000-0000A30E0000}"/>
    <cellStyle name="40% - Ênfase6 10 2" xfId="40502" xr:uid="{00000000-0005-0000-0000-0000A40E0000}"/>
    <cellStyle name="40% - Ênfase6 100" xfId="3692" xr:uid="{00000000-0005-0000-0000-0000A50E0000}"/>
    <cellStyle name="40% - Ênfase6 101" xfId="3693" xr:uid="{00000000-0005-0000-0000-0000A60E0000}"/>
    <cellStyle name="40% - Ênfase6 102" xfId="3694" xr:uid="{00000000-0005-0000-0000-0000A70E0000}"/>
    <cellStyle name="40% - Ênfase6 103" xfId="3695" xr:uid="{00000000-0005-0000-0000-0000A80E0000}"/>
    <cellStyle name="40% - Ênfase6 104" xfId="3696" xr:uid="{00000000-0005-0000-0000-0000A90E0000}"/>
    <cellStyle name="40% - Ênfase6 105" xfId="3697" xr:uid="{00000000-0005-0000-0000-0000AA0E0000}"/>
    <cellStyle name="40% - Ênfase6 106" xfId="3698" xr:uid="{00000000-0005-0000-0000-0000AB0E0000}"/>
    <cellStyle name="40% - Ênfase6 107" xfId="3699" xr:uid="{00000000-0005-0000-0000-0000AC0E0000}"/>
    <cellStyle name="40% - Ênfase6 108" xfId="3700" xr:uid="{00000000-0005-0000-0000-0000AD0E0000}"/>
    <cellStyle name="40% - Ênfase6 109" xfId="3701" xr:uid="{00000000-0005-0000-0000-0000AE0E0000}"/>
    <cellStyle name="40% - Ênfase6 11" xfId="3702" xr:uid="{00000000-0005-0000-0000-0000AF0E0000}"/>
    <cellStyle name="40% - Ênfase6 11 2" xfId="40503" xr:uid="{00000000-0005-0000-0000-0000B00E0000}"/>
    <cellStyle name="40% - Ênfase6 110" xfId="3703" xr:uid="{00000000-0005-0000-0000-0000B10E0000}"/>
    <cellStyle name="40% - Ênfase6 111" xfId="3704" xr:uid="{00000000-0005-0000-0000-0000B20E0000}"/>
    <cellStyle name="40% - Ênfase6 112" xfId="3705" xr:uid="{00000000-0005-0000-0000-0000B30E0000}"/>
    <cellStyle name="40% - Ênfase6 113" xfId="3706" xr:uid="{00000000-0005-0000-0000-0000B40E0000}"/>
    <cellStyle name="40% - Ênfase6 114" xfId="3707" xr:uid="{00000000-0005-0000-0000-0000B50E0000}"/>
    <cellStyle name="40% - Ênfase6 115" xfId="3708" xr:uid="{00000000-0005-0000-0000-0000B60E0000}"/>
    <cellStyle name="40% - Ênfase6 116" xfId="3709" xr:uid="{00000000-0005-0000-0000-0000B70E0000}"/>
    <cellStyle name="40% - Ênfase6 117" xfId="3710" xr:uid="{00000000-0005-0000-0000-0000B80E0000}"/>
    <cellStyle name="40% - Ênfase6 118" xfId="3711" xr:uid="{00000000-0005-0000-0000-0000B90E0000}"/>
    <cellStyle name="40% - Ênfase6 119" xfId="3712" xr:uid="{00000000-0005-0000-0000-0000BA0E0000}"/>
    <cellStyle name="40% - Ênfase6 12" xfId="3713" xr:uid="{00000000-0005-0000-0000-0000BB0E0000}"/>
    <cellStyle name="40% - Ênfase6 12 2" xfId="40504" xr:uid="{00000000-0005-0000-0000-0000BC0E0000}"/>
    <cellStyle name="40% - Ênfase6 120" xfId="3714" xr:uid="{00000000-0005-0000-0000-0000BD0E0000}"/>
    <cellStyle name="40% - Ênfase6 121" xfId="3715" xr:uid="{00000000-0005-0000-0000-0000BE0E0000}"/>
    <cellStyle name="40% - Ênfase6 122" xfId="3716" xr:uid="{00000000-0005-0000-0000-0000BF0E0000}"/>
    <cellStyle name="40% - Ênfase6 123" xfId="3717" xr:uid="{00000000-0005-0000-0000-0000C00E0000}"/>
    <cellStyle name="40% - Ênfase6 124" xfId="3718" xr:uid="{00000000-0005-0000-0000-0000C10E0000}"/>
    <cellStyle name="40% - Ênfase6 125" xfId="3719" xr:uid="{00000000-0005-0000-0000-0000C20E0000}"/>
    <cellStyle name="40% - Ênfase6 126" xfId="3720" xr:uid="{00000000-0005-0000-0000-0000C30E0000}"/>
    <cellStyle name="40% - Ênfase6 127" xfId="3721" xr:uid="{00000000-0005-0000-0000-0000C40E0000}"/>
    <cellStyle name="40% - Ênfase6 128" xfId="3722" xr:uid="{00000000-0005-0000-0000-0000C50E0000}"/>
    <cellStyle name="40% - Ênfase6 129" xfId="3723" xr:uid="{00000000-0005-0000-0000-0000C60E0000}"/>
    <cellStyle name="40% - Ênfase6 13" xfId="3724" xr:uid="{00000000-0005-0000-0000-0000C70E0000}"/>
    <cellStyle name="40% - Ênfase6 13 2" xfId="40505" xr:uid="{00000000-0005-0000-0000-0000C80E0000}"/>
    <cellStyle name="40% - Ênfase6 130" xfId="3725" xr:uid="{00000000-0005-0000-0000-0000C90E0000}"/>
    <cellStyle name="40% - Ênfase6 131" xfId="3726" xr:uid="{00000000-0005-0000-0000-0000CA0E0000}"/>
    <cellStyle name="40% - Ênfase6 132" xfId="3727" xr:uid="{00000000-0005-0000-0000-0000CB0E0000}"/>
    <cellStyle name="40% - Ênfase6 133" xfId="3728" xr:uid="{00000000-0005-0000-0000-0000CC0E0000}"/>
    <cellStyle name="40% - Ênfase6 134" xfId="3729" xr:uid="{00000000-0005-0000-0000-0000CD0E0000}"/>
    <cellStyle name="40% - Ênfase6 135" xfId="3730" xr:uid="{00000000-0005-0000-0000-0000CE0E0000}"/>
    <cellStyle name="40% - Ênfase6 136" xfId="3731" xr:uid="{00000000-0005-0000-0000-0000CF0E0000}"/>
    <cellStyle name="40% - Ênfase6 137" xfId="3732" xr:uid="{00000000-0005-0000-0000-0000D00E0000}"/>
    <cellStyle name="40% - Ênfase6 138" xfId="3733" xr:uid="{00000000-0005-0000-0000-0000D10E0000}"/>
    <cellStyle name="40% - Ênfase6 139" xfId="3734" xr:uid="{00000000-0005-0000-0000-0000D20E0000}"/>
    <cellStyle name="40% - Ênfase6 14" xfId="3735" xr:uid="{00000000-0005-0000-0000-0000D30E0000}"/>
    <cellStyle name="40% - Ênfase6 140" xfId="3736" xr:uid="{00000000-0005-0000-0000-0000D40E0000}"/>
    <cellStyle name="40% - Ênfase6 141" xfId="3737" xr:uid="{00000000-0005-0000-0000-0000D50E0000}"/>
    <cellStyle name="40% - Ênfase6 142" xfId="3738" xr:uid="{00000000-0005-0000-0000-0000D60E0000}"/>
    <cellStyle name="40% - Ênfase6 143" xfId="3739" xr:uid="{00000000-0005-0000-0000-0000D70E0000}"/>
    <cellStyle name="40% - Ênfase6 144" xfId="3740" xr:uid="{00000000-0005-0000-0000-0000D80E0000}"/>
    <cellStyle name="40% - Ênfase6 145" xfId="3741" xr:uid="{00000000-0005-0000-0000-0000D90E0000}"/>
    <cellStyle name="40% - Ênfase6 146" xfId="3742" xr:uid="{00000000-0005-0000-0000-0000DA0E0000}"/>
    <cellStyle name="40% - Ênfase6 147" xfId="3743" xr:uid="{00000000-0005-0000-0000-0000DB0E0000}"/>
    <cellStyle name="40% - Ênfase6 148" xfId="3744" xr:uid="{00000000-0005-0000-0000-0000DC0E0000}"/>
    <cellStyle name="40% - Ênfase6 149" xfId="3745" xr:uid="{00000000-0005-0000-0000-0000DD0E0000}"/>
    <cellStyle name="40% - Ênfase6 15" xfId="3746" xr:uid="{00000000-0005-0000-0000-0000DE0E0000}"/>
    <cellStyle name="40% - Ênfase6 15 2" xfId="3747" xr:uid="{00000000-0005-0000-0000-0000DF0E0000}"/>
    <cellStyle name="40% - Ênfase6 15 3" xfId="3748" xr:uid="{00000000-0005-0000-0000-0000E00E0000}"/>
    <cellStyle name="40% - Ênfase6 150" xfId="3749" xr:uid="{00000000-0005-0000-0000-0000E10E0000}"/>
    <cellStyle name="40% - Ênfase6 151" xfId="3750" xr:uid="{00000000-0005-0000-0000-0000E20E0000}"/>
    <cellStyle name="40% - Ênfase6 152" xfId="3751" xr:uid="{00000000-0005-0000-0000-0000E30E0000}"/>
    <cellStyle name="40% - Ênfase6 153" xfId="3752" xr:uid="{00000000-0005-0000-0000-0000E40E0000}"/>
    <cellStyle name="40% - Ênfase6 154" xfId="3753" xr:uid="{00000000-0005-0000-0000-0000E50E0000}"/>
    <cellStyle name="40% - Ênfase6 155" xfId="3754" xr:uid="{00000000-0005-0000-0000-0000E60E0000}"/>
    <cellStyle name="40% - Ênfase6 156" xfId="3755" xr:uid="{00000000-0005-0000-0000-0000E70E0000}"/>
    <cellStyle name="40% - Ênfase6 157" xfId="3756" xr:uid="{00000000-0005-0000-0000-0000E80E0000}"/>
    <cellStyle name="40% - Ênfase6 158" xfId="3757" xr:uid="{00000000-0005-0000-0000-0000E90E0000}"/>
    <cellStyle name="40% - Ênfase6 159" xfId="3758" xr:uid="{00000000-0005-0000-0000-0000EA0E0000}"/>
    <cellStyle name="40% - Ênfase6 16" xfId="3759" xr:uid="{00000000-0005-0000-0000-0000EB0E0000}"/>
    <cellStyle name="40% - Ênfase6 16 2" xfId="3760" xr:uid="{00000000-0005-0000-0000-0000EC0E0000}"/>
    <cellStyle name="40% - Ênfase6 16 3" xfId="3761" xr:uid="{00000000-0005-0000-0000-0000ED0E0000}"/>
    <cellStyle name="40% - Ênfase6 160" xfId="3762" xr:uid="{00000000-0005-0000-0000-0000EE0E0000}"/>
    <cellStyle name="40% - Ênfase6 161" xfId="3763" xr:uid="{00000000-0005-0000-0000-0000EF0E0000}"/>
    <cellStyle name="40% - Ênfase6 162" xfId="3764" xr:uid="{00000000-0005-0000-0000-0000F00E0000}"/>
    <cellStyle name="40% - Ênfase6 163" xfId="3765" xr:uid="{00000000-0005-0000-0000-0000F10E0000}"/>
    <cellStyle name="40% - Ênfase6 164" xfId="3766" xr:uid="{00000000-0005-0000-0000-0000F20E0000}"/>
    <cellStyle name="40% - Ênfase6 165" xfId="3767" xr:uid="{00000000-0005-0000-0000-0000F30E0000}"/>
    <cellStyle name="40% - Ênfase6 166" xfId="3768" xr:uid="{00000000-0005-0000-0000-0000F40E0000}"/>
    <cellStyle name="40% - Ênfase6 167" xfId="3769" xr:uid="{00000000-0005-0000-0000-0000F50E0000}"/>
    <cellStyle name="40% - Ênfase6 168" xfId="3770" xr:uid="{00000000-0005-0000-0000-0000F60E0000}"/>
    <cellStyle name="40% - Ênfase6 169" xfId="3771" xr:uid="{00000000-0005-0000-0000-0000F70E0000}"/>
    <cellStyle name="40% - Ênfase6 17" xfId="3772" xr:uid="{00000000-0005-0000-0000-0000F80E0000}"/>
    <cellStyle name="40% - Ênfase6 17 2" xfId="3773" xr:uid="{00000000-0005-0000-0000-0000F90E0000}"/>
    <cellStyle name="40% - Ênfase6 17 3" xfId="3774" xr:uid="{00000000-0005-0000-0000-0000FA0E0000}"/>
    <cellStyle name="40% - Ênfase6 170" xfId="3775" xr:uid="{00000000-0005-0000-0000-0000FB0E0000}"/>
    <cellStyle name="40% - Ênfase6 171" xfId="3776" xr:uid="{00000000-0005-0000-0000-0000FC0E0000}"/>
    <cellStyle name="40% - Ênfase6 172" xfId="3777" xr:uid="{00000000-0005-0000-0000-0000FD0E0000}"/>
    <cellStyle name="40% - Ênfase6 173" xfId="3778" xr:uid="{00000000-0005-0000-0000-0000FE0E0000}"/>
    <cellStyle name="40% - Ênfase6 174" xfId="3779" xr:uid="{00000000-0005-0000-0000-0000FF0E0000}"/>
    <cellStyle name="40% - Ênfase6 175" xfId="3780" xr:uid="{00000000-0005-0000-0000-0000000F0000}"/>
    <cellStyle name="40% - Ênfase6 176" xfId="3781" xr:uid="{00000000-0005-0000-0000-0000010F0000}"/>
    <cellStyle name="40% - Ênfase6 177" xfId="3782" xr:uid="{00000000-0005-0000-0000-0000020F0000}"/>
    <cellStyle name="40% - Ênfase6 178" xfId="3783" xr:uid="{00000000-0005-0000-0000-0000030F0000}"/>
    <cellStyle name="40% - Ênfase6 179" xfId="3784" xr:uid="{00000000-0005-0000-0000-0000040F0000}"/>
    <cellStyle name="40% - Ênfase6 18" xfId="3785" xr:uid="{00000000-0005-0000-0000-0000050F0000}"/>
    <cellStyle name="40% - Ênfase6 18 2" xfId="3786" xr:uid="{00000000-0005-0000-0000-0000060F0000}"/>
    <cellStyle name="40% - Ênfase6 18 3" xfId="3787" xr:uid="{00000000-0005-0000-0000-0000070F0000}"/>
    <cellStyle name="40% - Ênfase6 180" xfId="3788" xr:uid="{00000000-0005-0000-0000-0000080F0000}"/>
    <cellStyle name="40% - Ênfase6 181" xfId="3789" xr:uid="{00000000-0005-0000-0000-0000090F0000}"/>
    <cellStyle name="40% - Ênfase6 182" xfId="3790" xr:uid="{00000000-0005-0000-0000-00000A0F0000}"/>
    <cellStyle name="40% - Ênfase6 183" xfId="3791" xr:uid="{00000000-0005-0000-0000-00000B0F0000}"/>
    <cellStyle name="40% - Ênfase6 184" xfId="3792" xr:uid="{00000000-0005-0000-0000-00000C0F0000}"/>
    <cellStyle name="40% - Ênfase6 185" xfId="3793" xr:uid="{00000000-0005-0000-0000-00000D0F0000}"/>
    <cellStyle name="40% - Ênfase6 186" xfId="3794" xr:uid="{00000000-0005-0000-0000-00000E0F0000}"/>
    <cellStyle name="40% - Ênfase6 187" xfId="3795" xr:uid="{00000000-0005-0000-0000-00000F0F0000}"/>
    <cellStyle name="40% - Ênfase6 188" xfId="3796" xr:uid="{00000000-0005-0000-0000-0000100F0000}"/>
    <cellStyle name="40% - Ênfase6 189" xfId="3797" xr:uid="{00000000-0005-0000-0000-0000110F0000}"/>
    <cellStyle name="40% - Ênfase6 19" xfId="3798" xr:uid="{00000000-0005-0000-0000-0000120F0000}"/>
    <cellStyle name="40% - Ênfase6 19 2" xfId="3799" xr:uid="{00000000-0005-0000-0000-0000130F0000}"/>
    <cellStyle name="40% - Ênfase6 19 3" xfId="3800" xr:uid="{00000000-0005-0000-0000-0000140F0000}"/>
    <cellStyle name="40% - Ênfase6 190" xfId="3801" xr:uid="{00000000-0005-0000-0000-0000150F0000}"/>
    <cellStyle name="40% - Ênfase6 2" xfId="3802" xr:uid="{00000000-0005-0000-0000-0000160F0000}"/>
    <cellStyle name="40% - Ênfase6 2 10" xfId="3803" xr:uid="{00000000-0005-0000-0000-0000170F0000}"/>
    <cellStyle name="40% - Ênfase6 2 10 2" xfId="3804" xr:uid="{00000000-0005-0000-0000-0000180F0000}"/>
    <cellStyle name="40% - Ênfase6 2 10 3" xfId="3805" xr:uid="{00000000-0005-0000-0000-0000190F0000}"/>
    <cellStyle name="40% - Ênfase6 2 10 4" xfId="3806" xr:uid="{00000000-0005-0000-0000-00001A0F0000}"/>
    <cellStyle name="40% - Ênfase6 2 10 5" xfId="3807" xr:uid="{00000000-0005-0000-0000-00001B0F0000}"/>
    <cellStyle name="40% - Ênfase6 2 10 6" xfId="3808" xr:uid="{00000000-0005-0000-0000-00001C0F0000}"/>
    <cellStyle name="40% - Ênfase6 2 10 7" xfId="3809" xr:uid="{00000000-0005-0000-0000-00001D0F0000}"/>
    <cellStyle name="40% - Ênfase6 2 11" xfId="3810" xr:uid="{00000000-0005-0000-0000-00001E0F0000}"/>
    <cellStyle name="40% - Ênfase6 2 11 2" xfId="3811" xr:uid="{00000000-0005-0000-0000-00001F0F0000}"/>
    <cellStyle name="40% - Ênfase6 2 11 3" xfId="3812" xr:uid="{00000000-0005-0000-0000-0000200F0000}"/>
    <cellStyle name="40% - Ênfase6 2 11 4" xfId="3813" xr:uid="{00000000-0005-0000-0000-0000210F0000}"/>
    <cellStyle name="40% - Ênfase6 2 11 5" xfId="3814" xr:uid="{00000000-0005-0000-0000-0000220F0000}"/>
    <cellStyle name="40% - Ênfase6 2 11 6" xfId="3815" xr:uid="{00000000-0005-0000-0000-0000230F0000}"/>
    <cellStyle name="40% - Ênfase6 2 11 7" xfId="3816" xr:uid="{00000000-0005-0000-0000-0000240F0000}"/>
    <cellStyle name="40% - Ênfase6 2 12" xfId="3817" xr:uid="{00000000-0005-0000-0000-0000250F0000}"/>
    <cellStyle name="40% - Ênfase6 2 13" xfId="3818" xr:uid="{00000000-0005-0000-0000-0000260F0000}"/>
    <cellStyle name="40% - Ênfase6 2 14" xfId="3819" xr:uid="{00000000-0005-0000-0000-0000270F0000}"/>
    <cellStyle name="40% - Ênfase6 2 15" xfId="3820" xr:uid="{00000000-0005-0000-0000-0000280F0000}"/>
    <cellStyle name="40% - Ênfase6 2 16" xfId="3821" xr:uid="{00000000-0005-0000-0000-0000290F0000}"/>
    <cellStyle name="40% - Ênfase6 2 17" xfId="3822" xr:uid="{00000000-0005-0000-0000-00002A0F0000}"/>
    <cellStyle name="40% - Ênfase6 2 18" xfId="3823" xr:uid="{00000000-0005-0000-0000-00002B0F0000}"/>
    <cellStyle name="40% - Ênfase6 2 19" xfId="3824" xr:uid="{00000000-0005-0000-0000-00002C0F0000}"/>
    <cellStyle name="40% - Ênfase6 2 2" xfId="3825" xr:uid="{00000000-0005-0000-0000-00002D0F0000}"/>
    <cellStyle name="40% - Ênfase6 2 20" xfId="3826" xr:uid="{00000000-0005-0000-0000-00002E0F0000}"/>
    <cellStyle name="40% - Ênfase6 2 21" xfId="3827" xr:uid="{00000000-0005-0000-0000-00002F0F0000}"/>
    <cellStyle name="40% - Ênfase6 2 22" xfId="3828" xr:uid="{00000000-0005-0000-0000-0000300F0000}"/>
    <cellStyle name="40% - Ênfase6 2 23" xfId="3829" xr:uid="{00000000-0005-0000-0000-0000310F0000}"/>
    <cellStyle name="40% - Ênfase6 2 24" xfId="3830" xr:uid="{00000000-0005-0000-0000-0000320F0000}"/>
    <cellStyle name="40% - Ênfase6 2 25" xfId="3831" xr:uid="{00000000-0005-0000-0000-0000330F0000}"/>
    <cellStyle name="40% - Ênfase6 2 26" xfId="3832" xr:uid="{00000000-0005-0000-0000-0000340F0000}"/>
    <cellStyle name="40% - Ênfase6 2 27" xfId="3833" xr:uid="{00000000-0005-0000-0000-0000350F0000}"/>
    <cellStyle name="40% - Ênfase6 2 28" xfId="3834" xr:uid="{00000000-0005-0000-0000-0000360F0000}"/>
    <cellStyle name="40% - Ênfase6 2 29" xfId="3835" xr:uid="{00000000-0005-0000-0000-0000370F0000}"/>
    <cellStyle name="40% - Ênfase6 2 3" xfId="3836" xr:uid="{00000000-0005-0000-0000-0000380F0000}"/>
    <cellStyle name="40% - Ênfase6 2 30" xfId="3837" xr:uid="{00000000-0005-0000-0000-0000390F0000}"/>
    <cellStyle name="40% - Ênfase6 2 31" xfId="3838" xr:uid="{00000000-0005-0000-0000-00003A0F0000}"/>
    <cellStyle name="40% - Ênfase6 2 32" xfId="3839" xr:uid="{00000000-0005-0000-0000-00003B0F0000}"/>
    <cellStyle name="40% - Ênfase6 2 33" xfId="3840" xr:uid="{00000000-0005-0000-0000-00003C0F0000}"/>
    <cellStyle name="40% - Ênfase6 2 34" xfId="3841" xr:uid="{00000000-0005-0000-0000-00003D0F0000}"/>
    <cellStyle name="40% - Ênfase6 2 35" xfId="3842" xr:uid="{00000000-0005-0000-0000-00003E0F0000}"/>
    <cellStyle name="40% - Ênfase6 2 4" xfId="3843" xr:uid="{00000000-0005-0000-0000-00003F0F0000}"/>
    <cellStyle name="40% - Ênfase6 2 5" xfId="3844" xr:uid="{00000000-0005-0000-0000-0000400F0000}"/>
    <cellStyle name="40% - Ênfase6 2 6" xfId="3845" xr:uid="{00000000-0005-0000-0000-0000410F0000}"/>
    <cellStyle name="40% - Ênfase6 2 7" xfId="3846" xr:uid="{00000000-0005-0000-0000-0000420F0000}"/>
    <cellStyle name="40% - Ênfase6 2 8" xfId="3847" xr:uid="{00000000-0005-0000-0000-0000430F0000}"/>
    <cellStyle name="40% - Ênfase6 2 8 2" xfId="3848" xr:uid="{00000000-0005-0000-0000-0000440F0000}"/>
    <cellStyle name="40% - Ênfase6 2 8 3" xfId="3849" xr:uid="{00000000-0005-0000-0000-0000450F0000}"/>
    <cellStyle name="40% - Ênfase6 2 8 4" xfId="3850" xr:uid="{00000000-0005-0000-0000-0000460F0000}"/>
    <cellStyle name="40% - Ênfase6 2 8 5" xfId="3851" xr:uid="{00000000-0005-0000-0000-0000470F0000}"/>
    <cellStyle name="40% - Ênfase6 2 8 6" xfId="3852" xr:uid="{00000000-0005-0000-0000-0000480F0000}"/>
    <cellStyle name="40% - Ênfase6 2 8 7" xfId="3853" xr:uid="{00000000-0005-0000-0000-0000490F0000}"/>
    <cellStyle name="40% - Ênfase6 2 9" xfId="3854" xr:uid="{00000000-0005-0000-0000-00004A0F0000}"/>
    <cellStyle name="40% - Ênfase6 2 9 2" xfId="3855" xr:uid="{00000000-0005-0000-0000-00004B0F0000}"/>
    <cellStyle name="40% - Ênfase6 2 9 3" xfId="3856" xr:uid="{00000000-0005-0000-0000-00004C0F0000}"/>
    <cellStyle name="40% - Ênfase6 2 9 4" xfId="3857" xr:uid="{00000000-0005-0000-0000-00004D0F0000}"/>
    <cellStyle name="40% - Ênfase6 2 9 5" xfId="3858" xr:uid="{00000000-0005-0000-0000-00004E0F0000}"/>
    <cellStyle name="40% - Ênfase6 2 9 6" xfId="3859" xr:uid="{00000000-0005-0000-0000-00004F0F0000}"/>
    <cellStyle name="40% - Ênfase6 2 9 7" xfId="3860" xr:uid="{00000000-0005-0000-0000-0000500F0000}"/>
    <cellStyle name="40% - Ênfase6 20" xfId="3861" xr:uid="{00000000-0005-0000-0000-0000510F0000}"/>
    <cellStyle name="40% - Ênfase6 20 2" xfId="3862" xr:uid="{00000000-0005-0000-0000-0000520F0000}"/>
    <cellStyle name="40% - Ênfase6 20 3" xfId="3863" xr:uid="{00000000-0005-0000-0000-0000530F0000}"/>
    <cellStyle name="40% - Ênfase6 21" xfId="3864" xr:uid="{00000000-0005-0000-0000-0000540F0000}"/>
    <cellStyle name="40% - Ênfase6 22" xfId="3865" xr:uid="{00000000-0005-0000-0000-0000550F0000}"/>
    <cellStyle name="40% - Ênfase6 23" xfId="3866" xr:uid="{00000000-0005-0000-0000-0000560F0000}"/>
    <cellStyle name="40% - Ênfase6 24" xfId="3867" xr:uid="{00000000-0005-0000-0000-0000570F0000}"/>
    <cellStyle name="40% - Ênfase6 24 2" xfId="40938" xr:uid="{00000000-0005-0000-0000-0000580F0000}"/>
    <cellStyle name="40% - Ênfase6 25" xfId="3868" xr:uid="{00000000-0005-0000-0000-0000590F0000}"/>
    <cellStyle name="40% - Ênfase6 25 2" xfId="40973" xr:uid="{00000000-0005-0000-0000-00005A0F0000}"/>
    <cellStyle name="40% - Ênfase6 26" xfId="3869" xr:uid="{00000000-0005-0000-0000-00005B0F0000}"/>
    <cellStyle name="40% - Ênfase6 26 10" xfId="3870" xr:uid="{00000000-0005-0000-0000-00005C0F0000}"/>
    <cellStyle name="40% - Ênfase6 26 11" xfId="3871" xr:uid="{00000000-0005-0000-0000-00005D0F0000}"/>
    <cellStyle name="40% - Ênfase6 26 12" xfId="3872" xr:uid="{00000000-0005-0000-0000-00005E0F0000}"/>
    <cellStyle name="40% - Ênfase6 26 13" xfId="3873" xr:uid="{00000000-0005-0000-0000-00005F0F0000}"/>
    <cellStyle name="40% - Ênfase6 26 14" xfId="3874" xr:uid="{00000000-0005-0000-0000-0000600F0000}"/>
    <cellStyle name="40% - Ênfase6 26 15" xfId="3875" xr:uid="{00000000-0005-0000-0000-0000610F0000}"/>
    <cellStyle name="40% - Ênfase6 26 16" xfId="3876" xr:uid="{00000000-0005-0000-0000-0000620F0000}"/>
    <cellStyle name="40% - Ênfase6 26 2" xfId="3877" xr:uid="{00000000-0005-0000-0000-0000630F0000}"/>
    <cellStyle name="40% - Ênfase6 26 3" xfId="3878" xr:uid="{00000000-0005-0000-0000-0000640F0000}"/>
    <cellStyle name="40% - Ênfase6 26 4" xfId="3879" xr:uid="{00000000-0005-0000-0000-0000650F0000}"/>
    <cellStyle name="40% - Ênfase6 26 5" xfId="3880" xr:uid="{00000000-0005-0000-0000-0000660F0000}"/>
    <cellStyle name="40% - Ênfase6 26 6" xfId="3881" xr:uid="{00000000-0005-0000-0000-0000670F0000}"/>
    <cellStyle name="40% - Ênfase6 26 7" xfId="3882" xr:uid="{00000000-0005-0000-0000-0000680F0000}"/>
    <cellStyle name="40% - Ênfase6 26 8" xfId="3883" xr:uid="{00000000-0005-0000-0000-0000690F0000}"/>
    <cellStyle name="40% - Ênfase6 26 9" xfId="3884" xr:uid="{00000000-0005-0000-0000-00006A0F0000}"/>
    <cellStyle name="40% - Ênfase6 27" xfId="3885" xr:uid="{00000000-0005-0000-0000-00006B0F0000}"/>
    <cellStyle name="40% - Ênfase6 27 10" xfId="3886" xr:uid="{00000000-0005-0000-0000-00006C0F0000}"/>
    <cellStyle name="40% - Ênfase6 27 11" xfId="3887" xr:uid="{00000000-0005-0000-0000-00006D0F0000}"/>
    <cellStyle name="40% - Ênfase6 27 12" xfId="3888" xr:uid="{00000000-0005-0000-0000-00006E0F0000}"/>
    <cellStyle name="40% - Ênfase6 27 13" xfId="3889" xr:uid="{00000000-0005-0000-0000-00006F0F0000}"/>
    <cellStyle name="40% - Ênfase6 27 14" xfId="3890" xr:uid="{00000000-0005-0000-0000-0000700F0000}"/>
    <cellStyle name="40% - Ênfase6 27 15" xfId="3891" xr:uid="{00000000-0005-0000-0000-0000710F0000}"/>
    <cellStyle name="40% - Ênfase6 27 16" xfId="3892" xr:uid="{00000000-0005-0000-0000-0000720F0000}"/>
    <cellStyle name="40% - Ênfase6 27 2" xfId="3893" xr:uid="{00000000-0005-0000-0000-0000730F0000}"/>
    <cellStyle name="40% - Ênfase6 27 3" xfId="3894" xr:uid="{00000000-0005-0000-0000-0000740F0000}"/>
    <cellStyle name="40% - Ênfase6 27 4" xfId="3895" xr:uid="{00000000-0005-0000-0000-0000750F0000}"/>
    <cellStyle name="40% - Ênfase6 27 5" xfId="3896" xr:uid="{00000000-0005-0000-0000-0000760F0000}"/>
    <cellStyle name="40% - Ênfase6 27 6" xfId="3897" xr:uid="{00000000-0005-0000-0000-0000770F0000}"/>
    <cellStyle name="40% - Ênfase6 27 7" xfId="3898" xr:uid="{00000000-0005-0000-0000-0000780F0000}"/>
    <cellStyle name="40% - Ênfase6 27 8" xfId="3899" xr:uid="{00000000-0005-0000-0000-0000790F0000}"/>
    <cellStyle name="40% - Ênfase6 27 9" xfId="3900" xr:uid="{00000000-0005-0000-0000-00007A0F0000}"/>
    <cellStyle name="40% - Ênfase6 28" xfId="3901" xr:uid="{00000000-0005-0000-0000-00007B0F0000}"/>
    <cellStyle name="40% - Ênfase6 28 10" xfId="3902" xr:uid="{00000000-0005-0000-0000-00007C0F0000}"/>
    <cellStyle name="40% - Ênfase6 28 11" xfId="3903" xr:uid="{00000000-0005-0000-0000-00007D0F0000}"/>
    <cellStyle name="40% - Ênfase6 28 12" xfId="3904" xr:uid="{00000000-0005-0000-0000-00007E0F0000}"/>
    <cellStyle name="40% - Ênfase6 28 13" xfId="3905" xr:uid="{00000000-0005-0000-0000-00007F0F0000}"/>
    <cellStyle name="40% - Ênfase6 28 14" xfId="3906" xr:uid="{00000000-0005-0000-0000-0000800F0000}"/>
    <cellStyle name="40% - Ênfase6 28 15" xfId="3907" xr:uid="{00000000-0005-0000-0000-0000810F0000}"/>
    <cellStyle name="40% - Ênfase6 28 16" xfId="3908" xr:uid="{00000000-0005-0000-0000-0000820F0000}"/>
    <cellStyle name="40% - Ênfase6 28 2" xfId="3909" xr:uid="{00000000-0005-0000-0000-0000830F0000}"/>
    <cellStyle name="40% - Ênfase6 28 3" xfId="3910" xr:uid="{00000000-0005-0000-0000-0000840F0000}"/>
    <cellStyle name="40% - Ênfase6 28 4" xfId="3911" xr:uid="{00000000-0005-0000-0000-0000850F0000}"/>
    <cellStyle name="40% - Ênfase6 28 5" xfId="3912" xr:uid="{00000000-0005-0000-0000-0000860F0000}"/>
    <cellStyle name="40% - Ênfase6 28 6" xfId="3913" xr:uid="{00000000-0005-0000-0000-0000870F0000}"/>
    <cellStyle name="40% - Ênfase6 28 7" xfId="3914" xr:uid="{00000000-0005-0000-0000-0000880F0000}"/>
    <cellStyle name="40% - Ênfase6 28 8" xfId="3915" xr:uid="{00000000-0005-0000-0000-0000890F0000}"/>
    <cellStyle name="40% - Ênfase6 28 9" xfId="3916" xr:uid="{00000000-0005-0000-0000-00008A0F0000}"/>
    <cellStyle name="40% - Ênfase6 29" xfId="3917" xr:uid="{00000000-0005-0000-0000-00008B0F0000}"/>
    <cellStyle name="40% - Ênfase6 29 10" xfId="3918" xr:uid="{00000000-0005-0000-0000-00008C0F0000}"/>
    <cellStyle name="40% - Ênfase6 29 11" xfId="3919" xr:uid="{00000000-0005-0000-0000-00008D0F0000}"/>
    <cellStyle name="40% - Ênfase6 29 12" xfId="3920" xr:uid="{00000000-0005-0000-0000-00008E0F0000}"/>
    <cellStyle name="40% - Ênfase6 29 13" xfId="3921" xr:uid="{00000000-0005-0000-0000-00008F0F0000}"/>
    <cellStyle name="40% - Ênfase6 29 14" xfId="3922" xr:uid="{00000000-0005-0000-0000-0000900F0000}"/>
    <cellStyle name="40% - Ênfase6 29 15" xfId="3923" xr:uid="{00000000-0005-0000-0000-0000910F0000}"/>
    <cellStyle name="40% - Ênfase6 29 16" xfId="3924" xr:uid="{00000000-0005-0000-0000-0000920F0000}"/>
    <cellStyle name="40% - Ênfase6 29 2" xfId="3925" xr:uid="{00000000-0005-0000-0000-0000930F0000}"/>
    <cellStyle name="40% - Ênfase6 29 3" xfId="3926" xr:uid="{00000000-0005-0000-0000-0000940F0000}"/>
    <cellStyle name="40% - Ênfase6 29 4" xfId="3927" xr:uid="{00000000-0005-0000-0000-0000950F0000}"/>
    <cellStyle name="40% - Ênfase6 29 5" xfId="3928" xr:uid="{00000000-0005-0000-0000-0000960F0000}"/>
    <cellStyle name="40% - Ênfase6 29 6" xfId="3929" xr:uid="{00000000-0005-0000-0000-0000970F0000}"/>
    <cellStyle name="40% - Ênfase6 29 7" xfId="3930" xr:uid="{00000000-0005-0000-0000-0000980F0000}"/>
    <cellStyle name="40% - Ênfase6 29 8" xfId="3931" xr:uid="{00000000-0005-0000-0000-0000990F0000}"/>
    <cellStyle name="40% - Ênfase6 29 9" xfId="3932" xr:uid="{00000000-0005-0000-0000-00009A0F0000}"/>
    <cellStyle name="40% - Ênfase6 3" xfId="3933" xr:uid="{00000000-0005-0000-0000-00009B0F0000}"/>
    <cellStyle name="40% - Ênfase6 3 10" xfId="3934" xr:uid="{00000000-0005-0000-0000-00009C0F0000}"/>
    <cellStyle name="40% - Ênfase6 3 11" xfId="3935" xr:uid="{00000000-0005-0000-0000-00009D0F0000}"/>
    <cellStyle name="40% - Ênfase6 3 2" xfId="3936" xr:uid="{00000000-0005-0000-0000-00009E0F0000}"/>
    <cellStyle name="40% - Ênfase6 3 3" xfId="3937" xr:uid="{00000000-0005-0000-0000-00009F0F0000}"/>
    <cellStyle name="40% - Ênfase6 3 4" xfId="3938" xr:uid="{00000000-0005-0000-0000-0000A00F0000}"/>
    <cellStyle name="40% - Ênfase6 3 5" xfId="3939" xr:uid="{00000000-0005-0000-0000-0000A10F0000}"/>
    <cellStyle name="40% - Ênfase6 3 6" xfId="3940" xr:uid="{00000000-0005-0000-0000-0000A20F0000}"/>
    <cellStyle name="40% - Ênfase6 3 7" xfId="3941" xr:uid="{00000000-0005-0000-0000-0000A30F0000}"/>
    <cellStyle name="40% - Ênfase6 3 8" xfId="3942" xr:uid="{00000000-0005-0000-0000-0000A40F0000}"/>
    <cellStyle name="40% - Ênfase6 3 9" xfId="3943" xr:uid="{00000000-0005-0000-0000-0000A50F0000}"/>
    <cellStyle name="40% - Ênfase6 30" xfId="3944" xr:uid="{00000000-0005-0000-0000-0000A60F0000}"/>
    <cellStyle name="40% - Ênfase6 31" xfId="3945" xr:uid="{00000000-0005-0000-0000-0000A70F0000}"/>
    <cellStyle name="40% - Ênfase6 32" xfId="3946" xr:uid="{00000000-0005-0000-0000-0000A80F0000}"/>
    <cellStyle name="40% - Ênfase6 33" xfId="3947" xr:uid="{00000000-0005-0000-0000-0000A90F0000}"/>
    <cellStyle name="40% - Ênfase6 34" xfId="3948" xr:uid="{00000000-0005-0000-0000-0000AA0F0000}"/>
    <cellStyle name="40% - Ênfase6 35" xfId="3949" xr:uid="{00000000-0005-0000-0000-0000AB0F0000}"/>
    <cellStyle name="40% - Ênfase6 36" xfId="3950" xr:uid="{00000000-0005-0000-0000-0000AC0F0000}"/>
    <cellStyle name="40% - Ênfase6 37" xfId="3951" xr:uid="{00000000-0005-0000-0000-0000AD0F0000}"/>
    <cellStyle name="40% - Ênfase6 38" xfId="3952" xr:uid="{00000000-0005-0000-0000-0000AE0F0000}"/>
    <cellStyle name="40% - Ênfase6 39" xfId="3953" xr:uid="{00000000-0005-0000-0000-0000AF0F0000}"/>
    <cellStyle name="40% - Ênfase6 4" xfId="3954" xr:uid="{00000000-0005-0000-0000-0000B00F0000}"/>
    <cellStyle name="40% - Ênfase6 4 10" xfId="3955" xr:uid="{00000000-0005-0000-0000-0000B10F0000}"/>
    <cellStyle name="40% - Ênfase6 4 11" xfId="3956" xr:uid="{00000000-0005-0000-0000-0000B20F0000}"/>
    <cellStyle name="40% - Ênfase6 4 2" xfId="3957" xr:uid="{00000000-0005-0000-0000-0000B30F0000}"/>
    <cellStyle name="40% - Ênfase6 4 3" xfId="3958" xr:uid="{00000000-0005-0000-0000-0000B40F0000}"/>
    <cellStyle name="40% - Ênfase6 4 4" xfId="3959" xr:uid="{00000000-0005-0000-0000-0000B50F0000}"/>
    <cellStyle name="40% - Ênfase6 4 5" xfId="3960" xr:uid="{00000000-0005-0000-0000-0000B60F0000}"/>
    <cellStyle name="40% - Ênfase6 4 6" xfId="3961" xr:uid="{00000000-0005-0000-0000-0000B70F0000}"/>
    <cellStyle name="40% - Ênfase6 4 7" xfId="3962" xr:uid="{00000000-0005-0000-0000-0000B80F0000}"/>
    <cellStyle name="40% - Ênfase6 4 8" xfId="3963" xr:uid="{00000000-0005-0000-0000-0000B90F0000}"/>
    <cellStyle name="40% - Ênfase6 4 9" xfId="3964" xr:uid="{00000000-0005-0000-0000-0000BA0F0000}"/>
    <cellStyle name="40% - Ênfase6 40" xfId="3965" xr:uid="{00000000-0005-0000-0000-0000BB0F0000}"/>
    <cellStyle name="40% - Ênfase6 41" xfId="3966" xr:uid="{00000000-0005-0000-0000-0000BC0F0000}"/>
    <cellStyle name="40% - Ênfase6 42" xfId="3967" xr:uid="{00000000-0005-0000-0000-0000BD0F0000}"/>
    <cellStyle name="40% - Ênfase6 43" xfId="3968" xr:uid="{00000000-0005-0000-0000-0000BE0F0000}"/>
    <cellStyle name="40% - Ênfase6 44" xfId="3969" xr:uid="{00000000-0005-0000-0000-0000BF0F0000}"/>
    <cellStyle name="40% - Ênfase6 45" xfId="3970" xr:uid="{00000000-0005-0000-0000-0000C00F0000}"/>
    <cellStyle name="40% - Ênfase6 46" xfId="3971" xr:uid="{00000000-0005-0000-0000-0000C10F0000}"/>
    <cellStyle name="40% - Ênfase6 47" xfId="3972" xr:uid="{00000000-0005-0000-0000-0000C20F0000}"/>
    <cellStyle name="40% - Ênfase6 48" xfId="3973" xr:uid="{00000000-0005-0000-0000-0000C30F0000}"/>
    <cellStyle name="40% - Ênfase6 49" xfId="3974" xr:uid="{00000000-0005-0000-0000-0000C40F0000}"/>
    <cellStyle name="40% - Ênfase6 5" xfId="3975" xr:uid="{00000000-0005-0000-0000-0000C50F0000}"/>
    <cellStyle name="40% - Ênfase6 5 2" xfId="3976" xr:uid="{00000000-0005-0000-0000-0000C60F0000}"/>
    <cellStyle name="40% - Ênfase6 5 3" xfId="3977" xr:uid="{00000000-0005-0000-0000-0000C70F0000}"/>
    <cellStyle name="40% - Ênfase6 5 4" xfId="3978" xr:uid="{00000000-0005-0000-0000-0000C80F0000}"/>
    <cellStyle name="40% - Ênfase6 50" xfId="3979" xr:uid="{00000000-0005-0000-0000-0000C90F0000}"/>
    <cellStyle name="40% - Ênfase6 51" xfId="3980" xr:uid="{00000000-0005-0000-0000-0000CA0F0000}"/>
    <cellStyle name="40% - Ênfase6 52" xfId="3981" xr:uid="{00000000-0005-0000-0000-0000CB0F0000}"/>
    <cellStyle name="40% - Ênfase6 53" xfId="3982" xr:uid="{00000000-0005-0000-0000-0000CC0F0000}"/>
    <cellStyle name="40% - Ênfase6 54" xfId="3983" xr:uid="{00000000-0005-0000-0000-0000CD0F0000}"/>
    <cellStyle name="40% - Ênfase6 55" xfId="3984" xr:uid="{00000000-0005-0000-0000-0000CE0F0000}"/>
    <cellStyle name="40% - Ênfase6 56" xfId="3985" xr:uid="{00000000-0005-0000-0000-0000CF0F0000}"/>
    <cellStyle name="40% - Ênfase6 57" xfId="3986" xr:uid="{00000000-0005-0000-0000-0000D00F0000}"/>
    <cellStyle name="40% - Ênfase6 58" xfId="3987" xr:uid="{00000000-0005-0000-0000-0000D10F0000}"/>
    <cellStyle name="40% - Ênfase6 59" xfId="3988" xr:uid="{00000000-0005-0000-0000-0000D20F0000}"/>
    <cellStyle name="40% - Ênfase6 6" xfId="3989" xr:uid="{00000000-0005-0000-0000-0000D30F0000}"/>
    <cellStyle name="40% - Ênfase6 6 2" xfId="3990" xr:uid="{00000000-0005-0000-0000-0000D40F0000}"/>
    <cellStyle name="40% - Ênfase6 6 3" xfId="3991" xr:uid="{00000000-0005-0000-0000-0000D50F0000}"/>
    <cellStyle name="40% - Ênfase6 6 4" xfId="3992" xr:uid="{00000000-0005-0000-0000-0000D60F0000}"/>
    <cellStyle name="40% - Ênfase6 60" xfId="3993" xr:uid="{00000000-0005-0000-0000-0000D70F0000}"/>
    <cellStyle name="40% - Ênfase6 61" xfId="3994" xr:uid="{00000000-0005-0000-0000-0000D80F0000}"/>
    <cellStyle name="40% - Ênfase6 62" xfId="3995" xr:uid="{00000000-0005-0000-0000-0000D90F0000}"/>
    <cellStyle name="40% - Ênfase6 63" xfId="3996" xr:uid="{00000000-0005-0000-0000-0000DA0F0000}"/>
    <cellStyle name="40% - Ênfase6 64" xfId="3997" xr:uid="{00000000-0005-0000-0000-0000DB0F0000}"/>
    <cellStyle name="40% - Ênfase6 65" xfId="3998" xr:uid="{00000000-0005-0000-0000-0000DC0F0000}"/>
    <cellStyle name="40% - Ênfase6 66" xfId="3999" xr:uid="{00000000-0005-0000-0000-0000DD0F0000}"/>
    <cellStyle name="40% - Ênfase6 67" xfId="4000" xr:uid="{00000000-0005-0000-0000-0000DE0F0000}"/>
    <cellStyle name="40% - Ênfase6 68" xfId="4001" xr:uid="{00000000-0005-0000-0000-0000DF0F0000}"/>
    <cellStyle name="40% - Ênfase6 69" xfId="4002" xr:uid="{00000000-0005-0000-0000-0000E00F0000}"/>
    <cellStyle name="40% - Ênfase6 7" xfId="4003" xr:uid="{00000000-0005-0000-0000-0000E10F0000}"/>
    <cellStyle name="40% - Ênfase6 7 2" xfId="4004" xr:uid="{00000000-0005-0000-0000-0000E20F0000}"/>
    <cellStyle name="40% - Ênfase6 7 3" xfId="4005" xr:uid="{00000000-0005-0000-0000-0000E30F0000}"/>
    <cellStyle name="40% - Ênfase6 7 4" xfId="4006" xr:uid="{00000000-0005-0000-0000-0000E40F0000}"/>
    <cellStyle name="40% - Ênfase6 70" xfId="4007" xr:uid="{00000000-0005-0000-0000-0000E50F0000}"/>
    <cellStyle name="40% - Ênfase6 71" xfId="4008" xr:uid="{00000000-0005-0000-0000-0000E60F0000}"/>
    <cellStyle name="40% - Ênfase6 72" xfId="4009" xr:uid="{00000000-0005-0000-0000-0000E70F0000}"/>
    <cellStyle name="40% - Ênfase6 73" xfId="4010" xr:uid="{00000000-0005-0000-0000-0000E80F0000}"/>
    <cellStyle name="40% - Ênfase6 74" xfId="4011" xr:uid="{00000000-0005-0000-0000-0000E90F0000}"/>
    <cellStyle name="40% - Ênfase6 75" xfId="4012" xr:uid="{00000000-0005-0000-0000-0000EA0F0000}"/>
    <cellStyle name="40% - Ênfase6 76" xfId="4013" xr:uid="{00000000-0005-0000-0000-0000EB0F0000}"/>
    <cellStyle name="40% - Ênfase6 77" xfId="4014" xr:uid="{00000000-0005-0000-0000-0000EC0F0000}"/>
    <cellStyle name="40% - Ênfase6 78" xfId="4015" xr:uid="{00000000-0005-0000-0000-0000ED0F0000}"/>
    <cellStyle name="40% - Ênfase6 79" xfId="4016" xr:uid="{00000000-0005-0000-0000-0000EE0F0000}"/>
    <cellStyle name="40% - Ênfase6 8" xfId="4017" xr:uid="{00000000-0005-0000-0000-0000EF0F0000}"/>
    <cellStyle name="40% - Ênfase6 8 2" xfId="4018" xr:uid="{00000000-0005-0000-0000-0000F00F0000}"/>
    <cellStyle name="40% - Ênfase6 8 3" xfId="4019" xr:uid="{00000000-0005-0000-0000-0000F10F0000}"/>
    <cellStyle name="40% - Ênfase6 8 4" xfId="4020" xr:uid="{00000000-0005-0000-0000-0000F20F0000}"/>
    <cellStyle name="40% - Ênfase6 80" xfId="4021" xr:uid="{00000000-0005-0000-0000-0000F30F0000}"/>
    <cellStyle name="40% - Ênfase6 81" xfId="4022" xr:uid="{00000000-0005-0000-0000-0000F40F0000}"/>
    <cellStyle name="40% - Ênfase6 82" xfId="4023" xr:uid="{00000000-0005-0000-0000-0000F50F0000}"/>
    <cellStyle name="40% - Ênfase6 83" xfId="4024" xr:uid="{00000000-0005-0000-0000-0000F60F0000}"/>
    <cellStyle name="40% - Ênfase6 84" xfId="4025" xr:uid="{00000000-0005-0000-0000-0000F70F0000}"/>
    <cellStyle name="40% - Ênfase6 85" xfId="4026" xr:uid="{00000000-0005-0000-0000-0000F80F0000}"/>
    <cellStyle name="40% - Ênfase6 86" xfId="4027" xr:uid="{00000000-0005-0000-0000-0000F90F0000}"/>
    <cellStyle name="40% - Ênfase6 87" xfId="4028" xr:uid="{00000000-0005-0000-0000-0000FA0F0000}"/>
    <cellStyle name="40% - Ênfase6 88" xfId="4029" xr:uid="{00000000-0005-0000-0000-0000FB0F0000}"/>
    <cellStyle name="40% - Ênfase6 89" xfId="4030" xr:uid="{00000000-0005-0000-0000-0000FC0F0000}"/>
    <cellStyle name="40% - Ênfase6 9" xfId="4031" xr:uid="{00000000-0005-0000-0000-0000FD0F0000}"/>
    <cellStyle name="40% - Ênfase6 90" xfId="4032" xr:uid="{00000000-0005-0000-0000-0000FE0F0000}"/>
    <cellStyle name="40% - Ênfase6 91" xfId="4033" xr:uid="{00000000-0005-0000-0000-0000FF0F0000}"/>
    <cellStyle name="40% - Ênfase6 92" xfId="4034" xr:uid="{00000000-0005-0000-0000-000000100000}"/>
    <cellStyle name="40% - Ênfase6 93" xfId="4035" xr:uid="{00000000-0005-0000-0000-000001100000}"/>
    <cellStyle name="40% - Ênfase6 94" xfId="4036" xr:uid="{00000000-0005-0000-0000-000002100000}"/>
    <cellStyle name="40% - Ênfase6 95" xfId="4037" xr:uid="{00000000-0005-0000-0000-000003100000}"/>
    <cellStyle name="40% - Ênfase6 96" xfId="4038" xr:uid="{00000000-0005-0000-0000-000004100000}"/>
    <cellStyle name="40% - Ênfase6 97" xfId="4039" xr:uid="{00000000-0005-0000-0000-000005100000}"/>
    <cellStyle name="40% - Ênfase6 98" xfId="4040" xr:uid="{00000000-0005-0000-0000-000006100000}"/>
    <cellStyle name="40% - Ênfase6 99" xfId="4041" xr:uid="{00000000-0005-0000-0000-000007100000}"/>
    <cellStyle name="60% - Ênfase1 10" xfId="4042" xr:uid="{00000000-0005-0000-0000-000008100000}"/>
    <cellStyle name="60% - Ênfase1 10 2" xfId="40506" xr:uid="{00000000-0005-0000-0000-000009100000}"/>
    <cellStyle name="60% - Ênfase1 100" xfId="4043" xr:uid="{00000000-0005-0000-0000-00000A100000}"/>
    <cellStyle name="60% - Ênfase1 101" xfId="4044" xr:uid="{00000000-0005-0000-0000-00000B100000}"/>
    <cellStyle name="60% - Ênfase1 102" xfId="4045" xr:uid="{00000000-0005-0000-0000-00000C100000}"/>
    <cellStyle name="60% - Ênfase1 103" xfId="4046" xr:uid="{00000000-0005-0000-0000-00000D100000}"/>
    <cellStyle name="60% - Ênfase1 104" xfId="4047" xr:uid="{00000000-0005-0000-0000-00000E100000}"/>
    <cellStyle name="60% - Ênfase1 105" xfId="4048" xr:uid="{00000000-0005-0000-0000-00000F100000}"/>
    <cellStyle name="60% - Ênfase1 106" xfId="4049" xr:uid="{00000000-0005-0000-0000-000010100000}"/>
    <cellStyle name="60% - Ênfase1 107" xfId="4050" xr:uid="{00000000-0005-0000-0000-000011100000}"/>
    <cellStyle name="60% - Ênfase1 108" xfId="4051" xr:uid="{00000000-0005-0000-0000-000012100000}"/>
    <cellStyle name="60% - Ênfase1 109" xfId="4052" xr:uid="{00000000-0005-0000-0000-000013100000}"/>
    <cellStyle name="60% - Ênfase1 11" xfId="4053" xr:uid="{00000000-0005-0000-0000-000014100000}"/>
    <cellStyle name="60% - Ênfase1 11 2" xfId="40507" xr:uid="{00000000-0005-0000-0000-000015100000}"/>
    <cellStyle name="60% - Ênfase1 110" xfId="4054" xr:uid="{00000000-0005-0000-0000-000016100000}"/>
    <cellStyle name="60% - Ênfase1 111" xfId="4055" xr:uid="{00000000-0005-0000-0000-000017100000}"/>
    <cellStyle name="60% - Ênfase1 112" xfId="4056" xr:uid="{00000000-0005-0000-0000-000018100000}"/>
    <cellStyle name="60% - Ênfase1 113" xfId="4057" xr:uid="{00000000-0005-0000-0000-000019100000}"/>
    <cellStyle name="60% - Ênfase1 114" xfId="4058" xr:uid="{00000000-0005-0000-0000-00001A100000}"/>
    <cellStyle name="60% - Ênfase1 115" xfId="4059" xr:uid="{00000000-0005-0000-0000-00001B100000}"/>
    <cellStyle name="60% - Ênfase1 116" xfId="4060" xr:uid="{00000000-0005-0000-0000-00001C100000}"/>
    <cellStyle name="60% - Ênfase1 117" xfId="4061" xr:uid="{00000000-0005-0000-0000-00001D100000}"/>
    <cellStyle name="60% - Ênfase1 118" xfId="4062" xr:uid="{00000000-0005-0000-0000-00001E100000}"/>
    <cellStyle name="60% - Ênfase1 119" xfId="4063" xr:uid="{00000000-0005-0000-0000-00001F100000}"/>
    <cellStyle name="60% - Ênfase1 12" xfId="4064" xr:uid="{00000000-0005-0000-0000-000020100000}"/>
    <cellStyle name="60% - Ênfase1 12 2" xfId="40508" xr:uid="{00000000-0005-0000-0000-000021100000}"/>
    <cellStyle name="60% - Ênfase1 120" xfId="4065" xr:uid="{00000000-0005-0000-0000-000022100000}"/>
    <cellStyle name="60% - Ênfase1 121" xfId="4066" xr:uid="{00000000-0005-0000-0000-000023100000}"/>
    <cellStyle name="60% - Ênfase1 122" xfId="4067" xr:uid="{00000000-0005-0000-0000-000024100000}"/>
    <cellStyle name="60% - Ênfase1 123" xfId="4068" xr:uid="{00000000-0005-0000-0000-000025100000}"/>
    <cellStyle name="60% - Ênfase1 124" xfId="4069" xr:uid="{00000000-0005-0000-0000-000026100000}"/>
    <cellStyle name="60% - Ênfase1 125" xfId="4070" xr:uid="{00000000-0005-0000-0000-000027100000}"/>
    <cellStyle name="60% - Ênfase1 126" xfId="4071" xr:uid="{00000000-0005-0000-0000-000028100000}"/>
    <cellStyle name="60% - Ênfase1 127" xfId="4072" xr:uid="{00000000-0005-0000-0000-000029100000}"/>
    <cellStyle name="60% - Ênfase1 128" xfId="4073" xr:uid="{00000000-0005-0000-0000-00002A100000}"/>
    <cellStyle name="60% - Ênfase1 129" xfId="4074" xr:uid="{00000000-0005-0000-0000-00002B100000}"/>
    <cellStyle name="60% - Ênfase1 13" xfId="4075" xr:uid="{00000000-0005-0000-0000-00002C100000}"/>
    <cellStyle name="60% - Ênfase1 13 2" xfId="40509" xr:uid="{00000000-0005-0000-0000-00002D100000}"/>
    <cellStyle name="60% - Ênfase1 130" xfId="4076" xr:uid="{00000000-0005-0000-0000-00002E100000}"/>
    <cellStyle name="60% - Ênfase1 131" xfId="4077" xr:uid="{00000000-0005-0000-0000-00002F100000}"/>
    <cellStyle name="60% - Ênfase1 132" xfId="4078" xr:uid="{00000000-0005-0000-0000-000030100000}"/>
    <cellStyle name="60% - Ênfase1 133" xfId="4079" xr:uid="{00000000-0005-0000-0000-000031100000}"/>
    <cellStyle name="60% - Ênfase1 134" xfId="4080" xr:uid="{00000000-0005-0000-0000-000032100000}"/>
    <cellStyle name="60% - Ênfase1 135" xfId="4081" xr:uid="{00000000-0005-0000-0000-000033100000}"/>
    <cellStyle name="60% - Ênfase1 136" xfId="4082" xr:uid="{00000000-0005-0000-0000-000034100000}"/>
    <cellStyle name="60% - Ênfase1 137" xfId="4083" xr:uid="{00000000-0005-0000-0000-000035100000}"/>
    <cellStyle name="60% - Ênfase1 138" xfId="4084" xr:uid="{00000000-0005-0000-0000-000036100000}"/>
    <cellStyle name="60% - Ênfase1 139" xfId="4085" xr:uid="{00000000-0005-0000-0000-000037100000}"/>
    <cellStyle name="60% - Ênfase1 14" xfId="4086" xr:uid="{00000000-0005-0000-0000-000038100000}"/>
    <cellStyle name="60% - Ênfase1 140" xfId="4087" xr:uid="{00000000-0005-0000-0000-000039100000}"/>
    <cellStyle name="60% - Ênfase1 141" xfId="4088" xr:uid="{00000000-0005-0000-0000-00003A100000}"/>
    <cellStyle name="60% - Ênfase1 142" xfId="4089" xr:uid="{00000000-0005-0000-0000-00003B100000}"/>
    <cellStyle name="60% - Ênfase1 143" xfId="4090" xr:uid="{00000000-0005-0000-0000-00003C100000}"/>
    <cellStyle name="60% - Ênfase1 144" xfId="4091" xr:uid="{00000000-0005-0000-0000-00003D100000}"/>
    <cellStyle name="60% - Ênfase1 145" xfId="4092" xr:uid="{00000000-0005-0000-0000-00003E100000}"/>
    <cellStyle name="60% - Ênfase1 146" xfId="4093" xr:uid="{00000000-0005-0000-0000-00003F100000}"/>
    <cellStyle name="60% - Ênfase1 147" xfId="4094" xr:uid="{00000000-0005-0000-0000-000040100000}"/>
    <cellStyle name="60% - Ênfase1 148" xfId="4095" xr:uid="{00000000-0005-0000-0000-000041100000}"/>
    <cellStyle name="60% - Ênfase1 149" xfId="4096" xr:uid="{00000000-0005-0000-0000-000042100000}"/>
    <cellStyle name="60% - Ênfase1 15" xfId="4097" xr:uid="{00000000-0005-0000-0000-000043100000}"/>
    <cellStyle name="60% - Ênfase1 15 2" xfId="4098" xr:uid="{00000000-0005-0000-0000-000044100000}"/>
    <cellStyle name="60% - Ênfase1 15 3" xfId="4099" xr:uid="{00000000-0005-0000-0000-000045100000}"/>
    <cellStyle name="60% - Ênfase1 150" xfId="4100" xr:uid="{00000000-0005-0000-0000-000046100000}"/>
    <cellStyle name="60% - Ênfase1 151" xfId="4101" xr:uid="{00000000-0005-0000-0000-000047100000}"/>
    <cellStyle name="60% - Ênfase1 152" xfId="4102" xr:uid="{00000000-0005-0000-0000-000048100000}"/>
    <cellStyle name="60% - Ênfase1 153" xfId="4103" xr:uid="{00000000-0005-0000-0000-000049100000}"/>
    <cellStyle name="60% - Ênfase1 154" xfId="4104" xr:uid="{00000000-0005-0000-0000-00004A100000}"/>
    <cellStyle name="60% - Ênfase1 155" xfId="4105" xr:uid="{00000000-0005-0000-0000-00004B100000}"/>
    <cellStyle name="60% - Ênfase1 156" xfId="4106" xr:uid="{00000000-0005-0000-0000-00004C100000}"/>
    <cellStyle name="60% - Ênfase1 157" xfId="4107" xr:uid="{00000000-0005-0000-0000-00004D100000}"/>
    <cellStyle name="60% - Ênfase1 158" xfId="4108" xr:uid="{00000000-0005-0000-0000-00004E100000}"/>
    <cellStyle name="60% - Ênfase1 159" xfId="4109" xr:uid="{00000000-0005-0000-0000-00004F100000}"/>
    <cellStyle name="60% - Ênfase1 16" xfId="4110" xr:uid="{00000000-0005-0000-0000-000050100000}"/>
    <cellStyle name="60% - Ênfase1 16 2" xfId="4111" xr:uid="{00000000-0005-0000-0000-000051100000}"/>
    <cellStyle name="60% - Ênfase1 16 3" xfId="4112" xr:uid="{00000000-0005-0000-0000-000052100000}"/>
    <cellStyle name="60% - Ênfase1 160" xfId="4113" xr:uid="{00000000-0005-0000-0000-000053100000}"/>
    <cellStyle name="60% - Ênfase1 161" xfId="4114" xr:uid="{00000000-0005-0000-0000-000054100000}"/>
    <cellStyle name="60% - Ênfase1 162" xfId="4115" xr:uid="{00000000-0005-0000-0000-000055100000}"/>
    <cellStyle name="60% - Ênfase1 163" xfId="4116" xr:uid="{00000000-0005-0000-0000-000056100000}"/>
    <cellStyle name="60% - Ênfase1 164" xfId="4117" xr:uid="{00000000-0005-0000-0000-000057100000}"/>
    <cellStyle name="60% - Ênfase1 165" xfId="4118" xr:uid="{00000000-0005-0000-0000-000058100000}"/>
    <cellStyle name="60% - Ênfase1 166" xfId="4119" xr:uid="{00000000-0005-0000-0000-000059100000}"/>
    <cellStyle name="60% - Ênfase1 167" xfId="4120" xr:uid="{00000000-0005-0000-0000-00005A100000}"/>
    <cellStyle name="60% - Ênfase1 168" xfId="4121" xr:uid="{00000000-0005-0000-0000-00005B100000}"/>
    <cellStyle name="60% - Ênfase1 169" xfId="4122" xr:uid="{00000000-0005-0000-0000-00005C100000}"/>
    <cellStyle name="60% - Ênfase1 17" xfId="4123" xr:uid="{00000000-0005-0000-0000-00005D100000}"/>
    <cellStyle name="60% - Ênfase1 17 2" xfId="4124" xr:uid="{00000000-0005-0000-0000-00005E100000}"/>
    <cellStyle name="60% - Ênfase1 17 3" xfId="4125" xr:uid="{00000000-0005-0000-0000-00005F100000}"/>
    <cellStyle name="60% - Ênfase1 170" xfId="4126" xr:uid="{00000000-0005-0000-0000-000060100000}"/>
    <cellStyle name="60% - Ênfase1 171" xfId="4127" xr:uid="{00000000-0005-0000-0000-000061100000}"/>
    <cellStyle name="60% - Ênfase1 172" xfId="4128" xr:uid="{00000000-0005-0000-0000-000062100000}"/>
    <cellStyle name="60% - Ênfase1 173" xfId="4129" xr:uid="{00000000-0005-0000-0000-000063100000}"/>
    <cellStyle name="60% - Ênfase1 174" xfId="4130" xr:uid="{00000000-0005-0000-0000-000064100000}"/>
    <cellStyle name="60% - Ênfase1 175" xfId="4131" xr:uid="{00000000-0005-0000-0000-000065100000}"/>
    <cellStyle name="60% - Ênfase1 176" xfId="4132" xr:uid="{00000000-0005-0000-0000-000066100000}"/>
    <cellStyle name="60% - Ênfase1 177" xfId="4133" xr:uid="{00000000-0005-0000-0000-000067100000}"/>
    <cellStyle name="60% - Ênfase1 178" xfId="4134" xr:uid="{00000000-0005-0000-0000-000068100000}"/>
    <cellStyle name="60% - Ênfase1 179" xfId="4135" xr:uid="{00000000-0005-0000-0000-000069100000}"/>
    <cellStyle name="60% - Ênfase1 18" xfId="4136" xr:uid="{00000000-0005-0000-0000-00006A100000}"/>
    <cellStyle name="60% - Ênfase1 18 2" xfId="4137" xr:uid="{00000000-0005-0000-0000-00006B100000}"/>
    <cellStyle name="60% - Ênfase1 18 3" xfId="4138" xr:uid="{00000000-0005-0000-0000-00006C100000}"/>
    <cellStyle name="60% - Ênfase1 180" xfId="4139" xr:uid="{00000000-0005-0000-0000-00006D100000}"/>
    <cellStyle name="60% - Ênfase1 181" xfId="4140" xr:uid="{00000000-0005-0000-0000-00006E100000}"/>
    <cellStyle name="60% - Ênfase1 182" xfId="4141" xr:uid="{00000000-0005-0000-0000-00006F100000}"/>
    <cellStyle name="60% - Ênfase1 183" xfId="4142" xr:uid="{00000000-0005-0000-0000-000070100000}"/>
    <cellStyle name="60% - Ênfase1 184" xfId="4143" xr:uid="{00000000-0005-0000-0000-000071100000}"/>
    <cellStyle name="60% - Ênfase1 185" xfId="4144" xr:uid="{00000000-0005-0000-0000-000072100000}"/>
    <cellStyle name="60% - Ênfase1 186" xfId="4145" xr:uid="{00000000-0005-0000-0000-000073100000}"/>
    <cellStyle name="60% - Ênfase1 187" xfId="4146" xr:uid="{00000000-0005-0000-0000-000074100000}"/>
    <cellStyle name="60% - Ênfase1 188" xfId="4147" xr:uid="{00000000-0005-0000-0000-000075100000}"/>
    <cellStyle name="60% - Ênfase1 189" xfId="4148" xr:uid="{00000000-0005-0000-0000-000076100000}"/>
    <cellStyle name="60% - Ênfase1 19" xfId="4149" xr:uid="{00000000-0005-0000-0000-000077100000}"/>
    <cellStyle name="60% - Ênfase1 19 2" xfId="4150" xr:uid="{00000000-0005-0000-0000-000078100000}"/>
    <cellStyle name="60% - Ênfase1 19 3" xfId="4151" xr:uid="{00000000-0005-0000-0000-000079100000}"/>
    <cellStyle name="60% - Ênfase1 190" xfId="4152" xr:uid="{00000000-0005-0000-0000-00007A100000}"/>
    <cellStyle name="60% - Ênfase1 2" xfId="4153" xr:uid="{00000000-0005-0000-0000-00007B100000}"/>
    <cellStyle name="60% - Ênfase1 2 10" xfId="4154" xr:uid="{00000000-0005-0000-0000-00007C100000}"/>
    <cellStyle name="60% - Ênfase1 2 10 2" xfId="4155" xr:uid="{00000000-0005-0000-0000-00007D100000}"/>
    <cellStyle name="60% - Ênfase1 2 10 3" xfId="4156" xr:uid="{00000000-0005-0000-0000-00007E100000}"/>
    <cellStyle name="60% - Ênfase1 2 10 4" xfId="4157" xr:uid="{00000000-0005-0000-0000-00007F100000}"/>
    <cellStyle name="60% - Ênfase1 2 10 5" xfId="4158" xr:uid="{00000000-0005-0000-0000-000080100000}"/>
    <cellStyle name="60% - Ênfase1 2 10 6" xfId="4159" xr:uid="{00000000-0005-0000-0000-000081100000}"/>
    <cellStyle name="60% - Ênfase1 2 10 7" xfId="4160" xr:uid="{00000000-0005-0000-0000-000082100000}"/>
    <cellStyle name="60% - Ênfase1 2 11" xfId="4161" xr:uid="{00000000-0005-0000-0000-000083100000}"/>
    <cellStyle name="60% - Ênfase1 2 11 2" xfId="4162" xr:uid="{00000000-0005-0000-0000-000084100000}"/>
    <cellStyle name="60% - Ênfase1 2 11 3" xfId="4163" xr:uid="{00000000-0005-0000-0000-000085100000}"/>
    <cellStyle name="60% - Ênfase1 2 11 4" xfId="4164" xr:uid="{00000000-0005-0000-0000-000086100000}"/>
    <cellStyle name="60% - Ênfase1 2 11 5" xfId="4165" xr:uid="{00000000-0005-0000-0000-000087100000}"/>
    <cellStyle name="60% - Ênfase1 2 11 6" xfId="4166" xr:uid="{00000000-0005-0000-0000-000088100000}"/>
    <cellStyle name="60% - Ênfase1 2 11 7" xfId="4167" xr:uid="{00000000-0005-0000-0000-000089100000}"/>
    <cellStyle name="60% - Ênfase1 2 12" xfId="4168" xr:uid="{00000000-0005-0000-0000-00008A100000}"/>
    <cellStyle name="60% - Ênfase1 2 13" xfId="4169" xr:uid="{00000000-0005-0000-0000-00008B100000}"/>
    <cellStyle name="60% - Ênfase1 2 14" xfId="4170" xr:uid="{00000000-0005-0000-0000-00008C100000}"/>
    <cellStyle name="60% - Ênfase1 2 15" xfId="4171" xr:uid="{00000000-0005-0000-0000-00008D100000}"/>
    <cellStyle name="60% - Ênfase1 2 16" xfId="4172" xr:uid="{00000000-0005-0000-0000-00008E100000}"/>
    <cellStyle name="60% - Ênfase1 2 17" xfId="4173" xr:uid="{00000000-0005-0000-0000-00008F100000}"/>
    <cellStyle name="60% - Ênfase1 2 18" xfId="4174" xr:uid="{00000000-0005-0000-0000-000090100000}"/>
    <cellStyle name="60% - Ênfase1 2 19" xfId="4175" xr:uid="{00000000-0005-0000-0000-000091100000}"/>
    <cellStyle name="60% - Ênfase1 2 2" xfId="4176" xr:uid="{00000000-0005-0000-0000-000092100000}"/>
    <cellStyle name="60% - Ênfase1 2 20" xfId="4177" xr:uid="{00000000-0005-0000-0000-000093100000}"/>
    <cellStyle name="60% - Ênfase1 2 21" xfId="4178" xr:uid="{00000000-0005-0000-0000-000094100000}"/>
    <cellStyle name="60% - Ênfase1 2 22" xfId="4179" xr:uid="{00000000-0005-0000-0000-000095100000}"/>
    <cellStyle name="60% - Ênfase1 2 23" xfId="4180" xr:uid="{00000000-0005-0000-0000-000096100000}"/>
    <cellStyle name="60% - Ênfase1 2 24" xfId="4181" xr:uid="{00000000-0005-0000-0000-000097100000}"/>
    <cellStyle name="60% - Ênfase1 2 25" xfId="4182" xr:uid="{00000000-0005-0000-0000-000098100000}"/>
    <cellStyle name="60% - Ênfase1 2 26" xfId="4183" xr:uid="{00000000-0005-0000-0000-000099100000}"/>
    <cellStyle name="60% - Ênfase1 2 27" xfId="4184" xr:uid="{00000000-0005-0000-0000-00009A100000}"/>
    <cellStyle name="60% - Ênfase1 2 28" xfId="4185" xr:uid="{00000000-0005-0000-0000-00009B100000}"/>
    <cellStyle name="60% - Ênfase1 2 29" xfId="4186" xr:uid="{00000000-0005-0000-0000-00009C100000}"/>
    <cellStyle name="60% - Ênfase1 2 3" xfId="4187" xr:uid="{00000000-0005-0000-0000-00009D100000}"/>
    <cellStyle name="60% - Ênfase1 2 30" xfId="4188" xr:uid="{00000000-0005-0000-0000-00009E100000}"/>
    <cellStyle name="60% - Ênfase1 2 31" xfId="4189" xr:uid="{00000000-0005-0000-0000-00009F100000}"/>
    <cellStyle name="60% - Ênfase1 2 32" xfId="4190" xr:uid="{00000000-0005-0000-0000-0000A0100000}"/>
    <cellStyle name="60% - Ênfase1 2 33" xfId="4191" xr:uid="{00000000-0005-0000-0000-0000A1100000}"/>
    <cellStyle name="60% - Ênfase1 2 34" xfId="4192" xr:uid="{00000000-0005-0000-0000-0000A2100000}"/>
    <cellStyle name="60% - Ênfase1 2 35" xfId="4193" xr:uid="{00000000-0005-0000-0000-0000A3100000}"/>
    <cellStyle name="60% - Ênfase1 2 4" xfId="4194" xr:uid="{00000000-0005-0000-0000-0000A4100000}"/>
    <cellStyle name="60% - Ênfase1 2 5" xfId="4195" xr:uid="{00000000-0005-0000-0000-0000A5100000}"/>
    <cellStyle name="60% - Ênfase1 2 6" xfId="4196" xr:uid="{00000000-0005-0000-0000-0000A6100000}"/>
    <cellStyle name="60% - Ênfase1 2 7" xfId="4197" xr:uid="{00000000-0005-0000-0000-0000A7100000}"/>
    <cellStyle name="60% - Ênfase1 2 8" xfId="4198" xr:uid="{00000000-0005-0000-0000-0000A8100000}"/>
    <cellStyle name="60% - Ênfase1 2 8 2" xfId="4199" xr:uid="{00000000-0005-0000-0000-0000A9100000}"/>
    <cellStyle name="60% - Ênfase1 2 8 3" xfId="4200" xr:uid="{00000000-0005-0000-0000-0000AA100000}"/>
    <cellStyle name="60% - Ênfase1 2 8 4" xfId="4201" xr:uid="{00000000-0005-0000-0000-0000AB100000}"/>
    <cellStyle name="60% - Ênfase1 2 8 5" xfId="4202" xr:uid="{00000000-0005-0000-0000-0000AC100000}"/>
    <cellStyle name="60% - Ênfase1 2 8 6" xfId="4203" xr:uid="{00000000-0005-0000-0000-0000AD100000}"/>
    <cellStyle name="60% - Ênfase1 2 8 7" xfId="4204" xr:uid="{00000000-0005-0000-0000-0000AE100000}"/>
    <cellStyle name="60% - Ênfase1 2 9" xfId="4205" xr:uid="{00000000-0005-0000-0000-0000AF100000}"/>
    <cellStyle name="60% - Ênfase1 2 9 2" xfId="4206" xr:uid="{00000000-0005-0000-0000-0000B0100000}"/>
    <cellStyle name="60% - Ênfase1 2 9 3" xfId="4207" xr:uid="{00000000-0005-0000-0000-0000B1100000}"/>
    <cellStyle name="60% - Ênfase1 2 9 4" xfId="4208" xr:uid="{00000000-0005-0000-0000-0000B2100000}"/>
    <cellStyle name="60% - Ênfase1 2 9 5" xfId="4209" xr:uid="{00000000-0005-0000-0000-0000B3100000}"/>
    <cellStyle name="60% - Ênfase1 2 9 6" xfId="4210" xr:uid="{00000000-0005-0000-0000-0000B4100000}"/>
    <cellStyle name="60% - Ênfase1 2 9 7" xfId="4211" xr:uid="{00000000-0005-0000-0000-0000B5100000}"/>
    <cellStyle name="60% - Ênfase1 20" xfId="4212" xr:uid="{00000000-0005-0000-0000-0000B6100000}"/>
    <cellStyle name="60% - Ênfase1 20 2" xfId="4213" xr:uid="{00000000-0005-0000-0000-0000B7100000}"/>
    <cellStyle name="60% - Ênfase1 20 3" xfId="4214" xr:uid="{00000000-0005-0000-0000-0000B8100000}"/>
    <cellStyle name="60% - Ênfase1 21" xfId="4215" xr:uid="{00000000-0005-0000-0000-0000B9100000}"/>
    <cellStyle name="60% - Ênfase1 22" xfId="4216" xr:uid="{00000000-0005-0000-0000-0000BA100000}"/>
    <cellStyle name="60% - Ênfase1 23" xfId="4217" xr:uid="{00000000-0005-0000-0000-0000BB100000}"/>
    <cellStyle name="60% - Ênfase1 24" xfId="4218" xr:uid="{00000000-0005-0000-0000-0000BC100000}"/>
    <cellStyle name="60% - Ênfase1 24 2" xfId="40939" xr:uid="{00000000-0005-0000-0000-0000BD100000}"/>
    <cellStyle name="60% - Ênfase1 25" xfId="4219" xr:uid="{00000000-0005-0000-0000-0000BE100000}"/>
    <cellStyle name="60% - Ênfase1 25 2" xfId="40974" xr:uid="{00000000-0005-0000-0000-0000BF100000}"/>
    <cellStyle name="60% - Ênfase1 26" xfId="4220" xr:uid="{00000000-0005-0000-0000-0000C0100000}"/>
    <cellStyle name="60% - Ênfase1 26 10" xfId="4221" xr:uid="{00000000-0005-0000-0000-0000C1100000}"/>
    <cellStyle name="60% - Ênfase1 26 11" xfId="4222" xr:uid="{00000000-0005-0000-0000-0000C2100000}"/>
    <cellStyle name="60% - Ênfase1 26 12" xfId="4223" xr:uid="{00000000-0005-0000-0000-0000C3100000}"/>
    <cellStyle name="60% - Ênfase1 26 13" xfId="4224" xr:uid="{00000000-0005-0000-0000-0000C4100000}"/>
    <cellStyle name="60% - Ênfase1 26 14" xfId="4225" xr:uid="{00000000-0005-0000-0000-0000C5100000}"/>
    <cellStyle name="60% - Ênfase1 26 15" xfId="4226" xr:uid="{00000000-0005-0000-0000-0000C6100000}"/>
    <cellStyle name="60% - Ênfase1 26 16" xfId="4227" xr:uid="{00000000-0005-0000-0000-0000C7100000}"/>
    <cellStyle name="60% - Ênfase1 26 2" xfId="4228" xr:uid="{00000000-0005-0000-0000-0000C8100000}"/>
    <cellStyle name="60% - Ênfase1 26 3" xfId="4229" xr:uid="{00000000-0005-0000-0000-0000C9100000}"/>
    <cellStyle name="60% - Ênfase1 26 4" xfId="4230" xr:uid="{00000000-0005-0000-0000-0000CA100000}"/>
    <cellStyle name="60% - Ênfase1 26 5" xfId="4231" xr:uid="{00000000-0005-0000-0000-0000CB100000}"/>
    <cellStyle name="60% - Ênfase1 26 6" xfId="4232" xr:uid="{00000000-0005-0000-0000-0000CC100000}"/>
    <cellStyle name="60% - Ênfase1 26 7" xfId="4233" xr:uid="{00000000-0005-0000-0000-0000CD100000}"/>
    <cellStyle name="60% - Ênfase1 26 8" xfId="4234" xr:uid="{00000000-0005-0000-0000-0000CE100000}"/>
    <cellStyle name="60% - Ênfase1 26 9" xfId="4235" xr:uid="{00000000-0005-0000-0000-0000CF100000}"/>
    <cellStyle name="60% - Ênfase1 27" xfId="4236" xr:uid="{00000000-0005-0000-0000-0000D0100000}"/>
    <cellStyle name="60% - Ênfase1 27 10" xfId="4237" xr:uid="{00000000-0005-0000-0000-0000D1100000}"/>
    <cellStyle name="60% - Ênfase1 27 11" xfId="4238" xr:uid="{00000000-0005-0000-0000-0000D2100000}"/>
    <cellStyle name="60% - Ênfase1 27 12" xfId="4239" xr:uid="{00000000-0005-0000-0000-0000D3100000}"/>
    <cellStyle name="60% - Ênfase1 27 13" xfId="4240" xr:uid="{00000000-0005-0000-0000-0000D4100000}"/>
    <cellStyle name="60% - Ênfase1 27 14" xfId="4241" xr:uid="{00000000-0005-0000-0000-0000D5100000}"/>
    <cellStyle name="60% - Ênfase1 27 15" xfId="4242" xr:uid="{00000000-0005-0000-0000-0000D6100000}"/>
    <cellStyle name="60% - Ênfase1 27 16" xfId="4243" xr:uid="{00000000-0005-0000-0000-0000D7100000}"/>
    <cellStyle name="60% - Ênfase1 27 2" xfId="4244" xr:uid="{00000000-0005-0000-0000-0000D8100000}"/>
    <cellStyle name="60% - Ênfase1 27 3" xfId="4245" xr:uid="{00000000-0005-0000-0000-0000D9100000}"/>
    <cellStyle name="60% - Ênfase1 27 4" xfId="4246" xr:uid="{00000000-0005-0000-0000-0000DA100000}"/>
    <cellStyle name="60% - Ênfase1 27 5" xfId="4247" xr:uid="{00000000-0005-0000-0000-0000DB100000}"/>
    <cellStyle name="60% - Ênfase1 27 6" xfId="4248" xr:uid="{00000000-0005-0000-0000-0000DC100000}"/>
    <cellStyle name="60% - Ênfase1 27 7" xfId="4249" xr:uid="{00000000-0005-0000-0000-0000DD100000}"/>
    <cellStyle name="60% - Ênfase1 27 8" xfId="4250" xr:uid="{00000000-0005-0000-0000-0000DE100000}"/>
    <cellStyle name="60% - Ênfase1 27 9" xfId="4251" xr:uid="{00000000-0005-0000-0000-0000DF100000}"/>
    <cellStyle name="60% - Ênfase1 28" xfId="4252" xr:uid="{00000000-0005-0000-0000-0000E0100000}"/>
    <cellStyle name="60% - Ênfase1 28 10" xfId="4253" xr:uid="{00000000-0005-0000-0000-0000E1100000}"/>
    <cellStyle name="60% - Ênfase1 28 11" xfId="4254" xr:uid="{00000000-0005-0000-0000-0000E2100000}"/>
    <cellStyle name="60% - Ênfase1 28 12" xfId="4255" xr:uid="{00000000-0005-0000-0000-0000E3100000}"/>
    <cellStyle name="60% - Ênfase1 28 13" xfId="4256" xr:uid="{00000000-0005-0000-0000-0000E4100000}"/>
    <cellStyle name="60% - Ênfase1 28 14" xfId="4257" xr:uid="{00000000-0005-0000-0000-0000E5100000}"/>
    <cellStyle name="60% - Ênfase1 28 15" xfId="4258" xr:uid="{00000000-0005-0000-0000-0000E6100000}"/>
    <cellStyle name="60% - Ênfase1 28 16" xfId="4259" xr:uid="{00000000-0005-0000-0000-0000E7100000}"/>
    <cellStyle name="60% - Ênfase1 28 2" xfId="4260" xr:uid="{00000000-0005-0000-0000-0000E8100000}"/>
    <cellStyle name="60% - Ênfase1 28 3" xfId="4261" xr:uid="{00000000-0005-0000-0000-0000E9100000}"/>
    <cellStyle name="60% - Ênfase1 28 4" xfId="4262" xr:uid="{00000000-0005-0000-0000-0000EA100000}"/>
    <cellStyle name="60% - Ênfase1 28 5" xfId="4263" xr:uid="{00000000-0005-0000-0000-0000EB100000}"/>
    <cellStyle name="60% - Ênfase1 28 6" xfId="4264" xr:uid="{00000000-0005-0000-0000-0000EC100000}"/>
    <cellStyle name="60% - Ênfase1 28 7" xfId="4265" xr:uid="{00000000-0005-0000-0000-0000ED100000}"/>
    <cellStyle name="60% - Ênfase1 28 8" xfId="4266" xr:uid="{00000000-0005-0000-0000-0000EE100000}"/>
    <cellStyle name="60% - Ênfase1 28 9" xfId="4267" xr:uid="{00000000-0005-0000-0000-0000EF100000}"/>
    <cellStyle name="60% - Ênfase1 29" xfId="4268" xr:uid="{00000000-0005-0000-0000-0000F0100000}"/>
    <cellStyle name="60% - Ênfase1 29 10" xfId="4269" xr:uid="{00000000-0005-0000-0000-0000F1100000}"/>
    <cellStyle name="60% - Ênfase1 29 11" xfId="4270" xr:uid="{00000000-0005-0000-0000-0000F2100000}"/>
    <cellStyle name="60% - Ênfase1 29 12" xfId="4271" xr:uid="{00000000-0005-0000-0000-0000F3100000}"/>
    <cellStyle name="60% - Ênfase1 29 13" xfId="4272" xr:uid="{00000000-0005-0000-0000-0000F4100000}"/>
    <cellStyle name="60% - Ênfase1 29 14" xfId="4273" xr:uid="{00000000-0005-0000-0000-0000F5100000}"/>
    <cellStyle name="60% - Ênfase1 29 15" xfId="4274" xr:uid="{00000000-0005-0000-0000-0000F6100000}"/>
    <cellStyle name="60% - Ênfase1 29 16" xfId="4275" xr:uid="{00000000-0005-0000-0000-0000F7100000}"/>
    <cellStyle name="60% - Ênfase1 29 2" xfId="4276" xr:uid="{00000000-0005-0000-0000-0000F8100000}"/>
    <cellStyle name="60% - Ênfase1 29 3" xfId="4277" xr:uid="{00000000-0005-0000-0000-0000F9100000}"/>
    <cellStyle name="60% - Ênfase1 29 4" xfId="4278" xr:uid="{00000000-0005-0000-0000-0000FA100000}"/>
    <cellStyle name="60% - Ênfase1 29 5" xfId="4279" xr:uid="{00000000-0005-0000-0000-0000FB100000}"/>
    <cellStyle name="60% - Ênfase1 29 6" xfId="4280" xr:uid="{00000000-0005-0000-0000-0000FC100000}"/>
    <cellStyle name="60% - Ênfase1 29 7" xfId="4281" xr:uid="{00000000-0005-0000-0000-0000FD100000}"/>
    <cellStyle name="60% - Ênfase1 29 8" xfId="4282" xr:uid="{00000000-0005-0000-0000-0000FE100000}"/>
    <cellStyle name="60% - Ênfase1 29 9" xfId="4283" xr:uid="{00000000-0005-0000-0000-0000FF100000}"/>
    <cellStyle name="60% - Ênfase1 3" xfId="4284" xr:uid="{00000000-0005-0000-0000-000000110000}"/>
    <cellStyle name="60% - Ênfase1 3 10" xfId="4285" xr:uid="{00000000-0005-0000-0000-000001110000}"/>
    <cellStyle name="60% - Ênfase1 3 11" xfId="4286" xr:uid="{00000000-0005-0000-0000-000002110000}"/>
    <cellStyle name="60% - Ênfase1 3 2" xfId="4287" xr:uid="{00000000-0005-0000-0000-000003110000}"/>
    <cellStyle name="60% - Ênfase1 3 3" xfId="4288" xr:uid="{00000000-0005-0000-0000-000004110000}"/>
    <cellStyle name="60% - Ênfase1 3 4" xfId="4289" xr:uid="{00000000-0005-0000-0000-000005110000}"/>
    <cellStyle name="60% - Ênfase1 3 5" xfId="4290" xr:uid="{00000000-0005-0000-0000-000006110000}"/>
    <cellStyle name="60% - Ênfase1 3 6" xfId="4291" xr:uid="{00000000-0005-0000-0000-000007110000}"/>
    <cellStyle name="60% - Ênfase1 3 7" xfId="4292" xr:uid="{00000000-0005-0000-0000-000008110000}"/>
    <cellStyle name="60% - Ênfase1 3 8" xfId="4293" xr:uid="{00000000-0005-0000-0000-000009110000}"/>
    <cellStyle name="60% - Ênfase1 3 9" xfId="4294" xr:uid="{00000000-0005-0000-0000-00000A110000}"/>
    <cellStyle name="60% - Ênfase1 30" xfId="4295" xr:uid="{00000000-0005-0000-0000-00000B110000}"/>
    <cellStyle name="60% - Ênfase1 31" xfId="4296" xr:uid="{00000000-0005-0000-0000-00000C110000}"/>
    <cellStyle name="60% - Ênfase1 32" xfId="4297" xr:uid="{00000000-0005-0000-0000-00000D110000}"/>
    <cellStyle name="60% - Ênfase1 33" xfId="4298" xr:uid="{00000000-0005-0000-0000-00000E110000}"/>
    <cellStyle name="60% - Ênfase1 34" xfId="4299" xr:uid="{00000000-0005-0000-0000-00000F110000}"/>
    <cellStyle name="60% - Ênfase1 35" xfId="4300" xr:uid="{00000000-0005-0000-0000-000010110000}"/>
    <cellStyle name="60% - Ênfase1 36" xfId="4301" xr:uid="{00000000-0005-0000-0000-000011110000}"/>
    <cellStyle name="60% - Ênfase1 37" xfId="4302" xr:uid="{00000000-0005-0000-0000-000012110000}"/>
    <cellStyle name="60% - Ênfase1 38" xfId="4303" xr:uid="{00000000-0005-0000-0000-000013110000}"/>
    <cellStyle name="60% - Ênfase1 39" xfId="4304" xr:uid="{00000000-0005-0000-0000-000014110000}"/>
    <cellStyle name="60% - Ênfase1 4" xfId="4305" xr:uid="{00000000-0005-0000-0000-000015110000}"/>
    <cellStyle name="60% - Ênfase1 4 10" xfId="4306" xr:uid="{00000000-0005-0000-0000-000016110000}"/>
    <cellStyle name="60% - Ênfase1 4 11" xfId="4307" xr:uid="{00000000-0005-0000-0000-000017110000}"/>
    <cellStyle name="60% - Ênfase1 4 2" xfId="4308" xr:uid="{00000000-0005-0000-0000-000018110000}"/>
    <cellStyle name="60% - Ênfase1 4 3" xfId="4309" xr:uid="{00000000-0005-0000-0000-000019110000}"/>
    <cellStyle name="60% - Ênfase1 4 4" xfId="4310" xr:uid="{00000000-0005-0000-0000-00001A110000}"/>
    <cellStyle name="60% - Ênfase1 4 5" xfId="4311" xr:uid="{00000000-0005-0000-0000-00001B110000}"/>
    <cellStyle name="60% - Ênfase1 4 6" xfId="4312" xr:uid="{00000000-0005-0000-0000-00001C110000}"/>
    <cellStyle name="60% - Ênfase1 4 7" xfId="4313" xr:uid="{00000000-0005-0000-0000-00001D110000}"/>
    <cellStyle name="60% - Ênfase1 4 8" xfId="4314" xr:uid="{00000000-0005-0000-0000-00001E110000}"/>
    <cellStyle name="60% - Ênfase1 4 9" xfId="4315" xr:uid="{00000000-0005-0000-0000-00001F110000}"/>
    <cellStyle name="60% - Ênfase1 40" xfId="4316" xr:uid="{00000000-0005-0000-0000-000020110000}"/>
    <cellStyle name="60% - Ênfase1 41" xfId="4317" xr:uid="{00000000-0005-0000-0000-000021110000}"/>
    <cellStyle name="60% - Ênfase1 42" xfId="4318" xr:uid="{00000000-0005-0000-0000-000022110000}"/>
    <cellStyle name="60% - Ênfase1 43" xfId="4319" xr:uid="{00000000-0005-0000-0000-000023110000}"/>
    <cellStyle name="60% - Ênfase1 44" xfId="4320" xr:uid="{00000000-0005-0000-0000-000024110000}"/>
    <cellStyle name="60% - Ênfase1 45" xfId="4321" xr:uid="{00000000-0005-0000-0000-000025110000}"/>
    <cellStyle name="60% - Ênfase1 46" xfId="4322" xr:uid="{00000000-0005-0000-0000-000026110000}"/>
    <cellStyle name="60% - Ênfase1 47" xfId="4323" xr:uid="{00000000-0005-0000-0000-000027110000}"/>
    <cellStyle name="60% - Ênfase1 48" xfId="4324" xr:uid="{00000000-0005-0000-0000-000028110000}"/>
    <cellStyle name="60% - Ênfase1 49" xfId="4325" xr:uid="{00000000-0005-0000-0000-000029110000}"/>
    <cellStyle name="60% - Ênfase1 5" xfId="4326" xr:uid="{00000000-0005-0000-0000-00002A110000}"/>
    <cellStyle name="60% - Ênfase1 5 2" xfId="4327" xr:uid="{00000000-0005-0000-0000-00002B110000}"/>
    <cellStyle name="60% - Ênfase1 5 3" xfId="4328" xr:uid="{00000000-0005-0000-0000-00002C110000}"/>
    <cellStyle name="60% - Ênfase1 5 4" xfId="4329" xr:uid="{00000000-0005-0000-0000-00002D110000}"/>
    <cellStyle name="60% - Ênfase1 50" xfId="4330" xr:uid="{00000000-0005-0000-0000-00002E110000}"/>
    <cellStyle name="60% - Ênfase1 51" xfId="4331" xr:uid="{00000000-0005-0000-0000-00002F110000}"/>
    <cellStyle name="60% - Ênfase1 52" xfId="4332" xr:uid="{00000000-0005-0000-0000-000030110000}"/>
    <cellStyle name="60% - Ênfase1 53" xfId="4333" xr:uid="{00000000-0005-0000-0000-000031110000}"/>
    <cellStyle name="60% - Ênfase1 54" xfId="4334" xr:uid="{00000000-0005-0000-0000-000032110000}"/>
    <cellStyle name="60% - Ênfase1 55" xfId="4335" xr:uid="{00000000-0005-0000-0000-000033110000}"/>
    <cellStyle name="60% - Ênfase1 56" xfId="4336" xr:uid="{00000000-0005-0000-0000-000034110000}"/>
    <cellStyle name="60% - Ênfase1 57" xfId="4337" xr:uid="{00000000-0005-0000-0000-000035110000}"/>
    <cellStyle name="60% - Ênfase1 58" xfId="4338" xr:uid="{00000000-0005-0000-0000-000036110000}"/>
    <cellStyle name="60% - Ênfase1 59" xfId="4339" xr:uid="{00000000-0005-0000-0000-000037110000}"/>
    <cellStyle name="60% - Ênfase1 6" xfId="4340" xr:uid="{00000000-0005-0000-0000-000038110000}"/>
    <cellStyle name="60% - Ênfase1 6 2" xfId="4341" xr:uid="{00000000-0005-0000-0000-000039110000}"/>
    <cellStyle name="60% - Ênfase1 6 3" xfId="4342" xr:uid="{00000000-0005-0000-0000-00003A110000}"/>
    <cellStyle name="60% - Ênfase1 6 4" xfId="4343" xr:uid="{00000000-0005-0000-0000-00003B110000}"/>
    <cellStyle name="60% - Ênfase1 60" xfId="4344" xr:uid="{00000000-0005-0000-0000-00003C110000}"/>
    <cellStyle name="60% - Ênfase1 61" xfId="4345" xr:uid="{00000000-0005-0000-0000-00003D110000}"/>
    <cellStyle name="60% - Ênfase1 62" xfId="4346" xr:uid="{00000000-0005-0000-0000-00003E110000}"/>
    <cellStyle name="60% - Ênfase1 63" xfId="4347" xr:uid="{00000000-0005-0000-0000-00003F110000}"/>
    <cellStyle name="60% - Ênfase1 64" xfId="4348" xr:uid="{00000000-0005-0000-0000-000040110000}"/>
    <cellStyle name="60% - Ênfase1 65" xfId="4349" xr:uid="{00000000-0005-0000-0000-000041110000}"/>
    <cellStyle name="60% - Ênfase1 66" xfId="4350" xr:uid="{00000000-0005-0000-0000-000042110000}"/>
    <cellStyle name="60% - Ênfase1 67" xfId="4351" xr:uid="{00000000-0005-0000-0000-000043110000}"/>
    <cellStyle name="60% - Ênfase1 68" xfId="4352" xr:uid="{00000000-0005-0000-0000-000044110000}"/>
    <cellStyle name="60% - Ênfase1 69" xfId="4353" xr:uid="{00000000-0005-0000-0000-000045110000}"/>
    <cellStyle name="60% - Ênfase1 7" xfId="4354" xr:uid="{00000000-0005-0000-0000-000046110000}"/>
    <cellStyle name="60% - Ênfase1 7 2" xfId="4355" xr:uid="{00000000-0005-0000-0000-000047110000}"/>
    <cellStyle name="60% - Ênfase1 7 3" xfId="4356" xr:uid="{00000000-0005-0000-0000-000048110000}"/>
    <cellStyle name="60% - Ênfase1 7 4" xfId="4357" xr:uid="{00000000-0005-0000-0000-000049110000}"/>
    <cellStyle name="60% - Ênfase1 70" xfId="4358" xr:uid="{00000000-0005-0000-0000-00004A110000}"/>
    <cellStyle name="60% - Ênfase1 71" xfId="4359" xr:uid="{00000000-0005-0000-0000-00004B110000}"/>
    <cellStyle name="60% - Ênfase1 72" xfId="4360" xr:uid="{00000000-0005-0000-0000-00004C110000}"/>
    <cellStyle name="60% - Ênfase1 73" xfId="4361" xr:uid="{00000000-0005-0000-0000-00004D110000}"/>
    <cellStyle name="60% - Ênfase1 74" xfId="4362" xr:uid="{00000000-0005-0000-0000-00004E110000}"/>
    <cellStyle name="60% - Ênfase1 75" xfId="4363" xr:uid="{00000000-0005-0000-0000-00004F110000}"/>
    <cellStyle name="60% - Ênfase1 76" xfId="4364" xr:uid="{00000000-0005-0000-0000-000050110000}"/>
    <cellStyle name="60% - Ênfase1 77" xfId="4365" xr:uid="{00000000-0005-0000-0000-000051110000}"/>
    <cellStyle name="60% - Ênfase1 78" xfId="4366" xr:uid="{00000000-0005-0000-0000-000052110000}"/>
    <cellStyle name="60% - Ênfase1 79" xfId="4367" xr:uid="{00000000-0005-0000-0000-000053110000}"/>
    <cellStyle name="60% - Ênfase1 8" xfId="4368" xr:uid="{00000000-0005-0000-0000-000054110000}"/>
    <cellStyle name="60% - Ênfase1 8 2" xfId="4369" xr:uid="{00000000-0005-0000-0000-000055110000}"/>
    <cellStyle name="60% - Ênfase1 8 3" xfId="4370" xr:uid="{00000000-0005-0000-0000-000056110000}"/>
    <cellStyle name="60% - Ênfase1 8 4" xfId="4371" xr:uid="{00000000-0005-0000-0000-000057110000}"/>
    <cellStyle name="60% - Ênfase1 80" xfId="4372" xr:uid="{00000000-0005-0000-0000-000058110000}"/>
    <cellStyle name="60% - Ênfase1 81" xfId="4373" xr:uid="{00000000-0005-0000-0000-000059110000}"/>
    <cellStyle name="60% - Ênfase1 82" xfId="4374" xr:uid="{00000000-0005-0000-0000-00005A110000}"/>
    <cellStyle name="60% - Ênfase1 83" xfId="4375" xr:uid="{00000000-0005-0000-0000-00005B110000}"/>
    <cellStyle name="60% - Ênfase1 84" xfId="4376" xr:uid="{00000000-0005-0000-0000-00005C110000}"/>
    <cellStyle name="60% - Ênfase1 85" xfId="4377" xr:uid="{00000000-0005-0000-0000-00005D110000}"/>
    <cellStyle name="60% - Ênfase1 86" xfId="4378" xr:uid="{00000000-0005-0000-0000-00005E110000}"/>
    <cellStyle name="60% - Ênfase1 87" xfId="4379" xr:uid="{00000000-0005-0000-0000-00005F110000}"/>
    <cellStyle name="60% - Ênfase1 88" xfId="4380" xr:uid="{00000000-0005-0000-0000-000060110000}"/>
    <cellStyle name="60% - Ênfase1 89" xfId="4381" xr:uid="{00000000-0005-0000-0000-000061110000}"/>
    <cellStyle name="60% - Ênfase1 9" xfId="4382" xr:uid="{00000000-0005-0000-0000-000062110000}"/>
    <cellStyle name="60% - Ênfase1 90" xfId="4383" xr:uid="{00000000-0005-0000-0000-000063110000}"/>
    <cellStyle name="60% - Ênfase1 91" xfId="4384" xr:uid="{00000000-0005-0000-0000-000064110000}"/>
    <cellStyle name="60% - Ênfase1 92" xfId="4385" xr:uid="{00000000-0005-0000-0000-000065110000}"/>
    <cellStyle name="60% - Ênfase1 93" xfId="4386" xr:uid="{00000000-0005-0000-0000-000066110000}"/>
    <cellStyle name="60% - Ênfase1 94" xfId="4387" xr:uid="{00000000-0005-0000-0000-000067110000}"/>
    <cellStyle name="60% - Ênfase1 95" xfId="4388" xr:uid="{00000000-0005-0000-0000-000068110000}"/>
    <cellStyle name="60% - Ênfase1 96" xfId="4389" xr:uid="{00000000-0005-0000-0000-000069110000}"/>
    <cellStyle name="60% - Ênfase1 97" xfId="4390" xr:uid="{00000000-0005-0000-0000-00006A110000}"/>
    <cellStyle name="60% - Ênfase1 98" xfId="4391" xr:uid="{00000000-0005-0000-0000-00006B110000}"/>
    <cellStyle name="60% - Ênfase1 99" xfId="4392" xr:uid="{00000000-0005-0000-0000-00006C110000}"/>
    <cellStyle name="60% - Ênfase2 10" xfId="4393" xr:uid="{00000000-0005-0000-0000-00006D110000}"/>
    <cellStyle name="60% - Ênfase2 10 2" xfId="40510" xr:uid="{00000000-0005-0000-0000-00006E110000}"/>
    <cellStyle name="60% - Ênfase2 100" xfId="4394" xr:uid="{00000000-0005-0000-0000-00006F110000}"/>
    <cellStyle name="60% - Ênfase2 101" xfId="4395" xr:uid="{00000000-0005-0000-0000-000070110000}"/>
    <cellStyle name="60% - Ênfase2 102" xfId="4396" xr:uid="{00000000-0005-0000-0000-000071110000}"/>
    <cellStyle name="60% - Ênfase2 103" xfId="4397" xr:uid="{00000000-0005-0000-0000-000072110000}"/>
    <cellStyle name="60% - Ênfase2 104" xfId="4398" xr:uid="{00000000-0005-0000-0000-000073110000}"/>
    <cellStyle name="60% - Ênfase2 105" xfId="4399" xr:uid="{00000000-0005-0000-0000-000074110000}"/>
    <cellStyle name="60% - Ênfase2 106" xfId="4400" xr:uid="{00000000-0005-0000-0000-000075110000}"/>
    <cellStyle name="60% - Ênfase2 107" xfId="4401" xr:uid="{00000000-0005-0000-0000-000076110000}"/>
    <cellStyle name="60% - Ênfase2 108" xfId="4402" xr:uid="{00000000-0005-0000-0000-000077110000}"/>
    <cellStyle name="60% - Ênfase2 109" xfId="4403" xr:uid="{00000000-0005-0000-0000-000078110000}"/>
    <cellStyle name="60% - Ênfase2 11" xfId="4404" xr:uid="{00000000-0005-0000-0000-000079110000}"/>
    <cellStyle name="60% - Ênfase2 11 2" xfId="40511" xr:uid="{00000000-0005-0000-0000-00007A110000}"/>
    <cellStyle name="60% - Ênfase2 110" xfId="4405" xr:uid="{00000000-0005-0000-0000-00007B110000}"/>
    <cellStyle name="60% - Ênfase2 111" xfId="4406" xr:uid="{00000000-0005-0000-0000-00007C110000}"/>
    <cellStyle name="60% - Ênfase2 112" xfId="4407" xr:uid="{00000000-0005-0000-0000-00007D110000}"/>
    <cellStyle name="60% - Ênfase2 113" xfId="4408" xr:uid="{00000000-0005-0000-0000-00007E110000}"/>
    <cellStyle name="60% - Ênfase2 114" xfId="4409" xr:uid="{00000000-0005-0000-0000-00007F110000}"/>
    <cellStyle name="60% - Ênfase2 115" xfId="4410" xr:uid="{00000000-0005-0000-0000-000080110000}"/>
    <cellStyle name="60% - Ênfase2 116" xfId="4411" xr:uid="{00000000-0005-0000-0000-000081110000}"/>
    <cellStyle name="60% - Ênfase2 117" xfId="4412" xr:uid="{00000000-0005-0000-0000-000082110000}"/>
    <cellStyle name="60% - Ênfase2 118" xfId="4413" xr:uid="{00000000-0005-0000-0000-000083110000}"/>
    <cellStyle name="60% - Ênfase2 119" xfId="4414" xr:uid="{00000000-0005-0000-0000-000084110000}"/>
    <cellStyle name="60% - Ênfase2 12" xfId="4415" xr:uid="{00000000-0005-0000-0000-000085110000}"/>
    <cellStyle name="60% - Ênfase2 12 2" xfId="40512" xr:uid="{00000000-0005-0000-0000-000086110000}"/>
    <cellStyle name="60% - Ênfase2 120" xfId="4416" xr:uid="{00000000-0005-0000-0000-000087110000}"/>
    <cellStyle name="60% - Ênfase2 121" xfId="4417" xr:uid="{00000000-0005-0000-0000-000088110000}"/>
    <cellStyle name="60% - Ênfase2 122" xfId="4418" xr:uid="{00000000-0005-0000-0000-000089110000}"/>
    <cellStyle name="60% - Ênfase2 123" xfId="4419" xr:uid="{00000000-0005-0000-0000-00008A110000}"/>
    <cellStyle name="60% - Ênfase2 124" xfId="4420" xr:uid="{00000000-0005-0000-0000-00008B110000}"/>
    <cellStyle name="60% - Ênfase2 125" xfId="4421" xr:uid="{00000000-0005-0000-0000-00008C110000}"/>
    <cellStyle name="60% - Ênfase2 126" xfId="4422" xr:uid="{00000000-0005-0000-0000-00008D110000}"/>
    <cellStyle name="60% - Ênfase2 127" xfId="4423" xr:uid="{00000000-0005-0000-0000-00008E110000}"/>
    <cellStyle name="60% - Ênfase2 128" xfId="4424" xr:uid="{00000000-0005-0000-0000-00008F110000}"/>
    <cellStyle name="60% - Ênfase2 129" xfId="4425" xr:uid="{00000000-0005-0000-0000-000090110000}"/>
    <cellStyle name="60% - Ênfase2 13" xfId="4426" xr:uid="{00000000-0005-0000-0000-000091110000}"/>
    <cellStyle name="60% - Ênfase2 13 2" xfId="40513" xr:uid="{00000000-0005-0000-0000-000092110000}"/>
    <cellStyle name="60% - Ênfase2 130" xfId="4427" xr:uid="{00000000-0005-0000-0000-000093110000}"/>
    <cellStyle name="60% - Ênfase2 131" xfId="4428" xr:uid="{00000000-0005-0000-0000-000094110000}"/>
    <cellStyle name="60% - Ênfase2 132" xfId="4429" xr:uid="{00000000-0005-0000-0000-000095110000}"/>
    <cellStyle name="60% - Ênfase2 133" xfId="4430" xr:uid="{00000000-0005-0000-0000-000096110000}"/>
    <cellStyle name="60% - Ênfase2 134" xfId="4431" xr:uid="{00000000-0005-0000-0000-000097110000}"/>
    <cellStyle name="60% - Ênfase2 135" xfId="4432" xr:uid="{00000000-0005-0000-0000-000098110000}"/>
    <cellStyle name="60% - Ênfase2 136" xfId="4433" xr:uid="{00000000-0005-0000-0000-000099110000}"/>
    <cellStyle name="60% - Ênfase2 137" xfId="4434" xr:uid="{00000000-0005-0000-0000-00009A110000}"/>
    <cellStyle name="60% - Ênfase2 138" xfId="4435" xr:uid="{00000000-0005-0000-0000-00009B110000}"/>
    <cellStyle name="60% - Ênfase2 139" xfId="4436" xr:uid="{00000000-0005-0000-0000-00009C110000}"/>
    <cellStyle name="60% - Ênfase2 14" xfId="4437" xr:uid="{00000000-0005-0000-0000-00009D110000}"/>
    <cellStyle name="60% - Ênfase2 140" xfId="4438" xr:uid="{00000000-0005-0000-0000-00009E110000}"/>
    <cellStyle name="60% - Ênfase2 141" xfId="4439" xr:uid="{00000000-0005-0000-0000-00009F110000}"/>
    <cellStyle name="60% - Ênfase2 142" xfId="4440" xr:uid="{00000000-0005-0000-0000-0000A0110000}"/>
    <cellStyle name="60% - Ênfase2 143" xfId="4441" xr:uid="{00000000-0005-0000-0000-0000A1110000}"/>
    <cellStyle name="60% - Ênfase2 144" xfId="4442" xr:uid="{00000000-0005-0000-0000-0000A2110000}"/>
    <cellStyle name="60% - Ênfase2 145" xfId="4443" xr:uid="{00000000-0005-0000-0000-0000A3110000}"/>
    <cellStyle name="60% - Ênfase2 146" xfId="4444" xr:uid="{00000000-0005-0000-0000-0000A4110000}"/>
    <cellStyle name="60% - Ênfase2 147" xfId="4445" xr:uid="{00000000-0005-0000-0000-0000A5110000}"/>
    <cellStyle name="60% - Ênfase2 148" xfId="4446" xr:uid="{00000000-0005-0000-0000-0000A6110000}"/>
    <cellStyle name="60% - Ênfase2 149" xfId="4447" xr:uid="{00000000-0005-0000-0000-0000A7110000}"/>
    <cellStyle name="60% - Ênfase2 15" xfId="4448" xr:uid="{00000000-0005-0000-0000-0000A8110000}"/>
    <cellStyle name="60% - Ênfase2 15 2" xfId="4449" xr:uid="{00000000-0005-0000-0000-0000A9110000}"/>
    <cellStyle name="60% - Ênfase2 15 3" xfId="4450" xr:uid="{00000000-0005-0000-0000-0000AA110000}"/>
    <cellStyle name="60% - Ênfase2 150" xfId="4451" xr:uid="{00000000-0005-0000-0000-0000AB110000}"/>
    <cellStyle name="60% - Ênfase2 151" xfId="4452" xr:uid="{00000000-0005-0000-0000-0000AC110000}"/>
    <cellStyle name="60% - Ênfase2 152" xfId="4453" xr:uid="{00000000-0005-0000-0000-0000AD110000}"/>
    <cellStyle name="60% - Ênfase2 153" xfId="4454" xr:uid="{00000000-0005-0000-0000-0000AE110000}"/>
    <cellStyle name="60% - Ênfase2 154" xfId="4455" xr:uid="{00000000-0005-0000-0000-0000AF110000}"/>
    <cellStyle name="60% - Ênfase2 155" xfId="4456" xr:uid="{00000000-0005-0000-0000-0000B0110000}"/>
    <cellStyle name="60% - Ênfase2 156" xfId="4457" xr:uid="{00000000-0005-0000-0000-0000B1110000}"/>
    <cellStyle name="60% - Ênfase2 157" xfId="4458" xr:uid="{00000000-0005-0000-0000-0000B2110000}"/>
    <cellStyle name="60% - Ênfase2 158" xfId="4459" xr:uid="{00000000-0005-0000-0000-0000B3110000}"/>
    <cellStyle name="60% - Ênfase2 159" xfId="4460" xr:uid="{00000000-0005-0000-0000-0000B4110000}"/>
    <cellStyle name="60% - Ênfase2 16" xfId="4461" xr:uid="{00000000-0005-0000-0000-0000B5110000}"/>
    <cellStyle name="60% - Ênfase2 16 2" xfId="4462" xr:uid="{00000000-0005-0000-0000-0000B6110000}"/>
    <cellStyle name="60% - Ênfase2 16 3" xfId="4463" xr:uid="{00000000-0005-0000-0000-0000B7110000}"/>
    <cellStyle name="60% - Ênfase2 160" xfId="4464" xr:uid="{00000000-0005-0000-0000-0000B8110000}"/>
    <cellStyle name="60% - Ênfase2 161" xfId="4465" xr:uid="{00000000-0005-0000-0000-0000B9110000}"/>
    <cellStyle name="60% - Ênfase2 162" xfId="4466" xr:uid="{00000000-0005-0000-0000-0000BA110000}"/>
    <cellStyle name="60% - Ênfase2 163" xfId="4467" xr:uid="{00000000-0005-0000-0000-0000BB110000}"/>
    <cellStyle name="60% - Ênfase2 164" xfId="4468" xr:uid="{00000000-0005-0000-0000-0000BC110000}"/>
    <cellStyle name="60% - Ênfase2 165" xfId="4469" xr:uid="{00000000-0005-0000-0000-0000BD110000}"/>
    <cellStyle name="60% - Ênfase2 166" xfId="4470" xr:uid="{00000000-0005-0000-0000-0000BE110000}"/>
    <cellStyle name="60% - Ênfase2 167" xfId="4471" xr:uid="{00000000-0005-0000-0000-0000BF110000}"/>
    <cellStyle name="60% - Ênfase2 168" xfId="4472" xr:uid="{00000000-0005-0000-0000-0000C0110000}"/>
    <cellStyle name="60% - Ênfase2 169" xfId="4473" xr:uid="{00000000-0005-0000-0000-0000C1110000}"/>
    <cellStyle name="60% - Ênfase2 17" xfId="4474" xr:uid="{00000000-0005-0000-0000-0000C2110000}"/>
    <cellStyle name="60% - Ênfase2 17 2" xfId="4475" xr:uid="{00000000-0005-0000-0000-0000C3110000}"/>
    <cellStyle name="60% - Ênfase2 17 3" xfId="4476" xr:uid="{00000000-0005-0000-0000-0000C4110000}"/>
    <cellStyle name="60% - Ênfase2 170" xfId="4477" xr:uid="{00000000-0005-0000-0000-0000C5110000}"/>
    <cellStyle name="60% - Ênfase2 171" xfId="4478" xr:uid="{00000000-0005-0000-0000-0000C6110000}"/>
    <cellStyle name="60% - Ênfase2 172" xfId="4479" xr:uid="{00000000-0005-0000-0000-0000C7110000}"/>
    <cellStyle name="60% - Ênfase2 173" xfId="4480" xr:uid="{00000000-0005-0000-0000-0000C8110000}"/>
    <cellStyle name="60% - Ênfase2 174" xfId="4481" xr:uid="{00000000-0005-0000-0000-0000C9110000}"/>
    <cellStyle name="60% - Ênfase2 175" xfId="4482" xr:uid="{00000000-0005-0000-0000-0000CA110000}"/>
    <cellStyle name="60% - Ênfase2 176" xfId="4483" xr:uid="{00000000-0005-0000-0000-0000CB110000}"/>
    <cellStyle name="60% - Ênfase2 177" xfId="4484" xr:uid="{00000000-0005-0000-0000-0000CC110000}"/>
    <cellStyle name="60% - Ênfase2 178" xfId="4485" xr:uid="{00000000-0005-0000-0000-0000CD110000}"/>
    <cellStyle name="60% - Ênfase2 179" xfId="4486" xr:uid="{00000000-0005-0000-0000-0000CE110000}"/>
    <cellStyle name="60% - Ênfase2 18" xfId="4487" xr:uid="{00000000-0005-0000-0000-0000CF110000}"/>
    <cellStyle name="60% - Ênfase2 18 2" xfId="4488" xr:uid="{00000000-0005-0000-0000-0000D0110000}"/>
    <cellStyle name="60% - Ênfase2 18 3" xfId="4489" xr:uid="{00000000-0005-0000-0000-0000D1110000}"/>
    <cellStyle name="60% - Ênfase2 180" xfId="4490" xr:uid="{00000000-0005-0000-0000-0000D2110000}"/>
    <cellStyle name="60% - Ênfase2 181" xfId="4491" xr:uid="{00000000-0005-0000-0000-0000D3110000}"/>
    <cellStyle name="60% - Ênfase2 182" xfId="4492" xr:uid="{00000000-0005-0000-0000-0000D4110000}"/>
    <cellStyle name="60% - Ênfase2 183" xfId="4493" xr:uid="{00000000-0005-0000-0000-0000D5110000}"/>
    <cellStyle name="60% - Ênfase2 184" xfId="4494" xr:uid="{00000000-0005-0000-0000-0000D6110000}"/>
    <cellStyle name="60% - Ênfase2 185" xfId="4495" xr:uid="{00000000-0005-0000-0000-0000D7110000}"/>
    <cellStyle name="60% - Ênfase2 186" xfId="4496" xr:uid="{00000000-0005-0000-0000-0000D8110000}"/>
    <cellStyle name="60% - Ênfase2 187" xfId="4497" xr:uid="{00000000-0005-0000-0000-0000D9110000}"/>
    <cellStyle name="60% - Ênfase2 188" xfId="4498" xr:uid="{00000000-0005-0000-0000-0000DA110000}"/>
    <cellStyle name="60% - Ênfase2 189" xfId="4499" xr:uid="{00000000-0005-0000-0000-0000DB110000}"/>
    <cellStyle name="60% - Ênfase2 19" xfId="4500" xr:uid="{00000000-0005-0000-0000-0000DC110000}"/>
    <cellStyle name="60% - Ênfase2 19 2" xfId="4501" xr:uid="{00000000-0005-0000-0000-0000DD110000}"/>
    <cellStyle name="60% - Ênfase2 19 3" xfId="4502" xr:uid="{00000000-0005-0000-0000-0000DE110000}"/>
    <cellStyle name="60% - Ênfase2 190" xfId="4503" xr:uid="{00000000-0005-0000-0000-0000DF110000}"/>
    <cellStyle name="60% - Ênfase2 2" xfId="4504" xr:uid="{00000000-0005-0000-0000-0000E0110000}"/>
    <cellStyle name="60% - Ênfase2 2 10" xfId="4505" xr:uid="{00000000-0005-0000-0000-0000E1110000}"/>
    <cellStyle name="60% - Ênfase2 2 10 2" xfId="4506" xr:uid="{00000000-0005-0000-0000-0000E2110000}"/>
    <cellStyle name="60% - Ênfase2 2 10 3" xfId="4507" xr:uid="{00000000-0005-0000-0000-0000E3110000}"/>
    <cellStyle name="60% - Ênfase2 2 10 4" xfId="4508" xr:uid="{00000000-0005-0000-0000-0000E4110000}"/>
    <cellStyle name="60% - Ênfase2 2 10 5" xfId="4509" xr:uid="{00000000-0005-0000-0000-0000E5110000}"/>
    <cellStyle name="60% - Ênfase2 2 10 6" xfId="4510" xr:uid="{00000000-0005-0000-0000-0000E6110000}"/>
    <cellStyle name="60% - Ênfase2 2 10 7" xfId="4511" xr:uid="{00000000-0005-0000-0000-0000E7110000}"/>
    <cellStyle name="60% - Ênfase2 2 11" xfId="4512" xr:uid="{00000000-0005-0000-0000-0000E8110000}"/>
    <cellStyle name="60% - Ênfase2 2 11 2" xfId="4513" xr:uid="{00000000-0005-0000-0000-0000E9110000}"/>
    <cellStyle name="60% - Ênfase2 2 11 3" xfId="4514" xr:uid="{00000000-0005-0000-0000-0000EA110000}"/>
    <cellStyle name="60% - Ênfase2 2 11 4" xfId="4515" xr:uid="{00000000-0005-0000-0000-0000EB110000}"/>
    <cellStyle name="60% - Ênfase2 2 11 5" xfId="4516" xr:uid="{00000000-0005-0000-0000-0000EC110000}"/>
    <cellStyle name="60% - Ênfase2 2 11 6" xfId="4517" xr:uid="{00000000-0005-0000-0000-0000ED110000}"/>
    <cellStyle name="60% - Ênfase2 2 11 7" xfId="4518" xr:uid="{00000000-0005-0000-0000-0000EE110000}"/>
    <cellStyle name="60% - Ênfase2 2 12" xfId="4519" xr:uid="{00000000-0005-0000-0000-0000EF110000}"/>
    <cellStyle name="60% - Ênfase2 2 13" xfId="4520" xr:uid="{00000000-0005-0000-0000-0000F0110000}"/>
    <cellStyle name="60% - Ênfase2 2 14" xfId="4521" xr:uid="{00000000-0005-0000-0000-0000F1110000}"/>
    <cellStyle name="60% - Ênfase2 2 15" xfId="4522" xr:uid="{00000000-0005-0000-0000-0000F2110000}"/>
    <cellStyle name="60% - Ênfase2 2 16" xfId="4523" xr:uid="{00000000-0005-0000-0000-0000F3110000}"/>
    <cellStyle name="60% - Ênfase2 2 17" xfId="4524" xr:uid="{00000000-0005-0000-0000-0000F4110000}"/>
    <cellStyle name="60% - Ênfase2 2 18" xfId="4525" xr:uid="{00000000-0005-0000-0000-0000F5110000}"/>
    <cellStyle name="60% - Ênfase2 2 19" xfId="4526" xr:uid="{00000000-0005-0000-0000-0000F6110000}"/>
    <cellStyle name="60% - Ênfase2 2 2" xfId="4527" xr:uid="{00000000-0005-0000-0000-0000F7110000}"/>
    <cellStyle name="60% - Ênfase2 2 20" xfId="4528" xr:uid="{00000000-0005-0000-0000-0000F8110000}"/>
    <cellStyle name="60% - Ênfase2 2 21" xfId="4529" xr:uid="{00000000-0005-0000-0000-0000F9110000}"/>
    <cellStyle name="60% - Ênfase2 2 22" xfId="4530" xr:uid="{00000000-0005-0000-0000-0000FA110000}"/>
    <cellStyle name="60% - Ênfase2 2 23" xfId="4531" xr:uid="{00000000-0005-0000-0000-0000FB110000}"/>
    <cellStyle name="60% - Ênfase2 2 24" xfId="4532" xr:uid="{00000000-0005-0000-0000-0000FC110000}"/>
    <cellStyle name="60% - Ênfase2 2 25" xfId="4533" xr:uid="{00000000-0005-0000-0000-0000FD110000}"/>
    <cellStyle name="60% - Ênfase2 2 26" xfId="4534" xr:uid="{00000000-0005-0000-0000-0000FE110000}"/>
    <cellStyle name="60% - Ênfase2 2 27" xfId="4535" xr:uid="{00000000-0005-0000-0000-0000FF110000}"/>
    <cellStyle name="60% - Ênfase2 2 28" xfId="4536" xr:uid="{00000000-0005-0000-0000-000000120000}"/>
    <cellStyle name="60% - Ênfase2 2 29" xfId="4537" xr:uid="{00000000-0005-0000-0000-000001120000}"/>
    <cellStyle name="60% - Ênfase2 2 3" xfId="4538" xr:uid="{00000000-0005-0000-0000-000002120000}"/>
    <cellStyle name="60% - Ênfase2 2 30" xfId="4539" xr:uid="{00000000-0005-0000-0000-000003120000}"/>
    <cellStyle name="60% - Ênfase2 2 31" xfId="4540" xr:uid="{00000000-0005-0000-0000-000004120000}"/>
    <cellStyle name="60% - Ênfase2 2 32" xfId="4541" xr:uid="{00000000-0005-0000-0000-000005120000}"/>
    <cellStyle name="60% - Ênfase2 2 33" xfId="4542" xr:uid="{00000000-0005-0000-0000-000006120000}"/>
    <cellStyle name="60% - Ênfase2 2 34" xfId="4543" xr:uid="{00000000-0005-0000-0000-000007120000}"/>
    <cellStyle name="60% - Ênfase2 2 35" xfId="4544" xr:uid="{00000000-0005-0000-0000-000008120000}"/>
    <cellStyle name="60% - Ênfase2 2 4" xfId="4545" xr:uid="{00000000-0005-0000-0000-000009120000}"/>
    <cellStyle name="60% - Ênfase2 2 5" xfId="4546" xr:uid="{00000000-0005-0000-0000-00000A120000}"/>
    <cellStyle name="60% - Ênfase2 2 6" xfId="4547" xr:uid="{00000000-0005-0000-0000-00000B120000}"/>
    <cellStyle name="60% - Ênfase2 2 7" xfId="4548" xr:uid="{00000000-0005-0000-0000-00000C120000}"/>
    <cellStyle name="60% - Ênfase2 2 8" xfId="4549" xr:uid="{00000000-0005-0000-0000-00000D120000}"/>
    <cellStyle name="60% - Ênfase2 2 8 2" xfId="4550" xr:uid="{00000000-0005-0000-0000-00000E120000}"/>
    <cellStyle name="60% - Ênfase2 2 8 3" xfId="4551" xr:uid="{00000000-0005-0000-0000-00000F120000}"/>
    <cellStyle name="60% - Ênfase2 2 8 4" xfId="4552" xr:uid="{00000000-0005-0000-0000-000010120000}"/>
    <cellStyle name="60% - Ênfase2 2 8 5" xfId="4553" xr:uid="{00000000-0005-0000-0000-000011120000}"/>
    <cellStyle name="60% - Ênfase2 2 8 6" xfId="4554" xr:uid="{00000000-0005-0000-0000-000012120000}"/>
    <cellStyle name="60% - Ênfase2 2 8 7" xfId="4555" xr:uid="{00000000-0005-0000-0000-000013120000}"/>
    <cellStyle name="60% - Ênfase2 2 9" xfId="4556" xr:uid="{00000000-0005-0000-0000-000014120000}"/>
    <cellStyle name="60% - Ênfase2 2 9 2" xfId="4557" xr:uid="{00000000-0005-0000-0000-000015120000}"/>
    <cellStyle name="60% - Ênfase2 2 9 3" xfId="4558" xr:uid="{00000000-0005-0000-0000-000016120000}"/>
    <cellStyle name="60% - Ênfase2 2 9 4" xfId="4559" xr:uid="{00000000-0005-0000-0000-000017120000}"/>
    <cellStyle name="60% - Ênfase2 2 9 5" xfId="4560" xr:uid="{00000000-0005-0000-0000-000018120000}"/>
    <cellStyle name="60% - Ênfase2 2 9 6" xfId="4561" xr:uid="{00000000-0005-0000-0000-000019120000}"/>
    <cellStyle name="60% - Ênfase2 2 9 7" xfId="4562" xr:uid="{00000000-0005-0000-0000-00001A120000}"/>
    <cellStyle name="60% - Ênfase2 20" xfId="4563" xr:uid="{00000000-0005-0000-0000-00001B120000}"/>
    <cellStyle name="60% - Ênfase2 20 2" xfId="4564" xr:uid="{00000000-0005-0000-0000-00001C120000}"/>
    <cellStyle name="60% - Ênfase2 20 3" xfId="4565" xr:uid="{00000000-0005-0000-0000-00001D120000}"/>
    <cellStyle name="60% - Ênfase2 21" xfId="4566" xr:uid="{00000000-0005-0000-0000-00001E120000}"/>
    <cellStyle name="60% - Ênfase2 22" xfId="4567" xr:uid="{00000000-0005-0000-0000-00001F120000}"/>
    <cellStyle name="60% - Ênfase2 23" xfId="4568" xr:uid="{00000000-0005-0000-0000-000020120000}"/>
    <cellStyle name="60% - Ênfase2 24" xfId="4569" xr:uid="{00000000-0005-0000-0000-000021120000}"/>
    <cellStyle name="60% - Ênfase2 24 2" xfId="40940" xr:uid="{00000000-0005-0000-0000-000022120000}"/>
    <cellStyle name="60% - Ênfase2 25" xfId="4570" xr:uid="{00000000-0005-0000-0000-000023120000}"/>
    <cellStyle name="60% - Ênfase2 25 2" xfId="40975" xr:uid="{00000000-0005-0000-0000-000024120000}"/>
    <cellStyle name="60% - Ênfase2 26" xfId="4571" xr:uid="{00000000-0005-0000-0000-000025120000}"/>
    <cellStyle name="60% - Ênfase2 26 10" xfId="4572" xr:uid="{00000000-0005-0000-0000-000026120000}"/>
    <cellStyle name="60% - Ênfase2 26 11" xfId="4573" xr:uid="{00000000-0005-0000-0000-000027120000}"/>
    <cellStyle name="60% - Ênfase2 26 12" xfId="4574" xr:uid="{00000000-0005-0000-0000-000028120000}"/>
    <cellStyle name="60% - Ênfase2 26 13" xfId="4575" xr:uid="{00000000-0005-0000-0000-000029120000}"/>
    <cellStyle name="60% - Ênfase2 26 14" xfId="4576" xr:uid="{00000000-0005-0000-0000-00002A120000}"/>
    <cellStyle name="60% - Ênfase2 26 15" xfId="4577" xr:uid="{00000000-0005-0000-0000-00002B120000}"/>
    <cellStyle name="60% - Ênfase2 26 16" xfId="4578" xr:uid="{00000000-0005-0000-0000-00002C120000}"/>
    <cellStyle name="60% - Ênfase2 26 2" xfId="4579" xr:uid="{00000000-0005-0000-0000-00002D120000}"/>
    <cellStyle name="60% - Ênfase2 26 3" xfId="4580" xr:uid="{00000000-0005-0000-0000-00002E120000}"/>
    <cellStyle name="60% - Ênfase2 26 4" xfId="4581" xr:uid="{00000000-0005-0000-0000-00002F120000}"/>
    <cellStyle name="60% - Ênfase2 26 5" xfId="4582" xr:uid="{00000000-0005-0000-0000-000030120000}"/>
    <cellStyle name="60% - Ênfase2 26 6" xfId="4583" xr:uid="{00000000-0005-0000-0000-000031120000}"/>
    <cellStyle name="60% - Ênfase2 26 7" xfId="4584" xr:uid="{00000000-0005-0000-0000-000032120000}"/>
    <cellStyle name="60% - Ênfase2 26 8" xfId="4585" xr:uid="{00000000-0005-0000-0000-000033120000}"/>
    <cellStyle name="60% - Ênfase2 26 9" xfId="4586" xr:uid="{00000000-0005-0000-0000-000034120000}"/>
    <cellStyle name="60% - Ênfase2 27" xfId="4587" xr:uid="{00000000-0005-0000-0000-000035120000}"/>
    <cellStyle name="60% - Ênfase2 27 10" xfId="4588" xr:uid="{00000000-0005-0000-0000-000036120000}"/>
    <cellStyle name="60% - Ênfase2 27 11" xfId="4589" xr:uid="{00000000-0005-0000-0000-000037120000}"/>
    <cellStyle name="60% - Ênfase2 27 12" xfId="4590" xr:uid="{00000000-0005-0000-0000-000038120000}"/>
    <cellStyle name="60% - Ênfase2 27 13" xfId="4591" xr:uid="{00000000-0005-0000-0000-000039120000}"/>
    <cellStyle name="60% - Ênfase2 27 14" xfId="4592" xr:uid="{00000000-0005-0000-0000-00003A120000}"/>
    <cellStyle name="60% - Ênfase2 27 15" xfId="4593" xr:uid="{00000000-0005-0000-0000-00003B120000}"/>
    <cellStyle name="60% - Ênfase2 27 16" xfId="4594" xr:uid="{00000000-0005-0000-0000-00003C120000}"/>
    <cellStyle name="60% - Ênfase2 27 2" xfId="4595" xr:uid="{00000000-0005-0000-0000-00003D120000}"/>
    <cellStyle name="60% - Ênfase2 27 3" xfId="4596" xr:uid="{00000000-0005-0000-0000-00003E120000}"/>
    <cellStyle name="60% - Ênfase2 27 4" xfId="4597" xr:uid="{00000000-0005-0000-0000-00003F120000}"/>
    <cellStyle name="60% - Ênfase2 27 5" xfId="4598" xr:uid="{00000000-0005-0000-0000-000040120000}"/>
    <cellStyle name="60% - Ênfase2 27 6" xfId="4599" xr:uid="{00000000-0005-0000-0000-000041120000}"/>
    <cellStyle name="60% - Ênfase2 27 7" xfId="4600" xr:uid="{00000000-0005-0000-0000-000042120000}"/>
    <cellStyle name="60% - Ênfase2 27 8" xfId="4601" xr:uid="{00000000-0005-0000-0000-000043120000}"/>
    <cellStyle name="60% - Ênfase2 27 9" xfId="4602" xr:uid="{00000000-0005-0000-0000-000044120000}"/>
    <cellStyle name="60% - Ênfase2 28" xfId="4603" xr:uid="{00000000-0005-0000-0000-000045120000}"/>
    <cellStyle name="60% - Ênfase2 28 10" xfId="4604" xr:uid="{00000000-0005-0000-0000-000046120000}"/>
    <cellStyle name="60% - Ênfase2 28 11" xfId="4605" xr:uid="{00000000-0005-0000-0000-000047120000}"/>
    <cellStyle name="60% - Ênfase2 28 12" xfId="4606" xr:uid="{00000000-0005-0000-0000-000048120000}"/>
    <cellStyle name="60% - Ênfase2 28 13" xfId="4607" xr:uid="{00000000-0005-0000-0000-000049120000}"/>
    <cellStyle name="60% - Ênfase2 28 14" xfId="4608" xr:uid="{00000000-0005-0000-0000-00004A120000}"/>
    <cellStyle name="60% - Ênfase2 28 15" xfId="4609" xr:uid="{00000000-0005-0000-0000-00004B120000}"/>
    <cellStyle name="60% - Ênfase2 28 16" xfId="4610" xr:uid="{00000000-0005-0000-0000-00004C120000}"/>
    <cellStyle name="60% - Ênfase2 28 2" xfId="4611" xr:uid="{00000000-0005-0000-0000-00004D120000}"/>
    <cellStyle name="60% - Ênfase2 28 3" xfId="4612" xr:uid="{00000000-0005-0000-0000-00004E120000}"/>
    <cellStyle name="60% - Ênfase2 28 4" xfId="4613" xr:uid="{00000000-0005-0000-0000-00004F120000}"/>
    <cellStyle name="60% - Ênfase2 28 5" xfId="4614" xr:uid="{00000000-0005-0000-0000-000050120000}"/>
    <cellStyle name="60% - Ênfase2 28 6" xfId="4615" xr:uid="{00000000-0005-0000-0000-000051120000}"/>
    <cellStyle name="60% - Ênfase2 28 7" xfId="4616" xr:uid="{00000000-0005-0000-0000-000052120000}"/>
    <cellStyle name="60% - Ênfase2 28 8" xfId="4617" xr:uid="{00000000-0005-0000-0000-000053120000}"/>
    <cellStyle name="60% - Ênfase2 28 9" xfId="4618" xr:uid="{00000000-0005-0000-0000-000054120000}"/>
    <cellStyle name="60% - Ênfase2 29" xfId="4619" xr:uid="{00000000-0005-0000-0000-000055120000}"/>
    <cellStyle name="60% - Ênfase2 29 10" xfId="4620" xr:uid="{00000000-0005-0000-0000-000056120000}"/>
    <cellStyle name="60% - Ênfase2 29 11" xfId="4621" xr:uid="{00000000-0005-0000-0000-000057120000}"/>
    <cellStyle name="60% - Ênfase2 29 12" xfId="4622" xr:uid="{00000000-0005-0000-0000-000058120000}"/>
    <cellStyle name="60% - Ênfase2 29 13" xfId="4623" xr:uid="{00000000-0005-0000-0000-000059120000}"/>
    <cellStyle name="60% - Ênfase2 29 14" xfId="4624" xr:uid="{00000000-0005-0000-0000-00005A120000}"/>
    <cellStyle name="60% - Ênfase2 29 15" xfId="4625" xr:uid="{00000000-0005-0000-0000-00005B120000}"/>
    <cellStyle name="60% - Ênfase2 29 16" xfId="4626" xr:uid="{00000000-0005-0000-0000-00005C120000}"/>
    <cellStyle name="60% - Ênfase2 29 2" xfId="4627" xr:uid="{00000000-0005-0000-0000-00005D120000}"/>
    <cellStyle name="60% - Ênfase2 29 3" xfId="4628" xr:uid="{00000000-0005-0000-0000-00005E120000}"/>
    <cellStyle name="60% - Ênfase2 29 4" xfId="4629" xr:uid="{00000000-0005-0000-0000-00005F120000}"/>
    <cellStyle name="60% - Ênfase2 29 5" xfId="4630" xr:uid="{00000000-0005-0000-0000-000060120000}"/>
    <cellStyle name="60% - Ênfase2 29 6" xfId="4631" xr:uid="{00000000-0005-0000-0000-000061120000}"/>
    <cellStyle name="60% - Ênfase2 29 7" xfId="4632" xr:uid="{00000000-0005-0000-0000-000062120000}"/>
    <cellStyle name="60% - Ênfase2 29 8" xfId="4633" xr:uid="{00000000-0005-0000-0000-000063120000}"/>
    <cellStyle name="60% - Ênfase2 29 9" xfId="4634" xr:uid="{00000000-0005-0000-0000-000064120000}"/>
    <cellStyle name="60% - Ênfase2 3" xfId="4635" xr:uid="{00000000-0005-0000-0000-000065120000}"/>
    <cellStyle name="60% - Ênfase2 3 10" xfId="4636" xr:uid="{00000000-0005-0000-0000-000066120000}"/>
    <cellStyle name="60% - Ênfase2 3 11" xfId="4637" xr:uid="{00000000-0005-0000-0000-000067120000}"/>
    <cellStyle name="60% - Ênfase2 3 2" xfId="4638" xr:uid="{00000000-0005-0000-0000-000068120000}"/>
    <cellStyle name="60% - Ênfase2 3 3" xfId="4639" xr:uid="{00000000-0005-0000-0000-000069120000}"/>
    <cellStyle name="60% - Ênfase2 3 4" xfId="4640" xr:uid="{00000000-0005-0000-0000-00006A120000}"/>
    <cellStyle name="60% - Ênfase2 3 5" xfId="4641" xr:uid="{00000000-0005-0000-0000-00006B120000}"/>
    <cellStyle name="60% - Ênfase2 3 6" xfId="4642" xr:uid="{00000000-0005-0000-0000-00006C120000}"/>
    <cellStyle name="60% - Ênfase2 3 7" xfId="4643" xr:uid="{00000000-0005-0000-0000-00006D120000}"/>
    <cellStyle name="60% - Ênfase2 3 8" xfId="4644" xr:uid="{00000000-0005-0000-0000-00006E120000}"/>
    <cellStyle name="60% - Ênfase2 3 9" xfId="4645" xr:uid="{00000000-0005-0000-0000-00006F120000}"/>
    <cellStyle name="60% - Ênfase2 30" xfId="4646" xr:uid="{00000000-0005-0000-0000-000070120000}"/>
    <cellStyle name="60% - Ênfase2 31" xfId="4647" xr:uid="{00000000-0005-0000-0000-000071120000}"/>
    <cellStyle name="60% - Ênfase2 32" xfId="4648" xr:uid="{00000000-0005-0000-0000-000072120000}"/>
    <cellStyle name="60% - Ênfase2 33" xfId="4649" xr:uid="{00000000-0005-0000-0000-000073120000}"/>
    <cellStyle name="60% - Ênfase2 34" xfId="4650" xr:uid="{00000000-0005-0000-0000-000074120000}"/>
    <cellStyle name="60% - Ênfase2 35" xfId="4651" xr:uid="{00000000-0005-0000-0000-000075120000}"/>
    <cellStyle name="60% - Ênfase2 36" xfId="4652" xr:uid="{00000000-0005-0000-0000-000076120000}"/>
    <cellStyle name="60% - Ênfase2 37" xfId="4653" xr:uid="{00000000-0005-0000-0000-000077120000}"/>
    <cellStyle name="60% - Ênfase2 38" xfId="4654" xr:uid="{00000000-0005-0000-0000-000078120000}"/>
    <cellStyle name="60% - Ênfase2 39" xfId="4655" xr:uid="{00000000-0005-0000-0000-000079120000}"/>
    <cellStyle name="60% - Ênfase2 4" xfId="4656" xr:uid="{00000000-0005-0000-0000-00007A120000}"/>
    <cellStyle name="60% - Ênfase2 4 10" xfId="4657" xr:uid="{00000000-0005-0000-0000-00007B120000}"/>
    <cellStyle name="60% - Ênfase2 4 11" xfId="4658" xr:uid="{00000000-0005-0000-0000-00007C120000}"/>
    <cellStyle name="60% - Ênfase2 4 2" xfId="4659" xr:uid="{00000000-0005-0000-0000-00007D120000}"/>
    <cellStyle name="60% - Ênfase2 4 3" xfId="4660" xr:uid="{00000000-0005-0000-0000-00007E120000}"/>
    <cellStyle name="60% - Ênfase2 4 4" xfId="4661" xr:uid="{00000000-0005-0000-0000-00007F120000}"/>
    <cellStyle name="60% - Ênfase2 4 5" xfId="4662" xr:uid="{00000000-0005-0000-0000-000080120000}"/>
    <cellStyle name="60% - Ênfase2 4 6" xfId="4663" xr:uid="{00000000-0005-0000-0000-000081120000}"/>
    <cellStyle name="60% - Ênfase2 4 7" xfId="4664" xr:uid="{00000000-0005-0000-0000-000082120000}"/>
    <cellStyle name="60% - Ênfase2 4 8" xfId="4665" xr:uid="{00000000-0005-0000-0000-000083120000}"/>
    <cellStyle name="60% - Ênfase2 4 9" xfId="4666" xr:uid="{00000000-0005-0000-0000-000084120000}"/>
    <cellStyle name="60% - Ênfase2 40" xfId="4667" xr:uid="{00000000-0005-0000-0000-000085120000}"/>
    <cellStyle name="60% - Ênfase2 41" xfId="4668" xr:uid="{00000000-0005-0000-0000-000086120000}"/>
    <cellStyle name="60% - Ênfase2 42" xfId="4669" xr:uid="{00000000-0005-0000-0000-000087120000}"/>
    <cellStyle name="60% - Ênfase2 43" xfId="4670" xr:uid="{00000000-0005-0000-0000-000088120000}"/>
    <cellStyle name="60% - Ênfase2 44" xfId="4671" xr:uid="{00000000-0005-0000-0000-000089120000}"/>
    <cellStyle name="60% - Ênfase2 45" xfId="4672" xr:uid="{00000000-0005-0000-0000-00008A120000}"/>
    <cellStyle name="60% - Ênfase2 46" xfId="4673" xr:uid="{00000000-0005-0000-0000-00008B120000}"/>
    <cellStyle name="60% - Ênfase2 47" xfId="4674" xr:uid="{00000000-0005-0000-0000-00008C120000}"/>
    <cellStyle name="60% - Ênfase2 48" xfId="4675" xr:uid="{00000000-0005-0000-0000-00008D120000}"/>
    <cellStyle name="60% - Ênfase2 49" xfId="4676" xr:uid="{00000000-0005-0000-0000-00008E120000}"/>
    <cellStyle name="60% - Ênfase2 5" xfId="4677" xr:uid="{00000000-0005-0000-0000-00008F120000}"/>
    <cellStyle name="60% - Ênfase2 5 2" xfId="4678" xr:uid="{00000000-0005-0000-0000-000090120000}"/>
    <cellStyle name="60% - Ênfase2 5 3" xfId="4679" xr:uid="{00000000-0005-0000-0000-000091120000}"/>
    <cellStyle name="60% - Ênfase2 5 4" xfId="4680" xr:uid="{00000000-0005-0000-0000-000092120000}"/>
    <cellStyle name="60% - Ênfase2 50" xfId="4681" xr:uid="{00000000-0005-0000-0000-000093120000}"/>
    <cellStyle name="60% - Ênfase2 51" xfId="4682" xr:uid="{00000000-0005-0000-0000-000094120000}"/>
    <cellStyle name="60% - Ênfase2 52" xfId="4683" xr:uid="{00000000-0005-0000-0000-000095120000}"/>
    <cellStyle name="60% - Ênfase2 53" xfId="4684" xr:uid="{00000000-0005-0000-0000-000096120000}"/>
    <cellStyle name="60% - Ênfase2 54" xfId="4685" xr:uid="{00000000-0005-0000-0000-000097120000}"/>
    <cellStyle name="60% - Ênfase2 55" xfId="4686" xr:uid="{00000000-0005-0000-0000-000098120000}"/>
    <cellStyle name="60% - Ênfase2 56" xfId="4687" xr:uid="{00000000-0005-0000-0000-000099120000}"/>
    <cellStyle name="60% - Ênfase2 57" xfId="4688" xr:uid="{00000000-0005-0000-0000-00009A120000}"/>
    <cellStyle name="60% - Ênfase2 58" xfId="4689" xr:uid="{00000000-0005-0000-0000-00009B120000}"/>
    <cellStyle name="60% - Ênfase2 59" xfId="4690" xr:uid="{00000000-0005-0000-0000-00009C120000}"/>
    <cellStyle name="60% - Ênfase2 6" xfId="4691" xr:uid="{00000000-0005-0000-0000-00009D120000}"/>
    <cellStyle name="60% - Ênfase2 6 2" xfId="4692" xr:uid="{00000000-0005-0000-0000-00009E120000}"/>
    <cellStyle name="60% - Ênfase2 6 3" xfId="4693" xr:uid="{00000000-0005-0000-0000-00009F120000}"/>
    <cellStyle name="60% - Ênfase2 6 4" xfId="4694" xr:uid="{00000000-0005-0000-0000-0000A0120000}"/>
    <cellStyle name="60% - Ênfase2 60" xfId="4695" xr:uid="{00000000-0005-0000-0000-0000A1120000}"/>
    <cellStyle name="60% - Ênfase2 61" xfId="4696" xr:uid="{00000000-0005-0000-0000-0000A2120000}"/>
    <cellStyle name="60% - Ênfase2 62" xfId="4697" xr:uid="{00000000-0005-0000-0000-0000A3120000}"/>
    <cellStyle name="60% - Ênfase2 63" xfId="4698" xr:uid="{00000000-0005-0000-0000-0000A4120000}"/>
    <cellStyle name="60% - Ênfase2 64" xfId="4699" xr:uid="{00000000-0005-0000-0000-0000A5120000}"/>
    <cellStyle name="60% - Ênfase2 65" xfId="4700" xr:uid="{00000000-0005-0000-0000-0000A6120000}"/>
    <cellStyle name="60% - Ênfase2 66" xfId="4701" xr:uid="{00000000-0005-0000-0000-0000A7120000}"/>
    <cellStyle name="60% - Ênfase2 67" xfId="4702" xr:uid="{00000000-0005-0000-0000-0000A8120000}"/>
    <cellStyle name="60% - Ênfase2 68" xfId="4703" xr:uid="{00000000-0005-0000-0000-0000A9120000}"/>
    <cellStyle name="60% - Ênfase2 69" xfId="4704" xr:uid="{00000000-0005-0000-0000-0000AA120000}"/>
    <cellStyle name="60% - Ênfase2 7" xfId="4705" xr:uid="{00000000-0005-0000-0000-0000AB120000}"/>
    <cellStyle name="60% - Ênfase2 7 2" xfId="4706" xr:uid="{00000000-0005-0000-0000-0000AC120000}"/>
    <cellStyle name="60% - Ênfase2 7 3" xfId="4707" xr:uid="{00000000-0005-0000-0000-0000AD120000}"/>
    <cellStyle name="60% - Ênfase2 7 4" xfId="4708" xr:uid="{00000000-0005-0000-0000-0000AE120000}"/>
    <cellStyle name="60% - Ênfase2 70" xfId="4709" xr:uid="{00000000-0005-0000-0000-0000AF120000}"/>
    <cellStyle name="60% - Ênfase2 71" xfId="4710" xr:uid="{00000000-0005-0000-0000-0000B0120000}"/>
    <cellStyle name="60% - Ênfase2 72" xfId="4711" xr:uid="{00000000-0005-0000-0000-0000B1120000}"/>
    <cellStyle name="60% - Ênfase2 73" xfId="4712" xr:uid="{00000000-0005-0000-0000-0000B2120000}"/>
    <cellStyle name="60% - Ênfase2 74" xfId="4713" xr:uid="{00000000-0005-0000-0000-0000B3120000}"/>
    <cellStyle name="60% - Ênfase2 75" xfId="4714" xr:uid="{00000000-0005-0000-0000-0000B4120000}"/>
    <cellStyle name="60% - Ênfase2 76" xfId="4715" xr:uid="{00000000-0005-0000-0000-0000B5120000}"/>
    <cellStyle name="60% - Ênfase2 77" xfId="4716" xr:uid="{00000000-0005-0000-0000-0000B6120000}"/>
    <cellStyle name="60% - Ênfase2 78" xfId="4717" xr:uid="{00000000-0005-0000-0000-0000B7120000}"/>
    <cellStyle name="60% - Ênfase2 79" xfId="4718" xr:uid="{00000000-0005-0000-0000-0000B8120000}"/>
    <cellStyle name="60% - Ênfase2 8" xfId="4719" xr:uid="{00000000-0005-0000-0000-0000B9120000}"/>
    <cellStyle name="60% - Ênfase2 8 2" xfId="4720" xr:uid="{00000000-0005-0000-0000-0000BA120000}"/>
    <cellStyle name="60% - Ênfase2 8 3" xfId="4721" xr:uid="{00000000-0005-0000-0000-0000BB120000}"/>
    <cellStyle name="60% - Ênfase2 8 4" xfId="4722" xr:uid="{00000000-0005-0000-0000-0000BC120000}"/>
    <cellStyle name="60% - Ênfase2 80" xfId="4723" xr:uid="{00000000-0005-0000-0000-0000BD120000}"/>
    <cellStyle name="60% - Ênfase2 81" xfId="4724" xr:uid="{00000000-0005-0000-0000-0000BE120000}"/>
    <cellStyle name="60% - Ênfase2 82" xfId="4725" xr:uid="{00000000-0005-0000-0000-0000BF120000}"/>
    <cellStyle name="60% - Ênfase2 83" xfId="4726" xr:uid="{00000000-0005-0000-0000-0000C0120000}"/>
    <cellStyle name="60% - Ênfase2 84" xfId="4727" xr:uid="{00000000-0005-0000-0000-0000C1120000}"/>
    <cellStyle name="60% - Ênfase2 85" xfId="4728" xr:uid="{00000000-0005-0000-0000-0000C2120000}"/>
    <cellStyle name="60% - Ênfase2 86" xfId="4729" xr:uid="{00000000-0005-0000-0000-0000C3120000}"/>
    <cellStyle name="60% - Ênfase2 87" xfId="4730" xr:uid="{00000000-0005-0000-0000-0000C4120000}"/>
    <cellStyle name="60% - Ênfase2 88" xfId="4731" xr:uid="{00000000-0005-0000-0000-0000C5120000}"/>
    <cellStyle name="60% - Ênfase2 89" xfId="4732" xr:uid="{00000000-0005-0000-0000-0000C6120000}"/>
    <cellStyle name="60% - Ênfase2 9" xfId="4733" xr:uid="{00000000-0005-0000-0000-0000C7120000}"/>
    <cellStyle name="60% - Ênfase2 90" xfId="4734" xr:uid="{00000000-0005-0000-0000-0000C8120000}"/>
    <cellStyle name="60% - Ênfase2 91" xfId="4735" xr:uid="{00000000-0005-0000-0000-0000C9120000}"/>
    <cellStyle name="60% - Ênfase2 92" xfId="4736" xr:uid="{00000000-0005-0000-0000-0000CA120000}"/>
    <cellStyle name="60% - Ênfase2 93" xfId="4737" xr:uid="{00000000-0005-0000-0000-0000CB120000}"/>
    <cellStyle name="60% - Ênfase2 94" xfId="4738" xr:uid="{00000000-0005-0000-0000-0000CC120000}"/>
    <cellStyle name="60% - Ênfase2 95" xfId="4739" xr:uid="{00000000-0005-0000-0000-0000CD120000}"/>
    <cellStyle name="60% - Ênfase2 96" xfId="4740" xr:uid="{00000000-0005-0000-0000-0000CE120000}"/>
    <cellStyle name="60% - Ênfase2 97" xfId="4741" xr:uid="{00000000-0005-0000-0000-0000CF120000}"/>
    <cellStyle name="60% - Ênfase2 98" xfId="4742" xr:uid="{00000000-0005-0000-0000-0000D0120000}"/>
    <cellStyle name="60% - Ênfase2 99" xfId="4743" xr:uid="{00000000-0005-0000-0000-0000D1120000}"/>
    <cellStyle name="60% - Ênfase3 10" xfId="4744" xr:uid="{00000000-0005-0000-0000-0000D2120000}"/>
    <cellStyle name="60% - Ênfase3 10 2" xfId="40514" xr:uid="{00000000-0005-0000-0000-0000D3120000}"/>
    <cellStyle name="60% - Ênfase3 100" xfId="4745" xr:uid="{00000000-0005-0000-0000-0000D4120000}"/>
    <cellStyle name="60% - Ênfase3 101" xfId="4746" xr:uid="{00000000-0005-0000-0000-0000D5120000}"/>
    <cellStyle name="60% - Ênfase3 102" xfId="4747" xr:uid="{00000000-0005-0000-0000-0000D6120000}"/>
    <cellStyle name="60% - Ênfase3 103" xfId="4748" xr:uid="{00000000-0005-0000-0000-0000D7120000}"/>
    <cellStyle name="60% - Ênfase3 104" xfId="4749" xr:uid="{00000000-0005-0000-0000-0000D8120000}"/>
    <cellStyle name="60% - Ênfase3 105" xfId="4750" xr:uid="{00000000-0005-0000-0000-0000D9120000}"/>
    <cellStyle name="60% - Ênfase3 106" xfId="4751" xr:uid="{00000000-0005-0000-0000-0000DA120000}"/>
    <cellStyle name="60% - Ênfase3 107" xfId="4752" xr:uid="{00000000-0005-0000-0000-0000DB120000}"/>
    <cellStyle name="60% - Ênfase3 108" xfId="4753" xr:uid="{00000000-0005-0000-0000-0000DC120000}"/>
    <cellStyle name="60% - Ênfase3 109" xfId="4754" xr:uid="{00000000-0005-0000-0000-0000DD120000}"/>
    <cellStyle name="60% - Ênfase3 11" xfId="4755" xr:uid="{00000000-0005-0000-0000-0000DE120000}"/>
    <cellStyle name="60% - Ênfase3 11 2" xfId="40515" xr:uid="{00000000-0005-0000-0000-0000DF120000}"/>
    <cellStyle name="60% - Ênfase3 110" xfId="4756" xr:uid="{00000000-0005-0000-0000-0000E0120000}"/>
    <cellStyle name="60% - Ênfase3 111" xfId="4757" xr:uid="{00000000-0005-0000-0000-0000E1120000}"/>
    <cellStyle name="60% - Ênfase3 112" xfId="4758" xr:uid="{00000000-0005-0000-0000-0000E2120000}"/>
    <cellStyle name="60% - Ênfase3 113" xfId="4759" xr:uid="{00000000-0005-0000-0000-0000E3120000}"/>
    <cellStyle name="60% - Ênfase3 114" xfId="4760" xr:uid="{00000000-0005-0000-0000-0000E4120000}"/>
    <cellStyle name="60% - Ênfase3 115" xfId="4761" xr:uid="{00000000-0005-0000-0000-0000E5120000}"/>
    <cellStyle name="60% - Ênfase3 116" xfId="4762" xr:uid="{00000000-0005-0000-0000-0000E6120000}"/>
    <cellStyle name="60% - Ênfase3 117" xfId="4763" xr:uid="{00000000-0005-0000-0000-0000E7120000}"/>
    <cellStyle name="60% - Ênfase3 118" xfId="4764" xr:uid="{00000000-0005-0000-0000-0000E8120000}"/>
    <cellStyle name="60% - Ênfase3 119" xfId="4765" xr:uid="{00000000-0005-0000-0000-0000E9120000}"/>
    <cellStyle name="60% - Ênfase3 12" xfId="4766" xr:uid="{00000000-0005-0000-0000-0000EA120000}"/>
    <cellStyle name="60% - Ênfase3 12 2" xfId="40516" xr:uid="{00000000-0005-0000-0000-0000EB120000}"/>
    <cellStyle name="60% - Ênfase3 120" xfId="4767" xr:uid="{00000000-0005-0000-0000-0000EC120000}"/>
    <cellStyle name="60% - Ênfase3 121" xfId="4768" xr:uid="{00000000-0005-0000-0000-0000ED120000}"/>
    <cellStyle name="60% - Ênfase3 122" xfId="4769" xr:uid="{00000000-0005-0000-0000-0000EE120000}"/>
    <cellStyle name="60% - Ênfase3 123" xfId="4770" xr:uid="{00000000-0005-0000-0000-0000EF120000}"/>
    <cellStyle name="60% - Ênfase3 124" xfId="4771" xr:uid="{00000000-0005-0000-0000-0000F0120000}"/>
    <cellStyle name="60% - Ênfase3 125" xfId="4772" xr:uid="{00000000-0005-0000-0000-0000F1120000}"/>
    <cellStyle name="60% - Ênfase3 126" xfId="4773" xr:uid="{00000000-0005-0000-0000-0000F2120000}"/>
    <cellStyle name="60% - Ênfase3 127" xfId="4774" xr:uid="{00000000-0005-0000-0000-0000F3120000}"/>
    <cellStyle name="60% - Ênfase3 128" xfId="4775" xr:uid="{00000000-0005-0000-0000-0000F4120000}"/>
    <cellStyle name="60% - Ênfase3 129" xfId="4776" xr:uid="{00000000-0005-0000-0000-0000F5120000}"/>
    <cellStyle name="60% - Ênfase3 13" xfId="4777" xr:uid="{00000000-0005-0000-0000-0000F6120000}"/>
    <cellStyle name="60% - Ênfase3 13 2" xfId="40517" xr:uid="{00000000-0005-0000-0000-0000F7120000}"/>
    <cellStyle name="60% - Ênfase3 130" xfId="4778" xr:uid="{00000000-0005-0000-0000-0000F8120000}"/>
    <cellStyle name="60% - Ênfase3 131" xfId="4779" xr:uid="{00000000-0005-0000-0000-0000F9120000}"/>
    <cellStyle name="60% - Ênfase3 132" xfId="4780" xr:uid="{00000000-0005-0000-0000-0000FA120000}"/>
    <cellStyle name="60% - Ênfase3 133" xfId="4781" xr:uid="{00000000-0005-0000-0000-0000FB120000}"/>
    <cellStyle name="60% - Ênfase3 134" xfId="4782" xr:uid="{00000000-0005-0000-0000-0000FC120000}"/>
    <cellStyle name="60% - Ênfase3 135" xfId="4783" xr:uid="{00000000-0005-0000-0000-0000FD120000}"/>
    <cellStyle name="60% - Ênfase3 136" xfId="4784" xr:uid="{00000000-0005-0000-0000-0000FE120000}"/>
    <cellStyle name="60% - Ênfase3 137" xfId="4785" xr:uid="{00000000-0005-0000-0000-0000FF120000}"/>
    <cellStyle name="60% - Ênfase3 138" xfId="4786" xr:uid="{00000000-0005-0000-0000-000000130000}"/>
    <cellStyle name="60% - Ênfase3 139" xfId="4787" xr:uid="{00000000-0005-0000-0000-000001130000}"/>
    <cellStyle name="60% - Ênfase3 14" xfId="4788" xr:uid="{00000000-0005-0000-0000-000002130000}"/>
    <cellStyle name="60% - Ênfase3 140" xfId="4789" xr:uid="{00000000-0005-0000-0000-000003130000}"/>
    <cellStyle name="60% - Ênfase3 141" xfId="4790" xr:uid="{00000000-0005-0000-0000-000004130000}"/>
    <cellStyle name="60% - Ênfase3 142" xfId="4791" xr:uid="{00000000-0005-0000-0000-000005130000}"/>
    <cellStyle name="60% - Ênfase3 143" xfId="4792" xr:uid="{00000000-0005-0000-0000-000006130000}"/>
    <cellStyle name="60% - Ênfase3 144" xfId="4793" xr:uid="{00000000-0005-0000-0000-000007130000}"/>
    <cellStyle name="60% - Ênfase3 145" xfId="4794" xr:uid="{00000000-0005-0000-0000-000008130000}"/>
    <cellStyle name="60% - Ênfase3 146" xfId="4795" xr:uid="{00000000-0005-0000-0000-000009130000}"/>
    <cellStyle name="60% - Ênfase3 147" xfId="4796" xr:uid="{00000000-0005-0000-0000-00000A130000}"/>
    <cellStyle name="60% - Ênfase3 148" xfId="4797" xr:uid="{00000000-0005-0000-0000-00000B130000}"/>
    <cellStyle name="60% - Ênfase3 149" xfId="4798" xr:uid="{00000000-0005-0000-0000-00000C130000}"/>
    <cellStyle name="60% - Ênfase3 15" xfId="4799" xr:uid="{00000000-0005-0000-0000-00000D130000}"/>
    <cellStyle name="60% - Ênfase3 15 2" xfId="4800" xr:uid="{00000000-0005-0000-0000-00000E130000}"/>
    <cellStyle name="60% - Ênfase3 15 3" xfId="4801" xr:uid="{00000000-0005-0000-0000-00000F130000}"/>
    <cellStyle name="60% - Ênfase3 150" xfId="4802" xr:uid="{00000000-0005-0000-0000-000010130000}"/>
    <cellStyle name="60% - Ênfase3 151" xfId="4803" xr:uid="{00000000-0005-0000-0000-000011130000}"/>
    <cellStyle name="60% - Ênfase3 152" xfId="4804" xr:uid="{00000000-0005-0000-0000-000012130000}"/>
    <cellStyle name="60% - Ênfase3 153" xfId="4805" xr:uid="{00000000-0005-0000-0000-000013130000}"/>
    <cellStyle name="60% - Ênfase3 154" xfId="4806" xr:uid="{00000000-0005-0000-0000-000014130000}"/>
    <cellStyle name="60% - Ênfase3 155" xfId="4807" xr:uid="{00000000-0005-0000-0000-000015130000}"/>
    <cellStyle name="60% - Ênfase3 156" xfId="4808" xr:uid="{00000000-0005-0000-0000-000016130000}"/>
    <cellStyle name="60% - Ênfase3 157" xfId="4809" xr:uid="{00000000-0005-0000-0000-000017130000}"/>
    <cellStyle name="60% - Ênfase3 158" xfId="4810" xr:uid="{00000000-0005-0000-0000-000018130000}"/>
    <cellStyle name="60% - Ênfase3 159" xfId="4811" xr:uid="{00000000-0005-0000-0000-000019130000}"/>
    <cellStyle name="60% - Ênfase3 16" xfId="4812" xr:uid="{00000000-0005-0000-0000-00001A130000}"/>
    <cellStyle name="60% - Ênfase3 16 2" xfId="4813" xr:uid="{00000000-0005-0000-0000-00001B130000}"/>
    <cellStyle name="60% - Ênfase3 16 3" xfId="4814" xr:uid="{00000000-0005-0000-0000-00001C130000}"/>
    <cellStyle name="60% - Ênfase3 160" xfId="4815" xr:uid="{00000000-0005-0000-0000-00001D130000}"/>
    <cellStyle name="60% - Ênfase3 161" xfId="4816" xr:uid="{00000000-0005-0000-0000-00001E130000}"/>
    <cellStyle name="60% - Ênfase3 162" xfId="4817" xr:uid="{00000000-0005-0000-0000-00001F130000}"/>
    <cellStyle name="60% - Ênfase3 163" xfId="4818" xr:uid="{00000000-0005-0000-0000-000020130000}"/>
    <cellStyle name="60% - Ênfase3 164" xfId="4819" xr:uid="{00000000-0005-0000-0000-000021130000}"/>
    <cellStyle name="60% - Ênfase3 165" xfId="4820" xr:uid="{00000000-0005-0000-0000-000022130000}"/>
    <cellStyle name="60% - Ênfase3 166" xfId="4821" xr:uid="{00000000-0005-0000-0000-000023130000}"/>
    <cellStyle name="60% - Ênfase3 167" xfId="4822" xr:uid="{00000000-0005-0000-0000-000024130000}"/>
    <cellStyle name="60% - Ênfase3 168" xfId="4823" xr:uid="{00000000-0005-0000-0000-000025130000}"/>
    <cellStyle name="60% - Ênfase3 169" xfId="4824" xr:uid="{00000000-0005-0000-0000-000026130000}"/>
    <cellStyle name="60% - Ênfase3 17" xfId="4825" xr:uid="{00000000-0005-0000-0000-000027130000}"/>
    <cellStyle name="60% - Ênfase3 17 2" xfId="4826" xr:uid="{00000000-0005-0000-0000-000028130000}"/>
    <cellStyle name="60% - Ênfase3 17 3" xfId="4827" xr:uid="{00000000-0005-0000-0000-000029130000}"/>
    <cellStyle name="60% - Ênfase3 170" xfId="4828" xr:uid="{00000000-0005-0000-0000-00002A130000}"/>
    <cellStyle name="60% - Ênfase3 171" xfId="4829" xr:uid="{00000000-0005-0000-0000-00002B130000}"/>
    <cellStyle name="60% - Ênfase3 172" xfId="4830" xr:uid="{00000000-0005-0000-0000-00002C130000}"/>
    <cellStyle name="60% - Ênfase3 173" xfId="4831" xr:uid="{00000000-0005-0000-0000-00002D130000}"/>
    <cellStyle name="60% - Ênfase3 174" xfId="4832" xr:uid="{00000000-0005-0000-0000-00002E130000}"/>
    <cellStyle name="60% - Ênfase3 175" xfId="4833" xr:uid="{00000000-0005-0000-0000-00002F130000}"/>
    <cellStyle name="60% - Ênfase3 176" xfId="4834" xr:uid="{00000000-0005-0000-0000-000030130000}"/>
    <cellStyle name="60% - Ênfase3 177" xfId="4835" xr:uid="{00000000-0005-0000-0000-000031130000}"/>
    <cellStyle name="60% - Ênfase3 178" xfId="4836" xr:uid="{00000000-0005-0000-0000-000032130000}"/>
    <cellStyle name="60% - Ênfase3 179" xfId="4837" xr:uid="{00000000-0005-0000-0000-000033130000}"/>
    <cellStyle name="60% - Ênfase3 18" xfId="4838" xr:uid="{00000000-0005-0000-0000-000034130000}"/>
    <cellStyle name="60% - Ênfase3 18 2" xfId="4839" xr:uid="{00000000-0005-0000-0000-000035130000}"/>
    <cellStyle name="60% - Ênfase3 18 3" xfId="4840" xr:uid="{00000000-0005-0000-0000-000036130000}"/>
    <cellStyle name="60% - Ênfase3 180" xfId="4841" xr:uid="{00000000-0005-0000-0000-000037130000}"/>
    <cellStyle name="60% - Ênfase3 181" xfId="4842" xr:uid="{00000000-0005-0000-0000-000038130000}"/>
    <cellStyle name="60% - Ênfase3 182" xfId="4843" xr:uid="{00000000-0005-0000-0000-000039130000}"/>
    <cellStyle name="60% - Ênfase3 183" xfId="4844" xr:uid="{00000000-0005-0000-0000-00003A130000}"/>
    <cellStyle name="60% - Ênfase3 184" xfId="4845" xr:uid="{00000000-0005-0000-0000-00003B130000}"/>
    <cellStyle name="60% - Ênfase3 185" xfId="4846" xr:uid="{00000000-0005-0000-0000-00003C130000}"/>
    <cellStyle name="60% - Ênfase3 186" xfId="4847" xr:uid="{00000000-0005-0000-0000-00003D130000}"/>
    <cellStyle name="60% - Ênfase3 187" xfId="4848" xr:uid="{00000000-0005-0000-0000-00003E130000}"/>
    <cellStyle name="60% - Ênfase3 188" xfId="4849" xr:uid="{00000000-0005-0000-0000-00003F130000}"/>
    <cellStyle name="60% - Ênfase3 189" xfId="4850" xr:uid="{00000000-0005-0000-0000-000040130000}"/>
    <cellStyle name="60% - Ênfase3 19" xfId="4851" xr:uid="{00000000-0005-0000-0000-000041130000}"/>
    <cellStyle name="60% - Ênfase3 19 2" xfId="4852" xr:uid="{00000000-0005-0000-0000-000042130000}"/>
    <cellStyle name="60% - Ênfase3 19 3" xfId="4853" xr:uid="{00000000-0005-0000-0000-000043130000}"/>
    <cellStyle name="60% - Ênfase3 190" xfId="4854" xr:uid="{00000000-0005-0000-0000-000044130000}"/>
    <cellStyle name="60% - Ênfase3 2" xfId="4855" xr:uid="{00000000-0005-0000-0000-000045130000}"/>
    <cellStyle name="60% - Ênfase3 2 10" xfId="4856" xr:uid="{00000000-0005-0000-0000-000046130000}"/>
    <cellStyle name="60% - Ênfase3 2 10 2" xfId="4857" xr:uid="{00000000-0005-0000-0000-000047130000}"/>
    <cellStyle name="60% - Ênfase3 2 10 3" xfId="4858" xr:uid="{00000000-0005-0000-0000-000048130000}"/>
    <cellStyle name="60% - Ênfase3 2 10 4" xfId="4859" xr:uid="{00000000-0005-0000-0000-000049130000}"/>
    <cellStyle name="60% - Ênfase3 2 10 5" xfId="4860" xr:uid="{00000000-0005-0000-0000-00004A130000}"/>
    <cellStyle name="60% - Ênfase3 2 10 6" xfId="4861" xr:uid="{00000000-0005-0000-0000-00004B130000}"/>
    <cellStyle name="60% - Ênfase3 2 10 7" xfId="4862" xr:uid="{00000000-0005-0000-0000-00004C130000}"/>
    <cellStyle name="60% - Ênfase3 2 11" xfId="4863" xr:uid="{00000000-0005-0000-0000-00004D130000}"/>
    <cellStyle name="60% - Ênfase3 2 11 2" xfId="4864" xr:uid="{00000000-0005-0000-0000-00004E130000}"/>
    <cellStyle name="60% - Ênfase3 2 11 3" xfId="4865" xr:uid="{00000000-0005-0000-0000-00004F130000}"/>
    <cellStyle name="60% - Ênfase3 2 11 4" xfId="4866" xr:uid="{00000000-0005-0000-0000-000050130000}"/>
    <cellStyle name="60% - Ênfase3 2 11 5" xfId="4867" xr:uid="{00000000-0005-0000-0000-000051130000}"/>
    <cellStyle name="60% - Ênfase3 2 11 6" xfId="4868" xr:uid="{00000000-0005-0000-0000-000052130000}"/>
    <cellStyle name="60% - Ênfase3 2 11 7" xfId="4869" xr:uid="{00000000-0005-0000-0000-000053130000}"/>
    <cellStyle name="60% - Ênfase3 2 12" xfId="4870" xr:uid="{00000000-0005-0000-0000-000054130000}"/>
    <cellStyle name="60% - Ênfase3 2 13" xfId="4871" xr:uid="{00000000-0005-0000-0000-000055130000}"/>
    <cellStyle name="60% - Ênfase3 2 14" xfId="4872" xr:uid="{00000000-0005-0000-0000-000056130000}"/>
    <cellStyle name="60% - Ênfase3 2 15" xfId="4873" xr:uid="{00000000-0005-0000-0000-000057130000}"/>
    <cellStyle name="60% - Ênfase3 2 16" xfId="4874" xr:uid="{00000000-0005-0000-0000-000058130000}"/>
    <cellStyle name="60% - Ênfase3 2 17" xfId="4875" xr:uid="{00000000-0005-0000-0000-000059130000}"/>
    <cellStyle name="60% - Ênfase3 2 18" xfId="4876" xr:uid="{00000000-0005-0000-0000-00005A130000}"/>
    <cellStyle name="60% - Ênfase3 2 19" xfId="4877" xr:uid="{00000000-0005-0000-0000-00005B130000}"/>
    <cellStyle name="60% - Ênfase3 2 2" xfId="4878" xr:uid="{00000000-0005-0000-0000-00005C130000}"/>
    <cellStyle name="60% - Ênfase3 2 20" xfId="4879" xr:uid="{00000000-0005-0000-0000-00005D130000}"/>
    <cellStyle name="60% - Ênfase3 2 21" xfId="4880" xr:uid="{00000000-0005-0000-0000-00005E130000}"/>
    <cellStyle name="60% - Ênfase3 2 22" xfId="4881" xr:uid="{00000000-0005-0000-0000-00005F130000}"/>
    <cellStyle name="60% - Ênfase3 2 23" xfId="4882" xr:uid="{00000000-0005-0000-0000-000060130000}"/>
    <cellStyle name="60% - Ênfase3 2 24" xfId="4883" xr:uid="{00000000-0005-0000-0000-000061130000}"/>
    <cellStyle name="60% - Ênfase3 2 25" xfId="4884" xr:uid="{00000000-0005-0000-0000-000062130000}"/>
    <cellStyle name="60% - Ênfase3 2 26" xfId="4885" xr:uid="{00000000-0005-0000-0000-000063130000}"/>
    <cellStyle name="60% - Ênfase3 2 27" xfId="4886" xr:uid="{00000000-0005-0000-0000-000064130000}"/>
    <cellStyle name="60% - Ênfase3 2 28" xfId="4887" xr:uid="{00000000-0005-0000-0000-000065130000}"/>
    <cellStyle name="60% - Ênfase3 2 29" xfId="4888" xr:uid="{00000000-0005-0000-0000-000066130000}"/>
    <cellStyle name="60% - Ênfase3 2 3" xfId="4889" xr:uid="{00000000-0005-0000-0000-000067130000}"/>
    <cellStyle name="60% - Ênfase3 2 30" xfId="4890" xr:uid="{00000000-0005-0000-0000-000068130000}"/>
    <cellStyle name="60% - Ênfase3 2 31" xfId="4891" xr:uid="{00000000-0005-0000-0000-000069130000}"/>
    <cellStyle name="60% - Ênfase3 2 32" xfId="4892" xr:uid="{00000000-0005-0000-0000-00006A130000}"/>
    <cellStyle name="60% - Ênfase3 2 33" xfId="4893" xr:uid="{00000000-0005-0000-0000-00006B130000}"/>
    <cellStyle name="60% - Ênfase3 2 34" xfId="4894" xr:uid="{00000000-0005-0000-0000-00006C130000}"/>
    <cellStyle name="60% - Ênfase3 2 35" xfId="4895" xr:uid="{00000000-0005-0000-0000-00006D130000}"/>
    <cellStyle name="60% - Ênfase3 2 4" xfId="4896" xr:uid="{00000000-0005-0000-0000-00006E130000}"/>
    <cellStyle name="60% - Ênfase3 2 5" xfId="4897" xr:uid="{00000000-0005-0000-0000-00006F130000}"/>
    <cellStyle name="60% - Ênfase3 2 6" xfId="4898" xr:uid="{00000000-0005-0000-0000-000070130000}"/>
    <cellStyle name="60% - Ênfase3 2 7" xfId="4899" xr:uid="{00000000-0005-0000-0000-000071130000}"/>
    <cellStyle name="60% - Ênfase3 2 8" xfId="4900" xr:uid="{00000000-0005-0000-0000-000072130000}"/>
    <cellStyle name="60% - Ênfase3 2 8 2" xfId="4901" xr:uid="{00000000-0005-0000-0000-000073130000}"/>
    <cellStyle name="60% - Ênfase3 2 8 3" xfId="4902" xr:uid="{00000000-0005-0000-0000-000074130000}"/>
    <cellStyle name="60% - Ênfase3 2 8 4" xfId="4903" xr:uid="{00000000-0005-0000-0000-000075130000}"/>
    <cellStyle name="60% - Ênfase3 2 8 5" xfId="4904" xr:uid="{00000000-0005-0000-0000-000076130000}"/>
    <cellStyle name="60% - Ênfase3 2 8 6" xfId="4905" xr:uid="{00000000-0005-0000-0000-000077130000}"/>
    <cellStyle name="60% - Ênfase3 2 8 7" xfId="4906" xr:uid="{00000000-0005-0000-0000-000078130000}"/>
    <cellStyle name="60% - Ênfase3 2 9" xfId="4907" xr:uid="{00000000-0005-0000-0000-000079130000}"/>
    <cellStyle name="60% - Ênfase3 2 9 2" xfId="4908" xr:uid="{00000000-0005-0000-0000-00007A130000}"/>
    <cellStyle name="60% - Ênfase3 2 9 3" xfId="4909" xr:uid="{00000000-0005-0000-0000-00007B130000}"/>
    <cellStyle name="60% - Ênfase3 2 9 4" xfId="4910" xr:uid="{00000000-0005-0000-0000-00007C130000}"/>
    <cellStyle name="60% - Ênfase3 2 9 5" xfId="4911" xr:uid="{00000000-0005-0000-0000-00007D130000}"/>
    <cellStyle name="60% - Ênfase3 2 9 6" xfId="4912" xr:uid="{00000000-0005-0000-0000-00007E130000}"/>
    <cellStyle name="60% - Ênfase3 2 9 7" xfId="4913" xr:uid="{00000000-0005-0000-0000-00007F130000}"/>
    <cellStyle name="60% - Ênfase3 20" xfId="4914" xr:uid="{00000000-0005-0000-0000-000080130000}"/>
    <cellStyle name="60% - Ênfase3 20 2" xfId="4915" xr:uid="{00000000-0005-0000-0000-000081130000}"/>
    <cellStyle name="60% - Ênfase3 20 3" xfId="4916" xr:uid="{00000000-0005-0000-0000-000082130000}"/>
    <cellStyle name="60% - Ênfase3 21" xfId="4917" xr:uid="{00000000-0005-0000-0000-000083130000}"/>
    <cellStyle name="60% - Ênfase3 22" xfId="4918" xr:uid="{00000000-0005-0000-0000-000084130000}"/>
    <cellStyle name="60% - Ênfase3 23" xfId="4919" xr:uid="{00000000-0005-0000-0000-000085130000}"/>
    <cellStyle name="60% - Ênfase3 24" xfId="4920" xr:uid="{00000000-0005-0000-0000-000086130000}"/>
    <cellStyle name="60% - Ênfase3 24 2" xfId="40941" xr:uid="{00000000-0005-0000-0000-000087130000}"/>
    <cellStyle name="60% - Ênfase3 25" xfId="4921" xr:uid="{00000000-0005-0000-0000-000088130000}"/>
    <cellStyle name="60% - Ênfase3 25 2" xfId="40976" xr:uid="{00000000-0005-0000-0000-000089130000}"/>
    <cellStyle name="60% - Ênfase3 26" xfId="4922" xr:uid="{00000000-0005-0000-0000-00008A130000}"/>
    <cellStyle name="60% - Ênfase3 26 10" xfId="4923" xr:uid="{00000000-0005-0000-0000-00008B130000}"/>
    <cellStyle name="60% - Ênfase3 26 11" xfId="4924" xr:uid="{00000000-0005-0000-0000-00008C130000}"/>
    <cellStyle name="60% - Ênfase3 26 12" xfId="4925" xr:uid="{00000000-0005-0000-0000-00008D130000}"/>
    <cellStyle name="60% - Ênfase3 26 13" xfId="4926" xr:uid="{00000000-0005-0000-0000-00008E130000}"/>
    <cellStyle name="60% - Ênfase3 26 14" xfId="4927" xr:uid="{00000000-0005-0000-0000-00008F130000}"/>
    <cellStyle name="60% - Ênfase3 26 15" xfId="4928" xr:uid="{00000000-0005-0000-0000-000090130000}"/>
    <cellStyle name="60% - Ênfase3 26 16" xfId="4929" xr:uid="{00000000-0005-0000-0000-000091130000}"/>
    <cellStyle name="60% - Ênfase3 26 2" xfId="4930" xr:uid="{00000000-0005-0000-0000-000092130000}"/>
    <cellStyle name="60% - Ênfase3 26 3" xfId="4931" xr:uid="{00000000-0005-0000-0000-000093130000}"/>
    <cellStyle name="60% - Ênfase3 26 4" xfId="4932" xr:uid="{00000000-0005-0000-0000-000094130000}"/>
    <cellStyle name="60% - Ênfase3 26 5" xfId="4933" xr:uid="{00000000-0005-0000-0000-000095130000}"/>
    <cellStyle name="60% - Ênfase3 26 6" xfId="4934" xr:uid="{00000000-0005-0000-0000-000096130000}"/>
    <cellStyle name="60% - Ênfase3 26 7" xfId="4935" xr:uid="{00000000-0005-0000-0000-000097130000}"/>
    <cellStyle name="60% - Ênfase3 26 8" xfId="4936" xr:uid="{00000000-0005-0000-0000-000098130000}"/>
    <cellStyle name="60% - Ênfase3 26 9" xfId="4937" xr:uid="{00000000-0005-0000-0000-000099130000}"/>
    <cellStyle name="60% - Ênfase3 27" xfId="4938" xr:uid="{00000000-0005-0000-0000-00009A130000}"/>
    <cellStyle name="60% - Ênfase3 27 10" xfId="4939" xr:uid="{00000000-0005-0000-0000-00009B130000}"/>
    <cellStyle name="60% - Ênfase3 27 11" xfId="4940" xr:uid="{00000000-0005-0000-0000-00009C130000}"/>
    <cellStyle name="60% - Ênfase3 27 12" xfId="4941" xr:uid="{00000000-0005-0000-0000-00009D130000}"/>
    <cellStyle name="60% - Ênfase3 27 13" xfId="4942" xr:uid="{00000000-0005-0000-0000-00009E130000}"/>
    <cellStyle name="60% - Ênfase3 27 14" xfId="4943" xr:uid="{00000000-0005-0000-0000-00009F130000}"/>
    <cellStyle name="60% - Ênfase3 27 15" xfId="4944" xr:uid="{00000000-0005-0000-0000-0000A0130000}"/>
    <cellStyle name="60% - Ênfase3 27 16" xfId="4945" xr:uid="{00000000-0005-0000-0000-0000A1130000}"/>
    <cellStyle name="60% - Ênfase3 27 2" xfId="4946" xr:uid="{00000000-0005-0000-0000-0000A2130000}"/>
    <cellStyle name="60% - Ênfase3 27 3" xfId="4947" xr:uid="{00000000-0005-0000-0000-0000A3130000}"/>
    <cellStyle name="60% - Ênfase3 27 4" xfId="4948" xr:uid="{00000000-0005-0000-0000-0000A4130000}"/>
    <cellStyle name="60% - Ênfase3 27 5" xfId="4949" xr:uid="{00000000-0005-0000-0000-0000A5130000}"/>
    <cellStyle name="60% - Ênfase3 27 6" xfId="4950" xr:uid="{00000000-0005-0000-0000-0000A6130000}"/>
    <cellStyle name="60% - Ênfase3 27 7" xfId="4951" xr:uid="{00000000-0005-0000-0000-0000A7130000}"/>
    <cellStyle name="60% - Ênfase3 27 8" xfId="4952" xr:uid="{00000000-0005-0000-0000-0000A8130000}"/>
    <cellStyle name="60% - Ênfase3 27 9" xfId="4953" xr:uid="{00000000-0005-0000-0000-0000A9130000}"/>
    <cellStyle name="60% - Ênfase3 28" xfId="4954" xr:uid="{00000000-0005-0000-0000-0000AA130000}"/>
    <cellStyle name="60% - Ênfase3 28 10" xfId="4955" xr:uid="{00000000-0005-0000-0000-0000AB130000}"/>
    <cellStyle name="60% - Ênfase3 28 11" xfId="4956" xr:uid="{00000000-0005-0000-0000-0000AC130000}"/>
    <cellStyle name="60% - Ênfase3 28 12" xfId="4957" xr:uid="{00000000-0005-0000-0000-0000AD130000}"/>
    <cellStyle name="60% - Ênfase3 28 13" xfId="4958" xr:uid="{00000000-0005-0000-0000-0000AE130000}"/>
    <cellStyle name="60% - Ênfase3 28 14" xfId="4959" xr:uid="{00000000-0005-0000-0000-0000AF130000}"/>
    <cellStyle name="60% - Ênfase3 28 15" xfId="4960" xr:uid="{00000000-0005-0000-0000-0000B0130000}"/>
    <cellStyle name="60% - Ênfase3 28 16" xfId="4961" xr:uid="{00000000-0005-0000-0000-0000B1130000}"/>
    <cellStyle name="60% - Ênfase3 28 2" xfId="4962" xr:uid="{00000000-0005-0000-0000-0000B2130000}"/>
    <cellStyle name="60% - Ênfase3 28 3" xfId="4963" xr:uid="{00000000-0005-0000-0000-0000B3130000}"/>
    <cellStyle name="60% - Ênfase3 28 4" xfId="4964" xr:uid="{00000000-0005-0000-0000-0000B4130000}"/>
    <cellStyle name="60% - Ênfase3 28 5" xfId="4965" xr:uid="{00000000-0005-0000-0000-0000B5130000}"/>
    <cellStyle name="60% - Ênfase3 28 6" xfId="4966" xr:uid="{00000000-0005-0000-0000-0000B6130000}"/>
    <cellStyle name="60% - Ênfase3 28 7" xfId="4967" xr:uid="{00000000-0005-0000-0000-0000B7130000}"/>
    <cellStyle name="60% - Ênfase3 28 8" xfId="4968" xr:uid="{00000000-0005-0000-0000-0000B8130000}"/>
    <cellStyle name="60% - Ênfase3 28 9" xfId="4969" xr:uid="{00000000-0005-0000-0000-0000B9130000}"/>
    <cellStyle name="60% - Ênfase3 29" xfId="4970" xr:uid="{00000000-0005-0000-0000-0000BA130000}"/>
    <cellStyle name="60% - Ênfase3 29 10" xfId="4971" xr:uid="{00000000-0005-0000-0000-0000BB130000}"/>
    <cellStyle name="60% - Ênfase3 29 11" xfId="4972" xr:uid="{00000000-0005-0000-0000-0000BC130000}"/>
    <cellStyle name="60% - Ênfase3 29 12" xfId="4973" xr:uid="{00000000-0005-0000-0000-0000BD130000}"/>
    <cellStyle name="60% - Ênfase3 29 13" xfId="4974" xr:uid="{00000000-0005-0000-0000-0000BE130000}"/>
    <cellStyle name="60% - Ênfase3 29 14" xfId="4975" xr:uid="{00000000-0005-0000-0000-0000BF130000}"/>
    <cellStyle name="60% - Ênfase3 29 15" xfId="4976" xr:uid="{00000000-0005-0000-0000-0000C0130000}"/>
    <cellStyle name="60% - Ênfase3 29 16" xfId="4977" xr:uid="{00000000-0005-0000-0000-0000C1130000}"/>
    <cellStyle name="60% - Ênfase3 29 2" xfId="4978" xr:uid="{00000000-0005-0000-0000-0000C2130000}"/>
    <cellStyle name="60% - Ênfase3 29 3" xfId="4979" xr:uid="{00000000-0005-0000-0000-0000C3130000}"/>
    <cellStyle name="60% - Ênfase3 29 4" xfId="4980" xr:uid="{00000000-0005-0000-0000-0000C4130000}"/>
    <cellStyle name="60% - Ênfase3 29 5" xfId="4981" xr:uid="{00000000-0005-0000-0000-0000C5130000}"/>
    <cellStyle name="60% - Ênfase3 29 6" xfId="4982" xr:uid="{00000000-0005-0000-0000-0000C6130000}"/>
    <cellStyle name="60% - Ênfase3 29 7" xfId="4983" xr:uid="{00000000-0005-0000-0000-0000C7130000}"/>
    <cellStyle name="60% - Ênfase3 29 8" xfId="4984" xr:uid="{00000000-0005-0000-0000-0000C8130000}"/>
    <cellStyle name="60% - Ênfase3 29 9" xfId="4985" xr:uid="{00000000-0005-0000-0000-0000C9130000}"/>
    <cellStyle name="60% - Ênfase3 3" xfId="4986" xr:uid="{00000000-0005-0000-0000-0000CA130000}"/>
    <cellStyle name="60% - Ênfase3 3 10" xfId="4987" xr:uid="{00000000-0005-0000-0000-0000CB130000}"/>
    <cellStyle name="60% - Ênfase3 3 11" xfId="4988" xr:uid="{00000000-0005-0000-0000-0000CC130000}"/>
    <cellStyle name="60% - Ênfase3 3 2" xfId="4989" xr:uid="{00000000-0005-0000-0000-0000CD130000}"/>
    <cellStyle name="60% - Ênfase3 3 3" xfId="4990" xr:uid="{00000000-0005-0000-0000-0000CE130000}"/>
    <cellStyle name="60% - Ênfase3 3 4" xfId="4991" xr:uid="{00000000-0005-0000-0000-0000CF130000}"/>
    <cellStyle name="60% - Ênfase3 3 5" xfId="4992" xr:uid="{00000000-0005-0000-0000-0000D0130000}"/>
    <cellStyle name="60% - Ênfase3 3 6" xfId="4993" xr:uid="{00000000-0005-0000-0000-0000D1130000}"/>
    <cellStyle name="60% - Ênfase3 3 7" xfId="4994" xr:uid="{00000000-0005-0000-0000-0000D2130000}"/>
    <cellStyle name="60% - Ênfase3 3 8" xfId="4995" xr:uid="{00000000-0005-0000-0000-0000D3130000}"/>
    <cellStyle name="60% - Ênfase3 3 9" xfId="4996" xr:uid="{00000000-0005-0000-0000-0000D4130000}"/>
    <cellStyle name="60% - Ênfase3 30" xfId="4997" xr:uid="{00000000-0005-0000-0000-0000D5130000}"/>
    <cellStyle name="60% - Ênfase3 31" xfId="4998" xr:uid="{00000000-0005-0000-0000-0000D6130000}"/>
    <cellStyle name="60% - Ênfase3 32" xfId="4999" xr:uid="{00000000-0005-0000-0000-0000D7130000}"/>
    <cellStyle name="60% - Ênfase3 33" xfId="5000" xr:uid="{00000000-0005-0000-0000-0000D8130000}"/>
    <cellStyle name="60% - Ênfase3 34" xfId="5001" xr:uid="{00000000-0005-0000-0000-0000D9130000}"/>
    <cellStyle name="60% - Ênfase3 35" xfId="5002" xr:uid="{00000000-0005-0000-0000-0000DA130000}"/>
    <cellStyle name="60% - Ênfase3 36" xfId="5003" xr:uid="{00000000-0005-0000-0000-0000DB130000}"/>
    <cellStyle name="60% - Ênfase3 37" xfId="5004" xr:uid="{00000000-0005-0000-0000-0000DC130000}"/>
    <cellStyle name="60% - Ênfase3 38" xfId="5005" xr:uid="{00000000-0005-0000-0000-0000DD130000}"/>
    <cellStyle name="60% - Ênfase3 39" xfId="5006" xr:uid="{00000000-0005-0000-0000-0000DE130000}"/>
    <cellStyle name="60% - Ênfase3 4" xfId="5007" xr:uid="{00000000-0005-0000-0000-0000DF130000}"/>
    <cellStyle name="60% - Ênfase3 4 10" xfId="5008" xr:uid="{00000000-0005-0000-0000-0000E0130000}"/>
    <cellStyle name="60% - Ênfase3 4 11" xfId="5009" xr:uid="{00000000-0005-0000-0000-0000E1130000}"/>
    <cellStyle name="60% - Ênfase3 4 2" xfId="5010" xr:uid="{00000000-0005-0000-0000-0000E2130000}"/>
    <cellStyle name="60% - Ênfase3 4 3" xfId="5011" xr:uid="{00000000-0005-0000-0000-0000E3130000}"/>
    <cellStyle name="60% - Ênfase3 4 4" xfId="5012" xr:uid="{00000000-0005-0000-0000-0000E4130000}"/>
    <cellStyle name="60% - Ênfase3 4 5" xfId="5013" xr:uid="{00000000-0005-0000-0000-0000E5130000}"/>
    <cellStyle name="60% - Ênfase3 4 6" xfId="5014" xr:uid="{00000000-0005-0000-0000-0000E6130000}"/>
    <cellStyle name="60% - Ênfase3 4 7" xfId="5015" xr:uid="{00000000-0005-0000-0000-0000E7130000}"/>
    <cellStyle name="60% - Ênfase3 4 8" xfId="5016" xr:uid="{00000000-0005-0000-0000-0000E8130000}"/>
    <cellStyle name="60% - Ênfase3 4 9" xfId="5017" xr:uid="{00000000-0005-0000-0000-0000E9130000}"/>
    <cellStyle name="60% - Ênfase3 40" xfId="5018" xr:uid="{00000000-0005-0000-0000-0000EA130000}"/>
    <cellStyle name="60% - Ênfase3 41" xfId="5019" xr:uid="{00000000-0005-0000-0000-0000EB130000}"/>
    <cellStyle name="60% - Ênfase3 42" xfId="5020" xr:uid="{00000000-0005-0000-0000-0000EC130000}"/>
    <cellStyle name="60% - Ênfase3 43" xfId="5021" xr:uid="{00000000-0005-0000-0000-0000ED130000}"/>
    <cellStyle name="60% - Ênfase3 44" xfId="5022" xr:uid="{00000000-0005-0000-0000-0000EE130000}"/>
    <cellStyle name="60% - Ênfase3 45" xfId="5023" xr:uid="{00000000-0005-0000-0000-0000EF130000}"/>
    <cellStyle name="60% - Ênfase3 46" xfId="5024" xr:uid="{00000000-0005-0000-0000-0000F0130000}"/>
    <cellStyle name="60% - Ênfase3 47" xfId="5025" xr:uid="{00000000-0005-0000-0000-0000F1130000}"/>
    <cellStyle name="60% - Ênfase3 48" xfId="5026" xr:uid="{00000000-0005-0000-0000-0000F2130000}"/>
    <cellStyle name="60% - Ênfase3 49" xfId="5027" xr:uid="{00000000-0005-0000-0000-0000F3130000}"/>
    <cellStyle name="60% - Ênfase3 5" xfId="5028" xr:uid="{00000000-0005-0000-0000-0000F4130000}"/>
    <cellStyle name="60% - Ênfase3 5 2" xfId="5029" xr:uid="{00000000-0005-0000-0000-0000F5130000}"/>
    <cellStyle name="60% - Ênfase3 5 3" xfId="5030" xr:uid="{00000000-0005-0000-0000-0000F6130000}"/>
    <cellStyle name="60% - Ênfase3 5 4" xfId="5031" xr:uid="{00000000-0005-0000-0000-0000F7130000}"/>
    <cellStyle name="60% - Ênfase3 50" xfId="5032" xr:uid="{00000000-0005-0000-0000-0000F8130000}"/>
    <cellStyle name="60% - Ênfase3 51" xfId="5033" xr:uid="{00000000-0005-0000-0000-0000F9130000}"/>
    <cellStyle name="60% - Ênfase3 52" xfId="5034" xr:uid="{00000000-0005-0000-0000-0000FA130000}"/>
    <cellStyle name="60% - Ênfase3 53" xfId="5035" xr:uid="{00000000-0005-0000-0000-0000FB130000}"/>
    <cellStyle name="60% - Ênfase3 54" xfId="5036" xr:uid="{00000000-0005-0000-0000-0000FC130000}"/>
    <cellStyle name="60% - Ênfase3 55" xfId="5037" xr:uid="{00000000-0005-0000-0000-0000FD130000}"/>
    <cellStyle name="60% - Ênfase3 56" xfId="5038" xr:uid="{00000000-0005-0000-0000-0000FE130000}"/>
    <cellStyle name="60% - Ênfase3 57" xfId="5039" xr:uid="{00000000-0005-0000-0000-0000FF130000}"/>
    <cellStyle name="60% - Ênfase3 58" xfId="5040" xr:uid="{00000000-0005-0000-0000-000000140000}"/>
    <cellStyle name="60% - Ênfase3 59" xfId="5041" xr:uid="{00000000-0005-0000-0000-000001140000}"/>
    <cellStyle name="60% - Ênfase3 6" xfId="5042" xr:uid="{00000000-0005-0000-0000-000002140000}"/>
    <cellStyle name="60% - Ênfase3 6 2" xfId="5043" xr:uid="{00000000-0005-0000-0000-000003140000}"/>
    <cellStyle name="60% - Ênfase3 6 3" xfId="5044" xr:uid="{00000000-0005-0000-0000-000004140000}"/>
    <cellStyle name="60% - Ênfase3 6 4" xfId="5045" xr:uid="{00000000-0005-0000-0000-000005140000}"/>
    <cellStyle name="60% - Ênfase3 60" xfId="5046" xr:uid="{00000000-0005-0000-0000-000006140000}"/>
    <cellStyle name="60% - Ênfase3 61" xfId="5047" xr:uid="{00000000-0005-0000-0000-000007140000}"/>
    <cellStyle name="60% - Ênfase3 62" xfId="5048" xr:uid="{00000000-0005-0000-0000-000008140000}"/>
    <cellStyle name="60% - Ênfase3 63" xfId="5049" xr:uid="{00000000-0005-0000-0000-000009140000}"/>
    <cellStyle name="60% - Ênfase3 64" xfId="5050" xr:uid="{00000000-0005-0000-0000-00000A140000}"/>
    <cellStyle name="60% - Ênfase3 65" xfId="5051" xr:uid="{00000000-0005-0000-0000-00000B140000}"/>
    <cellStyle name="60% - Ênfase3 66" xfId="5052" xr:uid="{00000000-0005-0000-0000-00000C140000}"/>
    <cellStyle name="60% - Ênfase3 67" xfId="5053" xr:uid="{00000000-0005-0000-0000-00000D140000}"/>
    <cellStyle name="60% - Ênfase3 68" xfId="5054" xr:uid="{00000000-0005-0000-0000-00000E140000}"/>
    <cellStyle name="60% - Ênfase3 69" xfId="5055" xr:uid="{00000000-0005-0000-0000-00000F140000}"/>
    <cellStyle name="60% - Ênfase3 7" xfId="5056" xr:uid="{00000000-0005-0000-0000-000010140000}"/>
    <cellStyle name="60% - Ênfase3 7 2" xfId="5057" xr:uid="{00000000-0005-0000-0000-000011140000}"/>
    <cellStyle name="60% - Ênfase3 7 3" xfId="5058" xr:uid="{00000000-0005-0000-0000-000012140000}"/>
    <cellStyle name="60% - Ênfase3 7 4" xfId="5059" xr:uid="{00000000-0005-0000-0000-000013140000}"/>
    <cellStyle name="60% - Ênfase3 70" xfId="5060" xr:uid="{00000000-0005-0000-0000-000014140000}"/>
    <cellStyle name="60% - Ênfase3 71" xfId="5061" xr:uid="{00000000-0005-0000-0000-000015140000}"/>
    <cellStyle name="60% - Ênfase3 72" xfId="5062" xr:uid="{00000000-0005-0000-0000-000016140000}"/>
    <cellStyle name="60% - Ênfase3 73" xfId="5063" xr:uid="{00000000-0005-0000-0000-000017140000}"/>
    <cellStyle name="60% - Ênfase3 74" xfId="5064" xr:uid="{00000000-0005-0000-0000-000018140000}"/>
    <cellStyle name="60% - Ênfase3 75" xfId="5065" xr:uid="{00000000-0005-0000-0000-000019140000}"/>
    <cellStyle name="60% - Ênfase3 76" xfId="5066" xr:uid="{00000000-0005-0000-0000-00001A140000}"/>
    <cellStyle name="60% - Ênfase3 77" xfId="5067" xr:uid="{00000000-0005-0000-0000-00001B140000}"/>
    <cellStyle name="60% - Ênfase3 78" xfId="5068" xr:uid="{00000000-0005-0000-0000-00001C140000}"/>
    <cellStyle name="60% - Ênfase3 79" xfId="5069" xr:uid="{00000000-0005-0000-0000-00001D140000}"/>
    <cellStyle name="60% - Ênfase3 8" xfId="5070" xr:uid="{00000000-0005-0000-0000-00001E140000}"/>
    <cellStyle name="60% - Ênfase3 8 2" xfId="5071" xr:uid="{00000000-0005-0000-0000-00001F140000}"/>
    <cellStyle name="60% - Ênfase3 8 3" xfId="5072" xr:uid="{00000000-0005-0000-0000-000020140000}"/>
    <cellStyle name="60% - Ênfase3 8 4" xfId="5073" xr:uid="{00000000-0005-0000-0000-000021140000}"/>
    <cellStyle name="60% - Ênfase3 80" xfId="5074" xr:uid="{00000000-0005-0000-0000-000022140000}"/>
    <cellStyle name="60% - Ênfase3 81" xfId="5075" xr:uid="{00000000-0005-0000-0000-000023140000}"/>
    <cellStyle name="60% - Ênfase3 82" xfId="5076" xr:uid="{00000000-0005-0000-0000-000024140000}"/>
    <cellStyle name="60% - Ênfase3 83" xfId="5077" xr:uid="{00000000-0005-0000-0000-000025140000}"/>
    <cellStyle name="60% - Ênfase3 84" xfId="5078" xr:uid="{00000000-0005-0000-0000-000026140000}"/>
    <cellStyle name="60% - Ênfase3 85" xfId="5079" xr:uid="{00000000-0005-0000-0000-000027140000}"/>
    <cellStyle name="60% - Ênfase3 86" xfId="5080" xr:uid="{00000000-0005-0000-0000-000028140000}"/>
    <cellStyle name="60% - Ênfase3 87" xfId="5081" xr:uid="{00000000-0005-0000-0000-000029140000}"/>
    <cellStyle name="60% - Ênfase3 88" xfId="5082" xr:uid="{00000000-0005-0000-0000-00002A140000}"/>
    <cellStyle name="60% - Ênfase3 89" xfId="5083" xr:uid="{00000000-0005-0000-0000-00002B140000}"/>
    <cellStyle name="60% - Ênfase3 9" xfId="5084" xr:uid="{00000000-0005-0000-0000-00002C140000}"/>
    <cellStyle name="60% - Ênfase3 90" xfId="5085" xr:uid="{00000000-0005-0000-0000-00002D140000}"/>
    <cellStyle name="60% - Ênfase3 91" xfId="5086" xr:uid="{00000000-0005-0000-0000-00002E140000}"/>
    <cellStyle name="60% - Ênfase3 92" xfId="5087" xr:uid="{00000000-0005-0000-0000-00002F140000}"/>
    <cellStyle name="60% - Ênfase3 93" xfId="5088" xr:uid="{00000000-0005-0000-0000-000030140000}"/>
    <cellStyle name="60% - Ênfase3 94" xfId="5089" xr:uid="{00000000-0005-0000-0000-000031140000}"/>
    <cellStyle name="60% - Ênfase3 95" xfId="5090" xr:uid="{00000000-0005-0000-0000-000032140000}"/>
    <cellStyle name="60% - Ênfase3 96" xfId="5091" xr:uid="{00000000-0005-0000-0000-000033140000}"/>
    <cellStyle name="60% - Ênfase3 97" xfId="5092" xr:uid="{00000000-0005-0000-0000-000034140000}"/>
    <cellStyle name="60% - Ênfase3 98" xfId="5093" xr:uid="{00000000-0005-0000-0000-000035140000}"/>
    <cellStyle name="60% - Ênfase3 99" xfId="5094" xr:uid="{00000000-0005-0000-0000-000036140000}"/>
    <cellStyle name="60% - Ênfase4 10" xfId="5095" xr:uid="{00000000-0005-0000-0000-000037140000}"/>
    <cellStyle name="60% - Ênfase4 10 2" xfId="40518" xr:uid="{00000000-0005-0000-0000-000038140000}"/>
    <cellStyle name="60% - Ênfase4 100" xfId="5096" xr:uid="{00000000-0005-0000-0000-000039140000}"/>
    <cellStyle name="60% - Ênfase4 101" xfId="5097" xr:uid="{00000000-0005-0000-0000-00003A140000}"/>
    <cellStyle name="60% - Ênfase4 102" xfId="5098" xr:uid="{00000000-0005-0000-0000-00003B140000}"/>
    <cellStyle name="60% - Ênfase4 103" xfId="5099" xr:uid="{00000000-0005-0000-0000-00003C140000}"/>
    <cellStyle name="60% - Ênfase4 104" xfId="5100" xr:uid="{00000000-0005-0000-0000-00003D140000}"/>
    <cellStyle name="60% - Ênfase4 105" xfId="5101" xr:uid="{00000000-0005-0000-0000-00003E140000}"/>
    <cellStyle name="60% - Ênfase4 106" xfId="5102" xr:uid="{00000000-0005-0000-0000-00003F140000}"/>
    <cellStyle name="60% - Ênfase4 107" xfId="5103" xr:uid="{00000000-0005-0000-0000-000040140000}"/>
    <cellStyle name="60% - Ênfase4 108" xfId="5104" xr:uid="{00000000-0005-0000-0000-000041140000}"/>
    <cellStyle name="60% - Ênfase4 109" xfId="5105" xr:uid="{00000000-0005-0000-0000-000042140000}"/>
    <cellStyle name="60% - Ênfase4 11" xfId="5106" xr:uid="{00000000-0005-0000-0000-000043140000}"/>
    <cellStyle name="60% - Ênfase4 11 2" xfId="40519" xr:uid="{00000000-0005-0000-0000-000044140000}"/>
    <cellStyle name="60% - Ênfase4 110" xfId="5107" xr:uid="{00000000-0005-0000-0000-000045140000}"/>
    <cellStyle name="60% - Ênfase4 111" xfId="5108" xr:uid="{00000000-0005-0000-0000-000046140000}"/>
    <cellStyle name="60% - Ênfase4 112" xfId="5109" xr:uid="{00000000-0005-0000-0000-000047140000}"/>
    <cellStyle name="60% - Ênfase4 113" xfId="5110" xr:uid="{00000000-0005-0000-0000-000048140000}"/>
    <cellStyle name="60% - Ênfase4 114" xfId="5111" xr:uid="{00000000-0005-0000-0000-000049140000}"/>
    <cellStyle name="60% - Ênfase4 115" xfId="5112" xr:uid="{00000000-0005-0000-0000-00004A140000}"/>
    <cellStyle name="60% - Ênfase4 116" xfId="5113" xr:uid="{00000000-0005-0000-0000-00004B140000}"/>
    <cellStyle name="60% - Ênfase4 117" xfId="5114" xr:uid="{00000000-0005-0000-0000-00004C140000}"/>
    <cellStyle name="60% - Ênfase4 118" xfId="5115" xr:uid="{00000000-0005-0000-0000-00004D140000}"/>
    <cellStyle name="60% - Ênfase4 119" xfId="5116" xr:uid="{00000000-0005-0000-0000-00004E140000}"/>
    <cellStyle name="60% - Ênfase4 12" xfId="5117" xr:uid="{00000000-0005-0000-0000-00004F140000}"/>
    <cellStyle name="60% - Ênfase4 12 2" xfId="40520" xr:uid="{00000000-0005-0000-0000-000050140000}"/>
    <cellStyle name="60% - Ênfase4 120" xfId="5118" xr:uid="{00000000-0005-0000-0000-000051140000}"/>
    <cellStyle name="60% - Ênfase4 121" xfId="5119" xr:uid="{00000000-0005-0000-0000-000052140000}"/>
    <cellStyle name="60% - Ênfase4 122" xfId="5120" xr:uid="{00000000-0005-0000-0000-000053140000}"/>
    <cellStyle name="60% - Ênfase4 123" xfId="5121" xr:uid="{00000000-0005-0000-0000-000054140000}"/>
    <cellStyle name="60% - Ênfase4 124" xfId="5122" xr:uid="{00000000-0005-0000-0000-000055140000}"/>
    <cellStyle name="60% - Ênfase4 125" xfId="5123" xr:uid="{00000000-0005-0000-0000-000056140000}"/>
    <cellStyle name="60% - Ênfase4 126" xfId="5124" xr:uid="{00000000-0005-0000-0000-000057140000}"/>
    <cellStyle name="60% - Ênfase4 127" xfId="5125" xr:uid="{00000000-0005-0000-0000-000058140000}"/>
    <cellStyle name="60% - Ênfase4 128" xfId="5126" xr:uid="{00000000-0005-0000-0000-000059140000}"/>
    <cellStyle name="60% - Ênfase4 129" xfId="5127" xr:uid="{00000000-0005-0000-0000-00005A140000}"/>
    <cellStyle name="60% - Ênfase4 13" xfId="5128" xr:uid="{00000000-0005-0000-0000-00005B140000}"/>
    <cellStyle name="60% - Ênfase4 13 2" xfId="40521" xr:uid="{00000000-0005-0000-0000-00005C140000}"/>
    <cellStyle name="60% - Ênfase4 130" xfId="5129" xr:uid="{00000000-0005-0000-0000-00005D140000}"/>
    <cellStyle name="60% - Ênfase4 131" xfId="5130" xr:uid="{00000000-0005-0000-0000-00005E140000}"/>
    <cellStyle name="60% - Ênfase4 132" xfId="5131" xr:uid="{00000000-0005-0000-0000-00005F140000}"/>
    <cellStyle name="60% - Ênfase4 133" xfId="5132" xr:uid="{00000000-0005-0000-0000-000060140000}"/>
    <cellStyle name="60% - Ênfase4 134" xfId="5133" xr:uid="{00000000-0005-0000-0000-000061140000}"/>
    <cellStyle name="60% - Ênfase4 135" xfId="5134" xr:uid="{00000000-0005-0000-0000-000062140000}"/>
    <cellStyle name="60% - Ênfase4 136" xfId="5135" xr:uid="{00000000-0005-0000-0000-000063140000}"/>
    <cellStyle name="60% - Ênfase4 137" xfId="5136" xr:uid="{00000000-0005-0000-0000-000064140000}"/>
    <cellStyle name="60% - Ênfase4 138" xfId="5137" xr:uid="{00000000-0005-0000-0000-000065140000}"/>
    <cellStyle name="60% - Ênfase4 139" xfId="5138" xr:uid="{00000000-0005-0000-0000-000066140000}"/>
    <cellStyle name="60% - Ênfase4 14" xfId="5139" xr:uid="{00000000-0005-0000-0000-000067140000}"/>
    <cellStyle name="60% - Ênfase4 140" xfId="5140" xr:uid="{00000000-0005-0000-0000-000068140000}"/>
    <cellStyle name="60% - Ênfase4 141" xfId="5141" xr:uid="{00000000-0005-0000-0000-000069140000}"/>
    <cellStyle name="60% - Ênfase4 142" xfId="5142" xr:uid="{00000000-0005-0000-0000-00006A140000}"/>
    <cellStyle name="60% - Ênfase4 143" xfId="5143" xr:uid="{00000000-0005-0000-0000-00006B140000}"/>
    <cellStyle name="60% - Ênfase4 144" xfId="5144" xr:uid="{00000000-0005-0000-0000-00006C140000}"/>
    <cellStyle name="60% - Ênfase4 145" xfId="5145" xr:uid="{00000000-0005-0000-0000-00006D140000}"/>
    <cellStyle name="60% - Ênfase4 146" xfId="5146" xr:uid="{00000000-0005-0000-0000-00006E140000}"/>
    <cellStyle name="60% - Ênfase4 147" xfId="5147" xr:uid="{00000000-0005-0000-0000-00006F140000}"/>
    <cellStyle name="60% - Ênfase4 148" xfId="5148" xr:uid="{00000000-0005-0000-0000-000070140000}"/>
    <cellStyle name="60% - Ênfase4 149" xfId="5149" xr:uid="{00000000-0005-0000-0000-000071140000}"/>
    <cellStyle name="60% - Ênfase4 15" xfId="5150" xr:uid="{00000000-0005-0000-0000-000072140000}"/>
    <cellStyle name="60% - Ênfase4 15 2" xfId="5151" xr:uid="{00000000-0005-0000-0000-000073140000}"/>
    <cellStyle name="60% - Ênfase4 15 3" xfId="5152" xr:uid="{00000000-0005-0000-0000-000074140000}"/>
    <cellStyle name="60% - Ênfase4 150" xfId="5153" xr:uid="{00000000-0005-0000-0000-000075140000}"/>
    <cellStyle name="60% - Ênfase4 151" xfId="5154" xr:uid="{00000000-0005-0000-0000-000076140000}"/>
    <cellStyle name="60% - Ênfase4 152" xfId="5155" xr:uid="{00000000-0005-0000-0000-000077140000}"/>
    <cellStyle name="60% - Ênfase4 153" xfId="5156" xr:uid="{00000000-0005-0000-0000-000078140000}"/>
    <cellStyle name="60% - Ênfase4 154" xfId="5157" xr:uid="{00000000-0005-0000-0000-000079140000}"/>
    <cellStyle name="60% - Ênfase4 155" xfId="5158" xr:uid="{00000000-0005-0000-0000-00007A140000}"/>
    <cellStyle name="60% - Ênfase4 156" xfId="5159" xr:uid="{00000000-0005-0000-0000-00007B140000}"/>
    <cellStyle name="60% - Ênfase4 157" xfId="5160" xr:uid="{00000000-0005-0000-0000-00007C140000}"/>
    <cellStyle name="60% - Ênfase4 158" xfId="5161" xr:uid="{00000000-0005-0000-0000-00007D140000}"/>
    <cellStyle name="60% - Ênfase4 159" xfId="5162" xr:uid="{00000000-0005-0000-0000-00007E140000}"/>
    <cellStyle name="60% - Ênfase4 16" xfId="5163" xr:uid="{00000000-0005-0000-0000-00007F140000}"/>
    <cellStyle name="60% - Ênfase4 16 2" xfId="5164" xr:uid="{00000000-0005-0000-0000-000080140000}"/>
    <cellStyle name="60% - Ênfase4 16 3" xfId="5165" xr:uid="{00000000-0005-0000-0000-000081140000}"/>
    <cellStyle name="60% - Ênfase4 160" xfId="5166" xr:uid="{00000000-0005-0000-0000-000082140000}"/>
    <cellStyle name="60% - Ênfase4 161" xfId="5167" xr:uid="{00000000-0005-0000-0000-000083140000}"/>
    <cellStyle name="60% - Ênfase4 162" xfId="5168" xr:uid="{00000000-0005-0000-0000-000084140000}"/>
    <cellStyle name="60% - Ênfase4 163" xfId="5169" xr:uid="{00000000-0005-0000-0000-000085140000}"/>
    <cellStyle name="60% - Ênfase4 164" xfId="5170" xr:uid="{00000000-0005-0000-0000-000086140000}"/>
    <cellStyle name="60% - Ênfase4 165" xfId="5171" xr:uid="{00000000-0005-0000-0000-000087140000}"/>
    <cellStyle name="60% - Ênfase4 166" xfId="5172" xr:uid="{00000000-0005-0000-0000-000088140000}"/>
    <cellStyle name="60% - Ênfase4 167" xfId="5173" xr:uid="{00000000-0005-0000-0000-000089140000}"/>
    <cellStyle name="60% - Ênfase4 168" xfId="5174" xr:uid="{00000000-0005-0000-0000-00008A140000}"/>
    <cellStyle name="60% - Ênfase4 169" xfId="5175" xr:uid="{00000000-0005-0000-0000-00008B140000}"/>
    <cellStyle name="60% - Ênfase4 17" xfId="5176" xr:uid="{00000000-0005-0000-0000-00008C140000}"/>
    <cellStyle name="60% - Ênfase4 17 2" xfId="5177" xr:uid="{00000000-0005-0000-0000-00008D140000}"/>
    <cellStyle name="60% - Ênfase4 17 3" xfId="5178" xr:uid="{00000000-0005-0000-0000-00008E140000}"/>
    <cellStyle name="60% - Ênfase4 170" xfId="5179" xr:uid="{00000000-0005-0000-0000-00008F140000}"/>
    <cellStyle name="60% - Ênfase4 171" xfId="5180" xr:uid="{00000000-0005-0000-0000-000090140000}"/>
    <cellStyle name="60% - Ênfase4 172" xfId="5181" xr:uid="{00000000-0005-0000-0000-000091140000}"/>
    <cellStyle name="60% - Ênfase4 173" xfId="5182" xr:uid="{00000000-0005-0000-0000-000092140000}"/>
    <cellStyle name="60% - Ênfase4 174" xfId="5183" xr:uid="{00000000-0005-0000-0000-000093140000}"/>
    <cellStyle name="60% - Ênfase4 175" xfId="5184" xr:uid="{00000000-0005-0000-0000-000094140000}"/>
    <cellStyle name="60% - Ênfase4 176" xfId="5185" xr:uid="{00000000-0005-0000-0000-000095140000}"/>
    <cellStyle name="60% - Ênfase4 177" xfId="5186" xr:uid="{00000000-0005-0000-0000-000096140000}"/>
    <cellStyle name="60% - Ênfase4 178" xfId="5187" xr:uid="{00000000-0005-0000-0000-000097140000}"/>
    <cellStyle name="60% - Ênfase4 179" xfId="5188" xr:uid="{00000000-0005-0000-0000-000098140000}"/>
    <cellStyle name="60% - Ênfase4 18" xfId="5189" xr:uid="{00000000-0005-0000-0000-000099140000}"/>
    <cellStyle name="60% - Ênfase4 18 2" xfId="5190" xr:uid="{00000000-0005-0000-0000-00009A140000}"/>
    <cellStyle name="60% - Ênfase4 18 3" xfId="5191" xr:uid="{00000000-0005-0000-0000-00009B140000}"/>
    <cellStyle name="60% - Ênfase4 180" xfId="5192" xr:uid="{00000000-0005-0000-0000-00009C140000}"/>
    <cellStyle name="60% - Ênfase4 181" xfId="5193" xr:uid="{00000000-0005-0000-0000-00009D140000}"/>
    <cellStyle name="60% - Ênfase4 182" xfId="5194" xr:uid="{00000000-0005-0000-0000-00009E140000}"/>
    <cellStyle name="60% - Ênfase4 183" xfId="5195" xr:uid="{00000000-0005-0000-0000-00009F140000}"/>
    <cellStyle name="60% - Ênfase4 184" xfId="5196" xr:uid="{00000000-0005-0000-0000-0000A0140000}"/>
    <cellStyle name="60% - Ênfase4 185" xfId="5197" xr:uid="{00000000-0005-0000-0000-0000A1140000}"/>
    <cellStyle name="60% - Ênfase4 186" xfId="5198" xr:uid="{00000000-0005-0000-0000-0000A2140000}"/>
    <cellStyle name="60% - Ênfase4 187" xfId="5199" xr:uid="{00000000-0005-0000-0000-0000A3140000}"/>
    <cellStyle name="60% - Ênfase4 188" xfId="5200" xr:uid="{00000000-0005-0000-0000-0000A4140000}"/>
    <cellStyle name="60% - Ênfase4 189" xfId="5201" xr:uid="{00000000-0005-0000-0000-0000A5140000}"/>
    <cellStyle name="60% - Ênfase4 19" xfId="5202" xr:uid="{00000000-0005-0000-0000-0000A6140000}"/>
    <cellStyle name="60% - Ênfase4 19 2" xfId="5203" xr:uid="{00000000-0005-0000-0000-0000A7140000}"/>
    <cellStyle name="60% - Ênfase4 19 3" xfId="5204" xr:uid="{00000000-0005-0000-0000-0000A8140000}"/>
    <cellStyle name="60% - Ênfase4 190" xfId="5205" xr:uid="{00000000-0005-0000-0000-0000A9140000}"/>
    <cellStyle name="60% - Ênfase4 2" xfId="5206" xr:uid="{00000000-0005-0000-0000-0000AA140000}"/>
    <cellStyle name="60% - Ênfase4 2 10" xfId="5207" xr:uid="{00000000-0005-0000-0000-0000AB140000}"/>
    <cellStyle name="60% - Ênfase4 2 10 2" xfId="5208" xr:uid="{00000000-0005-0000-0000-0000AC140000}"/>
    <cellStyle name="60% - Ênfase4 2 10 3" xfId="5209" xr:uid="{00000000-0005-0000-0000-0000AD140000}"/>
    <cellStyle name="60% - Ênfase4 2 10 4" xfId="5210" xr:uid="{00000000-0005-0000-0000-0000AE140000}"/>
    <cellStyle name="60% - Ênfase4 2 10 5" xfId="5211" xr:uid="{00000000-0005-0000-0000-0000AF140000}"/>
    <cellStyle name="60% - Ênfase4 2 10 6" xfId="5212" xr:uid="{00000000-0005-0000-0000-0000B0140000}"/>
    <cellStyle name="60% - Ênfase4 2 10 7" xfId="5213" xr:uid="{00000000-0005-0000-0000-0000B1140000}"/>
    <cellStyle name="60% - Ênfase4 2 11" xfId="5214" xr:uid="{00000000-0005-0000-0000-0000B2140000}"/>
    <cellStyle name="60% - Ênfase4 2 11 2" xfId="5215" xr:uid="{00000000-0005-0000-0000-0000B3140000}"/>
    <cellStyle name="60% - Ênfase4 2 11 3" xfId="5216" xr:uid="{00000000-0005-0000-0000-0000B4140000}"/>
    <cellStyle name="60% - Ênfase4 2 11 4" xfId="5217" xr:uid="{00000000-0005-0000-0000-0000B5140000}"/>
    <cellStyle name="60% - Ênfase4 2 11 5" xfId="5218" xr:uid="{00000000-0005-0000-0000-0000B6140000}"/>
    <cellStyle name="60% - Ênfase4 2 11 6" xfId="5219" xr:uid="{00000000-0005-0000-0000-0000B7140000}"/>
    <cellStyle name="60% - Ênfase4 2 11 7" xfId="5220" xr:uid="{00000000-0005-0000-0000-0000B8140000}"/>
    <cellStyle name="60% - Ênfase4 2 12" xfId="5221" xr:uid="{00000000-0005-0000-0000-0000B9140000}"/>
    <cellStyle name="60% - Ênfase4 2 13" xfId="5222" xr:uid="{00000000-0005-0000-0000-0000BA140000}"/>
    <cellStyle name="60% - Ênfase4 2 14" xfId="5223" xr:uid="{00000000-0005-0000-0000-0000BB140000}"/>
    <cellStyle name="60% - Ênfase4 2 15" xfId="5224" xr:uid="{00000000-0005-0000-0000-0000BC140000}"/>
    <cellStyle name="60% - Ênfase4 2 16" xfId="5225" xr:uid="{00000000-0005-0000-0000-0000BD140000}"/>
    <cellStyle name="60% - Ênfase4 2 17" xfId="5226" xr:uid="{00000000-0005-0000-0000-0000BE140000}"/>
    <cellStyle name="60% - Ênfase4 2 18" xfId="5227" xr:uid="{00000000-0005-0000-0000-0000BF140000}"/>
    <cellStyle name="60% - Ênfase4 2 19" xfId="5228" xr:uid="{00000000-0005-0000-0000-0000C0140000}"/>
    <cellStyle name="60% - Ênfase4 2 2" xfId="5229" xr:uid="{00000000-0005-0000-0000-0000C1140000}"/>
    <cellStyle name="60% - Ênfase4 2 20" xfId="5230" xr:uid="{00000000-0005-0000-0000-0000C2140000}"/>
    <cellStyle name="60% - Ênfase4 2 21" xfId="5231" xr:uid="{00000000-0005-0000-0000-0000C3140000}"/>
    <cellStyle name="60% - Ênfase4 2 22" xfId="5232" xr:uid="{00000000-0005-0000-0000-0000C4140000}"/>
    <cellStyle name="60% - Ênfase4 2 23" xfId="5233" xr:uid="{00000000-0005-0000-0000-0000C5140000}"/>
    <cellStyle name="60% - Ênfase4 2 24" xfId="5234" xr:uid="{00000000-0005-0000-0000-0000C6140000}"/>
    <cellStyle name="60% - Ênfase4 2 25" xfId="5235" xr:uid="{00000000-0005-0000-0000-0000C7140000}"/>
    <cellStyle name="60% - Ênfase4 2 26" xfId="5236" xr:uid="{00000000-0005-0000-0000-0000C8140000}"/>
    <cellStyle name="60% - Ênfase4 2 27" xfId="5237" xr:uid="{00000000-0005-0000-0000-0000C9140000}"/>
    <cellStyle name="60% - Ênfase4 2 28" xfId="5238" xr:uid="{00000000-0005-0000-0000-0000CA140000}"/>
    <cellStyle name="60% - Ênfase4 2 29" xfId="5239" xr:uid="{00000000-0005-0000-0000-0000CB140000}"/>
    <cellStyle name="60% - Ênfase4 2 3" xfId="5240" xr:uid="{00000000-0005-0000-0000-0000CC140000}"/>
    <cellStyle name="60% - Ênfase4 2 30" xfId="5241" xr:uid="{00000000-0005-0000-0000-0000CD140000}"/>
    <cellStyle name="60% - Ênfase4 2 31" xfId="5242" xr:uid="{00000000-0005-0000-0000-0000CE140000}"/>
    <cellStyle name="60% - Ênfase4 2 32" xfId="5243" xr:uid="{00000000-0005-0000-0000-0000CF140000}"/>
    <cellStyle name="60% - Ênfase4 2 33" xfId="5244" xr:uid="{00000000-0005-0000-0000-0000D0140000}"/>
    <cellStyle name="60% - Ênfase4 2 34" xfId="5245" xr:uid="{00000000-0005-0000-0000-0000D1140000}"/>
    <cellStyle name="60% - Ênfase4 2 35" xfId="5246" xr:uid="{00000000-0005-0000-0000-0000D2140000}"/>
    <cellStyle name="60% - Ênfase4 2 4" xfId="5247" xr:uid="{00000000-0005-0000-0000-0000D3140000}"/>
    <cellStyle name="60% - Ênfase4 2 5" xfId="5248" xr:uid="{00000000-0005-0000-0000-0000D4140000}"/>
    <cellStyle name="60% - Ênfase4 2 6" xfId="5249" xr:uid="{00000000-0005-0000-0000-0000D5140000}"/>
    <cellStyle name="60% - Ênfase4 2 7" xfId="5250" xr:uid="{00000000-0005-0000-0000-0000D6140000}"/>
    <cellStyle name="60% - Ênfase4 2 8" xfId="5251" xr:uid="{00000000-0005-0000-0000-0000D7140000}"/>
    <cellStyle name="60% - Ênfase4 2 8 2" xfId="5252" xr:uid="{00000000-0005-0000-0000-0000D8140000}"/>
    <cellStyle name="60% - Ênfase4 2 8 3" xfId="5253" xr:uid="{00000000-0005-0000-0000-0000D9140000}"/>
    <cellStyle name="60% - Ênfase4 2 8 4" xfId="5254" xr:uid="{00000000-0005-0000-0000-0000DA140000}"/>
    <cellStyle name="60% - Ênfase4 2 8 5" xfId="5255" xr:uid="{00000000-0005-0000-0000-0000DB140000}"/>
    <cellStyle name="60% - Ênfase4 2 8 6" xfId="5256" xr:uid="{00000000-0005-0000-0000-0000DC140000}"/>
    <cellStyle name="60% - Ênfase4 2 8 7" xfId="5257" xr:uid="{00000000-0005-0000-0000-0000DD140000}"/>
    <cellStyle name="60% - Ênfase4 2 9" xfId="5258" xr:uid="{00000000-0005-0000-0000-0000DE140000}"/>
    <cellStyle name="60% - Ênfase4 2 9 2" xfId="5259" xr:uid="{00000000-0005-0000-0000-0000DF140000}"/>
    <cellStyle name="60% - Ênfase4 2 9 3" xfId="5260" xr:uid="{00000000-0005-0000-0000-0000E0140000}"/>
    <cellStyle name="60% - Ênfase4 2 9 4" xfId="5261" xr:uid="{00000000-0005-0000-0000-0000E1140000}"/>
    <cellStyle name="60% - Ênfase4 2 9 5" xfId="5262" xr:uid="{00000000-0005-0000-0000-0000E2140000}"/>
    <cellStyle name="60% - Ênfase4 2 9 6" xfId="5263" xr:uid="{00000000-0005-0000-0000-0000E3140000}"/>
    <cellStyle name="60% - Ênfase4 2 9 7" xfId="5264" xr:uid="{00000000-0005-0000-0000-0000E4140000}"/>
    <cellStyle name="60% - Ênfase4 20" xfId="5265" xr:uid="{00000000-0005-0000-0000-0000E5140000}"/>
    <cellStyle name="60% - Ênfase4 20 2" xfId="5266" xr:uid="{00000000-0005-0000-0000-0000E6140000}"/>
    <cellStyle name="60% - Ênfase4 20 3" xfId="5267" xr:uid="{00000000-0005-0000-0000-0000E7140000}"/>
    <cellStyle name="60% - Ênfase4 21" xfId="5268" xr:uid="{00000000-0005-0000-0000-0000E8140000}"/>
    <cellStyle name="60% - Ênfase4 22" xfId="5269" xr:uid="{00000000-0005-0000-0000-0000E9140000}"/>
    <cellStyle name="60% - Ênfase4 23" xfId="5270" xr:uid="{00000000-0005-0000-0000-0000EA140000}"/>
    <cellStyle name="60% - Ênfase4 24" xfId="5271" xr:uid="{00000000-0005-0000-0000-0000EB140000}"/>
    <cellStyle name="60% - Ênfase4 24 2" xfId="40942" xr:uid="{00000000-0005-0000-0000-0000EC140000}"/>
    <cellStyle name="60% - Ênfase4 25" xfId="5272" xr:uid="{00000000-0005-0000-0000-0000ED140000}"/>
    <cellStyle name="60% - Ênfase4 25 2" xfId="40977" xr:uid="{00000000-0005-0000-0000-0000EE140000}"/>
    <cellStyle name="60% - Ênfase4 26" xfId="5273" xr:uid="{00000000-0005-0000-0000-0000EF140000}"/>
    <cellStyle name="60% - Ênfase4 26 10" xfId="5274" xr:uid="{00000000-0005-0000-0000-0000F0140000}"/>
    <cellStyle name="60% - Ênfase4 26 11" xfId="5275" xr:uid="{00000000-0005-0000-0000-0000F1140000}"/>
    <cellStyle name="60% - Ênfase4 26 12" xfId="5276" xr:uid="{00000000-0005-0000-0000-0000F2140000}"/>
    <cellStyle name="60% - Ênfase4 26 13" xfId="5277" xr:uid="{00000000-0005-0000-0000-0000F3140000}"/>
    <cellStyle name="60% - Ênfase4 26 14" xfId="5278" xr:uid="{00000000-0005-0000-0000-0000F4140000}"/>
    <cellStyle name="60% - Ênfase4 26 15" xfId="5279" xr:uid="{00000000-0005-0000-0000-0000F5140000}"/>
    <cellStyle name="60% - Ênfase4 26 16" xfId="5280" xr:uid="{00000000-0005-0000-0000-0000F6140000}"/>
    <cellStyle name="60% - Ênfase4 26 2" xfId="5281" xr:uid="{00000000-0005-0000-0000-0000F7140000}"/>
    <cellStyle name="60% - Ênfase4 26 3" xfId="5282" xr:uid="{00000000-0005-0000-0000-0000F8140000}"/>
    <cellStyle name="60% - Ênfase4 26 4" xfId="5283" xr:uid="{00000000-0005-0000-0000-0000F9140000}"/>
    <cellStyle name="60% - Ênfase4 26 5" xfId="5284" xr:uid="{00000000-0005-0000-0000-0000FA140000}"/>
    <cellStyle name="60% - Ênfase4 26 6" xfId="5285" xr:uid="{00000000-0005-0000-0000-0000FB140000}"/>
    <cellStyle name="60% - Ênfase4 26 7" xfId="5286" xr:uid="{00000000-0005-0000-0000-0000FC140000}"/>
    <cellStyle name="60% - Ênfase4 26 8" xfId="5287" xr:uid="{00000000-0005-0000-0000-0000FD140000}"/>
    <cellStyle name="60% - Ênfase4 26 9" xfId="5288" xr:uid="{00000000-0005-0000-0000-0000FE140000}"/>
    <cellStyle name="60% - Ênfase4 27" xfId="5289" xr:uid="{00000000-0005-0000-0000-0000FF140000}"/>
    <cellStyle name="60% - Ênfase4 27 10" xfId="5290" xr:uid="{00000000-0005-0000-0000-000000150000}"/>
    <cellStyle name="60% - Ênfase4 27 11" xfId="5291" xr:uid="{00000000-0005-0000-0000-000001150000}"/>
    <cellStyle name="60% - Ênfase4 27 12" xfId="5292" xr:uid="{00000000-0005-0000-0000-000002150000}"/>
    <cellStyle name="60% - Ênfase4 27 13" xfId="5293" xr:uid="{00000000-0005-0000-0000-000003150000}"/>
    <cellStyle name="60% - Ênfase4 27 14" xfId="5294" xr:uid="{00000000-0005-0000-0000-000004150000}"/>
    <cellStyle name="60% - Ênfase4 27 15" xfId="5295" xr:uid="{00000000-0005-0000-0000-000005150000}"/>
    <cellStyle name="60% - Ênfase4 27 16" xfId="5296" xr:uid="{00000000-0005-0000-0000-000006150000}"/>
    <cellStyle name="60% - Ênfase4 27 2" xfId="5297" xr:uid="{00000000-0005-0000-0000-000007150000}"/>
    <cellStyle name="60% - Ênfase4 27 3" xfId="5298" xr:uid="{00000000-0005-0000-0000-000008150000}"/>
    <cellStyle name="60% - Ênfase4 27 4" xfId="5299" xr:uid="{00000000-0005-0000-0000-000009150000}"/>
    <cellStyle name="60% - Ênfase4 27 5" xfId="5300" xr:uid="{00000000-0005-0000-0000-00000A150000}"/>
    <cellStyle name="60% - Ênfase4 27 6" xfId="5301" xr:uid="{00000000-0005-0000-0000-00000B150000}"/>
    <cellStyle name="60% - Ênfase4 27 7" xfId="5302" xr:uid="{00000000-0005-0000-0000-00000C150000}"/>
    <cellStyle name="60% - Ênfase4 27 8" xfId="5303" xr:uid="{00000000-0005-0000-0000-00000D150000}"/>
    <cellStyle name="60% - Ênfase4 27 9" xfId="5304" xr:uid="{00000000-0005-0000-0000-00000E150000}"/>
    <cellStyle name="60% - Ênfase4 28" xfId="5305" xr:uid="{00000000-0005-0000-0000-00000F150000}"/>
    <cellStyle name="60% - Ênfase4 28 10" xfId="5306" xr:uid="{00000000-0005-0000-0000-000010150000}"/>
    <cellStyle name="60% - Ênfase4 28 11" xfId="5307" xr:uid="{00000000-0005-0000-0000-000011150000}"/>
    <cellStyle name="60% - Ênfase4 28 12" xfId="5308" xr:uid="{00000000-0005-0000-0000-000012150000}"/>
    <cellStyle name="60% - Ênfase4 28 13" xfId="5309" xr:uid="{00000000-0005-0000-0000-000013150000}"/>
    <cellStyle name="60% - Ênfase4 28 14" xfId="5310" xr:uid="{00000000-0005-0000-0000-000014150000}"/>
    <cellStyle name="60% - Ênfase4 28 15" xfId="5311" xr:uid="{00000000-0005-0000-0000-000015150000}"/>
    <cellStyle name="60% - Ênfase4 28 16" xfId="5312" xr:uid="{00000000-0005-0000-0000-000016150000}"/>
    <cellStyle name="60% - Ênfase4 28 2" xfId="5313" xr:uid="{00000000-0005-0000-0000-000017150000}"/>
    <cellStyle name="60% - Ênfase4 28 3" xfId="5314" xr:uid="{00000000-0005-0000-0000-000018150000}"/>
    <cellStyle name="60% - Ênfase4 28 4" xfId="5315" xr:uid="{00000000-0005-0000-0000-000019150000}"/>
    <cellStyle name="60% - Ênfase4 28 5" xfId="5316" xr:uid="{00000000-0005-0000-0000-00001A150000}"/>
    <cellStyle name="60% - Ênfase4 28 6" xfId="5317" xr:uid="{00000000-0005-0000-0000-00001B150000}"/>
    <cellStyle name="60% - Ênfase4 28 7" xfId="5318" xr:uid="{00000000-0005-0000-0000-00001C150000}"/>
    <cellStyle name="60% - Ênfase4 28 8" xfId="5319" xr:uid="{00000000-0005-0000-0000-00001D150000}"/>
    <cellStyle name="60% - Ênfase4 28 9" xfId="5320" xr:uid="{00000000-0005-0000-0000-00001E150000}"/>
    <cellStyle name="60% - Ênfase4 29" xfId="5321" xr:uid="{00000000-0005-0000-0000-00001F150000}"/>
    <cellStyle name="60% - Ênfase4 29 10" xfId="5322" xr:uid="{00000000-0005-0000-0000-000020150000}"/>
    <cellStyle name="60% - Ênfase4 29 11" xfId="5323" xr:uid="{00000000-0005-0000-0000-000021150000}"/>
    <cellStyle name="60% - Ênfase4 29 12" xfId="5324" xr:uid="{00000000-0005-0000-0000-000022150000}"/>
    <cellStyle name="60% - Ênfase4 29 13" xfId="5325" xr:uid="{00000000-0005-0000-0000-000023150000}"/>
    <cellStyle name="60% - Ênfase4 29 14" xfId="5326" xr:uid="{00000000-0005-0000-0000-000024150000}"/>
    <cellStyle name="60% - Ênfase4 29 15" xfId="5327" xr:uid="{00000000-0005-0000-0000-000025150000}"/>
    <cellStyle name="60% - Ênfase4 29 16" xfId="5328" xr:uid="{00000000-0005-0000-0000-000026150000}"/>
    <cellStyle name="60% - Ênfase4 29 2" xfId="5329" xr:uid="{00000000-0005-0000-0000-000027150000}"/>
    <cellStyle name="60% - Ênfase4 29 3" xfId="5330" xr:uid="{00000000-0005-0000-0000-000028150000}"/>
    <cellStyle name="60% - Ênfase4 29 4" xfId="5331" xr:uid="{00000000-0005-0000-0000-000029150000}"/>
    <cellStyle name="60% - Ênfase4 29 5" xfId="5332" xr:uid="{00000000-0005-0000-0000-00002A150000}"/>
    <cellStyle name="60% - Ênfase4 29 6" xfId="5333" xr:uid="{00000000-0005-0000-0000-00002B150000}"/>
    <cellStyle name="60% - Ênfase4 29 7" xfId="5334" xr:uid="{00000000-0005-0000-0000-00002C150000}"/>
    <cellStyle name="60% - Ênfase4 29 8" xfId="5335" xr:uid="{00000000-0005-0000-0000-00002D150000}"/>
    <cellStyle name="60% - Ênfase4 29 9" xfId="5336" xr:uid="{00000000-0005-0000-0000-00002E150000}"/>
    <cellStyle name="60% - Ênfase4 3" xfId="5337" xr:uid="{00000000-0005-0000-0000-00002F150000}"/>
    <cellStyle name="60% - Ênfase4 3 10" xfId="5338" xr:uid="{00000000-0005-0000-0000-000030150000}"/>
    <cellStyle name="60% - Ênfase4 3 11" xfId="5339" xr:uid="{00000000-0005-0000-0000-000031150000}"/>
    <cellStyle name="60% - Ênfase4 3 2" xfId="5340" xr:uid="{00000000-0005-0000-0000-000032150000}"/>
    <cellStyle name="60% - Ênfase4 3 3" xfId="5341" xr:uid="{00000000-0005-0000-0000-000033150000}"/>
    <cellStyle name="60% - Ênfase4 3 4" xfId="5342" xr:uid="{00000000-0005-0000-0000-000034150000}"/>
    <cellStyle name="60% - Ênfase4 3 5" xfId="5343" xr:uid="{00000000-0005-0000-0000-000035150000}"/>
    <cellStyle name="60% - Ênfase4 3 6" xfId="5344" xr:uid="{00000000-0005-0000-0000-000036150000}"/>
    <cellStyle name="60% - Ênfase4 3 7" xfId="5345" xr:uid="{00000000-0005-0000-0000-000037150000}"/>
    <cellStyle name="60% - Ênfase4 3 8" xfId="5346" xr:uid="{00000000-0005-0000-0000-000038150000}"/>
    <cellStyle name="60% - Ênfase4 3 9" xfId="5347" xr:uid="{00000000-0005-0000-0000-000039150000}"/>
    <cellStyle name="60% - Ênfase4 30" xfId="5348" xr:uid="{00000000-0005-0000-0000-00003A150000}"/>
    <cellStyle name="60% - Ênfase4 31" xfId="5349" xr:uid="{00000000-0005-0000-0000-00003B150000}"/>
    <cellStyle name="60% - Ênfase4 32" xfId="5350" xr:uid="{00000000-0005-0000-0000-00003C150000}"/>
    <cellStyle name="60% - Ênfase4 33" xfId="5351" xr:uid="{00000000-0005-0000-0000-00003D150000}"/>
    <cellStyle name="60% - Ênfase4 34" xfId="5352" xr:uid="{00000000-0005-0000-0000-00003E150000}"/>
    <cellStyle name="60% - Ênfase4 35" xfId="5353" xr:uid="{00000000-0005-0000-0000-00003F150000}"/>
    <cellStyle name="60% - Ênfase4 36" xfId="5354" xr:uid="{00000000-0005-0000-0000-000040150000}"/>
    <cellStyle name="60% - Ênfase4 37" xfId="5355" xr:uid="{00000000-0005-0000-0000-000041150000}"/>
    <cellStyle name="60% - Ênfase4 38" xfId="5356" xr:uid="{00000000-0005-0000-0000-000042150000}"/>
    <cellStyle name="60% - Ênfase4 39" xfId="5357" xr:uid="{00000000-0005-0000-0000-000043150000}"/>
    <cellStyle name="60% - Ênfase4 4" xfId="5358" xr:uid="{00000000-0005-0000-0000-000044150000}"/>
    <cellStyle name="60% - Ênfase4 4 10" xfId="5359" xr:uid="{00000000-0005-0000-0000-000045150000}"/>
    <cellStyle name="60% - Ênfase4 4 11" xfId="5360" xr:uid="{00000000-0005-0000-0000-000046150000}"/>
    <cellStyle name="60% - Ênfase4 4 2" xfId="5361" xr:uid="{00000000-0005-0000-0000-000047150000}"/>
    <cellStyle name="60% - Ênfase4 4 3" xfId="5362" xr:uid="{00000000-0005-0000-0000-000048150000}"/>
    <cellStyle name="60% - Ênfase4 4 4" xfId="5363" xr:uid="{00000000-0005-0000-0000-000049150000}"/>
    <cellStyle name="60% - Ênfase4 4 5" xfId="5364" xr:uid="{00000000-0005-0000-0000-00004A150000}"/>
    <cellStyle name="60% - Ênfase4 4 6" xfId="5365" xr:uid="{00000000-0005-0000-0000-00004B150000}"/>
    <cellStyle name="60% - Ênfase4 4 7" xfId="5366" xr:uid="{00000000-0005-0000-0000-00004C150000}"/>
    <cellStyle name="60% - Ênfase4 4 8" xfId="5367" xr:uid="{00000000-0005-0000-0000-00004D150000}"/>
    <cellStyle name="60% - Ênfase4 4 9" xfId="5368" xr:uid="{00000000-0005-0000-0000-00004E150000}"/>
    <cellStyle name="60% - Ênfase4 40" xfId="5369" xr:uid="{00000000-0005-0000-0000-00004F150000}"/>
    <cellStyle name="60% - Ênfase4 41" xfId="5370" xr:uid="{00000000-0005-0000-0000-000050150000}"/>
    <cellStyle name="60% - Ênfase4 42" xfId="5371" xr:uid="{00000000-0005-0000-0000-000051150000}"/>
    <cellStyle name="60% - Ênfase4 43" xfId="5372" xr:uid="{00000000-0005-0000-0000-000052150000}"/>
    <cellStyle name="60% - Ênfase4 44" xfId="5373" xr:uid="{00000000-0005-0000-0000-000053150000}"/>
    <cellStyle name="60% - Ênfase4 45" xfId="5374" xr:uid="{00000000-0005-0000-0000-000054150000}"/>
    <cellStyle name="60% - Ênfase4 46" xfId="5375" xr:uid="{00000000-0005-0000-0000-000055150000}"/>
    <cellStyle name="60% - Ênfase4 47" xfId="5376" xr:uid="{00000000-0005-0000-0000-000056150000}"/>
    <cellStyle name="60% - Ênfase4 48" xfId="5377" xr:uid="{00000000-0005-0000-0000-000057150000}"/>
    <cellStyle name="60% - Ênfase4 49" xfId="5378" xr:uid="{00000000-0005-0000-0000-000058150000}"/>
    <cellStyle name="60% - Ênfase4 5" xfId="5379" xr:uid="{00000000-0005-0000-0000-000059150000}"/>
    <cellStyle name="60% - Ênfase4 5 2" xfId="5380" xr:uid="{00000000-0005-0000-0000-00005A150000}"/>
    <cellStyle name="60% - Ênfase4 5 3" xfId="5381" xr:uid="{00000000-0005-0000-0000-00005B150000}"/>
    <cellStyle name="60% - Ênfase4 5 4" xfId="5382" xr:uid="{00000000-0005-0000-0000-00005C150000}"/>
    <cellStyle name="60% - Ênfase4 50" xfId="5383" xr:uid="{00000000-0005-0000-0000-00005D150000}"/>
    <cellStyle name="60% - Ênfase4 51" xfId="5384" xr:uid="{00000000-0005-0000-0000-00005E150000}"/>
    <cellStyle name="60% - Ênfase4 52" xfId="5385" xr:uid="{00000000-0005-0000-0000-00005F150000}"/>
    <cellStyle name="60% - Ênfase4 53" xfId="5386" xr:uid="{00000000-0005-0000-0000-000060150000}"/>
    <cellStyle name="60% - Ênfase4 54" xfId="5387" xr:uid="{00000000-0005-0000-0000-000061150000}"/>
    <cellStyle name="60% - Ênfase4 55" xfId="5388" xr:uid="{00000000-0005-0000-0000-000062150000}"/>
    <cellStyle name="60% - Ênfase4 56" xfId="5389" xr:uid="{00000000-0005-0000-0000-000063150000}"/>
    <cellStyle name="60% - Ênfase4 57" xfId="5390" xr:uid="{00000000-0005-0000-0000-000064150000}"/>
    <cellStyle name="60% - Ênfase4 58" xfId="5391" xr:uid="{00000000-0005-0000-0000-000065150000}"/>
    <cellStyle name="60% - Ênfase4 59" xfId="5392" xr:uid="{00000000-0005-0000-0000-000066150000}"/>
    <cellStyle name="60% - Ênfase4 6" xfId="5393" xr:uid="{00000000-0005-0000-0000-000067150000}"/>
    <cellStyle name="60% - Ênfase4 6 2" xfId="5394" xr:uid="{00000000-0005-0000-0000-000068150000}"/>
    <cellStyle name="60% - Ênfase4 6 3" xfId="5395" xr:uid="{00000000-0005-0000-0000-000069150000}"/>
    <cellStyle name="60% - Ênfase4 6 4" xfId="5396" xr:uid="{00000000-0005-0000-0000-00006A150000}"/>
    <cellStyle name="60% - Ênfase4 60" xfId="5397" xr:uid="{00000000-0005-0000-0000-00006B150000}"/>
    <cellStyle name="60% - Ênfase4 61" xfId="5398" xr:uid="{00000000-0005-0000-0000-00006C150000}"/>
    <cellStyle name="60% - Ênfase4 62" xfId="5399" xr:uid="{00000000-0005-0000-0000-00006D150000}"/>
    <cellStyle name="60% - Ênfase4 63" xfId="5400" xr:uid="{00000000-0005-0000-0000-00006E150000}"/>
    <cellStyle name="60% - Ênfase4 64" xfId="5401" xr:uid="{00000000-0005-0000-0000-00006F150000}"/>
    <cellStyle name="60% - Ênfase4 65" xfId="5402" xr:uid="{00000000-0005-0000-0000-000070150000}"/>
    <cellStyle name="60% - Ênfase4 66" xfId="5403" xr:uid="{00000000-0005-0000-0000-000071150000}"/>
    <cellStyle name="60% - Ênfase4 67" xfId="5404" xr:uid="{00000000-0005-0000-0000-000072150000}"/>
    <cellStyle name="60% - Ênfase4 68" xfId="5405" xr:uid="{00000000-0005-0000-0000-000073150000}"/>
    <cellStyle name="60% - Ênfase4 69" xfId="5406" xr:uid="{00000000-0005-0000-0000-000074150000}"/>
    <cellStyle name="60% - Ênfase4 7" xfId="5407" xr:uid="{00000000-0005-0000-0000-000075150000}"/>
    <cellStyle name="60% - Ênfase4 7 2" xfId="5408" xr:uid="{00000000-0005-0000-0000-000076150000}"/>
    <cellStyle name="60% - Ênfase4 7 3" xfId="5409" xr:uid="{00000000-0005-0000-0000-000077150000}"/>
    <cellStyle name="60% - Ênfase4 7 4" xfId="5410" xr:uid="{00000000-0005-0000-0000-000078150000}"/>
    <cellStyle name="60% - Ênfase4 70" xfId="5411" xr:uid="{00000000-0005-0000-0000-000079150000}"/>
    <cellStyle name="60% - Ênfase4 71" xfId="5412" xr:uid="{00000000-0005-0000-0000-00007A150000}"/>
    <cellStyle name="60% - Ênfase4 72" xfId="5413" xr:uid="{00000000-0005-0000-0000-00007B150000}"/>
    <cellStyle name="60% - Ênfase4 73" xfId="5414" xr:uid="{00000000-0005-0000-0000-00007C150000}"/>
    <cellStyle name="60% - Ênfase4 74" xfId="5415" xr:uid="{00000000-0005-0000-0000-00007D150000}"/>
    <cellStyle name="60% - Ênfase4 75" xfId="5416" xr:uid="{00000000-0005-0000-0000-00007E150000}"/>
    <cellStyle name="60% - Ênfase4 76" xfId="5417" xr:uid="{00000000-0005-0000-0000-00007F150000}"/>
    <cellStyle name="60% - Ênfase4 77" xfId="5418" xr:uid="{00000000-0005-0000-0000-000080150000}"/>
    <cellStyle name="60% - Ênfase4 78" xfId="5419" xr:uid="{00000000-0005-0000-0000-000081150000}"/>
    <cellStyle name="60% - Ênfase4 79" xfId="5420" xr:uid="{00000000-0005-0000-0000-000082150000}"/>
    <cellStyle name="60% - Ênfase4 8" xfId="5421" xr:uid="{00000000-0005-0000-0000-000083150000}"/>
    <cellStyle name="60% - Ênfase4 8 2" xfId="5422" xr:uid="{00000000-0005-0000-0000-000084150000}"/>
    <cellStyle name="60% - Ênfase4 8 3" xfId="5423" xr:uid="{00000000-0005-0000-0000-000085150000}"/>
    <cellStyle name="60% - Ênfase4 8 4" xfId="5424" xr:uid="{00000000-0005-0000-0000-000086150000}"/>
    <cellStyle name="60% - Ênfase4 80" xfId="5425" xr:uid="{00000000-0005-0000-0000-000087150000}"/>
    <cellStyle name="60% - Ênfase4 81" xfId="5426" xr:uid="{00000000-0005-0000-0000-000088150000}"/>
    <cellStyle name="60% - Ênfase4 82" xfId="5427" xr:uid="{00000000-0005-0000-0000-000089150000}"/>
    <cellStyle name="60% - Ênfase4 83" xfId="5428" xr:uid="{00000000-0005-0000-0000-00008A150000}"/>
    <cellStyle name="60% - Ênfase4 84" xfId="5429" xr:uid="{00000000-0005-0000-0000-00008B150000}"/>
    <cellStyle name="60% - Ênfase4 85" xfId="5430" xr:uid="{00000000-0005-0000-0000-00008C150000}"/>
    <cellStyle name="60% - Ênfase4 86" xfId="5431" xr:uid="{00000000-0005-0000-0000-00008D150000}"/>
    <cellStyle name="60% - Ênfase4 87" xfId="5432" xr:uid="{00000000-0005-0000-0000-00008E150000}"/>
    <cellStyle name="60% - Ênfase4 88" xfId="5433" xr:uid="{00000000-0005-0000-0000-00008F150000}"/>
    <cellStyle name="60% - Ênfase4 89" xfId="5434" xr:uid="{00000000-0005-0000-0000-000090150000}"/>
    <cellStyle name="60% - Ênfase4 9" xfId="5435" xr:uid="{00000000-0005-0000-0000-000091150000}"/>
    <cellStyle name="60% - Ênfase4 90" xfId="5436" xr:uid="{00000000-0005-0000-0000-000092150000}"/>
    <cellStyle name="60% - Ênfase4 91" xfId="5437" xr:uid="{00000000-0005-0000-0000-000093150000}"/>
    <cellStyle name="60% - Ênfase4 92" xfId="5438" xr:uid="{00000000-0005-0000-0000-000094150000}"/>
    <cellStyle name="60% - Ênfase4 93" xfId="5439" xr:uid="{00000000-0005-0000-0000-000095150000}"/>
    <cellStyle name="60% - Ênfase4 94" xfId="5440" xr:uid="{00000000-0005-0000-0000-000096150000}"/>
    <cellStyle name="60% - Ênfase4 95" xfId="5441" xr:uid="{00000000-0005-0000-0000-000097150000}"/>
    <cellStyle name="60% - Ênfase4 96" xfId="5442" xr:uid="{00000000-0005-0000-0000-000098150000}"/>
    <cellStyle name="60% - Ênfase4 97" xfId="5443" xr:uid="{00000000-0005-0000-0000-000099150000}"/>
    <cellStyle name="60% - Ênfase4 98" xfId="5444" xr:uid="{00000000-0005-0000-0000-00009A150000}"/>
    <cellStyle name="60% - Ênfase4 99" xfId="5445" xr:uid="{00000000-0005-0000-0000-00009B150000}"/>
    <cellStyle name="60% - Ênfase5 10" xfId="5446" xr:uid="{00000000-0005-0000-0000-00009C150000}"/>
    <cellStyle name="60% - Ênfase5 10 2" xfId="40522" xr:uid="{00000000-0005-0000-0000-00009D150000}"/>
    <cellStyle name="60% - Ênfase5 100" xfId="5447" xr:uid="{00000000-0005-0000-0000-00009E150000}"/>
    <cellStyle name="60% - Ênfase5 101" xfId="5448" xr:uid="{00000000-0005-0000-0000-00009F150000}"/>
    <cellStyle name="60% - Ênfase5 102" xfId="5449" xr:uid="{00000000-0005-0000-0000-0000A0150000}"/>
    <cellStyle name="60% - Ênfase5 103" xfId="5450" xr:uid="{00000000-0005-0000-0000-0000A1150000}"/>
    <cellStyle name="60% - Ênfase5 104" xfId="5451" xr:uid="{00000000-0005-0000-0000-0000A2150000}"/>
    <cellStyle name="60% - Ênfase5 105" xfId="5452" xr:uid="{00000000-0005-0000-0000-0000A3150000}"/>
    <cellStyle name="60% - Ênfase5 106" xfId="5453" xr:uid="{00000000-0005-0000-0000-0000A4150000}"/>
    <cellStyle name="60% - Ênfase5 107" xfId="5454" xr:uid="{00000000-0005-0000-0000-0000A5150000}"/>
    <cellStyle name="60% - Ênfase5 108" xfId="5455" xr:uid="{00000000-0005-0000-0000-0000A6150000}"/>
    <cellStyle name="60% - Ênfase5 109" xfId="5456" xr:uid="{00000000-0005-0000-0000-0000A7150000}"/>
    <cellStyle name="60% - Ênfase5 11" xfId="5457" xr:uid="{00000000-0005-0000-0000-0000A8150000}"/>
    <cellStyle name="60% - Ênfase5 11 2" xfId="40523" xr:uid="{00000000-0005-0000-0000-0000A9150000}"/>
    <cellStyle name="60% - Ênfase5 110" xfId="5458" xr:uid="{00000000-0005-0000-0000-0000AA150000}"/>
    <cellStyle name="60% - Ênfase5 111" xfId="5459" xr:uid="{00000000-0005-0000-0000-0000AB150000}"/>
    <cellStyle name="60% - Ênfase5 112" xfId="5460" xr:uid="{00000000-0005-0000-0000-0000AC150000}"/>
    <cellStyle name="60% - Ênfase5 113" xfId="5461" xr:uid="{00000000-0005-0000-0000-0000AD150000}"/>
    <cellStyle name="60% - Ênfase5 114" xfId="5462" xr:uid="{00000000-0005-0000-0000-0000AE150000}"/>
    <cellStyle name="60% - Ênfase5 115" xfId="5463" xr:uid="{00000000-0005-0000-0000-0000AF150000}"/>
    <cellStyle name="60% - Ênfase5 116" xfId="5464" xr:uid="{00000000-0005-0000-0000-0000B0150000}"/>
    <cellStyle name="60% - Ênfase5 117" xfId="5465" xr:uid="{00000000-0005-0000-0000-0000B1150000}"/>
    <cellStyle name="60% - Ênfase5 118" xfId="5466" xr:uid="{00000000-0005-0000-0000-0000B2150000}"/>
    <cellStyle name="60% - Ênfase5 119" xfId="5467" xr:uid="{00000000-0005-0000-0000-0000B3150000}"/>
    <cellStyle name="60% - Ênfase5 12" xfId="5468" xr:uid="{00000000-0005-0000-0000-0000B4150000}"/>
    <cellStyle name="60% - Ênfase5 12 2" xfId="40524" xr:uid="{00000000-0005-0000-0000-0000B5150000}"/>
    <cellStyle name="60% - Ênfase5 120" xfId="5469" xr:uid="{00000000-0005-0000-0000-0000B6150000}"/>
    <cellStyle name="60% - Ênfase5 121" xfId="5470" xr:uid="{00000000-0005-0000-0000-0000B7150000}"/>
    <cellStyle name="60% - Ênfase5 122" xfId="5471" xr:uid="{00000000-0005-0000-0000-0000B8150000}"/>
    <cellStyle name="60% - Ênfase5 123" xfId="5472" xr:uid="{00000000-0005-0000-0000-0000B9150000}"/>
    <cellStyle name="60% - Ênfase5 124" xfId="5473" xr:uid="{00000000-0005-0000-0000-0000BA150000}"/>
    <cellStyle name="60% - Ênfase5 125" xfId="5474" xr:uid="{00000000-0005-0000-0000-0000BB150000}"/>
    <cellStyle name="60% - Ênfase5 126" xfId="5475" xr:uid="{00000000-0005-0000-0000-0000BC150000}"/>
    <cellStyle name="60% - Ênfase5 127" xfId="5476" xr:uid="{00000000-0005-0000-0000-0000BD150000}"/>
    <cellStyle name="60% - Ênfase5 128" xfId="5477" xr:uid="{00000000-0005-0000-0000-0000BE150000}"/>
    <cellStyle name="60% - Ênfase5 129" xfId="5478" xr:uid="{00000000-0005-0000-0000-0000BF150000}"/>
    <cellStyle name="60% - Ênfase5 13" xfId="5479" xr:uid="{00000000-0005-0000-0000-0000C0150000}"/>
    <cellStyle name="60% - Ênfase5 13 2" xfId="40525" xr:uid="{00000000-0005-0000-0000-0000C1150000}"/>
    <cellStyle name="60% - Ênfase5 130" xfId="5480" xr:uid="{00000000-0005-0000-0000-0000C2150000}"/>
    <cellStyle name="60% - Ênfase5 131" xfId="5481" xr:uid="{00000000-0005-0000-0000-0000C3150000}"/>
    <cellStyle name="60% - Ênfase5 132" xfId="5482" xr:uid="{00000000-0005-0000-0000-0000C4150000}"/>
    <cellStyle name="60% - Ênfase5 133" xfId="5483" xr:uid="{00000000-0005-0000-0000-0000C5150000}"/>
    <cellStyle name="60% - Ênfase5 134" xfId="5484" xr:uid="{00000000-0005-0000-0000-0000C6150000}"/>
    <cellStyle name="60% - Ênfase5 135" xfId="5485" xr:uid="{00000000-0005-0000-0000-0000C7150000}"/>
    <cellStyle name="60% - Ênfase5 136" xfId="5486" xr:uid="{00000000-0005-0000-0000-0000C8150000}"/>
    <cellStyle name="60% - Ênfase5 137" xfId="5487" xr:uid="{00000000-0005-0000-0000-0000C9150000}"/>
    <cellStyle name="60% - Ênfase5 138" xfId="5488" xr:uid="{00000000-0005-0000-0000-0000CA150000}"/>
    <cellStyle name="60% - Ênfase5 139" xfId="5489" xr:uid="{00000000-0005-0000-0000-0000CB150000}"/>
    <cellStyle name="60% - Ênfase5 14" xfId="5490" xr:uid="{00000000-0005-0000-0000-0000CC150000}"/>
    <cellStyle name="60% - Ênfase5 140" xfId="5491" xr:uid="{00000000-0005-0000-0000-0000CD150000}"/>
    <cellStyle name="60% - Ênfase5 141" xfId="5492" xr:uid="{00000000-0005-0000-0000-0000CE150000}"/>
    <cellStyle name="60% - Ênfase5 142" xfId="5493" xr:uid="{00000000-0005-0000-0000-0000CF150000}"/>
    <cellStyle name="60% - Ênfase5 143" xfId="5494" xr:uid="{00000000-0005-0000-0000-0000D0150000}"/>
    <cellStyle name="60% - Ênfase5 144" xfId="5495" xr:uid="{00000000-0005-0000-0000-0000D1150000}"/>
    <cellStyle name="60% - Ênfase5 145" xfId="5496" xr:uid="{00000000-0005-0000-0000-0000D2150000}"/>
    <cellStyle name="60% - Ênfase5 146" xfId="5497" xr:uid="{00000000-0005-0000-0000-0000D3150000}"/>
    <cellStyle name="60% - Ênfase5 147" xfId="5498" xr:uid="{00000000-0005-0000-0000-0000D4150000}"/>
    <cellStyle name="60% - Ênfase5 148" xfId="5499" xr:uid="{00000000-0005-0000-0000-0000D5150000}"/>
    <cellStyle name="60% - Ênfase5 149" xfId="5500" xr:uid="{00000000-0005-0000-0000-0000D6150000}"/>
    <cellStyle name="60% - Ênfase5 15" xfId="5501" xr:uid="{00000000-0005-0000-0000-0000D7150000}"/>
    <cellStyle name="60% - Ênfase5 15 2" xfId="5502" xr:uid="{00000000-0005-0000-0000-0000D8150000}"/>
    <cellStyle name="60% - Ênfase5 15 3" xfId="5503" xr:uid="{00000000-0005-0000-0000-0000D9150000}"/>
    <cellStyle name="60% - Ênfase5 150" xfId="5504" xr:uid="{00000000-0005-0000-0000-0000DA150000}"/>
    <cellStyle name="60% - Ênfase5 151" xfId="5505" xr:uid="{00000000-0005-0000-0000-0000DB150000}"/>
    <cellStyle name="60% - Ênfase5 152" xfId="5506" xr:uid="{00000000-0005-0000-0000-0000DC150000}"/>
    <cellStyle name="60% - Ênfase5 153" xfId="5507" xr:uid="{00000000-0005-0000-0000-0000DD150000}"/>
    <cellStyle name="60% - Ênfase5 154" xfId="5508" xr:uid="{00000000-0005-0000-0000-0000DE150000}"/>
    <cellStyle name="60% - Ênfase5 155" xfId="5509" xr:uid="{00000000-0005-0000-0000-0000DF150000}"/>
    <cellStyle name="60% - Ênfase5 156" xfId="5510" xr:uid="{00000000-0005-0000-0000-0000E0150000}"/>
    <cellStyle name="60% - Ênfase5 157" xfId="5511" xr:uid="{00000000-0005-0000-0000-0000E1150000}"/>
    <cellStyle name="60% - Ênfase5 158" xfId="5512" xr:uid="{00000000-0005-0000-0000-0000E2150000}"/>
    <cellStyle name="60% - Ênfase5 159" xfId="5513" xr:uid="{00000000-0005-0000-0000-0000E3150000}"/>
    <cellStyle name="60% - Ênfase5 16" xfId="5514" xr:uid="{00000000-0005-0000-0000-0000E4150000}"/>
    <cellStyle name="60% - Ênfase5 16 2" xfId="5515" xr:uid="{00000000-0005-0000-0000-0000E5150000}"/>
    <cellStyle name="60% - Ênfase5 16 3" xfId="5516" xr:uid="{00000000-0005-0000-0000-0000E6150000}"/>
    <cellStyle name="60% - Ênfase5 160" xfId="5517" xr:uid="{00000000-0005-0000-0000-0000E7150000}"/>
    <cellStyle name="60% - Ênfase5 161" xfId="5518" xr:uid="{00000000-0005-0000-0000-0000E8150000}"/>
    <cellStyle name="60% - Ênfase5 162" xfId="5519" xr:uid="{00000000-0005-0000-0000-0000E9150000}"/>
    <cellStyle name="60% - Ênfase5 163" xfId="5520" xr:uid="{00000000-0005-0000-0000-0000EA150000}"/>
    <cellStyle name="60% - Ênfase5 164" xfId="5521" xr:uid="{00000000-0005-0000-0000-0000EB150000}"/>
    <cellStyle name="60% - Ênfase5 165" xfId="5522" xr:uid="{00000000-0005-0000-0000-0000EC150000}"/>
    <cellStyle name="60% - Ênfase5 166" xfId="5523" xr:uid="{00000000-0005-0000-0000-0000ED150000}"/>
    <cellStyle name="60% - Ênfase5 167" xfId="5524" xr:uid="{00000000-0005-0000-0000-0000EE150000}"/>
    <cellStyle name="60% - Ênfase5 168" xfId="5525" xr:uid="{00000000-0005-0000-0000-0000EF150000}"/>
    <cellStyle name="60% - Ênfase5 169" xfId="5526" xr:uid="{00000000-0005-0000-0000-0000F0150000}"/>
    <cellStyle name="60% - Ênfase5 17" xfId="5527" xr:uid="{00000000-0005-0000-0000-0000F1150000}"/>
    <cellStyle name="60% - Ênfase5 17 2" xfId="5528" xr:uid="{00000000-0005-0000-0000-0000F2150000}"/>
    <cellStyle name="60% - Ênfase5 17 3" xfId="5529" xr:uid="{00000000-0005-0000-0000-0000F3150000}"/>
    <cellStyle name="60% - Ênfase5 170" xfId="5530" xr:uid="{00000000-0005-0000-0000-0000F4150000}"/>
    <cellStyle name="60% - Ênfase5 171" xfId="5531" xr:uid="{00000000-0005-0000-0000-0000F5150000}"/>
    <cellStyle name="60% - Ênfase5 172" xfId="5532" xr:uid="{00000000-0005-0000-0000-0000F6150000}"/>
    <cellStyle name="60% - Ênfase5 173" xfId="5533" xr:uid="{00000000-0005-0000-0000-0000F7150000}"/>
    <cellStyle name="60% - Ênfase5 174" xfId="5534" xr:uid="{00000000-0005-0000-0000-0000F8150000}"/>
    <cellStyle name="60% - Ênfase5 175" xfId="5535" xr:uid="{00000000-0005-0000-0000-0000F9150000}"/>
    <cellStyle name="60% - Ênfase5 176" xfId="5536" xr:uid="{00000000-0005-0000-0000-0000FA150000}"/>
    <cellStyle name="60% - Ênfase5 177" xfId="5537" xr:uid="{00000000-0005-0000-0000-0000FB150000}"/>
    <cellStyle name="60% - Ênfase5 178" xfId="5538" xr:uid="{00000000-0005-0000-0000-0000FC150000}"/>
    <cellStyle name="60% - Ênfase5 179" xfId="5539" xr:uid="{00000000-0005-0000-0000-0000FD150000}"/>
    <cellStyle name="60% - Ênfase5 18" xfId="5540" xr:uid="{00000000-0005-0000-0000-0000FE150000}"/>
    <cellStyle name="60% - Ênfase5 18 2" xfId="5541" xr:uid="{00000000-0005-0000-0000-0000FF150000}"/>
    <cellStyle name="60% - Ênfase5 18 3" xfId="5542" xr:uid="{00000000-0005-0000-0000-000000160000}"/>
    <cellStyle name="60% - Ênfase5 180" xfId="5543" xr:uid="{00000000-0005-0000-0000-000001160000}"/>
    <cellStyle name="60% - Ênfase5 181" xfId="5544" xr:uid="{00000000-0005-0000-0000-000002160000}"/>
    <cellStyle name="60% - Ênfase5 182" xfId="5545" xr:uid="{00000000-0005-0000-0000-000003160000}"/>
    <cellStyle name="60% - Ênfase5 183" xfId="5546" xr:uid="{00000000-0005-0000-0000-000004160000}"/>
    <cellStyle name="60% - Ênfase5 184" xfId="5547" xr:uid="{00000000-0005-0000-0000-000005160000}"/>
    <cellStyle name="60% - Ênfase5 185" xfId="5548" xr:uid="{00000000-0005-0000-0000-000006160000}"/>
    <cellStyle name="60% - Ênfase5 186" xfId="5549" xr:uid="{00000000-0005-0000-0000-000007160000}"/>
    <cellStyle name="60% - Ênfase5 187" xfId="5550" xr:uid="{00000000-0005-0000-0000-000008160000}"/>
    <cellStyle name="60% - Ênfase5 188" xfId="5551" xr:uid="{00000000-0005-0000-0000-000009160000}"/>
    <cellStyle name="60% - Ênfase5 189" xfId="5552" xr:uid="{00000000-0005-0000-0000-00000A160000}"/>
    <cellStyle name="60% - Ênfase5 19" xfId="5553" xr:uid="{00000000-0005-0000-0000-00000B160000}"/>
    <cellStyle name="60% - Ênfase5 19 2" xfId="5554" xr:uid="{00000000-0005-0000-0000-00000C160000}"/>
    <cellStyle name="60% - Ênfase5 19 3" xfId="5555" xr:uid="{00000000-0005-0000-0000-00000D160000}"/>
    <cellStyle name="60% - Ênfase5 190" xfId="5556" xr:uid="{00000000-0005-0000-0000-00000E160000}"/>
    <cellStyle name="60% - Ênfase5 2" xfId="5557" xr:uid="{00000000-0005-0000-0000-00000F160000}"/>
    <cellStyle name="60% - Ênfase5 2 10" xfId="5558" xr:uid="{00000000-0005-0000-0000-000010160000}"/>
    <cellStyle name="60% - Ênfase5 2 10 2" xfId="5559" xr:uid="{00000000-0005-0000-0000-000011160000}"/>
    <cellStyle name="60% - Ênfase5 2 10 3" xfId="5560" xr:uid="{00000000-0005-0000-0000-000012160000}"/>
    <cellStyle name="60% - Ênfase5 2 10 4" xfId="5561" xr:uid="{00000000-0005-0000-0000-000013160000}"/>
    <cellStyle name="60% - Ênfase5 2 10 5" xfId="5562" xr:uid="{00000000-0005-0000-0000-000014160000}"/>
    <cellStyle name="60% - Ênfase5 2 10 6" xfId="5563" xr:uid="{00000000-0005-0000-0000-000015160000}"/>
    <cellStyle name="60% - Ênfase5 2 10 7" xfId="5564" xr:uid="{00000000-0005-0000-0000-000016160000}"/>
    <cellStyle name="60% - Ênfase5 2 11" xfId="5565" xr:uid="{00000000-0005-0000-0000-000017160000}"/>
    <cellStyle name="60% - Ênfase5 2 11 2" xfId="5566" xr:uid="{00000000-0005-0000-0000-000018160000}"/>
    <cellStyle name="60% - Ênfase5 2 11 3" xfId="5567" xr:uid="{00000000-0005-0000-0000-000019160000}"/>
    <cellStyle name="60% - Ênfase5 2 11 4" xfId="5568" xr:uid="{00000000-0005-0000-0000-00001A160000}"/>
    <cellStyle name="60% - Ênfase5 2 11 5" xfId="5569" xr:uid="{00000000-0005-0000-0000-00001B160000}"/>
    <cellStyle name="60% - Ênfase5 2 11 6" xfId="5570" xr:uid="{00000000-0005-0000-0000-00001C160000}"/>
    <cellStyle name="60% - Ênfase5 2 11 7" xfId="5571" xr:uid="{00000000-0005-0000-0000-00001D160000}"/>
    <cellStyle name="60% - Ênfase5 2 12" xfId="5572" xr:uid="{00000000-0005-0000-0000-00001E160000}"/>
    <cellStyle name="60% - Ênfase5 2 13" xfId="5573" xr:uid="{00000000-0005-0000-0000-00001F160000}"/>
    <cellStyle name="60% - Ênfase5 2 14" xfId="5574" xr:uid="{00000000-0005-0000-0000-000020160000}"/>
    <cellStyle name="60% - Ênfase5 2 15" xfId="5575" xr:uid="{00000000-0005-0000-0000-000021160000}"/>
    <cellStyle name="60% - Ênfase5 2 16" xfId="5576" xr:uid="{00000000-0005-0000-0000-000022160000}"/>
    <cellStyle name="60% - Ênfase5 2 17" xfId="5577" xr:uid="{00000000-0005-0000-0000-000023160000}"/>
    <cellStyle name="60% - Ênfase5 2 18" xfId="5578" xr:uid="{00000000-0005-0000-0000-000024160000}"/>
    <cellStyle name="60% - Ênfase5 2 19" xfId="5579" xr:uid="{00000000-0005-0000-0000-000025160000}"/>
    <cellStyle name="60% - Ênfase5 2 2" xfId="5580" xr:uid="{00000000-0005-0000-0000-000026160000}"/>
    <cellStyle name="60% - Ênfase5 2 20" xfId="5581" xr:uid="{00000000-0005-0000-0000-000027160000}"/>
    <cellStyle name="60% - Ênfase5 2 21" xfId="5582" xr:uid="{00000000-0005-0000-0000-000028160000}"/>
    <cellStyle name="60% - Ênfase5 2 22" xfId="5583" xr:uid="{00000000-0005-0000-0000-000029160000}"/>
    <cellStyle name="60% - Ênfase5 2 23" xfId="5584" xr:uid="{00000000-0005-0000-0000-00002A160000}"/>
    <cellStyle name="60% - Ênfase5 2 24" xfId="5585" xr:uid="{00000000-0005-0000-0000-00002B160000}"/>
    <cellStyle name="60% - Ênfase5 2 25" xfId="5586" xr:uid="{00000000-0005-0000-0000-00002C160000}"/>
    <cellStyle name="60% - Ênfase5 2 26" xfId="5587" xr:uid="{00000000-0005-0000-0000-00002D160000}"/>
    <cellStyle name="60% - Ênfase5 2 27" xfId="5588" xr:uid="{00000000-0005-0000-0000-00002E160000}"/>
    <cellStyle name="60% - Ênfase5 2 28" xfId="5589" xr:uid="{00000000-0005-0000-0000-00002F160000}"/>
    <cellStyle name="60% - Ênfase5 2 29" xfId="5590" xr:uid="{00000000-0005-0000-0000-000030160000}"/>
    <cellStyle name="60% - Ênfase5 2 3" xfId="5591" xr:uid="{00000000-0005-0000-0000-000031160000}"/>
    <cellStyle name="60% - Ênfase5 2 30" xfId="5592" xr:uid="{00000000-0005-0000-0000-000032160000}"/>
    <cellStyle name="60% - Ênfase5 2 31" xfId="5593" xr:uid="{00000000-0005-0000-0000-000033160000}"/>
    <cellStyle name="60% - Ênfase5 2 32" xfId="5594" xr:uid="{00000000-0005-0000-0000-000034160000}"/>
    <cellStyle name="60% - Ênfase5 2 33" xfId="5595" xr:uid="{00000000-0005-0000-0000-000035160000}"/>
    <cellStyle name="60% - Ênfase5 2 34" xfId="5596" xr:uid="{00000000-0005-0000-0000-000036160000}"/>
    <cellStyle name="60% - Ênfase5 2 35" xfId="5597" xr:uid="{00000000-0005-0000-0000-000037160000}"/>
    <cellStyle name="60% - Ênfase5 2 4" xfId="5598" xr:uid="{00000000-0005-0000-0000-000038160000}"/>
    <cellStyle name="60% - Ênfase5 2 5" xfId="5599" xr:uid="{00000000-0005-0000-0000-000039160000}"/>
    <cellStyle name="60% - Ênfase5 2 6" xfId="5600" xr:uid="{00000000-0005-0000-0000-00003A160000}"/>
    <cellStyle name="60% - Ênfase5 2 7" xfId="5601" xr:uid="{00000000-0005-0000-0000-00003B160000}"/>
    <cellStyle name="60% - Ênfase5 2 8" xfId="5602" xr:uid="{00000000-0005-0000-0000-00003C160000}"/>
    <cellStyle name="60% - Ênfase5 2 8 2" xfId="5603" xr:uid="{00000000-0005-0000-0000-00003D160000}"/>
    <cellStyle name="60% - Ênfase5 2 8 3" xfId="5604" xr:uid="{00000000-0005-0000-0000-00003E160000}"/>
    <cellStyle name="60% - Ênfase5 2 8 4" xfId="5605" xr:uid="{00000000-0005-0000-0000-00003F160000}"/>
    <cellStyle name="60% - Ênfase5 2 8 5" xfId="5606" xr:uid="{00000000-0005-0000-0000-000040160000}"/>
    <cellStyle name="60% - Ênfase5 2 8 6" xfId="5607" xr:uid="{00000000-0005-0000-0000-000041160000}"/>
    <cellStyle name="60% - Ênfase5 2 8 7" xfId="5608" xr:uid="{00000000-0005-0000-0000-000042160000}"/>
    <cellStyle name="60% - Ênfase5 2 9" xfId="5609" xr:uid="{00000000-0005-0000-0000-000043160000}"/>
    <cellStyle name="60% - Ênfase5 2 9 2" xfId="5610" xr:uid="{00000000-0005-0000-0000-000044160000}"/>
    <cellStyle name="60% - Ênfase5 2 9 3" xfId="5611" xr:uid="{00000000-0005-0000-0000-000045160000}"/>
    <cellStyle name="60% - Ênfase5 2 9 4" xfId="5612" xr:uid="{00000000-0005-0000-0000-000046160000}"/>
    <cellStyle name="60% - Ênfase5 2 9 5" xfId="5613" xr:uid="{00000000-0005-0000-0000-000047160000}"/>
    <cellStyle name="60% - Ênfase5 2 9 6" xfId="5614" xr:uid="{00000000-0005-0000-0000-000048160000}"/>
    <cellStyle name="60% - Ênfase5 2 9 7" xfId="5615" xr:uid="{00000000-0005-0000-0000-000049160000}"/>
    <cellStyle name="60% - Ênfase5 20" xfId="5616" xr:uid="{00000000-0005-0000-0000-00004A160000}"/>
    <cellStyle name="60% - Ênfase5 20 2" xfId="5617" xr:uid="{00000000-0005-0000-0000-00004B160000}"/>
    <cellStyle name="60% - Ênfase5 20 3" xfId="5618" xr:uid="{00000000-0005-0000-0000-00004C160000}"/>
    <cellStyle name="60% - Ênfase5 21" xfId="5619" xr:uid="{00000000-0005-0000-0000-00004D160000}"/>
    <cellStyle name="60% - Ênfase5 22" xfId="5620" xr:uid="{00000000-0005-0000-0000-00004E160000}"/>
    <cellStyle name="60% - Ênfase5 23" xfId="5621" xr:uid="{00000000-0005-0000-0000-00004F160000}"/>
    <cellStyle name="60% - Ênfase5 24" xfId="5622" xr:uid="{00000000-0005-0000-0000-000050160000}"/>
    <cellStyle name="60% - Ênfase5 24 2" xfId="40943" xr:uid="{00000000-0005-0000-0000-000051160000}"/>
    <cellStyle name="60% - Ênfase5 25" xfId="5623" xr:uid="{00000000-0005-0000-0000-000052160000}"/>
    <cellStyle name="60% - Ênfase5 25 2" xfId="40978" xr:uid="{00000000-0005-0000-0000-000053160000}"/>
    <cellStyle name="60% - Ênfase5 26" xfId="5624" xr:uid="{00000000-0005-0000-0000-000054160000}"/>
    <cellStyle name="60% - Ênfase5 26 10" xfId="5625" xr:uid="{00000000-0005-0000-0000-000055160000}"/>
    <cellStyle name="60% - Ênfase5 26 11" xfId="5626" xr:uid="{00000000-0005-0000-0000-000056160000}"/>
    <cellStyle name="60% - Ênfase5 26 12" xfId="5627" xr:uid="{00000000-0005-0000-0000-000057160000}"/>
    <cellStyle name="60% - Ênfase5 26 13" xfId="5628" xr:uid="{00000000-0005-0000-0000-000058160000}"/>
    <cellStyle name="60% - Ênfase5 26 14" xfId="5629" xr:uid="{00000000-0005-0000-0000-000059160000}"/>
    <cellStyle name="60% - Ênfase5 26 15" xfId="5630" xr:uid="{00000000-0005-0000-0000-00005A160000}"/>
    <cellStyle name="60% - Ênfase5 26 16" xfId="5631" xr:uid="{00000000-0005-0000-0000-00005B160000}"/>
    <cellStyle name="60% - Ênfase5 26 2" xfId="5632" xr:uid="{00000000-0005-0000-0000-00005C160000}"/>
    <cellStyle name="60% - Ênfase5 26 3" xfId="5633" xr:uid="{00000000-0005-0000-0000-00005D160000}"/>
    <cellStyle name="60% - Ênfase5 26 4" xfId="5634" xr:uid="{00000000-0005-0000-0000-00005E160000}"/>
    <cellStyle name="60% - Ênfase5 26 5" xfId="5635" xr:uid="{00000000-0005-0000-0000-00005F160000}"/>
    <cellStyle name="60% - Ênfase5 26 6" xfId="5636" xr:uid="{00000000-0005-0000-0000-000060160000}"/>
    <cellStyle name="60% - Ênfase5 26 7" xfId="5637" xr:uid="{00000000-0005-0000-0000-000061160000}"/>
    <cellStyle name="60% - Ênfase5 26 8" xfId="5638" xr:uid="{00000000-0005-0000-0000-000062160000}"/>
    <cellStyle name="60% - Ênfase5 26 9" xfId="5639" xr:uid="{00000000-0005-0000-0000-000063160000}"/>
    <cellStyle name="60% - Ênfase5 27" xfId="5640" xr:uid="{00000000-0005-0000-0000-000064160000}"/>
    <cellStyle name="60% - Ênfase5 27 10" xfId="5641" xr:uid="{00000000-0005-0000-0000-000065160000}"/>
    <cellStyle name="60% - Ênfase5 27 11" xfId="5642" xr:uid="{00000000-0005-0000-0000-000066160000}"/>
    <cellStyle name="60% - Ênfase5 27 12" xfId="5643" xr:uid="{00000000-0005-0000-0000-000067160000}"/>
    <cellStyle name="60% - Ênfase5 27 13" xfId="5644" xr:uid="{00000000-0005-0000-0000-000068160000}"/>
    <cellStyle name="60% - Ênfase5 27 14" xfId="5645" xr:uid="{00000000-0005-0000-0000-000069160000}"/>
    <cellStyle name="60% - Ênfase5 27 15" xfId="5646" xr:uid="{00000000-0005-0000-0000-00006A160000}"/>
    <cellStyle name="60% - Ênfase5 27 16" xfId="5647" xr:uid="{00000000-0005-0000-0000-00006B160000}"/>
    <cellStyle name="60% - Ênfase5 27 2" xfId="5648" xr:uid="{00000000-0005-0000-0000-00006C160000}"/>
    <cellStyle name="60% - Ênfase5 27 3" xfId="5649" xr:uid="{00000000-0005-0000-0000-00006D160000}"/>
    <cellStyle name="60% - Ênfase5 27 4" xfId="5650" xr:uid="{00000000-0005-0000-0000-00006E160000}"/>
    <cellStyle name="60% - Ênfase5 27 5" xfId="5651" xr:uid="{00000000-0005-0000-0000-00006F160000}"/>
    <cellStyle name="60% - Ênfase5 27 6" xfId="5652" xr:uid="{00000000-0005-0000-0000-000070160000}"/>
    <cellStyle name="60% - Ênfase5 27 7" xfId="5653" xr:uid="{00000000-0005-0000-0000-000071160000}"/>
    <cellStyle name="60% - Ênfase5 27 8" xfId="5654" xr:uid="{00000000-0005-0000-0000-000072160000}"/>
    <cellStyle name="60% - Ênfase5 27 9" xfId="5655" xr:uid="{00000000-0005-0000-0000-000073160000}"/>
    <cellStyle name="60% - Ênfase5 28" xfId="5656" xr:uid="{00000000-0005-0000-0000-000074160000}"/>
    <cellStyle name="60% - Ênfase5 28 10" xfId="5657" xr:uid="{00000000-0005-0000-0000-000075160000}"/>
    <cellStyle name="60% - Ênfase5 28 11" xfId="5658" xr:uid="{00000000-0005-0000-0000-000076160000}"/>
    <cellStyle name="60% - Ênfase5 28 12" xfId="5659" xr:uid="{00000000-0005-0000-0000-000077160000}"/>
    <cellStyle name="60% - Ênfase5 28 13" xfId="5660" xr:uid="{00000000-0005-0000-0000-000078160000}"/>
    <cellStyle name="60% - Ênfase5 28 14" xfId="5661" xr:uid="{00000000-0005-0000-0000-000079160000}"/>
    <cellStyle name="60% - Ênfase5 28 15" xfId="5662" xr:uid="{00000000-0005-0000-0000-00007A160000}"/>
    <cellStyle name="60% - Ênfase5 28 16" xfId="5663" xr:uid="{00000000-0005-0000-0000-00007B160000}"/>
    <cellStyle name="60% - Ênfase5 28 2" xfId="5664" xr:uid="{00000000-0005-0000-0000-00007C160000}"/>
    <cellStyle name="60% - Ênfase5 28 3" xfId="5665" xr:uid="{00000000-0005-0000-0000-00007D160000}"/>
    <cellStyle name="60% - Ênfase5 28 4" xfId="5666" xr:uid="{00000000-0005-0000-0000-00007E160000}"/>
    <cellStyle name="60% - Ênfase5 28 5" xfId="5667" xr:uid="{00000000-0005-0000-0000-00007F160000}"/>
    <cellStyle name="60% - Ênfase5 28 6" xfId="5668" xr:uid="{00000000-0005-0000-0000-000080160000}"/>
    <cellStyle name="60% - Ênfase5 28 7" xfId="5669" xr:uid="{00000000-0005-0000-0000-000081160000}"/>
    <cellStyle name="60% - Ênfase5 28 8" xfId="5670" xr:uid="{00000000-0005-0000-0000-000082160000}"/>
    <cellStyle name="60% - Ênfase5 28 9" xfId="5671" xr:uid="{00000000-0005-0000-0000-000083160000}"/>
    <cellStyle name="60% - Ênfase5 29" xfId="5672" xr:uid="{00000000-0005-0000-0000-000084160000}"/>
    <cellStyle name="60% - Ênfase5 29 10" xfId="5673" xr:uid="{00000000-0005-0000-0000-000085160000}"/>
    <cellStyle name="60% - Ênfase5 29 11" xfId="5674" xr:uid="{00000000-0005-0000-0000-000086160000}"/>
    <cellStyle name="60% - Ênfase5 29 12" xfId="5675" xr:uid="{00000000-0005-0000-0000-000087160000}"/>
    <cellStyle name="60% - Ênfase5 29 13" xfId="5676" xr:uid="{00000000-0005-0000-0000-000088160000}"/>
    <cellStyle name="60% - Ênfase5 29 14" xfId="5677" xr:uid="{00000000-0005-0000-0000-000089160000}"/>
    <cellStyle name="60% - Ênfase5 29 15" xfId="5678" xr:uid="{00000000-0005-0000-0000-00008A160000}"/>
    <cellStyle name="60% - Ênfase5 29 16" xfId="5679" xr:uid="{00000000-0005-0000-0000-00008B160000}"/>
    <cellStyle name="60% - Ênfase5 29 2" xfId="5680" xr:uid="{00000000-0005-0000-0000-00008C160000}"/>
    <cellStyle name="60% - Ênfase5 29 3" xfId="5681" xr:uid="{00000000-0005-0000-0000-00008D160000}"/>
    <cellStyle name="60% - Ênfase5 29 4" xfId="5682" xr:uid="{00000000-0005-0000-0000-00008E160000}"/>
    <cellStyle name="60% - Ênfase5 29 5" xfId="5683" xr:uid="{00000000-0005-0000-0000-00008F160000}"/>
    <cellStyle name="60% - Ênfase5 29 6" xfId="5684" xr:uid="{00000000-0005-0000-0000-000090160000}"/>
    <cellStyle name="60% - Ênfase5 29 7" xfId="5685" xr:uid="{00000000-0005-0000-0000-000091160000}"/>
    <cellStyle name="60% - Ênfase5 29 8" xfId="5686" xr:uid="{00000000-0005-0000-0000-000092160000}"/>
    <cellStyle name="60% - Ênfase5 29 9" xfId="5687" xr:uid="{00000000-0005-0000-0000-000093160000}"/>
    <cellStyle name="60% - Ênfase5 3" xfId="5688" xr:uid="{00000000-0005-0000-0000-000094160000}"/>
    <cellStyle name="60% - Ênfase5 3 10" xfId="5689" xr:uid="{00000000-0005-0000-0000-000095160000}"/>
    <cellStyle name="60% - Ênfase5 3 11" xfId="5690" xr:uid="{00000000-0005-0000-0000-000096160000}"/>
    <cellStyle name="60% - Ênfase5 3 2" xfId="5691" xr:uid="{00000000-0005-0000-0000-000097160000}"/>
    <cellStyle name="60% - Ênfase5 3 3" xfId="5692" xr:uid="{00000000-0005-0000-0000-000098160000}"/>
    <cellStyle name="60% - Ênfase5 3 4" xfId="5693" xr:uid="{00000000-0005-0000-0000-000099160000}"/>
    <cellStyle name="60% - Ênfase5 3 5" xfId="5694" xr:uid="{00000000-0005-0000-0000-00009A160000}"/>
    <cellStyle name="60% - Ênfase5 3 6" xfId="5695" xr:uid="{00000000-0005-0000-0000-00009B160000}"/>
    <cellStyle name="60% - Ênfase5 3 7" xfId="5696" xr:uid="{00000000-0005-0000-0000-00009C160000}"/>
    <cellStyle name="60% - Ênfase5 3 8" xfId="5697" xr:uid="{00000000-0005-0000-0000-00009D160000}"/>
    <cellStyle name="60% - Ênfase5 3 9" xfId="5698" xr:uid="{00000000-0005-0000-0000-00009E160000}"/>
    <cellStyle name="60% - Ênfase5 30" xfId="5699" xr:uid="{00000000-0005-0000-0000-00009F160000}"/>
    <cellStyle name="60% - Ênfase5 31" xfId="5700" xr:uid="{00000000-0005-0000-0000-0000A0160000}"/>
    <cellStyle name="60% - Ênfase5 32" xfId="5701" xr:uid="{00000000-0005-0000-0000-0000A1160000}"/>
    <cellStyle name="60% - Ênfase5 33" xfId="5702" xr:uid="{00000000-0005-0000-0000-0000A2160000}"/>
    <cellStyle name="60% - Ênfase5 34" xfId="5703" xr:uid="{00000000-0005-0000-0000-0000A3160000}"/>
    <cellStyle name="60% - Ênfase5 35" xfId="5704" xr:uid="{00000000-0005-0000-0000-0000A4160000}"/>
    <cellStyle name="60% - Ênfase5 36" xfId="5705" xr:uid="{00000000-0005-0000-0000-0000A5160000}"/>
    <cellStyle name="60% - Ênfase5 37" xfId="5706" xr:uid="{00000000-0005-0000-0000-0000A6160000}"/>
    <cellStyle name="60% - Ênfase5 38" xfId="5707" xr:uid="{00000000-0005-0000-0000-0000A7160000}"/>
    <cellStyle name="60% - Ênfase5 39" xfId="5708" xr:uid="{00000000-0005-0000-0000-0000A8160000}"/>
    <cellStyle name="60% - Ênfase5 4" xfId="5709" xr:uid="{00000000-0005-0000-0000-0000A9160000}"/>
    <cellStyle name="60% - Ênfase5 4 10" xfId="5710" xr:uid="{00000000-0005-0000-0000-0000AA160000}"/>
    <cellStyle name="60% - Ênfase5 4 11" xfId="5711" xr:uid="{00000000-0005-0000-0000-0000AB160000}"/>
    <cellStyle name="60% - Ênfase5 4 2" xfId="5712" xr:uid="{00000000-0005-0000-0000-0000AC160000}"/>
    <cellStyle name="60% - Ênfase5 4 3" xfId="5713" xr:uid="{00000000-0005-0000-0000-0000AD160000}"/>
    <cellStyle name="60% - Ênfase5 4 4" xfId="5714" xr:uid="{00000000-0005-0000-0000-0000AE160000}"/>
    <cellStyle name="60% - Ênfase5 4 5" xfId="5715" xr:uid="{00000000-0005-0000-0000-0000AF160000}"/>
    <cellStyle name="60% - Ênfase5 4 6" xfId="5716" xr:uid="{00000000-0005-0000-0000-0000B0160000}"/>
    <cellStyle name="60% - Ênfase5 4 7" xfId="5717" xr:uid="{00000000-0005-0000-0000-0000B1160000}"/>
    <cellStyle name="60% - Ênfase5 4 8" xfId="5718" xr:uid="{00000000-0005-0000-0000-0000B2160000}"/>
    <cellStyle name="60% - Ênfase5 4 9" xfId="5719" xr:uid="{00000000-0005-0000-0000-0000B3160000}"/>
    <cellStyle name="60% - Ênfase5 40" xfId="5720" xr:uid="{00000000-0005-0000-0000-0000B4160000}"/>
    <cellStyle name="60% - Ênfase5 41" xfId="5721" xr:uid="{00000000-0005-0000-0000-0000B5160000}"/>
    <cellStyle name="60% - Ênfase5 42" xfId="5722" xr:uid="{00000000-0005-0000-0000-0000B6160000}"/>
    <cellStyle name="60% - Ênfase5 43" xfId="5723" xr:uid="{00000000-0005-0000-0000-0000B7160000}"/>
    <cellStyle name="60% - Ênfase5 44" xfId="5724" xr:uid="{00000000-0005-0000-0000-0000B8160000}"/>
    <cellStyle name="60% - Ênfase5 45" xfId="5725" xr:uid="{00000000-0005-0000-0000-0000B9160000}"/>
    <cellStyle name="60% - Ênfase5 46" xfId="5726" xr:uid="{00000000-0005-0000-0000-0000BA160000}"/>
    <cellStyle name="60% - Ênfase5 47" xfId="5727" xr:uid="{00000000-0005-0000-0000-0000BB160000}"/>
    <cellStyle name="60% - Ênfase5 48" xfId="5728" xr:uid="{00000000-0005-0000-0000-0000BC160000}"/>
    <cellStyle name="60% - Ênfase5 49" xfId="5729" xr:uid="{00000000-0005-0000-0000-0000BD160000}"/>
    <cellStyle name="60% - Ênfase5 5" xfId="5730" xr:uid="{00000000-0005-0000-0000-0000BE160000}"/>
    <cellStyle name="60% - Ênfase5 5 2" xfId="5731" xr:uid="{00000000-0005-0000-0000-0000BF160000}"/>
    <cellStyle name="60% - Ênfase5 5 3" xfId="5732" xr:uid="{00000000-0005-0000-0000-0000C0160000}"/>
    <cellStyle name="60% - Ênfase5 5 4" xfId="5733" xr:uid="{00000000-0005-0000-0000-0000C1160000}"/>
    <cellStyle name="60% - Ênfase5 50" xfId="5734" xr:uid="{00000000-0005-0000-0000-0000C2160000}"/>
    <cellStyle name="60% - Ênfase5 51" xfId="5735" xr:uid="{00000000-0005-0000-0000-0000C3160000}"/>
    <cellStyle name="60% - Ênfase5 52" xfId="5736" xr:uid="{00000000-0005-0000-0000-0000C4160000}"/>
    <cellStyle name="60% - Ênfase5 53" xfId="5737" xr:uid="{00000000-0005-0000-0000-0000C5160000}"/>
    <cellStyle name="60% - Ênfase5 54" xfId="5738" xr:uid="{00000000-0005-0000-0000-0000C6160000}"/>
    <cellStyle name="60% - Ênfase5 55" xfId="5739" xr:uid="{00000000-0005-0000-0000-0000C7160000}"/>
    <cellStyle name="60% - Ênfase5 56" xfId="5740" xr:uid="{00000000-0005-0000-0000-0000C8160000}"/>
    <cellStyle name="60% - Ênfase5 57" xfId="5741" xr:uid="{00000000-0005-0000-0000-0000C9160000}"/>
    <cellStyle name="60% - Ênfase5 58" xfId="5742" xr:uid="{00000000-0005-0000-0000-0000CA160000}"/>
    <cellStyle name="60% - Ênfase5 59" xfId="5743" xr:uid="{00000000-0005-0000-0000-0000CB160000}"/>
    <cellStyle name="60% - Ênfase5 6" xfId="5744" xr:uid="{00000000-0005-0000-0000-0000CC160000}"/>
    <cellStyle name="60% - Ênfase5 6 2" xfId="5745" xr:uid="{00000000-0005-0000-0000-0000CD160000}"/>
    <cellStyle name="60% - Ênfase5 6 3" xfId="5746" xr:uid="{00000000-0005-0000-0000-0000CE160000}"/>
    <cellStyle name="60% - Ênfase5 6 4" xfId="5747" xr:uid="{00000000-0005-0000-0000-0000CF160000}"/>
    <cellStyle name="60% - Ênfase5 60" xfId="5748" xr:uid="{00000000-0005-0000-0000-0000D0160000}"/>
    <cellStyle name="60% - Ênfase5 61" xfId="5749" xr:uid="{00000000-0005-0000-0000-0000D1160000}"/>
    <cellStyle name="60% - Ênfase5 62" xfId="5750" xr:uid="{00000000-0005-0000-0000-0000D2160000}"/>
    <cellStyle name="60% - Ênfase5 63" xfId="5751" xr:uid="{00000000-0005-0000-0000-0000D3160000}"/>
    <cellStyle name="60% - Ênfase5 64" xfId="5752" xr:uid="{00000000-0005-0000-0000-0000D4160000}"/>
    <cellStyle name="60% - Ênfase5 65" xfId="5753" xr:uid="{00000000-0005-0000-0000-0000D5160000}"/>
    <cellStyle name="60% - Ênfase5 66" xfId="5754" xr:uid="{00000000-0005-0000-0000-0000D6160000}"/>
    <cellStyle name="60% - Ênfase5 67" xfId="5755" xr:uid="{00000000-0005-0000-0000-0000D7160000}"/>
    <cellStyle name="60% - Ênfase5 68" xfId="5756" xr:uid="{00000000-0005-0000-0000-0000D8160000}"/>
    <cellStyle name="60% - Ênfase5 69" xfId="5757" xr:uid="{00000000-0005-0000-0000-0000D9160000}"/>
    <cellStyle name="60% - Ênfase5 7" xfId="5758" xr:uid="{00000000-0005-0000-0000-0000DA160000}"/>
    <cellStyle name="60% - Ênfase5 7 2" xfId="5759" xr:uid="{00000000-0005-0000-0000-0000DB160000}"/>
    <cellStyle name="60% - Ênfase5 7 3" xfId="5760" xr:uid="{00000000-0005-0000-0000-0000DC160000}"/>
    <cellStyle name="60% - Ênfase5 7 4" xfId="5761" xr:uid="{00000000-0005-0000-0000-0000DD160000}"/>
    <cellStyle name="60% - Ênfase5 70" xfId="5762" xr:uid="{00000000-0005-0000-0000-0000DE160000}"/>
    <cellStyle name="60% - Ênfase5 71" xfId="5763" xr:uid="{00000000-0005-0000-0000-0000DF160000}"/>
    <cellStyle name="60% - Ênfase5 72" xfId="5764" xr:uid="{00000000-0005-0000-0000-0000E0160000}"/>
    <cellStyle name="60% - Ênfase5 73" xfId="5765" xr:uid="{00000000-0005-0000-0000-0000E1160000}"/>
    <cellStyle name="60% - Ênfase5 74" xfId="5766" xr:uid="{00000000-0005-0000-0000-0000E2160000}"/>
    <cellStyle name="60% - Ênfase5 75" xfId="5767" xr:uid="{00000000-0005-0000-0000-0000E3160000}"/>
    <cellStyle name="60% - Ênfase5 76" xfId="5768" xr:uid="{00000000-0005-0000-0000-0000E4160000}"/>
    <cellStyle name="60% - Ênfase5 77" xfId="5769" xr:uid="{00000000-0005-0000-0000-0000E5160000}"/>
    <cellStyle name="60% - Ênfase5 78" xfId="5770" xr:uid="{00000000-0005-0000-0000-0000E6160000}"/>
    <cellStyle name="60% - Ênfase5 79" xfId="5771" xr:uid="{00000000-0005-0000-0000-0000E7160000}"/>
    <cellStyle name="60% - Ênfase5 8" xfId="5772" xr:uid="{00000000-0005-0000-0000-0000E8160000}"/>
    <cellStyle name="60% - Ênfase5 8 2" xfId="5773" xr:uid="{00000000-0005-0000-0000-0000E9160000}"/>
    <cellStyle name="60% - Ênfase5 8 3" xfId="5774" xr:uid="{00000000-0005-0000-0000-0000EA160000}"/>
    <cellStyle name="60% - Ênfase5 8 4" xfId="5775" xr:uid="{00000000-0005-0000-0000-0000EB160000}"/>
    <cellStyle name="60% - Ênfase5 80" xfId="5776" xr:uid="{00000000-0005-0000-0000-0000EC160000}"/>
    <cellStyle name="60% - Ênfase5 81" xfId="5777" xr:uid="{00000000-0005-0000-0000-0000ED160000}"/>
    <cellStyle name="60% - Ênfase5 82" xfId="5778" xr:uid="{00000000-0005-0000-0000-0000EE160000}"/>
    <cellStyle name="60% - Ênfase5 83" xfId="5779" xr:uid="{00000000-0005-0000-0000-0000EF160000}"/>
    <cellStyle name="60% - Ênfase5 84" xfId="5780" xr:uid="{00000000-0005-0000-0000-0000F0160000}"/>
    <cellStyle name="60% - Ênfase5 85" xfId="5781" xr:uid="{00000000-0005-0000-0000-0000F1160000}"/>
    <cellStyle name="60% - Ênfase5 86" xfId="5782" xr:uid="{00000000-0005-0000-0000-0000F2160000}"/>
    <cellStyle name="60% - Ênfase5 87" xfId="5783" xr:uid="{00000000-0005-0000-0000-0000F3160000}"/>
    <cellStyle name="60% - Ênfase5 88" xfId="5784" xr:uid="{00000000-0005-0000-0000-0000F4160000}"/>
    <cellStyle name="60% - Ênfase5 89" xfId="5785" xr:uid="{00000000-0005-0000-0000-0000F5160000}"/>
    <cellStyle name="60% - Ênfase5 9" xfId="5786" xr:uid="{00000000-0005-0000-0000-0000F6160000}"/>
    <cellStyle name="60% - Ênfase5 90" xfId="5787" xr:uid="{00000000-0005-0000-0000-0000F7160000}"/>
    <cellStyle name="60% - Ênfase5 91" xfId="5788" xr:uid="{00000000-0005-0000-0000-0000F8160000}"/>
    <cellStyle name="60% - Ênfase5 92" xfId="5789" xr:uid="{00000000-0005-0000-0000-0000F9160000}"/>
    <cellStyle name="60% - Ênfase5 93" xfId="5790" xr:uid="{00000000-0005-0000-0000-0000FA160000}"/>
    <cellStyle name="60% - Ênfase5 94" xfId="5791" xr:uid="{00000000-0005-0000-0000-0000FB160000}"/>
    <cellStyle name="60% - Ênfase5 95" xfId="5792" xr:uid="{00000000-0005-0000-0000-0000FC160000}"/>
    <cellStyle name="60% - Ênfase5 96" xfId="5793" xr:uid="{00000000-0005-0000-0000-0000FD160000}"/>
    <cellStyle name="60% - Ênfase5 97" xfId="5794" xr:uid="{00000000-0005-0000-0000-0000FE160000}"/>
    <cellStyle name="60% - Ênfase5 98" xfId="5795" xr:uid="{00000000-0005-0000-0000-0000FF160000}"/>
    <cellStyle name="60% - Ênfase5 99" xfId="5796" xr:uid="{00000000-0005-0000-0000-000000170000}"/>
    <cellStyle name="60% - Ênfase6 10" xfId="5797" xr:uid="{00000000-0005-0000-0000-000001170000}"/>
    <cellStyle name="60% - Ênfase6 10 2" xfId="40526" xr:uid="{00000000-0005-0000-0000-000002170000}"/>
    <cellStyle name="60% - Ênfase6 100" xfId="5798" xr:uid="{00000000-0005-0000-0000-000003170000}"/>
    <cellStyle name="60% - Ênfase6 101" xfId="5799" xr:uid="{00000000-0005-0000-0000-000004170000}"/>
    <cellStyle name="60% - Ênfase6 102" xfId="5800" xr:uid="{00000000-0005-0000-0000-000005170000}"/>
    <cellStyle name="60% - Ênfase6 103" xfId="5801" xr:uid="{00000000-0005-0000-0000-000006170000}"/>
    <cellStyle name="60% - Ênfase6 104" xfId="5802" xr:uid="{00000000-0005-0000-0000-000007170000}"/>
    <cellStyle name="60% - Ênfase6 105" xfId="5803" xr:uid="{00000000-0005-0000-0000-000008170000}"/>
    <cellStyle name="60% - Ênfase6 106" xfId="5804" xr:uid="{00000000-0005-0000-0000-000009170000}"/>
    <cellStyle name="60% - Ênfase6 107" xfId="5805" xr:uid="{00000000-0005-0000-0000-00000A170000}"/>
    <cellStyle name="60% - Ênfase6 108" xfId="5806" xr:uid="{00000000-0005-0000-0000-00000B170000}"/>
    <cellStyle name="60% - Ênfase6 109" xfId="5807" xr:uid="{00000000-0005-0000-0000-00000C170000}"/>
    <cellStyle name="60% - Ênfase6 11" xfId="5808" xr:uid="{00000000-0005-0000-0000-00000D170000}"/>
    <cellStyle name="60% - Ênfase6 11 2" xfId="40527" xr:uid="{00000000-0005-0000-0000-00000E170000}"/>
    <cellStyle name="60% - Ênfase6 110" xfId="5809" xr:uid="{00000000-0005-0000-0000-00000F170000}"/>
    <cellStyle name="60% - Ênfase6 111" xfId="5810" xr:uid="{00000000-0005-0000-0000-000010170000}"/>
    <cellStyle name="60% - Ênfase6 112" xfId="5811" xr:uid="{00000000-0005-0000-0000-000011170000}"/>
    <cellStyle name="60% - Ênfase6 113" xfId="5812" xr:uid="{00000000-0005-0000-0000-000012170000}"/>
    <cellStyle name="60% - Ênfase6 114" xfId="5813" xr:uid="{00000000-0005-0000-0000-000013170000}"/>
    <cellStyle name="60% - Ênfase6 115" xfId="5814" xr:uid="{00000000-0005-0000-0000-000014170000}"/>
    <cellStyle name="60% - Ênfase6 116" xfId="5815" xr:uid="{00000000-0005-0000-0000-000015170000}"/>
    <cellStyle name="60% - Ênfase6 117" xfId="5816" xr:uid="{00000000-0005-0000-0000-000016170000}"/>
    <cellStyle name="60% - Ênfase6 118" xfId="5817" xr:uid="{00000000-0005-0000-0000-000017170000}"/>
    <cellStyle name="60% - Ênfase6 119" xfId="5818" xr:uid="{00000000-0005-0000-0000-000018170000}"/>
    <cellStyle name="60% - Ênfase6 12" xfId="5819" xr:uid="{00000000-0005-0000-0000-000019170000}"/>
    <cellStyle name="60% - Ênfase6 12 2" xfId="40528" xr:uid="{00000000-0005-0000-0000-00001A170000}"/>
    <cellStyle name="60% - Ênfase6 120" xfId="5820" xr:uid="{00000000-0005-0000-0000-00001B170000}"/>
    <cellStyle name="60% - Ênfase6 121" xfId="5821" xr:uid="{00000000-0005-0000-0000-00001C170000}"/>
    <cellStyle name="60% - Ênfase6 122" xfId="5822" xr:uid="{00000000-0005-0000-0000-00001D170000}"/>
    <cellStyle name="60% - Ênfase6 123" xfId="5823" xr:uid="{00000000-0005-0000-0000-00001E170000}"/>
    <cellStyle name="60% - Ênfase6 124" xfId="5824" xr:uid="{00000000-0005-0000-0000-00001F170000}"/>
    <cellStyle name="60% - Ênfase6 125" xfId="5825" xr:uid="{00000000-0005-0000-0000-000020170000}"/>
    <cellStyle name="60% - Ênfase6 126" xfId="5826" xr:uid="{00000000-0005-0000-0000-000021170000}"/>
    <cellStyle name="60% - Ênfase6 127" xfId="5827" xr:uid="{00000000-0005-0000-0000-000022170000}"/>
    <cellStyle name="60% - Ênfase6 128" xfId="5828" xr:uid="{00000000-0005-0000-0000-000023170000}"/>
    <cellStyle name="60% - Ênfase6 129" xfId="5829" xr:uid="{00000000-0005-0000-0000-000024170000}"/>
    <cellStyle name="60% - Ênfase6 13" xfId="5830" xr:uid="{00000000-0005-0000-0000-000025170000}"/>
    <cellStyle name="60% - Ênfase6 13 2" xfId="40529" xr:uid="{00000000-0005-0000-0000-000026170000}"/>
    <cellStyle name="60% - Ênfase6 130" xfId="5831" xr:uid="{00000000-0005-0000-0000-000027170000}"/>
    <cellStyle name="60% - Ênfase6 131" xfId="5832" xr:uid="{00000000-0005-0000-0000-000028170000}"/>
    <cellStyle name="60% - Ênfase6 132" xfId="5833" xr:uid="{00000000-0005-0000-0000-000029170000}"/>
    <cellStyle name="60% - Ênfase6 133" xfId="5834" xr:uid="{00000000-0005-0000-0000-00002A170000}"/>
    <cellStyle name="60% - Ênfase6 134" xfId="5835" xr:uid="{00000000-0005-0000-0000-00002B170000}"/>
    <cellStyle name="60% - Ênfase6 135" xfId="5836" xr:uid="{00000000-0005-0000-0000-00002C170000}"/>
    <cellStyle name="60% - Ênfase6 136" xfId="5837" xr:uid="{00000000-0005-0000-0000-00002D170000}"/>
    <cellStyle name="60% - Ênfase6 137" xfId="5838" xr:uid="{00000000-0005-0000-0000-00002E170000}"/>
    <cellStyle name="60% - Ênfase6 138" xfId="5839" xr:uid="{00000000-0005-0000-0000-00002F170000}"/>
    <cellStyle name="60% - Ênfase6 139" xfId="5840" xr:uid="{00000000-0005-0000-0000-000030170000}"/>
    <cellStyle name="60% - Ênfase6 14" xfId="5841" xr:uid="{00000000-0005-0000-0000-000031170000}"/>
    <cellStyle name="60% - Ênfase6 140" xfId="5842" xr:uid="{00000000-0005-0000-0000-000032170000}"/>
    <cellStyle name="60% - Ênfase6 141" xfId="5843" xr:uid="{00000000-0005-0000-0000-000033170000}"/>
    <cellStyle name="60% - Ênfase6 142" xfId="5844" xr:uid="{00000000-0005-0000-0000-000034170000}"/>
    <cellStyle name="60% - Ênfase6 143" xfId="5845" xr:uid="{00000000-0005-0000-0000-000035170000}"/>
    <cellStyle name="60% - Ênfase6 144" xfId="5846" xr:uid="{00000000-0005-0000-0000-000036170000}"/>
    <cellStyle name="60% - Ênfase6 145" xfId="5847" xr:uid="{00000000-0005-0000-0000-000037170000}"/>
    <cellStyle name="60% - Ênfase6 146" xfId="5848" xr:uid="{00000000-0005-0000-0000-000038170000}"/>
    <cellStyle name="60% - Ênfase6 147" xfId="5849" xr:uid="{00000000-0005-0000-0000-000039170000}"/>
    <cellStyle name="60% - Ênfase6 148" xfId="5850" xr:uid="{00000000-0005-0000-0000-00003A170000}"/>
    <cellStyle name="60% - Ênfase6 149" xfId="5851" xr:uid="{00000000-0005-0000-0000-00003B170000}"/>
    <cellStyle name="60% - Ênfase6 15" xfId="5852" xr:uid="{00000000-0005-0000-0000-00003C170000}"/>
    <cellStyle name="60% - Ênfase6 15 2" xfId="5853" xr:uid="{00000000-0005-0000-0000-00003D170000}"/>
    <cellStyle name="60% - Ênfase6 15 3" xfId="5854" xr:uid="{00000000-0005-0000-0000-00003E170000}"/>
    <cellStyle name="60% - Ênfase6 150" xfId="5855" xr:uid="{00000000-0005-0000-0000-00003F170000}"/>
    <cellStyle name="60% - Ênfase6 151" xfId="5856" xr:uid="{00000000-0005-0000-0000-000040170000}"/>
    <cellStyle name="60% - Ênfase6 152" xfId="5857" xr:uid="{00000000-0005-0000-0000-000041170000}"/>
    <cellStyle name="60% - Ênfase6 153" xfId="5858" xr:uid="{00000000-0005-0000-0000-000042170000}"/>
    <cellStyle name="60% - Ênfase6 154" xfId="5859" xr:uid="{00000000-0005-0000-0000-000043170000}"/>
    <cellStyle name="60% - Ênfase6 155" xfId="5860" xr:uid="{00000000-0005-0000-0000-000044170000}"/>
    <cellStyle name="60% - Ênfase6 156" xfId="5861" xr:uid="{00000000-0005-0000-0000-000045170000}"/>
    <cellStyle name="60% - Ênfase6 157" xfId="5862" xr:uid="{00000000-0005-0000-0000-000046170000}"/>
    <cellStyle name="60% - Ênfase6 158" xfId="5863" xr:uid="{00000000-0005-0000-0000-000047170000}"/>
    <cellStyle name="60% - Ênfase6 159" xfId="5864" xr:uid="{00000000-0005-0000-0000-000048170000}"/>
    <cellStyle name="60% - Ênfase6 16" xfId="5865" xr:uid="{00000000-0005-0000-0000-000049170000}"/>
    <cellStyle name="60% - Ênfase6 16 2" xfId="5866" xr:uid="{00000000-0005-0000-0000-00004A170000}"/>
    <cellStyle name="60% - Ênfase6 16 3" xfId="5867" xr:uid="{00000000-0005-0000-0000-00004B170000}"/>
    <cellStyle name="60% - Ênfase6 160" xfId="5868" xr:uid="{00000000-0005-0000-0000-00004C170000}"/>
    <cellStyle name="60% - Ênfase6 161" xfId="5869" xr:uid="{00000000-0005-0000-0000-00004D170000}"/>
    <cellStyle name="60% - Ênfase6 162" xfId="5870" xr:uid="{00000000-0005-0000-0000-00004E170000}"/>
    <cellStyle name="60% - Ênfase6 163" xfId="5871" xr:uid="{00000000-0005-0000-0000-00004F170000}"/>
    <cellStyle name="60% - Ênfase6 164" xfId="5872" xr:uid="{00000000-0005-0000-0000-000050170000}"/>
    <cellStyle name="60% - Ênfase6 165" xfId="5873" xr:uid="{00000000-0005-0000-0000-000051170000}"/>
    <cellStyle name="60% - Ênfase6 166" xfId="5874" xr:uid="{00000000-0005-0000-0000-000052170000}"/>
    <cellStyle name="60% - Ênfase6 167" xfId="5875" xr:uid="{00000000-0005-0000-0000-000053170000}"/>
    <cellStyle name="60% - Ênfase6 168" xfId="5876" xr:uid="{00000000-0005-0000-0000-000054170000}"/>
    <cellStyle name="60% - Ênfase6 169" xfId="5877" xr:uid="{00000000-0005-0000-0000-000055170000}"/>
    <cellStyle name="60% - Ênfase6 17" xfId="5878" xr:uid="{00000000-0005-0000-0000-000056170000}"/>
    <cellStyle name="60% - Ênfase6 17 2" xfId="5879" xr:uid="{00000000-0005-0000-0000-000057170000}"/>
    <cellStyle name="60% - Ênfase6 17 3" xfId="5880" xr:uid="{00000000-0005-0000-0000-000058170000}"/>
    <cellStyle name="60% - Ênfase6 170" xfId="5881" xr:uid="{00000000-0005-0000-0000-000059170000}"/>
    <cellStyle name="60% - Ênfase6 171" xfId="5882" xr:uid="{00000000-0005-0000-0000-00005A170000}"/>
    <cellStyle name="60% - Ênfase6 172" xfId="5883" xr:uid="{00000000-0005-0000-0000-00005B170000}"/>
    <cellStyle name="60% - Ênfase6 173" xfId="5884" xr:uid="{00000000-0005-0000-0000-00005C170000}"/>
    <cellStyle name="60% - Ênfase6 174" xfId="5885" xr:uid="{00000000-0005-0000-0000-00005D170000}"/>
    <cellStyle name="60% - Ênfase6 175" xfId="5886" xr:uid="{00000000-0005-0000-0000-00005E170000}"/>
    <cellStyle name="60% - Ênfase6 176" xfId="5887" xr:uid="{00000000-0005-0000-0000-00005F170000}"/>
    <cellStyle name="60% - Ênfase6 177" xfId="5888" xr:uid="{00000000-0005-0000-0000-000060170000}"/>
    <cellStyle name="60% - Ênfase6 178" xfId="5889" xr:uid="{00000000-0005-0000-0000-000061170000}"/>
    <cellStyle name="60% - Ênfase6 179" xfId="5890" xr:uid="{00000000-0005-0000-0000-000062170000}"/>
    <cellStyle name="60% - Ênfase6 18" xfId="5891" xr:uid="{00000000-0005-0000-0000-000063170000}"/>
    <cellStyle name="60% - Ênfase6 18 2" xfId="5892" xr:uid="{00000000-0005-0000-0000-000064170000}"/>
    <cellStyle name="60% - Ênfase6 18 3" xfId="5893" xr:uid="{00000000-0005-0000-0000-000065170000}"/>
    <cellStyle name="60% - Ênfase6 180" xfId="5894" xr:uid="{00000000-0005-0000-0000-000066170000}"/>
    <cellStyle name="60% - Ênfase6 181" xfId="5895" xr:uid="{00000000-0005-0000-0000-000067170000}"/>
    <cellStyle name="60% - Ênfase6 182" xfId="5896" xr:uid="{00000000-0005-0000-0000-000068170000}"/>
    <cellStyle name="60% - Ênfase6 183" xfId="5897" xr:uid="{00000000-0005-0000-0000-000069170000}"/>
    <cellStyle name="60% - Ênfase6 184" xfId="5898" xr:uid="{00000000-0005-0000-0000-00006A170000}"/>
    <cellStyle name="60% - Ênfase6 185" xfId="5899" xr:uid="{00000000-0005-0000-0000-00006B170000}"/>
    <cellStyle name="60% - Ênfase6 186" xfId="5900" xr:uid="{00000000-0005-0000-0000-00006C170000}"/>
    <cellStyle name="60% - Ênfase6 187" xfId="5901" xr:uid="{00000000-0005-0000-0000-00006D170000}"/>
    <cellStyle name="60% - Ênfase6 188" xfId="5902" xr:uid="{00000000-0005-0000-0000-00006E170000}"/>
    <cellStyle name="60% - Ênfase6 189" xfId="5903" xr:uid="{00000000-0005-0000-0000-00006F170000}"/>
    <cellStyle name="60% - Ênfase6 19" xfId="5904" xr:uid="{00000000-0005-0000-0000-000070170000}"/>
    <cellStyle name="60% - Ênfase6 19 2" xfId="5905" xr:uid="{00000000-0005-0000-0000-000071170000}"/>
    <cellStyle name="60% - Ênfase6 19 3" xfId="5906" xr:uid="{00000000-0005-0000-0000-000072170000}"/>
    <cellStyle name="60% - Ênfase6 190" xfId="5907" xr:uid="{00000000-0005-0000-0000-000073170000}"/>
    <cellStyle name="60% - Ênfase6 2" xfId="5908" xr:uid="{00000000-0005-0000-0000-000074170000}"/>
    <cellStyle name="60% - Ênfase6 2 10" xfId="5909" xr:uid="{00000000-0005-0000-0000-000075170000}"/>
    <cellStyle name="60% - Ênfase6 2 10 2" xfId="5910" xr:uid="{00000000-0005-0000-0000-000076170000}"/>
    <cellStyle name="60% - Ênfase6 2 10 3" xfId="5911" xr:uid="{00000000-0005-0000-0000-000077170000}"/>
    <cellStyle name="60% - Ênfase6 2 10 4" xfId="5912" xr:uid="{00000000-0005-0000-0000-000078170000}"/>
    <cellStyle name="60% - Ênfase6 2 10 5" xfId="5913" xr:uid="{00000000-0005-0000-0000-000079170000}"/>
    <cellStyle name="60% - Ênfase6 2 10 6" xfId="5914" xr:uid="{00000000-0005-0000-0000-00007A170000}"/>
    <cellStyle name="60% - Ênfase6 2 10 7" xfId="5915" xr:uid="{00000000-0005-0000-0000-00007B170000}"/>
    <cellStyle name="60% - Ênfase6 2 11" xfId="5916" xr:uid="{00000000-0005-0000-0000-00007C170000}"/>
    <cellStyle name="60% - Ênfase6 2 11 2" xfId="5917" xr:uid="{00000000-0005-0000-0000-00007D170000}"/>
    <cellStyle name="60% - Ênfase6 2 11 3" xfId="5918" xr:uid="{00000000-0005-0000-0000-00007E170000}"/>
    <cellStyle name="60% - Ênfase6 2 11 4" xfId="5919" xr:uid="{00000000-0005-0000-0000-00007F170000}"/>
    <cellStyle name="60% - Ênfase6 2 11 5" xfId="5920" xr:uid="{00000000-0005-0000-0000-000080170000}"/>
    <cellStyle name="60% - Ênfase6 2 11 6" xfId="5921" xr:uid="{00000000-0005-0000-0000-000081170000}"/>
    <cellStyle name="60% - Ênfase6 2 11 7" xfId="5922" xr:uid="{00000000-0005-0000-0000-000082170000}"/>
    <cellStyle name="60% - Ênfase6 2 12" xfId="5923" xr:uid="{00000000-0005-0000-0000-000083170000}"/>
    <cellStyle name="60% - Ênfase6 2 13" xfId="10" xr:uid="{00000000-0005-0000-0000-000084170000}"/>
    <cellStyle name="60% - Ênfase6 2 13 2" xfId="29364" xr:uid="{00000000-0005-0000-0000-000085170000}"/>
    <cellStyle name="60% - Ênfase6 2 14" xfId="5924" xr:uid="{00000000-0005-0000-0000-000086170000}"/>
    <cellStyle name="60% - Ênfase6 2 15" xfId="5925" xr:uid="{00000000-0005-0000-0000-000087170000}"/>
    <cellStyle name="60% - Ênfase6 2 16" xfId="5926" xr:uid="{00000000-0005-0000-0000-000088170000}"/>
    <cellStyle name="60% - Ênfase6 2 17" xfId="5927" xr:uid="{00000000-0005-0000-0000-000089170000}"/>
    <cellStyle name="60% - Ênfase6 2 18" xfId="5928" xr:uid="{00000000-0005-0000-0000-00008A170000}"/>
    <cellStyle name="60% - Ênfase6 2 19" xfId="5929" xr:uid="{00000000-0005-0000-0000-00008B170000}"/>
    <cellStyle name="60% - Ênfase6 2 2" xfId="5930" xr:uid="{00000000-0005-0000-0000-00008C170000}"/>
    <cellStyle name="60% - Ênfase6 2 20" xfId="5931" xr:uid="{00000000-0005-0000-0000-00008D170000}"/>
    <cellStyle name="60% - Ênfase6 2 21" xfId="5932" xr:uid="{00000000-0005-0000-0000-00008E170000}"/>
    <cellStyle name="60% - Ênfase6 2 22" xfId="5933" xr:uid="{00000000-0005-0000-0000-00008F170000}"/>
    <cellStyle name="60% - Ênfase6 2 23" xfId="5934" xr:uid="{00000000-0005-0000-0000-000090170000}"/>
    <cellStyle name="60% - Ênfase6 2 24" xfId="5935" xr:uid="{00000000-0005-0000-0000-000091170000}"/>
    <cellStyle name="60% - Ênfase6 2 25" xfId="5936" xr:uid="{00000000-0005-0000-0000-000092170000}"/>
    <cellStyle name="60% - Ênfase6 2 26" xfId="5937" xr:uid="{00000000-0005-0000-0000-000093170000}"/>
    <cellStyle name="60% - Ênfase6 2 27" xfId="5938" xr:uid="{00000000-0005-0000-0000-000094170000}"/>
    <cellStyle name="60% - Ênfase6 2 28" xfId="5939" xr:uid="{00000000-0005-0000-0000-000095170000}"/>
    <cellStyle name="60% - Ênfase6 2 29" xfId="5940" xr:uid="{00000000-0005-0000-0000-000096170000}"/>
    <cellStyle name="60% - Ênfase6 2 3" xfId="5941" xr:uid="{00000000-0005-0000-0000-000097170000}"/>
    <cellStyle name="60% - Ênfase6 2 30" xfId="5942" xr:uid="{00000000-0005-0000-0000-000098170000}"/>
    <cellStyle name="60% - Ênfase6 2 31" xfId="5943" xr:uid="{00000000-0005-0000-0000-000099170000}"/>
    <cellStyle name="60% - Ênfase6 2 32" xfId="5944" xr:uid="{00000000-0005-0000-0000-00009A170000}"/>
    <cellStyle name="60% - Ênfase6 2 33" xfId="5945" xr:uid="{00000000-0005-0000-0000-00009B170000}"/>
    <cellStyle name="60% - Ênfase6 2 34" xfId="5946" xr:uid="{00000000-0005-0000-0000-00009C170000}"/>
    <cellStyle name="60% - Ênfase6 2 35" xfId="5947" xr:uid="{00000000-0005-0000-0000-00009D170000}"/>
    <cellStyle name="60% - Ênfase6 2 4" xfId="5948" xr:uid="{00000000-0005-0000-0000-00009E170000}"/>
    <cellStyle name="60% - Ênfase6 2 5" xfId="5949" xr:uid="{00000000-0005-0000-0000-00009F170000}"/>
    <cellStyle name="60% - Ênfase6 2 6" xfId="5950" xr:uid="{00000000-0005-0000-0000-0000A0170000}"/>
    <cellStyle name="60% - Ênfase6 2 7" xfId="5951" xr:uid="{00000000-0005-0000-0000-0000A1170000}"/>
    <cellStyle name="60% - Ênfase6 2 8" xfId="5952" xr:uid="{00000000-0005-0000-0000-0000A2170000}"/>
    <cellStyle name="60% - Ênfase6 2 8 2" xfId="5953" xr:uid="{00000000-0005-0000-0000-0000A3170000}"/>
    <cellStyle name="60% - Ênfase6 2 8 3" xfId="5954" xr:uid="{00000000-0005-0000-0000-0000A4170000}"/>
    <cellStyle name="60% - Ênfase6 2 8 4" xfId="5955" xr:uid="{00000000-0005-0000-0000-0000A5170000}"/>
    <cellStyle name="60% - Ênfase6 2 8 5" xfId="5956" xr:uid="{00000000-0005-0000-0000-0000A6170000}"/>
    <cellStyle name="60% - Ênfase6 2 8 6" xfId="5957" xr:uid="{00000000-0005-0000-0000-0000A7170000}"/>
    <cellStyle name="60% - Ênfase6 2 8 7" xfId="5958" xr:uid="{00000000-0005-0000-0000-0000A8170000}"/>
    <cellStyle name="60% - Ênfase6 2 9" xfId="5959" xr:uid="{00000000-0005-0000-0000-0000A9170000}"/>
    <cellStyle name="60% - Ênfase6 2 9 2" xfId="5960" xr:uid="{00000000-0005-0000-0000-0000AA170000}"/>
    <cellStyle name="60% - Ênfase6 2 9 3" xfId="5961" xr:uid="{00000000-0005-0000-0000-0000AB170000}"/>
    <cellStyle name="60% - Ênfase6 2 9 4" xfId="5962" xr:uid="{00000000-0005-0000-0000-0000AC170000}"/>
    <cellStyle name="60% - Ênfase6 2 9 5" xfId="5963" xr:uid="{00000000-0005-0000-0000-0000AD170000}"/>
    <cellStyle name="60% - Ênfase6 2 9 6" xfId="5964" xr:uid="{00000000-0005-0000-0000-0000AE170000}"/>
    <cellStyle name="60% - Ênfase6 2 9 7" xfId="5965" xr:uid="{00000000-0005-0000-0000-0000AF170000}"/>
    <cellStyle name="60% - Ênfase6 20" xfId="5966" xr:uid="{00000000-0005-0000-0000-0000B0170000}"/>
    <cellStyle name="60% - Ênfase6 20 2" xfId="5967" xr:uid="{00000000-0005-0000-0000-0000B1170000}"/>
    <cellStyle name="60% - Ênfase6 20 3" xfId="5968" xr:uid="{00000000-0005-0000-0000-0000B2170000}"/>
    <cellStyle name="60% - Ênfase6 21" xfId="5969" xr:uid="{00000000-0005-0000-0000-0000B3170000}"/>
    <cellStyle name="60% - Ênfase6 22" xfId="5970" xr:uid="{00000000-0005-0000-0000-0000B4170000}"/>
    <cellStyle name="60% - Ênfase6 23" xfId="5971" xr:uid="{00000000-0005-0000-0000-0000B5170000}"/>
    <cellStyle name="60% - Ênfase6 24" xfId="5972" xr:uid="{00000000-0005-0000-0000-0000B6170000}"/>
    <cellStyle name="60% - Ênfase6 24 2" xfId="40944" xr:uid="{00000000-0005-0000-0000-0000B7170000}"/>
    <cellStyle name="60% - Ênfase6 25" xfId="5973" xr:uid="{00000000-0005-0000-0000-0000B8170000}"/>
    <cellStyle name="60% - Ênfase6 25 2" xfId="40979" xr:uid="{00000000-0005-0000-0000-0000B9170000}"/>
    <cellStyle name="60% - Ênfase6 26" xfId="5974" xr:uid="{00000000-0005-0000-0000-0000BA170000}"/>
    <cellStyle name="60% - Ênfase6 26 10" xfId="5975" xr:uid="{00000000-0005-0000-0000-0000BB170000}"/>
    <cellStyle name="60% - Ênfase6 26 11" xfId="5976" xr:uid="{00000000-0005-0000-0000-0000BC170000}"/>
    <cellStyle name="60% - Ênfase6 26 12" xfId="5977" xr:uid="{00000000-0005-0000-0000-0000BD170000}"/>
    <cellStyle name="60% - Ênfase6 26 13" xfId="5978" xr:uid="{00000000-0005-0000-0000-0000BE170000}"/>
    <cellStyle name="60% - Ênfase6 26 14" xfId="5979" xr:uid="{00000000-0005-0000-0000-0000BF170000}"/>
    <cellStyle name="60% - Ênfase6 26 15" xfId="5980" xr:uid="{00000000-0005-0000-0000-0000C0170000}"/>
    <cellStyle name="60% - Ênfase6 26 16" xfId="5981" xr:uid="{00000000-0005-0000-0000-0000C1170000}"/>
    <cellStyle name="60% - Ênfase6 26 2" xfId="5982" xr:uid="{00000000-0005-0000-0000-0000C2170000}"/>
    <cellStyle name="60% - Ênfase6 26 3" xfId="5983" xr:uid="{00000000-0005-0000-0000-0000C3170000}"/>
    <cellStyle name="60% - Ênfase6 26 4" xfId="5984" xr:uid="{00000000-0005-0000-0000-0000C4170000}"/>
    <cellStyle name="60% - Ênfase6 26 5" xfId="5985" xr:uid="{00000000-0005-0000-0000-0000C5170000}"/>
    <cellStyle name="60% - Ênfase6 26 6" xfId="5986" xr:uid="{00000000-0005-0000-0000-0000C6170000}"/>
    <cellStyle name="60% - Ênfase6 26 7" xfId="5987" xr:uid="{00000000-0005-0000-0000-0000C7170000}"/>
    <cellStyle name="60% - Ênfase6 26 8" xfId="5988" xr:uid="{00000000-0005-0000-0000-0000C8170000}"/>
    <cellStyle name="60% - Ênfase6 26 9" xfId="5989" xr:uid="{00000000-0005-0000-0000-0000C9170000}"/>
    <cellStyle name="60% - Ênfase6 27" xfId="5990" xr:uid="{00000000-0005-0000-0000-0000CA170000}"/>
    <cellStyle name="60% - Ênfase6 27 10" xfId="5991" xr:uid="{00000000-0005-0000-0000-0000CB170000}"/>
    <cellStyle name="60% - Ênfase6 27 11" xfId="5992" xr:uid="{00000000-0005-0000-0000-0000CC170000}"/>
    <cellStyle name="60% - Ênfase6 27 12" xfId="5993" xr:uid="{00000000-0005-0000-0000-0000CD170000}"/>
    <cellStyle name="60% - Ênfase6 27 13" xfId="5994" xr:uid="{00000000-0005-0000-0000-0000CE170000}"/>
    <cellStyle name="60% - Ênfase6 27 14" xfId="5995" xr:uid="{00000000-0005-0000-0000-0000CF170000}"/>
    <cellStyle name="60% - Ênfase6 27 15" xfId="5996" xr:uid="{00000000-0005-0000-0000-0000D0170000}"/>
    <cellStyle name="60% - Ênfase6 27 16" xfId="5997" xr:uid="{00000000-0005-0000-0000-0000D1170000}"/>
    <cellStyle name="60% - Ênfase6 27 2" xfId="5998" xr:uid="{00000000-0005-0000-0000-0000D2170000}"/>
    <cellStyle name="60% - Ênfase6 27 3" xfId="5999" xr:uid="{00000000-0005-0000-0000-0000D3170000}"/>
    <cellStyle name="60% - Ênfase6 27 4" xfId="6000" xr:uid="{00000000-0005-0000-0000-0000D4170000}"/>
    <cellStyle name="60% - Ênfase6 27 5" xfId="6001" xr:uid="{00000000-0005-0000-0000-0000D5170000}"/>
    <cellStyle name="60% - Ênfase6 27 6" xfId="6002" xr:uid="{00000000-0005-0000-0000-0000D6170000}"/>
    <cellStyle name="60% - Ênfase6 27 7" xfId="6003" xr:uid="{00000000-0005-0000-0000-0000D7170000}"/>
    <cellStyle name="60% - Ênfase6 27 8" xfId="6004" xr:uid="{00000000-0005-0000-0000-0000D8170000}"/>
    <cellStyle name="60% - Ênfase6 27 9" xfId="6005" xr:uid="{00000000-0005-0000-0000-0000D9170000}"/>
    <cellStyle name="60% - Ênfase6 28" xfId="6006" xr:uid="{00000000-0005-0000-0000-0000DA170000}"/>
    <cellStyle name="60% - Ênfase6 28 10" xfId="6007" xr:uid="{00000000-0005-0000-0000-0000DB170000}"/>
    <cellStyle name="60% - Ênfase6 28 11" xfId="6008" xr:uid="{00000000-0005-0000-0000-0000DC170000}"/>
    <cellStyle name="60% - Ênfase6 28 12" xfId="6009" xr:uid="{00000000-0005-0000-0000-0000DD170000}"/>
    <cellStyle name="60% - Ênfase6 28 13" xfId="6010" xr:uid="{00000000-0005-0000-0000-0000DE170000}"/>
    <cellStyle name="60% - Ênfase6 28 14" xfId="6011" xr:uid="{00000000-0005-0000-0000-0000DF170000}"/>
    <cellStyle name="60% - Ênfase6 28 15" xfId="6012" xr:uid="{00000000-0005-0000-0000-0000E0170000}"/>
    <cellStyle name="60% - Ênfase6 28 16" xfId="6013" xr:uid="{00000000-0005-0000-0000-0000E1170000}"/>
    <cellStyle name="60% - Ênfase6 28 2" xfId="6014" xr:uid="{00000000-0005-0000-0000-0000E2170000}"/>
    <cellStyle name="60% - Ênfase6 28 3" xfId="6015" xr:uid="{00000000-0005-0000-0000-0000E3170000}"/>
    <cellStyle name="60% - Ênfase6 28 4" xfId="6016" xr:uid="{00000000-0005-0000-0000-0000E4170000}"/>
    <cellStyle name="60% - Ênfase6 28 5" xfId="6017" xr:uid="{00000000-0005-0000-0000-0000E5170000}"/>
    <cellStyle name="60% - Ênfase6 28 6" xfId="6018" xr:uid="{00000000-0005-0000-0000-0000E6170000}"/>
    <cellStyle name="60% - Ênfase6 28 7" xfId="6019" xr:uid="{00000000-0005-0000-0000-0000E7170000}"/>
    <cellStyle name="60% - Ênfase6 28 8" xfId="6020" xr:uid="{00000000-0005-0000-0000-0000E8170000}"/>
    <cellStyle name="60% - Ênfase6 28 9" xfId="6021" xr:uid="{00000000-0005-0000-0000-0000E9170000}"/>
    <cellStyle name="60% - Ênfase6 29" xfId="6022" xr:uid="{00000000-0005-0000-0000-0000EA170000}"/>
    <cellStyle name="60% - Ênfase6 29 10" xfId="6023" xr:uid="{00000000-0005-0000-0000-0000EB170000}"/>
    <cellStyle name="60% - Ênfase6 29 11" xfId="6024" xr:uid="{00000000-0005-0000-0000-0000EC170000}"/>
    <cellStyle name="60% - Ênfase6 29 12" xfId="6025" xr:uid="{00000000-0005-0000-0000-0000ED170000}"/>
    <cellStyle name="60% - Ênfase6 29 13" xfId="6026" xr:uid="{00000000-0005-0000-0000-0000EE170000}"/>
    <cellStyle name="60% - Ênfase6 29 14" xfId="6027" xr:uid="{00000000-0005-0000-0000-0000EF170000}"/>
    <cellStyle name="60% - Ênfase6 29 15" xfId="6028" xr:uid="{00000000-0005-0000-0000-0000F0170000}"/>
    <cellStyle name="60% - Ênfase6 29 16" xfId="6029" xr:uid="{00000000-0005-0000-0000-0000F1170000}"/>
    <cellStyle name="60% - Ênfase6 29 2" xfId="6030" xr:uid="{00000000-0005-0000-0000-0000F2170000}"/>
    <cellStyle name="60% - Ênfase6 29 3" xfId="6031" xr:uid="{00000000-0005-0000-0000-0000F3170000}"/>
    <cellStyle name="60% - Ênfase6 29 4" xfId="6032" xr:uid="{00000000-0005-0000-0000-0000F4170000}"/>
    <cellStyle name="60% - Ênfase6 29 5" xfId="6033" xr:uid="{00000000-0005-0000-0000-0000F5170000}"/>
    <cellStyle name="60% - Ênfase6 29 6" xfId="6034" xr:uid="{00000000-0005-0000-0000-0000F6170000}"/>
    <cellStyle name="60% - Ênfase6 29 7" xfId="6035" xr:uid="{00000000-0005-0000-0000-0000F7170000}"/>
    <cellStyle name="60% - Ênfase6 29 8" xfId="6036" xr:uid="{00000000-0005-0000-0000-0000F8170000}"/>
    <cellStyle name="60% - Ênfase6 29 9" xfId="6037" xr:uid="{00000000-0005-0000-0000-0000F9170000}"/>
    <cellStyle name="60% - Ênfase6 3" xfId="6038" xr:uid="{00000000-0005-0000-0000-0000FA170000}"/>
    <cellStyle name="60% - Ênfase6 3 10" xfId="6039" xr:uid="{00000000-0005-0000-0000-0000FB170000}"/>
    <cellStyle name="60% - Ênfase6 3 11" xfId="6040" xr:uid="{00000000-0005-0000-0000-0000FC170000}"/>
    <cellStyle name="60% - Ênfase6 3 2" xfId="6041" xr:uid="{00000000-0005-0000-0000-0000FD170000}"/>
    <cellStyle name="60% - Ênfase6 3 3" xfId="6042" xr:uid="{00000000-0005-0000-0000-0000FE170000}"/>
    <cellStyle name="60% - Ênfase6 3 4" xfId="6043" xr:uid="{00000000-0005-0000-0000-0000FF170000}"/>
    <cellStyle name="60% - Ênfase6 3 5" xfId="6044" xr:uid="{00000000-0005-0000-0000-000000180000}"/>
    <cellStyle name="60% - Ênfase6 3 6" xfId="6045" xr:uid="{00000000-0005-0000-0000-000001180000}"/>
    <cellStyle name="60% - Ênfase6 3 7" xfId="6046" xr:uid="{00000000-0005-0000-0000-000002180000}"/>
    <cellStyle name="60% - Ênfase6 3 8" xfId="6047" xr:uid="{00000000-0005-0000-0000-000003180000}"/>
    <cellStyle name="60% - Ênfase6 3 9" xfId="6048" xr:uid="{00000000-0005-0000-0000-000004180000}"/>
    <cellStyle name="60% - Ênfase6 30" xfId="6049" xr:uid="{00000000-0005-0000-0000-000005180000}"/>
    <cellStyle name="60% - Ênfase6 31" xfId="6050" xr:uid="{00000000-0005-0000-0000-000006180000}"/>
    <cellStyle name="60% - Ênfase6 32" xfId="6051" xr:uid="{00000000-0005-0000-0000-000007180000}"/>
    <cellStyle name="60% - Ênfase6 33" xfId="6052" xr:uid="{00000000-0005-0000-0000-000008180000}"/>
    <cellStyle name="60% - Ênfase6 34" xfId="6053" xr:uid="{00000000-0005-0000-0000-000009180000}"/>
    <cellStyle name="60% - Ênfase6 35" xfId="6054" xr:uid="{00000000-0005-0000-0000-00000A180000}"/>
    <cellStyle name="60% - Ênfase6 36" xfId="6055" xr:uid="{00000000-0005-0000-0000-00000B180000}"/>
    <cellStyle name="60% - Ênfase6 37" xfId="6056" xr:uid="{00000000-0005-0000-0000-00000C180000}"/>
    <cellStyle name="60% - Ênfase6 38" xfId="6057" xr:uid="{00000000-0005-0000-0000-00000D180000}"/>
    <cellStyle name="60% - Ênfase6 39" xfId="6058" xr:uid="{00000000-0005-0000-0000-00000E180000}"/>
    <cellStyle name="60% - Ênfase6 4" xfId="6059" xr:uid="{00000000-0005-0000-0000-00000F180000}"/>
    <cellStyle name="60% - Ênfase6 4 10" xfId="6060" xr:uid="{00000000-0005-0000-0000-000010180000}"/>
    <cellStyle name="60% - Ênfase6 4 11" xfId="6061" xr:uid="{00000000-0005-0000-0000-000011180000}"/>
    <cellStyle name="60% - Ênfase6 4 2" xfId="6062" xr:uid="{00000000-0005-0000-0000-000012180000}"/>
    <cellStyle name="60% - Ênfase6 4 3" xfId="6063" xr:uid="{00000000-0005-0000-0000-000013180000}"/>
    <cellStyle name="60% - Ênfase6 4 4" xfId="6064" xr:uid="{00000000-0005-0000-0000-000014180000}"/>
    <cellStyle name="60% - Ênfase6 4 5" xfId="6065" xr:uid="{00000000-0005-0000-0000-000015180000}"/>
    <cellStyle name="60% - Ênfase6 4 6" xfId="6066" xr:uid="{00000000-0005-0000-0000-000016180000}"/>
    <cellStyle name="60% - Ênfase6 4 7" xfId="6067" xr:uid="{00000000-0005-0000-0000-000017180000}"/>
    <cellStyle name="60% - Ênfase6 4 8" xfId="6068" xr:uid="{00000000-0005-0000-0000-000018180000}"/>
    <cellStyle name="60% - Ênfase6 4 9" xfId="6069" xr:uid="{00000000-0005-0000-0000-000019180000}"/>
    <cellStyle name="60% - Ênfase6 40" xfId="6070" xr:uid="{00000000-0005-0000-0000-00001A180000}"/>
    <cellStyle name="60% - Ênfase6 41" xfId="6071" xr:uid="{00000000-0005-0000-0000-00001B180000}"/>
    <cellStyle name="60% - Ênfase6 42" xfId="6072" xr:uid="{00000000-0005-0000-0000-00001C180000}"/>
    <cellStyle name="60% - Ênfase6 43" xfId="6073" xr:uid="{00000000-0005-0000-0000-00001D180000}"/>
    <cellStyle name="60% - Ênfase6 44" xfId="6074" xr:uid="{00000000-0005-0000-0000-00001E180000}"/>
    <cellStyle name="60% - Ênfase6 45" xfId="6075" xr:uid="{00000000-0005-0000-0000-00001F180000}"/>
    <cellStyle name="60% - Ênfase6 46" xfId="6076" xr:uid="{00000000-0005-0000-0000-000020180000}"/>
    <cellStyle name="60% - Ênfase6 47" xfId="6077" xr:uid="{00000000-0005-0000-0000-000021180000}"/>
    <cellStyle name="60% - Ênfase6 48" xfId="6078" xr:uid="{00000000-0005-0000-0000-000022180000}"/>
    <cellStyle name="60% - Ênfase6 49" xfId="6079" xr:uid="{00000000-0005-0000-0000-000023180000}"/>
    <cellStyle name="60% - Ênfase6 5" xfId="6080" xr:uid="{00000000-0005-0000-0000-000024180000}"/>
    <cellStyle name="60% - Ênfase6 5 2" xfId="6081" xr:uid="{00000000-0005-0000-0000-000025180000}"/>
    <cellStyle name="60% - Ênfase6 5 3" xfId="6082" xr:uid="{00000000-0005-0000-0000-000026180000}"/>
    <cellStyle name="60% - Ênfase6 5 4" xfId="6083" xr:uid="{00000000-0005-0000-0000-000027180000}"/>
    <cellStyle name="60% - Ênfase6 50" xfId="6084" xr:uid="{00000000-0005-0000-0000-000028180000}"/>
    <cellStyle name="60% - Ênfase6 51" xfId="6085" xr:uid="{00000000-0005-0000-0000-000029180000}"/>
    <cellStyle name="60% - Ênfase6 52" xfId="6086" xr:uid="{00000000-0005-0000-0000-00002A180000}"/>
    <cellStyle name="60% - Ênfase6 53" xfId="6087" xr:uid="{00000000-0005-0000-0000-00002B180000}"/>
    <cellStyle name="60% - Ênfase6 54" xfId="6088" xr:uid="{00000000-0005-0000-0000-00002C180000}"/>
    <cellStyle name="60% - Ênfase6 55" xfId="6089" xr:uid="{00000000-0005-0000-0000-00002D180000}"/>
    <cellStyle name="60% - Ênfase6 56" xfId="6090" xr:uid="{00000000-0005-0000-0000-00002E180000}"/>
    <cellStyle name="60% - Ênfase6 57" xfId="6091" xr:uid="{00000000-0005-0000-0000-00002F180000}"/>
    <cellStyle name="60% - Ênfase6 58" xfId="6092" xr:uid="{00000000-0005-0000-0000-000030180000}"/>
    <cellStyle name="60% - Ênfase6 59" xfId="6093" xr:uid="{00000000-0005-0000-0000-000031180000}"/>
    <cellStyle name="60% - Ênfase6 6" xfId="6094" xr:uid="{00000000-0005-0000-0000-000032180000}"/>
    <cellStyle name="60% - Ênfase6 6 2" xfId="6095" xr:uid="{00000000-0005-0000-0000-000033180000}"/>
    <cellStyle name="60% - Ênfase6 6 3" xfId="6096" xr:uid="{00000000-0005-0000-0000-000034180000}"/>
    <cellStyle name="60% - Ênfase6 6 4" xfId="6097" xr:uid="{00000000-0005-0000-0000-000035180000}"/>
    <cellStyle name="60% - Ênfase6 60" xfId="6098" xr:uid="{00000000-0005-0000-0000-000036180000}"/>
    <cellStyle name="60% - Ênfase6 61" xfId="6099" xr:uid="{00000000-0005-0000-0000-000037180000}"/>
    <cellStyle name="60% - Ênfase6 62" xfId="6100" xr:uid="{00000000-0005-0000-0000-000038180000}"/>
    <cellStyle name="60% - Ênfase6 63" xfId="6101" xr:uid="{00000000-0005-0000-0000-000039180000}"/>
    <cellStyle name="60% - Ênfase6 64" xfId="6102" xr:uid="{00000000-0005-0000-0000-00003A180000}"/>
    <cellStyle name="60% - Ênfase6 65" xfId="6103" xr:uid="{00000000-0005-0000-0000-00003B180000}"/>
    <cellStyle name="60% - Ênfase6 66" xfId="6104" xr:uid="{00000000-0005-0000-0000-00003C180000}"/>
    <cellStyle name="60% - Ênfase6 67" xfId="6105" xr:uid="{00000000-0005-0000-0000-00003D180000}"/>
    <cellStyle name="60% - Ênfase6 68" xfId="6106" xr:uid="{00000000-0005-0000-0000-00003E180000}"/>
    <cellStyle name="60% - Ênfase6 69" xfId="6107" xr:uid="{00000000-0005-0000-0000-00003F180000}"/>
    <cellStyle name="60% - Ênfase6 7" xfId="6108" xr:uid="{00000000-0005-0000-0000-000040180000}"/>
    <cellStyle name="60% - Ênfase6 7 2" xfId="6109" xr:uid="{00000000-0005-0000-0000-000041180000}"/>
    <cellStyle name="60% - Ênfase6 7 3" xfId="6110" xr:uid="{00000000-0005-0000-0000-000042180000}"/>
    <cellStyle name="60% - Ênfase6 7 4" xfId="6111" xr:uid="{00000000-0005-0000-0000-000043180000}"/>
    <cellStyle name="60% - Ênfase6 70" xfId="6112" xr:uid="{00000000-0005-0000-0000-000044180000}"/>
    <cellStyle name="60% - Ênfase6 71" xfId="6113" xr:uid="{00000000-0005-0000-0000-000045180000}"/>
    <cellStyle name="60% - Ênfase6 72" xfId="6114" xr:uid="{00000000-0005-0000-0000-000046180000}"/>
    <cellStyle name="60% - Ênfase6 73" xfId="6115" xr:uid="{00000000-0005-0000-0000-000047180000}"/>
    <cellStyle name="60% - Ênfase6 74" xfId="6116" xr:uid="{00000000-0005-0000-0000-000048180000}"/>
    <cellStyle name="60% - Ênfase6 75" xfId="6117" xr:uid="{00000000-0005-0000-0000-000049180000}"/>
    <cellStyle name="60% - Ênfase6 76" xfId="6118" xr:uid="{00000000-0005-0000-0000-00004A180000}"/>
    <cellStyle name="60% - Ênfase6 77" xfId="6119" xr:uid="{00000000-0005-0000-0000-00004B180000}"/>
    <cellStyle name="60% - Ênfase6 78" xfId="6120" xr:uid="{00000000-0005-0000-0000-00004C180000}"/>
    <cellStyle name="60% - Ênfase6 79" xfId="6121" xr:uid="{00000000-0005-0000-0000-00004D180000}"/>
    <cellStyle name="60% - Ênfase6 8" xfId="6122" xr:uid="{00000000-0005-0000-0000-00004E180000}"/>
    <cellStyle name="60% - Ênfase6 8 2" xfId="6123" xr:uid="{00000000-0005-0000-0000-00004F180000}"/>
    <cellStyle name="60% - Ênfase6 8 3" xfId="6124" xr:uid="{00000000-0005-0000-0000-000050180000}"/>
    <cellStyle name="60% - Ênfase6 8 4" xfId="6125" xr:uid="{00000000-0005-0000-0000-000051180000}"/>
    <cellStyle name="60% - Ênfase6 80" xfId="6126" xr:uid="{00000000-0005-0000-0000-000052180000}"/>
    <cellStyle name="60% - Ênfase6 81" xfId="6127" xr:uid="{00000000-0005-0000-0000-000053180000}"/>
    <cellStyle name="60% - Ênfase6 82" xfId="6128" xr:uid="{00000000-0005-0000-0000-000054180000}"/>
    <cellStyle name="60% - Ênfase6 83" xfId="6129" xr:uid="{00000000-0005-0000-0000-000055180000}"/>
    <cellStyle name="60% - Ênfase6 84" xfId="6130" xr:uid="{00000000-0005-0000-0000-000056180000}"/>
    <cellStyle name="60% - Ênfase6 85" xfId="6131" xr:uid="{00000000-0005-0000-0000-000057180000}"/>
    <cellStyle name="60% - Ênfase6 86" xfId="6132" xr:uid="{00000000-0005-0000-0000-000058180000}"/>
    <cellStyle name="60% - Ênfase6 87" xfId="6133" xr:uid="{00000000-0005-0000-0000-000059180000}"/>
    <cellStyle name="60% - Ênfase6 88" xfId="6134" xr:uid="{00000000-0005-0000-0000-00005A180000}"/>
    <cellStyle name="60% - Ênfase6 89" xfId="6135" xr:uid="{00000000-0005-0000-0000-00005B180000}"/>
    <cellStyle name="60% - Ênfase6 9" xfId="6136" xr:uid="{00000000-0005-0000-0000-00005C180000}"/>
    <cellStyle name="60% - Ênfase6 90" xfId="6137" xr:uid="{00000000-0005-0000-0000-00005D180000}"/>
    <cellStyle name="60% - Ênfase6 91" xfId="6138" xr:uid="{00000000-0005-0000-0000-00005E180000}"/>
    <cellStyle name="60% - Ênfase6 92" xfId="6139" xr:uid="{00000000-0005-0000-0000-00005F180000}"/>
    <cellStyle name="60% - Ênfase6 93" xfId="6140" xr:uid="{00000000-0005-0000-0000-000060180000}"/>
    <cellStyle name="60% - Ênfase6 94" xfId="6141" xr:uid="{00000000-0005-0000-0000-000061180000}"/>
    <cellStyle name="60% - Ênfase6 95" xfId="6142" xr:uid="{00000000-0005-0000-0000-000062180000}"/>
    <cellStyle name="60% - Ênfase6 96" xfId="6143" xr:uid="{00000000-0005-0000-0000-000063180000}"/>
    <cellStyle name="60% - Ênfase6 97" xfId="6144" xr:uid="{00000000-0005-0000-0000-000064180000}"/>
    <cellStyle name="60% - Ênfase6 98" xfId="6145" xr:uid="{00000000-0005-0000-0000-000065180000}"/>
    <cellStyle name="60% - Ênfase6 99" xfId="6146" xr:uid="{00000000-0005-0000-0000-000066180000}"/>
    <cellStyle name="Bom 10" xfId="6147" xr:uid="{00000000-0005-0000-0000-000067180000}"/>
    <cellStyle name="Bom 10 2" xfId="40530" xr:uid="{00000000-0005-0000-0000-000068180000}"/>
    <cellStyle name="Bom 100" xfId="6148" xr:uid="{00000000-0005-0000-0000-000069180000}"/>
    <cellStyle name="Bom 101" xfId="6149" xr:uid="{00000000-0005-0000-0000-00006A180000}"/>
    <cellStyle name="Bom 102" xfId="6150" xr:uid="{00000000-0005-0000-0000-00006B180000}"/>
    <cellStyle name="Bom 103" xfId="6151" xr:uid="{00000000-0005-0000-0000-00006C180000}"/>
    <cellStyle name="Bom 104" xfId="6152" xr:uid="{00000000-0005-0000-0000-00006D180000}"/>
    <cellStyle name="Bom 105" xfId="6153" xr:uid="{00000000-0005-0000-0000-00006E180000}"/>
    <cellStyle name="Bom 106" xfId="6154" xr:uid="{00000000-0005-0000-0000-00006F180000}"/>
    <cellStyle name="Bom 107" xfId="6155" xr:uid="{00000000-0005-0000-0000-000070180000}"/>
    <cellStyle name="Bom 108" xfId="6156" xr:uid="{00000000-0005-0000-0000-000071180000}"/>
    <cellStyle name="Bom 109" xfId="6157" xr:uid="{00000000-0005-0000-0000-000072180000}"/>
    <cellStyle name="Bom 11" xfId="6158" xr:uid="{00000000-0005-0000-0000-000073180000}"/>
    <cellStyle name="Bom 11 2" xfId="40531" xr:uid="{00000000-0005-0000-0000-000074180000}"/>
    <cellStyle name="Bom 110" xfId="6159" xr:uid="{00000000-0005-0000-0000-000075180000}"/>
    <cellStyle name="Bom 111" xfId="6160" xr:uid="{00000000-0005-0000-0000-000076180000}"/>
    <cellStyle name="Bom 112" xfId="6161" xr:uid="{00000000-0005-0000-0000-000077180000}"/>
    <cellStyle name="Bom 113" xfId="6162" xr:uid="{00000000-0005-0000-0000-000078180000}"/>
    <cellStyle name="Bom 114" xfId="6163" xr:uid="{00000000-0005-0000-0000-000079180000}"/>
    <cellStyle name="Bom 115" xfId="6164" xr:uid="{00000000-0005-0000-0000-00007A180000}"/>
    <cellStyle name="Bom 116" xfId="6165" xr:uid="{00000000-0005-0000-0000-00007B180000}"/>
    <cellStyle name="Bom 117" xfId="6166" xr:uid="{00000000-0005-0000-0000-00007C180000}"/>
    <cellStyle name="Bom 118" xfId="6167" xr:uid="{00000000-0005-0000-0000-00007D180000}"/>
    <cellStyle name="Bom 119" xfId="6168" xr:uid="{00000000-0005-0000-0000-00007E180000}"/>
    <cellStyle name="Bom 12" xfId="6169" xr:uid="{00000000-0005-0000-0000-00007F180000}"/>
    <cellStyle name="Bom 12 2" xfId="40532" xr:uid="{00000000-0005-0000-0000-000080180000}"/>
    <cellStyle name="Bom 120" xfId="6170" xr:uid="{00000000-0005-0000-0000-000081180000}"/>
    <cellStyle name="Bom 121" xfId="6171" xr:uid="{00000000-0005-0000-0000-000082180000}"/>
    <cellStyle name="Bom 122" xfId="6172" xr:uid="{00000000-0005-0000-0000-000083180000}"/>
    <cellStyle name="Bom 123" xfId="6173" xr:uid="{00000000-0005-0000-0000-000084180000}"/>
    <cellStyle name="Bom 124" xfId="6174" xr:uid="{00000000-0005-0000-0000-000085180000}"/>
    <cellStyle name="Bom 125" xfId="6175" xr:uid="{00000000-0005-0000-0000-000086180000}"/>
    <cellStyle name="Bom 126" xfId="6176" xr:uid="{00000000-0005-0000-0000-000087180000}"/>
    <cellStyle name="Bom 127" xfId="6177" xr:uid="{00000000-0005-0000-0000-000088180000}"/>
    <cellStyle name="Bom 128" xfId="6178" xr:uid="{00000000-0005-0000-0000-000089180000}"/>
    <cellStyle name="Bom 129" xfId="6179" xr:uid="{00000000-0005-0000-0000-00008A180000}"/>
    <cellStyle name="Bom 13" xfId="6180" xr:uid="{00000000-0005-0000-0000-00008B180000}"/>
    <cellStyle name="Bom 13 2" xfId="40533" xr:uid="{00000000-0005-0000-0000-00008C180000}"/>
    <cellStyle name="Bom 130" xfId="6181" xr:uid="{00000000-0005-0000-0000-00008D180000}"/>
    <cellStyle name="Bom 131" xfId="6182" xr:uid="{00000000-0005-0000-0000-00008E180000}"/>
    <cellStyle name="Bom 132" xfId="6183" xr:uid="{00000000-0005-0000-0000-00008F180000}"/>
    <cellStyle name="Bom 133" xfId="6184" xr:uid="{00000000-0005-0000-0000-000090180000}"/>
    <cellStyle name="Bom 134" xfId="6185" xr:uid="{00000000-0005-0000-0000-000091180000}"/>
    <cellStyle name="Bom 135" xfId="6186" xr:uid="{00000000-0005-0000-0000-000092180000}"/>
    <cellStyle name="Bom 136" xfId="6187" xr:uid="{00000000-0005-0000-0000-000093180000}"/>
    <cellStyle name="Bom 137" xfId="6188" xr:uid="{00000000-0005-0000-0000-000094180000}"/>
    <cellStyle name="Bom 138" xfId="6189" xr:uid="{00000000-0005-0000-0000-000095180000}"/>
    <cellStyle name="Bom 139" xfId="6190" xr:uid="{00000000-0005-0000-0000-000096180000}"/>
    <cellStyle name="Bom 14" xfId="6191" xr:uid="{00000000-0005-0000-0000-000097180000}"/>
    <cellStyle name="Bom 140" xfId="6192" xr:uid="{00000000-0005-0000-0000-000098180000}"/>
    <cellStyle name="Bom 141" xfId="6193" xr:uid="{00000000-0005-0000-0000-000099180000}"/>
    <cellStyle name="Bom 142" xfId="6194" xr:uid="{00000000-0005-0000-0000-00009A180000}"/>
    <cellStyle name="Bom 143" xfId="6195" xr:uid="{00000000-0005-0000-0000-00009B180000}"/>
    <cellStyle name="Bom 144" xfId="6196" xr:uid="{00000000-0005-0000-0000-00009C180000}"/>
    <cellStyle name="Bom 145" xfId="6197" xr:uid="{00000000-0005-0000-0000-00009D180000}"/>
    <cellStyle name="Bom 146" xfId="6198" xr:uid="{00000000-0005-0000-0000-00009E180000}"/>
    <cellStyle name="Bom 147" xfId="6199" xr:uid="{00000000-0005-0000-0000-00009F180000}"/>
    <cellStyle name="Bom 148" xfId="6200" xr:uid="{00000000-0005-0000-0000-0000A0180000}"/>
    <cellStyle name="Bom 149" xfId="6201" xr:uid="{00000000-0005-0000-0000-0000A1180000}"/>
    <cellStyle name="Bom 15" xfId="6202" xr:uid="{00000000-0005-0000-0000-0000A2180000}"/>
    <cellStyle name="Bom 15 2" xfId="6203" xr:uid="{00000000-0005-0000-0000-0000A3180000}"/>
    <cellStyle name="Bom 15 3" xfId="6204" xr:uid="{00000000-0005-0000-0000-0000A4180000}"/>
    <cellStyle name="Bom 150" xfId="6205" xr:uid="{00000000-0005-0000-0000-0000A5180000}"/>
    <cellStyle name="Bom 151" xfId="6206" xr:uid="{00000000-0005-0000-0000-0000A6180000}"/>
    <cellStyle name="Bom 152" xfId="6207" xr:uid="{00000000-0005-0000-0000-0000A7180000}"/>
    <cellStyle name="Bom 153" xfId="6208" xr:uid="{00000000-0005-0000-0000-0000A8180000}"/>
    <cellStyle name="Bom 154" xfId="6209" xr:uid="{00000000-0005-0000-0000-0000A9180000}"/>
    <cellStyle name="Bom 155" xfId="6210" xr:uid="{00000000-0005-0000-0000-0000AA180000}"/>
    <cellStyle name="Bom 156" xfId="6211" xr:uid="{00000000-0005-0000-0000-0000AB180000}"/>
    <cellStyle name="Bom 157" xfId="6212" xr:uid="{00000000-0005-0000-0000-0000AC180000}"/>
    <cellStyle name="Bom 158" xfId="6213" xr:uid="{00000000-0005-0000-0000-0000AD180000}"/>
    <cellStyle name="Bom 159" xfId="6214" xr:uid="{00000000-0005-0000-0000-0000AE180000}"/>
    <cellStyle name="Bom 16" xfId="6215" xr:uid="{00000000-0005-0000-0000-0000AF180000}"/>
    <cellStyle name="Bom 16 2" xfId="6216" xr:uid="{00000000-0005-0000-0000-0000B0180000}"/>
    <cellStyle name="Bom 16 3" xfId="6217" xr:uid="{00000000-0005-0000-0000-0000B1180000}"/>
    <cellStyle name="Bom 160" xfId="6218" xr:uid="{00000000-0005-0000-0000-0000B2180000}"/>
    <cellStyle name="Bom 161" xfId="6219" xr:uid="{00000000-0005-0000-0000-0000B3180000}"/>
    <cellStyle name="Bom 162" xfId="6220" xr:uid="{00000000-0005-0000-0000-0000B4180000}"/>
    <cellStyle name="Bom 163" xfId="6221" xr:uid="{00000000-0005-0000-0000-0000B5180000}"/>
    <cellStyle name="Bom 164" xfId="6222" xr:uid="{00000000-0005-0000-0000-0000B6180000}"/>
    <cellStyle name="Bom 165" xfId="6223" xr:uid="{00000000-0005-0000-0000-0000B7180000}"/>
    <cellStyle name="Bom 166" xfId="6224" xr:uid="{00000000-0005-0000-0000-0000B8180000}"/>
    <cellStyle name="Bom 167" xfId="6225" xr:uid="{00000000-0005-0000-0000-0000B9180000}"/>
    <cellStyle name="Bom 168" xfId="6226" xr:uid="{00000000-0005-0000-0000-0000BA180000}"/>
    <cellStyle name="Bom 169" xfId="6227" xr:uid="{00000000-0005-0000-0000-0000BB180000}"/>
    <cellStyle name="Bom 17" xfId="6228" xr:uid="{00000000-0005-0000-0000-0000BC180000}"/>
    <cellStyle name="Bom 17 2" xfId="6229" xr:uid="{00000000-0005-0000-0000-0000BD180000}"/>
    <cellStyle name="Bom 17 3" xfId="6230" xr:uid="{00000000-0005-0000-0000-0000BE180000}"/>
    <cellStyle name="Bom 170" xfId="6231" xr:uid="{00000000-0005-0000-0000-0000BF180000}"/>
    <cellStyle name="Bom 171" xfId="6232" xr:uid="{00000000-0005-0000-0000-0000C0180000}"/>
    <cellStyle name="Bom 172" xfId="6233" xr:uid="{00000000-0005-0000-0000-0000C1180000}"/>
    <cellStyle name="Bom 173" xfId="6234" xr:uid="{00000000-0005-0000-0000-0000C2180000}"/>
    <cellStyle name="Bom 174" xfId="6235" xr:uid="{00000000-0005-0000-0000-0000C3180000}"/>
    <cellStyle name="Bom 175" xfId="6236" xr:uid="{00000000-0005-0000-0000-0000C4180000}"/>
    <cellStyle name="Bom 176" xfId="6237" xr:uid="{00000000-0005-0000-0000-0000C5180000}"/>
    <cellStyle name="Bom 177" xfId="6238" xr:uid="{00000000-0005-0000-0000-0000C6180000}"/>
    <cellStyle name="Bom 178" xfId="6239" xr:uid="{00000000-0005-0000-0000-0000C7180000}"/>
    <cellStyle name="Bom 179" xfId="6240" xr:uid="{00000000-0005-0000-0000-0000C8180000}"/>
    <cellStyle name="Bom 18" xfId="6241" xr:uid="{00000000-0005-0000-0000-0000C9180000}"/>
    <cellStyle name="Bom 18 2" xfId="6242" xr:uid="{00000000-0005-0000-0000-0000CA180000}"/>
    <cellStyle name="Bom 18 3" xfId="6243" xr:uid="{00000000-0005-0000-0000-0000CB180000}"/>
    <cellStyle name="Bom 180" xfId="6244" xr:uid="{00000000-0005-0000-0000-0000CC180000}"/>
    <cellStyle name="Bom 181" xfId="6245" xr:uid="{00000000-0005-0000-0000-0000CD180000}"/>
    <cellStyle name="Bom 182" xfId="6246" xr:uid="{00000000-0005-0000-0000-0000CE180000}"/>
    <cellStyle name="Bom 183" xfId="6247" xr:uid="{00000000-0005-0000-0000-0000CF180000}"/>
    <cellStyle name="Bom 184" xfId="6248" xr:uid="{00000000-0005-0000-0000-0000D0180000}"/>
    <cellStyle name="Bom 185" xfId="6249" xr:uid="{00000000-0005-0000-0000-0000D1180000}"/>
    <cellStyle name="Bom 186" xfId="6250" xr:uid="{00000000-0005-0000-0000-0000D2180000}"/>
    <cellStyle name="Bom 187" xfId="6251" xr:uid="{00000000-0005-0000-0000-0000D3180000}"/>
    <cellStyle name="Bom 188" xfId="6252" xr:uid="{00000000-0005-0000-0000-0000D4180000}"/>
    <cellStyle name="Bom 189" xfId="6253" xr:uid="{00000000-0005-0000-0000-0000D5180000}"/>
    <cellStyle name="Bom 19" xfId="6254" xr:uid="{00000000-0005-0000-0000-0000D6180000}"/>
    <cellStyle name="Bom 19 2" xfId="6255" xr:uid="{00000000-0005-0000-0000-0000D7180000}"/>
    <cellStyle name="Bom 19 3" xfId="6256" xr:uid="{00000000-0005-0000-0000-0000D8180000}"/>
    <cellStyle name="Bom 190" xfId="6257" xr:uid="{00000000-0005-0000-0000-0000D9180000}"/>
    <cellStyle name="Bom 2" xfId="6258" xr:uid="{00000000-0005-0000-0000-0000DA180000}"/>
    <cellStyle name="Bom 2 10" xfId="6259" xr:uid="{00000000-0005-0000-0000-0000DB180000}"/>
    <cellStyle name="Bom 2 10 2" xfId="6260" xr:uid="{00000000-0005-0000-0000-0000DC180000}"/>
    <cellStyle name="Bom 2 10 3" xfId="6261" xr:uid="{00000000-0005-0000-0000-0000DD180000}"/>
    <cellStyle name="Bom 2 10 4" xfId="6262" xr:uid="{00000000-0005-0000-0000-0000DE180000}"/>
    <cellStyle name="Bom 2 10 5" xfId="6263" xr:uid="{00000000-0005-0000-0000-0000DF180000}"/>
    <cellStyle name="Bom 2 10 6" xfId="6264" xr:uid="{00000000-0005-0000-0000-0000E0180000}"/>
    <cellStyle name="Bom 2 10 7" xfId="6265" xr:uid="{00000000-0005-0000-0000-0000E1180000}"/>
    <cellStyle name="Bom 2 11" xfId="6266" xr:uid="{00000000-0005-0000-0000-0000E2180000}"/>
    <cellStyle name="Bom 2 11 2" xfId="6267" xr:uid="{00000000-0005-0000-0000-0000E3180000}"/>
    <cellStyle name="Bom 2 11 3" xfId="6268" xr:uid="{00000000-0005-0000-0000-0000E4180000}"/>
    <cellStyle name="Bom 2 11 4" xfId="6269" xr:uid="{00000000-0005-0000-0000-0000E5180000}"/>
    <cellStyle name="Bom 2 11 5" xfId="6270" xr:uid="{00000000-0005-0000-0000-0000E6180000}"/>
    <cellStyle name="Bom 2 11 6" xfId="6271" xr:uid="{00000000-0005-0000-0000-0000E7180000}"/>
    <cellStyle name="Bom 2 11 7" xfId="6272" xr:uid="{00000000-0005-0000-0000-0000E8180000}"/>
    <cellStyle name="Bom 2 12" xfId="6273" xr:uid="{00000000-0005-0000-0000-0000E9180000}"/>
    <cellStyle name="Bom 2 13" xfId="6274" xr:uid="{00000000-0005-0000-0000-0000EA180000}"/>
    <cellStyle name="Bom 2 14" xfId="6275" xr:uid="{00000000-0005-0000-0000-0000EB180000}"/>
    <cellStyle name="Bom 2 15" xfId="6276" xr:uid="{00000000-0005-0000-0000-0000EC180000}"/>
    <cellStyle name="Bom 2 16" xfId="6277" xr:uid="{00000000-0005-0000-0000-0000ED180000}"/>
    <cellStyle name="Bom 2 17" xfId="6278" xr:uid="{00000000-0005-0000-0000-0000EE180000}"/>
    <cellStyle name="Bom 2 18" xfId="6279" xr:uid="{00000000-0005-0000-0000-0000EF180000}"/>
    <cellStyle name="Bom 2 19" xfId="6280" xr:uid="{00000000-0005-0000-0000-0000F0180000}"/>
    <cellStyle name="Bom 2 2" xfId="6281" xr:uid="{00000000-0005-0000-0000-0000F1180000}"/>
    <cellStyle name="Bom 2 20" xfId="6282" xr:uid="{00000000-0005-0000-0000-0000F2180000}"/>
    <cellStyle name="Bom 2 21" xfId="6283" xr:uid="{00000000-0005-0000-0000-0000F3180000}"/>
    <cellStyle name="Bom 2 22" xfId="6284" xr:uid="{00000000-0005-0000-0000-0000F4180000}"/>
    <cellStyle name="Bom 2 23" xfId="6285" xr:uid="{00000000-0005-0000-0000-0000F5180000}"/>
    <cellStyle name="Bom 2 24" xfId="6286" xr:uid="{00000000-0005-0000-0000-0000F6180000}"/>
    <cellStyle name="Bom 2 25" xfId="6287" xr:uid="{00000000-0005-0000-0000-0000F7180000}"/>
    <cellStyle name="Bom 2 26" xfId="6288" xr:uid="{00000000-0005-0000-0000-0000F8180000}"/>
    <cellStyle name="Bom 2 27" xfId="6289" xr:uid="{00000000-0005-0000-0000-0000F9180000}"/>
    <cellStyle name="Bom 2 28" xfId="6290" xr:uid="{00000000-0005-0000-0000-0000FA180000}"/>
    <cellStyle name="Bom 2 29" xfId="6291" xr:uid="{00000000-0005-0000-0000-0000FB180000}"/>
    <cellStyle name="Bom 2 3" xfId="6292" xr:uid="{00000000-0005-0000-0000-0000FC180000}"/>
    <cellStyle name="Bom 2 30" xfId="6293" xr:uid="{00000000-0005-0000-0000-0000FD180000}"/>
    <cellStyle name="Bom 2 31" xfId="6294" xr:uid="{00000000-0005-0000-0000-0000FE180000}"/>
    <cellStyle name="Bom 2 32" xfId="6295" xr:uid="{00000000-0005-0000-0000-0000FF180000}"/>
    <cellStyle name="Bom 2 33" xfId="6296" xr:uid="{00000000-0005-0000-0000-000000190000}"/>
    <cellStyle name="Bom 2 34" xfId="6297" xr:uid="{00000000-0005-0000-0000-000001190000}"/>
    <cellStyle name="Bom 2 35" xfId="6298" xr:uid="{00000000-0005-0000-0000-000002190000}"/>
    <cellStyle name="Bom 2 4" xfId="6299" xr:uid="{00000000-0005-0000-0000-000003190000}"/>
    <cellStyle name="Bom 2 5" xfId="6300" xr:uid="{00000000-0005-0000-0000-000004190000}"/>
    <cellStyle name="Bom 2 6" xfId="6301" xr:uid="{00000000-0005-0000-0000-000005190000}"/>
    <cellStyle name="Bom 2 7" xfId="6302" xr:uid="{00000000-0005-0000-0000-000006190000}"/>
    <cellStyle name="Bom 2 8" xfId="6303" xr:uid="{00000000-0005-0000-0000-000007190000}"/>
    <cellStyle name="Bom 2 8 2" xfId="6304" xr:uid="{00000000-0005-0000-0000-000008190000}"/>
    <cellStyle name="Bom 2 8 3" xfId="6305" xr:uid="{00000000-0005-0000-0000-000009190000}"/>
    <cellStyle name="Bom 2 8 4" xfId="6306" xr:uid="{00000000-0005-0000-0000-00000A190000}"/>
    <cellStyle name="Bom 2 8 5" xfId="6307" xr:uid="{00000000-0005-0000-0000-00000B190000}"/>
    <cellStyle name="Bom 2 8 6" xfId="6308" xr:uid="{00000000-0005-0000-0000-00000C190000}"/>
    <cellStyle name="Bom 2 8 7" xfId="6309" xr:uid="{00000000-0005-0000-0000-00000D190000}"/>
    <cellStyle name="Bom 2 9" xfId="6310" xr:uid="{00000000-0005-0000-0000-00000E190000}"/>
    <cellStyle name="Bom 2 9 2" xfId="6311" xr:uid="{00000000-0005-0000-0000-00000F190000}"/>
    <cellStyle name="Bom 2 9 3" xfId="6312" xr:uid="{00000000-0005-0000-0000-000010190000}"/>
    <cellStyle name="Bom 2 9 4" xfId="6313" xr:uid="{00000000-0005-0000-0000-000011190000}"/>
    <cellStyle name="Bom 2 9 5" xfId="6314" xr:uid="{00000000-0005-0000-0000-000012190000}"/>
    <cellStyle name="Bom 2 9 6" xfId="6315" xr:uid="{00000000-0005-0000-0000-000013190000}"/>
    <cellStyle name="Bom 2 9 7" xfId="6316" xr:uid="{00000000-0005-0000-0000-000014190000}"/>
    <cellStyle name="Bom 20" xfId="6317" xr:uid="{00000000-0005-0000-0000-000015190000}"/>
    <cellStyle name="Bom 20 2" xfId="6318" xr:uid="{00000000-0005-0000-0000-000016190000}"/>
    <cellStyle name="Bom 20 3" xfId="6319" xr:uid="{00000000-0005-0000-0000-000017190000}"/>
    <cellStyle name="Bom 21" xfId="6320" xr:uid="{00000000-0005-0000-0000-000018190000}"/>
    <cellStyle name="Bom 22" xfId="6321" xr:uid="{00000000-0005-0000-0000-000019190000}"/>
    <cellStyle name="Bom 23" xfId="6322" xr:uid="{00000000-0005-0000-0000-00001A190000}"/>
    <cellStyle name="Bom 24" xfId="6323" xr:uid="{00000000-0005-0000-0000-00001B190000}"/>
    <cellStyle name="Bom 24 2" xfId="40945" xr:uid="{00000000-0005-0000-0000-00001C190000}"/>
    <cellStyle name="Bom 25" xfId="6324" xr:uid="{00000000-0005-0000-0000-00001D190000}"/>
    <cellStyle name="Bom 25 2" xfId="40980" xr:uid="{00000000-0005-0000-0000-00001E190000}"/>
    <cellStyle name="Bom 26" xfId="6325" xr:uid="{00000000-0005-0000-0000-00001F190000}"/>
    <cellStyle name="Bom 26 10" xfId="6326" xr:uid="{00000000-0005-0000-0000-000020190000}"/>
    <cellStyle name="Bom 26 11" xfId="6327" xr:uid="{00000000-0005-0000-0000-000021190000}"/>
    <cellStyle name="Bom 26 12" xfId="6328" xr:uid="{00000000-0005-0000-0000-000022190000}"/>
    <cellStyle name="Bom 26 13" xfId="6329" xr:uid="{00000000-0005-0000-0000-000023190000}"/>
    <cellStyle name="Bom 26 14" xfId="6330" xr:uid="{00000000-0005-0000-0000-000024190000}"/>
    <cellStyle name="Bom 26 15" xfId="6331" xr:uid="{00000000-0005-0000-0000-000025190000}"/>
    <cellStyle name="Bom 26 16" xfId="6332" xr:uid="{00000000-0005-0000-0000-000026190000}"/>
    <cellStyle name="Bom 26 2" xfId="6333" xr:uid="{00000000-0005-0000-0000-000027190000}"/>
    <cellStyle name="Bom 26 3" xfId="6334" xr:uid="{00000000-0005-0000-0000-000028190000}"/>
    <cellStyle name="Bom 26 4" xfId="6335" xr:uid="{00000000-0005-0000-0000-000029190000}"/>
    <cellStyle name="Bom 26 5" xfId="6336" xr:uid="{00000000-0005-0000-0000-00002A190000}"/>
    <cellStyle name="Bom 26 6" xfId="6337" xr:uid="{00000000-0005-0000-0000-00002B190000}"/>
    <cellStyle name="Bom 26 7" xfId="6338" xr:uid="{00000000-0005-0000-0000-00002C190000}"/>
    <cellStyle name="Bom 26 8" xfId="6339" xr:uid="{00000000-0005-0000-0000-00002D190000}"/>
    <cellStyle name="Bom 26 9" xfId="6340" xr:uid="{00000000-0005-0000-0000-00002E190000}"/>
    <cellStyle name="Bom 27" xfId="6341" xr:uid="{00000000-0005-0000-0000-00002F190000}"/>
    <cellStyle name="Bom 27 10" xfId="6342" xr:uid="{00000000-0005-0000-0000-000030190000}"/>
    <cellStyle name="Bom 27 11" xfId="6343" xr:uid="{00000000-0005-0000-0000-000031190000}"/>
    <cellStyle name="Bom 27 12" xfId="6344" xr:uid="{00000000-0005-0000-0000-000032190000}"/>
    <cellStyle name="Bom 27 13" xfId="6345" xr:uid="{00000000-0005-0000-0000-000033190000}"/>
    <cellStyle name="Bom 27 14" xfId="6346" xr:uid="{00000000-0005-0000-0000-000034190000}"/>
    <cellStyle name="Bom 27 15" xfId="6347" xr:uid="{00000000-0005-0000-0000-000035190000}"/>
    <cellStyle name="Bom 27 16" xfId="6348" xr:uid="{00000000-0005-0000-0000-000036190000}"/>
    <cellStyle name="Bom 27 2" xfId="6349" xr:uid="{00000000-0005-0000-0000-000037190000}"/>
    <cellStyle name="Bom 27 3" xfId="6350" xr:uid="{00000000-0005-0000-0000-000038190000}"/>
    <cellStyle name="Bom 27 4" xfId="6351" xr:uid="{00000000-0005-0000-0000-000039190000}"/>
    <cellStyle name="Bom 27 5" xfId="6352" xr:uid="{00000000-0005-0000-0000-00003A190000}"/>
    <cellStyle name="Bom 27 6" xfId="6353" xr:uid="{00000000-0005-0000-0000-00003B190000}"/>
    <cellStyle name="Bom 27 7" xfId="6354" xr:uid="{00000000-0005-0000-0000-00003C190000}"/>
    <cellStyle name="Bom 27 8" xfId="6355" xr:uid="{00000000-0005-0000-0000-00003D190000}"/>
    <cellStyle name="Bom 27 9" xfId="6356" xr:uid="{00000000-0005-0000-0000-00003E190000}"/>
    <cellStyle name="Bom 28" xfId="6357" xr:uid="{00000000-0005-0000-0000-00003F190000}"/>
    <cellStyle name="Bom 28 10" xfId="6358" xr:uid="{00000000-0005-0000-0000-000040190000}"/>
    <cellStyle name="Bom 28 11" xfId="6359" xr:uid="{00000000-0005-0000-0000-000041190000}"/>
    <cellStyle name="Bom 28 12" xfId="6360" xr:uid="{00000000-0005-0000-0000-000042190000}"/>
    <cellStyle name="Bom 28 13" xfId="6361" xr:uid="{00000000-0005-0000-0000-000043190000}"/>
    <cellStyle name="Bom 28 14" xfId="6362" xr:uid="{00000000-0005-0000-0000-000044190000}"/>
    <cellStyle name="Bom 28 15" xfId="6363" xr:uid="{00000000-0005-0000-0000-000045190000}"/>
    <cellStyle name="Bom 28 16" xfId="6364" xr:uid="{00000000-0005-0000-0000-000046190000}"/>
    <cellStyle name="Bom 28 2" xfId="6365" xr:uid="{00000000-0005-0000-0000-000047190000}"/>
    <cellStyle name="Bom 28 3" xfId="6366" xr:uid="{00000000-0005-0000-0000-000048190000}"/>
    <cellStyle name="Bom 28 4" xfId="6367" xr:uid="{00000000-0005-0000-0000-000049190000}"/>
    <cellStyle name="Bom 28 5" xfId="6368" xr:uid="{00000000-0005-0000-0000-00004A190000}"/>
    <cellStyle name="Bom 28 6" xfId="6369" xr:uid="{00000000-0005-0000-0000-00004B190000}"/>
    <cellStyle name="Bom 28 7" xfId="6370" xr:uid="{00000000-0005-0000-0000-00004C190000}"/>
    <cellStyle name="Bom 28 8" xfId="6371" xr:uid="{00000000-0005-0000-0000-00004D190000}"/>
    <cellStyle name="Bom 28 9" xfId="6372" xr:uid="{00000000-0005-0000-0000-00004E190000}"/>
    <cellStyle name="Bom 29" xfId="6373" xr:uid="{00000000-0005-0000-0000-00004F190000}"/>
    <cellStyle name="Bom 29 10" xfId="6374" xr:uid="{00000000-0005-0000-0000-000050190000}"/>
    <cellStyle name="Bom 29 11" xfId="6375" xr:uid="{00000000-0005-0000-0000-000051190000}"/>
    <cellStyle name="Bom 29 12" xfId="6376" xr:uid="{00000000-0005-0000-0000-000052190000}"/>
    <cellStyle name="Bom 29 13" xfId="6377" xr:uid="{00000000-0005-0000-0000-000053190000}"/>
    <cellStyle name="Bom 29 14" xfId="6378" xr:uid="{00000000-0005-0000-0000-000054190000}"/>
    <cellStyle name="Bom 29 15" xfId="6379" xr:uid="{00000000-0005-0000-0000-000055190000}"/>
    <cellStyle name="Bom 29 16" xfId="6380" xr:uid="{00000000-0005-0000-0000-000056190000}"/>
    <cellStyle name="Bom 29 2" xfId="6381" xr:uid="{00000000-0005-0000-0000-000057190000}"/>
    <cellStyle name="Bom 29 3" xfId="6382" xr:uid="{00000000-0005-0000-0000-000058190000}"/>
    <cellStyle name="Bom 29 4" xfId="6383" xr:uid="{00000000-0005-0000-0000-000059190000}"/>
    <cellStyle name="Bom 29 5" xfId="6384" xr:uid="{00000000-0005-0000-0000-00005A190000}"/>
    <cellStyle name="Bom 29 6" xfId="6385" xr:uid="{00000000-0005-0000-0000-00005B190000}"/>
    <cellStyle name="Bom 29 7" xfId="6386" xr:uid="{00000000-0005-0000-0000-00005C190000}"/>
    <cellStyle name="Bom 29 8" xfId="6387" xr:uid="{00000000-0005-0000-0000-00005D190000}"/>
    <cellStyle name="Bom 29 9" xfId="6388" xr:uid="{00000000-0005-0000-0000-00005E190000}"/>
    <cellStyle name="Bom 3" xfId="6389" xr:uid="{00000000-0005-0000-0000-00005F190000}"/>
    <cellStyle name="Bom 3 10" xfId="6390" xr:uid="{00000000-0005-0000-0000-000060190000}"/>
    <cellStyle name="Bom 3 11" xfId="6391" xr:uid="{00000000-0005-0000-0000-000061190000}"/>
    <cellStyle name="Bom 3 2" xfId="6392" xr:uid="{00000000-0005-0000-0000-000062190000}"/>
    <cellStyle name="Bom 3 3" xfId="6393" xr:uid="{00000000-0005-0000-0000-000063190000}"/>
    <cellStyle name="Bom 3 4" xfId="6394" xr:uid="{00000000-0005-0000-0000-000064190000}"/>
    <cellStyle name="Bom 3 5" xfId="6395" xr:uid="{00000000-0005-0000-0000-000065190000}"/>
    <cellStyle name="Bom 3 6" xfId="6396" xr:uid="{00000000-0005-0000-0000-000066190000}"/>
    <cellStyle name="Bom 3 7" xfId="6397" xr:uid="{00000000-0005-0000-0000-000067190000}"/>
    <cellStyle name="Bom 3 8" xfId="6398" xr:uid="{00000000-0005-0000-0000-000068190000}"/>
    <cellStyle name="Bom 3 9" xfId="6399" xr:uid="{00000000-0005-0000-0000-000069190000}"/>
    <cellStyle name="Bom 30" xfId="6400" xr:uid="{00000000-0005-0000-0000-00006A190000}"/>
    <cellStyle name="Bom 31" xfId="6401" xr:uid="{00000000-0005-0000-0000-00006B190000}"/>
    <cellStyle name="Bom 32" xfId="6402" xr:uid="{00000000-0005-0000-0000-00006C190000}"/>
    <cellStyle name="Bom 33" xfId="6403" xr:uid="{00000000-0005-0000-0000-00006D190000}"/>
    <cellStyle name="Bom 34" xfId="6404" xr:uid="{00000000-0005-0000-0000-00006E190000}"/>
    <cellStyle name="Bom 35" xfId="6405" xr:uid="{00000000-0005-0000-0000-00006F190000}"/>
    <cellStyle name="Bom 36" xfId="6406" xr:uid="{00000000-0005-0000-0000-000070190000}"/>
    <cellStyle name="Bom 37" xfId="6407" xr:uid="{00000000-0005-0000-0000-000071190000}"/>
    <cellStyle name="Bom 38" xfId="6408" xr:uid="{00000000-0005-0000-0000-000072190000}"/>
    <cellStyle name="Bom 39" xfId="6409" xr:uid="{00000000-0005-0000-0000-000073190000}"/>
    <cellStyle name="Bom 4" xfId="6410" xr:uid="{00000000-0005-0000-0000-000074190000}"/>
    <cellStyle name="Bom 4 10" xfId="6411" xr:uid="{00000000-0005-0000-0000-000075190000}"/>
    <cellStyle name="Bom 4 11" xfId="6412" xr:uid="{00000000-0005-0000-0000-000076190000}"/>
    <cellStyle name="Bom 4 2" xfId="6413" xr:uid="{00000000-0005-0000-0000-000077190000}"/>
    <cellStyle name="Bom 4 3" xfId="6414" xr:uid="{00000000-0005-0000-0000-000078190000}"/>
    <cellStyle name="Bom 4 4" xfId="6415" xr:uid="{00000000-0005-0000-0000-000079190000}"/>
    <cellStyle name="Bom 4 5" xfId="6416" xr:uid="{00000000-0005-0000-0000-00007A190000}"/>
    <cellStyle name="Bom 4 6" xfId="6417" xr:uid="{00000000-0005-0000-0000-00007B190000}"/>
    <cellStyle name="Bom 4 7" xfId="6418" xr:uid="{00000000-0005-0000-0000-00007C190000}"/>
    <cellStyle name="Bom 4 8" xfId="6419" xr:uid="{00000000-0005-0000-0000-00007D190000}"/>
    <cellStyle name="Bom 4 9" xfId="6420" xr:uid="{00000000-0005-0000-0000-00007E190000}"/>
    <cellStyle name="Bom 40" xfId="6421" xr:uid="{00000000-0005-0000-0000-00007F190000}"/>
    <cellStyle name="Bom 41" xfId="6422" xr:uid="{00000000-0005-0000-0000-000080190000}"/>
    <cellStyle name="Bom 42" xfId="6423" xr:uid="{00000000-0005-0000-0000-000081190000}"/>
    <cellStyle name="Bom 43" xfId="6424" xr:uid="{00000000-0005-0000-0000-000082190000}"/>
    <cellStyle name="Bom 44" xfId="6425" xr:uid="{00000000-0005-0000-0000-000083190000}"/>
    <cellStyle name="Bom 45" xfId="6426" xr:uid="{00000000-0005-0000-0000-000084190000}"/>
    <cellStyle name="Bom 46" xfId="6427" xr:uid="{00000000-0005-0000-0000-000085190000}"/>
    <cellStyle name="Bom 47" xfId="6428" xr:uid="{00000000-0005-0000-0000-000086190000}"/>
    <cellStyle name="Bom 48" xfId="6429" xr:uid="{00000000-0005-0000-0000-000087190000}"/>
    <cellStyle name="Bom 49" xfId="6430" xr:uid="{00000000-0005-0000-0000-000088190000}"/>
    <cellStyle name="Bom 5" xfId="6431" xr:uid="{00000000-0005-0000-0000-000089190000}"/>
    <cellStyle name="Bom 5 2" xfId="6432" xr:uid="{00000000-0005-0000-0000-00008A190000}"/>
    <cellStyle name="Bom 5 3" xfId="6433" xr:uid="{00000000-0005-0000-0000-00008B190000}"/>
    <cellStyle name="Bom 5 4" xfId="6434" xr:uid="{00000000-0005-0000-0000-00008C190000}"/>
    <cellStyle name="Bom 50" xfId="6435" xr:uid="{00000000-0005-0000-0000-00008D190000}"/>
    <cellStyle name="Bom 51" xfId="6436" xr:uid="{00000000-0005-0000-0000-00008E190000}"/>
    <cellStyle name="Bom 52" xfId="6437" xr:uid="{00000000-0005-0000-0000-00008F190000}"/>
    <cellStyle name="Bom 53" xfId="6438" xr:uid="{00000000-0005-0000-0000-000090190000}"/>
    <cellStyle name="Bom 54" xfId="6439" xr:uid="{00000000-0005-0000-0000-000091190000}"/>
    <cellStyle name="Bom 55" xfId="6440" xr:uid="{00000000-0005-0000-0000-000092190000}"/>
    <cellStyle name="Bom 56" xfId="6441" xr:uid="{00000000-0005-0000-0000-000093190000}"/>
    <cellStyle name="Bom 57" xfId="6442" xr:uid="{00000000-0005-0000-0000-000094190000}"/>
    <cellStyle name="Bom 58" xfId="6443" xr:uid="{00000000-0005-0000-0000-000095190000}"/>
    <cellStyle name="Bom 59" xfId="6444" xr:uid="{00000000-0005-0000-0000-000096190000}"/>
    <cellStyle name="Bom 6" xfId="6445" xr:uid="{00000000-0005-0000-0000-000097190000}"/>
    <cellStyle name="Bom 6 2" xfId="6446" xr:uid="{00000000-0005-0000-0000-000098190000}"/>
    <cellStyle name="Bom 6 3" xfId="6447" xr:uid="{00000000-0005-0000-0000-000099190000}"/>
    <cellStyle name="Bom 6 4" xfId="6448" xr:uid="{00000000-0005-0000-0000-00009A190000}"/>
    <cellStyle name="Bom 60" xfId="6449" xr:uid="{00000000-0005-0000-0000-00009B190000}"/>
    <cellStyle name="Bom 61" xfId="6450" xr:uid="{00000000-0005-0000-0000-00009C190000}"/>
    <cellStyle name="Bom 62" xfId="6451" xr:uid="{00000000-0005-0000-0000-00009D190000}"/>
    <cellStyle name="Bom 63" xfId="6452" xr:uid="{00000000-0005-0000-0000-00009E190000}"/>
    <cellStyle name="Bom 64" xfId="6453" xr:uid="{00000000-0005-0000-0000-00009F190000}"/>
    <cellStyle name="Bom 65" xfId="6454" xr:uid="{00000000-0005-0000-0000-0000A0190000}"/>
    <cellStyle name="Bom 66" xfId="6455" xr:uid="{00000000-0005-0000-0000-0000A1190000}"/>
    <cellStyle name="Bom 67" xfId="6456" xr:uid="{00000000-0005-0000-0000-0000A2190000}"/>
    <cellStyle name="Bom 68" xfId="6457" xr:uid="{00000000-0005-0000-0000-0000A3190000}"/>
    <cellStyle name="Bom 69" xfId="6458" xr:uid="{00000000-0005-0000-0000-0000A4190000}"/>
    <cellStyle name="Bom 7" xfId="6459" xr:uid="{00000000-0005-0000-0000-0000A5190000}"/>
    <cellStyle name="Bom 7 2" xfId="6460" xr:uid="{00000000-0005-0000-0000-0000A6190000}"/>
    <cellStyle name="Bom 7 3" xfId="6461" xr:uid="{00000000-0005-0000-0000-0000A7190000}"/>
    <cellStyle name="Bom 7 4" xfId="6462" xr:uid="{00000000-0005-0000-0000-0000A8190000}"/>
    <cellStyle name="Bom 70" xfId="6463" xr:uid="{00000000-0005-0000-0000-0000A9190000}"/>
    <cellStyle name="Bom 71" xfId="6464" xr:uid="{00000000-0005-0000-0000-0000AA190000}"/>
    <cellStyle name="Bom 72" xfId="6465" xr:uid="{00000000-0005-0000-0000-0000AB190000}"/>
    <cellStyle name="Bom 73" xfId="6466" xr:uid="{00000000-0005-0000-0000-0000AC190000}"/>
    <cellStyle name="Bom 74" xfId="6467" xr:uid="{00000000-0005-0000-0000-0000AD190000}"/>
    <cellStyle name="Bom 75" xfId="6468" xr:uid="{00000000-0005-0000-0000-0000AE190000}"/>
    <cellStyle name="Bom 76" xfId="6469" xr:uid="{00000000-0005-0000-0000-0000AF190000}"/>
    <cellStyle name="Bom 77" xfId="6470" xr:uid="{00000000-0005-0000-0000-0000B0190000}"/>
    <cellStyle name="Bom 78" xfId="6471" xr:uid="{00000000-0005-0000-0000-0000B1190000}"/>
    <cellStyle name="Bom 79" xfId="6472" xr:uid="{00000000-0005-0000-0000-0000B2190000}"/>
    <cellStyle name="Bom 8" xfId="6473" xr:uid="{00000000-0005-0000-0000-0000B3190000}"/>
    <cellStyle name="Bom 8 2" xfId="6474" xr:uid="{00000000-0005-0000-0000-0000B4190000}"/>
    <cellStyle name="Bom 8 3" xfId="6475" xr:uid="{00000000-0005-0000-0000-0000B5190000}"/>
    <cellStyle name="Bom 8 4" xfId="6476" xr:uid="{00000000-0005-0000-0000-0000B6190000}"/>
    <cellStyle name="Bom 80" xfId="6477" xr:uid="{00000000-0005-0000-0000-0000B7190000}"/>
    <cellStyle name="Bom 81" xfId="6478" xr:uid="{00000000-0005-0000-0000-0000B8190000}"/>
    <cellStyle name="Bom 82" xfId="6479" xr:uid="{00000000-0005-0000-0000-0000B9190000}"/>
    <cellStyle name="Bom 83" xfId="6480" xr:uid="{00000000-0005-0000-0000-0000BA190000}"/>
    <cellStyle name="Bom 84" xfId="6481" xr:uid="{00000000-0005-0000-0000-0000BB190000}"/>
    <cellStyle name="Bom 85" xfId="6482" xr:uid="{00000000-0005-0000-0000-0000BC190000}"/>
    <cellStyle name="Bom 86" xfId="6483" xr:uid="{00000000-0005-0000-0000-0000BD190000}"/>
    <cellStyle name="Bom 87" xfId="6484" xr:uid="{00000000-0005-0000-0000-0000BE190000}"/>
    <cellStyle name="Bom 88" xfId="6485" xr:uid="{00000000-0005-0000-0000-0000BF190000}"/>
    <cellStyle name="Bom 89" xfId="6486" xr:uid="{00000000-0005-0000-0000-0000C0190000}"/>
    <cellStyle name="Bom 9" xfId="6487" xr:uid="{00000000-0005-0000-0000-0000C1190000}"/>
    <cellStyle name="Bom 90" xfId="6488" xr:uid="{00000000-0005-0000-0000-0000C2190000}"/>
    <cellStyle name="Bom 91" xfId="6489" xr:uid="{00000000-0005-0000-0000-0000C3190000}"/>
    <cellStyle name="Bom 92" xfId="6490" xr:uid="{00000000-0005-0000-0000-0000C4190000}"/>
    <cellStyle name="Bom 93" xfId="6491" xr:uid="{00000000-0005-0000-0000-0000C5190000}"/>
    <cellStyle name="Bom 94" xfId="6492" xr:uid="{00000000-0005-0000-0000-0000C6190000}"/>
    <cellStyle name="Bom 95" xfId="6493" xr:uid="{00000000-0005-0000-0000-0000C7190000}"/>
    <cellStyle name="Bom 96" xfId="6494" xr:uid="{00000000-0005-0000-0000-0000C8190000}"/>
    <cellStyle name="Bom 97" xfId="6495" xr:uid="{00000000-0005-0000-0000-0000C9190000}"/>
    <cellStyle name="Bom 98" xfId="6496" xr:uid="{00000000-0005-0000-0000-0000CA190000}"/>
    <cellStyle name="Bom 99" xfId="6497" xr:uid="{00000000-0005-0000-0000-0000CB190000}"/>
    <cellStyle name="Cálculo 10" xfId="6498" xr:uid="{00000000-0005-0000-0000-0000CC190000}"/>
    <cellStyle name="Cálculo 10 2" xfId="29074" xr:uid="{00000000-0005-0000-0000-0000CD190000}"/>
    <cellStyle name="Cálculo 100" xfId="6499" xr:uid="{00000000-0005-0000-0000-0000CE190000}"/>
    <cellStyle name="Cálculo 100 2" xfId="29379" xr:uid="{00000000-0005-0000-0000-0000CF190000}"/>
    <cellStyle name="Cálculo 101" xfId="6500" xr:uid="{00000000-0005-0000-0000-0000D0190000}"/>
    <cellStyle name="Cálculo 101 2" xfId="29380" xr:uid="{00000000-0005-0000-0000-0000D1190000}"/>
    <cellStyle name="Cálculo 102" xfId="6501" xr:uid="{00000000-0005-0000-0000-0000D2190000}"/>
    <cellStyle name="Cálculo 102 2" xfId="29381" xr:uid="{00000000-0005-0000-0000-0000D3190000}"/>
    <cellStyle name="Cálculo 103" xfId="6502" xr:uid="{00000000-0005-0000-0000-0000D4190000}"/>
    <cellStyle name="Cálculo 103 2" xfId="29382" xr:uid="{00000000-0005-0000-0000-0000D5190000}"/>
    <cellStyle name="Cálculo 104" xfId="6503" xr:uid="{00000000-0005-0000-0000-0000D6190000}"/>
    <cellStyle name="Cálculo 104 2" xfId="29383" xr:uid="{00000000-0005-0000-0000-0000D7190000}"/>
    <cellStyle name="Cálculo 105" xfId="6504" xr:uid="{00000000-0005-0000-0000-0000D8190000}"/>
    <cellStyle name="Cálculo 105 2" xfId="29384" xr:uid="{00000000-0005-0000-0000-0000D9190000}"/>
    <cellStyle name="Cálculo 106" xfId="6505" xr:uid="{00000000-0005-0000-0000-0000DA190000}"/>
    <cellStyle name="Cálculo 106 2" xfId="29385" xr:uid="{00000000-0005-0000-0000-0000DB190000}"/>
    <cellStyle name="Cálculo 107" xfId="6506" xr:uid="{00000000-0005-0000-0000-0000DC190000}"/>
    <cellStyle name="Cálculo 107 2" xfId="29386" xr:uid="{00000000-0005-0000-0000-0000DD190000}"/>
    <cellStyle name="Cálculo 108" xfId="6507" xr:uid="{00000000-0005-0000-0000-0000DE190000}"/>
    <cellStyle name="Cálculo 108 2" xfId="29387" xr:uid="{00000000-0005-0000-0000-0000DF190000}"/>
    <cellStyle name="Cálculo 109" xfId="6508" xr:uid="{00000000-0005-0000-0000-0000E0190000}"/>
    <cellStyle name="Cálculo 109 2" xfId="29388" xr:uid="{00000000-0005-0000-0000-0000E1190000}"/>
    <cellStyle name="Cálculo 11" xfId="6509" xr:uid="{00000000-0005-0000-0000-0000E2190000}"/>
    <cellStyle name="Cálculo 11 2" xfId="29075" xr:uid="{00000000-0005-0000-0000-0000E3190000}"/>
    <cellStyle name="Cálculo 110" xfId="6510" xr:uid="{00000000-0005-0000-0000-0000E4190000}"/>
    <cellStyle name="Cálculo 110 2" xfId="29389" xr:uid="{00000000-0005-0000-0000-0000E5190000}"/>
    <cellStyle name="Cálculo 111" xfId="6511" xr:uid="{00000000-0005-0000-0000-0000E6190000}"/>
    <cellStyle name="Cálculo 111 2" xfId="29390" xr:uid="{00000000-0005-0000-0000-0000E7190000}"/>
    <cellStyle name="Cálculo 112" xfId="6512" xr:uid="{00000000-0005-0000-0000-0000E8190000}"/>
    <cellStyle name="Cálculo 112 2" xfId="29391" xr:uid="{00000000-0005-0000-0000-0000E9190000}"/>
    <cellStyle name="Cálculo 113" xfId="6513" xr:uid="{00000000-0005-0000-0000-0000EA190000}"/>
    <cellStyle name="Cálculo 113 2" xfId="29392" xr:uid="{00000000-0005-0000-0000-0000EB190000}"/>
    <cellStyle name="Cálculo 114" xfId="6514" xr:uid="{00000000-0005-0000-0000-0000EC190000}"/>
    <cellStyle name="Cálculo 114 2" xfId="29393" xr:uid="{00000000-0005-0000-0000-0000ED190000}"/>
    <cellStyle name="Cálculo 115" xfId="6515" xr:uid="{00000000-0005-0000-0000-0000EE190000}"/>
    <cellStyle name="Cálculo 115 2" xfId="29394" xr:uid="{00000000-0005-0000-0000-0000EF190000}"/>
    <cellStyle name="Cálculo 116" xfId="6516" xr:uid="{00000000-0005-0000-0000-0000F0190000}"/>
    <cellStyle name="Cálculo 116 2" xfId="29395" xr:uid="{00000000-0005-0000-0000-0000F1190000}"/>
    <cellStyle name="Cálculo 117" xfId="6517" xr:uid="{00000000-0005-0000-0000-0000F2190000}"/>
    <cellStyle name="Cálculo 117 2" xfId="29396" xr:uid="{00000000-0005-0000-0000-0000F3190000}"/>
    <cellStyle name="Cálculo 118" xfId="6518" xr:uid="{00000000-0005-0000-0000-0000F4190000}"/>
    <cellStyle name="Cálculo 118 2" xfId="29397" xr:uid="{00000000-0005-0000-0000-0000F5190000}"/>
    <cellStyle name="Cálculo 119" xfId="6519" xr:uid="{00000000-0005-0000-0000-0000F6190000}"/>
    <cellStyle name="Cálculo 119 2" xfId="29398" xr:uid="{00000000-0005-0000-0000-0000F7190000}"/>
    <cellStyle name="Cálculo 12" xfId="6520" xr:uid="{00000000-0005-0000-0000-0000F8190000}"/>
    <cellStyle name="Cálculo 12 2" xfId="29076" xr:uid="{00000000-0005-0000-0000-0000F9190000}"/>
    <cellStyle name="Cálculo 120" xfId="6521" xr:uid="{00000000-0005-0000-0000-0000FA190000}"/>
    <cellStyle name="Cálculo 120 2" xfId="29399" xr:uid="{00000000-0005-0000-0000-0000FB190000}"/>
    <cellStyle name="Cálculo 121" xfId="6522" xr:uid="{00000000-0005-0000-0000-0000FC190000}"/>
    <cellStyle name="Cálculo 121 2" xfId="29400" xr:uid="{00000000-0005-0000-0000-0000FD190000}"/>
    <cellStyle name="Cálculo 122" xfId="6523" xr:uid="{00000000-0005-0000-0000-0000FE190000}"/>
    <cellStyle name="Cálculo 122 2" xfId="29401" xr:uid="{00000000-0005-0000-0000-0000FF190000}"/>
    <cellStyle name="Cálculo 123" xfId="6524" xr:uid="{00000000-0005-0000-0000-0000001A0000}"/>
    <cellStyle name="Cálculo 123 2" xfId="29402" xr:uid="{00000000-0005-0000-0000-0000011A0000}"/>
    <cellStyle name="Cálculo 124" xfId="6525" xr:uid="{00000000-0005-0000-0000-0000021A0000}"/>
    <cellStyle name="Cálculo 124 2" xfId="29403" xr:uid="{00000000-0005-0000-0000-0000031A0000}"/>
    <cellStyle name="Cálculo 125" xfId="6526" xr:uid="{00000000-0005-0000-0000-0000041A0000}"/>
    <cellStyle name="Cálculo 125 2" xfId="29404" xr:uid="{00000000-0005-0000-0000-0000051A0000}"/>
    <cellStyle name="Cálculo 126" xfId="6527" xr:uid="{00000000-0005-0000-0000-0000061A0000}"/>
    <cellStyle name="Cálculo 126 2" xfId="29405" xr:uid="{00000000-0005-0000-0000-0000071A0000}"/>
    <cellStyle name="Cálculo 127" xfId="6528" xr:uid="{00000000-0005-0000-0000-0000081A0000}"/>
    <cellStyle name="Cálculo 127 2" xfId="29406" xr:uid="{00000000-0005-0000-0000-0000091A0000}"/>
    <cellStyle name="Cálculo 128" xfId="6529" xr:uid="{00000000-0005-0000-0000-00000A1A0000}"/>
    <cellStyle name="Cálculo 128 2" xfId="29407" xr:uid="{00000000-0005-0000-0000-00000B1A0000}"/>
    <cellStyle name="Cálculo 129" xfId="6530" xr:uid="{00000000-0005-0000-0000-00000C1A0000}"/>
    <cellStyle name="Cálculo 129 2" xfId="29408" xr:uid="{00000000-0005-0000-0000-00000D1A0000}"/>
    <cellStyle name="Cálculo 13" xfId="6531" xr:uid="{00000000-0005-0000-0000-00000E1A0000}"/>
    <cellStyle name="Cálculo 13 2" xfId="29077" xr:uid="{00000000-0005-0000-0000-00000F1A0000}"/>
    <cellStyle name="Cálculo 130" xfId="6532" xr:uid="{00000000-0005-0000-0000-0000101A0000}"/>
    <cellStyle name="Cálculo 130 2" xfId="29409" xr:uid="{00000000-0005-0000-0000-0000111A0000}"/>
    <cellStyle name="Cálculo 131" xfId="6533" xr:uid="{00000000-0005-0000-0000-0000121A0000}"/>
    <cellStyle name="Cálculo 131 2" xfId="29410" xr:uid="{00000000-0005-0000-0000-0000131A0000}"/>
    <cellStyle name="Cálculo 132" xfId="6534" xr:uid="{00000000-0005-0000-0000-0000141A0000}"/>
    <cellStyle name="Cálculo 132 2" xfId="29411" xr:uid="{00000000-0005-0000-0000-0000151A0000}"/>
    <cellStyle name="Cálculo 133" xfId="6535" xr:uid="{00000000-0005-0000-0000-0000161A0000}"/>
    <cellStyle name="Cálculo 133 2" xfId="29412" xr:uid="{00000000-0005-0000-0000-0000171A0000}"/>
    <cellStyle name="Cálculo 134" xfId="6536" xr:uid="{00000000-0005-0000-0000-0000181A0000}"/>
    <cellStyle name="Cálculo 134 2" xfId="29413" xr:uid="{00000000-0005-0000-0000-0000191A0000}"/>
    <cellStyle name="Cálculo 135" xfId="6537" xr:uid="{00000000-0005-0000-0000-00001A1A0000}"/>
    <cellStyle name="Cálculo 135 2" xfId="29414" xr:uid="{00000000-0005-0000-0000-00001B1A0000}"/>
    <cellStyle name="Cálculo 136" xfId="6538" xr:uid="{00000000-0005-0000-0000-00001C1A0000}"/>
    <cellStyle name="Cálculo 136 2" xfId="29415" xr:uid="{00000000-0005-0000-0000-00001D1A0000}"/>
    <cellStyle name="Cálculo 137" xfId="6539" xr:uid="{00000000-0005-0000-0000-00001E1A0000}"/>
    <cellStyle name="Cálculo 137 2" xfId="29416" xr:uid="{00000000-0005-0000-0000-00001F1A0000}"/>
    <cellStyle name="Cálculo 138" xfId="6540" xr:uid="{00000000-0005-0000-0000-0000201A0000}"/>
    <cellStyle name="Cálculo 138 2" xfId="29417" xr:uid="{00000000-0005-0000-0000-0000211A0000}"/>
    <cellStyle name="Cálculo 139" xfId="6541" xr:uid="{00000000-0005-0000-0000-0000221A0000}"/>
    <cellStyle name="Cálculo 139 2" xfId="29418" xr:uid="{00000000-0005-0000-0000-0000231A0000}"/>
    <cellStyle name="Cálculo 14" xfId="6542" xr:uid="{00000000-0005-0000-0000-0000241A0000}"/>
    <cellStyle name="Cálculo 14 2" xfId="29078" xr:uid="{00000000-0005-0000-0000-0000251A0000}"/>
    <cellStyle name="Cálculo 140" xfId="6543" xr:uid="{00000000-0005-0000-0000-0000261A0000}"/>
    <cellStyle name="Cálculo 140 2" xfId="29419" xr:uid="{00000000-0005-0000-0000-0000271A0000}"/>
    <cellStyle name="Cálculo 141" xfId="6544" xr:uid="{00000000-0005-0000-0000-0000281A0000}"/>
    <cellStyle name="Cálculo 141 2" xfId="29420" xr:uid="{00000000-0005-0000-0000-0000291A0000}"/>
    <cellStyle name="Cálculo 142" xfId="6545" xr:uid="{00000000-0005-0000-0000-00002A1A0000}"/>
    <cellStyle name="Cálculo 142 2" xfId="29421" xr:uid="{00000000-0005-0000-0000-00002B1A0000}"/>
    <cellStyle name="Cálculo 143" xfId="6546" xr:uid="{00000000-0005-0000-0000-00002C1A0000}"/>
    <cellStyle name="Cálculo 143 2" xfId="29422" xr:uid="{00000000-0005-0000-0000-00002D1A0000}"/>
    <cellStyle name="Cálculo 144" xfId="6547" xr:uid="{00000000-0005-0000-0000-00002E1A0000}"/>
    <cellStyle name="Cálculo 144 2" xfId="29423" xr:uid="{00000000-0005-0000-0000-00002F1A0000}"/>
    <cellStyle name="Cálculo 145" xfId="6548" xr:uid="{00000000-0005-0000-0000-0000301A0000}"/>
    <cellStyle name="Cálculo 145 2" xfId="29424" xr:uid="{00000000-0005-0000-0000-0000311A0000}"/>
    <cellStyle name="Cálculo 146" xfId="6549" xr:uid="{00000000-0005-0000-0000-0000321A0000}"/>
    <cellStyle name="Cálculo 146 2" xfId="29425" xr:uid="{00000000-0005-0000-0000-0000331A0000}"/>
    <cellStyle name="Cálculo 147" xfId="6550" xr:uid="{00000000-0005-0000-0000-0000341A0000}"/>
    <cellStyle name="Cálculo 147 2" xfId="29426" xr:uid="{00000000-0005-0000-0000-0000351A0000}"/>
    <cellStyle name="Cálculo 148" xfId="6551" xr:uid="{00000000-0005-0000-0000-0000361A0000}"/>
    <cellStyle name="Cálculo 148 2" xfId="29427" xr:uid="{00000000-0005-0000-0000-0000371A0000}"/>
    <cellStyle name="Cálculo 149" xfId="6552" xr:uid="{00000000-0005-0000-0000-0000381A0000}"/>
    <cellStyle name="Cálculo 149 2" xfId="29428" xr:uid="{00000000-0005-0000-0000-0000391A0000}"/>
    <cellStyle name="Cálculo 15" xfId="6553" xr:uid="{00000000-0005-0000-0000-00003A1A0000}"/>
    <cellStyle name="Cálculo 15 2" xfId="6554" xr:uid="{00000000-0005-0000-0000-00003B1A0000}"/>
    <cellStyle name="Cálculo 15 2 2" xfId="29429" xr:uid="{00000000-0005-0000-0000-00003C1A0000}"/>
    <cellStyle name="Cálculo 15 3" xfId="6555" xr:uid="{00000000-0005-0000-0000-00003D1A0000}"/>
    <cellStyle name="Cálculo 15 3 2" xfId="29430" xr:uid="{00000000-0005-0000-0000-00003E1A0000}"/>
    <cellStyle name="Cálculo 15 4" xfId="29079" xr:uid="{00000000-0005-0000-0000-00003F1A0000}"/>
    <cellStyle name="Cálculo 150" xfId="6556" xr:uid="{00000000-0005-0000-0000-0000401A0000}"/>
    <cellStyle name="Cálculo 150 2" xfId="29431" xr:uid="{00000000-0005-0000-0000-0000411A0000}"/>
    <cellStyle name="Cálculo 151" xfId="6557" xr:uid="{00000000-0005-0000-0000-0000421A0000}"/>
    <cellStyle name="Cálculo 151 2" xfId="29432" xr:uid="{00000000-0005-0000-0000-0000431A0000}"/>
    <cellStyle name="Cálculo 152" xfId="6558" xr:uid="{00000000-0005-0000-0000-0000441A0000}"/>
    <cellStyle name="Cálculo 152 2" xfId="29433" xr:uid="{00000000-0005-0000-0000-0000451A0000}"/>
    <cellStyle name="Cálculo 153" xfId="6559" xr:uid="{00000000-0005-0000-0000-0000461A0000}"/>
    <cellStyle name="Cálculo 153 2" xfId="29434" xr:uid="{00000000-0005-0000-0000-0000471A0000}"/>
    <cellStyle name="Cálculo 154" xfId="6560" xr:uid="{00000000-0005-0000-0000-0000481A0000}"/>
    <cellStyle name="Cálculo 154 2" xfId="29435" xr:uid="{00000000-0005-0000-0000-0000491A0000}"/>
    <cellStyle name="Cálculo 155" xfId="6561" xr:uid="{00000000-0005-0000-0000-00004A1A0000}"/>
    <cellStyle name="Cálculo 155 2" xfId="29436" xr:uid="{00000000-0005-0000-0000-00004B1A0000}"/>
    <cellStyle name="Cálculo 156" xfId="6562" xr:uid="{00000000-0005-0000-0000-00004C1A0000}"/>
    <cellStyle name="Cálculo 156 2" xfId="29437" xr:uid="{00000000-0005-0000-0000-00004D1A0000}"/>
    <cellStyle name="Cálculo 157" xfId="6563" xr:uid="{00000000-0005-0000-0000-00004E1A0000}"/>
    <cellStyle name="Cálculo 157 2" xfId="29438" xr:uid="{00000000-0005-0000-0000-00004F1A0000}"/>
    <cellStyle name="Cálculo 158" xfId="6564" xr:uid="{00000000-0005-0000-0000-0000501A0000}"/>
    <cellStyle name="Cálculo 158 2" xfId="29439" xr:uid="{00000000-0005-0000-0000-0000511A0000}"/>
    <cellStyle name="Cálculo 159" xfId="6565" xr:uid="{00000000-0005-0000-0000-0000521A0000}"/>
    <cellStyle name="Cálculo 159 2" xfId="29440" xr:uid="{00000000-0005-0000-0000-0000531A0000}"/>
    <cellStyle name="Cálculo 16" xfId="6566" xr:uid="{00000000-0005-0000-0000-0000541A0000}"/>
    <cellStyle name="Cálculo 16 2" xfId="6567" xr:uid="{00000000-0005-0000-0000-0000551A0000}"/>
    <cellStyle name="Cálculo 16 2 2" xfId="29441" xr:uid="{00000000-0005-0000-0000-0000561A0000}"/>
    <cellStyle name="Cálculo 16 3" xfId="6568" xr:uid="{00000000-0005-0000-0000-0000571A0000}"/>
    <cellStyle name="Cálculo 16 3 2" xfId="29442" xr:uid="{00000000-0005-0000-0000-0000581A0000}"/>
    <cellStyle name="Cálculo 16 4" xfId="29080" xr:uid="{00000000-0005-0000-0000-0000591A0000}"/>
    <cellStyle name="Cálculo 160" xfId="6569" xr:uid="{00000000-0005-0000-0000-00005A1A0000}"/>
    <cellStyle name="Cálculo 160 2" xfId="29443" xr:uid="{00000000-0005-0000-0000-00005B1A0000}"/>
    <cellStyle name="Cálculo 161" xfId="6570" xr:uid="{00000000-0005-0000-0000-00005C1A0000}"/>
    <cellStyle name="Cálculo 161 2" xfId="29444" xr:uid="{00000000-0005-0000-0000-00005D1A0000}"/>
    <cellStyle name="Cálculo 162" xfId="6571" xr:uid="{00000000-0005-0000-0000-00005E1A0000}"/>
    <cellStyle name="Cálculo 162 2" xfId="29445" xr:uid="{00000000-0005-0000-0000-00005F1A0000}"/>
    <cellStyle name="Cálculo 163" xfId="6572" xr:uid="{00000000-0005-0000-0000-0000601A0000}"/>
    <cellStyle name="Cálculo 163 2" xfId="29446" xr:uid="{00000000-0005-0000-0000-0000611A0000}"/>
    <cellStyle name="Cálculo 164" xfId="6573" xr:uid="{00000000-0005-0000-0000-0000621A0000}"/>
    <cellStyle name="Cálculo 164 2" xfId="29447" xr:uid="{00000000-0005-0000-0000-0000631A0000}"/>
    <cellStyle name="Cálculo 165" xfId="6574" xr:uid="{00000000-0005-0000-0000-0000641A0000}"/>
    <cellStyle name="Cálculo 165 2" xfId="29448" xr:uid="{00000000-0005-0000-0000-0000651A0000}"/>
    <cellStyle name="Cálculo 166" xfId="6575" xr:uid="{00000000-0005-0000-0000-0000661A0000}"/>
    <cellStyle name="Cálculo 166 2" xfId="29449" xr:uid="{00000000-0005-0000-0000-0000671A0000}"/>
    <cellStyle name="Cálculo 167" xfId="6576" xr:uid="{00000000-0005-0000-0000-0000681A0000}"/>
    <cellStyle name="Cálculo 167 2" xfId="29450" xr:uid="{00000000-0005-0000-0000-0000691A0000}"/>
    <cellStyle name="Cálculo 168" xfId="6577" xr:uid="{00000000-0005-0000-0000-00006A1A0000}"/>
    <cellStyle name="Cálculo 168 2" xfId="29451" xr:uid="{00000000-0005-0000-0000-00006B1A0000}"/>
    <cellStyle name="Cálculo 169" xfId="6578" xr:uid="{00000000-0005-0000-0000-00006C1A0000}"/>
    <cellStyle name="Cálculo 169 2" xfId="29452" xr:uid="{00000000-0005-0000-0000-00006D1A0000}"/>
    <cellStyle name="Cálculo 17" xfId="6579" xr:uid="{00000000-0005-0000-0000-00006E1A0000}"/>
    <cellStyle name="Cálculo 17 2" xfId="6580" xr:uid="{00000000-0005-0000-0000-00006F1A0000}"/>
    <cellStyle name="Cálculo 17 2 2" xfId="29453" xr:uid="{00000000-0005-0000-0000-0000701A0000}"/>
    <cellStyle name="Cálculo 17 3" xfId="6581" xr:uid="{00000000-0005-0000-0000-0000711A0000}"/>
    <cellStyle name="Cálculo 17 3 2" xfId="29454" xr:uid="{00000000-0005-0000-0000-0000721A0000}"/>
    <cellStyle name="Cálculo 17 4" xfId="29081" xr:uid="{00000000-0005-0000-0000-0000731A0000}"/>
    <cellStyle name="Cálculo 170" xfId="6582" xr:uid="{00000000-0005-0000-0000-0000741A0000}"/>
    <cellStyle name="Cálculo 170 2" xfId="29455" xr:uid="{00000000-0005-0000-0000-0000751A0000}"/>
    <cellStyle name="Cálculo 171" xfId="6583" xr:uid="{00000000-0005-0000-0000-0000761A0000}"/>
    <cellStyle name="Cálculo 171 2" xfId="29456" xr:uid="{00000000-0005-0000-0000-0000771A0000}"/>
    <cellStyle name="Cálculo 172" xfId="6584" xr:uid="{00000000-0005-0000-0000-0000781A0000}"/>
    <cellStyle name="Cálculo 172 2" xfId="29457" xr:uid="{00000000-0005-0000-0000-0000791A0000}"/>
    <cellStyle name="Cálculo 173" xfId="6585" xr:uid="{00000000-0005-0000-0000-00007A1A0000}"/>
    <cellStyle name="Cálculo 173 2" xfId="29458" xr:uid="{00000000-0005-0000-0000-00007B1A0000}"/>
    <cellStyle name="Cálculo 174" xfId="6586" xr:uid="{00000000-0005-0000-0000-00007C1A0000}"/>
    <cellStyle name="Cálculo 174 2" xfId="29459" xr:uid="{00000000-0005-0000-0000-00007D1A0000}"/>
    <cellStyle name="Cálculo 175" xfId="6587" xr:uid="{00000000-0005-0000-0000-00007E1A0000}"/>
    <cellStyle name="Cálculo 175 2" xfId="29460" xr:uid="{00000000-0005-0000-0000-00007F1A0000}"/>
    <cellStyle name="Cálculo 176" xfId="6588" xr:uid="{00000000-0005-0000-0000-0000801A0000}"/>
    <cellStyle name="Cálculo 176 2" xfId="29461" xr:uid="{00000000-0005-0000-0000-0000811A0000}"/>
    <cellStyle name="Cálculo 177" xfId="6589" xr:uid="{00000000-0005-0000-0000-0000821A0000}"/>
    <cellStyle name="Cálculo 177 2" xfId="29462" xr:uid="{00000000-0005-0000-0000-0000831A0000}"/>
    <cellStyle name="Cálculo 178" xfId="6590" xr:uid="{00000000-0005-0000-0000-0000841A0000}"/>
    <cellStyle name="Cálculo 178 2" xfId="29463" xr:uid="{00000000-0005-0000-0000-0000851A0000}"/>
    <cellStyle name="Cálculo 179" xfId="6591" xr:uid="{00000000-0005-0000-0000-0000861A0000}"/>
    <cellStyle name="Cálculo 179 2" xfId="29464" xr:uid="{00000000-0005-0000-0000-0000871A0000}"/>
    <cellStyle name="Cálculo 18" xfId="6592" xr:uid="{00000000-0005-0000-0000-0000881A0000}"/>
    <cellStyle name="Cálculo 18 2" xfId="6593" xr:uid="{00000000-0005-0000-0000-0000891A0000}"/>
    <cellStyle name="Cálculo 18 2 2" xfId="29465" xr:uid="{00000000-0005-0000-0000-00008A1A0000}"/>
    <cellStyle name="Cálculo 18 3" xfId="6594" xr:uid="{00000000-0005-0000-0000-00008B1A0000}"/>
    <cellStyle name="Cálculo 18 3 2" xfId="29466" xr:uid="{00000000-0005-0000-0000-00008C1A0000}"/>
    <cellStyle name="Cálculo 18 4" xfId="29082" xr:uid="{00000000-0005-0000-0000-00008D1A0000}"/>
    <cellStyle name="Cálculo 180" xfId="6595" xr:uid="{00000000-0005-0000-0000-00008E1A0000}"/>
    <cellStyle name="Cálculo 180 2" xfId="29467" xr:uid="{00000000-0005-0000-0000-00008F1A0000}"/>
    <cellStyle name="Cálculo 181" xfId="6596" xr:uid="{00000000-0005-0000-0000-0000901A0000}"/>
    <cellStyle name="Cálculo 181 2" xfId="29468" xr:uid="{00000000-0005-0000-0000-0000911A0000}"/>
    <cellStyle name="Cálculo 182" xfId="6597" xr:uid="{00000000-0005-0000-0000-0000921A0000}"/>
    <cellStyle name="Cálculo 182 2" xfId="29469" xr:uid="{00000000-0005-0000-0000-0000931A0000}"/>
    <cellStyle name="Cálculo 183" xfId="6598" xr:uid="{00000000-0005-0000-0000-0000941A0000}"/>
    <cellStyle name="Cálculo 183 2" xfId="29470" xr:uid="{00000000-0005-0000-0000-0000951A0000}"/>
    <cellStyle name="Cálculo 184" xfId="6599" xr:uid="{00000000-0005-0000-0000-0000961A0000}"/>
    <cellStyle name="Cálculo 184 2" xfId="29471" xr:uid="{00000000-0005-0000-0000-0000971A0000}"/>
    <cellStyle name="Cálculo 185" xfId="6600" xr:uid="{00000000-0005-0000-0000-0000981A0000}"/>
    <cellStyle name="Cálculo 185 2" xfId="29472" xr:uid="{00000000-0005-0000-0000-0000991A0000}"/>
    <cellStyle name="Cálculo 186" xfId="6601" xr:uid="{00000000-0005-0000-0000-00009A1A0000}"/>
    <cellStyle name="Cálculo 186 2" xfId="29473" xr:uid="{00000000-0005-0000-0000-00009B1A0000}"/>
    <cellStyle name="Cálculo 187" xfId="6602" xr:uid="{00000000-0005-0000-0000-00009C1A0000}"/>
    <cellStyle name="Cálculo 187 2" xfId="29474" xr:uid="{00000000-0005-0000-0000-00009D1A0000}"/>
    <cellStyle name="Cálculo 188" xfId="6603" xr:uid="{00000000-0005-0000-0000-00009E1A0000}"/>
    <cellStyle name="Cálculo 188 2" xfId="29475" xr:uid="{00000000-0005-0000-0000-00009F1A0000}"/>
    <cellStyle name="Cálculo 189" xfId="6604" xr:uid="{00000000-0005-0000-0000-0000A01A0000}"/>
    <cellStyle name="Cálculo 189 2" xfId="29476" xr:uid="{00000000-0005-0000-0000-0000A11A0000}"/>
    <cellStyle name="Cálculo 19" xfId="6605" xr:uid="{00000000-0005-0000-0000-0000A21A0000}"/>
    <cellStyle name="Cálculo 19 2" xfId="6606" xr:uid="{00000000-0005-0000-0000-0000A31A0000}"/>
    <cellStyle name="Cálculo 19 2 2" xfId="29477" xr:uid="{00000000-0005-0000-0000-0000A41A0000}"/>
    <cellStyle name="Cálculo 19 3" xfId="6607" xr:uid="{00000000-0005-0000-0000-0000A51A0000}"/>
    <cellStyle name="Cálculo 19 3 2" xfId="29478" xr:uid="{00000000-0005-0000-0000-0000A61A0000}"/>
    <cellStyle name="Cálculo 19 4" xfId="29083" xr:uid="{00000000-0005-0000-0000-0000A71A0000}"/>
    <cellStyle name="Cálculo 190" xfId="6608" xr:uid="{00000000-0005-0000-0000-0000A81A0000}"/>
    <cellStyle name="Cálculo 190 2" xfId="29479" xr:uid="{00000000-0005-0000-0000-0000A91A0000}"/>
    <cellStyle name="Cálculo 2" xfId="6609" xr:uid="{00000000-0005-0000-0000-0000AA1A0000}"/>
    <cellStyle name="Cálculo 2 10" xfId="6610" xr:uid="{00000000-0005-0000-0000-0000AB1A0000}"/>
    <cellStyle name="Cálculo 2 10 2" xfId="6611" xr:uid="{00000000-0005-0000-0000-0000AC1A0000}"/>
    <cellStyle name="Cálculo 2 10 2 2" xfId="29481" xr:uid="{00000000-0005-0000-0000-0000AD1A0000}"/>
    <cellStyle name="Cálculo 2 10 3" xfId="6612" xr:uid="{00000000-0005-0000-0000-0000AE1A0000}"/>
    <cellStyle name="Cálculo 2 10 3 2" xfId="29482" xr:uid="{00000000-0005-0000-0000-0000AF1A0000}"/>
    <cellStyle name="Cálculo 2 10 4" xfId="6613" xr:uid="{00000000-0005-0000-0000-0000B01A0000}"/>
    <cellStyle name="Cálculo 2 10 4 2" xfId="29483" xr:uid="{00000000-0005-0000-0000-0000B11A0000}"/>
    <cellStyle name="Cálculo 2 10 5" xfId="6614" xr:uid="{00000000-0005-0000-0000-0000B21A0000}"/>
    <cellStyle name="Cálculo 2 10 5 2" xfId="29484" xr:uid="{00000000-0005-0000-0000-0000B31A0000}"/>
    <cellStyle name="Cálculo 2 10 6" xfId="6615" xr:uid="{00000000-0005-0000-0000-0000B41A0000}"/>
    <cellStyle name="Cálculo 2 10 6 2" xfId="29485" xr:uid="{00000000-0005-0000-0000-0000B51A0000}"/>
    <cellStyle name="Cálculo 2 10 7" xfId="6616" xr:uid="{00000000-0005-0000-0000-0000B61A0000}"/>
    <cellStyle name="Cálculo 2 10 7 2" xfId="29486" xr:uid="{00000000-0005-0000-0000-0000B71A0000}"/>
    <cellStyle name="Cálculo 2 10 8" xfId="29480" xr:uid="{00000000-0005-0000-0000-0000B81A0000}"/>
    <cellStyle name="Cálculo 2 11" xfId="6617" xr:uid="{00000000-0005-0000-0000-0000B91A0000}"/>
    <cellStyle name="Cálculo 2 11 2" xfId="6618" xr:uid="{00000000-0005-0000-0000-0000BA1A0000}"/>
    <cellStyle name="Cálculo 2 11 2 2" xfId="29488" xr:uid="{00000000-0005-0000-0000-0000BB1A0000}"/>
    <cellStyle name="Cálculo 2 11 3" xfId="6619" xr:uid="{00000000-0005-0000-0000-0000BC1A0000}"/>
    <cellStyle name="Cálculo 2 11 3 2" xfId="29489" xr:uid="{00000000-0005-0000-0000-0000BD1A0000}"/>
    <cellStyle name="Cálculo 2 11 4" xfId="6620" xr:uid="{00000000-0005-0000-0000-0000BE1A0000}"/>
    <cellStyle name="Cálculo 2 11 4 2" xfId="29490" xr:uid="{00000000-0005-0000-0000-0000BF1A0000}"/>
    <cellStyle name="Cálculo 2 11 5" xfId="6621" xr:uid="{00000000-0005-0000-0000-0000C01A0000}"/>
    <cellStyle name="Cálculo 2 11 5 2" xfId="29491" xr:uid="{00000000-0005-0000-0000-0000C11A0000}"/>
    <cellStyle name="Cálculo 2 11 6" xfId="6622" xr:uid="{00000000-0005-0000-0000-0000C21A0000}"/>
    <cellStyle name="Cálculo 2 11 6 2" xfId="29492" xr:uid="{00000000-0005-0000-0000-0000C31A0000}"/>
    <cellStyle name="Cálculo 2 11 7" xfId="6623" xr:uid="{00000000-0005-0000-0000-0000C41A0000}"/>
    <cellStyle name="Cálculo 2 11 7 2" xfId="29493" xr:uid="{00000000-0005-0000-0000-0000C51A0000}"/>
    <cellStyle name="Cálculo 2 11 8" xfId="29487" xr:uid="{00000000-0005-0000-0000-0000C61A0000}"/>
    <cellStyle name="Cálculo 2 12" xfId="6624" xr:uid="{00000000-0005-0000-0000-0000C71A0000}"/>
    <cellStyle name="Cálculo 2 12 2" xfId="29494" xr:uid="{00000000-0005-0000-0000-0000C81A0000}"/>
    <cellStyle name="Cálculo 2 13" xfId="6625" xr:uid="{00000000-0005-0000-0000-0000C91A0000}"/>
    <cellStyle name="Cálculo 2 13 2" xfId="29495" xr:uid="{00000000-0005-0000-0000-0000CA1A0000}"/>
    <cellStyle name="Cálculo 2 14" xfId="6626" xr:uid="{00000000-0005-0000-0000-0000CB1A0000}"/>
    <cellStyle name="Cálculo 2 14 2" xfId="29496" xr:uid="{00000000-0005-0000-0000-0000CC1A0000}"/>
    <cellStyle name="Cálculo 2 15" xfId="6627" xr:uid="{00000000-0005-0000-0000-0000CD1A0000}"/>
    <cellStyle name="Cálculo 2 15 2" xfId="29497" xr:uid="{00000000-0005-0000-0000-0000CE1A0000}"/>
    <cellStyle name="Cálculo 2 16" xfId="6628" xr:uid="{00000000-0005-0000-0000-0000CF1A0000}"/>
    <cellStyle name="Cálculo 2 16 2" xfId="29498" xr:uid="{00000000-0005-0000-0000-0000D01A0000}"/>
    <cellStyle name="Cálculo 2 17" xfId="6629" xr:uid="{00000000-0005-0000-0000-0000D11A0000}"/>
    <cellStyle name="Cálculo 2 17 2" xfId="29499" xr:uid="{00000000-0005-0000-0000-0000D21A0000}"/>
    <cellStyle name="Cálculo 2 18" xfId="6630" xr:uid="{00000000-0005-0000-0000-0000D31A0000}"/>
    <cellStyle name="Cálculo 2 18 2" xfId="29500" xr:uid="{00000000-0005-0000-0000-0000D41A0000}"/>
    <cellStyle name="Cálculo 2 19" xfId="6631" xr:uid="{00000000-0005-0000-0000-0000D51A0000}"/>
    <cellStyle name="Cálculo 2 19 2" xfId="29501" xr:uid="{00000000-0005-0000-0000-0000D61A0000}"/>
    <cellStyle name="Cálculo 2 2" xfId="6632" xr:uid="{00000000-0005-0000-0000-0000D71A0000}"/>
    <cellStyle name="Cálculo 2 2 2" xfId="29084" xr:uid="{00000000-0005-0000-0000-0000D81A0000}"/>
    <cellStyle name="Cálculo 2 20" xfId="6633" xr:uid="{00000000-0005-0000-0000-0000D91A0000}"/>
    <cellStyle name="Cálculo 2 20 2" xfId="29502" xr:uid="{00000000-0005-0000-0000-0000DA1A0000}"/>
    <cellStyle name="Cálculo 2 21" xfId="6634" xr:uid="{00000000-0005-0000-0000-0000DB1A0000}"/>
    <cellStyle name="Cálculo 2 21 2" xfId="29503" xr:uid="{00000000-0005-0000-0000-0000DC1A0000}"/>
    <cellStyle name="Cálculo 2 22" xfId="6635" xr:uid="{00000000-0005-0000-0000-0000DD1A0000}"/>
    <cellStyle name="Cálculo 2 22 2" xfId="29504" xr:uid="{00000000-0005-0000-0000-0000DE1A0000}"/>
    <cellStyle name="Cálculo 2 23" xfId="6636" xr:uid="{00000000-0005-0000-0000-0000DF1A0000}"/>
    <cellStyle name="Cálculo 2 23 2" xfId="29505" xr:uid="{00000000-0005-0000-0000-0000E01A0000}"/>
    <cellStyle name="Cálculo 2 24" xfId="6637" xr:uid="{00000000-0005-0000-0000-0000E11A0000}"/>
    <cellStyle name="Cálculo 2 24 2" xfId="29506" xr:uid="{00000000-0005-0000-0000-0000E21A0000}"/>
    <cellStyle name="Cálculo 2 25" xfId="11" xr:uid="{00000000-0005-0000-0000-0000E31A0000}"/>
    <cellStyle name="Cálculo 2 25 2" xfId="29363" xr:uid="{00000000-0005-0000-0000-0000E41A0000}"/>
    <cellStyle name="Cálculo 2 26" xfId="6638" xr:uid="{00000000-0005-0000-0000-0000E51A0000}"/>
    <cellStyle name="Cálculo 2 26 2" xfId="29507" xr:uid="{00000000-0005-0000-0000-0000E61A0000}"/>
    <cellStyle name="Cálculo 2 27" xfId="6639" xr:uid="{00000000-0005-0000-0000-0000E71A0000}"/>
    <cellStyle name="Cálculo 2 27 2" xfId="29508" xr:uid="{00000000-0005-0000-0000-0000E81A0000}"/>
    <cellStyle name="Cálculo 2 28" xfId="6640" xr:uid="{00000000-0005-0000-0000-0000E91A0000}"/>
    <cellStyle name="Cálculo 2 28 2" xfId="29509" xr:uid="{00000000-0005-0000-0000-0000EA1A0000}"/>
    <cellStyle name="Cálculo 2 29" xfId="6641" xr:uid="{00000000-0005-0000-0000-0000EB1A0000}"/>
    <cellStyle name="Cálculo 2 29 2" xfId="29510" xr:uid="{00000000-0005-0000-0000-0000EC1A0000}"/>
    <cellStyle name="Cálculo 2 3" xfId="6642" xr:uid="{00000000-0005-0000-0000-0000ED1A0000}"/>
    <cellStyle name="Cálculo 2 3 2" xfId="29085" xr:uid="{00000000-0005-0000-0000-0000EE1A0000}"/>
    <cellStyle name="Cálculo 2 30" xfId="6643" xr:uid="{00000000-0005-0000-0000-0000EF1A0000}"/>
    <cellStyle name="Cálculo 2 30 2" xfId="29511" xr:uid="{00000000-0005-0000-0000-0000F01A0000}"/>
    <cellStyle name="Cálculo 2 31" xfId="6644" xr:uid="{00000000-0005-0000-0000-0000F11A0000}"/>
    <cellStyle name="Cálculo 2 31 2" xfId="29512" xr:uid="{00000000-0005-0000-0000-0000F21A0000}"/>
    <cellStyle name="Cálculo 2 32" xfId="6645" xr:uid="{00000000-0005-0000-0000-0000F31A0000}"/>
    <cellStyle name="Cálculo 2 32 2" xfId="29513" xr:uid="{00000000-0005-0000-0000-0000F41A0000}"/>
    <cellStyle name="Cálculo 2 33" xfId="6646" xr:uid="{00000000-0005-0000-0000-0000F51A0000}"/>
    <cellStyle name="Cálculo 2 33 2" xfId="29514" xr:uid="{00000000-0005-0000-0000-0000F61A0000}"/>
    <cellStyle name="Cálculo 2 34" xfId="6647" xr:uid="{00000000-0005-0000-0000-0000F71A0000}"/>
    <cellStyle name="Cálculo 2 34 2" xfId="29515" xr:uid="{00000000-0005-0000-0000-0000F81A0000}"/>
    <cellStyle name="Cálculo 2 35" xfId="6648" xr:uid="{00000000-0005-0000-0000-0000F91A0000}"/>
    <cellStyle name="Cálculo 2 35 2" xfId="29516" xr:uid="{00000000-0005-0000-0000-0000FA1A0000}"/>
    <cellStyle name="Cálculo 2 36" xfId="29373" xr:uid="{00000000-0005-0000-0000-0000FB1A0000}"/>
    <cellStyle name="Cálculo 2 4" xfId="6649" xr:uid="{00000000-0005-0000-0000-0000FC1A0000}"/>
    <cellStyle name="Cálculo 2 4 2" xfId="29086" xr:uid="{00000000-0005-0000-0000-0000FD1A0000}"/>
    <cellStyle name="Cálculo 2 5" xfId="6650" xr:uid="{00000000-0005-0000-0000-0000FE1A0000}"/>
    <cellStyle name="Cálculo 2 5 2" xfId="29087" xr:uid="{00000000-0005-0000-0000-0000FF1A0000}"/>
    <cellStyle name="Cálculo 2 6" xfId="6651" xr:uid="{00000000-0005-0000-0000-0000001B0000}"/>
    <cellStyle name="Cálculo 2 6 2" xfId="29088" xr:uid="{00000000-0005-0000-0000-0000011B0000}"/>
    <cellStyle name="Cálculo 2 7" xfId="6652" xr:uid="{00000000-0005-0000-0000-0000021B0000}"/>
    <cellStyle name="Cálculo 2 7 2" xfId="29089" xr:uid="{00000000-0005-0000-0000-0000031B0000}"/>
    <cellStyle name="Cálculo 2 8" xfId="6653" xr:uid="{00000000-0005-0000-0000-0000041B0000}"/>
    <cellStyle name="Cálculo 2 8 2" xfId="6654" xr:uid="{00000000-0005-0000-0000-0000051B0000}"/>
    <cellStyle name="Cálculo 2 8 2 2" xfId="29518" xr:uid="{00000000-0005-0000-0000-0000061B0000}"/>
    <cellStyle name="Cálculo 2 8 3" xfId="6655" xr:uid="{00000000-0005-0000-0000-0000071B0000}"/>
    <cellStyle name="Cálculo 2 8 3 2" xfId="29519" xr:uid="{00000000-0005-0000-0000-0000081B0000}"/>
    <cellStyle name="Cálculo 2 8 4" xfId="6656" xr:uid="{00000000-0005-0000-0000-0000091B0000}"/>
    <cellStyle name="Cálculo 2 8 4 2" xfId="29520" xr:uid="{00000000-0005-0000-0000-00000A1B0000}"/>
    <cellStyle name="Cálculo 2 8 5" xfId="6657" xr:uid="{00000000-0005-0000-0000-00000B1B0000}"/>
    <cellStyle name="Cálculo 2 8 5 2" xfId="29521" xr:uid="{00000000-0005-0000-0000-00000C1B0000}"/>
    <cellStyle name="Cálculo 2 8 6" xfId="6658" xr:uid="{00000000-0005-0000-0000-00000D1B0000}"/>
    <cellStyle name="Cálculo 2 8 6 2" xfId="29522" xr:uid="{00000000-0005-0000-0000-00000E1B0000}"/>
    <cellStyle name="Cálculo 2 8 7" xfId="6659" xr:uid="{00000000-0005-0000-0000-00000F1B0000}"/>
    <cellStyle name="Cálculo 2 8 7 2" xfId="29523" xr:uid="{00000000-0005-0000-0000-0000101B0000}"/>
    <cellStyle name="Cálculo 2 8 8" xfId="29517" xr:uid="{00000000-0005-0000-0000-0000111B0000}"/>
    <cellStyle name="Cálculo 2 9" xfId="6660" xr:uid="{00000000-0005-0000-0000-0000121B0000}"/>
    <cellStyle name="Cálculo 2 9 2" xfId="6661" xr:uid="{00000000-0005-0000-0000-0000131B0000}"/>
    <cellStyle name="Cálculo 2 9 2 2" xfId="29525" xr:uid="{00000000-0005-0000-0000-0000141B0000}"/>
    <cellStyle name="Cálculo 2 9 3" xfId="6662" xr:uid="{00000000-0005-0000-0000-0000151B0000}"/>
    <cellStyle name="Cálculo 2 9 3 2" xfId="29526" xr:uid="{00000000-0005-0000-0000-0000161B0000}"/>
    <cellStyle name="Cálculo 2 9 4" xfId="6663" xr:uid="{00000000-0005-0000-0000-0000171B0000}"/>
    <cellStyle name="Cálculo 2 9 4 2" xfId="29527" xr:uid="{00000000-0005-0000-0000-0000181B0000}"/>
    <cellStyle name="Cálculo 2 9 5" xfId="6664" xr:uid="{00000000-0005-0000-0000-0000191B0000}"/>
    <cellStyle name="Cálculo 2 9 5 2" xfId="29528" xr:uid="{00000000-0005-0000-0000-00001A1B0000}"/>
    <cellStyle name="Cálculo 2 9 6" xfId="6665" xr:uid="{00000000-0005-0000-0000-00001B1B0000}"/>
    <cellStyle name="Cálculo 2 9 6 2" xfId="29529" xr:uid="{00000000-0005-0000-0000-00001C1B0000}"/>
    <cellStyle name="Cálculo 2 9 7" xfId="6666" xr:uid="{00000000-0005-0000-0000-00001D1B0000}"/>
    <cellStyle name="Cálculo 2 9 7 2" xfId="29530" xr:uid="{00000000-0005-0000-0000-00001E1B0000}"/>
    <cellStyle name="Cálculo 2 9 8" xfId="29524" xr:uid="{00000000-0005-0000-0000-00001F1B0000}"/>
    <cellStyle name="Cálculo 20" xfId="6667" xr:uid="{00000000-0005-0000-0000-0000201B0000}"/>
    <cellStyle name="Cálculo 20 2" xfId="6668" xr:uid="{00000000-0005-0000-0000-0000211B0000}"/>
    <cellStyle name="Cálculo 20 2 2" xfId="29531" xr:uid="{00000000-0005-0000-0000-0000221B0000}"/>
    <cellStyle name="Cálculo 20 3" xfId="6669" xr:uid="{00000000-0005-0000-0000-0000231B0000}"/>
    <cellStyle name="Cálculo 20 3 2" xfId="29532" xr:uid="{00000000-0005-0000-0000-0000241B0000}"/>
    <cellStyle name="Cálculo 20 4" xfId="29090" xr:uid="{00000000-0005-0000-0000-0000251B0000}"/>
    <cellStyle name="Cálculo 21" xfId="6670" xr:uid="{00000000-0005-0000-0000-0000261B0000}"/>
    <cellStyle name="Cálculo 21 2" xfId="29091" xr:uid="{00000000-0005-0000-0000-0000271B0000}"/>
    <cellStyle name="Cálculo 22" xfId="6671" xr:uid="{00000000-0005-0000-0000-0000281B0000}"/>
    <cellStyle name="Cálculo 22 2" xfId="29092" xr:uid="{00000000-0005-0000-0000-0000291B0000}"/>
    <cellStyle name="Cálculo 23" xfId="6672" xr:uid="{00000000-0005-0000-0000-00002A1B0000}"/>
    <cellStyle name="Cálculo 23 2" xfId="29093" xr:uid="{00000000-0005-0000-0000-00002B1B0000}"/>
    <cellStyle name="Cálculo 24" xfId="6673" xr:uid="{00000000-0005-0000-0000-00002C1B0000}"/>
    <cellStyle name="Cálculo 24 2" xfId="29094" xr:uid="{00000000-0005-0000-0000-00002D1B0000}"/>
    <cellStyle name="Cálculo 24 2 2" xfId="40946" xr:uid="{00000000-0005-0000-0000-00002E1B0000}"/>
    <cellStyle name="Cálculo 25" xfId="6674" xr:uid="{00000000-0005-0000-0000-00002F1B0000}"/>
    <cellStyle name="Cálculo 25 2" xfId="29095" xr:uid="{00000000-0005-0000-0000-0000301B0000}"/>
    <cellStyle name="Cálculo 25 2 2" xfId="40981" xr:uid="{00000000-0005-0000-0000-0000311B0000}"/>
    <cellStyle name="Cálculo 26" xfId="6675" xr:uid="{00000000-0005-0000-0000-0000321B0000}"/>
    <cellStyle name="Cálculo 26 10" xfId="6676" xr:uid="{00000000-0005-0000-0000-0000331B0000}"/>
    <cellStyle name="Cálculo 26 10 2" xfId="29534" xr:uid="{00000000-0005-0000-0000-0000341B0000}"/>
    <cellStyle name="Cálculo 26 11" xfId="6677" xr:uid="{00000000-0005-0000-0000-0000351B0000}"/>
    <cellStyle name="Cálculo 26 11 2" xfId="29535" xr:uid="{00000000-0005-0000-0000-0000361B0000}"/>
    <cellStyle name="Cálculo 26 12" xfId="6678" xr:uid="{00000000-0005-0000-0000-0000371B0000}"/>
    <cellStyle name="Cálculo 26 12 2" xfId="29536" xr:uid="{00000000-0005-0000-0000-0000381B0000}"/>
    <cellStyle name="Cálculo 26 13" xfId="6679" xr:uid="{00000000-0005-0000-0000-0000391B0000}"/>
    <cellStyle name="Cálculo 26 13 2" xfId="29537" xr:uid="{00000000-0005-0000-0000-00003A1B0000}"/>
    <cellStyle name="Cálculo 26 14" xfId="6680" xr:uid="{00000000-0005-0000-0000-00003B1B0000}"/>
    <cellStyle name="Cálculo 26 14 2" xfId="29538" xr:uid="{00000000-0005-0000-0000-00003C1B0000}"/>
    <cellStyle name="Cálculo 26 15" xfId="6681" xr:uid="{00000000-0005-0000-0000-00003D1B0000}"/>
    <cellStyle name="Cálculo 26 15 2" xfId="29539" xr:uid="{00000000-0005-0000-0000-00003E1B0000}"/>
    <cellStyle name="Cálculo 26 16" xfId="6682" xr:uid="{00000000-0005-0000-0000-00003F1B0000}"/>
    <cellStyle name="Cálculo 26 16 2" xfId="29540" xr:uid="{00000000-0005-0000-0000-0000401B0000}"/>
    <cellStyle name="Cálculo 26 17" xfId="29533" xr:uid="{00000000-0005-0000-0000-0000411B0000}"/>
    <cellStyle name="Cálculo 26 2" xfId="6683" xr:uid="{00000000-0005-0000-0000-0000421B0000}"/>
    <cellStyle name="Cálculo 26 2 2" xfId="29541" xr:uid="{00000000-0005-0000-0000-0000431B0000}"/>
    <cellStyle name="Cálculo 26 3" xfId="6684" xr:uid="{00000000-0005-0000-0000-0000441B0000}"/>
    <cellStyle name="Cálculo 26 3 2" xfId="29542" xr:uid="{00000000-0005-0000-0000-0000451B0000}"/>
    <cellStyle name="Cálculo 26 4" xfId="6685" xr:uid="{00000000-0005-0000-0000-0000461B0000}"/>
    <cellStyle name="Cálculo 26 4 2" xfId="29543" xr:uid="{00000000-0005-0000-0000-0000471B0000}"/>
    <cellStyle name="Cálculo 26 5" xfId="6686" xr:uid="{00000000-0005-0000-0000-0000481B0000}"/>
    <cellStyle name="Cálculo 26 5 2" xfId="29544" xr:uid="{00000000-0005-0000-0000-0000491B0000}"/>
    <cellStyle name="Cálculo 26 6" xfId="6687" xr:uid="{00000000-0005-0000-0000-00004A1B0000}"/>
    <cellStyle name="Cálculo 26 6 2" xfId="29545" xr:uid="{00000000-0005-0000-0000-00004B1B0000}"/>
    <cellStyle name="Cálculo 26 7" xfId="6688" xr:uid="{00000000-0005-0000-0000-00004C1B0000}"/>
    <cellStyle name="Cálculo 26 7 2" xfId="29546" xr:uid="{00000000-0005-0000-0000-00004D1B0000}"/>
    <cellStyle name="Cálculo 26 8" xfId="6689" xr:uid="{00000000-0005-0000-0000-00004E1B0000}"/>
    <cellStyle name="Cálculo 26 8 2" xfId="29547" xr:uid="{00000000-0005-0000-0000-00004F1B0000}"/>
    <cellStyle name="Cálculo 26 9" xfId="6690" xr:uid="{00000000-0005-0000-0000-0000501B0000}"/>
    <cellStyle name="Cálculo 26 9 2" xfId="29548" xr:uid="{00000000-0005-0000-0000-0000511B0000}"/>
    <cellStyle name="Cálculo 27" xfId="6691" xr:uid="{00000000-0005-0000-0000-0000521B0000}"/>
    <cellStyle name="Cálculo 27 10" xfId="6692" xr:uid="{00000000-0005-0000-0000-0000531B0000}"/>
    <cellStyle name="Cálculo 27 10 2" xfId="29550" xr:uid="{00000000-0005-0000-0000-0000541B0000}"/>
    <cellStyle name="Cálculo 27 11" xfId="6693" xr:uid="{00000000-0005-0000-0000-0000551B0000}"/>
    <cellStyle name="Cálculo 27 11 2" xfId="29551" xr:uid="{00000000-0005-0000-0000-0000561B0000}"/>
    <cellStyle name="Cálculo 27 12" xfId="6694" xr:uid="{00000000-0005-0000-0000-0000571B0000}"/>
    <cellStyle name="Cálculo 27 12 2" xfId="29552" xr:uid="{00000000-0005-0000-0000-0000581B0000}"/>
    <cellStyle name="Cálculo 27 13" xfId="6695" xr:uid="{00000000-0005-0000-0000-0000591B0000}"/>
    <cellStyle name="Cálculo 27 13 2" xfId="29553" xr:uid="{00000000-0005-0000-0000-00005A1B0000}"/>
    <cellStyle name="Cálculo 27 14" xfId="6696" xr:uid="{00000000-0005-0000-0000-00005B1B0000}"/>
    <cellStyle name="Cálculo 27 14 2" xfId="29554" xr:uid="{00000000-0005-0000-0000-00005C1B0000}"/>
    <cellStyle name="Cálculo 27 15" xfId="6697" xr:uid="{00000000-0005-0000-0000-00005D1B0000}"/>
    <cellStyle name="Cálculo 27 15 2" xfId="29555" xr:uid="{00000000-0005-0000-0000-00005E1B0000}"/>
    <cellStyle name="Cálculo 27 16" xfId="6698" xr:uid="{00000000-0005-0000-0000-00005F1B0000}"/>
    <cellStyle name="Cálculo 27 16 2" xfId="29556" xr:uid="{00000000-0005-0000-0000-0000601B0000}"/>
    <cellStyle name="Cálculo 27 17" xfId="29549" xr:uid="{00000000-0005-0000-0000-0000611B0000}"/>
    <cellStyle name="Cálculo 27 2" xfId="6699" xr:uid="{00000000-0005-0000-0000-0000621B0000}"/>
    <cellStyle name="Cálculo 27 2 2" xfId="29557" xr:uid="{00000000-0005-0000-0000-0000631B0000}"/>
    <cellStyle name="Cálculo 27 3" xfId="6700" xr:uid="{00000000-0005-0000-0000-0000641B0000}"/>
    <cellStyle name="Cálculo 27 3 2" xfId="29558" xr:uid="{00000000-0005-0000-0000-0000651B0000}"/>
    <cellStyle name="Cálculo 27 4" xfId="6701" xr:uid="{00000000-0005-0000-0000-0000661B0000}"/>
    <cellStyle name="Cálculo 27 4 2" xfId="29559" xr:uid="{00000000-0005-0000-0000-0000671B0000}"/>
    <cellStyle name="Cálculo 27 5" xfId="6702" xr:uid="{00000000-0005-0000-0000-0000681B0000}"/>
    <cellStyle name="Cálculo 27 5 2" xfId="29560" xr:uid="{00000000-0005-0000-0000-0000691B0000}"/>
    <cellStyle name="Cálculo 27 6" xfId="6703" xr:uid="{00000000-0005-0000-0000-00006A1B0000}"/>
    <cellStyle name="Cálculo 27 6 2" xfId="29561" xr:uid="{00000000-0005-0000-0000-00006B1B0000}"/>
    <cellStyle name="Cálculo 27 7" xfId="6704" xr:uid="{00000000-0005-0000-0000-00006C1B0000}"/>
    <cellStyle name="Cálculo 27 7 2" xfId="29562" xr:uid="{00000000-0005-0000-0000-00006D1B0000}"/>
    <cellStyle name="Cálculo 27 8" xfId="6705" xr:uid="{00000000-0005-0000-0000-00006E1B0000}"/>
    <cellStyle name="Cálculo 27 8 2" xfId="29563" xr:uid="{00000000-0005-0000-0000-00006F1B0000}"/>
    <cellStyle name="Cálculo 27 9" xfId="6706" xr:uid="{00000000-0005-0000-0000-0000701B0000}"/>
    <cellStyle name="Cálculo 27 9 2" xfId="29564" xr:uid="{00000000-0005-0000-0000-0000711B0000}"/>
    <cellStyle name="Cálculo 28" xfId="6707" xr:uid="{00000000-0005-0000-0000-0000721B0000}"/>
    <cellStyle name="Cálculo 28 10" xfId="6708" xr:uid="{00000000-0005-0000-0000-0000731B0000}"/>
    <cellStyle name="Cálculo 28 10 2" xfId="29566" xr:uid="{00000000-0005-0000-0000-0000741B0000}"/>
    <cellStyle name="Cálculo 28 11" xfId="6709" xr:uid="{00000000-0005-0000-0000-0000751B0000}"/>
    <cellStyle name="Cálculo 28 11 2" xfId="29567" xr:uid="{00000000-0005-0000-0000-0000761B0000}"/>
    <cellStyle name="Cálculo 28 12" xfId="6710" xr:uid="{00000000-0005-0000-0000-0000771B0000}"/>
    <cellStyle name="Cálculo 28 12 2" xfId="29568" xr:uid="{00000000-0005-0000-0000-0000781B0000}"/>
    <cellStyle name="Cálculo 28 13" xfId="6711" xr:uid="{00000000-0005-0000-0000-0000791B0000}"/>
    <cellStyle name="Cálculo 28 13 2" xfId="29569" xr:uid="{00000000-0005-0000-0000-00007A1B0000}"/>
    <cellStyle name="Cálculo 28 14" xfId="6712" xr:uid="{00000000-0005-0000-0000-00007B1B0000}"/>
    <cellStyle name="Cálculo 28 14 2" xfId="29570" xr:uid="{00000000-0005-0000-0000-00007C1B0000}"/>
    <cellStyle name="Cálculo 28 15" xfId="6713" xr:uid="{00000000-0005-0000-0000-00007D1B0000}"/>
    <cellStyle name="Cálculo 28 15 2" xfId="29571" xr:uid="{00000000-0005-0000-0000-00007E1B0000}"/>
    <cellStyle name="Cálculo 28 16" xfId="6714" xr:uid="{00000000-0005-0000-0000-00007F1B0000}"/>
    <cellStyle name="Cálculo 28 16 2" xfId="29572" xr:uid="{00000000-0005-0000-0000-0000801B0000}"/>
    <cellStyle name="Cálculo 28 17" xfId="29565" xr:uid="{00000000-0005-0000-0000-0000811B0000}"/>
    <cellStyle name="Cálculo 28 2" xfId="6715" xr:uid="{00000000-0005-0000-0000-0000821B0000}"/>
    <cellStyle name="Cálculo 28 2 2" xfId="29573" xr:uid="{00000000-0005-0000-0000-0000831B0000}"/>
    <cellStyle name="Cálculo 28 3" xfId="6716" xr:uid="{00000000-0005-0000-0000-0000841B0000}"/>
    <cellStyle name="Cálculo 28 3 2" xfId="29574" xr:uid="{00000000-0005-0000-0000-0000851B0000}"/>
    <cellStyle name="Cálculo 28 4" xfId="6717" xr:uid="{00000000-0005-0000-0000-0000861B0000}"/>
    <cellStyle name="Cálculo 28 4 2" xfId="29575" xr:uid="{00000000-0005-0000-0000-0000871B0000}"/>
    <cellStyle name="Cálculo 28 5" xfId="6718" xr:uid="{00000000-0005-0000-0000-0000881B0000}"/>
    <cellStyle name="Cálculo 28 5 2" xfId="29576" xr:uid="{00000000-0005-0000-0000-0000891B0000}"/>
    <cellStyle name="Cálculo 28 6" xfId="6719" xr:uid="{00000000-0005-0000-0000-00008A1B0000}"/>
    <cellStyle name="Cálculo 28 6 2" xfId="29577" xr:uid="{00000000-0005-0000-0000-00008B1B0000}"/>
    <cellStyle name="Cálculo 28 7" xfId="6720" xr:uid="{00000000-0005-0000-0000-00008C1B0000}"/>
    <cellStyle name="Cálculo 28 7 2" xfId="29578" xr:uid="{00000000-0005-0000-0000-00008D1B0000}"/>
    <cellStyle name="Cálculo 28 8" xfId="6721" xr:uid="{00000000-0005-0000-0000-00008E1B0000}"/>
    <cellStyle name="Cálculo 28 8 2" xfId="29579" xr:uid="{00000000-0005-0000-0000-00008F1B0000}"/>
    <cellStyle name="Cálculo 28 9" xfId="6722" xr:uid="{00000000-0005-0000-0000-0000901B0000}"/>
    <cellStyle name="Cálculo 28 9 2" xfId="29580" xr:uid="{00000000-0005-0000-0000-0000911B0000}"/>
    <cellStyle name="Cálculo 29" xfId="6723" xr:uid="{00000000-0005-0000-0000-0000921B0000}"/>
    <cellStyle name="Cálculo 29 10" xfId="6724" xr:uid="{00000000-0005-0000-0000-0000931B0000}"/>
    <cellStyle name="Cálculo 29 10 2" xfId="29582" xr:uid="{00000000-0005-0000-0000-0000941B0000}"/>
    <cellStyle name="Cálculo 29 11" xfId="6725" xr:uid="{00000000-0005-0000-0000-0000951B0000}"/>
    <cellStyle name="Cálculo 29 11 2" xfId="29583" xr:uid="{00000000-0005-0000-0000-0000961B0000}"/>
    <cellStyle name="Cálculo 29 12" xfId="6726" xr:uid="{00000000-0005-0000-0000-0000971B0000}"/>
    <cellStyle name="Cálculo 29 12 2" xfId="29584" xr:uid="{00000000-0005-0000-0000-0000981B0000}"/>
    <cellStyle name="Cálculo 29 13" xfId="6727" xr:uid="{00000000-0005-0000-0000-0000991B0000}"/>
    <cellStyle name="Cálculo 29 13 2" xfId="29585" xr:uid="{00000000-0005-0000-0000-00009A1B0000}"/>
    <cellStyle name="Cálculo 29 14" xfId="6728" xr:uid="{00000000-0005-0000-0000-00009B1B0000}"/>
    <cellStyle name="Cálculo 29 14 2" xfId="29586" xr:uid="{00000000-0005-0000-0000-00009C1B0000}"/>
    <cellStyle name="Cálculo 29 15" xfId="6729" xr:uid="{00000000-0005-0000-0000-00009D1B0000}"/>
    <cellStyle name="Cálculo 29 15 2" xfId="29587" xr:uid="{00000000-0005-0000-0000-00009E1B0000}"/>
    <cellStyle name="Cálculo 29 16" xfId="6730" xr:uid="{00000000-0005-0000-0000-00009F1B0000}"/>
    <cellStyle name="Cálculo 29 16 2" xfId="29588" xr:uid="{00000000-0005-0000-0000-0000A01B0000}"/>
    <cellStyle name="Cálculo 29 17" xfId="29581" xr:uid="{00000000-0005-0000-0000-0000A11B0000}"/>
    <cellStyle name="Cálculo 29 2" xfId="6731" xr:uid="{00000000-0005-0000-0000-0000A21B0000}"/>
    <cellStyle name="Cálculo 29 2 2" xfId="29589" xr:uid="{00000000-0005-0000-0000-0000A31B0000}"/>
    <cellStyle name="Cálculo 29 3" xfId="6732" xr:uid="{00000000-0005-0000-0000-0000A41B0000}"/>
    <cellStyle name="Cálculo 29 3 2" xfId="29590" xr:uid="{00000000-0005-0000-0000-0000A51B0000}"/>
    <cellStyle name="Cálculo 29 4" xfId="6733" xr:uid="{00000000-0005-0000-0000-0000A61B0000}"/>
    <cellStyle name="Cálculo 29 4 2" xfId="29591" xr:uid="{00000000-0005-0000-0000-0000A71B0000}"/>
    <cellStyle name="Cálculo 29 5" xfId="6734" xr:uid="{00000000-0005-0000-0000-0000A81B0000}"/>
    <cellStyle name="Cálculo 29 5 2" xfId="29592" xr:uid="{00000000-0005-0000-0000-0000A91B0000}"/>
    <cellStyle name="Cálculo 29 6" xfId="6735" xr:uid="{00000000-0005-0000-0000-0000AA1B0000}"/>
    <cellStyle name="Cálculo 29 6 2" xfId="29593" xr:uid="{00000000-0005-0000-0000-0000AB1B0000}"/>
    <cellStyle name="Cálculo 29 7" xfId="6736" xr:uid="{00000000-0005-0000-0000-0000AC1B0000}"/>
    <cellStyle name="Cálculo 29 7 2" xfId="29594" xr:uid="{00000000-0005-0000-0000-0000AD1B0000}"/>
    <cellStyle name="Cálculo 29 8" xfId="6737" xr:uid="{00000000-0005-0000-0000-0000AE1B0000}"/>
    <cellStyle name="Cálculo 29 8 2" xfId="29595" xr:uid="{00000000-0005-0000-0000-0000AF1B0000}"/>
    <cellStyle name="Cálculo 29 9" xfId="6738" xr:uid="{00000000-0005-0000-0000-0000B01B0000}"/>
    <cellStyle name="Cálculo 29 9 2" xfId="29596" xr:uid="{00000000-0005-0000-0000-0000B11B0000}"/>
    <cellStyle name="Cálculo 3" xfId="6739" xr:uid="{00000000-0005-0000-0000-0000B21B0000}"/>
    <cellStyle name="Cálculo 3 10" xfId="6740" xr:uid="{00000000-0005-0000-0000-0000B31B0000}"/>
    <cellStyle name="Cálculo 3 10 2" xfId="29597" xr:uid="{00000000-0005-0000-0000-0000B41B0000}"/>
    <cellStyle name="Cálculo 3 11" xfId="6741" xr:uid="{00000000-0005-0000-0000-0000B51B0000}"/>
    <cellStyle name="Cálculo 3 11 2" xfId="29598" xr:uid="{00000000-0005-0000-0000-0000B61B0000}"/>
    <cellStyle name="Cálculo 3 2" xfId="6742" xr:uid="{00000000-0005-0000-0000-0000B71B0000}"/>
    <cellStyle name="Cálculo 3 2 2" xfId="29096" xr:uid="{00000000-0005-0000-0000-0000B81B0000}"/>
    <cellStyle name="Cálculo 3 3" xfId="6743" xr:uid="{00000000-0005-0000-0000-0000B91B0000}"/>
    <cellStyle name="Cálculo 3 3 2" xfId="29097" xr:uid="{00000000-0005-0000-0000-0000BA1B0000}"/>
    <cellStyle name="Cálculo 3 4" xfId="6744" xr:uid="{00000000-0005-0000-0000-0000BB1B0000}"/>
    <cellStyle name="Cálculo 3 4 2" xfId="29098" xr:uid="{00000000-0005-0000-0000-0000BC1B0000}"/>
    <cellStyle name="Cálculo 3 5" xfId="6745" xr:uid="{00000000-0005-0000-0000-0000BD1B0000}"/>
    <cellStyle name="Cálculo 3 5 2" xfId="29099" xr:uid="{00000000-0005-0000-0000-0000BE1B0000}"/>
    <cellStyle name="Cálculo 3 6" xfId="6746" xr:uid="{00000000-0005-0000-0000-0000BF1B0000}"/>
    <cellStyle name="Cálculo 3 6 2" xfId="29100" xr:uid="{00000000-0005-0000-0000-0000C01B0000}"/>
    <cellStyle name="Cálculo 3 7" xfId="6747" xr:uid="{00000000-0005-0000-0000-0000C11B0000}"/>
    <cellStyle name="Cálculo 3 7 2" xfId="29101" xr:uid="{00000000-0005-0000-0000-0000C21B0000}"/>
    <cellStyle name="Cálculo 3 8" xfId="6748" xr:uid="{00000000-0005-0000-0000-0000C31B0000}"/>
    <cellStyle name="Cálculo 3 8 2" xfId="29599" xr:uid="{00000000-0005-0000-0000-0000C41B0000}"/>
    <cellStyle name="Cálculo 3 9" xfId="6749" xr:uid="{00000000-0005-0000-0000-0000C51B0000}"/>
    <cellStyle name="Cálculo 3 9 2" xfId="29600" xr:uid="{00000000-0005-0000-0000-0000C61B0000}"/>
    <cellStyle name="Cálculo 30" xfId="6750" xr:uid="{00000000-0005-0000-0000-0000C71B0000}"/>
    <cellStyle name="Cálculo 30 2" xfId="29601" xr:uid="{00000000-0005-0000-0000-0000C81B0000}"/>
    <cellStyle name="Cálculo 31" xfId="6751" xr:uid="{00000000-0005-0000-0000-0000C91B0000}"/>
    <cellStyle name="Cálculo 31 2" xfId="29602" xr:uid="{00000000-0005-0000-0000-0000CA1B0000}"/>
    <cellStyle name="Cálculo 32" xfId="6752" xr:uid="{00000000-0005-0000-0000-0000CB1B0000}"/>
    <cellStyle name="Cálculo 32 2" xfId="29603" xr:uid="{00000000-0005-0000-0000-0000CC1B0000}"/>
    <cellStyle name="Cálculo 33" xfId="6753" xr:uid="{00000000-0005-0000-0000-0000CD1B0000}"/>
    <cellStyle name="Cálculo 33 2" xfId="29604" xr:uid="{00000000-0005-0000-0000-0000CE1B0000}"/>
    <cellStyle name="Cálculo 34" xfId="6754" xr:uid="{00000000-0005-0000-0000-0000CF1B0000}"/>
    <cellStyle name="Cálculo 34 2" xfId="29605" xr:uid="{00000000-0005-0000-0000-0000D01B0000}"/>
    <cellStyle name="Cálculo 35" xfId="6755" xr:uid="{00000000-0005-0000-0000-0000D11B0000}"/>
    <cellStyle name="Cálculo 35 2" xfId="29606" xr:uid="{00000000-0005-0000-0000-0000D21B0000}"/>
    <cellStyle name="Cálculo 36" xfId="6756" xr:uid="{00000000-0005-0000-0000-0000D31B0000}"/>
    <cellStyle name="Cálculo 36 2" xfId="29607" xr:uid="{00000000-0005-0000-0000-0000D41B0000}"/>
    <cellStyle name="Cálculo 37" xfId="6757" xr:uid="{00000000-0005-0000-0000-0000D51B0000}"/>
    <cellStyle name="Cálculo 37 2" xfId="29608" xr:uid="{00000000-0005-0000-0000-0000D61B0000}"/>
    <cellStyle name="Cálculo 38" xfId="6758" xr:uid="{00000000-0005-0000-0000-0000D71B0000}"/>
    <cellStyle name="Cálculo 38 2" xfId="29609" xr:uid="{00000000-0005-0000-0000-0000D81B0000}"/>
    <cellStyle name="Cálculo 39" xfId="6759" xr:uid="{00000000-0005-0000-0000-0000D91B0000}"/>
    <cellStyle name="Cálculo 39 2" xfId="29610" xr:uid="{00000000-0005-0000-0000-0000DA1B0000}"/>
    <cellStyle name="Cálculo 4" xfId="6760" xr:uid="{00000000-0005-0000-0000-0000DB1B0000}"/>
    <cellStyle name="Cálculo 4 10" xfId="6761" xr:uid="{00000000-0005-0000-0000-0000DC1B0000}"/>
    <cellStyle name="Cálculo 4 10 2" xfId="29611" xr:uid="{00000000-0005-0000-0000-0000DD1B0000}"/>
    <cellStyle name="Cálculo 4 11" xfId="6762" xr:uid="{00000000-0005-0000-0000-0000DE1B0000}"/>
    <cellStyle name="Cálculo 4 11 2" xfId="29612" xr:uid="{00000000-0005-0000-0000-0000DF1B0000}"/>
    <cellStyle name="Cálculo 4 2" xfId="6763" xr:uid="{00000000-0005-0000-0000-0000E01B0000}"/>
    <cellStyle name="Cálculo 4 2 2" xfId="29102" xr:uid="{00000000-0005-0000-0000-0000E11B0000}"/>
    <cellStyle name="Cálculo 4 3" xfId="6764" xr:uid="{00000000-0005-0000-0000-0000E21B0000}"/>
    <cellStyle name="Cálculo 4 3 2" xfId="29103" xr:uid="{00000000-0005-0000-0000-0000E31B0000}"/>
    <cellStyle name="Cálculo 4 4" xfId="6765" xr:uid="{00000000-0005-0000-0000-0000E41B0000}"/>
    <cellStyle name="Cálculo 4 4 2" xfId="29104" xr:uid="{00000000-0005-0000-0000-0000E51B0000}"/>
    <cellStyle name="Cálculo 4 5" xfId="6766" xr:uid="{00000000-0005-0000-0000-0000E61B0000}"/>
    <cellStyle name="Cálculo 4 5 2" xfId="29105" xr:uid="{00000000-0005-0000-0000-0000E71B0000}"/>
    <cellStyle name="Cálculo 4 6" xfId="6767" xr:uid="{00000000-0005-0000-0000-0000E81B0000}"/>
    <cellStyle name="Cálculo 4 6 2" xfId="29106" xr:uid="{00000000-0005-0000-0000-0000E91B0000}"/>
    <cellStyle name="Cálculo 4 7" xfId="6768" xr:uid="{00000000-0005-0000-0000-0000EA1B0000}"/>
    <cellStyle name="Cálculo 4 7 2" xfId="29107" xr:uid="{00000000-0005-0000-0000-0000EB1B0000}"/>
    <cellStyle name="Cálculo 4 8" xfId="6769" xr:uid="{00000000-0005-0000-0000-0000EC1B0000}"/>
    <cellStyle name="Cálculo 4 8 2" xfId="29613" xr:uid="{00000000-0005-0000-0000-0000ED1B0000}"/>
    <cellStyle name="Cálculo 4 9" xfId="6770" xr:uid="{00000000-0005-0000-0000-0000EE1B0000}"/>
    <cellStyle name="Cálculo 4 9 2" xfId="29614" xr:uid="{00000000-0005-0000-0000-0000EF1B0000}"/>
    <cellStyle name="Cálculo 40" xfId="6771" xr:uid="{00000000-0005-0000-0000-0000F01B0000}"/>
    <cellStyle name="Cálculo 40 2" xfId="29615" xr:uid="{00000000-0005-0000-0000-0000F11B0000}"/>
    <cellStyle name="Cálculo 41" xfId="6772" xr:uid="{00000000-0005-0000-0000-0000F21B0000}"/>
    <cellStyle name="Cálculo 41 2" xfId="29616" xr:uid="{00000000-0005-0000-0000-0000F31B0000}"/>
    <cellStyle name="Cálculo 42" xfId="6773" xr:uid="{00000000-0005-0000-0000-0000F41B0000}"/>
    <cellStyle name="Cálculo 42 2" xfId="29617" xr:uid="{00000000-0005-0000-0000-0000F51B0000}"/>
    <cellStyle name="Cálculo 43" xfId="6774" xr:uid="{00000000-0005-0000-0000-0000F61B0000}"/>
    <cellStyle name="Cálculo 43 2" xfId="29618" xr:uid="{00000000-0005-0000-0000-0000F71B0000}"/>
    <cellStyle name="Cálculo 44" xfId="6775" xr:uid="{00000000-0005-0000-0000-0000F81B0000}"/>
    <cellStyle name="Cálculo 44 2" xfId="29619" xr:uid="{00000000-0005-0000-0000-0000F91B0000}"/>
    <cellStyle name="Cálculo 45" xfId="6776" xr:uid="{00000000-0005-0000-0000-0000FA1B0000}"/>
    <cellStyle name="Cálculo 45 2" xfId="29620" xr:uid="{00000000-0005-0000-0000-0000FB1B0000}"/>
    <cellStyle name="Cálculo 46" xfId="6777" xr:uid="{00000000-0005-0000-0000-0000FC1B0000}"/>
    <cellStyle name="Cálculo 46 2" xfId="29621" xr:uid="{00000000-0005-0000-0000-0000FD1B0000}"/>
    <cellStyle name="Cálculo 47" xfId="6778" xr:uid="{00000000-0005-0000-0000-0000FE1B0000}"/>
    <cellStyle name="Cálculo 47 2" xfId="29622" xr:uid="{00000000-0005-0000-0000-0000FF1B0000}"/>
    <cellStyle name="Cálculo 48" xfId="6779" xr:uid="{00000000-0005-0000-0000-0000001C0000}"/>
    <cellStyle name="Cálculo 48 2" xfId="29623" xr:uid="{00000000-0005-0000-0000-0000011C0000}"/>
    <cellStyle name="Cálculo 49" xfId="6780" xr:uid="{00000000-0005-0000-0000-0000021C0000}"/>
    <cellStyle name="Cálculo 49 2" xfId="29624" xr:uid="{00000000-0005-0000-0000-0000031C0000}"/>
    <cellStyle name="Cálculo 5" xfId="6781" xr:uid="{00000000-0005-0000-0000-0000041C0000}"/>
    <cellStyle name="Cálculo 5 2" xfId="6782" xr:uid="{00000000-0005-0000-0000-0000051C0000}"/>
    <cellStyle name="Cálculo 5 2 2" xfId="29109" xr:uid="{00000000-0005-0000-0000-0000061C0000}"/>
    <cellStyle name="Cálculo 5 3" xfId="6783" xr:uid="{00000000-0005-0000-0000-0000071C0000}"/>
    <cellStyle name="Cálculo 5 3 2" xfId="29110" xr:uid="{00000000-0005-0000-0000-0000081C0000}"/>
    <cellStyle name="Cálculo 5 4" xfId="6784" xr:uid="{00000000-0005-0000-0000-0000091C0000}"/>
    <cellStyle name="Cálculo 5 4 2" xfId="29111" xr:uid="{00000000-0005-0000-0000-00000A1C0000}"/>
    <cellStyle name="Cálculo 5 5" xfId="29108" xr:uid="{00000000-0005-0000-0000-00000B1C0000}"/>
    <cellStyle name="Cálculo 50" xfId="6785" xr:uid="{00000000-0005-0000-0000-00000C1C0000}"/>
    <cellStyle name="Cálculo 50 2" xfId="29625" xr:uid="{00000000-0005-0000-0000-00000D1C0000}"/>
    <cellStyle name="Cálculo 51" xfId="6786" xr:uid="{00000000-0005-0000-0000-00000E1C0000}"/>
    <cellStyle name="Cálculo 51 2" xfId="29626" xr:uid="{00000000-0005-0000-0000-00000F1C0000}"/>
    <cellStyle name="Cálculo 52" xfId="6787" xr:uid="{00000000-0005-0000-0000-0000101C0000}"/>
    <cellStyle name="Cálculo 52 2" xfId="29627" xr:uid="{00000000-0005-0000-0000-0000111C0000}"/>
    <cellStyle name="Cálculo 53" xfId="6788" xr:uid="{00000000-0005-0000-0000-0000121C0000}"/>
    <cellStyle name="Cálculo 53 2" xfId="29628" xr:uid="{00000000-0005-0000-0000-0000131C0000}"/>
    <cellStyle name="Cálculo 54" xfId="6789" xr:uid="{00000000-0005-0000-0000-0000141C0000}"/>
    <cellStyle name="Cálculo 54 2" xfId="29629" xr:uid="{00000000-0005-0000-0000-0000151C0000}"/>
    <cellStyle name="Cálculo 55" xfId="6790" xr:uid="{00000000-0005-0000-0000-0000161C0000}"/>
    <cellStyle name="Cálculo 55 2" xfId="29630" xr:uid="{00000000-0005-0000-0000-0000171C0000}"/>
    <cellStyle name="Cálculo 56" xfId="6791" xr:uid="{00000000-0005-0000-0000-0000181C0000}"/>
    <cellStyle name="Cálculo 56 2" xfId="29631" xr:uid="{00000000-0005-0000-0000-0000191C0000}"/>
    <cellStyle name="Cálculo 57" xfId="6792" xr:uid="{00000000-0005-0000-0000-00001A1C0000}"/>
    <cellStyle name="Cálculo 57 2" xfId="29632" xr:uid="{00000000-0005-0000-0000-00001B1C0000}"/>
    <cellStyle name="Cálculo 58" xfId="6793" xr:uid="{00000000-0005-0000-0000-00001C1C0000}"/>
    <cellStyle name="Cálculo 58 2" xfId="29633" xr:uid="{00000000-0005-0000-0000-00001D1C0000}"/>
    <cellStyle name="Cálculo 59" xfId="6794" xr:uid="{00000000-0005-0000-0000-00001E1C0000}"/>
    <cellStyle name="Cálculo 59 2" xfId="29634" xr:uid="{00000000-0005-0000-0000-00001F1C0000}"/>
    <cellStyle name="Cálculo 6" xfId="6795" xr:uid="{00000000-0005-0000-0000-0000201C0000}"/>
    <cellStyle name="Cálculo 6 2" xfId="6796" xr:uid="{00000000-0005-0000-0000-0000211C0000}"/>
    <cellStyle name="Cálculo 6 2 2" xfId="29113" xr:uid="{00000000-0005-0000-0000-0000221C0000}"/>
    <cellStyle name="Cálculo 6 3" xfId="6797" xr:uid="{00000000-0005-0000-0000-0000231C0000}"/>
    <cellStyle name="Cálculo 6 3 2" xfId="29114" xr:uid="{00000000-0005-0000-0000-0000241C0000}"/>
    <cellStyle name="Cálculo 6 4" xfId="6798" xr:uid="{00000000-0005-0000-0000-0000251C0000}"/>
    <cellStyle name="Cálculo 6 4 2" xfId="29115" xr:uid="{00000000-0005-0000-0000-0000261C0000}"/>
    <cellStyle name="Cálculo 6 5" xfId="29112" xr:uid="{00000000-0005-0000-0000-0000271C0000}"/>
    <cellStyle name="Cálculo 60" xfId="6799" xr:uid="{00000000-0005-0000-0000-0000281C0000}"/>
    <cellStyle name="Cálculo 60 2" xfId="29635" xr:uid="{00000000-0005-0000-0000-0000291C0000}"/>
    <cellStyle name="Cálculo 61" xfId="6800" xr:uid="{00000000-0005-0000-0000-00002A1C0000}"/>
    <cellStyle name="Cálculo 61 2" xfId="29636" xr:uid="{00000000-0005-0000-0000-00002B1C0000}"/>
    <cellStyle name="Cálculo 62" xfId="6801" xr:uid="{00000000-0005-0000-0000-00002C1C0000}"/>
    <cellStyle name="Cálculo 62 2" xfId="29637" xr:uid="{00000000-0005-0000-0000-00002D1C0000}"/>
    <cellStyle name="Cálculo 63" xfId="6802" xr:uid="{00000000-0005-0000-0000-00002E1C0000}"/>
    <cellStyle name="Cálculo 63 2" xfId="29638" xr:uid="{00000000-0005-0000-0000-00002F1C0000}"/>
    <cellStyle name="Cálculo 64" xfId="6803" xr:uid="{00000000-0005-0000-0000-0000301C0000}"/>
    <cellStyle name="Cálculo 64 2" xfId="29639" xr:uid="{00000000-0005-0000-0000-0000311C0000}"/>
    <cellStyle name="Cálculo 65" xfId="6804" xr:uid="{00000000-0005-0000-0000-0000321C0000}"/>
    <cellStyle name="Cálculo 65 2" xfId="29640" xr:uid="{00000000-0005-0000-0000-0000331C0000}"/>
    <cellStyle name="Cálculo 66" xfId="6805" xr:uid="{00000000-0005-0000-0000-0000341C0000}"/>
    <cellStyle name="Cálculo 66 2" xfId="29641" xr:uid="{00000000-0005-0000-0000-0000351C0000}"/>
    <cellStyle name="Cálculo 67" xfId="6806" xr:uid="{00000000-0005-0000-0000-0000361C0000}"/>
    <cellStyle name="Cálculo 67 2" xfId="29642" xr:uid="{00000000-0005-0000-0000-0000371C0000}"/>
    <cellStyle name="Cálculo 68" xfId="6807" xr:uid="{00000000-0005-0000-0000-0000381C0000}"/>
    <cellStyle name="Cálculo 68 2" xfId="29643" xr:uid="{00000000-0005-0000-0000-0000391C0000}"/>
    <cellStyle name="Cálculo 69" xfId="6808" xr:uid="{00000000-0005-0000-0000-00003A1C0000}"/>
    <cellStyle name="Cálculo 69 2" xfId="29644" xr:uid="{00000000-0005-0000-0000-00003B1C0000}"/>
    <cellStyle name="Cálculo 7" xfId="6809" xr:uid="{00000000-0005-0000-0000-00003C1C0000}"/>
    <cellStyle name="Cálculo 7 2" xfId="6810" xr:uid="{00000000-0005-0000-0000-00003D1C0000}"/>
    <cellStyle name="Cálculo 7 2 2" xfId="29117" xr:uid="{00000000-0005-0000-0000-00003E1C0000}"/>
    <cellStyle name="Cálculo 7 3" xfId="6811" xr:uid="{00000000-0005-0000-0000-00003F1C0000}"/>
    <cellStyle name="Cálculo 7 3 2" xfId="29118" xr:uid="{00000000-0005-0000-0000-0000401C0000}"/>
    <cellStyle name="Cálculo 7 4" xfId="6812" xr:uid="{00000000-0005-0000-0000-0000411C0000}"/>
    <cellStyle name="Cálculo 7 4 2" xfId="29119" xr:uid="{00000000-0005-0000-0000-0000421C0000}"/>
    <cellStyle name="Cálculo 7 5" xfId="29116" xr:uid="{00000000-0005-0000-0000-0000431C0000}"/>
    <cellStyle name="Cálculo 70" xfId="6813" xr:uid="{00000000-0005-0000-0000-0000441C0000}"/>
    <cellStyle name="Cálculo 70 2" xfId="29645" xr:uid="{00000000-0005-0000-0000-0000451C0000}"/>
    <cellStyle name="Cálculo 71" xfId="6814" xr:uid="{00000000-0005-0000-0000-0000461C0000}"/>
    <cellStyle name="Cálculo 71 2" xfId="29646" xr:uid="{00000000-0005-0000-0000-0000471C0000}"/>
    <cellStyle name="Cálculo 72" xfId="6815" xr:uid="{00000000-0005-0000-0000-0000481C0000}"/>
    <cellStyle name="Cálculo 72 2" xfId="29647" xr:uid="{00000000-0005-0000-0000-0000491C0000}"/>
    <cellStyle name="Cálculo 73" xfId="6816" xr:uid="{00000000-0005-0000-0000-00004A1C0000}"/>
    <cellStyle name="Cálculo 73 2" xfId="29648" xr:uid="{00000000-0005-0000-0000-00004B1C0000}"/>
    <cellStyle name="Cálculo 74" xfId="6817" xr:uid="{00000000-0005-0000-0000-00004C1C0000}"/>
    <cellStyle name="Cálculo 74 2" xfId="29649" xr:uid="{00000000-0005-0000-0000-00004D1C0000}"/>
    <cellStyle name="Cálculo 75" xfId="6818" xr:uid="{00000000-0005-0000-0000-00004E1C0000}"/>
    <cellStyle name="Cálculo 75 2" xfId="29650" xr:uid="{00000000-0005-0000-0000-00004F1C0000}"/>
    <cellStyle name="Cálculo 76" xfId="6819" xr:uid="{00000000-0005-0000-0000-0000501C0000}"/>
    <cellStyle name="Cálculo 76 2" xfId="29651" xr:uid="{00000000-0005-0000-0000-0000511C0000}"/>
    <cellStyle name="Cálculo 77" xfId="6820" xr:uid="{00000000-0005-0000-0000-0000521C0000}"/>
    <cellStyle name="Cálculo 77 2" xfId="29652" xr:uid="{00000000-0005-0000-0000-0000531C0000}"/>
    <cellStyle name="Cálculo 78" xfId="6821" xr:uid="{00000000-0005-0000-0000-0000541C0000}"/>
    <cellStyle name="Cálculo 78 2" xfId="29653" xr:uid="{00000000-0005-0000-0000-0000551C0000}"/>
    <cellStyle name="Cálculo 79" xfId="6822" xr:uid="{00000000-0005-0000-0000-0000561C0000}"/>
    <cellStyle name="Cálculo 79 2" xfId="29654" xr:uid="{00000000-0005-0000-0000-0000571C0000}"/>
    <cellStyle name="Cálculo 8" xfId="6823" xr:uid="{00000000-0005-0000-0000-0000581C0000}"/>
    <cellStyle name="Cálculo 8 2" xfId="6824" xr:uid="{00000000-0005-0000-0000-0000591C0000}"/>
    <cellStyle name="Cálculo 8 2 2" xfId="29121" xr:uid="{00000000-0005-0000-0000-00005A1C0000}"/>
    <cellStyle name="Cálculo 8 3" xfId="6825" xr:uid="{00000000-0005-0000-0000-00005B1C0000}"/>
    <cellStyle name="Cálculo 8 3 2" xfId="29122" xr:uid="{00000000-0005-0000-0000-00005C1C0000}"/>
    <cellStyle name="Cálculo 8 4" xfId="6826" xr:uid="{00000000-0005-0000-0000-00005D1C0000}"/>
    <cellStyle name="Cálculo 8 4 2" xfId="29123" xr:uid="{00000000-0005-0000-0000-00005E1C0000}"/>
    <cellStyle name="Cálculo 8 5" xfId="29120" xr:uid="{00000000-0005-0000-0000-00005F1C0000}"/>
    <cellStyle name="Cálculo 80" xfId="6827" xr:uid="{00000000-0005-0000-0000-0000601C0000}"/>
    <cellStyle name="Cálculo 80 2" xfId="29655" xr:uid="{00000000-0005-0000-0000-0000611C0000}"/>
    <cellStyle name="Cálculo 81" xfId="6828" xr:uid="{00000000-0005-0000-0000-0000621C0000}"/>
    <cellStyle name="Cálculo 81 2" xfId="29656" xr:uid="{00000000-0005-0000-0000-0000631C0000}"/>
    <cellStyle name="Cálculo 82" xfId="6829" xr:uid="{00000000-0005-0000-0000-0000641C0000}"/>
    <cellStyle name="Cálculo 82 2" xfId="29657" xr:uid="{00000000-0005-0000-0000-0000651C0000}"/>
    <cellStyle name="Cálculo 83" xfId="6830" xr:uid="{00000000-0005-0000-0000-0000661C0000}"/>
    <cellStyle name="Cálculo 83 2" xfId="29658" xr:uid="{00000000-0005-0000-0000-0000671C0000}"/>
    <cellStyle name="Cálculo 84" xfId="6831" xr:uid="{00000000-0005-0000-0000-0000681C0000}"/>
    <cellStyle name="Cálculo 84 2" xfId="29659" xr:uid="{00000000-0005-0000-0000-0000691C0000}"/>
    <cellStyle name="Cálculo 85" xfId="6832" xr:uid="{00000000-0005-0000-0000-00006A1C0000}"/>
    <cellStyle name="Cálculo 85 2" xfId="29660" xr:uid="{00000000-0005-0000-0000-00006B1C0000}"/>
    <cellStyle name="Cálculo 86" xfId="6833" xr:uid="{00000000-0005-0000-0000-00006C1C0000}"/>
    <cellStyle name="Cálculo 86 2" xfId="29661" xr:uid="{00000000-0005-0000-0000-00006D1C0000}"/>
    <cellStyle name="Cálculo 87" xfId="6834" xr:uid="{00000000-0005-0000-0000-00006E1C0000}"/>
    <cellStyle name="Cálculo 87 2" xfId="29662" xr:uid="{00000000-0005-0000-0000-00006F1C0000}"/>
    <cellStyle name="Cálculo 88" xfId="6835" xr:uid="{00000000-0005-0000-0000-0000701C0000}"/>
    <cellStyle name="Cálculo 88 2" xfId="29663" xr:uid="{00000000-0005-0000-0000-0000711C0000}"/>
    <cellStyle name="Cálculo 89" xfId="6836" xr:uid="{00000000-0005-0000-0000-0000721C0000}"/>
    <cellStyle name="Cálculo 89 2" xfId="29664" xr:uid="{00000000-0005-0000-0000-0000731C0000}"/>
    <cellStyle name="Cálculo 9" xfId="6837" xr:uid="{00000000-0005-0000-0000-0000741C0000}"/>
    <cellStyle name="Cálculo 9 2" xfId="29124" xr:uid="{00000000-0005-0000-0000-0000751C0000}"/>
    <cellStyle name="Cálculo 90" xfId="6838" xr:uid="{00000000-0005-0000-0000-0000761C0000}"/>
    <cellStyle name="Cálculo 90 2" xfId="29665" xr:uid="{00000000-0005-0000-0000-0000771C0000}"/>
    <cellStyle name="Cálculo 91" xfId="6839" xr:uid="{00000000-0005-0000-0000-0000781C0000}"/>
    <cellStyle name="Cálculo 91 2" xfId="29666" xr:uid="{00000000-0005-0000-0000-0000791C0000}"/>
    <cellStyle name="Cálculo 92" xfId="6840" xr:uid="{00000000-0005-0000-0000-00007A1C0000}"/>
    <cellStyle name="Cálculo 92 2" xfId="29667" xr:uid="{00000000-0005-0000-0000-00007B1C0000}"/>
    <cellStyle name="Cálculo 93" xfId="6841" xr:uid="{00000000-0005-0000-0000-00007C1C0000}"/>
    <cellStyle name="Cálculo 93 2" xfId="29668" xr:uid="{00000000-0005-0000-0000-00007D1C0000}"/>
    <cellStyle name="Cálculo 94" xfId="6842" xr:uid="{00000000-0005-0000-0000-00007E1C0000}"/>
    <cellStyle name="Cálculo 94 2" xfId="29669" xr:uid="{00000000-0005-0000-0000-00007F1C0000}"/>
    <cellStyle name="Cálculo 95" xfId="6843" xr:uid="{00000000-0005-0000-0000-0000801C0000}"/>
    <cellStyle name="Cálculo 95 2" xfId="29670" xr:uid="{00000000-0005-0000-0000-0000811C0000}"/>
    <cellStyle name="Cálculo 96" xfId="6844" xr:uid="{00000000-0005-0000-0000-0000821C0000}"/>
    <cellStyle name="Cálculo 96 2" xfId="29671" xr:uid="{00000000-0005-0000-0000-0000831C0000}"/>
    <cellStyle name="Cálculo 97" xfId="6845" xr:uid="{00000000-0005-0000-0000-0000841C0000}"/>
    <cellStyle name="Cálculo 97 2" xfId="29672" xr:uid="{00000000-0005-0000-0000-0000851C0000}"/>
    <cellStyle name="Cálculo 98" xfId="6846" xr:uid="{00000000-0005-0000-0000-0000861C0000}"/>
    <cellStyle name="Cálculo 98 2" xfId="29673" xr:uid="{00000000-0005-0000-0000-0000871C0000}"/>
    <cellStyle name="Cálculo 99" xfId="6847" xr:uid="{00000000-0005-0000-0000-0000881C0000}"/>
    <cellStyle name="Cálculo 99 2" xfId="29674" xr:uid="{00000000-0005-0000-0000-0000891C0000}"/>
    <cellStyle name="Célula de Verificação 10" xfId="6848" xr:uid="{00000000-0005-0000-0000-00008A1C0000}"/>
    <cellStyle name="Célula de Verificação 10 2" xfId="40534" xr:uid="{00000000-0005-0000-0000-00008B1C0000}"/>
    <cellStyle name="Célula de Verificação 100" xfId="6849" xr:uid="{00000000-0005-0000-0000-00008C1C0000}"/>
    <cellStyle name="Célula de Verificação 101" xfId="6850" xr:uid="{00000000-0005-0000-0000-00008D1C0000}"/>
    <cellStyle name="Célula de Verificação 102" xfId="6851" xr:uid="{00000000-0005-0000-0000-00008E1C0000}"/>
    <cellStyle name="Célula de Verificação 103" xfId="6852" xr:uid="{00000000-0005-0000-0000-00008F1C0000}"/>
    <cellStyle name="Célula de Verificação 104" xfId="6853" xr:uid="{00000000-0005-0000-0000-0000901C0000}"/>
    <cellStyle name="Célula de Verificação 105" xfId="6854" xr:uid="{00000000-0005-0000-0000-0000911C0000}"/>
    <cellStyle name="Célula de Verificação 106" xfId="6855" xr:uid="{00000000-0005-0000-0000-0000921C0000}"/>
    <cellStyle name="Célula de Verificação 107" xfId="6856" xr:uid="{00000000-0005-0000-0000-0000931C0000}"/>
    <cellStyle name="Célula de Verificação 108" xfId="6857" xr:uid="{00000000-0005-0000-0000-0000941C0000}"/>
    <cellStyle name="Célula de Verificação 109" xfId="6858" xr:uid="{00000000-0005-0000-0000-0000951C0000}"/>
    <cellStyle name="Célula de Verificação 11" xfId="6859" xr:uid="{00000000-0005-0000-0000-0000961C0000}"/>
    <cellStyle name="Célula de Verificação 11 2" xfId="40535" xr:uid="{00000000-0005-0000-0000-0000971C0000}"/>
    <cellStyle name="Célula de Verificação 110" xfId="6860" xr:uid="{00000000-0005-0000-0000-0000981C0000}"/>
    <cellStyle name="Célula de Verificação 111" xfId="6861" xr:uid="{00000000-0005-0000-0000-0000991C0000}"/>
    <cellStyle name="Célula de Verificação 112" xfId="6862" xr:uid="{00000000-0005-0000-0000-00009A1C0000}"/>
    <cellStyle name="Célula de Verificação 113" xfId="6863" xr:uid="{00000000-0005-0000-0000-00009B1C0000}"/>
    <cellStyle name="Célula de Verificação 114" xfId="6864" xr:uid="{00000000-0005-0000-0000-00009C1C0000}"/>
    <cellStyle name="Célula de Verificação 115" xfId="6865" xr:uid="{00000000-0005-0000-0000-00009D1C0000}"/>
    <cellStyle name="Célula de Verificação 116" xfId="6866" xr:uid="{00000000-0005-0000-0000-00009E1C0000}"/>
    <cellStyle name="Célula de Verificação 117" xfId="6867" xr:uid="{00000000-0005-0000-0000-00009F1C0000}"/>
    <cellStyle name="Célula de Verificação 118" xfId="6868" xr:uid="{00000000-0005-0000-0000-0000A01C0000}"/>
    <cellStyle name="Célula de Verificação 119" xfId="6869" xr:uid="{00000000-0005-0000-0000-0000A11C0000}"/>
    <cellStyle name="Célula de Verificação 12" xfId="6870" xr:uid="{00000000-0005-0000-0000-0000A21C0000}"/>
    <cellStyle name="Célula de Verificação 12 2" xfId="40536" xr:uid="{00000000-0005-0000-0000-0000A31C0000}"/>
    <cellStyle name="Célula de Verificação 120" xfId="6871" xr:uid="{00000000-0005-0000-0000-0000A41C0000}"/>
    <cellStyle name="Célula de Verificação 121" xfId="6872" xr:uid="{00000000-0005-0000-0000-0000A51C0000}"/>
    <cellStyle name="Célula de Verificação 122" xfId="6873" xr:uid="{00000000-0005-0000-0000-0000A61C0000}"/>
    <cellStyle name="Célula de Verificação 123" xfId="6874" xr:uid="{00000000-0005-0000-0000-0000A71C0000}"/>
    <cellStyle name="Célula de Verificação 124" xfId="6875" xr:uid="{00000000-0005-0000-0000-0000A81C0000}"/>
    <cellStyle name="Célula de Verificação 125" xfId="6876" xr:uid="{00000000-0005-0000-0000-0000A91C0000}"/>
    <cellStyle name="Célula de Verificação 126" xfId="6877" xr:uid="{00000000-0005-0000-0000-0000AA1C0000}"/>
    <cellStyle name="Célula de Verificação 127" xfId="6878" xr:uid="{00000000-0005-0000-0000-0000AB1C0000}"/>
    <cellStyle name="Célula de Verificação 128" xfId="6879" xr:uid="{00000000-0005-0000-0000-0000AC1C0000}"/>
    <cellStyle name="Célula de Verificação 129" xfId="6880" xr:uid="{00000000-0005-0000-0000-0000AD1C0000}"/>
    <cellStyle name="Célula de Verificação 13" xfId="6881" xr:uid="{00000000-0005-0000-0000-0000AE1C0000}"/>
    <cellStyle name="Célula de Verificação 13 2" xfId="40537" xr:uid="{00000000-0005-0000-0000-0000AF1C0000}"/>
    <cellStyle name="Célula de Verificação 130" xfId="6882" xr:uid="{00000000-0005-0000-0000-0000B01C0000}"/>
    <cellStyle name="Célula de Verificação 131" xfId="6883" xr:uid="{00000000-0005-0000-0000-0000B11C0000}"/>
    <cellStyle name="Célula de Verificação 132" xfId="6884" xr:uid="{00000000-0005-0000-0000-0000B21C0000}"/>
    <cellStyle name="Célula de Verificação 133" xfId="6885" xr:uid="{00000000-0005-0000-0000-0000B31C0000}"/>
    <cellStyle name="Célula de Verificação 134" xfId="6886" xr:uid="{00000000-0005-0000-0000-0000B41C0000}"/>
    <cellStyle name="Célula de Verificação 135" xfId="6887" xr:uid="{00000000-0005-0000-0000-0000B51C0000}"/>
    <cellStyle name="Célula de Verificação 136" xfId="6888" xr:uid="{00000000-0005-0000-0000-0000B61C0000}"/>
    <cellStyle name="Célula de Verificação 137" xfId="6889" xr:uid="{00000000-0005-0000-0000-0000B71C0000}"/>
    <cellStyle name="Célula de Verificação 138" xfId="6890" xr:uid="{00000000-0005-0000-0000-0000B81C0000}"/>
    <cellStyle name="Célula de Verificação 139" xfId="6891" xr:uid="{00000000-0005-0000-0000-0000B91C0000}"/>
    <cellStyle name="Célula de Verificação 14" xfId="6892" xr:uid="{00000000-0005-0000-0000-0000BA1C0000}"/>
    <cellStyle name="Célula de Verificação 140" xfId="6893" xr:uid="{00000000-0005-0000-0000-0000BB1C0000}"/>
    <cellStyle name="Célula de Verificação 141" xfId="6894" xr:uid="{00000000-0005-0000-0000-0000BC1C0000}"/>
    <cellStyle name="Célula de Verificação 142" xfId="6895" xr:uid="{00000000-0005-0000-0000-0000BD1C0000}"/>
    <cellStyle name="Célula de Verificação 143" xfId="6896" xr:uid="{00000000-0005-0000-0000-0000BE1C0000}"/>
    <cellStyle name="Célula de Verificação 144" xfId="6897" xr:uid="{00000000-0005-0000-0000-0000BF1C0000}"/>
    <cellStyle name="Célula de Verificação 145" xfId="6898" xr:uid="{00000000-0005-0000-0000-0000C01C0000}"/>
    <cellStyle name="Célula de Verificação 146" xfId="6899" xr:uid="{00000000-0005-0000-0000-0000C11C0000}"/>
    <cellStyle name="Célula de Verificação 147" xfId="6900" xr:uid="{00000000-0005-0000-0000-0000C21C0000}"/>
    <cellStyle name="Célula de Verificação 148" xfId="6901" xr:uid="{00000000-0005-0000-0000-0000C31C0000}"/>
    <cellStyle name="Célula de Verificação 149" xfId="6902" xr:uid="{00000000-0005-0000-0000-0000C41C0000}"/>
    <cellStyle name="Célula de Verificação 15" xfId="6903" xr:uid="{00000000-0005-0000-0000-0000C51C0000}"/>
    <cellStyle name="Célula de Verificação 15 2" xfId="6904" xr:uid="{00000000-0005-0000-0000-0000C61C0000}"/>
    <cellStyle name="Célula de Verificação 15 3" xfId="6905" xr:uid="{00000000-0005-0000-0000-0000C71C0000}"/>
    <cellStyle name="Célula de Verificação 150" xfId="6906" xr:uid="{00000000-0005-0000-0000-0000C81C0000}"/>
    <cellStyle name="Célula de Verificação 151" xfId="6907" xr:uid="{00000000-0005-0000-0000-0000C91C0000}"/>
    <cellStyle name="Célula de Verificação 152" xfId="6908" xr:uid="{00000000-0005-0000-0000-0000CA1C0000}"/>
    <cellStyle name="Célula de Verificação 153" xfId="6909" xr:uid="{00000000-0005-0000-0000-0000CB1C0000}"/>
    <cellStyle name="Célula de Verificação 154" xfId="6910" xr:uid="{00000000-0005-0000-0000-0000CC1C0000}"/>
    <cellStyle name="Célula de Verificação 155" xfId="6911" xr:uid="{00000000-0005-0000-0000-0000CD1C0000}"/>
    <cellStyle name="Célula de Verificação 156" xfId="6912" xr:uid="{00000000-0005-0000-0000-0000CE1C0000}"/>
    <cellStyle name="Célula de Verificação 157" xfId="6913" xr:uid="{00000000-0005-0000-0000-0000CF1C0000}"/>
    <cellStyle name="Célula de Verificação 158" xfId="6914" xr:uid="{00000000-0005-0000-0000-0000D01C0000}"/>
    <cellStyle name="Célula de Verificação 159" xfId="6915" xr:uid="{00000000-0005-0000-0000-0000D11C0000}"/>
    <cellStyle name="Célula de Verificação 16" xfId="6916" xr:uid="{00000000-0005-0000-0000-0000D21C0000}"/>
    <cellStyle name="Célula de Verificação 16 2" xfId="6917" xr:uid="{00000000-0005-0000-0000-0000D31C0000}"/>
    <cellStyle name="Célula de Verificação 16 3" xfId="6918" xr:uid="{00000000-0005-0000-0000-0000D41C0000}"/>
    <cellStyle name="Célula de Verificação 160" xfId="6919" xr:uid="{00000000-0005-0000-0000-0000D51C0000}"/>
    <cellStyle name="Célula de Verificação 161" xfId="6920" xr:uid="{00000000-0005-0000-0000-0000D61C0000}"/>
    <cellStyle name="Célula de Verificação 162" xfId="6921" xr:uid="{00000000-0005-0000-0000-0000D71C0000}"/>
    <cellStyle name="Célula de Verificação 163" xfId="6922" xr:uid="{00000000-0005-0000-0000-0000D81C0000}"/>
    <cellStyle name="Célula de Verificação 164" xfId="6923" xr:uid="{00000000-0005-0000-0000-0000D91C0000}"/>
    <cellStyle name="Célula de Verificação 165" xfId="6924" xr:uid="{00000000-0005-0000-0000-0000DA1C0000}"/>
    <cellStyle name="Célula de Verificação 166" xfId="6925" xr:uid="{00000000-0005-0000-0000-0000DB1C0000}"/>
    <cellStyle name="Célula de Verificação 167" xfId="6926" xr:uid="{00000000-0005-0000-0000-0000DC1C0000}"/>
    <cellStyle name="Célula de Verificação 168" xfId="6927" xr:uid="{00000000-0005-0000-0000-0000DD1C0000}"/>
    <cellStyle name="Célula de Verificação 169" xfId="6928" xr:uid="{00000000-0005-0000-0000-0000DE1C0000}"/>
    <cellStyle name="Célula de Verificação 17" xfId="6929" xr:uid="{00000000-0005-0000-0000-0000DF1C0000}"/>
    <cellStyle name="Célula de Verificação 17 2" xfId="6930" xr:uid="{00000000-0005-0000-0000-0000E01C0000}"/>
    <cellStyle name="Célula de Verificação 17 3" xfId="6931" xr:uid="{00000000-0005-0000-0000-0000E11C0000}"/>
    <cellStyle name="Célula de Verificação 170" xfId="6932" xr:uid="{00000000-0005-0000-0000-0000E21C0000}"/>
    <cellStyle name="Célula de Verificação 171" xfId="6933" xr:uid="{00000000-0005-0000-0000-0000E31C0000}"/>
    <cellStyle name="Célula de Verificação 172" xfId="6934" xr:uid="{00000000-0005-0000-0000-0000E41C0000}"/>
    <cellStyle name="Célula de Verificação 173" xfId="6935" xr:uid="{00000000-0005-0000-0000-0000E51C0000}"/>
    <cellStyle name="Célula de Verificação 174" xfId="6936" xr:uid="{00000000-0005-0000-0000-0000E61C0000}"/>
    <cellStyle name="Célula de Verificação 175" xfId="6937" xr:uid="{00000000-0005-0000-0000-0000E71C0000}"/>
    <cellStyle name="Célula de Verificação 176" xfId="6938" xr:uid="{00000000-0005-0000-0000-0000E81C0000}"/>
    <cellStyle name="Célula de Verificação 177" xfId="6939" xr:uid="{00000000-0005-0000-0000-0000E91C0000}"/>
    <cellStyle name="Célula de Verificação 178" xfId="6940" xr:uid="{00000000-0005-0000-0000-0000EA1C0000}"/>
    <cellStyle name="Célula de Verificação 179" xfId="6941" xr:uid="{00000000-0005-0000-0000-0000EB1C0000}"/>
    <cellStyle name="Célula de Verificação 18" xfId="6942" xr:uid="{00000000-0005-0000-0000-0000EC1C0000}"/>
    <cellStyle name="Célula de Verificação 18 2" xfId="6943" xr:uid="{00000000-0005-0000-0000-0000ED1C0000}"/>
    <cellStyle name="Célula de Verificação 18 3" xfId="6944" xr:uid="{00000000-0005-0000-0000-0000EE1C0000}"/>
    <cellStyle name="Célula de Verificação 180" xfId="6945" xr:uid="{00000000-0005-0000-0000-0000EF1C0000}"/>
    <cellStyle name="Célula de Verificação 181" xfId="6946" xr:uid="{00000000-0005-0000-0000-0000F01C0000}"/>
    <cellStyle name="Célula de Verificação 182" xfId="6947" xr:uid="{00000000-0005-0000-0000-0000F11C0000}"/>
    <cellStyle name="Célula de Verificação 183" xfId="6948" xr:uid="{00000000-0005-0000-0000-0000F21C0000}"/>
    <cellStyle name="Célula de Verificação 184" xfId="6949" xr:uid="{00000000-0005-0000-0000-0000F31C0000}"/>
    <cellStyle name="Célula de Verificação 185" xfId="6950" xr:uid="{00000000-0005-0000-0000-0000F41C0000}"/>
    <cellStyle name="Célula de Verificação 186" xfId="6951" xr:uid="{00000000-0005-0000-0000-0000F51C0000}"/>
    <cellStyle name="Célula de Verificação 187" xfId="6952" xr:uid="{00000000-0005-0000-0000-0000F61C0000}"/>
    <cellStyle name="Célula de Verificação 188" xfId="6953" xr:uid="{00000000-0005-0000-0000-0000F71C0000}"/>
    <cellStyle name="Célula de Verificação 189" xfId="6954" xr:uid="{00000000-0005-0000-0000-0000F81C0000}"/>
    <cellStyle name="Célula de Verificação 19" xfId="6955" xr:uid="{00000000-0005-0000-0000-0000F91C0000}"/>
    <cellStyle name="Célula de Verificação 19 2" xfId="6956" xr:uid="{00000000-0005-0000-0000-0000FA1C0000}"/>
    <cellStyle name="Célula de Verificação 19 3" xfId="6957" xr:uid="{00000000-0005-0000-0000-0000FB1C0000}"/>
    <cellStyle name="Célula de Verificação 190" xfId="6958" xr:uid="{00000000-0005-0000-0000-0000FC1C0000}"/>
    <cellStyle name="Célula de Verificação 2" xfId="6959" xr:uid="{00000000-0005-0000-0000-0000FD1C0000}"/>
    <cellStyle name="Célula de Verificação 2 10" xfId="6960" xr:uid="{00000000-0005-0000-0000-0000FE1C0000}"/>
    <cellStyle name="Célula de Verificação 2 11" xfId="6961" xr:uid="{00000000-0005-0000-0000-0000FF1C0000}"/>
    <cellStyle name="Célula de Verificação 2 12" xfId="6962" xr:uid="{00000000-0005-0000-0000-0000001D0000}"/>
    <cellStyle name="Célula de Verificação 2 13" xfId="6963" xr:uid="{00000000-0005-0000-0000-0000011D0000}"/>
    <cellStyle name="Célula de Verificação 2 14" xfId="6964" xr:uid="{00000000-0005-0000-0000-0000021D0000}"/>
    <cellStyle name="Célula de Verificação 2 15" xfId="6965" xr:uid="{00000000-0005-0000-0000-0000031D0000}"/>
    <cellStyle name="Célula de Verificação 2 16" xfId="6966" xr:uid="{00000000-0005-0000-0000-0000041D0000}"/>
    <cellStyle name="Célula de Verificação 2 17" xfId="6967" xr:uid="{00000000-0005-0000-0000-0000051D0000}"/>
    <cellStyle name="Célula de Verificação 2 18" xfId="6968" xr:uid="{00000000-0005-0000-0000-0000061D0000}"/>
    <cellStyle name="Célula de Verificação 2 19" xfId="6969" xr:uid="{00000000-0005-0000-0000-0000071D0000}"/>
    <cellStyle name="Célula de Verificação 2 2" xfId="6970" xr:uid="{00000000-0005-0000-0000-0000081D0000}"/>
    <cellStyle name="Célula de Verificação 2 20" xfId="6971" xr:uid="{00000000-0005-0000-0000-0000091D0000}"/>
    <cellStyle name="Célula de Verificação 2 21" xfId="6972" xr:uid="{00000000-0005-0000-0000-00000A1D0000}"/>
    <cellStyle name="Célula de Verificação 2 22" xfId="6973" xr:uid="{00000000-0005-0000-0000-00000B1D0000}"/>
    <cellStyle name="Célula de Verificação 2 23" xfId="6974" xr:uid="{00000000-0005-0000-0000-00000C1D0000}"/>
    <cellStyle name="Célula de Verificação 2 24" xfId="6975" xr:uid="{00000000-0005-0000-0000-00000D1D0000}"/>
    <cellStyle name="Célula de Verificação 2 25" xfId="6976" xr:uid="{00000000-0005-0000-0000-00000E1D0000}"/>
    <cellStyle name="Célula de Verificação 2 26" xfId="6977" xr:uid="{00000000-0005-0000-0000-00000F1D0000}"/>
    <cellStyle name="Célula de Verificação 2 27" xfId="6978" xr:uid="{00000000-0005-0000-0000-0000101D0000}"/>
    <cellStyle name="Célula de Verificação 2 28" xfId="6979" xr:uid="{00000000-0005-0000-0000-0000111D0000}"/>
    <cellStyle name="Célula de Verificação 2 29" xfId="6980" xr:uid="{00000000-0005-0000-0000-0000121D0000}"/>
    <cellStyle name="Célula de Verificação 2 3" xfId="6981" xr:uid="{00000000-0005-0000-0000-0000131D0000}"/>
    <cellStyle name="Célula de Verificação 2 30" xfId="6982" xr:uid="{00000000-0005-0000-0000-0000141D0000}"/>
    <cellStyle name="Célula de Verificação 2 31" xfId="6983" xr:uid="{00000000-0005-0000-0000-0000151D0000}"/>
    <cellStyle name="Célula de Verificação 2 32" xfId="6984" xr:uid="{00000000-0005-0000-0000-0000161D0000}"/>
    <cellStyle name="Célula de Verificação 2 33" xfId="6985" xr:uid="{00000000-0005-0000-0000-0000171D0000}"/>
    <cellStyle name="Célula de Verificação 2 34" xfId="6986" xr:uid="{00000000-0005-0000-0000-0000181D0000}"/>
    <cellStyle name="Célula de Verificação 2 35" xfId="6987" xr:uid="{00000000-0005-0000-0000-0000191D0000}"/>
    <cellStyle name="Célula de Verificação 2 4" xfId="6988" xr:uid="{00000000-0005-0000-0000-00001A1D0000}"/>
    <cellStyle name="Célula de Verificação 2 5" xfId="6989" xr:uid="{00000000-0005-0000-0000-00001B1D0000}"/>
    <cellStyle name="Célula de Verificação 2 6" xfId="6990" xr:uid="{00000000-0005-0000-0000-00001C1D0000}"/>
    <cellStyle name="Célula de Verificação 2 7" xfId="6991" xr:uid="{00000000-0005-0000-0000-00001D1D0000}"/>
    <cellStyle name="Célula de Verificação 2 8" xfId="6992" xr:uid="{00000000-0005-0000-0000-00001E1D0000}"/>
    <cellStyle name="Célula de Verificação 2 9" xfId="6993" xr:uid="{00000000-0005-0000-0000-00001F1D0000}"/>
    <cellStyle name="Célula de Verificação 20" xfId="6994" xr:uid="{00000000-0005-0000-0000-0000201D0000}"/>
    <cellStyle name="Célula de Verificação 20 2" xfId="6995" xr:uid="{00000000-0005-0000-0000-0000211D0000}"/>
    <cellStyle name="Célula de Verificação 20 3" xfId="6996" xr:uid="{00000000-0005-0000-0000-0000221D0000}"/>
    <cellStyle name="Célula de Verificação 21" xfId="6997" xr:uid="{00000000-0005-0000-0000-0000231D0000}"/>
    <cellStyle name="Célula de Verificação 22" xfId="6998" xr:uid="{00000000-0005-0000-0000-0000241D0000}"/>
    <cellStyle name="Célula de Verificação 23" xfId="6999" xr:uid="{00000000-0005-0000-0000-0000251D0000}"/>
    <cellStyle name="Célula de Verificação 24" xfId="7000" xr:uid="{00000000-0005-0000-0000-0000261D0000}"/>
    <cellStyle name="Célula de Verificação 25" xfId="7001" xr:uid="{00000000-0005-0000-0000-0000271D0000}"/>
    <cellStyle name="Célula de Verificação 26" xfId="7002" xr:uid="{00000000-0005-0000-0000-0000281D0000}"/>
    <cellStyle name="Célula de Verificação 27" xfId="7003" xr:uid="{00000000-0005-0000-0000-0000291D0000}"/>
    <cellStyle name="Célula de Verificação 28" xfId="7004" xr:uid="{00000000-0005-0000-0000-00002A1D0000}"/>
    <cellStyle name="Célula de Verificação 29" xfId="7005" xr:uid="{00000000-0005-0000-0000-00002B1D0000}"/>
    <cellStyle name="Célula de Verificação 3" xfId="7006" xr:uid="{00000000-0005-0000-0000-00002C1D0000}"/>
    <cellStyle name="Célula de Verificação 3 2" xfId="7007" xr:uid="{00000000-0005-0000-0000-00002D1D0000}"/>
    <cellStyle name="Célula de Verificação 3 3" xfId="7008" xr:uid="{00000000-0005-0000-0000-00002E1D0000}"/>
    <cellStyle name="Célula de Verificação 3 4" xfId="7009" xr:uid="{00000000-0005-0000-0000-00002F1D0000}"/>
    <cellStyle name="Célula de Verificação 3 5" xfId="7010" xr:uid="{00000000-0005-0000-0000-0000301D0000}"/>
    <cellStyle name="Célula de Verificação 3 6" xfId="7011" xr:uid="{00000000-0005-0000-0000-0000311D0000}"/>
    <cellStyle name="Célula de Verificação 3 7" xfId="7012" xr:uid="{00000000-0005-0000-0000-0000321D0000}"/>
    <cellStyle name="Célula de Verificação 30" xfId="7013" xr:uid="{00000000-0005-0000-0000-0000331D0000}"/>
    <cellStyle name="Célula de Verificação 31" xfId="7014" xr:uid="{00000000-0005-0000-0000-0000341D0000}"/>
    <cellStyle name="Célula de Verificação 32" xfId="7015" xr:uid="{00000000-0005-0000-0000-0000351D0000}"/>
    <cellStyle name="Célula de Verificação 33" xfId="7016" xr:uid="{00000000-0005-0000-0000-0000361D0000}"/>
    <cellStyle name="Célula de Verificação 34" xfId="7017" xr:uid="{00000000-0005-0000-0000-0000371D0000}"/>
    <cellStyle name="Célula de Verificação 35" xfId="7018" xr:uid="{00000000-0005-0000-0000-0000381D0000}"/>
    <cellStyle name="Célula de Verificação 36" xfId="7019" xr:uid="{00000000-0005-0000-0000-0000391D0000}"/>
    <cellStyle name="Célula de Verificação 37" xfId="7020" xr:uid="{00000000-0005-0000-0000-00003A1D0000}"/>
    <cellStyle name="Célula de Verificação 38" xfId="7021" xr:uid="{00000000-0005-0000-0000-00003B1D0000}"/>
    <cellStyle name="Célula de Verificação 39" xfId="7022" xr:uid="{00000000-0005-0000-0000-00003C1D0000}"/>
    <cellStyle name="Célula de Verificação 4" xfId="7023" xr:uid="{00000000-0005-0000-0000-00003D1D0000}"/>
    <cellStyle name="Célula de Verificação 4 2" xfId="7024" xr:uid="{00000000-0005-0000-0000-00003E1D0000}"/>
    <cellStyle name="Célula de Verificação 4 3" xfId="7025" xr:uid="{00000000-0005-0000-0000-00003F1D0000}"/>
    <cellStyle name="Célula de Verificação 4 4" xfId="7026" xr:uid="{00000000-0005-0000-0000-0000401D0000}"/>
    <cellStyle name="Célula de Verificação 4 5" xfId="7027" xr:uid="{00000000-0005-0000-0000-0000411D0000}"/>
    <cellStyle name="Célula de Verificação 4 6" xfId="7028" xr:uid="{00000000-0005-0000-0000-0000421D0000}"/>
    <cellStyle name="Célula de Verificação 4 7" xfId="7029" xr:uid="{00000000-0005-0000-0000-0000431D0000}"/>
    <cellStyle name="Célula de Verificação 40" xfId="7030" xr:uid="{00000000-0005-0000-0000-0000441D0000}"/>
    <cellStyle name="Célula de Verificação 41" xfId="7031" xr:uid="{00000000-0005-0000-0000-0000451D0000}"/>
    <cellStyle name="Célula de Verificação 42" xfId="7032" xr:uid="{00000000-0005-0000-0000-0000461D0000}"/>
    <cellStyle name="Célula de Verificação 43" xfId="7033" xr:uid="{00000000-0005-0000-0000-0000471D0000}"/>
    <cellStyle name="Célula de Verificação 44" xfId="7034" xr:uid="{00000000-0005-0000-0000-0000481D0000}"/>
    <cellStyle name="Célula de Verificação 45" xfId="7035" xr:uid="{00000000-0005-0000-0000-0000491D0000}"/>
    <cellStyle name="Célula de Verificação 46" xfId="7036" xr:uid="{00000000-0005-0000-0000-00004A1D0000}"/>
    <cellStyle name="Célula de Verificação 47" xfId="7037" xr:uid="{00000000-0005-0000-0000-00004B1D0000}"/>
    <cellStyle name="Célula de Verificação 48" xfId="7038" xr:uid="{00000000-0005-0000-0000-00004C1D0000}"/>
    <cellStyle name="Célula de Verificação 49" xfId="7039" xr:uid="{00000000-0005-0000-0000-00004D1D0000}"/>
    <cellStyle name="Célula de Verificação 5" xfId="7040" xr:uid="{00000000-0005-0000-0000-00004E1D0000}"/>
    <cellStyle name="Célula de Verificação 5 2" xfId="7041" xr:uid="{00000000-0005-0000-0000-00004F1D0000}"/>
    <cellStyle name="Célula de Verificação 5 3" xfId="7042" xr:uid="{00000000-0005-0000-0000-0000501D0000}"/>
    <cellStyle name="Célula de Verificação 5 4" xfId="7043" xr:uid="{00000000-0005-0000-0000-0000511D0000}"/>
    <cellStyle name="Célula de Verificação 50" xfId="7044" xr:uid="{00000000-0005-0000-0000-0000521D0000}"/>
    <cellStyle name="Célula de Verificação 51" xfId="7045" xr:uid="{00000000-0005-0000-0000-0000531D0000}"/>
    <cellStyle name="Célula de Verificação 52" xfId="7046" xr:uid="{00000000-0005-0000-0000-0000541D0000}"/>
    <cellStyle name="Célula de Verificação 53" xfId="7047" xr:uid="{00000000-0005-0000-0000-0000551D0000}"/>
    <cellStyle name="Célula de Verificação 54" xfId="7048" xr:uid="{00000000-0005-0000-0000-0000561D0000}"/>
    <cellStyle name="Célula de Verificação 55" xfId="7049" xr:uid="{00000000-0005-0000-0000-0000571D0000}"/>
    <cellStyle name="Célula de Verificação 56" xfId="7050" xr:uid="{00000000-0005-0000-0000-0000581D0000}"/>
    <cellStyle name="Célula de Verificação 57" xfId="7051" xr:uid="{00000000-0005-0000-0000-0000591D0000}"/>
    <cellStyle name="Célula de Verificação 58" xfId="7052" xr:uid="{00000000-0005-0000-0000-00005A1D0000}"/>
    <cellStyle name="Célula de Verificação 59" xfId="7053" xr:uid="{00000000-0005-0000-0000-00005B1D0000}"/>
    <cellStyle name="Célula de Verificação 6" xfId="7054" xr:uid="{00000000-0005-0000-0000-00005C1D0000}"/>
    <cellStyle name="Célula de Verificação 6 2" xfId="7055" xr:uid="{00000000-0005-0000-0000-00005D1D0000}"/>
    <cellStyle name="Célula de Verificação 6 3" xfId="7056" xr:uid="{00000000-0005-0000-0000-00005E1D0000}"/>
    <cellStyle name="Célula de Verificação 6 4" xfId="7057" xr:uid="{00000000-0005-0000-0000-00005F1D0000}"/>
    <cellStyle name="Célula de Verificação 60" xfId="7058" xr:uid="{00000000-0005-0000-0000-0000601D0000}"/>
    <cellStyle name="Célula de Verificação 61" xfId="7059" xr:uid="{00000000-0005-0000-0000-0000611D0000}"/>
    <cellStyle name="Célula de Verificação 62" xfId="7060" xr:uid="{00000000-0005-0000-0000-0000621D0000}"/>
    <cellStyle name="Célula de Verificação 63" xfId="7061" xr:uid="{00000000-0005-0000-0000-0000631D0000}"/>
    <cellStyle name="Célula de Verificação 64" xfId="7062" xr:uid="{00000000-0005-0000-0000-0000641D0000}"/>
    <cellStyle name="Célula de Verificação 65" xfId="7063" xr:uid="{00000000-0005-0000-0000-0000651D0000}"/>
    <cellStyle name="Célula de Verificação 66" xfId="7064" xr:uid="{00000000-0005-0000-0000-0000661D0000}"/>
    <cellStyle name="Célula de Verificação 67" xfId="7065" xr:uid="{00000000-0005-0000-0000-0000671D0000}"/>
    <cellStyle name="Célula de Verificação 68" xfId="7066" xr:uid="{00000000-0005-0000-0000-0000681D0000}"/>
    <cellStyle name="Célula de Verificação 69" xfId="7067" xr:uid="{00000000-0005-0000-0000-0000691D0000}"/>
    <cellStyle name="Célula de Verificação 7" xfId="7068" xr:uid="{00000000-0005-0000-0000-00006A1D0000}"/>
    <cellStyle name="Célula de Verificação 7 2" xfId="7069" xr:uid="{00000000-0005-0000-0000-00006B1D0000}"/>
    <cellStyle name="Célula de Verificação 7 3" xfId="7070" xr:uid="{00000000-0005-0000-0000-00006C1D0000}"/>
    <cellStyle name="Célula de Verificação 7 4" xfId="7071" xr:uid="{00000000-0005-0000-0000-00006D1D0000}"/>
    <cellStyle name="Célula de Verificação 70" xfId="7072" xr:uid="{00000000-0005-0000-0000-00006E1D0000}"/>
    <cellStyle name="Célula de Verificação 71" xfId="7073" xr:uid="{00000000-0005-0000-0000-00006F1D0000}"/>
    <cellStyle name="Célula de Verificação 72" xfId="7074" xr:uid="{00000000-0005-0000-0000-0000701D0000}"/>
    <cellStyle name="Célula de Verificação 73" xfId="7075" xr:uid="{00000000-0005-0000-0000-0000711D0000}"/>
    <cellStyle name="Célula de Verificação 74" xfId="7076" xr:uid="{00000000-0005-0000-0000-0000721D0000}"/>
    <cellStyle name="Célula de Verificação 75" xfId="7077" xr:uid="{00000000-0005-0000-0000-0000731D0000}"/>
    <cellStyle name="Célula de Verificação 76" xfId="7078" xr:uid="{00000000-0005-0000-0000-0000741D0000}"/>
    <cellStyle name="Célula de Verificação 77" xfId="7079" xr:uid="{00000000-0005-0000-0000-0000751D0000}"/>
    <cellStyle name="Célula de Verificação 78" xfId="7080" xr:uid="{00000000-0005-0000-0000-0000761D0000}"/>
    <cellStyle name="Célula de Verificação 79" xfId="7081" xr:uid="{00000000-0005-0000-0000-0000771D0000}"/>
    <cellStyle name="Célula de Verificação 8" xfId="7082" xr:uid="{00000000-0005-0000-0000-0000781D0000}"/>
    <cellStyle name="Célula de Verificação 8 2" xfId="7083" xr:uid="{00000000-0005-0000-0000-0000791D0000}"/>
    <cellStyle name="Célula de Verificação 8 3" xfId="7084" xr:uid="{00000000-0005-0000-0000-00007A1D0000}"/>
    <cellStyle name="Célula de Verificação 8 4" xfId="7085" xr:uid="{00000000-0005-0000-0000-00007B1D0000}"/>
    <cellStyle name="Célula de Verificação 80" xfId="7086" xr:uid="{00000000-0005-0000-0000-00007C1D0000}"/>
    <cellStyle name="Célula de Verificação 81" xfId="7087" xr:uid="{00000000-0005-0000-0000-00007D1D0000}"/>
    <cellStyle name="Célula de Verificação 82" xfId="7088" xr:uid="{00000000-0005-0000-0000-00007E1D0000}"/>
    <cellStyle name="Célula de Verificação 83" xfId="7089" xr:uid="{00000000-0005-0000-0000-00007F1D0000}"/>
    <cellStyle name="Célula de Verificação 84" xfId="7090" xr:uid="{00000000-0005-0000-0000-0000801D0000}"/>
    <cellStyle name="Célula de Verificação 85" xfId="7091" xr:uid="{00000000-0005-0000-0000-0000811D0000}"/>
    <cellStyle name="Célula de Verificação 86" xfId="7092" xr:uid="{00000000-0005-0000-0000-0000821D0000}"/>
    <cellStyle name="Célula de Verificação 87" xfId="7093" xr:uid="{00000000-0005-0000-0000-0000831D0000}"/>
    <cellStyle name="Célula de Verificação 88" xfId="7094" xr:uid="{00000000-0005-0000-0000-0000841D0000}"/>
    <cellStyle name="Célula de Verificação 89" xfId="7095" xr:uid="{00000000-0005-0000-0000-0000851D0000}"/>
    <cellStyle name="Célula de Verificação 9" xfId="7096" xr:uid="{00000000-0005-0000-0000-0000861D0000}"/>
    <cellStyle name="Célula de Verificação 90" xfId="7097" xr:uid="{00000000-0005-0000-0000-0000871D0000}"/>
    <cellStyle name="Célula de Verificação 91" xfId="7098" xr:uid="{00000000-0005-0000-0000-0000881D0000}"/>
    <cellStyle name="Célula de Verificação 92" xfId="7099" xr:uid="{00000000-0005-0000-0000-0000891D0000}"/>
    <cellStyle name="Célula de Verificação 93" xfId="7100" xr:uid="{00000000-0005-0000-0000-00008A1D0000}"/>
    <cellStyle name="Célula de Verificação 94" xfId="7101" xr:uid="{00000000-0005-0000-0000-00008B1D0000}"/>
    <cellStyle name="Célula de Verificação 95" xfId="7102" xr:uid="{00000000-0005-0000-0000-00008C1D0000}"/>
    <cellStyle name="Célula de Verificação 96" xfId="7103" xr:uid="{00000000-0005-0000-0000-00008D1D0000}"/>
    <cellStyle name="Célula de Verificação 97" xfId="7104" xr:uid="{00000000-0005-0000-0000-00008E1D0000}"/>
    <cellStyle name="Célula de Verificação 98" xfId="7105" xr:uid="{00000000-0005-0000-0000-00008F1D0000}"/>
    <cellStyle name="Célula de Verificação 99" xfId="7106" xr:uid="{00000000-0005-0000-0000-0000901D0000}"/>
    <cellStyle name="Célula Vinculada 10" xfId="7107" xr:uid="{00000000-0005-0000-0000-0000911D0000}"/>
    <cellStyle name="Célula Vinculada 10 2" xfId="40539" xr:uid="{00000000-0005-0000-0000-0000921D0000}"/>
    <cellStyle name="Célula Vinculada 10 3" xfId="40538" xr:uid="{00000000-0005-0000-0000-0000931D0000}"/>
    <cellStyle name="Célula Vinculada 100" xfId="7108" xr:uid="{00000000-0005-0000-0000-0000941D0000}"/>
    <cellStyle name="Célula Vinculada 101" xfId="7109" xr:uid="{00000000-0005-0000-0000-0000951D0000}"/>
    <cellStyle name="Célula Vinculada 102" xfId="7110" xr:uid="{00000000-0005-0000-0000-0000961D0000}"/>
    <cellStyle name="Célula Vinculada 103" xfId="7111" xr:uid="{00000000-0005-0000-0000-0000971D0000}"/>
    <cellStyle name="Célula Vinculada 104" xfId="7112" xr:uid="{00000000-0005-0000-0000-0000981D0000}"/>
    <cellStyle name="Célula Vinculada 105" xfId="7113" xr:uid="{00000000-0005-0000-0000-0000991D0000}"/>
    <cellStyle name="Célula Vinculada 106" xfId="7114" xr:uid="{00000000-0005-0000-0000-00009A1D0000}"/>
    <cellStyle name="Célula Vinculada 107" xfId="7115" xr:uid="{00000000-0005-0000-0000-00009B1D0000}"/>
    <cellStyle name="Célula Vinculada 108" xfId="7116" xr:uid="{00000000-0005-0000-0000-00009C1D0000}"/>
    <cellStyle name="Célula Vinculada 109" xfId="7117" xr:uid="{00000000-0005-0000-0000-00009D1D0000}"/>
    <cellStyle name="Célula Vinculada 11" xfId="7118" xr:uid="{00000000-0005-0000-0000-00009E1D0000}"/>
    <cellStyle name="Célula Vinculada 11 2" xfId="40541" xr:uid="{00000000-0005-0000-0000-00009F1D0000}"/>
    <cellStyle name="Célula Vinculada 11 3" xfId="40540" xr:uid="{00000000-0005-0000-0000-0000A01D0000}"/>
    <cellStyle name="Célula Vinculada 110" xfId="7119" xr:uid="{00000000-0005-0000-0000-0000A11D0000}"/>
    <cellStyle name="Célula Vinculada 111" xfId="7120" xr:uid="{00000000-0005-0000-0000-0000A21D0000}"/>
    <cellStyle name="Célula Vinculada 112" xfId="7121" xr:uid="{00000000-0005-0000-0000-0000A31D0000}"/>
    <cellStyle name="Célula Vinculada 113" xfId="7122" xr:uid="{00000000-0005-0000-0000-0000A41D0000}"/>
    <cellStyle name="Célula Vinculada 114" xfId="7123" xr:uid="{00000000-0005-0000-0000-0000A51D0000}"/>
    <cellStyle name="Célula Vinculada 115" xfId="7124" xr:uid="{00000000-0005-0000-0000-0000A61D0000}"/>
    <cellStyle name="Célula Vinculada 116" xfId="7125" xr:uid="{00000000-0005-0000-0000-0000A71D0000}"/>
    <cellStyle name="Célula Vinculada 117" xfId="7126" xr:uid="{00000000-0005-0000-0000-0000A81D0000}"/>
    <cellStyle name="Célula Vinculada 118" xfId="7127" xr:uid="{00000000-0005-0000-0000-0000A91D0000}"/>
    <cellStyle name="Célula Vinculada 119" xfId="7128" xr:uid="{00000000-0005-0000-0000-0000AA1D0000}"/>
    <cellStyle name="Célula Vinculada 12" xfId="7129" xr:uid="{00000000-0005-0000-0000-0000AB1D0000}"/>
    <cellStyle name="Célula Vinculada 12 2" xfId="40543" xr:uid="{00000000-0005-0000-0000-0000AC1D0000}"/>
    <cellStyle name="Célula Vinculada 12 3" xfId="40542" xr:uid="{00000000-0005-0000-0000-0000AD1D0000}"/>
    <cellStyle name="Célula Vinculada 120" xfId="7130" xr:uid="{00000000-0005-0000-0000-0000AE1D0000}"/>
    <cellStyle name="Célula Vinculada 121" xfId="7131" xr:uid="{00000000-0005-0000-0000-0000AF1D0000}"/>
    <cellStyle name="Célula Vinculada 122" xfId="7132" xr:uid="{00000000-0005-0000-0000-0000B01D0000}"/>
    <cellStyle name="Célula Vinculada 123" xfId="7133" xr:uid="{00000000-0005-0000-0000-0000B11D0000}"/>
    <cellStyle name="Célula Vinculada 124" xfId="7134" xr:uid="{00000000-0005-0000-0000-0000B21D0000}"/>
    <cellStyle name="Célula Vinculada 125" xfId="7135" xr:uid="{00000000-0005-0000-0000-0000B31D0000}"/>
    <cellStyle name="Célula Vinculada 126" xfId="7136" xr:uid="{00000000-0005-0000-0000-0000B41D0000}"/>
    <cellStyle name="Célula Vinculada 127" xfId="7137" xr:uid="{00000000-0005-0000-0000-0000B51D0000}"/>
    <cellStyle name="Célula Vinculada 128" xfId="7138" xr:uid="{00000000-0005-0000-0000-0000B61D0000}"/>
    <cellStyle name="Célula Vinculada 129" xfId="7139" xr:uid="{00000000-0005-0000-0000-0000B71D0000}"/>
    <cellStyle name="Célula Vinculada 13" xfId="7140" xr:uid="{00000000-0005-0000-0000-0000B81D0000}"/>
    <cellStyle name="Célula Vinculada 13 2" xfId="40545" xr:uid="{00000000-0005-0000-0000-0000B91D0000}"/>
    <cellStyle name="Célula Vinculada 13 3" xfId="40544" xr:uid="{00000000-0005-0000-0000-0000BA1D0000}"/>
    <cellStyle name="Célula Vinculada 130" xfId="7141" xr:uid="{00000000-0005-0000-0000-0000BB1D0000}"/>
    <cellStyle name="Célula Vinculada 131" xfId="7142" xr:uid="{00000000-0005-0000-0000-0000BC1D0000}"/>
    <cellStyle name="Célula Vinculada 132" xfId="7143" xr:uid="{00000000-0005-0000-0000-0000BD1D0000}"/>
    <cellStyle name="Célula Vinculada 133" xfId="7144" xr:uid="{00000000-0005-0000-0000-0000BE1D0000}"/>
    <cellStyle name="Célula Vinculada 134" xfId="7145" xr:uid="{00000000-0005-0000-0000-0000BF1D0000}"/>
    <cellStyle name="Célula Vinculada 135" xfId="7146" xr:uid="{00000000-0005-0000-0000-0000C01D0000}"/>
    <cellStyle name="Célula Vinculada 136" xfId="7147" xr:uid="{00000000-0005-0000-0000-0000C11D0000}"/>
    <cellStyle name="Célula Vinculada 137" xfId="7148" xr:uid="{00000000-0005-0000-0000-0000C21D0000}"/>
    <cellStyle name="Célula Vinculada 138" xfId="7149" xr:uid="{00000000-0005-0000-0000-0000C31D0000}"/>
    <cellStyle name="Célula Vinculada 139" xfId="7150" xr:uid="{00000000-0005-0000-0000-0000C41D0000}"/>
    <cellStyle name="Célula Vinculada 14" xfId="7151" xr:uid="{00000000-0005-0000-0000-0000C51D0000}"/>
    <cellStyle name="Célula Vinculada 14 2" xfId="40546" xr:uid="{00000000-0005-0000-0000-0000C61D0000}"/>
    <cellStyle name="Célula Vinculada 140" xfId="7152" xr:uid="{00000000-0005-0000-0000-0000C71D0000}"/>
    <cellStyle name="Célula Vinculada 141" xfId="7153" xr:uid="{00000000-0005-0000-0000-0000C81D0000}"/>
    <cellStyle name="Célula Vinculada 142" xfId="7154" xr:uid="{00000000-0005-0000-0000-0000C91D0000}"/>
    <cellStyle name="Célula Vinculada 143" xfId="7155" xr:uid="{00000000-0005-0000-0000-0000CA1D0000}"/>
    <cellStyle name="Célula Vinculada 144" xfId="7156" xr:uid="{00000000-0005-0000-0000-0000CB1D0000}"/>
    <cellStyle name="Célula Vinculada 145" xfId="7157" xr:uid="{00000000-0005-0000-0000-0000CC1D0000}"/>
    <cellStyle name="Célula Vinculada 146" xfId="7158" xr:uid="{00000000-0005-0000-0000-0000CD1D0000}"/>
    <cellStyle name="Célula Vinculada 147" xfId="7159" xr:uid="{00000000-0005-0000-0000-0000CE1D0000}"/>
    <cellStyle name="Célula Vinculada 148" xfId="7160" xr:uid="{00000000-0005-0000-0000-0000CF1D0000}"/>
    <cellStyle name="Célula Vinculada 149" xfId="7161" xr:uid="{00000000-0005-0000-0000-0000D01D0000}"/>
    <cellStyle name="Célula Vinculada 15" xfId="7162" xr:uid="{00000000-0005-0000-0000-0000D11D0000}"/>
    <cellStyle name="Célula Vinculada 15 2" xfId="7163" xr:uid="{00000000-0005-0000-0000-0000D21D0000}"/>
    <cellStyle name="Célula Vinculada 15 3" xfId="7164" xr:uid="{00000000-0005-0000-0000-0000D31D0000}"/>
    <cellStyle name="Célula Vinculada 15 4" xfId="40547" xr:uid="{00000000-0005-0000-0000-0000D41D0000}"/>
    <cellStyle name="Célula Vinculada 150" xfId="7165" xr:uid="{00000000-0005-0000-0000-0000D51D0000}"/>
    <cellStyle name="Célula Vinculada 151" xfId="7166" xr:uid="{00000000-0005-0000-0000-0000D61D0000}"/>
    <cellStyle name="Célula Vinculada 152" xfId="7167" xr:uid="{00000000-0005-0000-0000-0000D71D0000}"/>
    <cellStyle name="Célula Vinculada 153" xfId="7168" xr:uid="{00000000-0005-0000-0000-0000D81D0000}"/>
    <cellStyle name="Célula Vinculada 154" xfId="7169" xr:uid="{00000000-0005-0000-0000-0000D91D0000}"/>
    <cellStyle name="Célula Vinculada 155" xfId="7170" xr:uid="{00000000-0005-0000-0000-0000DA1D0000}"/>
    <cellStyle name="Célula Vinculada 156" xfId="7171" xr:uid="{00000000-0005-0000-0000-0000DB1D0000}"/>
    <cellStyle name="Célula Vinculada 157" xfId="7172" xr:uid="{00000000-0005-0000-0000-0000DC1D0000}"/>
    <cellStyle name="Célula Vinculada 158" xfId="7173" xr:uid="{00000000-0005-0000-0000-0000DD1D0000}"/>
    <cellStyle name="Célula Vinculada 159" xfId="7174" xr:uid="{00000000-0005-0000-0000-0000DE1D0000}"/>
    <cellStyle name="Célula Vinculada 16" xfId="7175" xr:uid="{00000000-0005-0000-0000-0000DF1D0000}"/>
    <cellStyle name="Célula Vinculada 16 2" xfId="7176" xr:uid="{00000000-0005-0000-0000-0000E01D0000}"/>
    <cellStyle name="Célula Vinculada 16 3" xfId="7177" xr:uid="{00000000-0005-0000-0000-0000E11D0000}"/>
    <cellStyle name="Célula Vinculada 16 4" xfId="40548" xr:uid="{00000000-0005-0000-0000-0000E21D0000}"/>
    <cellStyle name="Célula Vinculada 160" xfId="7178" xr:uid="{00000000-0005-0000-0000-0000E31D0000}"/>
    <cellStyle name="Célula Vinculada 161" xfId="7179" xr:uid="{00000000-0005-0000-0000-0000E41D0000}"/>
    <cellStyle name="Célula Vinculada 162" xfId="7180" xr:uid="{00000000-0005-0000-0000-0000E51D0000}"/>
    <cellStyle name="Célula Vinculada 163" xfId="7181" xr:uid="{00000000-0005-0000-0000-0000E61D0000}"/>
    <cellStyle name="Célula Vinculada 164" xfId="7182" xr:uid="{00000000-0005-0000-0000-0000E71D0000}"/>
    <cellStyle name="Célula Vinculada 165" xfId="7183" xr:uid="{00000000-0005-0000-0000-0000E81D0000}"/>
    <cellStyle name="Célula Vinculada 166" xfId="7184" xr:uid="{00000000-0005-0000-0000-0000E91D0000}"/>
    <cellStyle name="Célula Vinculada 167" xfId="7185" xr:uid="{00000000-0005-0000-0000-0000EA1D0000}"/>
    <cellStyle name="Célula Vinculada 168" xfId="7186" xr:uid="{00000000-0005-0000-0000-0000EB1D0000}"/>
    <cellStyle name="Célula Vinculada 169" xfId="7187" xr:uid="{00000000-0005-0000-0000-0000EC1D0000}"/>
    <cellStyle name="Célula Vinculada 17" xfId="7188" xr:uid="{00000000-0005-0000-0000-0000ED1D0000}"/>
    <cellStyle name="Célula Vinculada 17 2" xfId="7189" xr:uid="{00000000-0005-0000-0000-0000EE1D0000}"/>
    <cellStyle name="Célula Vinculada 17 3" xfId="7190" xr:uid="{00000000-0005-0000-0000-0000EF1D0000}"/>
    <cellStyle name="Célula Vinculada 17 4" xfId="40549" xr:uid="{00000000-0005-0000-0000-0000F01D0000}"/>
    <cellStyle name="Célula Vinculada 170" xfId="7191" xr:uid="{00000000-0005-0000-0000-0000F11D0000}"/>
    <cellStyle name="Célula Vinculada 171" xfId="7192" xr:uid="{00000000-0005-0000-0000-0000F21D0000}"/>
    <cellStyle name="Célula Vinculada 172" xfId="7193" xr:uid="{00000000-0005-0000-0000-0000F31D0000}"/>
    <cellStyle name="Célula Vinculada 173" xfId="7194" xr:uid="{00000000-0005-0000-0000-0000F41D0000}"/>
    <cellStyle name="Célula Vinculada 174" xfId="7195" xr:uid="{00000000-0005-0000-0000-0000F51D0000}"/>
    <cellStyle name="Célula Vinculada 175" xfId="7196" xr:uid="{00000000-0005-0000-0000-0000F61D0000}"/>
    <cellStyle name="Célula Vinculada 176" xfId="7197" xr:uid="{00000000-0005-0000-0000-0000F71D0000}"/>
    <cellStyle name="Célula Vinculada 177" xfId="7198" xr:uid="{00000000-0005-0000-0000-0000F81D0000}"/>
    <cellStyle name="Célula Vinculada 178" xfId="7199" xr:uid="{00000000-0005-0000-0000-0000F91D0000}"/>
    <cellStyle name="Célula Vinculada 179" xfId="7200" xr:uid="{00000000-0005-0000-0000-0000FA1D0000}"/>
    <cellStyle name="Célula Vinculada 18" xfId="7201" xr:uid="{00000000-0005-0000-0000-0000FB1D0000}"/>
    <cellStyle name="Célula Vinculada 18 2" xfId="7202" xr:uid="{00000000-0005-0000-0000-0000FC1D0000}"/>
    <cellStyle name="Célula Vinculada 18 3" xfId="7203" xr:uid="{00000000-0005-0000-0000-0000FD1D0000}"/>
    <cellStyle name="Célula Vinculada 18 4" xfId="40550" xr:uid="{00000000-0005-0000-0000-0000FE1D0000}"/>
    <cellStyle name="Célula Vinculada 180" xfId="7204" xr:uid="{00000000-0005-0000-0000-0000FF1D0000}"/>
    <cellStyle name="Célula Vinculada 181" xfId="7205" xr:uid="{00000000-0005-0000-0000-0000001E0000}"/>
    <cellStyle name="Célula Vinculada 182" xfId="7206" xr:uid="{00000000-0005-0000-0000-0000011E0000}"/>
    <cellStyle name="Célula Vinculada 183" xfId="7207" xr:uid="{00000000-0005-0000-0000-0000021E0000}"/>
    <cellStyle name="Célula Vinculada 184" xfId="7208" xr:uid="{00000000-0005-0000-0000-0000031E0000}"/>
    <cellStyle name="Célula Vinculada 185" xfId="7209" xr:uid="{00000000-0005-0000-0000-0000041E0000}"/>
    <cellStyle name="Célula Vinculada 186" xfId="7210" xr:uid="{00000000-0005-0000-0000-0000051E0000}"/>
    <cellStyle name="Célula Vinculada 187" xfId="7211" xr:uid="{00000000-0005-0000-0000-0000061E0000}"/>
    <cellStyle name="Célula Vinculada 188" xfId="7212" xr:uid="{00000000-0005-0000-0000-0000071E0000}"/>
    <cellStyle name="Célula Vinculada 189" xfId="7213" xr:uid="{00000000-0005-0000-0000-0000081E0000}"/>
    <cellStyle name="Célula Vinculada 19" xfId="7214" xr:uid="{00000000-0005-0000-0000-0000091E0000}"/>
    <cellStyle name="Célula Vinculada 19 2" xfId="7215" xr:uid="{00000000-0005-0000-0000-00000A1E0000}"/>
    <cellStyle name="Célula Vinculada 19 3" xfId="7216" xr:uid="{00000000-0005-0000-0000-00000B1E0000}"/>
    <cellStyle name="Célula Vinculada 19 4" xfId="40551" xr:uid="{00000000-0005-0000-0000-00000C1E0000}"/>
    <cellStyle name="Célula Vinculada 190" xfId="7217" xr:uid="{00000000-0005-0000-0000-00000D1E0000}"/>
    <cellStyle name="Célula Vinculada 191" xfId="40449" xr:uid="{00000000-0005-0000-0000-00000E1E0000}"/>
    <cellStyle name="Célula Vinculada 2" xfId="7218" xr:uid="{00000000-0005-0000-0000-00000F1E0000}"/>
    <cellStyle name="Célula Vinculada 2 10" xfId="7219" xr:uid="{00000000-0005-0000-0000-0000101E0000}"/>
    <cellStyle name="Célula Vinculada 2 10 2" xfId="7220" xr:uid="{00000000-0005-0000-0000-0000111E0000}"/>
    <cellStyle name="Célula Vinculada 2 10 3" xfId="7221" xr:uid="{00000000-0005-0000-0000-0000121E0000}"/>
    <cellStyle name="Célula Vinculada 2 10 4" xfId="7222" xr:uid="{00000000-0005-0000-0000-0000131E0000}"/>
    <cellStyle name="Célula Vinculada 2 10 5" xfId="7223" xr:uid="{00000000-0005-0000-0000-0000141E0000}"/>
    <cellStyle name="Célula Vinculada 2 10 6" xfId="7224" xr:uid="{00000000-0005-0000-0000-0000151E0000}"/>
    <cellStyle name="Célula Vinculada 2 10 7" xfId="7225" xr:uid="{00000000-0005-0000-0000-0000161E0000}"/>
    <cellStyle name="Célula Vinculada 2 11" xfId="7226" xr:uid="{00000000-0005-0000-0000-0000171E0000}"/>
    <cellStyle name="Célula Vinculada 2 11 2" xfId="7227" xr:uid="{00000000-0005-0000-0000-0000181E0000}"/>
    <cellStyle name="Célula Vinculada 2 11 3" xfId="7228" xr:uid="{00000000-0005-0000-0000-0000191E0000}"/>
    <cellStyle name="Célula Vinculada 2 11 4" xfId="7229" xr:uid="{00000000-0005-0000-0000-00001A1E0000}"/>
    <cellStyle name="Célula Vinculada 2 11 5" xfId="7230" xr:uid="{00000000-0005-0000-0000-00001B1E0000}"/>
    <cellStyle name="Célula Vinculada 2 11 6" xfId="7231" xr:uid="{00000000-0005-0000-0000-00001C1E0000}"/>
    <cellStyle name="Célula Vinculada 2 11 7" xfId="7232" xr:uid="{00000000-0005-0000-0000-00001D1E0000}"/>
    <cellStyle name="Célula Vinculada 2 12" xfId="7233" xr:uid="{00000000-0005-0000-0000-00001E1E0000}"/>
    <cellStyle name="Célula Vinculada 2 13" xfId="7234" xr:uid="{00000000-0005-0000-0000-00001F1E0000}"/>
    <cellStyle name="Célula Vinculada 2 14" xfId="7235" xr:uid="{00000000-0005-0000-0000-0000201E0000}"/>
    <cellStyle name="Célula Vinculada 2 15" xfId="7236" xr:uid="{00000000-0005-0000-0000-0000211E0000}"/>
    <cellStyle name="Célula Vinculada 2 16" xfId="7237" xr:uid="{00000000-0005-0000-0000-0000221E0000}"/>
    <cellStyle name="Célula Vinculada 2 17" xfId="7238" xr:uid="{00000000-0005-0000-0000-0000231E0000}"/>
    <cellStyle name="Célula Vinculada 2 18" xfId="7239" xr:uid="{00000000-0005-0000-0000-0000241E0000}"/>
    <cellStyle name="Célula Vinculada 2 19" xfId="7240" xr:uid="{00000000-0005-0000-0000-0000251E0000}"/>
    <cellStyle name="Célula Vinculada 2 2" xfId="7241" xr:uid="{00000000-0005-0000-0000-0000261E0000}"/>
    <cellStyle name="Célula Vinculada 2 2 2" xfId="40552" xr:uid="{00000000-0005-0000-0000-0000271E0000}"/>
    <cellStyle name="Célula Vinculada 2 20" xfId="7242" xr:uid="{00000000-0005-0000-0000-0000281E0000}"/>
    <cellStyle name="Célula Vinculada 2 21" xfId="7243" xr:uid="{00000000-0005-0000-0000-0000291E0000}"/>
    <cellStyle name="Célula Vinculada 2 22" xfId="7244" xr:uid="{00000000-0005-0000-0000-00002A1E0000}"/>
    <cellStyle name="Célula Vinculada 2 23" xfId="7245" xr:uid="{00000000-0005-0000-0000-00002B1E0000}"/>
    <cellStyle name="Célula Vinculada 2 24" xfId="7246" xr:uid="{00000000-0005-0000-0000-00002C1E0000}"/>
    <cellStyle name="Célula Vinculada 2 25" xfId="7247" xr:uid="{00000000-0005-0000-0000-00002D1E0000}"/>
    <cellStyle name="Célula Vinculada 2 26" xfId="7248" xr:uid="{00000000-0005-0000-0000-00002E1E0000}"/>
    <cellStyle name="Célula Vinculada 2 27" xfId="7249" xr:uid="{00000000-0005-0000-0000-00002F1E0000}"/>
    <cellStyle name="Célula Vinculada 2 28" xfId="7250" xr:uid="{00000000-0005-0000-0000-0000301E0000}"/>
    <cellStyle name="Célula Vinculada 2 29" xfId="7251" xr:uid="{00000000-0005-0000-0000-0000311E0000}"/>
    <cellStyle name="Célula Vinculada 2 3" xfId="7252" xr:uid="{00000000-0005-0000-0000-0000321E0000}"/>
    <cellStyle name="Célula Vinculada 2 3 2" xfId="40553" xr:uid="{00000000-0005-0000-0000-0000331E0000}"/>
    <cellStyle name="Célula Vinculada 2 30" xfId="7253" xr:uid="{00000000-0005-0000-0000-0000341E0000}"/>
    <cellStyle name="Célula Vinculada 2 31" xfId="7254" xr:uid="{00000000-0005-0000-0000-0000351E0000}"/>
    <cellStyle name="Célula Vinculada 2 32" xfId="7255" xr:uid="{00000000-0005-0000-0000-0000361E0000}"/>
    <cellStyle name="Célula Vinculada 2 33" xfId="7256" xr:uid="{00000000-0005-0000-0000-0000371E0000}"/>
    <cellStyle name="Célula Vinculada 2 34" xfId="7257" xr:uid="{00000000-0005-0000-0000-0000381E0000}"/>
    <cellStyle name="Célula Vinculada 2 35" xfId="7258" xr:uid="{00000000-0005-0000-0000-0000391E0000}"/>
    <cellStyle name="Célula Vinculada 2 36" xfId="40454" xr:uid="{00000000-0005-0000-0000-00003A1E0000}"/>
    <cellStyle name="Célula Vinculada 2 4" xfId="7259" xr:uid="{00000000-0005-0000-0000-00003B1E0000}"/>
    <cellStyle name="Célula Vinculada 2 4 2" xfId="40554" xr:uid="{00000000-0005-0000-0000-00003C1E0000}"/>
    <cellStyle name="Célula Vinculada 2 5" xfId="7260" xr:uid="{00000000-0005-0000-0000-00003D1E0000}"/>
    <cellStyle name="Célula Vinculada 2 5 2" xfId="40555" xr:uid="{00000000-0005-0000-0000-00003E1E0000}"/>
    <cellStyle name="Célula Vinculada 2 6" xfId="7261" xr:uid="{00000000-0005-0000-0000-00003F1E0000}"/>
    <cellStyle name="Célula Vinculada 2 6 2" xfId="40556" xr:uid="{00000000-0005-0000-0000-0000401E0000}"/>
    <cellStyle name="Célula Vinculada 2 7" xfId="7262" xr:uid="{00000000-0005-0000-0000-0000411E0000}"/>
    <cellStyle name="Célula Vinculada 2 7 2" xfId="40557" xr:uid="{00000000-0005-0000-0000-0000421E0000}"/>
    <cellStyle name="Célula Vinculada 2 8" xfId="7263" xr:uid="{00000000-0005-0000-0000-0000431E0000}"/>
    <cellStyle name="Célula Vinculada 2 8 2" xfId="7264" xr:uid="{00000000-0005-0000-0000-0000441E0000}"/>
    <cellStyle name="Célula Vinculada 2 8 3" xfId="7265" xr:uid="{00000000-0005-0000-0000-0000451E0000}"/>
    <cellStyle name="Célula Vinculada 2 8 4" xfId="7266" xr:uid="{00000000-0005-0000-0000-0000461E0000}"/>
    <cellStyle name="Célula Vinculada 2 8 5" xfId="7267" xr:uid="{00000000-0005-0000-0000-0000471E0000}"/>
    <cellStyle name="Célula Vinculada 2 8 6" xfId="7268" xr:uid="{00000000-0005-0000-0000-0000481E0000}"/>
    <cellStyle name="Célula Vinculada 2 8 7" xfId="7269" xr:uid="{00000000-0005-0000-0000-0000491E0000}"/>
    <cellStyle name="Célula Vinculada 2 8 8" xfId="41034" xr:uid="{00000000-0005-0000-0000-00004A1E0000}"/>
    <cellStyle name="Célula Vinculada 2 9" xfId="7270" xr:uid="{00000000-0005-0000-0000-00004B1E0000}"/>
    <cellStyle name="Célula Vinculada 2 9 2" xfId="7271" xr:uid="{00000000-0005-0000-0000-00004C1E0000}"/>
    <cellStyle name="Célula Vinculada 2 9 3" xfId="7272" xr:uid="{00000000-0005-0000-0000-00004D1E0000}"/>
    <cellStyle name="Célula Vinculada 2 9 4" xfId="7273" xr:uid="{00000000-0005-0000-0000-00004E1E0000}"/>
    <cellStyle name="Célula Vinculada 2 9 5" xfId="7274" xr:uid="{00000000-0005-0000-0000-00004F1E0000}"/>
    <cellStyle name="Célula Vinculada 2 9 6" xfId="7275" xr:uid="{00000000-0005-0000-0000-0000501E0000}"/>
    <cellStyle name="Célula Vinculada 2 9 7" xfId="7276" xr:uid="{00000000-0005-0000-0000-0000511E0000}"/>
    <cellStyle name="Célula Vinculada 20" xfId="7277" xr:uid="{00000000-0005-0000-0000-0000521E0000}"/>
    <cellStyle name="Célula Vinculada 20 2" xfId="7278" xr:uid="{00000000-0005-0000-0000-0000531E0000}"/>
    <cellStyle name="Célula Vinculada 20 3" xfId="7279" xr:uid="{00000000-0005-0000-0000-0000541E0000}"/>
    <cellStyle name="Célula Vinculada 20 4" xfId="40558" xr:uid="{00000000-0005-0000-0000-0000551E0000}"/>
    <cellStyle name="Célula Vinculada 21" xfId="7280" xr:uid="{00000000-0005-0000-0000-0000561E0000}"/>
    <cellStyle name="Célula Vinculada 21 2" xfId="40559" xr:uid="{00000000-0005-0000-0000-0000571E0000}"/>
    <cellStyle name="Célula Vinculada 22" xfId="7281" xr:uid="{00000000-0005-0000-0000-0000581E0000}"/>
    <cellStyle name="Célula Vinculada 22 2" xfId="40560" xr:uid="{00000000-0005-0000-0000-0000591E0000}"/>
    <cellStyle name="Célula Vinculada 23" xfId="7282" xr:uid="{00000000-0005-0000-0000-00005A1E0000}"/>
    <cellStyle name="Célula Vinculada 23 2" xfId="40561" xr:uid="{00000000-0005-0000-0000-00005B1E0000}"/>
    <cellStyle name="Célula Vinculada 24" xfId="7283" xr:uid="{00000000-0005-0000-0000-00005C1E0000}"/>
    <cellStyle name="Célula Vinculada 24 2" xfId="40947" xr:uid="{00000000-0005-0000-0000-00005D1E0000}"/>
    <cellStyle name="Célula Vinculada 25" xfId="7284" xr:uid="{00000000-0005-0000-0000-00005E1E0000}"/>
    <cellStyle name="Célula Vinculada 25 2" xfId="40982" xr:uid="{00000000-0005-0000-0000-00005F1E0000}"/>
    <cellStyle name="Célula Vinculada 26" xfId="7285" xr:uid="{00000000-0005-0000-0000-0000601E0000}"/>
    <cellStyle name="Célula Vinculada 26 10" xfId="7286" xr:uid="{00000000-0005-0000-0000-0000611E0000}"/>
    <cellStyle name="Célula Vinculada 26 11" xfId="7287" xr:uid="{00000000-0005-0000-0000-0000621E0000}"/>
    <cellStyle name="Célula Vinculada 26 12" xfId="7288" xr:uid="{00000000-0005-0000-0000-0000631E0000}"/>
    <cellStyle name="Célula Vinculada 26 13" xfId="7289" xr:uid="{00000000-0005-0000-0000-0000641E0000}"/>
    <cellStyle name="Célula Vinculada 26 14" xfId="7290" xr:uid="{00000000-0005-0000-0000-0000651E0000}"/>
    <cellStyle name="Célula Vinculada 26 15" xfId="7291" xr:uid="{00000000-0005-0000-0000-0000661E0000}"/>
    <cellStyle name="Célula Vinculada 26 16" xfId="7292" xr:uid="{00000000-0005-0000-0000-0000671E0000}"/>
    <cellStyle name="Célula Vinculada 26 17" xfId="41000" xr:uid="{00000000-0005-0000-0000-0000681E0000}"/>
    <cellStyle name="Célula Vinculada 26 2" xfId="7293" xr:uid="{00000000-0005-0000-0000-0000691E0000}"/>
    <cellStyle name="Célula Vinculada 26 3" xfId="7294" xr:uid="{00000000-0005-0000-0000-00006A1E0000}"/>
    <cellStyle name="Célula Vinculada 26 4" xfId="7295" xr:uid="{00000000-0005-0000-0000-00006B1E0000}"/>
    <cellStyle name="Célula Vinculada 26 5" xfId="7296" xr:uid="{00000000-0005-0000-0000-00006C1E0000}"/>
    <cellStyle name="Célula Vinculada 26 6" xfId="7297" xr:uid="{00000000-0005-0000-0000-00006D1E0000}"/>
    <cellStyle name="Célula Vinculada 26 7" xfId="7298" xr:uid="{00000000-0005-0000-0000-00006E1E0000}"/>
    <cellStyle name="Célula Vinculada 26 8" xfId="7299" xr:uid="{00000000-0005-0000-0000-00006F1E0000}"/>
    <cellStyle name="Célula Vinculada 26 9" xfId="7300" xr:uid="{00000000-0005-0000-0000-0000701E0000}"/>
    <cellStyle name="Célula Vinculada 27" xfId="7301" xr:uid="{00000000-0005-0000-0000-0000711E0000}"/>
    <cellStyle name="Célula Vinculada 27 10" xfId="7302" xr:uid="{00000000-0005-0000-0000-0000721E0000}"/>
    <cellStyle name="Célula Vinculada 27 11" xfId="7303" xr:uid="{00000000-0005-0000-0000-0000731E0000}"/>
    <cellStyle name="Célula Vinculada 27 12" xfId="7304" xr:uid="{00000000-0005-0000-0000-0000741E0000}"/>
    <cellStyle name="Célula Vinculada 27 13" xfId="7305" xr:uid="{00000000-0005-0000-0000-0000751E0000}"/>
    <cellStyle name="Célula Vinculada 27 14" xfId="7306" xr:uid="{00000000-0005-0000-0000-0000761E0000}"/>
    <cellStyle name="Célula Vinculada 27 15" xfId="7307" xr:uid="{00000000-0005-0000-0000-0000771E0000}"/>
    <cellStyle name="Célula Vinculada 27 16" xfId="7308" xr:uid="{00000000-0005-0000-0000-0000781E0000}"/>
    <cellStyle name="Célula Vinculada 27 2" xfId="7309" xr:uid="{00000000-0005-0000-0000-0000791E0000}"/>
    <cellStyle name="Célula Vinculada 27 3" xfId="7310" xr:uid="{00000000-0005-0000-0000-00007A1E0000}"/>
    <cellStyle name="Célula Vinculada 27 4" xfId="7311" xr:uid="{00000000-0005-0000-0000-00007B1E0000}"/>
    <cellStyle name="Célula Vinculada 27 5" xfId="7312" xr:uid="{00000000-0005-0000-0000-00007C1E0000}"/>
    <cellStyle name="Célula Vinculada 27 6" xfId="7313" xr:uid="{00000000-0005-0000-0000-00007D1E0000}"/>
    <cellStyle name="Célula Vinculada 27 7" xfId="7314" xr:uid="{00000000-0005-0000-0000-00007E1E0000}"/>
    <cellStyle name="Célula Vinculada 27 8" xfId="7315" xr:uid="{00000000-0005-0000-0000-00007F1E0000}"/>
    <cellStyle name="Célula Vinculada 27 9" xfId="7316" xr:uid="{00000000-0005-0000-0000-0000801E0000}"/>
    <cellStyle name="Célula Vinculada 28" xfId="7317" xr:uid="{00000000-0005-0000-0000-0000811E0000}"/>
    <cellStyle name="Célula Vinculada 28 10" xfId="7318" xr:uid="{00000000-0005-0000-0000-0000821E0000}"/>
    <cellStyle name="Célula Vinculada 28 11" xfId="7319" xr:uid="{00000000-0005-0000-0000-0000831E0000}"/>
    <cellStyle name="Célula Vinculada 28 12" xfId="7320" xr:uid="{00000000-0005-0000-0000-0000841E0000}"/>
    <cellStyle name="Célula Vinculada 28 13" xfId="7321" xr:uid="{00000000-0005-0000-0000-0000851E0000}"/>
    <cellStyle name="Célula Vinculada 28 14" xfId="7322" xr:uid="{00000000-0005-0000-0000-0000861E0000}"/>
    <cellStyle name="Célula Vinculada 28 15" xfId="7323" xr:uid="{00000000-0005-0000-0000-0000871E0000}"/>
    <cellStyle name="Célula Vinculada 28 16" xfId="7324" xr:uid="{00000000-0005-0000-0000-0000881E0000}"/>
    <cellStyle name="Célula Vinculada 28 2" xfId="7325" xr:uid="{00000000-0005-0000-0000-0000891E0000}"/>
    <cellStyle name="Célula Vinculada 28 3" xfId="7326" xr:uid="{00000000-0005-0000-0000-00008A1E0000}"/>
    <cellStyle name="Célula Vinculada 28 4" xfId="7327" xr:uid="{00000000-0005-0000-0000-00008B1E0000}"/>
    <cellStyle name="Célula Vinculada 28 5" xfId="7328" xr:uid="{00000000-0005-0000-0000-00008C1E0000}"/>
    <cellStyle name="Célula Vinculada 28 6" xfId="7329" xr:uid="{00000000-0005-0000-0000-00008D1E0000}"/>
    <cellStyle name="Célula Vinculada 28 7" xfId="7330" xr:uid="{00000000-0005-0000-0000-00008E1E0000}"/>
    <cellStyle name="Célula Vinculada 28 8" xfId="7331" xr:uid="{00000000-0005-0000-0000-00008F1E0000}"/>
    <cellStyle name="Célula Vinculada 28 9" xfId="7332" xr:uid="{00000000-0005-0000-0000-0000901E0000}"/>
    <cellStyle name="Célula Vinculada 29" xfId="7333" xr:uid="{00000000-0005-0000-0000-0000911E0000}"/>
    <cellStyle name="Célula Vinculada 29 10" xfId="7334" xr:uid="{00000000-0005-0000-0000-0000921E0000}"/>
    <cellStyle name="Célula Vinculada 29 11" xfId="7335" xr:uid="{00000000-0005-0000-0000-0000931E0000}"/>
    <cellStyle name="Célula Vinculada 29 12" xfId="7336" xr:uid="{00000000-0005-0000-0000-0000941E0000}"/>
    <cellStyle name="Célula Vinculada 29 13" xfId="7337" xr:uid="{00000000-0005-0000-0000-0000951E0000}"/>
    <cellStyle name="Célula Vinculada 29 14" xfId="7338" xr:uid="{00000000-0005-0000-0000-0000961E0000}"/>
    <cellStyle name="Célula Vinculada 29 15" xfId="7339" xr:uid="{00000000-0005-0000-0000-0000971E0000}"/>
    <cellStyle name="Célula Vinculada 29 16" xfId="7340" xr:uid="{00000000-0005-0000-0000-0000981E0000}"/>
    <cellStyle name="Célula Vinculada 29 2" xfId="7341" xr:uid="{00000000-0005-0000-0000-0000991E0000}"/>
    <cellStyle name="Célula Vinculada 29 3" xfId="7342" xr:uid="{00000000-0005-0000-0000-00009A1E0000}"/>
    <cellStyle name="Célula Vinculada 29 4" xfId="7343" xr:uid="{00000000-0005-0000-0000-00009B1E0000}"/>
    <cellStyle name="Célula Vinculada 29 5" xfId="7344" xr:uid="{00000000-0005-0000-0000-00009C1E0000}"/>
    <cellStyle name="Célula Vinculada 29 6" xfId="7345" xr:uid="{00000000-0005-0000-0000-00009D1E0000}"/>
    <cellStyle name="Célula Vinculada 29 7" xfId="7346" xr:uid="{00000000-0005-0000-0000-00009E1E0000}"/>
    <cellStyle name="Célula Vinculada 29 8" xfId="7347" xr:uid="{00000000-0005-0000-0000-00009F1E0000}"/>
    <cellStyle name="Célula Vinculada 29 9" xfId="7348" xr:uid="{00000000-0005-0000-0000-0000A01E0000}"/>
    <cellStyle name="Célula Vinculada 3" xfId="7349" xr:uid="{00000000-0005-0000-0000-0000A11E0000}"/>
    <cellStyle name="Célula Vinculada 3 10" xfId="7350" xr:uid="{00000000-0005-0000-0000-0000A21E0000}"/>
    <cellStyle name="Célula Vinculada 3 11" xfId="7351" xr:uid="{00000000-0005-0000-0000-0000A31E0000}"/>
    <cellStyle name="Célula Vinculada 3 12" xfId="40562" xr:uid="{00000000-0005-0000-0000-0000A41E0000}"/>
    <cellStyle name="Célula Vinculada 3 2" xfId="7352" xr:uid="{00000000-0005-0000-0000-0000A51E0000}"/>
    <cellStyle name="Célula Vinculada 3 2 2" xfId="40563" xr:uid="{00000000-0005-0000-0000-0000A61E0000}"/>
    <cellStyle name="Célula Vinculada 3 3" xfId="7353" xr:uid="{00000000-0005-0000-0000-0000A71E0000}"/>
    <cellStyle name="Célula Vinculada 3 3 2" xfId="40564" xr:uid="{00000000-0005-0000-0000-0000A81E0000}"/>
    <cellStyle name="Célula Vinculada 3 4" xfId="7354" xr:uid="{00000000-0005-0000-0000-0000A91E0000}"/>
    <cellStyle name="Célula Vinculada 3 4 2" xfId="40565" xr:uid="{00000000-0005-0000-0000-0000AA1E0000}"/>
    <cellStyle name="Célula Vinculada 3 5" xfId="7355" xr:uid="{00000000-0005-0000-0000-0000AB1E0000}"/>
    <cellStyle name="Célula Vinculada 3 6" xfId="7356" xr:uid="{00000000-0005-0000-0000-0000AC1E0000}"/>
    <cellStyle name="Célula Vinculada 3 7" xfId="7357" xr:uid="{00000000-0005-0000-0000-0000AD1E0000}"/>
    <cellStyle name="Célula Vinculada 3 8" xfId="7358" xr:uid="{00000000-0005-0000-0000-0000AE1E0000}"/>
    <cellStyle name="Célula Vinculada 3 9" xfId="7359" xr:uid="{00000000-0005-0000-0000-0000AF1E0000}"/>
    <cellStyle name="Célula Vinculada 30" xfId="7360" xr:uid="{00000000-0005-0000-0000-0000B01E0000}"/>
    <cellStyle name="Célula Vinculada 31" xfId="7361" xr:uid="{00000000-0005-0000-0000-0000B11E0000}"/>
    <cellStyle name="Célula Vinculada 32" xfId="7362" xr:uid="{00000000-0005-0000-0000-0000B21E0000}"/>
    <cellStyle name="Célula Vinculada 33" xfId="7363" xr:uid="{00000000-0005-0000-0000-0000B31E0000}"/>
    <cellStyle name="Célula Vinculada 34" xfId="7364" xr:uid="{00000000-0005-0000-0000-0000B41E0000}"/>
    <cellStyle name="Célula Vinculada 35" xfId="7365" xr:uid="{00000000-0005-0000-0000-0000B51E0000}"/>
    <cellStyle name="Célula Vinculada 36" xfId="7366" xr:uid="{00000000-0005-0000-0000-0000B61E0000}"/>
    <cellStyle name="Célula Vinculada 37" xfId="7367" xr:uid="{00000000-0005-0000-0000-0000B71E0000}"/>
    <cellStyle name="Célula Vinculada 38" xfId="7368" xr:uid="{00000000-0005-0000-0000-0000B81E0000}"/>
    <cellStyle name="Célula Vinculada 39" xfId="7369" xr:uid="{00000000-0005-0000-0000-0000B91E0000}"/>
    <cellStyle name="Célula Vinculada 4" xfId="7370" xr:uid="{00000000-0005-0000-0000-0000BA1E0000}"/>
    <cellStyle name="Célula Vinculada 4 10" xfId="7371" xr:uid="{00000000-0005-0000-0000-0000BB1E0000}"/>
    <cellStyle name="Célula Vinculada 4 11" xfId="7372" xr:uid="{00000000-0005-0000-0000-0000BC1E0000}"/>
    <cellStyle name="Célula Vinculada 4 12" xfId="40566" xr:uid="{00000000-0005-0000-0000-0000BD1E0000}"/>
    <cellStyle name="Célula Vinculada 4 2" xfId="7373" xr:uid="{00000000-0005-0000-0000-0000BE1E0000}"/>
    <cellStyle name="Célula Vinculada 4 2 2" xfId="40567" xr:uid="{00000000-0005-0000-0000-0000BF1E0000}"/>
    <cellStyle name="Célula Vinculada 4 3" xfId="7374" xr:uid="{00000000-0005-0000-0000-0000C01E0000}"/>
    <cellStyle name="Célula Vinculada 4 3 2" xfId="40568" xr:uid="{00000000-0005-0000-0000-0000C11E0000}"/>
    <cellStyle name="Célula Vinculada 4 4" xfId="7375" xr:uid="{00000000-0005-0000-0000-0000C21E0000}"/>
    <cellStyle name="Célula Vinculada 4 4 2" xfId="40569" xr:uid="{00000000-0005-0000-0000-0000C31E0000}"/>
    <cellStyle name="Célula Vinculada 4 5" xfId="7376" xr:uid="{00000000-0005-0000-0000-0000C41E0000}"/>
    <cellStyle name="Célula Vinculada 4 6" xfId="7377" xr:uid="{00000000-0005-0000-0000-0000C51E0000}"/>
    <cellStyle name="Célula Vinculada 4 7" xfId="7378" xr:uid="{00000000-0005-0000-0000-0000C61E0000}"/>
    <cellStyle name="Célula Vinculada 4 8" xfId="7379" xr:uid="{00000000-0005-0000-0000-0000C71E0000}"/>
    <cellStyle name="Célula Vinculada 4 9" xfId="7380" xr:uid="{00000000-0005-0000-0000-0000C81E0000}"/>
    <cellStyle name="Célula Vinculada 40" xfId="7381" xr:uid="{00000000-0005-0000-0000-0000C91E0000}"/>
    <cellStyle name="Célula Vinculada 41" xfId="7382" xr:uid="{00000000-0005-0000-0000-0000CA1E0000}"/>
    <cellStyle name="Célula Vinculada 42" xfId="7383" xr:uid="{00000000-0005-0000-0000-0000CB1E0000}"/>
    <cellStyle name="Célula Vinculada 43" xfId="7384" xr:uid="{00000000-0005-0000-0000-0000CC1E0000}"/>
    <cellStyle name="Célula Vinculada 44" xfId="7385" xr:uid="{00000000-0005-0000-0000-0000CD1E0000}"/>
    <cellStyle name="Célula Vinculada 45" xfId="7386" xr:uid="{00000000-0005-0000-0000-0000CE1E0000}"/>
    <cellStyle name="Célula Vinculada 46" xfId="7387" xr:uid="{00000000-0005-0000-0000-0000CF1E0000}"/>
    <cellStyle name="Célula Vinculada 47" xfId="7388" xr:uid="{00000000-0005-0000-0000-0000D01E0000}"/>
    <cellStyle name="Célula Vinculada 48" xfId="7389" xr:uid="{00000000-0005-0000-0000-0000D11E0000}"/>
    <cellStyle name="Célula Vinculada 49" xfId="7390" xr:uid="{00000000-0005-0000-0000-0000D21E0000}"/>
    <cellStyle name="Célula Vinculada 5" xfId="7391" xr:uid="{00000000-0005-0000-0000-0000D31E0000}"/>
    <cellStyle name="Célula Vinculada 5 2" xfId="7392" xr:uid="{00000000-0005-0000-0000-0000D41E0000}"/>
    <cellStyle name="Célula Vinculada 5 3" xfId="7393" xr:uid="{00000000-0005-0000-0000-0000D51E0000}"/>
    <cellStyle name="Célula Vinculada 5 4" xfId="7394" xr:uid="{00000000-0005-0000-0000-0000D61E0000}"/>
    <cellStyle name="Célula Vinculada 5 5" xfId="40570" xr:uid="{00000000-0005-0000-0000-0000D71E0000}"/>
    <cellStyle name="Célula Vinculada 50" xfId="7395" xr:uid="{00000000-0005-0000-0000-0000D81E0000}"/>
    <cellStyle name="Célula Vinculada 51" xfId="7396" xr:uid="{00000000-0005-0000-0000-0000D91E0000}"/>
    <cellStyle name="Célula Vinculada 52" xfId="7397" xr:uid="{00000000-0005-0000-0000-0000DA1E0000}"/>
    <cellStyle name="Célula Vinculada 53" xfId="7398" xr:uid="{00000000-0005-0000-0000-0000DB1E0000}"/>
    <cellStyle name="Célula Vinculada 54" xfId="7399" xr:uid="{00000000-0005-0000-0000-0000DC1E0000}"/>
    <cellStyle name="Célula Vinculada 55" xfId="7400" xr:uid="{00000000-0005-0000-0000-0000DD1E0000}"/>
    <cellStyle name="Célula Vinculada 56" xfId="7401" xr:uid="{00000000-0005-0000-0000-0000DE1E0000}"/>
    <cellStyle name="Célula Vinculada 57" xfId="7402" xr:uid="{00000000-0005-0000-0000-0000DF1E0000}"/>
    <cellStyle name="Célula Vinculada 58" xfId="7403" xr:uid="{00000000-0005-0000-0000-0000E01E0000}"/>
    <cellStyle name="Célula Vinculada 59" xfId="7404" xr:uid="{00000000-0005-0000-0000-0000E11E0000}"/>
    <cellStyle name="Célula Vinculada 6" xfId="7405" xr:uid="{00000000-0005-0000-0000-0000E21E0000}"/>
    <cellStyle name="Célula Vinculada 6 2" xfId="7406" xr:uid="{00000000-0005-0000-0000-0000E31E0000}"/>
    <cellStyle name="Célula Vinculada 6 3" xfId="7407" xr:uid="{00000000-0005-0000-0000-0000E41E0000}"/>
    <cellStyle name="Célula Vinculada 6 4" xfId="7408" xr:uid="{00000000-0005-0000-0000-0000E51E0000}"/>
    <cellStyle name="Célula Vinculada 6 5" xfId="40571" xr:uid="{00000000-0005-0000-0000-0000E61E0000}"/>
    <cellStyle name="Célula Vinculada 60" xfId="7409" xr:uid="{00000000-0005-0000-0000-0000E71E0000}"/>
    <cellStyle name="Célula Vinculada 61" xfId="7410" xr:uid="{00000000-0005-0000-0000-0000E81E0000}"/>
    <cellStyle name="Célula Vinculada 62" xfId="7411" xr:uid="{00000000-0005-0000-0000-0000E91E0000}"/>
    <cellStyle name="Célula Vinculada 63" xfId="7412" xr:uid="{00000000-0005-0000-0000-0000EA1E0000}"/>
    <cellStyle name="Célula Vinculada 64" xfId="7413" xr:uid="{00000000-0005-0000-0000-0000EB1E0000}"/>
    <cellStyle name="Célula Vinculada 65" xfId="7414" xr:uid="{00000000-0005-0000-0000-0000EC1E0000}"/>
    <cellStyle name="Célula Vinculada 66" xfId="7415" xr:uid="{00000000-0005-0000-0000-0000ED1E0000}"/>
    <cellStyle name="Célula Vinculada 67" xfId="7416" xr:uid="{00000000-0005-0000-0000-0000EE1E0000}"/>
    <cellStyle name="Célula Vinculada 68" xfId="7417" xr:uid="{00000000-0005-0000-0000-0000EF1E0000}"/>
    <cellStyle name="Célula Vinculada 69" xfId="7418" xr:uid="{00000000-0005-0000-0000-0000F01E0000}"/>
    <cellStyle name="Célula Vinculada 7" xfId="7419" xr:uid="{00000000-0005-0000-0000-0000F11E0000}"/>
    <cellStyle name="Célula Vinculada 7 2" xfId="7420" xr:uid="{00000000-0005-0000-0000-0000F21E0000}"/>
    <cellStyle name="Célula Vinculada 7 3" xfId="7421" xr:uid="{00000000-0005-0000-0000-0000F31E0000}"/>
    <cellStyle name="Célula Vinculada 7 4" xfId="7422" xr:uid="{00000000-0005-0000-0000-0000F41E0000}"/>
    <cellStyle name="Célula Vinculada 7 5" xfId="40572" xr:uid="{00000000-0005-0000-0000-0000F51E0000}"/>
    <cellStyle name="Célula Vinculada 70" xfId="7423" xr:uid="{00000000-0005-0000-0000-0000F61E0000}"/>
    <cellStyle name="Célula Vinculada 71" xfId="7424" xr:uid="{00000000-0005-0000-0000-0000F71E0000}"/>
    <cellStyle name="Célula Vinculada 72" xfId="7425" xr:uid="{00000000-0005-0000-0000-0000F81E0000}"/>
    <cellStyle name="Célula Vinculada 73" xfId="7426" xr:uid="{00000000-0005-0000-0000-0000F91E0000}"/>
    <cellStyle name="Célula Vinculada 74" xfId="7427" xr:uid="{00000000-0005-0000-0000-0000FA1E0000}"/>
    <cellStyle name="Célula Vinculada 75" xfId="7428" xr:uid="{00000000-0005-0000-0000-0000FB1E0000}"/>
    <cellStyle name="Célula Vinculada 76" xfId="7429" xr:uid="{00000000-0005-0000-0000-0000FC1E0000}"/>
    <cellStyle name="Célula Vinculada 77" xfId="7430" xr:uid="{00000000-0005-0000-0000-0000FD1E0000}"/>
    <cellStyle name="Célula Vinculada 78" xfId="7431" xr:uid="{00000000-0005-0000-0000-0000FE1E0000}"/>
    <cellStyle name="Célula Vinculada 79" xfId="7432" xr:uid="{00000000-0005-0000-0000-0000FF1E0000}"/>
    <cellStyle name="Célula Vinculada 8" xfId="7433" xr:uid="{00000000-0005-0000-0000-0000001F0000}"/>
    <cellStyle name="Célula Vinculada 8 2" xfId="7434" xr:uid="{00000000-0005-0000-0000-0000011F0000}"/>
    <cellStyle name="Célula Vinculada 8 3" xfId="7435" xr:uid="{00000000-0005-0000-0000-0000021F0000}"/>
    <cellStyle name="Célula Vinculada 8 4" xfId="7436" xr:uid="{00000000-0005-0000-0000-0000031F0000}"/>
    <cellStyle name="Célula Vinculada 8 5" xfId="40573" xr:uid="{00000000-0005-0000-0000-0000041F0000}"/>
    <cellStyle name="Célula Vinculada 80" xfId="7437" xr:uid="{00000000-0005-0000-0000-0000051F0000}"/>
    <cellStyle name="Célula Vinculada 81" xfId="7438" xr:uid="{00000000-0005-0000-0000-0000061F0000}"/>
    <cellStyle name="Célula Vinculada 82" xfId="7439" xr:uid="{00000000-0005-0000-0000-0000071F0000}"/>
    <cellStyle name="Célula Vinculada 83" xfId="7440" xr:uid="{00000000-0005-0000-0000-0000081F0000}"/>
    <cellStyle name="Célula Vinculada 84" xfId="7441" xr:uid="{00000000-0005-0000-0000-0000091F0000}"/>
    <cellStyle name="Célula Vinculada 85" xfId="7442" xr:uid="{00000000-0005-0000-0000-00000A1F0000}"/>
    <cellStyle name="Célula Vinculada 86" xfId="7443" xr:uid="{00000000-0005-0000-0000-00000B1F0000}"/>
    <cellStyle name="Célula Vinculada 87" xfId="7444" xr:uid="{00000000-0005-0000-0000-00000C1F0000}"/>
    <cellStyle name="Célula Vinculada 88" xfId="7445" xr:uid="{00000000-0005-0000-0000-00000D1F0000}"/>
    <cellStyle name="Célula Vinculada 89" xfId="7446" xr:uid="{00000000-0005-0000-0000-00000E1F0000}"/>
    <cellStyle name="Célula Vinculada 9" xfId="7447" xr:uid="{00000000-0005-0000-0000-00000F1F0000}"/>
    <cellStyle name="Célula Vinculada 9 2" xfId="40574" xr:uid="{00000000-0005-0000-0000-0000101F0000}"/>
    <cellStyle name="Célula Vinculada 90" xfId="7448" xr:uid="{00000000-0005-0000-0000-0000111F0000}"/>
    <cellStyle name="Célula Vinculada 91" xfId="7449" xr:uid="{00000000-0005-0000-0000-0000121F0000}"/>
    <cellStyle name="Célula Vinculada 92" xfId="7450" xr:uid="{00000000-0005-0000-0000-0000131F0000}"/>
    <cellStyle name="Célula Vinculada 93" xfId="7451" xr:uid="{00000000-0005-0000-0000-0000141F0000}"/>
    <cellStyle name="Célula Vinculada 94" xfId="7452" xr:uid="{00000000-0005-0000-0000-0000151F0000}"/>
    <cellStyle name="Célula Vinculada 95" xfId="7453" xr:uid="{00000000-0005-0000-0000-0000161F0000}"/>
    <cellStyle name="Célula Vinculada 96" xfId="7454" xr:uid="{00000000-0005-0000-0000-0000171F0000}"/>
    <cellStyle name="Célula Vinculada 97" xfId="7455" xr:uid="{00000000-0005-0000-0000-0000181F0000}"/>
    <cellStyle name="Célula Vinculada 98" xfId="7456" xr:uid="{00000000-0005-0000-0000-0000191F0000}"/>
    <cellStyle name="Célula Vinculada 99" xfId="7457" xr:uid="{00000000-0005-0000-0000-00001A1F0000}"/>
    <cellStyle name="Data" xfId="7458" xr:uid="{00000000-0005-0000-0000-00001B1F0000}"/>
    <cellStyle name="Ênfase1 10" xfId="7459" xr:uid="{00000000-0005-0000-0000-00001C1F0000}"/>
    <cellStyle name="Ênfase1 10 2" xfId="40575" xr:uid="{00000000-0005-0000-0000-00001D1F0000}"/>
    <cellStyle name="Ênfase1 100" xfId="7460" xr:uid="{00000000-0005-0000-0000-00001E1F0000}"/>
    <cellStyle name="Ênfase1 101" xfId="7461" xr:uid="{00000000-0005-0000-0000-00001F1F0000}"/>
    <cellStyle name="Ênfase1 102" xfId="7462" xr:uid="{00000000-0005-0000-0000-0000201F0000}"/>
    <cellStyle name="Ênfase1 103" xfId="7463" xr:uid="{00000000-0005-0000-0000-0000211F0000}"/>
    <cellStyle name="Ênfase1 104" xfId="7464" xr:uid="{00000000-0005-0000-0000-0000221F0000}"/>
    <cellStyle name="Ênfase1 105" xfId="7465" xr:uid="{00000000-0005-0000-0000-0000231F0000}"/>
    <cellStyle name="Ênfase1 106" xfId="7466" xr:uid="{00000000-0005-0000-0000-0000241F0000}"/>
    <cellStyle name="Ênfase1 107" xfId="7467" xr:uid="{00000000-0005-0000-0000-0000251F0000}"/>
    <cellStyle name="Ênfase1 108" xfId="7468" xr:uid="{00000000-0005-0000-0000-0000261F0000}"/>
    <cellStyle name="Ênfase1 109" xfId="7469" xr:uid="{00000000-0005-0000-0000-0000271F0000}"/>
    <cellStyle name="Ênfase1 11" xfId="7470" xr:uid="{00000000-0005-0000-0000-0000281F0000}"/>
    <cellStyle name="Ênfase1 11 2" xfId="40576" xr:uid="{00000000-0005-0000-0000-0000291F0000}"/>
    <cellStyle name="Ênfase1 110" xfId="7471" xr:uid="{00000000-0005-0000-0000-00002A1F0000}"/>
    <cellStyle name="Ênfase1 111" xfId="7472" xr:uid="{00000000-0005-0000-0000-00002B1F0000}"/>
    <cellStyle name="Ênfase1 112" xfId="7473" xr:uid="{00000000-0005-0000-0000-00002C1F0000}"/>
    <cellStyle name="Ênfase1 113" xfId="7474" xr:uid="{00000000-0005-0000-0000-00002D1F0000}"/>
    <cellStyle name="Ênfase1 114" xfId="7475" xr:uid="{00000000-0005-0000-0000-00002E1F0000}"/>
    <cellStyle name="Ênfase1 115" xfId="7476" xr:uid="{00000000-0005-0000-0000-00002F1F0000}"/>
    <cellStyle name="Ênfase1 116" xfId="7477" xr:uid="{00000000-0005-0000-0000-0000301F0000}"/>
    <cellStyle name="Ênfase1 117" xfId="7478" xr:uid="{00000000-0005-0000-0000-0000311F0000}"/>
    <cellStyle name="Ênfase1 118" xfId="7479" xr:uid="{00000000-0005-0000-0000-0000321F0000}"/>
    <cellStyle name="Ênfase1 119" xfId="7480" xr:uid="{00000000-0005-0000-0000-0000331F0000}"/>
    <cellStyle name="Ênfase1 12" xfId="7481" xr:uid="{00000000-0005-0000-0000-0000341F0000}"/>
    <cellStyle name="Ênfase1 12 2" xfId="40577" xr:uid="{00000000-0005-0000-0000-0000351F0000}"/>
    <cellStyle name="Ênfase1 120" xfId="7482" xr:uid="{00000000-0005-0000-0000-0000361F0000}"/>
    <cellStyle name="Ênfase1 121" xfId="7483" xr:uid="{00000000-0005-0000-0000-0000371F0000}"/>
    <cellStyle name="Ênfase1 122" xfId="7484" xr:uid="{00000000-0005-0000-0000-0000381F0000}"/>
    <cellStyle name="Ênfase1 123" xfId="7485" xr:uid="{00000000-0005-0000-0000-0000391F0000}"/>
    <cellStyle name="Ênfase1 124" xfId="7486" xr:uid="{00000000-0005-0000-0000-00003A1F0000}"/>
    <cellStyle name="Ênfase1 125" xfId="7487" xr:uid="{00000000-0005-0000-0000-00003B1F0000}"/>
    <cellStyle name="Ênfase1 126" xfId="7488" xr:uid="{00000000-0005-0000-0000-00003C1F0000}"/>
    <cellStyle name="Ênfase1 127" xfId="7489" xr:uid="{00000000-0005-0000-0000-00003D1F0000}"/>
    <cellStyle name="Ênfase1 128" xfId="7490" xr:uid="{00000000-0005-0000-0000-00003E1F0000}"/>
    <cellStyle name="Ênfase1 129" xfId="7491" xr:uid="{00000000-0005-0000-0000-00003F1F0000}"/>
    <cellStyle name="Ênfase1 13" xfId="7492" xr:uid="{00000000-0005-0000-0000-0000401F0000}"/>
    <cellStyle name="Ênfase1 13 2" xfId="40578" xr:uid="{00000000-0005-0000-0000-0000411F0000}"/>
    <cellStyle name="Ênfase1 130" xfId="7493" xr:uid="{00000000-0005-0000-0000-0000421F0000}"/>
    <cellStyle name="Ênfase1 131" xfId="7494" xr:uid="{00000000-0005-0000-0000-0000431F0000}"/>
    <cellStyle name="Ênfase1 132" xfId="7495" xr:uid="{00000000-0005-0000-0000-0000441F0000}"/>
    <cellStyle name="Ênfase1 133" xfId="7496" xr:uid="{00000000-0005-0000-0000-0000451F0000}"/>
    <cellStyle name="Ênfase1 134" xfId="7497" xr:uid="{00000000-0005-0000-0000-0000461F0000}"/>
    <cellStyle name="Ênfase1 135" xfId="7498" xr:uid="{00000000-0005-0000-0000-0000471F0000}"/>
    <cellStyle name="Ênfase1 136" xfId="7499" xr:uid="{00000000-0005-0000-0000-0000481F0000}"/>
    <cellStyle name="Ênfase1 137" xfId="7500" xr:uid="{00000000-0005-0000-0000-0000491F0000}"/>
    <cellStyle name="Ênfase1 138" xfId="7501" xr:uid="{00000000-0005-0000-0000-00004A1F0000}"/>
    <cellStyle name="Ênfase1 139" xfId="7502" xr:uid="{00000000-0005-0000-0000-00004B1F0000}"/>
    <cellStyle name="Ênfase1 14" xfId="7503" xr:uid="{00000000-0005-0000-0000-00004C1F0000}"/>
    <cellStyle name="Ênfase1 140" xfId="7504" xr:uid="{00000000-0005-0000-0000-00004D1F0000}"/>
    <cellStyle name="Ênfase1 141" xfId="7505" xr:uid="{00000000-0005-0000-0000-00004E1F0000}"/>
    <cellStyle name="Ênfase1 142" xfId="7506" xr:uid="{00000000-0005-0000-0000-00004F1F0000}"/>
    <cellStyle name="Ênfase1 143" xfId="7507" xr:uid="{00000000-0005-0000-0000-0000501F0000}"/>
    <cellStyle name="Ênfase1 144" xfId="7508" xr:uid="{00000000-0005-0000-0000-0000511F0000}"/>
    <cellStyle name="Ênfase1 145" xfId="7509" xr:uid="{00000000-0005-0000-0000-0000521F0000}"/>
    <cellStyle name="Ênfase1 146" xfId="7510" xr:uid="{00000000-0005-0000-0000-0000531F0000}"/>
    <cellStyle name="Ênfase1 147" xfId="7511" xr:uid="{00000000-0005-0000-0000-0000541F0000}"/>
    <cellStyle name="Ênfase1 148" xfId="7512" xr:uid="{00000000-0005-0000-0000-0000551F0000}"/>
    <cellStyle name="Ênfase1 149" xfId="7513" xr:uid="{00000000-0005-0000-0000-0000561F0000}"/>
    <cellStyle name="Ênfase1 15" xfId="7514" xr:uid="{00000000-0005-0000-0000-0000571F0000}"/>
    <cellStyle name="Ênfase1 15 2" xfId="7515" xr:uid="{00000000-0005-0000-0000-0000581F0000}"/>
    <cellStyle name="Ênfase1 15 3" xfId="7516" xr:uid="{00000000-0005-0000-0000-0000591F0000}"/>
    <cellStyle name="Ênfase1 150" xfId="7517" xr:uid="{00000000-0005-0000-0000-00005A1F0000}"/>
    <cellStyle name="Ênfase1 151" xfId="7518" xr:uid="{00000000-0005-0000-0000-00005B1F0000}"/>
    <cellStyle name="Ênfase1 152" xfId="7519" xr:uid="{00000000-0005-0000-0000-00005C1F0000}"/>
    <cellStyle name="Ênfase1 153" xfId="7520" xr:uid="{00000000-0005-0000-0000-00005D1F0000}"/>
    <cellStyle name="Ênfase1 154" xfId="7521" xr:uid="{00000000-0005-0000-0000-00005E1F0000}"/>
    <cellStyle name="Ênfase1 155" xfId="7522" xr:uid="{00000000-0005-0000-0000-00005F1F0000}"/>
    <cellStyle name="Ênfase1 156" xfId="7523" xr:uid="{00000000-0005-0000-0000-0000601F0000}"/>
    <cellStyle name="Ênfase1 157" xfId="7524" xr:uid="{00000000-0005-0000-0000-0000611F0000}"/>
    <cellStyle name="Ênfase1 158" xfId="7525" xr:uid="{00000000-0005-0000-0000-0000621F0000}"/>
    <cellStyle name="Ênfase1 159" xfId="7526" xr:uid="{00000000-0005-0000-0000-0000631F0000}"/>
    <cellStyle name="Ênfase1 16" xfId="7527" xr:uid="{00000000-0005-0000-0000-0000641F0000}"/>
    <cellStyle name="Ênfase1 16 2" xfId="7528" xr:uid="{00000000-0005-0000-0000-0000651F0000}"/>
    <cellStyle name="Ênfase1 16 3" xfId="7529" xr:uid="{00000000-0005-0000-0000-0000661F0000}"/>
    <cellStyle name="Ênfase1 160" xfId="7530" xr:uid="{00000000-0005-0000-0000-0000671F0000}"/>
    <cellStyle name="Ênfase1 161" xfId="7531" xr:uid="{00000000-0005-0000-0000-0000681F0000}"/>
    <cellStyle name="Ênfase1 162" xfId="7532" xr:uid="{00000000-0005-0000-0000-0000691F0000}"/>
    <cellStyle name="Ênfase1 163" xfId="7533" xr:uid="{00000000-0005-0000-0000-00006A1F0000}"/>
    <cellStyle name="Ênfase1 164" xfId="7534" xr:uid="{00000000-0005-0000-0000-00006B1F0000}"/>
    <cellStyle name="Ênfase1 165" xfId="7535" xr:uid="{00000000-0005-0000-0000-00006C1F0000}"/>
    <cellStyle name="Ênfase1 166" xfId="7536" xr:uid="{00000000-0005-0000-0000-00006D1F0000}"/>
    <cellStyle name="Ênfase1 167" xfId="7537" xr:uid="{00000000-0005-0000-0000-00006E1F0000}"/>
    <cellStyle name="Ênfase1 168" xfId="7538" xr:uid="{00000000-0005-0000-0000-00006F1F0000}"/>
    <cellStyle name="Ênfase1 169" xfId="7539" xr:uid="{00000000-0005-0000-0000-0000701F0000}"/>
    <cellStyle name="Ênfase1 17" xfId="7540" xr:uid="{00000000-0005-0000-0000-0000711F0000}"/>
    <cellStyle name="Ênfase1 17 2" xfId="7541" xr:uid="{00000000-0005-0000-0000-0000721F0000}"/>
    <cellStyle name="Ênfase1 17 3" xfId="7542" xr:uid="{00000000-0005-0000-0000-0000731F0000}"/>
    <cellStyle name="Ênfase1 170" xfId="7543" xr:uid="{00000000-0005-0000-0000-0000741F0000}"/>
    <cellStyle name="Ênfase1 171" xfId="7544" xr:uid="{00000000-0005-0000-0000-0000751F0000}"/>
    <cellStyle name="Ênfase1 172" xfId="7545" xr:uid="{00000000-0005-0000-0000-0000761F0000}"/>
    <cellStyle name="Ênfase1 173" xfId="7546" xr:uid="{00000000-0005-0000-0000-0000771F0000}"/>
    <cellStyle name="Ênfase1 174" xfId="7547" xr:uid="{00000000-0005-0000-0000-0000781F0000}"/>
    <cellStyle name="Ênfase1 175" xfId="7548" xr:uid="{00000000-0005-0000-0000-0000791F0000}"/>
    <cellStyle name="Ênfase1 176" xfId="7549" xr:uid="{00000000-0005-0000-0000-00007A1F0000}"/>
    <cellStyle name="Ênfase1 177" xfId="7550" xr:uid="{00000000-0005-0000-0000-00007B1F0000}"/>
    <cellStyle name="Ênfase1 178" xfId="7551" xr:uid="{00000000-0005-0000-0000-00007C1F0000}"/>
    <cellStyle name="Ênfase1 179" xfId="7552" xr:uid="{00000000-0005-0000-0000-00007D1F0000}"/>
    <cellStyle name="Ênfase1 18" xfId="7553" xr:uid="{00000000-0005-0000-0000-00007E1F0000}"/>
    <cellStyle name="Ênfase1 18 2" xfId="7554" xr:uid="{00000000-0005-0000-0000-00007F1F0000}"/>
    <cellStyle name="Ênfase1 18 3" xfId="7555" xr:uid="{00000000-0005-0000-0000-0000801F0000}"/>
    <cellStyle name="Ênfase1 180" xfId="7556" xr:uid="{00000000-0005-0000-0000-0000811F0000}"/>
    <cellStyle name="Ênfase1 181" xfId="7557" xr:uid="{00000000-0005-0000-0000-0000821F0000}"/>
    <cellStyle name="Ênfase1 182" xfId="7558" xr:uid="{00000000-0005-0000-0000-0000831F0000}"/>
    <cellStyle name="Ênfase1 183" xfId="7559" xr:uid="{00000000-0005-0000-0000-0000841F0000}"/>
    <cellStyle name="Ênfase1 184" xfId="7560" xr:uid="{00000000-0005-0000-0000-0000851F0000}"/>
    <cellStyle name="Ênfase1 185" xfId="7561" xr:uid="{00000000-0005-0000-0000-0000861F0000}"/>
    <cellStyle name="Ênfase1 186" xfId="7562" xr:uid="{00000000-0005-0000-0000-0000871F0000}"/>
    <cellStyle name="Ênfase1 187" xfId="7563" xr:uid="{00000000-0005-0000-0000-0000881F0000}"/>
    <cellStyle name="Ênfase1 188" xfId="7564" xr:uid="{00000000-0005-0000-0000-0000891F0000}"/>
    <cellStyle name="Ênfase1 189" xfId="7565" xr:uid="{00000000-0005-0000-0000-00008A1F0000}"/>
    <cellStyle name="Ênfase1 19" xfId="7566" xr:uid="{00000000-0005-0000-0000-00008B1F0000}"/>
    <cellStyle name="Ênfase1 19 2" xfId="7567" xr:uid="{00000000-0005-0000-0000-00008C1F0000}"/>
    <cellStyle name="Ênfase1 19 3" xfId="7568" xr:uid="{00000000-0005-0000-0000-00008D1F0000}"/>
    <cellStyle name="Ênfase1 190" xfId="7569" xr:uid="{00000000-0005-0000-0000-00008E1F0000}"/>
    <cellStyle name="Ênfase1 2" xfId="7570" xr:uid="{00000000-0005-0000-0000-00008F1F0000}"/>
    <cellStyle name="Ênfase1 2 10" xfId="7571" xr:uid="{00000000-0005-0000-0000-0000901F0000}"/>
    <cellStyle name="Ênfase1 2 10 2" xfId="7572" xr:uid="{00000000-0005-0000-0000-0000911F0000}"/>
    <cellStyle name="Ênfase1 2 10 3" xfId="7573" xr:uid="{00000000-0005-0000-0000-0000921F0000}"/>
    <cellStyle name="Ênfase1 2 10 4" xfId="7574" xr:uid="{00000000-0005-0000-0000-0000931F0000}"/>
    <cellStyle name="Ênfase1 2 10 5" xfId="7575" xr:uid="{00000000-0005-0000-0000-0000941F0000}"/>
    <cellStyle name="Ênfase1 2 10 6" xfId="7576" xr:uid="{00000000-0005-0000-0000-0000951F0000}"/>
    <cellStyle name="Ênfase1 2 10 7" xfId="7577" xr:uid="{00000000-0005-0000-0000-0000961F0000}"/>
    <cellStyle name="Ênfase1 2 11" xfId="7578" xr:uid="{00000000-0005-0000-0000-0000971F0000}"/>
    <cellStyle name="Ênfase1 2 11 2" xfId="7579" xr:uid="{00000000-0005-0000-0000-0000981F0000}"/>
    <cellStyle name="Ênfase1 2 11 3" xfId="7580" xr:uid="{00000000-0005-0000-0000-0000991F0000}"/>
    <cellStyle name="Ênfase1 2 11 4" xfId="7581" xr:uid="{00000000-0005-0000-0000-00009A1F0000}"/>
    <cellStyle name="Ênfase1 2 11 5" xfId="7582" xr:uid="{00000000-0005-0000-0000-00009B1F0000}"/>
    <cellStyle name="Ênfase1 2 11 6" xfId="7583" xr:uid="{00000000-0005-0000-0000-00009C1F0000}"/>
    <cellStyle name="Ênfase1 2 11 7" xfId="7584" xr:uid="{00000000-0005-0000-0000-00009D1F0000}"/>
    <cellStyle name="Ênfase1 2 12" xfId="7585" xr:uid="{00000000-0005-0000-0000-00009E1F0000}"/>
    <cellStyle name="Ênfase1 2 13" xfId="7586" xr:uid="{00000000-0005-0000-0000-00009F1F0000}"/>
    <cellStyle name="Ênfase1 2 14" xfId="7587" xr:uid="{00000000-0005-0000-0000-0000A01F0000}"/>
    <cellStyle name="Ênfase1 2 15" xfId="7588" xr:uid="{00000000-0005-0000-0000-0000A11F0000}"/>
    <cellStyle name="Ênfase1 2 16" xfId="7589" xr:uid="{00000000-0005-0000-0000-0000A21F0000}"/>
    <cellStyle name="Ênfase1 2 17" xfId="7590" xr:uid="{00000000-0005-0000-0000-0000A31F0000}"/>
    <cellStyle name="Ênfase1 2 18" xfId="7591" xr:uid="{00000000-0005-0000-0000-0000A41F0000}"/>
    <cellStyle name="Ênfase1 2 19" xfId="7592" xr:uid="{00000000-0005-0000-0000-0000A51F0000}"/>
    <cellStyle name="Ênfase1 2 2" xfId="7593" xr:uid="{00000000-0005-0000-0000-0000A61F0000}"/>
    <cellStyle name="Ênfase1 2 20" xfId="7594" xr:uid="{00000000-0005-0000-0000-0000A71F0000}"/>
    <cellStyle name="Ênfase1 2 21" xfId="7595" xr:uid="{00000000-0005-0000-0000-0000A81F0000}"/>
    <cellStyle name="Ênfase1 2 22" xfId="7596" xr:uid="{00000000-0005-0000-0000-0000A91F0000}"/>
    <cellStyle name="Ênfase1 2 23" xfId="7597" xr:uid="{00000000-0005-0000-0000-0000AA1F0000}"/>
    <cellStyle name="Ênfase1 2 24" xfId="7598" xr:uid="{00000000-0005-0000-0000-0000AB1F0000}"/>
    <cellStyle name="Ênfase1 2 25" xfId="7599" xr:uid="{00000000-0005-0000-0000-0000AC1F0000}"/>
    <cellStyle name="Ênfase1 2 26" xfId="7600" xr:uid="{00000000-0005-0000-0000-0000AD1F0000}"/>
    <cellStyle name="Ênfase1 2 27" xfId="7601" xr:uid="{00000000-0005-0000-0000-0000AE1F0000}"/>
    <cellStyle name="Ênfase1 2 28" xfId="7602" xr:uid="{00000000-0005-0000-0000-0000AF1F0000}"/>
    <cellStyle name="Ênfase1 2 29" xfId="7603" xr:uid="{00000000-0005-0000-0000-0000B01F0000}"/>
    <cellStyle name="Ênfase1 2 3" xfId="7604" xr:uid="{00000000-0005-0000-0000-0000B11F0000}"/>
    <cellStyle name="Ênfase1 2 30" xfId="7605" xr:uid="{00000000-0005-0000-0000-0000B21F0000}"/>
    <cellStyle name="Ênfase1 2 31" xfId="7606" xr:uid="{00000000-0005-0000-0000-0000B31F0000}"/>
    <cellStyle name="Ênfase1 2 32" xfId="7607" xr:uid="{00000000-0005-0000-0000-0000B41F0000}"/>
    <cellStyle name="Ênfase1 2 33" xfId="7608" xr:uid="{00000000-0005-0000-0000-0000B51F0000}"/>
    <cellStyle name="Ênfase1 2 34" xfId="7609" xr:uid="{00000000-0005-0000-0000-0000B61F0000}"/>
    <cellStyle name="Ênfase1 2 35" xfId="7610" xr:uid="{00000000-0005-0000-0000-0000B71F0000}"/>
    <cellStyle name="Ênfase1 2 4" xfId="7611" xr:uid="{00000000-0005-0000-0000-0000B81F0000}"/>
    <cellStyle name="Ênfase1 2 5" xfId="7612" xr:uid="{00000000-0005-0000-0000-0000B91F0000}"/>
    <cellStyle name="Ênfase1 2 6" xfId="7613" xr:uid="{00000000-0005-0000-0000-0000BA1F0000}"/>
    <cellStyle name="Ênfase1 2 7" xfId="7614" xr:uid="{00000000-0005-0000-0000-0000BB1F0000}"/>
    <cellStyle name="Ênfase1 2 8" xfId="7615" xr:uid="{00000000-0005-0000-0000-0000BC1F0000}"/>
    <cellStyle name="Ênfase1 2 8 2" xfId="7616" xr:uid="{00000000-0005-0000-0000-0000BD1F0000}"/>
    <cellStyle name="Ênfase1 2 8 3" xfId="7617" xr:uid="{00000000-0005-0000-0000-0000BE1F0000}"/>
    <cellStyle name="Ênfase1 2 8 4" xfId="7618" xr:uid="{00000000-0005-0000-0000-0000BF1F0000}"/>
    <cellStyle name="Ênfase1 2 8 5" xfId="7619" xr:uid="{00000000-0005-0000-0000-0000C01F0000}"/>
    <cellStyle name="Ênfase1 2 8 6" xfId="7620" xr:uid="{00000000-0005-0000-0000-0000C11F0000}"/>
    <cellStyle name="Ênfase1 2 8 7" xfId="7621" xr:uid="{00000000-0005-0000-0000-0000C21F0000}"/>
    <cellStyle name="Ênfase1 2 9" xfId="7622" xr:uid="{00000000-0005-0000-0000-0000C31F0000}"/>
    <cellStyle name="Ênfase1 2 9 2" xfId="7623" xr:uid="{00000000-0005-0000-0000-0000C41F0000}"/>
    <cellStyle name="Ênfase1 2 9 3" xfId="7624" xr:uid="{00000000-0005-0000-0000-0000C51F0000}"/>
    <cellStyle name="Ênfase1 2 9 4" xfId="7625" xr:uid="{00000000-0005-0000-0000-0000C61F0000}"/>
    <cellStyle name="Ênfase1 2 9 5" xfId="7626" xr:uid="{00000000-0005-0000-0000-0000C71F0000}"/>
    <cellStyle name="Ênfase1 2 9 6" xfId="7627" xr:uid="{00000000-0005-0000-0000-0000C81F0000}"/>
    <cellStyle name="Ênfase1 2 9 7" xfId="7628" xr:uid="{00000000-0005-0000-0000-0000C91F0000}"/>
    <cellStyle name="Ênfase1 20" xfId="7629" xr:uid="{00000000-0005-0000-0000-0000CA1F0000}"/>
    <cellStyle name="Ênfase1 20 2" xfId="7630" xr:uid="{00000000-0005-0000-0000-0000CB1F0000}"/>
    <cellStyle name="Ênfase1 20 3" xfId="7631" xr:uid="{00000000-0005-0000-0000-0000CC1F0000}"/>
    <cellStyle name="Ênfase1 21" xfId="7632" xr:uid="{00000000-0005-0000-0000-0000CD1F0000}"/>
    <cellStyle name="Ênfase1 22" xfId="7633" xr:uid="{00000000-0005-0000-0000-0000CE1F0000}"/>
    <cellStyle name="Ênfase1 23" xfId="7634" xr:uid="{00000000-0005-0000-0000-0000CF1F0000}"/>
    <cellStyle name="Ênfase1 24" xfId="7635" xr:uid="{00000000-0005-0000-0000-0000D01F0000}"/>
    <cellStyle name="Ênfase1 24 2" xfId="40948" xr:uid="{00000000-0005-0000-0000-0000D11F0000}"/>
    <cellStyle name="Ênfase1 25" xfId="7636" xr:uid="{00000000-0005-0000-0000-0000D21F0000}"/>
    <cellStyle name="Ênfase1 25 2" xfId="40983" xr:uid="{00000000-0005-0000-0000-0000D31F0000}"/>
    <cellStyle name="Ênfase1 26" xfId="7637" xr:uid="{00000000-0005-0000-0000-0000D41F0000}"/>
    <cellStyle name="Ênfase1 26 10" xfId="7638" xr:uid="{00000000-0005-0000-0000-0000D51F0000}"/>
    <cellStyle name="Ênfase1 26 11" xfId="7639" xr:uid="{00000000-0005-0000-0000-0000D61F0000}"/>
    <cellStyle name="Ênfase1 26 12" xfId="7640" xr:uid="{00000000-0005-0000-0000-0000D71F0000}"/>
    <cellStyle name="Ênfase1 26 13" xfId="7641" xr:uid="{00000000-0005-0000-0000-0000D81F0000}"/>
    <cellStyle name="Ênfase1 26 14" xfId="7642" xr:uid="{00000000-0005-0000-0000-0000D91F0000}"/>
    <cellStyle name="Ênfase1 26 15" xfId="7643" xr:uid="{00000000-0005-0000-0000-0000DA1F0000}"/>
    <cellStyle name="Ênfase1 26 16" xfId="7644" xr:uid="{00000000-0005-0000-0000-0000DB1F0000}"/>
    <cellStyle name="Ênfase1 26 2" xfId="7645" xr:uid="{00000000-0005-0000-0000-0000DC1F0000}"/>
    <cellStyle name="Ênfase1 26 3" xfId="7646" xr:uid="{00000000-0005-0000-0000-0000DD1F0000}"/>
    <cellStyle name="Ênfase1 26 4" xfId="7647" xr:uid="{00000000-0005-0000-0000-0000DE1F0000}"/>
    <cellStyle name="Ênfase1 26 5" xfId="7648" xr:uid="{00000000-0005-0000-0000-0000DF1F0000}"/>
    <cellStyle name="Ênfase1 26 6" xfId="7649" xr:uid="{00000000-0005-0000-0000-0000E01F0000}"/>
    <cellStyle name="Ênfase1 26 7" xfId="7650" xr:uid="{00000000-0005-0000-0000-0000E11F0000}"/>
    <cellStyle name="Ênfase1 26 8" xfId="7651" xr:uid="{00000000-0005-0000-0000-0000E21F0000}"/>
    <cellStyle name="Ênfase1 26 9" xfId="7652" xr:uid="{00000000-0005-0000-0000-0000E31F0000}"/>
    <cellStyle name="Ênfase1 27" xfId="7653" xr:uid="{00000000-0005-0000-0000-0000E41F0000}"/>
    <cellStyle name="Ênfase1 27 10" xfId="7654" xr:uid="{00000000-0005-0000-0000-0000E51F0000}"/>
    <cellStyle name="Ênfase1 27 11" xfId="7655" xr:uid="{00000000-0005-0000-0000-0000E61F0000}"/>
    <cellStyle name="Ênfase1 27 12" xfId="7656" xr:uid="{00000000-0005-0000-0000-0000E71F0000}"/>
    <cellStyle name="Ênfase1 27 13" xfId="7657" xr:uid="{00000000-0005-0000-0000-0000E81F0000}"/>
    <cellStyle name="Ênfase1 27 14" xfId="7658" xr:uid="{00000000-0005-0000-0000-0000E91F0000}"/>
    <cellStyle name="Ênfase1 27 15" xfId="7659" xr:uid="{00000000-0005-0000-0000-0000EA1F0000}"/>
    <cellStyle name="Ênfase1 27 16" xfId="7660" xr:uid="{00000000-0005-0000-0000-0000EB1F0000}"/>
    <cellStyle name="Ênfase1 27 2" xfId="7661" xr:uid="{00000000-0005-0000-0000-0000EC1F0000}"/>
    <cellStyle name="Ênfase1 27 3" xfId="7662" xr:uid="{00000000-0005-0000-0000-0000ED1F0000}"/>
    <cellStyle name="Ênfase1 27 4" xfId="7663" xr:uid="{00000000-0005-0000-0000-0000EE1F0000}"/>
    <cellStyle name="Ênfase1 27 5" xfId="7664" xr:uid="{00000000-0005-0000-0000-0000EF1F0000}"/>
    <cellStyle name="Ênfase1 27 6" xfId="7665" xr:uid="{00000000-0005-0000-0000-0000F01F0000}"/>
    <cellStyle name="Ênfase1 27 7" xfId="7666" xr:uid="{00000000-0005-0000-0000-0000F11F0000}"/>
    <cellStyle name="Ênfase1 27 8" xfId="7667" xr:uid="{00000000-0005-0000-0000-0000F21F0000}"/>
    <cellStyle name="Ênfase1 27 9" xfId="7668" xr:uid="{00000000-0005-0000-0000-0000F31F0000}"/>
    <cellStyle name="Ênfase1 28" xfId="7669" xr:uid="{00000000-0005-0000-0000-0000F41F0000}"/>
    <cellStyle name="Ênfase1 28 10" xfId="7670" xr:uid="{00000000-0005-0000-0000-0000F51F0000}"/>
    <cellStyle name="Ênfase1 28 11" xfId="7671" xr:uid="{00000000-0005-0000-0000-0000F61F0000}"/>
    <cellStyle name="Ênfase1 28 12" xfId="7672" xr:uid="{00000000-0005-0000-0000-0000F71F0000}"/>
    <cellStyle name="Ênfase1 28 13" xfId="7673" xr:uid="{00000000-0005-0000-0000-0000F81F0000}"/>
    <cellStyle name="Ênfase1 28 14" xfId="7674" xr:uid="{00000000-0005-0000-0000-0000F91F0000}"/>
    <cellStyle name="Ênfase1 28 15" xfId="7675" xr:uid="{00000000-0005-0000-0000-0000FA1F0000}"/>
    <cellStyle name="Ênfase1 28 16" xfId="7676" xr:uid="{00000000-0005-0000-0000-0000FB1F0000}"/>
    <cellStyle name="Ênfase1 28 2" xfId="7677" xr:uid="{00000000-0005-0000-0000-0000FC1F0000}"/>
    <cellStyle name="Ênfase1 28 3" xfId="7678" xr:uid="{00000000-0005-0000-0000-0000FD1F0000}"/>
    <cellStyle name="Ênfase1 28 4" xfId="7679" xr:uid="{00000000-0005-0000-0000-0000FE1F0000}"/>
    <cellStyle name="Ênfase1 28 5" xfId="7680" xr:uid="{00000000-0005-0000-0000-0000FF1F0000}"/>
    <cellStyle name="Ênfase1 28 6" xfId="7681" xr:uid="{00000000-0005-0000-0000-000000200000}"/>
    <cellStyle name="Ênfase1 28 7" xfId="7682" xr:uid="{00000000-0005-0000-0000-000001200000}"/>
    <cellStyle name="Ênfase1 28 8" xfId="7683" xr:uid="{00000000-0005-0000-0000-000002200000}"/>
    <cellStyle name="Ênfase1 28 9" xfId="7684" xr:uid="{00000000-0005-0000-0000-000003200000}"/>
    <cellStyle name="Ênfase1 29" xfId="7685" xr:uid="{00000000-0005-0000-0000-000004200000}"/>
    <cellStyle name="Ênfase1 29 10" xfId="7686" xr:uid="{00000000-0005-0000-0000-000005200000}"/>
    <cellStyle name="Ênfase1 29 11" xfId="7687" xr:uid="{00000000-0005-0000-0000-000006200000}"/>
    <cellStyle name="Ênfase1 29 12" xfId="7688" xr:uid="{00000000-0005-0000-0000-000007200000}"/>
    <cellStyle name="Ênfase1 29 13" xfId="7689" xr:uid="{00000000-0005-0000-0000-000008200000}"/>
    <cellStyle name="Ênfase1 29 14" xfId="7690" xr:uid="{00000000-0005-0000-0000-000009200000}"/>
    <cellStyle name="Ênfase1 29 15" xfId="7691" xr:uid="{00000000-0005-0000-0000-00000A200000}"/>
    <cellStyle name="Ênfase1 29 16" xfId="7692" xr:uid="{00000000-0005-0000-0000-00000B200000}"/>
    <cellStyle name="Ênfase1 29 2" xfId="7693" xr:uid="{00000000-0005-0000-0000-00000C200000}"/>
    <cellStyle name="Ênfase1 29 3" xfId="7694" xr:uid="{00000000-0005-0000-0000-00000D200000}"/>
    <cellStyle name="Ênfase1 29 4" xfId="7695" xr:uid="{00000000-0005-0000-0000-00000E200000}"/>
    <cellStyle name="Ênfase1 29 5" xfId="7696" xr:uid="{00000000-0005-0000-0000-00000F200000}"/>
    <cellStyle name="Ênfase1 29 6" xfId="7697" xr:uid="{00000000-0005-0000-0000-000010200000}"/>
    <cellStyle name="Ênfase1 29 7" xfId="7698" xr:uid="{00000000-0005-0000-0000-000011200000}"/>
    <cellStyle name="Ênfase1 29 8" xfId="7699" xr:uid="{00000000-0005-0000-0000-000012200000}"/>
    <cellStyle name="Ênfase1 29 9" xfId="7700" xr:uid="{00000000-0005-0000-0000-000013200000}"/>
    <cellStyle name="Ênfase1 3" xfId="7701" xr:uid="{00000000-0005-0000-0000-000014200000}"/>
    <cellStyle name="Ênfase1 3 10" xfId="7702" xr:uid="{00000000-0005-0000-0000-000015200000}"/>
    <cellStyle name="Ênfase1 3 11" xfId="7703" xr:uid="{00000000-0005-0000-0000-000016200000}"/>
    <cellStyle name="Ênfase1 3 2" xfId="7704" xr:uid="{00000000-0005-0000-0000-000017200000}"/>
    <cellStyle name="Ênfase1 3 3" xfId="7705" xr:uid="{00000000-0005-0000-0000-000018200000}"/>
    <cellStyle name="Ênfase1 3 4" xfId="7706" xr:uid="{00000000-0005-0000-0000-000019200000}"/>
    <cellStyle name="Ênfase1 3 5" xfId="7707" xr:uid="{00000000-0005-0000-0000-00001A200000}"/>
    <cellStyle name="Ênfase1 3 6" xfId="7708" xr:uid="{00000000-0005-0000-0000-00001B200000}"/>
    <cellStyle name="Ênfase1 3 7" xfId="7709" xr:uid="{00000000-0005-0000-0000-00001C200000}"/>
    <cellStyle name="Ênfase1 3 8" xfId="7710" xr:uid="{00000000-0005-0000-0000-00001D200000}"/>
    <cellStyle name="Ênfase1 3 9" xfId="7711" xr:uid="{00000000-0005-0000-0000-00001E200000}"/>
    <cellStyle name="Ênfase1 30" xfId="7712" xr:uid="{00000000-0005-0000-0000-00001F200000}"/>
    <cellStyle name="Ênfase1 31" xfId="7713" xr:uid="{00000000-0005-0000-0000-000020200000}"/>
    <cellStyle name="Ênfase1 32" xfId="7714" xr:uid="{00000000-0005-0000-0000-000021200000}"/>
    <cellStyle name="Ênfase1 33" xfId="7715" xr:uid="{00000000-0005-0000-0000-000022200000}"/>
    <cellStyle name="Ênfase1 34" xfId="7716" xr:uid="{00000000-0005-0000-0000-000023200000}"/>
    <cellStyle name="Ênfase1 35" xfId="7717" xr:uid="{00000000-0005-0000-0000-000024200000}"/>
    <cellStyle name="Ênfase1 36" xfId="7718" xr:uid="{00000000-0005-0000-0000-000025200000}"/>
    <cellStyle name="Ênfase1 37" xfId="7719" xr:uid="{00000000-0005-0000-0000-000026200000}"/>
    <cellStyle name="Ênfase1 38" xfId="7720" xr:uid="{00000000-0005-0000-0000-000027200000}"/>
    <cellStyle name="Ênfase1 39" xfId="7721" xr:uid="{00000000-0005-0000-0000-000028200000}"/>
    <cellStyle name="Ênfase1 4" xfId="7722" xr:uid="{00000000-0005-0000-0000-000029200000}"/>
    <cellStyle name="Ênfase1 4 10" xfId="7723" xr:uid="{00000000-0005-0000-0000-00002A200000}"/>
    <cellStyle name="Ênfase1 4 11" xfId="7724" xr:uid="{00000000-0005-0000-0000-00002B200000}"/>
    <cellStyle name="Ênfase1 4 2" xfId="7725" xr:uid="{00000000-0005-0000-0000-00002C200000}"/>
    <cellStyle name="Ênfase1 4 3" xfId="7726" xr:uid="{00000000-0005-0000-0000-00002D200000}"/>
    <cellStyle name="Ênfase1 4 4" xfId="7727" xr:uid="{00000000-0005-0000-0000-00002E200000}"/>
    <cellStyle name="Ênfase1 4 5" xfId="7728" xr:uid="{00000000-0005-0000-0000-00002F200000}"/>
    <cellStyle name="Ênfase1 4 6" xfId="7729" xr:uid="{00000000-0005-0000-0000-000030200000}"/>
    <cellStyle name="Ênfase1 4 7" xfId="7730" xr:uid="{00000000-0005-0000-0000-000031200000}"/>
    <cellStyle name="Ênfase1 4 8" xfId="7731" xr:uid="{00000000-0005-0000-0000-000032200000}"/>
    <cellStyle name="Ênfase1 4 9" xfId="7732" xr:uid="{00000000-0005-0000-0000-000033200000}"/>
    <cellStyle name="Ênfase1 40" xfId="7733" xr:uid="{00000000-0005-0000-0000-000034200000}"/>
    <cellStyle name="Ênfase1 41" xfId="7734" xr:uid="{00000000-0005-0000-0000-000035200000}"/>
    <cellStyle name="Ênfase1 42" xfId="7735" xr:uid="{00000000-0005-0000-0000-000036200000}"/>
    <cellStyle name="Ênfase1 43" xfId="7736" xr:uid="{00000000-0005-0000-0000-000037200000}"/>
    <cellStyle name="Ênfase1 44" xfId="7737" xr:uid="{00000000-0005-0000-0000-000038200000}"/>
    <cellStyle name="Ênfase1 45" xfId="7738" xr:uid="{00000000-0005-0000-0000-000039200000}"/>
    <cellStyle name="Ênfase1 46" xfId="7739" xr:uid="{00000000-0005-0000-0000-00003A200000}"/>
    <cellStyle name="Ênfase1 47" xfId="7740" xr:uid="{00000000-0005-0000-0000-00003B200000}"/>
    <cellStyle name="Ênfase1 48" xfId="7741" xr:uid="{00000000-0005-0000-0000-00003C200000}"/>
    <cellStyle name="Ênfase1 49" xfId="7742" xr:uid="{00000000-0005-0000-0000-00003D200000}"/>
    <cellStyle name="Ênfase1 5" xfId="7743" xr:uid="{00000000-0005-0000-0000-00003E200000}"/>
    <cellStyle name="Ênfase1 5 2" xfId="7744" xr:uid="{00000000-0005-0000-0000-00003F200000}"/>
    <cellStyle name="Ênfase1 5 3" xfId="7745" xr:uid="{00000000-0005-0000-0000-000040200000}"/>
    <cellStyle name="Ênfase1 5 4" xfId="7746" xr:uid="{00000000-0005-0000-0000-000041200000}"/>
    <cellStyle name="Ênfase1 50" xfId="7747" xr:uid="{00000000-0005-0000-0000-000042200000}"/>
    <cellStyle name="Ênfase1 51" xfId="7748" xr:uid="{00000000-0005-0000-0000-000043200000}"/>
    <cellStyle name="Ênfase1 52" xfId="7749" xr:uid="{00000000-0005-0000-0000-000044200000}"/>
    <cellStyle name="Ênfase1 53" xfId="7750" xr:uid="{00000000-0005-0000-0000-000045200000}"/>
    <cellStyle name="Ênfase1 54" xfId="7751" xr:uid="{00000000-0005-0000-0000-000046200000}"/>
    <cellStyle name="Ênfase1 55" xfId="7752" xr:uid="{00000000-0005-0000-0000-000047200000}"/>
    <cellStyle name="Ênfase1 56" xfId="7753" xr:uid="{00000000-0005-0000-0000-000048200000}"/>
    <cellStyle name="Ênfase1 57" xfId="7754" xr:uid="{00000000-0005-0000-0000-000049200000}"/>
    <cellStyle name="Ênfase1 58" xfId="7755" xr:uid="{00000000-0005-0000-0000-00004A200000}"/>
    <cellStyle name="Ênfase1 59" xfId="7756" xr:uid="{00000000-0005-0000-0000-00004B200000}"/>
    <cellStyle name="Ênfase1 6" xfId="7757" xr:uid="{00000000-0005-0000-0000-00004C200000}"/>
    <cellStyle name="Ênfase1 6 2" xfId="7758" xr:uid="{00000000-0005-0000-0000-00004D200000}"/>
    <cellStyle name="Ênfase1 6 3" xfId="7759" xr:uid="{00000000-0005-0000-0000-00004E200000}"/>
    <cellStyle name="Ênfase1 6 4" xfId="7760" xr:uid="{00000000-0005-0000-0000-00004F200000}"/>
    <cellStyle name="Ênfase1 60" xfId="7761" xr:uid="{00000000-0005-0000-0000-000050200000}"/>
    <cellStyle name="Ênfase1 61" xfId="7762" xr:uid="{00000000-0005-0000-0000-000051200000}"/>
    <cellStyle name="Ênfase1 62" xfId="7763" xr:uid="{00000000-0005-0000-0000-000052200000}"/>
    <cellStyle name="Ênfase1 63" xfId="7764" xr:uid="{00000000-0005-0000-0000-000053200000}"/>
    <cellStyle name="Ênfase1 64" xfId="7765" xr:uid="{00000000-0005-0000-0000-000054200000}"/>
    <cellStyle name="Ênfase1 65" xfId="7766" xr:uid="{00000000-0005-0000-0000-000055200000}"/>
    <cellStyle name="Ênfase1 66" xfId="7767" xr:uid="{00000000-0005-0000-0000-000056200000}"/>
    <cellStyle name="Ênfase1 67" xfId="7768" xr:uid="{00000000-0005-0000-0000-000057200000}"/>
    <cellStyle name="Ênfase1 68" xfId="7769" xr:uid="{00000000-0005-0000-0000-000058200000}"/>
    <cellStyle name="Ênfase1 69" xfId="7770" xr:uid="{00000000-0005-0000-0000-000059200000}"/>
    <cellStyle name="Ênfase1 7" xfId="7771" xr:uid="{00000000-0005-0000-0000-00005A200000}"/>
    <cellStyle name="Ênfase1 7 2" xfId="7772" xr:uid="{00000000-0005-0000-0000-00005B200000}"/>
    <cellStyle name="Ênfase1 7 3" xfId="7773" xr:uid="{00000000-0005-0000-0000-00005C200000}"/>
    <cellStyle name="Ênfase1 7 4" xfId="7774" xr:uid="{00000000-0005-0000-0000-00005D200000}"/>
    <cellStyle name="Ênfase1 70" xfId="7775" xr:uid="{00000000-0005-0000-0000-00005E200000}"/>
    <cellStyle name="Ênfase1 71" xfId="7776" xr:uid="{00000000-0005-0000-0000-00005F200000}"/>
    <cellStyle name="Ênfase1 72" xfId="7777" xr:uid="{00000000-0005-0000-0000-000060200000}"/>
    <cellStyle name="Ênfase1 73" xfId="7778" xr:uid="{00000000-0005-0000-0000-000061200000}"/>
    <cellStyle name="Ênfase1 74" xfId="7779" xr:uid="{00000000-0005-0000-0000-000062200000}"/>
    <cellStyle name="Ênfase1 75" xfId="7780" xr:uid="{00000000-0005-0000-0000-000063200000}"/>
    <cellStyle name="Ênfase1 76" xfId="7781" xr:uid="{00000000-0005-0000-0000-000064200000}"/>
    <cellStyle name="Ênfase1 77" xfId="7782" xr:uid="{00000000-0005-0000-0000-000065200000}"/>
    <cellStyle name="Ênfase1 78" xfId="7783" xr:uid="{00000000-0005-0000-0000-000066200000}"/>
    <cellStyle name="Ênfase1 79" xfId="7784" xr:uid="{00000000-0005-0000-0000-000067200000}"/>
    <cellStyle name="Ênfase1 8" xfId="7785" xr:uid="{00000000-0005-0000-0000-000068200000}"/>
    <cellStyle name="Ênfase1 8 2" xfId="7786" xr:uid="{00000000-0005-0000-0000-000069200000}"/>
    <cellStyle name="Ênfase1 8 3" xfId="7787" xr:uid="{00000000-0005-0000-0000-00006A200000}"/>
    <cellStyle name="Ênfase1 8 4" xfId="7788" xr:uid="{00000000-0005-0000-0000-00006B200000}"/>
    <cellStyle name="Ênfase1 80" xfId="7789" xr:uid="{00000000-0005-0000-0000-00006C200000}"/>
    <cellStyle name="Ênfase1 81" xfId="7790" xr:uid="{00000000-0005-0000-0000-00006D200000}"/>
    <cellStyle name="Ênfase1 82" xfId="7791" xr:uid="{00000000-0005-0000-0000-00006E200000}"/>
    <cellStyle name="Ênfase1 83" xfId="7792" xr:uid="{00000000-0005-0000-0000-00006F200000}"/>
    <cellStyle name="Ênfase1 84" xfId="7793" xr:uid="{00000000-0005-0000-0000-000070200000}"/>
    <cellStyle name="Ênfase1 85" xfId="7794" xr:uid="{00000000-0005-0000-0000-000071200000}"/>
    <cellStyle name="Ênfase1 86" xfId="7795" xr:uid="{00000000-0005-0000-0000-000072200000}"/>
    <cellStyle name="Ênfase1 87" xfId="7796" xr:uid="{00000000-0005-0000-0000-000073200000}"/>
    <cellStyle name="Ênfase1 88" xfId="7797" xr:uid="{00000000-0005-0000-0000-000074200000}"/>
    <cellStyle name="Ênfase1 89" xfId="7798" xr:uid="{00000000-0005-0000-0000-000075200000}"/>
    <cellStyle name="Ênfase1 9" xfId="7799" xr:uid="{00000000-0005-0000-0000-000076200000}"/>
    <cellStyle name="Ênfase1 90" xfId="7800" xr:uid="{00000000-0005-0000-0000-000077200000}"/>
    <cellStyle name="Ênfase1 91" xfId="7801" xr:uid="{00000000-0005-0000-0000-000078200000}"/>
    <cellStyle name="Ênfase1 92" xfId="7802" xr:uid="{00000000-0005-0000-0000-000079200000}"/>
    <cellStyle name="Ênfase1 93" xfId="7803" xr:uid="{00000000-0005-0000-0000-00007A200000}"/>
    <cellStyle name="Ênfase1 94" xfId="7804" xr:uid="{00000000-0005-0000-0000-00007B200000}"/>
    <cellStyle name="Ênfase1 95" xfId="7805" xr:uid="{00000000-0005-0000-0000-00007C200000}"/>
    <cellStyle name="Ênfase1 96" xfId="7806" xr:uid="{00000000-0005-0000-0000-00007D200000}"/>
    <cellStyle name="Ênfase1 97" xfId="7807" xr:uid="{00000000-0005-0000-0000-00007E200000}"/>
    <cellStyle name="Ênfase1 98" xfId="7808" xr:uid="{00000000-0005-0000-0000-00007F200000}"/>
    <cellStyle name="Ênfase1 99" xfId="7809" xr:uid="{00000000-0005-0000-0000-000080200000}"/>
    <cellStyle name="Ênfase2 10" xfId="7810" xr:uid="{00000000-0005-0000-0000-000081200000}"/>
    <cellStyle name="Ênfase2 10 2" xfId="40579" xr:uid="{00000000-0005-0000-0000-000082200000}"/>
    <cellStyle name="Ênfase2 100" xfId="7811" xr:uid="{00000000-0005-0000-0000-000083200000}"/>
    <cellStyle name="Ênfase2 101" xfId="7812" xr:uid="{00000000-0005-0000-0000-000084200000}"/>
    <cellStyle name="Ênfase2 102" xfId="7813" xr:uid="{00000000-0005-0000-0000-000085200000}"/>
    <cellStyle name="Ênfase2 103" xfId="7814" xr:uid="{00000000-0005-0000-0000-000086200000}"/>
    <cellStyle name="Ênfase2 104" xfId="7815" xr:uid="{00000000-0005-0000-0000-000087200000}"/>
    <cellStyle name="Ênfase2 105" xfId="7816" xr:uid="{00000000-0005-0000-0000-000088200000}"/>
    <cellStyle name="Ênfase2 106" xfId="7817" xr:uid="{00000000-0005-0000-0000-000089200000}"/>
    <cellStyle name="Ênfase2 107" xfId="7818" xr:uid="{00000000-0005-0000-0000-00008A200000}"/>
    <cellStyle name="Ênfase2 108" xfId="7819" xr:uid="{00000000-0005-0000-0000-00008B200000}"/>
    <cellStyle name="Ênfase2 109" xfId="7820" xr:uid="{00000000-0005-0000-0000-00008C200000}"/>
    <cellStyle name="Ênfase2 11" xfId="7821" xr:uid="{00000000-0005-0000-0000-00008D200000}"/>
    <cellStyle name="Ênfase2 11 2" xfId="40580" xr:uid="{00000000-0005-0000-0000-00008E200000}"/>
    <cellStyle name="Ênfase2 110" xfId="7822" xr:uid="{00000000-0005-0000-0000-00008F200000}"/>
    <cellStyle name="Ênfase2 111" xfId="7823" xr:uid="{00000000-0005-0000-0000-000090200000}"/>
    <cellStyle name="Ênfase2 112" xfId="7824" xr:uid="{00000000-0005-0000-0000-000091200000}"/>
    <cellStyle name="Ênfase2 113" xfId="7825" xr:uid="{00000000-0005-0000-0000-000092200000}"/>
    <cellStyle name="Ênfase2 114" xfId="7826" xr:uid="{00000000-0005-0000-0000-000093200000}"/>
    <cellStyle name="Ênfase2 115" xfId="7827" xr:uid="{00000000-0005-0000-0000-000094200000}"/>
    <cellStyle name="Ênfase2 116" xfId="7828" xr:uid="{00000000-0005-0000-0000-000095200000}"/>
    <cellStyle name="Ênfase2 117" xfId="7829" xr:uid="{00000000-0005-0000-0000-000096200000}"/>
    <cellStyle name="Ênfase2 118" xfId="7830" xr:uid="{00000000-0005-0000-0000-000097200000}"/>
    <cellStyle name="Ênfase2 119" xfId="7831" xr:uid="{00000000-0005-0000-0000-000098200000}"/>
    <cellStyle name="Ênfase2 12" xfId="7832" xr:uid="{00000000-0005-0000-0000-000099200000}"/>
    <cellStyle name="Ênfase2 12 2" xfId="40581" xr:uid="{00000000-0005-0000-0000-00009A200000}"/>
    <cellStyle name="Ênfase2 120" xfId="7833" xr:uid="{00000000-0005-0000-0000-00009B200000}"/>
    <cellStyle name="Ênfase2 121" xfId="7834" xr:uid="{00000000-0005-0000-0000-00009C200000}"/>
    <cellStyle name="Ênfase2 122" xfId="7835" xr:uid="{00000000-0005-0000-0000-00009D200000}"/>
    <cellStyle name="Ênfase2 123" xfId="7836" xr:uid="{00000000-0005-0000-0000-00009E200000}"/>
    <cellStyle name="Ênfase2 124" xfId="7837" xr:uid="{00000000-0005-0000-0000-00009F200000}"/>
    <cellStyle name="Ênfase2 125" xfId="7838" xr:uid="{00000000-0005-0000-0000-0000A0200000}"/>
    <cellStyle name="Ênfase2 126" xfId="7839" xr:uid="{00000000-0005-0000-0000-0000A1200000}"/>
    <cellStyle name="Ênfase2 127" xfId="7840" xr:uid="{00000000-0005-0000-0000-0000A2200000}"/>
    <cellStyle name="Ênfase2 128" xfId="7841" xr:uid="{00000000-0005-0000-0000-0000A3200000}"/>
    <cellStyle name="Ênfase2 129" xfId="7842" xr:uid="{00000000-0005-0000-0000-0000A4200000}"/>
    <cellStyle name="Ênfase2 13" xfId="7843" xr:uid="{00000000-0005-0000-0000-0000A5200000}"/>
    <cellStyle name="Ênfase2 13 2" xfId="40582" xr:uid="{00000000-0005-0000-0000-0000A6200000}"/>
    <cellStyle name="Ênfase2 130" xfId="7844" xr:uid="{00000000-0005-0000-0000-0000A7200000}"/>
    <cellStyle name="Ênfase2 131" xfId="7845" xr:uid="{00000000-0005-0000-0000-0000A8200000}"/>
    <cellStyle name="Ênfase2 132" xfId="7846" xr:uid="{00000000-0005-0000-0000-0000A9200000}"/>
    <cellStyle name="Ênfase2 133" xfId="7847" xr:uid="{00000000-0005-0000-0000-0000AA200000}"/>
    <cellStyle name="Ênfase2 134" xfId="7848" xr:uid="{00000000-0005-0000-0000-0000AB200000}"/>
    <cellStyle name="Ênfase2 135" xfId="7849" xr:uid="{00000000-0005-0000-0000-0000AC200000}"/>
    <cellStyle name="Ênfase2 136" xfId="7850" xr:uid="{00000000-0005-0000-0000-0000AD200000}"/>
    <cellStyle name="Ênfase2 137" xfId="7851" xr:uid="{00000000-0005-0000-0000-0000AE200000}"/>
    <cellStyle name="Ênfase2 138" xfId="7852" xr:uid="{00000000-0005-0000-0000-0000AF200000}"/>
    <cellStyle name="Ênfase2 139" xfId="7853" xr:uid="{00000000-0005-0000-0000-0000B0200000}"/>
    <cellStyle name="Ênfase2 14" xfId="7854" xr:uid="{00000000-0005-0000-0000-0000B1200000}"/>
    <cellStyle name="Ênfase2 140" xfId="7855" xr:uid="{00000000-0005-0000-0000-0000B2200000}"/>
    <cellStyle name="Ênfase2 141" xfId="7856" xr:uid="{00000000-0005-0000-0000-0000B3200000}"/>
    <cellStyle name="Ênfase2 142" xfId="7857" xr:uid="{00000000-0005-0000-0000-0000B4200000}"/>
    <cellStyle name="Ênfase2 143" xfId="7858" xr:uid="{00000000-0005-0000-0000-0000B5200000}"/>
    <cellStyle name="Ênfase2 144" xfId="7859" xr:uid="{00000000-0005-0000-0000-0000B6200000}"/>
    <cellStyle name="Ênfase2 145" xfId="7860" xr:uid="{00000000-0005-0000-0000-0000B7200000}"/>
    <cellStyle name="Ênfase2 146" xfId="7861" xr:uid="{00000000-0005-0000-0000-0000B8200000}"/>
    <cellStyle name="Ênfase2 147" xfId="7862" xr:uid="{00000000-0005-0000-0000-0000B9200000}"/>
    <cellStyle name="Ênfase2 148" xfId="7863" xr:uid="{00000000-0005-0000-0000-0000BA200000}"/>
    <cellStyle name="Ênfase2 149" xfId="7864" xr:uid="{00000000-0005-0000-0000-0000BB200000}"/>
    <cellStyle name="Ênfase2 15" xfId="7865" xr:uid="{00000000-0005-0000-0000-0000BC200000}"/>
    <cellStyle name="Ênfase2 15 2" xfId="7866" xr:uid="{00000000-0005-0000-0000-0000BD200000}"/>
    <cellStyle name="Ênfase2 15 3" xfId="7867" xr:uid="{00000000-0005-0000-0000-0000BE200000}"/>
    <cellStyle name="Ênfase2 150" xfId="7868" xr:uid="{00000000-0005-0000-0000-0000BF200000}"/>
    <cellStyle name="Ênfase2 151" xfId="7869" xr:uid="{00000000-0005-0000-0000-0000C0200000}"/>
    <cellStyle name="Ênfase2 152" xfId="7870" xr:uid="{00000000-0005-0000-0000-0000C1200000}"/>
    <cellStyle name="Ênfase2 153" xfId="7871" xr:uid="{00000000-0005-0000-0000-0000C2200000}"/>
    <cellStyle name="Ênfase2 154" xfId="7872" xr:uid="{00000000-0005-0000-0000-0000C3200000}"/>
    <cellStyle name="Ênfase2 155" xfId="7873" xr:uid="{00000000-0005-0000-0000-0000C4200000}"/>
    <cellStyle name="Ênfase2 156" xfId="7874" xr:uid="{00000000-0005-0000-0000-0000C5200000}"/>
    <cellStyle name="Ênfase2 157" xfId="7875" xr:uid="{00000000-0005-0000-0000-0000C6200000}"/>
    <cellStyle name="Ênfase2 158" xfId="7876" xr:uid="{00000000-0005-0000-0000-0000C7200000}"/>
    <cellStyle name="Ênfase2 159" xfId="7877" xr:uid="{00000000-0005-0000-0000-0000C8200000}"/>
    <cellStyle name="Ênfase2 16" xfId="7878" xr:uid="{00000000-0005-0000-0000-0000C9200000}"/>
    <cellStyle name="Ênfase2 16 2" xfId="7879" xr:uid="{00000000-0005-0000-0000-0000CA200000}"/>
    <cellStyle name="Ênfase2 16 3" xfId="7880" xr:uid="{00000000-0005-0000-0000-0000CB200000}"/>
    <cellStyle name="Ênfase2 160" xfId="7881" xr:uid="{00000000-0005-0000-0000-0000CC200000}"/>
    <cellStyle name="Ênfase2 161" xfId="7882" xr:uid="{00000000-0005-0000-0000-0000CD200000}"/>
    <cellStyle name="Ênfase2 162" xfId="7883" xr:uid="{00000000-0005-0000-0000-0000CE200000}"/>
    <cellStyle name="Ênfase2 163" xfId="7884" xr:uid="{00000000-0005-0000-0000-0000CF200000}"/>
    <cellStyle name="Ênfase2 164" xfId="7885" xr:uid="{00000000-0005-0000-0000-0000D0200000}"/>
    <cellStyle name="Ênfase2 165" xfId="7886" xr:uid="{00000000-0005-0000-0000-0000D1200000}"/>
    <cellStyle name="Ênfase2 166" xfId="7887" xr:uid="{00000000-0005-0000-0000-0000D2200000}"/>
    <cellStyle name="Ênfase2 167" xfId="7888" xr:uid="{00000000-0005-0000-0000-0000D3200000}"/>
    <cellStyle name="Ênfase2 168" xfId="7889" xr:uid="{00000000-0005-0000-0000-0000D4200000}"/>
    <cellStyle name="Ênfase2 169" xfId="7890" xr:uid="{00000000-0005-0000-0000-0000D5200000}"/>
    <cellStyle name="Ênfase2 17" xfId="7891" xr:uid="{00000000-0005-0000-0000-0000D6200000}"/>
    <cellStyle name="Ênfase2 17 2" xfId="7892" xr:uid="{00000000-0005-0000-0000-0000D7200000}"/>
    <cellStyle name="Ênfase2 17 3" xfId="7893" xr:uid="{00000000-0005-0000-0000-0000D8200000}"/>
    <cellStyle name="Ênfase2 170" xfId="7894" xr:uid="{00000000-0005-0000-0000-0000D9200000}"/>
    <cellStyle name="Ênfase2 171" xfId="7895" xr:uid="{00000000-0005-0000-0000-0000DA200000}"/>
    <cellStyle name="Ênfase2 172" xfId="7896" xr:uid="{00000000-0005-0000-0000-0000DB200000}"/>
    <cellStyle name="Ênfase2 173" xfId="7897" xr:uid="{00000000-0005-0000-0000-0000DC200000}"/>
    <cellStyle name="Ênfase2 174" xfId="7898" xr:uid="{00000000-0005-0000-0000-0000DD200000}"/>
    <cellStyle name="Ênfase2 175" xfId="7899" xr:uid="{00000000-0005-0000-0000-0000DE200000}"/>
    <cellStyle name="Ênfase2 176" xfId="7900" xr:uid="{00000000-0005-0000-0000-0000DF200000}"/>
    <cellStyle name="Ênfase2 177" xfId="7901" xr:uid="{00000000-0005-0000-0000-0000E0200000}"/>
    <cellStyle name="Ênfase2 178" xfId="7902" xr:uid="{00000000-0005-0000-0000-0000E1200000}"/>
    <cellStyle name="Ênfase2 179" xfId="7903" xr:uid="{00000000-0005-0000-0000-0000E2200000}"/>
    <cellStyle name="Ênfase2 18" xfId="7904" xr:uid="{00000000-0005-0000-0000-0000E3200000}"/>
    <cellStyle name="Ênfase2 18 2" xfId="7905" xr:uid="{00000000-0005-0000-0000-0000E4200000}"/>
    <cellStyle name="Ênfase2 18 3" xfId="7906" xr:uid="{00000000-0005-0000-0000-0000E5200000}"/>
    <cellStyle name="Ênfase2 180" xfId="7907" xr:uid="{00000000-0005-0000-0000-0000E6200000}"/>
    <cellStyle name="Ênfase2 181" xfId="7908" xr:uid="{00000000-0005-0000-0000-0000E7200000}"/>
    <cellStyle name="Ênfase2 182" xfId="7909" xr:uid="{00000000-0005-0000-0000-0000E8200000}"/>
    <cellStyle name="Ênfase2 183" xfId="7910" xr:uid="{00000000-0005-0000-0000-0000E9200000}"/>
    <cellStyle name="Ênfase2 184" xfId="7911" xr:uid="{00000000-0005-0000-0000-0000EA200000}"/>
    <cellStyle name="Ênfase2 185" xfId="7912" xr:uid="{00000000-0005-0000-0000-0000EB200000}"/>
    <cellStyle name="Ênfase2 186" xfId="7913" xr:uid="{00000000-0005-0000-0000-0000EC200000}"/>
    <cellStyle name="Ênfase2 187" xfId="7914" xr:uid="{00000000-0005-0000-0000-0000ED200000}"/>
    <cellStyle name="Ênfase2 188" xfId="7915" xr:uid="{00000000-0005-0000-0000-0000EE200000}"/>
    <cellStyle name="Ênfase2 189" xfId="7916" xr:uid="{00000000-0005-0000-0000-0000EF200000}"/>
    <cellStyle name="Ênfase2 19" xfId="7917" xr:uid="{00000000-0005-0000-0000-0000F0200000}"/>
    <cellStyle name="Ênfase2 19 2" xfId="7918" xr:uid="{00000000-0005-0000-0000-0000F1200000}"/>
    <cellStyle name="Ênfase2 19 3" xfId="7919" xr:uid="{00000000-0005-0000-0000-0000F2200000}"/>
    <cellStyle name="Ênfase2 190" xfId="7920" xr:uid="{00000000-0005-0000-0000-0000F3200000}"/>
    <cellStyle name="Ênfase2 2" xfId="7921" xr:uid="{00000000-0005-0000-0000-0000F4200000}"/>
    <cellStyle name="Ênfase2 2 10" xfId="7922" xr:uid="{00000000-0005-0000-0000-0000F5200000}"/>
    <cellStyle name="Ênfase2 2 10 2" xfId="7923" xr:uid="{00000000-0005-0000-0000-0000F6200000}"/>
    <cellStyle name="Ênfase2 2 10 3" xfId="7924" xr:uid="{00000000-0005-0000-0000-0000F7200000}"/>
    <cellStyle name="Ênfase2 2 10 4" xfId="7925" xr:uid="{00000000-0005-0000-0000-0000F8200000}"/>
    <cellStyle name="Ênfase2 2 10 5" xfId="7926" xr:uid="{00000000-0005-0000-0000-0000F9200000}"/>
    <cellStyle name="Ênfase2 2 10 6" xfId="7927" xr:uid="{00000000-0005-0000-0000-0000FA200000}"/>
    <cellStyle name="Ênfase2 2 10 7" xfId="7928" xr:uid="{00000000-0005-0000-0000-0000FB200000}"/>
    <cellStyle name="Ênfase2 2 11" xfId="7929" xr:uid="{00000000-0005-0000-0000-0000FC200000}"/>
    <cellStyle name="Ênfase2 2 11 2" xfId="7930" xr:uid="{00000000-0005-0000-0000-0000FD200000}"/>
    <cellStyle name="Ênfase2 2 11 3" xfId="7931" xr:uid="{00000000-0005-0000-0000-0000FE200000}"/>
    <cellStyle name="Ênfase2 2 11 4" xfId="7932" xr:uid="{00000000-0005-0000-0000-0000FF200000}"/>
    <cellStyle name="Ênfase2 2 11 5" xfId="7933" xr:uid="{00000000-0005-0000-0000-000000210000}"/>
    <cellStyle name="Ênfase2 2 11 6" xfId="7934" xr:uid="{00000000-0005-0000-0000-000001210000}"/>
    <cellStyle name="Ênfase2 2 11 7" xfId="7935" xr:uid="{00000000-0005-0000-0000-000002210000}"/>
    <cellStyle name="Ênfase2 2 12" xfId="7936" xr:uid="{00000000-0005-0000-0000-000003210000}"/>
    <cellStyle name="Ênfase2 2 13" xfId="7937" xr:uid="{00000000-0005-0000-0000-000004210000}"/>
    <cellStyle name="Ênfase2 2 14" xfId="7938" xr:uid="{00000000-0005-0000-0000-000005210000}"/>
    <cellStyle name="Ênfase2 2 15" xfId="7939" xr:uid="{00000000-0005-0000-0000-000006210000}"/>
    <cellStyle name="Ênfase2 2 16" xfId="7940" xr:uid="{00000000-0005-0000-0000-000007210000}"/>
    <cellStyle name="Ênfase2 2 17" xfId="7941" xr:uid="{00000000-0005-0000-0000-000008210000}"/>
    <cellStyle name="Ênfase2 2 18" xfId="7942" xr:uid="{00000000-0005-0000-0000-000009210000}"/>
    <cellStyle name="Ênfase2 2 19" xfId="7943" xr:uid="{00000000-0005-0000-0000-00000A210000}"/>
    <cellStyle name="Ênfase2 2 2" xfId="7944" xr:uid="{00000000-0005-0000-0000-00000B210000}"/>
    <cellStyle name="Ênfase2 2 20" xfId="7945" xr:uid="{00000000-0005-0000-0000-00000C210000}"/>
    <cellStyle name="Ênfase2 2 21" xfId="7946" xr:uid="{00000000-0005-0000-0000-00000D210000}"/>
    <cellStyle name="Ênfase2 2 22" xfId="7947" xr:uid="{00000000-0005-0000-0000-00000E210000}"/>
    <cellStyle name="Ênfase2 2 23" xfId="7948" xr:uid="{00000000-0005-0000-0000-00000F210000}"/>
    <cellStyle name="Ênfase2 2 24" xfId="7949" xr:uid="{00000000-0005-0000-0000-000010210000}"/>
    <cellStyle name="Ênfase2 2 25" xfId="7950" xr:uid="{00000000-0005-0000-0000-000011210000}"/>
    <cellStyle name="Ênfase2 2 26" xfId="7951" xr:uid="{00000000-0005-0000-0000-000012210000}"/>
    <cellStyle name="Ênfase2 2 27" xfId="7952" xr:uid="{00000000-0005-0000-0000-000013210000}"/>
    <cellStyle name="Ênfase2 2 28" xfId="7953" xr:uid="{00000000-0005-0000-0000-000014210000}"/>
    <cellStyle name="Ênfase2 2 29" xfId="7954" xr:uid="{00000000-0005-0000-0000-000015210000}"/>
    <cellStyle name="Ênfase2 2 3" xfId="7955" xr:uid="{00000000-0005-0000-0000-000016210000}"/>
    <cellStyle name="Ênfase2 2 30" xfId="7956" xr:uid="{00000000-0005-0000-0000-000017210000}"/>
    <cellStyle name="Ênfase2 2 31" xfId="7957" xr:uid="{00000000-0005-0000-0000-000018210000}"/>
    <cellStyle name="Ênfase2 2 32" xfId="7958" xr:uid="{00000000-0005-0000-0000-000019210000}"/>
    <cellStyle name="Ênfase2 2 33" xfId="7959" xr:uid="{00000000-0005-0000-0000-00001A210000}"/>
    <cellStyle name="Ênfase2 2 34" xfId="7960" xr:uid="{00000000-0005-0000-0000-00001B210000}"/>
    <cellStyle name="Ênfase2 2 35" xfId="7961" xr:uid="{00000000-0005-0000-0000-00001C210000}"/>
    <cellStyle name="Ênfase2 2 4" xfId="7962" xr:uid="{00000000-0005-0000-0000-00001D210000}"/>
    <cellStyle name="Ênfase2 2 5" xfId="7963" xr:uid="{00000000-0005-0000-0000-00001E210000}"/>
    <cellStyle name="Ênfase2 2 6" xfId="7964" xr:uid="{00000000-0005-0000-0000-00001F210000}"/>
    <cellStyle name="Ênfase2 2 7" xfId="7965" xr:uid="{00000000-0005-0000-0000-000020210000}"/>
    <cellStyle name="Ênfase2 2 8" xfId="7966" xr:uid="{00000000-0005-0000-0000-000021210000}"/>
    <cellStyle name="Ênfase2 2 8 2" xfId="7967" xr:uid="{00000000-0005-0000-0000-000022210000}"/>
    <cellStyle name="Ênfase2 2 8 3" xfId="7968" xr:uid="{00000000-0005-0000-0000-000023210000}"/>
    <cellStyle name="Ênfase2 2 8 4" xfId="7969" xr:uid="{00000000-0005-0000-0000-000024210000}"/>
    <cellStyle name="Ênfase2 2 8 5" xfId="7970" xr:uid="{00000000-0005-0000-0000-000025210000}"/>
    <cellStyle name="Ênfase2 2 8 6" xfId="7971" xr:uid="{00000000-0005-0000-0000-000026210000}"/>
    <cellStyle name="Ênfase2 2 8 7" xfId="7972" xr:uid="{00000000-0005-0000-0000-000027210000}"/>
    <cellStyle name="Ênfase2 2 9" xfId="7973" xr:uid="{00000000-0005-0000-0000-000028210000}"/>
    <cellStyle name="Ênfase2 2 9 2" xfId="7974" xr:uid="{00000000-0005-0000-0000-000029210000}"/>
    <cellStyle name="Ênfase2 2 9 3" xfId="7975" xr:uid="{00000000-0005-0000-0000-00002A210000}"/>
    <cellStyle name="Ênfase2 2 9 4" xfId="7976" xr:uid="{00000000-0005-0000-0000-00002B210000}"/>
    <cellStyle name="Ênfase2 2 9 5" xfId="7977" xr:uid="{00000000-0005-0000-0000-00002C210000}"/>
    <cellStyle name="Ênfase2 2 9 6" xfId="7978" xr:uid="{00000000-0005-0000-0000-00002D210000}"/>
    <cellStyle name="Ênfase2 2 9 7" xfId="7979" xr:uid="{00000000-0005-0000-0000-00002E210000}"/>
    <cellStyle name="Ênfase2 20" xfId="7980" xr:uid="{00000000-0005-0000-0000-00002F210000}"/>
    <cellStyle name="Ênfase2 20 2" xfId="7981" xr:uid="{00000000-0005-0000-0000-000030210000}"/>
    <cellStyle name="Ênfase2 20 3" xfId="7982" xr:uid="{00000000-0005-0000-0000-000031210000}"/>
    <cellStyle name="Ênfase2 21" xfId="7983" xr:uid="{00000000-0005-0000-0000-000032210000}"/>
    <cellStyle name="Ênfase2 22" xfId="7984" xr:uid="{00000000-0005-0000-0000-000033210000}"/>
    <cellStyle name="Ênfase2 23" xfId="7985" xr:uid="{00000000-0005-0000-0000-000034210000}"/>
    <cellStyle name="Ênfase2 24" xfId="7986" xr:uid="{00000000-0005-0000-0000-000035210000}"/>
    <cellStyle name="Ênfase2 24 2" xfId="40949" xr:uid="{00000000-0005-0000-0000-000036210000}"/>
    <cellStyle name="Ênfase2 25" xfId="7987" xr:uid="{00000000-0005-0000-0000-000037210000}"/>
    <cellStyle name="Ênfase2 25 2" xfId="40984" xr:uid="{00000000-0005-0000-0000-000038210000}"/>
    <cellStyle name="Ênfase2 26" xfId="7988" xr:uid="{00000000-0005-0000-0000-000039210000}"/>
    <cellStyle name="Ênfase2 26 10" xfId="7989" xr:uid="{00000000-0005-0000-0000-00003A210000}"/>
    <cellStyle name="Ênfase2 26 11" xfId="7990" xr:uid="{00000000-0005-0000-0000-00003B210000}"/>
    <cellStyle name="Ênfase2 26 12" xfId="7991" xr:uid="{00000000-0005-0000-0000-00003C210000}"/>
    <cellStyle name="Ênfase2 26 13" xfId="7992" xr:uid="{00000000-0005-0000-0000-00003D210000}"/>
    <cellStyle name="Ênfase2 26 14" xfId="7993" xr:uid="{00000000-0005-0000-0000-00003E210000}"/>
    <cellStyle name="Ênfase2 26 15" xfId="7994" xr:uid="{00000000-0005-0000-0000-00003F210000}"/>
    <cellStyle name="Ênfase2 26 16" xfId="7995" xr:uid="{00000000-0005-0000-0000-000040210000}"/>
    <cellStyle name="Ênfase2 26 2" xfId="7996" xr:uid="{00000000-0005-0000-0000-000041210000}"/>
    <cellStyle name="Ênfase2 26 3" xfId="7997" xr:uid="{00000000-0005-0000-0000-000042210000}"/>
    <cellStyle name="Ênfase2 26 4" xfId="7998" xr:uid="{00000000-0005-0000-0000-000043210000}"/>
    <cellStyle name="Ênfase2 26 5" xfId="7999" xr:uid="{00000000-0005-0000-0000-000044210000}"/>
    <cellStyle name="Ênfase2 26 6" xfId="8000" xr:uid="{00000000-0005-0000-0000-000045210000}"/>
    <cellStyle name="Ênfase2 26 7" xfId="8001" xr:uid="{00000000-0005-0000-0000-000046210000}"/>
    <cellStyle name="Ênfase2 26 8" xfId="8002" xr:uid="{00000000-0005-0000-0000-000047210000}"/>
    <cellStyle name="Ênfase2 26 9" xfId="8003" xr:uid="{00000000-0005-0000-0000-000048210000}"/>
    <cellStyle name="Ênfase2 27" xfId="8004" xr:uid="{00000000-0005-0000-0000-000049210000}"/>
    <cellStyle name="Ênfase2 27 10" xfId="8005" xr:uid="{00000000-0005-0000-0000-00004A210000}"/>
    <cellStyle name="Ênfase2 27 11" xfId="8006" xr:uid="{00000000-0005-0000-0000-00004B210000}"/>
    <cellStyle name="Ênfase2 27 12" xfId="8007" xr:uid="{00000000-0005-0000-0000-00004C210000}"/>
    <cellStyle name="Ênfase2 27 13" xfId="8008" xr:uid="{00000000-0005-0000-0000-00004D210000}"/>
    <cellStyle name="Ênfase2 27 14" xfId="8009" xr:uid="{00000000-0005-0000-0000-00004E210000}"/>
    <cellStyle name="Ênfase2 27 15" xfId="8010" xr:uid="{00000000-0005-0000-0000-00004F210000}"/>
    <cellStyle name="Ênfase2 27 16" xfId="8011" xr:uid="{00000000-0005-0000-0000-000050210000}"/>
    <cellStyle name="Ênfase2 27 2" xfId="8012" xr:uid="{00000000-0005-0000-0000-000051210000}"/>
    <cellStyle name="Ênfase2 27 3" xfId="8013" xr:uid="{00000000-0005-0000-0000-000052210000}"/>
    <cellStyle name="Ênfase2 27 4" xfId="8014" xr:uid="{00000000-0005-0000-0000-000053210000}"/>
    <cellStyle name="Ênfase2 27 5" xfId="8015" xr:uid="{00000000-0005-0000-0000-000054210000}"/>
    <cellStyle name="Ênfase2 27 6" xfId="8016" xr:uid="{00000000-0005-0000-0000-000055210000}"/>
    <cellStyle name="Ênfase2 27 7" xfId="8017" xr:uid="{00000000-0005-0000-0000-000056210000}"/>
    <cellStyle name="Ênfase2 27 8" xfId="8018" xr:uid="{00000000-0005-0000-0000-000057210000}"/>
    <cellStyle name="Ênfase2 27 9" xfId="8019" xr:uid="{00000000-0005-0000-0000-000058210000}"/>
    <cellStyle name="Ênfase2 28" xfId="8020" xr:uid="{00000000-0005-0000-0000-000059210000}"/>
    <cellStyle name="Ênfase2 28 10" xfId="8021" xr:uid="{00000000-0005-0000-0000-00005A210000}"/>
    <cellStyle name="Ênfase2 28 11" xfId="8022" xr:uid="{00000000-0005-0000-0000-00005B210000}"/>
    <cellStyle name="Ênfase2 28 12" xfId="8023" xr:uid="{00000000-0005-0000-0000-00005C210000}"/>
    <cellStyle name="Ênfase2 28 13" xfId="8024" xr:uid="{00000000-0005-0000-0000-00005D210000}"/>
    <cellStyle name="Ênfase2 28 14" xfId="8025" xr:uid="{00000000-0005-0000-0000-00005E210000}"/>
    <cellStyle name="Ênfase2 28 15" xfId="8026" xr:uid="{00000000-0005-0000-0000-00005F210000}"/>
    <cellStyle name="Ênfase2 28 16" xfId="8027" xr:uid="{00000000-0005-0000-0000-000060210000}"/>
    <cellStyle name="Ênfase2 28 2" xfId="8028" xr:uid="{00000000-0005-0000-0000-000061210000}"/>
    <cellStyle name="Ênfase2 28 3" xfId="8029" xr:uid="{00000000-0005-0000-0000-000062210000}"/>
    <cellStyle name="Ênfase2 28 4" xfId="8030" xr:uid="{00000000-0005-0000-0000-000063210000}"/>
    <cellStyle name="Ênfase2 28 5" xfId="8031" xr:uid="{00000000-0005-0000-0000-000064210000}"/>
    <cellStyle name="Ênfase2 28 6" xfId="8032" xr:uid="{00000000-0005-0000-0000-000065210000}"/>
    <cellStyle name="Ênfase2 28 7" xfId="8033" xr:uid="{00000000-0005-0000-0000-000066210000}"/>
    <cellStyle name="Ênfase2 28 8" xfId="8034" xr:uid="{00000000-0005-0000-0000-000067210000}"/>
    <cellStyle name="Ênfase2 28 9" xfId="8035" xr:uid="{00000000-0005-0000-0000-000068210000}"/>
    <cellStyle name="Ênfase2 29" xfId="8036" xr:uid="{00000000-0005-0000-0000-000069210000}"/>
    <cellStyle name="Ênfase2 29 10" xfId="8037" xr:uid="{00000000-0005-0000-0000-00006A210000}"/>
    <cellStyle name="Ênfase2 29 11" xfId="8038" xr:uid="{00000000-0005-0000-0000-00006B210000}"/>
    <cellStyle name="Ênfase2 29 12" xfId="8039" xr:uid="{00000000-0005-0000-0000-00006C210000}"/>
    <cellStyle name="Ênfase2 29 13" xfId="8040" xr:uid="{00000000-0005-0000-0000-00006D210000}"/>
    <cellStyle name="Ênfase2 29 14" xfId="8041" xr:uid="{00000000-0005-0000-0000-00006E210000}"/>
    <cellStyle name="Ênfase2 29 15" xfId="8042" xr:uid="{00000000-0005-0000-0000-00006F210000}"/>
    <cellStyle name="Ênfase2 29 16" xfId="8043" xr:uid="{00000000-0005-0000-0000-000070210000}"/>
    <cellStyle name="Ênfase2 29 2" xfId="8044" xr:uid="{00000000-0005-0000-0000-000071210000}"/>
    <cellStyle name="Ênfase2 29 3" xfId="8045" xr:uid="{00000000-0005-0000-0000-000072210000}"/>
    <cellStyle name="Ênfase2 29 4" xfId="8046" xr:uid="{00000000-0005-0000-0000-000073210000}"/>
    <cellStyle name="Ênfase2 29 5" xfId="8047" xr:uid="{00000000-0005-0000-0000-000074210000}"/>
    <cellStyle name="Ênfase2 29 6" xfId="8048" xr:uid="{00000000-0005-0000-0000-000075210000}"/>
    <cellStyle name="Ênfase2 29 7" xfId="8049" xr:uid="{00000000-0005-0000-0000-000076210000}"/>
    <cellStyle name="Ênfase2 29 8" xfId="8050" xr:uid="{00000000-0005-0000-0000-000077210000}"/>
    <cellStyle name="Ênfase2 29 9" xfId="8051" xr:uid="{00000000-0005-0000-0000-000078210000}"/>
    <cellStyle name="Ênfase2 3" xfId="8052" xr:uid="{00000000-0005-0000-0000-000079210000}"/>
    <cellStyle name="Ênfase2 3 10" xfId="8053" xr:uid="{00000000-0005-0000-0000-00007A210000}"/>
    <cellStyle name="Ênfase2 3 11" xfId="8054" xr:uid="{00000000-0005-0000-0000-00007B210000}"/>
    <cellStyle name="Ênfase2 3 2" xfId="8055" xr:uid="{00000000-0005-0000-0000-00007C210000}"/>
    <cellStyle name="Ênfase2 3 3" xfId="8056" xr:uid="{00000000-0005-0000-0000-00007D210000}"/>
    <cellStyle name="Ênfase2 3 4" xfId="8057" xr:uid="{00000000-0005-0000-0000-00007E210000}"/>
    <cellStyle name="Ênfase2 3 5" xfId="8058" xr:uid="{00000000-0005-0000-0000-00007F210000}"/>
    <cellStyle name="Ênfase2 3 6" xfId="8059" xr:uid="{00000000-0005-0000-0000-000080210000}"/>
    <cellStyle name="Ênfase2 3 7" xfId="8060" xr:uid="{00000000-0005-0000-0000-000081210000}"/>
    <cellStyle name="Ênfase2 3 8" xfId="8061" xr:uid="{00000000-0005-0000-0000-000082210000}"/>
    <cellStyle name="Ênfase2 3 9" xfId="8062" xr:uid="{00000000-0005-0000-0000-000083210000}"/>
    <cellStyle name="Ênfase2 30" xfId="8063" xr:uid="{00000000-0005-0000-0000-000084210000}"/>
    <cellStyle name="Ênfase2 31" xfId="8064" xr:uid="{00000000-0005-0000-0000-000085210000}"/>
    <cellStyle name="Ênfase2 32" xfId="8065" xr:uid="{00000000-0005-0000-0000-000086210000}"/>
    <cellStyle name="Ênfase2 33" xfId="8066" xr:uid="{00000000-0005-0000-0000-000087210000}"/>
    <cellStyle name="Ênfase2 34" xfId="8067" xr:uid="{00000000-0005-0000-0000-000088210000}"/>
    <cellStyle name="Ênfase2 35" xfId="8068" xr:uid="{00000000-0005-0000-0000-000089210000}"/>
    <cellStyle name="Ênfase2 36" xfId="8069" xr:uid="{00000000-0005-0000-0000-00008A210000}"/>
    <cellStyle name="Ênfase2 37" xfId="8070" xr:uid="{00000000-0005-0000-0000-00008B210000}"/>
    <cellStyle name="Ênfase2 38" xfId="8071" xr:uid="{00000000-0005-0000-0000-00008C210000}"/>
    <cellStyle name="Ênfase2 39" xfId="8072" xr:uid="{00000000-0005-0000-0000-00008D210000}"/>
    <cellStyle name="Ênfase2 4" xfId="8073" xr:uid="{00000000-0005-0000-0000-00008E210000}"/>
    <cellStyle name="Ênfase2 4 10" xfId="8074" xr:uid="{00000000-0005-0000-0000-00008F210000}"/>
    <cellStyle name="Ênfase2 4 11" xfId="8075" xr:uid="{00000000-0005-0000-0000-000090210000}"/>
    <cellStyle name="Ênfase2 4 2" xfId="8076" xr:uid="{00000000-0005-0000-0000-000091210000}"/>
    <cellStyle name="Ênfase2 4 3" xfId="8077" xr:uid="{00000000-0005-0000-0000-000092210000}"/>
    <cellStyle name="Ênfase2 4 4" xfId="8078" xr:uid="{00000000-0005-0000-0000-000093210000}"/>
    <cellStyle name="Ênfase2 4 5" xfId="8079" xr:uid="{00000000-0005-0000-0000-000094210000}"/>
    <cellStyle name="Ênfase2 4 6" xfId="8080" xr:uid="{00000000-0005-0000-0000-000095210000}"/>
    <cellStyle name="Ênfase2 4 7" xfId="8081" xr:uid="{00000000-0005-0000-0000-000096210000}"/>
    <cellStyle name="Ênfase2 4 8" xfId="8082" xr:uid="{00000000-0005-0000-0000-000097210000}"/>
    <cellStyle name="Ênfase2 4 9" xfId="8083" xr:uid="{00000000-0005-0000-0000-000098210000}"/>
    <cellStyle name="Ênfase2 40" xfId="8084" xr:uid="{00000000-0005-0000-0000-000099210000}"/>
    <cellStyle name="Ênfase2 41" xfId="8085" xr:uid="{00000000-0005-0000-0000-00009A210000}"/>
    <cellStyle name="Ênfase2 42" xfId="8086" xr:uid="{00000000-0005-0000-0000-00009B210000}"/>
    <cellStyle name="Ênfase2 43" xfId="8087" xr:uid="{00000000-0005-0000-0000-00009C210000}"/>
    <cellStyle name="Ênfase2 44" xfId="8088" xr:uid="{00000000-0005-0000-0000-00009D210000}"/>
    <cellStyle name="Ênfase2 45" xfId="8089" xr:uid="{00000000-0005-0000-0000-00009E210000}"/>
    <cellStyle name="Ênfase2 46" xfId="8090" xr:uid="{00000000-0005-0000-0000-00009F210000}"/>
    <cellStyle name="Ênfase2 47" xfId="8091" xr:uid="{00000000-0005-0000-0000-0000A0210000}"/>
    <cellStyle name="Ênfase2 48" xfId="8092" xr:uid="{00000000-0005-0000-0000-0000A1210000}"/>
    <cellStyle name="Ênfase2 49" xfId="8093" xr:uid="{00000000-0005-0000-0000-0000A2210000}"/>
    <cellStyle name="Ênfase2 5" xfId="8094" xr:uid="{00000000-0005-0000-0000-0000A3210000}"/>
    <cellStyle name="Ênfase2 5 2" xfId="8095" xr:uid="{00000000-0005-0000-0000-0000A4210000}"/>
    <cellStyle name="Ênfase2 5 3" xfId="8096" xr:uid="{00000000-0005-0000-0000-0000A5210000}"/>
    <cellStyle name="Ênfase2 5 4" xfId="8097" xr:uid="{00000000-0005-0000-0000-0000A6210000}"/>
    <cellStyle name="Ênfase2 50" xfId="8098" xr:uid="{00000000-0005-0000-0000-0000A7210000}"/>
    <cellStyle name="Ênfase2 51" xfId="8099" xr:uid="{00000000-0005-0000-0000-0000A8210000}"/>
    <cellStyle name="Ênfase2 52" xfId="8100" xr:uid="{00000000-0005-0000-0000-0000A9210000}"/>
    <cellStyle name="Ênfase2 53" xfId="8101" xr:uid="{00000000-0005-0000-0000-0000AA210000}"/>
    <cellStyle name="Ênfase2 54" xfId="8102" xr:uid="{00000000-0005-0000-0000-0000AB210000}"/>
    <cellStyle name="Ênfase2 55" xfId="8103" xr:uid="{00000000-0005-0000-0000-0000AC210000}"/>
    <cellStyle name="Ênfase2 56" xfId="8104" xr:uid="{00000000-0005-0000-0000-0000AD210000}"/>
    <cellStyle name="Ênfase2 57" xfId="8105" xr:uid="{00000000-0005-0000-0000-0000AE210000}"/>
    <cellStyle name="Ênfase2 58" xfId="8106" xr:uid="{00000000-0005-0000-0000-0000AF210000}"/>
    <cellStyle name="Ênfase2 59" xfId="8107" xr:uid="{00000000-0005-0000-0000-0000B0210000}"/>
    <cellStyle name="Ênfase2 6" xfId="8108" xr:uid="{00000000-0005-0000-0000-0000B1210000}"/>
    <cellStyle name="Ênfase2 6 2" xfId="8109" xr:uid="{00000000-0005-0000-0000-0000B2210000}"/>
    <cellStyle name="Ênfase2 6 3" xfId="8110" xr:uid="{00000000-0005-0000-0000-0000B3210000}"/>
    <cellStyle name="Ênfase2 6 4" xfId="8111" xr:uid="{00000000-0005-0000-0000-0000B4210000}"/>
    <cellStyle name="Ênfase2 60" xfId="8112" xr:uid="{00000000-0005-0000-0000-0000B5210000}"/>
    <cellStyle name="Ênfase2 61" xfId="8113" xr:uid="{00000000-0005-0000-0000-0000B6210000}"/>
    <cellStyle name="Ênfase2 62" xfId="8114" xr:uid="{00000000-0005-0000-0000-0000B7210000}"/>
    <cellStyle name="Ênfase2 63" xfId="8115" xr:uid="{00000000-0005-0000-0000-0000B8210000}"/>
    <cellStyle name="Ênfase2 64" xfId="8116" xr:uid="{00000000-0005-0000-0000-0000B9210000}"/>
    <cellStyle name="Ênfase2 65" xfId="8117" xr:uid="{00000000-0005-0000-0000-0000BA210000}"/>
    <cellStyle name="Ênfase2 66" xfId="8118" xr:uid="{00000000-0005-0000-0000-0000BB210000}"/>
    <cellStyle name="Ênfase2 67" xfId="8119" xr:uid="{00000000-0005-0000-0000-0000BC210000}"/>
    <cellStyle name="Ênfase2 68" xfId="8120" xr:uid="{00000000-0005-0000-0000-0000BD210000}"/>
    <cellStyle name="Ênfase2 69" xfId="8121" xr:uid="{00000000-0005-0000-0000-0000BE210000}"/>
    <cellStyle name="Ênfase2 7" xfId="8122" xr:uid="{00000000-0005-0000-0000-0000BF210000}"/>
    <cellStyle name="Ênfase2 7 2" xfId="8123" xr:uid="{00000000-0005-0000-0000-0000C0210000}"/>
    <cellStyle name="Ênfase2 7 3" xfId="8124" xr:uid="{00000000-0005-0000-0000-0000C1210000}"/>
    <cellStyle name="Ênfase2 7 4" xfId="8125" xr:uid="{00000000-0005-0000-0000-0000C2210000}"/>
    <cellStyle name="Ênfase2 70" xfId="8126" xr:uid="{00000000-0005-0000-0000-0000C3210000}"/>
    <cellStyle name="Ênfase2 71" xfId="8127" xr:uid="{00000000-0005-0000-0000-0000C4210000}"/>
    <cellStyle name="Ênfase2 72" xfId="8128" xr:uid="{00000000-0005-0000-0000-0000C5210000}"/>
    <cellStyle name="Ênfase2 73" xfId="8129" xr:uid="{00000000-0005-0000-0000-0000C6210000}"/>
    <cellStyle name="Ênfase2 74" xfId="8130" xr:uid="{00000000-0005-0000-0000-0000C7210000}"/>
    <cellStyle name="Ênfase2 75" xfId="8131" xr:uid="{00000000-0005-0000-0000-0000C8210000}"/>
    <cellStyle name="Ênfase2 76" xfId="8132" xr:uid="{00000000-0005-0000-0000-0000C9210000}"/>
    <cellStyle name="Ênfase2 77" xfId="8133" xr:uid="{00000000-0005-0000-0000-0000CA210000}"/>
    <cellStyle name="Ênfase2 78" xfId="8134" xr:uid="{00000000-0005-0000-0000-0000CB210000}"/>
    <cellStyle name="Ênfase2 79" xfId="8135" xr:uid="{00000000-0005-0000-0000-0000CC210000}"/>
    <cellStyle name="Ênfase2 8" xfId="8136" xr:uid="{00000000-0005-0000-0000-0000CD210000}"/>
    <cellStyle name="Ênfase2 8 2" xfId="8137" xr:uid="{00000000-0005-0000-0000-0000CE210000}"/>
    <cellStyle name="Ênfase2 8 3" xfId="8138" xr:uid="{00000000-0005-0000-0000-0000CF210000}"/>
    <cellStyle name="Ênfase2 8 4" xfId="8139" xr:uid="{00000000-0005-0000-0000-0000D0210000}"/>
    <cellStyle name="Ênfase2 80" xfId="8140" xr:uid="{00000000-0005-0000-0000-0000D1210000}"/>
    <cellStyle name="Ênfase2 81" xfId="8141" xr:uid="{00000000-0005-0000-0000-0000D2210000}"/>
    <cellStyle name="Ênfase2 82" xfId="8142" xr:uid="{00000000-0005-0000-0000-0000D3210000}"/>
    <cellStyle name="Ênfase2 83" xfId="8143" xr:uid="{00000000-0005-0000-0000-0000D4210000}"/>
    <cellStyle name="Ênfase2 84" xfId="8144" xr:uid="{00000000-0005-0000-0000-0000D5210000}"/>
    <cellStyle name="Ênfase2 85" xfId="8145" xr:uid="{00000000-0005-0000-0000-0000D6210000}"/>
    <cellStyle name="Ênfase2 86" xfId="8146" xr:uid="{00000000-0005-0000-0000-0000D7210000}"/>
    <cellStyle name="Ênfase2 87" xfId="8147" xr:uid="{00000000-0005-0000-0000-0000D8210000}"/>
    <cellStyle name="Ênfase2 88" xfId="8148" xr:uid="{00000000-0005-0000-0000-0000D9210000}"/>
    <cellStyle name="Ênfase2 89" xfId="8149" xr:uid="{00000000-0005-0000-0000-0000DA210000}"/>
    <cellStyle name="Ênfase2 9" xfId="8150" xr:uid="{00000000-0005-0000-0000-0000DB210000}"/>
    <cellStyle name="Ênfase2 90" xfId="8151" xr:uid="{00000000-0005-0000-0000-0000DC210000}"/>
    <cellStyle name="Ênfase2 91" xfId="8152" xr:uid="{00000000-0005-0000-0000-0000DD210000}"/>
    <cellStyle name="Ênfase2 92" xfId="8153" xr:uid="{00000000-0005-0000-0000-0000DE210000}"/>
    <cellStyle name="Ênfase2 93" xfId="8154" xr:uid="{00000000-0005-0000-0000-0000DF210000}"/>
    <cellStyle name="Ênfase2 94" xfId="8155" xr:uid="{00000000-0005-0000-0000-0000E0210000}"/>
    <cellStyle name="Ênfase2 95" xfId="8156" xr:uid="{00000000-0005-0000-0000-0000E1210000}"/>
    <cellStyle name="Ênfase2 96" xfId="8157" xr:uid="{00000000-0005-0000-0000-0000E2210000}"/>
    <cellStyle name="Ênfase2 97" xfId="8158" xr:uid="{00000000-0005-0000-0000-0000E3210000}"/>
    <cellStyle name="Ênfase2 98" xfId="8159" xr:uid="{00000000-0005-0000-0000-0000E4210000}"/>
    <cellStyle name="Ênfase2 99" xfId="8160" xr:uid="{00000000-0005-0000-0000-0000E5210000}"/>
    <cellStyle name="Ênfase3 10" xfId="8161" xr:uid="{00000000-0005-0000-0000-0000E6210000}"/>
    <cellStyle name="Ênfase3 10 2" xfId="40583" xr:uid="{00000000-0005-0000-0000-0000E7210000}"/>
    <cellStyle name="Ênfase3 100" xfId="8162" xr:uid="{00000000-0005-0000-0000-0000E8210000}"/>
    <cellStyle name="Ênfase3 101" xfId="8163" xr:uid="{00000000-0005-0000-0000-0000E9210000}"/>
    <cellStyle name="Ênfase3 102" xfId="8164" xr:uid="{00000000-0005-0000-0000-0000EA210000}"/>
    <cellStyle name="Ênfase3 103" xfId="8165" xr:uid="{00000000-0005-0000-0000-0000EB210000}"/>
    <cellStyle name="Ênfase3 104" xfId="8166" xr:uid="{00000000-0005-0000-0000-0000EC210000}"/>
    <cellStyle name="Ênfase3 105" xfId="8167" xr:uid="{00000000-0005-0000-0000-0000ED210000}"/>
    <cellStyle name="Ênfase3 106" xfId="8168" xr:uid="{00000000-0005-0000-0000-0000EE210000}"/>
    <cellStyle name="Ênfase3 107" xfId="8169" xr:uid="{00000000-0005-0000-0000-0000EF210000}"/>
    <cellStyle name="Ênfase3 108" xfId="8170" xr:uid="{00000000-0005-0000-0000-0000F0210000}"/>
    <cellStyle name="Ênfase3 109" xfId="8171" xr:uid="{00000000-0005-0000-0000-0000F1210000}"/>
    <cellStyle name="Ênfase3 11" xfId="8172" xr:uid="{00000000-0005-0000-0000-0000F2210000}"/>
    <cellStyle name="Ênfase3 11 2" xfId="40584" xr:uid="{00000000-0005-0000-0000-0000F3210000}"/>
    <cellStyle name="Ênfase3 110" xfId="8173" xr:uid="{00000000-0005-0000-0000-0000F4210000}"/>
    <cellStyle name="Ênfase3 111" xfId="8174" xr:uid="{00000000-0005-0000-0000-0000F5210000}"/>
    <cellStyle name="Ênfase3 112" xfId="8175" xr:uid="{00000000-0005-0000-0000-0000F6210000}"/>
    <cellStyle name="Ênfase3 113" xfId="8176" xr:uid="{00000000-0005-0000-0000-0000F7210000}"/>
    <cellStyle name="Ênfase3 114" xfId="8177" xr:uid="{00000000-0005-0000-0000-0000F8210000}"/>
    <cellStyle name="Ênfase3 115" xfId="8178" xr:uid="{00000000-0005-0000-0000-0000F9210000}"/>
    <cellStyle name="Ênfase3 116" xfId="8179" xr:uid="{00000000-0005-0000-0000-0000FA210000}"/>
    <cellStyle name="Ênfase3 117" xfId="8180" xr:uid="{00000000-0005-0000-0000-0000FB210000}"/>
    <cellStyle name="Ênfase3 118" xfId="8181" xr:uid="{00000000-0005-0000-0000-0000FC210000}"/>
    <cellStyle name="Ênfase3 119" xfId="8182" xr:uid="{00000000-0005-0000-0000-0000FD210000}"/>
    <cellStyle name="Ênfase3 12" xfId="8183" xr:uid="{00000000-0005-0000-0000-0000FE210000}"/>
    <cellStyle name="Ênfase3 12 2" xfId="40585" xr:uid="{00000000-0005-0000-0000-0000FF210000}"/>
    <cellStyle name="Ênfase3 120" xfId="8184" xr:uid="{00000000-0005-0000-0000-000000220000}"/>
    <cellStyle name="Ênfase3 121" xfId="8185" xr:uid="{00000000-0005-0000-0000-000001220000}"/>
    <cellStyle name="Ênfase3 122" xfId="8186" xr:uid="{00000000-0005-0000-0000-000002220000}"/>
    <cellStyle name="Ênfase3 123" xfId="8187" xr:uid="{00000000-0005-0000-0000-000003220000}"/>
    <cellStyle name="Ênfase3 124" xfId="8188" xr:uid="{00000000-0005-0000-0000-000004220000}"/>
    <cellStyle name="Ênfase3 125" xfId="8189" xr:uid="{00000000-0005-0000-0000-000005220000}"/>
    <cellStyle name="Ênfase3 126" xfId="8190" xr:uid="{00000000-0005-0000-0000-000006220000}"/>
    <cellStyle name="Ênfase3 127" xfId="8191" xr:uid="{00000000-0005-0000-0000-000007220000}"/>
    <cellStyle name="Ênfase3 128" xfId="8192" xr:uid="{00000000-0005-0000-0000-000008220000}"/>
    <cellStyle name="Ênfase3 129" xfId="8193" xr:uid="{00000000-0005-0000-0000-000009220000}"/>
    <cellStyle name="Ênfase3 13" xfId="8194" xr:uid="{00000000-0005-0000-0000-00000A220000}"/>
    <cellStyle name="Ênfase3 13 2" xfId="40586" xr:uid="{00000000-0005-0000-0000-00000B220000}"/>
    <cellStyle name="Ênfase3 130" xfId="8195" xr:uid="{00000000-0005-0000-0000-00000C220000}"/>
    <cellStyle name="Ênfase3 131" xfId="8196" xr:uid="{00000000-0005-0000-0000-00000D220000}"/>
    <cellStyle name="Ênfase3 132" xfId="8197" xr:uid="{00000000-0005-0000-0000-00000E220000}"/>
    <cellStyle name="Ênfase3 133" xfId="8198" xr:uid="{00000000-0005-0000-0000-00000F220000}"/>
    <cellStyle name="Ênfase3 134" xfId="8199" xr:uid="{00000000-0005-0000-0000-000010220000}"/>
    <cellStyle name="Ênfase3 135" xfId="8200" xr:uid="{00000000-0005-0000-0000-000011220000}"/>
    <cellStyle name="Ênfase3 136" xfId="8201" xr:uid="{00000000-0005-0000-0000-000012220000}"/>
    <cellStyle name="Ênfase3 137" xfId="8202" xr:uid="{00000000-0005-0000-0000-000013220000}"/>
    <cellStyle name="Ênfase3 138" xfId="8203" xr:uid="{00000000-0005-0000-0000-000014220000}"/>
    <cellStyle name="Ênfase3 139" xfId="8204" xr:uid="{00000000-0005-0000-0000-000015220000}"/>
    <cellStyle name="Ênfase3 14" xfId="8205" xr:uid="{00000000-0005-0000-0000-000016220000}"/>
    <cellStyle name="Ênfase3 140" xfId="8206" xr:uid="{00000000-0005-0000-0000-000017220000}"/>
    <cellStyle name="Ênfase3 141" xfId="8207" xr:uid="{00000000-0005-0000-0000-000018220000}"/>
    <cellStyle name="Ênfase3 142" xfId="8208" xr:uid="{00000000-0005-0000-0000-000019220000}"/>
    <cellStyle name="Ênfase3 143" xfId="8209" xr:uid="{00000000-0005-0000-0000-00001A220000}"/>
    <cellStyle name="Ênfase3 144" xfId="8210" xr:uid="{00000000-0005-0000-0000-00001B220000}"/>
    <cellStyle name="Ênfase3 145" xfId="8211" xr:uid="{00000000-0005-0000-0000-00001C220000}"/>
    <cellStyle name="Ênfase3 146" xfId="8212" xr:uid="{00000000-0005-0000-0000-00001D220000}"/>
    <cellStyle name="Ênfase3 147" xfId="8213" xr:uid="{00000000-0005-0000-0000-00001E220000}"/>
    <cellStyle name="Ênfase3 148" xfId="8214" xr:uid="{00000000-0005-0000-0000-00001F220000}"/>
    <cellStyle name="Ênfase3 149" xfId="8215" xr:uid="{00000000-0005-0000-0000-000020220000}"/>
    <cellStyle name="Ênfase3 15" xfId="8216" xr:uid="{00000000-0005-0000-0000-000021220000}"/>
    <cellStyle name="Ênfase3 15 2" xfId="8217" xr:uid="{00000000-0005-0000-0000-000022220000}"/>
    <cellStyle name="Ênfase3 15 3" xfId="8218" xr:uid="{00000000-0005-0000-0000-000023220000}"/>
    <cellStyle name="Ênfase3 150" xfId="8219" xr:uid="{00000000-0005-0000-0000-000024220000}"/>
    <cellStyle name="Ênfase3 151" xfId="8220" xr:uid="{00000000-0005-0000-0000-000025220000}"/>
    <cellStyle name="Ênfase3 152" xfId="8221" xr:uid="{00000000-0005-0000-0000-000026220000}"/>
    <cellStyle name="Ênfase3 153" xfId="8222" xr:uid="{00000000-0005-0000-0000-000027220000}"/>
    <cellStyle name="Ênfase3 154" xfId="8223" xr:uid="{00000000-0005-0000-0000-000028220000}"/>
    <cellStyle name="Ênfase3 155" xfId="8224" xr:uid="{00000000-0005-0000-0000-000029220000}"/>
    <cellStyle name="Ênfase3 156" xfId="8225" xr:uid="{00000000-0005-0000-0000-00002A220000}"/>
    <cellStyle name="Ênfase3 157" xfId="8226" xr:uid="{00000000-0005-0000-0000-00002B220000}"/>
    <cellStyle name="Ênfase3 158" xfId="8227" xr:uid="{00000000-0005-0000-0000-00002C220000}"/>
    <cellStyle name="Ênfase3 159" xfId="8228" xr:uid="{00000000-0005-0000-0000-00002D220000}"/>
    <cellStyle name="Ênfase3 16" xfId="8229" xr:uid="{00000000-0005-0000-0000-00002E220000}"/>
    <cellStyle name="Ênfase3 16 2" xfId="8230" xr:uid="{00000000-0005-0000-0000-00002F220000}"/>
    <cellStyle name="Ênfase3 16 3" xfId="8231" xr:uid="{00000000-0005-0000-0000-000030220000}"/>
    <cellStyle name="Ênfase3 160" xfId="8232" xr:uid="{00000000-0005-0000-0000-000031220000}"/>
    <cellStyle name="Ênfase3 161" xfId="8233" xr:uid="{00000000-0005-0000-0000-000032220000}"/>
    <cellStyle name="Ênfase3 162" xfId="8234" xr:uid="{00000000-0005-0000-0000-000033220000}"/>
    <cellStyle name="Ênfase3 163" xfId="8235" xr:uid="{00000000-0005-0000-0000-000034220000}"/>
    <cellStyle name="Ênfase3 164" xfId="8236" xr:uid="{00000000-0005-0000-0000-000035220000}"/>
    <cellStyle name="Ênfase3 165" xfId="8237" xr:uid="{00000000-0005-0000-0000-000036220000}"/>
    <cellStyle name="Ênfase3 166" xfId="8238" xr:uid="{00000000-0005-0000-0000-000037220000}"/>
    <cellStyle name="Ênfase3 167" xfId="8239" xr:uid="{00000000-0005-0000-0000-000038220000}"/>
    <cellStyle name="Ênfase3 168" xfId="8240" xr:uid="{00000000-0005-0000-0000-000039220000}"/>
    <cellStyle name="Ênfase3 169" xfId="8241" xr:uid="{00000000-0005-0000-0000-00003A220000}"/>
    <cellStyle name="Ênfase3 17" xfId="8242" xr:uid="{00000000-0005-0000-0000-00003B220000}"/>
    <cellStyle name="Ênfase3 17 2" xfId="8243" xr:uid="{00000000-0005-0000-0000-00003C220000}"/>
    <cellStyle name="Ênfase3 17 3" xfId="8244" xr:uid="{00000000-0005-0000-0000-00003D220000}"/>
    <cellStyle name="Ênfase3 170" xfId="8245" xr:uid="{00000000-0005-0000-0000-00003E220000}"/>
    <cellStyle name="Ênfase3 171" xfId="8246" xr:uid="{00000000-0005-0000-0000-00003F220000}"/>
    <cellStyle name="Ênfase3 172" xfId="8247" xr:uid="{00000000-0005-0000-0000-000040220000}"/>
    <cellStyle name="Ênfase3 173" xfId="8248" xr:uid="{00000000-0005-0000-0000-000041220000}"/>
    <cellStyle name="Ênfase3 174" xfId="8249" xr:uid="{00000000-0005-0000-0000-000042220000}"/>
    <cellStyle name="Ênfase3 175" xfId="8250" xr:uid="{00000000-0005-0000-0000-000043220000}"/>
    <cellStyle name="Ênfase3 176" xfId="8251" xr:uid="{00000000-0005-0000-0000-000044220000}"/>
    <cellStyle name="Ênfase3 177" xfId="8252" xr:uid="{00000000-0005-0000-0000-000045220000}"/>
    <cellStyle name="Ênfase3 178" xfId="8253" xr:uid="{00000000-0005-0000-0000-000046220000}"/>
    <cellStyle name="Ênfase3 179" xfId="8254" xr:uid="{00000000-0005-0000-0000-000047220000}"/>
    <cellStyle name="Ênfase3 18" xfId="8255" xr:uid="{00000000-0005-0000-0000-000048220000}"/>
    <cellStyle name="Ênfase3 18 2" xfId="8256" xr:uid="{00000000-0005-0000-0000-000049220000}"/>
    <cellStyle name="Ênfase3 18 3" xfId="8257" xr:uid="{00000000-0005-0000-0000-00004A220000}"/>
    <cellStyle name="Ênfase3 180" xfId="8258" xr:uid="{00000000-0005-0000-0000-00004B220000}"/>
    <cellStyle name="Ênfase3 181" xfId="8259" xr:uid="{00000000-0005-0000-0000-00004C220000}"/>
    <cellStyle name="Ênfase3 182" xfId="8260" xr:uid="{00000000-0005-0000-0000-00004D220000}"/>
    <cellStyle name="Ênfase3 183" xfId="8261" xr:uid="{00000000-0005-0000-0000-00004E220000}"/>
    <cellStyle name="Ênfase3 184" xfId="8262" xr:uid="{00000000-0005-0000-0000-00004F220000}"/>
    <cellStyle name="Ênfase3 185" xfId="8263" xr:uid="{00000000-0005-0000-0000-000050220000}"/>
    <cellStyle name="Ênfase3 186" xfId="8264" xr:uid="{00000000-0005-0000-0000-000051220000}"/>
    <cellStyle name="Ênfase3 187" xfId="8265" xr:uid="{00000000-0005-0000-0000-000052220000}"/>
    <cellStyle name="Ênfase3 188" xfId="8266" xr:uid="{00000000-0005-0000-0000-000053220000}"/>
    <cellStyle name="Ênfase3 189" xfId="8267" xr:uid="{00000000-0005-0000-0000-000054220000}"/>
    <cellStyle name="Ênfase3 19" xfId="8268" xr:uid="{00000000-0005-0000-0000-000055220000}"/>
    <cellStyle name="Ênfase3 19 2" xfId="8269" xr:uid="{00000000-0005-0000-0000-000056220000}"/>
    <cellStyle name="Ênfase3 19 3" xfId="8270" xr:uid="{00000000-0005-0000-0000-000057220000}"/>
    <cellStyle name="Ênfase3 190" xfId="8271" xr:uid="{00000000-0005-0000-0000-000058220000}"/>
    <cellStyle name="Ênfase3 2" xfId="8272" xr:uid="{00000000-0005-0000-0000-000059220000}"/>
    <cellStyle name="Ênfase3 2 10" xfId="8273" xr:uid="{00000000-0005-0000-0000-00005A220000}"/>
    <cellStyle name="Ênfase3 2 10 2" xfId="8274" xr:uid="{00000000-0005-0000-0000-00005B220000}"/>
    <cellStyle name="Ênfase3 2 10 3" xfId="8275" xr:uid="{00000000-0005-0000-0000-00005C220000}"/>
    <cellStyle name="Ênfase3 2 10 4" xfId="8276" xr:uid="{00000000-0005-0000-0000-00005D220000}"/>
    <cellStyle name="Ênfase3 2 10 5" xfId="8277" xr:uid="{00000000-0005-0000-0000-00005E220000}"/>
    <cellStyle name="Ênfase3 2 10 6" xfId="8278" xr:uid="{00000000-0005-0000-0000-00005F220000}"/>
    <cellStyle name="Ênfase3 2 10 7" xfId="8279" xr:uid="{00000000-0005-0000-0000-000060220000}"/>
    <cellStyle name="Ênfase3 2 11" xfId="8280" xr:uid="{00000000-0005-0000-0000-000061220000}"/>
    <cellStyle name="Ênfase3 2 11 2" xfId="8281" xr:uid="{00000000-0005-0000-0000-000062220000}"/>
    <cellStyle name="Ênfase3 2 11 3" xfId="8282" xr:uid="{00000000-0005-0000-0000-000063220000}"/>
    <cellStyle name="Ênfase3 2 11 4" xfId="8283" xr:uid="{00000000-0005-0000-0000-000064220000}"/>
    <cellStyle name="Ênfase3 2 11 5" xfId="8284" xr:uid="{00000000-0005-0000-0000-000065220000}"/>
    <cellStyle name="Ênfase3 2 11 6" xfId="8285" xr:uid="{00000000-0005-0000-0000-000066220000}"/>
    <cellStyle name="Ênfase3 2 11 7" xfId="8286" xr:uid="{00000000-0005-0000-0000-000067220000}"/>
    <cellStyle name="Ênfase3 2 12" xfId="12" xr:uid="{00000000-0005-0000-0000-000068220000}"/>
    <cellStyle name="Ênfase3 2 12 2" xfId="29362" xr:uid="{00000000-0005-0000-0000-000069220000}"/>
    <cellStyle name="Ênfase3 2 13" xfId="8287" xr:uid="{00000000-0005-0000-0000-00006A220000}"/>
    <cellStyle name="Ênfase3 2 14" xfId="8288" xr:uid="{00000000-0005-0000-0000-00006B220000}"/>
    <cellStyle name="Ênfase3 2 15" xfId="8289" xr:uid="{00000000-0005-0000-0000-00006C220000}"/>
    <cellStyle name="Ênfase3 2 16" xfId="8290" xr:uid="{00000000-0005-0000-0000-00006D220000}"/>
    <cellStyle name="Ênfase3 2 17" xfId="8291" xr:uid="{00000000-0005-0000-0000-00006E220000}"/>
    <cellStyle name="Ênfase3 2 18" xfId="8292" xr:uid="{00000000-0005-0000-0000-00006F220000}"/>
    <cellStyle name="Ênfase3 2 19" xfId="8293" xr:uid="{00000000-0005-0000-0000-000070220000}"/>
    <cellStyle name="Ênfase3 2 2" xfId="8294" xr:uid="{00000000-0005-0000-0000-000071220000}"/>
    <cellStyle name="Ênfase3 2 20" xfId="8295" xr:uid="{00000000-0005-0000-0000-000072220000}"/>
    <cellStyle name="Ênfase3 2 21" xfId="8296" xr:uid="{00000000-0005-0000-0000-000073220000}"/>
    <cellStyle name="Ênfase3 2 22" xfId="8297" xr:uid="{00000000-0005-0000-0000-000074220000}"/>
    <cellStyle name="Ênfase3 2 23" xfId="8298" xr:uid="{00000000-0005-0000-0000-000075220000}"/>
    <cellStyle name="Ênfase3 2 24" xfId="8299" xr:uid="{00000000-0005-0000-0000-000076220000}"/>
    <cellStyle name="Ênfase3 2 25" xfId="8300" xr:uid="{00000000-0005-0000-0000-000077220000}"/>
    <cellStyle name="Ênfase3 2 26" xfId="8301" xr:uid="{00000000-0005-0000-0000-000078220000}"/>
    <cellStyle name="Ênfase3 2 27" xfId="8302" xr:uid="{00000000-0005-0000-0000-000079220000}"/>
    <cellStyle name="Ênfase3 2 28" xfId="8303" xr:uid="{00000000-0005-0000-0000-00007A220000}"/>
    <cellStyle name="Ênfase3 2 29" xfId="8304" xr:uid="{00000000-0005-0000-0000-00007B220000}"/>
    <cellStyle name="Ênfase3 2 3" xfId="8305" xr:uid="{00000000-0005-0000-0000-00007C220000}"/>
    <cellStyle name="Ênfase3 2 30" xfId="8306" xr:uid="{00000000-0005-0000-0000-00007D220000}"/>
    <cellStyle name="Ênfase3 2 31" xfId="8307" xr:uid="{00000000-0005-0000-0000-00007E220000}"/>
    <cellStyle name="Ênfase3 2 32" xfId="8308" xr:uid="{00000000-0005-0000-0000-00007F220000}"/>
    <cellStyle name="Ênfase3 2 33" xfId="8309" xr:uid="{00000000-0005-0000-0000-000080220000}"/>
    <cellStyle name="Ênfase3 2 34" xfId="8310" xr:uid="{00000000-0005-0000-0000-000081220000}"/>
    <cellStyle name="Ênfase3 2 35" xfId="8311" xr:uid="{00000000-0005-0000-0000-000082220000}"/>
    <cellStyle name="Ênfase3 2 4" xfId="8312" xr:uid="{00000000-0005-0000-0000-000083220000}"/>
    <cellStyle name="Ênfase3 2 5" xfId="8313" xr:uid="{00000000-0005-0000-0000-000084220000}"/>
    <cellStyle name="Ênfase3 2 6" xfId="8314" xr:uid="{00000000-0005-0000-0000-000085220000}"/>
    <cellStyle name="Ênfase3 2 7" xfId="8315" xr:uid="{00000000-0005-0000-0000-000086220000}"/>
    <cellStyle name="Ênfase3 2 8" xfId="8316" xr:uid="{00000000-0005-0000-0000-000087220000}"/>
    <cellStyle name="Ênfase3 2 8 2" xfId="8317" xr:uid="{00000000-0005-0000-0000-000088220000}"/>
    <cellStyle name="Ênfase3 2 8 3" xfId="8318" xr:uid="{00000000-0005-0000-0000-000089220000}"/>
    <cellStyle name="Ênfase3 2 8 4" xfId="8319" xr:uid="{00000000-0005-0000-0000-00008A220000}"/>
    <cellStyle name="Ênfase3 2 8 5" xfId="8320" xr:uid="{00000000-0005-0000-0000-00008B220000}"/>
    <cellStyle name="Ênfase3 2 8 6" xfId="8321" xr:uid="{00000000-0005-0000-0000-00008C220000}"/>
    <cellStyle name="Ênfase3 2 8 7" xfId="8322" xr:uid="{00000000-0005-0000-0000-00008D220000}"/>
    <cellStyle name="Ênfase3 2 9" xfId="8323" xr:uid="{00000000-0005-0000-0000-00008E220000}"/>
    <cellStyle name="Ênfase3 2 9 2" xfId="8324" xr:uid="{00000000-0005-0000-0000-00008F220000}"/>
    <cellStyle name="Ênfase3 2 9 3" xfId="8325" xr:uid="{00000000-0005-0000-0000-000090220000}"/>
    <cellStyle name="Ênfase3 2 9 4" xfId="8326" xr:uid="{00000000-0005-0000-0000-000091220000}"/>
    <cellStyle name="Ênfase3 2 9 5" xfId="8327" xr:uid="{00000000-0005-0000-0000-000092220000}"/>
    <cellStyle name="Ênfase3 2 9 6" xfId="8328" xr:uid="{00000000-0005-0000-0000-000093220000}"/>
    <cellStyle name="Ênfase3 2 9 7" xfId="8329" xr:uid="{00000000-0005-0000-0000-000094220000}"/>
    <cellStyle name="Ênfase3 20" xfId="8330" xr:uid="{00000000-0005-0000-0000-000095220000}"/>
    <cellStyle name="Ênfase3 20 2" xfId="8331" xr:uid="{00000000-0005-0000-0000-000096220000}"/>
    <cellStyle name="Ênfase3 20 3" xfId="8332" xr:uid="{00000000-0005-0000-0000-000097220000}"/>
    <cellStyle name="Ênfase3 21" xfId="8333" xr:uid="{00000000-0005-0000-0000-000098220000}"/>
    <cellStyle name="Ênfase3 22" xfId="8334" xr:uid="{00000000-0005-0000-0000-000099220000}"/>
    <cellStyle name="Ênfase3 23" xfId="8335" xr:uid="{00000000-0005-0000-0000-00009A220000}"/>
    <cellStyle name="Ênfase3 24" xfId="8336" xr:uid="{00000000-0005-0000-0000-00009B220000}"/>
    <cellStyle name="Ênfase3 24 2" xfId="40950" xr:uid="{00000000-0005-0000-0000-00009C220000}"/>
    <cellStyle name="Ênfase3 25" xfId="8337" xr:uid="{00000000-0005-0000-0000-00009D220000}"/>
    <cellStyle name="Ênfase3 25 2" xfId="40985" xr:uid="{00000000-0005-0000-0000-00009E220000}"/>
    <cellStyle name="Ênfase3 26" xfId="8338" xr:uid="{00000000-0005-0000-0000-00009F220000}"/>
    <cellStyle name="Ênfase3 26 10" xfId="8339" xr:uid="{00000000-0005-0000-0000-0000A0220000}"/>
    <cellStyle name="Ênfase3 26 11" xfId="8340" xr:uid="{00000000-0005-0000-0000-0000A1220000}"/>
    <cellStyle name="Ênfase3 26 12" xfId="8341" xr:uid="{00000000-0005-0000-0000-0000A2220000}"/>
    <cellStyle name="Ênfase3 26 13" xfId="8342" xr:uid="{00000000-0005-0000-0000-0000A3220000}"/>
    <cellStyle name="Ênfase3 26 14" xfId="8343" xr:uid="{00000000-0005-0000-0000-0000A4220000}"/>
    <cellStyle name="Ênfase3 26 15" xfId="8344" xr:uid="{00000000-0005-0000-0000-0000A5220000}"/>
    <cellStyle name="Ênfase3 26 16" xfId="8345" xr:uid="{00000000-0005-0000-0000-0000A6220000}"/>
    <cellStyle name="Ênfase3 26 2" xfId="8346" xr:uid="{00000000-0005-0000-0000-0000A7220000}"/>
    <cellStyle name="Ênfase3 26 3" xfId="8347" xr:uid="{00000000-0005-0000-0000-0000A8220000}"/>
    <cellStyle name="Ênfase3 26 4" xfId="8348" xr:uid="{00000000-0005-0000-0000-0000A9220000}"/>
    <cellStyle name="Ênfase3 26 5" xfId="8349" xr:uid="{00000000-0005-0000-0000-0000AA220000}"/>
    <cellStyle name="Ênfase3 26 6" xfId="8350" xr:uid="{00000000-0005-0000-0000-0000AB220000}"/>
    <cellStyle name="Ênfase3 26 7" xfId="8351" xr:uid="{00000000-0005-0000-0000-0000AC220000}"/>
    <cellStyle name="Ênfase3 26 8" xfId="8352" xr:uid="{00000000-0005-0000-0000-0000AD220000}"/>
    <cellStyle name="Ênfase3 26 9" xfId="8353" xr:uid="{00000000-0005-0000-0000-0000AE220000}"/>
    <cellStyle name="Ênfase3 27" xfId="8354" xr:uid="{00000000-0005-0000-0000-0000AF220000}"/>
    <cellStyle name="Ênfase3 27 10" xfId="8355" xr:uid="{00000000-0005-0000-0000-0000B0220000}"/>
    <cellStyle name="Ênfase3 27 11" xfId="8356" xr:uid="{00000000-0005-0000-0000-0000B1220000}"/>
    <cellStyle name="Ênfase3 27 12" xfId="8357" xr:uid="{00000000-0005-0000-0000-0000B2220000}"/>
    <cellStyle name="Ênfase3 27 13" xfId="8358" xr:uid="{00000000-0005-0000-0000-0000B3220000}"/>
    <cellStyle name="Ênfase3 27 14" xfId="8359" xr:uid="{00000000-0005-0000-0000-0000B4220000}"/>
    <cellStyle name="Ênfase3 27 15" xfId="8360" xr:uid="{00000000-0005-0000-0000-0000B5220000}"/>
    <cellStyle name="Ênfase3 27 16" xfId="8361" xr:uid="{00000000-0005-0000-0000-0000B6220000}"/>
    <cellStyle name="Ênfase3 27 2" xfId="8362" xr:uid="{00000000-0005-0000-0000-0000B7220000}"/>
    <cellStyle name="Ênfase3 27 3" xfId="8363" xr:uid="{00000000-0005-0000-0000-0000B8220000}"/>
    <cellStyle name="Ênfase3 27 4" xfId="8364" xr:uid="{00000000-0005-0000-0000-0000B9220000}"/>
    <cellStyle name="Ênfase3 27 5" xfId="8365" xr:uid="{00000000-0005-0000-0000-0000BA220000}"/>
    <cellStyle name="Ênfase3 27 6" xfId="8366" xr:uid="{00000000-0005-0000-0000-0000BB220000}"/>
    <cellStyle name="Ênfase3 27 7" xfId="8367" xr:uid="{00000000-0005-0000-0000-0000BC220000}"/>
    <cellStyle name="Ênfase3 27 8" xfId="8368" xr:uid="{00000000-0005-0000-0000-0000BD220000}"/>
    <cellStyle name="Ênfase3 27 9" xfId="8369" xr:uid="{00000000-0005-0000-0000-0000BE220000}"/>
    <cellStyle name="Ênfase3 28" xfId="8370" xr:uid="{00000000-0005-0000-0000-0000BF220000}"/>
    <cellStyle name="Ênfase3 28 10" xfId="8371" xr:uid="{00000000-0005-0000-0000-0000C0220000}"/>
    <cellStyle name="Ênfase3 28 11" xfId="8372" xr:uid="{00000000-0005-0000-0000-0000C1220000}"/>
    <cellStyle name="Ênfase3 28 12" xfId="8373" xr:uid="{00000000-0005-0000-0000-0000C2220000}"/>
    <cellStyle name="Ênfase3 28 13" xfId="8374" xr:uid="{00000000-0005-0000-0000-0000C3220000}"/>
    <cellStyle name="Ênfase3 28 14" xfId="8375" xr:uid="{00000000-0005-0000-0000-0000C4220000}"/>
    <cellStyle name="Ênfase3 28 15" xfId="8376" xr:uid="{00000000-0005-0000-0000-0000C5220000}"/>
    <cellStyle name="Ênfase3 28 16" xfId="8377" xr:uid="{00000000-0005-0000-0000-0000C6220000}"/>
    <cellStyle name="Ênfase3 28 2" xfId="8378" xr:uid="{00000000-0005-0000-0000-0000C7220000}"/>
    <cellStyle name="Ênfase3 28 3" xfId="8379" xr:uid="{00000000-0005-0000-0000-0000C8220000}"/>
    <cellStyle name="Ênfase3 28 4" xfId="8380" xr:uid="{00000000-0005-0000-0000-0000C9220000}"/>
    <cellStyle name="Ênfase3 28 5" xfId="8381" xr:uid="{00000000-0005-0000-0000-0000CA220000}"/>
    <cellStyle name="Ênfase3 28 6" xfId="8382" xr:uid="{00000000-0005-0000-0000-0000CB220000}"/>
    <cellStyle name="Ênfase3 28 7" xfId="8383" xr:uid="{00000000-0005-0000-0000-0000CC220000}"/>
    <cellStyle name="Ênfase3 28 8" xfId="8384" xr:uid="{00000000-0005-0000-0000-0000CD220000}"/>
    <cellStyle name="Ênfase3 28 9" xfId="8385" xr:uid="{00000000-0005-0000-0000-0000CE220000}"/>
    <cellStyle name="Ênfase3 29" xfId="8386" xr:uid="{00000000-0005-0000-0000-0000CF220000}"/>
    <cellStyle name="Ênfase3 29 10" xfId="8387" xr:uid="{00000000-0005-0000-0000-0000D0220000}"/>
    <cellStyle name="Ênfase3 29 11" xfId="8388" xr:uid="{00000000-0005-0000-0000-0000D1220000}"/>
    <cellStyle name="Ênfase3 29 12" xfId="8389" xr:uid="{00000000-0005-0000-0000-0000D2220000}"/>
    <cellStyle name="Ênfase3 29 13" xfId="8390" xr:uid="{00000000-0005-0000-0000-0000D3220000}"/>
    <cellStyle name="Ênfase3 29 14" xfId="8391" xr:uid="{00000000-0005-0000-0000-0000D4220000}"/>
    <cellStyle name="Ênfase3 29 15" xfId="8392" xr:uid="{00000000-0005-0000-0000-0000D5220000}"/>
    <cellStyle name="Ênfase3 29 16" xfId="8393" xr:uid="{00000000-0005-0000-0000-0000D6220000}"/>
    <cellStyle name="Ênfase3 29 2" xfId="8394" xr:uid="{00000000-0005-0000-0000-0000D7220000}"/>
    <cellStyle name="Ênfase3 29 3" xfId="8395" xr:uid="{00000000-0005-0000-0000-0000D8220000}"/>
    <cellStyle name="Ênfase3 29 4" xfId="8396" xr:uid="{00000000-0005-0000-0000-0000D9220000}"/>
    <cellStyle name="Ênfase3 29 5" xfId="8397" xr:uid="{00000000-0005-0000-0000-0000DA220000}"/>
    <cellStyle name="Ênfase3 29 6" xfId="8398" xr:uid="{00000000-0005-0000-0000-0000DB220000}"/>
    <cellStyle name="Ênfase3 29 7" xfId="8399" xr:uid="{00000000-0005-0000-0000-0000DC220000}"/>
    <cellStyle name="Ênfase3 29 8" xfId="8400" xr:uid="{00000000-0005-0000-0000-0000DD220000}"/>
    <cellStyle name="Ênfase3 29 9" xfId="8401" xr:uid="{00000000-0005-0000-0000-0000DE220000}"/>
    <cellStyle name="Ênfase3 3" xfId="8402" xr:uid="{00000000-0005-0000-0000-0000DF220000}"/>
    <cellStyle name="Ênfase3 3 10" xfId="8403" xr:uid="{00000000-0005-0000-0000-0000E0220000}"/>
    <cellStyle name="Ênfase3 3 11" xfId="8404" xr:uid="{00000000-0005-0000-0000-0000E1220000}"/>
    <cellStyle name="Ênfase3 3 2" xfId="8405" xr:uid="{00000000-0005-0000-0000-0000E2220000}"/>
    <cellStyle name="Ênfase3 3 3" xfId="8406" xr:uid="{00000000-0005-0000-0000-0000E3220000}"/>
    <cellStyle name="Ênfase3 3 4" xfId="8407" xr:uid="{00000000-0005-0000-0000-0000E4220000}"/>
    <cellStyle name="Ênfase3 3 5" xfId="8408" xr:uid="{00000000-0005-0000-0000-0000E5220000}"/>
    <cellStyle name="Ênfase3 3 6" xfId="8409" xr:uid="{00000000-0005-0000-0000-0000E6220000}"/>
    <cellStyle name="Ênfase3 3 7" xfId="8410" xr:uid="{00000000-0005-0000-0000-0000E7220000}"/>
    <cellStyle name="Ênfase3 3 8" xfId="8411" xr:uid="{00000000-0005-0000-0000-0000E8220000}"/>
    <cellStyle name="Ênfase3 3 9" xfId="8412" xr:uid="{00000000-0005-0000-0000-0000E9220000}"/>
    <cellStyle name="Ênfase3 30" xfId="8413" xr:uid="{00000000-0005-0000-0000-0000EA220000}"/>
    <cellStyle name="Ênfase3 31" xfId="8414" xr:uid="{00000000-0005-0000-0000-0000EB220000}"/>
    <cellStyle name="Ênfase3 32" xfId="8415" xr:uid="{00000000-0005-0000-0000-0000EC220000}"/>
    <cellStyle name="Ênfase3 33" xfId="8416" xr:uid="{00000000-0005-0000-0000-0000ED220000}"/>
    <cellStyle name="Ênfase3 34" xfId="8417" xr:uid="{00000000-0005-0000-0000-0000EE220000}"/>
    <cellStyle name="Ênfase3 35" xfId="8418" xr:uid="{00000000-0005-0000-0000-0000EF220000}"/>
    <cellStyle name="Ênfase3 36" xfId="8419" xr:uid="{00000000-0005-0000-0000-0000F0220000}"/>
    <cellStyle name="Ênfase3 37" xfId="8420" xr:uid="{00000000-0005-0000-0000-0000F1220000}"/>
    <cellStyle name="Ênfase3 38" xfId="8421" xr:uid="{00000000-0005-0000-0000-0000F2220000}"/>
    <cellStyle name="Ênfase3 39" xfId="8422" xr:uid="{00000000-0005-0000-0000-0000F3220000}"/>
    <cellStyle name="Ênfase3 4" xfId="8423" xr:uid="{00000000-0005-0000-0000-0000F4220000}"/>
    <cellStyle name="Ênfase3 4 10" xfId="8424" xr:uid="{00000000-0005-0000-0000-0000F5220000}"/>
    <cellStyle name="Ênfase3 4 11" xfId="8425" xr:uid="{00000000-0005-0000-0000-0000F6220000}"/>
    <cellStyle name="Ênfase3 4 2" xfId="8426" xr:uid="{00000000-0005-0000-0000-0000F7220000}"/>
    <cellStyle name="Ênfase3 4 3" xfId="8427" xr:uid="{00000000-0005-0000-0000-0000F8220000}"/>
    <cellStyle name="Ênfase3 4 4" xfId="8428" xr:uid="{00000000-0005-0000-0000-0000F9220000}"/>
    <cellStyle name="Ênfase3 4 5" xfId="8429" xr:uid="{00000000-0005-0000-0000-0000FA220000}"/>
    <cellStyle name="Ênfase3 4 6" xfId="8430" xr:uid="{00000000-0005-0000-0000-0000FB220000}"/>
    <cellStyle name="Ênfase3 4 7" xfId="8431" xr:uid="{00000000-0005-0000-0000-0000FC220000}"/>
    <cellStyle name="Ênfase3 4 8" xfId="8432" xr:uid="{00000000-0005-0000-0000-0000FD220000}"/>
    <cellStyle name="Ênfase3 4 9" xfId="8433" xr:uid="{00000000-0005-0000-0000-0000FE220000}"/>
    <cellStyle name="Ênfase3 40" xfId="8434" xr:uid="{00000000-0005-0000-0000-0000FF220000}"/>
    <cellStyle name="Ênfase3 41" xfId="8435" xr:uid="{00000000-0005-0000-0000-000000230000}"/>
    <cellStyle name="Ênfase3 42" xfId="8436" xr:uid="{00000000-0005-0000-0000-000001230000}"/>
    <cellStyle name="Ênfase3 43" xfId="8437" xr:uid="{00000000-0005-0000-0000-000002230000}"/>
    <cellStyle name="Ênfase3 44" xfId="8438" xr:uid="{00000000-0005-0000-0000-000003230000}"/>
    <cellStyle name="Ênfase3 45" xfId="8439" xr:uid="{00000000-0005-0000-0000-000004230000}"/>
    <cellStyle name="Ênfase3 46" xfId="8440" xr:uid="{00000000-0005-0000-0000-000005230000}"/>
    <cellStyle name="Ênfase3 47" xfId="8441" xr:uid="{00000000-0005-0000-0000-000006230000}"/>
    <cellStyle name="Ênfase3 48" xfId="8442" xr:uid="{00000000-0005-0000-0000-000007230000}"/>
    <cellStyle name="Ênfase3 49" xfId="8443" xr:uid="{00000000-0005-0000-0000-000008230000}"/>
    <cellStyle name="Ênfase3 5" xfId="8444" xr:uid="{00000000-0005-0000-0000-000009230000}"/>
    <cellStyle name="Ênfase3 5 2" xfId="8445" xr:uid="{00000000-0005-0000-0000-00000A230000}"/>
    <cellStyle name="Ênfase3 5 3" xfId="8446" xr:uid="{00000000-0005-0000-0000-00000B230000}"/>
    <cellStyle name="Ênfase3 5 4" xfId="8447" xr:uid="{00000000-0005-0000-0000-00000C230000}"/>
    <cellStyle name="Ênfase3 50" xfId="8448" xr:uid="{00000000-0005-0000-0000-00000D230000}"/>
    <cellStyle name="Ênfase3 51" xfId="8449" xr:uid="{00000000-0005-0000-0000-00000E230000}"/>
    <cellStyle name="Ênfase3 52" xfId="8450" xr:uid="{00000000-0005-0000-0000-00000F230000}"/>
    <cellStyle name="Ênfase3 53" xfId="8451" xr:uid="{00000000-0005-0000-0000-000010230000}"/>
    <cellStyle name="Ênfase3 54" xfId="8452" xr:uid="{00000000-0005-0000-0000-000011230000}"/>
    <cellStyle name="Ênfase3 55" xfId="8453" xr:uid="{00000000-0005-0000-0000-000012230000}"/>
    <cellStyle name="Ênfase3 56" xfId="8454" xr:uid="{00000000-0005-0000-0000-000013230000}"/>
    <cellStyle name="Ênfase3 57" xfId="8455" xr:uid="{00000000-0005-0000-0000-000014230000}"/>
    <cellStyle name="Ênfase3 58" xfId="8456" xr:uid="{00000000-0005-0000-0000-000015230000}"/>
    <cellStyle name="Ênfase3 59" xfId="8457" xr:uid="{00000000-0005-0000-0000-000016230000}"/>
    <cellStyle name="Ênfase3 6" xfId="8458" xr:uid="{00000000-0005-0000-0000-000017230000}"/>
    <cellStyle name="Ênfase3 6 2" xfId="8459" xr:uid="{00000000-0005-0000-0000-000018230000}"/>
    <cellStyle name="Ênfase3 6 3" xfId="8460" xr:uid="{00000000-0005-0000-0000-000019230000}"/>
    <cellStyle name="Ênfase3 6 4" xfId="8461" xr:uid="{00000000-0005-0000-0000-00001A230000}"/>
    <cellStyle name="Ênfase3 60" xfId="8462" xr:uid="{00000000-0005-0000-0000-00001B230000}"/>
    <cellStyle name="Ênfase3 61" xfId="8463" xr:uid="{00000000-0005-0000-0000-00001C230000}"/>
    <cellStyle name="Ênfase3 62" xfId="8464" xr:uid="{00000000-0005-0000-0000-00001D230000}"/>
    <cellStyle name="Ênfase3 63" xfId="8465" xr:uid="{00000000-0005-0000-0000-00001E230000}"/>
    <cellStyle name="Ênfase3 64" xfId="8466" xr:uid="{00000000-0005-0000-0000-00001F230000}"/>
    <cellStyle name="Ênfase3 65" xfId="8467" xr:uid="{00000000-0005-0000-0000-000020230000}"/>
    <cellStyle name="Ênfase3 66" xfId="8468" xr:uid="{00000000-0005-0000-0000-000021230000}"/>
    <cellStyle name="Ênfase3 67" xfId="8469" xr:uid="{00000000-0005-0000-0000-000022230000}"/>
    <cellStyle name="Ênfase3 68" xfId="8470" xr:uid="{00000000-0005-0000-0000-000023230000}"/>
    <cellStyle name="Ênfase3 69" xfId="8471" xr:uid="{00000000-0005-0000-0000-000024230000}"/>
    <cellStyle name="Ênfase3 7" xfId="8472" xr:uid="{00000000-0005-0000-0000-000025230000}"/>
    <cellStyle name="Ênfase3 7 2" xfId="8473" xr:uid="{00000000-0005-0000-0000-000026230000}"/>
    <cellStyle name="Ênfase3 7 3" xfId="8474" xr:uid="{00000000-0005-0000-0000-000027230000}"/>
    <cellStyle name="Ênfase3 7 4" xfId="8475" xr:uid="{00000000-0005-0000-0000-000028230000}"/>
    <cellStyle name="Ênfase3 70" xfId="8476" xr:uid="{00000000-0005-0000-0000-000029230000}"/>
    <cellStyle name="Ênfase3 71" xfId="8477" xr:uid="{00000000-0005-0000-0000-00002A230000}"/>
    <cellStyle name="Ênfase3 72" xfId="8478" xr:uid="{00000000-0005-0000-0000-00002B230000}"/>
    <cellStyle name="Ênfase3 73" xfId="8479" xr:uid="{00000000-0005-0000-0000-00002C230000}"/>
    <cellStyle name="Ênfase3 74" xfId="8480" xr:uid="{00000000-0005-0000-0000-00002D230000}"/>
    <cellStyle name="Ênfase3 75" xfId="8481" xr:uid="{00000000-0005-0000-0000-00002E230000}"/>
    <cellStyle name="Ênfase3 76" xfId="8482" xr:uid="{00000000-0005-0000-0000-00002F230000}"/>
    <cellStyle name="Ênfase3 77" xfId="8483" xr:uid="{00000000-0005-0000-0000-000030230000}"/>
    <cellStyle name="Ênfase3 78" xfId="8484" xr:uid="{00000000-0005-0000-0000-000031230000}"/>
    <cellStyle name="Ênfase3 79" xfId="8485" xr:uid="{00000000-0005-0000-0000-000032230000}"/>
    <cellStyle name="Ênfase3 8" xfId="8486" xr:uid="{00000000-0005-0000-0000-000033230000}"/>
    <cellStyle name="Ênfase3 8 2" xfId="8487" xr:uid="{00000000-0005-0000-0000-000034230000}"/>
    <cellStyle name="Ênfase3 8 3" xfId="8488" xr:uid="{00000000-0005-0000-0000-000035230000}"/>
    <cellStyle name="Ênfase3 8 4" xfId="8489" xr:uid="{00000000-0005-0000-0000-000036230000}"/>
    <cellStyle name="Ênfase3 80" xfId="8490" xr:uid="{00000000-0005-0000-0000-000037230000}"/>
    <cellStyle name="Ênfase3 81" xfId="8491" xr:uid="{00000000-0005-0000-0000-000038230000}"/>
    <cellStyle name="Ênfase3 82" xfId="8492" xr:uid="{00000000-0005-0000-0000-000039230000}"/>
    <cellStyle name="Ênfase3 83" xfId="8493" xr:uid="{00000000-0005-0000-0000-00003A230000}"/>
    <cellStyle name="Ênfase3 84" xfId="8494" xr:uid="{00000000-0005-0000-0000-00003B230000}"/>
    <cellStyle name="Ênfase3 85" xfId="8495" xr:uid="{00000000-0005-0000-0000-00003C230000}"/>
    <cellStyle name="Ênfase3 86" xfId="8496" xr:uid="{00000000-0005-0000-0000-00003D230000}"/>
    <cellStyle name="Ênfase3 87" xfId="8497" xr:uid="{00000000-0005-0000-0000-00003E230000}"/>
    <cellStyle name="Ênfase3 88" xfId="8498" xr:uid="{00000000-0005-0000-0000-00003F230000}"/>
    <cellStyle name="Ênfase3 89" xfId="8499" xr:uid="{00000000-0005-0000-0000-000040230000}"/>
    <cellStyle name="Ênfase3 9" xfId="8500" xr:uid="{00000000-0005-0000-0000-000041230000}"/>
    <cellStyle name="Ênfase3 90" xfId="8501" xr:uid="{00000000-0005-0000-0000-000042230000}"/>
    <cellStyle name="Ênfase3 91" xfId="8502" xr:uid="{00000000-0005-0000-0000-000043230000}"/>
    <cellStyle name="Ênfase3 92" xfId="8503" xr:uid="{00000000-0005-0000-0000-000044230000}"/>
    <cellStyle name="Ênfase3 93" xfId="8504" xr:uid="{00000000-0005-0000-0000-000045230000}"/>
    <cellStyle name="Ênfase3 94" xfId="8505" xr:uid="{00000000-0005-0000-0000-000046230000}"/>
    <cellStyle name="Ênfase3 95" xfId="8506" xr:uid="{00000000-0005-0000-0000-000047230000}"/>
    <cellStyle name="Ênfase3 96" xfId="8507" xr:uid="{00000000-0005-0000-0000-000048230000}"/>
    <cellStyle name="Ênfase3 97" xfId="8508" xr:uid="{00000000-0005-0000-0000-000049230000}"/>
    <cellStyle name="Ênfase3 98" xfId="8509" xr:uid="{00000000-0005-0000-0000-00004A230000}"/>
    <cellStyle name="Ênfase3 99" xfId="8510" xr:uid="{00000000-0005-0000-0000-00004B230000}"/>
    <cellStyle name="Ênfase4 10" xfId="8511" xr:uid="{00000000-0005-0000-0000-00004C230000}"/>
    <cellStyle name="Ênfase4 10 2" xfId="40587" xr:uid="{00000000-0005-0000-0000-00004D230000}"/>
    <cellStyle name="Ênfase4 100" xfId="8512" xr:uid="{00000000-0005-0000-0000-00004E230000}"/>
    <cellStyle name="Ênfase4 101" xfId="8513" xr:uid="{00000000-0005-0000-0000-00004F230000}"/>
    <cellStyle name="Ênfase4 102" xfId="8514" xr:uid="{00000000-0005-0000-0000-000050230000}"/>
    <cellStyle name="Ênfase4 103" xfId="8515" xr:uid="{00000000-0005-0000-0000-000051230000}"/>
    <cellStyle name="Ênfase4 104" xfId="8516" xr:uid="{00000000-0005-0000-0000-000052230000}"/>
    <cellStyle name="Ênfase4 105" xfId="8517" xr:uid="{00000000-0005-0000-0000-000053230000}"/>
    <cellStyle name="Ênfase4 106" xfId="8518" xr:uid="{00000000-0005-0000-0000-000054230000}"/>
    <cellStyle name="Ênfase4 107" xfId="8519" xr:uid="{00000000-0005-0000-0000-000055230000}"/>
    <cellStyle name="Ênfase4 108" xfId="8520" xr:uid="{00000000-0005-0000-0000-000056230000}"/>
    <cellStyle name="Ênfase4 109" xfId="8521" xr:uid="{00000000-0005-0000-0000-000057230000}"/>
    <cellStyle name="Ênfase4 11" xfId="8522" xr:uid="{00000000-0005-0000-0000-000058230000}"/>
    <cellStyle name="Ênfase4 11 2" xfId="40588" xr:uid="{00000000-0005-0000-0000-000059230000}"/>
    <cellStyle name="Ênfase4 110" xfId="8523" xr:uid="{00000000-0005-0000-0000-00005A230000}"/>
    <cellStyle name="Ênfase4 111" xfId="8524" xr:uid="{00000000-0005-0000-0000-00005B230000}"/>
    <cellStyle name="Ênfase4 112" xfId="8525" xr:uid="{00000000-0005-0000-0000-00005C230000}"/>
    <cellStyle name="Ênfase4 113" xfId="8526" xr:uid="{00000000-0005-0000-0000-00005D230000}"/>
    <cellStyle name="Ênfase4 114" xfId="8527" xr:uid="{00000000-0005-0000-0000-00005E230000}"/>
    <cellStyle name="Ênfase4 115" xfId="8528" xr:uid="{00000000-0005-0000-0000-00005F230000}"/>
    <cellStyle name="Ênfase4 116" xfId="8529" xr:uid="{00000000-0005-0000-0000-000060230000}"/>
    <cellStyle name="Ênfase4 117" xfId="8530" xr:uid="{00000000-0005-0000-0000-000061230000}"/>
    <cellStyle name="Ênfase4 118" xfId="8531" xr:uid="{00000000-0005-0000-0000-000062230000}"/>
    <cellStyle name="Ênfase4 119" xfId="8532" xr:uid="{00000000-0005-0000-0000-000063230000}"/>
    <cellStyle name="Ênfase4 12" xfId="8533" xr:uid="{00000000-0005-0000-0000-000064230000}"/>
    <cellStyle name="Ênfase4 12 2" xfId="40589" xr:uid="{00000000-0005-0000-0000-000065230000}"/>
    <cellStyle name="Ênfase4 120" xfId="8534" xr:uid="{00000000-0005-0000-0000-000066230000}"/>
    <cellStyle name="Ênfase4 121" xfId="8535" xr:uid="{00000000-0005-0000-0000-000067230000}"/>
    <cellStyle name="Ênfase4 122" xfId="8536" xr:uid="{00000000-0005-0000-0000-000068230000}"/>
    <cellStyle name="Ênfase4 123" xfId="8537" xr:uid="{00000000-0005-0000-0000-000069230000}"/>
    <cellStyle name="Ênfase4 124" xfId="8538" xr:uid="{00000000-0005-0000-0000-00006A230000}"/>
    <cellStyle name="Ênfase4 125" xfId="8539" xr:uid="{00000000-0005-0000-0000-00006B230000}"/>
    <cellStyle name="Ênfase4 126" xfId="8540" xr:uid="{00000000-0005-0000-0000-00006C230000}"/>
    <cellStyle name="Ênfase4 127" xfId="8541" xr:uid="{00000000-0005-0000-0000-00006D230000}"/>
    <cellStyle name="Ênfase4 128" xfId="8542" xr:uid="{00000000-0005-0000-0000-00006E230000}"/>
    <cellStyle name="Ênfase4 129" xfId="8543" xr:uid="{00000000-0005-0000-0000-00006F230000}"/>
    <cellStyle name="Ênfase4 13" xfId="8544" xr:uid="{00000000-0005-0000-0000-000070230000}"/>
    <cellStyle name="Ênfase4 13 2" xfId="40590" xr:uid="{00000000-0005-0000-0000-000071230000}"/>
    <cellStyle name="Ênfase4 130" xfId="8545" xr:uid="{00000000-0005-0000-0000-000072230000}"/>
    <cellStyle name="Ênfase4 131" xfId="8546" xr:uid="{00000000-0005-0000-0000-000073230000}"/>
    <cellStyle name="Ênfase4 132" xfId="8547" xr:uid="{00000000-0005-0000-0000-000074230000}"/>
    <cellStyle name="Ênfase4 133" xfId="8548" xr:uid="{00000000-0005-0000-0000-000075230000}"/>
    <cellStyle name="Ênfase4 134" xfId="8549" xr:uid="{00000000-0005-0000-0000-000076230000}"/>
    <cellStyle name="Ênfase4 135" xfId="8550" xr:uid="{00000000-0005-0000-0000-000077230000}"/>
    <cellStyle name="Ênfase4 136" xfId="8551" xr:uid="{00000000-0005-0000-0000-000078230000}"/>
    <cellStyle name="Ênfase4 137" xfId="8552" xr:uid="{00000000-0005-0000-0000-000079230000}"/>
    <cellStyle name="Ênfase4 138" xfId="8553" xr:uid="{00000000-0005-0000-0000-00007A230000}"/>
    <cellStyle name="Ênfase4 139" xfId="8554" xr:uid="{00000000-0005-0000-0000-00007B230000}"/>
    <cellStyle name="Ênfase4 14" xfId="8555" xr:uid="{00000000-0005-0000-0000-00007C230000}"/>
    <cellStyle name="Ênfase4 140" xfId="8556" xr:uid="{00000000-0005-0000-0000-00007D230000}"/>
    <cellStyle name="Ênfase4 141" xfId="8557" xr:uid="{00000000-0005-0000-0000-00007E230000}"/>
    <cellStyle name="Ênfase4 142" xfId="8558" xr:uid="{00000000-0005-0000-0000-00007F230000}"/>
    <cellStyle name="Ênfase4 143" xfId="8559" xr:uid="{00000000-0005-0000-0000-000080230000}"/>
    <cellStyle name="Ênfase4 144" xfId="8560" xr:uid="{00000000-0005-0000-0000-000081230000}"/>
    <cellStyle name="Ênfase4 145" xfId="8561" xr:uid="{00000000-0005-0000-0000-000082230000}"/>
    <cellStyle name="Ênfase4 146" xfId="8562" xr:uid="{00000000-0005-0000-0000-000083230000}"/>
    <cellStyle name="Ênfase4 147" xfId="8563" xr:uid="{00000000-0005-0000-0000-000084230000}"/>
    <cellStyle name="Ênfase4 148" xfId="8564" xr:uid="{00000000-0005-0000-0000-000085230000}"/>
    <cellStyle name="Ênfase4 149" xfId="8565" xr:uid="{00000000-0005-0000-0000-000086230000}"/>
    <cellStyle name="Ênfase4 15" xfId="8566" xr:uid="{00000000-0005-0000-0000-000087230000}"/>
    <cellStyle name="Ênfase4 15 2" xfId="8567" xr:uid="{00000000-0005-0000-0000-000088230000}"/>
    <cellStyle name="Ênfase4 15 3" xfId="8568" xr:uid="{00000000-0005-0000-0000-000089230000}"/>
    <cellStyle name="Ênfase4 150" xfId="8569" xr:uid="{00000000-0005-0000-0000-00008A230000}"/>
    <cellStyle name="Ênfase4 151" xfId="8570" xr:uid="{00000000-0005-0000-0000-00008B230000}"/>
    <cellStyle name="Ênfase4 152" xfId="8571" xr:uid="{00000000-0005-0000-0000-00008C230000}"/>
    <cellStyle name="Ênfase4 153" xfId="8572" xr:uid="{00000000-0005-0000-0000-00008D230000}"/>
    <cellStyle name="Ênfase4 154" xfId="8573" xr:uid="{00000000-0005-0000-0000-00008E230000}"/>
    <cellStyle name="Ênfase4 155" xfId="8574" xr:uid="{00000000-0005-0000-0000-00008F230000}"/>
    <cellStyle name="Ênfase4 156" xfId="8575" xr:uid="{00000000-0005-0000-0000-000090230000}"/>
    <cellStyle name="Ênfase4 157" xfId="8576" xr:uid="{00000000-0005-0000-0000-000091230000}"/>
    <cellStyle name="Ênfase4 158" xfId="8577" xr:uid="{00000000-0005-0000-0000-000092230000}"/>
    <cellStyle name="Ênfase4 159" xfId="8578" xr:uid="{00000000-0005-0000-0000-000093230000}"/>
    <cellStyle name="Ênfase4 16" xfId="8579" xr:uid="{00000000-0005-0000-0000-000094230000}"/>
    <cellStyle name="Ênfase4 16 2" xfId="8580" xr:uid="{00000000-0005-0000-0000-000095230000}"/>
    <cellStyle name="Ênfase4 16 3" xfId="8581" xr:uid="{00000000-0005-0000-0000-000096230000}"/>
    <cellStyle name="Ênfase4 160" xfId="8582" xr:uid="{00000000-0005-0000-0000-000097230000}"/>
    <cellStyle name="Ênfase4 161" xfId="8583" xr:uid="{00000000-0005-0000-0000-000098230000}"/>
    <cellStyle name="Ênfase4 162" xfId="8584" xr:uid="{00000000-0005-0000-0000-000099230000}"/>
    <cellStyle name="Ênfase4 163" xfId="8585" xr:uid="{00000000-0005-0000-0000-00009A230000}"/>
    <cellStyle name="Ênfase4 164" xfId="8586" xr:uid="{00000000-0005-0000-0000-00009B230000}"/>
    <cellStyle name="Ênfase4 165" xfId="8587" xr:uid="{00000000-0005-0000-0000-00009C230000}"/>
    <cellStyle name="Ênfase4 166" xfId="8588" xr:uid="{00000000-0005-0000-0000-00009D230000}"/>
    <cellStyle name="Ênfase4 167" xfId="8589" xr:uid="{00000000-0005-0000-0000-00009E230000}"/>
    <cellStyle name="Ênfase4 168" xfId="8590" xr:uid="{00000000-0005-0000-0000-00009F230000}"/>
    <cellStyle name="Ênfase4 169" xfId="8591" xr:uid="{00000000-0005-0000-0000-0000A0230000}"/>
    <cellStyle name="Ênfase4 17" xfId="8592" xr:uid="{00000000-0005-0000-0000-0000A1230000}"/>
    <cellStyle name="Ênfase4 17 2" xfId="8593" xr:uid="{00000000-0005-0000-0000-0000A2230000}"/>
    <cellStyle name="Ênfase4 17 3" xfId="8594" xr:uid="{00000000-0005-0000-0000-0000A3230000}"/>
    <cellStyle name="Ênfase4 170" xfId="8595" xr:uid="{00000000-0005-0000-0000-0000A4230000}"/>
    <cellStyle name="Ênfase4 171" xfId="8596" xr:uid="{00000000-0005-0000-0000-0000A5230000}"/>
    <cellStyle name="Ênfase4 172" xfId="8597" xr:uid="{00000000-0005-0000-0000-0000A6230000}"/>
    <cellStyle name="Ênfase4 173" xfId="8598" xr:uid="{00000000-0005-0000-0000-0000A7230000}"/>
    <cellStyle name="Ênfase4 174" xfId="8599" xr:uid="{00000000-0005-0000-0000-0000A8230000}"/>
    <cellStyle name="Ênfase4 175" xfId="8600" xr:uid="{00000000-0005-0000-0000-0000A9230000}"/>
    <cellStyle name="Ênfase4 176" xfId="8601" xr:uid="{00000000-0005-0000-0000-0000AA230000}"/>
    <cellStyle name="Ênfase4 177" xfId="8602" xr:uid="{00000000-0005-0000-0000-0000AB230000}"/>
    <cellStyle name="Ênfase4 178" xfId="8603" xr:uid="{00000000-0005-0000-0000-0000AC230000}"/>
    <cellStyle name="Ênfase4 179" xfId="8604" xr:uid="{00000000-0005-0000-0000-0000AD230000}"/>
    <cellStyle name="Ênfase4 18" xfId="8605" xr:uid="{00000000-0005-0000-0000-0000AE230000}"/>
    <cellStyle name="Ênfase4 18 2" xfId="8606" xr:uid="{00000000-0005-0000-0000-0000AF230000}"/>
    <cellStyle name="Ênfase4 18 3" xfId="8607" xr:uid="{00000000-0005-0000-0000-0000B0230000}"/>
    <cellStyle name="Ênfase4 180" xfId="8608" xr:uid="{00000000-0005-0000-0000-0000B1230000}"/>
    <cellStyle name="Ênfase4 181" xfId="8609" xr:uid="{00000000-0005-0000-0000-0000B2230000}"/>
    <cellStyle name="Ênfase4 182" xfId="8610" xr:uid="{00000000-0005-0000-0000-0000B3230000}"/>
    <cellStyle name="Ênfase4 183" xfId="8611" xr:uid="{00000000-0005-0000-0000-0000B4230000}"/>
    <cellStyle name="Ênfase4 184" xfId="8612" xr:uid="{00000000-0005-0000-0000-0000B5230000}"/>
    <cellStyle name="Ênfase4 185" xfId="8613" xr:uid="{00000000-0005-0000-0000-0000B6230000}"/>
    <cellStyle name="Ênfase4 186" xfId="8614" xr:uid="{00000000-0005-0000-0000-0000B7230000}"/>
    <cellStyle name="Ênfase4 187" xfId="8615" xr:uid="{00000000-0005-0000-0000-0000B8230000}"/>
    <cellStyle name="Ênfase4 188" xfId="8616" xr:uid="{00000000-0005-0000-0000-0000B9230000}"/>
    <cellStyle name="Ênfase4 189" xfId="8617" xr:uid="{00000000-0005-0000-0000-0000BA230000}"/>
    <cellStyle name="Ênfase4 19" xfId="8618" xr:uid="{00000000-0005-0000-0000-0000BB230000}"/>
    <cellStyle name="Ênfase4 19 2" xfId="8619" xr:uid="{00000000-0005-0000-0000-0000BC230000}"/>
    <cellStyle name="Ênfase4 19 3" xfId="8620" xr:uid="{00000000-0005-0000-0000-0000BD230000}"/>
    <cellStyle name="Ênfase4 190" xfId="8621" xr:uid="{00000000-0005-0000-0000-0000BE230000}"/>
    <cellStyle name="Ênfase4 2" xfId="8622" xr:uid="{00000000-0005-0000-0000-0000BF230000}"/>
    <cellStyle name="Ênfase4 2 10" xfId="8623" xr:uid="{00000000-0005-0000-0000-0000C0230000}"/>
    <cellStyle name="Ênfase4 2 10 2" xfId="8624" xr:uid="{00000000-0005-0000-0000-0000C1230000}"/>
    <cellStyle name="Ênfase4 2 10 3" xfId="8625" xr:uid="{00000000-0005-0000-0000-0000C2230000}"/>
    <cellStyle name="Ênfase4 2 10 4" xfId="8626" xr:uid="{00000000-0005-0000-0000-0000C3230000}"/>
    <cellStyle name="Ênfase4 2 10 5" xfId="8627" xr:uid="{00000000-0005-0000-0000-0000C4230000}"/>
    <cellStyle name="Ênfase4 2 10 6" xfId="8628" xr:uid="{00000000-0005-0000-0000-0000C5230000}"/>
    <cellStyle name="Ênfase4 2 10 7" xfId="8629" xr:uid="{00000000-0005-0000-0000-0000C6230000}"/>
    <cellStyle name="Ênfase4 2 11" xfId="8630" xr:uid="{00000000-0005-0000-0000-0000C7230000}"/>
    <cellStyle name="Ênfase4 2 11 2" xfId="8631" xr:uid="{00000000-0005-0000-0000-0000C8230000}"/>
    <cellStyle name="Ênfase4 2 11 3" xfId="8632" xr:uid="{00000000-0005-0000-0000-0000C9230000}"/>
    <cellStyle name="Ênfase4 2 11 4" xfId="8633" xr:uid="{00000000-0005-0000-0000-0000CA230000}"/>
    <cellStyle name="Ênfase4 2 11 5" xfId="8634" xr:uid="{00000000-0005-0000-0000-0000CB230000}"/>
    <cellStyle name="Ênfase4 2 11 6" xfId="8635" xr:uid="{00000000-0005-0000-0000-0000CC230000}"/>
    <cellStyle name="Ênfase4 2 11 7" xfId="8636" xr:uid="{00000000-0005-0000-0000-0000CD230000}"/>
    <cellStyle name="Ênfase4 2 12" xfId="8637" xr:uid="{00000000-0005-0000-0000-0000CE230000}"/>
    <cellStyle name="Ênfase4 2 13" xfId="8638" xr:uid="{00000000-0005-0000-0000-0000CF230000}"/>
    <cellStyle name="Ênfase4 2 14" xfId="8639" xr:uid="{00000000-0005-0000-0000-0000D0230000}"/>
    <cellStyle name="Ênfase4 2 15" xfId="8640" xr:uid="{00000000-0005-0000-0000-0000D1230000}"/>
    <cellStyle name="Ênfase4 2 16" xfId="8641" xr:uid="{00000000-0005-0000-0000-0000D2230000}"/>
    <cellStyle name="Ênfase4 2 17" xfId="8642" xr:uid="{00000000-0005-0000-0000-0000D3230000}"/>
    <cellStyle name="Ênfase4 2 18" xfId="8643" xr:uid="{00000000-0005-0000-0000-0000D4230000}"/>
    <cellStyle name="Ênfase4 2 19" xfId="8644" xr:uid="{00000000-0005-0000-0000-0000D5230000}"/>
    <cellStyle name="Ênfase4 2 2" xfId="8645" xr:uid="{00000000-0005-0000-0000-0000D6230000}"/>
    <cellStyle name="Ênfase4 2 20" xfId="8646" xr:uid="{00000000-0005-0000-0000-0000D7230000}"/>
    <cellStyle name="Ênfase4 2 21" xfId="8647" xr:uid="{00000000-0005-0000-0000-0000D8230000}"/>
    <cellStyle name="Ênfase4 2 22" xfId="8648" xr:uid="{00000000-0005-0000-0000-0000D9230000}"/>
    <cellStyle name="Ênfase4 2 23" xfId="8649" xr:uid="{00000000-0005-0000-0000-0000DA230000}"/>
    <cellStyle name="Ênfase4 2 24" xfId="8650" xr:uid="{00000000-0005-0000-0000-0000DB230000}"/>
    <cellStyle name="Ênfase4 2 25" xfId="8651" xr:uid="{00000000-0005-0000-0000-0000DC230000}"/>
    <cellStyle name="Ênfase4 2 26" xfId="8652" xr:uid="{00000000-0005-0000-0000-0000DD230000}"/>
    <cellStyle name="Ênfase4 2 27" xfId="8653" xr:uid="{00000000-0005-0000-0000-0000DE230000}"/>
    <cellStyle name="Ênfase4 2 28" xfId="8654" xr:uid="{00000000-0005-0000-0000-0000DF230000}"/>
    <cellStyle name="Ênfase4 2 29" xfId="8655" xr:uid="{00000000-0005-0000-0000-0000E0230000}"/>
    <cellStyle name="Ênfase4 2 3" xfId="8656" xr:uid="{00000000-0005-0000-0000-0000E1230000}"/>
    <cellStyle name="Ênfase4 2 30" xfId="8657" xr:uid="{00000000-0005-0000-0000-0000E2230000}"/>
    <cellStyle name="Ênfase4 2 31" xfId="8658" xr:uid="{00000000-0005-0000-0000-0000E3230000}"/>
    <cellStyle name="Ênfase4 2 32" xfId="8659" xr:uid="{00000000-0005-0000-0000-0000E4230000}"/>
    <cellStyle name="Ênfase4 2 33" xfId="8660" xr:uid="{00000000-0005-0000-0000-0000E5230000}"/>
    <cellStyle name="Ênfase4 2 34" xfId="8661" xr:uid="{00000000-0005-0000-0000-0000E6230000}"/>
    <cellStyle name="Ênfase4 2 35" xfId="8662" xr:uid="{00000000-0005-0000-0000-0000E7230000}"/>
    <cellStyle name="Ênfase4 2 4" xfId="8663" xr:uid="{00000000-0005-0000-0000-0000E8230000}"/>
    <cellStyle name="Ênfase4 2 5" xfId="8664" xr:uid="{00000000-0005-0000-0000-0000E9230000}"/>
    <cellStyle name="Ênfase4 2 6" xfId="8665" xr:uid="{00000000-0005-0000-0000-0000EA230000}"/>
    <cellStyle name="Ênfase4 2 7" xfId="8666" xr:uid="{00000000-0005-0000-0000-0000EB230000}"/>
    <cellStyle name="Ênfase4 2 8" xfId="8667" xr:uid="{00000000-0005-0000-0000-0000EC230000}"/>
    <cellStyle name="Ênfase4 2 8 2" xfId="8668" xr:uid="{00000000-0005-0000-0000-0000ED230000}"/>
    <cellStyle name="Ênfase4 2 8 3" xfId="8669" xr:uid="{00000000-0005-0000-0000-0000EE230000}"/>
    <cellStyle name="Ênfase4 2 8 4" xfId="8670" xr:uid="{00000000-0005-0000-0000-0000EF230000}"/>
    <cellStyle name="Ênfase4 2 8 5" xfId="8671" xr:uid="{00000000-0005-0000-0000-0000F0230000}"/>
    <cellStyle name="Ênfase4 2 8 6" xfId="8672" xr:uid="{00000000-0005-0000-0000-0000F1230000}"/>
    <cellStyle name="Ênfase4 2 8 7" xfId="8673" xr:uid="{00000000-0005-0000-0000-0000F2230000}"/>
    <cellStyle name="Ênfase4 2 9" xfId="8674" xr:uid="{00000000-0005-0000-0000-0000F3230000}"/>
    <cellStyle name="Ênfase4 2 9 2" xfId="8675" xr:uid="{00000000-0005-0000-0000-0000F4230000}"/>
    <cellStyle name="Ênfase4 2 9 3" xfId="8676" xr:uid="{00000000-0005-0000-0000-0000F5230000}"/>
    <cellStyle name="Ênfase4 2 9 4" xfId="8677" xr:uid="{00000000-0005-0000-0000-0000F6230000}"/>
    <cellStyle name="Ênfase4 2 9 5" xfId="8678" xr:uid="{00000000-0005-0000-0000-0000F7230000}"/>
    <cellStyle name="Ênfase4 2 9 6" xfId="8679" xr:uid="{00000000-0005-0000-0000-0000F8230000}"/>
    <cellStyle name="Ênfase4 2 9 7" xfId="8680" xr:uid="{00000000-0005-0000-0000-0000F9230000}"/>
    <cellStyle name="Ênfase4 20" xfId="8681" xr:uid="{00000000-0005-0000-0000-0000FA230000}"/>
    <cellStyle name="Ênfase4 20 2" xfId="8682" xr:uid="{00000000-0005-0000-0000-0000FB230000}"/>
    <cellStyle name="Ênfase4 20 3" xfId="8683" xr:uid="{00000000-0005-0000-0000-0000FC230000}"/>
    <cellStyle name="Ênfase4 21" xfId="8684" xr:uid="{00000000-0005-0000-0000-0000FD230000}"/>
    <cellStyle name="Ênfase4 22" xfId="8685" xr:uid="{00000000-0005-0000-0000-0000FE230000}"/>
    <cellStyle name="Ênfase4 23" xfId="8686" xr:uid="{00000000-0005-0000-0000-0000FF230000}"/>
    <cellStyle name="Ênfase4 24" xfId="8687" xr:uid="{00000000-0005-0000-0000-000000240000}"/>
    <cellStyle name="Ênfase4 24 2" xfId="40951" xr:uid="{00000000-0005-0000-0000-000001240000}"/>
    <cellStyle name="Ênfase4 25" xfId="8688" xr:uid="{00000000-0005-0000-0000-000002240000}"/>
    <cellStyle name="Ênfase4 25 2" xfId="40986" xr:uid="{00000000-0005-0000-0000-000003240000}"/>
    <cellStyle name="Ênfase4 26" xfId="8689" xr:uid="{00000000-0005-0000-0000-000004240000}"/>
    <cellStyle name="Ênfase4 26 10" xfId="8690" xr:uid="{00000000-0005-0000-0000-000005240000}"/>
    <cellStyle name="Ênfase4 26 11" xfId="8691" xr:uid="{00000000-0005-0000-0000-000006240000}"/>
    <cellStyle name="Ênfase4 26 12" xfId="8692" xr:uid="{00000000-0005-0000-0000-000007240000}"/>
    <cellStyle name="Ênfase4 26 13" xfId="8693" xr:uid="{00000000-0005-0000-0000-000008240000}"/>
    <cellStyle name="Ênfase4 26 14" xfId="8694" xr:uid="{00000000-0005-0000-0000-000009240000}"/>
    <cellStyle name="Ênfase4 26 15" xfId="8695" xr:uid="{00000000-0005-0000-0000-00000A240000}"/>
    <cellStyle name="Ênfase4 26 16" xfId="8696" xr:uid="{00000000-0005-0000-0000-00000B240000}"/>
    <cellStyle name="Ênfase4 26 2" xfId="8697" xr:uid="{00000000-0005-0000-0000-00000C240000}"/>
    <cellStyle name="Ênfase4 26 3" xfId="8698" xr:uid="{00000000-0005-0000-0000-00000D240000}"/>
    <cellStyle name="Ênfase4 26 4" xfId="8699" xr:uid="{00000000-0005-0000-0000-00000E240000}"/>
    <cellStyle name="Ênfase4 26 5" xfId="8700" xr:uid="{00000000-0005-0000-0000-00000F240000}"/>
    <cellStyle name="Ênfase4 26 6" xfId="8701" xr:uid="{00000000-0005-0000-0000-000010240000}"/>
    <cellStyle name="Ênfase4 26 7" xfId="8702" xr:uid="{00000000-0005-0000-0000-000011240000}"/>
    <cellStyle name="Ênfase4 26 8" xfId="8703" xr:uid="{00000000-0005-0000-0000-000012240000}"/>
    <cellStyle name="Ênfase4 26 9" xfId="8704" xr:uid="{00000000-0005-0000-0000-000013240000}"/>
    <cellStyle name="Ênfase4 27" xfId="8705" xr:uid="{00000000-0005-0000-0000-000014240000}"/>
    <cellStyle name="Ênfase4 27 10" xfId="8706" xr:uid="{00000000-0005-0000-0000-000015240000}"/>
    <cellStyle name="Ênfase4 27 11" xfId="8707" xr:uid="{00000000-0005-0000-0000-000016240000}"/>
    <cellStyle name="Ênfase4 27 12" xfId="8708" xr:uid="{00000000-0005-0000-0000-000017240000}"/>
    <cellStyle name="Ênfase4 27 13" xfId="8709" xr:uid="{00000000-0005-0000-0000-000018240000}"/>
    <cellStyle name="Ênfase4 27 14" xfId="8710" xr:uid="{00000000-0005-0000-0000-000019240000}"/>
    <cellStyle name="Ênfase4 27 15" xfId="8711" xr:uid="{00000000-0005-0000-0000-00001A240000}"/>
    <cellStyle name="Ênfase4 27 16" xfId="8712" xr:uid="{00000000-0005-0000-0000-00001B240000}"/>
    <cellStyle name="Ênfase4 27 2" xfId="8713" xr:uid="{00000000-0005-0000-0000-00001C240000}"/>
    <cellStyle name="Ênfase4 27 3" xfId="8714" xr:uid="{00000000-0005-0000-0000-00001D240000}"/>
    <cellStyle name="Ênfase4 27 4" xfId="8715" xr:uid="{00000000-0005-0000-0000-00001E240000}"/>
    <cellStyle name="Ênfase4 27 5" xfId="8716" xr:uid="{00000000-0005-0000-0000-00001F240000}"/>
    <cellStyle name="Ênfase4 27 6" xfId="8717" xr:uid="{00000000-0005-0000-0000-000020240000}"/>
    <cellStyle name="Ênfase4 27 7" xfId="8718" xr:uid="{00000000-0005-0000-0000-000021240000}"/>
    <cellStyle name="Ênfase4 27 8" xfId="8719" xr:uid="{00000000-0005-0000-0000-000022240000}"/>
    <cellStyle name="Ênfase4 27 9" xfId="8720" xr:uid="{00000000-0005-0000-0000-000023240000}"/>
    <cellStyle name="Ênfase4 28" xfId="8721" xr:uid="{00000000-0005-0000-0000-000024240000}"/>
    <cellStyle name="Ênfase4 28 10" xfId="8722" xr:uid="{00000000-0005-0000-0000-000025240000}"/>
    <cellStyle name="Ênfase4 28 11" xfId="8723" xr:uid="{00000000-0005-0000-0000-000026240000}"/>
    <cellStyle name="Ênfase4 28 12" xfId="8724" xr:uid="{00000000-0005-0000-0000-000027240000}"/>
    <cellStyle name="Ênfase4 28 13" xfId="8725" xr:uid="{00000000-0005-0000-0000-000028240000}"/>
    <cellStyle name="Ênfase4 28 14" xfId="8726" xr:uid="{00000000-0005-0000-0000-000029240000}"/>
    <cellStyle name="Ênfase4 28 15" xfId="8727" xr:uid="{00000000-0005-0000-0000-00002A240000}"/>
    <cellStyle name="Ênfase4 28 16" xfId="8728" xr:uid="{00000000-0005-0000-0000-00002B240000}"/>
    <cellStyle name="Ênfase4 28 2" xfId="8729" xr:uid="{00000000-0005-0000-0000-00002C240000}"/>
    <cellStyle name="Ênfase4 28 3" xfId="8730" xr:uid="{00000000-0005-0000-0000-00002D240000}"/>
    <cellStyle name="Ênfase4 28 4" xfId="8731" xr:uid="{00000000-0005-0000-0000-00002E240000}"/>
    <cellStyle name="Ênfase4 28 5" xfId="8732" xr:uid="{00000000-0005-0000-0000-00002F240000}"/>
    <cellStyle name="Ênfase4 28 6" xfId="8733" xr:uid="{00000000-0005-0000-0000-000030240000}"/>
    <cellStyle name="Ênfase4 28 7" xfId="8734" xr:uid="{00000000-0005-0000-0000-000031240000}"/>
    <cellStyle name="Ênfase4 28 8" xfId="8735" xr:uid="{00000000-0005-0000-0000-000032240000}"/>
    <cellStyle name="Ênfase4 28 9" xfId="8736" xr:uid="{00000000-0005-0000-0000-000033240000}"/>
    <cellStyle name="Ênfase4 29" xfId="8737" xr:uid="{00000000-0005-0000-0000-000034240000}"/>
    <cellStyle name="Ênfase4 29 10" xfId="8738" xr:uid="{00000000-0005-0000-0000-000035240000}"/>
    <cellStyle name="Ênfase4 29 11" xfId="8739" xr:uid="{00000000-0005-0000-0000-000036240000}"/>
    <cellStyle name="Ênfase4 29 12" xfId="8740" xr:uid="{00000000-0005-0000-0000-000037240000}"/>
    <cellStyle name="Ênfase4 29 13" xfId="8741" xr:uid="{00000000-0005-0000-0000-000038240000}"/>
    <cellStyle name="Ênfase4 29 14" xfId="8742" xr:uid="{00000000-0005-0000-0000-000039240000}"/>
    <cellStyle name="Ênfase4 29 15" xfId="8743" xr:uid="{00000000-0005-0000-0000-00003A240000}"/>
    <cellStyle name="Ênfase4 29 16" xfId="8744" xr:uid="{00000000-0005-0000-0000-00003B240000}"/>
    <cellStyle name="Ênfase4 29 2" xfId="8745" xr:uid="{00000000-0005-0000-0000-00003C240000}"/>
    <cellStyle name="Ênfase4 29 3" xfId="8746" xr:uid="{00000000-0005-0000-0000-00003D240000}"/>
    <cellStyle name="Ênfase4 29 4" xfId="8747" xr:uid="{00000000-0005-0000-0000-00003E240000}"/>
    <cellStyle name="Ênfase4 29 5" xfId="8748" xr:uid="{00000000-0005-0000-0000-00003F240000}"/>
    <cellStyle name="Ênfase4 29 6" xfId="8749" xr:uid="{00000000-0005-0000-0000-000040240000}"/>
    <cellStyle name="Ênfase4 29 7" xfId="8750" xr:uid="{00000000-0005-0000-0000-000041240000}"/>
    <cellStyle name="Ênfase4 29 8" xfId="8751" xr:uid="{00000000-0005-0000-0000-000042240000}"/>
    <cellStyle name="Ênfase4 29 9" xfId="8752" xr:uid="{00000000-0005-0000-0000-000043240000}"/>
    <cellStyle name="Ênfase4 3" xfId="8753" xr:uid="{00000000-0005-0000-0000-000044240000}"/>
    <cellStyle name="Ênfase4 3 10" xfId="8754" xr:uid="{00000000-0005-0000-0000-000045240000}"/>
    <cellStyle name="Ênfase4 3 11" xfId="8755" xr:uid="{00000000-0005-0000-0000-000046240000}"/>
    <cellStyle name="Ênfase4 3 2" xfId="8756" xr:uid="{00000000-0005-0000-0000-000047240000}"/>
    <cellStyle name="Ênfase4 3 3" xfId="8757" xr:uid="{00000000-0005-0000-0000-000048240000}"/>
    <cellStyle name="Ênfase4 3 4" xfId="8758" xr:uid="{00000000-0005-0000-0000-000049240000}"/>
    <cellStyle name="Ênfase4 3 5" xfId="8759" xr:uid="{00000000-0005-0000-0000-00004A240000}"/>
    <cellStyle name="Ênfase4 3 6" xfId="8760" xr:uid="{00000000-0005-0000-0000-00004B240000}"/>
    <cellStyle name="Ênfase4 3 7" xfId="8761" xr:uid="{00000000-0005-0000-0000-00004C240000}"/>
    <cellStyle name="Ênfase4 3 8" xfId="8762" xr:uid="{00000000-0005-0000-0000-00004D240000}"/>
    <cellStyle name="Ênfase4 3 9" xfId="8763" xr:uid="{00000000-0005-0000-0000-00004E240000}"/>
    <cellStyle name="Ênfase4 30" xfId="8764" xr:uid="{00000000-0005-0000-0000-00004F240000}"/>
    <cellStyle name="Ênfase4 31" xfId="8765" xr:uid="{00000000-0005-0000-0000-000050240000}"/>
    <cellStyle name="Ênfase4 32" xfId="8766" xr:uid="{00000000-0005-0000-0000-000051240000}"/>
    <cellStyle name="Ênfase4 33" xfId="8767" xr:uid="{00000000-0005-0000-0000-000052240000}"/>
    <cellStyle name="Ênfase4 34" xfId="8768" xr:uid="{00000000-0005-0000-0000-000053240000}"/>
    <cellStyle name="Ênfase4 35" xfId="8769" xr:uid="{00000000-0005-0000-0000-000054240000}"/>
    <cellStyle name="Ênfase4 36" xfId="8770" xr:uid="{00000000-0005-0000-0000-000055240000}"/>
    <cellStyle name="Ênfase4 37" xfId="8771" xr:uid="{00000000-0005-0000-0000-000056240000}"/>
    <cellStyle name="Ênfase4 38" xfId="8772" xr:uid="{00000000-0005-0000-0000-000057240000}"/>
    <cellStyle name="Ênfase4 39" xfId="8773" xr:uid="{00000000-0005-0000-0000-000058240000}"/>
    <cellStyle name="Ênfase4 4" xfId="8774" xr:uid="{00000000-0005-0000-0000-000059240000}"/>
    <cellStyle name="Ênfase4 4 10" xfId="8775" xr:uid="{00000000-0005-0000-0000-00005A240000}"/>
    <cellStyle name="Ênfase4 4 11" xfId="8776" xr:uid="{00000000-0005-0000-0000-00005B240000}"/>
    <cellStyle name="Ênfase4 4 2" xfId="8777" xr:uid="{00000000-0005-0000-0000-00005C240000}"/>
    <cellStyle name="Ênfase4 4 3" xfId="8778" xr:uid="{00000000-0005-0000-0000-00005D240000}"/>
    <cellStyle name="Ênfase4 4 4" xfId="8779" xr:uid="{00000000-0005-0000-0000-00005E240000}"/>
    <cellStyle name="Ênfase4 4 5" xfId="8780" xr:uid="{00000000-0005-0000-0000-00005F240000}"/>
    <cellStyle name="Ênfase4 4 6" xfId="8781" xr:uid="{00000000-0005-0000-0000-000060240000}"/>
    <cellStyle name="Ênfase4 4 7" xfId="8782" xr:uid="{00000000-0005-0000-0000-000061240000}"/>
    <cellStyle name="Ênfase4 4 8" xfId="8783" xr:uid="{00000000-0005-0000-0000-000062240000}"/>
    <cellStyle name="Ênfase4 4 9" xfId="8784" xr:uid="{00000000-0005-0000-0000-000063240000}"/>
    <cellStyle name="Ênfase4 40" xfId="8785" xr:uid="{00000000-0005-0000-0000-000064240000}"/>
    <cellStyle name="Ênfase4 41" xfId="8786" xr:uid="{00000000-0005-0000-0000-000065240000}"/>
    <cellStyle name="Ênfase4 42" xfId="8787" xr:uid="{00000000-0005-0000-0000-000066240000}"/>
    <cellStyle name="Ênfase4 43" xfId="8788" xr:uid="{00000000-0005-0000-0000-000067240000}"/>
    <cellStyle name="Ênfase4 44" xfId="8789" xr:uid="{00000000-0005-0000-0000-000068240000}"/>
    <cellStyle name="Ênfase4 45" xfId="8790" xr:uid="{00000000-0005-0000-0000-000069240000}"/>
    <cellStyle name="Ênfase4 46" xfId="8791" xr:uid="{00000000-0005-0000-0000-00006A240000}"/>
    <cellStyle name="Ênfase4 47" xfId="8792" xr:uid="{00000000-0005-0000-0000-00006B240000}"/>
    <cellStyle name="Ênfase4 48" xfId="8793" xr:uid="{00000000-0005-0000-0000-00006C240000}"/>
    <cellStyle name="Ênfase4 49" xfId="8794" xr:uid="{00000000-0005-0000-0000-00006D240000}"/>
    <cellStyle name="Ênfase4 5" xfId="8795" xr:uid="{00000000-0005-0000-0000-00006E240000}"/>
    <cellStyle name="Ênfase4 5 2" xfId="8796" xr:uid="{00000000-0005-0000-0000-00006F240000}"/>
    <cellStyle name="Ênfase4 5 3" xfId="8797" xr:uid="{00000000-0005-0000-0000-000070240000}"/>
    <cellStyle name="Ênfase4 5 4" xfId="8798" xr:uid="{00000000-0005-0000-0000-000071240000}"/>
    <cellStyle name="Ênfase4 50" xfId="8799" xr:uid="{00000000-0005-0000-0000-000072240000}"/>
    <cellStyle name="Ênfase4 51" xfId="8800" xr:uid="{00000000-0005-0000-0000-000073240000}"/>
    <cellStyle name="Ênfase4 52" xfId="8801" xr:uid="{00000000-0005-0000-0000-000074240000}"/>
    <cellStyle name="Ênfase4 53" xfId="8802" xr:uid="{00000000-0005-0000-0000-000075240000}"/>
    <cellStyle name="Ênfase4 54" xfId="8803" xr:uid="{00000000-0005-0000-0000-000076240000}"/>
    <cellStyle name="Ênfase4 55" xfId="8804" xr:uid="{00000000-0005-0000-0000-000077240000}"/>
    <cellStyle name="Ênfase4 56" xfId="8805" xr:uid="{00000000-0005-0000-0000-000078240000}"/>
    <cellStyle name="Ênfase4 57" xfId="8806" xr:uid="{00000000-0005-0000-0000-000079240000}"/>
    <cellStyle name="Ênfase4 58" xfId="8807" xr:uid="{00000000-0005-0000-0000-00007A240000}"/>
    <cellStyle name="Ênfase4 59" xfId="8808" xr:uid="{00000000-0005-0000-0000-00007B240000}"/>
    <cellStyle name="Ênfase4 6" xfId="8809" xr:uid="{00000000-0005-0000-0000-00007C240000}"/>
    <cellStyle name="Ênfase4 6 2" xfId="8810" xr:uid="{00000000-0005-0000-0000-00007D240000}"/>
    <cellStyle name="Ênfase4 6 3" xfId="8811" xr:uid="{00000000-0005-0000-0000-00007E240000}"/>
    <cellStyle name="Ênfase4 6 4" xfId="8812" xr:uid="{00000000-0005-0000-0000-00007F240000}"/>
    <cellStyle name="Ênfase4 60" xfId="8813" xr:uid="{00000000-0005-0000-0000-000080240000}"/>
    <cellStyle name="Ênfase4 61" xfId="8814" xr:uid="{00000000-0005-0000-0000-000081240000}"/>
    <cellStyle name="Ênfase4 62" xfId="8815" xr:uid="{00000000-0005-0000-0000-000082240000}"/>
    <cellStyle name="Ênfase4 63" xfId="8816" xr:uid="{00000000-0005-0000-0000-000083240000}"/>
    <cellStyle name="Ênfase4 64" xfId="8817" xr:uid="{00000000-0005-0000-0000-000084240000}"/>
    <cellStyle name="Ênfase4 65" xfId="8818" xr:uid="{00000000-0005-0000-0000-000085240000}"/>
    <cellStyle name="Ênfase4 66" xfId="8819" xr:uid="{00000000-0005-0000-0000-000086240000}"/>
    <cellStyle name="Ênfase4 67" xfId="8820" xr:uid="{00000000-0005-0000-0000-000087240000}"/>
    <cellStyle name="Ênfase4 68" xfId="8821" xr:uid="{00000000-0005-0000-0000-000088240000}"/>
    <cellStyle name="Ênfase4 69" xfId="8822" xr:uid="{00000000-0005-0000-0000-000089240000}"/>
    <cellStyle name="Ênfase4 7" xfId="8823" xr:uid="{00000000-0005-0000-0000-00008A240000}"/>
    <cellStyle name="Ênfase4 7 2" xfId="8824" xr:uid="{00000000-0005-0000-0000-00008B240000}"/>
    <cellStyle name="Ênfase4 7 3" xfId="8825" xr:uid="{00000000-0005-0000-0000-00008C240000}"/>
    <cellStyle name="Ênfase4 7 4" xfId="8826" xr:uid="{00000000-0005-0000-0000-00008D240000}"/>
    <cellStyle name="Ênfase4 70" xfId="8827" xr:uid="{00000000-0005-0000-0000-00008E240000}"/>
    <cellStyle name="Ênfase4 71" xfId="8828" xr:uid="{00000000-0005-0000-0000-00008F240000}"/>
    <cellStyle name="Ênfase4 72" xfId="8829" xr:uid="{00000000-0005-0000-0000-000090240000}"/>
    <cellStyle name="Ênfase4 73" xfId="8830" xr:uid="{00000000-0005-0000-0000-000091240000}"/>
    <cellStyle name="Ênfase4 74" xfId="8831" xr:uid="{00000000-0005-0000-0000-000092240000}"/>
    <cellStyle name="Ênfase4 75" xfId="8832" xr:uid="{00000000-0005-0000-0000-000093240000}"/>
    <cellStyle name="Ênfase4 76" xfId="8833" xr:uid="{00000000-0005-0000-0000-000094240000}"/>
    <cellStyle name="Ênfase4 77" xfId="8834" xr:uid="{00000000-0005-0000-0000-000095240000}"/>
    <cellStyle name="Ênfase4 78" xfId="8835" xr:uid="{00000000-0005-0000-0000-000096240000}"/>
    <cellStyle name="Ênfase4 79" xfId="8836" xr:uid="{00000000-0005-0000-0000-000097240000}"/>
    <cellStyle name="Ênfase4 8" xfId="8837" xr:uid="{00000000-0005-0000-0000-000098240000}"/>
    <cellStyle name="Ênfase4 8 2" xfId="8838" xr:uid="{00000000-0005-0000-0000-000099240000}"/>
    <cellStyle name="Ênfase4 8 3" xfId="8839" xr:uid="{00000000-0005-0000-0000-00009A240000}"/>
    <cellStyle name="Ênfase4 8 4" xfId="8840" xr:uid="{00000000-0005-0000-0000-00009B240000}"/>
    <cellStyle name="Ênfase4 80" xfId="8841" xr:uid="{00000000-0005-0000-0000-00009C240000}"/>
    <cellStyle name="Ênfase4 81" xfId="8842" xr:uid="{00000000-0005-0000-0000-00009D240000}"/>
    <cellStyle name="Ênfase4 82" xfId="8843" xr:uid="{00000000-0005-0000-0000-00009E240000}"/>
    <cellStyle name="Ênfase4 83" xfId="8844" xr:uid="{00000000-0005-0000-0000-00009F240000}"/>
    <cellStyle name="Ênfase4 84" xfId="8845" xr:uid="{00000000-0005-0000-0000-0000A0240000}"/>
    <cellStyle name="Ênfase4 85" xfId="8846" xr:uid="{00000000-0005-0000-0000-0000A1240000}"/>
    <cellStyle name="Ênfase4 86" xfId="8847" xr:uid="{00000000-0005-0000-0000-0000A2240000}"/>
    <cellStyle name="Ênfase4 87" xfId="8848" xr:uid="{00000000-0005-0000-0000-0000A3240000}"/>
    <cellStyle name="Ênfase4 88" xfId="8849" xr:uid="{00000000-0005-0000-0000-0000A4240000}"/>
    <cellStyle name="Ênfase4 89" xfId="8850" xr:uid="{00000000-0005-0000-0000-0000A5240000}"/>
    <cellStyle name="Ênfase4 9" xfId="8851" xr:uid="{00000000-0005-0000-0000-0000A6240000}"/>
    <cellStyle name="Ênfase4 90" xfId="8852" xr:uid="{00000000-0005-0000-0000-0000A7240000}"/>
    <cellStyle name="Ênfase4 91" xfId="8853" xr:uid="{00000000-0005-0000-0000-0000A8240000}"/>
    <cellStyle name="Ênfase4 92" xfId="8854" xr:uid="{00000000-0005-0000-0000-0000A9240000}"/>
    <cellStyle name="Ênfase4 93" xfId="8855" xr:uid="{00000000-0005-0000-0000-0000AA240000}"/>
    <cellStyle name="Ênfase4 94" xfId="8856" xr:uid="{00000000-0005-0000-0000-0000AB240000}"/>
    <cellStyle name="Ênfase4 95" xfId="8857" xr:uid="{00000000-0005-0000-0000-0000AC240000}"/>
    <cellStyle name="Ênfase4 96" xfId="8858" xr:uid="{00000000-0005-0000-0000-0000AD240000}"/>
    <cellStyle name="Ênfase4 97" xfId="8859" xr:uid="{00000000-0005-0000-0000-0000AE240000}"/>
    <cellStyle name="Ênfase4 98" xfId="8860" xr:uid="{00000000-0005-0000-0000-0000AF240000}"/>
    <cellStyle name="Ênfase4 99" xfId="8861" xr:uid="{00000000-0005-0000-0000-0000B0240000}"/>
    <cellStyle name="Ênfase5 10" xfId="8862" xr:uid="{00000000-0005-0000-0000-0000B1240000}"/>
    <cellStyle name="Ênfase5 10 2" xfId="40591" xr:uid="{00000000-0005-0000-0000-0000B2240000}"/>
    <cellStyle name="Ênfase5 100" xfId="8863" xr:uid="{00000000-0005-0000-0000-0000B3240000}"/>
    <cellStyle name="Ênfase5 101" xfId="8864" xr:uid="{00000000-0005-0000-0000-0000B4240000}"/>
    <cellStyle name="Ênfase5 102" xfId="8865" xr:uid="{00000000-0005-0000-0000-0000B5240000}"/>
    <cellStyle name="Ênfase5 103" xfId="8866" xr:uid="{00000000-0005-0000-0000-0000B6240000}"/>
    <cellStyle name="Ênfase5 104" xfId="8867" xr:uid="{00000000-0005-0000-0000-0000B7240000}"/>
    <cellStyle name="Ênfase5 105" xfId="8868" xr:uid="{00000000-0005-0000-0000-0000B8240000}"/>
    <cellStyle name="Ênfase5 106" xfId="8869" xr:uid="{00000000-0005-0000-0000-0000B9240000}"/>
    <cellStyle name="Ênfase5 107" xfId="8870" xr:uid="{00000000-0005-0000-0000-0000BA240000}"/>
    <cellStyle name="Ênfase5 108" xfId="8871" xr:uid="{00000000-0005-0000-0000-0000BB240000}"/>
    <cellStyle name="Ênfase5 109" xfId="8872" xr:uid="{00000000-0005-0000-0000-0000BC240000}"/>
    <cellStyle name="Ênfase5 11" xfId="8873" xr:uid="{00000000-0005-0000-0000-0000BD240000}"/>
    <cellStyle name="Ênfase5 11 2" xfId="40592" xr:uid="{00000000-0005-0000-0000-0000BE240000}"/>
    <cellStyle name="Ênfase5 110" xfId="8874" xr:uid="{00000000-0005-0000-0000-0000BF240000}"/>
    <cellStyle name="Ênfase5 111" xfId="8875" xr:uid="{00000000-0005-0000-0000-0000C0240000}"/>
    <cellStyle name="Ênfase5 112" xfId="8876" xr:uid="{00000000-0005-0000-0000-0000C1240000}"/>
    <cellStyle name="Ênfase5 113" xfId="8877" xr:uid="{00000000-0005-0000-0000-0000C2240000}"/>
    <cellStyle name="Ênfase5 114" xfId="8878" xr:uid="{00000000-0005-0000-0000-0000C3240000}"/>
    <cellStyle name="Ênfase5 115" xfId="8879" xr:uid="{00000000-0005-0000-0000-0000C4240000}"/>
    <cellStyle name="Ênfase5 116" xfId="8880" xr:uid="{00000000-0005-0000-0000-0000C5240000}"/>
    <cellStyle name="Ênfase5 117" xfId="8881" xr:uid="{00000000-0005-0000-0000-0000C6240000}"/>
    <cellStyle name="Ênfase5 118" xfId="8882" xr:uid="{00000000-0005-0000-0000-0000C7240000}"/>
    <cellStyle name="Ênfase5 119" xfId="8883" xr:uid="{00000000-0005-0000-0000-0000C8240000}"/>
    <cellStyle name="Ênfase5 12" xfId="8884" xr:uid="{00000000-0005-0000-0000-0000C9240000}"/>
    <cellStyle name="Ênfase5 12 2" xfId="40593" xr:uid="{00000000-0005-0000-0000-0000CA240000}"/>
    <cellStyle name="Ênfase5 120" xfId="8885" xr:uid="{00000000-0005-0000-0000-0000CB240000}"/>
    <cellStyle name="Ênfase5 121" xfId="8886" xr:uid="{00000000-0005-0000-0000-0000CC240000}"/>
    <cellStyle name="Ênfase5 122" xfId="8887" xr:uid="{00000000-0005-0000-0000-0000CD240000}"/>
    <cellStyle name="Ênfase5 123" xfId="8888" xr:uid="{00000000-0005-0000-0000-0000CE240000}"/>
    <cellStyle name="Ênfase5 124" xfId="8889" xr:uid="{00000000-0005-0000-0000-0000CF240000}"/>
    <cellStyle name="Ênfase5 125" xfId="8890" xr:uid="{00000000-0005-0000-0000-0000D0240000}"/>
    <cellStyle name="Ênfase5 126" xfId="8891" xr:uid="{00000000-0005-0000-0000-0000D1240000}"/>
    <cellStyle name="Ênfase5 127" xfId="8892" xr:uid="{00000000-0005-0000-0000-0000D2240000}"/>
    <cellStyle name="Ênfase5 128" xfId="8893" xr:uid="{00000000-0005-0000-0000-0000D3240000}"/>
    <cellStyle name="Ênfase5 129" xfId="8894" xr:uid="{00000000-0005-0000-0000-0000D4240000}"/>
    <cellStyle name="Ênfase5 13" xfId="8895" xr:uid="{00000000-0005-0000-0000-0000D5240000}"/>
    <cellStyle name="Ênfase5 13 2" xfId="40594" xr:uid="{00000000-0005-0000-0000-0000D6240000}"/>
    <cellStyle name="Ênfase5 130" xfId="8896" xr:uid="{00000000-0005-0000-0000-0000D7240000}"/>
    <cellStyle name="Ênfase5 131" xfId="8897" xr:uid="{00000000-0005-0000-0000-0000D8240000}"/>
    <cellStyle name="Ênfase5 132" xfId="8898" xr:uid="{00000000-0005-0000-0000-0000D9240000}"/>
    <cellStyle name="Ênfase5 133" xfId="8899" xr:uid="{00000000-0005-0000-0000-0000DA240000}"/>
    <cellStyle name="Ênfase5 134" xfId="8900" xr:uid="{00000000-0005-0000-0000-0000DB240000}"/>
    <cellStyle name="Ênfase5 135" xfId="8901" xr:uid="{00000000-0005-0000-0000-0000DC240000}"/>
    <cellStyle name="Ênfase5 136" xfId="8902" xr:uid="{00000000-0005-0000-0000-0000DD240000}"/>
    <cellStyle name="Ênfase5 137" xfId="8903" xr:uid="{00000000-0005-0000-0000-0000DE240000}"/>
    <cellStyle name="Ênfase5 138" xfId="8904" xr:uid="{00000000-0005-0000-0000-0000DF240000}"/>
    <cellStyle name="Ênfase5 139" xfId="8905" xr:uid="{00000000-0005-0000-0000-0000E0240000}"/>
    <cellStyle name="Ênfase5 14" xfId="8906" xr:uid="{00000000-0005-0000-0000-0000E1240000}"/>
    <cellStyle name="Ênfase5 140" xfId="8907" xr:uid="{00000000-0005-0000-0000-0000E2240000}"/>
    <cellStyle name="Ênfase5 141" xfId="8908" xr:uid="{00000000-0005-0000-0000-0000E3240000}"/>
    <cellStyle name="Ênfase5 142" xfId="8909" xr:uid="{00000000-0005-0000-0000-0000E4240000}"/>
    <cellStyle name="Ênfase5 143" xfId="8910" xr:uid="{00000000-0005-0000-0000-0000E5240000}"/>
    <cellStyle name="Ênfase5 144" xfId="8911" xr:uid="{00000000-0005-0000-0000-0000E6240000}"/>
    <cellStyle name="Ênfase5 145" xfId="8912" xr:uid="{00000000-0005-0000-0000-0000E7240000}"/>
    <cellStyle name="Ênfase5 146" xfId="8913" xr:uid="{00000000-0005-0000-0000-0000E8240000}"/>
    <cellStyle name="Ênfase5 147" xfId="8914" xr:uid="{00000000-0005-0000-0000-0000E9240000}"/>
    <cellStyle name="Ênfase5 148" xfId="8915" xr:uid="{00000000-0005-0000-0000-0000EA240000}"/>
    <cellStyle name="Ênfase5 149" xfId="8916" xr:uid="{00000000-0005-0000-0000-0000EB240000}"/>
    <cellStyle name="Ênfase5 15" xfId="8917" xr:uid="{00000000-0005-0000-0000-0000EC240000}"/>
    <cellStyle name="Ênfase5 15 2" xfId="8918" xr:uid="{00000000-0005-0000-0000-0000ED240000}"/>
    <cellStyle name="Ênfase5 15 3" xfId="8919" xr:uid="{00000000-0005-0000-0000-0000EE240000}"/>
    <cellStyle name="Ênfase5 150" xfId="8920" xr:uid="{00000000-0005-0000-0000-0000EF240000}"/>
    <cellStyle name="Ênfase5 151" xfId="8921" xr:uid="{00000000-0005-0000-0000-0000F0240000}"/>
    <cellStyle name="Ênfase5 152" xfId="8922" xr:uid="{00000000-0005-0000-0000-0000F1240000}"/>
    <cellStyle name="Ênfase5 153" xfId="8923" xr:uid="{00000000-0005-0000-0000-0000F2240000}"/>
    <cellStyle name="Ênfase5 154" xfId="8924" xr:uid="{00000000-0005-0000-0000-0000F3240000}"/>
    <cellStyle name="Ênfase5 155" xfId="8925" xr:uid="{00000000-0005-0000-0000-0000F4240000}"/>
    <cellStyle name="Ênfase5 156" xfId="8926" xr:uid="{00000000-0005-0000-0000-0000F5240000}"/>
    <cellStyle name="Ênfase5 157" xfId="8927" xr:uid="{00000000-0005-0000-0000-0000F6240000}"/>
    <cellStyle name="Ênfase5 158" xfId="8928" xr:uid="{00000000-0005-0000-0000-0000F7240000}"/>
    <cellStyle name="Ênfase5 159" xfId="8929" xr:uid="{00000000-0005-0000-0000-0000F8240000}"/>
    <cellStyle name="Ênfase5 16" xfId="8930" xr:uid="{00000000-0005-0000-0000-0000F9240000}"/>
    <cellStyle name="Ênfase5 16 2" xfId="8931" xr:uid="{00000000-0005-0000-0000-0000FA240000}"/>
    <cellStyle name="Ênfase5 16 3" xfId="8932" xr:uid="{00000000-0005-0000-0000-0000FB240000}"/>
    <cellStyle name="Ênfase5 160" xfId="8933" xr:uid="{00000000-0005-0000-0000-0000FC240000}"/>
    <cellStyle name="Ênfase5 161" xfId="8934" xr:uid="{00000000-0005-0000-0000-0000FD240000}"/>
    <cellStyle name="Ênfase5 162" xfId="8935" xr:uid="{00000000-0005-0000-0000-0000FE240000}"/>
    <cellStyle name="Ênfase5 163" xfId="8936" xr:uid="{00000000-0005-0000-0000-0000FF240000}"/>
    <cellStyle name="Ênfase5 164" xfId="8937" xr:uid="{00000000-0005-0000-0000-000000250000}"/>
    <cellStyle name="Ênfase5 165" xfId="8938" xr:uid="{00000000-0005-0000-0000-000001250000}"/>
    <cellStyle name="Ênfase5 166" xfId="8939" xr:uid="{00000000-0005-0000-0000-000002250000}"/>
    <cellStyle name="Ênfase5 167" xfId="8940" xr:uid="{00000000-0005-0000-0000-000003250000}"/>
    <cellStyle name="Ênfase5 168" xfId="8941" xr:uid="{00000000-0005-0000-0000-000004250000}"/>
    <cellStyle name="Ênfase5 169" xfId="8942" xr:uid="{00000000-0005-0000-0000-000005250000}"/>
    <cellStyle name="Ênfase5 17" xfId="8943" xr:uid="{00000000-0005-0000-0000-000006250000}"/>
    <cellStyle name="Ênfase5 17 2" xfId="8944" xr:uid="{00000000-0005-0000-0000-000007250000}"/>
    <cellStyle name="Ênfase5 17 3" xfId="8945" xr:uid="{00000000-0005-0000-0000-000008250000}"/>
    <cellStyle name="Ênfase5 170" xfId="8946" xr:uid="{00000000-0005-0000-0000-000009250000}"/>
    <cellStyle name="Ênfase5 171" xfId="8947" xr:uid="{00000000-0005-0000-0000-00000A250000}"/>
    <cellStyle name="Ênfase5 172" xfId="8948" xr:uid="{00000000-0005-0000-0000-00000B250000}"/>
    <cellStyle name="Ênfase5 173" xfId="8949" xr:uid="{00000000-0005-0000-0000-00000C250000}"/>
    <cellStyle name="Ênfase5 174" xfId="8950" xr:uid="{00000000-0005-0000-0000-00000D250000}"/>
    <cellStyle name="Ênfase5 175" xfId="8951" xr:uid="{00000000-0005-0000-0000-00000E250000}"/>
    <cellStyle name="Ênfase5 176" xfId="8952" xr:uid="{00000000-0005-0000-0000-00000F250000}"/>
    <cellStyle name="Ênfase5 177" xfId="8953" xr:uid="{00000000-0005-0000-0000-000010250000}"/>
    <cellStyle name="Ênfase5 178" xfId="8954" xr:uid="{00000000-0005-0000-0000-000011250000}"/>
    <cellStyle name="Ênfase5 179" xfId="8955" xr:uid="{00000000-0005-0000-0000-000012250000}"/>
    <cellStyle name="Ênfase5 18" xfId="8956" xr:uid="{00000000-0005-0000-0000-000013250000}"/>
    <cellStyle name="Ênfase5 18 2" xfId="8957" xr:uid="{00000000-0005-0000-0000-000014250000}"/>
    <cellStyle name="Ênfase5 18 3" xfId="8958" xr:uid="{00000000-0005-0000-0000-000015250000}"/>
    <cellStyle name="Ênfase5 180" xfId="8959" xr:uid="{00000000-0005-0000-0000-000016250000}"/>
    <cellStyle name="Ênfase5 181" xfId="8960" xr:uid="{00000000-0005-0000-0000-000017250000}"/>
    <cellStyle name="Ênfase5 182" xfId="8961" xr:uid="{00000000-0005-0000-0000-000018250000}"/>
    <cellStyle name="Ênfase5 183" xfId="8962" xr:uid="{00000000-0005-0000-0000-000019250000}"/>
    <cellStyle name="Ênfase5 184" xfId="8963" xr:uid="{00000000-0005-0000-0000-00001A250000}"/>
    <cellStyle name="Ênfase5 185" xfId="8964" xr:uid="{00000000-0005-0000-0000-00001B250000}"/>
    <cellStyle name="Ênfase5 186" xfId="8965" xr:uid="{00000000-0005-0000-0000-00001C250000}"/>
    <cellStyle name="Ênfase5 187" xfId="8966" xr:uid="{00000000-0005-0000-0000-00001D250000}"/>
    <cellStyle name="Ênfase5 188" xfId="8967" xr:uid="{00000000-0005-0000-0000-00001E250000}"/>
    <cellStyle name="Ênfase5 189" xfId="8968" xr:uid="{00000000-0005-0000-0000-00001F250000}"/>
    <cellStyle name="Ênfase5 19" xfId="8969" xr:uid="{00000000-0005-0000-0000-000020250000}"/>
    <cellStyle name="Ênfase5 19 2" xfId="8970" xr:uid="{00000000-0005-0000-0000-000021250000}"/>
    <cellStyle name="Ênfase5 19 3" xfId="8971" xr:uid="{00000000-0005-0000-0000-000022250000}"/>
    <cellStyle name="Ênfase5 190" xfId="8972" xr:uid="{00000000-0005-0000-0000-000023250000}"/>
    <cellStyle name="Ênfase5 2" xfId="8973" xr:uid="{00000000-0005-0000-0000-000024250000}"/>
    <cellStyle name="Ênfase5 2 10" xfId="8974" xr:uid="{00000000-0005-0000-0000-000025250000}"/>
    <cellStyle name="Ênfase5 2 11" xfId="8975" xr:uid="{00000000-0005-0000-0000-000026250000}"/>
    <cellStyle name="Ênfase5 2 12" xfId="8976" xr:uid="{00000000-0005-0000-0000-000027250000}"/>
    <cellStyle name="Ênfase5 2 13" xfId="8977" xr:uid="{00000000-0005-0000-0000-000028250000}"/>
    <cellStyle name="Ênfase5 2 14" xfId="8978" xr:uid="{00000000-0005-0000-0000-000029250000}"/>
    <cellStyle name="Ênfase5 2 15" xfId="8979" xr:uid="{00000000-0005-0000-0000-00002A250000}"/>
    <cellStyle name="Ênfase5 2 16" xfId="8980" xr:uid="{00000000-0005-0000-0000-00002B250000}"/>
    <cellStyle name="Ênfase5 2 17" xfId="8981" xr:uid="{00000000-0005-0000-0000-00002C250000}"/>
    <cellStyle name="Ênfase5 2 18" xfId="8982" xr:uid="{00000000-0005-0000-0000-00002D250000}"/>
    <cellStyle name="Ênfase5 2 19" xfId="8983" xr:uid="{00000000-0005-0000-0000-00002E250000}"/>
    <cellStyle name="Ênfase5 2 2" xfId="8984" xr:uid="{00000000-0005-0000-0000-00002F250000}"/>
    <cellStyle name="Ênfase5 2 20" xfId="8985" xr:uid="{00000000-0005-0000-0000-000030250000}"/>
    <cellStyle name="Ênfase5 2 21" xfId="8986" xr:uid="{00000000-0005-0000-0000-000031250000}"/>
    <cellStyle name="Ênfase5 2 22" xfId="8987" xr:uid="{00000000-0005-0000-0000-000032250000}"/>
    <cellStyle name="Ênfase5 2 23" xfId="8988" xr:uid="{00000000-0005-0000-0000-000033250000}"/>
    <cellStyle name="Ênfase5 2 24" xfId="8989" xr:uid="{00000000-0005-0000-0000-000034250000}"/>
    <cellStyle name="Ênfase5 2 25" xfId="8990" xr:uid="{00000000-0005-0000-0000-000035250000}"/>
    <cellStyle name="Ênfase5 2 26" xfId="8991" xr:uid="{00000000-0005-0000-0000-000036250000}"/>
    <cellStyle name="Ênfase5 2 27" xfId="8992" xr:uid="{00000000-0005-0000-0000-000037250000}"/>
    <cellStyle name="Ênfase5 2 28" xfId="8993" xr:uid="{00000000-0005-0000-0000-000038250000}"/>
    <cellStyle name="Ênfase5 2 29" xfId="8994" xr:uid="{00000000-0005-0000-0000-000039250000}"/>
    <cellStyle name="Ênfase5 2 3" xfId="8995" xr:uid="{00000000-0005-0000-0000-00003A250000}"/>
    <cellStyle name="Ênfase5 2 30" xfId="8996" xr:uid="{00000000-0005-0000-0000-00003B250000}"/>
    <cellStyle name="Ênfase5 2 31" xfId="8997" xr:uid="{00000000-0005-0000-0000-00003C250000}"/>
    <cellStyle name="Ênfase5 2 32" xfId="13" xr:uid="{00000000-0005-0000-0000-00003D250000}"/>
    <cellStyle name="Ênfase5 2 32 2" xfId="29361" xr:uid="{00000000-0005-0000-0000-00003E250000}"/>
    <cellStyle name="Ênfase5 2 33" xfId="8998" xr:uid="{00000000-0005-0000-0000-00003F250000}"/>
    <cellStyle name="Ênfase5 2 34" xfId="8999" xr:uid="{00000000-0005-0000-0000-000040250000}"/>
    <cellStyle name="Ênfase5 2 35" xfId="9000" xr:uid="{00000000-0005-0000-0000-000041250000}"/>
    <cellStyle name="Ênfase5 2 4" xfId="9001" xr:uid="{00000000-0005-0000-0000-000042250000}"/>
    <cellStyle name="Ênfase5 2 5" xfId="9002" xr:uid="{00000000-0005-0000-0000-000043250000}"/>
    <cellStyle name="Ênfase5 2 6" xfId="9003" xr:uid="{00000000-0005-0000-0000-000044250000}"/>
    <cellStyle name="Ênfase5 2 7" xfId="9004" xr:uid="{00000000-0005-0000-0000-000045250000}"/>
    <cellStyle name="Ênfase5 2 8" xfId="9005" xr:uid="{00000000-0005-0000-0000-000046250000}"/>
    <cellStyle name="Ênfase5 2 9" xfId="9006" xr:uid="{00000000-0005-0000-0000-000047250000}"/>
    <cellStyle name="Ênfase5 20" xfId="9007" xr:uid="{00000000-0005-0000-0000-000048250000}"/>
    <cellStyle name="Ênfase5 20 2" xfId="9008" xr:uid="{00000000-0005-0000-0000-000049250000}"/>
    <cellStyle name="Ênfase5 20 3" xfId="9009" xr:uid="{00000000-0005-0000-0000-00004A250000}"/>
    <cellStyle name="Ênfase5 21" xfId="9010" xr:uid="{00000000-0005-0000-0000-00004B250000}"/>
    <cellStyle name="Ênfase5 22" xfId="9011" xr:uid="{00000000-0005-0000-0000-00004C250000}"/>
    <cellStyle name="Ênfase5 23" xfId="9012" xr:uid="{00000000-0005-0000-0000-00004D250000}"/>
    <cellStyle name="Ênfase5 24" xfId="9013" xr:uid="{00000000-0005-0000-0000-00004E250000}"/>
    <cellStyle name="Ênfase5 25" xfId="9014" xr:uid="{00000000-0005-0000-0000-00004F250000}"/>
    <cellStyle name="Ênfase5 26" xfId="9015" xr:uid="{00000000-0005-0000-0000-000050250000}"/>
    <cellStyle name="Ênfase5 27" xfId="9016" xr:uid="{00000000-0005-0000-0000-000051250000}"/>
    <cellStyle name="Ênfase5 28" xfId="9017" xr:uid="{00000000-0005-0000-0000-000052250000}"/>
    <cellStyle name="Ênfase5 29" xfId="9018" xr:uid="{00000000-0005-0000-0000-000053250000}"/>
    <cellStyle name="Ênfase5 3" xfId="9019" xr:uid="{00000000-0005-0000-0000-000054250000}"/>
    <cellStyle name="Ênfase5 3 2" xfId="9020" xr:uid="{00000000-0005-0000-0000-000055250000}"/>
    <cellStyle name="Ênfase5 3 3" xfId="9021" xr:uid="{00000000-0005-0000-0000-000056250000}"/>
    <cellStyle name="Ênfase5 3 4" xfId="9022" xr:uid="{00000000-0005-0000-0000-000057250000}"/>
    <cellStyle name="Ênfase5 3 5" xfId="9023" xr:uid="{00000000-0005-0000-0000-000058250000}"/>
    <cellStyle name="Ênfase5 3 6" xfId="9024" xr:uid="{00000000-0005-0000-0000-000059250000}"/>
    <cellStyle name="Ênfase5 3 7" xfId="9025" xr:uid="{00000000-0005-0000-0000-00005A250000}"/>
    <cellStyle name="Ênfase5 30" xfId="9026" xr:uid="{00000000-0005-0000-0000-00005B250000}"/>
    <cellStyle name="Ênfase5 31" xfId="9027" xr:uid="{00000000-0005-0000-0000-00005C250000}"/>
    <cellStyle name="Ênfase5 32" xfId="9028" xr:uid="{00000000-0005-0000-0000-00005D250000}"/>
    <cellStyle name="Ênfase5 33" xfId="9029" xr:uid="{00000000-0005-0000-0000-00005E250000}"/>
    <cellStyle name="Ênfase5 34" xfId="9030" xr:uid="{00000000-0005-0000-0000-00005F250000}"/>
    <cellStyle name="Ênfase5 35" xfId="9031" xr:uid="{00000000-0005-0000-0000-000060250000}"/>
    <cellStyle name="Ênfase5 36" xfId="9032" xr:uid="{00000000-0005-0000-0000-000061250000}"/>
    <cellStyle name="Ênfase5 37" xfId="9033" xr:uid="{00000000-0005-0000-0000-000062250000}"/>
    <cellStyle name="Ênfase5 38" xfId="9034" xr:uid="{00000000-0005-0000-0000-000063250000}"/>
    <cellStyle name="Ênfase5 39" xfId="9035" xr:uid="{00000000-0005-0000-0000-000064250000}"/>
    <cellStyle name="Ênfase5 4" xfId="9036" xr:uid="{00000000-0005-0000-0000-000065250000}"/>
    <cellStyle name="Ênfase5 4 2" xfId="9037" xr:uid="{00000000-0005-0000-0000-000066250000}"/>
    <cellStyle name="Ênfase5 4 3" xfId="9038" xr:uid="{00000000-0005-0000-0000-000067250000}"/>
    <cellStyle name="Ênfase5 4 4" xfId="9039" xr:uid="{00000000-0005-0000-0000-000068250000}"/>
    <cellStyle name="Ênfase5 4 5" xfId="9040" xr:uid="{00000000-0005-0000-0000-000069250000}"/>
    <cellStyle name="Ênfase5 4 6" xfId="9041" xr:uid="{00000000-0005-0000-0000-00006A250000}"/>
    <cellStyle name="Ênfase5 4 7" xfId="9042" xr:uid="{00000000-0005-0000-0000-00006B250000}"/>
    <cellStyle name="Ênfase5 40" xfId="9043" xr:uid="{00000000-0005-0000-0000-00006C250000}"/>
    <cellStyle name="Ênfase5 41" xfId="9044" xr:uid="{00000000-0005-0000-0000-00006D250000}"/>
    <cellStyle name="Ênfase5 42" xfId="9045" xr:uid="{00000000-0005-0000-0000-00006E250000}"/>
    <cellStyle name="Ênfase5 43" xfId="9046" xr:uid="{00000000-0005-0000-0000-00006F250000}"/>
    <cellStyle name="Ênfase5 44" xfId="9047" xr:uid="{00000000-0005-0000-0000-000070250000}"/>
    <cellStyle name="Ênfase5 45" xfId="9048" xr:uid="{00000000-0005-0000-0000-000071250000}"/>
    <cellStyle name="Ênfase5 46" xfId="9049" xr:uid="{00000000-0005-0000-0000-000072250000}"/>
    <cellStyle name="Ênfase5 47" xfId="9050" xr:uid="{00000000-0005-0000-0000-000073250000}"/>
    <cellStyle name="Ênfase5 48" xfId="9051" xr:uid="{00000000-0005-0000-0000-000074250000}"/>
    <cellStyle name="Ênfase5 49" xfId="9052" xr:uid="{00000000-0005-0000-0000-000075250000}"/>
    <cellStyle name="Ênfase5 5" xfId="9053" xr:uid="{00000000-0005-0000-0000-000076250000}"/>
    <cellStyle name="Ênfase5 5 2" xfId="9054" xr:uid="{00000000-0005-0000-0000-000077250000}"/>
    <cellStyle name="Ênfase5 5 3" xfId="9055" xr:uid="{00000000-0005-0000-0000-000078250000}"/>
    <cellStyle name="Ênfase5 5 4" xfId="9056" xr:uid="{00000000-0005-0000-0000-000079250000}"/>
    <cellStyle name="Ênfase5 50" xfId="9057" xr:uid="{00000000-0005-0000-0000-00007A250000}"/>
    <cellStyle name="Ênfase5 51" xfId="9058" xr:uid="{00000000-0005-0000-0000-00007B250000}"/>
    <cellStyle name="Ênfase5 52" xfId="9059" xr:uid="{00000000-0005-0000-0000-00007C250000}"/>
    <cellStyle name="Ênfase5 53" xfId="9060" xr:uid="{00000000-0005-0000-0000-00007D250000}"/>
    <cellStyle name="Ênfase5 54" xfId="9061" xr:uid="{00000000-0005-0000-0000-00007E250000}"/>
    <cellStyle name="Ênfase5 55" xfId="9062" xr:uid="{00000000-0005-0000-0000-00007F250000}"/>
    <cellStyle name="Ênfase5 56" xfId="9063" xr:uid="{00000000-0005-0000-0000-000080250000}"/>
    <cellStyle name="Ênfase5 57" xfId="9064" xr:uid="{00000000-0005-0000-0000-000081250000}"/>
    <cellStyle name="Ênfase5 58" xfId="9065" xr:uid="{00000000-0005-0000-0000-000082250000}"/>
    <cellStyle name="Ênfase5 59" xfId="9066" xr:uid="{00000000-0005-0000-0000-000083250000}"/>
    <cellStyle name="Ênfase5 6" xfId="9067" xr:uid="{00000000-0005-0000-0000-000084250000}"/>
    <cellStyle name="Ênfase5 6 2" xfId="9068" xr:uid="{00000000-0005-0000-0000-000085250000}"/>
    <cellStyle name="Ênfase5 6 3" xfId="9069" xr:uid="{00000000-0005-0000-0000-000086250000}"/>
    <cellStyle name="Ênfase5 6 4" xfId="9070" xr:uid="{00000000-0005-0000-0000-000087250000}"/>
    <cellStyle name="Ênfase5 60" xfId="9071" xr:uid="{00000000-0005-0000-0000-000088250000}"/>
    <cellStyle name="Ênfase5 61" xfId="9072" xr:uid="{00000000-0005-0000-0000-000089250000}"/>
    <cellStyle name="Ênfase5 62" xfId="9073" xr:uid="{00000000-0005-0000-0000-00008A250000}"/>
    <cellStyle name="Ênfase5 63" xfId="9074" xr:uid="{00000000-0005-0000-0000-00008B250000}"/>
    <cellStyle name="Ênfase5 64" xfId="9075" xr:uid="{00000000-0005-0000-0000-00008C250000}"/>
    <cellStyle name="Ênfase5 65" xfId="9076" xr:uid="{00000000-0005-0000-0000-00008D250000}"/>
    <cellStyle name="Ênfase5 66" xfId="9077" xr:uid="{00000000-0005-0000-0000-00008E250000}"/>
    <cellStyle name="Ênfase5 67" xfId="9078" xr:uid="{00000000-0005-0000-0000-00008F250000}"/>
    <cellStyle name="Ênfase5 68" xfId="9079" xr:uid="{00000000-0005-0000-0000-000090250000}"/>
    <cellStyle name="Ênfase5 69" xfId="9080" xr:uid="{00000000-0005-0000-0000-000091250000}"/>
    <cellStyle name="Ênfase5 7" xfId="9081" xr:uid="{00000000-0005-0000-0000-000092250000}"/>
    <cellStyle name="Ênfase5 7 2" xfId="9082" xr:uid="{00000000-0005-0000-0000-000093250000}"/>
    <cellStyle name="Ênfase5 7 3" xfId="9083" xr:uid="{00000000-0005-0000-0000-000094250000}"/>
    <cellStyle name="Ênfase5 7 4" xfId="9084" xr:uid="{00000000-0005-0000-0000-000095250000}"/>
    <cellStyle name="Ênfase5 70" xfId="9085" xr:uid="{00000000-0005-0000-0000-000096250000}"/>
    <cellStyle name="Ênfase5 71" xfId="9086" xr:uid="{00000000-0005-0000-0000-000097250000}"/>
    <cellStyle name="Ênfase5 72" xfId="9087" xr:uid="{00000000-0005-0000-0000-000098250000}"/>
    <cellStyle name="Ênfase5 73" xfId="9088" xr:uid="{00000000-0005-0000-0000-000099250000}"/>
    <cellStyle name="Ênfase5 74" xfId="9089" xr:uid="{00000000-0005-0000-0000-00009A250000}"/>
    <cellStyle name="Ênfase5 75" xfId="9090" xr:uid="{00000000-0005-0000-0000-00009B250000}"/>
    <cellStyle name="Ênfase5 76" xfId="9091" xr:uid="{00000000-0005-0000-0000-00009C250000}"/>
    <cellStyle name="Ênfase5 77" xfId="9092" xr:uid="{00000000-0005-0000-0000-00009D250000}"/>
    <cellStyle name="Ênfase5 78" xfId="9093" xr:uid="{00000000-0005-0000-0000-00009E250000}"/>
    <cellStyle name="Ênfase5 79" xfId="9094" xr:uid="{00000000-0005-0000-0000-00009F250000}"/>
    <cellStyle name="Ênfase5 8" xfId="9095" xr:uid="{00000000-0005-0000-0000-0000A0250000}"/>
    <cellStyle name="Ênfase5 8 2" xfId="9096" xr:uid="{00000000-0005-0000-0000-0000A1250000}"/>
    <cellStyle name="Ênfase5 8 3" xfId="9097" xr:uid="{00000000-0005-0000-0000-0000A2250000}"/>
    <cellStyle name="Ênfase5 8 4" xfId="9098" xr:uid="{00000000-0005-0000-0000-0000A3250000}"/>
    <cellStyle name="Ênfase5 80" xfId="9099" xr:uid="{00000000-0005-0000-0000-0000A4250000}"/>
    <cellStyle name="Ênfase5 81" xfId="9100" xr:uid="{00000000-0005-0000-0000-0000A5250000}"/>
    <cellStyle name="Ênfase5 82" xfId="9101" xr:uid="{00000000-0005-0000-0000-0000A6250000}"/>
    <cellStyle name="Ênfase5 83" xfId="9102" xr:uid="{00000000-0005-0000-0000-0000A7250000}"/>
    <cellStyle name="Ênfase5 84" xfId="9103" xr:uid="{00000000-0005-0000-0000-0000A8250000}"/>
    <cellStyle name="Ênfase5 85" xfId="9104" xr:uid="{00000000-0005-0000-0000-0000A9250000}"/>
    <cellStyle name="Ênfase5 86" xfId="9105" xr:uid="{00000000-0005-0000-0000-0000AA250000}"/>
    <cellStyle name="Ênfase5 87" xfId="9106" xr:uid="{00000000-0005-0000-0000-0000AB250000}"/>
    <cellStyle name="Ênfase5 88" xfId="9107" xr:uid="{00000000-0005-0000-0000-0000AC250000}"/>
    <cellStyle name="Ênfase5 89" xfId="9108" xr:uid="{00000000-0005-0000-0000-0000AD250000}"/>
    <cellStyle name="Ênfase5 9" xfId="9109" xr:uid="{00000000-0005-0000-0000-0000AE250000}"/>
    <cellStyle name="Ênfase5 90" xfId="9110" xr:uid="{00000000-0005-0000-0000-0000AF250000}"/>
    <cellStyle name="Ênfase5 91" xfId="9111" xr:uid="{00000000-0005-0000-0000-0000B0250000}"/>
    <cellStyle name="Ênfase5 92" xfId="9112" xr:uid="{00000000-0005-0000-0000-0000B1250000}"/>
    <cellStyle name="Ênfase5 93" xfId="9113" xr:uid="{00000000-0005-0000-0000-0000B2250000}"/>
    <cellStyle name="Ênfase5 94" xfId="9114" xr:uid="{00000000-0005-0000-0000-0000B3250000}"/>
    <cellStyle name="Ênfase5 95" xfId="9115" xr:uid="{00000000-0005-0000-0000-0000B4250000}"/>
    <cellStyle name="Ênfase5 96" xfId="9116" xr:uid="{00000000-0005-0000-0000-0000B5250000}"/>
    <cellStyle name="Ênfase5 97" xfId="9117" xr:uid="{00000000-0005-0000-0000-0000B6250000}"/>
    <cellStyle name="Ênfase5 98" xfId="9118" xr:uid="{00000000-0005-0000-0000-0000B7250000}"/>
    <cellStyle name="Ênfase5 99" xfId="9119" xr:uid="{00000000-0005-0000-0000-0000B8250000}"/>
    <cellStyle name="Ênfase6 10" xfId="9120" xr:uid="{00000000-0005-0000-0000-0000B9250000}"/>
    <cellStyle name="Ênfase6 10 2" xfId="40595" xr:uid="{00000000-0005-0000-0000-0000BA250000}"/>
    <cellStyle name="Ênfase6 100" xfId="9121" xr:uid="{00000000-0005-0000-0000-0000BB250000}"/>
    <cellStyle name="Ênfase6 101" xfId="9122" xr:uid="{00000000-0005-0000-0000-0000BC250000}"/>
    <cellStyle name="Ênfase6 102" xfId="9123" xr:uid="{00000000-0005-0000-0000-0000BD250000}"/>
    <cellStyle name="Ênfase6 103" xfId="9124" xr:uid="{00000000-0005-0000-0000-0000BE250000}"/>
    <cellStyle name="Ênfase6 104" xfId="9125" xr:uid="{00000000-0005-0000-0000-0000BF250000}"/>
    <cellStyle name="Ênfase6 105" xfId="9126" xr:uid="{00000000-0005-0000-0000-0000C0250000}"/>
    <cellStyle name="Ênfase6 106" xfId="9127" xr:uid="{00000000-0005-0000-0000-0000C1250000}"/>
    <cellStyle name="Ênfase6 107" xfId="9128" xr:uid="{00000000-0005-0000-0000-0000C2250000}"/>
    <cellStyle name="Ênfase6 108" xfId="9129" xr:uid="{00000000-0005-0000-0000-0000C3250000}"/>
    <cellStyle name="Ênfase6 109" xfId="9130" xr:uid="{00000000-0005-0000-0000-0000C4250000}"/>
    <cellStyle name="Ênfase6 11" xfId="9131" xr:uid="{00000000-0005-0000-0000-0000C5250000}"/>
    <cellStyle name="Ênfase6 11 2" xfId="40596" xr:uid="{00000000-0005-0000-0000-0000C6250000}"/>
    <cellStyle name="Ênfase6 110" xfId="9132" xr:uid="{00000000-0005-0000-0000-0000C7250000}"/>
    <cellStyle name="Ênfase6 111" xfId="9133" xr:uid="{00000000-0005-0000-0000-0000C8250000}"/>
    <cellStyle name="Ênfase6 112" xfId="9134" xr:uid="{00000000-0005-0000-0000-0000C9250000}"/>
    <cellStyle name="Ênfase6 113" xfId="9135" xr:uid="{00000000-0005-0000-0000-0000CA250000}"/>
    <cellStyle name="Ênfase6 114" xfId="9136" xr:uid="{00000000-0005-0000-0000-0000CB250000}"/>
    <cellStyle name="Ênfase6 115" xfId="9137" xr:uid="{00000000-0005-0000-0000-0000CC250000}"/>
    <cellStyle name="Ênfase6 116" xfId="9138" xr:uid="{00000000-0005-0000-0000-0000CD250000}"/>
    <cellStyle name="Ênfase6 117" xfId="9139" xr:uid="{00000000-0005-0000-0000-0000CE250000}"/>
    <cellStyle name="Ênfase6 118" xfId="9140" xr:uid="{00000000-0005-0000-0000-0000CF250000}"/>
    <cellStyle name="Ênfase6 119" xfId="9141" xr:uid="{00000000-0005-0000-0000-0000D0250000}"/>
    <cellStyle name="Ênfase6 12" xfId="9142" xr:uid="{00000000-0005-0000-0000-0000D1250000}"/>
    <cellStyle name="Ênfase6 12 2" xfId="40597" xr:uid="{00000000-0005-0000-0000-0000D2250000}"/>
    <cellStyle name="Ênfase6 120" xfId="9143" xr:uid="{00000000-0005-0000-0000-0000D3250000}"/>
    <cellStyle name="Ênfase6 121" xfId="9144" xr:uid="{00000000-0005-0000-0000-0000D4250000}"/>
    <cellStyle name="Ênfase6 122" xfId="9145" xr:uid="{00000000-0005-0000-0000-0000D5250000}"/>
    <cellStyle name="Ênfase6 123" xfId="9146" xr:uid="{00000000-0005-0000-0000-0000D6250000}"/>
    <cellStyle name="Ênfase6 124" xfId="9147" xr:uid="{00000000-0005-0000-0000-0000D7250000}"/>
    <cellStyle name="Ênfase6 125" xfId="9148" xr:uid="{00000000-0005-0000-0000-0000D8250000}"/>
    <cellStyle name="Ênfase6 126" xfId="9149" xr:uid="{00000000-0005-0000-0000-0000D9250000}"/>
    <cellStyle name="Ênfase6 127" xfId="9150" xr:uid="{00000000-0005-0000-0000-0000DA250000}"/>
    <cellStyle name="Ênfase6 128" xfId="9151" xr:uid="{00000000-0005-0000-0000-0000DB250000}"/>
    <cellStyle name="Ênfase6 129" xfId="9152" xr:uid="{00000000-0005-0000-0000-0000DC250000}"/>
    <cellStyle name="Ênfase6 13" xfId="9153" xr:uid="{00000000-0005-0000-0000-0000DD250000}"/>
    <cellStyle name="Ênfase6 13 2" xfId="40598" xr:uid="{00000000-0005-0000-0000-0000DE250000}"/>
    <cellStyle name="Ênfase6 130" xfId="9154" xr:uid="{00000000-0005-0000-0000-0000DF250000}"/>
    <cellStyle name="Ênfase6 131" xfId="9155" xr:uid="{00000000-0005-0000-0000-0000E0250000}"/>
    <cellStyle name="Ênfase6 132" xfId="9156" xr:uid="{00000000-0005-0000-0000-0000E1250000}"/>
    <cellStyle name="Ênfase6 133" xfId="9157" xr:uid="{00000000-0005-0000-0000-0000E2250000}"/>
    <cellStyle name="Ênfase6 134" xfId="9158" xr:uid="{00000000-0005-0000-0000-0000E3250000}"/>
    <cellStyle name="Ênfase6 135" xfId="9159" xr:uid="{00000000-0005-0000-0000-0000E4250000}"/>
    <cellStyle name="Ênfase6 136" xfId="9160" xr:uid="{00000000-0005-0000-0000-0000E5250000}"/>
    <cellStyle name="Ênfase6 137" xfId="9161" xr:uid="{00000000-0005-0000-0000-0000E6250000}"/>
    <cellStyle name="Ênfase6 138" xfId="9162" xr:uid="{00000000-0005-0000-0000-0000E7250000}"/>
    <cellStyle name="Ênfase6 139" xfId="9163" xr:uid="{00000000-0005-0000-0000-0000E8250000}"/>
    <cellStyle name="Ênfase6 14" xfId="9164" xr:uid="{00000000-0005-0000-0000-0000E9250000}"/>
    <cellStyle name="Ênfase6 140" xfId="9165" xr:uid="{00000000-0005-0000-0000-0000EA250000}"/>
    <cellStyle name="Ênfase6 141" xfId="9166" xr:uid="{00000000-0005-0000-0000-0000EB250000}"/>
    <cellStyle name="Ênfase6 142" xfId="9167" xr:uid="{00000000-0005-0000-0000-0000EC250000}"/>
    <cellStyle name="Ênfase6 143" xfId="9168" xr:uid="{00000000-0005-0000-0000-0000ED250000}"/>
    <cellStyle name="Ênfase6 144" xfId="9169" xr:uid="{00000000-0005-0000-0000-0000EE250000}"/>
    <cellStyle name="Ênfase6 145" xfId="9170" xr:uid="{00000000-0005-0000-0000-0000EF250000}"/>
    <cellStyle name="Ênfase6 146" xfId="9171" xr:uid="{00000000-0005-0000-0000-0000F0250000}"/>
    <cellStyle name="Ênfase6 147" xfId="9172" xr:uid="{00000000-0005-0000-0000-0000F1250000}"/>
    <cellStyle name="Ênfase6 148" xfId="9173" xr:uid="{00000000-0005-0000-0000-0000F2250000}"/>
    <cellStyle name="Ênfase6 149" xfId="9174" xr:uid="{00000000-0005-0000-0000-0000F3250000}"/>
    <cellStyle name="Ênfase6 15" xfId="9175" xr:uid="{00000000-0005-0000-0000-0000F4250000}"/>
    <cellStyle name="Ênfase6 15 2" xfId="9176" xr:uid="{00000000-0005-0000-0000-0000F5250000}"/>
    <cellStyle name="Ênfase6 15 3" xfId="9177" xr:uid="{00000000-0005-0000-0000-0000F6250000}"/>
    <cellStyle name="Ênfase6 150" xfId="9178" xr:uid="{00000000-0005-0000-0000-0000F7250000}"/>
    <cellStyle name="Ênfase6 151" xfId="9179" xr:uid="{00000000-0005-0000-0000-0000F8250000}"/>
    <cellStyle name="Ênfase6 152" xfId="9180" xr:uid="{00000000-0005-0000-0000-0000F9250000}"/>
    <cellStyle name="Ênfase6 153" xfId="9181" xr:uid="{00000000-0005-0000-0000-0000FA250000}"/>
    <cellStyle name="Ênfase6 154" xfId="9182" xr:uid="{00000000-0005-0000-0000-0000FB250000}"/>
    <cellStyle name="Ênfase6 155" xfId="9183" xr:uid="{00000000-0005-0000-0000-0000FC250000}"/>
    <cellStyle name="Ênfase6 156" xfId="9184" xr:uid="{00000000-0005-0000-0000-0000FD250000}"/>
    <cellStyle name="Ênfase6 157" xfId="9185" xr:uid="{00000000-0005-0000-0000-0000FE250000}"/>
    <cellStyle name="Ênfase6 158" xfId="9186" xr:uid="{00000000-0005-0000-0000-0000FF250000}"/>
    <cellStyle name="Ênfase6 159" xfId="9187" xr:uid="{00000000-0005-0000-0000-000000260000}"/>
    <cellStyle name="Ênfase6 16" xfId="9188" xr:uid="{00000000-0005-0000-0000-000001260000}"/>
    <cellStyle name="Ênfase6 16 2" xfId="9189" xr:uid="{00000000-0005-0000-0000-000002260000}"/>
    <cellStyle name="Ênfase6 16 3" xfId="9190" xr:uid="{00000000-0005-0000-0000-000003260000}"/>
    <cellStyle name="Ênfase6 160" xfId="9191" xr:uid="{00000000-0005-0000-0000-000004260000}"/>
    <cellStyle name="Ênfase6 161" xfId="9192" xr:uid="{00000000-0005-0000-0000-000005260000}"/>
    <cellStyle name="Ênfase6 162" xfId="9193" xr:uid="{00000000-0005-0000-0000-000006260000}"/>
    <cellStyle name="Ênfase6 163" xfId="9194" xr:uid="{00000000-0005-0000-0000-000007260000}"/>
    <cellStyle name="Ênfase6 164" xfId="9195" xr:uid="{00000000-0005-0000-0000-000008260000}"/>
    <cellStyle name="Ênfase6 165" xfId="9196" xr:uid="{00000000-0005-0000-0000-000009260000}"/>
    <cellStyle name="Ênfase6 166" xfId="9197" xr:uid="{00000000-0005-0000-0000-00000A260000}"/>
    <cellStyle name="Ênfase6 167" xfId="9198" xr:uid="{00000000-0005-0000-0000-00000B260000}"/>
    <cellStyle name="Ênfase6 168" xfId="9199" xr:uid="{00000000-0005-0000-0000-00000C260000}"/>
    <cellStyle name="Ênfase6 169" xfId="9200" xr:uid="{00000000-0005-0000-0000-00000D260000}"/>
    <cellStyle name="Ênfase6 17" xfId="9201" xr:uid="{00000000-0005-0000-0000-00000E260000}"/>
    <cellStyle name="Ênfase6 17 2" xfId="9202" xr:uid="{00000000-0005-0000-0000-00000F260000}"/>
    <cellStyle name="Ênfase6 17 3" xfId="9203" xr:uid="{00000000-0005-0000-0000-000010260000}"/>
    <cellStyle name="Ênfase6 170" xfId="9204" xr:uid="{00000000-0005-0000-0000-000011260000}"/>
    <cellStyle name="Ênfase6 171" xfId="9205" xr:uid="{00000000-0005-0000-0000-000012260000}"/>
    <cellStyle name="Ênfase6 172" xfId="9206" xr:uid="{00000000-0005-0000-0000-000013260000}"/>
    <cellStyle name="Ênfase6 173" xfId="9207" xr:uid="{00000000-0005-0000-0000-000014260000}"/>
    <cellStyle name="Ênfase6 174" xfId="9208" xr:uid="{00000000-0005-0000-0000-000015260000}"/>
    <cellStyle name="Ênfase6 175" xfId="9209" xr:uid="{00000000-0005-0000-0000-000016260000}"/>
    <cellStyle name="Ênfase6 176" xfId="9210" xr:uid="{00000000-0005-0000-0000-000017260000}"/>
    <cellStyle name="Ênfase6 177" xfId="9211" xr:uid="{00000000-0005-0000-0000-000018260000}"/>
    <cellStyle name="Ênfase6 178" xfId="9212" xr:uid="{00000000-0005-0000-0000-000019260000}"/>
    <cellStyle name="Ênfase6 179" xfId="9213" xr:uid="{00000000-0005-0000-0000-00001A260000}"/>
    <cellStyle name="Ênfase6 18" xfId="9214" xr:uid="{00000000-0005-0000-0000-00001B260000}"/>
    <cellStyle name="Ênfase6 18 2" xfId="9215" xr:uid="{00000000-0005-0000-0000-00001C260000}"/>
    <cellStyle name="Ênfase6 18 3" xfId="9216" xr:uid="{00000000-0005-0000-0000-00001D260000}"/>
    <cellStyle name="Ênfase6 180" xfId="9217" xr:uid="{00000000-0005-0000-0000-00001E260000}"/>
    <cellStyle name="Ênfase6 181" xfId="9218" xr:uid="{00000000-0005-0000-0000-00001F260000}"/>
    <cellStyle name="Ênfase6 182" xfId="9219" xr:uid="{00000000-0005-0000-0000-000020260000}"/>
    <cellStyle name="Ênfase6 183" xfId="9220" xr:uid="{00000000-0005-0000-0000-000021260000}"/>
    <cellStyle name="Ênfase6 184" xfId="9221" xr:uid="{00000000-0005-0000-0000-000022260000}"/>
    <cellStyle name="Ênfase6 185" xfId="9222" xr:uid="{00000000-0005-0000-0000-000023260000}"/>
    <cellStyle name="Ênfase6 186" xfId="9223" xr:uid="{00000000-0005-0000-0000-000024260000}"/>
    <cellStyle name="Ênfase6 187" xfId="9224" xr:uid="{00000000-0005-0000-0000-000025260000}"/>
    <cellStyle name="Ênfase6 188" xfId="9225" xr:uid="{00000000-0005-0000-0000-000026260000}"/>
    <cellStyle name="Ênfase6 189" xfId="9226" xr:uid="{00000000-0005-0000-0000-000027260000}"/>
    <cellStyle name="Ênfase6 19" xfId="9227" xr:uid="{00000000-0005-0000-0000-000028260000}"/>
    <cellStyle name="Ênfase6 19 2" xfId="9228" xr:uid="{00000000-0005-0000-0000-000029260000}"/>
    <cellStyle name="Ênfase6 19 3" xfId="9229" xr:uid="{00000000-0005-0000-0000-00002A260000}"/>
    <cellStyle name="Ênfase6 190" xfId="9230" xr:uid="{00000000-0005-0000-0000-00002B260000}"/>
    <cellStyle name="Ênfase6 2" xfId="9231" xr:uid="{00000000-0005-0000-0000-00002C260000}"/>
    <cellStyle name="Ênfase6 2 10" xfId="9232" xr:uid="{00000000-0005-0000-0000-00002D260000}"/>
    <cellStyle name="Ênfase6 2 10 2" xfId="9233" xr:uid="{00000000-0005-0000-0000-00002E260000}"/>
    <cellStyle name="Ênfase6 2 10 3" xfId="9234" xr:uid="{00000000-0005-0000-0000-00002F260000}"/>
    <cellStyle name="Ênfase6 2 10 4" xfId="9235" xr:uid="{00000000-0005-0000-0000-000030260000}"/>
    <cellStyle name="Ênfase6 2 10 5" xfId="9236" xr:uid="{00000000-0005-0000-0000-000031260000}"/>
    <cellStyle name="Ênfase6 2 10 6" xfId="9237" xr:uid="{00000000-0005-0000-0000-000032260000}"/>
    <cellStyle name="Ênfase6 2 10 7" xfId="9238" xr:uid="{00000000-0005-0000-0000-000033260000}"/>
    <cellStyle name="Ênfase6 2 11" xfId="9239" xr:uid="{00000000-0005-0000-0000-000034260000}"/>
    <cellStyle name="Ênfase6 2 11 2" xfId="9240" xr:uid="{00000000-0005-0000-0000-000035260000}"/>
    <cellStyle name="Ênfase6 2 11 3" xfId="9241" xr:uid="{00000000-0005-0000-0000-000036260000}"/>
    <cellStyle name="Ênfase6 2 11 4" xfId="9242" xr:uid="{00000000-0005-0000-0000-000037260000}"/>
    <cellStyle name="Ênfase6 2 11 5" xfId="9243" xr:uid="{00000000-0005-0000-0000-000038260000}"/>
    <cellStyle name="Ênfase6 2 11 6" xfId="9244" xr:uid="{00000000-0005-0000-0000-000039260000}"/>
    <cellStyle name="Ênfase6 2 11 7" xfId="9245" xr:uid="{00000000-0005-0000-0000-00003A260000}"/>
    <cellStyle name="Ênfase6 2 12" xfId="9246" xr:uid="{00000000-0005-0000-0000-00003B260000}"/>
    <cellStyle name="Ênfase6 2 13" xfId="9247" xr:uid="{00000000-0005-0000-0000-00003C260000}"/>
    <cellStyle name="Ênfase6 2 14" xfId="9248" xr:uid="{00000000-0005-0000-0000-00003D260000}"/>
    <cellStyle name="Ênfase6 2 15" xfId="9249" xr:uid="{00000000-0005-0000-0000-00003E260000}"/>
    <cellStyle name="Ênfase6 2 16" xfId="9250" xr:uid="{00000000-0005-0000-0000-00003F260000}"/>
    <cellStyle name="Ênfase6 2 17" xfId="9251" xr:uid="{00000000-0005-0000-0000-000040260000}"/>
    <cellStyle name="Ênfase6 2 18" xfId="9252" xr:uid="{00000000-0005-0000-0000-000041260000}"/>
    <cellStyle name="Ênfase6 2 19" xfId="9253" xr:uid="{00000000-0005-0000-0000-000042260000}"/>
    <cellStyle name="Ênfase6 2 2" xfId="9254" xr:uid="{00000000-0005-0000-0000-000043260000}"/>
    <cellStyle name="Ênfase6 2 20" xfId="9255" xr:uid="{00000000-0005-0000-0000-000044260000}"/>
    <cellStyle name="Ênfase6 2 21" xfId="9256" xr:uid="{00000000-0005-0000-0000-000045260000}"/>
    <cellStyle name="Ênfase6 2 22" xfId="9257" xr:uid="{00000000-0005-0000-0000-000046260000}"/>
    <cellStyle name="Ênfase6 2 23" xfId="9258" xr:uid="{00000000-0005-0000-0000-000047260000}"/>
    <cellStyle name="Ênfase6 2 24" xfId="9259" xr:uid="{00000000-0005-0000-0000-000048260000}"/>
    <cellStyle name="Ênfase6 2 25" xfId="9260" xr:uid="{00000000-0005-0000-0000-000049260000}"/>
    <cellStyle name="Ênfase6 2 26" xfId="9261" xr:uid="{00000000-0005-0000-0000-00004A260000}"/>
    <cellStyle name="Ênfase6 2 27" xfId="9262" xr:uid="{00000000-0005-0000-0000-00004B260000}"/>
    <cellStyle name="Ênfase6 2 28" xfId="9263" xr:uid="{00000000-0005-0000-0000-00004C260000}"/>
    <cellStyle name="Ênfase6 2 29" xfId="9264" xr:uid="{00000000-0005-0000-0000-00004D260000}"/>
    <cellStyle name="Ênfase6 2 3" xfId="9265" xr:uid="{00000000-0005-0000-0000-00004E260000}"/>
    <cellStyle name="Ênfase6 2 30" xfId="9266" xr:uid="{00000000-0005-0000-0000-00004F260000}"/>
    <cellStyle name="Ênfase6 2 31" xfId="9267" xr:uid="{00000000-0005-0000-0000-000050260000}"/>
    <cellStyle name="Ênfase6 2 32" xfId="9268" xr:uid="{00000000-0005-0000-0000-000051260000}"/>
    <cellStyle name="Ênfase6 2 33" xfId="9269" xr:uid="{00000000-0005-0000-0000-000052260000}"/>
    <cellStyle name="Ênfase6 2 34" xfId="9270" xr:uid="{00000000-0005-0000-0000-000053260000}"/>
    <cellStyle name="Ênfase6 2 35" xfId="9271" xr:uid="{00000000-0005-0000-0000-000054260000}"/>
    <cellStyle name="Ênfase6 2 4" xfId="9272" xr:uid="{00000000-0005-0000-0000-000055260000}"/>
    <cellStyle name="Ênfase6 2 5" xfId="9273" xr:uid="{00000000-0005-0000-0000-000056260000}"/>
    <cellStyle name="Ênfase6 2 6" xfId="9274" xr:uid="{00000000-0005-0000-0000-000057260000}"/>
    <cellStyle name="Ênfase6 2 7" xfId="9275" xr:uid="{00000000-0005-0000-0000-000058260000}"/>
    <cellStyle name="Ênfase6 2 8" xfId="9276" xr:uid="{00000000-0005-0000-0000-000059260000}"/>
    <cellStyle name="Ênfase6 2 8 2" xfId="9277" xr:uid="{00000000-0005-0000-0000-00005A260000}"/>
    <cellStyle name="Ênfase6 2 8 3" xfId="9278" xr:uid="{00000000-0005-0000-0000-00005B260000}"/>
    <cellStyle name="Ênfase6 2 8 4" xfId="9279" xr:uid="{00000000-0005-0000-0000-00005C260000}"/>
    <cellStyle name="Ênfase6 2 8 5" xfId="9280" xr:uid="{00000000-0005-0000-0000-00005D260000}"/>
    <cellStyle name="Ênfase6 2 8 6" xfId="9281" xr:uid="{00000000-0005-0000-0000-00005E260000}"/>
    <cellStyle name="Ênfase6 2 8 7" xfId="9282" xr:uid="{00000000-0005-0000-0000-00005F260000}"/>
    <cellStyle name="Ênfase6 2 9" xfId="9283" xr:uid="{00000000-0005-0000-0000-000060260000}"/>
    <cellStyle name="Ênfase6 2 9 2" xfId="9284" xr:uid="{00000000-0005-0000-0000-000061260000}"/>
    <cellStyle name="Ênfase6 2 9 3" xfId="9285" xr:uid="{00000000-0005-0000-0000-000062260000}"/>
    <cellStyle name="Ênfase6 2 9 4" xfId="9286" xr:uid="{00000000-0005-0000-0000-000063260000}"/>
    <cellStyle name="Ênfase6 2 9 5" xfId="9287" xr:uid="{00000000-0005-0000-0000-000064260000}"/>
    <cellStyle name="Ênfase6 2 9 6" xfId="9288" xr:uid="{00000000-0005-0000-0000-000065260000}"/>
    <cellStyle name="Ênfase6 2 9 7" xfId="9289" xr:uid="{00000000-0005-0000-0000-000066260000}"/>
    <cellStyle name="Ênfase6 20" xfId="9290" xr:uid="{00000000-0005-0000-0000-000067260000}"/>
    <cellStyle name="Ênfase6 20 2" xfId="9291" xr:uid="{00000000-0005-0000-0000-000068260000}"/>
    <cellStyle name="Ênfase6 20 3" xfId="9292" xr:uid="{00000000-0005-0000-0000-000069260000}"/>
    <cellStyle name="Ênfase6 21" xfId="9293" xr:uid="{00000000-0005-0000-0000-00006A260000}"/>
    <cellStyle name="Ênfase6 22" xfId="9294" xr:uid="{00000000-0005-0000-0000-00006B260000}"/>
    <cellStyle name="Ênfase6 23" xfId="9295" xr:uid="{00000000-0005-0000-0000-00006C260000}"/>
    <cellStyle name="Ênfase6 24" xfId="9296" xr:uid="{00000000-0005-0000-0000-00006D260000}"/>
    <cellStyle name="Ênfase6 24 2" xfId="40952" xr:uid="{00000000-0005-0000-0000-00006E260000}"/>
    <cellStyle name="Ênfase6 25" xfId="9297" xr:uid="{00000000-0005-0000-0000-00006F260000}"/>
    <cellStyle name="Ênfase6 25 2" xfId="40987" xr:uid="{00000000-0005-0000-0000-000070260000}"/>
    <cellStyle name="Ênfase6 26" xfId="9298" xr:uid="{00000000-0005-0000-0000-000071260000}"/>
    <cellStyle name="Ênfase6 26 10" xfId="9299" xr:uid="{00000000-0005-0000-0000-000072260000}"/>
    <cellStyle name="Ênfase6 26 11" xfId="9300" xr:uid="{00000000-0005-0000-0000-000073260000}"/>
    <cellStyle name="Ênfase6 26 12" xfId="9301" xr:uid="{00000000-0005-0000-0000-000074260000}"/>
    <cellStyle name="Ênfase6 26 13" xfId="9302" xr:uid="{00000000-0005-0000-0000-000075260000}"/>
    <cellStyle name="Ênfase6 26 14" xfId="9303" xr:uid="{00000000-0005-0000-0000-000076260000}"/>
    <cellStyle name="Ênfase6 26 15" xfId="9304" xr:uid="{00000000-0005-0000-0000-000077260000}"/>
    <cellStyle name="Ênfase6 26 16" xfId="9305" xr:uid="{00000000-0005-0000-0000-000078260000}"/>
    <cellStyle name="Ênfase6 26 2" xfId="9306" xr:uid="{00000000-0005-0000-0000-000079260000}"/>
    <cellStyle name="Ênfase6 26 3" xfId="9307" xr:uid="{00000000-0005-0000-0000-00007A260000}"/>
    <cellStyle name="Ênfase6 26 4" xfId="9308" xr:uid="{00000000-0005-0000-0000-00007B260000}"/>
    <cellStyle name="Ênfase6 26 5" xfId="9309" xr:uid="{00000000-0005-0000-0000-00007C260000}"/>
    <cellStyle name="Ênfase6 26 6" xfId="9310" xr:uid="{00000000-0005-0000-0000-00007D260000}"/>
    <cellStyle name="Ênfase6 26 7" xfId="9311" xr:uid="{00000000-0005-0000-0000-00007E260000}"/>
    <cellStyle name="Ênfase6 26 8" xfId="9312" xr:uid="{00000000-0005-0000-0000-00007F260000}"/>
    <cellStyle name="Ênfase6 26 9" xfId="9313" xr:uid="{00000000-0005-0000-0000-000080260000}"/>
    <cellStyle name="Ênfase6 27" xfId="9314" xr:uid="{00000000-0005-0000-0000-000081260000}"/>
    <cellStyle name="Ênfase6 27 10" xfId="9315" xr:uid="{00000000-0005-0000-0000-000082260000}"/>
    <cellStyle name="Ênfase6 27 11" xfId="9316" xr:uid="{00000000-0005-0000-0000-000083260000}"/>
    <cellStyle name="Ênfase6 27 12" xfId="9317" xr:uid="{00000000-0005-0000-0000-000084260000}"/>
    <cellStyle name="Ênfase6 27 13" xfId="9318" xr:uid="{00000000-0005-0000-0000-000085260000}"/>
    <cellStyle name="Ênfase6 27 14" xfId="9319" xr:uid="{00000000-0005-0000-0000-000086260000}"/>
    <cellStyle name="Ênfase6 27 15" xfId="9320" xr:uid="{00000000-0005-0000-0000-000087260000}"/>
    <cellStyle name="Ênfase6 27 16" xfId="9321" xr:uid="{00000000-0005-0000-0000-000088260000}"/>
    <cellStyle name="Ênfase6 27 2" xfId="9322" xr:uid="{00000000-0005-0000-0000-000089260000}"/>
    <cellStyle name="Ênfase6 27 3" xfId="9323" xr:uid="{00000000-0005-0000-0000-00008A260000}"/>
    <cellStyle name="Ênfase6 27 4" xfId="9324" xr:uid="{00000000-0005-0000-0000-00008B260000}"/>
    <cellStyle name="Ênfase6 27 5" xfId="9325" xr:uid="{00000000-0005-0000-0000-00008C260000}"/>
    <cellStyle name="Ênfase6 27 6" xfId="9326" xr:uid="{00000000-0005-0000-0000-00008D260000}"/>
    <cellStyle name="Ênfase6 27 7" xfId="9327" xr:uid="{00000000-0005-0000-0000-00008E260000}"/>
    <cellStyle name="Ênfase6 27 8" xfId="9328" xr:uid="{00000000-0005-0000-0000-00008F260000}"/>
    <cellStyle name="Ênfase6 27 9" xfId="9329" xr:uid="{00000000-0005-0000-0000-000090260000}"/>
    <cellStyle name="Ênfase6 28" xfId="9330" xr:uid="{00000000-0005-0000-0000-000091260000}"/>
    <cellStyle name="Ênfase6 28 10" xfId="9331" xr:uid="{00000000-0005-0000-0000-000092260000}"/>
    <cellStyle name="Ênfase6 28 11" xfId="9332" xr:uid="{00000000-0005-0000-0000-000093260000}"/>
    <cellStyle name="Ênfase6 28 12" xfId="9333" xr:uid="{00000000-0005-0000-0000-000094260000}"/>
    <cellStyle name="Ênfase6 28 13" xfId="9334" xr:uid="{00000000-0005-0000-0000-000095260000}"/>
    <cellStyle name="Ênfase6 28 14" xfId="9335" xr:uid="{00000000-0005-0000-0000-000096260000}"/>
    <cellStyle name="Ênfase6 28 15" xfId="9336" xr:uid="{00000000-0005-0000-0000-000097260000}"/>
    <cellStyle name="Ênfase6 28 16" xfId="9337" xr:uid="{00000000-0005-0000-0000-000098260000}"/>
    <cellStyle name="Ênfase6 28 2" xfId="9338" xr:uid="{00000000-0005-0000-0000-000099260000}"/>
    <cellStyle name="Ênfase6 28 3" xfId="9339" xr:uid="{00000000-0005-0000-0000-00009A260000}"/>
    <cellStyle name="Ênfase6 28 4" xfId="9340" xr:uid="{00000000-0005-0000-0000-00009B260000}"/>
    <cellStyle name="Ênfase6 28 5" xfId="9341" xr:uid="{00000000-0005-0000-0000-00009C260000}"/>
    <cellStyle name="Ênfase6 28 6" xfId="9342" xr:uid="{00000000-0005-0000-0000-00009D260000}"/>
    <cellStyle name="Ênfase6 28 7" xfId="9343" xr:uid="{00000000-0005-0000-0000-00009E260000}"/>
    <cellStyle name="Ênfase6 28 8" xfId="9344" xr:uid="{00000000-0005-0000-0000-00009F260000}"/>
    <cellStyle name="Ênfase6 28 9" xfId="9345" xr:uid="{00000000-0005-0000-0000-0000A0260000}"/>
    <cellStyle name="Ênfase6 29" xfId="9346" xr:uid="{00000000-0005-0000-0000-0000A1260000}"/>
    <cellStyle name="Ênfase6 29 10" xfId="9347" xr:uid="{00000000-0005-0000-0000-0000A2260000}"/>
    <cellStyle name="Ênfase6 29 11" xfId="9348" xr:uid="{00000000-0005-0000-0000-0000A3260000}"/>
    <cellStyle name="Ênfase6 29 12" xfId="9349" xr:uid="{00000000-0005-0000-0000-0000A4260000}"/>
    <cellStyle name="Ênfase6 29 13" xfId="9350" xr:uid="{00000000-0005-0000-0000-0000A5260000}"/>
    <cellStyle name="Ênfase6 29 14" xfId="9351" xr:uid="{00000000-0005-0000-0000-0000A6260000}"/>
    <cellStyle name="Ênfase6 29 15" xfId="9352" xr:uid="{00000000-0005-0000-0000-0000A7260000}"/>
    <cellStyle name="Ênfase6 29 16" xfId="9353" xr:uid="{00000000-0005-0000-0000-0000A8260000}"/>
    <cellStyle name="Ênfase6 29 2" xfId="9354" xr:uid="{00000000-0005-0000-0000-0000A9260000}"/>
    <cellStyle name="Ênfase6 29 3" xfId="9355" xr:uid="{00000000-0005-0000-0000-0000AA260000}"/>
    <cellStyle name="Ênfase6 29 4" xfId="9356" xr:uid="{00000000-0005-0000-0000-0000AB260000}"/>
    <cellStyle name="Ênfase6 29 5" xfId="9357" xr:uid="{00000000-0005-0000-0000-0000AC260000}"/>
    <cellStyle name="Ênfase6 29 6" xfId="9358" xr:uid="{00000000-0005-0000-0000-0000AD260000}"/>
    <cellStyle name="Ênfase6 29 7" xfId="9359" xr:uid="{00000000-0005-0000-0000-0000AE260000}"/>
    <cellStyle name="Ênfase6 29 8" xfId="9360" xr:uid="{00000000-0005-0000-0000-0000AF260000}"/>
    <cellStyle name="Ênfase6 29 9" xfId="9361" xr:uid="{00000000-0005-0000-0000-0000B0260000}"/>
    <cellStyle name="Ênfase6 3" xfId="9362" xr:uid="{00000000-0005-0000-0000-0000B1260000}"/>
    <cellStyle name="Ênfase6 3 10" xfId="9363" xr:uid="{00000000-0005-0000-0000-0000B2260000}"/>
    <cellStyle name="Ênfase6 3 11" xfId="9364" xr:uid="{00000000-0005-0000-0000-0000B3260000}"/>
    <cellStyle name="Ênfase6 3 2" xfId="9365" xr:uid="{00000000-0005-0000-0000-0000B4260000}"/>
    <cellStyle name="Ênfase6 3 3" xfId="9366" xr:uid="{00000000-0005-0000-0000-0000B5260000}"/>
    <cellStyle name="Ênfase6 3 4" xfId="9367" xr:uid="{00000000-0005-0000-0000-0000B6260000}"/>
    <cellStyle name="Ênfase6 3 5" xfId="9368" xr:uid="{00000000-0005-0000-0000-0000B7260000}"/>
    <cellStyle name="Ênfase6 3 6" xfId="9369" xr:uid="{00000000-0005-0000-0000-0000B8260000}"/>
    <cellStyle name="Ênfase6 3 7" xfId="9370" xr:uid="{00000000-0005-0000-0000-0000B9260000}"/>
    <cellStyle name="Ênfase6 3 8" xfId="9371" xr:uid="{00000000-0005-0000-0000-0000BA260000}"/>
    <cellStyle name="Ênfase6 3 9" xfId="9372" xr:uid="{00000000-0005-0000-0000-0000BB260000}"/>
    <cellStyle name="Ênfase6 30" xfId="9373" xr:uid="{00000000-0005-0000-0000-0000BC260000}"/>
    <cellStyle name="Ênfase6 31" xfId="9374" xr:uid="{00000000-0005-0000-0000-0000BD260000}"/>
    <cellStyle name="Ênfase6 32" xfId="9375" xr:uid="{00000000-0005-0000-0000-0000BE260000}"/>
    <cellStyle name="Ênfase6 33" xfId="9376" xr:uid="{00000000-0005-0000-0000-0000BF260000}"/>
    <cellStyle name="Ênfase6 34" xfId="9377" xr:uid="{00000000-0005-0000-0000-0000C0260000}"/>
    <cellStyle name="Ênfase6 35" xfId="9378" xr:uid="{00000000-0005-0000-0000-0000C1260000}"/>
    <cellStyle name="Ênfase6 36" xfId="9379" xr:uid="{00000000-0005-0000-0000-0000C2260000}"/>
    <cellStyle name="Ênfase6 37" xfId="9380" xr:uid="{00000000-0005-0000-0000-0000C3260000}"/>
    <cellStyle name="Ênfase6 38" xfId="9381" xr:uid="{00000000-0005-0000-0000-0000C4260000}"/>
    <cellStyle name="Ênfase6 39" xfId="9382" xr:uid="{00000000-0005-0000-0000-0000C5260000}"/>
    <cellStyle name="Ênfase6 4" xfId="9383" xr:uid="{00000000-0005-0000-0000-0000C6260000}"/>
    <cellStyle name="Ênfase6 4 10" xfId="9384" xr:uid="{00000000-0005-0000-0000-0000C7260000}"/>
    <cellStyle name="Ênfase6 4 11" xfId="9385" xr:uid="{00000000-0005-0000-0000-0000C8260000}"/>
    <cellStyle name="Ênfase6 4 2" xfId="9386" xr:uid="{00000000-0005-0000-0000-0000C9260000}"/>
    <cellStyle name="Ênfase6 4 3" xfId="9387" xr:uid="{00000000-0005-0000-0000-0000CA260000}"/>
    <cellStyle name="Ênfase6 4 4" xfId="9388" xr:uid="{00000000-0005-0000-0000-0000CB260000}"/>
    <cellStyle name="Ênfase6 4 5" xfId="9389" xr:uid="{00000000-0005-0000-0000-0000CC260000}"/>
    <cellStyle name="Ênfase6 4 6" xfId="9390" xr:uid="{00000000-0005-0000-0000-0000CD260000}"/>
    <cellStyle name="Ênfase6 4 7" xfId="9391" xr:uid="{00000000-0005-0000-0000-0000CE260000}"/>
    <cellStyle name="Ênfase6 4 8" xfId="9392" xr:uid="{00000000-0005-0000-0000-0000CF260000}"/>
    <cellStyle name="Ênfase6 4 9" xfId="9393" xr:uid="{00000000-0005-0000-0000-0000D0260000}"/>
    <cellStyle name="Ênfase6 40" xfId="9394" xr:uid="{00000000-0005-0000-0000-0000D1260000}"/>
    <cellStyle name="Ênfase6 41" xfId="9395" xr:uid="{00000000-0005-0000-0000-0000D2260000}"/>
    <cellStyle name="Ênfase6 42" xfId="9396" xr:uid="{00000000-0005-0000-0000-0000D3260000}"/>
    <cellStyle name="Ênfase6 43" xfId="9397" xr:uid="{00000000-0005-0000-0000-0000D4260000}"/>
    <cellStyle name="Ênfase6 44" xfId="9398" xr:uid="{00000000-0005-0000-0000-0000D5260000}"/>
    <cellStyle name="Ênfase6 45" xfId="9399" xr:uid="{00000000-0005-0000-0000-0000D6260000}"/>
    <cellStyle name="Ênfase6 46" xfId="9400" xr:uid="{00000000-0005-0000-0000-0000D7260000}"/>
    <cellStyle name="Ênfase6 47" xfId="9401" xr:uid="{00000000-0005-0000-0000-0000D8260000}"/>
    <cellStyle name="Ênfase6 48" xfId="9402" xr:uid="{00000000-0005-0000-0000-0000D9260000}"/>
    <cellStyle name="Ênfase6 49" xfId="9403" xr:uid="{00000000-0005-0000-0000-0000DA260000}"/>
    <cellStyle name="Ênfase6 5" xfId="9404" xr:uid="{00000000-0005-0000-0000-0000DB260000}"/>
    <cellStyle name="Ênfase6 5 2" xfId="9405" xr:uid="{00000000-0005-0000-0000-0000DC260000}"/>
    <cellStyle name="Ênfase6 5 3" xfId="9406" xr:uid="{00000000-0005-0000-0000-0000DD260000}"/>
    <cellStyle name="Ênfase6 5 4" xfId="9407" xr:uid="{00000000-0005-0000-0000-0000DE260000}"/>
    <cellStyle name="Ênfase6 50" xfId="9408" xr:uid="{00000000-0005-0000-0000-0000DF260000}"/>
    <cellStyle name="Ênfase6 51" xfId="9409" xr:uid="{00000000-0005-0000-0000-0000E0260000}"/>
    <cellStyle name="Ênfase6 52" xfId="9410" xr:uid="{00000000-0005-0000-0000-0000E1260000}"/>
    <cellStyle name="Ênfase6 53" xfId="9411" xr:uid="{00000000-0005-0000-0000-0000E2260000}"/>
    <cellStyle name="Ênfase6 54" xfId="9412" xr:uid="{00000000-0005-0000-0000-0000E3260000}"/>
    <cellStyle name="Ênfase6 55" xfId="9413" xr:uid="{00000000-0005-0000-0000-0000E4260000}"/>
    <cellStyle name="Ênfase6 56" xfId="9414" xr:uid="{00000000-0005-0000-0000-0000E5260000}"/>
    <cellStyle name="Ênfase6 57" xfId="9415" xr:uid="{00000000-0005-0000-0000-0000E6260000}"/>
    <cellStyle name="Ênfase6 58" xfId="9416" xr:uid="{00000000-0005-0000-0000-0000E7260000}"/>
    <cellStyle name="Ênfase6 59" xfId="9417" xr:uid="{00000000-0005-0000-0000-0000E8260000}"/>
    <cellStyle name="Ênfase6 6" xfId="9418" xr:uid="{00000000-0005-0000-0000-0000E9260000}"/>
    <cellStyle name="Ênfase6 6 2" xfId="9419" xr:uid="{00000000-0005-0000-0000-0000EA260000}"/>
    <cellStyle name="Ênfase6 6 3" xfId="9420" xr:uid="{00000000-0005-0000-0000-0000EB260000}"/>
    <cellStyle name="Ênfase6 6 4" xfId="9421" xr:uid="{00000000-0005-0000-0000-0000EC260000}"/>
    <cellStyle name="Ênfase6 60" xfId="9422" xr:uid="{00000000-0005-0000-0000-0000ED260000}"/>
    <cellStyle name="Ênfase6 61" xfId="9423" xr:uid="{00000000-0005-0000-0000-0000EE260000}"/>
    <cellStyle name="Ênfase6 62" xfId="9424" xr:uid="{00000000-0005-0000-0000-0000EF260000}"/>
    <cellStyle name="Ênfase6 63" xfId="9425" xr:uid="{00000000-0005-0000-0000-0000F0260000}"/>
    <cellStyle name="Ênfase6 64" xfId="9426" xr:uid="{00000000-0005-0000-0000-0000F1260000}"/>
    <cellStyle name="Ênfase6 65" xfId="9427" xr:uid="{00000000-0005-0000-0000-0000F2260000}"/>
    <cellStyle name="Ênfase6 66" xfId="9428" xr:uid="{00000000-0005-0000-0000-0000F3260000}"/>
    <cellStyle name="Ênfase6 67" xfId="9429" xr:uid="{00000000-0005-0000-0000-0000F4260000}"/>
    <cellStyle name="Ênfase6 68" xfId="9430" xr:uid="{00000000-0005-0000-0000-0000F5260000}"/>
    <cellStyle name="Ênfase6 69" xfId="9431" xr:uid="{00000000-0005-0000-0000-0000F6260000}"/>
    <cellStyle name="Ênfase6 7" xfId="9432" xr:uid="{00000000-0005-0000-0000-0000F7260000}"/>
    <cellStyle name="Ênfase6 7 2" xfId="9433" xr:uid="{00000000-0005-0000-0000-0000F8260000}"/>
    <cellStyle name="Ênfase6 7 3" xfId="9434" xr:uid="{00000000-0005-0000-0000-0000F9260000}"/>
    <cellStyle name="Ênfase6 7 4" xfId="9435" xr:uid="{00000000-0005-0000-0000-0000FA260000}"/>
    <cellStyle name="Ênfase6 70" xfId="9436" xr:uid="{00000000-0005-0000-0000-0000FB260000}"/>
    <cellStyle name="Ênfase6 71" xfId="9437" xr:uid="{00000000-0005-0000-0000-0000FC260000}"/>
    <cellStyle name="Ênfase6 72" xfId="9438" xr:uid="{00000000-0005-0000-0000-0000FD260000}"/>
    <cellStyle name="Ênfase6 73" xfId="9439" xr:uid="{00000000-0005-0000-0000-0000FE260000}"/>
    <cellStyle name="Ênfase6 74" xfId="9440" xr:uid="{00000000-0005-0000-0000-0000FF260000}"/>
    <cellStyle name="Ênfase6 75" xfId="9441" xr:uid="{00000000-0005-0000-0000-000000270000}"/>
    <cellStyle name="Ênfase6 76" xfId="9442" xr:uid="{00000000-0005-0000-0000-000001270000}"/>
    <cellStyle name="Ênfase6 77" xfId="9443" xr:uid="{00000000-0005-0000-0000-000002270000}"/>
    <cellStyle name="Ênfase6 78" xfId="9444" xr:uid="{00000000-0005-0000-0000-000003270000}"/>
    <cellStyle name="Ênfase6 79" xfId="9445" xr:uid="{00000000-0005-0000-0000-000004270000}"/>
    <cellStyle name="Ênfase6 8" xfId="9446" xr:uid="{00000000-0005-0000-0000-000005270000}"/>
    <cellStyle name="Ênfase6 8 2" xfId="9447" xr:uid="{00000000-0005-0000-0000-000006270000}"/>
    <cellStyle name="Ênfase6 8 3" xfId="9448" xr:uid="{00000000-0005-0000-0000-000007270000}"/>
    <cellStyle name="Ênfase6 8 4" xfId="9449" xr:uid="{00000000-0005-0000-0000-000008270000}"/>
    <cellStyle name="Ênfase6 80" xfId="9450" xr:uid="{00000000-0005-0000-0000-000009270000}"/>
    <cellStyle name="Ênfase6 81" xfId="9451" xr:uid="{00000000-0005-0000-0000-00000A270000}"/>
    <cellStyle name="Ênfase6 82" xfId="9452" xr:uid="{00000000-0005-0000-0000-00000B270000}"/>
    <cellStyle name="Ênfase6 83" xfId="9453" xr:uid="{00000000-0005-0000-0000-00000C270000}"/>
    <cellStyle name="Ênfase6 84" xfId="9454" xr:uid="{00000000-0005-0000-0000-00000D270000}"/>
    <cellStyle name="Ênfase6 85" xfId="9455" xr:uid="{00000000-0005-0000-0000-00000E270000}"/>
    <cellStyle name="Ênfase6 86" xfId="9456" xr:uid="{00000000-0005-0000-0000-00000F270000}"/>
    <cellStyle name="Ênfase6 87" xfId="9457" xr:uid="{00000000-0005-0000-0000-000010270000}"/>
    <cellStyle name="Ênfase6 88" xfId="9458" xr:uid="{00000000-0005-0000-0000-000011270000}"/>
    <cellStyle name="Ênfase6 89" xfId="9459" xr:uid="{00000000-0005-0000-0000-000012270000}"/>
    <cellStyle name="Ênfase6 9" xfId="9460" xr:uid="{00000000-0005-0000-0000-000013270000}"/>
    <cellStyle name="Ênfase6 90" xfId="9461" xr:uid="{00000000-0005-0000-0000-000014270000}"/>
    <cellStyle name="Ênfase6 91" xfId="9462" xr:uid="{00000000-0005-0000-0000-000015270000}"/>
    <cellStyle name="Ênfase6 92" xfId="9463" xr:uid="{00000000-0005-0000-0000-000016270000}"/>
    <cellStyle name="Ênfase6 93" xfId="9464" xr:uid="{00000000-0005-0000-0000-000017270000}"/>
    <cellStyle name="Ênfase6 94" xfId="9465" xr:uid="{00000000-0005-0000-0000-000018270000}"/>
    <cellStyle name="Ênfase6 95" xfId="9466" xr:uid="{00000000-0005-0000-0000-000019270000}"/>
    <cellStyle name="Ênfase6 96" xfId="9467" xr:uid="{00000000-0005-0000-0000-00001A270000}"/>
    <cellStyle name="Ênfase6 97" xfId="9468" xr:uid="{00000000-0005-0000-0000-00001B270000}"/>
    <cellStyle name="Ênfase6 98" xfId="9469" xr:uid="{00000000-0005-0000-0000-00001C270000}"/>
    <cellStyle name="Ênfase6 99" xfId="9470" xr:uid="{00000000-0005-0000-0000-00001D270000}"/>
    <cellStyle name="Entrada 10" xfId="9471" xr:uid="{00000000-0005-0000-0000-00001E270000}"/>
    <cellStyle name="Entrada 10 2" xfId="29125" xr:uid="{00000000-0005-0000-0000-00001F270000}"/>
    <cellStyle name="Entrada 100" xfId="9472" xr:uid="{00000000-0005-0000-0000-000020270000}"/>
    <cellStyle name="Entrada 100 2" xfId="29675" xr:uid="{00000000-0005-0000-0000-000021270000}"/>
    <cellStyle name="Entrada 101" xfId="9473" xr:uid="{00000000-0005-0000-0000-000022270000}"/>
    <cellStyle name="Entrada 101 2" xfId="29676" xr:uid="{00000000-0005-0000-0000-000023270000}"/>
    <cellStyle name="Entrada 102" xfId="9474" xr:uid="{00000000-0005-0000-0000-000024270000}"/>
    <cellStyle name="Entrada 102 2" xfId="29677" xr:uid="{00000000-0005-0000-0000-000025270000}"/>
    <cellStyle name="Entrada 103" xfId="9475" xr:uid="{00000000-0005-0000-0000-000026270000}"/>
    <cellStyle name="Entrada 103 2" xfId="29678" xr:uid="{00000000-0005-0000-0000-000027270000}"/>
    <cellStyle name="Entrada 104" xfId="9476" xr:uid="{00000000-0005-0000-0000-000028270000}"/>
    <cellStyle name="Entrada 104 2" xfId="29679" xr:uid="{00000000-0005-0000-0000-000029270000}"/>
    <cellStyle name="Entrada 105" xfId="9477" xr:uid="{00000000-0005-0000-0000-00002A270000}"/>
    <cellStyle name="Entrada 105 2" xfId="29680" xr:uid="{00000000-0005-0000-0000-00002B270000}"/>
    <cellStyle name="Entrada 106" xfId="9478" xr:uid="{00000000-0005-0000-0000-00002C270000}"/>
    <cellStyle name="Entrada 106 2" xfId="29681" xr:uid="{00000000-0005-0000-0000-00002D270000}"/>
    <cellStyle name="Entrada 107" xfId="9479" xr:uid="{00000000-0005-0000-0000-00002E270000}"/>
    <cellStyle name="Entrada 107 2" xfId="29682" xr:uid="{00000000-0005-0000-0000-00002F270000}"/>
    <cellStyle name="Entrada 108" xfId="9480" xr:uid="{00000000-0005-0000-0000-000030270000}"/>
    <cellStyle name="Entrada 108 2" xfId="29683" xr:uid="{00000000-0005-0000-0000-000031270000}"/>
    <cellStyle name="Entrada 109" xfId="9481" xr:uid="{00000000-0005-0000-0000-000032270000}"/>
    <cellStyle name="Entrada 109 2" xfId="29684" xr:uid="{00000000-0005-0000-0000-000033270000}"/>
    <cellStyle name="Entrada 11" xfId="9482" xr:uid="{00000000-0005-0000-0000-000034270000}"/>
    <cellStyle name="Entrada 11 2" xfId="29126" xr:uid="{00000000-0005-0000-0000-000035270000}"/>
    <cellStyle name="Entrada 110" xfId="9483" xr:uid="{00000000-0005-0000-0000-000036270000}"/>
    <cellStyle name="Entrada 110 2" xfId="29685" xr:uid="{00000000-0005-0000-0000-000037270000}"/>
    <cellStyle name="Entrada 111" xfId="9484" xr:uid="{00000000-0005-0000-0000-000038270000}"/>
    <cellStyle name="Entrada 111 2" xfId="29686" xr:uid="{00000000-0005-0000-0000-000039270000}"/>
    <cellStyle name="Entrada 112" xfId="9485" xr:uid="{00000000-0005-0000-0000-00003A270000}"/>
    <cellStyle name="Entrada 112 2" xfId="29687" xr:uid="{00000000-0005-0000-0000-00003B270000}"/>
    <cellStyle name="Entrada 113" xfId="9486" xr:uid="{00000000-0005-0000-0000-00003C270000}"/>
    <cellStyle name="Entrada 113 2" xfId="29688" xr:uid="{00000000-0005-0000-0000-00003D270000}"/>
    <cellStyle name="Entrada 114" xfId="9487" xr:uid="{00000000-0005-0000-0000-00003E270000}"/>
    <cellStyle name="Entrada 114 2" xfId="29689" xr:uid="{00000000-0005-0000-0000-00003F270000}"/>
    <cellStyle name="Entrada 115" xfId="9488" xr:uid="{00000000-0005-0000-0000-000040270000}"/>
    <cellStyle name="Entrada 115 2" xfId="29690" xr:uid="{00000000-0005-0000-0000-000041270000}"/>
    <cellStyle name="Entrada 116" xfId="9489" xr:uid="{00000000-0005-0000-0000-000042270000}"/>
    <cellStyle name="Entrada 116 2" xfId="29691" xr:uid="{00000000-0005-0000-0000-000043270000}"/>
    <cellStyle name="Entrada 117" xfId="9490" xr:uid="{00000000-0005-0000-0000-000044270000}"/>
    <cellStyle name="Entrada 117 2" xfId="29692" xr:uid="{00000000-0005-0000-0000-000045270000}"/>
    <cellStyle name="Entrada 118" xfId="9491" xr:uid="{00000000-0005-0000-0000-000046270000}"/>
    <cellStyle name="Entrada 118 2" xfId="29693" xr:uid="{00000000-0005-0000-0000-000047270000}"/>
    <cellStyle name="Entrada 119" xfId="9492" xr:uid="{00000000-0005-0000-0000-000048270000}"/>
    <cellStyle name="Entrada 119 2" xfId="29694" xr:uid="{00000000-0005-0000-0000-000049270000}"/>
    <cellStyle name="Entrada 12" xfId="9493" xr:uid="{00000000-0005-0000-0000-00004A270000}"/>
    <cellStyle name="Entrada 12 2" xfId="29127" xr:uid="{00000000-0005-0000-0000-00004B270000}"/>
    <cellStyle name="Entrada 120" xfId="9494" xr:uid="{00000000-0005-0000-0000-00004C270000}"/>
    <cellStyle name="Entrada 120 2" xfId="29695" xr:uid="{00000000-0005-0000-0000-00004D270000}"/>
    <cellStyle name="Entrada 121" xfId="9495" xr:uid="{00000000-0005-0000-0000-00004E270000}"/>
    <cellStyle name="Entrada 121 2" xfId="29696" xr:uid="{00000000-0005-0000-0000-00004F270000}"/>
    <cellStyle name="Entrada 122" xfId="9496" xr:uid="{00000000-0005-0000-0000-000050270000}"/>
    <cellStyle name="Entrada 122 2" xfId="29697" xr:uid="{00000000-0005-0000-0000-000051270000}"/>
    <cellStyle name="Entrada 123" xfId="9497" xr:uid="{00000000-0005-0000-0000-000052270000}"/>
    <cellStyle name="Entrada 123 2" xfId="29698" xr:uid="{00000000-0005-0000-0000-000053270000}"/>
    <cellStyle name="Entrada 124" xfId="9498" xr:uid="{00000000-0005-0000-0000-000054270000}"/>
    <cellStyle name="Entrada 124 2" xfId="29699" xr:uid="{00000000-0005-0000-0000-000055270000}"/>
    <cellStyle name="Entrada 125" xfId="9499" xr:uid="{00000000-0005-0000-0000-000056270000}"/>
    <cellStyle name="Entrada 125 2" xfId="29700" xr:uid="{00000000-0005-0000-0000-000057270000}"/>
    <cellStyle name="Entrada 126" xfId="9500" xr:uid="{00000000-0005-0000-0000-000058270000}"/>
    <cellStyle name="Entrada 126 2" xfId="29701" xr:uid="{00000000-0005-0000-0000-000059270000}"/>
    <cellStyle name="Entrada 127" xfId="9501" xr:uid="{00000000-0005-0000-0000-00005A270000}"/>
    <cellStyle name="Entrada 127 2" xfId="29702" xr:uid="{00000000-0005-0000-0000-00005B270000}"/>
    <cellStyle name="Entrada 128" xfId="9502" xr:uid="{00000000-0005-0000-0000-00005C270000}"/>
    <cellStyle name="Entrada 128 2" xfId="29703" xr:uid="{00000000-0005-0000-0000-00005D270000}"/>
    <cellStyle name="Entrada 129" xfId="9503" xr:uid="{00000000-0005-0000-0000-00005E270000}"/>
    <cellStyle name="Entrada 129 2" xfId="29704" xr:uid="{00000000-0005-0000-0000-00005F270000}"/>
    <cellStyle name="Entrada 13" xfId="9504" xr:uid="{00000000-0005-0000-0000-000060270000}"/>
    <cellStyle name="Entrada 13 2" xfId="29128" xr:uid="{00000000-0005-0000-0000-000061270000}"/>
    <cellStyle name="Entrada 130" xfId="9505" xr:uid="{00000000-0005-0000-0000-000062270000}"/>
    <cellStyle name="Entrada 130 2" xfId="29705" xr:uid="{00000000-0005-0000-0000-000063270000}"/>
    <cellStyle name="Entrada 131" xfId="9506" xr:uid="{00000000-0005-0000-0000-000064270000}"/>
    <cellStyle name="Entrada 131 2" xfId="29706" xr:uid="{00000000-0005-0000-0000-000065270000}"/>
    <cellStyle name="Entrada 132" xfId="9507" xr:uid="{00000000-0005-0000-0000-000066270000}"/>
    <cellStyle name="Entrada 132 2" xfId="29707" xr:uid="{00000000-0005-0000-0000-000067270000}"/>
    <cellStyle name="Entrada 133" xfId="9508" xr:uid="{00000000-0005-0000-0000-000068270000}"/>
    <cellStyle name="Entrada 133 2" xfId="29708" xr:uid="{00000000-0005-0000-0000-000069270000}"/>
    <cellStyle name="Entrada 134" xfId="9509" xr:uid="{00000000-0005-0000-0000-00006A270000}"/>
    <cellStyle name="Entrada 134 2" xfId="29709" xr:uid="{00000000-0005-0000-0000-00006B270000}"/>
    <cellStyle name="Entrada 135" xfId="9510" xr:uid="{00000000-0005-0000-0000-00006C270000}"/>
    <cellStyle name="Entrada 135 2" xfId="29710" xr:uid="{00000000-0005-0000-0000-00006D270000}"/>
    <cellStyle name="Entrada 136" xfId="9511" xr:uid="{00000000-0005-0000-0000-00006E270000}"/>
    <cellStyle name="Entrada 136 2" xfId="29711" xr:uid="{00000000-0005-0000-0000-00006F270000}"/>
    <cellStyle name="Entrada 137" xfId="9512" xr:uid="{00000000-0005-0000-0000-000070270000}"/>
    <cellStyle name="Entrada 137 2" xfId="29712" xr:uid="{00000000-0005-0000-0000-000071270000}"/>
    <cellStyle name="Entrada 138" xfId="9513" xr:uid="{00000000-0005-0000-0000-000072270000}"/>
    <cellStyle name="Entrada 138 2" xfId="29713" xr:uid="{00000000-0005-0000-0000-000073270000}"/>
    <cellStyle name="Entrada 139" xfId="9514" xr:uid="{00000000-0005-0000-0000-000074270000}"/>
    <cellStyle name="Entrada 139 2" xfId="29714" xr:uid="{00000000-0005-0000-0000-000075270000}"/>
    <cellStyle name="Entrada 14" xfId="9515" xr:uid="{00000000-0005-0000-0000-000076270000}"/>
    <cellStyle name="Entrada 14 2" xfId="29129" xr:uid="{00000000-0005-0000-0000-000077270000}"/>
    <cellStyle name="Entrada 140" xfId="9516" xr:uid="{00000000-0005-0000-0000-000078270000}"/>
    <cellStyle name="Entrada 140 2" xfId="29715" xr:uid="{00000000-0005-0000-0000-000079270000}"/>
    <cellStyle name="Entrada 141" xfId="9517" xr:uid="{00000000-0005-0000-0000-00007A270000}"/>
    <cellStyle name="Entrada 141 2" xfId="29716" xr:uid="{00000000-0005-0000-0000-00007B270000}"/>
    <cellStyle name="Entrada 142" xfId="9518" xr:uid="{00000000-0005-0000-0000-00007C270000}"/>
    <cellStyle name="Entrada 142 2" xfId="29717" xr:uid="{00000000-0005-0000-0000-00007D270000}"/>
    <cellStyle name="Entrada 143" xfId="9519" xr:uid="{00000000-0005-0000-0000-00007E270000}"/>
    <cellStyle name="Entrada 143 2" xfId="29718" xr:uid="{00000000-0005-0000-0000-00007F270000}"/>
    <cellStyle name="Entrada 144" xfId="9520" xr:uid="{00000000-0005-0000-0000-000080270000}"/>
    <cellStyle name="Entrada 144 2" xfId="29719" xr:uid="{00000000-0005-0000-0000-000081270000}"/>
    <cellStyle name="Entrada 145" xfId="9521" xr:uid="{00000000-0005-0000-0000-000082270000}"/>
    <cellStyle name="Entrada 145 2" xfId="29720" xr:uid="{00000000-0005-0000-0000-000083270000}"/>
    <cellStyle name="Entrada 146" xfId="9522" xr:uid="{00000000-0005-0000-0000-000084270000}"/>
    <cellStyle name="Entrada 146 2" xfId="29721" xr:uid="{00000000-0005-0000-0000-000085270000}"/>
    <cellStyle name="Entrada 147" xfId="9523" xr:uid="{00000000-0005-0000-0000-000086270000}"/>
    <cellStyle name="Entrada 147 2" xfId="29722" xr:uid="{00000000-0005-0000-0000-000087270000}"/>
    <cellStyle name="Entrada 148" xfId="9524" xr:uid="{00000000-0005-0000-0000-000088270000}"/>
    <cellStyle name="Entrada 148 2" xfId="29723" xr:uid="{00000000-0005-0000-0000-000089270000}"/>
    <cellStyle name="Entrada 149" xfId="9525" xr:uid="{00000000-0005-0000-0000-00008A270000}"/>
    <cellStyle name="Entrada 149 2" xfId="29724" xr:uid="{00000000-0005-0000-0000-00008B270000}"/>
    <cellStyle name="Entrada 15" xfId="9526" xr:uid="{00000000-0005-0000-0000-00008C270000}"/>
    <cellStyle name="Entrada 15 2" xfId="9527" xr:uid="{00000000-0005-0000-0000-00008D270000}"/>
    <cellStyle name="Entrada 15 2 2" xfId="29725" xr:uid="{00000000-0005-0000-0000-00008E270000}"/>
    <cellStyle name="Entrada 15 3" xfId="9528" xr:uid="{00000000-0005-0000-0000-00008F270000}"/>
    <cellStyle name="Entrada 15 3 2" xfId="29726" xr:uid="{00000000-0005-0000-0000-000090270000}"/>
    <cellStyle name="Entrada 15 4" xfId="29130" xr:uid="{00000000-0005-0000-0000-000091270000}"/>
    <cellStyle name="Entrada 150" xfId="9529" xr:uid="{00000000-0005-0000-0000-000092270000}"/>
    <cellStyle name="Entrada 150 2" xfId="29727" xr:uid="{00000000-0005-0000-0000-000093270000}"/>
    <cellStyle name="Entrada 151" xfId="9530" xr:uid="{00000000-0005-0000-0000-000094270000}"/>
    <cellStyle name="Entrada 151 2" xfId="29728" xr:uid="{00000000-0005-0000-0000-000095270000}"/>
    <cellStyle name="Entrada 152" xfId="9531" xr:uid="{00000000-0005-0000-0000-000096270000}"/>
    <cellStyle name="Entrada 152 2" xfId="29729" xr:uid="{00000000-0005-0000-0000-000097270000}"/>
    <cellStyle name="Entrada 153" xfId="9532" xr:uid="{00000000-0005-0000-0000-000098270000}"/>
    <cellStyle name="Entrada 153 2" xfId="29730" xr:uid="{00000000-0005-0000-0000-000099270000}"/>
    <cellStyle name="Entrada 154" xfId="9533" xr:uid="{00000000-0005-0000-0000-00009A270000}"/>
    <cellStyle name="Entrada 154 2" xfId="29731" xr:uid="{00000000-0005-0000-0000-00009B270000}"/>
    <cellStyle name="Entrada 155" xfId="9534" xr:uid="{00000000-0005-0000-0000-00009C270000}"/>
    <cellStyle name="Entrada 155 2" xfId="29732" xr:uid="{00000000-0005-0000-0000-00009D270000}"/>
    <cellStyle name="Entrada 156" xfId="9535" xr:uid="{00000000-0005-0000-0000-00009E270000}"/>
    <cellStyle name="Entrada 156 2" xfId="29733" xr:uid="{00000000-0005-0000-0000-00009F270000}"/>
    <cellStyle name="Entrada 157" xfId="9536" xr:uid="{00000000-0005-0000-0000-0000A0270000}"/>
    <cellStyle name="Entrada 157 2" xfId="29734" xr:uid="{00000000-0005-0000-0000-0000A1270000}"/>
    <cellStyle name="Entrada 158" xfId="9537" xr:uid="{00000000-0005-0000-0000-0000A2270000}"/>
    <cellStyle name="Entrada 158 2" xfId="29735" xr:uid="{00000000-0005-0000-0000-0000A3270000}"/>
    <cellStyle name="Entrada 159" xfId="9538" xr:uid="{00000000-0005-0000-0000-0000A4270000}"/>
    <cellStyle name="Entrada 159 2" xfId="29736" xr:uid="{00000000-0005-0000-0000-0000A5270000}"/>
    <cellStyle name="Entrada 16" xfId="9539" xr:uid="{00000000-0005-0000-0000-0000A6270000}"/>
    <cellStyle name="Entrada 16 2" xfId="9540" xr:uid="{00000000-0005-0000-0000-0000A7270000}"/>
    <cellStyle name="Entrada 16 2 2" xfId="29737" xr:uid="{00000000-0005-0000-0000-0000A8270000}"/>
    <cellStyle name="Entrada 16 3" xfId="9541" xr:uid="{00000000-0005-0000-0000-0000A9270000}"/>
    <cellStyle name="Entrada 16 3 2" xfId="29738" xr:uid="{00000000-0005-0000-0000-0000AA270000}"/>
    <cellStyle name="Entrada 16 4" xfId="29131" xr:uid="{00000000-0005-0000-0000-0000AB270000}"/>
    <cellStyle name="Entrada 160" xfId="9542" xr:uid="{00000000-0005-0000-0000-0000AC270000}"/>
    <cellStyle name="Entrada 160 2" xfId="29739" xr:uid="{00000000-0005-0000-0000-0000AD270000}"/>
    <cellStyle name="Entrada 161" xfId="9543" xr:uid="{00000000-0005-0000-0000-0000AE270000}"/>
    <cellStyle name="Entrada 161 2" xfId="29740" xr:uid="{00000000-0005-0000-0000-0000AF270000}"/>
    <cellStyle name="Entrada 162" xfId="9544" xr:uid="{00000000-0005-0000-0000-0000B0270000}"/>
    <cellStyle name="Entrada 162 2" xfId="29741" xr:uid="{00000000-0005-0000-0000-0000B1270000}"/>
    <cellStyle name="Entrada 163" xfId="9545" xr:uid="{00000000-0005-0000-0000-0000B2270000}"/>
    <cellStyle name="Entrada 163 2" xfId="29742" xr:uid="{00000000-0005-0000-0000-0000B3270000}"/>
    <cellStyle name="Entrada 164" xfId="9546" xr:uid="{00000000-0005-0000-0000-0000B4270000}"/>
    <cellStyle name="Entrada 164 2" xfId="29743" xr:uid="{00000000-0005-0000-0000-0000B5270000}"/>
    <cellStyle name="Entrada 165" xfId="9547" xr:uid="{00000000-0005-0000-0000-0000B6270000}"/>
    <cellStyle name="Entrada 165 2" xfId="29744" xr:uid="{00000000-0005-0000-0000-0000B7270000}"/>
    <cellStyle name="Entrada 166" xfId="9548" xr:uid="{00000000-0005-0000-0000-0000B8270000}"/>
    <cellStyle name="Entrada 166 2" xfId="29745" xr:uid="{00000000-0005-0000-0000-0000B9270000}"/>
    <cellStyle name="Entrada 167" xfId="9549" xr:uid="{00000000-0005-0000-0000-0000BA270000}"/>
    <cellStyle name="Entrada 167 2" xfId="29746" xr:uid="{00000000-0005-0000-0000-0000BB270000}"/>
    <cellStyle name="Entrada 168" xfId="9550" xr:uid="{00000000-0005-0000-0000-0000BC270000}"/>
    <cellStyle name="Entrada 168 2" xfId="29747" xr:uid="{00000000-0005-0000-0000-0000BD270000}"/>
    <cellStyle name="Entrada 169" xfId="9551" xr:uid="{00000000-0005-0000-0000-0000BE270000}"/>
    <cellStyle name="Entrada 169 2" xfId="29748" xr:uid="{00000000-0005-0000-0000-0000BF270000}"/>
    <cellStyle name="Entrada 17" xfId="9552" xr:uid="{00000000-0005-0000-0000-0000C0270000}"/>
    <cellStyle name="Entrada 17 2" xfId="9553" xr:uid="{00000000-0005-0000-0000-0000C1270000}"/>
    <cellStyle name="Entrada 17 2 2" xfId="29749" xr:uid="{00000000-0005-0000-0000-0000C2270000}"/>
    <cellStyle name="Entrada 17 3" xfId="9554" xr:uid="{00000000-0005-0000-0000-0000C3270000}"/>
    <cellStyle name="Entrada 17 3 2" xfId="29750" xr:uid="{00000000-0005-0000-0000-0000C4270000}"/>
    <cellStyle name="Entrada 17 4" xfId="29132" xr:uid="{00000000-0005-0000-0000-0000C5270000}"/>
    <cellStyle name="Entrada 170" xfId="9555" xr:uid="{00000000-0005-0000-0000-0000C6270000}"/>
    <cellStyle name="Entrada 170 2" xfId="29751" xr:uid="{00000000-0005-0000-0000-0000C7270000}"/>
    <cellStyle name="Entrada 171" xfId="9556" xr:uid="{00000000-0005-0000-0000-0000C8270000}"/>
    <cellStyle name="Entrada 171 2" xfId="29752" xr:uid="{00000000-0005-0000-0000-0000C9270000}"/>
    <cellStyle name="Entrada 172" xfId="9557" xr:uid="{00000000-0005-0000-0000-0000CA270000}"/>
    <cellStyle name="Entrada 172 2" xfId="29753" xr:uid="{00000000-0005-0000-0000-0000CB270000}"/>
    <cellStyle name="Entrada 173" xfId="9558" xr:uid="{00000000-0005-0000-0000-0000CC270000}"/>
    <cellStyle name="Entrada 173 2" xfId="29754" xr:uid="{00000000-0005-0000-0000-0000CD270000}"/>
    <cellStyle name="Entrada 174" xfId="9559" xr:uid="{00000000-0005-0000-0000-0000CE270000}"/>
    <cellStyle name="Entrada 174 2" xfId="29755" xr:uid="{00000000-0005-0000-0000-0000CF270000}"/>
    <cellStyle name="Entrada 175" xfId="9560" xr:uid="{00000000-0005-0000-0000-0000D0270000}"/>
    <cellStyle name="Entrada 175 2" xfId="29756" xr:uid="{00000000-0005-0000-0000-0000D1270000}"/>
    <cellStyle name="Entrada 176" xfId="9561" xr:uid="{00000000-0005-0000-0000-0000D2270000}"/>
    <cellStyle name="Entrada 176 2" xfId="29757" xr:uid="{00000000-0005-0000-0000-0000D3270000}"/>
    <cellStyle name="Entrada 177" xfId="9562" xr:uid="{00000000-0005-0000-0000-0000D4270000}"/>
    <cellStyle name="Entrada 177 2" xfId="29758" xr:uid="{00000000-0005-0000-0000-0000D5270000}"/>
    <cellStyle name="Entrada 178" xfId="9563" xr:uid="{00000000-0005-0000-0000-0000D6270000}"/>
    <cellStyle name="Entrada 178 2" xfId="29759" xr:uid="{00000000-0005-0000-0000-0000D7270000}"/>
    <cellStyle name="Entrada 179" xfId="9564" xr:uid="{00000000-0005-0000-0000-0000D8270000}"/>
    <cellStyle name="Entrada 179 2" xfId="29760" xr:uid="{00000000-0005-0000-0000-0000D9270000}"/>
    <cellStyle name="Entrada 18" xfId="9565" xr:uid="{00000000-0005-0000-0000-0000DA270000}"/>
    <cellStyle name="Entrada 18 2" xfId="9566" xr:uid="{00000000-0005-0000-0000-0000DB270000}"/>
    <cellStyle name="Entrada 18 2 2" xfId="29761" xr:uid="{00000000-0005-0000-0000-0000DC270000}"/>
    <cellStyle name="Entrada 18 3" xfId="9567" xr:uid="{00000000-0005-0000-0000-0000DD270000}"/>
    <cellStyle name="Entrada 18 3 2" xfId="29762" xr:uid="{00000000-0005-0000-0000-0000DE270000}"/>
    <cellStyle name="Entrada 18 4" xfId="29133" xr:uid="{00000000-0005-0000-0000-0000DF270000}"/>
    <cellStyle name="Entrada 180" xfId="9568" xr:uid="{00000000-0005-0000-0000-0000E0270000}"/>
    <cellStyle name="Entrada 180 2" xfId="29763" xr:uid="{00000000-0005-0000-0000-0000E1270000}"/>
    <cellStyle name="Entrada 181" xfId="9569" xr:uid="{00000000-0005-0000-0000-0000E2270000}"/>
    <cellStyle name="Entrada 181 2" xfId="29764" xr:uid="{00000000-0005-0000-0000-0000E3270000}"/>
    <cellStyle name="Entrada 182" xfId="9570" xr:uid="{00000000-0005-0000-0000-0000E4270000}"/>
    <cellStyle name="Entrada 182 2" xfId="29765" xr:uid="{00000000-0005-0000-0000-0000E5270000}"/>
    <cellStyle name="Entrada 183" xfId="9571" xr:uid="{00000000-0005-0000-0000-0000E6270000}"/>
    <cellStyle name="Entrada 183 2" xfId="29766" xr:uid="{00000000-0005-0000-0000-0000E7270000}"/>
    <cellStyle name="Entrada 184" xfId="9572" xr:uid="{00000000-0005-0000-0000-0000E8270000}"/>
    <cellStyle name="Entrada 184 2" xfId="29767" xr:uid="{00000000-0005-0000-0000-0000E9270000}"/>
    <cellStyle name="Entrada 185" xfId="9573" xr:uid="{00000000-0005-0000-0000-0000EA270000}"/>
    <cellStyle name="Entrada 185 2" xfId="29768" xr:uid="{00000000-0005-0000-0000-0000EB270000}"/>
    <cellStyle name="Entrada 186" xfId="9574" xr:uid="{00000000-0005-0000-0000-0000EC270000}"/>
    <cellStyle name="Entrada 186 2" xfId="29769" xr:uid="{00000000-0005-0000-0000-0000ED270000}"/>
    <cellStyle name="Entrada 187" xfId="9575" xr:uid="{00000000-0005-0000-0000-0000EE270000}"/>
    <cellStyle name="Entrada 187 2" xfId="29770" xr:uid="{00000000-0005-0000-0000-0000EF270000}"/>
    <cellStyle name="Entrada 188" xfId="9576" xr:uid="{00000000-0005-0000-0000-0000F0270000}"/>
    <cellStyle name="Entrada 188 2" xfId="29771" xr:uid="{00000000-0005-0000-0000-0000F1270000}"/>
    <cellStyle name="Entrada 189" xfId="9577" xr:uid="{00000000-0005-0000-0000-0000F2270000}"/>
    <cellStyle name="Entrada 189 2" xfId="29772" xr:uid="{00000000-0005-0000-0000-0000F3270000}"/>
    <cellStyle name="Entrada 19" xfId="9578" xr:uid="{00000000-0005-0000-0000-0000F4270000}"/>
    <cellStyle name="Entrada 19 2" xfId="9579" xr:uid="{00000000-0005-0000-0000-0000F5270000}"/>
    <cellStyle name="Entrada 19 2 2" xfId="29773" xr:uid="{00000000-0005-0000-0000-0000F6270000}"/>
    <cellStyle name="Entrada 19 3" xfId="9580" xr:uid="{00000000-0005-0000-0000-0000F7270000}"/>
    <cellStyle name="Entrada 19 3 2" xfId="29774" xr:uid="{00000000-0005-0000-0000-0000F8270000}"/>
    <cellStyle name="Entrada 19 4" xfId="29134" xr:uid="{00000000-0005-0000-0000-0000F9270000}"/>
    <cellStyle name="Entrada 190" xfId="9581" xr:uid="{00000000-0005-0000-0000-0000FA270000}"/>
    <cellStyle name="Entrada 190 2" xfId="29775" xr:uid="{00000000-0005-0000-0000-0000FB270000}"/>
    <cellStyle name="Entrada 2" xfId="9582" xr:uid="{00000000-0005-0000-0000-0000FC270000}"/>
    <cellStyle name="Entrada 2 10" xfId="9583" xr:uid="{00000000-0005-0000-0000-0000FD270000}"/>
    <cellStyle name="Entrada 2 10 2" xfId="9584" xr:uid="{00000000-0005-0000-0000-0000FE270000}"/>
    <cellStyle name="Entrada 2 10 2 2" xfId="29777" xr:uid="{00000000-0005-0000-0000-0000FF270000}"/>
    <cellStyle name="Entrada 2 10 3" xfId="9585" xr:uid="{00000000-0005-0000-0000-000000280000}"/>
    <cellStyle name="Entrada 2 10 3 2" xfId="29778" xr:uid="{00000000-0005-0000-0000-000001280000}"/>
    <cellStyle name="Entrada 2 10 4" xfId="9586" xr:uid="{00000000-0005-0000-0000-000002280000}"/>
    <cellStyle name="Entrada 2 10 4 2" xfId="29779" xr:uid="{00000000-0005-0000-0000-000003280000}"/>
    <cellStyle name="Entrada 2 10 5" xfId="9587" xr:uid="{00000000-0005-0000-0000-000004280000}"/>
    <cellStyle name="Entrada 2 10 5 2" xfId="29780" xr:uid="{00000000-0005-0000-0000-000005280000}"/>
    <cellStyle name="Entrada 2 10 6" xfId="9588" xr:uid="{00000000-0005-0000-0000-000006280000}"/>
    <cellStyle name="Entrada 2 10 6 2" xfId="29781" xr:uid="{00000000-0005-0000-0000-000007280000}"/>
    <cellStyle name="Entrada 2 10 7" xfId="9589" xr:uid="{00000000-0005-0000-0000-000008280000}"/>
    <cellStyle name="Entrada 2 10 7 2" xfId="29782" xr:uid="{00000000-0005-0000-0000-000009280000}"/>
    <cellStyle name="Entrada 2 10 8" xfId="29776" xr:uid="{00000000-0005-0000-0000-00000A280000}"/>
    <cellStyle name="Entrada 2 11" xfId="9590" xr:uid="{00000000-0005-0000-0000-00000B280000}"/>
    <cellStyle name="Entrada 2 11 2" xfId="9591" xr:uid="{00000000-0005-0000-0000-00000C280000}"/>
    <cellStyle name="Entrada 2 11 2 2" xfId="29784" xr:uid="{00000000-0005-0000-0000-00000D280000}"/>
    <cellStyle name="Entrada 2 11 3" xfId="9592" xr:uid="{00000000-0005-0000-0000-00000E280000}"/>
    <cellStyle name="Entrada 2 11 3 2" xfId="29785" xr:uid="{00000000-0005-0000-0000-00000F280000}"/>
    <cellStyle name="Entrada 2 11 4" xfId="9593" xr:uid="{00000000-0005-0000-0000-000010280000}"/>
    <cellStyle name="Entrada 2 11 4 2" xfId="29786" xr:uid="{00000000-0005-0000-0000-000011280000}"/>
    <cellStyle name="Entrada 2 11 5" xfId="9594" xr:uid="{00000000-0005-0000-0000-000012280000}"/>
    <cellStyle name="Entrada 2 11 5 2" xfId="29787" xr:uid="{00000000-0005-0000-0000-000013280000}"/>
    <cellStyle name="Entrada 2 11 6" xfId="9595" xr:uid="{00000000-0005-0000-0000-000014280000}"/>
    <cellStyle name="Entrada 2 11 6 2" xfId="29788" xr:uid="{00000000-0005-0000-0000-000015280000}"/>
    <cellStyle name="Entrada 2 11 7" xfId="9596" xr:uid="{00000000-0005-0000-0000-000016280000}"/>
    <cellStyle name="Entrada 2 11 7 2" xfId="29789" xr:uid="{00000000-0005-0000-0000-000017280000}"/>
    <cellStyle name="Entrada 2 11 8" xfId="29783" xr:uid="{00000000-0005-0000-0000-000018280000}"/>
    <cellStyle name="Entrada 2 12" xfId="9597" xr:uid="{00000000-0005-0000-0000-000019280000}"/>
    <cellStyle name="Entrada 2 12 2" xfId="29790" xr:uid="{00000000-0005-0000-0000-00001A280000}"/>
    <cellStyle name="Entrada 2 13" xfId="9598" xr:uid="{00000000-0005-0000-0000-00001B280000}"/>
    <cellStyle name="Entrada 2 13 2" xfId="29791" xr:uid="{00000000-0005-0000-0000-00001C280000}"/>
    <cellStyle name="Entrada 2 14" xfId="9599" xr:uid="{00000000-0005-0000-0000-00001D280000}"/>
    <cellStyle name="Entrada 2 14 2" xfId="29792" xr:uid="{00000000-0005-0000-0000-00001E280000}"/>
    <cellStyle name="Entrada 2 15" xfId="9600" xr:uid="{00000000-0005-0000-0000-00001F280000}"/>
    <cellStyle name="Entrada 2 15 2" xfId="29793" xr:uid="{00000000-0005-0000-0000-000020280000}"/>
    <cellStyle name="Entrada 2 16" xfId="9601" xr:uid="{00000000-0005-0000-0000-000021280000}"/>
    <cellStyle name="Entrada 2 16 2" xfId="29794" xr:uid="{00000000-0005-0000-0000-000022280000}"/>
    <cellStyle name="Entrada 2 17" xfId="9602" xr:uid="{00000000-0005-0000-0000-000023280000}"/>
    <cellStyle name="Entrada 2 17 2" xfId="29795" xr:uid="{00000000-0005-0000-0000-000024280000}"/>
    <cellStyle name="Entrada 2 18" xfId="9603" xr:uid="{00000000-0005-0000-0000-000025280000}"/>
    <cellStyle name="Entrada 2 18 2" xfId="29796" xr:uid="{00000000-0005-0000-0000-000026280000}"/>
    <cellStyle name="Entrada 2 19" xfId="9604" xr:uid="{00000000-0005-0000-0000-000027280000}"/>
    <cellStyle name="Entrada 2 19 2" xfId="29797" xr:uid="{00000000-0005-0000-0000-000028280000}"/>
    <cellStyle name="Entrada 2 2" xfId="9605" xr:uid="{00000000-0005-0000-0000-000029280000}"/>
    <cellStyle name="Entrada 2 2 2" xfId="29135" xr:uid="{00000000-0005-0000-0000-00002A280000}"/>
    <cellStyle name="Entrada 2 20" xfId="9606" xr:uid="{00000000-0005-0000-0000-00002B280000}"/>
    <cellStyle name="Entrada 2 20 2" xfId="29798" xr:uid="{00000000-0005-0000-0000-00002C280000}"/>
    <cellStyle name="Entrada 2 21" xfId="9607" xr:uid="{00000000-0005-0000-0000-00002D280000}"/>
    <cellStyle name="Entrada 2 21 2" xfId="29799" xr:uid="{00000000-0005-0000-0000-00002E280000}"/>
    <cellStyle name="Entrada 2 22" xfId="9608" xr:uid="{00000000-0005-0000-0000-00002F280000}"/>
    <cellStyle name="Entrada 2 22 2" xfId="29800" xr:uid="{00000000-0005-0000-0000-000030280000}"/>
    <cellStyle name="Entrada 2 23" xfId="9609" xr:uid="{00000000-0005-0000-0000-000031280000}"/>
    <cellStyle name="Entrada 2 23 2" xfId="29801" xr:uid="{00000000-0005-0000-0000-000032280000}"/>
    <cellStyle name="Entrada 2 24" xfId="9610" xr:uid="{00000000-0005-0000-0000-000033280000}"/>
    <cellStyle name="Entrada 2 24 2" xfId="29802" xr:uid="{00000000-0005-0000-0000-000034280000}"/>
    <cellStyle name="Entrada 2 25" xfId="9611" xr:uid="{00000000-0005-0000-0000-000035280000}"/>
    <cellStyle name="Entrada 2 25 2" xfId="29803" xr:uid="{00000000-0005-0000-0000-000036280000}"/>
    <cellStyle name="Entrada 2 26" xfId="9612" xr:uid="{00000000-0005-0000-0000-000037280000}"/>
    <cellStyle name="Entrada 2 26 2" xfId="29804" xr:uid="{00000000-0005-0000-0000-000038280000}"/>
    <cellStyle name="Entrada 2 27" xfId="9613" xr:uid="{00000000-0005-0000-0000-000039280000}"/>
    <cellStyle name="Entrada 2 27 2" xfId="29805" xr:uid="{00000000-0005-0000-0000-00003A280000}"/>
    <cellStyle name="Entrada 2 28" xfId="9614" xr:uid="{00000000-0005-0000-0000-00003B280000}"/>
    <cellStyle name="Entrada 2 28 2" xfId="29806" xr:uid="{00000000-0005-0000-0000-00003C280000}"/>
    <cellStyle name="Entrada 2 29" xfId="9615" xr:uid="{00000000-0005-0000-0000-00003D280000}"/>
    <cellStyle name="Entrada 2 29 2" xfId="29807" xr:uid="{00000000-0005-0000-0000-00003E280000}"/>
    <cellStyle name="Entrada 2 3" xfId="9616" xr:uid="{00000000-0005-0000-0000-00003F280000}"/>
    <cellStyle name="Entrada 2 3 2" xfId="29136" xr:uid="{00000000-0005-0000-0000-000040280000}"/>
    <cellStyle name="Entrada 2 30" xfId="9617" xr:uid="{00000000-0005-0000-0000-000041280000}"/>
    <cellStyle name="Entrada 2 30 2" xfId="29808" xr:uid="{00000000-0005-0000-0000-000042280000}"/>
    <cellStyle name="Entrada 2 31" xfId="9618" xr:uid="{00000000-0005-0000-0000-000043280000}"/>
    <cellStyle name="Entrada 2 31 2" xfId="29809" xr:uid="{00000000-0005-0000-0000-000044280000}"/>
    <cellStyle name="Entrada 2 32" xfId="9619" xr:uid="{00000000-0005-0000-0000-000045280000}"/>
    <cellStyle name="Entrada 2 32 2" xfId="29810" xr:uid="{00000000-0005-0000-0000-000046280000}"/>
    <cellStyle name="Entrada 2 33" xfId="9620" xr:uid="{00000000-0005-0000-0000-000047280000}"/>
    <cellStyle name="Entrada 2 33 2" xfId="29811" xr:uid="{00000000-0005-0000-0000-000048280000}"/>
    <cellStyle name="Entrada 2 34" xfId="9621" xr:uid="{00000000-0005-0000-0000-000049280000}"/>
    <cellStyle name="Entrada 2 34 2" xfId="29812" xr:uid="{00000000-0005-0000-0000-00004A280000}"/>
    <cellStyle name="Entrada 2 35" xfId="9622" xr:uid="{00000000-0005-0000-0000-00004B280000}"/>
    <cellStyle name="Entrada 2 35 2" xfId="29813" xr:uid="{00000000-0005-0000-0000-00004C280000}"/>
    <cellStyle name="Entrada 2 36" xfId="29374" xr:uid="{00000000-0005-0000-0000-00004D280000}"/>
    <cellStyle name="Entrada 2 4" xfId="9623" xr:uid="{00000000-0005-0000-0000-00004E280000}"/>
    <cellStyle name="Entrada 2 4 2" xfId="29137" xr:uid="{00000000-0005-0000-0000-00004F280000}"/>
    <cellStyle name="Entrada 2 5" xfId="9624" xr:uid="{00000000-0005-0000-0000-000050280000}"/>
    <cellStyle name="Entrada 2 5 2" xfId="29138" xr:uid="{00000000-0005-0000-0000-000051280000}"/>
    <cellStyle name="Entrada 2 6" xfId="9625" xr:uid="{00000000-0005-0000-0000-000052280000}"/>
    <cellStyle name="Entrada 2 6 2" xfId="29139" xr:uid="{00000000-0005-0000-0000-000053280000}"/>
    <cellStyle name="Entrada 2 7" xfId="9626" xr:uid="{00000000-0005-0000-0000-000054280000}"/>
    <cellStyle name="Entrada 2 7 2" xfId="29140" xr:uid="{00000000-0005-0000-0000-000055280000}"/>
    <cellStyle name="Entrada 2 8" xfId="9627" xr:uid="{00000000-0005-0000-0000-000056280000}"/>
    <cellStyle name="Entrada 2 8 2" xfId="9628" xr:uid="{00000000-0005-0000-0000-000057280000}"/>
    <cellStyle name="Entrada 2 8 2 2" xfId="29815" xr:uid="{00000000-0005-0000-0000-000058280000}"/>
    <cellStyle name="Entrada 2 8 3" xfId="9629" xr:uid="{00000000-0005-0000-0000-000059280000}"/>
    <cellStyle name="Entrada 2 8 3 2" xfId="29816" xr:uid="{00000000-0005-0000-0000-00005A280000}"/>
    <cellStyle name="Entrada 2 8 4" xfId="9630" xr:uid="{00000000-0005-0000-0000-00005B280000}"/>
    <cellStyle name="Entrada 2 8 4 2" xfId="29817" xr:uid="{00000000-0005-0000-0000-00005C280000}"/>
    <cellStyle name="Entrada 2 8 5" xfId="9631" xr:uid="{00000000-0005-0000-0000-00005D280000}"/>
    <cellStyle name="Entrada 2 8 5 2" xfId="29818" xr:uid="{00000000-0005-0000-0000-00005E280000}"/>
    <cellStyle name="Entrada 2 8 6" xfId="9632" xr:uid="{00000000-0005-0000-0000-00005F280000}"/>
    <cellStyle name="Entrada 2 8 6 2" xfId="29819" xr:uid="{00000000-0005-0000-0000-000060280000}"/>
    <cellStyle name="Entrada 2 8 7" xfId="9633" xr:uid="{00000000-0005-0000-0000-000061280000}"/>
    <cellStyle name="Entrada 2 8 7 2" xfId="29820" xr:uid="{00000000-0005-0000-0000-000062280000}"/>
    <cellStyle name="Entrada 2 8 8" xfId="29814" xr:uid="{00000000-0005-0000-0000-000063280000}"/>
    <cellStyle name="Entrada 2 9" xfId="9634" xr:uid="{00000000-0005-0000-0000-000064280000}"/>
    <cellStyle name="Entrada 2 9 2" xfId="9635" xr:uid="{00000000-0005-0000-0000-000065280000}"/>
    <cellStyle name="Entrada 2 9 2 2" xfId="29822" xr:uid="{00000000-0005-0000-0000-000066280000}"/>
    <cellStyle name="Entrada 2 9 3" xfId="9636" xr:uid="{00000000-0005-0000-0000-000067280000}"/>
    <cellStyle name="Entrada 2 9 3 2" xfId="29823" xr:uid="{00000000-0005-0000-0000-000068280000}"/>
    <cellStyle name="Entrada 2 9 4" xfId="9637" xr:uid="{00000000-0005-0000-0000-000069280000}"/>
    <cellStyle name="Entrada 2 9 4 2" xfId="29824" xr:uid="{00000000-0005-0000-0000-00006A280000}"/>
    <cellStyle name="Entrada 2 9 5" xfId="9638" xr:uid="{00000000-0005-0000-0000-00006B280000}"/>
    <cellStyle name="Entrada 2 9 5 2" xfId="29825" xr:uid="{00000000-0005-0000-0000-00006C280000}"/>
    <cellStyle name="Entrada 2 9 6" xfId="9639" xr:uid="{00000000-0005-0000-0000-00006D280000}"/>
    <cellStyle name="Entrada 2 9 6 2" xfId="29826" xr:uid="{00000000-0005-0000-0000-00006E280000}"/>
    <cellStyle name="Entrada 2 9 7" xfId="9640" xr:uid="{00000000-0005-0000-0000-00006F280000}"/>
    <cellStyle name="Entrada 2 9 7 2" xfId="29827" xr:uid="{00000000-0005-0000-0000-000070280000}"/>
    <cellStyle name="Entrada 2 9 8" xfId="29821" xr:uid="{00000000-0005-0000-0000-000071280000}"/>
    <cellStyle name="Entrada 20" xfId="9641" xr:uid="{00000000-0005-0000-0000-000072280000}"/>
    <cellStyle name="Entrada 20 2" xfId="9642" xr:uid="{00000000-0005-0000-0000-000073280000}"/>
    <cellStyle name="Entrada 20 2 2" xfId="29828" xr:uid="{00000000-0005-0000-0000-000074280000}"/>
    <cellStyle name="Entrada 20 3" xfId="9643" xr:uid="{00000000-0005-0000-0000-000075280000}"/>
    <cellStyle name="Entrada 20 3 2" xfId="29829" xr:uid="{00000000-0005-0000-0000-000076280000}"/>
    <cellStyle name="Entrada 20 4" xfId="29141" xr:uid="{00000000-0005-0000-0000-000077280000}"/>
    <cellStyle name="Entrada 21" xfId="9644" xr:uid="{00000000-0005-0000-0000-000078280000}"/>
    <cellStyle name="Entrada 21 2" xfId="29142" xr:uid="{00000000-0005-0000-0000-000079280000}"/>
    <cellStyle name="Entrada 22" xfId="9645" xr:uid="{00000000-0005-0000-0000-00007A280000}"/>
    <cellStyle name="Entrada 22 2" xfId="29143" xr:uid="{00000000-0005-0000-0000-00007B280000}"/>
    <cellStyle name="Entrada 23" xfId="9646" xr:uid="{00000000-0005-0000-0000-00007C280000}"/>
    <cellStyle name="Entrada 23 2" xfId="29144" xr:uid="{00000000-0005-0000-0000-00007D280000}"/>
    <cellStyle name="Entrada 24" xfId="9647" xr:uid="{00000000-0005-0000-0000-00007E280000}"/>
    <cellStyle name="Entrada 24 2" xfId="29145" xr:uid="{00000000-0005-0000-0000-00007F280000}"/>
    <cellStyle name="Entrada 24 2 2" xfId="40953" xr:uid="{00000000-0005-0000-0000-000080280000}"/>
    <cellStyle name="Entrada 25" xfId="9648" xr:uid="{00000000-0005-0000-0000-000081280000}"/>
    <cellStyle name="Entrada 25 2" xfId="29146" xr:uid="{00000000-0005-0000-0000-000082280000}"/>
    <cellStyle name="Entrada 25 2 2" xfId="40988" xr:uid="{00000000-0005-0000-0000-000083280000}"/>
    <cellStyle name="Entrada 26" xfId="9649" xr:uid="{00000000-0005-0000-0000-000084280000}"/>
    <cellStyle name="Entrada 26 10" xfId="9650" xr:uid="{00000000-0005-0000-0000-000085280000}"/>
    <cellStyle name="Entrada 26 10 2" xfId="29831" xr:uid="{00000000-0005-0000-0000-000086280000}"/>
    <cellStyle name="Entrada 26 11" xfId="9651" xr:uid="{00000000-0005-0000-0000-000087280000}"/>
    <cellStyle name="Entrada 26 11 2" xfId="29832" xr:uid="{00000000-0005-0000-0000-000088280000}"/>
    <cellStyle name="Entrada 26 12" xfId="9652" xr:uid="{00000000-0005-0000-0000-000089280000}"/>
    <cellStyle name="Entrada 26 12 2" xfId="29833" xr:uid="{00000000-0005-0000-0000-00008A280000}"/>
    <cellStyle name="Entrada 26 13" xfId="9653" xr:uid="{00000000-0005-0000-0000-00008B280000}"/>
    <cellStyle name="Entrada 26 13 2" xfId="29834" xr:uid="{00000000-0005-0000-0000-00008C280000}"/>
    <cellStyle name="Entrada 26 14" xfId="9654" xr:uid="{00000000-0005-0000-0000-00008D280000}"/>
    <cellStyle name="Entrada 26 14 2" xfId="29835" xr:uid="{00000000-0005-0000-0000-00008E280000}"/>
    <cellStyle name="Entrada 26 15" xfId="9655" xr:uid="{00000000-0005-0000-0000-00008F280000}"/>
    <cellStyle name="Entrada 26 15 2" xfId="29836" xr:uid="{00000000-0005-0000-0000-000090280000}"/>
    <cellStyle name="Entrada 26 16" xfId="9656" xr:uid="{00000000-0005-0000-0000-000091280000}"/>
    <cellStyle name="Entrada 26 16 2" xfId="29837" xr:uid="{00000000-0005-0000-0000-000092280000}"/>
    <cellStyle name="Entrada 26 17" xfId="29830" xr:uid="{00000000-0005-0000-0000-000093280000}"/>
    <cellStyle name="Entrada 26 2" xfId="9657" xr:uid="{00000000-0005-0000-0000-000094280000}"/>
    <cellStyle name="Entrada 26 2 2" xfId="29838" xr:uid="{00000000-0005-0000-0000-000095280000}"/>
    <cellStyle name="Entrada 26 3" xfId="9658" xr:uid="{00000000-0005-0000-0000-000096280000}"/>
    <cellStyle name="Entrada 26 3 2" xfId="29839" xr:uid="{00000000-0005-0000-0000-000097280000}"/>
    <cellStyle name="Entrada 26 4" xfId="9659" xr:uid="{00000000-0005-0000-0000-000098280000}"/>
    <cellStyle name="Entrada 26 4 2" xfId="29840" xr:uid="{00000000-0005-0000-0000-000099280000}"/>
    <cellStyle name="Entrada 26 5" xfId="9660" xr:uid="{00000000-0005-0000-0000-00009A280000}"/>
    <cellStyle name="Entrada 26 5 2" xfId="29841" xr:uid="{00000000-0005-0000-0000-00009B280000}"/>
    <cellStyle name="Entrada 26 6" xfId="9661" xr:uid="{00000000-0005-0000-0000-00009C280000}"/>
    <cellStyle name="Entrada 26 6 2" xfId="29842" xr:uid="{00000000-0005-0000-0000-00009D280000}"/>
    <cellStyle name="Entrada 26 7" xfId="9662" xr:uid="{00000000-0005-0000-0000-00009E280000}"/>
    <cellStyle name="Entrada 26 7 2" xfId="29843" xr:uid="{00000000-0005-0000-0000-00009F280000}"/>
    <cellStyle name="Entrada 26 8" xfId="9663" xr:uid="{00000000-0005-0000-0000-0000A0280000}"/>
    <cellStyle name="Entrada 26 8 2" xfId="29844" xr:uid="{00000000-0005-0000-0000-0000A1280000}"/>
    <cellStyle name="Entrada 26 9" xfId="9664" xr:uid="{00000000-0005-0000-0000-0000A2280000}"/>
    <cellStyle name="Entrada 26 9 2" xfId="29845" xr:uid="{00000000-0005-0000-0000-0000A3280000}"/>
    <cellStyle name="Entrada 27" xfId="9665" xr:uid="{00000000-0005-0000-0000-0000A4280000}"/>
    <cellStyle name="Entrada 27 10" xfId="9666" xr:uid="{00000000-0005-0000-0000-0000A5280000}"/>
    <cellStyle name="Entrada 27 10 2" xfId="29847" xr:uid="{00000000-0005-0000-0000-0000A6280000}"/>
    <cellStyle name="Entrada 27 11" xfId="9667" xr:uid="{00000000-0005-0000-0000-0000A7280000}"/>
    <cellStyle name="Entrada 27 11 2" xfId="29848" xr:uid="{00000000-0005-0000-0000-0000A8280000}"/>
    <cellStyle name="Entrada 27 12" xfId="9668" xr:uid="{00000000-0005-0000-0000-0000A9280000}"/>
    <cellStyle name="Entrada 27 12 2" xfId="29849" xr:uid="{00000000-0005-0000-0000-0000AA280000}"/>
    <cellStyle name="Entrada 27 13" xfId="9669" xr:uid="{00000000-0005-0000-0000-0000AB280000}"/>
    <cellStyle name="Entrada 27 13 2" xfId="29850" xr:uid="{00000000-0005-0000-0000-0000AC280000}"/>
    <cellStyle name="Entrada 27 14" xfId="9670" xr:uid="{00000000-0005-0000-0000-0000AD280000}"/>
    <cellStyle name="Entrada 27 14 2" xfId="29851" xr:uid="{00000000-0005-0000-0000-0000AE280000}"/>
    <cellStyle name="Entrada 27 15" xfId="9671" xr:uid="{00000000-0005-0000-0000-0000AF280000}"/>
    <cellStyle name="Entrada 27 15 2" xfId="29852" xr:uid="{00000000-0005-0000-0000-0000B0280000}"/>
    <cellStyle name="Entrada 27 16" xfId="9672" xr:uid="{00000000-0005-0000-0000-0000B1280000}"/>
    <cellStyle name="Entrada 27 16 2" xfId="29853" xr:uid="{00000000-0005-0000-0000-0000B2280000}"/>
    <cellStyle name="Entrada 27 17" xfId="29846" xr:uid="{00000000-0005-0000-0000-0000B3280000}"/>
    <cellStyle name="Entrada 27 2" xfId="9673" xr:uid="{00000000-0005-0000-0000-0000B4280000}"/>
    <cellStyle name="Entrada 27 2 2" xfId="29854" xr:uid="{00000000-0005-0000-0000-0000B5280000}"/>
    <cellStyle name="Entrada 27 3" xfId="9674" xr:uid="{00000000-0005-0000-0000-0000B6280000}"/>
    <cellStyle name="Entrada 27 3 2" xfId="29855" xr:uid="{00000000-0005-0000-0000-0000B7280000}"/>
    <cellStyle name="Entrada 27 4" xfId="9675" xr:uid="{00000000-0005-0000-0000-0000B8280000}"/>
    <cellStyle name="Entrada 27 4 2" xfId="29856" xr:uid="{00000000-0005-0000-0000-0000B9280000}"/>
    <cellStyle name="Entrada 27 5" xfId="9676" xr:uid="{00000000-0005-0000-0000-0000BA280000}"/>
    <cellStyle name="Entrada 27 5 2" xfId="29857" xr:uid="{00000000-0005-0000-0000-0000BB280000}"/>
    <cellStyle name="Entrada 27 6" xfId="9677" xr:uid="{00000000-0005-0000-0000-0000BC280000}"/>
    <cellStyle name="Entrada 27 6 2" xfId="29858" xr:uid="{00000000-0005-0000-0000-0000BD280000}"/>
    <cellStyle name="Entrada 27 7" xfId="9678" xr:uid="{00000000-0005-0000-0000-0000BE280000}"/>
    <cellStyle name="Entrada 27 7 2" xfId="29859" xr:uid="{00000000-0005-0000-0000-0000BF280000}"/>
    <cellStyle name="Entrada 27 8" xfId="9679" xr:uid="{00000000-0005-0000-0000-0000C0280000}"/>
    <cellStyle name="Entrada 27 8 2" xfId="29860" xr:uid="{00000000-0005-0000-0000-0000C1280000}"/>
    <cellStyle name="Entrada 27 9" xfId="9680" xr:uid="{00000000-0005-0000-0000-0000C2280000}"/>
    <cellStyle name="Entrada 27 9 2" xfId="29861" xr:uid="{00000000-0005-0000-0000-0000C3280000}"/>
    <cellStyle name="Entrada 28" xfId="9681" xr:uid="{00000000-0005-0000-0000-0000C4280000}"/>
    <cellStyle name="Entrada 28 10" xfId="9682" xr:uid="{00000000-0005-0000-0000-0000C5280000}"/>
    <cellStyle name="Entrada 28 10 2" xfId="29863" xr:uid="{00000000-0005-0000-0000-0000C6280000}"/>
    <cellStyle name="Entrada 28 11" xfId="9683" xr:uid="{00000000-0005-0000-0000-0000C7280000}"/>
    <cellStyle name="Entrada 28 11 2" xfId="29864" xr:uid="{00000000-0005-0000-0000-0000C8280000}"/>
    <cellStyle name="Entrada 28 12" xfId="9684" xr:uid="{00000000-0005-0000-0000-0000C9280000}"/>
    <cellStyle name="Entrada 28 12 2" xfId="29865" xr:uid="{00000000-0005-0000-0000-0000CA280000}"/>
    <cellStyle name="Entrada 28 13" xfId="9685" xr:uid="{00000000-0005-0000-0000-0000CB280000}"/>
    <cellStyle name="Entrada 28 13 2" xfId="29866" xr:uid="{00000000-0005-0000-0000-0000CC280000}"/>
    <cellStyle name="Entrada 28 14" xfId="9686" xr:uid="{00000000-0005-0000-0000-0000CD280000}"/>
    <cellStyle name="Entrada 28 14 2" xfId="29867" xr:uid="{00000000-0005-0000-0000-0000CE280000}"/>
    <cellStyle name="Entrada 28 15" xfId="9687" xr:uid="{00000000-0005-0000-0000-0000CF280000}"/>
    <cellStyle name="Entrada 28 15 2" xfId="29868" xr:uid="{00000000-0005-0000-0000-0000D0280000}"/>
    <cellStyle name="Entrada 28 16" xfId="9688" xr:uid="{00000000-0005-0000-0000-0000D1280000}"/>
    <cellStyle name="Entrada 28 16 2" xfId="29869" xr:uid="{00000000-0005-0000-0000-0000D2280000}"/>
    <cellStyle name="Entrada 28 17" xfId="29862" xr:uid="{00000000-0005-0000-0000-0000D3280000}"/>
    <cellStyle name="Entrada 28 2" xfId="9689" xr:uid="{00000000-0005-0000-0000-0000D4280000}"/>
    <cellStyle name="Entrada 28 2 2" xfId="29870" xr:uid="{00000000-0005-0000-0000-0000D5280000}"/>
    <cellStyle name="Entrada 28 3" xfId="9690" xr:uid="{00000000-0005-0000-0000-0000D6280000}"/>
    <cellStyle name="Entrada 28 3 2" xfId="29871" xr:uid="{00000000-0005-0000-0000-0000D7280000}"/>
    <cellStyle name="Entrada 28 4" xfId="9691" xr:uid="{00000000-0005-0000-0000-0000D8280000}"/>
    <cellStyle name="Entrada 28 4 2" xfId="29872" xr:uid="{00000000-0005-0000-0000-0000D9280000}"/>
    <cellStyle name="Entrada 28 5" xfId="9692" xr:uid="{00000000-0005-0000-0000-0000DA280000}"/>
    <cellStyle name="Entrada 28 5 2" xfId="29873" xr:uid="{00000000-0005-0000-0000-0000DB280000}"/>
    <cellStyle name="Entrada 28 6" xfId="9693" xr:uid="{00000000-0005-0000-0000-0000DC280000}"/>
    <cellStyle name="Entrada 28 6 2" xfId="29874" xr:uid="{00000000-0005-0000-0000-0000DD280000}"/>
    <cellStyle name="Entrada 28 7" xfId="9694" xr:uid="{00000000-0005-0000-0000-0000DE280000}"/>
    <cellStyle name="Entrada 28 7 2" xfId="29875" xr:uid="{00000000-0005-0000-0000-0000DF280000}"/>
    <cellStyle name="Entrada 28 8" xfId="9695" xr:uid="{00000000-0005-0000-0000-0000E0280000}"/>
    <cellStyle name="Entrada 28 8 2" xfId="29876" xr:uid="{00000000-0005-0000-0000-0000E1280000}"/>
    <cellStyle name="Entrada 28 9" xfId="9696" xr:uid="{00000000-0005-0000-0000-0000E2280000}"/>
    <cellStyle name="Entrada 28 9 2" xfId="29877" xr:uid="{00000000-0005-0000-0000-0000E3280000}"/>
    <cellStyle name="Entrada 29" xfId="9697" xr:uid="{00000000-0005-0000-0000-0000E4280000}"/>
    <cellStyle name="Entrada 29 10" xfId="9698" xr:uid="{00000000-0005-0000-0000-0000E5280000}"/>
    <cellStyle name="Entrada 29 10 2" xfId="29879" xr:uid="{00000000-0005-0000-0000-0000E6280000}"/>
    <cellStyle name="Entrada 29 11" xfId="9699" xr:uid="{00000000-0005-0000-0000-0000E7280000}"/>
    <cellStyle name="Entrada 29 11 2" xfId="29880" xr:uid="{00000000-0005-0000-0000-0000E8280000}"/>
    <cellStyle name="Entrada 29 12" xfId="9700" xr:uid="{00000000-0005-0000-0000-0000E9280000}"/>
    <cellStyle name="Entrada 29 12 2" xfId="29881" xr:uid="{00000000-0005-0000-0000-0000EA280000}"/>
    <cellStyle name="Entrada 29 13" xfId="9701" xr:uid="{00000000-0005-0000-0000-0000EB280000}"/>
    <cellStyle name="Entrada 29 13 2" xfId="29882" xr:uid="{00000000-0005-0000-0000-0000EC280000}"/>
    <cellStyle name="Entrada 29 14" xfId="9702" xr:uid="{00000000-0005-0000-0000-0000ED280000}"/>
    <cellStyle name="Entrada 29 14 2" xfId="29883" xr:uid="{00000000-0005-0000-0000-0000EE280000}"/>
    <cellStyle name="Entrada 29 15" xfId="9703" xr:uid="{00000000-0005-0000-0000-0000EF280000}"/>
    <cellStyle name="Entrada 29 15 2" xfId="29884" xr:uid="{00000000-0005-0000-0000-0000F0280000}"/>
    <cellStyle name="Entrada 29 16" xfId="9704" xr:uid="{00000000-0005-0000-0000-0000F1280000}"/>
    <cellStyle name="Entrada 29 16 2" xfId="29885" xr:uid="{00000000-0005-0000-0000-0000F2280000}"/>
    <cellStyle name="Entrada 29 17" xfId="29878" xr:uid="{00000000-0005-0000-0000-0000F3280000}"/>
    <cellStyle name="Entrada 29 2" xfId="9705" xr:uid="{00000000-0005-0000-0000-0000F4280000}"/>
    <cellStyle name="Entrada 29 2 2" xfId="29886" xr:uid="{00000000-0005-0000-0000-0000F5280000}"/>
    <cellStyle name="Entrada 29 3" xfId="9706" xr:uid="{00000000-0005-0000-0000-0000F6280000}"/>
    <cellStyle name="Entrada 29 3 2" xfId="29887" xr:uid="{00000000-0005-0000-0000-0000F7280000}"/>
    <cellStyle name="Entrada 29 4" xfId="9707" xr:uid="{00000000-0005-0000-0000-0000F8280000}"/>
    <cellStyle name="Entrada 29 4 2" xfId="29888" xr:uid="{00000000-0005-0000-0000-0000F9280000}"/>
    <cellStyle name="Entrada 29 5" xfId="9708" xr:uid="{00000000-0005-0000-0000-0000FA280000}"/>
    <cellStyle name="Entrada 29 5 2" xfId="29889" xr:uid="{00000000-0005-0000-0000-0000FB280000}"/>
    <cellStyle name="Entrada 29 6" xfId="9709" xr:uid="{00000000-0005-0000-0000-0000FC280000}"/>
    <cellStyle name="Entrada 29 6 2" xfId="29890" xr:uid="{00000000-0005-0000-0000-0000FD280000}"/>
    <cellStyle name="Entrada 29 7" xfId="9710" xr:uid="{00000000-0005-0000-0000-0000FE280000}"/>
    <cellStyle name="Entrada 29 7 2" xfId="29891" xr:uid="{00000000-0005-0000-0000-0000FF280000}"/>
    <cellStyle name="Entrada 29 8" xfId="9711" xr:uid="{00000000-0005-0000-0000-000000290000}"/>
    <cellStyle name="Entrada 29 8 2" xfId="29892" xr:uid="{00000000-0005-0000-0000-000001290000}"/>
    <cellStyle name="Entrada 29 9" xfId="9712" xr:uid="{00000000-0005-0000-0000-000002290000}"/>
    <cellStyle name="Entrada 29 9 2" xfId="29893" xr:uid="{00000000-0005-0000-0000-000003290000}"/>
    <cellStyle name="Entrada 3" xfId="9713" xr:uid="{00000000-0005-0000-0000-000004290000}"/>
    <cellStyle name="Entrada 3 10" xfId="9714" xr:uid="{00000000-0005-0000-0000-000005290000}"/>
    <cellStyle name="Entrada 3 10 2" xfId="29894" xr:uid="{00000000-0005-0000-0000-000006290000}"/>
    <cellStyle name="Entrada 3 11" xfId="9715" xr:uid="{00000000-0005-0000-0000-000007290000}"/>
    <cellStyle name="Entrada 3 11 2" xfId="29895" xr:uid="{00000000-0005-0000-0000-000008290000}"/>
    <cellStyle name="Entrada 3 2" xfId="9716" xr:uid="{00000000-0005-0000-0000-000009290000}"/>
    <cellStyle name="Entrada 3 2 2" xfId="29147" xr:uid="{00000000-0005-0000-0000-00000A290000}"/>
    <cellStyle name="Entrada 3 3" xfId="9717" xr:uid="{00000000-0005-0000-0000-00000B290000}"/>
    <cellStyle name="Entrada 3 3 2" xfId="29148" xr:uid="{00000000-0005-0000-0000-00000C290000}"/>
    <cellStyle name="Entrada 3 4" xfId="9718" xr:uid="{00000000-0005-0000-0000-00000D290000}"/>
    <cellStyle name="Entrada 3 4 2" xfId="29149" xr:uid="{00000000-0005-0000-0000-00000E290000}"/>
    <cellStyle name="Entrada 3 5" xfId="9719" xr:uid="{00000000-0005-0000-0000-00000F290000}"/>
    <cellStyle name="Entrada 3 5 2" xfId="29150" xr:uid="{00000000-0005-0000-0000-000010290000}"/>
    <cellStyle name="Entrada 3 6" xfId="9720" xr:uid="{00000000-0005-0000-0000-000011290000}"/>
    <cellStyle name="Entrada 3 6 2" xfId="29151" xr:uid="{00000000-0005-0000-0000-000012290000}"/>
    <cellStyle name="Entrada 3 7" xfId="9721" xr:uid="{00000000-0005-0000-0000-000013290000}"/>
    <cellStyle name="Entrada 3 7 2" xfId="29152" xr:uid="{00000000-0005-0000-0000-000014290000}"/>
    <cellStyle name="Entrada 3 8" xfId="9722" xr:uid="{00000000-0005-0000-0000-000015290000}"/>
    <cellStyle name="Entrada 3 8 2" xfId="29896" xr:uid="{00000000-0005-0000-0000-000016290000}"/>
    <cellStyle name="Entrada 3 9" xfId="9723" xr:uid="{00000000-0005-0000-0000-000017290000}"/>
    <cellStyle name="Entrada 3 9 2" xfId="29897" xr:uid="{00000000-0005-0000-0000-000018290000}"/>
    <cellStyle name="Entrada 30" xfId="9724" xr:uid="{00000000-0005-0000-0000-000019290000}"/>
    <cellStyle name="Entrada 30 2" xfId="29898" xr:uid="{00000000-0005-0000-0000-00001A290000}"/>
    <cellStyle name="Entrada 31" xfId="9725" xr:uid="{00000000-0005-0000-0000-00001B290000}"/>
    <cellStyle name="Entrada 31 2" xfId="29899" xr:uid="{00000000-0005-0000-0000-00001C290000}"/>
    <cellStyle name="Entrada 32" xfId="9726" xr:uid="{00000000-0005-0000-0000-00001D290000}"/>
    <cellStyle name="Entrada 32 2" xfId="29900" xr:uid="{00000000-0005-0000-0000-00001E290000}"/>
    <cellStyle name="Entrada 33" xfId="9727" xr:uid="{00000000-0005-0000-0000-00001F290000}"/>
    <cellStyle name="Entrada 33 2" xfId="29901" xr:uid="{00000000-0005-0000-0000-000020290000}"/>
    <cellStyle name="Entrada 34" xfId="9728" xr:uid="{00000000-0005-0000-0000-000021290000}"/>
    <cellStyle name="Entrada 34 2" xfId="29902" xr:uid="{00000000-0005-0000-0000-000022290000}"/>
    <cellStyle name="Entrada 35" xfId="9729" xr:uid="{00000000-0005-0000-0000-000023290000}"/>
    <cellStyle name="Entrada 35 2" xfId="29903" xr:uid="{00000000-0005-0000-0000-000024290000}"/>
    <cellStyle name="Entrada 36" xfId="9730" xr:uid="{00000000-0005-0000-0000-000025290000}"/>
    <cellStyle name="Entrada 36 2" xfId="29904" xr:uid="{00000000-0005-0000-0000-000026290000}"/>
    <cellStyle name="Entrada 37" xfId="9731" xr:uid="{00000000-0005-0000-0000-000027290000}"/>
    <cellStyle name="Entrada 37 2" xfId="29905" xr:uid="{00000000-0005-0000-0000-000028290000}"/>
    <cellStyle name="Entrada 38" xfId="9732" xr:uid="{00000000-0005-0000-0000-000029290000}"/>
    <cellStyle name="Entrada 38 2" xfId="29906" xr:uid="{00000000-0005-0000-0000-00002A290000}"/>
    <cellStyle name="Entrada 39" xfId="9733" xr:uid="{00000000-0005-0000-0000-00002B290000}"/>
    <cellStyle name="Entrada 39 2" xfId="29907" xr:uid="{00000000-0005-0000-0000-00002C290000}"/>
    <cellStyle name="Entrada 4" xfId="9734" xr:uid="{00000000-0005-0000-0000-00002D290000}"/>
    <cellStyle name="Entrada 4 10" xfId="9735" xr:uid="{00000000-0005-0000-0000-00002E290000}"/>
    <cellStyle name="Entrada 4 10 2" xfId="29908" xr:uid="{00000000-0005-0000-0000-00002F290000}"/>
    <cellStyle name="Entrada 4 11" xfId="9736" xr:uid="{00000000-0005-0000-0000-000030290000}"/>
    <cellStyle name="Entrada 4 11 2" xfId="29909" xr:uid="{00000000-0005-0000-0000-000031290000}"/>
    <cellStyle name="Entrada 4 2" xfId="9737" xr:uid="{00000000-0005-0000-0000-000032290000}"/>
    <cellStyle name="Entrada 4 2 2" xfId="29153" xr:uid="{00000000-0005-0000-0000-000033290000}"/>
    <cellStyle name="Entrada 4 3" xfId="9738" xr:uid="{00000000-0005-0000-0000-000034290000}"/>
    <cellStyle name="Entrada 4 3 2" xfId="29154" xr:uid="{00000000-0005-0000-0000-000035290000}"/>
    <cellStyle name="Entrada 4 4" xfId="9739" xr:uid="{00000000-0005-0000-0000-000036290000}"/>
    <cellStyle name="Entrada 4 4 2" xfId="29155" xr:uid="{00000000-0005-0000-0000-000037290000}"/>
    <cellStyle name="Entrada 4 5" xfId="9740" xr:uid="{00000000-0005-0000-0000-000038290000}"/>
    <cellStyle name="Entrada 4 5 2" xfId="29156" xr:uid="{00000000-0005-0000-0000-000039290000}"/>
    <cellStyle name="Entrada 4 6" xfId="9741" xr:uid="{00000000-0005-0000-0000-00003A290000}"/>
    <cellStyle name="Entrada 4 6 2" xfId="29157" xr:uid="{00000000-0005-0000-0000-00003B290000}"/>
    <cellStyle name="Entrada 4 7" xfId="9742" xr:uid="{00000000-0005-0000-0000-00003C290000}"/>
    <cellStyle name="Entrada 4 7 2" xfId="29158" xr:uid="{00000000-0005-0000-0000-00003D290000}"/>
    <cellStyle name="Entrada 4 8" xfId="9743" xr:uid="{00000000-0005-0000-0000-00003E290000}"/>
    <cellStyle name="Entrada 4 8 2" xfId="29910" xr:uid="{00000000-0005-0000-0000-00003F290000}"/>
    <cellStyle name="Entrada 4 9" xfId="9744" xr:uid="{00000000-0005-0000-0000-000040290000}"/>
    <cellStyle name="Entrada 4 9 2" xfId="29911" xr:uid="{00000000-0005-0000-0000-000041290000}"/>
    <cellStyle name="Entrada 40" xfId="9745" xr:uid="{00000000-0005-0000-0000-000042290000}"/>
    <cellStyle name="Entrada 40 2" xfId="29912" xr:uid="{00000000-0005-0000-0000-000043290000}"/>
    <cellStyle name="Entrada 41" xfId="9746" xr:uid="{00000000-0005-0000-0000-000044290000}"/>
    <cellStyle name="Entrada 41 2" xfId="29913" xr:uid="{00000000-0005-0000-0000-000045290000}"/>
    <cellStyle name="Entrada 42" xfId="9747" xr:uid="{00000000-0005-0000-0000-000046290000}"/>
    <cellStyle name="Entrada 42 2" xfId="29914" xr:uid="{00000000-0005-0000-0000-000047290000}"/>
    <cellStyle name="Entrada 43" xfId="9748" xr:uid="{00000000-0005-0000-0000-000048290000}"/>
    <cellStyle name="Entrada 43 2" xfId="29915" xr:uid="{00000000-0005-0000-0000-000049290000}"/>
    <cellStyle name="Entrada 44" xfId="9749" xr:uid="{00000000-0005-0000-0000-00004A290000}"/>
    <cellStyle name="Entrada 44 2" xfId="29916" xr:uid="{00000000-0005-0000-0000-00004B290000}"/>
    <cellStyle name="Entrada 45" xfId="9750" xr:uid="{00000000-0005-0000-0000-00004C290000}"/>
    <cellStyle name="Entrada 45 2" xfId="29917" xr:uid="{00000000-0005-0000-0000-00004D290000}"/>
    <cellStyle name="Entrada 46" xfId="9751" xr:uid="{00000000-0005-0000-0000-00004E290000}"/>
    <cellStyle name="Entrada 46 2" xfId="29918" xr:uid="{00000000-0005-0000-0000-00004F290000}"/>
    <cellStyle name="Entrada 47" xfId="9752" xr:uid="{00000000-0005-0000-0000-000050290000}"/>
    <cellStyle name="Entrada 47 2" xfId="29919" xr:uid="{00000000-0005-0000-0000-000051290000}"/>
    <cellStyle name="Entrada 48" xfId="9753" xr:uid="{00000000-0005-0000-0000-000052290000}"/>
    <cellStyle name="Entrada 48 2" xfId="29920" xr:uid="{00000000-0005-0000-0000-000053290000}"/>
    <cellStyle name="Entrada 49" xfId="9754" xr:uid="{00000000-0005-0000-0000-000054290000}"/>
    <cellStyle name="Entrada 49 2" xfId="29921" xr:uid="{00000000-0005-0000-0000-000055290000}"/>
    <cellStyle name="Entrada 5" xfId="9755" xr:uid="{00000000-0005-0000-0000-000056290000}"/>
    <cellStyle name="Entrada 5 2" xfId="9756" xr:uid="{00000000-0005-0000-0000-000057290000}"/>
    <cellStyle name="Entrada 5 2 2" xfId="29160" xr:uid="{00000000-0005-0000-0000-000058290000}"/>
    <cellStyle name="Entrada 5 3" xfId="9757" xr:uid="{00000000-0005-0000-0000-000059290000}"/>
    <cellStyle name="Entrada 5 3 2" xfId="29161" xr:uid="{00000000-0005-0000-0000-00005A290000}"/>
    <cellStyle name="Entrada 5 4" xfId="9758" xr:uid="{00000000-0005-0000-0000-00005B290000}"/>
    <cellStyle name="Entrada 5 4 2" xfId="29162" xr:uid="{00000000-0005-0000-0000-00005C290000}"/>
    <cellStyle name="Entrada 5 5" xfId="29159" xr:uid="{00000000-0005-0000-0000-00005D290000}"/>
    <cellStyle name="Entrada 50" xfId="9759" xr:uid="{00000000-0005-0000-0000-00005E290000}"/>
    <cellStyle name="Entrada 50 2" xfId="29922" xr:uid="{00000000-0005-0000-0000-00005F290000}"/>
    <cellStyle name="Entrada 51" xfId="9760" xr:uid="{00000000-0005-0000-0000-000060290000}"/>
    <cellStyle name="Entrada 51 2" xfId="29923" xr:uid="{00000000-0005-0000-0000-000061290000}"/>
    <cellStyle name="Entrada 52" xfId="9761" xr:uid="{00000000-0005-0000-0000-000062290000}"/>
    <cellStyle name="Entrada 52 2" xfId="29924" xr:uid="{00000000-0005-0000-0000-000063290000}"/>
    <cellStyle name="Entrada 53" xfId="9762" xr:uid="{00000000-0005-0000-0000-000064290000}"/>
    <cellStyle name="Entrada 53 2" xfId="29925" xr:uid="{00000000-0005-0000-0000-000065290000}"/>
    <cellStyle name="Entrada 54" xfId="9763" xr:uid="{00000000-0005-0000-0000-000066290000}"/>
    <cellStyle name="Entrada 54 2" xfId="29926" xr:uid="{00000000-0005-0000-0000-000067290000}"/>
    <cellStyle name="Entrada 55" xfId="9764" xr:uid="{00000000-0005-0000-0000-000068290000}"/>
    <cellStyle name="Entrada 55 2" xfId="29927" xr:uid="{00000000-0005-0000-0000-000069290000}"/>
    <cellStyle name="Entrada 56" xfId="9765" xr:uid="{00000000-0005-0000-0000-00006A290000}"/>
    <cellStyle name="Entrada 56 2" xfId="29928" xr:uid="{00000000-0005-0000-0000-00006B290000}"/>
    <cellStyle name="Entrada 57" xfId="9766" xr:uid="{00000000-0005-0000-0000-00006C290000}"/>
    <cellStyle name="Entrada 57 2" xfId="29929" xr:uid="{00000000-0005-0000-0000-00006D290000}"/>
    <cellStyle name="Entrada 58" xfId="9767" xr:uid="{00000000-0005-0000-0000-00006E290000}"/>
    <cellStyle name="Entrada 58 2" xfId="29930" xr:uid="{00000000-0005-0000-0000-00006F290000}"/>
    <cellStyle name="Entrada 59" xfId="9768" xr:uid="{00000000-0005-0000-0000-000070290000}"/>
    <cellStyle name="Entrada 59 2" xfId="29931" xr:uid="{00000000-0005-0000-0000-000071290000}"/>
    <cellStyle name="Entrada 6" xfId="14" xr:uid="{00000000-0005-0000-0000-000072290000}"/>
    <cellStyle name="Entrada 6 2" xfId="9769" xr:uid="{00000000-0005-0000-0000-000073290000}"/>
    <cellStyle name="Entrada 6 2 2" xfId="29164" xr:uid="{00000000-0005-0000-0000-000074290000}"/>
    <cellStyle name="Entrada 6 3" xfId="9770" xr:uid="{00000000-0005-0000-0000-000075290000}"/>
    <cellStyle name="Entrada 6 3 2" xfId="29165" xr:uid="{00000000-0005-0000-0000-000076290000}"/>
    <cellStyle name="Entrada 6 4" xfId="9771" xr:uid="{00000000-0005-0000-0000-000077290000}"/>
    <cellStyle name="Entrada 6 4 2" xfId="29166" xr:uid="{00000000-0005-0000-0000-000078290000}"/>
    <cellStyle name="Entrada 6 5" xfId="29163" xr:uid="{00000000-0005-0000-0000-000079290000}"/>
    <cellStyle name="Entrada 6 6" xfId="29360" xr:uid="{00000000-0005-0000-0000-00007A290000}"/>
    <cellStyle name="Entrada 60" xfId="9772" xr:uid="{00000000-0005-0000-0000-00007B290000}"/>
    <cellStyle name="Entrada 60 2" xfId="29932" xr:uid="{00000000-0005-0000-0000-00007C290000}"/>
    <cellStyle name="Entrada 61" xfId="9773" xr:uid="{00000000-0005-0000-0000-00007D290000}"/>
    <cellStyle name="Entrada 61 2" xfId="29933" xr:uid="{00000000-0005-0000-0000-00007E290000}"/>
    <cellStyle name="Entrada 62" xfId="9774" xr:uid="{00000000-0005-0000-0000-00007F290000}"/>
    <cellStyle name="Entrada 62 2" xfId="29934" xr:uid="{00000000-0005-0000-0000-000080290000}"/>
    <cellStyle name="Entrada 63" xfId="9775" xr:uid="{00000000-0005-0000-0000-000081290000}"/>
    <cellStyle name="Entrada 63 2" xfId="29935" xr:uid="{00000000-0005-0000-0000-000082290000}"/>
    <cellStyle name="Entrada 64" xfId="9776" xr:uid="{00000000-0005-0000-0000-000083290000}"/>
    <cellStyle name="Entrada 64 2" xfId="29936" xr:uid="{00000000-0005-0000-0000-000084290000}"/>
    <cellStyle name="Entrada 65" xfId="9777" xr:uid="{00000000-0005-0000-0000-000085290000}"/>
    <cellStyle name="Entrada 65 2" xfId="29937" xr:uid="{00000000-0005-0000-0000-000086290000}"/>
    <cellStyle name="Entrada 66" xfId="9778" xr:uid="{00000000-0005-0000-0000-000087290000}"/>
    <cellStyle name="Entrada 66 2" xfId="29938" xr:uid="{00000000-0005-0000-0000-000088290000}"/>
    <cellStyle name="Entrada 67" xfId="9779" xr:uid="{00000000-0005-0000-0000-000089290000}"/>
    <cellStyle name="Entrada 67 2" xfId="29939" xr:uid="{00000000-0005-0000-0000-00008A290000}"/>
    <cellStyle name="Entrada 68" xfId="9780" xr:uid="{00000000-0005-0000-0000-00008B290000}"/>
    <cellStyle name="Entrada 68 2" xfId="29940" xr:uid="{00000000-0005-0000-0000-00008C290000}"/>
    <cellStyle name="Entrada 69" xfId="9781" xr:uid="{00000000-0005-0000-0000-00008D290000}"/>
    <cellStyle name="Entrada 69 2" xfId="29941" xr:uid="{00000000-0005-0000-0000-00008E290000}"/>
    <cellStyle name="Entrada 7" xfId="9782" xr:uid="{00000000-0005-0000-0000-00008F290000}"/>
    <cellStyle name="Entrada 7 2" xfId="9783" xr:uid="{00000000-0005-0000-0000-000090290000}"/>
    <cellStyle name="Entrada 7 2 2" xfId="29168" xr:uid="{00000000-0005-0000-0000-000091290000}"/>
    <cellStyle name="Entrada 7 3" xfId="9784" xr:uid="{00000000-0005-0000-0000-000092290000}"/>
    <cellStyle name="Entrada 7 3 2" xfId="29169" xr:uid="{00000000-0005-0000-0000-000093290000}"/>
    <cellStyle name="Entrada 7 4" xfId="9785" xr:uid="{00000000-0005-0000-0000-000094290000}"/>
    <cellStyle name="Entrada 7 4 2" xfId="29170" xr:uid="{00000000-0005-0000-0000-000095290000}"/>
    <cellStyle name="Entrada 7 5" xfId="29167" xr:uid="{00000000-0005-0000-0000-000096290000}"/>
    <cellStyle name="Entrada 70" xfId="9786" xr:uid="{00000000-0005-0000-0000-000097290000}"/>
    <cellStyle name="Entrada 70 2" xfId="29942" xr:uid="{00000000-0005-0000-0000-000098290000}"/>
    <cellStyle name="Entrada 71" xfId="9787" xr:uid="{00000000-0005-0000-0000-000099290000}"/>
    <cellStyle name="Entrada 71 2" xfId="29943" xr:uid="{00000000-0005-0000-0000-00009A290000}"/>
    <cellStyle name="Entrada 72" xfId="9788" xr:uid="{00000000-0005-0000-0000-00009B290000}"/>
    <cellStyle name="Entrada 72 2" xfId="29944" xr:uid="{00000000-0005-0000-0000-00009C290000}"/>
    <cellStyle name="Entrada 73" xfId="9789" xr:uid="{00000000-0005-0000-0000-00009D290000}"/>
    <cellStyle name="Entrada 73 2" xfId="29945" xr:uid="{00000000-0005-0000-0000-00009E290000}"/>
    <cellStyle name="Entrada 74" xfId="9790" xr:uid="{00000000-0005-0000-0000-00009F290000}"/>
    <cellStyle name="Entrada 74 2" xfId="29946" xr:uid="{00000000-0005-0000-0000-0000A0290000}"/>
    <cellStyle name="Entrada 75" xfId="9791" xr:uid="{00000000-0005-0000-0000-0000A1290000}"/>
    <cellStyle name="Entrada 75 2" xfId="29947" xr:uid="{00000000-0005-0000-0000-0000A2290000}"/>
    <cellStyle name="Entrada 76" xfId="9792" xr:uid="{00000000-0005-0000-0000-0000A3290000}"/>
    <cellStyle name="Entrada 76 2" xfId="29948" xr:uid="{00000000-0005-0000-0000-0000A4290000}"/>
    <cellStyle name="Entrada 77" xfId="9793" xr:uid="{00000000-0005-0000-0000-0000A5290000}"/>
    <cellStyle name="Entrada 77 2" xfId="29949" xr:uid="{00000000-0005-0000-0000-0000A6290000}"/>
    <cellStyle name="Entrada 78" xfId="9794" xr:uid="{00000000-0005-0000-0000-0000A7290000}"/>
    <cellStyle name="Entrada 78 2" xfId="29950" xr:uid="{00000000-0005-0000-0000-0000A8290000}"/>
    <cellStyle name="Entrada 79" xfId="9795" xr:uid="{00000000-0005-0000-0000-0000A9290000}"/>
    <cellStyle name="Entrada 79 2" xfId="29951" xr:uid="{00000000-0005-0000-0000-0000AA290000}"/>
    <cellStyle name="Entrada 8" xfId="9796" xr:uid="{00000000-0005-0000-0000-0000AB290000}"/>
    <cellStyle name="Entrada 8 2" xfId="9797" xr:uid="{00000000-0005-0000-0000-0000AC290000}"/>
    <cellStyle name="Entrada 8 2 2" xfId="29172" xr:uid="{00000000-0005-0000-0000-0000AD290000}"/>
    <cellStyle name="Entrada 8 3" xfId="9798" xr:uid="{00000000-0005-0000-0000-0000AE290000}"/>
    <cellStyle name="Entrada 8 3 2" xfId="29173" xr:uid="{00000000-0005-0000-0000-0000AF290000}"/>
    <cellStyle name="Entrada 8 4" xfId="9799" xr:uid="{00000000-0005-0000-0000-0000B0290000}"/>
    <cellStyle name="Entrada 8 4 2" xfId="29174" xr:uid="{00000000-0005-0000-0000-0000B1290000}"/>
    <cellStyle name="Entrada 8 5" xfId="29171" xr:uid="{00000000-0005-0000-0000-0000B2290000}"/>
    <cellStyle name="Entrada 80" xfId="9800" xr:uid="{00000000-0005-0000-0000-0000B3290000}"/>
    <cellStyle name="Entrada 80 2" xfId="29952" xr:uid="{00000000-0005-0000-0000-0000B4290000}"/>
    <cellStyle name="Entrada 81" xfId="9801" xr:uid="{00000000-0005-0000-0000-0000B5290000}"/>
    <cellStyle name="Entrada 81 2" xfId="29953" xr:uid="{00000000-0005-0000-0000-0000B6290000}"/>
    <cellStyle name="Entrada 82" xfId="9802" xr:uid="{00000000-0005-0000-0000-0000B7290000}"/>
    <cellStyle name="Entrada 82 2" xfId="29954" xr:uid="{00000000-0005-0000-0000-0000B8290000}"/>
    <cellStyle name="Entrada 83" xfId="9803" xr:uid="{00000000-0005-0000-0000-0000B9290000}"/>
    <cellStyle name="Entrada 83 2" xfId="29955" xr:uid="{00000000-0005-0000-0000-0000BA290000}"/>
    <cellStyle name="Entrada 84" xfId="9804" xr:uid="{00000000-0005-0000-0000-0000BB290000}"/>
    <cellStyle name="Entrada 84 2" xfId="29956" xr:uid="{00000000-0005-0000-0000-0000BC290000}"/>
    <cellStyle name="Entrada 85" xfId="9805" xr:uid="{00000000-0005-0000-0000-0000BD290000}"/>
    <cellStyle name="Entrada 85 2" xfId="29957" xr:uid="{00000000-0005-0000-0000-0000BE290000}"/>
    <cellStyle name="Entrada 86" xfId="9806" xr:uid="{00000000-0005-0000-0000-0000BF290000}"/>
    <cellStyle name="Entrada 86 2" xfId="29958" xr:uid="{00000000-0005-0000-0000-0000C0290000}"/>
    <cellStyle name="Entrada 87" xfId="9807" xr:uid="{00000000-0005-0000-0000-0000C1290000}"/>
    <cellStyle name="Entrada 87 2" xfId="29959" xr:uid="{00000000-0005-0000-0000-0000C2290000}"/>
    <cellStyle name="Entrada 88" xfId="9808" xr:uid="{00000000-0005-0000-0000-0000C3290000}"/>
    <cellStyle name="Entrada 88 2" xfId="29960" xr:uid="{00000000-0005-0000-0000-0000C4290000}"/>
    <cellStyle name="Entrada 89" xfId="9809" xr:uid="{00000000-0005-0000-0000-0000C5290000}"/>
    <cellStyle name="Entrada 89 2" xfId="29961" xr:uid="{00000000-0005-0000-0000-0000C6290000}"/>
    <cellStyle name="Entrada 9" xfId="9810" xr:uid="{00000000-0005-0000-0000-0000C7290000}"/>
    <cellStyle name="Entrada 9 2" xfId="29175" xr:uid="{00000000-0005-0000-0000-0000C8290000}"/>
    <cellStyle name="Entrada 90" xfId="9811" xr:uid="{00000000-0005-0000-0000-0000C9290000}"/>
    <cellStyle name="Entrada 90 2" xfId="29962" xr:uid="{00000000-0005-0000-0000-0000CA290000}"/>
    <cellStyle name="Entrada 91" xfId="9812" xr:uid="{00000000-0005-0000-0000-0000CB290000}"/>
    <cellStyle name="Entrada 91 2" xfId="29963" xr:uid="{00000000-0005-0000-0000-0000CC290000}"/>
    <cellStyle name="Entrada 92" xfId="9813" xr:uid="{00000000-0005-0000-0000-0000CD290000}"/>
    <cellStyle name="Entrada 92 2" xfId="29964" xr:uid="{00000000-0005-0000-0000-0000CE290000}"/>
    <cellStyle name="Entrada 93" xfId="9814" xr:uid="{00000000-0005-0000-0000-0000CF290000}"/>
    <cellStyle name="Entrada 93 2" xfId="29965" xr:uid="{00000000-0005-0000-0000-0000D0290000}"/>
    <cellStyle name="Entrada 94" xfId="9815" xr:uid="{00000000-0005-0000-0000-0000D1290000}"/>
    <cellStyle name="Entrada 94 2" xfId="29966" xr:uid="{00000000-0005-0000-0000-0000D2290000}"/>
    <cellStyle name="Entrada 95" xfId="9816" xr:uid="{00000000-0005-0000-0000-0000D3290000}"/>
    <cellStyle name="Entrada 95 2" xfId="29967" xr:uid="{00000000-0005-0000-0000-0000D4290000}"/>
    <cellStyle name="Entrada 96" xfId="9817" xr:uid="{00000000-0005-0000-0000-0000D5290000}"/>
    <cellStyle name="Entrada 96 2" xfId="29968" xr:uid="{00000000-0005-0000-0000-0000D6290000}"/>
    <cellStyle name="Entrada 97" xfId="9818" xr:uid="{00000000-0005-0000-0000-0000D7290000}"/>
    <cellStyle name="Entrada 97 2" xfId="29969" xr:uid="{00000000-0005-0000-0000-0000D8290000}"/>
    <cellStyle name="Entrada 98" xfId="9819" xr:uid="{00000000-0005-0000-0000-0000D9290000}"/>
    <cellStyle name="Entrada 98 2" xfId="29970" xr:uid="{00000000-0005-0000-0000-0000DA290000}"/>
    <cellStyle name="Entrada 99" xfId="9820" xr:uid="{00000000-0005-0000-0000-0000DB290000}"/>
    <cellStyle name="Entrada 99 2" xfId="29971" xr:uid="{00000000-0005-0000-0000-0000DC290000}"/>
    <cellStyle name="Euro" xfId="9821" xr:uid="{00000000-0005-0000-0000-0000DD290000}"/>
    <cellStyle name="Euro 10" xfId="9822" xr:uid="{00000000-0005-0000-0000-0000DE290000}"/>
    <cellStyle name="Euro 10 10" xfId="9823" xr:uid="{00000000-0005-0000-0000-0000DF290000}"/>
    <cellStyle name="Euro 10 11" xfId="9824" xr:uid="{00000000-0005-0000-0000-0000E0290000}"/>
    <cellStyle name="Euro 10 12" xfId="9825" xr:uid="{00000000-0005-0000-0000-0000E1290000}"/>
    <cellStyle name="Euro 10 13" xfId="9826" xr:uid="{00000000-0005-0000-0000-0000E2290000}"/>
    <cellStyle name="Euro 10 14" xfId="9827" xr:uid="{00000000-0005-0000-0000-0000E3290000}"/>
    <cellStyle name="Euro 10 15" xfId="9828" xr:uid="{00000000-0005-0000-0000-0000E4290000}"/>
    <cellStyle name="Euro 10 2" xfId="9829" xr:uid="{00000000-0005-0000-0000-0000E5290000}"/>
    <cellStyle name="Euro 10 3" xfId="9830" xr:uid="{00000000-0005-0000-0000-0000E6290000}"/>
    <cellStyle name="Euro 10 4" xfId="9831" xr:uid="{00000000-0005-0000-0000-0000E7290000}"/>
    <cellStyle name="Euro 10 5" xfId="9832" xr:uid="{00000000-0005-0000-0000-0000E8290000}"/>
    <cellStyle name="Euro 10 6" xfId="9833" xr:uid="{00000000-0005-0000-0000-0000E9290000}"/>
    <cellStyle name="Euro 10 7" xfId="9834" xr:uid="{00000000-0005-0000-0000-0000EA290000}"/>
    <cellStyle name="Euro 10 8" xfId="9835" xr:uid="{00000000-0005-0000-0000-0000EB290000}"/>
    <cellStyle name="Euro 10 9" xfId="9836" xr:uid="{00000000-0005-0000-0000-0000EC290000}"/>
    <cellStyle name="Euro 11" xfId="9837" xr:uid="{00000000-0005-0000-0000-0000ED290000}"/>
    <cellStyle name="Euro 11 10" xfId="9838" xr:uid="{00000000-0005-0000-0000-0000EE290000}"/>
    <cellStyle name="Euro 11 11" xfId="9839" xr:uid="{00000000-0005-0000-0000-0000EF290000}"/>
    <cellStyle name="Euro 11 12" xfId="9840" xr:uid="{00000000-0005-0000-0000-0000F0290000}"/>
    <cellStyle name="Euro 11 13" xfId="9841" xr:uid="{00000000-0005-0000-0000-0000F1290000}"/>
    <cellStyle name="Euro 11 14" xfId="9842" xr:uid="{00000000-0005-0000-0000-0000F2290000}"/>
    <cellStyle name="Euro 11 15" xfId="9843" xr:uid="{00000000-0005-0000-0000-0000F3290000}"/>
    <cellStyle name="Euro 11 2" xfId="9844" xr:uid="{00000000-0005-0000-0000-0000F4290000}"/>
    <cellStyle name="Euro 11 3" xfId="9845" xr:uid="{00000000-0005-0000-0000-0000F5290000}"/>
    <cellStyle name="Euro 11 4" xfId="9846" xr:uid="{00000000-0005-0000-0000-0000F6290000}"/>
    <cellStyle name="Euro 11 5" xfId="9847" xr:uid="{00000000-0005-0000-0000-0000F7290000}"/>
    <cellStyle name="Euro 11 6" xfId="9848" xr:uid="{00000000-0005-0000-0000-0000F8290000}"/>
    <cellStyle name="Euro 11 7" xfId="9849" xr:uid="{00000000-0005-0000-0000-0000F9290000}"/>
    <cellStyle name="Euro 11 8" xfId="9850" xr:uid="{00000000-0005-0000-0000-0000FA290000}"/>
    <cellStyle name="Euro 11 9" xfId="9851" xr:uid="{00000000-0005-0000-0000-0000FB290000}"/>
    <cellStyle name="Euro 12" xfId="9852" xr:uid="{00000000-0005-0000-0000-0000FC290000}"/>
    <cellStyle name="Euro 12 10" xfId="9853" xr:uid="{00000000-0005-0000-0000-0000FD290000}"/>
    <cellStyle name="Euro 12 11" xfId="9854" xr:uid="{00000000-0005-0000-0000-0000FE290000}"/>
    <cellStyle name="Euro 12 12" xfId="9855" xr:uid="{00000000-0005-0000-0000-0000FF290000}"/>
    <cellStyle name="Euro 12 13" xfId="9856" xr:uid="{00000000-0005-0000-0000-0000002A0000}"/>
    <cellStyle name="Euro 12 14" xfId="9857" xr:uid="{00000000-0005-0000-0000-0000012A0000}"/>
    <cellStyle name="Euro 12 15" xfId="9858" xr:uid="{00000000-0005-0000-0000-0000022A0000}"/>
    <cellStyle name="Euro 12 2" xfId="9859" xr:uid="{00000000-0005-0000-0000-0000032A0000}"/>
    <cellStyle name="Euro 12 3" xfId="9860" xr:uid="{00000000-0005-0000-0000-0000042A0000}"/>
    <cellStyle name="Euro 12 4" xfId="9861" xr:uid="{00000000-0005-0000-0000-0000052A0000}"/>
    <cellStyle name="Euro 12 5" xfId="9862" xr:uid="{00000000-0005-0000-0000-0000062A0000}"/>
    <cellStyle name="Euro 12 6" xfId="9863" xr:uid="{00000000-0005-0000-0000-0000072A0000}"/>
    <cellStyle name="Euro 12 7" xfId="9864" xr:uid="{00000000-0005-0000-0000-0000082A0000}"/>
    <cellStyle name="Euro 12 8" xfId="9865" xr:uid="{00000000-0005-0000-0000-0000092A0000}"/>
    <cellStyle name="Euro 12 9" xfId="9866" xr:uid="{00000000-0005-0000-0000-00000A2A0000}"/>
    <cellStyle name="Euro 13" xfId="40450" xr:uid="{00000000-0005-0000-0000-00000B2A0000}"/>
    <cellStyle name="Euro 2" xfId="9867" xr:uid="{00000000-0005-0000-0000-00000C2A0000}"/>
    <cellStyle name="Euro 2 2" xfId="9868" xr:uid="{00000000-0005-0000-0000-00000D2A0000}"/>
    <cellStyle name="Euro 2 2 2" xfId="9869" xr:uid="{00000000-0005-0000-0000-00000E2A0000}"/>
    <cellStyle name="Euro 2 2 3" xfId="9870" xr:uid="{00000000-0005-0000-0000-00000F2A0000}"/>
    <cellStyle name="Euro 2 2 4" xfId="9871" xr:uid="{00000000-0005-0000-0000-0000102A0000}"/>
    <cellStyle name="Euro 2 2 5" xfId="9872" xr:uid="{00000000-0005-0000-0000-0000112A0000}"/>
    <cellStyle name="Euro 2 2 6" xfId="9873" xr:uid="{00000000-0005-0000-0000-0000122A0000}"/>
    <cellStyle name="Euro 2 2 7" xfId="9874" xr:uid="{00000000-0005-0000-0000-0000132A0000}"/>
    <cellStyle name="Euro 2 3" xfId="9875" xr:uid="{00000000-0005-0000-0000-0000142A0000}"/>
    <cellStyle name="Euro 2 4" xfId="9876" xr:uid="{00000000-0005-0000-0000-0000152A0000}"/>
    <cellStyle name="Euro 2 5" xfId="9877" xr:uid="{00000000-0005-0000-0000-0000162A0000}"/>
    <cellStyle name="Euro 2 6" xfId="9878" xr:uid="{00000000-0005-0000-0000-0000172A0000}"/>
    <cellStyle name="Euro 2 7" xfId="9879" xr:uid="{00000000-0005-0000-0000-0000182A0000}"/>
    <cellStyle name="Euro 2 8" xfId="9880" xr:uid="{00000000-0005-0000-0000-0000192A0000}"/>
    <cellStyle name="Euro 2 9" xfId="40599" xr:uid="{00000000-0005-0000-0000-00001A2A0000}"/>
    <cellStyle name="Euro 3" xfId="9881" xr:uid="{00000000-0005-0000-0000-00001B2A0000}"/>
    <cellStyle name="Euro 4" xfId="9882" xr:uid="{00000000-0005-0000-0000-00001C2A0000}"/>
    <cellStyle name="Euro 5" xfId="9883" xr:uid="{00000000-0005-0000-0000-00001D2A0000}"/>
    <cellStyle name="Euro 6" xfId="9884" xr:uid="{00000000-0005-0000-0000-00001E2A0000}"/>
    <cellStyle name="Euro 7" xfId="9885" xr:uid="{00000000-0005-0000-0000-00001F2A0000}"/>
    <cellStyle name="Euro 8" xfId="9886" xr:uid="{00000000-0005-0000-0000-0000202A0000}"/>
    <cellStyle name="Euro 9" xfId="9887" xr:uid="{00000000-0005-0000-0000-0000212A0000}"/>
    <cellStyle name="Euro 9 10" xfId="9888" xr:uid="{00000000-0005-0000-0000-0000222A0000}"/>
    <cellStyle name="Euro 9 11" xfId="9889" xr:uid="{00000000-0005-0000-0000-0000232A0000}"/>
    <cellStyle name="Euro 9 12" xfId="9890" xr:uid="{00000000-0005-0000-0000-0000242A0000}"/>
    <cellStyle name="Euro 9 13" xfId="9891" xr:uid="{00000000-0005-0000-0000-0000252A0000}"/>
    <cellStyle name="Euro 9 14" xfId="9892" xr:uid="{00000000-0005-0000-0000-0000262A0000}"/>
    <cellStyle name="Euro 9 15" xfId="9893" xr:uid="{00000000-0005-0000-0000-0000272A0000}"/>
    <cellStyle name="Euro 9 2" xfId="9894" xr:uid="{00000000-0005-0000-0000-0000282A0000}"/>
    <cellStyle name="Euro 9 3" xfId="9895" xr:uid="{00000000-0005-0000-0000-0000292A0000}"/>
    <cellStyle name="Euro 9 4" xfId="9896" xr:uid="{00000000-0005-0000-0000-00002A2A0000}"/>
    <cellStyle name="Euro 9 5" xfId="9897" xr:uid="{00000000-0005-0000-0000-00002B2A0000}"/>
    <cellStyle name="Euro 9 6" xfId="9898" xr:uid="{00000000-0005-0000-0000-00002C2A0000}"/>
    <cellStyle name="Euro 9 7" xfId="9899" xr:uid="{00000000-0005-0000-0000-00002D2A0000}"/>
    <cellStyle name="Euro 9 8" xfId="9900" xr:uid="{00000000-0005-0000-0000-00002E2A0000}"/>
    <cellStyle name="Euro 9 9" xfId="9901" xr:uid="{00000000-0005-0000-0000-00002F2A0000}"/>
    <cellStyle name="Fixo" xfId="9902" xr:uid="{00000000-0005-0000-0000-0000302A0000}"/>
    <cellStyle name="Hiperlink" xfId="41057" builtinId="8"/>
    <cellStyle name="Hiperlink 2" xfId="41074" xr:uid="{BCA5BB5D-EC00-4B12-94A7-7E5E32DB209E}"/>
    <cellStyle name="Hyperlink 2" xfId="9903" xr:uid="{00000000-0005-0000-0000-0000322A0000}"/>
    <cellStyle name="Hyperlink 2 2" xfId="9904" xr:uid="{00000000-0005-0000-0000-0000332A0000}"/>
    <cellStyle name="Incorreto 10" xfId="9905" xr:uid="{00000000-0005-0000-0000-0000342A0000}"/>
    <cellStyle name="Incorreto 10 2" xfId="40600" xr:uid="{00000000-0005-0000-0000-0000352A0000}"/>
    <cellStyle name="Incorreto 100" xfId="9906" xr:uid="{00000000-0005-0000-0000-0000362A0000}"/>
    <cellStyle name="Incorreto 101" xfId="9907" xr:uid="{00000000-0005-0000-0000-0000372A0000}"/>
    <cellStyle name="Incorreto 102" xfId="9908" xr:uid="{00000000-0005-0000-0000-0000382A0000}"/>
    <cellStyle name="Incorreto 103" xfId="9909" xr:uid="{00000000-0005-0000-0000-0000392A0000}"/>
    <cellStyle name="Incorreto 104" xfId="9910" xr:uid="{00000000-0005-0000-0000-00003A2A0000}"/>
    <cellStyle name="Incorreto 105" xfId="9911" xr:uid="{00000000-0005-0000-0000-00003B2A0000}"/>
    <cellStyle name="Incorreto 106" xfId="9912" xr:uid="{00000000-0005-0000-0000-00003C2A0000}"/>
    <cellStyle name="Incorreto 107" xfId="9913" xr:uid="{00000000-0005-0000-0000-00003D2A0000}"/>
    <cellStyle name="Incorreto 108" xfId="9914" xr:uid="{00000000-0005-0000-0000-00003E2A0000}"/>
    <cellStyle name="Incorreto 109" xfId="9915" xr:uid="{00000000-0005-0000-0000-00003F2A0000}"/>
    <cellStyle name="Incorreto 11" xfId="9916" xr:uid="{00000000-0005-0000-0000-0000402A0000}"/>
    <cellStyle name="Incorreto 11 2" xfId="40601" xr:uid="{00000000-0005-0000-0000-0000412A0000}"/>
    <cellStyle name="Incorreto 110" xfId="9917" xr:uid="{00000000-0005-0000-0000-0000422A0000}"/>
    <cellStyle name="Incorreto 111" xfId="9918" xr:uid="{00000000-0005-0000-0000-0000432A0000}"/>
    <cellStyle name="Incorreto 112" xfId="9919" xr:uid="{00000000-0005-0000-0000-0000442A0000}"/>
    <cellStyle name="Incorreto 113" xfId="9920" xr:uid="{00000000-0005-0000-0000-0000452A0000}"/>
    <cellStyle name="Incorreto 114" xfId="9921" xr:uid="{00000000-0005-0000-0000-0000462A0000}"/>
    <cellStyle name="Incorreto 115" xfId="9922" xr:uid="{00000000-0005-0000-0000-0000472A0000}"/>
    <cellStyle name="Incorreto 116" xfId="9923" xr:uid="{00000000-0005-0000-0000-0000482A0000}"/>
    <cellStyle name="Incorreto 117" xfId="9924" xr:uid="{00000000-0005-0000-0000-0000492A0000}"/>
    <cellStyle name="Incorreto 118" xfId="9925" xr:uid="{00000000-0005-0000-0000-00004A2A0000}"/>
    <cellStyle name="Incorreto 119" xfId="9926" xr:uid="{00000000-0005-0000-0000-00004B2A0000}"/>
    <cellStyle name="Incorreto 12" xfId="9927" xr:uid="{00000000-0005-0000-0000-00004C2A0000}"/>
    <cellStyle name="Incorreto 12 2" xfId="40602" xr:uid="{00000000-0005-0000-0000-00004D2A0000}"/>
    <cellStyle name="Incorreto 120" xfId="9928" xr:uid="{00000000-0005-0000-0000-00004E2A0000}"/>
    <cellStyle name="Incorreto 121" xfId="9929" xr:uid="{00000000-0005-0000-0000-00004F2A0000}"/>
    <cellStyle name="Incorreto 122" xfId="9930" xr:uid="{00000000-0005-0000-0000-0000502A0000}"/>
    <cellStyle name="Incorreto 123" xfId="9931" xr:uid="{00000000-0005-0000-0000-0000512A0000}"/>
    <cellStyle name="Incorreto 124" xfId="9932" xr:uid="{00000000-0005-0000-0000-0000522A0000}"/>
    <cellStyle name="Incorreto 125" xfId="9933" xr:uid="{00000000-0005-0000-0000-0000532A0000}"/>
    <cellStyle name="Incorreto 126" xfId="9934" xr:uid="{00000000-0005-0000-0000-0000542A0000}"/>
    <cellStyle name="Incorreto 127" xfId="9935" xr:uid="{00000000-0005-0000-0000-0000552A0000}"/>
    <cellStyle name="Incorreto 128" xfId="9936" xr:uid="{00000000-0005-0000-0000-0000562A0000}"/>
    <cellStyle name="Incorreto 129" xfId="9937" xr:uid="{00000000-0005-0000-0000-0000572A0000}"/>
    <cellStyle name="Incorreto 13" xfId="9938" xr:uid="{00000000-0005-0000-0000-0000582A0000}"/>
    <cellStyle name="Incorreto 13 2" xfId="40603" xr:uid="{00000000-0005-0000-0000-0000592A0000}"/>
    <cellStyle name="Incorreto 130" xfId="9939" xr:uid="{00000000-0005-0000-0000-00005A2A0000}"/>
    <cellStyle name="Incorreto 131" xfId="9940" xr:uid="{00000000-0005-0000-0000-00005B2A0000}"/>
    <cellStyle name="Incorreto 132" xfId="9941" xr:uid="{00000000-0005-0000-0000-00005C2A0000}"/>
    <cellStyle name="Incorreto 133" xfId="9942" xr:uid="{00000000-0005-0000-0000-00005D2A0000}"/>
    <cellStyle name="Incorreto 134" xfId="9943" xr:uid="{00000000-0005-0000-0000-00005E2A0000}"/>
    <cellStyle name="Incorreto 135" xfId="9944" xr:uid="{00000000-0005-0000-0000-00005F2A0000}"/>
    <cellStyle name="Incorreto 136" xfId="9945" xr:uid="{00000000-0005-0000-0000-0000602A0000}"/>
    <cellStyle name="Incorreto 137" xfId="9946" xr:uid="{00000000-0005-0000-0000-0000612A0000}"/>
    <cellStyle name="Incorreto 138" xfId="9947" xr:uid="{00000000-0005-0000-0000-0000622A0000}"/>
    <cellStyle name="Incorreto 139" xfId="9948" xr:uid="{00000000-0005-0000-0000-0000632A0000}"/>
    <cellStyle name="Incorreto 14" xfId="9949" xr:uid="{00000000-0005-0000-0000-0000642A0000}"/>
    <cellStyle name="Incorreto 140" xfId="9950" xr:uid="{00000000-0005-0000-0000-0000652A0000}"/>
    <cellStyle name="Incorreto 141" xfId="9951" xr:uid="{00000000-0005-0000-0000-0000662A0000}"/>
    <cellStyle name="Incorreto 142" xfId="9952" xr:uid="{00000000-0005-0000-0000-0000672A0000}"/>
    <cellStyle name="Incorreto 143" xfId="9953" xr:uid="{00000000-0005-0000-0000-0000682A0000}"/>
    <cellStyle name="Incorreto 144" xfId="9954" xr:uid="{00000000-0005-0000-0000-0000692A0000}"/>
    <cellStyle name="Incorreto 145" xfId="9955" xr:uid="{00000000-0005-0000-0000-00006A2A0000}"/>
    <cellStyle name="Incorreto 146" xfId="9956" xr:uid="{00000000-0005-0000-0000-00006B2A0000}"/>
    <cellStyle name="Incorreto 147" xfId="9957" xr:uid="{00000000-0005-0000-0000-00006C2A0000}"/>
    <cellStyle name="Incorreto 148" xfId="9958" xr:uid="{00000000-0005-0000-0000-00006D2A0000}"/>
    <cellStyle name="Incorreto 149" xfId="9959" xr:uid="{00000000-0005-0000-0000-00006E2A0000}"/>
    <cellStyle name="Incorreto 15" xfId="9960" xr:uid="{00000000-0005-0000-0000-00006F2A0000}"/>
    <cellStyle name="Incorreto 15 2" xfId="9961" xr:uid="{00000000-0005-0000-0000-0000702A0000}"/>
    <cellStyle name="Incorreto 15 3" xfId="9962" xr:uid="{00000000-0005-0000-0000-0000712A0000}"/>
    <cellStyle name="Incorreto 150" xfId="9963" xr:uid="{00000000-0005-0000-0000-0000722A0000}"/>
    <cellStyle name="Incorreto 151" xfId="9964" xr:uid="{00000000-0005-0000-0000-0000732A0000}"/>
    <cellStyle name="Incorreto 152" xfId="9965" xr:uid="{00000000-0005-0000-0000-0000742A0000}"/>
    <cellStyle name="Incorreto 153" xfId="9966" xr:uid="{00000000-0005-0000-0000-0000752A0000}"/>
    <cellStyle name="Incorreto 154" xfId="9967" xr:uid="{00000000-0005-0000-0000-0000762A0000}"/>
    <cellStyle name="Incorreto 155" xfId="9968" xr:uid="{00000000-0005-0000-0000-0000772A0000}"/>
    <cellStyle name="Incorreto 156" xfId="9969" xr:uid="{00000000-0005-0000-0000-0000782A0000}"/>
    <cellStyle name="Incorreto 157" xfId="9970" xr:uid="{00000000-0005-0000-0000-0000792A0000}"/>
    <cellStyle name="Incorreto 158" xfId="9971" xr:uid="{00000000-0005-0000-0000-00007A2A0000}"/>
    <cellStyle name="Incorreto 159" xfId="9972" xr:uid="{00000000-0005-0000-0000-00007B2A0000}"/>
    <cellStyle name="Incorreto 16" xfId="9973" xr:uid="{00000000-0005-0000-0000-00007C2A0000}"/>
    <cellStyle name="Incorreto 16 2" xfId="9974" xr:uid="{00000000-0005-0000-0000-00007D2A0000}"/>
    <cellStyle name="Incorreto 16 3" xfId="9975" xr:uid="{00000000-0005-0000-0000-00007E2A0000}"/>
    <cellStyle name="Incorreto 160" xfId="9976" xr:uid="{00000000-0005-0000-0000-00007F2A0000}"/>
    <cellStyle name="Incorreto 161" xfId="9977" xr:uid="{00000000-0005-0000-0000-0000802A0000}"/>
    <cellStyle name="Incorreto 162" xfId="9978" xr:uid="{00000000-0005-0000-0000-0000812A0000}"/>
    <cellStyle name="Incorreto 163" xfId="9979" xr:uid="{00000000-0005-0000-0000-0000822A0000}"/>
    <cellStyle name="Incorreto 164" xfId="9980" xr:uid="{00000000-0005-0000-0000-0000832A0000}"/>
    <cellStyle name="Incorreto 165" xfId="9981" xr:uid="{00000000-0005-0000-0000-0000842A0000}"/>
    <cellStyle name="Incorreto 166" xfId="9982" xr:uid="{00000000-0005-0000-0000-0000852A0000}"/>
    <cellStyle name="Incorreto 167" xfId="9983" xr:uid="{00000000-0005-0000-0000-0000862A0000}"/>
    <cellStyle name="Incorreto 168" xfId="9984" xr:uid="{00000000-0005-0000-0000-0000872A0000}"/>
    <cellStyle name="Incorreto 169" xfId="9985" xr:uid="{00000000-0005-0000-0000-0000882A0000}"/>
    <cellStyle name="Incorreto 17" xfId="9986" xr:uid="{00000000-0005-0000-0000-0000892A0000}"/>
    <cellStyle name="Incorreto 17 2" xfId="9987" xr:uid="{00000000-0005-0000-0000-00008A2A0000}"/>
    <cellStyle name="Incorreto 17 3" xfId="9988" xr:uid="{00000000-0005-0000-0000-00008B2A0000}"/>
    <cellStyle name="Incorreto 170" xfId="9989" xr:uid="{00000000-0005-0000-0000-00008C2A0000}"/>
    <cellStyle name="Incorreto 171" xfId="9990" xr:uid="{00000000-0005-0000-0000-00008D2A0000}"/>
    <cellStyle name="Incorreto 172" xfId="9991" xr:uid="{00000000-0005-0000-0000-00008E2A0000}"/>
    <cellStyle name="Incorreto 173" xfId="9992" xr:uid="{00000000-0005-0000-0000-00008F2A0000}"/>
    <cellStyle name="Incorreto 174" xfId="9993" xr:uid="{00000000-0005-0000-0000-0000902A0000}"/>
    <cellStyle name="Incorreto 175" xfId="9994" xr:uid="{00000000-0005-0000-0000-0000912A0000}"/>
    <cellStyle name="Incorreto 176" xfId="9995" xr:uid="{00000000-0005-0000-0000-0000922A0000}"/>
    <cellStyle name="Incorreto 177" xfId="9996" xr:uid="{00000000-0005-0000-0000-0000932A0000}"/>
    <cellStyle name="Incorreto 178" xfId="9997" xr:uid="{00000000-0005-0000-0000-0000942A0000}"/>
    <cellStyle name="Incorreto 179" xfId="9998" xr:uid="{00000000-0005-0000-0000-0000952A0000}"/>
    <cellStyle name="Incorreto 18" xfId="9999" xr:uid="{00000000-0005-0000-0000-0000962A0000}"/>
    <cellStyle name="Incorreto 18 2" xfId="10000" xr:uid="{00000000-0005-0000-0000-0000972A0000}"/>
    <cellStyle name="Incorreto 18 3" xfId="10001" xr:uid="{00000000-0005-0000-0000-0000982A0000}"/>
    <cellStyle name="Incorreto 180" xfId="10002" xr:uid="{00000000-0005-0000-0000-0000992A0000}"/>
    <cellStyle name="Incorreto 181" xfId="10003" xr:uid="{00000000-0005-0000-0000-00009A2A0000}"/>
    <cellStyle name="Incorreto 182" xfId="10004" xr:uid="{00000000-0005-0000-0000-00009B2A0000}"/>
    <cellStyle name="Incorreto 183" xfId="10005" xr:uid="{00000000-0005-0000-0000-00009C2A0000}"/>
    <cellStyle name="Incorreto 184" xfId="10006" xr:uid="{00000000-0005-0000-0000-00009D2A0000}"/>
    <cellStyle name="Incorreto 185" xfId="10007" xr:uid="{00000000-0005-0000-0000-00009E2A0000}"/>
    <cellStyle name="Incorreto 186" xfId="10008" xr:uid="{00000000-0005-0000-0000-00009F2A0000}"/>
    <cellStyle name="Incorreto 187" xfId="10009" xr:uid="{00000000-0005-0000-0000-0000A02A0000}"/>
    <cellStyle name="Incorreto 188" xfId="10010" xr:uid="{00000000-0005-0000-0000-0000A12A0000}"/>
    <cellStyle name="Incorreto 189" xfId="10011" xr:uid="{00000000-0005-0000-0000-0000A22A0000}"/>
    <cellStyle name="Incorreto 19" xfId="10012" xr:uid="{00000000-0005-0000-0000-0000A32A0000}"/>
    <cellStyle name="Incorreto 19 2" xfId="10013" xr:uid="{00000000-0005-0000-0000-0000A42A0000}"/>
    <cellStyle name="Incorreto 19 3" xfId="10014" xr:uid="{00000000-0005-0000-0000-0000A52A0000}"/>
    <cellStyle name="Incorreto 190" xfId="10015" xr:uid="{00000000-0005-0000-0000-0000A62A0000}"/>
    <cellStyle name="Incorreto 2" xfId="10016" xr:uid="{00000000-0005-0000-0000-0000A72A0000}"/>
    <cellStyle name="Incorreto 2 10" xfId="10017" xr:uid="{00000000-0005-0000-0000-0000A82A0000}"/>
    <cellStyle name="Incorreto 2 10 2" xfId="10018" xr:uid="{00000000-0005-0000-0000-0000A92A0000}"/>
    <cellStyle name="Incorreto 2 10 3" xfId="10019" xr:uid="{00000000-0005-0000-0000-0000AA2A0000}"/>
    <cellStyle name="Incorreto 2 10 4" xfId="10020" xr:uid="{00000000-0005-0000-0000-0000AB2A0000}"/>
    <cellStyle name="Incorreto 2 10 5" xfId="10021" xr:uid="{00000000-0005-0000-0000-0000AC2A0000}"/>
    <cellStyle name="Incorreto 2 10 6" xfId="10022" xr:uid="{00000000-0005-0000-0000-0000AD2A0000}"/>
    <cellStyle name="Incorreto 2 10 7" xfId="10023" xr:uid="{00000000-0005-0000-0000-0000AE2A0000}"/>
    <cellStyle name="Incorreto 2 11" xfId="10024" xr:uid="{00000000-0005-0000-0000-0000AF2A0000}"/>
    <cellStyle name="Incorreto 2 11 2" xfId="10025" xr:uid="{00000000-0005-0000-0000-0000B02A0000}"/>
    <cellStyle name="Incorreto 2 11 3" xfId="10026" xr:uid="{00000000-0005-0000-0000-0000B12A0000}"/>
    <cellStyle name="Incorreto 2 11 4" xfId="10027" xr:uid="{00000000-0005-0000-0000-0000B22A0000}"/>
    <cellStyle name="Incorreto 2 11 5" xfId="10028" xr:uid="{00000000-0005-0000-0000-0000B32A0000}"/>
    <cellStyle name="Incorreto 2 11 6" xfId="10029" xr:uid="{00000000-0005-0000-0000-0000B42A0000}"/>
    <cellStyle name="Incorreto 2 11 7" xfId="10030" xr:uid="{00000000-0005-0000-0000-0000B52A0000}"/>
    <cellStyle name="Incorreto 2 12" xfId="10031" xr:uid="{00000000-0005-0000-0000-0000B62A0000}"/>
    <cellStyle name="Incorreto 2 13" xfId="10032" xr:uid="{00000000-0005-0000-0000-0000B72A0000}"/>
    <cellStyle name="Incorreto 2 14" xfId="10033" xr:uid="{00000000-0005-0000-0000-0000B82A0000}"/>
    <cellStyle name="Incorreto 2 15" xfId="10034" xr:uid="{00000000-0005-0000-0000-0000B92A0000}"/>
    <cellStyle name="Incorreto 2 16" xfId="10035" xr:uid="{00000000-0005-0000-0000-0000BA2A0000}"/>
    <cellStyle name="Incorreto 2 17" xfId="10036" xr:uid="{00000000-0005-0000-0000-0000BB2A0000}"/>
    <cellStyle name="Incorreto 2 18" xfId="10037" xr:uid="{00000000-0005-0000-0000-0000BC2A0000}"/>
    <cellStyle name="Incorreto 2 19" xfId="10038" xr:uid="{00000000-0005-0000-0000-0000BD2A0000}"/>
    <cellStyle name="Incorreto 2 2" xfId="10039" xr:uid="{00000000-0005-0000-0000-0000BE2A0000}"/>
    <cellStyle name="Incorreto 2 20" xfId="10040" xr:uid="{00000000-0005-0000-0000-0000BF2A0000}"/>
    <cellStyle name="Incorreto 2 21" xfId="10041" xr:uid="{00000000-0005-0000-0000-0000C02A0000}"/>
    <cellStyle name="Incorreto 2 22" xfId="10042" xr:uid="{00000000-0005-0000-0000-0000C12A0000}"/>
    <cellStyle name="Incorreto 2 23" xfId="10043" xr:uid="{00000000-0005-0000-0000-0000C22A0000}"/>
    <cellStyle name="Incorreto 2 24" xfId="10044" xr:uid="{00000000-0005-0000-0000-0000C32A0000}"/>
    <cellStyle name="Incorreto 2 25" xfId="10045" xr:uid="{00000000-0005-0000-0000-0000C42A0000}"/>
    <cellStyle name="Incorreto 2 26" xfId="10046" xr:uid="{00000000-0005-0000-0000-0000C52A0000}"/>
    <cellStyle name="Incorreto 2 27" xfId="10047" xr:uid="{00000000-0005-0000-0000-0000C62A0000}"/>
    <cellStyle name="Incorreto 2 28" xfId="10048" xr:uid="{00000000-0005-0000-0000-0000C72A0000}"/>
    <cellStyle name="Incorreto 2 29" xfId="10049" xr:uid="{00000000-0005-0000-0000-0000C82A0000}"/>
    <cellStyle name="Incorreto 2 3" xfId="10050" xr:uid="{00000000-0005-0000-0000-0000C92A0000}"/>
    <cellStyle name="Incorreto 2 30" xfId="10051" xr:uid="{00000000-0005-0000-0000-0000CA2A0000}"/>
    <cellStyle name="Incorreto 2 31" xfId="10052" xr:uid="{00000000-0005-0000-0000-0000CB2A0000}"/>
    <cellStyle name="Incorreto 2 32" xfId="10053" xr:uid="{00000000-0005-0000-0000-0000CC2A0000}"/>
    <cellStyle name="Incorreto 2 33" xfId="10054" xr:uid="{00000000-0005-0000-0000-0000CD2A0000}"/>
    <cellStyle name="Incorreto 2 34" xfId="10055" xr:uid="{00000000-0005-0000-0000-0000CE2A0000}"/>
    <cellStyle name="Incorreto 2 35" xfId="10056" xr:uid="{00000000-0005-0000-0000-0000CF2A0000}"/>
    <cellStyle name="Incorreto 2 4" xfId="10057" xr:uid="{00000000-0005-0000-0000-0000D02A0000}"/>
    <cellStyle name="Incorreto 2 5" xfId="10058" xr:uid="{00000000-0005-0000-0000-0000D12A0000}"/>
    <cellStyle name="Incorreto 2 6" xfId="10059" xr:uid="{00000000-0005-0000-0000-0000D22A0000}"/>
    <cellStyle name="Incorreto 2 7" xfId="10060" xr:uid="{00000000-0005-0000-0000-0000D32A0000}"/>
    <cellStyle name="Incorreto 2 8" xfId="10061" xr:uid="{00000000-0005-0000-0000-0000D42A0000}"/>
    <cellStyle name="Incorreto 2 8 2" xfId="10062" xr:uid="{00000000-0005-0000-0000-0000D52A0000}"/>
    <cellStyle name="Incorreto 2 8 3" xfId="10063" xr:uid="{00000000-0005-0000-0000-0000D62A0000}"/>
    <cellStyle name="Incorreto 2 8 4" xfId="10064" xr:uid="{00000000-0005-0000-0000-0000D72A0000}"/>
    <cellStyle name="Incorreto 2 8 5" xfId="10065" xr:uid="{00000000-0005-0000-0000-0000D82A0000}"/>
    <cellStyle name="Incorreto 2 8 6" xfId="10066" xr:uid="{00000000-0005-0000-0000-0000D92A0000}"/>
    <cellStyle name="Incorreto 2 8 7" xfId="10067" xr:uid="{00000000-0005-0000-0000-0000DA2A0000}"/>
    <cellStyle name="Incorreto 2 9" xfId="10068" xr:uid="{00000000-0005-0000-0000-0000DB2A0000}"/>
    <cellStyle name="Incorreto 2 9 2" xfId="10069" xr:uid="{00000000-0005-0000-0000-0000DC2A0000}"/>
    <cellStyle name="Incorreto 2 9 3" xfId="10070" xr:uid="{00000000-0005-0000-0000-0000DD2A0000}"/>
    <cellStyle name="Incorreto 2 9 4" xfId="10071" xr:uid="{00000000-0005-0000-0000-0000DE2A0000}"/>
    <cellStyle name="Incorreto 2 9 5" xfId="10072" xr:uid="{00000000-0005-0000-0000-0000DF2A0000}"/>
    <cellStyle name="Incorreto 2 9 6" xfId="10073" xr:uid="{00000000-0005-0000-0000-0000E02A0000}"/>
    <cellStyle name="Incorreto 2 9 7" xfId="10074" xr:uid="{00000000-0005-0000-0000-0000E12A0000}"/>
    <cellStyle name="Incorreto 20" xfId="10075" xr:uid="{00000000-0005-0000-0000-0000E22A0000}"/>
    <cellStyle name="Incorreto 20 2" xfId="10076" xr:uid="{00000000-0005-0000-0000-0000E32A0000}"/>
    <cellStyle name="Incorreto 20 3" xfId="10077" xr:uid="{00000000-0005-0000-0000-0000E42A0000}"/>
    <cellStyle name="Incorreto 21" xfId="10078" xr:uid="{00000000-0005-0000-0000-0000E52A0000}"/>
    <cellStyle name="Incorreto 22" xfId="10079" xr:uid="{00000000-0005-0000-0000-0000E62A0000}"/>
    <cellStyle name="Incorreto 23" xfId="10080" xr:uid="{00000000-0005-0000-0000-0000E72A0000}"/>
    <cellStyle name="Incorreto 24" xfId="10081" xr:uid="{00000000-0005-0000-0000-0000E82A0000}"/>
    <cellStyle name="Incorreto 24 2" xfId="40954" xr:uid="{00000000-0005-0000-0000-0000E92A0000}"/>
    <cellStyle name="Incorreto 25" xfId="10082" xr:uid="{00000000-0005-0000-0000-0000EA2A0000}"/>
    <cellStyle name="Incorreto 25 2" xfId="40989" xr:uid="{00000000-0005-0000-0000-0000EB2A0000}"/>
    <cellStyle name="Incorreto 26" xfId="10083" xr:uid="{00000000-0005-0000-0000-0000EC2A0000}"/>
    <cellStyle name="Incorreto 26 10" xfId="10084" xr:uid="{00000000-0005-0000-0000-0000ED2A0000}"/>
    <cellStyle name="Incorreto 26 11" xfId="10085" xr:uid="{00000000-0005-0000-0000-0000EE2A0000}"/>
    <cellStyle name="Incorreto 26 12" xfId="10086" xr:uid="{00000000-0005-0000-0000-0000EF2A0000}"/>
    <cellStyle name="Incorreto 26 13" xfId="10087" xr:uid="{00000000-0005-0000-0000-0000F02A0000}"/>
    <cellStyle name="Incorreto 26 14" xfId="10088" xr:uid="{00000000-0005-0000-0000-0000F12A0000}"/>
    <cellStyle name="Incorreto 26 15" xfId="10089" xr:uid="{00000000-0005-0000-0000-0000F22A0000}"/>
    <cellStyle name="Incorreto 26 16" xfId="10090" xr:uid="{00000000-0005-0000-0000-0000F32A0000}"/>
    <cellStyle name="Incorreto 26 2" xfId="10091" xr:uid="{00000000-0005-0000-0000-0000F42A0000}"/>
    <cellStyle name="Incorreto 26 3" xfId="10092" xr:uid="{00000000-0005-0000-0000-0000F52A0000}"/>
    <cellStyle name="Incorreto 26 4" xfId="10093" xr:uid="{00000000-0005-0000-0000-0000F62A0000}"/>
    <cellStyle name="Incorreto 26 5" xfId="10094" xr:uid="{00000000-0005-0000-0000-0000F72A0000}"/>
    <cellStyle name="Incorreto 26 6" xfId="10095" xr:uid="{00000000-0005-0000-0000-0000F82A0000}"/>
    <cellStyle name="Incorreto 26 7" xfId="10096" xr:uid="{00000000-0005-0000-0000-0000F92A0000}"/>
    <cellStyle name="Incorreto 26 8" xfId="10097" xr:uid="{00000000-0005-0000-0000-0000FA2A0000}"/>
    <cellStyle name="Incorreto 26 9" xfId="10098" xr:uid="{00000000-0005-0000-0000-0000FB2A0000}"/>
    <cellStyle name="Incorreto 27" xfId="10099" xr:uid="{00000000-0005-0000-0000-0000FC2A0000}"/>
    <cellStyle name="Incorreto 27 10" xfId="10100" xr:uid="{00000000-0005-0000-0000-0000FD2A0000}"/>
    <cellStyle name="Incorreto 27 11" xfId="10101" xr:uid="{00000000-0005-0000-0000-0000FE2A0000}"/>
    <cellStyle name="Incorreto 27 12" xfId="10102" xr:uid="{00000000-0005-0000-0000-0000FF2A0000}"/>
    <cellStyle name="Incorreto 27 13" xfId="10103" xr:uid="{00000000-0005-0000-0000-0000002B0000}"/>
    <cellStyle name="Incorreto 27 14" xfId="10104" xr:uid="{00000000-0005-0000-0000-0000012B0000}"/>
    <cellStyle name="Incorreto 27 15" xfId="10105" xr:uid="{00000000-0005-0000-0000-0000022B0000}"/>
    <cellStyle name="Incorreto 27 16" xfId="10106" xr:uid="{00000000-0005-0000-0000-0000032B0000}"/>
    <cellStyle name="Incorreto 27 2" xfId="10107" xr:uid="{00000000-0005-0000-0000-0000042B0000}"/>
    <cellStyle name="Incorreto 27 3" xfId="10108" xr:uid="{00000000-0005-0000-0000-0000052B0000}"/>
    <cellStyle name="Incorreto 27 4" xfId="10109" xr:uid="{00000000-0005-0000-0000-0000062B0000}"/>
    <cellStyle name="Incorreto 27 5" xfId="10110" xr:uid="{00000000-0005-0000-0000-0000072B0000}"/>
    <cellStyle name="Incorreto 27 6" xfId="10111" xr:uid="{00000000-0005-0000-0000-0000082B0000}"/>
    <cellStyle name="Incorreto 27 7" xfId="10112" xr:uid="{00000000-0005-0000-0000-0000092B0000}"/>
    <cellStyle name="Incorreto 27 8" xfId="10113" xr:uid="{00000000-0005-0000-0000-00000A2B0000}"/>
    <cellStyle name="Incorreto 27 9" xfId="10114" xr:uid="{00000000-0005-0000-0000-00000B2B0000}"/>
    <cellStyle name="Incorreto 28" xfId="10115" xr:uid="{00000000-0005-0000-0000-00000C2B0000}"/>
    <cellStyle name="Incorreto 28 10" xfId="10116" xr:uid="{00000000-0005-0000-0000-00000D2B0000}"/>
    <cellStyle name="Incorreto 28 11" xfId="10117" xr:uid="{00000000-0005-0000-0000-00000E2B0000}"/>
    <cellStyle name="Incorreto 28 12" xfId="10118" xr:uid="{00000000-0005-0000-0000-00000F2B0000}"/>
    <cellStyle name="Incorreto 28 13" xfId="10119" xr:uid="{00000000-0005-0000-0000-0000102B0000}"/>
    <cellStyle name="Incorreto 28 14" xfId="10120" xr:uid="{00000000-0005-0000-0000-0000112B0000}"/>
    <cellStyle name="Incorreto 28 15" xfId="10121" xr:uid="{00000000-0005-0000-0000-0000122B0000}"/>
    <cellStyle name="Incorreto 28 16" xfId="10122" xr:uid="{00000000-0005-0000-0000-0000132B0000}"/>
    <cellStyle name="Incorreto 28 2" xfId="10123" xr:uid="{00000000-0005-0000-0000-0000142B0000}"/>
    <cellStyle name="Incorreto 28 3" xfId="10124" xr:uid="{00000000-0005-0000-0000-0000152B0000}"/>
    <cellStyle name="Incorreto 28 4" xfId="10125" xr:uid="{00000000-0005-0000-0000-0000162B0000}"/>
    <cellStyle name="Incorreto 28 5" xfId="10126" xr:uid="{00000000-0005-0000-0000-0000172B0000}"/>
    <cellStyle name="Incorreto 28 6" xfId="10127" xr:uid="{00000000-0005-0000-0000-0000182B0000}"/>
    <cellStyle name="Incorreto 28 7" xfId="10128" xr:uid="{00000000-0005-0000-0000-0000192B0000}"/>
    <cellStyle name="Incorreto 28 8" xfId="10129" xr:uid="{00000000-0005-0000-0000-00001A2B0000}"/>
    <cellStyle name="Incorreto 28 9" xfId="10130" xr:uid="{00000000-0005-0000-0000-00001B2B0000}"/>
    <cellStyle name="Incorreto 29" xfId="10131" xr:uid="{00000000-0005-0000-0000-00001C2B0000}"/>
    <cellStyle name="Incorreto 29 10" xfId="10132" xr:uid="{00000000-0005-0000-0000-00001D2B0000}"/>
    <cellStyle name="Incorreto 29 11" xfId="10133" xr:uid="{00000000-0005-0000-0000-00001E2B0000}"/>
    <cellStyle name="Incorreto 29 12" xfId="10134" xr:uid="{00000000-0005-0000-0000-00001F2B0000}"/>
    <cellStyle name="Incorreto 29 13" xfId="10135" xr:uid="{00000000-0005-0000-0000-0000202B0000}"/>
    <cellStyle name="Incorreto 29 14" xfId="10136" xr:uid="{00000000-0005-0000-0000-0000212B0000}"/>
    <cellStyle name="Incorreto 29 15" xfId="10137" xr:uid="{00000000-0005-0000-0000-0000222B0000}"/>
    <cellStyle name="Incorreto 29 16" xfId="10138" xr:uid="{00000000-0005-0000-0000-0000232B0000}"/>
    <cellStyle name="Incorreto 29 2" xfId="10139" xr:uid="{00000000-0005-0000-0000-0000242B0000}"/>
    <cellStyle name="Incorreto 29 3" xfId="10140" xr:uid="{00000000-0005-0000-0000-0000252B0000}"/>
    <cellStyle name="Incorreto 29 4" xfId="10141" xr:uid="{00000000-0005-0000-0000-0000262B0000}"/>
    <cellStyle name="Incorreto 29 5" xfId="10142" xr:uid="{00000000-0005-0000-0000-0000272B0000}"/>
    <cellStyle name="Incorreto 29 6" xfId="10143" xr:uid="{00000000-0005-0000-0000-0000282B0000}"/>
    <cellStyle name="Incorreto 29 7" xfId="10144" xr:uid="{00000000-0005-0000-0000-0000292B0000}"/>
    <cellStyle name="Incorreto 29 8" xfId="10145" xr:uid="{00000000-0005-0000-0000-00002A2B0000}"/>
    <cellStyle name="Incorreto 29 9" xfId="10146" xr:uid="{00000000-0005-0000-0000-00002B2B0000}"/>
    <cellStyle name="Incorreto 3" xfId="10147" xr:uid="{00000000-0005-0000-0000-00002C2B0000}"/>
    <cellStyle name="Incorreto 3 10" xfId="10148" xr:uid="{00000000-0005-0000-0000-00002D2B0000}"/>
    <cellStyle name="Incorreto 3 11" xfId="10149" xr:uid="{00000000-0005-0000-0000-00002E2B0000}"/>
    <cellStyle name="Incorreto 3 2" xfId="10150" xr:uid="{00000000-0005-0000-0000-00002F2B0000}"/>
    <cellStyle name="Incorreto 3 3" xfId="10151" xr:uid="{00000000-0005-0000-0000-0000302B0000}"/>
    <cellStyle name="Incorreto 3 4" xfId="10152" xr:uid="{00000000-0005-0000-0000-0000312B0000}"/>
    <cellStyle name="Incorreto 3 5" xfId="10153" xr:uid="{00000000-0005-0000-0000-0000322B0000}"/>
    <cellStyle name="Incorreto 3 6" xfId="10154" xr:uid="{00000000-0005-0000-0000-0000332B0000}"/>
    <cellStyle name="Incorreto 3 7" xfId="10155" xr:uid="{00000000-0005-0000-0000-0000342B0000}"/>
    <cellStyle name="Incorreto 3 8" xfId="10156" xr:uid="{00000000-0005-0000-0000-0000352B0000}"/>
    <cellStyle name="Incorreto 3 9" xfId="10157" xr:uid="{00000000-0005-0000-0000-0000362B0000}"/>
    <cellStyle name="Incorreto 30" xfId="10158" xr:uid="{00000000-0005-0000-0000-0000372B0000}"/>
    <cellStyle name="Incorreto 31" xfId="10159" xr:uid="{00000000-0005-0000-0000-0000382B0000}"/>
    <cellStyle name="Incorreto 32" xfId="10160" xr:uid="{00000000-0005-0000-0000-0000392B0000}"/>
    <cellStyle name="Incorreto 33" xfId="10161" xr:uid="{00000000-0005-0000-0000-00003A2B0000}"/>
    <cellStyle name="Incorreto 34" xfId="10162" xr:uid="{00000000-0005-0000-0000-00003B2B0000}"/>
    <cellStyle name="Incorreto 35" xfId="10163" xr:uid="{00000000-0005-0000-0000-00003C2B0000}"/>
    <cellStyle name="Incorreto 36" xfId="10164" xr:uid="{00000000-0005-0000-0000-00003D2B0000}"/>
    <cellStyle name="Incorreto 37" xfId="10165" xr:uid="{00000000-0005-0000-0000-00003E2B0000}"/>
    <cellStyle name="Incorreto 38" xfId="10166" xr:uid="{00000000-0005-0000-0000-00003F2B0000}"/>
    <cellStyle name="Incorreto 39" xfId="10167" xr:uid="{00000000-0005-0000-0000-0000402B0000}"/>
    <cellStyle name="Incorreto 4" xfId="10168" xr:uid="{00000000-0005-0000-0000-0000412B0000}"/>
    <cellStyle name="Incorreto 4 10" xfId="10169" xr:uid="{00000000-0005-0000-0000-0000422B0000}"/>
    <cellStyle name="Incorreto 4 11" xfId="10170" xr:uid="{00000000-0005-0000-0000-0000432B0000}"/>
    <cellStyle name="Incorreto 4 2" xfId="10171" xr:uid="{00000000-0005-0000-0000-0000442B0000}"/>
    <cellStyle name="Incorreto 4 3" xfId="10172" xr:uid="{00000000-0005-0000-0000-0000452B0000}"/>
    <cellStyle name="Incorreto 4 4" xfId="10173" xr:uid="{00000000-0005-0000-0000-0000462B0000}"/>
    <cellStyle name="Incorreto 4 5" xfId="10174" xr:uid="{00000000-0005-0000-0000-0000472B0000}"/>
    <cellStyle name="Incorreto 4 6" xfId="10175" xr:uid="{00000000-0005-0000-0000-0000482B0000}"/>
    <cellStyle name="Incorreto 4 7" xfId="10176" xr:uid="{00000000-0005-0000-0000-0000492B0000}"/>
    <cellStyle name="Incorreto 4 8" xfId="10177" xr:uid="{00000000-0005-0000-0000-00004A2B0000}"/>
    <cellStyle name="Incorreto 4 9" xfId="10178" xr:uid="{00000000-0005-0000-0000-00004B2B0000}"/>
    <cellStyle name="Incorreto 40" xfId="10179" xr:uid="{00000000-0005-0000-0000-00004C2B0000}"/>
    <cellStyle name="Incorreto 41" xfId="10180" xr:uid="{00000000-0005-0000-0000-00004D2B0000}"/>
    <cellStyle name="Incorreto 42" xfId="10181" xr:uid="{00000000-0005-0000-0000-00004E2B0000}"/>
    <cellStyle name="Incorreto 43" xfId="10182" xr:uid="{00000000-0005-0000-0000-00004F2B0000}"/>
    <cellStyle name="Incorreto 44" xfId="10183" xr:uid="{00000000-0005-0000-0000-0000502B0000}"/>
    <cellStyle name="Incorreto 45" xfId="10184" xr:uid="{00000000-0005-0000-0000-0000512B0000}"/>
    <cellStyle name="Incorreto 46" xfId="10185" xr:uid="{00000000-0005-0000-0000-0000522B0000}"/>
    <cellStyle name="Incorreto 47" xfId="10186" xr:uid="{00000000-0005-0000-0000-0000532B0000}"/>
    <cellStyle name="Incorreto 48" xfId="10187" xr:uid="{00000000-0005-0000-0000-0000542B0000}"/>
    <cellStyle name="Incorreto 49" xfId="10188" xr:uid="{00000000-0005-0000-0000-0000552B0000}"/>
    <cellStyle name="Incorreto 5" xfId="10189" xr:uid="{00000000-0005-0000-0000-0000562B0000}"/>
    <cellStyle name="Incorreto 5 2" xfId="10190" xr:uid="{00000000-0005-0000-0000-0000572B0000}"/>
    <cellStyle name="Incorreto 5 3" xfId="10191" xr:uid="{00000000-0005-0000-0000-0000582B0000}"/>
    <cellStyle name="Incorreto 5 4" xfId="10192" xr:uid="{00000000-0005-0000-0000-0000592B0000}"/>
    <cellStyle name="Incorreto 50" xfId="10193" xr:uid="{00000000-0005-0000-0000-00005A2B0000}"/>
    <cellStyle name="Incorreto 51" xfId="10194" xr:uid="{00000000-0005-0000-0000-00005B2B0000}"/>
    <cellStyle name="Incorreto 52" xfId="10195" xr:uid="{00000000-0005-0000-0000-00005C2B0000}"/>
    <cellStyle name="Incorreto 53" xfId="10196" xr:uid="{00000000-0005-0000-0000-00005D2B0000}"/>
    <cellStyle name="Incorreto 54" xfId="10197" xr:uid="{00000000-0005-0000-0000-00005E2B0000}"/>
    <cellStyle name="Incorreto 55" xfId="10198" xr:uid="{00000000-0005-0000-0000-00005F2B0000}"/>
    <cellStyle name="Incorreto 56" xfId="10199" xr:uid="{00000000-0005-0000-0000-0000602B0000}"/>
    <cellStyle name="Incorreto 57" xfId="10200" xr:uid="{00000000-0005-0000-0000-0000612B0000}"/>
    <cellStyle name="Incorreto 58" xfId="10201" xr:uid="{00000000-0005-0000-0000-0000622B0000}"/>
    <cellStyle name="Incorreto 59" xfId="10202" xr:uid="{00000000-0005-0000-0000-0000632B0000}"/>
    <cellStyle name="Incorreto 6" xfId="10203" xr:uid="{00000000-0005-0000-0000-0000642B0000}"/>
    <cellStyle name="Incorreto 6 2" xfId="10204" xr:uid="{00000000-0005-0000-0000-0000652B0000}"/>
    <cellStyle name="Incorreto 6 3" xfId="10205" xr:uid="{00000000-0005-0000-0000-0000662B0000}"/>
    <cellStyle name="Incorreto 6 4" xfId="10206" xr:uid="{00000000-0005-0000-0000-0000672B0000}"/>
    <cellStyle name="Incorreto 60" xfId="10207" xr:uid="{00000000-0005-0000-0000-0000682B0000}"/>
    <cellStyle name="Incorreto 61" xfId="10208" xr:uid="{00000000-0005-0000-0000-0000692B0000}"/>
    <cellStyle name="Incorreto 62" xfId="10209" xr:uid="{00000000-0005-0000-0000-00006A2B0000}"/>
    <cellStyle name="Incorreto 63" xfId="10210" xr:uid="{00000000-0005-0000-0000-00006B2B0000}"/>
    <cellStyle name="Incorreto 64" xfId="10211" xr:uid="{00000000-0005-0000-0000-00006C2B0000}"/>
    <cellStyle name="Incorreto 65" xfId="10212" xr:uid="{00000000-0005-0000-0000-00006D2B0000}"/>
    <cellStyle name="Incorreto 66" xfId="10213" xr:uid="{00000000-0005-0000-0000-00006E2B0000}"/>
    <cellStyle name="Incorreto 67" xfId="10214" xr:uid="{00000000-0005-0000-0000-00006F2B0000}"/>
    <cellStyle name="Incorreto 68" xfId="10215" xr:uid="{00000000-0005-0000-0000-0000702B0000}"/>
    <cellStyle name="Incorreto 69" xfId="10216" xr:uid="{00000000-0005-0000-0000-0000712B0000}"/>
    <cellStyle name="Incorreto 7" xfId="10217" xr:uid="{00000000-0005-0000-0000-0000722B0000}"/>
    <cellStyle name="Incorreto 7 2" xfId="10218" xr:uid="{00000000-0005-0000-0000-0000732B0000}"/>
    <cellStyle name="Incorreto 7 3" xfId="10219" xr:uid="{00000000-0005-0000-0000-0000742B0000}"/>
    <cellStyle name="Incorreto 7 4" xfId="10220" xr:uid="{00000000-0005-0000-0000-0000752B0000}"/>
    <cellStyle name="Incorreto 70" xfId="10221" xr:uid="{00000000-0005-0000-0000-0000762B0000}"/>
    <cellStyle name="Incorreto 71" xfId="10222" xr:uid="{00000000-0005-0000-0000-0000772B0000}"/>
    <cellStyle name="Incorreto 72" xfId="10223" xr:uid="{00000000-0005-0000-0000-0000782B0000}"/>
    <cellStyle name="Incorreto 73" xfId="10224" xr:uid="{00000000-0005-0000-0000-0000792B0000}"/>
    <cellStyle name="Incorreto 74" xfId="10225" xr:uid="{00000000-0005-0000-0000-00007A2B0000}"/>
    <cellStyle name="Incorreto 75" xfId="10226" xr:uid="{00000000-0005-0000-0000-00007B2B0000}"/>
    <cellStyle name="Incorreto 76" xfId="10227" xr:uid="{00000000-0005-0000-0000-00007C2B0000}"/>
    <cellStyle name="Incorreto 77" xfId="10228" xr:uid="{00000000-0005-0000-0000-00007D2B0000}"/>
    <cellStyle name="Incorreto 78" xfId="10229" xr:uid="{00000000-0005-0000-0000-00007E2B0000}"/>
    <cellStyle name="Incorreto 79" xfId="10230" xr:uid="{00000000-0005-0000-0000-00007F2B0000}"/>
    <cellStyle name="Incorreto 8" xfId="10231" xr:uid="{00000000-0005-0000-0000-0000802B0000}"/>
    <cellStyle name="Incorreto 8 2" xfId="10232" xr:uid="{00000000-0005-0000-0000-0000812B0000}"/>
    <cellStyle name="Incorreto 8 3" xfId="10233" xr:uid="{00000000-0005-0000-0000-0000822B0000}"/>
    <cellStyle name="Incorreto 8 4" xfId="10234" xr:uid="{00000000-0005-0000-0000-0000832B0000}"/>
    <cellStyle name="Incorreto 80" xfId="10235" xr:uid="{00000000-0005-0000-0000-0000842B0000}"/>
    <cellStyle name="Incorreto 81" xfId="10236" xr:uid="{00000000-0005-0000-0000-0000852B0000}"/>
    <cellStyle name="Incorreto 82" xfId="10237" xr:uid="{00000000-0005-0000-0000-0000862B0000}"/>
    <cellStyle name="Incorreto 83" xfId="10238" xr:uid="{00000000-0005-0000-0000-0000872B0000}"/>
    <cellStyle name="Incorreto 84" xfId="10239" xr:uid="{00000000-0005-0000-0000-0000882B0000}"/>
    <cellStyle name="Incorreto 85" xfId="10240" xr:uid="{00000000-0005-0000-0000-0000892B0000}"/>
    <cellStyle name="Incorreto 86" xfId="10241" xr:uid="{00000000-0005-0000-0000-00008A2B0000}"/>
    <cellStyle name="Incorreto 87" xfId="10242" xr:uid="{00000000-0005-0000-0000-00008B2B0000}"/>
    <cellStyle name="Incorreto 88" xfId="10243" xr:uid="{00000000-0005-0000-0000-00008C2B0000}"/>
    <cellStyle name="Incorreto 89" xfId="10244" xr:uid="{00000000-0005-0000-0000-00008D2B0000}"/>
    <cellStyle name="Incorreto 9" xfId="10245" xr:uid="{00000000-0005-0000-0000-00008E2B0000}"/>
    <cellStyle name="Incorreto 90" xfId="10246" xr:uid="{00000000-0005-0000-0000-00008F2B0000}"/>
    <cellStyle name="Incorreto 91" xfId="10247" xr:uid="{00000000-0005-0000-0000-0000902B0000}"/>
    <cellStyle name="Incorreto 92" xfId="10248" xr:uid="{00000000-0005-0000-0000-0000912B0000}"/>
    <cellStyle name="Incorreto 93" xfId="10249" xr:uid="{00000000-0005-0000-0000-0000922B0000}"/>
    <cellStyle name="Incorreto 94" xfId="10250" xr:uid="{00000000-0005-0000-0000-0000932B0000}"/>
    <cellStyle name="Incorreto 95" xfId="10251" xr:uid="{00000000-0005-0000-0000-0000942B0000}"/>
    <cellStyle name="Incorreto 96" xfId="10252" xr:uid="{00000000-0005-0000-0000-0000952B0000}"/>
    <cellStyle name="Incorreto 97" xfId="10253" xr:uid="{00000000-0005-0000-0000-0000962B0000}"/>
    <cellStyle name="Incorreto 98" xfId="10254" xr:uid="{00000000-0005-0000-0000-0000972B0000}"/>
    <cellStyle name="Incorreto 99" xfId="10255" xr:uid="{00000000-0005-0000-0000-0000982B0000}"/>
    <cellStyle name="Indefinido" xfId="10256" xr:uid="{00000000-0005-0000-0000-0000992B0000}"/>
    <cellStyle name="Moeda" xfId="41059" builtinId="4"/>
    <cellStyle name="Moeda 2" xfId="10257" xr:uid="{00000000-0005-0000-0000-00009B2B0000}"/>
    <cellStyle name="Moeda 3" xfId="10258" xr:uid="{00000000-0005-0000-0000-00009C2B0000}"/>
    <cellStyle name="Moeda 4" xfId="29372" xr:uid="{00000000-0005-0000-0000-00009D2B0000}"/>
    <cellStyle name="Moeda 4 2" xfId="41053" xr:uid="{00000000-0005-0000-0000-00009E2B0000}"/>
    <cellStyle name="Moeda 5" xfId="40448" xr:uid="{00000000-0005-0000-0000-00009F2B0000}"/>
    <cellStyle name="Neutra 10" xfId="10259" xr:uid="{00000000-0005-0000-0000-0000A02B0000}"/>
    <cellStyle name="Neutra 10 2" xfId="40604" xr:uid="{00000000-0005-0000-0000-0000A12B0000}"/>
    <cellStyle name="Neutra 100" xfId="10260" xr:uid="{00000000-0005-0000-0000-0000A22B0000}"/>
    <cellStyle name="Neutra 101" xfId="10261" xr:uid="{00000000-0005-0000-0000-0000A32B0000}"/>
    <cellStyle name="Neutra 102" xfId="10262" xr:uid="{00000000-0005-0000-0000-0000A42B0000}"/>
    <cellStyle name="Neutra 103" xfId="10263" xr:uid="{00000000-0005-0000-0000-0000A52B0000}"/>
    <cellStyle name="Neutra 104" xfId="10264" xr:uid="{00000000-0005-0000-0000-0000A62B0000}"/>
    <cellStyle name="Neutra 105" xfId="10265" xr:uid="{00000000-0005-0000-0000-0000A72B0000}"/>
    <cellStyle name="Neutra 106" xfId="10266" xr:uid="{00000000-0005-0000-0000-0000A82B0000}"/>
    <cellStyle name="Neutra 107" xfId="10267" xr:uid="{00000000-0005-0000-0000-0000A92B0000}"/>
    <cellStyle name="Neutra 108" xfId="10268" xr:uid="{00000000-0005-0000-0000-0000AA2B0000}"/>
    <cellStyle name="Neutra 109" xfId="10269" xr:uid="{00000000-0005-0000-0000-0000AB2B0000}"/>
    <cellStyle name="Neutra 11" xfId="10270" xr:uid="{00000000-0005-0000-0000-0000AC2B0000}"/>
    <cellStyle name="Neutra 11 2" xfId="40605" xr:uid="{00000000-0005-0000-0000-0000AD2B0000}"/>
    <cellStyle name="Neutra 110" xfId="10271" xr:uid="{00000000-0005-0000-0000-0000AE2B0000}"/>
    <cellStyle name="Neutra 111" xfId="10272" xr:uid="{00000000-0005-0000-0000-0000AF2B0000}"/>
    <cellStyle name="Neutra 112" xfId="10273" xr:uid="{00000000-0005-0000-0000-0000B02B0000}"/>
    <cellStyle name="Neutra 113" xfId="10274" xr:uid="{00000000-0005-0000-0000-0000B12B0000}"/>
    <cellStyle name="Neutra 114" xfId="10275" xr:uid="{00000000-0005-0000-0000-0000B22B0000}"/>
    <cellStyle name="Neutra 115" xfId="10276" xr:uid="{00000000-0005-0000-0000-0000B32B0000}"/>
    <cellStyle name="Neutra 116" xfId="10277" xr:uid="{00000000-0005-0000-0000-0000B42B0000}"/>
    <cellStyle name="Neutra 117" xfId="10278" xr:uid="{00000000-0005-0000-0000-0000B52B0000}"/>
    <cellStyle name="Neutra 118" xfId="10279" xr:uid="{00000000-0005-0000-0000-0000B62B0000}"/>
    <cellStyle name="Neutra 119" xfId="10280" xr:uid="{00000000-0005-0000-0000-0000B72B0000}"/>
    <cellStyle name="Neutra 12" xfId="10281" xr:uid="{00000000-0005-0000-0000-0000B82B0000}"/>
    <cellStyle name="Neutra 12 2" xfId="40606" xr:uid="{00000000-0005-0000-0000-0000B92B0000}"/>
    <cellStyle name="Neutra 120" xfId="10282" xr:uid="{00000000-0005-0000-0000-0000BA2B0000}"/>
    <cellStyle name="Neutra 121" xfId="10283" xr:uid="{00000000-0005-0000-0000-0000BB2B0000}"/>
    <cellStyle name="Neutra 122" xfId="10284" xr:uid="{00000000-0005-0000-0000-0000BC2B0000}"/>
    <cellStyle name="Neutra 123" xfId="10285" xr:uid="{00000000-0005-0000-0000-0000BD2B0000}"/>
    <cellStyle name="Neutra 124" xfId="10286" xr:uid="{00000000-0005-0000-0000-0000BE2B0000}"/>
    <cellStyle name="Neutra 125" xfId="10287" xr:uid="{00000000-0005-0000-0000-0000BF2B0000}"/>
    <cellStyle name="Neutra 126" xfId="10288" xr:uid="{00000000-0005-0000-0000-0000C02B0000}"/>
    <cellStyle name="Neutra 127" xfId="10289" xr:uid="{00000000-0005-0000-0000-0000C12B0000}"/>
    <cellStyle name="Neutra 128" xfId="10290" xr:uid="{00000000-0005-0000-0000-0000C22B0000}"/>
    <cellStyle name="Neutra 129" xfId="10291" xr:uid="{00000000-0005-0000-0000-0000C32B0000}"/>
    <cellStyle name="Neutra 13" xfId="10292" xr:uid="{00000000-0005-0000-0000-0000C42B0000}"/>
    <cellStyle name="Neutra 13 2" xfId="40607" xr:uid="{00000000-0005-0000-0000-0000C52B0000}"/>
    <cellStyle name="Neutra 130" xfId="10293" xr:uid="{00000000-0005-0000-0000-0000C62B0000}"/>
    <cellStyle name="Neutra 131" xfId="10294" xr:uid="{00000000-0005-0000-0000-0000C72B0000}"/>
    <cellStyle name="Neutra 132" xfId="10295" xr:uid="{00000000-0005-0000-0000-0000C82B0000}"/>
    <cellStyle name="Neutra 133" xfId="10296" xr:uid="{00000000-0005-0000-0000-0000C92B0000}"/>
    <cellStyle name="Neutra 134" xfId="10297" xr:uid="{00000000-0005-0000-0000-0000CA2B0000}"/>
    <cellStyle name="Neutra 135" xfId="10298" xr:uid="{00000000-0005-0000-0000-0000CB2B0000}"/>
    <cellStyle name="Neutra 136" xfId="10299" xr:uid="{00000000-0005-0000-0000-0000CC2B0000}"/>
    <cellStyle name="Neutra 137" xfId="10300" xr:uid="{00000000-0005-0000-0000-0000CD2B0000}"/>
    <cellStyle name="Neutra 138" xfId="10301" xr:uid="{00000000-0005-0000-0000-0000CE2B0000}"/>
    <cellStyle name="Neutra 139" xfId="10302" xr:uid="{00000000-0005-0000-0000-0000CF2B0000}"/>
    <cellStyle name="Neutra 14" xfId="10303" xr:uid="{00000000-0005-0000-0000-0000D02B0000}"/>
    <cellStyle name="Neutra 140" xfId="10304" xr:uid="{00000000-0005-0000-0000-0000D12B0000}"/>
    <cellStyle name="Neutra 141" xfId="10305" xr:uid="{00000000-0005-0000-0000-0000D22B0000}"/>
    <cellStyle name="Neutra 142" xfId="10306" xr:uid="{00000000-0005-0000-0000-0000D32B0000}"/>
    <cellStyle name="Neutra 143" xfId="10307" xr:uid="{00000000-0005-0000-0000-0000D42B0000}"/>
    <cellStyle name="Neutra 144" xfId="10308" xr:uid="{00000000-0005-0000-0000-0000D52B0000}"/>
    <cellStyle name="Neutra 145" xfId="10309" xr:uid="{00000000-0005-0000-0000-0000D62B0000}"/>
    <cellStyle name="Neutra 146" xfId="10310" xr:uid="{00000000-0005-0000-0000-0000D72B0000}"/>
    <cellStyle name="Neutra 147" xfId="10311" xr:uid="{00000000-0005-0000-0000-0000D82B0000}"/>
    <cellStyle name="Neutra 148" xfId="10312" xr:uid="{00000000-0005-0000-0000-0000D92B0000}"/>
    <cellStyle name="Neutra 149" xfId="10313" xr:uid="{00000000-0005-0000-0000-0000DA2B0000}"/>
    <cellStyle name="Neutra 15" xfId="10314" xr:uid="{00000000-0005-0000-0000-0000DB2B0000}"/>
    <cellStyle name="Neutra 15 2" xfId="10315" xr:uid="{00000000-0005-0000-0000-0000DC2B0000}"/>
    <cellStyle name="Neutra 15 3" xfId="10316" xr:uid="{00000000-0005-0000-0000-0000DD2B0000}"/>
    <cellStyle name="Neutra 150" xfId="10317" xr:uid="{00000000-0005-0000-0000-0000DE2B0000}"/>
    <cellStyle name="Neutra 151" xfId="10318" xr:uid="{00000000-0005-0000-0000-0000DF2B0000}"/>
    <cellStyle name="Neutra 152" xfId="10319" xr:uid="{00000000-0005-0000-0000-0000E02B0000}"/>
    <cellStyle name="Neutra 153" xfId="10320" xr:uid="{00000000-0005-0000-0000-0000E12B0000}"/>
    <cellStyle name="Neutra 154" xfId="10321" xr:uid="{00000000-0005-0000-0000-0000E22B0000}"/>
    <cellStyle name="Neutra 155" xfId="10322" xr:uid="{00000000-0005-0000-0000-0000E32B0000}"/>
    <cellStyle name="Neutra 156" xfId="10323" xr:uid="{00000000-0005-0000-0000-0000E42B0000}"/>
    <cellStyle name="Neutra 157" xfId="10324" xr:uid="{00000000-0005-0000-0000-0000E52B0000}"/>
    <cellStyle name="Neutra 158" xfId="10325" xr:uid="{00000000-0005-0000-0000-0000E62B0000}"/>
    <cellStyle name="Neutra 159" xfId="10326" xr:uid="{00000000-0005-0000-0000-0000E72B0000}"/>
    <cellStyle name="Neutra 16" xfId="10327" xr:uid="{00000000-0005-0000-0000-0000E82B0000}"/>
    <cellStyle name="Neutra 16 2" xfId="10328" xr:uid="{00000000-0005-0000-0000-0000E92B0000}"/>
    <cellStyle name="Neutra 16 3" xfId="10329" xr:uid="{00000000-0005-0000-0000-0000EA2B0000}"/>
    <cellStyle name="Neutra 160" xfId="10330" xr:uid="{00000000-0005-0000-0000-0000EB2B0000}"/>
    <cellStyle name="Neutra 161" xfId="10331" xr:uid="{00000000-0005-0000-0000-0000EC2B0000}"/>
    <cellStyle name="Neutra 162" xfId="10332" xr:uid="{00000000-0005-0000-0000-0000ED2B0000}"/>
    <cellStyle name="Neutra 163" xfId="10333" xr:uid="{00000000-0005-0000-0000-0000EE2B0000}"/>
    <cellStyle name="Neutra 164" xfId="10334" xr:uid="{00000000-0005-0000-0000-0000EF2B0000}"/>
    <cellStyle name="Neutra 165" xfId="10335" xr:uid="{00000000-0005-0000-0000-0000F02B0000}"/>
    <cellStyle name="Neutra 166" xfId="10336" xr:uid="{00000000-0005-0000-0000-0000F12B0000}"/>
    <cellStyle name="Neutra 167" xfId="10337" xr:uid="{00000000-0005-0000-0000-0000F22B0000}"/>
    <cellStyle name="Neutra 168" xfId="10338" xr:uid="{00000000-0005-0000-0000-0000F32B0000}"/>
    <cellStyle name="Neutra 169" xfId="10339" xr:uid="{00000000-0005-0000-0000-0000F42B0000}"/>
    <cellStyle name="Neutra 17" xfId="10340" xr:uid="{00000000-0005-0000-0000-0000F52B0000}"/>
    <cellStyle name="Neutra 17 2" xfId="10341" xr:uid="{00000000-0005-0000-0000-0000F62B0000}"/>
    <cellStyle name="Neutra 17 3" xfId="10342" xr:uid="{00000000-0005-0000-0000-0000F72B0000}"/>
    <cellStyle name="Neutra 170" xfId="10343" xr:uid="{00000000-0005-0000-0000-0000F82B0000}"/>
    <cellStyle name="Neutra 171" xfId="10344" xr:uid="{00000000-0005-0000-0000-0000F92B0000}"/>
    <cellStyle name="Neutra 172" xfId="10345" xr:uid="{00000000-0005-0000-0000-0000FA2B0000}"/>
    <cellStyle name="Neutra 173" xfId="10346" xr:uid="{00000000-0005-0000-0000-0000FB2B0000}"/>
    <cellStyle name="Neutra 174" xfId="10347" xr:uid="{00000000-0005-0000-0000-0000FC2B0000}"/>
    <cellStyle name="Neutra 175" xfId="10348" xr:uid="{00000000-0005-0000-0000-0000FD2B0000}"/>
    <cellStyle name="Neutra 176" xfId="10349" xr:uid="{00000000-0005-0000-0000-0000FE2B0000}"/>
    <cellStyle name="Neutra 177" xfId="10350" xr:uid="{00000000-0005-0000-0000-0000FF2B0000}"/>
    <cellStyle name="Neutra 178" xfId="10351" xr:uid="{00000000-0005-0000-0000-0000002C0000}"/>
    <cellStyle name="Neutra 179" xfId="10352" xr:uid="{00000000-0005-0000-0000-0000012C0000}"/>
    <cellStyle name="Neutra 18" xfId="10353" xr:uid="{00000000-0005-0000-0000-0000022C0000}"/>
    <cellStyle name="Neutra 18 2" xfId="10354" xr:uid="{00000000-0005-0000-0000-0000032C0000}"/>
    <cellStyle name="Neutra 18 3" xfId="10355" xr:uid="{00000000-0005-0000-0000-0000042C0000}"/>
    <cellStyle name="Neutra 180" xfId="10356" xr:uid="{00000000-0005-0000-0000-0000052C0000}"/>
    <cellStyle name="Neutra 181" xfId="10357" xr:uid="{00000000-0005-0000-0000-0000062C0000}"/>
    <cellStyle name="Neutra 182" xfId="10358" xr:uid="{00000000-0005-0000-0000-0000072C0000}"/>
    <cellStyle name="Neutra 183" xfId="10359" xr:uid="{00000000-0005-0000-0000-0000082C0000}"/>
    <cellStyle name="Neutra 184" xfId="10360" xr:uid="{00000000-0005-0000-0000-0000092C0000}"/>
    <cellStyle name="Neutra 185" xfId="10361" xr:uid="{00000000-0005-0000-0000-00000A2C0000}"/>
    <cellStyle name="Neutra 186" xfId="10362" xr:uid="{00000000-0005-0000-0000-00000B2C0000}"/>
    <cellStyle name="Neutra 187" xfId="10363" xr:uid="{00000000-0005-0000-0000-00000C2C0000}"/>
    <cellStyle name="Neutra 188" xfId="10364" xr:uid="{00000000-0005-0000-0000-00000D2C0000}"/>
    <cellStyle name="Neutra 189" xfId="10365" xr:uid="{00000000-0005-0000-0000-00000E2C0000}"/>
    <cellStyle name="Neutra 19" xfId="10366" xr:uid="{00000000-0005-0000-0000-00000F2C0000}"/>
    <cellStyle name="Neutra 19 2" xfId="10367" xr:uid="{00000000-0005-0000-0000-0000102C0000}"/>
    <cellStyle name="Neutra 19 3" xfId="10368" xr:uid="{00000000-0005-0000-0000-0000112C0000}"/>
    <cellStyle name="Neutra 190" xfId="10369" xr:uid="{00000000-0005-0000-0000-0000122C0000}"/>
    <cellStyle name="Neutra 2" xfId="10370" xr:uid="{00000000-0005-0000-0000-0000132C0000}"/>
    <cellStyle name="Neutra 2 10" xfId="10371" xr:uid="{00000000-0005-0000-0000-0000142C0000}"/>
    <cellStyle name="Neutra 2 10 2" xfId="10372" xr:uid="{00000000-0005-0000-0000-0000152C0000}"/>
    <cellStyle name="Neutra 2 10 3" xfId="10373" xr:uid="{00000000-0005-0000-0000-0000162C0000}"/>
    <cellStyle name="Neutra 2 10 4" xfId="10374" xr:uid="{00000000-0005-0000-0000-0000172C0000}"/>
    <cellStyle name="Neutra 2 10 5" xfId="10375" xr:uid="{00000000-0005-0000-0000-0000182C0000}"/>
    <cellStyle name="Neutra 2 10 6" xfId="10376" xr:uid="{00000000-0005-0000-0000-0000192C0000}"/>
    <cellStyle name="Neutra 2 10 7" xfId="10377" xr:uid="{00000000-0005-0000-0000-00001A2C0000}"/>
    <cellStyle name="Neutra 2 11" xfId="10378" xr:uid="{00000000-0005-0000-0000-00001B2C0000}"/>
    <cellStyle name="Neutra 2 11 2" xfId="10379" xr:uid="{00000000-0005-0000-0000-00001C2C0000}"/>
    <cellStyle name="Neutra 2 11 3" xfId="10380" xr:uid="{00000000-0005-0000-0000-00001D2C0000}"/>
    <cellStyle name="Neutra 2 11 4" xfId="10381" xr:uid="{00000000-0005-0000-0000-00001E2C0000}"/>
    <cellStyle name="Neutra 2 11 5" xfId="10382" xr:uid="{00000000-0005-0000-0000-00001F2C0000}"/>
    <cellStyle name="Neutra 2 11 6" xfId="10383" xr:uid="{00000000-0005-0000-0000-0000202C0000}"/>
    <cellStyle name="Neutra 2 11 7" xfId="10384" xr:uid="{00000000-0005-0000-0000-0000212C0000}"/>
    <cellStyle name="Neutra 2 12" xfId="10385" xr:uid="{00000000-0005-0000-0000-0000222C0000}"/>
    <cellStyle name="Neutra 2 13" xfId="10386" xr:uid="{00000000-0005-0000-0000-0000232C0000}"/>
    <cellStyle name="Neutra 2 14" xfId="10387" xr:uid="{00000000-0005-0000-0000-0000242C0000}"/>
    <cellStyle name="Neutra 2 15" xfId="10388" xr:uid="{00000000-0005-0000-0000-0000252C0000}"/>
    <cellStyle name="Neutra 2 16" xfId="10389" xr:uid="{00000000-0005-0000-0000-0000262C0000}"/>
    <cellStyle name="Neutra 2 17" xfId="10390" xr:uid="{00000000-0005-0000-0000-0000272C0000}"/>
    <cellStyle name="Neutra 2 18" xfId="10391" xr:uid="{00000000-0005-0000-0000-0000282C0000}"/>
    <cellStyle name="Neutra 2 19" xfId="10392" xr:uid="{00000000-0005-0000-0000-0000292C0000}"/>
    <cellStyle name="Neutra 2 2" xfId="10393" xr:uid="{00000000-0005-0000-0000-00002A2C0000}"/>
    <cellStyle name="Neutra 2 20" xfId="10394" xr:uid="{00000000-0005-0000-0000-00002B2C0000}"/>
    <cellStyle name="Neutra 2 21" xfId="10395" xr:uid="{00000000-0005-0000-0000-00002C2C0000}"/>
    <cellStyle name="Neutra 2 22" xfId="10396" xr:uid="{00000000-0005-0000-0000-00002D2C0000}"/>
    <cellStyle name="Neutra 2 23" xfId="10397" xr:uid="{00000000-0005-0000-0000-00002E2C0000}"/>
    <cellStyle name="Neutra 2 24" xfId="10398" xr:uid="{00000000-0005-0000-0000-00002F2C0000}"/>
    <cellStyle name="Neutra 2 25" xfId="10399" xr:uid="{00000000-0005-0000-0000-0000302C0000}"/>
    <cellStyle name="Neutra 2 26" xfId="10400" xr:uid="{00000000-0005-0000-0000-0000312C0000}"/>
    <cellStyle name="Neutra 2 27" xfId="10401" xr:uid="{00000000-0005-0000-0000-0000322C0000}"/>
    <cellStyle name="Neutra 2 28" xfId="10402" xr:uid="{00000000-0005-0000-0000-0000332C0000}"/>
    <cellStyle name="Neutra 2 29" xfId="10403" xr:uid="{00000000-0005-0000-0000-0000342C0000}"/>
    <cellStyle name="Neutra 2 3" xfId="10404" xr:uid="{00000000-0005-0000-0000-0000352C0000}"/>
    <cellStyle name="Neutra 2 30" xfId="10405" xr:uid="{00000000-0005-0000-0000-0000362C0000}"/>
    <cellStyle name="Neutra 2 31" xfId="10406" xr:uid="{00000000-0005-0000-0000-0000372C0000}"/>
    <cellStyle name="Neutra 2 32" xfId="10407" xr:uid="{00000000-0005-0000-0000-0000382C0000}"/>
    <cellStyle name="Neutra 2 33" xfId="10408" xr:uid="{00000000-0005-0000-0000-0000392C0000}"/>
    <cellStyle name="Neutra 2 34" xfId="10409" xr:uid="{00000000-0005-0000-0000-00003A2C0000}"/>
    <cellStyle name="Neutra 2 35" xfId="10410" xr:uid="{00000000-0005-0000-0000-00003B2C0000}"/>
    <cellStyle name="Neutra 2 4" xfId="10411" xr:uid="{00000000-0005-0000-0000-00003C2C0000}"/>
    <cellStyle name="Neutra 2 5" xfId="10412" xr:uid="{00000000-0005-0000-0000-00003D2C0000}"/>
    <cellStyle name="Neutra 2 6" xfId="10413" xr:uid="{00000000-0005-0000-0000-00003E2C0000}"/>
    <cellStyle name="Neutra 2 7" xfId="10414" xr:uid="{00000000-0005-0000-0000-00003F2C0000}"/>
    <cellStyle name="Neutra 2 8" xfId="10415" xr:uid="{00000000-0005-0000-0000-0000402C0000}"/>
    <cellStyle name="Neutra 2 8 2" xfId="10416" xr:uid="{00000000-0005-0000-0000-0000412C0000}"/>
    <cellStyle name="Neutra 2 8 3" xfId="10417" xr:uid="{00000000-0005-0000-0000-0000422C0000}"/>
    <cellStyle name="Neutra 2 8 4" xfId="10418" xr:uid="{00000000-0005-0000-0000-0000432C0000}"/>
    <cellStyle name="Neutra 2 8 5" xfId="10419" xr:uid="{00000000-0005-0000-0000-0000442C0000}"/>
    <cellStyle name="Neutra 2 8 6" xfId="10420" xr:uid="{00000000-0005-0000-0000-0000452C0000}"/>
    <cellStyle name="Neutra 2 8 7" xfId="10421" xr:uid="{00000000-0005-0000-0000-0000462C0000}"/>
    <cellStyle name="Neutra 2 9" xfId="10422" xr:uid="{00000000-0005-0000-0000-0000472C0000}"/>
    <cellStyle name="Neutra 2 9 2" xfId="10423" xr:uid="{00000000-0005-0000-0000-0000482C0000}"/>
    <cellStyle name="Neutra 2 9 3" xfId="10424" xr:uid="{00000000-0005-0000-0000-0000492C0000}"/>
    <cellStyle name="Neutra 2 9 4" xfId="10425" xr:uid="{00000000-0005-0000-0000-00004A2C0000}"/>
    <cellStyle name="Neutra 2 9 5" xfId="10426" xr:uid="{00000000-0005-0000-0000-00004B2C0000}"/>
    <cellStyle name="Neutra 2 9 6" xfId="10427" xr:uid="{00000000-0005-0000-0000-00004C2C0000}"/>
    <cellStyle name="Neutra 2 9 7" xfId="10428" xr:uid="{00000000-0005-0000-0000-00004D2C0000}"/>
    <cellStyle name="Neutra 20" xfId="10429" xr:uid="{00000000-0005-0000-0000-00004E2C0000}"/>
    <cellStyle name="Neutra 20 2" xfId="10430" xr:uid="{00000000-0005-0000-0000-00004F2C0000}"/>
    <cellStyle name="Neutra 20 3" xfId="10431" xr:uid="{00000000-0005-0000-0000-0000502C0000}"/>
    <cellStyle name="Neutra 21" xfId="10432" xr:uid="{00000000-0005-0000-0000-0000512C0000}"/>
    <cellStyle name="Neutra 22" xfId="10433" xr:uid="{00000000-0005-0000-0000-0000522C0000}"/>
    <cellStyle name="Neutra 23" xfId="10434" xr:uid="{00000000-0005-0000-0000-0000532C0000}"/>
    <cellStyle name="Neutra 24" xfId="10435" xr:uid="{00000000-0005-0000-0000-0000542C0000}"/>
    <cellStyle name="Neutra 24 2" xfId="40955" xr:uid="{00000000-0005-0000-0000-0000552C0000}"/>
    <cellStyle name="Neutra 25" xfId="10436" xr:uid="{00000000-0005-0000-0000-0000562C0000}"/>
    <cellStyle name="Neutra 25 2" xfId="40990" xr:uid="{00000000-0005-0000-0000-0000572C0000}"/>
    <cellStyle name="Neutra 26" xfId="10437" xr:uid="{00000000-0005-0000-0000-0000582C0000}"/>
    <cellStyle name="Neutra 26 10" xfId="10438" xr:uid="{00000000-0005-0000-0000-0000592C0000}"/>
    <cellStyle name="Neutra 26 11" xfId="10439" xr:uid="{00000000-0005-0000-0000-00005A2C0000}"/>
    <cellStyle name="Neutra 26 12" xfId="10440" xr:uid="{00000000-0005-0000-0000-00005B2C0000}"/>
    <cellStyle name="Neutra 26 13" xfId="10441" xr:uid="{00000000-0005-0000-0000-00005C2C0000}"/>
    <cellStyle name="Neutra 26 14" xfId="10442" xr:uid="{00000000-0005-0000-0000-00005D2C0000}"/>
    <cellStyle name="Neutra 26 15" xfId="10443" xr:uid="{00000000-0005-0000-0000-00005E2C0000}"/>
    <cellStyle name="Neutra 26 16" xfId="10444" xr:uid="{00000000-0005-0000-0000-00005F2C0000}"/>
    <cellStyle name="Neutra 26 2" xfId="10445" xr:uid="{00000000-0005-0000-0000-0000602C0000}"/>
    <cellStyle name="Neutra 26 3" xfId="10446" xr:uid="{00000000-0005-0000-0000-0000612C0000}"/>
    <cellStyle name="Neutra 26 4" xfId="10447" xr:uid="{00000000-0005-0000-0000-0000622C0000}"/>
    <cellStyle name="Neutra 26 5" xfId="10448" xr:uid="{00000000-0005-0000-0000-0000632C0000}"/>
    <cellStyle name="Neutra 26 6" xfId="10449" xr:uid="{00000000-0005-0000-0000-0000642C0000}"/>
    <cellStyle name="Neutra 26 7" xfId="10450" xr:uid="{00000000-0005-0000-0000-0000652C0000}"/>
    <cellStyle name="Neutra 26 8" xfId="10451" xr:uid="{00000000-0005-0000-0000-0000662C0000}"/>
    <cellStyle name="Neutra 26 9" xfId="10452" xr:uid="{00000000-0005-0000-0000-0000672C0000}"/>
    <cellStyle name="Neutra 27" xfId="10453" xr:uid="{00000000-0005-0000-0000-0000682C0000}"/>
    <cellStyle name="Neutra 27 10" xfId="10454" xr:uid="{00000000-0005-0000-0000-0000692C0000}"/>
    <cellStyle name="Neutra 27 11" xfId="10455" xr:uid="{00000000-0005-0000-0000-00006A2C0000}"/>
    <cellStyle name="Neutra 27 12" xfId="10456" xr:uid="{00000000-0005-0000-0000-00006B2C0000}"/>
    <cellStyle name="Neutra 27 13" xfId="10457" xr:uid="{00000000-0005-0000-0000-00006C2C0000}"/>
    <cellStyle name="Neutra 27 14" xfId="10458" xr:uid="{00000000-0005-0000-0000-00006D2C0000}"/>
    <cellStyle name="Neutra 27 15" xfId="10459" xr:uid="{00000000-0005-0000-0000-00006E2C0000}"/>
    <cellStyle name="Neutra 27 16" xfId="10460" xr:uid="{00000000-0005-0000-0000-00006F2C0000}"/>
    <cellStyle name="Neutra 27 2" xfId="10461" xr:uid="{00000000-0005-0000-0000-0000702C0000}"/>
    <cellStyle name="Neutra 27 3" xfId="10462" xr:uid="{00000000-0005-0000-0000-0000712C0000}"/>
    <cellStyle name="Neutra 27 4" xfId="10463" xr:uid="{00000000-0005-0000-0000-0000722C0000}"/>
    <cellStyle name="Neutra 27 5" xfId="10464" xr:uid="{00000000-0005-0000-0000-0000732C0000}"/>
    <cellStyle name="Neutra 27 6" xfId="10465" xr:uid="{00000000-0005-0000-0000-0000742C0000}"/>
    <cellStyle name="Neutra 27 7" xfId="10466" xr:uid="{00000000-0005-0000-0000-0000752C0000}"/>
    <cellStyle name="Neutra 27 8" xfId="10467" xr:uid="{00000000-0005-0000-0000-0000762C0000}"/>
    <cellStyle name="Neutra 27 9" xfId="10468" xr:uid="{00000000-0005-0000-0000-0000772C0000}"/>
    <cellStyle name="Neutra 28" xfId="10469" xr:uid="{00000000-0005-0000-0000-0000782C0000}"/>
    <cellStyle name="Neutra 28 10" xfId="10470" xr:uid="{00000000-0005-0000-0000-0000792C0000}"/>
    <cellStyle name="Neutra 28 11" xfId="10471" xr:uid="{00000000-0005-0000-0000-00007A2C0000}"/>
    <cellStyle name="Neutra 28 12" xfId="10472" xr:uid="{00000000-0005-0000-0000-00007B2C0000}"/>
    <cellStyle name="Neutra 28 13" xfId="10473" xr:uid="{00000000-0005-0000-0000-00007C2C0000}"/>
    <cellStyle name="Neutra 28 14" xfId="10474" xr:uid="{00000000-0005-0000-0000-00007D2C0000}"/>
    <cellStyle name="Neutra 28 15" xfId="10475" xr:uid="{00000000-0005-0000-0000-00007E2C0000}"/>
    <cellStyle name="Neutra 28 16" xfId="10476" xr:uid="{00000000-0005-0000-0000-00007F2C0000}"/>
    <cellStyle name="Neutra 28 2" xfId="10477" xr:uid="{00000000-0005-0000-0000-0000802C0000}"/>
    <cellStyle name="Neutra 28 3" xfId="10478" xr:uid="{00000000-0005-0000-0000-0000812C0000}"/>
    <cellStyle name="Neutra 28 4" xfId="10479" xr:uid="{00000000-0005-0000-0000-0000822C0000}"/>
    <cellStyle name="Neutra 28 5" xfId="10480" xr:uid="{00000000-0005-0000-0000-0000832C0000}"/>
    <cellStyle name="Neutra 28 6" xfId="10481" xr:uid="{00000000-0005-0000-0000-0000842C0000}"/>
    <cellStyle name="Neutra 28 7" xfId="10482" xr:uid="{00000000-0005-0000-0000-0000852C0000}"/>
    <cellStyle name="Neutra 28 8" xfId="10483" xr:uid="{00000000-0005-0000-0000-0000862C0000}"/>
    <cellStyle name="Neutra 28 9" xfId="10484" xr:uid="{00000000-0005-0000-0000-0000872C0000}"/>
    <cellStyle name="Neutra 29" xfId="10485" xr:uid="{00000000-0005-0000-0000-0000882C0000}"/>
    <cellStyle name="Neutra 29 10" xfId="10486" xr:uid="{00000000-0005-0000-0000-0000892C0000}"/>
    <cellStyle name="Neutra 29 11" xfId="10487" xr:uid="{00000000-0005-0000-0000-00008A2C0000}"/>
    <cellStyle name="Neutra 29 12" xfId="10488" xr:uid="{00000000-0005-0000-0000-00008B2C0000}"/>
    <cellStyle name="Neutra 29 13" xfId="10489" xr:uid="{00000000-0005-0000-0000-00008C2C0000}"/>
    <cellStyle name="Neutra 29 14" xfId="10490" xr:uid="{00000000-0005-0000-0000-00008D2C0000}"/>
    <cellStyle name="Neutra 29 15" xfId="10491" xr:uid="{00000000-0005-0000-0000-00008E2C0000}"/>
    <cellStyle name="Neutra 29 16" xfId="10492" xr:uid="{00000000-0005-0000-0000-00008F2C0000}"/>
    <cellStyle name="Neutra 29 2" xfId="10493" xr:uid="{00000000-0005-0000-0000-0000902C0000}"/>
    <cellStyle name="Neutra 29 3" xfId="10494" xr:uid="{00000000-0005-0000-0000-0000912C0000}"/>
    <cellStyle name="Neutra 29 4" xfId="10495" xr:uid="{00000000-0005-0000-0000-0000922C0000}"/>
    <cellStyle name="Neutra 29 5" xfId="10496" xr:uid="{00000000-0005-0000-0000-0000932C0000}"/>
    <cellStyle name="Neutra 29 6" xfId="10497" xr:uid="{00000000-0005-0000-0000-0000942C0000}"/>
    <cellStyle name="Neutra 29 7" xfId="10498" xr:uid="{00000000-0005-0000-0000-0000952C0000}"/>
    <cellStyle name="Neutra 29 8" xfId="10499" xr:uid="{00000000-0005-0000-0000-0000962C0000}"/>
    <cellStyle name="Neutra 29 9" xfId="10500" xr:uid="{00000000-0005-0000-0000-0000972C0000}"/>
    <cellStyle name="Neutra 3" xfId="10501" xr:uid="{00000000-0005-0000-0000-0000982C0000}"/>
    <cellStyle name="Neutra 3 10" xfId="10502" xr:uid="{00000000-0005-0000-0000-0000992C0000}"/>
    <cellStyle name="Neutra 3 11" xfId="10503" xr:uid="{00000000-0005-0000-0000-00009A2C0000}"/>
    <cellStyle name="Neutra 3 2" xfId="10504" xr:uid="{00000000-0005-0000-0000-00009B2C0000}"/>
    <cellStyle name="Neutra 3 3" xfId="10505" xr:uid="{00000000-0005-0000-0000-00009C2C0000}"/>
    <cellStyle name="Neutra 3 4" xfId="10506" xr:uid="{00000000-0005-0000-0000-00009D2C0000}"/>
    <cellStyle name="Neutra 3 5" xfId="10507" xr:uid="{00000000-0005-0000-0000-00009E2C0000}"/>
    <cellStyle name="Neutra 3 6" xfId="10508" xr:uid="{00000000-0005-0000-0000-00009F2C0000}"/>
    <cellStyle name="Neutra 3 7" xfId="10509" xr:uid="{00000000-0005-0000-0000-0000A02C0000}"/>
    <cellStyle name="Neutra 3 8" xfId="10510" xr:uid="{00000000-0005-0000-0000-0000A12C0000}"/>
    <cellStyle name="Neutra 3 9" xfId="10511" xr:uid="{00000000-0005-0000-0000-0000A22C0000}"/>
    <cellStyle name="Neutra 30" xfId="10512" xr:uid="{00000000-0005-0000-0000-0000A32C0000}"/>
    <cellStyle name="Neutra 31" xfId="10513" xr:uid="{00000000-0005-0000-0000-0000A42C0000}"/>
    <cellStyle name="Neutra 32" xfId="10514" xr:uid="{00000000-0005-0000-0000-0000A52C0000}"/>
    <cellStyle name="Neutra 33" xfId="10515" xr:uid="{00000000-0005-0000-0000-0000A62C0000}"/>
    <cellStyle name="Neutra 34" xfId="10516" xr:uid="{00000000-0005-0000-0000-0000A72C0000}"/>
    <cellStyle name="Neutra 35" xfId="10517" xr:uid="{00000000-0005-0000-0000-0000A82C0000}"/>
    <cellStyle name="Neutra 36" xfId="10518" xr:uid="{00000000-0005-0000-0000-0000A92C0000}"/>
    <cellStyle name="Neutra 37" xfId="10519" xr:uid="{00000000-0005-0000-0000-0000AA2C0000}"/>
    <cellStyle name="Neutra 38" xfId="10520" xr:uid="{00000000-0005-0000-0000-0000AB2C0000}"/>
    <cellStyle name="Neutra 39" xfId="10521" xr:uid="{00000000-0005-0000-0000-0000AC2C0000}"/>
    <cellStyle name="Neutra 4" xfId="10522" xr:uid="{00000000-0005-0000-0000-0000AD2C0000}"/>
    <cellStyle name="Neutra 4 10" xfId="10523" xr:uid="{00000000-0005-0000-0000-0000AE2C0000}"/>
    <cellStyle name="Neutra 4 11" xfId="10524" xr:uid="{00000000-0005-0000-0000-0000AF2C0000}"/>
    <cellStyle name="Neutra 4 2" xfId="10525" xr:uid="{00000000-0005-0000-0000-0000B02C0000}"/>
    <cellStyle name="Neutra 4 3" xfId="10526" xr:uid="{00000000-0005-0000-0000-0000B12C0000}"/>
    <cellStyle name="Neutra 4 4" xfId="10527" xr:uid="{00000000-0005-0000-0000-0000B22C0000}"/>
    <cellStyle name="Neutra 4 5" xfId="10528" xr:uid="{00000000-0005-0000-0000-0000B32C0000}"/>
    <cellStyle name="Neutra 4 6" xfId="10529" xr:uid="{00000000-0005-0000-0000-0000B42C0000}"/>
    <cellStyle name="Neutra 4 7" xfId="10530" xr:uid="{00000000-0005-0000-0000-0000B52C0000}"/>
    <cellStyle name="Neutra 4 8" xfId="10531" xr:uid="{00000000-0005-0000-0000-0000B62C0000}"/>
    <cellStyle name="Neutra 4 9" xfId="10532" xr:uid="{00000000-0005-0000-0000-0000B72C0000}"/>
    <cellStyle name="Neutra 40" xfId="10533" xr:uid="{00000000-0005-0000-0000-0000B82C0000}"/>
    <cellStyle name="Neutra 41" xfId="10534" xr:uid="{00000000-0005-0000-0000-0000B92C0000}"/>
    <cellStyle name="Neutra 42" xfId="10535" xr:uid="{00000000-0005-0000-0000-0000BA2C0000}"/>
    <cellStyle name="Neutra 43" xfId="10536" xr:uid="{00000000-0005-0000-0000-0000BB2C0000}"/>
    <cellStyle name="Neutra 44" xfId="10537" xr:uid="{00000000-0005-0000-0000-0000BC2C0000}"/>
    <cellStyle name="Neutra 45" xfId="10538" xr:uid="{00000000-0005-0000-0000-0000BD2C0000}"/>
    <cellStyle name="Neutra 46" xfId="10539" xr:uid="{00000000-0005-0000-0000-0000BE2C0000}"/>
    <cellStyle name="Neutra 47" xfId="10540" xr:uid="{00000000-0005-0000-0000-0000BF2C0000}"/>
    <cellStyle name="Neutra 48" xfId="10541" xr:uid="{00000000-0005-0000-0000-0000C02C0000}"/>
    <cellStyle name="Neutra 49" xfId="10542" xr:uid="{00000000-0005-0000-0000-0000C12C0000}"/>
    <cellStyle name="Neutra 5" xfId="10543" xr:uid="{00000000-0005-0000-0000-0000C22C0000}"/>
    <cellStyle name="Neutra 5 2" xfId="10544" xr:uid="{00000000-0005-0000-0000-0000C32C0000}"/>
    <cellStyle name="Neutra 5 3" xfId="10545" xr:uid="{00000000-0005-0000-0000-0000C42C0000}"/>
    <cellStyle name="Neutra 5 4" xfId="10546" xr:uid="{00000000-0005-0000-0000-0000C52C0000}"/>
    <cellStyle name="Neutra 50" xfId="10547" xr:uid="{00000000-0005-0000-0000-0000C62C0000}"/>
    <cellStyle name="Neutra 51" xfId="10548" xr:uid="{00000000-0005-0000-0000-0000C72C0000}"/>
    <cellStyle name="Neutra 52" xfId="10549" xr:uid="{00000000-0005-0000-0000-0000C82C0000}"/>
    <cellStyle name="Neutra 53" xfId="10550" xr:uid="{00000000-0005-0000-0000-0000C92C0000}"/>
    <cellStyle name="Neutra 54" xfId="10551" xr:uid="{00000000-0005-0000-0000-0000CA2C0000}"/>
    <cellStyle name="Neutra 55" xfId="10552" xr:uid="{00000000-0005-0000-0000-0000CB2C0000}"/>
    <cellStyle name="Neutra 56" xfId="10553" xr:uid="{00000000-0005-0000-0000-0000CC2C0000}"/>
    <cellStyle name="Neutra 57" xfId="10554" xr:uid="{00000000-0005-0000-0000-0000CD2C0000}"/>
    <cellStyle name="Neutra 58" xfId="10555" xr:uid="{00000000-0005-0000-0000-0000CE2C0000}"/>
    <cellStyle name="Neutra 59" xfId="10556" xr:uid="{00000000-0005-0000-0000-0000CF2C0000}"/>
    <cellStyle name="Neutra 6" xfId="10557" xr:uid="{00000000-0005-0000-0000-0000D02C0000}"/>
    <cellStyle name="Neutra 6 2" xfId="10558" xr:uid="{00000000-0005-0000-0000-0000D12C0000}"/>
    <cellStyle name="Neutra 6 3" xfId="10559" xr:uid="{00000000-0005-0000-0000-0000D22C0000}"/>
    <cellStyle name="Neutra 6 4" xfId="10560" xr:uid="{00000000-0005-0000-0000-0000D32C0000}"/>
    <cellStyle name="Neutra 60" xfId="10561" xr:uid="{00000000-0005-0000-0000-0000D42C0000}"/>
    <cellStyle name="Neutra 61" xfId="10562" xr:uid="{00000000-0005-0000-0000-0000D52C0000}"/>
    <cellStyle name="Neutra 62" xfId="10563" xr:uid="{00000000-0005-0000-0000-0000D62C0000}"/>
    <cellStyle name="Neutra 63" xfId="10564" xr:uid="{00000000-0005-0000-0000-0000D72C0000}"/>
    <cellStyle name="Neutra 64" xfId="10565" xr:uid="{00000000-0005-0000-0000-0000D82C0000}"/>
    <cellStyle name="Neutra 65" xfId="10566" xr:uid="{00000000-0005-0000-0000-0000D92C0000}"/>
    <cellStyle name="Neutra 66" xfId="10567" xr:uid="{00000000-0005-0000-0000-0000DA2C0000}"/>
    <cellStyle name="Neutra 67" xfId="10568" xr:uid="{00000000-0005-0000-0000-0000DB2C0000}"/>
    <cellStyle name="Neutra 68" xfId="10569" xr:uid="{00000000-0005-0000-0000-0000DC2C0000}"/>
    <cellStyle name="Neutra 69" xfId="10570" xr:uid="{00000000-0005-0000-0000-0000DD2C0000}"/>
    <cellStyle name="Neutra 7" xfId="10571" xr:uid="{00000000-0005-0000-0000-0000DE2C0000}"/>
    <cellStyle name="Neutra 7 2" xfId="10572" xr:uid="{00000000-0005-0000-0000-0000DF2C0000}"/>
    <cellStyle name="Neutra 7 3" xfId="10573" xr:uid="{00000000-0005-0000-0000-0000E02C0000}"/>
    <cellStyle name="Neutra 7 4" xfId="10574" xr:uid="{00000000-0005-0000-0000-0000E12C0000}"/>
    <cellStyle name="Neutra 70" xfId="10575" xr:uid="{00000000-0005-0000-0000-0000E22C0000}"/>
    <cellStyle name="Neutra 71" xfId="10576" xr:uid="{00000000-0005-0000-0000-0000E32C0000}"/>
    <cellStyle name="Neutra 72" xfId="10577" xr:uid="{00000000-0005-0000-0000-0000E42C0000}"/>
    <cellStyle name="Neutra 73" xfId="10578" xr:uid="{00000000-0005-0000-0000-0000E52C0000}"/>
    <cellStyle name="Neutra 74" xfId="10579" xr:uid="{00000000-0005-0000-0000-0000E62C0000}"/>
    <cellStyle name="Neutra 75" xfId="10580" xr:uid="{00000000-0005-0000-0000-0000E72C0000}"/>
    <cellStyle name="Neutra 76" xfId="10581" xr:uid="{00000000-0005-0000-0000-0000E82C0000}"/>
    <cellStyle name="Neutra 77" xfId="10582" xr:uid="{00000000-0005-0000-0000-0000E92C0000}"/>
    <cellStyle name="Neutra 78" xfId="10583" xr:uid="{00000000-0005-0000-0000-0000EA2C0000}"/>
    <cellStyle name="Neutra 79" xfId="10584" xr:uid="{00000000-0005-0000-0000-0000EB2C0000}"/>
    <cellStyle name="Neutra 8" xfId="10585" xr:uid="{00000000-0005-0000-0000-0000EC2C0000}"/>
    <cellStyle name="Neutra 8 2" xfId="10586" xr:uid="{00000000-0005-0000-0000-0000ED2C0000}"/>
    <cellStyle name="Neutra 8 3" xfId="10587" xr:uid="{00000000-0005-0000-0000-0000EE2C0000}"/>
    <cellStyle name="Neutra 8 4" xfId="10588" xr:uid="{00000000-0005-0000-0000-0000EF2C0000}"/>
    <cellStyle name="Neutra 80" xfId="10589" xr:uid="{00000000-0005-0000-0000-0000F02C0000}"/>
    <cellStyle name="Neutra 81" xfId="10590" xr:uid="{00000000-0005-0000-0000-0000F12C0000}"/>
    <cellStyle name="Neutra 82" xfId="10591" xr:uid="{00000000-0005-0000-0000-0000F22C0000}"/>
    <cellStyle name="Neutra 83" xfId="10592" xr:uid="{00000000-0005-0000-0000-0000F32C0000}"/>
    <cellStyle name="Neutra 84" xfId="10593" xr:uid="{00000000-0005-0000-0000-0000F42C0000}"/>
    <cellStyle name="Neutra 85" xfId="10594" xr:uid="{00000000-0005-0000-0000-0000F52C0000}"/>
    <cellStyle name="Neutra 86" xfId="10595" xr:uid="{00000000-0005-0000-0000-0000F62C0000}"/>
    <cellStyle name="Neutra 87" xfId="10596" xr:uid="{00000000-0005-0000-0000-0000F72C0000}"/>
    <cellStyle name="Neutra 88" xfId="10597" xr:uid="{00000000-0005-0000-0000-0000F82C0000}"/>
    <cellStyle name="Neutra 89" xfId="10598" xr:uid="{00000000-0005-0000-0000-0000F92C0000}"/>
    <cellStyle name="Neutra 9" xfId="10599" xr:uid="{00000000-0005-0000-0000-0000FA2C0000}"/>
    <cellStyle name="Neutra 90" xfId="10600" xr:uid="{00000000-0005-0000-0000-0000FB2C0000}"/>
    <cellStyle name="Neutra 91" xfId="10601" xr:uid="{00000000-0005-0000-0000-0000FC2C0000}"/>
    <cellStyle name="Neutra 92" xfId="10602" xr:uid="{00000000-0005-0000-0000-0000FD2C0000}"/>
    <cellStyle name="Neutra 93" xfId="10603" xr:uid="{00000000-0005-0000-0000-0000FE2C0000}"/>
    <cellStyle name="Neutra 94" xfId="10604" xr:uid="{00000000-0005-0000-0000-0000FF2C0000}"/>
    <cellStyle name="Neutra 95" xfId="10605" xr:uid="{00000000-0005-0000-0000-0000002D0000}"/>
    <cellStyle name="Neutra 96" xfId="10606" xr:uid="{00000000-0005-0000-0000-0000012D0000}"/>
    <cellStyle name="Neutra 97" xfId="10607" xr:uid="{00000000-0005-0000-0000-0000022D0000}"/>
    <cellStyle name="Neutra 98" xfId="10608" xr:uid="{00000000-0005-0000-0000-0000032D0000}"/>
    <cellStyle name="Neutra 99" xfId="10609" xr:uid="{00000000-0005-0000-0000-0000042D0000}"/>
    <cellStyle name="Normal" xfId="0" builtinId="0"/>
    <cellStyle name="Normal 10" xfId="10610" xr:uid="{00000000-0005-0000-0000-0000062D0000}"/>
    <cellStyle name="Normal 10 10" xfId="10611" xr:uid="{00000000-0005-0000-0000-0000072D0000}"/>
    <cellStyle name="Normal 10 11" xfId="10612" xr:uid="{00000000-0005-0000-0000-0000082D0000}"/>
    <cellStyle name="Normal 10 2" xfId="10613" xr:uid="{00000000-0005-0000-0000-0000092D0000}"/>
    <cellStyle name="Normal 10 2 2" xfId="10614" xr:uid="{00000000-0005-0000-0000-00000A2D0000}"/>
    <cellStyle name="Normal 10 2 3" xfId="10615" xr:uid="{00000000-0005-0000-0000-00000B2D0000}"/>
    <cellStyle name="Normal 10 2 4" xfId="10616" xr:uid="{00000000-0005-0000-0000-00000C2D0000}"/>
    <cellStyle name="Normal 10 2 5" xfId="10617" xr:uid="{00000000-0005-0000-0000-00000D2D0000}"/>
    <cellStyle name="Normal 10 2 6" xfId="10618" xr:uid="{00000000-0005-0000-0000-00000E2D0000}"/>
    <cellStyle name="Normal 10 2 7" xfId="10619" xr:uid="{00000000-0005-0000-0000-00000F2D0000}"/>
    <cellStyle name="Normal 10 3" xfId="10620" xr:uid="{00000000-0005-0000-0000-0000102D0000}"/>
    <cellStyle name="Normal 10 3 2" xfId="10621" xr:uid="{00000000-0005-0000-0000-0000112D0000}"/>
    <cellStyle name="Normal 10 4" xfId="10622" xr:uid="{00000000-0005-0000-0000-0000122D0000}"/>
    <cellStyle name="Normal 10 4 2" xfId="10623" xr:uid="{00000000-0005-0000-0000-0000132D0000}"/>
    <cellStyle name="Normal 10 5" xfId="10624" xr:uid="{00000000-0005-0000-0000-0000142D0000}"/>
    <cellStyle name="Normal 10 5 2" xfId="10625" xr:uid="{00000000-0005-0000-0000-0000152D0000}"/>
    <cellStyle name="Normal 10 6" xfId="10626" xr:uid="{00000000-0005-0000-0000-0000162D0000}"/>
    <cellStyle name="Normal 10 6 2" xfId="10627" xr:uid="{00000000-0005-0000-0000-0000172D0000}"/>
    <cellStyle name="Normal 10 7" xfId="10628" xr:uid="{00000000-0005-0000-0000-0000182D0000}"/>
    <cellStyle name="Normal 10 8" xfId="10629" xr:uid="{00000000-0005-0000-0000-0000192D0000}"/>
    <cellStyle name="Normal 10 9" xfId="10630" xr:uid="{00000000-0005-0000-0000-00001A2D0000}"/>
    <cellStyle name="Normal 11" xfId="10631" xr:uid="{00000000-0005-0000-0000-00001B2D0000}"/>
    <cellStyle name="Normal 11 10" xfId="10632" xr:uid="{00000000-0005-0000-0000-00001C2D0000}"/>
    <cellStyle name="Normal 11 2" xfId="10633" xr:uid="{00000000-0005-0000-0000-00001D2D0000}"/>
    <cellStyle name="Normal 11 2 10" xfId="10634" xr:uid="{00000000-0005-0000-0000-00001E2D0000}"/>
    <cellStyle name="Normal 11 2 11" xfId="10635" xr:uid="{00000000-0005-0000-0000-00001F2D0000}"/>
    <cellStyle name="Normal 11 2 12" xfId="10636" xr:uid="{00000000-0005-0000-0000-0000202D0000}"/>
    <cellStyle name="Normal 11 2 13" xfId="10637" xr:uid="{00000000-0005-0000-0000-0000212D0000}"/>
    <cellStyle name="Normal 11 2 14" xfId="10638" xr:uid="{00000000-0005-0000-0000-0000222D0000}"/>
    <cellStyle name="Normal 11 2 15" xfId="10639" xr:uid="{00000000-0005-0000-0000-0000232D0000}"/>
    <cellStyle name="Normal 11 2 16" xfId="10640" xr:uid="{00000000-0005-0000-0000-0000242D0000}"/>
    <cellStyle name="Normal 11 2 2" xfId="10641" xr:uid="{00000000-0005-0000-0000-0000252D0000}"/>
    <cellStyle name="Normal 11 2 3" xfId="10642" xr:uid="{00000000-0005-0000-0000-0000262D0000}"/>
    <cellStyle name="Normal 11 2 4" xfId="10643" xr:uid="{00000000-0005-0000-0000-0000272D0000}"/>
    <cellStyle name="Normal 11 2 5" xfId="10644" xr:uid="{00000000-0005-0000-0000-0000282D0000}"/>
    <cellStyle name="Normal 11 2 6" xfId="10645" xr:uid="{00000000-0005-0000-0000-0000292D0000}"/>
    <cellStyle name="Normal 11 2 7" xfId="10646" xr:uid="{00000000-0005-0000-0000-00002A2D0000}"/>
    <cellStyle name="Normal 11 2 8" xfId="10647" xr:uid="{00000000-0005-0000-0000-00002B2D0000}"/>
    <cellStyle name="Normal 11 2 9" xfId="10648" xr:uid="{00000000-0005-0000-0000-00002C2D0000}"/>
    <cellStyle name="Normal 11 3" xfId="10649" xr:uid="{00000000-0005-0000-0000-00002D2D0000}"/>
    <cellStyle name="Normal 11 3 10" xfId="10650" xr:uid="{00000000-0005-0000-0000-00002E2D0000}"/>
    <cellStyle name="Normal 11 3 11" xfId="10651" xr:uid="{00000000-0005-0000-0000-00002F2D0000}"/>
    <cellStyle name="Normal 11 3 12" xfId="10652" xr:uid="{00000000-0005-0000-0000-0000302D0000}"/>
    <cellStyle name="Normal 11 3 13" xfId="10653" xr:uid="{00000000-0005-0000-0000-0000312D0000}"/>
    <cellStyle name="Normal 11 3 14" xfId="10654" xr:uid="{00000000-0005-0000-0000-0000322D0000}"/>
    <cellStyle name="Normal 11 3 15" xfId="10655" xr:uid="{00000000-0005-0000-0000-0000332D0000}"/>
    <cellStyle name="Normal 11 3 16" xfId="10656" xr:uid="{00000000-0005-0000-0000-0000342D0000}"/>
    <cellStyle name="Normal 11 3 2" xfId="10657" xr:uid="{00000000-0005-0000-0000-0000352D0000}"/>
    <cellStyle name="Normal 11 3 3" xfId="10658" xr:uid="{00000000-0005-0000-0000-0000362D0000}"/>
    <cellStyle name="Normal 11 3 4" xfId="10659" xr:uid="{00000000-0005-0000-0000-0000372D0000}"/>
    <cellStyle name="Normal 11 3 5" xfId="10660" xr:uid="{00000000-0005-0000-0000-0000382D0000}"/>
    <cellStyle name="Normal 11 3 6" xfId="10661" xr:uid="{00000000-0005-0000-0000-0000392D0000}"/>
    <cellStyle name="Normal 11 3 7" xfId="10662" xr:uid="{00000000-0005-0000-0000-00003A2D0000}"/>
    <cellStyle name="Normal 11 3 8" xfId="10663" xr:uid="{00000000-0005-0000-0000-00003B2D0000}"/>
    <cellStyle name="Normal 11 3 9" xfId="10664" xr:uid="{00000000-0005-0000-0000-00003C2D0000}"/>
    <cellStyle name="Normal 11 4" xfId="10665" xr:uid="{00000000-0005-0000-0000-00003D2D0000}"/>
    <cellStyle name="Normal 11 4 10" xfId="10666" xr:uid="{00000000-0005-0000-0000-00003E2D0000}"/>
    <cellStyle name="Normal 11 4 11" xfId="10667" xr:uid="{00000000-0005-0000-0000-00003F2D0000}"/>
    <cellStyle name="Normal 11 4 12" xfId="10668" xr:uid="{00000000-0005-0000-0000-0000402D0000}"/>
    <cellStyle name="Normal 11 4 13" xfId="10669" xr:uid="{00000000-0005-0000-0000-0000412D0000}"/>
    <cellStyle name="Normal 11 4 14" xfId="10670" xr:uid="{00000000-0005-0000-0000-0000422D0000}"/>
    <cellStyle name="Normal 11 4 15" xfId="10671" xr:uid="{00000000-0005-0000-0000-0000432D0000}"/>
    <cellStyle name="Normal 11 4 16" xfId="10672" xr:uid="{00000000-0005-0000-0000-0000442D0000}"/>
    <cellStyle name="Normal 11 4 2" xfId="10673" xr:uid="{00000000-0005-0000-0000-0000452D0000}"/>
    <cellStyle name="Normal 11 4 3" xfId="10674" xr:uid="{00000000-0005-0000-0000-0000462D0000}"/>
    <cellStyle name="Normal 11 4 4" xfId="10675" xr:uid="{00000000-0005-0000-0000-0000472D0000}"/>
    <cellStyle name="Normal 11 4 5" xfId="10676" xr:uid="{00000000-0005-0000-0000-0000482D0000}"/>
    <cellStyle name="Normal 11 4 6" xfId="10677" xr:uid="{00000000-0005-0000-0000-0000492D0000}"/>
    <cellStyle name="Normal 11 4 7" xfId="10678" xr:uid="{00000000-0005-0000-0000-00004A2D0000}"/>
    <cellStyle name="Normal 11 4 8" xfId="10679" xr:uid="{00000000-0005-0000-0000-00004B2D0000}"/>
    <cellStyle name="Normal 11 4 9" xfId="10680" xr:uid="{00000000-0005-0000-0000-00004C2D0000}"/>
    <cellStyle name="Normal 11 5" xfId="10681" xr:uid="{00000000-0005-0000-0000-00004D2D0000}"/>
    <cellStyle name="Normal 11 5 10" xfId="10682" xr:uid="{00000000-0005-0000-0000-00004E2D0000}"/>
    <cellStyle name="Normal 11 5 11" xfId="10683" xr:uid="{00000000-0005-0000-0000-00004F2D0000}"/>
    <cellStyle name="Normal 11 5 12" xfId="10684" xr:uid="{00000000-0005-0000-0000-0000502D0000}"/>
    <cellStyle name="Normal 11 5 13" xfId="10685" xr:uid="{00000000-0005-0000-0000-0000512D0000}"/>
    <cellStyle name="Normal 11 5 14" xfId="10686" xr:uid="{00000000-0005-0000-0000-0000522D0000}"/>
    <cellStyle name="Normal 11 5 15" xfId="10687" xr:uid="{00000000-0005-0000-0000-0000532D0000}"/>
    <cellStyle name="Normal 11 5 16" xfId="10688" xr:uid="{00000000-0005-0000-0000-0000542D0000}"/>
    <cellStyle name="Normal 11 5 2" xfId="10689" xr:uid="{00000000-0005-0000-0000-0000552D0000}"/>
    <cellStyle name="Normal 11 5 3" xfId="10690" xr:uid="{00000000-0005-0000-0000-0000562D0000}"/>
    <cellStyle name="Normal 11 5 4" xfId="10691" xr:uid="{00000000-0005-0000-0000-0000572D0000}"/>
    <cellStyle name="Normal 11 5 5" xfId="10692" xr:uid="{00000000-0005-0000-0000-0000582D0000}"/>
    <cellStyle name="Normal 11 5 6" xfId="10693" xr:uid="{00000000-0005-0000-0000-0000592D0000}"/>
    <cellStyle name="Normal 11 5 7" xfId="10694" xr:uid="{00000000-0005-0000-0000-00005A2D0000}"/>
    <cellStyle name="Normal 11 5 8" xfId="10695" xr:uid="{00000000-0005-0000-0000-00005B2D0000}"/>
    <cellStyle name="Normal 11 5 9" xfId="10696" xr:uid="{00000000-0005-0000-0000-00005C2D0000}"/>
    <cellStyle name="Normal 11 6" xfId="10697" xr:uid="{00000000-0005-0000-0000-00005D2D0000}"/>
    <cellStyle name="Normal 11 7" xfId="10698" xr:uid="{00000000-0005-0000-0000-00005E2D0000}"/>
    <cellStyle name="Normal 11 8" xfId="10699" xr:uid="{00000000-0005-0000-0000-00005F2D0000}"/>
    <cellStyle name="Normal 11 9" xfId="10700" xr:uid="{00000000-0005-0000-0000-0000602D0000}"/>
    <cellStyle name="Normal 12" xfId="10701" xr:uid="{00000000-0005-0000-0000-0000612D0000}"/>
    <cellStyle name="Normal 12 2" xfId="10702" xr:uid="{00000000-0005-0000-0000-0000622D0000}"/>
    <cellStyle name="Normal 12 2 2" xfId="10703" xr:uid="{00000000-0005-0000-0000-0000632D0000}"/>
    <cellStyle name="Normal 12 2 3" xfId="10704" xr:uid="{00000000-0005-0000-0000-0000642D0000}"/>
    <cellStyle name="Normal 12 2 4" xfId="10705" xr:uid="{00000000-0005-0000-0000-0000652D0000}"/>
    <cellStyle name="Normal 12 2 5" xfId="10706" xr:uid="{00000000-0005-0000-0000-0000662D0000}"/>
    <cellStyle name="Normal 12 2 6" xfId="10707" xr:uid="{00000000-0005-0000-0000-0000672D0000}"/>
    <cellStyle name="Normal 12 2 7" xfId="10708" xr:uid="{00000000-0005-0000-0000-0000682D0000}"/>
    <cellStyle name="Normal 12 3" xfId="10709" xr:uid="{00000000-0005-0000-0000-0000692D0000}"/>
    <cellStyle name="Normal 12 4" xfId="10710" xr:uid="{00000000-0005-0000-0000-00006A2D0000}"/>
    <cellStyle name="Normal 12 5" xfId="10711" xr:uid="{00000000-0005-0000-0000-00006B2D0000}"/>
    <cellStyle name="Normal 12 6" xfId="10712" xr:uid="{00000000-0005-0000-0000-00006C2D0000}"/>
    <cellStyle name="Normal 12 7" xfId="10713" xr:uid="{00000000-0005-0000-0000-00006D2D0000}"/>
    <cellStyle name="Normal 13" xfId="10714" xr:uid="{00000000-0005-0000-0000-00006E2D0000}"/>
    <cellStyle name="Normal 13 10" xfId="10715" xr:uid="{00000000-0005-0000-0000-00006F2D0000}"/>
    <cellStyle name="Normal 13 10 2" xfId="29972" xr:uid="{00000000-0005-0000-0000-0000702D0000}"/>
    <cellStyle name="Normal 13 2" xfId="10716" xr:uid="{00000000-0005-0000-0000-0000712D0000}"/>
    <cellStyle name="Normal 13 2 2" xfId="10717" xr:uid="{00000000-0005-0000-0000-0000722D0000}"/>
    <cellStyle name="Normal 13 2 2 2" xfId="10718" xr:uid="{00000000-0005-0000-0000-0000732D0000}"/>
    <cellStyle name="Normal 13 2 2 3" xfId="10719" xr:uid="{00000000-0005-0000-0000-0000742D0000}"/>
    <cellStyle name="Normal 13 2 2 4" xfId="10720" xr:uid="{00000000-0005-0000-0000-0000752D0000}"/>
    <cellStyle name="Normal 13 2 2 5" xfId="10721" xr:uid="{00000000-0005-0000-0000-0000762D0000}"/>
    <cellStyle name="Normal 13 2 2 6" xfId="10722" xr:uid="{00000000-0005-0000-0000-0000772D0000}"/>
    <cellStyle name="Normal 13 2 2 7" xfId="10723" xr:uid="{00000000-0005-0000-0000-0000782D0000}"/>
    <cellStyle name="Normal 13 2 3" xfId="10724" xr:uid="{00000000-0005-0000-0000-0000792D0000}"/>
    <cellStyle name="Normal 13 2 4" xfId="10725" xr:uid="{00000000-0005-0000-0000-00007A2D0000}"/>
    <cellStyle name="Normal 13 2 5" xfId="10726" xr:uid="{00000000-0005-0000-0000-00007B2D0000}"/>
    <cellStyle name="Normal 13 2 6" xfId="10727" xr:uid="{00000000-0005-0000-0000-00007C2D0000}"/>
    <cellStyle name="Normal 13 2 7" xfId="10728" xr:uid="{00000000-0005-0000-0000-00007D2D0000}"/>
    <cellStyle name="Normal 13 2 8" xfId="29973" xr:uid="{00000000-0005-0000-0000-00007E2D0000}"/>
    <cellStyle name="Normal 13 3" xfId="10729" xr:uid="{00000000-0005-0000-0000-00007F2D0000}"/>
    <cellStyle name="Normal 13 4" xfId="10730" xr:uid="{00000000-0005-0000-0000-0000802D0000}"/>
    <cellStyle name="Normal 13 5" xfId="10731" xr:uid="{00000000-0005-0000-0000-0000812D0000}"/>
    <cellStyle name="Normal 13 6" xfId="10732" xr:uid="{00000000-0005-0000-0000-0000822D0000}"/>
    <cellStyle name="Normal 13 6 2" xfId="29974" xr:uid="{00000000-0005-0000-0000-0000832D0000}"/>
    <cellStyle name="Normal 13 7" xfId="10733" xr:uid="{00000000-0005-0000-0000-0000842D0000}"/>
    <cellStyle name="Normal 13 7 2" xfId="29975" xr:uid="{00000000-0005-0000-0000-0000852D0000}"/>
    <cellStyle name="Normal 13 8" xfId="10734" xr:uid="{00000000-0005-0000-0000-0000862D0000}"/>
    <cellStyle name="Normal 13 8 2" xfId="29976" xr:uid="{00000000-0005-0000-0000-0000872D0000}"/>
    <cellStyle name="Normal 13 9" xfId="10735" xr:uid="{00000000-0005-0000-0000-0000882D0000}"/>
    <cellStyle name="Normal 13 9 2" xfId="29977" xr:uid="{00000000-0005-0000-0000-0000892D0000}"/>
    <cellStyle name="Normal 14" xfId="10736" xr:uid="{00000000-0005-0000-0000-00008A2D0000}"/>
    <cellStyle name="Normal 14 2" xfId="41054" xr:uid="{00000000-0005-0000-0000-00008B2D0000}"/>
    <cellStyle name="Normal 15" xfId="10737" xr:uid="{00000000-0005-0000-0000-00008C2D0000}"/>
    <cellStyle name="Normal 15 2" xfId="10738" xr:uid="{00000000-0005-0000-0000-00008D2D0000}"/>
    <cellStyle name="Normal 15 2 10" xfId="10739" xr:uid="{00000000-0005-0000-0000-00008E2D0000}"/>
    <cellStyle name="Normal 15 2 11" xfId="10740" xr:uid="{00000000-0005-0000-0000-00008F2D0000}"/>
    <cellStyle name="Normal 15 2 12" xfId="10741" xr:uid="{00000000-0005-0000-0000-0000902D0000}"/>
    <cellStyle name="Normal 15 2 13" xfId="10742" xr:uid="{00000000-0005-0000-0000-0000912D0000}"/>
    <cellStyle name="Normal 15 2 14" xfId="10743" xr:uid="{00000000-0005-0000-0000-0000922D0000}"/>
    <cellStyle name="Normal 15 2 15" xfId="10744" xr:uid="{00000000-0005-0000-0000-0000932D0000}"/>
    <cellStyle name="Normal 15 2 2" xfId="10745" xr:uid="{00000000-0005-0000-0000-0000942D0000}"/>
    <cellStyle name="Normal 15 2 3" xfId="10746" xr:uid="{00000000-0005-0000-0000-0000952D0000}"/>
    <cellStyle name="Normal 15 2 4" xfId="10747" xr:uid="{00000000-0005-0000-0000-0000962D0000}"/>
    <cellStyle name="Normal 15 2 5" xfId="10748" xr:uid="{00000000-0005-0000-0000-0000972D0000}"/>
    <cellStyle name="Normal 15 2 6" xfId="10749" xr:uid="{00000000-0005-0000-0000-0000982D0000}"/>
    <cellStyle name="Normal 15 2 7" xfId="10750" xr:uid="{00000000-0005-0000-0000-0000992D0000}"/>
    <cellStyle name="Normal 15 2 8" xfId="10751" xr:uid="{00000000-0005-0000-0000-00009A2D0000}"/>
    <cellStyle name="Normal 15 2 9" xfId="10752" xr:uid="{00000000-0005-0000-0000-00009B2D0000}"/>
    <cellStyle name="Normal 15 3" xfId="10753" xr:uid="{00000000-0005-0000-0000-00009C2D0000}"/>
    <cellStyle name="Normal 15 3 10" xfId="10754" xr:uid="{00000000-0005-0000-0000-00009D2D0000}"/>
    <cellStyle name="Normal 15 3 11" xfId="10755" xr:uid="{00000000-0005-0000-0000-00009E2D0000}"/>
    <cellStyle name="Normal 15 3 12" xfId="10756" xr:uid="{00000000-0005-0000-0000-00009F2D0000}"/>
    <cellStyle name="Normal 15 3 13" xfId="10757" xr:uid="{00000000-0005-0000-0000-0000A02D0000}"/>
    <cellStyle name="Normal 15 3 14" xfId="10758" xr:uid="{00000000-0005-0000-0000-0000A12D0000}"/>
    <cellStyle name="Normal 15 3 15" xfId="10759" xr:uid="{00000000-0005-0000-0000-0000A22D0000}"/>
    <cellStyle name="Normal 15 3 2" xfId="10760" xr:uid="{00000000-0005-0000-0000-0000A32D0000}"/>
    <cellStyle name="Normal 15 3 3" xfId="10761" xr:uid="{00000000-0005-0000-0000-0000A42D0000}"/>
    <cellStyle name="Normal 15 3 4" xfId="10762" xr:uid="{00000000-0005-0000-0000-0000A52D0000}"/>
    <cellStyle name="Normal 15 3 5" xfId="10763" xr:uid="{00000000-0005-0000-0000-0000A62D0000}"/>
    <cellStyle name="Normal 15 3 6" xfId="10764" xr:uid="{00000000-0005-0000-0000-0000A72D0000}"/>
    <cellStyle name="Normal 15 3 7" xfId="10765" xr:uid="{00000000-0005-0000-0000-0000A82D0000}"/>
    <cellStyle name="Normal 15 3 8" xfId="10766" xr:uid="{00000000-0005-0000-0000-0000A92D0000}"/>
    <cellStyle name="Normal 15 3 9" xfId="10767" xr:uid="{00000000-0005-0000-0000-0000AA2D0000}"/>
    <cellStyle name="Normal 15 4" xfId="10768" xr:uid="{00000000-0005-0000-0000-0000AB2D0000}"/>
    <cellStyle name="Normal 15 4 10" xfId="10769" xr:uid="{00000000-0005-0000-0000-0000AC2D0000}"/>
    <cellStyle name="Normal 15 4 11" xfId="10770" xr:uid="{00000000-0005-0000-0000-0000AD2D0000}"/>
    <cellStyle name="Normal 15 4 12" xfId="10771" xr:uid="{00000000-0005-0000-0000-0000AE2D0000}"/>
    <cellStyle name="Normal 15 4 13" xfId="10772" xr:uid="{00000000-0005-0000-0000-0000AF2D0000}"/>
    <cellStyle name="Normal 15 4 14" xfId="10773" xr:uid="{00000000-0005-0000-0000-0000B02D0000}"/>
    <cellStyle name="Normal 15 4 15" xfId="10774" xr:uid="{00000000-0005-0000-0000-0000B12D0000}"/>
    <cellStyle name="Normal 15 4 2" xfId="10775" xr:uid="{00000000-0005-0000-0000-0000B22D0000}"/>
    <cellStyle name="Normal 15 4 3" xfId="10776" xr:uid="{00000000-0005-0000-0000-0000B32D0000}"/>
    <cellStyle name="Normal 15 4 4" xfId="10777" xr:uid="{00000000-0005-0000-0000-0000B42D0000}"/>
    <cellStyle name="Normal 15 4 5" xfId="10778" xr:uid="{00000000-0005-0000-0000-0000B52D0000}"/>
    <cellStyle name="Normal 15 4 6" xfId="10779" xr:uid="{00000000-0005-0000-0000-0000B62D0000}"/>
    <cellStyle name="Normal 15 4 7" xfId="10780" xr:uid="{00000000-0005-0000-0000-0000B72D0000}"/>
    <cellStyle name="Normal 15 4 8" xfId="10781" xr:uid="{00000000-0005-0000-0000-0000B82D0000}"/>
    <cellStyle name="Normal 15 4 9" xfId="10782" xr:uid="{00000000-0005-0000-0000-0000B92D0000}"/>
    <cellStyle name="Normal 15 5" xfId="10783" xr:uid="{00000000-0005-0000-0000-0000BA2D0000}"/>
    <cellStyle name="Normal 15 5 10" xfId="10784" xr:uid="{00000000-0005-0000-0000-0000BB2D0000}"/>
    <cellStyle name="Normal 15 5 11" xfId="10785" xr:uid="{00000000-0005-0000-0000-0000BC2D0000}"/>
    <cellStyle name="Normal 15 5 12" xfId="10786" xr:uid="{00000000-0005-0000-0000-0000BD2D0000}"/>
    <cellStyle name="Normal 15 5 13" xfId="10787" xr:uid="{00000000-0005-0000-0000-0000BE2D0000}"/>
    <cellStyle name="Normal 15 5 14" xfId="10788" xr:uid="{00000000-0005-0000-0000-0000BF2D0000}"/>
    <cellStyle name="Normal 15 5 15" xfId="10789" xr:uid="{00000000-0005-0000-0000-0000C02D0000}"/>
    <cellStyle name="Normal 15 5 2" xfId="10790" xr:uid="{00000000-0005-0000-0000-0000C12D0000}"/>
    <cellStyle name="Normal 15 5 3" xfId="10791" xr:uid="{00000000-0005-0000-0000-0000C22D0000}"/>
    <cellStyle name="Normal 15 5 4" xfId="10792" xr:uid="{00000000-0005-0000-0000-0000C32D0000}"/>
    <cellStyle name="Normal 15 5 5" xfId="10793" xr:uid="{00000000-0005-0000-0000-0000C42D0000}"/>
    <cellStyle name="Normal 15 5 6" xfId="10794" xr:uid="{00000000-0005-0000-0000-0000C52D0000}"/>
    <cellStyle name="Normal 15 5 7" xfId="10795" xr:uid="{00000000-0005-0000-0000-0000C62D0000}"/>
    <cellStyle name="Normal 15 5 8" xfId="10796" xr:uid="{00000000-0005-0000-0000-0000C72D0000}"/>
    <cellStyle name="Normal 15 5 9" xfId="10797" xr:uid="{00000000-0005-0000-0000-0000C82D0000}"/>
    <cellStyle name="Normal 16" xfId="10798" xr:uid="{00000000-0005-0000-0000-0000C92D0000}"/>
    <cellStyle name="Normal 17" xfId="10799" xr:uid="{00000000-0005-0000-0000-0000CA2D0000}"/>
    <cellStyle name="Normal 17 2" xfId="10800" xr:uid="{00000000-0005-0000-0000-0000CB2D0000}"/>
    <cellStyle name="Normal 17 3" xfId="10801" xr:uid="{00000000-0005-0000-0000-0000CC2D0000}"/>
    <cellStyle name="Normal 17 4" xfId="10802" xr:uid="{00000000-0005-0000-0000-0000CD2D0000}"/>
    <cellStyle name="Normal 17 5" xfId="10803" xr:uid="{00000000-0005-0000-0000-0000CE2D0000}"/>
    <cellStyle name="Normal 17 6" xfId="10804" xr:uid="{00000000-0005-0000-0000-0000CF2D0000}"/>
    <cellStyle name="Normal 17 7" xfId="10805" xr:uid="{00000000-0005-0000-0000-0000D02D0000}"/>
    <cellStyle name="Normal 18" xfId="10806" xr:uid="{00000000-0005-0000-0000-0000D12D0000}"/>
    <cellStyle name="Normal 18 2" xfId="10807" xr:uid="{00000000-0005-0000-0000-0000D22D0000}"/>
    <cellStyle name="Normal 18 3" xfId="10808" xr:uid="{00000000-0005-0000-0000-0000D32D0000}"/>
    <cellStyle name="Normal 18 4" xfId="10809" xr:uid="{00000000-0005-0000-0000-0000D42D0000}"/>
    <cellStyle name="Normal 18 5" xfId="10810" xr:uid="{00000000-0005-0000-0000-0000D52D0000}"/>
    <cellStyle name="Normal 18 6" xfId="10811" xr:uid="{00000000-0005-0000-0000-0000D62D0000}"/>
    <cellStyle name="Normal 18 7" xfId="10812" xr:uid="{00000000-0005-0000-0000-0000D72D0000}"/>
    <cellStyle name="Normal 19" xfId="10813" xr:uid="{00000000-0005-0000-0000-0000D82D0000}"/>
    <cellStyle name="Normal 19 2" xfId="10814" xr:uid="{00000000-0005-0000-0000-0000D92D0000}"/>
    <cellStyle name="Normal 19 3" xfId="10815" xr:uid="{00000000-0005-0000-0000-0000DA2D0000}"/>
    <cellStyle name="Normal 2" xfId="15" xr:uid="{00000000-0005-0000-0000-0000DB2D0000}"/>
    <cellStyle name="Normal 2 10" xfId="10816" xr:uid="{00000000-0005-0000-0000-0000DC2D0000}"/>
    <cellStyle name="Normal 2 10 10" xfId="10817" xr:uid="{00000000-0005-0000-0000-0000DD2D0000}"/>
    <cellStyle name="Normal 2 10 11" xfId="10818" xr:uid="{00000000-0005-0000-0000-0000DE2D0000}"/>
    <cellStyle name="Normal 2 10 12" xfId="10819" xr:uid="{00000000-0005-0000-0000-0000DF2D0000}"/>
    <cellStyle name="Normal 2 10 2" xfId="10820" xr:uid="{00000000-0005-0000-0000-0000E02D0000}"/>
    <cellStyle name="Normal 2 10 2 2" xfId="10821" xr:uid="{00000000-0005-0000-0000-0000E12D0000}"/>
    <cellStyle name="Normal 2 10 2 3" xfId="10822" xr:uid="{00000000-0005-0000-0000-0000E22D0000}"/>
    <cellStyle name="Normal 2 10 2 4" xfId="10823" xr:uid="{00000000-0005-0000-0000-0000E32D0000}"/>
    <cellStyle name="Normal 2 10 2 5" xfId="10824" xr:uid="{00000000-0005-0000-0000-0000E42D0000}"/>
    <cellStyle name="Normal 2 10 2 6" xfId="10825" xr:uid="{00000000-0005-0000-0000-0000E52D0000}"/>
    <cellStyle name="Normal 2 10 2 7" xfId="10826" xr:uid="{00000000-0005-0000-0000-0000E62D0000}"/>
    <cellStyle name="Normal 2 10 2 8" xfId="40608" xr:uid="{00000000-0005-0000-0000-0000E72D0000}"/>
    <cellStyle name="Normal 2 10 3" xfId="10827" xr:uid="{00000000-0005-0000-0000-0000E82D0000}"/>
    <cellStyle name="Normal 2 10 3 2" xfId="40609" xr:uid="{00000000-0005-0000-0000-0000E92D0000}"/>
    <cellStyle name="Normal 2 10 4" xfId="10828" xr:uid="{00000000-0005-0000-0000-0000EA2D0000}"/>
    <cellStyle name="Normal 2 10 4 2" xfId="40610" xr:uid="{00000000-0005-0000-0000-0000EB2D0000}"/>
    <cellStyle name="Normal 2 10 5" xfId="10829" xr:uid="{00000000-0005-0000-0000-0000EC2D0000}"/>
    <cellStyle name="Normal 2 10 6" xfId="10830" xr:uid="{00000000-0005-0000-0000-0000ED2D0000}"/>
    <cellStyle name="Normal 2 10 7" xfId="10831" xr:uid="{00000000-0005-0000-0000-0000EE2D0000}"/>
    <cellStyle name="Normal 2 10 8" xfId="10832" xr:uid="{00000000-0005-0000-0000-0000EF2D0000}"/>
    <cellStyle name="Normal 2 10 9" xfId="10833" xr:uid="{00000000-0005-0000-0000-0000F02D0000}"/>
    <cellStyle name="Normal 2 100" xfId="10834" xr:uid="{00000000-0005-0000-0000-0000F12D0000}"/>
    <cellStyle name="Normal 2 101" xfId="10835" xr:uid="{00000000-0005-0000-0000-0000F22D0000}"/>
    <cellStyle name="Normal 2 102" xfId="10836" xr:uid="{00000000-0005-0000-0000-0000F32D0000}"/>
    <cellStyle name="Normal 2 103" xfId="10837" xr:uid="{00000000-0005-0000-0000-0000F42D0000}"/>
    <cellStyle name="Normal 2 104" xfId="10838" xr:uid="{00000000-0005-0000-0000-0000F52D0000}"/>
    <cellStyle name="Normal 2 105" xfId="10839" xr:uid="{00000000-0005-0000-0000-0000F62D0000}"/>
    <cellStyle name="Normal 2 106" xfId="10840" xr:uid="{00000000-0005-0000-0000-0000F72D0000}"/>
    <cellStyle name="Normal 2 107" xfId="10841" xr:uid="{00000000-0005-0000-0000-0000F82D0000}"/>
    <cellStyle name="Normal 2 108" xfId="10842" xr:uid="{00000000-0005-0000-0000-0000F92D0000}"/>
    <cellStyle name="Normal 2 109" xfId="10843" xr:uid="{00000000-0005-0000-0000-0000FA2D0000}"/>
    <cellStyle name="Normal 2 11" xfId="10844" xr:uid="{00000000-0005-0000-0000-0000FB2D0000}"/>
    <cellStyle name="Normal 2 11 10" xfId="10845" xr:uid="{00000000-0005-0000-0000-0000FC2D0000}"/>
    <cellStyle name="Normal 2 11 11" xfId="10846" xr:uid="{00000000-0005-0000-0000-0000FD2D0000}"/>
    <cellStyle name="Normal 2 11 12" xfId="10847" xr:uid="{00000000-0005-0000-0000-0000FE2D0000}"/>
    <cellStyle name="Normal 2 11 2" xfId="10848" xr:uid="{00000000-0005-0000-0000-0000FF2D0000}"/>
    <cellStyle name="Normal 2 11 2 2" xfId="10849" xr:uid="{00000000-0005-0000-0000-0000002E0000}"/>
    <cellStyle name="Normal 2 11 2 3" xfId="10850" xr:uid="{00000000-0005-0000-0000-0000012E0000}"/>
    <cellStyle name="Normal 2 11 2 4" xfId="10851" xr:uid="{00000000-0005-0000-0000-0000022E0000}"/>
    <cellStyle name="Normal 2 11 2 5" xfId="10852" xr:uid="{00000000-0005-0000-0000-0000032E0000}"/>
    <cellStyle name="Normal 2 11 2 6" xfId="10853" xr:uid="{00000000-0005-0000-0000-0000042E0000}"/>
    <cellStyle name="Normal 2 11 2 7" xfId="10854" xr:uid="{00000000-0005-0000-0000-0000052E0000}"/>
    <cellStyle name="Normal 2 11 2 8" xfId="40611" xr:uid="{00000000-0005-0000-0000-0000062E0000}"/>
    <cellStyle name="Normal 2 11 3" xfId="10855" xr:uid="{00000000-0005-0000-0000-0000072E0000}"/>
    <cellStyle name="Normal 2 11 3 2" xfId="40612" xr:uid="{00000000-0005-0000-0000-0000082E0000}"/>
    <cellStyle name="Normal 2 11 4" xfId="10856" xr:uid="{00000000-0005-0000-0000-0000092E0000}"/>
    <cellStyle name="Normal 2 11 4 2" xfId="40613" xr:uid="{00000000-0005-0000-0000-00000A2E0000}"/>
    <cellStyle name="Normal 2 11 5" xfId="10857" xr:uid="{00000000-0005-0000-0000-00000B2E0000}"/>
    <cellStyle name="Normal 2 11 6" xfId="10858" xr:uid="{00000000-0005-0000-0000-00000C2E0000}"/>
    <cellStyle name="Normal 2 11 7" xfId="10859" xr:uid="{00000000-0005-0000-0000-00000D2E0000}"/>
    <cellStyle name="Normal 2 11 8" xfId="10860" xr:uid="{00000000-0005-0000-0000-00000E2E0000}"/>
    <cellStyle name="Normal 2 11 9" xfId="10861" xr:uid="{00000000-0005-0000-0000-00000F2E0000}"/>
    <cellStyle name="Normal 2 110" xfId="10862" xr:uid="{00000000-0005-0000-0000-0000102E0000}"/>
    <cellStyle name="Normal 2 111" xfId="10863" xr:uid="{00000000-0005-0000-0000-0000112E0000}"/>
    <cellStyle name="Normal 2 112" xfId="10864" xr:uid="{00000000-0005-0000-0000-0000122E0000}"/>
    <cellStyle name="Normal 2 113" xfId="10865" xr:uid="{00000000-0005-0000-0000-0000132E0000}"/>
    <cellStyle name="Normal 2 114" xfId="10866" xr:uid="{00000000-0005-0000-0000-0000142E0000}"/>
    <cellStyle name="Normal 2 115" xfId="10867" xr:uid="{00000000-0005-0000-0000-0000152E0000}"/>
    <cellStyle name="Normal 2 116" xfId="10868" xr:uid="{00000000-0005-0000-0000-0000162E0000}"/>
    <cellStyle name="Normal 2 117" xfId="10869" xr:uid="{00000000-0005-0000-0000-0000172E0000}"/>
    <cellStyle name="Normal 2 118" xfId="10870" xr:uid="{00000000-0005-0000-0000-0000182E0000}"/>
    <cellStyle name="Normal 2 119" xfId="10871" xr:uid="{00000000-0005-0000-0000-0000192E0000}"/>
    <cellStyle name="Normal 2 12" xfId="10872" xr:uid="{00000000-0005-0000-0000-00001A2E0000}"/>
    <cellStyle name="Normal 2 12 10" xfId="10873" xr:uid="{00000000-0005-0000-0000-00001B2E0000}"/>
    <cellStyle name="Normal 2 12 11" xfId="10874" xr:uid="{00000000-0005-0000-0000-00001C2E0000}"/>
    <cellStyle name="Normal 2 12 12" xfId="10875" xr:uid="{00000000-0005-0000-0000-00001D2E0000}"/>
    <cellStyle name="Normal 2 12 2" xfId="10876" xr:uid="{00000000-0005-0000-0000-00001E2E0000}"/>
    <cellStyle name="Normal 2 12 2 2" xfId="10877" xr:uid="{00000000-0005-0000-0000-00001F2E0000}"/>
    <cellStyle name="Normal 2 12 2 3" xfId="10878" xr:uid="{00000000-0005-0000-0000-0000202E0000}"/>
    <cellStyle name="Normal 2 12 2 4" xfId="10879" xr:uid="{00000000-0005-0000-0000-0000212E0000}"/>
    <cellStyle name="Normal 2 12 2 5" xfId="10880" xr:uid="{00000000-0005-0000-0000-0000222E0000}"/>
    <cellStyle name="Normal 2 12 2 6" xfId="10881" xr:uid="{00000000-0005-0000-0000-0000232E0000}"/>
    <cellStyle name="Normal 2 12 2 7" xfId="10882" xr:uid="{00000000-0005-0000-0000-0000242E0000}"/>
    <cellStyle name="Normal 2 12 2 8" xfId="40614" xr:uid="{00000000-0005-0000-0000-0000252E0000}"/>
    <cellStyle name="Normal 2 12 3" xfId="10883" xr:uid="{00000000-0005-0000-0000-0000262E0000}"/>
    <cellStyle name="Normal 2 12 3 2" xfId="40615" xr:uid="{00000000-0005-0000-0000-0000272E0000}"/>
    <cellStyle name="Normal 2 12 4" xfId="10884" xr:uid="{00000000-0005-0000-0000-0000282E0000}"/>
    <cellStyle name="Normal 2 12 4 2" xfId="40616" xr:uid="{00000000-0005-0000-0000-0000292E0000}"/>
    <cellStyle name="Normal 2 12 5" xfId="10885" xr:uid="{00000000-0005-0000-0000-00002A2E0000}"/>
    <cellStyle name="Normal 2 12 6" xfId="10886" xr:uid="{00000000-0005-0000-0000-00002B2E0000}"/>
    <cellStyle name="Normal 2 12 7" xfId="10887" xr:uid="{00000000-0005-0000-0000-00002C2E0000}"/>
    <cellStyle name="Normal 2 12 8" xfId="10888" xr:uid="{00000000-0005-0000-0000-00002D2E0000}"/>
    <cellStyle name="Normal 2 12 9" xfId="10889" xr:uid="{00000000-0005-0000-0000-00002E2E0000}"/>
    <cellStyle name="Normal 2 120" xfId="10890" xr:uid="{00000000-0005-0000-0000-00002F2E0000}"/>
    <cellStyle name="Normal 2 121" xfId="10891" xr:uid="{00000000-0005-0000-0000-0000302E0000}"/>
    <cellStyle name="Normal 2 122" xfId="10892" xr:uid="{00000000-0005-0000-0000-0000312E0000}"/>
    <cellStyle name="Normal 2 123" xfId="10893" xr:uid="{00000000-0005-0000-0000-0000322E0000}"/>
    <cellStyle name="Normal 2 124" xfId="10894" xr:uid="{00000000-0005-0000-0000-0000332E0000}"/>
    <cellStyle name="Normal 2 125" xfId="10895" xr:uid="{00000000-0005-0000-0000-0000342E0000}"/>
    <cellStyle name="Normal 2 126" xfId="10896" xr:uid="{00000000-0005-0000-0000-0000352E0000}"/>
    <cellStyle name="Normal 2 127" xfId="10897" xr:uid="{00000000-0005-0000-0000-0000362E0000}"/>
    <cellStyle name="Normal 2 128" xfId="10898" xr:uid="{00000000-0005-0000-0000-0000372E0000}"/>
    <cellStyle name="Normal 2 129" xfId="10899" xr:uid="{00000000-0005-0000-0000-0000382E0000}"/>
    <cellStyle name="Normal 2 13" xfId="10900" xr:uid="{00000000-0005-0000-0000-0000392E0000}"/>
    <cellStyle name="Normal 2 13 10" xfId="10901" xr:uid="{00000000-0005-0000-0000-00003A2E0000}"/>
    <cellStyle name="Normal 2 13 11" xfId="10902" xr:uid="{00000000-0005-0000-0000-00003B2E0000}"/>
    <cellStyle name="Normal 2 13 12" xfId="10903" xr:uid="{00000000-0005-0000-0000-00003C2E0000}"/>
    <cellStyle name="Normal 2 13 13" xfId="10904" xr:uid="{00000000-0005-0000-0000-00003D2E0000}"/>
    <cellStyle name="Normal 2 13 14" xfId="10905" xr:uid="{00000000-0005-0000-0000-00003E2E0000}"/>
    <cellStyle name="Normal 2 13 15" xfId="10906" xr:uid="{00000000-0005-0000-0000-00003F2E0000}"/>
    <cellStyle name="Normal 2 13 16" xfId="10907" xr:uid="{00000000-0005-0000-0000-0000402E0000}"/>
    <cellStyle name="Normal 2 13 17" xfId="10908" xr:uid="{00000000-0005-0000-0000-0000412E0000}"/>
    <cellStyle name="Normal 2 13 18" xfId="10909" xr:uid="{00000000-0005-0000-0000-0000422E0000}"/>
    <cellStyle name="Normal 2 13 19" xfId="10910" xr:uid="{00000000-0005-0000-0000-0000432E0000}"/>
    <cellStyle name="Normal 2 13 2" xfId="10911" xr:uid="{00000000-0005-0000-0000-0000442E0000}"/>
    <cellStyle name="Normal 2 13 2 2" xfId="10912" xr:uid="{00000000-0005-0000-0000-0000452E0000}"/>
    <cellStyle name="Normal 2 13 2 3" xfId="10913" xr:uid="{00000000-0005-0000-0000-0000462E0000}"/>
    <cellStyle name="Normal 2 13 2 4" xfId="10914" xr:uid="{00000000-0005-0000-0000-0000472E0000}"/>
    <cellStyle name="Normal 2 13 2 5" xfId="10915" xr:uid="{00000000-0005-0000-0000-0000482E0000}"/>
    <cellStyle name="Normal 2 13 2 6" xfId="10916" xr:uid="{00000000-0005-0000-0000-0000492E0000}"/>
    <cellStyle name="Normal 2 13 2 7" xfId="10917" xr:uid="{00000000-0005-0000-0000-00004A2E0000}"/>
    <cellStyle name="Normal 2 13 2 8" xfId="40617" xr:uid="{00000000-0005-0000-0000-00004B2E0000}"/>
    <cellStyle name="Normal 2 13 20" xfId="10918" xr:uid="{00000000-0005-0000-0000-00004C2E0000}"/>
    <cellStyle name="Normal 2 13 21" xfId="10919" xr:uid="{00000000-0005-0000-0000-00004D2E0000}"/>
    <cellStyle name="Normal 2 13 22" xfId="10920" xr:uid="{00000000-0005-0000-0000-00004E2E0000}"/>
    <cellStyle name="Normal 2 13 23" xfId="10921" xr:uid="{00000000-0005-0000-0000-00004F2E0000}"/>
    <cellStyle name="Normal 2 13 24" xfId="10922" xr:uid="{00000000-0005-0000-0000-0000502E0000}"/>
    <cellStyle name="Normal 2 13 25" xfId="10923" xr:uid="{00000000-0005-0000-0000-0000512E0000}"/>
    <cellStyle name="Normal 2 13 26" xfId="10924" xr:uid="{00000000-0005-0000-0000-0000522E0000}"/>
    <cellStyle name="Normal 2 13 27" xfId="10925" xr:uid="{00000000-0005-0000-0000-0000532E0000}"/>
    <cellStyle name="Normal 2 13 28" xfId="10926" xr:uid="{00000000-0005-0000-0000-0000542E0000}"/>
    <cellStyle name="Normal 2 13 29" xfId="10927" xr:uid="{00000000-0005-0000-0000-0000552E0000}"/>
    <cellStyle name="Normal 2 13 3" xfId="10928" xr:uid="{00000000-0005-0000-0000-0000562E0000}"/>
    <cellStyle name="Normal 2 13 3 2" xfId="40618" xr:uid="{00000000-0005-0000-0000-0000572E0000}"/>
    <cellStyle name="Normal 2 13 4" xfId="10929" xr:uid="{00000000-0005-0000-0000-0000582E0000}"/>
    <cellStyle name="Normal 2 13 4 2" xfId="40619" xr:uid="{00000000-0005-0000-0000-0000592E0000}"/>
    <cellStyle name="Normal 2 13 5" xfId="10930" xr:uid="{00000000-0005-0000-0000-00005A2E0000}"/>
    <cellStyle name="Normal 2 13 6" xfId="10931" xr:uid="{00000000-0005-0000-0000-00005B2E0000}"/>
    <cellStyle name="Normal 2 13 7" xfId="10932" xr:uid="{00000000-0005-0000-0000-00005C2E0000}"/>
    <cellStyle name="Normal 2 13 8" xfId="10933" xr:uid="{00000000-0005-0000-0000-00005D2E0000}"/>
    <cellStyle name="Normal 2 13 9" xfId="10934" xr:uid="{00000000-0005-0000-0000-00005E2E0000}"/>
    <cellStyle name="Normal 2 130" xfId="10935" xr:uid="{00000000-0005-0000-0000-00005F2E0000}"/>
    <cellStyle name="Normal 2 131" xfId="10936" xr:uid="{00000000-0005-0000-0000-0000602E0000}"/>
    <cellStyle name="Normal 2 132" xfId="10937" xr:uid="{00000000-0005-0000-0000-0000612E0000}"/>
    <cellStyle name="Normal 2 133" xfId="10938" xr:uid="{00000000-0005-0000-0000-0000622E0000}"/>
    <cellStyle name="Normal 2 134" xfId="10939" xr:uid="{00000000-0005-0000-0000-0000632E0000}"/>
    <cellStyle name="Normal 2 135" xfId="10940" xr:uid="{00000000-0005-0000-0000-0000642E0000}"/>
    <cellStyle name="Normal 2 136" xfId="10941" xr:uid="{00000000-0005-0000-0000-0000652E0000}"/>
    <cellStyle name="Normal 2 137" xfId="10942" xr:uid="{00000000-0005-0000-0000-0000662E0000}"/>
    <cellStyle name="Normal 2 138" xfId="10943" xr:uid="{00000000-0005-0000-0000-0000672E0000}"/>
    <cellStyle name="Normal 2 139" xfId="10944" xr:uid="{00000000-0005-0000-0000-0000682E0000}"/>
    <cellStyle name="Normal 2 14" xfId="10945" xr:uid="{00000000-0005-0000-0000-0000692E0000}"/>
    <cellStyle name="Normal 2 14 10" xfId="10946" xr:uid="{00000000-0005-0000-0000-00006A2E0000}"/>
    <cellStyle name="Normal 2 14 11" xfId="10947" xr:uid="{00000000-0005-0000-0000-00006B2E0000}"/>
    <cellStyle name="Normal 2 14 12" xfId="10948" xr:uid="{00000000-0005-0000-0000-00006C2E0000}"/>
    <cellStyle name="Normal 2 14 13" xfId="10949" xr:uid="{00000000-0005-0000-0000-00006D2E0000}"/>
    <cellStyle name="Normal 2 14 14" xfId="10950" xr:uid="{00000000-0005-0000-0000-00006E2E0000}"/>
    <cellStyle name="Normal 2 14 2" xfId="10951" xr:uid="{00000000-0005-0000-0000-00006F2E0000}"/>
    <cellStyle name="Normal 2 14 2 10" xfId="10952" xr:uid="{00000000-0005-0000-0000-0000702E0000}"/>
    <cellStyle name="Normal 2 14 2 11" xfId="10953" xr:uid="{00000000-0005-0000-0000-0000712E0000}"/>
    <cellStyle name="Normal 2 14 2 12" xfId="10954" xr:uid="{00000000-0005-0000-0000-0000722E0000}"/>
    <cellStyle name="Normal 2 14 2 13" xfId="10955" xr:uid="{00000000-0005-0000-0000-0000732E0000}"/>
    <cellStyle name="Normal 2 14 2 14" xfId="10956" xr:uid="{00000000-0005-0000-0000-0000742E0000}"/>
    <cellStyle name="Normal 2 14 2 15" xfId="10957" xr:uid="{00000000-0005-0000-0000-0000752E0000}"/>
    <cellStyle name="Normal 2 14 2 16" xfId="10958" xr:uid="{00000000-0005-0000-0000-0000762E0000}"/>
    <cellStyle name="Normal 2 14 2 17" xfId="10959" xr:uid="{00000000-0005-0000-0000-0000772E0000}"/>
    <cellStyle name="Normal 2 14 2 18" xfId="10960" xr:uid="{00000000-0005-0000-0000-0000782E0000}"/>
    <cellStyle name="Normal 2 14 2 19" xfId="10961" xr:uid="{00000000-0005-0000-0000-0000792E0000}"/>
    <cellStyle name="Normal 2 14 2 2" xfId="10962" xr:uid="{00000000-0005-0000-0000-00007A2E0000}"/>
    <cellStyle name="Normal 2 14 2 2 2" xfId="10963" xr:uid="{00000000-0005-0000-0000-00007B2E0000}"/>
    <cellStyle name="Normal 2 14 2 2 3" xfId="10964" xr:uid="{00000000-0005-0000-0000-00007C2E0000}"/>
    <cellStyle name="Normal 2 14 2 2 4" xfId="10965" xr:uid="{00000000-0005-0000-0000-00007D2E0000}"/>
    <cellStyle name="Normal 2 14 2 2 5" xfId="10966" xr:uid="{00000000-0005-0000-0000-00007E2E0000}"/>
    <cellStyle name="Normal 2 14 2 2 6" xfId="10967" xr:uid="{00000000-0005-0000-0000-00007F2E0000}"/>
    <cellStyle name="Normal 2 14 2 2 7" xfId="10968" xr:uid="{00000000-0005-0000-0000-0000802E0000}"/>
    <cellStyle name="Normal 2 14 2 20" xfId="10969" xr:uid="{00000000-0005-0000-0000-0000812E0000}"/>
    <cellStyle name="Normal 2 14 2 21" xfId="10970" xr:uid="{00000000-0005-0000-0000-0000822E0000}"/>
    <cellStyle name="Normal 2 14 2 22" xfId="40620" xr:uid="{00000000-0005-0000-0000-0000832E0000}"/>
    <cellStyle name="Normal 2 14 2 3" xfId="10971" xr:uid="{00000000-0005-0000-0000-0000842E0000}"/>
    <cellStyle name="Normal 2 14 2 4" xfId="10972" xr:uid="{00000000-0005-0000-0000-0000852E0000}"/>
    <cellStyle name="Normal 2 14 2 5" xfId="10973" xr:uid="{00000000-0005-0000-0000-0000862E0000}"/>
    <cellStyle name="Normal 2 14 2 6" xfId="10974" xr:uid="{00000000-0005-0000-0000-0000872E0000}"/>
    <cellStyle name="Normal 2 14 2 7" xfId="10975" xr:uid="{00000000-0005-0000-0000-0000882E0000}"/>
    <cellStyle name="Normal 2 14 2 8" xfId="10976" xr:uid="{00000000-0005-0000-0000-0000892E0000}"/>
    <cellStyle name="Normal 2 14 2 9" xfId="10977" xr:uid="{00000000-0005-0000-0000-00008A2E0000}"/>
    <cellStyle name="Normal 2 14 3" xfId="10978" xr:uid="{00000000-0005-0000-0000-00008B2E0000}"/>
    <cellStyle name="Normal 2 14 3 2" xfId="40621" xr:uid="{00000000-0005-0000-0000-00008C2E0000}"/>
    <cellStyle name="Normal 2 14 4" xfId="10979" xr:uid="{00000000-0005-0000-0000-00008D2E0000}"/>
    <cellStyle name="Normal 2 14 4 2" xfId="40622" xr:uid="{00000000-0005-0000-0000-00008E2E0000}"/>
    <cellStyle name="Normal 2 14 5" xfId="10980" xr:uid="{00000000-0005-0000-0000-00008F2E0000}"/>
    <cellStyle name="Normal 2 14 6" xfId="10981" xr:uid="{00000000-0005-0000-0000-0000902E0000}"/>
    <cellStyle name="Normal 2 14 7" xfId="10982" xr:uid="{00000000-0005-0000-0000-0000912E0000}"/>
    <cellStyle name="Normal 2 14 8" xfId="10983" xr:uid="{00000000-0005-0000-0000-0000922E0000}"/>
    <cellStyle name="Normal 2 14 9" xfId="10984" xr:uid="{00000000-0005-0000-0000-0000932E0000}"/>
    <cellStyle name="Normal 2 140" xfId="10985" xr:uid="{00000000-0005-0000-0000-0000942E0000}"/>
    <cellStyle name="Normal 2 141" xfId="10986" xr:uid="{00000000-0005-0000-0000-0000952E0000}"/>
    <cellStyle name="Normal 2 142" xfId="10987" xr:uid="{00000000-0005-0000-0000-0000962E0000}"/>
    <cellStyle name="Normal 2 143" xfId="10988" xr:uid="{00000000-0005-0000-0000-0000972E0000}"/>
    <cellStyle name="Normal 2 144" xfId="10989" xr:uid="{00000000-0005-0000-0000-0000982E0000}"/>
    <cellStyle name="Normal 2 145" xfId="10990" xr:uid="{00000000-0005-0000-0000-0000992E0000}"/>
    <cellStyle name="Normal 2 146" xfId="10991" xr:uid="{00000000-0005-0000-0000-00009A2E0000}"/>
    <cellStyle name="Normal 2 147" xfId="10992" xr:uid="{00000000-0005-0000-0000-00009B2E0000}"/>
    <cellStyle name="Normal 2 148" xfId="10993" xr:uid="{00000000-0005-0000-0000-00009C2E0000}"/>
    <cellStyle name="Normal 2 149" xfId="10994" xr:uid="{00000000-0005-0000-0000-00009D2E0000}"/>
    <cellStyle name="Normal 2 15" xfId="10995" xr:uid="{00000000-0005-0000-0000-00009E2E0000}"/>
    <cellStyle name="Normal 2 15 10" xfId="10996" xr:uid="{00000000-0005-0000-0000-00009F2E0000}"/>
    <cellStyle name="Normal 2 15 11" xfId="10997" xr:uid="{00000000-0005-0000-0000-0000A02E0000}"/>
    <cellStyle name="Normal 2 15 12" xfId="10998" xr:uid="{00000000-0005-0000-0000-0000A12E0000}"/>
    <cellStyle name="Normal 2 15 13" xfId="10999" xr:uid="{00000000-0005-0000-0000-0000A22E0000}"/>
    <cellStyle name="Normal 2 15 14" xfId="11000" xr:uid="{00000000-0005-0000-0000-0000A32E0000}"/>
    <cellStyle name="Normal 2 15 15" xfId="40623" xr:uid="{00000000-0005-0000-0000-0000A42E0000}"/>
    <cellStyle name="Normal 2 15 2" xfId="11001" xr:uid="{00000000-0005-0000-0000-0000A52E0000}"/>
    <cellStyle name="Normal 2 15 2 10" xfId="11002" xr:uid="{00000000-0005-0000-0000-0000A62E0000}"/>
    <cellStyle name="Normal 2 15 2 11" xfId="11003" xr:uid="{00000000-0005-0000-0000-0000A72E0000}"/>
    <cellStyle name="Normal 2 15 2 12" xfId="11004" xr:uid="{00000000-0005-0000-0000-0000A82E0000}"/>
    <cellStyle name="Normal 2 15 2 13" xfId="11005" xr:uid="{00000000-0005-0000-0000-0000A92E0000}"/>
    <cellStyle name="Normal 2 15 2 14" xfId="11006" xr:uid="{00000000-0005-0000-0000-0000AA2E0000}"/>
    <cellStyle name="Normal 2 15 2 15" xfId="11007" xr:uid="{00000000-0005-0000-0000-0000AB2E0000}"/>
    <cellStyle name="Normal 2 15 2 16" xfId="11008" xr:uid="{00000000-0005-0000-0000-0000AC2E0000}"/>
    <cellStyle name="Normal 2 15 2 17" xfId="11009" xr:uid="{00000000-0005-0000-0000-0000AD2E0000}"/>
    <cellStyle name="Normal 2 15 2 18" xfId="11010" xr:uid="{00000000-0005-0000-0000-0000AE2E0000}"/>
    <cellStyle name="Normal 2 15 2 19" xfId="11011" xr:uid="{00000000-0005-0000-0000-0000AF2E0000}"/>
    <cellStyle name="Normal 2 15 2 2" xfId="11012" xr:uid="{00000000-0005-0000-0000-0000B02E0000}"/>
    <cellStyle name="Normal 2 15 2 2 2" xfId="11013" xr:uid="{00000000-0005-0000-0000-0000B12E0000}"/>
    <cellStyle name="Normal 2 15 2 2 3" xfId="11014" xr:uid="{00000000-0005-0000-0000-0000B22E0000}"/>
    <cellStyle name="Normal 2 15 2 2 4" xfId="11015" xr:uid="{00000000-0005-0000-0000-0000B32E0000}"/>
    <cellStyle name="Normal 2 15 2 2 5" xfId="11016" xr:uid="{00000000-0005-0000-0000-0000B42E0000}"/>
    <cellStyle name="Normal 2 15 2 2 6" xfId="11017" xr:uid="{00000000-0005-0000-0000-0000B52E0000}"/>
    <cellStyle name="Normal 2 15 2 2 7" xfId="11018" xr:uid="{00000000-0005-0000-0000-0000B62E0000}"/>
    <cellStyle name="Normal 2 15 2 20" xfId="11019" xr:uid="{00000000-0005-0000-0000-0000B72E0000}"/>
    <cellStyle name="Normal 2 15 2 21" xfId="11020" xr:uid="{00000000-0005-0000-0000-0000B82E0000}"/>
    <cellStyle name="Normal 2 15 2 3" xfId="11021" xr:uid="{00000000-0005-0000-0000-0000B92E0000}"/>
    <cellStyle name="Normal 2 15 2 4" xfId="11022" xr:uid="{00000000-0005-0000-0000-0000BA2E0000}"/>
    <cellStyle name="Normal 2 15 2 5" xfId="11023" xr:uid="{00000000-0005-0000-0000-0000BB2E0000}"/>
    <cellStyle name="Normal 2 15 2 6" xfId="11024" xr:uid="{00000000-0005-0000-0000-0000BC2E0000}"/>
    <cellStyle name="Normal 2 15 2 7" xfId="11025" xr:uid="{00000000-0005-0000-0000-0000BD2E0000}"/>
    <cellStyle name="Normal 2 15 2 8" xfId="11026" xr:uid="{00000000-0005-0000-0000-0000BE2E0000}"/>
    <cellStyle name="Normal 2 15 2 9" xfId="11027" xr:uid="{00000000-0005-0000-0000-0000BF2E0000}"/>
    <cellStyle name="Normal 2 15 3" xfId="11028" xr:uid="{00000000-0005-0000-0000-0000C02E0000}"/>
    <cellStyle name="Normal 2 15 4" xfId="11029" xr:uid="{00000000-0005-0000-0000-0000C12E0000}"/>
    <cellStyle name="Normal 2 15 5" xfId="11030" xr:uid="{00000000-0005-0000-0000-0000C22E0000}"/>
    <cellStyle name="Normal 2 15 6" xfId="11031" xr:uid="{00000000-0005-0000-0000-0000C32E0000}"/>
    <cellStyle name="Normal 2 15 7" xfId="11032" xr:uid="{00000000-0005-0000-0000-0000C42E0000}"/>
    <cellStyle name="Normal 2 15 8" xfId="11033" xr:uid="{00000000-0005-0000-0000-0000C52E0000}"/>
    <cellStyle name="Normal 2 15 9" xfId="11034" xr:uid="{00000000-0005-0000-0000-0000C62E0000}"/>
    <cellStyle name="Normal 2 150" xfId="11035" xr:uid="{00000000-0005-0000-0000-0000C72E0000}"/>
    <cellStyle name="Normal 2 151" xfId="11036" xr:uid="{00000000-0005-0000-0000-0000C82E0000}"/>
    <cellStyle name="Normal 2 152" xfId="11037" xr:uid="{00000000-0005-0000-0000-0000C92E0000}"/>
    <cellStyle name="Normal 2 153" xfId="11038" xr:uid="{00000000-0005-0000-0000-0000CA2E0000}"/>
    <cellStyle name="Normal 2 154" xfId="11039" xr:uid="{00000000-0005-0000-0000-0000CB2E0000}"/>
    <cellStyle name="Normal 2 155" xfId="11040" xr:uid="{00000000-0005-0000-0000-0000CC2E0000}"/>
    <cellStyle name="Normal 2 156" xfId="11041" xr:uid="{00000000-0005-0000-0000-0000CD2E0000}"/>
    <cellStyle name="Normal 2 157" xfId="11042" xr:uid="{00000000-0005-0000-0000-0000CE2E0000}"/>
    <cellStyle name="Normal 2 158" xfId="11043" xr:uid="{00000000-0005-0000-0000-0000CF2E0000}"/>
    <cellStyle name="Normal 2 159" xfId="11044" xr:uid="{00000000-0005-0000-0000-0000D02E0000}"/>
    <cellStyle name="Normal 2 16" xfId="11045" xr:uid="{00000000-0005-0000-0000-0000D12E0000}"/>
    <cellStyle name="Normal 2 16 10" xfId="11046" xr:uid="{00000000-0005-0000-0000-0000D22E0000}"/>
    <cellStyle name="Normal 2 16 11" xfId="11047" xr:uid="{00000000-0005-0000-0000-0000D32E0000}"/>
    <cellStyle name="Normal 2 16 12" xfId="11048" xr:uid="{00000000-0005-0000-0000-0000D42E0000}"/>
    <cellStyle name="Normal 2 16 13" xfId="11049" xr:uid="{00000000-0005-0000-0000-0000D52E0000}"/>
    <cellStyle name="Normal 2 16 14" xfId="11050" xr:uid="{00000000-0005-0000-0000-0000D62E0000}"/>
    <cellStyle name="Normal 2 16 15" xfId="40624" xr:uid="{00000000-0005-0000-0000-0000D72E0000}"/>
    <cellStyle name="Normal 2 16 2" xfId="11051" xr:uid="{00000000-0005-0000-0000-0000D82E0000}"/>
    <cellStyle name="Normal 2 16 2 10" xfId="11052" xr:uid="{00000000-0005-0000-0000-0000D92E0000}"/>
    <cellStyle name="Normal 2 16 2 11" xfId="11053" xr:uid="{00000000-0005-0000-0000-0000DA2E0000}"/>
    <cellStyle name="Normal 2 16 2 12" xfId="11054" xr:uid="{00000000-0005-0000-0000-0000DB2E0000}"/>
    <cellStyle name="Normal 2 16 2 13" xfId="11055" xr:uid="{00000000-0005-0000-0000-0000DC2E0000}"/>
    <cellStyle name="Normal 2 16 2 14" xfId="11056" xr:uid="{00000000-0005-0000-0000-0000DD2E0000}"/>
    <cellStyle name="Normal 2 16 2 15" xfId="11057" xr:uid="{00000000-0005-0000-0000-0000DE2E0000}"/>
    <cellStyle name="Normal 2 16 2 16" xfId="11058" xr:uid="{00000000-0005-0000-0000-0000DF2E0000}"/>
    <cellStyle name="Normal 2 16 2 17" xfId="11059" xr:uid="{00000000-0005-0000-0000-0000E02E0000}"/>
    <cellStyle name="Normal 2 16 2 18" xfId="11060" xr:uid="{00000000-0005-0000-0000-0000E12E0000}"/>
    <cellStyle name="Normal 2 16 2 19" xfId="11061" xr:uid="{00000000-0005-0000-0000-0000E22E0000}"/>
    <cellStyle name="Normal 2 16 2 2" xfId="11062" xr:uid="{00000000-0005-0000-0000-0000E32E0000}"/>
    <cellStyle name="Normal 2 16 2 2 2" xfId="11063" xr:uid="{00000000-0005-0000-0000-0000E42E0000}"/>
    <cellStyle name="Normal 2 16 2 2 3" xfId="11064" xr:uid="{00000000-0005-0000-0000-0000E52E0000}"/>
    <cellStyle name="Normal 2 16 2 2 4" xfId="11065" xr:uid="{00000000-0005-0000-0000-0000E62E0000}"/>
    <cellStyle name="Normal 2 16 2 2 5" xfId="11066" xr:uid="{00000000-0005-0000-0000-0000E72E0000}"/>
    <cellStyle name="Normal 2 16 2 2 6" xfId="11067" xr:uid="{00000000-0005-0000-0000-0000E82E0000}"/>
    <cellStyle name="Normal 2 16 2 2 7" xfId="11068" xr:uid="{00000000-0005-0000-0000-0000E92E0000}"/>
    <cellStyle name="Normal 2 16 2 20" xfId="11069" xr:uid="{00000000-0005-0000-0000-0000EA2E0000}"/>
    <cellStyle name="Normal 2 16 2 21" xfId="11070" xr:uid="{00000000-0005-0000-0000-0000EB2E0000}"/>
    <cellStyle name="Normal 2 16 2 3" xfId="11071" xr:uid="{00000000-0005-0000-0000-0000EC2E0000}"/>
    <cellStyle name="Normal 2 16 2 4" xfId="11072" xr:uid="{00000000-0005-0000-0000-0000ED2E0000}"/>
    <cellStyle name="Normal 2 16 2 5" xfId="11073" xr:uid="{00000000-0005-0000-0000-0000EE2E0000}"/>
    <cellStyle name="Normal 2 16 2 6" xfId="11074" xr:uid="{00000000-0005-0000-0000-0000EF2E0000}"/>
    <cellStyle name="Normal 2 16 2 7" xfId="11075" xr:uid="{00000000-0005-0000-0000-0000F02E0000}"/>
    <cellStyle name="Normal 2 16 2 8" xfId="11076" xr:uid="{00000000-0005-0000-0000-0000F12E0000}"/>
    <cellStyle name="Normal 2 16 2 9" xfId="11077" xr:uid="{00000000-0005-0000-0000-0000F22E0000}"/>
    <cellStyle name="Normal 2 16 3" xfId="11078" xr:uid="{00000000-0005-0000-0000-0000F32E0000}"/>
    <cellStyle name="Normal 2 16 4" xfId="11079" xr:uid="{00000000-0005-0000-0000-0000F42E0000}"/>
    <cellStyle name="Normal 2 16 5" xfId="11080" xr:uid="{00000000-0005-0000-0000-0000F52E0000}"/>
    <cellStyle name="Normal 2 16 6" xfId="11081" xr:uid="{00000000-0005-0000-0000-0000F62E0000}"/>
    <cellStyle name="Normal 2 16 7" xfId="11082" xr:uid="{00000000-0005-0000-0000-0000F72E0000}"/>
    <cellStyle name="Normal 2 16 8" xfId="11083" xr:uid="{00000000-0005-0000-0000-0000F82E0000}"/>
    <cellStyle name="Normal 2 16 9" xfId="11084" xr:uid="{00000000-0005-0000-0000-0000F92E0000}"/>
    <cellStyle name="Normal 2 160" xfId="11085" xr:uid="{00000000-0005-0000-0000-0000FA2E0000}"/>
    <cellStyle name="Normal 2 161" xfId="11086" xr:uid="{00000000-0005-0000-0000-0000FB2E0000}"/>
    <cellStyle name="Normal 2 162" xfId="11087" xr:uid="{00000000-0005-0000-0000-0000FC2E0000}"/>
    <cellStyle name="Normal 2 163" xfId="11088" xr:uid="{00000000-0005-0000-0000-0000FD2E0000}"/>
    <cellStyle name="Normal 2 164" xfId="11089" xr:uid="{00000000-0005-0000-0000-0000FE2E0000}"/>
    <cellStyle name="Normal 2 165" xfId="11090" xr:uid="{00000000-0005-0000-0000-0000FF2E0000}"/>
    <cellStyle name="Normal 2 166" xfId="11091" xr:uid="{00000000-0005-0000-0000-0000002F0000}"/>
    <cellStyle name="Normal 2 167" xfId="11092" xr:uid="{00000000-0005-0000-0000-0000012F0000}"/>
    <cellStyle name="Normal 2 168" xfId="11093" xr:uid="{00000000-0005-0000-0000-0000022F0000}"/>
    <cellStyle name="Normal 2 169" xfId="11094" xr:uid="{00000000-0005-0000-0000-0000032F0000}"/>
    <cellStyle name="Normal 2 17" xfId="11095" xr:uid="{00000000-0005-0000-0000-0000042F0000}"/>
    <cellStyle name="Normal 2 17 10" xfId="11096" xr:uid="{00000000-0005-0000-0000-0000052F0000}"/>
    <cellStyle name="Normal 2 17 11" xfId="11097" xr:uid="{00000000-0005-0000-0000-0000062F0000}"/>
    <cellStyle name="Normal 2 17 12" xfId="11098" xr:uid="{00000000-0005-0000-0000-0000072F0000}"/>
    <cellStyle name="Normal 2 17 13" xfId="11099" xr:uid="{00000000-0005-0000-0000-0000082F0000}"/>
    <cellStyle name="Normal 2 17 14" xfId="11100" xr:uid="{00000000-0005-0000-0000-0000092F0000}"/>
    <cellStyle name="Normal 2 17 15" xfId="40625" xr:uid="{00000000-0005-0000-0000-00000A2F0000}"/>
    <cellStyle name="Normal 2 17 2" xfId="11101" xr:uid="{00000000-0005-0000-0000-00000B2F0000}"/>
    <cellStyle name="Normal 2 17 2 10" xfId="11102" xr:uid="{00000000-0005-0000-0000-00000C2F0000}"/>
    <cellStyle name="Normal 2 17 2 11" xfId="11103" xr:uid="{00000000-0005-0000-0000-00000D2F0000}"/>
    <cellStyle name="Normal 2 17 2 12" xfId="11104" xr:uid="{00000000-0005-0000-0000-00000E2F0000}"/>
    <cellStyle name="Normal 2 17 2 13" xfId="11105" xr:uid="{00000000-0005-0000-0000-00000F2F0000}"/>
    <cellStyle name="Normal 2 17 2 14" xfId="11106" xr:uid="{00000000-0005-0000-0000-0000102F0000}"/>
    <cellStyle name="Normal 2 17 2 15" xfId="11107" xr:uid="{00000000-0005-0000-0000-0000112F0000}"/>
    <cellStyle name="Normal 2 17 2 16" xfId="11108" xr:uid="{00000000-0005-0000-0000-0000122F0000}"/>
    <cellStyle name="Normal 2 17 2 17" xfId="11109" xr:uid="{00000000-0005-0000-0000-0000132F0000}"/>
    <cellStyle name="Normal 2 17 2 18" xfId="11110" xr:uid="{00000000-0005-0000-0000-0000142F0000}"/>
    <cellStyle name="Normal 2 17 2 19" xfId="11111" xr:uid="{00000000-0005-0000-0000-0000152F0000}"/>
    <cellStyle name="Normal 2 17 2 2" xfId="11112" xr:uid="{00000000-0005-0000-0000-0000162F0000}"/>
    <cellStyle name="Normal 2 17 2 2 2" xfId="11113" xr:uid="{00000000-0005-0000-0000-0000172F0000}"/>
    <cellStyle name="Normal 2 17 2 2 3" xfId="11114" xr:uid="{00000000-0005-0000-0000-0000182F0000}"/>
    <cellStyle name="Normal 2 17 2 2 4" xfId="11115" xr:uid="{00000000-0005-0000-0000-0000192F0000}"/>
    <cellStyle name="Normal 2 17 2 2 5" xfId="11116" xr:uid="{00000000-0005-0000-0000-00001A2F0000}"/>
    <cellStyle name="Normal 2 17 2 2 6" xfId="11117" xr:uid="{00000000-0005-0000-0000-00001B2F0000}"/>
    <cellStyle name="Normal 2 17 2 2 7" xfId="11118" xr:uid="{00000000-0005-0000-0000-00001C2F0000}"/>
    <cellStyle name="Normal 2 17 2 20" xfId="11119" xr:uid="{00000000-0005-0000-0000-00001D2F0000}"/>
    <cellStyle name="Normal 2 17 2 21" xfId="11120" xr:uid="{00000000-0005-0000-0000-00001E2F0000}"/>
    <cellStyle name="Normal 2 17 2 3" xfId="11121" xr:uid="{00000000-0005-0000-0000-00001F2F0000}"/>
    <cellStyle name="Normal 2 17 2 4" xfId="11122" xr:uid="{00000000-0005-0000-0000-0000202F0000}"/>
    <cellStyle name="Normal 2 17 2 5" xfId="11123" xr:uid="{00000000-0005-0000-0000-0000212F0000}"/>
    <cellStyle name="Normal 2 17 2 6" xfId="11124" xr:uid="{00000000-0005-0000-0000-0000222F0000}"/>
    <cellStyle name="Normal 2 17 2 7" xfId="11125" xr:uid="{00000000-0005-0000-0000-0000232F0000}"/>
    <cellStyle name="Normal 2 17 2 8" xfId="11126" xr:uid="{00000000-0005-0000-0000-0000242F0000}"/>
    <cellStyle name="Normal 2 17 2 9" xfId="11127" xr:uid="{00000000-0005-0000-0000-0000252F0000}"/>
    <cellStyle name="Normal 2 17 3" xfId="11128" xr:uid="{00000000-0005-0000-0000-0000262F0000}"/>
    <cellStyle name="Normal 2 17 4" xfId="11129" xr:uid="{00000000-0005-0000-0000-0000272F0000}"/>
    <cellStyle name="Normal 2 17 5" xfId="11130" xr:uid="{00000000-0005-0000-0000-0000282F0000}"/>
    <cellStyle name="Normal 2 17 6" xfId="11131" xr:uid="{00000000-0005-0000-0000-0000292F0000}"/>
    <cellStyle name="Normal 2 17 7" xfId="11132" xr:uid="{00000000-0005-0000-0000-00002A2F0000}"/>
    <cellStyle name="Normal 2 17 8" xfId="11133" xr:uid="{00000000-0005-0000-0000-00002B2F0000}"/>
    <cellStyle name="Normal 2 17 9" xfId="11134" xr:uid="{00000000-0005-0000-0000-00002C2F0000}"/>
    <cellStyle name="Normal 2 170" xfId="11135" xr:uid="{00000000-0005-0000-0000-00002D2F0000}"/>
    <cellStyle name="Normal 2 171" xfId="11136" xr:uid="{00000000-0005-0000-0000-00002E2F0000}"/>
    <cellStyle name="Normal 2 172" xfId="11137" xr:uid="{00000000-0005-0000-0000-00002F2F0000}"/>
    <cellStyle name="Normal 2 173" xfId="11138" xr:uid="{00000000-0005-0000-0000-0000302F0000}"/>
    <cellStyle name="Normal 2 174" xfId="11139" xr:uid="{00000000-0005-0000-0000-0000312F0000}"/>
    <cellStyle name="Normal 2 175" xfId="11140" xr:uid="{00000000-0005-0000-0000-0000322F0000}"/>
    <cellStyle name="Normal 2 176" xfId="11141" xr:uid="{00000000-0005-0000-0000-0000332F0000}"/>
    <cellStyle name="Normal 2 177" xfId="11142" xr:uid="{00000000-0005-0000-0000-0000342F0000}"/>
    <cellStyle name="Normal 2 178" xfId="11143" xr:uid="{00000000-0005-0000-0000-0000352F0000}"/>
    <cellStyle name="Normal 2 179" xfId="11144" xr:uid="{00000000-0005-0000-0000-0000362F0000}"/>
    <cellStyle name="Normal 2 18" xfId="11145" xr:uid="{00000000-0005-0000-0000-0000372F0000}"/>
    <cellStyle name="Normal 2 18 10" xfId="11146" xr:uid="{00000000-0005-0000-0000-0000382F0000}"/>
    <cellStyle name="Normal 2 18 11" xfId="11147" xr:uid="{00000000-0005-0000-0000-0000392F0000}"/>
    <cellStyle name="Normal 2 18 12" xfId="11148" xr:uid="{00000000-0005-0000-0000-00003A2F0000}"/>
    <cellStyle name="Normal 2 18 13" xfId="11149" xr:uid="{00000000-0005-0000-0000-00003B2F0000}"/>
    <cellStyle name="Normal 2 18 14" xfId="11150" xr:uid="{00000000-0005-0000-0000-00003C2F0000}"/>
    <cellStyle name="Normal 2 18 15" xfId="40626" xr:uid="{00000000-0005-0000-0000-00003D2F0000}"/>
    <cellStyle name="Normal 2 18 2" xfId="11151" xr:uid="{00000000-0005-0000-0000-00003E2F0000}"/>
    <cellStyle name="Normal 2 18 2 10" xfId="11152" xr:uid="{00000000-0005-0000-0000-00003F2F0000}"/>
    <cellStyle name="Normal 2 18 2 11" xfId="11153" xr:uid="{00000000-0005-0000-0000-0000402F0000}"/>
    <cellStyle name="Normal 2 18 2 12" xfId="11154" xr:uid="{00000000-0005-0000-0000-0000412F0000}"/>
    <cellStyle name="Normal 2 18 2 13" xfId="11155" xr:uid="{00000000-0005-0000-0000-0000422F0000}"/>
    <cellStyle name="Normal 2 18 2 14" xfId="11156" xr:uid="{00000000-0005-0000-0000-0000432F0000}"/>
    <cellStyle name="Normal 2 18 2 15" xfId="11157" xr:uid="{00000000-0005-0000-0000-0000442F0000}"/>
    <cellStyle name="Normal 2 18 2 16" xfId="11158" xr:uid="{00000000-0005-0000-0000-0000452F0000}"/>
    <cellStyle name="Normal 2 18 2 17" xfId="11159" xr:uid="{00000000-0005-0000-0000-0000462F0000}"/>
    <cellStyle name="Normal 2 18 2 18" xfId="11160" xr:uid="{00000000-0005-0000-0000-0000472F0000}"/>
    <cellStyle name="Normal 2 18 2 19" xfId="11161" xr:uid="{00000000-0005-0000-0000-0000482F0000}"/>
    <cellStyle name="Normal 2 18 2 2" xfId="11162" xr:uid="{00000000-0005-0000-0000-0000492F0000}"/>
    <cellStyle name="Normal 2 18 2 2 2" xfId="11163" xr:uid="{00000000-0005-0000-0000-00004A2F0000}"/>
    <cellStyle name="Normal 2 18 2 2 3" xfId="11164" xr:uid="{00000000-0005-0000-0000-00004B2F0000}"/>
    <cellStyle name="Normal 2 18 2 2 4" xfId="11165" xr:uid="{00000000-0005-0000-0000-00004C2F0000}"/>
    <cellStyle name="Normal 2 18 2 2 5" xfId="11166" xr:uid="{00000000-0005-0000-0000-00004D2F0000}"/>
    <cellStyle name="Normal 2 18 2 2 6" xfId="11167" xr:uid="{00000000-0005-0000-0000-00004E2F0000}"/>
    <cellStyle name="Normal 2 18 2 2 7" xfId="11168" xr:uid="{00000000-0005-0000-0000-00004F2F0000}"/>
    <cellStyle name="Normal 2 18 2 20" xfId="11169" xr:uid="{00000000-0005-0000-0000-0000502F0000}"/>
    <cellStyle name="Normal 2 18 2 21" xfId="11170" xr:uid="{00000000-0005-0000-0000-0000512F0000}"/>
    <cellStyle name="Normal 2 18 2 3" xfId="11171" xr:uid="{00000000-0005-0000-0000-0000522F0000}"/>
    <cellStyle name="Normal 2 18 2 4" xfId="11172" xr:uid="{00000000-0005-0000-0000-0000532F0000}"/>
    <cellStyle name="Normal 2 18 2 5" xfId="11173" xr:uid="{00000000-0005-0000-0000-0000542F0000}"/>
    <cellStyle name="Normal 2 18 2 6" xfId="11174" xr:uid="{00000000-0005-0000-0000-0000552F0000}"/>
    <cellStyle name="Normal 2 18 2 7" xfId="11175" xr:uid="{00000000-0005-0000-0000-0000562F0000}"/>
    <cellStyle name="Normal 2 18 2 8" xfId="11176" xr:uid="{00000000-0005-0000-0000-0000572F0000}"/>
    <cellStyle name="Normal 2 18 2 9" xfId="11177" xr:uid="{00000000-0005-0000-0000-0000582F0000}"/>
    <cellStyle name="Normal 2 18 3" xfId="11178" xr:uid="{00000000-0005-0000-0000-0000592F0000}"/>
    <cellStyle name="Normal 2 18 4" xfId="11179" xr:uid="{00000000-0005-0000-0000-00005A2F0000}"/>
    <cellStyle name="Normal 2 18 5" xfId="11180" xr:uid="{00000000-0005-0000-0000-00005B2F0000}"/>
    <cellStyle name="Normal 2 18 6" xfId="11181" xr:uid="{00000000-0005-0000-0000-00005C2F0000}"/>
    <cellStyle name="Normal 2 18 7" xfId="11182" xr:uid="{00000000-0005-0000-0000-00005D2F0000}"/>
    <cellStyle name="Normal 2 18 8" xfId="11183" xr:uid="{00000000-0005-0000-0000-00005E2F0000}"/>
    <cellStyle name="Normal 2 18 9" xfId="11184" xr:uid="{00000000-0005-0000-0000-00005F2F0000}"/>
    <cellStyle name="Normal 2 180" xfId="11185" xr:uid="{00000000-0005-0000-0000-0000602F0000}"/>
    <cellStyle name="Normal 2 181" xfId="11186" xr:uid="{00000000-0005-0000-0000-0000612F0000}"/>
    <cellStyle name="Normal 2 182" xfId="11187" xr:uid="{00000000-0005-0000-0000-0000622F0000}"/>
    <cellStyle name="Normal 2 183" xfId="11188" xr:uid="{00000000-0005-0000-0000-0000632F0000}"/>
    <cellStyle name="Normal 2 184" xfId="11189" xr:uid="{00000000-0005-0000-0000-0000642F0000}"/>
    <cellStyle name="Normal 2 185" xfId="11190" xr:uid="{00000000-0005-0000-0000-0000652F0000}"/>
    <cellStyle name="Normal 2 186" xfId="11191" xr:uid="{00000000-0005-0000-0000-0000662F0000}"/>
    <cellStyle name="Normal 2 187" xfId="11192" xr:uid="{00000000-0005-0000-0000-0000672F0000}"/>
    <cellStyle name="Normal 2 188" xfId="11193" xr:uid="{00000000-0005-0000-0000-0000682F0000}"/>
    <cellStyle name="Normal 2 189" xfId="11194" xr:uid="{00000000-0005-0000-0000-0000692F0000}"/>
    <cellStyle name="Normal 2 19" xfId="11195" xr:uid="{00000000-0005-0000-0000-00006A2F0000}"/>
    <cellStyle name="Normal 2 19 10" xfId="11196" xr:uid="{00000000-0005-0000-0000-00006B2F0000}"/>
    <cellStyle name="Normal 2 19 11" xfId="40627" xr:uid="{00000000-0005-0000-0000-00006C2F0000}"/>
    <cellStyle name="Normal 2 19 2" xfId="11197" xr:uid="{00000000-0005-0000-0000-00006D2F0000}"/>
    <cellStyle name="Normal 2 19 2 2" xfId="11198" xr:uid="{00000000-0005-0000-0000-00006E2F0000}"/>
    <cellStyle name="Normal 2 19 2 3" xfId="11199" xr:uid="{00000000-0005-0000-0000-00006F2F0000}"/>
    <cellStyle name="Normal 2 19 2 4" xfId="11200" xr:uid="{00000000-0005-0000-0000-0000702F0000}"/>
    <cellStyle name="Normal 2 19 2 5" xfId="11201" xr:uid="{00000000-0005-0000-0000-0000712F0000}"/>
    <cellStyle name="Normal 2 19 2 6" xfId="11202" xr:uid="{00000000-0005-0000-0000-0000722F0000}"/>
    <cellStyle name="Normal 2 19 2 7" xfId="11203" xr:uid="{00000000-0005-0000-0000-0000732F0000}"/>
    <cellStyle name="Normal 2 19 3" xfId="11204" xr:uid="{00000000-0005-0000-0000-0000742F0000}"/>
    <cellStyle name="Normal 2 19 4" xfId="11205" xr:uid="{00000000-0005-0000-0000-0000752F0000}"/>
    <cellStyle name="Normal 2 19 5" xfId="11206" xr:uid="{00000000-0005-0000-0000-0000762F0000}"/>
    <cellStyle name="Normal 2 19 6" xfId="11207" xr:uid="{00000000-0005-0000-0000-0000772F0000}"/>
    <cellStyle name="Normal 2 19 7" xfId="11208" xr:uid="{00000000-0005-0000-0000-0000782F0000}"/>
    <cellStyle name="Normal 2 19 8" xfId="11209" xr:uid="{00000000-0005-0000-0000-0000792F0000}"/>
    <cellStyle name="Normal 2 19 9" xfId="11210" xr:uid="{00000000-0005-0000-0000-00007A2F0000}"/>
    <cellStyle name="Normal 2 190" xfId="11211" xr:uid="{00000000-0005-0000-0000-00007B2F0000}"/>
    <cellStyle name="Normal 2 191" xfId="11212" xr:uid="{00000000-0005-0000-0000-00007C2F0000}"/>
    <cellStyle name="Normal 2 192" xfId="11213" xr:uid="{00000000-0005-0000-0000-00007D2F0000}"/>
    <cellStyle name="Normal 2 193" xfId="11214" xr:uid="{00000000-0005-0000-0000-00007E2F0000}"/>
    <cellStyle name="Normal 2 194" xfId="11215" xr:uid="{00000000-0005-0000-0000-00007F2F0000}"/>
    <cellStyle name="Normal 2 195" xfId="11216" xr:uid="{00000000-0005-0000-0000-0000802F0000}"/>
    <cellStyle name="Normal 2 196" xfId="11217" xr:uid="{00000000-0005-0000-0000-0000812F0000}"/>
    <cellStyle name="Normal 2 197" xfId="11218" xr:uid="{00000000-0005-0000-0000-0000822F0000}"/>
    <cellStyle name="Normal 2 198" xfId="11219" xr:uid="{00000000-0005-0000-0000-0000832F0000}"/>
    <cellStyle name="Normal 2 199" xfId="11220" xr:uid="{00000000-0005-0000-0000-0000842F0000}"/>
    <cellStyle name="Normal 2 2" xfId="11221" xr:uid="{00000000-0005-0000-0000-0000852F0000}"/>
    <cellStyle name="Normal 2 2 10" xfId="11222" xr:uid="{00000000-0005-0000-0000-0000862F0000}"/>
    <cellStyle name="Normal 2 2 10 2" xfId="11223" xr:uid="{00000000-0005-0000-0000-0000872F0000}"/>
    <cellStyle name="Normal 2 2 11" xfId="11224" xr:uid="{00000000-0005-0000-0000-0000882F0000}"/>
    <cellStyle name="Normal 2 2 11 2" xfId="11225" xr:uid="{00000000-0005-0000-0000-0000892F0000}"/>
    <cellStyle name="Normal 2 2 12" xfId="11226" xr:uid="{00000000-0005-0000-0000-00008A2F0000}"/>
    <cellStyle name="Normal 2 2 12 2" xfId="11227" xr:uid="{00000000-0005-0000-0000-00008B2F0000}"/>
    <cellStyle name="Normal 2 2 13" xfId="11228" xr:uid="{00000000-0005-0000-0000-00008C2F0000}"/>
    <cellStyle name="Normal 2 2 13 2" xfId="11229" xr:uid="{00000000-0005-0000-0000-00008D2F0000}"/>
    <cellStyle name="Normal 2 2 14" xfId="11230" xr:uid="{00000000-0005-0000-0000-00008E2F0000}"/>
    <cellStyle name="Normal 2 2 14 2" xfId="11231" xr:uid="{00000000-0005-0000-0000-00008F2F0000}"/>
    <cellStyle name="Normal 2 2 15" xfId="11232" xr:uid="{00000000-0005-0000-0000-0000902F0000}"/>
    <cellStyle name="Normal 2 2 15 2" xfId="11233" xr:uid="{00000000-0005-0000-0000-0000912F0000}"/>
    <cellStyle name="Normal 2 2 16" xfId="11234" xr:uid="{00000000-0005-0000-0000-0000922F0000}"/>
    <cellStyle name="Normal 2 2 16 2" xfId="11235" xr:uid="{00000000-0005-0000-0000-0000932F0000}"/>
    <cellStyle name="Normal 2 2 17" xfId="11236" xr:uid="{00000000-0005-0000-0000-0000942F0000}"/>
    <cellStyle name="Normal 2 2 17 2" xfId="11237" xr:uid="{00000000-0005-0000-0000-0000952F0000}"/>
    <cellStyle name="Normal 2 2 18" xfId="11238" xr:uid="{00000000-0005-0000-0000-0000962F0000}"/>
    <cellStyle name="Normal 2 2 18 2" xfId="11239" xr:uid="{00000000-0005-0000-0000-0000972F0000}"/>
    <cellStyle name="Normal 2 2 19" xfId="11240" xr:uid="{00000000-0005-0000-0000-0000982F0000}"/>
    <cellStyle name="Normal 2 2 19 2" xfId="11241" xr:uid="{00000000-0005-0000-0000-0000992F0000}"/>
    <cellStyle name="Normal 2 2 2" xfId="11242" xr:uid="{00000000-0005-0000-0000-00009A2F0000}"/>
    <cellStyle name="Normal 2 2 2 10" xfId="11243" xr:uid="{00000000-0005-0000-0000-00009B2F0000}"/>
    <cellStyle name="Normal 2 2 2 11" xfId="11244" xr:uid="{00000000-0005-0000-0000-00009C2F0000}"/>
    <cellStyle name="Normal 2 2 2 12" xfId="11245" xr:uid="{00000000-0005-0000-0000-00009D2F0000}"/>
    <cellStyle name="Normal 2 2 2 13" xfId="11246" xr:uid="{00000000-0005-0000-0000-00009E2F0000}"/>
    <cellStyle name="Normal 2 2 2 14" xfId="11247" xr:uid="{00000000-0005-0000-0000-00009F2F0000}"/>
    <cellStyle name="Normal 2 2 2 2" xfId="11248" xr:uid="{00000000-0005-0000-0000-0000A02F0000}"/>
    <cellStyle name="Normal 2 2 2 2 2" xfId="11249" xr:uid="{00000000-0005-0000-0000-0000A12F0000}"/>
    <cellStyle name="Normal 2 2 2 2 3" xfId="11250" xr:uid="{00000000-0005-0000-0000-0000A22F0000}"/>
    <cellStyle name="Normal 2 2 2 2 4" xfId="11251" xr:uid="{00000000-0005-0000-0000-0000A32F0000}"/>
    <cellStyle name="Normal 2 2 2 2 5" xfId="11252" xr:uid="{00000000-0005-0000-0000-0000A42F0000}"/>
    <cellStyle name="Normal 2 2 2 2 6" xfId="11253" xr:uid="{00000000-0005-0000-0000-0000A52F0000}"/>
    <cellStyle name="Normal 2 2 2 2 7" xfId="11254" xr:uid="{00000000-0005-0000-0000-0000A62F0000}"/>
    <cellStyle name="Normal 2 2 2 2 8" xfId="40629" xr:uid="{00000000-0005-0000-0000-0000A72F0000}"/>
    <cellStyle name="Normal 2 2 2 3" xfId="11255" xr:uid="{00000000-0005-0000-0000-0000A82F0000}"/>
    <cellStyle name="Normal 2 2 2 4" xfId="11256" xr:uid="{00000000-0005-0000-0000-0000A92F0000}"/>
    <cellStyle name="Normal 2 2 2 4 10" xfId="11257" xr:uid="{00000000-0005-0000-0000-0000AA2F0000}"/>
    <cellStyle name="Normal 2 2 2 4 11" xfId="11258" xr:uid="{00000000-0005-0000-0000-0000AB2F0000}"/>
    <cellStyle name="Normal 2 2 2 4 12" xfId="11259" xr:uid="{00000000-0005-0000-0000-0000AC2F0000}"/>
    <cellStyle name="Normal 2 2 2 4 13" xfId="11260" xr:uid="{00000000-0005-0000-0000-0000AD2F0000}"/>
    <cellStyle name="Normal 2 2 2 4 14" xfId="11261" xr:uid="{00000000-0005-0000-0000-0000AE2F0000}"/>
    <cellStyle name="Normal 2 2 2 4 15" xfId="11262" xr:uid="{00000000-0005-0000-0000-0000AF2F0000}"/>
    <cellStyle name="Normal 2 2 2 4 16" xfId="11263" xr:uid="{00000000-0005-0000-0000-0000B02F0000}"/>
    <cellStyle name="Normal 2 2 2 4 2" xfId="11264" xr:uid="{00000000-0005-0000-0000-0000B12F0000}"/>
    <cellStyle name="Normal 2 2 2 4 3" xfId="11265" xr:uid="{00000000-0005-0000-0000-0000B22F0000}"/>
    <cellStyle name="Normal 2 2 2 4 4" xfId="11266" xr:uid="{00000000-0005-0000-0000-0000B32F0000}"/>
    <cellStyle name="Normal 2 2 2 4 5" xfId="11267" xr:uid="{00000000-0005-0000-0000-0000B42F0000}"/>
    <cellStyle name="Normal 2 2 2 4 6" xfId="11268" xr:uid="{00000000-0005-0000-0000-0000B52F0000}"/>
    <cellStyle name="Normal 2 2 2 4 7" xfId="11269" xr:uid="{00000000-0005-0000-0000-0000B62F0000}"/>
    <cellStyle name="Normal 2 2 2 4 8" xfId="11270" xr:uid="{00000000-0005-0000-0000-0000B72F0000}"/>
    <cellStyle name="Normal 2 2 2 4 9" xfId="11271" xr:uid="{00000000-0005-0000-0000-0000B82F0000}"/>
    <cellStyle name="Normal 2 2 2 5" xfId="11272" xr:uid="{00000000-0005-0000-0000-0000B92F0000}"/>
    <cellStyle name="Normal 2 2 2 5 10" xfId="11273" xr:uid="{00000000-0005-0000-0000-0000BA2F0000}"/>
    <cellStyle name="Normal 2 2 2 5 11" xfId="11274" xr:uid="{00000000-0005-0000-0000-0000BB2F0000}"/>
    <cellStyle name="Normal 2 2 2 5 12" xfId="11275" xr:uid="{00000000-0005-0000-0000-0000BC2F0000}"/>
    <cellStyle name="Normal 2 2 2 5 13" xfId="11276" xr:uid="{00000000-0005-0000-0000-0000BD2F0000}"/>
    <cellStyle name="Normal 2 2 2 5 14" xfId="11277" xr:uid="{00000000-0005-0000-0000-0000BE2F0000}"/>
    <cellStyle name="Normal 2 2 2 5 15" xfId="11278" xr:uid="{00000000-0005-0000-0000-0000BF2F0000}"/>
    <cellStyle name="Normal 2 2 2 5 16" xfId="11279" xr:uid="{00000000-0005-0000-0000-0000C02F0000}"/>
    <cellStyle name="Normal 2 2 2 5 2" xfId="11280" xr:uid="{00000000-0005-0000-0000-0000C12F0000}"/>
    <cellStyle name="Normal 2 2 2 5 3" xfId="11281" xr:uid="{00000000-0005-0000-0000-0000C22F0000}"/>
    <cellStyle name="Normal 2 2 2 5 4" xfId="11282" xr:uid="{00000000-0005-0000-0000-0000C32F0000}"/>
    <cellStyle name="Normal 2 2 2 5 5" xfId="11283" xr:uid="{00000000-0005-0000-0000-0000C42F0000}"/>
    <cellStyle name="Normal 2 2 2 5 6" xfId="11284" xr:uid="{00000000-0005-0000-0000-0000C52F0000}"/>
    <cellStyle name="Normal 2 2 2 5 7" xfId="11285" xr:uid="{00000000-0005-0000-0000-0000C62F0000}"/>
    <cellStyle name="Normal 2 2 2 5 8" xfId="11286" xr:uid="{00000000-0005-0000-0000-0000C72F0000}"/>
    <cellStyle name="Normal 2 2 2 5 9" xfId="11287" xr:uid="{00000000-0005-0000-0000-0000C82F0000}"/>
    <cellStyle name="Normal 2 2 2 6" xfId="11288" xr:uid="{00000000-0005-0000-0000-0000C92F0000}"/>
    <cellStyle name="Normal 2 2 2 6 2" xfId="11289" xr:uid="{00000000-0005-0000-0000-0000CA2F0000}"/>
    <cellStyle name="Normal 2 2 2 7" xfId="11290" xr:uid="{00000000-0005-0000-0000-0000CB2F0000}"/>
    <cellStyle name="Normal 2 2 2 7 2" xfId="11291" xr:uid="{00000000-0005-0000-0000-0000CC2F0000}"/>
    <cellStyle name="Normal 2 2 2 8" xfId="11292" xr:uid="{00000000-0005-0000-0000-0000CD2F0000}"/>
    <cellStyle name="Normal 2 2 2 8 2" xfId="11293" xr:uid="{00000000-0005-0000-0000-0000CE2F0000}"/>
    <cellStyle name="Normal 2 2 2 9" xfId="11294" xr:uid="{00000000-0005-0000-0000-0000CF2F0000}"/>
    <cellStyle name="Normal 2 2 20" xfId="11295" xr:uid="{00000000-0005-0000-0000-0000D02F0000}"/>
    <cellStyle name="Normal 2 2 20 2" xfId="11296" xr:uid="{00000000-0005-0000-0000-0000D12F0000}"/>
    <cellStyle name="Normal 2 2 21" xfId="11297" xr:uid="{00000000-0005-0000-0000-0000D22F0000}"/>
    <cellStyle name="Normal 2 2 21 2" xfId="11298" xr:uid="{00000000-0005-0000-0000-0000D32F0000}"/>
    <cellStyle name="Normal 2 2 22" xfId="11299" xr:uid="{00000000-0005-0000-0000-0000D42F0000}"/>
    <cellStyle name="Normal 2 2 22 2" xfId="11300" xr:uid="{00000000-0005-0000-0000-0000D52F0000}"/>
    <cellStyle name="Normal 2 2 23" xfId="11301" xr:uid="{00000000-0005-0000-0000-0000D62F0000}"/>
    <cellStyle name="Normal 2 2 23 2" xfId="11302" xr:uid="{00000000-0005-0000-0000-0000D72F0000}"/>
    <cellStyle name="Normal 2 2 24" xfId="11303" xr:uid="{00000000-0005-0000-0000-0000D82F0000}"/>
    <cellStyle name="Normal 2 2 24 2" xfId="11304" xr:uid="{00000000-0005-0000-0000-0000D92F0000}"/>
    <cellStyle name="Normal 2 2 25" xfId="11305" xr:uid="{00000000-0005-0000-0000-0000DA2F0000}"/>
    <cellStyle name="Normal 2 2 25 2" xfId="11306" xr:uid="{00000000-0005-0000-0000-0000DB2F0000}"/>
    <cellStyle name="Normal 2 2 26" xfId="11307" xr:uid="{00000000-0005-0000-0000-0000DC2F0000}"/>
    <cellStyle name="Normal 2 2 26 2" xfId="11308" xr:uid="{00000000-0005-0000-0000-0000DD2F0000}"/>
    <cellStyle name="Normal 2 2 27" xfId="11309" xr:uid="{00000000-0005-0000-0000-0000DE2F0000}"/>
    <cellStyle name="Normal 2 2 27 2" xfId="11310" xr:uid="{00000000-0005-0000-0000-0000DF2F0000}"/>
    <cellStyle name="Normal 2 2 28" xfId="11311" xr:uid="{00000000-0005-0000-0000-0000E02F0000}"/>
    <cellStyle name="Normal 2 2 28 2" xfId="11312" xr:uid="{00000000-0005-0000-0000-0000E12F0000}"/>
    <cellStyle name="Normal 2 2 29" xfId="11313" xr:uid="{00000000-0005-0000-0000-0000E22F0000}"/>
    <cellStyle name="Normal 2 2 29 2" xfId="11314" xr:uid="{00000000-0005-0000-0000-0000E32F0000}"/>
    <cellStyle name="Normal 2 2 3" xfId="11315" xr:uid="{00000000-0005-0000-0000-0000E42F0000}"/>
    <cellStyle name="Normal 2 2 3 2" xfId="40631" xr:uid="{00000000-0005-0000-0000-0000E52F0000}"/>
    <cellStyle name="Normal 2 2 3 3" xfId="40630" xr:uid="{00000000-0005-0000-0000-0000E62F0000}"/>
    <cellStyle name="Normal 2 2 30" xfId="11316" xr:uid="{00000000-0005-0000-0000-0000E72F0000}"/>
    <cellStyle name="Normal 2 2 30 2" xfId="11317" xr:uid="{00000000-0005-0000-0000-0000E82F0000}"/>
    <cellStyle name="Normal 2 2 31" xfId="11318" xr:uid="{00000000-0005-0000-0000-0000E92F0000}"/>
    <cellStyle name="Normal 2 2 31 2" xfId="11319" xr:uid="{00000000-0005-0000-0000-0000EA2F0000}"/>
    <cellStyle name="Normal 2 2 32" xfId="11320" xr:uid="{00000000-0005-0000-0000-0000EB2F0000}"/>
    <cellStyle name="Normal 2 2 32 2" xfId="11321" xr:uid="{00000000-0005-0000-0000-0000EC2F0000}"/>
    <cellStyle name="Normal 2 2 33" xfId="11322" xr:uid="{00000000-0005-0000-0000-0000ED2F0000}"/>
    <cellStyle name="Normal 2 2 34" xfId="11323" xr:uid="{00000000-0005-0000-0000-0000EE2F0000}"/>
    <cellStyle name="Normal 2 2 35" xfId="11324" xr:uid="{00000000-0005-0000-0000-0000EF2F0000}"/>
    <cellStyle name="Normal 2 2 36" xfId="40628" xr:uid="{00000000-0005-0000-0000-0000F02F0000}"/>
    <cellStyle name="Normal 2 2 4" xfId="11325" xr:uid="{00000000-0005-0000-0000-0000F12F0000}"/>
    <cellStyle name="Normal 2 2 4 10" xfId="11326" xr:uid="{00000000-0005-0000-0000-0000F22F0000}"/>
    <cellStyle name="Normal 2 2 4 11" xfId="11327" xr:uid="{00000000-0005-0000-0000-0000F32F0000}"/>
    <cellStyle name="Normal 2 2 4 12" xfId="11328" xr:uid="{00000000-0005-0000-0000-0000F42F0000}"/>
    <cellStyle name="Normal 2 2 4 13" xfId="11329" xr:uid="{00000000-0005-0000-0000-0000F52F0000}"/>
    <cellStyle name="Normal 2 2 4 14" xfId="11330" xr:uid="{00000000-0005-0000-0000-0000F62F0000}"/>
    <cellStyle name="Normal 2 2 4 15" xfId="11331" xr:uid="{00000000-0005-0000-0000-0000F72F0000}"/>
    <cellStyle name="Normal 2 2 4 16" xfId="11332" xr:uid="{00000000-0005-0000-0000-0000F82F0000}"/>
    <cellStyle name="Normal 2 2 4 17" xfId="40632" xr:uid="{00000000-0005-0000-0000-0000F92F0000}"/>
    <cellStyle name="Normal 2 2 4 2" xfId="11333" xr:uid="{00000000-0005-0000-0000-0000FA2F0000}"/>
    <cellStyle name="Normal 2 2 4 2 2" xfId="40633" xr:uid="{00000000-0005-0000-0000-0000FB2F0000}"/>
    <cellStyle name="Normal 2 2 4 3" xfId="11334" xr:uid="{00000000-0005-0000-0000-0000FC2F0000}"/>
    <cellStyle name="Normal 2 2 4 4" xfId="11335" xr:uid="{00000000-0005-0000-0000-0000FD2F0000}"/>
    <cellStyle name="Normal 2 2 4 5" xfId="11336" xr:uid="{00000000-0005-0000-0000-0000FE2F0000}"/>
    <cellStyle name="Normal 2 2 4 6" xfId="11337" xr:uid="{00000000-0005-0000-0000-0000FF2F0000}"/>
    <cellStyle name="Normal 2 2 4 7" xfId="11338" xr:uid="{00000000-0005-0000-0000-000000300000}"/>
    <cellStyle name="Normal 2 2 4 8" xfId="11339" xr:uid="{00000000-0005-0000-0000-000001300000}"/>
    <cellStyle name="Normal 2 2 4 9" xfId="11340" xr:uid="{00000000-0005-0000-0000-000002300000}"/>
    <cellStyle name="Normal 2 2 5" xfId="11341" xr:uid="{00000000-0005-0000-0000-000003300000}"/>
    <cellStyle name="Normal 2 2 5 10" xfId="11342" xr:uid="{00000000-0005-0000-0000-000004300000}"/>
    <cellStyle name="Normal 2 2 5 11" xfId="11343" xr:uid="{00000000-0005-0000-0000-000005300000}"/>
    <cellStyle name="Normal 2 2 5 12" xfId="11344" xr:uid="{00000000-0005-0000-0000-000006300000}"/>
    <cellStyle name="Normal 2 2 5 13" xfId="11345" xr:uid="{00000000-0005-0000-0000-000007300000}"/>
    <cellStyle name="Normal 2 2 5 14" xfId="11346" xr:uid="{00000000-0005-0000-0000-000008300000}"/>
    <cellStyle name="Normal 2 2 5 15" xfId="11347" xr:uid="{00000000-0005-0000-0000-000009300000}"/>
    <cellStyle name="Normal 2 2 5 16" xfId="11348" xr:uid="{00000000-0005-0000-0000-00000A300000}"/>
    <cellStyle name="Normal 2 2 5 17" xfId="40634" xr:uid="{00000000-0005-0000-0000-00000B300000}"/>
    <cellStyle name="Normal 2 2 5 2" xfId="11349" xr:uid="{00000000-0005-0000-0000-00000C300000}"/>
    <cellStyle name="Normal 2 2 5 3" xfId="11350" xr:uid="{00000000-0005-0000-0000-00000D300000}"/>
    <cellStyle name="Normal 2 2 5 4" xfId="11351" xr:uid="{00000000-0005-0000-0000-00000E300000}"/>
    <cellStyle name="Normal 2 2 5 5" xfId="11352" xr:uid="{00000000-0005-0000-0000-00000F300000}"/>
    <cellStyle name="Normal 2 2 5 6" xfId="11353" xr:uid="{00000000-0005-0000-0000-000010300000}"/>
    <cellStyle name="Normal 2 2 5 7" xfId="11354" xr:uid="{00000000-0005-0000-0000-000011300000}"/>
    <cellStyle name="Normal 2 2 5 8" xfId="11355" xr:uid="{00000000-0005-0000-0000-000012300000}"/>
    <cellStyle name="Normal 2 2 5 9" xfId="11356" xr:uid="{00000000-0005-0000-0000-000013300000}"/>
    <cellStyle name="Normal 2 2 6" xfId="11357" xr:uid="{00000000-0005-0000-0000-000014300000}"/>
    <cellStyle name="Normal 2 2 6 10" xfId="11358" xr:uid="{00000000-0005-0000-0000-000015300000}"/>
    <cellStyle name="Normal 2 2 6 11" xfId="11359" xr:uid="{00000000-0005-0000-0000-000016300000}"/>
    <cellStyle name="Normal 2 2 6 12" xfId="11360" xr:uid="{00000000-0005-0000-0000-000017300000}"/>
    <cellStyle name="Normal 2 2 6 13" xfId="11361" xr:uid="{00000000-0005-0000-0000-000018300000}"/>
    <cellStyle name="Normal 2 2 6 14" xfId="11362" xr:uid="{00000000-0005-0000-0000-000019300000}"/>
    <cellStyle name="Normal 2 2 6 15" xfId="11363" xr:uid="{00000000-0005-0000-0000-00001A300000}"/>
    <cellStyle name="Normal 2 2 6 16" xfId="11364" xr:uid="{00000000-0005-0000-0000-00001B300000}"/>
    <cellStyle name="Normal 2 2 6 17" xfId="40635" xr:uid="{00000000-0005-0000-0000-00001C300000}"/>
    <cellStyle name="Normal 2 2 6 2" xfId="11365" xr:uid="{00000000-0005-0000-0000-00001D300000}"/>
    <cellStyle name="Normal 2 2 6 3" xfId="11366" xr:uid="{00000000-0005-0000-0000-00001E300000}"/>
    <cellStyle name="Normal 2 2 6 4" xfId="11367" xr:uid="{00000000-0005-0000-0000-00001F300000}"/>
    <cellStyle name="Normal 2 2 6 5" xfId="11368" xr:uid="{00000000-0005-0000-0000-000020300000}"/>
    <cellStyle name="Normal 2 2 6 6" xfId="11369" xr:uid="{00000000-0005-0000-0000-000021300000}"/>
    <cellStyle name="Normal 2 2 6 7" xfId="11370" xr:uid="{00000000-0005-0000-0000-000022300000}"/>
    <cellStyle name="Normal 2 2 6 8" xfId="11371" xr:uid="{00000000-0005-0000-0000-000023300000}"/>
    <cellStyle name="Normal 2 2 6 9" xfId="11372" xr:uid="{00000000-0005-0000-0000-000024300000}"/>
    <cellStyle name="Normal 2 2 7" xfId="11373" xr:uid="{00000000-0005-0000-0000-000025300000}"/>
    <cellStyle name="Normal 2 2 7 10" xfId="11374" xr:uid="{00000000-0005-0000-0000-000026300000}"/>
    <cellStyle name="Normal 2 2 7 11" xfId="11375" xr:uid="{00000000-0005-0000-0000-000027300000}"/>
    <cellStyle name="Normal 2 2 7 12" xfId="11376" xr:uid="{00000000-0005-0000-0000-000028300000}"/>
    <cellStyle name="Normal 2 2 7 13" xfId="11377" xr:uid="{00000000-0005-0000-0000-000029300000}"/>
    <cellStyle name="Normal 2 2 7 14" xfId="11378" xr:uid="{00000000-0005-0000-0000-00002A300000}"/>
    <cellStyle name="Normal 2 2 7 15" xfId="11379" xr:uid="{00000000-0005-0000-0000-00002B300000}"/>
    <cellStyle name="Normal 2 2 7 16" xfId="11380" xr:uid="{00000000-0005-0000-0000-00002C300000}"/>
    <cellStyle name="Normal 2 2 7 17" xfId="40636" xr:uid="{00000000-0005-0000-0000-00002D300000}"/>
    <cellStyle name="Normal 2 2 7 2" xfId="11381" xr:uid="{00000000-0005-0000-0000-00002E300000}"/>
    <cellStyle name="Normal 2 2 7 3" xfId="11382" xr:uid="{00000000-0005-0000-0000-00002F300000}"/>
    <cellStyle name="Normal 2 2 7 4" xfId="11383" xr:uid="{00000000-0005-0000-0000-000030300000}"/>
    <cellStyle name="Normal 2 2 7 5" xfId="11384" xr:uid="{00000000-0005-0000-0000-000031300000}"/>
    <cellStyle name="Normal 2 2 7 6" xfId="11385" xr:uid="{00000000-0005-0000-0000-000032300000}"/>
    <cellStyle name="Normal 2 2 7 7" xfId="11386" xr:uid="{00000000-0005-0000-0000-000033300000}"/>
    <cellStyle name="Normal 2 2 7 8" xfId="11387" xr:uid="{00000000-0005-0000-0000-000034300000}"/>
    <cellStyle name="Normal 2 2 7 9" xfId="11388" xr:uid="{00000000-0005-0000-0000-000035300000}"/>
    <cellStyle name="Normal 2 2 8" xfId="11389" xr:uid="{00000000-0005-0000-0000-000036300000}"/>
    <cellStyle name="Normal 2 2 8 2" xfId="11390" xr:uid="{00000000-0005-0000-0000-000037300000}"/>
    <cellStyle name="Normal 2 2 9" xfId="11391" xr:uid="{00000000-0005-0000-0000-000038300000}"/>
    <cellStyle name="Normal 2 2 9 2" xfId="11392" xr:uid="{00000000-0005-0000-0000-000039300000}"/>
    <cellStyle name="Normal 2 20" xfId="11393" xr:uid="{00000000-0005-0000-0000-00003A300000}"/>
    <cellStyle name="Normal 2 20 2" xfId="11394" xr:uid="{00000000-0005-0000-0000-00003B300000}"/>
    <cellStyle name="Normal 2 20 3" xfId="11395" xr:uid="{00000000-0005-0000-0000-00003C300000}"/>
    <cellStyle name="Normal 2 200" xfId="11396" xr:uid="{00000000-0005-0000-0000-00003D300000}"/>
    <cellStyle name="Normal 2 201" xfId="11397" xr:uid="{00000000-0005-0000-0000-00003E300000}"/>
    <cellStyle name="Normal 2 202" xfId="11398" xr:uid="{00000000-0005-0000-0000-00003F300000}"/>
    <cellStyle name="Normal 2 203" xfId="11399" xr:uid="{00000000-0005-0000-0000-000040300000}"/>
    <cellStyle name="Normal 2 204" xfId="11400" xr:uid="{00000000-0005-0000-0000-000041300000}"/>
    <cellStyle name="Normal 2 205" xfId="11401" xr:uid="{00000000-0005-0000-0000-000042300000}"/>
    <cellStyle name="Normal 2 206" xfId="11402" xr:uid="{00000000-0005-0000-0000-000043300000}"/>
    <cellStyle name="Normal 2 207" xfId="11403" xr:uid="{00000000-0005-0000-0000-000044300000}"/>
    <cellStyle name="Normal 2 208" xfId="11404" xr:uid="{00000000-0005-0000-0000-000045300000}"/>
    <cellStyle name="Normal 2 209" xfId="11405" xr:uid="{00000000-0005-0000-0000-000046300000}"/>
    <cellStyle name="Normal 2 21" xfId="11406" xr:uid="{00000000-0005-0000-0000-000047300000}"/>
    <cellStyle name="Normal 2 21 2" xfId="11407" xr:uid="{00000000-0005-0000-0000-000048300000}"/>
    <cellStyle name="Normal 2 21 2 2" xfId="11408" xr:uid="{00000000-0005-0000-0000-000049300000}"/>
    <cellStyle name="Normal 2 21 2 3" xfId="11409" xr:uid="{00000000-0005-0000-0000-00004A300000}"/>
    <cellStyle name="Normal 2 21 2 4" xfId="11410" xr:uid="{00000000-0005-0000-0000-00004B300000}"/>
    <cellStyle name="Normal 2 21 2 5" xfId="11411" xr:uid="{00000000-0005-0000-0000-00004C300000}"/>
    <cellStyle name="Normal 2 21 2 6" xfId="11412" xr:uid="{00000000-0005-0000-0000-00004D300000}"/>
    <cellStyle name="Normal 2 21 2 7" xfId="11413" xr:uid="{00000000-0005-0000-0000-00004E300000}"/>
    <cellStyle name="Normal 2 21 3" xfId="11414" xr:uid="{00000000-0005-0000-0000-00004F300000}"/>
    <cellStyle name="Normal 2 21 4" xfId="11415" xr:uid="{00000000-0005-0000-0000-000050300000}"/>
    <cellStyle name="Normal 2 21 5" xfId="11416" xr:uid="{00000000-0005-0000-0000-000051300000}"/>
    <cellStyle name="Normal 2 21 6" xfId="11417" xr:uid="{00000000-0005-0000-0000-000052300000}"/>
    <cellStyle name="Normal 2 21 7" xfId="11418" xr:uid="{00000000-0005-0000-0000-000053300000}"/>
    <cellStyle name="Normal 2 21 8" xfId="11419" xr:uid="{00000000-0005-0000-0000-000054300000}"/>
    <cellStyle name="Normal 2 210" xfId="11420" xr:uid="{00000000-0005-0000-0000-000055300000}"/>
    <cellStyle name="Normal 2 211" xfId="11421" xr:uid="{00000000-0005-0000-0000-000056300000}"/>
    <cellStyle name="Normal 2 212" xfId="11422" xr:uid="{00000000-0005-0000-0000-000057300000}"/>
    <cellStyle name="Normal 2 213" xfId="11423" xr:uid="{00000000-0005-0000-0000-000058300000}"/>
    <cellStyle name="Normal 2 214" xfId="11424" xr:uid="{00000000-0005-0000-0000-000059300000}"/>
    <cellStyle name="Normal 2 215" xfId="11425" xr:uid="{00000000-0005-0000-0000-00005A300000}"/>
    <cellStyle name="Normal 2 216" xfId="11426" xr:uid="{00000000-0005-0000-0000-00005B300000}"/>
    <cellStyle name="Normal 2 217" xfId="11427" xr:uid="{00000000-0005-0000-0000-00005C300000}"/>
    <cellStyle name="Normal 2 218" xfId="11428" xr:uid="{00000000-0005-0000-0000-00005D300000}"/>
    <cellStyle name="Normal 2 219" xfId="11429" xr:uid="{00000000-0005-0000-0000-00005E300000}"/>
    <cellStyle name="Normal 2 22" xfId="11430" xr:uid="{00000000-0005-0000-0000-00005F300000}"/>
    <cellStyle name="Normal 2 22 2" xfId="11431" xr:uid="{00000000-0005-0000-0000-000060300000}"/>
    <cellStyle name="Normal 2 22 2 2" xfId="11432" xr:uid="{00000000-0005-0000-0000-000061300000}"/>
    <cellStyle name="Normal 2 22 2 3" xfId="11433" xr:uid="{00000000-0005-0000-0000-000062300000}"/>
    <cellStyle name="Normal 2 22 2 4" xfId="11434" xr:uid="{00000000-0005-0000-0000-000063300000}"/>
    <cellStyle name="Normal 2 22 2 5" xfId="11435" xr:uid="{00000000-0005-0000-0000-000064300000}"/>
    <cellStyle name="Normal 2 22 2 6" xfId="11436" xr:uid="{00000000-0005-0000-0000-000065300000}"/>
    <cellStyle name="Normal 2 22 2 7" xfId="11437" xr:uid="{00000000-0005-0000-0000-000066300000}"/>
    <cellStyle name="Normal 2 22 3" xfId="11438" xr:uid="{00000000-0005-0000-0000-000067300000}"/>
    <cellStyle name="Normal 2 22 4" xfId="11439" xr:uid="{00000000-0005-0000-0000-000068300000}"/>
    <cellStyle name="Normal 2 22 5" xfId="11440" xr:uid="{00000000-0005-0000-0000-000069300000}"/>
    <cellStyle name="Normal 2 22 6" xfId="11441" xr:uid="{00000000-0005-0000-0000-00006A300000}"/>
    <cellStyle name="Normal 2 22 7" xfId="11442" xr:uid="{00000000-0005-0000-0000-00006B300000}"/>
    <cellStyle name="Normal 2 22 8" xfId="11443" xr:uid="{00000000-0005-0000-0000-00006C300000}"/>
    <cellStyle name="Normal 2 220" xfId="11444" xr:uid="{00000000-0005-0000-0000-00006D300000}"/>
    <cellStyle name="Normal 2 221" xfId="11445" xr:uid="{00000000-0005-0000-0000-00006E300000}"/>
    <cellStyle name="Normal 2 222" xfId="11446" xr:uid="{00000000-0005-0000-0000-00006F300000}"/>
    <cellStyle name="Normal 2 223" xfId="11447" xr:uid="{00000000-0005-0000-0000-000070300000}"/>
    <cellStyle name="Normal 2 224" xfId="11448" xr:uid="{00000000-0005-0000-0000-000071300000}"/>
    <cellStyle name="Normal 2 225" xfId="11449" xr:uid="{00000000-0005-0000-0000-000072300000}"/>
    <cellStyle name="Normal 2 226" xfId="11450" xr:uid="{00000000-0005-0000-0000-000073300000}"/>
    <cellStyle name="Normal 2 227" xfId="11451" xr:uid="{00000000-0005-0000-0000-000074300000}"/>
    <cellStyle name="Normal 2 228" xfId="11452" xr:uid="{00000000-0005-0000-0000-000075300000}"/>
    <cellStyle name="Normal 2 229" xfId="11453" xr:uid="{00000000-0005-0000-0000-000076300000}"/>
    <cellStyle name="Normal 2 23" xfId="11454" xr:uid="{00000000-0005-0000-0000-000077300000}"/>
    <cellStyle name="Normal 2 230" xfId="11455" xr:uid="{00000000-0005-0000-0000-000078300000}"/>
    <cellStyle name="Normal 2 231" xfId="11456" xr:uid="{00000000-0005-0000-0000-000079300000}"/>
    <cellStyle name="Normal 2 232" xfId="11457" xr:uid="{00000000-0005-0000-0000-00007A300000}"/>
    <cellStyle name="Normal 2 233" xfId="11458" xr:uid="{00000000-0005-0000-0000-00007B300000}"/>
    <cellStyle name="Normal 2 234" xfId="11459" xr:uid="{00000000-0005-0000-0000-00007C300000}"/>
    <cellStyle name="Normal 2 235" xfId="41069" xr:uid="{F41C50C5-03F4-4FA7-A06B-C8F9AB4A6BFC}"/>
    <cellStyle name="Normal 2 24" xfId="11460" xr:uid="{00000000-0005-0000-0000-00007D300000}"/>
    <cellStyle name="Normal 2 25" xfId="11461" xr:uid="{00000000-0005-0000-0000-00007E300000}"/>
    <cellStyle name="Normal 2 26" xfId="11462" xr:uid="{00000000-0005-0000-0000-00007F300000}"/>
    <cellStyle name="Normal 2 26 10" xfId="11463" xr:uid="{00000000-0005-0000-0000-000080300000}"/>
    <cellStyle name="Normal 2 26 10 2" xfId="11464" xr:uid="{00000000-0005-0000-0000-000081300000}"/>
    <cellStyle name="Normal 2 26 10 2 2" xfId="41064" xr:uid="{00000000-0005-0000-0000-000082300000}"/>
    <cellStyle name="Normal 2 26 11" xfId="11465" xr:uid="{00000000-0005-0000-0000-000083300000}"/>
    <cellStyle name="Normal 2 26 12" xfId="11466" xr:uid="{00000000-0005-0000-0000-000084300000}"/>
    <cellStyle name="Normal 2 26 13" xfId="11467" xr:uid="{00000000-0005-0000-0000-000085300000}"/>
    <cellStyle name="Normal 2 26 14" xfId="11468" xr:uid="{00000000-0005-0000-0000-000086300000}"/>
    <cellStyle name="Normal 2 26 15" xfId="11469" xr:uid="{00000000-0005-0000-0000-000087300000}"/>
    <cellStyle name="Normal 2 26 16" xfId="11470" xr:uid="{00000000-0005-0000-0000-000088300000}"/>
    <cellStyle name="Normal 2 26 17" xfId="11471" xr:uid="{00000000-0005-0000-0000-000089300000}"/>
    <cellStyle name="Normal 2 26 18" xfId="11472" xr:uid="{00000000-0005-0000-0000-00008A300000}"/>
    <cellStyle name="Normal 2 26 19" xfId="11473" xr:uid="{00000000-0005-0000-0000-00008B300000}"/>
    <cellStyle name="Normal 2 26 2" xfId="11474" xr:uid="{00000000-0005-0000-0000-00008C300000}"/>
    <cellStyle name="Normal 2 26 2 10" xfId="11475" xr:uid="{00000000-0005-0000-0000-00008D300000}"/>
    <cellStyle name="Normal 2 26 2 11" xfId="11476" xr:uid="{00000000-0005-0000-0000-00008E300000}"/>
    <cellStyle name="Normal 2 26 2 12" xfId="11477" xr:uid="{00000000-0005-0000-0000-00008F300000}"/>
    <cellStyle name="Normal 2 26 2 13" xfId="11478" xr:uid="{00000000-0005-0000-0000-000090300000}"/>
    <cellStyle name="Normal 2 26 2 14" xfId="11479" xr:uid="{00000000-0005-0000-0000-000091300000}"/>
    <cellStyle name="Normal 2 26 2 15" xfId="11480" xr:uid="{00000000-0005-0000-0000-000092300000}"/>
    <cellStyle name="Normal 2 26 2 16" xfId="11481" xr:uid="{00000000-0005-0000-0000-000093300000}"/>
    <cellStyle name="Normal 2 26 2 2" xfId="11482" xr:uid="{00000000-0005-0000-0000-000094300000}"/>
    <cellStyle name="Normal 2 26 2 3" xfId="11483" xr:uid="{00000000-0005-0000-0000-000095300000}"/>
    <cellStyle name="Normal 2 26 2 4" xfId="11484" xr:uid="{00000000-0005-0000-0000-000096300000}"/>
    <cellStyle name="Normal 2 26 2 5" xfId="11485" xr:uid="{00000000-0005-0000-0000-000097300000}"/>
    <cellStyle name="Normal 2 26 2 6" xfId="11486" xr:uid="{00000000-0005-0000-0000-000098300000}"/>
    <cellStyle name="Normal 2 26 2 7" xfId="11487" xr:uid="{00000000-0005-0000-0000-000099300000}"/>
    <cellStyle name="Normal 2 26 2 8" xfId="11488" xr:uid="{00000000-0005-0000-0000-00009A300000}"/>
    <cellStyle name="Normal 2 26 2 9" xfId="11489" xr:uid="{00000000-0005-0000-0000-00009B300000}"/>
    <cellStyle name="Normal 2 26 20" xfId="11490" xr:uid="{00000000-0005-0000-0000-00009C300000}"/>
    <cellStyle name="Normal 2 26 21" xfId="11491" xr:uid="{00000000-0005-0000-0000-00009D300000}"/>
    <cellStyle name="Normal 2 26 22" xfId="11492" xr:uid="{00000000-0005-0000-0000-00009E300000}"/>
    <cellStyle name="Normal 2 26 23" xfId="11493" xr:uid="{00000000-0005-0000-0000-00009F300000}"/>
    <cellStyle name="Normal 2 26 24" xfId="11494" xr:uid="{00000000-0005-0000-0000-0000A0300000}"/>
    <cellStyle name="Normal 2 26 25" xfId="11495" xr:uid="{00000000-0005-0000-0000-0000A1300000}"/>
    <cellStyle name="Normal 2 26 3" xfId="11496" xr:uid="{00000000-0005-0000-0000-0000A2300000}"/>
    <cellStyle name="Normal 2 26 3 10" xfId="11497" xr:uid="{00000000-0005-0000-0000-0000A3300000}"/>
    <cellStyle name="Normal 2 26 3 11" xfId="11498" xr:uid="{00000000-0005-0000-0000-0000A4300000}"/>
    <cellStyle name="Normal 2 26 3 12" xfId="11499" xr:uid="{00000000-0005-0000-0000-0000A5300000}"/>
    <cellStyle name="Normal 2 26 3 13" xfId="11500" xr:uid="{00000000-0005-0000-0000-0000A6300000}"/>
    <cellStyle name="Normal 2 26 3 14" xfId="11501" xr:uid="{00000000-0005-0000-0000-0000A7300000}"/>
    <cellStyle name="Normal 2 26 3 15" xfId="11502" xr:uid="{00000000-0005-0000-0000-0000A8300000}"/>
    <cellStyle name="Normal 2 26 3 16" xfId="11503" xr:uid="{00000000-0005-0000-0000-0000A9300000}"/>
    <cellStyle name="Normal 2 26 3 2" xfId="11504" xr:uid="{00000000-0005-0000-0000-0000AA300000}"/>
    <cellStyle name="Normal 2 26 3 3" xfId="11505" xr:uid="{00000000-0005-0000-0000-0000AB300000}"/>
    <cellStyle name="Normal 2 26 3 4" xfId="11506" xr:uid="{00000000-0005-0000-0000-0000AC300000}"/>
    <cellStyle name="Normal 2 26 3 5" xfId="11507" xr:uid="{00000000-0005-0000-0000-0000AD300000}"/>
    <cellStyle name="Normal 2 26 3 6" xfId="11508" xr:uid="{00000000-0005-0000-0000-0000AE300000}"/>
    <cellStyle name="Normal 2 26 3 7" xfId="11509" xr:uid="{00000000-0005-0000-0000-0000AF300000}"/>
    <cellStyle name="Normal 2 26 3 8" xfId="11510" xr:uid="{00000000-0005-0000-0000-0000B0300000}"/>
    <cellStyle name="Normal 2 26 3 9" xfId="11511" xr:uid="{00000000-0005-0000-0000-0000B1300000}"/>
    <cellStyle name="Normal 2 26 4" xfId="11512" xr:uid="{00000000-0005-0000-0000-0000B2300000}"/>
    <cellStyle name="Normal 2 26 4 10" xfId="11513" xr:uid="{00000000-0005-0000-0000-0000B3300000}"/>
    <cellStyle name="Normal 2 26 4 11" xfId="11514" xr:uid="{00000000-0005-0000-0000-0000B4300000}"/>
    <cellStyle name="Normal 2 26 4 12" xfId="11515" xr:uid="{00000000-0005-0000-0000-0000B5300000}"/>
    <cellStyle name="Normal 2 26 4 13" xfId="11516" xr:uid="{00000000-0005-0000-0000-0000B6300000}"/>
    <cellStyle name="Normal 2 26 4 14" xfId="11517" xr:uid="{00000000-0005-0000-0000-0000B7300000}"/>
    <cellStyle name="Normal 2 26 4 15" xfId="11518" xr:uid="{00000000-0005-0000-0000-0000B8300000}"/>
    <cellStyle name="Normal 2 26 4 16" xfId="11519" xr:uid="{00000000-0005-0000-0000-0000B9300000}"/>
    <cellStyle name="Normal 2 26 4 2" xfId="11520" xr:uid="{00000000-0005-0000-0000-0000BA300000}"/>
    <cellStyle name="Normal 2 26 4 3" xfId="11521" xr:uid="{00000000-0005-0000-0000-0000BB300000}"/>
    <cellStyle name="Normal 2 26 4 4" xfId="11522" xr:uid="{00000000-0005-0000-0000-0000BC300000}"/>
    <cellStyle name="Normal 2 26 4 5" xfId="11523" xr:uid="{00000000-0005-0000-0000-0000BD300000}"/>
    <cellStyle name="Normal 2 26 4 6" xfId="11524" xr:uid="{00000000-0005-0000-0000-0000BE300000}"/>
    <cellStyle name="Normal 2 26 4 7" xfId="11525" xr:uid="{00000000-0005-0000-0000-0000BF300000}"/>
    <cellStyle name="Normal 2 26 4 8" xfId="11526" xr:uid="{00000000-0005-0000-0000-0000C0300000}"/>
    <cellStyle name="Normal 2 26 4 9" xfId="11527" xr:uid="{00000000-0005-0000-0000-0000C1300000}"/>
    <cellStyle name="Normal 2 26 5" xfId="11528" xr:uid="{00000000-0005-0000-0000-0000C2300000}"/>
    <cellStyle name="Normal 2 26 5 10" xfId="11529" xr:uid="{00000000-0005-0000-0000-0000C3300000}"/>
    <cellStyle name="Normal 2 26 5 11" xfId="11530" xr:uid="{00000000-0005-0000-0000-0000C4300000}"/>
    <cellStyle name="Normal 2 26 5 12" xfId="11531" xr:uid="{00000000-0005-0000-0000-0000C5300000}"/>
    <cellStyle name="Normal 2 26 5 13" xfId="11532" xr:uid="{00000000-0005-0000-0000-0000C6300000}"/>
    <cellStyle name="Normal 2 26 5 14" xfId="11533" xr:uid="{00000000-0005-0000-0000-0000C7300000}"/>
    <cellStyle name="Normal 2 26 5 15" xfId="11534" xr:uid="{00000000-0005-0000-0000-0000C8300000}"/>
    <cellStyle name="Normal 2 26 5 16" xfId="11535" xr:uid="{00000000-0005-0000-0000-0000C9300000}"/>
    <cellStyle name="Normal 2 26 5 2" xfId="11536" xr:uid="{00000000-0005-0000-0000-0000CA300000}"/>
    <cellStyle name="Normal 2 26 5 3" xfId="11537" xr:uid="{00000000-0005-0000-0000-0000CB300000}"/>
    <cellStyle name="Normal 2 26 5 4" xfId="11538" xr:uid="{00000000-0005-0000-0000-0000CC300000}"/>
    <cellStyle name="Normal 2 26 5 5" xfId="11539" xr:uid="{00000000-0005-0000-0000-0000CD300000}"/>
    <cellStyle name="Normal 2 26 5 6" xfId="11540" xr:uid="{00000000-0005-0000-0000-0000CE300000}"/>
    <cellStyle name="Normal 2 26 5 7" xfId="11541" xr:uid="{00000000-0005-0000-0000-0000CF300000}"/>
    <cellStyle name="Normal 2 26 5 8" xfId="11542" xr:uid="{00000000-0005-0000-0000-0000D0300000}"/>
    <cellStyle name="Normal 2 26 5 9" xfId="11543" xr:uid="{00000000-0005-0000-0000-0000D1300000}"/>
    <cellStyle name="Normal 2 26 6" xfId="11544" xr:uid="{00000000-0005-0000-0000-0000D2300000}"/>
    <cellStyle name="Normal 2 26 6 2" xfId="11545" xr:uid="{00000000-0005-0000-0000-0000D3300000}"/>
    <cellStyle name="Normal 2 26 7" xfId="11546" xr:uid="{00000000-0005-0000-0000-0000D4300000}"/>
    <cellStyle name="Normal 2 26 7 2" xfId="11547" xr:uid="{00000000-0005-0000-0000-0000D5300000}"/>
    <cellStyle name="Normal 2 26 8" xfId="11548" xr:uid="{00000000-0005-0000-0000-0000D6300000}"/>
    <cellStyle name="Normal 2 26 8 2" xfId="11549" xr:uid="{00000000-0005-0000-0000-0000D7300000}"/>
    <cellStyle name="Normal 2 26 9" xfId="11550" xr:uid="{00000000-0005-0000-0000-0000D8300000}"/>
    <cellStyle name="Normal 2 26 9 2" xfId="11551" xr:uid="{00000000-0005-0000-0000-0000D9300000}"/>
    <cellStyle name="Normal 2 27" xfId="11552" xr:uid="{00000000-0005-0000-0000-0000DA300000}"/>
    <cellStyle name="Normal 2 27 2" xfId="11553" xr:uid="{00000000-0005-0000-0000-0000DB300000}"/>
    <cellStyle name="Normal 2 27 3" xfId="11554" xr:uid="{00000000-0005-0000-0000-0000DC300000}"/>
    <cellStyle name="Normal 2 27 4" xfId="11555" xr:uid="{00000000-0005-0000-0000-0000DD300000}"/>
    <cellStyle name="Normal 2 27 5" xfId="11556" xr:uid="{00000000-0005-0000-0000-0000DE300000}"/>
    <cellStyle name="Normal 2 28" xfId="11557" xr:uid="{00000000-0005-0000-0000-0000DF300000}"/>
    <cellStyle name="Normal 2 28 2" xfId="11558" xr:uid="{00000000-0005-0000-0000-0000E0300000}"/>
    <cellStyle name="Normal 2 28 3" xfId="11559" xr:uid="{00000000-0005-0000-0000-0000E1300000}"/>
    <cellStyle name="Normal 2 28 4" xfId="11560" xr:uid="{00000000-0005-0000-0000-0000E2300000}"/>
    <cellStyle name="Normal 2 28 5" xfId="11561" xr:uid="{00000000-0005-0000-0000-0000E3300000}"/>
    <cellStyle name="Normal 2 29" xfId="11562" xr:uid="{00000000-0005-0000-0000-0000E4300000}"/>
    <cellStyle name="Normal 2 29 2" xfId="11563" xr:uid="{00000000-0005-0000-0000-0000E5300000}"/>
    <cellStyle name="Normal 2 29 3" xfId="11564" xr:uid="{00000000-0005-0000-0000-0000E6300000}"/>
    <cellStyle name="Normal 2 29 4" xfId="11565" xr:uid="{00000000-0005-0000-0000-0000E7300000}"/>
    <cellStyle name="Normal 2 29 5" xfId="11566" xr:uid="{00000000-0005-0000-0000-0000E8300000}"/>
    <cellStyle name="Normal 2 3" xfId="11567" xr:uid="{00000000-0005-0000-0000-0000E9300000}"/>
    <cellStyle name="Normal 2 3 10" xfId="11568" xr:uid="{00000000-0005-0000-0000-0000EA300000}"/>
    <cellStyle name="Normal 2 3 10 2" xfId="11569" xr:uid="{00000000-0005-0000-0000-0000EB300000}"/>
    <cellStyle name="Normal 2 3 11" xfId="11570" xr:uid="{00000000-0005-0000-0000-0000EC300000}"/>
    <cellStyle name="Normal 2 3 11 2" xfId="11571" xr:uid="{00000000-0005-0000-0000-0000ED300000}"/>
    <cellStyle name="Normal 2 3 12" xfId="11572" xr:uid="{00000000-0005-0000-0000-0000EE300000}"/>
    <cellStyle name="Normal 2 3 12 2" xfId="11573" xr:uid="{00000000-0005-0000-0000-0000EF300000}"/>
    <cellStyle name="Normal 2 3 13" xfId="11574" xr:uid="{00000000-0005-0000-0000-0000F0300000}"/>
    <cellStyle name="Normal 2 3 14" xfId="11575" xr:uid="{00000000-0005-0000-0000-0000F1300000}"/>
    <cellStyle name="Normal 2 3 14 2" xfId="11576" xr:uid="{00000000-0005-0000-0000-0000F2300000}"/>
    <cellStyle name="Normal 2 3 15" xfId="11577" xr:uid="{00000000-0005-0000-0000-0000F3300000}"/>
    <cellStyle name="Normal 2 3 15 2" xfId="11578" xr:uid="{00000000-0005-0000-0000-0000F4300000}"/>
    <cellStyle name="Normal 2 3 16" xfId="11579" xr:uid="{00000000-0005-0000-0000-0000F5300000}"/>
    <cellStyle name="Normal 2 3 16 2" xfId="11580" xr:uid="{00000000-0005-0000-0000-0000F6300000}"/>
    <cellStyle name="Normal 2 3 17" xfId="11581" xr:uid="{00000000-0005-0000-0000-0000F7300000}"/>
    <cellStyle name="Normal 2 3 18" xfId="11582" xr:uid="{00000000-0005-0000-0000-0000F8300000}"/>
    <cellStyle name="Normal 2 3 19" xfId="11583" xr:uid="{00000000-0005-0000-0000-0000F9300000}"/>
    <cellStyle name="Normal 2 3 2" xfId="11584" xr:uid="{00000000-0005-0000-0000-0000FA300000}"/>
    <cellStyle name="Normal 2 3 2 2" xfId="40637" xr:uid="{00000000-0005-0000-0000-0000FB300000}"/>
    <cellStyle name="Normal 2 3 20" xfId="11585" xr:uid="{00000000-0005-0000-0000-0000FC300000}"/>
    <cellStyle name="Normal 2 3 21" xfId="11586" xr:uid="{00000000-0005-0000-0000-0000FD300000}"/>
    <cellStyle name="Normal 2 3 22" xfId="11587" xr:uid="{00000000-0005-0000-0000-0000FE300000}"/>
    <cellStyle name="Normal 2 3 23" xfId="11588" xr:uid="{00000000-0005-0000-0000-0000FF300000}"/>
    <cellStyle name="Normal 2 3 24" xfId="11589" xr:uid="{00000000-0005-0000-0000-000000310000}"/>
    <cellStyle name="Normal 2 3 25" xfId="11590" xr:uid="{00000000-0005-0000-0000-000001310000}"/>
    <cellStyle name="Normal 2 3 26" xfId="11591" xr:uid="{00000000-0005-0000-0000-000002310000}"/>
    <cellStyle name="Normal 2 3 27" xfId="11592" xr:uid="{00000000-0005-0000-0000-000003310000}"/>
    <cellStyle name="Normal 2 3 28" xfId="11593" xr:uid="{00000000-0005-0000-0000-000004310000}"/>
    <cellStyle name="Normal 2 3 29" xfId="11594" xr:uid="{00000000-0005-0000-0000-000005310000}"/>
    <cellStyle name="Normal 2 3 3" xfId="11595" xr:uid="{00000000-0005-0000-0000-000006310000}"/>
    <cellStyle name="Normal 2 3 3 2" xfId="11596" xr:uid="{00000000-0005-0000-0000-000007310000}"/>
    <cellStyle name="Normal 2 3 3 3" xfId="11597" xr:uid="{00000000-0005-0000-0000-000008310000}"/>
    <cellStyle name="Normal 2 3 3 4" xfId="11598" xr:uid="{00000000-0005-0000-0000-000009310000}"/>
    <cellStyle name="Normal 2 3 3 5" xfId="11599" xr:uid="{00000000-0005-0000-0000-00000A310000}"/>
    <cellStyle name="Normal 2 3 3 6" xfId="11600" xr:uid="{00000000-0005-0000-0000-00000B310000}"/>
    <cellStyle name="Normal 2 3 3 7" xfId="11601" xr:uid="{00000000-0005-0000-0000-00000C310000}"/>
    <cellStyle name="Normal 2 3 3 8" xfId="40638" xr:uid="{00000000-0005-0000-0000-00000D310000}"/>
    <cellStyle name="Normal 2 3 30" xfId="11602" xr:uid="{00000000-0005-0000-0000-00000E310000}"/>
    <cellStyle name="Normal 2 3 31" xfId="11603" xr:uid="{00000000-0005-0000-0000-00000F310000}"/>
    <cellStyle name="Normal 2 3 32" xfId="11604" xr:uid="{00000000-0005-0000-0000-000010310000}"/>
    <cellStyle name="Normal 2 3 4" xfId="11605" xr:uid="{00000000-0005-0000-0000-000011310000}"/>
    <cellStyle name="Normal 2 3 4 10" xfId="11606" xr:uid="{00000000-0005-0000-0000-000012310000}"/>
    <cellStyle name="Normal 2 3 4 11" xfId="11607" xr:uid="{00000000-0005-0000-0000-000013310000}"/>
    <cellStyle name="Normal 2 3 4 12" xfId="11608" xr:uid="{00000000-0005-0000-0000-000014310000}"/>
    <cellStyle name="Normal 2 3 4 13" xfId="11609" xr:uid="{00000000-0005-0000-0000-000015310000}"/>
    <cellStyle name="Normal 2 3 4 14" xfId="11610" xr:uid="{00000000-0005-0000-0000-000016310000}"/>
    <cellStyle name="Normal 2 3 4 15" xfId="11611" xr:uid="{00000000-0005-0000-0000-000017310000}"/>
    <cellStyle name="Normal 2 3 4 16" xfId="11612" xr:uid="{00000000-0005-0000-0000-000018310000}"/>
    <cellStyle name="Normal 2 3 4 17" xfId="40639" xr:uid="{00000000-0005-0000-0000-000019310000}"/>
    <cellStyle name="Normal 2 3 4 2" xfId="11613" xr:uid="{00000000-0005-0000-0000-00001A310000}"/>
    <cellStyle name="Normal 2 3 4 3" xfId="11614" xr:uid="{00000000-0005-0000-0000-00001B310000}"/>
    <cellStyle name="Normal 2 3 4 4" xfId="11615" xr:uid="{00000000-0005-0000-0000-00001C310000}"/>
    <cellStyle name="Normal 2 3 4 5" xfId="11616" xr:uid="{00000000-0005-0000-0000-00001D310000}"/>
    <cellStyle name="Normal 2 3 4 6" xfId="11617" xr:uid="{00000000-0005-0000-0000-00001E310000}"/>
    <cellStyle name="Normal 2 3 4 7" xfId="11618" xr:uid="{00000000-0005-0000-0000-00001F310000}"/>
    <cellStyle name="Normal 2 3 4 8" xfId="11619" xr:uid="{00000000-0005-0000-0000-000020310000}"/>
    <cellStyle name="Normal 2 3 4 9" xfId="11620" xr:uid="{00000000-0005-0000-0000-000021310000}"/>
    <cellStyle name="Normal 2 3 5" xfId="11621" xr:uid="{00000000-0005-0000-0000-000022310000}"/>
    <cellStyle name="Normal 2 3 5 10" xfId="11622" xr:uid="{00000000-0005-0000-0000-000023310000}"/>
    <cellStyle name="Normal 2 3 5 11" xfId="11623" xr:uid="{00000000-0005-0000-0000-000024310000}"/>
    <cellStyle name="Normal 2 3 5 12" xfId="11624" xr:uid="{00000000-0005-0000-0000-000025310000}"/>
    <cellStyle name="Normal 2 3 5 13" xfId="11625" xr:uid="{00000000-0005-0000-0000-000026310000}"/>
    <cellStyle name="Normal 2 3 5 14" xfId="11626" xr:uid="{00000000-0005-0000-0000-000027310000}"/>
    <cellStyle name="Normal 2 3 5 15" xfId="11627" xr:uid="{00000000-0005-0000-0000-000028310000}"/>
    <cellStyle name="Normal 2 3 5 16" xfId="11628" xr:uid="{00000000-0005-0000-0000-000029310000}"/>
    <cellStyle name="Normal 2 3 5 2" xfId="11629" xr:uid="{00000000-0005-0000-0000-00002A310000}"/>
    <cellStyle name="Normal 2 3 5 3" xfId="11630" xr:uid="{00000000-0005-0000-0000-00002B310000}"/>
    <cellStyle name="Normal 2 3 5 4" xfId="11631" xr:uid="{00000000-0005-0000-0000-00002C310000}"/>
    <cellStyle name="Normal 2 3 5 5" xfId="11632" xr:uid="{00000000-0005-0000-0000-00002D310000}"/>
    <cellStyle name="Normal 2 3 5 6" xfId="11633" xr:uid="{00000000-0005-0000-0000-00002E310000}"/>
    <cellStyle name="Normal 2 3 5 7" xfId="11634" xr:uid="{00000000-0005-0000-0000-00002F310000}"/>
    <cellStyle name="Normal 2 3 5 8" xfId="11635" xr:uid="{00000000-0005-0000-0000-000030310000}"/>
    <cellStyle name="Normal 2 3 5 9" xfId="11636" xr:uid="{00000000-0005-0000-0000-000031310000}"/>
    <cellStyle name="Normal 2 3 6" xfId="11637" xr:uid="{00000000-0005-0000-0000-000032310000}"/>
    <cellStyle name="Normal 2 3 6 2" xfId="11638" xr:uid="{00000000-0005-0000-0000-000033310000}"/>
    <cellStyle name="Normal 2 3 7" xfId="11639" xr:uid="{00000000-0005-0000-0000-000034310000}"/>
    <cellStyle name="Normal 2 3 7 2" xfId="11640" xr:uid="{00000000-0005-0000-0000-000035310000}"/>
    <cellStyle name="Normal 2 3 8" xfId="11641" xr:uid="{00000000-0005-0000-0000-000036310000}"/>
    <cellStyle name="Normal 2 3 8 2" xfId="11642" xr:uid="{00000000-0005-0000-0000-000037310000}"/>
    <cellStyle name="Normal 2 3 9" xfId="11643" xr:uid="{00000000-0005-0000-0000-000038310000}"/>
    <cellStyle name="Normal 2 3 9 2" xfId="11644" xr:uid="{00000000-0005-0000-0000-000039310000}"/>
    <cellStyle name="Normal 2 30" xfId="11645" xr:uid="{00000000-0005-0000-0000-00003A310000}"/>
    <cellStyle name="Normal 2 30 10" xfId="11646" xr:uid="{00000000-0005-0000-0000-00003B310000}"/>
    <cellStyle name="Normal 2 30 10 2" xfId="11647" xr:uid="{00000000-0005-0000-0000-00003C310000}"/>
    <cellStyle name="Normal 2 30 10 2 2" xfId="29979" xr:uid="{00000000-0005-0000-0000-00003D310000}"/>
    <cellStyle name="Normal 2 30 10 3" xfId="11648" xr:uid="{00000000-0005-0000-0000-00003E310000}"/>
    <cellStyle name="Normal 2 30 10 3 2" xfId="29980" xr:uid="{00000000-0005-0000-0000-00003F310000}"/>
    <cellStyle name="Normal 2 30 10 4" xfId="11649" xr:uid="{00000000-0005-0000-0000-000040310000}"/>
    <cellStyle name="Normal 2 30 10 4 2" xfId="29981" xr:uid="{00000000-0005-0000-0000-000041310000}"/>
    <cellStyle name="Normal 2 30 10 5" xfId="11650" xr:uid="{00000000-0005-0000-0000-000042310000}"/>
    <cellStyle name="Normal 2 30 10 5 2" xfId="29982" xr:uid="{00000000-0005-0000-0000-000043310000}"/>
    <cellStyle name="Normal 2 30 10 6" xfId="29978" xr:uid="{00000000-0005-0000-0000-000044310000}"/>
    <cellStyle name="Normal 2 30 11" xfId="11651" xr:uid="{00000000-0005-0000-0000-000045310000}"/>
    <cellStyle name="Normal 2 30 11 2" xfId="11652" xr:uid="{00000000-0005-0000-0000-000046310000}"/>
    <cellStyle name="Normal 2 30 11 2 2" xfId="29984" xr:uid="{00000000-0005-0000-0000-000047310000}"/>
    <cellStyle name="Normal 2 30 11 3" xfId="11653" xr:uid="{00000000-0005-0000-0000-000048310000}"/>
    <cellStyle name="Normal 2 30 11 3 2" xfId="29985" xr:uid="{00000000-0005-0000-0000-000049310000}"/>
    <cellStyle name="Normal 2 30 11 4" xfId="11654" xr:uid="{00000000-0005-0000-0000-00004A310000}"/>
    <cellStyle name="Normal 2 30 11 4 2" xfId="29986" xr:uid="{00000000-0005-0000-0000-00004B310000}"/>
    <cellStyle name="Normal 2 30 11 5" xfId="11655" xr:uid="{00000000-0005-0000-0000-00004C310000}"/>
    <cellStyle name="Normal 2 30 11 5 2" xfId="29987" xr:uid="{00000000-0005-0000-0000-00004D310000}"/>
    <cellStyle name="Normal 2 30 11 6" xfId="29983" xr:uid="{00000000-0005-0000-0000-00004E310000}"/>
    <cellStyle name="Normal 2 30 12" xfId="11656" xr:uid="{00000000-0005-0000-0000-00004F310000}"/>
    <cellStyle name="Normal 2 30 12 2" xfId="11657" xr:uid="{00000000-0005-0000-0000-000050310000}"/>
    <cellStyle name="Normal 2 30 12 2 2" xfId="29989" xr:uid="{00000000-0005-0000-0000-000051310000}"/>
    <cellStyle name="Normal 2 30 12 3" xfId="11658" xr:uid="{00000000-0005-0000-0000-000052310000}"/>
    <cellStyle name="Normal 2 30 12 3 2" xfId="29990" xr:uid="{00000000-0005-0000-0000-000053310000}"/>
    <cellStyle name="Normal 2 30 12 4" xfId="11659" xr:uid="{00000000-0005-0000-0000-000054310000}"/>
    <cellStyle name="Normal 2 30 12 4 2" xfId="29991" xr:uid="{00000000-0005-0000-0000-000055310000}"/>
    <cellStyle name="Normal 2 30 12 5" xfId="11660" xr:uid="{00000000-0005-0000-0000-000056310000}"/>
    <cellStyle name="Normal 2 30 12 5 2" xfId="29992" xr:uid="{00000000-0005-0000-0000-000057310000}"/>
    <cellStyle name="Normal 2 30 12 6" xfId="29988" xr:uid="{00000000-0005-0000-0000-000058310000}"/>
    <cellStyle name="Normal 2 30 13" xfId="11661" xr:uid="{00000000-0005-0000-0000-000059310000}"/>
    <cellStyle name="Normal 2 30 13 2" xfId="11662" xr:uid="{00000000-0005-0000-0000-00005A310000}"/>
    <cellStyle name="Normal 2 30 13 2 2" xfId="29994" xr:uid="{00000000-0005-0000-0000-00005B310000}"/>
    <cellStyle name="Normal 2 30 13 3" xfId="11663" xr:uid="{00000000-0005-0000-0000-00005C310000}"/>
    <cellStyle name="Normal 2 30 13 3 2" xfId="29995" xr:uid="{00000000-0005-0000-0000-00005D310000}"/>
    <cellStyle name="Normal 2 30 13 4" xfId="11664" xr:uid="{00000000-0005-0000-0000-00005E310000}"/>
    <cellStyle name="Normal 2 30 13 4 2" xfId="29996" xr:uid="{00000000-0005-0000-0000-00005F310000}"/>
    <cellStyle name="Normal 2 30 13 5" xfId="11665" xr:uid="{00000000-0005-0000-0000-000060310000}"/>
    <cellStyle name="Normal 2 30 13 5 2" xfId="29997" xr:uid="{00000000-0005-0000-0000-000061310000}"/>
    <cellStyle name="Normal 2 30 13 6" xfId="29993" xr:uid="{00000000-0005-0000-0000-000062310000}"/>
    <cellStyle name="Normal 2 30 14" xfId="11666" xr:uid="{00000000-0005-0000-0000-000063310000}"/>
    <cellStyle name="Normal 2 30 14 2" xfId="11667" xr:uid="{00000000-0005-0000-0000-000064310000}"/>
    <cellStyle name="Normal 2 30 14 2 2" xfId="29999" xr:uid="{00000000-0005-0000-0000-000065310000}"/>
    <cellStyle name="Normal 2 30 14 3" xfId="11668" xr:uid="{00000000-0005-0000-0000-000066310000}"/>
    <cellStyle name="Normal 2 30 14 3 2" xfId="30000" xr:uid="{00000000-0005-0000-0000-000067310000}"/>
    <cellStyle name="Normal 2 30 14 4" xfId="11669" xr:uid="{00000000-0005-0000-0000-000068310000}"/>
    <cellStyle name="Normal 2 30 14 4 2" xfId="30001" xr:uid="{00000000-0005-0000-0000-000069310000}"/>
    <cellStyle name="Normal 2 30 14 5" xfId="11670" xr:uid="{00000000-0005-0000-0000-00006A310000}"/>
    <cellStyle name="Normal 2 30 14 5 2" xfId="30002" xr:uid="{00000000-0005-0000-0000-00006B310000}"/>
    <cellStyle name="Normal 2 30 14 6" xfId="29998" xr:uid="{00000000-0005-0000-0000-00006C310000}"/>
    <cellStyle name="Normal 2 30 15" xfId="11671" xr:uid="{00000000-0005-0000-0000-00006D310000}"/>
    <cellStyle name="Normal 2 30 15 2" xfId="11672" xr:uid="{00000000-0005-0000-0000-00006E310000}"/>
    <cellStyle name="Normal 2 30 15 2 2" xfId="30004" xr:uid="{00000000-0005-0000-0000-00006F310000}"/>
    <cellStyle name="Normal 2 30 15 3" xfId="11673" xr:uid="{00000000-0005-0000-0000-000070310000}"/>
    <cellStyle name="Normal 2 30 15 3 2" xfId="30005" xr:uid="{00000000-0005-0000-0000-000071310000}"/>
    <cellStyle name="Normal 2 30 15 4" xfId="11674" xr:uid="{00000000-0005-0000-0000-000072310000}"/>
    <cellStyle name="Normal 2 30 15 4 2" xfId="30006" xr:uid="{00000000-0005-0000-0000-000073310000}"/>
    <cellStyle name="Normal 2 30 15 5" xfId="11675" xr:uid="{00000000-0005-0000-0000-000074310000}"/>
    <cellStyle name="Normal 2 30 15 5 2" xfId="30007" xr:uid="{00000000-0005-0000-0000-000075310000}"/>
    <cellStyle name="Normal 2 30 15 6" xfId="30003" xr:uid="{00000000-0005-0000-0000-000076310000}"/>
    <cellStyle name="Normal 2 30 16" xfId="11676" xr:uid="{00000000-0005-0000-0000-000077310000}"/>
    <cellStyle name="Normal 2 30 16 2" xfId="11677" xr:uid="{00000000-0005-0000-0000-000078310000}"/>
    <cellStyle name="Normal 2 30 16 2 2" xfId="30009" xr:uid="{00000000-0005-0000-0000-000079310000}"/>
    <cellStyle name="Normal 2 30 16 3" xfId="11678" xr:uid="{00000000-0005-0000-0000-00007A310000}"/>
    <cellStyle name="Normal 2 30 16 3 2" xfId="30010" xr:uid="{00000000-0005-0000-0000-00007B310000}"/>
    <cellStyle name="Normal 2 30 16 4" xfId="11679" xr:uid="{00000000-0005-0000-0000-00007C310000}"/>
    <cellStyle name="Normal 2 30 16 4 2" xfId="30011" xr:uid="{00000000-0005-0000-0000-00007D310000}"/>
    <cellStyle name="Normal 2 30 16 5" xfId="11680" xr:uid="{00000000-0005-0000-0000-00007E310000}"/>
    <cellStyle name="Normal 2 30 16 5 2" xfId="30012" xr:uid="{00000000-0005-0000-0000-00007F310000}"/>
    <cellStyle name="Normal 2 30 16 6" xfId="30008" xr:uid="{00000000-0005-0000-0000-000080310000}"/>
    <cellStyle name="Normal 2 30 17" xfId="11681" xr:uid="{00000000-0005-0000-0000-000081310000}"/>
    <cellStyle name="Normal 2 30 17 2" xfId="11682" xr:uid="{00000000-0005-0000-0000-000082310000}"/>
    <cellStyle name="Normal 2 30 17 2 2" xfId="30014" xr:uid="{00000000-0005-0000-0000-000083310000}"/>
    <cellStyle name="Normal 2 30 17 3" xfId="11683" xr:uid="{00000000-0005-0000-0000-000084310000}"/>
    <cellStyle name="Normal 2 30 17 3 2" xfId="30015" xr:uid="{00000000-0005-0000-0000-000085310000}"/>
    <cellStyle name="Normal 2 30 17 4" xfId="11684" xr:uid="{00000000-0005-0000-0000-000086310000}"/>
    <cellStyle name="Normal 2 30 17 4 2" xfId="30016" xr:uid="{00000000-0005-0000-0000-000087310000}"/>
    <cellStyle name="Normal 2 30 17 5" xfId="11685" xr:uid="{00000000-0005-0000-0000-000088310000}"/>
    <cellStyle name="Normal 2 30 17 5 2" xfId="30017" xr:uid="{00000000-0005-0000-0000-000089310000}"/>
    <cellStyle name="Normal 2 30 17 6" xfId="30013" xr:uid="{00000000-0005-0000-0000-00008A310000}"/>
    <cellStyle name="Normal 2 30 18" xfId="11686" xr:uid="{00000000-0005-0000-0000-00008B310000}"/>
    <cellStyle name="Normal 2 30 18 2" xfId="11687" xr:uid="{00000000-0005-0000-0000-00008C310000}"/>
    <cellStyle name="Normal 2 30 18 2 2" xfId="30019" xr:uid="{00000000-0005-0000-0000-00008D310000}"/>
    <cellStyle name="Normal 2 30 18 3" xfId="11688" xr:uid="{00000000-0005-0000-0000-00008E310000}"/>
    <cellStyle name="Normal 2 30 18 3 2" xfId="30020" xr:uid="{00000000-0005-0000-0000-00008F310000}"/>
    <cellStyle name="Normal 2 30 18 4" xfId="11689" xr:uid="{00000000-0005-0000-0000-000090310000}"/>
    <cellStyle name="Normal 2 30 18 4 2" xfId="30021" xr:uid="{00000000-0005-0000-0000-000091310000}"/>
    <cellStyle name="Normal 2 30 18 5" xfId="11690" xr:uid="{00000000-0005-0000-0000-000092310000}"/>
    <cellStyle name="Normal 2 30 18 5 2" xfId="30022" xr:uid="{00000000-0005-0000-0000-000093310000}"/>
    <cellStyle name="Normal 2 30 18 6" xfId="30018" xr:uid="{00000000-0005-0000-0000-000094310000}"/>
    <cellStyle name="Normal 2 30 19" xfId="11691" xr:uid="{00000000-0005-0000-0000-000095310000}"/>
    <cellStyle name="Normal 2 30 19 2" xfId="11692" xr:uid="{00000000-0005-0000-0000-000096310000}"/>
    <cellStyle name="Normal 2 30 19 2 2" xfId="30024" xr:uid="{00000000-0005-0000-0000-000097310000}"/>
    <cellStyle name="Normal 2 30 19 3" xfId="11693" xr:uid="{00000000-0005-0000-0000-000098310000}"/>
    <cellStyle name="Normal 2 30 19 3 2" xfId="30025" xr:uid="{00000000-0005-0000-0000-000099310000}"/>
    <cellStyle name="Normal 2 30 19 4" xfId="11694" xr:uid="{00000000-0005-0000-0000-00009A310000}"/>
    <cellStyle name="Normal 2 30 19 4 2" xfId="30026" xr:uid="{00000000-0005-0000-0000-00009B310000}"/>
    <cellStyle name="Normal 2 30 19 5" xfId="11695" xr:uid="{00000000-0005-0000-0000-00009C310000}"/>
    <cellStyle name="Normal 2 30 19 5 2" xfId="30027" xr:uid="{00000000-0005-0000-0000-00009D310000}"/>
    <cellStyle name="Normal 2 30 19 6" xfId="30023" xr:uid="{00000000-0005-0000-0000-00009E310000}"/>
    <cellStyle name="Normal 2 30 2" xfId="11696" xr:uid="{00000000-0005-0000-0000-00009F310000}"/>
    <cellStyle name="Normal 2 30 2 10" xfId="11697" xr:uid="{00000000-0005-0000-0000-0000A0310000}"/>
    <cellStyle name="Normal 2 30 2 10 2" xfId="11698" xr:uid="{00000000-0005-0000-0000-0000A1310000}"/>
    <cellStyle name="Normal 2 30 2 10 2 2" xfId="30030" xr:uid="{00000000-0005-0000-0000-0000A2310000}"/>
    <cellStyle name="Normal 2 30 2 10 3" xfId="11699" xr:uid="{00000000-0005-0000-0000-0000A3310000}"/>
    <cellStyle name="Normal 2 30 2 10 3 2" xfId="30031" xr:uid="{00000000-0005-0000-0000-0000A4310000}"/>
    <cellStyle name="Normal 2 30 2 10 4" xfId="11700" xr:uid="{00000000-0005-0000-0000-0000A5310000}"/>
    <cellStyle name="Normal 2 30 2 10 4 2" xfId="30032" xr:uid="{00000000-0005-0000-0000-0000A6310000}"/>
    <cellStyle name="Normal 2 30 2 10 5" xfId="11701" xr:uid="{00000000-0005-0000-0000-0000A7310000}"/>
    <cellStyle name="Normal 2 30 2 10 5 2" xfId="30033" xr:uid="{00000000-0005-0000-0000-0000A8310000}"/>
    <cellStyle name="Normal 2 30 2 10 6" xfId="30029" xr:uid="{00000000-0005-0000-0000-0000A9310000}"/>
    <cellStyle name="Normal 2 30 2 11" xfId="11702" xr:uid="{00000000-0005-0000-0000-0000AA310000}"/>
    <cellStyle name="Normal 2 30 2 11 2" xfId="11703" xr:uid="{00000000-0005-0000-0000-0000AB310000}"/>
    <cellStyle name="Normal 2 30 2 11 2 2" xfId="30035" xr:uid="{00000000-0005-0000-0000-0000AC310000}"/>
    <cellStyle name="Normal 2 30 2 11 3" xfId="11704" xr:uid="{00000000-0005-0000-0000-0000AD310000}"/>
    <cellStyle name="Normal 2 30 2 11 3 2" xfId="30036" xr:uid="{00000000-0005-0000-0000-0000AE310000}"/>
    <cellStyle name="Normal 2 30 2 11 4" xfId="11705" xr:uid="{00000000-0005-0000-0000-0000AF310000}"/>
    <cellStyle name="Normal 2 30 2 11 4 2" xfId="30037" xr:uid="{00000000-0005-0000-0000-0000B0310000}"/>
    <cellStyle name="Normal 2 30 2 11 5" xfId="11706" xr:uid="{00000000-0005-0000-0000-0000B1310000}"/>
    <cellStyle name="Normal 2 30 2 11 5 2" xfId="30038" xr:uid="{00000000-0005-0000-0000-0000B2310000}"/>
    <cellStyle name="Normal 2 30 2 11 6" xfId="30034" xr:uid="{00000000-0005-0000-0000-0000B3310000}"/>
    <cellStyle name="Normal 2 30 2 12" xfId="11707" xr:uid="{00000000-0005-0000-0000-0000B4310000}"/>
    <cellStyle name="Normal 2 30 2 12 2" xfId="11708" xr:uid="{00000000-0005-0000-0000-0000B5310000}"/>
    <cellStyle name="Normal 2 30 2 12 2 2" xfId="30040" xr:uid="{00000000-0005-0000-0000-0000B6310000}"/>
    <cellStyle name="Normal 2 30 2 12 3" xfId="11709" xr:uid="{00000000-0005-0000-0000-0000B7310000}"/>
    <cellStyle name="Normal 2 30 2 12 3 2" xfId="30041" xr:uid="{00000000-0005-0000-0000-0000B8310000}"/>
    <cellStyle name="Normal 2 30 2 12 4" xfId="11710" xr:uid="{00000000-0005-0000-0000-0000B9310000}"/>
    <cellStyle name="Normal 2 30 2 12 4 2" xfId="30042" xr:uid="{00000000-0005-0000-0000-0000BA310000}"/>
    <cellStyle name="Normal 2 30 2 12 5" xfId="11711" xr:uid="{00000000-0005-0000-0000-0000BB310000}"/>
    <cellStyle name="Normal 2 30 2 12 5 2" xfId="30043" xr:uid="{00000000-0005-0000-0000-0000BC310000}"/>
    <cellStyle name="Normal 2 30 2 12 6" xfId="30039" xr:uid="{00000000-0005-0000-0000-0000BD310000}"/>
    <cellStyle name="Normal 2 30 2 13" xfId="11712" xr:uid="{00000000-0005-0000-0000-0000BE310000}"/>
    <cellStyle name="Normal 2 30 2 13 2" xfId="11713" xr:uid="{00000000-0005-0000-0000-0000BF310000}"/>
    <cellStyle name="Normal 2 30 2 13 2 2" xfId="30045" xr:uid="{00000000-0005-0000-0000-0000C0310000}"/>
    <cellStyle name="Normal 2 30 2 13 3" xfId="11714" xr:uid="{00000000-0005-0000-0000-0000C1310000}"/>
    <cellStyle name="Normal 2 30 2 13 3 2" xfId="30046" xr:uid="{00000000-0005-0000-0000-0000C2310000}"/>
    <cellStyle name="Normal 2 30 2 13 4" xfId="11715" xr:uid="{00000000-0005-0000-0000-0000C3310000}"/>
    <cellStyle name="Normal 2 30 2 13 4 2" xfId="30047" xr:uid="{00000000-0005-0000-0000-0000C4310000}"/>
    <cellStyle name="Normal 2 30 2 13 5" xfId="11716" xr:uid="{00000000-0005-0000-0000-0000C5310000}"/>
    <cellStyle name="Normal 2 30 2 13 5 2" xfId="30048" xr:uid="{00000000-0005-0000-0000-0000C6310000}"/>
    <cellStyle name="Normal 2 30 2 13 6" xfId="30044" xr:uid="{00000000-0005-0000-0000-0000C7310000}"/>
    <cellStyle name="Normal 2 30 2 14" xfId="11717" xr:uid="{00000000-0005-0000-0000-0000C8310000}"/>
    <cellStyle name="Normal 2 30 2 14 2" xfId="11718" xr:uid="{00000000-0005-0000-0000-0000C9310000}"/>
    <cellStyle name="Normal 2 30 2 14 2 2" xfId="30050" xr:uid="{00000000-0005-0000-0000-0000CA310000}"/>
    <cellStyle name="Normal 2 30 2 14 3" xfId="11719" xr:uid="{00000000-0005-0000-0000-0000CB310000}"/>
    <cellStyle name="Normal 2 30 2 14 3 2" xfId="30051" xr:uid="{00000000-0005-0000-0000-0000CC310000}"/>
    <cellStyle name="Normal 2 30 2 14 4" xfId="11720" xr:uid="{00000000-0005-0000-0000-0000CD310000}"/>
    <cellStyle name="Normal 2 30 2 14 4 2" xfId="30052" xr:uid="{00000000-0005-0000-0000-0000CE310000}"/>
    <cellStyle name="Normal 2 30 2 14 5" xfId="11721" xr:uid="{00000000-0005-0000-0000-0000CF310000}"/>
    <cellStyle name="Normal 2 30 2 14 5 2" xfId="30053" xr:uid="{00000000-0005-0000-0000-0000D0310000}"/>
    <cellStyle name="Normal 2 30 2 14 6" xfId="30049" xr:uid="{00000000-0005-0000-0000-0000D1310000}"/>
    <cellStyle name="Normal 2 30 2 15" xfId="11722" xr:uid="{00000000-0005-0000-0000-0000D2310000}"/>
    <cellStyle name="Normal 2 30 2 15 2" xfId="11723" xr:uid="{00000000-0005-0000-0000-0000D3310000}"/>
    <cellStyle name="Normal 2 30 2 15 2 2" xfId="30055" xr:uid="{00000000-0005-0000-0000-0000D4310000}"/>
    <cellStyle name="Normal 2 30 2 15 3" xfId="11724" xr:uid="{00000000-0005-0000-0000-0000D5310000}"/>
    <cellStyle name="Normal 2 30 2 15 3 2" xfId="30056" xr:uid="{00000000-0005-0000-0000-0000D6310000}"/>
    <cellStyle name="Normal 2 30 2 15 4" xfId="11725" xr:uid="{00000000-0005-0000-0000-0000D7310000}"/>
    <cellStyle name="Normal 2 30 2 15 4 2" xfId="30057" xr:uid="{00000000-0005-0000-0000-0000D8310000}"/>
    <cellStyle name="Normal 2 30 2 15 5" xfId="11726" xr:uid="{00000000-0005-0000-0000-0000D9310000}"/>
    <cellStyle name="Normal 2 30 2 15 5 2" xfId="30058" xr:uid="{00000000-0005-0000-0000-0000DA310000}"/>
    <cellStyle name="Normal 2 30 2 15 6" xfId="30054" xr:uid="{00000000-0005-0000-0000-0000DB310000}"/>
    <cellStyle name="Normal 2 30 2 16" xfId="11727" xr:uid="{00000000-0005-0000-0000-0000DC310000}"/>
    <cellStyle name="Normal 2 30 2 16 2" xfId="11728" xr:uid="{00000000-0005-0000-0000-0000DD310000}"/>
    <cellStyle name="Normal 2 30 2 16 2 2" xfId="30060" xr:uid="{00000000-0005-0000-0000-0000DE310000}"/>
    <cellStyle name="Normal 2 30 2 16 3" xfId="11729" xr:uid="{00000000-0005-0000-0000-0000DF310000}"/>
    <cellStyle name="Normal 2 30 2 16 3 2" xfId="30061" xr:uid="{00000000-0005-0000-0000-0000E0310000}"/>
    <cellStyle name="Normal 2 30 2 16 4" xfId="11730" xr:uid="{00000000-0005-0000-0000-0000E1310000}"/>
    <cellStyle name="Normal 2 30 2 16 4 2" xfId="30062" xr:uid="{00000000-0005-0000-0000-0000E2310000}"/>
    <cellStyle name="Normal 2 30 2 16 5" xfId="11731" xr:uid="{00000000-0005-0000-0000-0000E3310000}"/>
    <cellStyle name="Normal 2 30 2 16 5 2" xfId="30063" xr:uid="{00000000-0005-0000-0000-0000E4310000}"/>
    <cellStyle name="Normal 2 30 2 16 6" xfId="30059" xr:uid="{00000000-0005-0000-0000-0000E5310000}"/>
    <cellStyle name="Normal 2 30 2 17" xfId="11732" xr:uid="{00000000-0005-0000-0000-0000E6310000}"/>
    <cellStyle name="Normal 2 30 2 17 2" xfId="11733" xr:uid="{00000000-0005-0000-0000-0000E7310000}"/>
    <cellStyle name="Normal 2 30 2 17 2 2" xfId="30065" xr:uid="{00000000-0005-0000-0000-0000E8310000}"/>
    <cellStyle name="Normal 2 30 2 17 3" xfId="11734" xr:uid="{00000000-0005-0000-0000-0000E9310000}"/>
    <cellStyle name="Normal 2 30 2 17 3 2" xfId="30066" xr:uid="{00000000-0005-0000-0000-0000EA310000}"/>
    <cellStyle name="Normal 2 30 2 17 4" xfId="11735" xr:uid="{00000000-0005-0000-0000-0000EB310000}"/>
    <cellStyle name="Normal 2 30 2 17 4 2" xfId="30067" xr:uid="{00000000-0005-0000-0000-0000EC310000}"/>
    <cellStyle name="Normal 2 30 2 17 5" xfId="11736" xr:uid="{00000000-0005-0000-0000-0000ED310000}"/>
    <cellStyle name="Normal 2 30 2 17 5 2" xfId="30068" xr:uid="{00000000-0005-0000-0000-0000EE310000}"/>
    <cellStyle name="Normal 2 30 2 17 6" xfId="30064" xr:uid="{00000000-0005-0000-0000-0000EF310000}"/>
    <cellStyle name="Normal 2 30 2 18" xfId="11737" xr:uid="{00000000-0005-0000-0000-0000F0310000}"/>
    <cellStyle name="Normal 2 30 2 18 2" xfId="11738" xr:uid="{00000000-0005-0000-0000-0000F1310000}"/>
    <cellStyle name="Normal 2 30 2 18 2 2" xfId="30070" xr:uid="{00000000-0005-0000-0000-0000F2310000}"/>
    <cellStyle name="Normal 2 30 2 18 3" xfId="11739" xr:uid="{00000000-0005-0000-0000-0000F3310000}"/>
    <cellStyle name="Normal 2 30 2 18 3 2" xfId="30071" xr:uid="{00000000-0005-0000-0000-0000F4310000}"/>
    <cellStyle name="Normal 2 30 2 18 4" xfId="11740" xr:uid="{00000000-0005-0000-0000-0000F5310000}"/>
    <cellStyle name="Normal 2 30 2 18 4 2" xfId="30072" xr:uid="{00000000-0005-0000-0000-0000F6310000}"/>
    <cellStyle name="Normal 2 30 2 18 5" xfId="11741" xr:uid="{00000000-0005-0000-0000-0000F7310000}"/>
    <cellStyle name="Normal 2 30 2 18 5 2" xfId="30073" xr:uid="{00000000-0005-0000-0000-0000F8310000}"/>
    <cellStyle name="Normal 2 30 2 18 6" xfId="30069" xr:uid="{00000000-0005-0000-0000-0000F9310000}"/>
    <cellStyle name="Normal 2 30 2 19" xfId="11742" xr:uid="{00000000-0005-0000-0000-0000FA310000}"/>
    <cellStyle name="Normal 2 30 2 19 2" xfId="11743" xr:uid="{00000000-0005-0000-0000-0000FB310000}"/>
    <cellStyle name="Normal 2 30 2 19 2 2" xfId="30075" xr:uid="{00000000-0005-0000-0000-0000FC310000}"/>
    <cellStyle name="Normal 2 30 2 19 3" xfId="11744" xr:uid="{00000000-0005-0000-0000-0000FD310000}"/>
    <cellStyle name="Normal 2 30 2 19 3 2" xfId="30076" xr:uid="{00000000-0005-0000-0000-0000FE310000}"/>
    <cellStyle name="Normal 2 30 2 19 4" xfId="11745" xr:uid="{00000000-0005-0000-0000-0000FF310000}"/>
    <cellStyle name="Normal 2 30 2 19 4 2" xfId="30077" xr:uid="{00000000-0005-0000-0000-000000320000}"/>
    <cellStyle name="Normal 2 30 2 19 5" xfId="11746" xr:uid="{00000000-0005-0000-0000-000001320000}"/>
    <cellStyle name="Normal 2 30 2 19 5 2" xfId="30078" xr:uid="{00000000-0005-0000-0000-000002320000}"/>
    <cellStyle name="Normal 2 30 2 19 6" xfId="30074" xr:uid="{00000000-0005-0000-0000-000003320000}"/>
    <cellStyle name="Normal 2 30 2 2" xfId="11747" xr:uid="{00000000-0005-0000-0000-000004320000}"/>
    <cellStyle name="Normal 2 30 2 2 10" xfId="11748" xr:uid="{00000000-0005-0000-0000-000005320000}"/>
    <cellStyle name="Normal 2 30 2 2 10 2" xfId="11749" xr:uid="{00000000-0005-0000-0000-000006320000}"/>
    <cellStyle name="Normal 2 30 2 2 10 2 2" xfId="30081" xr:uid="{00000000-0005-0000-0000-000007320000}"/>
    <cellStyle name="Normal 2 30 2 2 10 3" xfId="11750" xr:uid="{00000000-0005-0000-0000-000008320000}"/>
    <cellStyle name="Normal 2 30 2 2 10 3 2" xfId="30082" xr:uid="{00000000-0005-0000-0000-000009320000}"/>
    <cellStyle name="Normal 2 30 2 2 10 4" xfId="11751" xr:uid="{00000000-0005-0000-0000-00000A320000}"/>
    <cellStyle name="Normal 2 30 2 2 10 4 2" xfId="30083" xr:uid="{00000000-0005-0000-0000-00000B320000}"/>
    <cellStyle name="Normal 2 30 2 2 10 5" xfId="11752" xr:uid="{00000000-0005-0000-0000-00000C320000}"/>
    <cellStyle name="Normal 2 30 2 2 10 5 2" xfId="30084" xr:uid="{00000000-0005-0000-0000-00000D320000}"/>
    <cellStyle name="Normal 2 30 2 2 10 6" xfId="30080" xr:uid="{00000000-0005-0000-0000-00000E320000}"/>
    <cellStyle name="Normal 2 30 2 2 11" xfId="11753" xr:uid="{00000000-0005-0000-0000-00000F320000}"/>
    <cellStyle name="Normal 2 30 2 2 11 2" xfId="11754" xr:uid="{00000000-0005-0000-0000-000010320000}"/>
    <cellStyle name="Normal 2 30 2 2 11 2 2" xfId="30086" xr:uid="{00000000-0005-0000-0000-000011320000}"/>
    <cellStyle name="Normal 2 30 2 2 11 3" xfId="11755" xr:uid="{00000000-0005-0000-0000-000012320000}"/>
    <cellStyle name="Normal 2 30 2 2 11 3 2" xfId="30087" xr:uid="{00000000-0005-0000-0000-000013320000}"/>
    <cellStyle name="Normal 2 30 2 2 11 4" xfId="11756" xr:uid="{00000000-0005-0000-0000-000014320000}"/>
    <cellStyle name="Normal 2 30 2 2 11 4 2" xfId="30088" xr:uid="{00000000-0005-0000-0000-000015320000}"/>
    <cellStyle name="Normal 2 30 2 2 11 5" xfId="11757" xr:uid="{00000000-0005-0000-0000-000016320000}"/>
    <cellStyle name="Normal 2 30 2 2 11 5 2" xfId="30089" xr:uid="{00000000-0005-0000-0000-000017320000}"/>
    <cellStyle name="Normal 2 30 2 2 11 6" xfId="30085" xr:uid="{00000000-0005-0000-0000-000018320000}"/>
    <cellStyle name="Normal 2 30 2 2 12" xfId="11758" xr:uid="{00000000-0005-0000-0000-000019320000}"/>
    <cellStyle name="Normal 2 30 2 2 12 2" xfId="11759" xr:uid="{00000000-0005-0000-0000-00001A320000}"/>
    <cellStyle name="Normal 2 30 2 2 12 2 2" xfId="30091" xr:uid="{00000000-0005-0000-0000-00001B320000}"/>
    <cellStyle name="Normal 2 30 2 2 12 3" xfId="11760" xr:uid="{00000000-0005-0000-0000-00001C320000}"/>
    <cellStyle name="Normal 2 30 2 2 12 3 2" xfId="30092" xr:uid="{00000000-0005-0000-0000-00001D320000}"/>
    <cellStyle name="Normal 2 30 2 2 12 4" xfId="11761" xr:uid="{00000000-0005-0000-0000-00001E320000}"/>
    <cellStyle name="Normal 2 30 2 2 12 4 2" xfId="30093" xr:uid="{00000000-0005-0000-0000-00001F320000}"/>
    <cellStyle name="Normal 2 30 2 2 12 5" xfId="11762" xr:uid="{00000000-0005-0000-0000-000020320000}"/>
    <cellStyle name="Normal 2 30 2 2 12 5 2" xfId="30094" xr:uid="{00000000-0005-0000-0000-000021320000}"/>
    <cellStyle name="Normal 2 30 2 2 12 6" xfId="30090" xr:uid="{00000000-0005-0000-0000-000022320000}"/>
    <cellStyle name="Normal 2 30 2 2 13" xfId="11763" xr:uid="{00000000-0005-0000-0000-000023320000}"/>
    <cellStyle name="Normal 2 30 2 2 13 2" xfId="11764" xr:uid="{00000000-0005-0000-0000-000024320000}"/>
    <cellStyle name="Normal 2 30 2 2 13 2 2" xfId="30096" xr:uid="{00000000-0005-0000-0000-000025320000}"/>
    <cellStyle name="Normal 2 30 2 2 13 3" xfId="11765" xr:uid="{00000000-0005-0000-0000-000026320000}"/>
    <cellStyle name="Normal 2 30 2 2 13 3 2" xfId="30097" xr:uid="{00000000-0005-0000-0000-000027320000}"/>
    <cellStyle name="Normal 2 30 2 2 13 4" xfId="11766" xr:uid="{00000000-0005-0000-0000-000028320000}"/>
    <cellStyle name="Normal 2 30 2 2 13 4 2" xfId="30098" xr:uid="{00000000-0005-0000-0000-000029320000}"/>
    <cellStyle name="Normal 2 30 2 2 13 5" xfId="11767" xr:uid="{00000000-0005-0000-0000-00002A320000}"/>
    <cellStyle name="Normal 2 30 2 2 13 5 2" xfId="30099" xr:uid="{00000000-0005-0000-0000-00002B320000}"/>
    <cellStyle name="Normal 2 30 2 2 13 6" xfId="30095" xr:uid="{00000000-0005-0000-0000-00002C320000}"/>
    <cellStyle name="Normal 2 30 2 2 14" xfId="11768" xr:uid="{00000000-0005-0000-0000-00002D320000}"/>
    <cellStyle name="Normal 2 30 2 2 14 2" xfId="11769" xr:uid="{00000000-0005-0000-0000-00002E320000}"/>
    <cellStyle name="Normal 2 30 2 2 14 2 2" xfId="30101" xr:uid="{00000000-0005-0000-0000-00002F320000}"/>
    <cellStyle name="Normal 2 30 2 2 14 3" xfId="11770" xr:uid="{00000000-0005-0000-0000-000030320000}"/>
    <cellStyle name="Normal 2 30 2 2 14 3 2" xfId="30102" xr:uid="{00000000-0005-0000-0000-000031320000}"/>
    <cellStyle name="Normal 2 30 2 2 14 4" xfId="11771" xr:uid="{00000000-0005-0000-0000-000032320000}"/>
    <cellStyle name="Normal 2 30 2 2 14 4 2" xfId="30103" xr:uid="{00000000-0005-0000-0000-000033320000}"/>
    <cellStyle name="Normal 2 30 2 2 14 5" xfId="11772" xr:uid="{00000000-0005-0000-0000-000034320000}"/>
    <cellStyle name="Normal 2 30 2 2 14 5 2" xfId="30104" xr:uid="{00000000-0005-0000-0000-000035320000}"/>
    <cellStyle name="Normal 2 30 2 2 14 6" xfId="30100" xr:uid="{00000000-0005-0000-0000-000036320000}"/>
    <cellStyle name="Normal 2 30 2 2 15" xfId="11773" xr:uid="{00000000-0005-0000-0000-000037320000}"/>
    <cellStyle name="Normal 2 30 2 2 15 2" xfId="11774" xr:uid="{00000000-0005-0000-0000-000038320000}"/>
    <cellStyle name="Normal 2 30 2 2 15 2 2" xfId="30106" xr:uid="{00000000-0005-0000-0000-000039320000}"/>
    <cellStyle name="Normal 2 30 2 2 15 3" xfId="11775" xr:uid="{00000000-0005-0000-0000-00003A320000}"/>
    <cellStyle name="Normal 2 30 2 2 15 3 2" xfId="30107" xr:uid="{00000000-0005-0000-0000-00003B320000}"/>
    <cellStyle name="Normal 2 30 2 2 15 4" xfId="11776" xr:uid="{00000000-0005-0000-0000-00003C320000}"/>
    <cellStyle name="Normal 2 30 2 2 15 4 2" xfId="30108" xr:uid="{00000000-0005-0000-0000-00003D320000}"/>
    <cellStyle name="Normal 2 30 2 2 15 5" xfId="11777" xr:uid="{00000000-0005-0000-0000-00003E320000}"/>
    <cellStyle name="Normal 2 30 2 2 15 5 2" xfId="30109" xr:uid="{00000000-0005-0000-0000-00003F320000}"/>
    <cellStyle name="Normal 2 30 2 2 15 6" xfId="30105" xr:uid="{00000000-0005-0000-0000-000040320000}"/>
    <cellStyle name="Normal 2 30 2 2 16" xfId="11778" xr:uid="{00000000-0005-0000-0000-000041320000}"/>
    <cellStyle name="Normal 2 30 2 2 16 2" xfId="11779" xr:uid="{00000000-0005-0000-0000-000042320000}"/>
    <cellStyle name="Normal 2 30 2 2 16 2 2" xfId="30111" xr:uid="{00000000-0005-0000-0000-000043320000}"/>
    <cellStyle name="Normal 2 30 2 2 16 3" xfId="11780" xr:uid="{00000000-0005-0000-0000-000044320000}"/>
    <cellStyle name="Normal 2 30 2 2 16 3 2" xfId="30112" xr:uid="{00000000-0005-0000-0000-000045320000}"/>
    <cellStyle name="Normal 2 30 2 2 16 4" xfId="11781" xr:uid="{00000000-0005-0000-0000-000046320000}"/>
    <cellStyle name="Normal 2 30 2 2 16 4 2" xfId="30113" xr:uid="{00000000-0005-0000-0000-000047320000}"/>
    <cellStyle name="Normal 2 30 2 2 16 5" xfId="11782" xr:uid="{00000000-0005-0000-0000-000048320000}"/>
    <cellStyle name="Normal 2 30 2 2 16 5 2" xfId="30114" xr:uid="{00000000-0005-0000-0000-000049320000}"/>
    <cellStyle name="Normal 2 30 2 2 16 6" xfId="30110" xr:uid="{00000000-0005-0000-0000-00004A320000}"/>
    <cellStyle name="Normal 2 30 2 2 17" xfId="11783" xr:uid="{00000000-0005-0000-0000-00004B320000}"/>
    <cellStyle name="Normal 2 30 2 2 17 2" xfId="30115" xr:uid="{00000000-0005-0000-0000-00004C320000}"/>
    <cellStyle name="Normal 2 30 2 2 18" xfId="11784" xr:uid="{00000000-0005-0000-0000-00004D320000}"/>
    <cellStyle name="Normal 2 30 2 2 18 2" xfId="30116" xr:uid="{00000000-0005-0000-0000-00004E320000}"/>
    <cellStyle name="Normal 2 30 2 2 19" xfId="11785" xr:uid="{00000000-0005-0000-0000-00004F320000}"/>
    <cellStyle name="Normal 2 30 2 2 19 2" xfId="30117" xr:uid="{00000000-0005-0000-0000-000050320000}"/>
    <cellStyle name="Normal 2 30 2 2 2" xfId="11786" xr:uid="{00000000-0005-0000-0000-000051320000}"/>
    <cellStyle name="Normal 2 30 2 2 2 10" xfId="11787" xr:uid="{00000000-0005-0000-0000-000052320000}"/>
    <cellStyle name="Normal 2 30 2 2 2 10 2" xfId="30119" xr:uid="{00000000-0005-0000-0000-000053320000}"/>
    <cellStyle name="Normal 2 30 2 2 2 11" xfId="11788" xr:uid="{00000000-0005-0000-0000-000054320000}"/>
    <cellStyle name="Normal 2 30 2 2 2 11 2" xfId="30120" xr:uid="{00000000-0005-0000-0000-000055320000}"/>
    <cellStyle name="Normal 2 30 2 2 2 12" xfId="30118" xr:uid="{00000000-0005-0000-0000-000056320000}"/>
    <cellStyle name="Normal 2 30 2 2 2 2" xfId="11789" xr:uid="{00000000-0005-0000-0000-000057320000}"/>
    <cellStyle name="Normal 2 30 2 2 2 2 2" xfId="11790" xr:uid="{00000000-0005-0000-0000-000058320000}"/>
    <cellStyle name="Normal 2 30 2 2 2 2 2 2" xfId="30122" xr:uid="{00000000-0005-0000-0000-000059320000}"/>
    <cellStyle name="Normal 2 30 2 2 2 2 3" xfId="11791" xr:uid="{00000000-0005-0000-0000-00005A320000}"/>
    <cellStyle name="Normal 2 30 2 2 2 2 3 2" xfId="30123" xr:uid="{00000000-0005-0000-0000-00005B320000}"/>
    <cellStyle name="Normal 2 30 2 2 2 2 4" xfId="11792" xr:uid="{00000000-0005-0000-0000-00005C320000}"/>
    <cellStyle name="Normal 2 30 2 2 2 2 4 2" xfId="30124" xr:uid="{00000000-0005-0000-0000-00005D320000}"/>
    <cellStyle name="Normal 2 30 2 2 2 2 5" xfId="11793" xr:uid="{00000000-0005-0000-0000-00005E320000}"/>
    <cellStyle name="Normal 2 30 2 2 2 2 5 2" xfId="30125" xr:uid="{00000000-0005-0000-0000-00005F320000}"/>
    <cellStyle name="Normal 2 30 2 2 2 2 6" xfId="30121" xr:uid="{00000000-0005-0000-0000-000060320000}"/>
    <cellStyle name="Normal 2 30 2 2 2 3" xfId="11794" xr:uid="{00000000-0005-0000-0000-000061320000}"/>
    <cellStyle name="Normal 2 30 2 2 2 3 2" xfId="11795" xr:uid="{00000000-0005-0000-0000-000062320000}"/>
    <cellStyle name="Normal 2 30 2 2 2 3 2 2" xfId="30127" xr:uid="{00000000-0005-0000-0000-000063320000}"/>
    <cellStyle name="Normal 2 30 2 2 2 3 3" xfId="11796" xr:uid="{00000000-0005-0000-0000-000064320000}"/>
    <cellStyle name="Normal 2 30 2 2 2 3 3 2" xfId="30128" xr:uid="{00000000-0005-0000-0000-000065320000}"/>
    <cellStyle name="Normal 2 30 2 2 2 3 4" xfId="11797" xr:uid="{00000000-0005-0000-0000-000066320000}"/>
    <cellStyle name="Normal 2 30 2 2 2 3 4 2" xfId="30129" xr:uid="{00000000-0005-0000-0000-000067320000}"/>
    <cellStyle name="Normal 2 30 2 2 2 3 5" xfId="11798" xr:uid="{00000000-0005-0000-0000-000068320000}"/>
    <cellStyle name="Normal 2 30 2 2 2 3 5 2" xfId="30130" xr:uid="{00000000-0005-0000-0000-000069320000}"/>
    <cellStyle name="Normal 2 30 2 2 2 3 6" xfId="30126" xr:uid="{00000000-0005-0000-0000-00006A320000}"/>
    <cellStyle name="Normal 2 30 2 2 2 4" xfId="11799" xr:uid="{00000000-0005-0000-0000-00006B320000}"/>
    <cellStyle name="Normal 2 30 2 2 2 4 2" xfId="11800" xr:uid="{00000000-0005-0000-0000-00006C320000}"/>
    <cellStyle name="Normal 2 30 2 2 2 4 2 2" xfId="30132" xr:uid="{00000000-0005-0000-0000-00006D320000}"/>
    <cellStyle name="Normal 2 30 2 2 2 4 3" xfId="11801" xr:uid="{00000000-0005-0000-0000-00006E320000}"/>
    <cellStyle name="Normal 2 30 2 2 2 4 3 2" xfId="30133" xr:uid="{00000000-0005-0000-0000-00006F320000}"/>
    <cellStyle name="Normal 2 30 2 2 2 4 4" xfId="11802" xr:uid="{00000000-0005-0000-0000-000070320000}"/>
    <cellStyle name="Normal 2 30 2 2 2 4 4 2" xfId="30134" xr:uid="{00000000-0005-0000-0000-000071320000}"/>
    <cellStyle name="Normal 2 30 2 2 2 4 5" xfId="11803" xr:uid="{00000000-0005-0000-0000-000072320000}"/>
    <cellStyle name="Normal 2 30 2 2 2 4 5 2" xfId="30135" xr:uid="{00000000-0005-0000-0000-000073320000}"/>
    <cellStyle name="Normal 2 30 2 2 2 4 6" xfId="30131" xr:uid="{00000000-0005-0000-0000-000074320000}"/>
    <cellStyle name="Normal 2 30 2 2 2 5" xfId="11804" xr:uid="{00000000-0005-0000-0000-000075320000}"/>
    <cellStyle name="Normal 2 30 2 2 2 5 2" xfId="11805" xr:uid="{00000000-0005-0000-0000-000076320000}"/>
    <cellStyle name="Normal 2 30 2 2 2 5 2 2" xfId="30137" xr:uid="{00000000-0005-0000-0000-000077320000}"/>
    <cellStyle name="Normal 2 30 2 2 2 5 3" xfId="11806" xr:uid="{00000000-0005-0000-0000-000078320000}"/>
    <cellStyle name="Normal 2 30 2 2 2 5 3 2" xfId="30138" xr:uid="{00000000-0005-0000-0000-000079320000}"/>
    <cellStyle name="Normal 2 30 2 2 2 5 4" xfId="11807" xr:uid="{00000000-0005-0000-0000-00007A320000}"/>
    <cellStyle name="Normal 2 30 2 2 2 5 4 2" xfId="30139" xr:uid="{00000000-0005-0000-0000-00007B320000}"/>
    <cellStyle name="Normal 2 30 2 2 2 5 5" xfId="11808" xr:uid="{00000000-0005-0000-0000-00007C320000}"/>
    <cellStyle name="Normal 2 30 2 2 2 5 5 2" xfId="30140" xr:uid="{00000000-0005-0000-0000-00007D320000}"/>
    <cellStyle name="Normal 2 30 2 2 2 5 6" xfId="30136" xr:uid="{00000000-0005-0000-0000-00007E320000}"/>
    <cellStyle name="Normal 2 30 2 2 2 6" xfId="11809" xr:uid="{00000000-0005-0000-0000-00007F320000}"/>
    <cellStyle name="Normal 2 30 2 2 2 6 2" xfId="11810" xr:uid="{00000000-0005-0000-0000-000080320000}"/>
    <cellStyle name="Normal 2 30 2 2 2 6 2 2" xfId="30142" xr:uid="{00000000-0005-0000-0000-000081320000}"/>
    <cellStyle name="Normal 2 30 2 2 2 6 3" xfId="11811" xr:uid="{00000000-0005-0000-0000-000082320000}"/>
    <cellStyle name="Normal 2 30 2 2 2 6 3 2" xfId="30143" xr:uid="{00000000-0005-0000-0000-000083320000}"/>
    <cellStyle name="Normal 2 30 2 2 2 6 4" xfId="11812" xr:uid="{00000000-0005-0000-0000-000084320000}"/>
    <cellStyle name="Normal 2 30 2 2 2 6 4 2" xfId="30144" xr:uid="{00000000-0005-0000-0000-000085320000}"/>
    <cellStyle name="Normal 2 30 2 2 2 6 5" xfId="11813" xr:uid="{00000000-0005-0000-0000-000086320000}"/>
    <cellStyle name="Normal 2 30 2 2 2 6 5 2" xfId="30145" xr:uid="{00000000-0005-0000-0000-000087320000}"/>
    <cellStyle name="Normal 2 30 2 2 2 6 6" xfId="30141" xr:uid="{00000000-0005-0000-0000-000088320000}"/>
    <cellStyle name="Normal 2 30 2 2 2 7" xfId="11814" xr:uid="{00000000-0005-0000-0000-000089320000}"/>
    <cellStyle name="Normal 2 30 2 2 2 7 2" xfId="11815" xr:uid="{00000000-0005-0000-0000-00008A320000}"/>
    <cellStyle name="Normal 2 30 2 2 2 7 2 2" xfId="30147" xr:uid="{00000000-0005-0000-0000-00008B320000}"/>
    <cellStyle name="Normal 2 30 2 2 2 7 3" xfId="11816" xr:uid="{00000000-0005-0000-0000-00008C320000}"/>
    <cellStyle name="Normal 2 30 2 2 2 7 3 2" xfId="30148" xr:uid="{00000000-0005-0000-0000-00008D320000}"/>
    <cellStyle name="Normal 2 30 2 2 2 7 4" xfId="11817" xr:uid="{00000000-0005-0000-0000-00008E320000}"/>
    <cellStyle name="Normal 2 30 2 2 2 7 4 2" xfId="30149" xr:uid="{00000000-0005-0000-0000-00008F320000}"/>
    <cellStyle name="Normal 2 30 2 2 2 7 5" xfId="11818" xr:uid="{00000000-0005-0000-0000-000090320000}"/>
    <cellStyle name="Normal 2 30 2 2 2 7 5 2" xfId="30150" xr:uid="{00000000-0005-0000-0000-000091320000}"/>
    <cellStyle name="Normal 2 30 2 2 2 7 6" xfId="30146" xr:uid="{00000000-0005-0000-0000-000092320000}"/>
    <cellStyle name="Normal 2 30 2 2 2 8" xfId="11819" xr:uid="{00000000-0005-0000-0000-000093320000}"/>
    <cellStyle name="Normal 2 30 2 2 2 8 2" xfId="30151" xr:uid="{00000000-0005-0000-0000-000094320000}"/>
    <cellStyle name="Normal 2 30 2 2 2 9" xfId="11820" xr:uid="{00000000-0005-0000-0000-000095320000}"/>
    <cellStyle name="Normal 2 30 2 2 2 9 2" xfId="30152" xr:uid="{00000000-0005-0000-0000-000096320000}"/>
    <cellStyle name="Normal 2 30 2 2 20" xfId="11821" xr:uid="{00000000-0005-0000-0000-000097320000}"/>
    <cellStyle name="Normal 2 30 2 2 20 2" xfId="30153" xr:uid="{00000000-0005-0000-0000-000098320000}"/>
    <cellStyle name="Normal 2 30 2 2 21" xfId="30079" xr:uid="{00000000-0005-0000-0000-000099320000}"/>
    <cellStyle name="Normal 2 30 2 2 3" xfId="11822" xr:uid="{00000000-0005-0000-0000-00009A320000}"/>
    <cellStyle name="Normal 2 30 2 2 3 2" xfId="11823" xr:uid="{00000000-0005-0000-0000-00009B320000}"/>
    <cellStyle name="Normal 2 30 2 2 3 2 2" xfId="11824" xr:uid="{00000000-0005-0000-0000-00009C320000}"/>
    <cellStyle name="Normal 2 30 2 2 3 2 2 2" xfId="30156" xr:uid="{00000000-0005-0000-0000-00009D320000}"/>
    <cellStyle name="Normal 2 30 2 2 3 2 3" xfId="11825" xr:uid="{00000000-0005-0000-0000-00009E320000}"/>
    <cellStyle name="Normal 2 30 2 2 3 2 3 2" xfId="30157" xr:uid="{00000000-0005-0000-0000-00009F320000}"/>
    <cellStyle name="Normal 2 30 2 2 3 2 4" xfId="11826" xr:uid="{00000000-0005-0000-0000-0000A0320000}"/>
    <cellStyle name="Normal 2 30 2 2 3 2 4 2" xfId="30158" xr:uid="{00000000-0005-0000-0000-0000A1320000}"/>
    <cellStyle name="Normal 2 30 2 2 3 2 5" xfId="11827" xr:uid="{00000000-0005-0000-0000-0000A2320000}"/>
    <cellStyle name="Normal 2 30 2 2 3 2 5 2" xfId="30159" xr:uid="{00000000-0005-0000-0000-0000A3320000}"/>
    <cellStyle name="Normal 2 30 2 2 3 2 6" xfId="30155" xr:uid="{00000000-0005-0000-0000-0000A4320000}"/>
    <cellStyle name="Normal 2 30 2 2 3 3" xfId="11828" xr:uid="{00000000-0005-0000-0000-0000A5320000}"/>
    <cellStyle name="Normal 2 30 2 2 3 3 2" xfId="30160" xr:uid="{00000000-0005-0000-0000-0000A6320000}"/>
    <cellStyle name="Normal 2 30 2 2 3 4" xfId="11829" xr:uid="{00000000-0005-0000-0000-0000A7320000}"/>
    <cellStyle name="Normal 2 30 2 2 3 4 2" xfId="30161" xr:uid="{00000000-0005-0000-0000-0000A8320000}"/>
    <cellStyle name="Normal 2 30 2 2 3 5" xfId="11830" xr:uid="{00000000-0005-0000-0000-0000A9320000}"/>
    <cellStyle name="Normal 2 30 2 2 3 5 2" xfId="30162" xr:uid="{00000000-0005-0000-0000-0000AA320000}"/>
    <cellStyle name="Normal 2 30 2 2 3 6" xfId="11831" xr:uid="{00000000-0005-0000-0000-0000AB320000}"/>
    <cellStyle name="Normal 2 30 2 2 3 6 2" xfId="30163" xr:uid="{00000000-0005-0000-0000-0000AC320000}"/>
    <cellStyle name="Normal 2 30 2 2 3 7" xfId="30154" xr:uid="{00000000-0005-0000-0000-0000AD320000}"/>
    <cellStyle name="Normal 2 30 2 2 4" xfId="11832" xr:uid="{00000000-0005-0000-0000-0000AE320000}"/>
    <cellStyle name="Normal 2 30 2 2 4 2" xfId="11833" xr:uid="{00000000-0005-0000-0000-0000AF320000}"/>
    <cellStyle name="Normal 2 30 2 2 4 2 2" xfId="11834" xr:uid="{00000000-0005-0000-0000-0000B0320000}"/>
    <cellStyle name="Normal 2 30 2 2 4 2 2 2" xfId="30166" xr:uid="{00000000-0005-0000-0000-0000B1320000}"/>
    <cellStyle name="Normal 2 30 2 2 4 2 3" xfId="11835" xr:uid="{00000000-0005-0000-0000-0000B2320000}"/>
    <cellStyle name="Normal 2 30 2 2 4 2 3 2" xfId="30167" xr:uid="{00000000-0005-0000-0000-0000B3320000}"/>
    <cellStyle name="Normal 2 30 2 2 4 2 4" xfId="11836" xr:uid="{00000000-0005-0000-0000-0000B4320000}"/>
    <cellStyle name="Normal 2 30 2 2 4 2 4 2" xfId="30168" xr:uid="{00000000-0005-0000-0000-0000B5320000}"/>
    <cellStyle name="Normal 2 30 2 2 4 2 5" xfId="11837" xr:uid="{00000000-0005-0000-0000-0000B6320000}"/>
    <cellStyle name="Normal 2 30 2 2 4 2 5 2" xfId="30169" xr:uid="{00000000-0005-0000-0000-0000B7320000}"/>
    <cellStyle name="Normal 2 30 2 2 4 2 6" xfId="30165" xr:uid="{00000000-0005-0000-0000-0000B8320000}"/>
    <cellStyle name="Normal 2 30 2 2 4 3" xfId="11838" xr:uid="{00000000-0005-0000-0000-0000B9320000}"/>
    <cellStyle name="Normal 2 30 2 2 4 3 2" xfId="30170" xr:uid="{00000000-0005-0000-0000-0000BA320000}"/>
    <cellStyle name="Normal 2 30 2 2 4 4" xfId="11839" xr:uid="{00000000-0005-0000-0000-0000BB320000}"/>
    <cellStyle name="Normal 2 30 2 2 4 4 2" xfId="30171" xr:uid="{00000000-0005-0000-0000-0000BC320000}"/>
    <cellStyle name="Normal 2 30 2 2 4 5" xfId="11840" xr:uid="{00000000-0005-0000-0000-0000BD320000}"/>
    <cellStyle name="Normal 2 30 2 2 4 5 2" xfId="30172" xr:uid="{00000000-0005-0000-0000-0000BE320000}"/>
    <cellStyle name="Normal 2 30 2 2 4 6" xfId="11841" xr:uid="{00000000-0005-0000-0000-0000BF320000}"/>
    <cellStyle name="Normal 2 30 2 2 4 6 2" xfId="30173" xr:uid="{00000000-0005-0000-0000-0000C0320000}"/>
    <cellStyle name="Normal 2 30 2 2 4 7" xfId="30164" xr:uid="{00000000-0005-0000-0000-0000C1320000}"/>
    <cellStyle name="Normal 2 30 2 2 5" xfId="11842" xr:uid="{00000000-0005-0000-0000-0000C2320000}"/>
    <cellStyle name="Normal 2 30 2 2 5 2" xfId="11843" xr:uid="{00000000-0005-0000-0000-0000C3320000}"/>
    <cellStyle name="Normal 2 30 2 2 5 2 2" xfId="30175" xr:uid="{00000000-0005-0000-0000-0000C4320000}"/>
    <cellStyle name="Normal 2 30 2 2 5 3" xfId="11844" xr:uid="{00000000-0005-0000-0000-0000C5320000}"/>
    <cellStyle name="Normal 2 30 2 2 5 3 2" xfId="30176" xr:uid="{00000000-0005-0000-0000-0000C6320000}"/>
    <cellStyle name="Normal 2 30 2 2 5 4" xfId="11845" xr:uid="{00000000-0005-0000-0000-0000C7320000}"/>
    <cellStyle name="Normal 2 30 2 2 5 4 2" xfId="30177" xr:uid="{00000000-0005-0000-0000-0000C8320000}"/>
    <cellStyle name="Normal 2 30 2 2 5 5" xfId="11846" xr:uid="{00000000-0005-0000-0000-0000C9320000}"/>
    <cellStyle name="Normal 2 30 2 2 5 5 2" xfId="30178" xr:uid="{00000000-0005-0000-0000-0000CA320000}"/>
    <cellStyle name="Normal 2 30 2 2 5 6" xfId="30174" xr:uid="{00000000-0005-0000-0000-0000CB320000}"/>
    <cellStyle name="Normal 2 30 2 2 6" xfId="11847" xr:uid="{00000000-0005-0000-0000-0000CC320000}"/>
    <cellStyle name="Normal 2 30 2 2 6 2" xfId="11848" xr:uid="{00000000-0005-0000-0000-0000CD320000}"/>
    <cellStyle name="Normal 2 30 2 2 6 2 2" xfId="30180" xr:uid="{00000000-0005-0000-0000-0000CE320000}"/>
    <cellStyle name="Normal 2 30 2 2 6 3" xfId="11849" xr:uid="{00000000-0005-0000-0000-0000CF320000}"/>
    <cellStyle name="Normal 2 30 2 2 6 3 2" xfId="30181" xr:uid="{00000000-0005-0000-0000-0000D0320000}"/>
    <cellStyle name="Normal 2 30 2 2 6 4" xfId="11850" xr:uid="{00000000-0005-0000-0000-0000D1320000}"/>
    <cellStyle name="Normal 2 30 2 2 6 4 2" xfId="30182" xr:uid="{00000000-0005-0000-0000-0000D2320000}"/>
    <cellStyle name="Normal 2 30 2 2 6 5" xfId="11851" xr:uid="{00000000-0005-0000-0000-0000D3320000}"/>
    <cellStyle name="Normal 2 30 2 2 6 5 2" xfId="30183" xr:uid="{00000000-0005-0000-0000-0000D4320000}"/>
    <cellStyle name="Normal 2 30 2 2 6 6" xfId="30179" xr:uid="{00000000-0005-0000-0000-0000D5320000}"/>
    <cellStyle name="Normal 2 30 2 2 7" xfId="11852" xr:uid="{00000000-0005-0000-0000-0000D6320000}"/>
    <cellStyle name="Normal 2 30 2 2 7 2" xfId="11853" xr:uid="{00000000-0005-0000-0000-0000D7320000}"/>
    <cellStyle name="Normal 2 30 2 2 7 2 2" xfId="30185" xr:uid="{00000000-0005-0000-0000-0000D8320000}"/>
    <cellStyle name="Normal 2 30 2 2 7 3" xfId="11854" xr:uid="{00000000-0005-0000-0000-0000D9320000}"/>
    <cellStyle name="Normal 2 30 2 2 7 3 2" xfId="30186" xr:uid="{00000000-0005-0000-0000-0000DA320000}"/>
    <cellStyle name="Normal 2 30 2 2 7 4" xfId="11855" xr:uid="{00000000-0005-0000-0000-0000DB320000}"/>
    <cellStyle name="Normal 2 30 2 2 7 4 2" xfId="30187" xr:uid="{00000000-0005-0000-0000-0000DC320000}"/>
    <cellStyle name="Normal 2 30 2 2 7 5" xfId="11856" xr:uid="{00000000-0005-0000-0000-0000DD320000}"/>
    <cellStyle name="Normal 2 30 2 2 7 5 2" xfId="30188" xr:uid="{00000000-0005-0000-0000-0000DE320000}"/>
    <cellStyle name="Normal 2 30 2 2 7 6" xfId="30184" xr:uid="{00000000-0005-0000-0000-0000DF320000}"/>
    <cellStyle name="Normal 2 30 2 2 8" xfId="11857" xr:uid="{00000000-0005-0000-0000-0000E0320000}"/>
    <cellStyle name="Normal 2 30 2 2 8 2" xfId="11858" xr:uid="{00000000-0005-0000-0000-0000E1320000}"/>
    <cellStyle name="Normal 2 30 2 2 8 2 2" xfId="30190" xr:uid="{00000000-0005-0000-0000-0000E2320000}"/>
    <cellStyle name="Normal 2 30 2 2 8 3" xfId="11859" xr:uid="{00000000-0005-0000-0000-0000E3320000}"/>
    <cellStyle name="Normal 2 30 2 2 8 3 2" xfId="30191" xr:uid="{00000000-0005-0000-0000-0000E4320000}"/>
    <cellStyle name="Normal 2 30 2 2 8 4" xfId="11860" xr:uid="{00000000-0005-0000-0000-0000E5320000}"/>
    <cellStyle name="Normal 2 30 2 2 8 4 2" xfId="30192" xr:uid="{00000000-0005-0000-0000-0000E6320000}"/>
    <cellStyle name="Normal 2 30 2 2 8 5" xfId="11861" xr:uid="{00000000-0005-0000-0000-0000E7320000}"/>
    <cellStyle name="Normal 2 30 2 2 8 5 2" xfId="30193" xr:uid="{00000000-0005-0000-0000-0000E8320000}"/>
    <cellStyle name="Normal 2 30 2 2 8 6" xfId="30189" xr:uid="{00000000-0005-0000-0000-0000E9320000}"/>
    <cellStyle name="Normal 2 30 2 2 9" xfId="11862" xr:uid="{00000000-0005-0000-0000-0000EA320000}"/>
    <cellStyle name="Normal 2 30 2 2 9 2" xfId="11863" xr:uid="{00000000-0005-0000-0000-0000EB320000}"/>
    <cellStyle name="Normal 2 30 2 2 9 2 2" xfId="30195" xr:uid="{00000000-0005-0000-0000-0000EC320000}"/>
    <cellStyle name="Normal 2 30 2 2 9 3" xfId="11864" xr:uid="{00000000-0005-0000-0000-0000ED320000}"/>
    <cellStyle name="Normal 2 30 2 2 9 3 2" xfId="30196" xr:uid="{00000000-0005-0000-0000-0000EE320000}"/>
    <cellStyle name="Normal 2 30 2 2 9 4" xfId="11865" xr:uid="{00000000-0005-0000-0000-0000EF320000}"/>
    <cellStyle name="Normal 2 30 2 2 9 4 2" xfId="30197" xr:uid="{00000000-0005-0000-0000-0000F0320000}"/>
    <cellStyle name="Normal 2 30 2 2 9 5" xfId="11866" xr:uid="{00000000-0005-0000-0000-0000F1320000}"/>
    <cellStyle name="Normal 2 30 2 2 9 5 2" xfId="30198" xr:uid="{00000000-0005-0000-0000-0000F2320000}"/>
    <cellStyle name="Normal 2 30 2 2 9 6" xfId="30194" xr:uid="{00000000-0005-0000-0000-0000F3320000}"/>
    <cellStyle name="Normal 2 30 2 20" xfId="11867" xr:uid="{00000000-0005-0000-0000-0000F4320000}"/>
    <cellStyle name="Normal 2 30 2 20 2" xfId="30199" xr:uid="{00000000-0005-0000-0000-0000F5320000}"/>
    <cellStyle name="Normal 2 30 2 21" xfId="11868" xr:uid="{00000000-0005-0000-0000-0000F6320000}"/>
    <cellStyle name="Normal 2 30 2 21 2" xfId="30200" xr:uid="{00000000-0005-0000-0000-0000F7320000}"/>
    <cellStyle name="Normal 2 30 2 22" xfId="11869" xr:uid="{00000000-0005-0000-0000-0000F8320000}"/>
    <cellStyle name="Normal 2 30 2 22 2" xfId="30201" xr:uid="{00000000-0005-0000-0000-0000F9320000}"/>
    <cellStyle name="Normal 2 30 2 23" xfId="11870" xr:uid="{00000000-0005-0000-0000-0000FA320000}"/>
    <cellStyle name="Normal 2 30 2 23 2" xfId="30202" xr:uid="{00000000-0005-0000-0000-0000FB320000}"/>
    <cellStyle name="Normal 2 30 2 24" xfId="30028" xr:uid="{00000000-0005-0000-0000-0000FC320000}"/>
    <cellStyle name="Normal 2 30 2 3" xfId="11871" xr:uid="{00000000-0005-0000-0000-0000FD320000}"/>
    <cellStyle name="Normal 2 30 2 3 10" xfId="11872" xr:uid="{00000000-0005-0000-0000-0000FE320000}"/>
    <cellStyle name="Normal 2 30 2 3 10 2" xfId="11873" xr:uid="{00000000-0005-0000-0000-0000FF320000}"/>
    <cellStyle name="Normal 2 30 2 3 10 2 2" xfId="30205" xr:uid="{00000000-0005-0000-0000-000000330000}"/>
    <cellStyle name="Normal 2 30 2 3 10 3" xfId="11874" xr:uid="{00000000-0005-0000-0000-000001330000}"/>
    <cellStyle name="Normal 2 30 2 3 10 3 2" xfId="30206" xr:uid="{00000000-0005-0000-0000-000002330000}"/>
    <cellStyle name="Normal 2 30 2 3 10 4" xfId="11875" xr:uid="{00000000-0005-0000-0000-000003330000}"/>
    <cellStyle name="Normal 2 30 2 3 10 4 2" xfId="30207" xr:uid="{00000000-0005-0000-0000-000004330000}"/>
    <cellStyle name="Normal 2 30 2 3 10 5" xfId="11876" xr:uid="{00000000-0005-0000-0000-000005330000}"/>
    <cellStyle name="Normal 2 30 2 3 10 5 2" xfId="30208" xr:uid="{00000000-0005-0000-0000-000006330000}"/>
    <cellStyle name="Normal 2 30 2 3 10 6" xfId="30204" xr:uid="{00000000-0005-0000-0000-000007330000}"/>
    <cellStyle name="Normal 2 30 2 3 11" xfId="11877" xr:uid="{00000000-0005-0000-0000-000008330000}"/>
    <cellStyle name="Normal 2 30 2 3 11 2" xfId="11878" xr:uid="{00000000-0005-0000-0000-000009330000}"/>
    <cellStyle name="Normal 2 30 2 3 11 2 2" xfId="30210" xr:uid="{00000000-0005-0000-0000-00000A330000}"/>
    <cellStyle name="Normal 2 30 2 3 11 3" xfId="11879" xr:uid="{00000000-0005-0000-0000-00000B330000}"/>
    <cellStyle name="Normal 2 30 2 3 11 3 2" xfId="30211" xr:uid="{00000000-0005-0000-0000-00000C330000}"/>
    <cellStyle name="Normal 2 30 2 3 11 4" xfId="11880" xr:uid="{00000000-0005-0000-0000-00000D330000}"/>
    <cellStyle name="Normal 2 30 2 3 11 4 2" xfId="30212" xr:uid="{00000000-0005-0000-0000-00000E330000}"/>
    <cellStyle name="Normal 2 30 2 3 11 5" xfId="11881" xr:uid="{00000000-0005-0000-0000-00000F330000}"/>
    <cellStyle name="Normal 2 30 2 3 11 5 2" xfId="30213" xr:uid="{00000000-0005-0000-0000-000010330000}"/>
    <cellStyle name="Normal 2 30 2 3 11 6" xfId="30209" xr:uid="{00000000-0005-0000-0000-000011330000}"/>
    <cellStyle name="Normal 2 30 2 3 12" xfId="11882" xr:uid="{00000000-0005-0000-0000-000012330000}"/>
    <cellStyle name="Normal 2 30 2 3 12 2" xfId="11883" xr:uid="{00000000-0005-0000-0000-000013330000}"/>
    <cellStyle name="Normal 2 30 2 3 12 2 2" xfId="30215" xr:uid="{00000000-0005-0000-0000-000014330000}"/>
    <cellStyle name="Normal 2 30 2 3 12 3" xfId="11884" xr:uid="{00000000-0005-0000-0000-000015330000}"/>
    <cellStyle name="Normal 2 30 2 3 12 3 2" xfId="30216" xr:uid="{00000000-0005-0000-0000-000016330000}"/>
    <cellStyle name="Normal 2 30 2 3 12 4" xfId="11885" xr:uid="{00000000-0005-0000-0000-000017330000}"/>
    <cellStyle name="Normal 2 30 2 3 12 4 2" xfId="30217" xr:uid="{00000000-0005-0000-0000-000018330000}"/>
    <cellStyle name="Normal 2 30 2 3 12 5" xfId="11886" xr:uid="{00000000-0005-0000-0000-000019330000}"/>
    <cellStyle name="Normal 2 30 2 3 12 5 2" xfId="30218" xr:uid="{00000000-0005-0000-0000-00001A330000}"/>
    <cellStyle name="Normal 2 30 2 3 12 6" xfId="30214" xr:uid="{00000000-0005-0000-0000-00001B330000}"/>
    <cellStyle name="Normal 2 30 2 3 13" xfId="11887" xr:uid="{00000000-0005-0000-0000-00001C330000}"/>
    <cellStyle name="Normal 2 30 2 3 13 2" xfId="11888" xr:uid="{00000000-0005-0000-0000-00001D330000}"/>
    <cellStyle name="Normal 2 30 2 3 13 2 2" xfId="30220" xr:uid="{00000000-0005-0000-0000-00001E330000}"/>
    <cellStyle name="Normal 2 30 2 3 13 3" xfId="11889" xr:uid="{00000000-0005-0000-0000-00001F330000}"/>
    <cellStyle name="Normal 2 30 2 3 13 3 2" xfId="30221" xr:uid="{00000000-0005-0000-0000-000020330000}"/>
    <cellStyle name="Normal 2 30 2 3 13 4" xfId="11890" xr:uid="{00000000-0005-0000-0000-000021330000}"/>
    <cellStyle name="Normal 2 30 2 3 13 4 2" xfId="30222" xr:uid="{00000000-0005-0000-0000-000022330000}"/>
    <cellStyle name="Normal 2 30 2 3 13 5" xfId="11891" xr:uid="{00000000-0005-0000-0000-000023330000}"/>
    <cellStyle name="Normal 2 30 2 3 13 5 2" xfId="30223" xr:uid="{00000000-0005-0000-0000-000024330000}"/>
    <cellStyle name="Normal 2 30 2 3 13 6" xfId="30219" xr:uid="{00000000-0005-0000-0000-000025330000}"/>
    <cellStyle name="Normal 2 30 2 3 14" xfId="11892" xr:uid="{00000000-0005-0000-0000-000026330000}"/>
    <cellStyle name="Normal 2 30 2 3 14 2" xfId="11893" xr:uid="{00000000-0005-0000-0000-000027330000}"/>
    <cellStyle name="Normal 2 30 2 3 14 2 2" xfId="30225" xr:uid="{00000000-0005-0000-0000-000028330000}"/>
    <cellStyle name="Normal 2 30 2 3 14 3" xfId="11894" xr:uid="{00000000-0005-0000-0000-000029330000}"/>
    <cellStyle name="Normal 2 30 2 3 14 3 2" xfId="30226" xr:uid="{00000000-0005-0000-0000-00002A330000}"/>
    <cellStyle name="Normal 2 30 2 3 14 4" xfId="11895" xr:uid="{00000000-0005-0000-0000-00002B330000}"/>
    <cellStyle name="Normal 2 30 2 3 14 4 2" xfId="30227" xr:uid="{00000000-0005-0000-0000-00002C330000}"/>
    <cellStyle name="Normal 2 30 2 3 14 5" xfId="11896" xr:uid="{00000000-0005-0000-0000-00002D330000}"/>
    <cellStyle name="Normal 2 30 2 3 14 5 2" xfId="30228" xr:uid="{00000000-0005-0000-0000-00002E330000}"/>
    <cellStyle name="Normal 2 30 2 3 14 6" xfId="30224" xr:uid="{00000000-0005-0000-0000-00002F330000}"/>
    <cellStyle name="Normal 2 30 2 3 15" xfId="11897" xr:uid="{00000000-0005-0000-0000-000030330000}"/>
    <cellStyle name="Normal 2 30 2 3 15 2" xfId="11898" xr:uid="{00000000-0005-0000-0000-000031330000}"/>
    <cellStyle name="Normal 2 30 2 3 15 2 2" xfId="30230" xr:uid="{00000000-0005-0000-0000-000032330000}"/>
    <cellStyle name="Normal 2 30 2 3 15 3" xfId="11899" xr:uid="{00000000-0005-0000-0000-000033330000}"/>
    <cellStyle name="Normal 2 30 2 3 15 3 2" xfId="30231" xr:uid="{00000000-0005-0000-0000-000034330000}"/>
    <cellStyle name="Normal 2 30 2 3 15 4" xfId="11900" xr:uid="{00000000-0005-0000-0000-000035330000}"/>
    <cellStyle name="Normal 2 30 2 3 15 4 2" xfId="30232" xr:uid="{00000000-0005-0000-0000-000036330000}"/>
    <cellStyle name="Normal 2 30 2 3 15 5" xfId="11901" xr:uid="{00000000-0005-0000-0000-000037330000}"/>
    <cellStyle name="Normal 2 30 2 3 15 5 2" xfId="30233" xr:uid="{00000000-0005-0000-0000-000038330000}"/>
    <cellStyle name="Normal 2 30 2 3 15 6" xfId="30229" xr:uid="{00000000-0005-0000-0000-000039330000}"/>
    <cellStyle name="Normal 2 30 2 3 16" xfId="11902" xr:uid="{00000000-0005-0000-0000-00003A330000}"/>
    <cellStyle name="Normal 2 30 2 3 16 2" xfId="11903" xr:uid="{00000000-0005-0000-0000-00003B330000}"/>
    <cellStyle name="Normal 2 30 2 3 16 2 2" xfId="30235" xr:uid="{00000000-0005-0000-0000-00003C330000}"/>
    <cellStyle name="Normal 2 30 2 3 16 3" xfId="11904" xr:uid="{00000000-0005-0000-0000-00003D330000}"/>
    <cellStyle name="Normal 2 30 2 3 16 3 2" xfId="30236" xr:uid="{00000000-0005-0000-0000-00003E330000}"/>
    <cellStyle name="Normal 2 30 2 3 16 4" xfId="11905" xr:uid="{00000000-0005-0000-0000-00003F330000}"/>
    <cellStyle name="Normal 2 30 2 3 16 4 2" xfId="30237" xr:uid="{00000000-0005-0000-0000-000040330000}"/>
    <cellStyle name="Normal 2 30 2 3 16 5" xfId="11906" xr:uid="{00000000-0005-0000-0000-000041330000}"/>
    <cellStyle name="Normal 2 30 2 3 16 5 2" xfId="30238" xr:uid="{00000000-0005-0000-0000-000042330000}"/>
    <cellStyle name="Normal 2 30 2 3 16 6" xfId="30234" xr:uid="{00000000-0005-0000-0000-000043330000}"/>
    <cellStyle name="Normal 2 30 2 3 17" xfId="11907" xr:uid="{00000000-0005-0000-0000-000044330000}"/>
    <cellStyle name="Normal 2 30 2 3 17 2" xfId="30239" xr:uid="{00000000-0005-0000-0000-000045330000}"/>
    <cellStyle name="Normal 2 30 2 3 18" xfId="11908" xr:uid="{00000000-0005-0000-0000-000046330000}"/>
    <cellStyle name="Normal 2 30 2 3 18 2" xfId="30240" xr:uid="{00000000-0005-0000-0000-000047330000}"/>
    <cellStyle name="Normal 2 30 2 3 19" xfId="11909" xr:uid="{00000000-0005-0000-0000-000048330000}"/>
    <cellStyle name="Normal 2 30 2 3 19 2" xfId="30241" xr:uid="{00000000-0005-0000-0000-000049330000}"/>
    <cellStyle name="Normal 2 30 2 3 2" xfId="11910" xr:uid="{00000000-0005-0000-0000-00004A330000}"/>
    <cellStyle name="Normal 2 30 2 3 2 10" xfId="11911" xr:uid="{00000000-0005-0000-0000-00004B330000}"/>
    <cellStyle name="Normal 2 30 2 3 2 10 2" xfId="30243" xr:uid="{00000000-0005-0000-0000-00004C330000}"/>
    <cellStyle name="Normal 2 30 2 3 2 11" xfId="11912" xr:uid="{00000000-0005-0000-0000-00004D330000}"/>
    <cellStyle name="Normal 2 30 2 3 2 11 2" xfId="30244" xr:uid="{00000000-0005-0000-0000-00004E330000}"/>
    <cellStyle name="Normal 2 30 2 3 2 12" xfId="30242" xr:uid="{00000000-0005-0000-0000-00004F330000}"/>
    <cellStyle name="Normal 2 30 2 3 2 2" xfId="11913" xr:uid="{00000000-0005-0000-0000-000050330000}"/>
    <cellStyle name="Normal 2 30 2 3 2 2 2" xfId="11914" xr:uid="{00000000-0005-0000-0000-000051330000}"/>
    <cellStyle name="Normal 2 30 2 3 2 2 2 2" xfId="30246" xr:uid="{00000000-0005-0000-0000-000052330000}"/>
    <cellStyle name="Normal 2 30 2 3 2 2 3" xfId="11915" xr:uid="{00000000-0005-0000-0000-000053330000}"/>
    <cellStyle name="Normal 2 30 2 3 2 2 3 2" xfId="30247" xr:uid="{00000000-0005-0000-0000-000054330000}"/>
    <cellStyle name="Normal 2 30 2 3 2 2 4" xfId="11916" xr:uid="{00000000-0005-0000-0000-000055330000}"/>
    <cellStyle name="Normal 2 30 2 3 2 2 4 2" xfId="30248" xr:uid="{00000000-0005-0000-0000-000056330000}"/>
    <cellStyle name="Normal 2 30 2 3 2 2 5" xfId="11917" xr:uid="{00000000-0005-0000-0000-000057330000}"/>
    <cellStyle name="Normal 2 30 2 3 2 2 5 2" xfId="30249" xr:uid="{00000000-0005-0000-0000-000058330000}"/>
    <cellStyle name="Normal 2 30 2 3 2 2 6" xfId="30245" xr:uid="{00000000-0005-0000-0000-000059330000}"/>
    <cellStyle name="Normal 2 30 2 3 2 3" xfId="11918" xr:uid="{00000000-0005-0000-0000-00005A330000}"/>
    <cellStyle name="Normal 2 30 2 3 2 3 2" xfId="11919" xr:uid="{00000000-0005-0000-0000-00005B330000}"/>
    <cellStyle name="Normal 2 30 2 3 2 3 2 2" xfId="30251" xr:uid="{00000000-0005-0000-0000-00005C330000}"/>
    <cellStyle name="Normal 2 30 2 3 2 3 3" xfId="11920" xr:uid="{00000000-0005-0000-0000-00005D330000}"/>
    <cellStyle name="Normal 2 30 2 3 2 3 3 2" xfId="30252" xr:uid="{00000000-0005-0000-0000-00005E330000}"/>
    <cellStyle name="Normal 2 30 2 3 2 3 4" xfId="11921" xr:uid="{00000000-0005-0000-0000-00005F330000}"/>
    <cellStyle name="Normal 2 30 2 3 2 3 4 2" xfId="30253" xr:uid="{00000000-0005-0000-0000-000060330000}"/>
    <cellStyle name="Normal 2 30 2 3 2 3 5" xfId="11922" xr:uid="{00000000-0005-0000-0000-000061330000}"/>
    <cellStyle name="Normal 2 30 2 3 2 3 5 2" xfId="30254" xr:uid="{00000000-0005-0000-0000-000062330000}"/>
    <cellStyle name="Normal 2 30 2 3 2 3 6" xfId="30250" xr:uid="{00000000-0005-0000-0000-000063330000}"/>
    <cellStyle name="Normal 2 30 2 3 2 4" xfId="11923" xr:uid="{00000000-0005-0000-0000-000064330000}"/>
    <cellStyle name="Normal 2 30 2 3 2 4 2" xfId="11924" xr:uid="{00000000-0005-0000-0000-000065330000}"/>
    <cellStyle name="Normal 2 30 2 3 2 4 2 2" xfId="30256" xr:uid="{00000000-0005-0000-0000-000066330000}"/>
    <cellStyle name="Normal 2 30 2 3 2 4 3" xfId="11925" xr:uid="{00000000-0005-0000-0000-000067330000}"/>
    <cellStyle name="Normal 2 30 2 3 2 4 3 2" xfId="30257" xr:uid="{00000000-0005-0000-0000-000068330000}"/>
    <cellStyle name="Normal 2 30 2 3 2 4 4" xfId="11926" xr:uid="{00000000-0005-0000-0000-000069330000}"/>
    <cellStyle name="Normal 2 30 2 3 2 4 4 2" xfId="30258" xr:uid="{00000000-0005-0000-0000-00006A330000}"/>
    <cellStyle name="Normal 2 30 2 3 2 4 5" xfId="11927" xr:uid="{00000000-0005-0000-0000-00006B330000}"/>
    <cellStyle name="Normal 2 30 2 3 2 4 5 2" xfId="30259" xr:uid="{00000000-0005-0000-0000-00006C330000}"/>
    <cellStyle name="Normal 2 30 2 3 2 4 6" xfId="30255" xr:uid="{00000000-0005-0000-0000-00006D330000}"/>
    <cellStyle name="Normal 2 30 2 3 2 5" xfId="11928" xr:uid="{00000000-0005-0000-0000-00006E330000}"/>
    <cellStyle name="Normal 2 30 2 3 2 5 2" xfId="11929" xr:uid="{00000000-0005-0000-0000-00006F330000}"/>
    <cellStyle name="Normal 2 30 2 3 2 5 2 2" xfId="30261" xr:uid="{00000000-0005-0000-0000-000070330000}"/>
    <cellStyle name="Normal 2 30 2 3 2 5 3" xfId="11930" xr:uid="{00000000-0005-0000-0000-000071330000}"/>
    <cellStyle name="Normal 2 30 2 3 2 5 3 2" xfId="30262" xr:uid="{00000000-0005-0000-0000-000072330000}"/>
    <cellStyle name="Normal 2 30 2 3 2 5 4" xfId="11931" xr:uid="{00000000-0005-0000-0000-000073330000}"/>
    <cellStyle name="Normal 2 30 2 3 2 5 4 2" xfId="30263" xr:uid="{00000000-0005-0000-0000-000074330000}"/>
    <cellStyle name="Normal 2 30 2 3 2 5 5" xfId="11932" xr:uid="{00000000-0005-0000-0000-000075330000}"/>
    <cellStyle name="Normal 2 30 2 3 2 5 5 2" xfId="30264" xr:uid="{00000000-0005-0000-0000-000076330000}"/>
    <cellStyle name="Normal 2 30 2 3 2 5 6" xfId="30260" xr:uid="{00000000-0005-0000-0000-000077330000}"/>
    <cellStyle name="Normal 2 30 2 3 2 6" xfId="11933" xr:uid="{00000000-0005-0000-0000-000078330000}"/>
    <cellStyle name="Normal 2 30 2 3 2 6 2" xfId="11934" xr:uid="{00000000-0005-0000-0000-000079330000}"/>
    <cellStyle name="Normal 2 30 2 3 2 6 2 2" xfId="30266" xr:uid="{00000000-0005-0000-0000-00007A330000}"/>
    <cellStyle name="Normal 2 30 2 3 2 6 3" xfId="11935" xr:uid="{00000000-0005-0000-0000-00007B330000}"/>
    <cellStyle name="Normal 2 30 2 3 2 6 3 2" xfId="30267" xr:uid="{00000000-0005-0000-0000-00007C330000}"/>
    <cellStyle name="Normal 2 30 2 3 2 6 4" xfId="11936" xr:uid="{00000000-0005-0000-0000-00007D330000}"/>
    <cellStyle name="Normal 2 30 2 3 2 6 4 2" xfId="30268" xr:uid="{00000000-0005-0000-0000-00007E330000}"/>
    <cellStyle name="Normal 2 30 2 3 2 6 5" xfId="11937" xr:uid="{00000000-0005-0000-0000-00007F330000}"/>
    <cellStyle name="Normal 2 30 2 3 2 6 5 2" xfId="30269" xr:uid="{00000000-0005-0000-0000-000080330000}"/>
    <cellStyle name="Normal 2 30 2 3 2 6 6" xfId="30265" xr:uid="{00000000-0005-0000-0000-000081330000}"/>
    <cellStyle name="Normal 2 30 2 3 2 7" xfId="11938" xr:uid="{00000000-0005-0000-0000-000082330000}"/>
    <cellStyle name="Normal 2 30 2 3 2 7 2" xfId="11939" xr:uid="{00000000-0005-0000-0000-000083330000}"/>
    <cellStyle name="Normal 2 30 2 3 2 7 2 2" xfId="30271" xr:uid="{00000000-0005-0000-0000-000084330000}"/>
    <cellStyle name="Normal 2 30 2 3 2 7 3" xfId="11940" xr:uid="{00000000-0005-0000-0000-000085330000}"/>
    <cellStyle name="Normal 2 30 2 3 2 7 3 2" xfId="30272" xr:uid="{00000000-0005-0000-0000-000086330000}"/>
    <cellStyle name="Normal 2 30 2 3 2 7 4" xfId="11941" xr:uid="{00000000-0005-0000-0000-000087330000}"/>
    <cellStyle name="Normal 2 30 2 3 2 7 4 2" xfId="30273" xr:uid="{00000000-0005-0000-0000-000088330000}"/>
    <cellStyle name="Normal 2 30 2 3 2 7 5" xfId="11942" xr:uid="{00000000-0005-0000-0000-000089330000}"/>
    <cellStyle name="Normal 2 30 2 3 2 7 5 2" xfId="30274" xr:uid="{00000000-0005-0000-0000-00008A330000}"/>
    <cellStyle name="Normal 2 30 2 3 2 7 6" xfId="30270" xr:uid="{00000000-0005-0000-0000-00008B330000}"/>
    <cellStyle name="Normal 2 30 2 3 2 8" xfId="11943" xr:uid="{00000000-0005-0000-0000-00008C330000}"/>
    <cellStyle name="Normal 2 30 2 3 2 8 2" xfId="30275" xr:uid="{00000000-0005-0000-0000-00008D330000}"/>
    <cellStyle name="Normal 2 30 2 3 2 9" xfId="11944" xr:uid="{00000000-0005-0000-0000-00008E330000}"/>
    <cellStyle name="Normal 2 30 2 3 2 9 2" xfId="30276" xr:uid="{00000000-0005-0000-0000-00008F330000}"/>
    <cellStyle name="Normal 2 30 2 3 20" xfId="11945" xr:uid="{00000000-0005-0000-0000-000090330000}"/>
    <cellStyle name="Normal 2 30 2 3 20 2" xfId="30277" xr:uid="{00000000-0005-0000-0000-000091330000}"/>
    <cellStyle name="Normal 2 30 2 3 21" xfId="30203" xr:uid="{00000000-0005-0000-0000-000092330000}"/>
    <cellStyle name="Normal 2 30 2 3 3" xfId="11946" xr:uid="{00000000-0005-0000-0000-000093330000}"/>
    <cellStyle name="Normal 2 30 2 3 3 2" xfId="11947" xr:uid="{00000000-0005-0000-0000-000094330000}"/>
    <cellStyle name="Normal 2 30 2 3 3 2 2" xfId="11948" xr:uid="{00000000-0005-0000-0000-000095330000}"/>
    <cellStyle name="Normal 2 30 2 3 3 2 2 2" xfId="30280" xr:uid="{00000000-0005-0000-0000-000096330000}"/>
    <cellStyle name="Normal 2 30 2 3 3 2 3" xfId="11949" xr:uid="{00000000-0005-0000-0000-000097330000}"/>
    <cellStyle name="Normal 2 30 2 3 3 2 3 2" xfId="30281" xr:uid="{00000000-0005-0000-0000-000098330000}"/>
    <cellStyle name="Normal 2 30 2 3 3 2 4" xfId="11950" xr:uid="{00000000-0005-0000-0000-000099330000}"/>
    <cellStyle name="Normal 2 30 2 3 3 2 4 2" xfId="30282" xr:uid="{00000000-0005-0000-0000-00009A330000}"/>
    <cellStyle name="Normal 2 30 2 3 3 2 5" xfId="11951" xr:uid="{00000000-0005-0000-0000-00009B330000}"/>
    <cellStyle name="Normal 2 30 2 3 3 2 5 2" xfId="30283" xr:uid="{00000000-0005-0000-0000-00009C330000}"/>
    <cellStyle name="Normal 2 30 2 3 3 2 6" xfId="30279" xr:uid="{00000000-0005-0000-0000-00009D330000}"/>
    <cellStyle name="Normal 2 30 2 3 3 3" xfId="11952" xr:uid="{00000000-0005-0000-0000-00009E330000}"/>
    <cellStyle name="Normal 2 30 2 3 3 3 2" xfId="30284" xr:uid="{00000000-0005-0000-0000-00009F330000}"/>
    <cellStyle name="Normal 2 30 2 3 3 4" xfId="11953" xr:uid="{00000000-0005-0000-0000-0000A0330000}"/>
    <cellStyle name="Normal 2 30 2 3 3 4 2" xfId="30285" xr:uid="{00000000-0005-0000-0000-0000A1330000}"/>
    <cellStyle name="Normal 2 30 2 3 3 5" xfId="11954" xr:uid="{00000000-0005-0000-0000-0000A2330000}"/>
    <cellStyle name="Normal 2 30 2 3 3 5 2" xfId="30286" xr:uid="{00000000-0005-0000-0000-0000A3330000}"/>
    <cellStyle name="Normal 2 30 2 3 3 6" xfId="11955" xr:uid="{00000000-0005-0000-0000-0000A4330000}"/>
    <cellStyle name="Normal 2 30 2 3 3 6 2" xfId="30287" xr:uid="{00000000-0005-0000-0000-0000A5330000}"/>
    <cellStyle name="Normal 2 30 2 3 3 7" xfId="30278" xr:uid="{00000000-0005-0000-0000-0000A6330000}"/>
    <cellStyle name="Normal 2 30 2 3 4" xfId="11956" xr:uid="{00000000-0005-0000-0000-0000A7330000}"/>
    <cellStyle name="Normal 2 30 2 3 4 2" xfId="11957" xr:uid="{00000000-0005-0000-0000-0000A8330000}"/>
    <cellStyle name="Normal 2 30 2 3 4 2 2" xfId="11958" xr:uid="{00000000-0005-0000-0000-0000A9330000}"/>
    <cellStyle name="Normal 2 30 2 3 4 2 2 2" xfId="30290" xr:uid="{00000000-0005-0000-0000-0000AA330000}"/>
    <cellStyle name="Normal 2 30 2 3 4 2 3" xfId="11959" xr:uid="{00000000-0005-0000-0000-0000AB330000}"/>
    <cellStyle name="Normal 2 30 2 3 4 2 3 2" xfId="30291" xr:uid="{00000000-0005-0000-0000-0000AC330000}"/>
    <cellStyle name="Normal 2 30 2 3 4 2 4" xfId="11960" xr:uid="{00000000-0005-0000-0000-0000AD330000}"/>
    <cellStyle name="Normal 2 30 2 3 4 2 4 2" xfId="30292" xr:uid="{00000000-0005-0000-0000-0000AE330000}"/>
    <cellStyle name="Normal 2 30 2 3 4 2 5" xfId="11961" xr:uid="{00000000-0005-0000-0000-0000AF330000}"/>
    <cellStyle name="Normal 2 30 2 3 4 2 5 2" xfId="30293" xr:uid="{00000000-0005-0000-0000-0000B0330000}"/>
    <cellStyle name="Normal 2 30 2 3 4 2 6" xfId="30289" xr:uid="{00000000-0005-0000-0000-0000B1330000}"/>
    <cellStyle name="Normal 2 30 2 3 4 3" xfId="11962" xr:uid="{00000000-0005-0000-0000-0000B2330000}"/>
    <cellStyle name="Normal 2 30 2 3 4 3 2" xfId="30294" xr:uid="{00000000-0005-0000-0000-0000B3330000}"/>
    <cellStyle name="Normal 2 30 2 3 4 4" xfId="11963" xr:uid="{00000000-0005-0000-0000-0000B4330000}"/>
    <cellStyle name="Normal 2 30 2 3 4 4 2" xfId="30295" xr:uid="{00000000-0005-0000-0000-0000B5330000}"/>
    <cellStyle name="Normal 2 30 2 3 4 5" xfId="11964" xr:uid="{00000000-0005-0000-0000-0000B6330000}"/>
    <cellStyle name="Normal 2 30 2 3 4 5 2" xfId="30296" xr:uid="{00000000-0005-0000-0000-0000B7330000}"/>
    <cellStyle name="Normal 2 30 2 3 4 6" xfId="11965" xr:uid="{00000000-0005-0000-0000-0000B8330000}"/>
    <cellStyle name="Normal 2 30 2 3 4 6 2" xfId="30297" xr:uid="{00000000-0005-0000-0000-0000B9330000}"/>
    <cellStyle name="Normal 2 30 2 3 4 7" xfId="30288" xr:uid="{00000000-0005-0000-0000-0000BA330000}"/>
    <cellStyle name="Normal 2 30 2 3 5" xfId="11966" xr:uid="{00000000-0005-0000-0000-0000BB330000}"/>
    <cellStyle name="Normal 2 30 2 3 5 2" xfId="11967" xr:uid="{00000000-0005-0000-0000-0000BC330000}"/>
    <cellStyle name="Normal 2 30 2 3 5 2 2" xfId="30299" xr:uid="{00000000-0005-0000-0000-0000BD330000}"/>
    <cellStyle name="Normal 2 30 2 3 5 3" xfId="11968" xr:uid="{00000000-0005-0000-0000-0000BE330000}"/>
    <cellStyle name="Normal 2 30 2 3 5 3 2" xfId="30300" xr:uid="{00000000-0005-0000-0000-0000BF330000}"/>
    <cellStyle name="Normal 2 30 2 3 5 4" xfId="11969" xr:uid="{00000000-0005-0000-0000-0000C0330000}"/>
    <cellStyle name="Normal 2 30 2 3 5 4 2" xfId="30301" xr:uid="{00000000-0005-0000-0000-0000C1330000}"/>
    <cellStyle name="Normal 2 30 2 3 5 5" xfId="11970" xr:uid="{00000000-0005-0000-0000-0000C2330000}"/>
    <cellStyle name="Normal 2 30 2 3 5 5 2" xfId="30302" xr:uid="{00000000-0005-0000-0000-0000C3330000}"/>
    <cellStyle name="Normal 2 30 2 3 5 6" xfId="30298" xr:uid="{00000000-0005-0000-0000-0000C4330000}"/>
    <cellStyle name="Normal 2 30 2 3 6" xfId="11971" xr:uid="{00000000-0005-0000-0000-0000C5330000}"/>
    <cellStyle name="Normal 2 30 2 3 6 2" xfId="11972" xr:uid="{00000000-0005-0000-0000-0000C6330000}"/>
    <cellStyle name="Normal 2 30 2 3 6 2 2" xfId="30304" xr:uid="{00000000-0005-0000-0000-0000C7330000}"/>
    <cellStyle name="Normal 2 30 2 3 6 3" xfId="11973" xr:uid="{00000000-0005-0000-0000-0000C8330000}"/>
    <cellStyle name="Normal 2 30 2 3 6 3 2" xfId="30305" xr:uid="{00000000-0005-0000-0000-0000C9330000}"/>
    <cellStyle name="Normal 2 30 2 3 6 4" xfId="11974" xr:uid="{00000000-0005-0000-0000-0000CA330000}"/>
    <cellStyle name="Normal 2 30 2 3 6 4 2" xfId="30306" xr:uid="{00000000-0005-0000-0000-0000CB330000}"/>
    <cellStyle name="Normal 2 30 2 3 6 5" xfId="11975" xr:uid="{00000000-0005-0000-0000-0000CC330000}"/>
    <cellStyle name="Normal 2 30 2 3 6 5 2" xfId="30307" xr:uid="{00000000-0005-0000-0000-0000CD330000}"/>
    <cellStyle name="Normal 2 30 2 3 6 6" xfId="30303" xr:uid="{00000000-0005-0000-0000-0000CE330000}"/>
    <cellStyle name="Normal 2 30 2 3 7" xfId="11976" xr:uid="{00000000-0005-0000-0000-0000CF330000}"/>
    <cellStyle name="Normal 2 30 2 3 7 2" xfId="11977" xr:uid="{00000000-0005-0000-0000-0000D0330000}"/>
    <cellStyle name="Normal 2 30 2 3 7 2 2" xfId="30309" xr:uid="{00000000-0005-0000-0000-0000D1330000}"/>
    <cellStyle name="Normal 2 30 2 3 7 3" xfId="11978" xr:uid="{00000000-0005-0000-0000-0000D2330000}"/>
    <cellStyle name="Normal 2 30 2 3 7 3 2" xfId="30310" xr:uid="{00000000-0005-0000-0000-0000D3330000}"/>
    <cellStyle name="Normal 2 30 2 3 7 4" xfId="11979" xr:uid="{00000000-0005-0000-0000-0000D4330000}"/>
    <cellStyle name="Normal 2 30 2 3 7 4 2" xfId="30311" xr:uid="{00000000-0005-0000-0000-0000D5330000}"/>
    <cellStyle name="Normal 2 30 2 3 7 5" xfId="11980" xr:uid="{00000000-0005-0000-0000-0000D6330000}"/>
    <cellStyle name="Normal 2 30 2 3 7 5 2" xfId="30312" xr:uid="{00000000-0005-0000-0000-0000D7330000}"/>
    <cellStyle name="Normal 2 30 2 3 7 6" xfId="30308" xr:uid="{00000000-0005-0000-0000-0000D8330000}"/>
    <cellStyle name="Normal 2 30 2 3 8" xfId="11981" xr:uid="{00000000-0005-0000-0000-0000D9330000}"/>
    <cellStyle name="Normal 2 30 2 3 8 2" xfId="11982" xr:uid="{00000000-0005-0000-0000-0000DA330000}"/>
    <cellStyle name="Normal 2 30 2 3 8 2 2" xfId="30314" xr:uid="{00000000-0005-0000-0000-0000DB330000}"/>
    <cellStyle name="Normal 2 30 2 3 8 3" xfId="11983" xr:uid="{00000000-0005-0000-0000-0000DC330000}"/>
    <cellStyle name="Normal 2 30 2 3 8 3 2" xfId="30315" xr:uid="{00000000-0005-0000-0000-0000DD330000}"/>
    <cellStyle name="Normal 2 30 2 3 8 4" xfId="11984" xr:uid="{00000000-0005-0000-0000-0000DE330000}"/>
    <cellStyle name="Normal 2 30 2 3 8 4 2" xfId="30316" xr:uid="{00000000-0005-0000-0000-0000DF330000}"/>
    <cellStyle name="Normal 2 30 2 3 8 5" xfId="11985" xr:uid="{00000000-0005-0000-0000-0000E0330000}"/>
    <cellStyle name="Normal 2 30 2 3 8 5 2" xfId="30317" xr:uid="{00000000-0005-0000-0000-0000E1330000}"/>
    <cellStyle name="Normal 2 30 2 3 8 6" xfId="30313" xr:uid="{00000000-0005-0000-0000-0000E2330000}"/>
    <cellStyle name="Normal 2 30 2 3 9" xfId="11986" xr:uid="{00000000-0005-0000-0000-0000E3330000}"/>
    <cellStyle name="Normal 2 30 2 3 9 2" xfId="11987" xr:uid="{00000000-0005-0000-0000-0000E4330000}"/>
    <cellStyle name="Normal 2 30 2 3 9 2 2" xfId="30319" xr:uid="{00000000-0005-0000-0000-0000E5330000}"/>
    <cellStyle name="Normal 2 30 2 3 9 3" xfId="11988" xr:uid="{00000000-0005-0000-0000-0000E6330000}"/>
    <cellStyle name="Normal 2 30 2 3 9 3 2" xfId="30320" xr:uid="{00000000-0005-0000-0000-0000E7330000}"/>
    <cellStyle name="Normal 2 30 2 3 9 4" xfId="11989" xr:uid="{00000000-0005-0000-0000-0000E8330000}"/>
    <cellStyle name="Normal 2 30 2 3 9 4 2" xfId="30321" xr:uid="{00000000-0005-0000-0000-0000E9330000}"/>
    <cellStyle name="Normal 2 30 2 3 9 5" xfId="11990" xr:uid="{00000000-0005-0000-0000-0000EA330000}"/>
    <cellStyle name="Normal 2 30 2 3 9 5 2" xfId="30322" xr:uid="{00000000-0005-0000-0000-0000EB330000}"/>
    <cellStyle name="Normal 2 30 2 3 9 6" xfId="30318" xr:uid="{00000000-0005-0000-0000-0000EC330000}"/>
    <cellStyle name="Normal 2 30 2 4" xfId="11991" xr:uid="{00000000-0005-0000-0000-0000ED330000}"/>
    <cellStyle name="Normal 2 30 2 4 10" xfId="11992" xr:uid="{00000000-0005-0000-0000-0000EE330000}"/>
    <cellStyle name="Normal 2 30 2 4 10 2" xfId="11993" xr:uid="{00000000-0005-0000-0000-0000EF330000}"/>
    <cellStyle name="Normal 2 30 2 4 10 2 2" xfId="30325" xr:uid="{00000000-0005-0000-0000-0000F0330000}"/>
    <cellStyle name="Normal 2 30 2 4 10 3" xfId="11994" xr:uid="{00000000-0005-0000-0000-0000F1330000}"/>
    <cellStyle name="Normal 2 30 2 4 10 3 2" xfId="30326" xr:uid="{00000000-0005-0000-0000-0000F2330000}"/>
    <cellStyle name="Normal 2 30 2 4 10 4" xfId="11995" xr:uid="{00000000-0005-0000-0000-0000F3330000}"/>
    <cellStyle name="Normal 2 30 2 4 10 4 2" xfId="30327" xr:uid="{00000000-0005-0000-0000-0000F4330000}"/>
    <cellStyle name="Normal 2 30 2 4 10 5" xfId="11996" xr:uid="{00000000-0005-0000-0000-0000F5330000}"/>
    <cellStyle name="Normal 2 30 2 4 10 5 2" xfId="30328" xr:uid="{00000000-0005-0000-0000-0000F6330000}"/>
    <cellStyle name="Normal 2 30 2 4 10 6" xfId="30324" xr:uid="{00000000-0005-0000-0000-0000F7330000}"/>
    <cellStyle name="Normal 2 30 2 4 11" xfId="11997" xr:uid="{00000000-0005-0000-0000-0000F8330000}"/>
    <cellStyle name="Normal 2 30 2 4 11 2" xfId="11998" xr:uid="{00000000-0005-0000-0000-0000F9330000}"/>
    <cellStyle name="Normal 2 30 2 4 11 2 2" xfId="30330" xr:uid="{00000000-0005-0000-0000-0000FA330000}"/>
    <cellStyle name="Normal 2 30 2 4 11 3" xfId="11999" xr:uid="{00000000-0005-0000-0000-0000FB330000}"/>
    <cellStyle name="Normal 2 30 2 4 11 3 2" xfId="30331" xr:uid="{00000000-0005-0000-0000-0000FC330000}"/>
    <cellStyle name="Normal 2 30 2 4 11 4" xfId="12000" xr:uid="{00000000-0005-0000-0000-0000FD330000}"/>
    <cellStyle name="Normal 2 30 2 4 11 4 2" xfId="30332" xr:uid="{00000000-0005-0000-0000-0000FE330000}"/>
    <cellStyle name="Normal 2 30 2 4 11 5" xfId="12001" xr:uid="{00000000-0005-0000-0000-0000FF330000}"/>
    <cellStyle name="Normal 2 30 2 4 11 5 2" xfId="30333" xr:uid="{00000000-0005-0000-0000-000000340000}"/>
    <cellStyle name="Normal 2 30 2 4 11 6" xfId="30329" xr:uid="{00000000-0005-0000-0000-000001340000}"/>
    <cellStyle name="Normal 2 30 2 4 12" xfId="12002" xr:uid="{00000000-0005-0000-0000-000002340000}"/>
    <cellStyle name="Normal 2 30 2 4 12 2" xfId="12003" xr:uid="{00000000-0005-0000-0000-000003340000}"/>
    <cellStyle name="Normal 2 30 2 4 12 2 2" xfId="30335" xr:uid="{00000000-0005-0000-0000-000004340000}"/>
    <cellStyle name="Normal 2 30 2 4 12 3" xfId="12004" xr:uid="{00000000-0005-0000-0000-000005340000}"/>
    <cellStyle name="Normal 2 30 2 4 12 3 2" xfId="30336" xr:uid="{00000000-0005-0000-0000-000006340000}"/>
    <cellStyle name="Normal 2 30 2 4 12 4" xfId="12005" xr:uid="{00000000-0005-0000-0000-000007340000}"/>
    <cellStyle name="Normal 2 30 2 4 12 4 2" xfId="30337" xr:uid="{00000000-0005-0000-0000-000008340000}"/>
    <cellStyle name="Normal 2 30 2 4 12 5" xfId="12006" xr:uid="{00000000-0005-0000-0000-000009340000}"/>
    <cellStyle name="Normal 2 30 2 4 12 5 2" xfId="30338" xr:uid="{00000000-0005-0000-0000-00000A340000}"/>
    <cellStyle name="Normal 2 30 2 4 12 6" xfId="30334" xr:uid="{00000000-0005-0000-0000-00000B340000}"/>
    <cellStyle name="Normal 2 30 2 4 13" xfId="12007" xr:uid="{00000000-0005-0000-0000-00000C340000}"/>
    <cellStyle name="Normal 2 30 2 4 13 2" xfId="12008" xr:uid="{00000000-0005-0000-0000-00000D340000}"/>
    <cellStyle name="Normal 2 30 2 4 13 2 2" xfId="30340" xr:uid="{00000000-0005-0000-0000-00000E340000}"/>
    <cellStyle name="Normal 2 30 2 4 13 3" xfId="12009" xr:uid="{00000000-0005-0000-0000-00000F340000}"/>
    <cellStyle name="Normal 2 30 2 4 13 3 2" xfId="30341" xr:uid="{00000000-0005-0000-0000-000010340000}"/>
    <cellStyle name="Normal 2 30 2 4 13 4" xfId="12010" xr:uid="{00000000-0005-0000-0000-000011340000}"/>
    <cellStyle name="Normal 2 30 2 4 13 4 2" xfId="30342" xr:uid="{00000000-0005-0000-0000-000012340000}"/>
    <cellStyle name="Normal 2 30 2 4 13 5" xfId="12011" xr:uid="{00000000-0005-0000-0000-000013340000}"/>
    <cellStyle name="Normal 2 30 2 4 13 5 2" xfId="30343" xr:uid="{00000000-0005-0000-0000-000014340000}"/>
    <cellStyle name="Normal 2 30 2 4 13 6" xfId="30339" xr:uid="{00000000-0005-0000-0000-000015340000}"/>
    <cellStyle name="Normal 2 30 2 4 14" xfId="12012" xr:uid="{00000000-0005-0000-0000-000016340000}"/>
    <cellStyle name="Normal 2 30 2 4 14 2" xfId="12013" xr:uid="{00000000-0005-0000-0000-000017340000}"/>
    <cellStyle name="Normal 2 30 2 4 14 2 2" xfId="30345" xr:uid="{00000000-0005-0000-0000-000018340000}"/>
    <cellStyle name="Normal 2 30 2 4 14 3" xfId="12014" xr:uid="{00000000-0005-0000-0000-000019340000}"/>
    <cellStyle name="Normal 2 30 2 4 14 3 2" xfId="30346" xr:uid="{00000000-0005-0000-0000-00001A340000}"/>
    <cellStyle name="Normal 2 30 2 4 14 4" xfId="12015" xr:uid="{00000000-0005-0000-0000-00001B340000}"/>
    <cellStyle name="Normal 2 30 2 4 14 4 2" xfId="30347" xr:uid="{00000000-0005-0000-0000-00001C340000}"/>
    <cellStyle name="Normal 2 30 2 4 14 5" xfId="12016" xr:uid="{00000000-0005-0000-0000-00001D340000}"/>
    <cellStyle name="Normal 2 30 2 4 14 5 2" xfId="30348" xr:uid="{00000000-0005-0000-0000-00001E340000}"/>
    <cellStyle name="Normal 2 30 2 4 14 6" xfId="30344" xr:uid="{00000000-0005-0000-0000-00001F340000}"/>
    <cellStyle name="Normal 2 30 2 4 15" xfId="12017" xr:uid="{00000000-0005-0000-0000-000020340000}"/>
    <cellStyle name="Normal 2 30 2 4 15 2" xfId="12018" xr:uid="{00000000-0005-0000-0000-000021340000}"/>
    <cellStyle name="Normal 2 30 2 4 15 2 2" xfId="30350" xr:uid="{00000000-0005-0000-0000-000022340000}"/>
    <cellStyle name="Normal 2 30 2 4 15 3" xfId="12019" xr:uid="{00000000-0005-0000-0000-000023340000}"/>
    <cellStyle name="Normal 2 30 2 4 15 3 2" xfId="30351" xr:uid="{00000000-0005-0000-0000-000024340000}"/>
    <cellStyle name="Normal 2 30 2 4 15 4" xfId="12020" xr:uid="{00000000-0005-0000-0000-000025340000}"/>
    <cellStyle name="Normal 2 30 2 4 15 4 2" xfId="30352" xr:uid="{00000000-0005-0000-0000-000026340000}"/>
    <cellStyle name="Normal 2 30 2 4 15 5" xfId="12021" xr:uid="{00000000-0005-0000-0000-000027340000}"/>
    <cellStyle name="Normal 2 30 2 4 15 5 2" xfId="30353" xr:uid="{00000000-0005-0000-0000-000028340000}"/>
    <cellStyle name="Normal 2 30 2 4 15 6" xfId="30349" xr:uid="{00000000-0005-0000-0000-000029340000}"/>
    <cellStyle name="Normal 2 30 2 4 16" xfId="12022" xr:uid="{00000000-0005-0000-0000-00002A340000}"/>
    <cellStyle name="Normal 2 30 2 4 16 2" xfId="12023" xr:uid="{00000000-0005-0000-0000-00002B340000}"/>
    <cellStyle name="Normal 2 30 2 4 16 2 2" xfId="30355" xr:uid="{00000000-0005-0000-0000-00002C340000}"/>
    <cellStyle name="Normal 2 30 2 4 16 3" xfId="12024" xr:uid="{00000000-0005-0000-0000-00002D340000}"/>
    <cellStyle name="Normal 2 30 2 4 16 3 2" xfId="30356" xr:uid="{00000000-0005-0000-0000-00002E340000}"/>
    <cellStyle name="Normal 2 30 2 4 16 4" xfId="12025" xr:uid="{00000000-0005-0000-0000-00002F340000}"/>
    <cellStyle name="Normal 2 30 2 4 16 4 2" xfId="30357" xr:uid="{00000000-0005-0000-0000-000030340000}"/>
    <cellStyle name="Normal 2 30 2 4 16 5" xfId="12026" xr:uid="{00000000-0005-0000-0000-000031340000}"/>
    <cellStyle name="Normal 2 30 2 4 16 5 2" xfId="30358" xr:uid="{00000000-0005-0000-0000-000032340000}"/>
    <cellStyle name="Normal 2 30 2 4 16 6" xfId="30354" xr:uid="{00000000-0005-0000-0000-000033340000}"/>
    <cellStyle name="Normal 2 30 2 4 17" xfId="12027" xr:uid="{00000000-0005-0000-0000-000034340000}"/>
    <cellStyle name="Normal 2 30 2 4 17 2" xfId="30359" xr:uid="{00000000-0005-0000-0000-000035340000}"/>
    <cellStyle name="Normal 2 30 2 4 18" xfId="12028" xr:uid="{00000000-0005-0000-0000-000036340000}"/>
    <cellStyle name="Normal 2 30 2 4 18 2" xfId="30360" xr:uid="{00000000-0005-0000-0000-000037340000}"/>
    <cellStyle name="Normal 2 30 2 4 19" xfId="12029" xr:uid="{00000000-0005-0000-0000-000038340000}"/>
    <cellStyle name="Normal 2 30 2 4 19 2" xfId="30361" xr:uid="{00000000-0005-0000-0000-000039340000}"/>
    <cellStyle name="Normal 2 30 2 4 2" xfId="12030" xr:uid="{00000000-0005-0000-0000-00003A340000}"/>
    <cellStyle name="Normal 2 30 2 4 2 10" xfId="12031" xr:uid="{00000000-0005-0000-0000-00003B340000}"/>
    <cellStyle name="Normal 2 30 2 4 2 10 2" xfId="30363" xr:uid="{00000000-0005-0000-0000-00003C340000}"/>
    <cellStyle name="Normal 2 30 2 4 2 11" xfId="12032" xr:uid="{00000000-0005-0000-0000-00003D340000}"/>
    <cellStyle name="Normal 2 30 2 4 2 11 2" xfId="30364" xr:uid="{00000000-0005-0000-0000-00003E340000}"/>
    <cellStyle name="Normal 2 30 2 4 2 12" xfId="30362" xr:uid="{00000000-0005-0000-0000-00003F340000}"/>
    <cellStyle name="Normal 2 30 2 4 2 2" xfId="12033" xr:uid="{00000000-0005-0000-0000-000040340000}"/>
    <cellStyle name="Normal 2 30 2 4 2 2 2" xfId="12034" xr:uid="{00000000-0005-0000-0000-000041340000}"/>
    <cellStyle name="Normal 2 30 2 4 2 2 2 2" xfId="30366" xr:uid="{00000000-0005-0000-0000-000042340000}"/>
    <cellStyle name="Normal 2 30 2 4 2 2 3" xfId="12035" xr:uid="{00000000-0005-0000-0000-000043340000}"/>
    <cellStyle name="Normal 2 30 2 4 2 2 3 2" xfId="30367" xr:uid="{00000000-0005-0000-0000-000044340000}"/>
    <cellStyle name="Normal 2 30 2 4 2 2 4" xfId="12036" xr:uid="{00000000-0005-0000-0000-000045340000}"/>
    <cellStyle name="Normal 2 30 2 4 2 2 4 2" xfId="30368" xr:uid="{00000000-0005-0000-0000-000046340000}"/>
    <cellStyle name="Normal 2 30 2 4 2 2 5" xfId="12037" xr:uid="{00000000-0005-0000-0000-000047340000}"/>
    <cellStyle name="Normal 2 30 2 4 2 2 5 2" xfId="30369" xr:uid="{00000000-0005-0000-0000-000048340000}"/>
    <cellStyle name="Normal 2 30 2 4 2 2 6" xfId="30365" xr:uid="{00000000-0005-0000-0000-000049340000}"/>
    <cellStyle name="Normal 2 30 2 4 2 3" xfId="12038" xr:uid="{00000000-0005-0000-0000-00004A340000}"/>
    <cellStyle name="Normal 2 30 2 4 2 3 2" xfId="12039" xr:uid="{00000000-0005-0000-0000-00004B340000}"/>
    <cellStyle name="Normal 2 30 2 4 2 3 2 2" xfId="30371" xr:uid="{00000000-0005-0000-0000-00004C340000}"/>
    <cellStyle name="Normal 2 30 2 4 2 3 3" xfId="12040" xr:uid="{00000000-0005-0000-0000-00004D340000}"/>
    <cellStyle name="Normal 2 30 2 4 2 3 3 2" xfId="30372" xr:uid="{00000000-0005-0000-0000-00004E340000}"/>
    <cellStyle name="Normal 2 30 2 4 2 3 4" xfId="12041" xr:uid="{00000000-0005-0000-0000-00004F340000}"/>
    <cellStyle name="Normal 2 30 2 4 2 3 4 2" xfId="30373" xr:uid="{00000000-0005-0000-0000-000050340000}"/>
    <cellStyle name="Normal 2 30 2 4 2 3 5" xfId="12042" xr:uid="{00000000-0005-0000-0000-000051340000}"/>
    <cellStyle name="Normal 2 30 2 4 2 3 5 2" xfId="30374" xr:uid="{00000000-0005-0000-0000-000052340000}"/>
    <cellStyle name="Normal 2 30 2 4 2 3 6" xfId="30370" xr:uid="{00000000-0005-0000-0000-000053340000}"/>
    <cellStyle name="Normal 2 30 2 4 2 4" xfId="12043" xr:uid="{00000000-0005-0000-0000-000054340000}"/>
    <cellStyle name="Normal 2 30 2 4 2 4 2" xfId="12044" xr:uid="{00000000-0005-0000-0000-000055340000}"/>
    <cellStyle name="Normal 2 30 2 4 2 4 2 2" xfId="30376" xr:uid="{00000000-0005-0000-0000-000056340000}"/>
    <cellStyle name="Normal 2 30 2 4 2 4 3" xfId="12045" xr:uid="{00000000-0005-0000-0000-000057340000}"/>
    <cellStyle name="Normal 2 30 2 4 2 4 3 2" xfId="30377" xr:uid="{00000000-0005-0000-0000-000058340000}"/>
    <cellStyle name="Normal 2 30 2 4 2 4 4" xfId="12046" xr:uid="{00000000-0005-0000-0000-000059340000}"/>
    <cellStyle name="Normal 2 30 2 4 2 4 4 2" xfId="30378" xr:uid="{00000000-0005-0000-0000-00005A340000}"/>
    <cellStyle name="Normal 2 30 2 4 2 4 5" xfId="12047" xr:uid="{00000000-0005-0000-0000-00005B340000}"/>
    <cellStyle name="Normal 2 30 2 4 2 4 5 2" xfId="30379" xr:uid="{00000000-0005-0000-0000-00005C340000}"/>
    <cellStyle name="Normal 2 30 2 4 2 4 6" xfId="30375" xr:uid="{00000000-0005-0000-0000-00005D340000}"/>
    <cellStyle name="Normal 2 30 2 4 2 5" xfId="12048" xr:uid="{00000000-0005-0000-0000-00005E340000}"/>
    <cellStyle name="Normal 2 30 2 4 2 5 2" xfId="12049" xr:uid="{00000000-0005-0000-0000-00005F340000}"/>
    <cellStyle name="Normal 2 30 2 4 2 5 2 2" xfId="30381" xr:uid="{00000000-0005-0000-0000-000060340000}"/>
    <cellStyle name="Normal 2 30 2 4 2 5 3" xfId="12050" xr:uid="{00000000-0005-0000-0000-000061340000}"/>
    <cellStyle name="Normal 2 30 2 4 2 5 3 2" xfId="30382" xr:uid="{00000000-0005-0000-0000-000062340000}"/>
    <cellStyle name="Normal 2 30 2 4 2 5 4" xfId="12051" xr:uid="{00000000-0005-0000-0000-000063340000}"/>
    <cellStyle name="Normal 2 30 2 4 2 5 4 2" xfId="30383" xr:uid="{00000000-0005-0000-0000-000064340000}"/>
    <cellStyle name="Normal 2 30 2 4 2 5 5" xfId="12052" xr:uid="{00000000-0005-0000-0000-000065340000}"/>
    <cellStyle name="Normal 2 30 2 4 2 5 5 2" xfId="30384" xr:uid="{00000000-0005-0000-0000-000066340000}"/>
    <cellStyle name="Normal 2 30 2 4 2 5 6" xfId="30380" xr:uid="{00000000-0005-0000-0000-000067340000}"/>
    <cellStyle name="Normal 2 30 2 4 2 6" xfId="12053" xr:uid="{00000000-0005-0000-0000-000068340000}"/>
    <cellStyle name="Normal 2 30 2 4 2 6 2" xfId="12054" xr:uid="{00000000-0005-0000-0000-000069340000}"/>
    <cellStyle name="Normal 2 30 2 4 2 6 2 2" xfId="30386" xr:uid="{00000000-0005-0000-0000-00006A340000}"/>
    <cellStyle name="Normal 2 30 2 4 2 6 3" xfId="12055" xr:uid="{00000000-0005-0000-0000-00006B340000}"/>
    <cellStyle name="Normal 2 30 2 4 2 6 3 2" xfId="30387" xr:uid="{00000000-0005-0000-0000-00006C340000}"/>
    <cellStyle name="Normal 2 30 2 4 2 6 4" xfId="12056" xr:uid="{00000000-0005-0000-0000-00006D340000}"/>
    <cellStyle name="Normal 2 30 2 4 2 6 4 2" xfId="30388" xr:uid="{00000000-0005-0000-0000-00006E340000}"/>
    <cellStyle name="Normal 2 30 2 4 2 6 5" xfId="12057" xr:uid="{00000000-0005-0000-0000-00006F340000}"/>
    <cellStyle name="Normal 2 30 2 4 2 6 5 2" xfId="30389" xr:uid="{00000000-0005-0000-0000-000070340000}"/>
    <cellStyle name="Normal 2 30 2 4 2 6 6" xfId="30385" xr:uid="{00000000-0005-0000-0000-000071340000}"/>
    <cellStyle name="Normal 2 30 2 4 2 7" xfId="12058" xr:uid="{00000000-0005-0000-0000-000072340000}"/>
    <cellStyle name="Normal 2 30 2 4 2 7 2" xfId="12059" xr:uid="{00000000-0005-0000-0000-000073340000}"/>
    <cellStyle name="Normal 2 30 2 4 2 7 2 2" xfId="30391" xr:uid="{00000000-0005-0000-0000-000074340000}"/>
    <cellStyle name="Normal 2 30 2 4 2 7 3" xfId="12060" xr:uid="{00000000-0005-0000-0000-000075340000}"/>
    <cellStyle name="Normal 2 30 2 4 2 7 3 2" xfId="30392" xr:uid="{00000000-0005-0000-0000-000076340000}"/>
    <cellStyle name="Normal 2 30 2 4 2 7 4" xfId="12061" xr:uid="{00000000-0005-0000-0000-000077340000}"/>
    <cellStyle name="Normal 2 30 2 4 2 7 4 2" xfId="30393" xr:uid="{00000000-0005-0000-0000-000078340000}"/>
    <cellStyle name="Normal 2 30 2 4 2 7 5" xfId="12062" xr:uid="{00000000-0005-0000-0000-000079340000}"/>
    <cellStyle name="Normal 2 30 2 4 2 7 5 2" xfId="30394" xr:uid="{00000000-0005-0000-0000-00007A340000}"/>
    <cellStyle name="Normal 2 30 2 4 2 7 6" xfId="30390" xr:uid="{00000000-0005-0000-0000-00007B340000}"/>
    <cellStyle name="Normal 2 30 2 4 2 8" xfId="12063" xr:uid="{00000000-0005-0000-0000-00007C340000}"/>
    <cellStyle name="Normal 2 30 2 4 2 8 2" xfId="30395" xr:uid="{00000000-0005-0000-0000-00007D340000}"/>
    <cellStyle name="Normal 2 30 2 4 2 9" xfId="12064" xr:uid="{00000000-0005-0000-0000-00007E340000}"/>
    <cellStyle name="Normal 2 30 2 4 2 9 2" xfId="30396" xr:uid="{00000000-0005-0000-0000-00007F340000}"/>
    <cellStyle name="Normal 2 30 2 4 20" xfId="12065" xr:uid="{00000000-0005-0000-0000-000080340000}"/>
    <cellStyle name="Normal 2 30 2 4 20 2" xfId="30397" xr:uid="{00000000-0005-0000-0000-000081340000}"/>
    <cellStyle name="Normal 2 30 2 4 21" xfId="30323" xr:uid="{00000000-0005-0000-0000-000082340000}"/>
    <cellStyle name="Normal 2 30 2 4 3" xfId="12066" xr:uid="{00000000-0005-0000-0000-000083340000}"/>
    <cellStyle name="Normal 2 30 2 4 3 2" xfId="12067" xr:uid="{00000000-0005-0000-0000-000084340000}"/>
    <cellStyle name="Normal 2 30 2 4 3 2 2" xfId="12068" xr:uid="{00000000-0005-0000-0000-000085340000}"/>
    <cellStyle name="Normal 2 30 2 4 3 2 2 2" xfId="30400" xr:uid="{00000000-0005-0000-0000-000086340000}"/>
    <cellStyle name="Normal 2 30 2 4 3 2 3" xfId="12069" xr:uid="{00000000-0005-0000-0000-000087340000}"/>
    <cellStyle name="Normal 2 30 2 4 3 2 3 2" xfId="30401" xr:uid="{00000000-0005-0000-0000-000088340000}"/>
    <cellStyle name="Normal 2 30 2 4 3 2 4" xfId="12070" xr:uid="{00000000-0005-0000-0000-000089340000}"/>
    <cellStyle name="Normal 2 30 2 4 3 2 4 2" xfId="30402" xr:uid="{00000000-0005-0000-0000-00008A340000}"/>
    <cellStyle name="Normal 2 30 2 4 3 2 5" xfId="12071" xr:uid="{00000000-0005-0000-0000-00008B340000}"/>
    <cellStyle name="Normal 2 30 2 4 3 2 5 2" xfId="30403" xr:uid="{00000000-0005-0000-0000-00008C340000}"/>
    <cellStyle name="Normal 2 30 2 4 3 2 6" xfId="30399" xr:uid="{00000000-0005-0000-0000-00008D340000}"/>
    <cellStyle name="Normal 2 30 2 4 3 3" xfId="12072" xr:uid="{00000000-0005-0000-0000-00008E340000}"/>
    <cellStyle name="Normal 2 30 2 4 3 3 2" xfId="30404" xr:uid="{00000000-0005-0000-0000-00008F340000}"/>
    <cellStyle name="Normal 2 30 2 4 3 4" xfId="12073" xr:uid="{00000000-0005-0000-0000-000090340000}"/>
    <cellStyle name="Normal 2 30 2 4 3 4 2" xfId="30405" xr:uid="{00000000-0005-0000-0000-000091340000}"/>
    <cellStyle name="Normal 2 30 2 4 3 5" xfId="12074" xr:uid="{00000000-0005-0000-0000-000092340000}"/>
    <cellStyle name="Normal 2 30 2 4 3 5 2" xfId="30406" xr:uid="{00000000-0005-0000-0000-000093340000}"/>
    <cellStyle name="Normal 2 30 2 4 3 6" xfId="12075" xr:uid="{00000000-0005-0000-0000-000094340000}"/>
    <cellStyle name="Normal 2 30 2 4 3 6 2" xfId="30407" xr:uid="{00000000-0005-0000-0000-000095340000}"/>
    <cellStyle name="Normal 2 30 2 4 3 7" xfId="30398" xr:uid="{00000000-0005-0000-0000-000096340000}"/>
    <cellStyle name="Normal 2 30 2 4 4" xfId="12076" xr:uid="{00000000-0005-0000-0000-000097340000}"/>
    <cellStyle name="Normal 2 30 2 4 4 2" xfId="12077" xr:uid="{00000000-0005-0000-0000-000098340000}"/>
    <cellStyle name="Normal 2 30 2 4 4 2 2" xfId="12078" xr:uid="{00000000-0005-0000-0000-000099340000}"/>
    <cellStyle name="Normal 2 30 2 4 4 2 2 2" xfId="30410" xr:uid="{00000000-0005-0000-0000-00009A340000}"/>
    <cellStyle name="Normal 2 30 2 4 4 2 3" xfId="12079" xr:uid="{00000000-0005-0000-0000-00009B340000}"/>
    <cellStyle name="Normal 2 30 2 4 4 2 3 2" xfId="30411" xr:uid="{00000000-0005-0000-0000-00009C340000}"/>
    <cellStyle name="Normal 2 30 2 4 4 2 4" xfId="12080" xr:uid="{00000000-0005-0000-0000-00009D340000}"/>
    <cellStyle name="Normal 2 30 2 4 4 2 4 2" xfId="30412" xr:uid="{00000000-0005-0000-0000-00009E340000}"/>
    <cellStyle name="Normal 2 30 2 4 4 2 5" xfId="12081" xr:uid="{00000000-0005-0000-0000-00009F340000}"/>
    <cellStyle name="Normal 2 30 2 4 4 2 5 2" xfId="30413" xr:uid="{00000000-0005-0000-0000-0000A0340000}"/>
    <cellStyle name="Normal 2 30 2 4 4 2 6" xfId="30409" xr:uid="{00000000-0005-0000-0000-0000A1340000}"/>
    <cellStyle name="Normal 2 30 2 4 4 3" xfId="12082" xr:uid="{00000000-0005-0000-0000-0000A2340000}"/>
    <cellStyle name="Normal 2 30 2 4 4 3 2" xfId="30414" xr:uid="{00000000-0005-0000-0000-0000A3340000}"/>
    <cellStyle name="Normal 2 30 2 4 4 4" xfId="12083" xr:uid="{00000000-0005-0000-0000-0000A4340000}"/>
    <cellStyle name="Normal 2 30 2 4 4 4 2" xfId="30415" xr:uid="{00000000-0005-0000-0000-0000A5340000}"/>
    <cellStyle name="Normal 2 30 2 4 4 5" xfId="12084" xr:uid="{00000000-0005-0000-0000-0000A6340000}"/>
    <cellStyle name="Normal 2 30 2 4 4 5 2" xfId="30416" xr:uid="{00000000-0005-0000-0000-0000A7340000}"/>
    <cellStyle name="Normal 2 30 2 4 4 6" xfId="12085" xr:uid="{00000000-0005-0000-0000-0000A8340000}"/>
    <cellStyle name="Normal 2 30 2 4 4 6 2" xfId="30417" xr:uid="{00000000-0005-0000-0000-0000A9340000}"/>
    <cellStyle name="Normal 2 30 2 4 4 7" xfId="30408" xr:uid="{00000000-0005-0000-0000-0000AA340000}"/>
    <cellStyle name="Normal 2 30 2 4 5" xfId="12086" xr:uid="{00000000-0005-0000-0000-0000AB340000}"/>
    <cellStyle name="Normal 2 30 2 4 5 2" xfId="12087" xr:uid="{00000000-0005-0000-0000-0000AC340000}"/>
    <cellStyle name="Normal 2 30 2 4 5 2 2" xfId="30419" xr:uid="{00000000-0005-0000-0000-0000AD340000}"/>
    <cellStyle name="Normal 2 30 2 4 5 3" xfId="12088" xr:uid="{00000000-0005-0000-0000-0000AE340000}"/>
    <cellStyle name="Normal 2 30 2 4 5 3 2" xfId="30420" xr:uid="{00000000-0005-0000-0000-0000AF340000}"/>
    <cellStyle name="Normal 2 30 2 4 5 4" xfId="12089" xr:uid="{00000000-0005-0000-0000-0000B0340000}"/>
    <cellStyle name="Normal 2 30 2 4 5 4 2" xfId="30421" xr:uid="{00000000-0005-0000-0000-0000B1340000}"/>
    <cellStyle name="Normal 2 30 2 4 5 5" xfId="12090" xr:uid="{00000000-0005-0000-0000-0000B2340000}"/>
    <cellStyle name="Normal 2 30 2 4 5 5 2" xfId="30422" xr:uid="{00000000-0005-0000-0000-0000B3340000}"/>
    <cellStyle name="Normal 2 30 2 4 5 6" xfId="30418" xr:uid="{00000000-0005-0000-0000-0000B4340000}"/>
    <cellStyle name="Normal 2 30 2 4 6" xfId="12091" xr:uid="{00000000-0005-0000-0000-0000B5340000}"/>
    <cellStyle name="Normal 2 30 2 4 6 2" xfId="12092" xr:uid="{00000000-0005-0000-0000-0000B6340000}"/>
    <cellStyle name="Normal 2 30 2 4 6 2 2" xfId="30424" xr:uid="{00000000-0005-0000-0000-0000B7340000}"/>
    <cellStyle name="Normal 2 30 2 4 6 3" xfId="12093" xr:uid="{00000000-0005-0000-0000-0000B8340000}"/>
    <cellStyle name="Normal 2 30 2 4 6 3 2" xfId="30425" xr:uid="{00000000-0005-0000-0000-0000B9340000}"/>
    <cellStyle name="Normal 2 30 2 4 6 4" xfId="12094" xr:uid="{00000000-0005-0000-0000-0000BA340000}"/>
    <cellStyle name="Normal 2 30 2 4 6 4 2" xfId="30426" xr:uid="{00000000-0005-0000-0000-0000BB340000}"/>
    <cellStyle name="Normal 2 30 2 4 6 5" xfId="12095" xr:uid="{00000000-0005-0000-0000-0000BC340000}"/>
    <cellStyle name="Normal 2 30 2 4 6 5 2" xfId="30427" xr:uid="{00000000-0005-0000-0000-0000BD340000}"/>
    <cellStyle name="Normal 2 30 2 4 6 6" xfId="30423" xr:uid="{00000000-0005-0000-0000-0000BE340000}"/>
    <cellStyle name="Normal 2 30 2 4 7" xfId="12096" xr:uid="{00000000-0005-0000-0000-0000BF340000}"/>
    <cellStyle name="Normal 2 30 2 4 7 2" xfId="12097" xr:uid="{00000000-0005-0000-0000-0000C0340000}"/>
    <cellStyle name="Normal 2 30 2 4 7 2 2" xfId="30429" xr:uid="{00000000-0005-0000-0000-0000C1340000}"/>
    <cellStyle name="Normal 2 30 2 4 7 3" xfId="12098" xr:uid="{00000000-0005-0000-0000-0000C2340000}"/>
    <cellStyle name="Normal 2 30 2 4 7 3 2" xfId="30430" xr:uid="{00000000-0005-0000-0000-0000C3340000}"/>
    <cellStyle name="Normal 2 30 2 4 7 4" xfId="12099" xr:uid="{00000000-0005-0000-0000-0000C4340000}"/>
    <cellStyle name="Normal 2 30 2 4 7 4 2" xfId="30431" xr:uid="{00000000-0005-0000-0000-0000C5340000}"/>
    <cellStyle name="Normal 2 30 2 4 7 5" xfId="12100" xr:uid="{00000000-0005-0000-0000-0000C6340000}"/>
    <cellStyle name="Normal 2 30 2 4 7 5 2" xfId="30432" xr:uid="{00000000-0005-0000-0000-0000C7340000}"/>
    <cellStyle name="Normal 2 30 2 4 7 6" xfId="30428" xr:uid="{00000000-0005-0000-0000-0000C8340000}"/>
    <cellStyle name="Normal 2 30 2 4 8" xfId="12101" xr:uid="{00000000-0005-0000-0000-0000C9340000}"/>
    <cellStyle name="Normal 2 30 2 4 8 2" xfId="12102" xr:uid="{00000000-0005-0000-0000-0000CA340000}"/>
    <cellStyle name="Normal 2 30 2 4 8 2 2" xfId="30434" xr:uid="{00000000-0005-0000-0000-0000CB340000}"/>
    <cellStyle name="Normal 2 30 2 4 8 3" xfId="12103" xr:uid="{00000000-0005-0000-0000-0000CC340000}"/>
    <cellStyle name="Normal 2 30 2 4 8 3 2" xfId="30435" xr:uid="{00000000-0005-0000-0000-0000CD340000}"/>
    <cellStyle name="Normal 2 30 2 4 8 4" xfId="12104" xr:uid="{00000000-0005-0000-0000-0000CE340000}"/>
    <cellStyle name="Normal 2 30 2 4 8 4 2" xfId="30436" xr:uid="{00000000-0005-0000-0000-0000CF340000}"/>
    <cellStyle name="Normal 2 30 2 4 8 5" xfId="12105" xr:uid="{00000000-0005-0000-0000-0000D0340000}"/>
    <cellStyle name="Normal 2 30 2 4 8 5 2" xfId="30437" xr:uid="{00000000-0005-0000-0000-0000D1340000}"/>
    <cellStyle name="Normal 2 30 2 4 8 6" xfId="30433" xr:uid="{00000000-0005-0000-0000-0000D2340000}"/>
    <cellStyle name="Normal 2 30 2 4 9" xfId="12106" xr:uid="{00000000-0005-0000-0000-0000D3340000}"/>
    <cellStyle name="Normal 2 30 2 4 9 2" xfId="12107" xr:uid="{00000000-0005-0000-0000-0000D4340000}"/>
    <cellStyle name="Normal 2 30 2 4 9 2 2" xfId="30439" xr:uid="{00000000-0005-0000-0000-0000D5340000}"/>
    <cellStyle name="Normal 2 30 2 4 9 3" xfId="12108" xr:uid="{00000000-0005-0000-0000-0000D6340000}"/>
    <cellStyle name="Normal 2 30 2 4 9 3 2" xfId="30440" xr:uid="{00000000-0005-0000-0000-0000D7340000}"/>
    <cellStyle name="Normal 2 30 2 4 9 4" xfId="12109" xr:uid="{00000000-0005-0000-0000-0000D8340000}"/>
    <cellStyle name="Normal 2 30 2 4 9 4 2" xfId="30441" xr:uid="{00000000-0005-0000-0000-0000D9340000}"/>
    <cellStyle name="Normal 2 30 2 4 9 5" xfId="12110" xr:uid="{00000000-0005-0000-0000-0000DA340000}"/>
    <cellStyle name="Normal 2 30 2 4 9 5 2" xfId="30442" xr:uid="{00000000-0005-0000-0000-0000DB340000}"/>
    <cellStyle name="Normal 2 30 2 4 9 6" xfId="30438" xr:uid="{00000000-0005-0000-0000-0000DC340000}"/>
    <cellStyle name="Normal 2 30 2 5" xfId="12111" xr:uid="{00000000-0005-0000-0000-0000DD340000}"/>
    <cellStyle name="Normal 2 30 2 5 10" xfId="12112" xr:uid="{00000000-0005-0000-0000-0000DE340000}"/>
    <cellStyle name="Normal 2 30 2 5 10 2" xfId="30444" xr:uid="{00000000-0005-0000-0000-0000DF340000}"/>
    <cellStyle name="Normal 2 30 2 5 11" xfId="12113" xr:uid="{00000000-0005-0000-0000-0000E0340000}"/>
    <cellStyle name="Normal 2 30 2 5 11 2" xfId="30445" xr:uid="{00000000-0005-0000-0000-0000E1340000}"/>
    <cellStyle name="Normal 2 30 2 5 12" xfId="30443" xr:uid="{00000000-0005-0000-0000-0000E2340000}"/>
    <cellStyle name="Normal 2 30 2 5 2" xfId="12114" xr:uid="{00000000-0005-0000-0000-0000E3340000}"/>
    <cellStyle name="Normal 2 30 2 5 2 2" xfId="12115" xr:uid="{00000000-0005-0000-0000-0000E4340000}"/>
    <cellStyle name="Normal 2 30 2 5 2 2 2" xfId="30447" xr:uid="{00000000-0005-0000-0000-0000E5340000}"/>
    <cellStyle name="Normal 2 30 2 5 2 3" xfId="12116" xr:uid="{00000000-0005-0000-0000-0000E6340000}"/>
    <cellStyle name="Normal 2 30 2 5 2 3 2" xfId="30448" xr:uid="{00000000-0005-0000-0000-0000E7340000}"/>
    <cellStyle name="Normal 2 30 2 5 2 4" xfId="12117" xr:uid="{00000000-0005-0000-0000-0000E8340000}"/>
    <cellStyle name="Normal 2 30 2 5 2 4 2" xfId="30449" xr:uid="{00000000-0005-0000-0000-0000E9340000}"/>
    <cellStyle name="Normal 2 30 2 5 2 5" xfId="12118" xr:uid="{00000000-0005-0000-0000-0000EA340000}"/>
    <cellStyle name="Normal 2 30 2 5 2 5 2" xfId="30450" xr:uid="{00000000-0005-0000-0000-0000EB340000}"/>
    <cellStyle name="Normal 2 30 2 5 2 6" xfId="30446" xr:uid="{00000000-0005-0000-0000-0000EC340000}"/>
    <cellStyle name="Normal 2 30 2 5 3" xfId="12119" xr:uid="{00000000-0005-0000-0000-0000ED340000}"/>
    <cellStyle name="Normal 2 30 2 5 3 2" xfId="12120" xr:uid="{00000000-0005-0000-0000-0000EE340000}"/>
    <cellStyle name="Normal 2 30 2 5 3 2 2" xfId="30452" xr:uid="{00000000-0005-0000-0000-0000EF340000}"/>
    <cellStyle name="Normal 2 30 2 5 3 3" xfId="12121" xr:uid="{00000000-0005-0000-0000-0000F0340000}"/>
    <cellStyle name="Normal 2 30 2 5 3 3 2" xfId="30453" xr:uid="{00000000-0005-0000-0000-0000F1340000}"/>
    <cellStyle name="Normal 2 30 2 5 3 4" xfId="12122" xr:uid="{00000000-0005-0000-0000-0000F2340000}"/>
    <cellStyle name="Normal 2 30 2 5 3 4 2" xfId="30454" xr:uid="{00000000-0005-0000-0000-0000F3340000}"/>
    <cellStyle name="Normal 2 30 2 5 3 5" xfId="12123" xr:uid="{00000000-0005-0000-0000-0000F4340000}"/>
    <cellStyle name="Normal 2 30 2 5 3 5 2" xfId="30455" xr:uid="{00000000-0005-0000-0000-0000F5340000}"/>
    <cellStyle name="Normal 2 30 2 5 3 6" xfId="30451" xr:uid="{00000000-0005-0000-0000-0000F6340000}"/>
    <cellStyle name="Normal 2 30 2 5 4" xfId="12124" xr:uid="{00000000-0005-0000-0000-0000F7340000}"/>
    <cellStyle name="Normal 2 30 2 5 4 2" xfId="12125" xr:uid="{00000000-0005-0000-0000-0000F8340000}"/>
    <cellStyle name="Normal 2 30 2 5 4 2 2" xfId="30457" xr:uid="{00000000-0005-0000-0000-0000F9340000}"/>
    <cellStyle name="Normal 2 30 2 5 4 3" xfId="12126" xr:uid="{00000000-0005-0000-0000-0000FA340000}"/>
    <cellStyle name="Normal 2 30 2 5 4 3 2" xfId="30458" xr:uid="{00000000-0005-0000-0000-0000FB340000}"/>
    <cellStyle name="Normal 2 30 2 5 4 4" xfId="12127" xr:uid="{00000000-0005-0000-0000-0000FC340000}"/>
    <cellStyle name="Normal 2 30 2 5 4 4 2" xfId="30459" xr:uid="{00000000-0005-0000-0000-0000FD340000}"/>
    <cellStyle name="Normal 2 30 2 5 4 5" xfId="12128" xr:uid="{00000000-0005-0000-0000-0000FE340000}"/>
    <cellStyle name="Normal 2 30 2 5 4 5 2" xfId="30460" xr:uid="{00000000-0005-0000-0000-0000FF340000}"/>
    <cellStyle name="Normal 2 30 2 5 4 6" xfId="30456" xr:uid="{00000000-0005-0000-0000-000000350000}"/>
    <cellStyle name="Normal 2 30 2 5 5" xfId="12129" xr:uid="{00000000-0005-0000-0000-000001350000}"/>
    <cellStyle name="Normal 2 30 2 5 5 2" xfId="12130" xr:uid="{00000000-0005-0000-0000-000002350000}"/>
    <cellStyle name="Normal 2 30 2 5 5 2 2" xfId="30462" xr:uid="{00000000-0005-0000-0000-000003350000}"/>
    <cellStyle name="Normal 2 30 2 5 5 3" xfId="12131" xr:uid="{00000000-0005-0000-0000-000004350000}"/>
    <cellStyle name="Normal 2 30 2 5 5 3 2" xfId="30463" xr:uid="{00000000-0005-0000-0000-000005350000}"/>
    <cellStyle name="Normal 2 30 2 5 5 4" xfId="12132" xr:uid="{00000000-0005-0000-0000-000006350000}"/>
    <cellStyle name="Normal 2 30 2 5 5 4 2" xfId="30464" xr:uid="{00000000-0005-0000-0000-000007350000}"/>
    <cellStyle name="Normal 2 30 2 5 5 5" xfId="12133" xr:uid="{00000000-0005-0000-0000-000008350000}"/>
    <cellStyle name="Normal 2 30 2 5 5 5 2" xfId="30465" xr:uid="{00000000-0005-0000-0000-000009350000}"/>
    <cellStyle name="Normal 2 30 2 5 5 6" xfId="30461" xr:uid="{00000000-0005-0000-0000-00000A350000}"/>
    <cellStyle name="Normal 2 30 2 5 6" xfId="12134" xr:uid="{00000000-0005-0000-0000-00000B350000}"/>
    <cellStyle name="Normal 2 30 2 5 6 2" xfId="12135" xr:uid="{00000000-0005-0000-0000-00000C350000}"/>
    <cellStyle name="Normal 2 30 2 5 6 2 2" xfId="30467" xr:uid="{00000000-0005-0000-0000-00000D350000}"/>
    <cellStyle name="Normal 2 30 2 5 6 3" xfId="12136" xr:uid="{00000000-0005-0000-0000-00000E350000}"/>
    <cellStyle name="Normal 2 30 2 5 6 3 2" xfId="30468" xr:uid="{00000000-0005-0000-0000-00000F350000}"/>
    <cellStyle name="Normal 2 30 2 5 6 4" xfId="12137" xr:uid="{00000000-0005-0000-0000-000010350000}"/>
    <cellStyle name="Normal 2 30 2 5 6 4 2" xfId="30469" xr:uid="{00000000-0005-0000-0000-000011350000}"/>
    <cellStyle name="Normal 2 30 2 5 6 5" xfId="12138" xr:uid="{00000000-0005-0000-0000-000012350000}"/>
    <cellStyle name="Normal 2 30 2 5 6 5 2" xfId="30470" xr:uid="{00000000-0005-0000-0000-000013350000}"/>
    <cellStyle name="Normal 2 30 2 5 6 6" xfId="30466" xr:uid="{00000000-0005-0000-0000-000014350000}"/>
    <cellStyle name="Normal 2 30 2 5 7" xfId="12139" xr:uid="{00000000-0005-0000-0000-000015350000}"/>
    <cellStyle name="Normal 2 30 2 5 7 2" xfId="12140" xr:uid="{00000000-0005-0000-0000-000016350000}"/>
    <cellStyle name="Normal 2 30 2 5 7 2 2" xfId="30472" xr:uid="{00000000-0005-0000-0000-000017350000}"/>
    <cellStyle name="Normal 2 30 2 5 7 3" xfId="12141" xr:uid="{00000000-0005-0000-0000-000018350000}"/>
    <cellStyle name="Normal 2 30 2 5 7 3 2" xfId="30473" xr:uid="{00000000-0005-0000-0000-000019350000}"/>
    <cellStyle name="Normal 2 30 2 5 7 4" xfId="12142" xr:uid="{00000000-0005-0000-0000-00001A350000}"/>
    <cellStyle name="Normal 2 30 2 5 7 4 2" xfId="30474" xr:uid="{00000000-0005-0000-0000-00001B350000}"/>
    <cellStyle name="Normal 2 30 2 5 7 5" xfId="12143" xr:uid="{00000000-0005-0000-0000-00001C350000}"/>
    <cellStyle name="Normal 2 30 2 5 7 5 2" xfId="30475" xr:uid="{00000000-0005-0000-0000-00001D350000}"/>
    <cellStyle name="Normal 2 30 2 5 7 6" xfId="30471" xr:uid="{00000000-0005-0000-0000-00001E350000}"/>
    <cellStyle name="Normal 2 30 2 5 8" xfId="12144" xr:uid="{00000000-0005-0000-0000-00001F350000}"/>
    <cellStyle name="Normal 2 30 2 5 8 2" xfId="30476" xr:uid="{00000000-0005-0000-0000-000020350000}"/>
    <cellStyle name="Normal 2 30 2 5 9" xfId="12145" xr:uid="{00000000-0005-0000-0000-000021350000}"/>
    <cellStyle name="Normal 2 30 2 5 9 2" xfId="30477" xr:uid="{00000000-0005-0000-0000-000022350000}"/>
    <cellStyle name="Normal 2 30 2 6" xfId="12146" xr:uid="{00000000-0005-0000-0000-000023350000}"/>
    <cellStyle name="Normal 2 30 2 6 2" xfId="12147" xr:uid="{00000000-0005-0000-0000-000024350000}"/>
    <cellStyle name="Normal 2 30 2 6 2 2" xfId="12148" xr:uid="{00000000-0005-0000-0000-000025350000}"/>
    <cellStyle name="Normal 2 30 2 6 2 2 2" xfId="30480" xr:uid="{00000000-0005-0000-0000-000026350000}"/>
    <cellStyle name="Normal 2 30 2 6 2 3" xfId="12149" xr:uid="{00000000-0005-0000-0000-000027350000}"/>
    <cellStyle name="Normal 2 30 2 6 2 3 2" xfId="30481" xr:uid="{00000000-0005-0000-0000-000028350000}"/>
    <cellStyle name="Normal 2 30 2 6 2 4" xfId="12150" xr:uid="{00000000-0005-0000-0000-000029350000}"/>
    <cellStyle name="Normal 2 30 2 6 2 4 2" xfId="30482" xr:uid="{00000000-0005-0000-0000-00002A350000}"/>
    <cellStyle name="Normal 2 30 2 6 2 5" xfId="12151" xr:uid="{00000000-0005-0000-0000-00002B350000}"/>
    <cellStyle name="Normal 2 30 2 6 2 5 2" xfId="30483" xr:uid="{00000000-0005-0000-0000-00002C350000}"/>
    <cellStyle name="Normal 2 30 2 6 2 6" xfId="30479" xr:uid="{00000000-0005-0000-0000-00002D350000}"/>
    <cellStyle name="Normal 2 30 2 6 3" xfId="12152" xr:uid="{00000000-0005-0000-0000-00002E350000}"/>
    <cellStyle name="Normal 2 30 2 6 3 2" xfId="30484" xr:uid="{00000000-0005-0000-0000-00002F350000}"/>
    <cellStyle name="Normal 2 30 2 6 4" xfId="12153" xr:uid="{00000000-0005-0000-0000-000030350000}"/>
    <cellStyle name="Normal 2 30 2 6 4 2" xfId="30485" xr:uid="{00000000-0005-0000-0000-000031350000}"/>
    <cellStyle name="Normal 2 30 2 6 5" xfId="12154" xr:uid="{00000000-0005-0000-0000-000032350000}"/>
    <cellStyle name="Normal 2 30 2 6 5 2" xfId="30486" xr:uid="{00000000-0005-0000-0000-000033350000}"/>
    <cellStyle name="Normal 2 30 2 6 6" xfId="12155" xr:uid="{00000000-0005-0000-0000-000034350000}"/>
    <cellStyle name="Normal 2 30 2 6 6 2" xfId="30487" xr:uid="{00000000-0005-0000-0000-000035350000}"/>
    <cellStyle name="Normal 2 30 2 6 7" xfId="30478" xr:uid="{00000000-0005-0000-0000-000036350000}"/>
    <cellStyle name="Normal 2 30 2 7" xfId="12156" xr:uid="{00000000-0005-0000-0000-000037350000}"/>
    <cellStyle name="Normal 2 30 2 7 2" xfId="12157" xr:uid="{00000000-0005-0000-0000-000038350000}"/>
    <cellStyle name="Normal 2 30 2 7 2 2" xfId="12158" xr:uid="{00000000-0005-0000-0000-000039350000}"/>
    <cellStyle name="Normal 2 30 2 7 2 2 2" xfId="30490" xr:uid="{00000000-0005-0000-0000-00003A350000}"/>
    <cellStyle name="Normal 2 30 2 7 2 3" xfId="12159" xr:uid="{00000000-0005-0000-0000-00003B350000}"/>
    <cellStyle name="Normal 2 30 2 7 2 3 2" xfId="30491" xr:uid="{00000000-0005-0000-0000-00003C350000}"/>
    <cellStyle name="Normal 2 30 2 7 2 4" xfId="12160" xr:uid="{00000000-0005-0000-0000-00003D350000}"/>
    <cellStyle name="Normal 2 30 2 7 2 4 2" xfId="30492" xr:uid="{00000000-0005-0000-0000-00003E350000}"/>
    <cellStyle name="Normal 2 30 2 7 2 5" xfId="12161" xr:uid="{00000000-0005-0000-0000-00003F350000}"/>
    <cellStyle name="Normal 2 30 2 7 2 5 2" xfId="30493" xr:uid="{00000000-0005-0000-0000-000040350000}"/>
    <cellStyle name="Normal 2 30 2 7 2 6" xfId="30489" xr:uid="{00000000-0005-0000-0000-000041350000}"/>
    <cellStyle name="Normal 2 30 2 7 3" xfId="12162" xr:uid="{00000000-0005-0000-0000-000042350000}"/>
    <cellStyle name="Normal 2 30 2 7 3 2" xfId="30494" xr:uid="{00000000-0005-0000-0000-000043350000}"/>
    <cellStyle name="Normal 2 30 2 7 4" xfId="12163" xr:uid="{00000000-0005-0000-0000-000044350000}"/>
    <cellStyle name="Normal 2 30 2 7 4 2" xfId="30495" xr:uid="{00000000-0005-0000-0000-000045350000}"/>
    <cellStyle name="Normal 2 30 2 7 5" xfId="12164" xr:uid="{00000000-0005-0000-0000-000046350000}"/>
    <cellStyle name="Normal 2 30 2 7 5 2" xfId="30496" xr:uid="{00000000-0005-0000-0000-000047350000}"/>
    <cellStyle name="Normal 2 30 2 7 6" xfId="12165" xr:uid="{00000000-0005-0000-0000-000048350000}"/>
    <cellStyle name="Normal 2 30 2 7 6 2" xfId="30497" xr:uid="{00000000-0005-0000-0000-000049350000}"/>
    <cellStyle name="Normal 2 30 2 7 7" xfId="30488" xr:uid="{00000000-0005-0000-0000-00004A350000}"/>
    <cellStyle name="Normal 2 30 2 8" xfId="12166" xr:uid="{00000000-0005-0000-0000-00004B350000}"/>
    <cellStyle name="Normal 2 30 2 8 2" xfId="12167" xr:uid="{00000000-0005-0000-0000-00004C350000}"/>
    <cellStyle name="Normal 2 30 2 8 2 2" xfId="30499" xr:uid="{00000000-0005-0000-0000-00004D350000}"/>
    <cellStyle name="Normal 2 30 2 8 3" xfId="12168" xr:uid="{00000000-0005-0000-0000-00004E350000}"/>
    <cellStyle name="Normal 2 30 2 8 3 2" xfId="30500" xr:uid="{00000000-0005-0000-0000-00004F350000}"/>
    <cellStyle name="Normal 2 30 2 8 4" xfId="12169" xr:uid="{00000000-0005-0000-0000-000050350000}"/>
    <cellStyle name="Normal 2 30 2 8 4 2" xfId="30501" xr:uid="{00000000-0005-0000-0000-000051350000}"/>
    <cellStyle name="Normal 2 30 2 8 5" xfId="12170" xr:uid="{00000000-0005-0000-0000-000052350000}"/>
    <cellStyle name="Normal 2 30 2 8 5 2" xfId="30502" xr:uid="{00000000-0005-0000-0000-000053350000}"/>
    <cellStyle name="Normal 2 30 2 8 6" xfId="30498" xr:uid="{00000000-0005-0000-0000-000054350000}"/>
    <cellStyle name="Normal 2 30 2 9" xfId="12171" xr:uid="{00000000-0005-0000-0000-000055350000}"/>
    <cellStyle name="Normal 2 30 2 9 2" xfId="12172" xr:uid="{00000000-0005-0000-0000-000056350000}"/>
    <cellStyle name="Normal 2 30 2 9 2 2" xfId="30504" xr:uid="{00000000-0005-0000-0000-000057350000}"/>
    <cellStyle name="Normal 2 30 2 9 3" xfId="12173" xr:uid="{00000000-0005-0000-0000-000058350000}"/>
    <cellStyle name="Normal 2 30 2 9 3 2" xfId="30505" xr:uid="{00000000-0005-0000-0000-000059350000}"/>
    <cellStyle name="Normal 2 30 2 9 4" xfId="12174" xr:uid="{00000000-0005-0000-0000-00005A350000}"/>
    <cellStyle name="Normal 2 30 2 9 4 2" xfId="30506" xr:uid="{00000000-0005-0000-0000-00005B350000}"/>
    <cellStyle name="Normal 2 30 2 9 5" xfId="12175" xr:uid="{00000000-0005-0000-0000-00005C350000}"/>
    <cellStyle name="Normal 2 30 2 9 5 2" xfId="30507" xr:uid="{00000000-0005-0000-0000-00005D350000}"/>
    <cellStyle name="Normal 2 30 2 9 6" xfId="30503" xr:uid="{00000000-0005-0000-0000-00005E350000}"/>
    <cellStyle name="Normal 2 30 20" xfId="12176" xr:uid="{00000000-0005-0000-0000-00005F350000}"/>
    <cellStyle name="Normal 2 30 20 2" xfId="12177" xr:uid="{00000000-0005-0000-0000-000060350000}"/>
    <cellStyle name="Normal 2 30 20 2 2" xfId="30509" xr:uid="{00000000-0005-0000-0000-000061350000}"/>
    <cellStyle name="Normal 2 30 20 3" xfId="12178" xr:uid="{00000000-0005-0000-0000-000062350000}"/>
    <cellStyle name="Normal 2 30 20 3 2" xfId="30510" xr:uid="{00000000-0005-0000-0000-000063350000}"/>
    <cellStyle name="Normal 2 30 20 4" xfId="12179" xr:uid="{00000000-0005-0000-0000-000064350000}"/>
    <cellStyle name="Normal 2 30 20 4 2" xfId="30511" xr:uid="{00000000-0005-0000-0000-000065350000}"/>
    <cellStyle name="Normal 2 30 20 5" xfId="12180" xr:uid="{00000000-0005-0000-0000-000066350000}"/>
    <cellStyle name="Normal 2 30 20 5 2" xfId="30512" xr:uid="{00000000-0005-0000-0000-000067350000}"/>
    <cellStyle name="Normal 2 30 20 6" xfId="30508" xr:uid="{00000000-0005-0000-0000-000068350000}"/>
    <cellStyle name="Normal 2 30 21" xfId="12181" xr:uid="{00000000-0005-0000-0000-000069350000}"/>
    <cellStyle name="Normal 2 30 21 2" xfId="12182" xr:uid="{00000000-0005-0000-0000-00006A350000}"/>
    <cellStyle name="Normal 2 30 21 2 2" xfId="30514" xr:uid="{00000000-0005-0000-0000-00006B350000}"/>
    <cellStyle name="Normal 2 30 21 3" xfId="12183" xr:uid="{00000000-0005-0000-0000-00006C350000}"/>
    <cellStyle name="Normal 2 30 21 3 2" xfId="30515" xr:uid="{00000000-0005-0000-0000-00006D350000}"/>
    <cellStyle name="Normal 2 30 21 4" xfId="12184" xr:uid="{00000000-0005-0000-0000-00006E350000}"/>
    <cellStyle name="Normal 2 30 21 4 2" xfId="30516" xr:uid="{00000000-0005-0000-0000-00006F350000}"/>
    <cellStyle name="Normal 2 30 21 5" xfId="12185" xr:uid="{00000000-0005-0000-0000-000070350000}"/>
    <cellStyle name="Normal 2 30 21 5 2" xfId="30517" xr:uid="{00000000-0005-0000-0000-000071350000}"/>
    <cellStyle name="Normal 2 30 21 6" xfId="30513" xr:uid="{00000000-0005-0000-0000-000072350000}"/>
    <cellStyle name="Normal 2 30 22" xfId="12186" xr:uid="{00000000-0005-0000-0000-000073350000}"/>
    <cellStyle name="Normal 2 30 22 2" xfId="12187" xr:uid="{00000000-0005-0000-0000-000074350000}"/>
    <cellStyle name="Normal 2 30 22 2 2" xfId="30519" xr:uid="{00000000-0005-0000-0000-000075350000}"/>
    <cellStyle name="Normal 2 30 22 3" xfId="12188" xr:uid="{00000000-0005-0000-0000-000076350000}"/>
    <cellStyle name="Normal 2 30 22 3 2" xfId="30520" xr:uid="{00000000-0005-0000-0000-000077350000}"/>
    <cellStyle name="Normal 2 30 22 4" xfId="12189" xr:uid="{00000000-0005-0000-0000-000078350000}"/>
    <cellStyle name="Normal 2 30 22 4 2" xfId="30521" xr:uid="{00000000-0005-0000-0000-000079350000}"/>
    <cellStyle name="Normal 2 30 22 5" xfId="12190" xr:uid="{00000000-0005-0000-0000-00007A350000}"/>
    <cellStyle name="Normal 2 30 22 5 2" xfId="30522" xr:uid="{00000000-0005-0000-0000-00007B350000}"/>
    <cellStyle name="Normal 2 30 22 6" xfId="30518" xr:uid="{00000000-0005-0000-0000-00007C350000}"/>
    <cellStyle name="Normal 2 30 23" xfId="12191" xr:uid="{00000000-0005-0000-0000-00007D350000}"/>
    <cellStyle name="Normal 2 30 23 2" xfId="12192" xr:uid="{00000000-0005-0000-0000-00007E350000}"/>
    <cellStyle name="Normal 2 30 23 2 2" xfId="30524" xr:uid="{00000000-0005-0000-0000-00007F350000}"/>
    <cellStyle name="Normal 2 30 23 3" xfId="12193" xr:uid="{00000000-0005-0000-0000-000080350000}"/>
    <cellStyle name="Normal 2 30 23 3 2" xfId="30525" xr:uid="{00000000-0005-0000-0000-000081350000}"/>
    <cellStyle name="Normal 2 30 23 4" xfId="12194" xr:uid="{00000000-0005-0000-0000-000082350000}"/>
    <cellStyle name="Normal 2 30 23 4 2" xfId="30526" xr:uid="{00000000-0005-0000-0000-000083350000}"/>
    <cellStyle name="Normal 2 30 23 5" xfId="12195" xr:uid="{00000000-0005-0000-0000-000084350000}"/>
    <cellStyle name="Normal 2 30 23 5 2" xfId="30527" xr:uid="{00000000-0005-0000-0000-000085350000}"/>
    <cellStyle name="Normal 2 30 23 6" xfId="30523" xr:uid="{00000000-0005-0000-0000-000086350000}"/>
    <cellStyle name="Normal 2 30 24" xfId="12196" xr:uid="{00000000-0005-0000-0000-000087350000}"/>
    <cellStyle name="Normal 2 30 24 2" xfId="30528" xr:uid="{00000000-0005-0000-0000-000088350000}"/>
    <cellStyle name="Normal 2 30 25" xfId="12197" xr:uid="{00000000-0005-0000-0000-000089350000}"/>
    <cellStyle name="Normal 2 30 25 2" xfId="30529" xr:uid="{00000000-0005-0000-0000-00008A350000}"/>
    <cellStyle name="Normal 2 30 26" xfId="12198" xr:uid="{00000000-0005-0000-0000-00008B350000}"/>
    <cellStyle name="Normal 2 30 26 2" xfId="30530" xr:uid="{00000000-0005-0000-0000-00008C350000}"/>
    <cellStyle name="Normal 2 30 27" xfId="12199" xr:uid="{00000000-0005-0000-0000-00008D350000}"/>
    <cellStyle name="Normal 2 30 27 2" xfId="30531" xr:uid="{00000000-0005-0000-0000-00008E350000}"/>
    <cellStyle name="Normal 2 30 28" xfId="12200" xr:uid="{00000000-0005-0000-0000-00008F350000}"/>
    <cellStyle name="Normal 2 30 28 2" xfId="30532" xr:uid="{00000000-0005-0000-0000-000090350000}"/>
    <cellStyle name="Normal 2 30 3" xfId="12201" xr:uid="{00000000-0005-0000-0000-000091350000}"/>
    <cellStyle name="Normal 2 30 3 10" xfId="12202" xr:uid="{00000000-0005-0000-0000-000092350000}"/>
    <cellStyle name="Normal 2 30 3 10 2" xfId="12203" xr:uid="{00000000-0005-0000-0000-000093350000}"/>
    <cellStyle name="Normal 2 30 3 10 2 2" xfId="30535" xr:uid="{00000000-0005-0000-0000-000094350000}"/>
    <cellStyle name="Normal 2 30 3 10 3" xfId="12204" xr:uid="{00000000-0005-0000-0000-000095350000}"/>
    <cellStyle name="Normal 2 30 3 10 3 2" xfId="30536" xr:uid="{00000000-0005-0000-0000-000096350000}"/>
    <cellStyle name="Normal 2 30 3 10 4" xfId="12205" xr:uid="{00000000-0005-0000-0000-000097350000}"/>
    <cellStyle name="Normal 2 30 3 10 4 2" xfId="30537" xr:uid="{00000000-0005-0000-0000-000098350000}"/>
    <cellStyle name="Normal 2 30 3 10 5" xfId="12206" xr:uid="{00000000-0005-0000-0000-000099350000}"/>
    <cellStyle name="Normal 2 30 3 10 5 2" xfId="30538" xr:uid="{00000000-0005-0000-0000-00009A350000}"/>
    <cellStyle name="Normal 2 30 3 10 6" xfId="30534" xr:uid="{00000000-0005-0000-0000-00009B350000}"/>
    <cellStyle name="Normal 2 30 3 11" xfId="12207" xr:uid="{00000000-0005-0000-0000-00009C350000}"/>
    <cellStyle name="Normal 2 30 3 11 2" xfId="12208" xr:uid="{00000000-0005-0000-0000-00009D350000}"/>
    <cellStyle name="Normal 2 30 3 11 2 2" xfId="30540" xr:uid="{00000000-0005-0000-0000-00009E350000}"/>
    <cellStyle name="Normal 2 30 3 11 3" xfId="12209" xr:uid="{00000000-0005-0000-0000-00009F350000}"/>
    <cellStyle name="Normal 2 30 3 11 3 2" xfId="30541" xr:uid="{00000000-0005-0000-0000-0000A0350000}"/>
    <cellStyle name="Normal 2 30 3 11 4" xfId="12210" xr:uid="{00000000-0005-0000-0000-0000A1350000}"/>
    <cellStyle name="Normal 2 30 3 11 4 2" xfId="30542" xr:uid="{00000000-0005-0000-0000-0000A2350000}"/>
    <cellStyle name="Normal 2 30 3 11 5" xfId="12211" xr:uid="{00000000-0005-0000-0000-0000A3350000}"/>
    <cellStyle name="Normal 2 30 3 11 5 2" xfId="30543" xr:uid="{00000000-0005-0000-0000-0000A4350000}"/>
    <cellStyle name="Normal 2 30 3 11 6" xfId="30539" xr:uid="{00000000-0005-0000-0000-0000A5350000}"/>
    <cellStyle name="Normal 2 30 3 12" xfId="12212" xr:uid="{00000000-0005-0000-0000-0000A6350000}"/>
    <cellStyle name="Normal 2 30 3 12 2" xfId="12213" xr:uid="{00000000-0005-0000-0000-0000A7350000}"/>
    <cellStyle name="Normal 2 30 3 12 2 2" xfId="30545" xr:uid="{00000000-0005-0000-0000-0000A8350000}"/>
    <cellStyle name="Normal 2 30 3 12 3" xfId="12214" xr:uid="{00000000-0005-0000-0000-0000A9350000}"/>
    <cellStyle name="Normal 2 30 3 12 3 2" xfId="30546" xr:uid="{00000000-0005-0000-0000-0000AA350000}"/>
    <cellStyle name="Normal 2 30 3 12 4" xfId="12215" xr:uid="{00000000-0005-0000-0000-0000AB350000}"/>
    <cellStyle name="Normal 2 30 3 12 4 2" xfId="30547" xr:uid="{00000000-0005-0000-0000-0000AC350000}"/>
    <cellStyle name="Normal 2 30 3 12 5" xfId="12216" xr:uid="{00000000-0005-0000-0000-0000AD350000}"/>
    <cellStyle name="Normal 2 30 3 12 5 2" xfId="30548" xr:uid="{00000000-0005-0000-0000-0000AE350000}"/>
    <cellStyle name="Normal 2 30 3 12 6" xfId="30544" xr:uid="{00000000-0005-0000-0000-0000AF350000}"/>
    <cellStyle name="Normal 2 30 3 13" xfId="12217" xr:uid="{00000000-0005-0000-0000-0000B0350000}"/>
    <cellStyle name="Normal 2 30 3 13 2" xfId="12218" xr:uid="{00000000-0005-0000-0000-0000B1350000}"/>
    <cellStyle name="Normal 2 30 3 13 2 2" xfId="30550" xr:uid="{00000000-0005-0000-0000-0000B2350000}"/>
    <cellStyle name="Normal 2 30 3 13 3" xfId="12219" xr:uid="{00000000-0005-0000-0000-0000B3350000}"/>
    <cellStyle name="Normal 2 30 3 13 3 2" xfId="30551" xr:uid="{00000000-0005-0000-0000-0000B4350000}"/>
    <cellStyle name="Normal 2 30 3 13 4" xfId="12220" xr:uid="{00000000-0005-0000-0000-0000B5350000}"/>
    <cellStyle name="Normal 2 30 3 13 4 2" xfId="30552" xr:uid="{00000000-0005-0000-0000-0000B6350000}"/>
    <cellStyle name="Normal 2 30 3 13 5" xfId="12221" xr:uid="{00000000-0005-0000-0000-0000B7350000}"/>
    <cellStyle name="Normal 2 30 3 13 5 2" xfId="30553" xr:uid="{00000000-0005-0000-0000-0000B8350000}"/>
    <cellStyle name="Normal 2 30 3 13 6" xfId="30549" xr:uid="{00000000-0005-0000-0000-0000B9350000}"/>
    <cellStyle name="Normal 2 30 3 14" xfId="12222" xr:uid="{00000000-0005-0000-0000-0000BA350000}"/>
    <cellStyle name="Normal 2 30 3 14 2" xfId="12223" xr:uid="{00000000-0005-0000-0000-0000BB350000}"/>
    <cellStyle name="Normal 2 30 3 14 2 2" xfId="30555" xr:uid="{00000000-0005-0000-0000-0000BC350000}"/>
    <cellStyle name="Normal 2 30 3 14 3" xfId="12224" xr:uid="{00000000-0005-0000-0000-0000BD350000}"/>
    <cellStyle name="Normal 2 30 3 14 3 2" xfId="30556" xr:uid="{00000000-0005-0000-0000-0000BE350000}"/>
    <cellStyle name="Normal 2 30 3 14 4" xfId="12225" xr:uid="{00000000-0005-0000-0000-0000BF350000}"/>
    <cellStyle name="Normal 2 30 3 14 4 2" xfId="30557" xr:uid="{00000000-0005-0000-0000-0000C0350000}"/>
    <cellStyle name="Normal 2 30 3 14 5" xfId="12226" xr:uid="{00000000-0005-0000-0000-0000C1350000}"/>
    <cellStyle name="Normal 2 30 3 14 5 2" xfId="30558" xr:uid="{00000000-0005-0000-0000-0000C2350000}"/>
    <cellStyle name="Normal 2 30 3 14 6" xfId="30554" xr:uid="{00000000-0005-0000-0000-0000C3350000}"/>
    <cellStyle name="Normal 2 30 3 15" xfId="12227" xr:uid="{00000000-0005-0000-0000-0000C4350000}"/>
    <cellStyle name="Normal 2 30 3 15 2" xfId="12228" xr:uid="{00000000-0005-0000-0000-0000C5350000}"/>
    <cellStyle name="Normal 2 30 3 15 2 2" xfId="30560" xr:uid="{00000000-0005-0000-0000-0000C6350000}"/>
    <cellStyle name="Normal 2 30 3 15 3" xfId="12229" xr:uid="{00000000-0005-0000-0000-0000C7350000}"/>
    <cellStyle name="Normal 2 30 3 15 3 2" xfId="30561" xr:uid="{00000000-0005-0000-0000-0000C8350000}"/>
    <cellStyle name="Normal 2 30 3 15 4" xfId="12230" xr:uid="{00000000-0005-0000-0000-0000C9350000}"/>
    <cellStyle name="Normal 2 30 3 15 4 2" xfId="30562" xr:uid="{00000000-0005-0000-0000-0000CA350000}"/>
    <cellStyle name="Normal 2 30 3 15 5" xfId="12231" xr:uid="{00000000-0005-0000-0000-0000CB350000}"/>
    <cellStyle name="Normal 2 30 3 15 5 2" xfId="30563" xr:uid="{00000000-0005-0000-0000-0000CC350000}"/>
    <cellStyle name="Normal 2 30 3 15 6" xfId="30559" xr:uid="{00000000-0005-0000-0000-0000CD350000}"/>
    <cellStyle name="Normal 2 30 3 16" xfId="12232" xr:uid="{00000000-0005-0000-0000-0000CE350000}"/>
    <cellStyle name="Normal 2 30 3 16 2" xfId="12233" xr:uid="{00000000-0005-0000-0000-0000CF350000}"/>
    <cellStyle name="Normal 2 30 3 16 2 2" xfId="30565" xr:uid="{00000000-0005-0000-0000-0000D0350000}"/>
    <cellStyle name="Normal 2 30 3 16 3" xfId="12234" xr:uid="{00000000-0005-0000-0000-0000D1350000}"/>
    <cellStyle name="Normal 2 30 3 16 3 2" xfId="30566" xr:uid="{00000000-0005-0000-0000-0000D2350000}"/>
    <cellStyle name="Normal 2 30 3 16 4" xfId="12235" xr:uid="{00000000-0005-0000-0000-0000D3350000}"/>
    <cellStyle name="Normal 2 30 3 16 4 2" xfId="30567" xr:uid="{00000000-0005-0000-0000-0000D4350000}"/>
    <cellStyle name="Normal 2 30 3 16 5" xfId="12236" xr:uid="{00000000-0005-0000-0000-0000D5350000}"/>
    <cellStyle name="Normal 2 30 3 16 5 2" xfId="30568" xr:uid="{00000000-0005-0000-0000-0000D6350000}"/>
    <cellStyle name="Normal 2 30 3 16 6" xfId="30564" xr:uid="{00000000-0005-0000-0000-0000D7350000}"/>
    <cellStyle name="Normal 2 30 3 17" xfId="12237" xr:uid="{00000000-0005-0000-0000-0000D8350000}"/>
    <cellStyle name="Normal 2 30 3 17 2" xfId="30569" xr:uid="{00000000-0005-0000-0000-0000D9350000}"/>
    <cellStyle name="Normal 2 30 3 18" xfId="12238" xr:uid="{00000000-0005-0000-0000-0000DA350000}"/>
    <cellStyle name="Normal 2 30 3 18 2" xfId="30570" xr:uid="{00000000-0005-0000-0000-0000DB350000}"/>
    <cellStyle name="Normal 2 30 3 19" xfId="12239" xr:uid="{00000000-0005-0000-0000-0000DC350000}"/>
    <cellStyle name="Normal 2 30 3 19 2" xfId="30571" xr:uid="{00000000-0005-0000-0000-0000DD350000}"/>
    <cellStyle name="Normal 2 30 3 2" xfId="12240" xr:uid="{00000000-0005-0000-0000-0000DE350000}"/>
    <cellStyle name="Normal 2 30 3 2 10" xfId="12241" xr:uid="{00000000-0005-0000-0000-0000DF350000}"/>
    <cellStyle name="Normal 2 30 3 2 10 2" xfId="30573" xr:uid="{00000000-0005-0000-0000-0000E0350000}"/>
    <cellStyle name="Normal 2 30 3 2 11" xfId="12242" xr:uid="{00000000-0005-0000-0000-0000E1350000}"/>
    <cellStyle name="Normal 2 30 3 2 11 2" xfId="30574" xr:uid="{00000000-0005-0000-0000-0000E2350000}"/>
    <cellStyle name="Normal 2 30 3 2 12" xfId="30572" xr:uid="{00000000-0005-0000-0000-0000E3350000}"/>
    <cellStyle name="Normal 2 30 3 2 2" xfId="12243" xr:uid="{00000000-0005-0000-0000-0000E4350000}"/>
    <cellStyle name="Normal 2 30 3 2 2 2" xfId="12244" xr:uid="{00000000-0005-0000-0000-0000E5350000}"/>
    <cellStyle name="Normal 2 30 3 2 2 2 2" xfId="30576" xr:uid="{00000000-0005-0000-0000-0000E6350000}"/>
    <cellStyle name="Normal 2 30 3 2 2 3" xfId="12245" xr:uid="{00000000-0005-0000-0000-0000E7350000}"/>
    <cellStyle name="Normal 2 30 3 2 2 3 2" xfId="30577" xr:uid="{00000000-0005-0000-0000-0000E8350000}"/>
    <cellStyle name="Normal 2 30 3 2 2 4" xfId="12246" xr:uid="{00000000-0005-0000-0000-0000E9350000}"/>
    <cellStyle name="Normal 2 30 3 2 2 4 2" xfId="30578" xr:uid="{00000000-0005-0000-0000-0000EA350000}"/>
    <cellStyle name="Normal 2 30 3 2 2 5" xfId="12247" xr:uid="{00000000-0005-0000-0000-0000EB350000}"/>
    <cellStyle name="Normal 2 30 3 2 2 5 2" xfId="30579" xr:uid="{00000000-0005-0000-0000-0000EC350000}"/>
    <cellStyle name="Normal 2 30 3 2 2 6" xfId="30575" xr:uid="{00000000-0005-0000-0000-0000ED350000}"/>
    <cellStyle name="Normal 2 30 3 2 3" xfId="12248" xr:uid="{00000000-0005-0000-0000-0000EE350000}"/>
    <cellStyle name="Normal 2 30 3 2 3 2" xfId="12249" xr:uid="{00000000-0005-0000-0000-0000EF350000}"/>
    <cellStyle name="Normal 2 30 3 2 3 2 2" xfId="30581" xr:uid="{00000000-0005-0000-0000-0000F0350000}"/>
    <cellStyle name="Normal 2 30 3 2 3 3" xfId="12250" xr:uid="{00000000-0005-0000-0000-0000F1350000}"/>
    <cellStyle name="Normal 2 30 3 2 3 3 2" xfId="30582" xr:uid="{00000000-0005-0000-0000-0000F2350000}"/>
    <cellStyle name="Normal 2 30 3 2 3 4" xfId="12251" xr:uid="{00000000-0005-0000-0000-0000F3350000}"/>
    <cellStyle name="Normal 2 30 3 2 3 4 2" xfId="30583" xr:uid="{00000000-0005-0000-0000-0000F4350000}"/>
    <cellStyle name="Normal 2 30 3 2 3 5" xfId="12252" xr:uid="{00000000-0005-0000-0000-0000F5350000}"/>
    <cellStyle name="Normal 2 30 3 2 3 5 2" xfId="30584" xr:uid="{00000000-0005-0000-0000-0000F6350000}"/>
    <cellStyle name="Normal 2 30 3 2 3 6" xfId="30580" xr:uid="{00000000-0005-0000-0000-0000F7350000}"/>
    <cellStyle name="Normal 2 30 3 2 4" xfId="12253" xr:uid="{00000000-0005-0000-0000-0000F8350000}"/>
    <cellStyle name="Normal 2 30 3 2 4 2" xfId="12254" xr:uid="{00000000-0005-0000-0000-0000F9350000}"/>
    <cellStyle name="Normal 2 30 3 2 4 2 2" xfId="30586" xr:uid="{00000000-0005-0000-0000-0000FA350000}"/>
    <cellStyle name="Normal 2 30 3 2 4 3" xfId="12255" xr:uid="{00000000-0005-0000-0000-0000FB350000}"/>
    <cellStyle name="Normal 2 30 3 2 4 3 2" xfId="30587" xr:uid="{00000000-0005-0000-0000-0000FC350000}"/>
    <cellStyle name="Normal 2 30 3 2 4 4" xfId="12256" xr:uid="{00000000-0005-0000-0000-0000FD350000}"/>
    <cellStyle name="Normal 2 30 3 2 4 4 2" xfId="30588" xr:uid="{00000000-0005-0000-0000-0000FE350000}"/>
    <cellStyle name="Normal 2 30 3 2 4 5" xfId="12257" xr:uid="{00000000-0005-0000-0000-0000FF350000}"/>
    <cellStyle name="Normal 2 30 3 2 4 5 2" xfId="30589" xr:uid="{00000000-0005-0000-0000-000000360000}"/>
    <cellStyle name="Normal 2 30 3 2 4 6" xfId="30585" xr:uid="{00000000-0005-0000-0000-000001360000}"/>
    <cellStyle name="Normal 2 30 3 2 5" xfId="12258" xr:uid="{00000000-0005-0000-0000-000002360000}"/>
    <cellStyle name="Normal 2 30 3 2 5 2" xfId="12259" xr:uid="{00000000-0005-0000-0000-000003360000}"/>
    <cellStyle name="Normal 2 30 3 2 5 2 2" xfId="30591" xr:uid="{00000000-0005-0000-0000-000004360000}"/>
    <cellStyle name="Normal 2 30 3 2 5 3" xfId="12260" xr:uid="{00000000-0005-0000-0000-000005360000}"/>
    <cellStyle name="Normal 2 30 3 2 5 3 2" xfId="30592" xr:uid="{00000000-0005-0000-0000-000006360000}"/>
    <cellStyle name="Normal 2 30 3 2 5 4" xfId="12261" xr:uid="{00000000-0005-0000-0000-000007360000}"/>
    <cellStyle name="Normal 2 30 3 2 5 4 2" xfId="30593" xr:uid="{00000000-0005-0000-0000-000008360000}"/>
    <cellStyle name="Normal 2 30 3 2 5 5" xfId="12262" xr:uid="{00000000-0005-0000-0000-000009360000}"/>
    <cellStyle name="Normal 2 30 3 2 5 5 2" xfId="30594" xr:uid="{00000000-0005-0000-0000-00000A360000}"/>
    <cellStyle name="Normal 2 30 3 2 5 6" xfId="30590" xr:uid="{00000000-0005-0000-0000-00000B360000}"/>
    <cellStyle name="Normal 2 30 3 2 6" xfId="12263" xr:uid="{00000000-0005-0000-0000-00000C360000}"/>
    <cellStyle name="Normal 2 30 3 2 6 2" xfId="12264" xr:uid="{00000000-0005-0000-0000-00000D360000}"/>
    <cellStyle name="Normal 2 30 3 2 6 2 2" xfId="30596" xr:uid="{00000000-0005-0000-0000-00000E360000}"/>
    <cellStyle name="Normal 2 30 3 2 6 3" xfId="12265" xr:uid="{00000000-0005-0000-0000-00000F360000}"/>
    <cellStyle name="Normal 2 30 3 2 6 3 2" xfId="30597" xr:uid="{00000000-0005-0000-0000-000010360000}"/>
    <cellStyle name="Normal 2 30 3 2 6 4" xfId="12266" xr:uid="{00000000-0005-0000-0000-000011360000}"/>
    <cellStyle name="Normal 2 30 3 2 6 4 2" xfId="30598" xr:uid="{00000000-0005-0000-0000-000012360000}"/>
    <cellStyle name="Normal 2 30 3 2 6 5" xfId="12267" xr:uid="{00000000-0005-0000-0000-000013360000}"/>
    <cellStyle name="Normal 2 30 3 2 6 5 2" xfId="30599" xr:uid="{00000000-0005-0000-0000-000014360000}"/>
    <cellStyle name="Normal 2 30 3 2 6 6" xfId="30595" xr:uid="{00000000-0005-0000-0000-000015360000}"/>
    <cellStyle name="Normal 2 30 3 2 7" xfId="12268" xr:uid="{00000000-0005-0000-0000-000016360000}"/>
    <cellStyle name="Normal 2 30 3 2 7 2" xfId="12269" xr:uid="{00000000-0005-0000-0000-000017360000}"/>
    <cellStyle name="Normal 2 30 3 2 7 2 2" xfId="30601" xr:uid="{00000000-0005-0000-0000-000018360000}"/>
    <cellStyle name="Normal 2 30 3 2 7 3" xfId="12270" xr:uid="{00000000-0005-0000-0000-000019360000}"/>
    <cellStyle name="Normal 2 30 3 2 7 3 2" xfId="30602" xr:uid="{00000000-0005-0000-0000-00001A360000}"/>
    <cellStyle name="Normal 2 30 3 2 7 4" xfId="12271" xr:uid="{00000000-0005-0000-0000-00001B360000}"/>
    <cellStyle name="Normal 2 30 3 2 7 4 2" xfId="30603" xr:uid="{00000000-0005-0000-0000-00001C360000}"/>
    <cellStyle name="Normal 2 30 3 2 7 5" xfId="12272" xr:uid="{00000000-0005-0000-0000-00001D360000}"/>
    <cellStyle name="Normal 2 30 3 2 7 5 2" xfId="30604" xr:uid="{00000000-0005-0000-0000-00001E360000}"/>
    <cellStyle name="Normal 2 30 3 2 7 6" xfId="30600" xr:uid="{00000000-0005-0000-0000-00001F360000}"/>
    <cellStyle name="Normal 2 30 3 2 8" xfId="12273" xr:uid="{00000000-0005-0000-0000-000020360000}"/>
    <cellStyle name="Normal 2 30 3 2 8 2" xfId="30605" xr:uid="{00000000-0005-0000-0000-000021360000}"/>
    <cellStyle name="Normal 2 30 3 2 9" xfId="12274" xr:uid="{00000000-0005-0000-0000-000022360000}"/>
    <cellStyle name="Normal 2 30 3 2 9 2" xfId="30606" xr:uid="{00000000-0005-0000-0000-000023360000}"/>
    <cellStyle name="Normal 2 30 3 20" xfId="12275" xr:uid="{00000000-0005-0000-0000-000024360000}"/>
    <cellStyle name="Normal 2 30 3 20 2" xfId="30607" xr:uid="{00000000-0005-0000-0000-000025360000}"/>
    <cellStyle name="Normal 2 30 3 21" xfId="30533" xr:uid="{00000000-0005-0000-0000-000026360000}"/>
    <cellStyle name="Normal 2 30 3 3" xfId="12276" xr:uid="{00000000-0005-0000-0000-000027360000}"/>
    <cellStyle name="Normal 2 30 3 3 2" xfId="12277" xr:uid="{00000000-0005-0000-0000-000028360000}"/>
    <cellStyle name="Normal 2 30 3 3 2 2" xfId="12278" xr:uid="{00000000-0005-0000-0000-000029360000}"/>
    <cellStyle name="Normal 2 30 3 3 2 2 2" xfId="30610" xr:uid="{00000000-0005-0000-0000-00002A360000}"/>
    <cellStyle name="Normal 2 30 3 3 2 3" xfId="12279" xr:uid="{00000000-0005-0000-0000-00002B360000}"/>
    <cellStyle name="Normal 2 30 3 3 2 3 2" xfId="30611" xr:uid="{00000000-0005-0000-0000-00002C360000}"/>
    <cellStyle name="Normal 2 30 3 3 2 4" xfId="12280" xr:uid="{00000000-0005-0000-0000-00002D360000}"/>
    <cellStyle name="Normal 2 30 3 3 2 4 2" xfId="30612" xr:uid="{00000000-0005-0000-0000-00002E360000}"/>
    <cellStyle name="Normal 2 30 3 3 2 5" xfId="12281" xr:uid="{00000000-0005-0000-0000-00002F360000}"/>
    <cellStyle name="Normal 2 30 3 3 2 5 2" xfId="30613" xr:uid="{00000000-0005-0000-0000-000030360000}"/>
    <cellStyle name="Normal 2 30 3 3 2 6" xfId="30609" xr:uid="{00000000-0005-0000-0000-000031360000}"/>
    <cellStyle name="Normal 2 30 3 3 3" xfId="12282" xr:uid="{00000000-0005-0000-0000-000032360000}"/>
    <cellStyle name="Normal 2 30 3 3 3 2" xfId="30614" xr:uid="{00000000-0005-0000-0000-000033360000}"/>
    <cellStyle name="Normal 2 30 3 3 4" xfId="12283" xr:uid="{00000000-0005-0000-0000-000034360000}"/>
    <cellStyle name="Normal 2 30 3 3 4 2" xfId="30615" xr:uid="{00000000-0005-0000-0000-000035360000}"/>
    <cellStyle name="Normal 2 30 3 3 5" xfId="12284" xr:uid="{00000000-0005-0000-0000-000036360000}"/>
    <cellStyle name="Normal 2 30 3 3 5 2" xfId="30616" xr:uid="{00000000-0005-0000-0000-000037360000}"/>
    <cellStyle name="Normal 2 30 3 3 6" xfId="12285" xr:uid="{00000000-0005-0000-0000-000038360000}"/>
    <cellStyle name="Normal 2 30 3 3 6 2" xfId="30617" xr:uid="{00000000-0005-0000-0000-000039360000}"/>
    <cellStyle name="Normal 2 30 3 3 7" xfId="30608" xr:uid="{00000000-0005-0000-0000-00003A360000}"/>
    <cellStyle name="Normal 2 30 3 4" xfId="12286" xr:uid="{00000000-0005-0000-0000-00003B360000}"/>
    <cellStyle name="Normal 2 30 3 4 2" xfId="12287" xr:uid="{00000000-0005-0000-0000-00003C360000}"/>
    <cellStyle name="Normal 2 30 3 4 2 2" xfId="12288" xr:uid="{00000000-0005-0000-0000-00003D360000}"/>
    <cellStyle name="Normal 2 30 3 4 2 2 2" xfId="30620" xr:uid="{00000000-0005-0000-0000-00003E360000}"/>
    <cellStyle name="Normal 2 30 3 4 2 3" xfId="12289" xr:uid="{00000000-0005-0000-0000-00003F360000}"/>
    <cellStyle name="Normal 2 30 3 4 2 3 2" xfId="30621" xr:uid="{00000000-0005-0000-0000-000040360000}"/>
    <cellStyle name="Normal 2 30 3 4 2 4" xfId="12290" xr:uid="{00000000-0005-0000-0000-000041360000}"/>
    <cellStyle name="Normal 2 30 3 4 2 4 2" xfId="30622" xr:uid="{00000000-0005-0000-0000-000042360000}"/>
    <cellStyle name="Normal 2 30 3 4 2 5" xfId="12291" xr:uid="{00000000-0005-0000-0000-000043360000}"/>
    <cellStyle name="Normal 2 30 3 4 2 5 2" xfId="30623" xr:uid="{00000000-0005-0000-0000-000044360000}"/>
    <cellStyle name="Normal 2 30 3 4 2 6" xfId="30619" xr:uid="{00000000-0005-0000-0000-000045360000}"/>
    <cellStyle name="Normal 2 30 3 4 3" xfId="12292" xr:uid="{00000000-0005-0000-0000-000046360000}"/>
    <cellStyle name="Normal 2 30 3 4 3 2" xfId="30624" xr:uid="{00000000-0005-0000-0000-000047360000}"/>
    <cellStyle name="Normal 2 30 3 4 4" xfId="12293" xr:uid="{00000000-0005-0000-0000-000048360000}"/>
    <cellStyle name="Normal 2 30 3 4 4 2" xfId="30625" xr:uid="{00000000-0005-0000-0000-000049360000}"/>
    <cellStyle name="Normal 2 30 3 4 5" xfId="12294" xr:uid="{00000000-0005-0000-0000-00004A360000}"/>
    <cellStyle name="Normal 2 30 3 4 5 2" xfId="30626" xr:uid="{00000000-0005-0000-0000-00004B360000}"/>
    <cellStyle name="Normal 2 30 3 4 6" xfId="12295" xr:uid="{00000000-0005-0000-0000-00004C360000}"/>
    <cellStyle name="Normal 2 30 3 4 6 2" xfId="30627" xr:uid="{00000000-0005-0000-0000-00004D360000}"/>
    <cellStyle name="Normal 2 30 3 4 7" xfId="30618" xr:uid="{00000000-0005-0000-0000-00004E360000}"/>
    <cellStyle name="Normal 2 30 3 5" xfId="12296" xr:uid="{00000000-0005-0000-0000-00004F360000}"/>
    <cellStyle name="Normal 2 30 3 5 2" xfId="12297" xr:uid="{00000000-0005-0000-0000-000050360000}"/>
    <cellStyle name="Normal 2 30 3 5 2 2" xfId="30629" xr:uid="{00000000-0005-0000-0000-000051360000}"/>
    <cellStyle name="Normal 2 30 3 5 3" xfId="12298" xr:uid="{00000000-0005-0000-0000-000052360000}"/>
    <cellStyle name="Normal 2 30 3 5 3 2" xfId="30630" xr:uid="{00000000-0005-0000-0000-000053360000}"/>
    <cellStyle name="Normal 2 30 3 5 4" xfId="12299" xr:uid="{00000000-0005-0000-0000-000054360000}"/>
    <cellStyle name="Normal 2 30 3 5 4 2" xfId="30631" xr:uid="{00000000-0005-0000-0000-000055360000}"/>
    <cellStyle name="Normal 2 30 3 5 5" xfId="12300" xr:uid="{00000000-0005-0000-0000-000056360000}"/>
    <cellStyle name="Normal 2 30 3 5 5 2" xfId="30632" xr:uid="{00000000-0005-0000-0000-000057360000}"/>
    <cellStyle name="Normal 2 30 3 5 6" xfId="30628" xr:uid="{00000000-0005-0000-0000-000058360000}"/>
    <cellStyle name="Normal 2 30 3 6" xfId="12301" xr:uid="{00000000-0005-0000-0000-000059360000}"/>
    <cellStyle name="Normal 2 30 3 6 2" xfId="12302" xr:uid="{00000000-0005-0000-0000-00005A360000}"/>
    <cellStyle name="Normal 2 30 3 6 2 2" xfId="30634" xr:uid="{00000000-0005-0000-0000-00005B360000}"/>
    <cellStyle name="Normal 2 30 3 6 3" xfId="12303" xr:uid="{00000000-0005-0000-0000-00005C360000}"/>
    <cellStyle name="Normal 2 30 3 6 3 2" xfId="30635" xr:uid="{00000000-0005-0000-0000-00005D360000}"/>
    <cellStyle name="Normal 2 30 3 6 4" xfId="12304" xr:uid="{00000000-0005-0000-0000-00005E360000}"/>
    <cellStyle name="Normal 2 30 3 6 4 2" xfId="30636" xr:uid="{00000000-0005-0000-0000-00005F360000}"/>
    <cellStyle name="Normal 2 30 3 6 5" xfId="12305" xr:uid="{00000000-0005-0000-0000-000060360000}"/>
    <cellStyle name="Normal 2 30 3 6 5 2" xfId="30637" xr:uid="{00000000-0005-0000-0000-000061360000}"/>
    <cellStyle name="Normal 2 30 3 6 6" xfId="30633" xr:uid="{00000000-0005-0000-0000-000062360000}"/>
    <cellStyle name="Normal 2 30 3 7" xfId="12306" xr:uid="{00000000-0005-0000-0000-000063360000}"/>
    <cellStyle name="Normal 2 30 3 7 2" xfId="12307" xr:uid="{00000000-0005-0000-0000-000064360000}"/>
    <cellStyle name="Normal 2 30 3 7 2 2" xfId="30639" xr:uid="{00000000-0005-0000-0000-000065360000}"/>
    <cellStyle name="Normal 2 30 3 7 3" xfId="12308" xr:uid="{00000000-0005-0000-0000-000066360000}"/>
    <cellStyle name="Normal 2 30 3 7 3 2" xfId="30640" xr:uid="{00000000-0005-0000-0000-000067360000}"/>
    <cellStyle name="Normal 2 30 3 7 4" xfId="12309" xr:uid="{00000000-0005-0000-0000-000068360000}"/>
    <cellStyle name="Normal 2 30 3 7 4 2" xfId="30641" xr:uid="{00000000-0005-0000-0000-000069360000}"/>
    <cellStyle name="Normal 2 30 3 7 5" xfId="12310" xr:uid="{00000000-0005-0000-0000-00006A360000}"/>
    <cellStyle name="Normal 2 30 3 7 5 2" xfId="30642" xr:uid="{00000000-0005-0000-0000-00006B360000}"/>
    <cellStyle name="Normal 2 30 3 7 6" xfId="30638" xr:uid="{00000000-0005-0000-0000-00006C360000}"/>
    <cellStyle name="Normal 2 30 3 8" xfId="12311" xr:uid="{00000000-0005-0000-0000-00006D360000}"/>
    <cellStyle name="Normal 2 30 3 8 2" xfId="12312" xr:uid="{00000000-0005-0000-0000-00006E360000}"/>
    <cellStyle name="Normal 2 30 3 8 2 2" xfId="30644" xr:uid="{00000000-0005-0000-0000-00006F360000}"/>
    <cellStyle name="Normal 2 30 3 8 3" xfId="12313" xr:uid="{00000000-0005-0000-0000-000070360000}"/>
    <cellStyle name="Normal 2 30 3 8 3 2" xfId="30645" xr:uid="{00000000-0005-0000-0000-000071360000}"/>
    <cellStyle name="Normal 2 30 3 8 4" xfId="12314" xr:uid="{00000000-0005-0000-0000-000072360000}"/>
    <cellStyle name="Normal 2 30 3 8 4 2" xfId="30646" xr:uid="{00000000-0005-0000-0000-000073360000}"/>
    <cellStyle name="Normal 2 30 3 8 5" xfId="12315" xr:uid="{00000000-0005-0000-0000-000074360000}"/>
    <cellStyle name="Normal 2 30 3 8 5 2" xfId="30647" xr:uid="{00000000-0005-0000-0000-000075360000}"/>
    <cellStyle name="Normal 2 30 3 8 6" xfId="30643" xr:uid="{00000000-0005-0000-0000-000076360000}"/>
    <cellStyle name="Normal 2 30 3 9" xfId="12316" xr:uid="{00000000-0005-0000-0000-000077360000}"/>
    <cellStyle name="Normal 2 30 3 9 2" xfId="12317" xr:uid="{00000000-0005-0000-0000-000078360000}"/>
    <cellStyle name="Normal 2 30 3 9 2 2" xfId="30649" xr:uid="{00000000-0005-0000-0000-000079360000}"/>
    <cellStyle name="Normal 2 30 3 9 3" xfId="12318" xr:uid="{00000000-0005-0000-0000-00007A360000}"/>
    <cellStyle name="Normal 2 30 3 9 3 2" xfId="30650" xr:uid="{00000000-0005-0000-0000-00007B360000}"/>
    <cellStyle name="Normal 2 30 3 9 4" xfId="12319" xr:uid="{00000000-0005-0000-0000-00007C360000}"/>
    <cellStyle name="Normal 2 30 3 9 4 2" xfId="30651" xr:uid="{00000000-0005-0000-0000-00007D360000}"/>
    <cellStyle name="Normal 2 30 3 9 5" xfId="12320" xr:uid="{00000000-0005-0000-0000-00007E360000}"/>
    <cellStyle name="Normal 2 30 3 9 5 2" xfId="30652" xr:uid="{00000000-0005-0000-0000-00007F360000}"/>
    <cellStyle name="Normal 2 30 3 9 6" xfId="30648" xr:uid="{00000000-0005-0000-0000-000080360000}"/>
    <cellStyle name="Normal 2 30 4" xfId="12321" xr:uid="{00000000-0005-0000-0000-000081360000}"/>
    <cellStyle name="Normal 2 30 4 10" xfId="12322" xr:uid="{00000000-0005-0000-0000-000082360000}"/>
    <cellStyle name="Normal 2 30 4 10 2" xfId="12323" xr:uid="{00000000-0005-0000-0000-000083360000}"/>
    <cellStyle name="Normal 2 30 4 10 2 2" xfId="30655" xr:uid="{00000000-0005-0000-0000-000084360000}"/>
    <cellStyle name="Normal 2 30 4 10 3" xfId="12324" xr:uid="{00000000-0005-0000-0000-000085360000}"/>
    <cellStyle name="Normal 2 30 4 10 3 2" xfId="30656" xr:uid="{00000000-0005-0000-0000-000086360000}"/>
    <cellStyle name="Normal 2 30 4 10 4" xfId="12325" xr:uid="{00000000-0005-0000-0000-000087360000}"/>
    <cellStyle name="Normal 2 30 4 10 4 2" xfId="30657" xr:uid="{00000000-0005-0000-0000-000088360000}"/>
    <cellStyle name="Normal 2 30 4 10 5" xfId="12326" xr:uid="{00000000-0005-0000-0000-000089360000}"/>
    <cellStyle name="Normal 2 30 4 10 5 2" xfId="30658" xr:uid="{00000000-0005-0000-0000-00008A360000}"/>
    <cellStyle name="Normal 2 30 4 10 6" xfId="30654" xr:uid="{00000000-0005-0000-0000-00008B360000}"/>
    <cellStyle name="Normal 2 30 4 11" xfId="12327" xr:uid="{00000000-0005-0000-0000-00008C360000}"/>
    <cellStyle name="Normal 2 30 4 11 2" xfId="12328" xr:uid="{00000000-0005-0000-0000-00008D360000}"/>
    <cellStyle name="Normal 2 30 4 11 2 2" xfId="30660" xr:uid="{00000000-0005-0000-0000-00008E360000}"/>
    <cellStyle name="Normal 2 30 4 11 3" xfId="12329" xr:uid="{00000000-0005-0000-0000-00008F360000}"/>
    <cellStyle name="Normal 2 30 4 11 3 2" xfId="30661" xr:uid="{00000000-0005-0000-0000-000090360000}"/>
    <cellStyle name="Normal 2 30 4 11 4" xfId="12330" xr:uid="{00000000-0005-0000-0000-000091360000}"/>
    <cellStyle name="Normal 2 30 4 11 4 2" xfId="30662" xr:uid="{00000000-0005-0000-0000-000092360000}"/>
    <cellStyle name="Normal 2 30 4 11 5" xfId="12331" xr:uid="{00000000-0005-0000-0000-000093360000}"/>
    <cellStyle name="Normal 2 30 4 11 5 2" xfId="30663" xr:uid="{00000000-0005-0000-0000-000094360000}"/>
    <cellStyle name="Normal 2 30 4 11 6" xfId="30659" xr:uid="{00000000-0005-0000-0000-000095360000}"/>
    <cellStyle name="Normal 2 30 4 12" xfId="12332" xr:uid="{00000000-0005-0000-0000-000096360000}"/>
    <cellStyle name="Normal 2 30 4 12 2" xfId="12333" xr:uid="{00000000-0005-0000-0000-000097360000}"/>
    <cellStyle name="Normal 2 30 4 12 2 2" xfId="30665" xr:uid="{00000000-0005-0000-0000-000098360000}"/>
    <cellStyle name="Normal 2 30 4 12 3" xfId="12334" xr:uid="{00000000-0005-0000-0000-000099360000}"/>
    <cellStyle name="Normal 2 30 4 12 3 2" xfId="30666" xr:uid="{00000000-0005-0000-0000-00009A360000}"/>
    <cellStyle name="Normal 2 30 4 12 4" xfId="12335" xr:uid="{00000000-0005-0000-0000-00009B360000}"/>
    <cellStyle name="Normal 2 30 4 12 4 2" xfId="30667" xr:uid="{00000000-0005-0000-0000-00009C360000}"/>
    <cellStyle name="Normal 2 30 4 12 5" xfId="12336" xr:uid="{00000000-0005-0000-0000-00009D360000}"/>
    <cellStyle name="Normal 2 30 4 12 5 2" xfId="30668" xr:uid="{00000000-0005-0000-0000-00009E360000}"/>
    <cellStyle name="Normal 2 30 4 12 6" xfId="30664" xr:uid="{00000000-0005-0000-0000-00009F360000}"/>
    <cellStyle name="Normal 2 30 4 13" xfId="12337" xr:uid="{00000000-0005-0000-0000-0000A0360000}"/>
    <cellStyle name="Normal 2 30 4 13 2" xfId="12338" xr:uid="{00000000-0005-0000-0000-0000A1360000}"/>
    <cellStyle name="Normal 2 30 4 13 2 2" xfId="30670" xr:uid="{00000000-0005-0000-0000-0000A2360000}"/>
    <cellStyle name="Normal 2 30 4 13 3" xfId="12339" xr:uid="{00000000-0005-0000-0000-0000A3360000}"/>
    <cellStyle name="Normal 2 30 4 13 3 2" xfId="30671" xr:uid="{00000000-0005-0000-0000-0000A4360000}"/>
    <cellStyle name="Normal 2 30 4 13 4" xfId="12340" xr:uid="{00000000-0005-0000-0000-0000A5360000}"/>
    <cellStyle name="Normal 2 30 4 13 4 2" xfId="30672" xr:uid="{00000000-0005-0000-0000-0000A6360000}"/>
    <cellStyle name="Normal 2 30 4 13 5" xfId="12341" xr:uid="{00000000-0005-0000-0000-0000A7360000}"/>
    <cellStyle name="Normal 2 30 4 13 5 2" xfId="30673" xr:uid="{00000000-0005-0000-0000-0000A8360000}"/>
    <cellStyle name="Normal 2 30 4 13 6" xfId="30669" xr:uid="{00000000-0005-0000-0000-0000A9360000}"/>
    <cellStyle name="Normal 2 30 4 14" xfId="12342" xr:uid="{00000000-0005-0000-0000-0000AA360000}"/>
    <cellStyle name="Normal 2 30 4 14 2" xfId="12343" xr:uid="{00000000-0005-0000-0000-0000AB360000}"/>
    <cellStyle name="Normal 2 30 4 14 2 2" xfId="30675" xr:uid="{00000000-0005-0000-0000-0000AC360000}"/>
    <cellStyle name="Normal 2 30 4 14 3" xfId="12344" xr:uid="{00000000-0005-0000-0000-0000AD360000}"/>
    <cellStyle name="Normal 2 30 4 14 3 2" xfId="30676" xr:uid="{00000000-0005-0000-0000-0000AE360000}"/>
    <cellStyle name="Normal 2 30 4 14 4" xfId="12345" xr:uid="{00000000-0005-0000-0000-0000AF360000}"/>
    <cellStyle name="Normal 2 30 4 14 4 2" xfId="30677" xr:uid="{00000000-0005-0000-0000-0000B0360000}"/>
    <cellStyle name="Normal 2 30 4 14 5" xfId="12346" xr:uid="{00000000-0005-0000-0000-0000B1360000}"/>
    <cellStyle name="Normal 2 30 4 14 5 2" xfId="30678" xr:uid="{00000000-0005-0000-0000-0000B2360000}"/>
    <cellStyle name="Normal 2 30 4 14 6" xfId="30674" xr:uid="{00000000-0005-0000-0000-0000B3360000}"/>
    <cellStyle name="Normal 2 30 4 15" xfId="12347" xr:uid="{00000000-0005-0000-0000-0000B4360000}"/>
    <cellStyle name="Normal 2 30 4 15 2" xfId="12348" xr:uid="{00000000-0005-0000-0000-0000B5360000}"/>
    <cellStyle name="Normal 2 30 4 15 2 2" xfId="30680" xr:uid="{00000000-0005-0000-0000-0000B6360000}"/>
    <cellStyle name="Normal 2 30 4 15 3" xfId="12349" xr:uid="{00000000-0005-0000-0000-0000B7360000}"/>
    <cellStyle name="Normal 2 30 4 15 3 2" xfId="30681" xr:uid="{00000000-0005-0000-0000-0000B8360000}"/>
    <cellStyle name="Normal 2 30 4 15 4" xfId="12350" xr:uid="{00000000-0005-0000-0000-0000B9360000}"/>
    <cellStyle name="Normal 2 30 4 15 4 2" xfId="30682" xr:uid="{00000000-0005-0000-0000-0000BA360000}"/>
    <cellStyle name="Normal 2 30 4 15 5" xfId="12351" xr:uid="{00000000-0005-0000-0000-0000BB360000}"/>
    <cellStyle name="Normal 2 30 4 15 5 2" xfId="30683" xr:uid="{00000000-0005-0000-0000-0000BC360000}"/>
    <cellStyle name="Normal 2 30 4 15 6" xfId="30679" xr:uid="{00000000-0005-0000-0000-0000BD360000}"/>
    <cellStyle name="Normal 2 30 4 16" xfId="12352" xr:uid="{00000000-0005-0000-0000-0000BE360000}"/>
    <cellStyle name="Normal 2 30 4 16 2" xfId="12353" xr:uid="{00000000-0005-0000-0000-0000BF360000}"/>
    <cellStyle name="Normal 2 30 4 16 2 2" xfId="30685" xr:uid="{00000000-0005-0000-0000-0000C0360000}"/>
    <cellStyle name="Normal 2 30 4 16 3" xfId="12354" xr:uid="{00000000-0005-0000-0000-0000C1360000}"/>
    <cellStyle name="Normal 2 30 4 16 3 2" xfId="30686" xr:uid="{00000000-0005-0000-0000-0000C2360000}"/>
    <cellStyle name="Normal 2 30 4 16 4" xfId="12355" xr:uid="{00000000-0005-0000-0000-0000C3360000}"/>
    <cellStyle name="Normal 2 30 4 16 4 2" xfId="30687" xr:uid="{00000000-0005-0000-0000-0000C4360000}"/>
    <cellStyle name="Normal 2 30 4 16 5" xfId="12356" xr:uid="{00000000-0005-0000-0000-0000C5360000}"/>
    <cellStyle name="Normal 2 30 4 16 5 2" xfId="30688" xr:uid="{00000000-0005-0000-0000-0000C6360000}"/>
    <cellStyle name="Normal 2 30 4 16 6" xfId="30684" xr:uid="{00000000-0005-0000-0000-0000C7360000}"/>
    <cellStyle name="Normal 2 30 4 17" xfId="12357" xr:uid="{00000000-0005-0000-0000-0000C8360000}"/>
    <cellStyle name="Normal 2 30 4 17 2" xfId="30689" xr:uid="{00000000-0005-0000-0000-0000C9360000}"/>
    <cellStyle name="Normal 2 30 4 18" xfId="12358" xr:uid="{00000000-0005-0000-0000-0000CA360000}"/>
    <cellStyle name="Normal 2 30 4 18 2" xfId="30690" xr:uid="{00000000-0005-0000-0000-0000CB360000}"/>
    <cellStyle name="Normal 2 30 4 19" xfId="12359" xr:uid="{00000000-0005-0000-0000-0000CC360000}"/>
    <cellStyle name="Normal 2 30 4 19 2" xfId="30691" xr:uid="{00000000-0005-0000-0000-0000CD360000}"/>
    <cellStyle name="Normal 2 30 4 2" xfId="12360" xr:uid="{00000000-0005-0000-0000-0000CE360000}"/>
    <cellStyle name="Normal 2 30 4 2 10" xfId="12361" xr:uid="{00000000-0005-0000-0000-0000CF360000}"/>
    <cellStyle name="Normal 2 30 4 2 10 2" xfId="30693" xr:uid="{00000000-0005-0000-0000-0000D0360000}"/>
    <cellStyle name="Normal 2 30 4 2 11" xfId="12362" xr:uid="{00000000-0005-0000-0000-0000D1360000}"/>
    <cellStyle name="Normal 2 30 4 2 11 2" xfId="30694" xr:uid="{00000000-0005-0000-0000-0000D2360000}"/>
    <cellStyle name="Normal 2 30 4 2 12" xfId="30692" xr:uid="{00000000-0005-0000-0000-0000D3360000}"/>
    <cellStyle name="Normal 2 30 4 2 2" xfId="12363" xr:uid="{00000000-0005-0000-0000-0000D4360000}"/>
    <cellStyle name="Normal 2 30 4 2 2 2" xfId="12364" xr:uid="{00000000-0005-0000-0000-0000D5360000}"/>
    <cellStyle name="Normal 2 30 4 2 2 2 2" xfId="30696" xr:uid="{00000000-0005-0000-0000-0000D6360000}"/>
    <cellStyle name="Normal 2 30 4 2 2 3" xfId="12365" xr:uid="{00000000-0005-0000-0000-0000D7360000}"/>
    <cellStyle name="Normal 2 30 4 2 2 3 2" xfId="30697" xr:uid="{00000000-0005-0000-0000-0000D8360000}"/>
    <cellStyle name="Normal 2 30 4 2 2 4" xfId="12366" xr:uid="{00000000-0005-0000-0000-0000D9360000}"/>
    <cellStyle name="Normal 2 30 4 2 2 4 2" xfId="30698" xr:uid="{00000000-0005-0000-0000-0000DA360000}"/>
    <cellStyle name="Normal 2 30 4 2 2 5" xfId="12367" xr:uid="{00000000-0005-0000-0000-0000DB360000}"/>
    <cellStyle name="Normal 2 30 4 2 2 5 2" xfId="30699" xr:uid="{00000000-0005-0000-0000-0000DC360000}"/>
    <cellStyle name="Normal 2 30 4 2 2 6" xfId="30695" xr:uid="{00000000-0005-0000-0000-0000DD360000}"/>
    <cellStyle name="Normal 2 30 4 2 3" xfId="12368" xr:uid="{00000000-0005-0000-0000-0000DE360000}"/>
    <cellStyle name="Normal 2 30 4 2 3 2" xfId="12369" xr:uid="{00000000-0005-0000-0000-0000DF360000}"/>
    <cellStyle name="Normal 2 30 4 2 3 2 2" xfId="30701" xr:uid="{00000000-0005-0000-0000-0000E0360000}"/>
    <cellStyle name="Normal 2 30 4 2 3 3" xfId="12370" xr:uid="{00000000-0005-0000-0000-0000E1360000}"/>
    <cellStyle name="Normal 2 30 4 2 3 3 2" xfId="30702" xr:uid="{00000000-0005-0000-0000-0000E2360000}"/>
    <cellStyle name="Normal 2 30 4 2 3 4" xfId="12371" xr:uid="{00000000-0005-0000-0000-0000E3360000}"/>
    <cellStyle name="Normal 2 30 4 2 3 4 2" xfId="30703" xr:uid="{00000000-0005-0000-0000-0000E4360000}"/>
    <cellStyle name="Normal 2 30 4 2 3 5" xfId="12372" xr:uid="{00000000-0005-0000-0000-0000E5360000}"/>
    <cellStyle name="Normal 2 30 4 2 3 5 2" xfId="30704" xr:uid="{00000000-0005-0000-0000-0000E6360000}"/>
    <cellStyle name="Normal 2 30 4 2 3 6" xfId="30700" xr:uid="{00000000-0005-0000-0000-0000E7360000}"/>
    <cellStyle name="Normal 2 30 4 2 4" xfId="12373" xr:uid="{00000000-0005-0000-0000-0000E8360000}"/>
    <cellStyle name="Normal 2 30 4 2 4 2" xfId="12374" xr:uid="{00000000-0005-0000-0000-0000E9360000}"/>
    <cellStyle name="Normal 2 30 4 2 4 2 2" xfId="30706" xr:uid="{00000000-0005-0000-0000-0000EA360000}"/>
    <cellStyle name="Normal 2 30 4 2 4 3" xfId="12375" xr:uid="{00000000-0005-0000-0000-0000EB360000}"/>
    <cellStyle name="Normal 2 30 4 2 4 3 2" xfId="30707" xr:uid="{00000000-0005-0000-0000-0000EC360000}"/>
    <cellStyle name="Normal 2 30 4 2 4 4" xfId="12376" xr:uid="{00000000-0005-0000-0000-0000ED360000}"/>
    <cellStyle name="Normal 2 30 4 2 4 4 2" xfId="30708" xr:uid="{00000000-0005-0000-0000-0000EE360000}"/>
    <cellStyle name="Normal 2 30 4 2 4 5" xfId="12377" xr:uid="{00000000-0005-0000-0000-0000EF360000}"/>
    <cellStyle name="Normal 2 30 4 2 4 5 2" xfId="30709" xr:uid="{00000000-0005-0000-0000-0000F0360000}"/>
    <cellStyle name="Normal 2 30 4 2 4 6" xfId="30705" xr:uid="{00000000-0005-0000-0000-0000F1360000}"/>
    <cellStyle name="Normal 2 30 4 2 5" xfId="12378" xr:uid="{00000000-0005-0000-0000-0000F2360000}"/>
    <cellStyle name="Normal 2 30 4 2 5 2" xfId="12379" xr:uid="{00000000-0005-0000-0000-0000F3360000}"/>
    <cellStyle name="Normal 2 30 4 2 5 2 2" xfId="30711" xr:uid="{00000000-0005-0000-0000-0000F4360000}"/>
    <cellStyle name="Normal 2 30 4 2 5 3" xfId="12380" xr:uid="{00000000-0005-0000-0000-0000F5360000}"/>
    <cellStyle name="Normal 2 30 4 2 5 3 2" xfId="30712" xr:uid="{00000000-0005-0000-0000-0000F6360000}"/>
    <cellStyle name="Normal 2 30 4 2 5 4" xfId="12381" xr:uid="{00000000-0005-0000-0000-0000F7360000}"/>
    <cellStyle name="Normal 2 30 4 2 5 4 2" xfId="30713" xr:uid="{00000000-0005-0000-0000-0000F8360000}"/>
    <cellStyle name="Normal 2 30 4 2 5 5" xfId="12382" xr:uid="{00000000-0005-0000-0000-0000F9360000}"/>
    <cellStyle name="Normal 2 30 4 2 5 5 2" xfId="30714" xr:uid="{00000000-0005-0000-0000-0000FA360000}"/>
    <cellStyle name="Normal 2 30 4 2 5 6" xfId="30710" xr:uid="{00000000-0005-0000-0000-0000FB360000}"/>
    <cellStyle name="Normal 2 30 4 2 6" xfId="12383" xr:uid="{00000000-0005-0000-0000-0000FC360000}"/>
    <cellStyle name="Normal 2 30 4 2 6 2" xfId="12384" xr:uid="{00000000-0005-0000-0000-0000FD360000}"/>
    <cellStyle name="Normal 2 30 4 2 6 2 2" xfId="30716" xr:uid="{00000000-0005-0000-0000-0000FE360000}"/>
    <cellStyle name="Normal 2 30 4 2 6 3" xfId="12385" xr:uid="{00000000-0005-0000-0000-0000FF360000}"/>
    <cellStyle name="Normal 2 30 4 2 6 3 2" xfId="30717" xr:uid="{00000000-0005-0000-0000-000000370000}"/>
    <cellStyle name="Normal 2 30 4 2 6 4" xfId="12386" xr:uid="{00000000-0005-0000-0000-000001370000}"/>
    <cellStyle name="Normal 2 30 4 2 6 4 2" xfId="30718" xr:uid="{00000000-0005-0000-0000-000002370000}"/>
    <cellStyle name="Normal 2 30 4 2 6 5" xfId="12387" xr:uid="{00000000-0005-0000-0000-000003370000}"/>
    <cellStyle name="Normal 2 30 4 2 6 5 2" xfId="30719" xr:uid="{00000000-0005-0000-0000-000004370000}"/>
    <cellStyle name="Normal 2 30 4 2 6 6" xfId="30715" xr:uid="{00000000-0005-0000-0000-000005370000}"/>
    <cellStyle name="Normal 2 30 4 2 7" xfId="12388" xr:uid="{00000000-0005-0000-0000-000006370000}"/>
    <cellStyle name="Normal 2 30 4 2 7 2" xfId="12389" xr:uid="{00000000-0005-0000-0000-000007370000}"/>
    <cellStyle name="Normal 2 30 4 2 7 2 2" xfId="30721" xr:uid="{00000000-0005-0000-0000-000008370000}"/>
    <cellStyle name="Normal 2 30 4 2 7 3" xfId="12390" xr:uid="{00000000-0005-0000-0000-000009370000}"/>
    <cellStyle name="Normal 2 30 4 2 7 3 2" xfId="30722" xr:uid="{00000000-0005-0000-0000-00000A370000}"/>
    <cellStyle name="Normal 2 30 4 2 7 4" xfId="12391" xr:uid="{00000000-0005-0000-0000-00000B370000}"/>
    <cellStyle name="Normal 2 30 4 2 7 4 2" xfId="30723" xr:uid="{00000000-0005-0000-0000-00000C370000}"/>
    <cellStyle name="Normal 2 30 4 2 7 5" xfId="12392" xr:uid="{00000000-0005-0000-0000-00000D370000}"/>
    <cellStyle name="Normal 2 30 4 2 7 5 2" xfId="30724" xr:uid="{00000000-0005-0000-0000-00000E370000}"/>
    <cellStyle name="Normal 2 30 4 2 7 6" xfId="30720" xr:uid="{00000000-0005-0000-0000-00000F370000}"/>
    <cellStyle name="Normal 2 30 4 2 8" xfId="12393" xr:uid="{00000000-0005-0000-0000-000010370000}"/>
    <cellStyle name="Normal 2 30 4 2 8 2" xfId="30725" xr:uid="{00000000-0005-0000-0000-000011370000}"/>
    <cellStyle name="Normal 2 30 4 2 9" xfId="12394" xr:uid="{00000000-0005-0000-0000-000012370000}"/>
    <cellStyle name="Normal 2 30 4 2 9 2" xfId="30726" xr:uid="{00000000-0005-0000-0000-000013370000}"/>
    <cellStyle name="Normal 2 30 4 20" xfId="12395" xr:uid="{00000000-0005-0000-0000-000014370000}"/>
    <cellStyle name="Normal 2 30 4 20 2" xfId="30727" xr:uid="{00000000-0005-0000-0000-000015370000}"/>
    <cellStyle name="Normal 2 30 4 21" xfId="30653" xr:uid="{00000000-0005-0000-0000-000016370000}"/>
    <cellStyle name="Normal 2 30 4 3" xfId="12396" xr:uid="{00000000-0005-0000-0000-000017370000}"/>
    <cellStyle name="Normal 2 30 4 3 2" xfId="12397" xr:uid="{00000000-0005-0000-0000-000018370000}"/>
    <cellStyle name="Normal 2 30 4 3 2 2" xfId="12398" xr:uid="{00000000-0005-0000-0000-000019370000}"/>
    <cellStyle name="Normal 2 30 4 3 2 2 2" xfId="30730" xr:uid="{00000000-0005-0000-0000-00001A370000}"/>
    <cellStyle name="Normal 2 30 4 3 2 3" xfId="12399" xr:uid="{00000000-0005-0000-0000-00001B370000}"/>
    <cellStyle name="Normal 2 30 4 3 2 3 2" xfId="30731" xr:uid="{00000000-0005-0000-0000-00001C370000}"/>
    <cellStyle name="Normal 2 30 4 3 2 4" xfId="12400" xr:uid="{00000000-0005-0000-0000-00001D370000}"/>
    <cellStyle name="Normal 2 30 4 3 2 4 2" xfId="30732" xr:uid="{00000000-0005-0000-0000-00001E370000}"/>
    <cellStyle name="Normal 2 30 4 3 2 5" xfId="12401" xr:uid="{00000000-0005-0000-0000-00001F370000}"/>
    <cellStyle name="Normal 2 30 4 3 2 5 2" xfId="30733" xr:uid="{00000000-0005-0000-0000-000020370000}"/>
    <cellStyle name="Normal 2 30 4 3 2 6" xfId="30729" xr:uid="{00000000-0005-0000-0000-000021370000}"/>
    <cellStyle name="Normal 2 30 4 3 3" xfId="12402" xr:uid="{00000000-0005-0000-0000-000022370000}"/>
    <cellStyle name="Normal 2 30 4 3 3 2" xfId="30734" xr:uid="{00000000-0005-0000-0000-000023370000}"/>
    <cellStyle name="Normal 2 30 4 3 4" xfId="12403" xr:uid="{00000000-0005-0000-0000-000024370000}"/>
    <cellStyle name="Normal 2 30 4 3 4 2" xfId="30735" xr:uid="{00000000-0005-0000-0000-000025370000}"/>
    <cellStyle name="Normal 2 30 4 3 5" xfId="12404" xr:uid="{00000000-0005-0000-0000-000026370000}"/>
    <cellStyle name="Normal 2 30 4 3 5 2" xfId="30736" xr:uid="{00000000-0005-0000-0000-000027370000}"/>
    <cellStyle name="Normal 2 30 4 3 6" xfId="12405" xr:uid="{00000000-0005-0000-0000-000028370000}"/>
    <cellStyle name="Normal 2 30 4 3 6 2" xfId="30737" xr:uid="{00000000-0005-0000-0000-000029370000}"/>
    <cellStyle name="Normal 2 30 4 3 7" xfId="30728" xr:uid="{00000000-0005-0000-0000-00002A370000}"/>
    <cellStyle name="Normal 2 30 4 4" xfId="12406" xr:uid="{00000000-0005-0000-0000-00002B370000}"/>
    <cellStyle name="Normal 2 30 4 4 2" xfId="12407" xr:uid="{00000000-0005-0000-0000-00002C370000}"/>
    <cellStyle name="Normal 2 30 4 4 2 2" xfId="12408" xr:uid="{00000000-0005-0000-0000-00002D370000}"/>
    <cellStyle name="Normal 2 30 4 4 2 2 2" xfId="30740" xr:uid="{00000000-0005-0000-0000-00002E370000}"/>
    <cellStyle name="Normal 2 30 4 4 2 3" xfId="12409" xr:uid="{00000000-0005-0000-0000-00002F370000}"/>
    <cellStyle name="Normal 2 30 4 4 2 3 2" xfId="30741" xr:uid="{00000000-0005-0000-0000-000030370000}"/>
    <cellStyle name="Normal 2 30 4 4 2 4" xfId="12410" xr:uid="{00000000-0005-0000-0000-000031370000}"/>
    <cellStyle name="Normal 2 30 4 4 2 4 2" xfId="30742" xr:uid="{00000000-0005-0000-0000-000032370000}"/>
    <cellStyle name="Normal 2 30 4 4 2 5" xfId="12411" xr:uid="{00000000-0005-0000-0000-000033370000}"/>
    <cellStyle name="Normal 2 30 4 4 2 5 2" xfId="30743" xr:uid="{00000000-0005-0000-0000-000034370000}"/>
    <cellStyle name="Normal 2 30 4 4 2 6" xfId="30739" xr:uid="{00000000-0005-0000-0000-000035370000}"/>
    <cellStyle name="Normal 2 30 4 4 3" xfId="12412" xr:uid="{00000000-0005-0000-0000-000036370000}"/>
    <cellStyle name="Normal 2 30 4 4 3 2" xfId="30744" xr:uid="{00000000-0005-0000-0000-000037370000}"/>
    <cellStyle name="Normal 2 30 4 4 4" xfId="12413" xr:uid="{00000000-0005-0000-0000-000038370000}"/>
    <cellStyle name="Normal 2 30 4 4 4 2" xfId="30745" xr:uid="{00000000-0005-0000-0000-000039370000}"/>
    <cellStyle name="Normal 2 30 4 4 5" xfId="12414" xr:uid="{00000000-0005-0000-0000-00003A370000}"/>
    <cellStyle name="Normal 2 30 4 4 5 2" xfId="30746" xr:uid="{00000000-0005-0000-0000-00003B370000}"/>
    <cellStyle name="Normal 2 30 4 4 6" xfId="12415" xr:uid="{00000000-0005-0000-0000-00003C370000}"/>
    <cellStyle name="Normal 2 30 4 4 6 2" xfId="30747" xr:uid="{00000000-0005-0000-0000-00003D370000}"/>
    <cellStyle name="Normal 2 30 4 4 7" xfId="30738" xr:uid="{00000000-0005-0000-0000-00003E370000}"/>
    <cellStyle name="Normal 2 30 4 5" xfId="12416" xr:uid="{00000000-0005-0000-0000-00003F370000}"/>
    <cellStyle name="Normal 2 30 4 5 2" xfId="12417" xr:uid="{00000000-0005-0000-0000-000040370000}"/>
    <cellStyle name="Normal 2 30 4 5 2 2" xfId="30749" xr:uid="{00000000-0005-0000-0000-000041370000}"/>
    <cellStyle name="Normal 2 30 4 5 3" xfId="12418" xr:uid="{00000000-0005-0000-0000-000042370000}"/>
    <cellStyle name="Normal 2 30 4 5 3 2" xfId="30750" xr:uid="{00000000-0005-0000-0000-000043370000}"/>
    <cellStyle name="Normal 2 30 4 5 4" xfId="12419" xr:uid="{00000000-0005-0000-0000-000044370000}"/>
    <cellStyle name="Normal 2 30 4 5 4 2" xfId="30751" xr:uid="{00000000-0005-0000-0000-000045370000}"/>
    <cellStyle name="Normal 2 30 4 5 5" xfId="12420" xr:uid="{00000000-0005-0000-0000-000046370000}"/>
    <cellStyle name="Normal 2 30 4 5 5 2" xfId="30752" xr:uid="{00000000-0005-0000-0000-000047370000}"/>
    <cellStyle name="Normal 2 30 4 5 6" xfId="30748" xr:uid="{00000000-0005-0000-0000-000048370000}"/>
    <cellStyle name="Normal 2 30 4 6" xfId="12421" xr:uid="{00000000-0005-0000-0000-000049370000}"/>
    <cellStyle name="Normal 2 30 4 6 2" xfId="12422" xr:uid="{00000000-0005-0000-0000-00004A370000}"/>
    <cellStyle name="Normal 2 30 4 6 2 2" xfId="30754" xr:uid="{00000000-0005-0000-0000-00004B370000}"/>
    <cellStyle name="Normal 2 30 4 6 3" xfId="12423" xr:uid="{00000000-0005-0000-0000-00004C370000}"/>
    <cellStyle name="Normal 2 30 4 6 3 2" xfId="30755" xr:uid="{00000000-0005-0000-0000-00004D370000}"/>
    <cellStyle name="Normal 2 30 4 6 4" xfId="12424" xr:uid="{00000000-0005-0000-0000-00004E370000}"/>
    <cellStyle name="Normal 2 30 4 6 4 2" xfId="30756" xr:uid="{00000000-0005-0000-0000-00004F370000}"/>
    <cellStyle name="Normal 2 30 4 6 5" xfId="12425" xr:uid="{00000000-0005-0000-0000-000050370000}"/>
    <cellStyle name="Normal 2 30 4 6 5 2" xfId="30757" xr:uid="{00000000-0005-0000-0000-000051370000}"/>
    <cellStyle name="Normal 2 30 4 6 6" xfId="30753" xr:uid="{00000000-0005-0000-0000-000052370000}"/>
    <cellStyle name="Normal 2 30 4 7" xfId="12426" xr:uid="{00000000-0005-0000-0000-000053370000}"/>
    <cellStyle name="Normal 2 30 4 7 2" xfId="12427" xr:uid="{00000000-0005-0000-0000-000054370000}"/>
    <cellStyle name="Normal 2 30 4 7 2 2" xfId="30759" xr:uid="{00000000-0005-0000-0000-000055370000}"/>
    <cellStyle name="Normal 2 30 4 7 3" xfId="12428" xr:uid="{00000000-0005-0000-0000-000056370000}"/>
    <cellStyle name="Normal 2 30 4 7 3 2" xfId="30760" xr:uid="{00000000-0005-0000-0000-000057370000}"/>
    <cellStyle name="Normal 2 30 4 7 4" xfId="12429" xr:uid="{00000000-0005-0000-0000-000058370000}"/>
    <cellStyle name="Normal 2 30 4 7 4 2" xfId="30761" xr:uid="{00000000-0005-0000-0000-000059370000}"/>
    <cellStyle name="Normal 2 30 4 7 5" xfId="12430" xr:uid="{00000000-0005-0000-0000-00005A370000}"/>
    <cellStyle name="Normal 2 30 4 7 5 2" xfId="30762" xr:uid="{00000000-0005-0000-0000-00005B370000}"/>
    <cellStyle name="Normal 2 30 4 7 6" xfId="30758" xr:uid="{00000000-0005-0000-0000-00005C370000}"/>
    <cellStyle name="Normal 2 30 4 8" xfId="12431" xr:uid="{00000000-0005-0000-0000-00005D370000}"/>
    <cellStyle name="Normal 2 30 4 8 2" xfId="12432" xr:uid="{00000000-0005-0000-0000-00005E370000}"/>
    <cellStyle name="Normal 2 30 4 8 2 2" xfId="30764" xr:uid="{00000000-0005-0000-0000-00005F370000}"/>
    <cellStyle name="Normal 2 30 4 8 3" xfId="12433" xr:uid="{00000000-0005-0000-0000-000060370000}"/>
    <cellStyle name="Normal 2 30 4 8 3 2" xfId="30765" xr:uid="{00000000-0005-0000-0000-000061370000}"/>
    <cellStyle name="Normal 2 30 4 8 4" xfId="12434" xr:uid="{00000000-0005-0000-0000-000062370000}"/>
    <cellStyle name="Normal 2 30 4 8 4 2" xfId="30766" xr:uid="{00000000-0005-0000-0000-000063370000}"/>
    <cellStyle name="Normal 2 30 4 8 5" xfId="12435" xr:uid="{00000000-0005-0000-0000-000064370000}"/>
    <cellStyle name="Normal 2 30 4 8 5 2" xfId="30767" xr:uid="{00000000-0005-0000-0000-000065370000}"/>
    <cellStyle name="Normal 2 30 4 8 6" xfId="30763" xr:uid="{00000000-0005-0000-0000-000066370000}"/>
    <cellStyle name="Normal 2 30 4 9" xfId="12436" xr:uid="{00000000-0005-0000-0000-000067370000}"/>
    <cellStyle name="Normal 2 30 4 9 2" xfId="12437" xr:uid="{00000000-0005-0000-0000-000068370000}"/>
    <cellStyle name="Normal 2 30 4 9 2 2" xfId="30769" xr:uid="{00000000-0005-0000-0000-000069370000}"/>
    <cellStyle name="Normal 2 30 4 9 3" xfId="12438" xr:uid="{00000000-0005-0000-0000-00006A370000}"/>
    <cellStyle name="Normal 2 30 4 9 3 2" xfId="30770" xr:uid="{00000000-0005-0000-0000-00006B370000}"/>
    <cellStyle name="Normal 2 30 4 9 4" xfId="12439" xr:uid="{00000000-0005-0000-0000-00006C370000}"/>
    <cellStyle name="Normal 2 30 4 9 4 2" xfId="30771" xr:uid="{00000000-0005-0000-0000-00006D370000}"/>
    <cellStyle name="Normal 2 30 4 9 5" xfId="12440" xr:uid="{00000000-0005-0000-0000-00006E370000}"/>
    <cellStyle name="Normal 2 30 4 9 5 2" xfId="30772" xr:uid="{00000000-0005-0000-0000-00006F370000}"/>
    <cellStyle name="Normal 2 30 4 9 6" xfId="30768" xr:uid="{00000000-0005-0000-0000-000070370000}"/>
    <cellStyle name="Normal 2 30 5" xfId="12441" xr:uid="{00000000-0005-0000-0000-000071370000}"/>
    <cellStyle name="Normal 2 30 5 10" xfId="12442" xr:uid="{00000000-0005-0000-0000-000072370000}"/>
    <cellStyle name="Normal 2 30 5 10 2" xfId="12443" xr:uid="{00000000-0005-0000-0000-000073370000}"/>
    <cellStyle name="Normal 2 30 5 10 2 2" xfId="30775" xr:uid="{00000000-0005-0000-0000-000074370000}"/>
    <cellStyle name="Normal 2 30 5 10 3" xfId="12444" xr:uid="{00000000-0005-0000-0000-000075370000}"/>
    <cellStyle name="Normal 2 30 5 10 3 2" xfId="30776" xr:uid="{00000000-0005-0000-0000-000076370000}"/>
    <cellStyle name="Normal 2 30 5 10 4" xfId="12445" xr:uid="{00000000-0005-0000-0000-000077370000}"/>
    <cellStyle name="Normal 2 30 5 10 4 2" xfId="30777" xr:uid="{00000000-0005-0000-0000-000078370000}"/>
    <cellStyle name="Normal 2 30 5 10 5" xfId="12446" xr:uid="{00000000-0005-0000-0000-000079370000}"/>
    <cellStyle name="Normal 2 30 5 10 5 2" xfId="30778" xr:uid="{00000000-0005-0000-0000-00007A370000}"/>
    <cellStyle name="Normal 2 30 5 10 6" xfId="30774" xr:uid="{00000000-0005-0000-0000-00007B370000}"/>
    <cellStyle name="Normal 2 30 5 11" xfId="12447" xr:uid="{00000000-0005-0000-0000-00007C370000}"/>
    <cellStyle name="Normal 2 30 5 11 2" xfId="12448" xr:uid="{00000000-0005-0000-0000-00007D370000}"/>
    <cellStyle name="Normal 2 30 5 11 2 2" xfId="30780" xr:uid="{00000000-0005-0000-0000-00007E370000}"/>
    <cellStyle name="Normal 2 30 5 11 3" xfId="12449" xr:uid="{00000000-0005-0000-0000-00007F370000}"/>
    <cellStyle name="Normal 2 30 5 11 3 2" xfId="30781" xr:uid="{00000000-0005-0000-0000-000080370000}"/>
    <cellStyle name="Normal 2 30 5 11 4" xfId="12450" xr:uid="{00000000-0005-0000-0000-000081370000}"/>
    <cellStyle name="Normal 2 30 5 11 4 2" xfId="30782" xr:uid="{00000000-0005-0000-0000-000082370000}"/>
    <cellStyle name="Normal 2 30 5 11 5" xfId="12451" xr:uid="{00000000-0005-0000-0000-000083370000}"/>
    <cellStyle name="Normal 2 30 5 11 5 2" xfId="30783" xr:uid="{00000000-0005-0000-0000-000084370000}"/>
    <cellStyle name="Normal 2 30 5 11 6" xfId="30779" xr:uid="{00000000-0005-0000-0000-000085370000}"/>
    <cellStyle name="Normal 2 30 5 12" xfId="12452" xr:uid="{00000000-0005-0000-0000-000086370000}"/>
    <cellStyle name="Normal 2 30 5 12 2" xfId="12453" xr:uid="{00000000-0005-0000-0000-000087370000}"/>
    <cellStyle name="Normal 2 30 5 12 2 2" xfId="30785" xr:uid="{00000000-0005-0000-0000-000088370000}"/>
    <cellStyle name="Normal 2 30 5 12 3" xfId="12454" xr:uid="{00000000-0005-0000-0000-000089370000}"/>
    <cellStyle name="Normal 2 30 5 12 3 2" xfId="30786" xr:uid="{00000000-0005-0000-0000-00008A370000}"/>
    <cellStyle name="Normal 2 30 5 12 4" xfId="12455" xr:uid="{00000000-0005-0000-0000-00008B370000}"/>
    <cellStyle name="Normal 2 30 5 12 4 2" xfId="30787" xr:uid="{00000000-0005-0000-0000-00008C370000}"/>
    <cellStyle name="Normal 2 30 5 12 5" xfId="12456" xr:uid="{00000000-0005-0000-0000-00008D370000}"/>
    <cellStyle name="Normal 2 30 5 12 5 2" xfId="30788" xr:uid="{00000000-0005-0000-0000-00008E370000}"/>
    <cellStyle name="Normal 2 30 5 12 6" xfId="30784" xr:uid="{00000000-0005-0000-0000-00008F370000}"/>
    <cellStyle name="Normal 2 30 5 13" xfId="12457" xr:uid="{00000000-0005-0000-0000-000090370000}"/>
    <cellStyle name="Normal 2 30 5 13 2" xfId="12458" xr:uid="{00000000-0005-0000-0000-000091370000}"/>
    <cellStyle name="Normal 2 30 5 13 2 2" xfId="30790" xr:uid="{00000000-0005-0000-0000-000092370000}"/>
    <cellStyle name="Normal 2 30 5 13 3" xfId="12459" xr:uid="{00000000-0005-0000-0000-000093370000}"/>
    <cellStyle name="Normal 2 30 5 13 3 2" xfId="30791" xr:uid="{00000000-0005-0000-0000-000094370000}"/>
    <cellStyle name="Normal 2 30 5 13 4" xfId="12460" xr:uid="{00000000-0005-0000-0000-000095370000}"/>
    <cellStyle name="Normal 2 30 5 13 4 2" xfId="30792" xr:uid="{00000000-0005-0000-0000-000096370000}"/>
    <cellStyle name="Normal 2 30 5 13 5" xfId="12461" xr:uid="{00000000-0005-0000-0000-000097370000}"/>
    <cellStyle name="Normal 2 30 5 13 5 2" xfId="30793" xr:uid="{00000000-0005-0000-0000-000098370000}"/>
    <cellStyle name="Normal 2 30 5 13 6" xfId="30789" xr:uid="{00000000-0005-0000-0000-000099370000}"/>
    <cellStyle name="Normal 2 30 5 14" xfId="12462" xr:uid="{00000000-0005-0000-0000-00009A370000}"/>
    <cellStyle name="Normal 2 30 5 14 2" xfId="12463" xr:uid="{00000000-0005-0000-0000-00009B370000}"/>
    <cellStyle name="Normal 2 30 5 14 2 2" xfId="30795" xr:uid="{00000000-0005-0000-0000-00009C370000}"/>
    <cellStyle name="Normal 2 30 5 14 3" xfId="12464" xr:uid="{00000000-0005-0000-0000-00009D370000}"/>
    <cellStyle name="Normal 2 30 5 14 3 2" xfId="30796" xr:uid="{00000000-0005-0000-0000-00009E370000}"/>
    <cellStyle name="Normal 2 30 5 14 4" xfId="12465" xr:uid="{00000000-0005-0000-0000-00009F370000}"/>
    <cellStyle name="Normal 2 30 5 14 4 2" xfId="30797" xr:uid="{00000000-0005-0000-0000-0000A0370000}"/>
    <cellStyle name="Normal 2 30 5 14 5" xfId="12466" xr:uid="{00000000-0005-0000-0000-0000A1370000}"/>
    <cellStyle name="Normal 2 30 5 14 5 2" xfId="30798" xr:uid="{00000000-0005-0000-0000-0000A2370000}"/>
    <cellStyle name="Normal 2 30 5 14 6" xfId="30794" xr:uid="{00000000-0005-0000-0000-0000A3370000}"/>
    <cellStyle name="Normal 2 30 5 15" xfId="12467" xr:uid="{00000000-0005-0000-0000-0000A4370000}"/>
    <cellStyle name="Normal 2 30 5 15 2" xfId="12468" xr:uid="{00000000-0005-0000-0000-0000A5370000}"/>
    <cellStyle name="Normal 2 30 5 15 2 2" xfId="30800" xr:uid="{00000000-0005-0000-0000-0000A6370000}"/>
    <cellStyle name="Normal 2 30 5 15 3" xfId="12469" xr:uid="{00000000-0005-0000-0000-0000A7370000}"/>
    <cellStyle name="Normal 2 30 5 15 3 2" xfId="30801" xr:uid="{00000000-0005-0000-0000-0000A8370000}"/>
    <cellStyle name="Normal 2 30 5 15 4" xfId="12470" xr:uid="{00000000-0005-0000-0000-0000A9370000}"/>
    <cellStyle name="Normal 2 30 5 15 4 2" xfId="30802" xr:uid="{00000000-0005-0000-0000-0000AA370000}"/>
    <cellStyle name="Normal 2 30 5 15 5" xfId="12471" xr:uid="{00000000-0005-0000-0000-0000AB370000}"/>
    <cellStyle name="Normal 2 30 5 15 5 2" xfId="30803" xr:uid="{00000000-0005-0000-0000-0000AC370000}"/>
    <cellStyle name="Normal 2 30 5 15 6" xfId="30799" xr:uid="{00000000-0005-0000-0000-0000AD370000}"/>
    <cellStyle name="Normal 2 30 5 16" xfId="12472" xr:uid="{00000000-0005-0000-0000-0000AE370000}"/>
    <cellStyle name="Normal 2 30 5 16 2" xfId="12473" xr:uid="{00000000-0005-0000-0000-0000AF370000}"/>
    <cellStyle name="Normal 2 30 5 16 2 2" xfId="30805" xr:uid="{00000000-0005-0000-0000-0000B0370000}"/>
    <cellStyle name="Normal 2 30 5 16 3" xfId="12474" xr:uid="{00000000-0005-0000-0000-0000B1370000}"/>
    <cellStyle name="Normal 2 30 5 16 3 2" xfId="30806" xr:uid="{00000000-0005-0000-0000-0000B2370000}"/>
    <cellStyle name="Normal 2 30 5 16 4" xfId="12475" xr:uid="{00000000-0005-0000-0000-0000B3370000}"/>
    <cellStyle name="Normal 2 30 5 16 4 2" xfId="30807" xr:uid="{00000000-0005-0000-0000-0000B4370000}"/>
    <cellStyle name="Normal 2 30 5 16 5" xfId="12476" xr:uid="{00000000-0005-0000-0000-0000B5370000}"/>
    <cellStyle name="Normal 2 30 5 16 5 2" xfId="30808" xr:uid="{00000000-0005-0000-0000-0000B6370000}"/>
    <cellStyle name="Normal 2 30 5 16 6" xfId="30804" xr:uid="{00000000-0005-0000-0000-0000B7370000}"/>
    <cellStyle name="Normal 2 30 5 17" xfId="12477" xr:uid="{00000000-0005-0000-0000-0000B8370000}"/>
    <cellStyle name="Normal 2 30 5 17 2" xfId="30809" xr:uid="{00000000-0005-0000-0000-0000B9370000}"/>
    <cellStyle name="Normal 2 30 5 18" xfId="12478" xr:uid="{00000000-0005-0000-0000-0000BA370000}"/>
    <cellStyle name="Normal 2 30 5 18 2" xfId="30810" xr:uid="{00000000-0005-0000-0000-0000BB370000}"/>
    <cellStyle name="Normal 2 30 5 19" xfId="12479" xr:uid="{00000000-0005-0000-0000-0000BC370000}"/>
    <cellStyle name="Normal 2 30 5 19 2" xfId="30811" xr:uid="{00000000-0005-0000-0000-0000BD370000}"/>
    <cellStyle name="Normal 2 30 5 2" xfId="12480" xr:uid="{00000000-0005-0000-0000-0000BE370000}"/>
    <cellStyle name="Normal 2 30 5 2 10" xfId="12481" xr:uid="{00000000-0005-0000-0000-0000BF370000}"/>
    <cellStyle name="Normal 2 30 5 2 10 2" xfId="30813" xr:uid="{00000000-0005-0000-0000-0000C0370000}"/>
    <cellStyle name="Normal 2 30 5 2 11" xfId="12482" xr:uid="{00000000-0005-0000-0000-0000C1370000}"/>
    <cellStyle name="Normal 2 30 5 2 11 2" xfId="30814" xr:uid="{00000000-0005-0000-0000-0000C2370000}"/>
    <cellStyle name="Normal 2 30 5 2 12" xfId="30812" xr:uid="{00000000-0005-0000-0000-0000C3370000}"/>
    <cellStyle name="Normal 2 30 5 2 2" xfId="12483" xr:uid="{00000000-0005-0000-0000-0000C4370000}"/>
    <cellStyle name="Normal 2 30 5 2 2 2" xfId="12484" xr:uid="{00000000-0005-0000-0000-0000C5370000}"/>
    <cellStyle name="Normal 2 30 5 2 2 2 2" xfId="30816" xr:uid="{00000000-0005-0000-0000-0000C6370000}"/>
    <cellStyle name="Normal 2 30 5 2 2 3" xfId="12485" xr:uid="{00000000-0005-0000-0000-0000C7370000}"/>
    <cellStyle name="Normal 2 30 5 2 2 3 2" xfId="30817" xr:uid="{00000000-0005-0000-0000-0000C8370000}"/>
    <cellStyle name="Normal 2 30 5 2 2 4" xfId="12486" xr:uid="{00000000-0005-0000-0000-0000C9370000}"/>
    <cellStyle name="Normal 2 30 5 2 2 4 2" xfId="30818" xr:uid="{00000000-0005-0000-0000-0000CA370000}"/>
    <cellStyle name="Normal 2 30 5 2 2 5" xfId="12487" xr:uid="{00000000-0005-0000-0000-0000CB370000}"/>
    <cellStyle name="Normal 2 30 5 2 2 5 2" xfId="30819" xr:uid="{00000000-0005-0000-0000-0000CC370000}"/>
    <cellStyle name="Normal 2 30 5 2 2 6" xfId="30815" xr:uid="{00000000-0005-0000-0000-0000CD370000}"/>
    <cellStyle name="Normal 2 30 5 2 3" xfId="12488" xr:uid="{00000000-0005-0000-0000-0000CE370000}"/>
    <cellStyle name="Normal 2 30 5 2 3 2" xfId="12489" xr:uid="{00000000-0005-0000-0000-0000CF370000}"/>
    <cellStyle name="Normal 2 30 5 2 3 2 2" xfId="30821" xr:uid="{00000000-0005-0000-0000-0000D0370000}"/>
    <cellStyle name="Normal 2 30 5 2 3 3" xfId="12490" xr:uid="{00000000-0005-0000-0000-0000D1370000}"/>
    <cellStyle name="Normal 2 30 5 2 3 3 2" xfId="30822" xr:uid="{00000000-0005-0000-0000-0000D2370000}"/>
    <cellStyle name="Normal 2 30 5 2 3 4" xfId="12491" xr:uid="{00000000-0005-0000-0000-0000D3370000}"/>
    <cellStyle name="Normal 2 30 5 2 3 4 2" xfId="30823" xr:uid="{00000000-0005-0000-0000-0000D4370000}"/>
    <cellStyle name="Normal 2 30 5 2 3 5" xfId="12492" xr:uid="{00000000-0005-0000-0000-0000D5370000}"/>
    <cellStyle name="Normal 2 30 5 2 3 5 2" xfId="30824" xr:uid="{00000000-0005-0000-0000-0000D6370000}"/>
    <cellStyle name="Normal 2 30 5 2 3 6" xfId="30820" xr:uid="{00000000-0005-0000-0000-0000D7370000}"/>
    <cellStyle name="Normal 2 30 5 2 4" xfId="12493" xr:uid="{00000000-0005-0000-0000-0000D8370000}"/>
    <cellStyle name="Normal 2 30 5 2 4 2" xfId="12494" xr:uid="{00000000-0005-0000-0000-0000D9370000}"/>
    <cellStyle name="Normal 2 30 5 2 4 2 2" xfId="30826" xr:uid="{00000000-0005-0000-0000-0000DA370000}"/>
    <cellStyle name="Normal 2 30 5 2 4 3" xfId="12495" xr:uid="{00000000-0005-0000-0000-0000DB370000}"/>
    <cellStyle name="Normal 2 30 5 2 4 3 2" xfId="30827" xr:uid="{00000000-0005-0000-0000-0000DC370000}"/>
    <cellStyle name="Normal 2 30 5 2 4 4" xfId="12496" xr:uid="{00000000-0005-0000-0000-0000DD370000}"/>
    <cellStyle name="Normal 2 30 5 2 4 4 2" xfId="30828" xr:uid="{00000000-0005-0000-0000-0000DE370000}"/>
    <cellStyle name="Normal 2 30 5 2 4 5" xfId="12497" xr:uid="{00000000-0005-0000-0000-0000DF370000}"/>
    <cellStyle name="Normal 2 30 5 2 4 5 2" xfId="30829" xr:uid="{00000000-0005-0000-0000-0000E0370000}"/>
    <cellStyle name="Normal 2 30 5 2 4 6" xfId="30825" xr:uid="{00000000-0005-0000-0000-0000E1370000}"/>
    <cellStyle name="Normal 2 30 5 2 5" xfId="12498" xr:uid="{00000000-0005-0000-0000-0000E2370000}"/>
    <cellStyle name="Normal 2 30 5 2 5 2" xfId="12499" xr:uid="{00000000-0005-0000-0000-0000E3370000}"/>
    <cellStyle name="Normal 2 30 5 2 5 2 2" xfId="30831" xr:uid="{00000000-0005-0000-0000-0000E4370000}"/>
    <cellStyle name="Normal 2 30 5 2 5 3" xfId="12500" xr:uid="{00000000-0005-0000-0000-0000E5370000}"/>
    <cellStyle name="Normal 2 30 5 2 5 3 2" xfId="30832" xr:uid="{00000000-0005-0000-0000-0000E6370000}"/>
    <cellStyle name="Normal 2 30 5 2 5 4" xfId="12501" xr:uid="{00000000-0005-0000-0000-0000E7370000}"/>
    <cellStyle name="Normal 2 30 5 2 5 4 2" xfId="30833" xr:uid="{00000000-0005-0000-0000-0000E8370000}"/>
    <cellStyle name="Normal 2 30 5 2 5 5" xfId="12502" xr:uid="{00000000-0005-0000-0000-0000E9370000}"/>
    <cellStyle name="Normal 2 30 5 2 5 5 2" xfId="30834" xr:uid="{00000000-0005-0000-0000-0000EA370000}"/>
    <cellStyle name="Normal 2 30 5 2 5 6" xfId="30830" xr:uid="{00000000-0005-0000-0000-0000EB370000}"/>
    <cellStyle name="Normal 2 30 5 2 6" xfId="12503" xr:uid="{00000000-0005-0000-0000-0000EC370000}"/>
    <cellStyle name="Normal 2 30 5 2 6 2" xfId="12504" xr:uid="{00000000-0005-0000-0000-0000ED370000}"/>
    <cellStyle name="Normal 2 30 5 2 6 2 2" xfId="30836" xr:uid="{00000000-0005-0000-0000-0000EE370000}"/>
    <cellStyle name="Normal 2 30 5 2 6 3" xfId="12505" xr:uid="{00000000-0005-0000-0000-0000EF370000}"/>
    <cellStyle name="Normal 2 30 5 2 6 3 2" xfId="30837" xr:uid="{00000000-0005-0000-0000-0000F0370000}"/>
    <cellStyle name="Normal 2 30 5 2 6 4" xfId="12506" xr:uid="{00000000-0005-0000-0000-0000F1370000}"/>
    <cellStyle name="Normal 2 30 5 2 6 4 2" xfId="30838" xr:uid="{00000000-0005-0000-0000-0000F2370000}"/>
    <cellStyle name="Normal 2 30 5 2 6 5" xfId="12507" xr:uid="{00000000-0005-0000-0000-0000F3370000}"/>
    <cellStyle name="Normal 2 30 5 2 6 5 2" xfId="30839" xr:uid="{00000000-0005-0000-0000-0000F4370000}"/>
    <cellStyle name="Normal 2 30 5 2 6 6" xfId="30835" xr:uid="{00000000-0005-0000-0000-0000F5370000}"/>
    <cellStyle name="Normal 2 30 5 2 7" xfId="12508" xr:uid="{00000000-0005-0000-0000-0000F6370000}"/>
    <cellStyle name="Normal 2 30 5 2 7 2" xfId="12509" xr:uid="{00000000-0005-0000-0000-0000F7370000}"/>
    <cellStyle name="Normal 2 30 5 2 7 2 2" xfId="30841" xr:uid="{00000000-0005-0000-0000-0000F8370000}"/>
    <cellStyle name="Normal 2 30 5 2 7 3" xfId="12510" xr:uid="{00000000-0005-0000-0000-0000F9370000}"/>
    <cellStyle name="Normal 2 30 5 2 7 3 2" xfId="30842" xr:uid="{00000000-0005-0000-0000-0000FA370000}"/>
    <cellStyle name="Normal 2 30 5 2 7 4" xfId="12511" xr:uid="{00000000-0005-0000-0000-0000FB370000}"/>
    <cellStyle name="Normal 2 30 5 2 7 4 2" xfId="30843" xr:uid="{00000000-0005-0000-0000-0000FC370000}"/>
    <cellStyle name="Normal 2 30 5 2 7 5" xfId="12512" xr:uid="{00000000-0005-0000-0000-0000FD370000}"/>
    <cellStyle name="Normal 2 30 5 2 7 5 2" xfId="30844" xr:uid="{00000000-0005-0000-0000-0000FE370000}"/>
    <cellStyle name="Normal 2 30 5 2 7 6" xfId="30840" xr:uid="{00000000-0005-0000-0000-0000FF370000}"/>
    <cellStyle name="Normal 2 30 5 2 8" xfId="12513" xr:uid="{00000000-0005-0000-0000-000000380000}"/>
    <cellStyle name="Normal 2 30 5 2 8 2" xfId="30845" xr:uid="{00000000-0005-0000-0000-000001380000}"/>
    <cellStyle name="Normal 2 30 5 2 9" xfId="12514" xr:uid="{00000000-0005-0000-0000-000002380000}"/>
    <cellStyle name="Normal 2 30 5 2 9 2" xfId="30846" xr:uid="{00000000-0005-0000-0000-000003380000}"/>
    <cellStyle name="Normal 2 30 5 20" xfId="12515" xr:uid="{00000000-0005-0000-0000-000004380000}"/>
    <cellStyle name="Normal 2 30 5 20 2" xfId="30847" xr:uid="{00000000-0005-0000-0000-000005380000}"/>
    <cellStyle name="Normal 2 30 5 21" xfId="30773" xr:uid="{00000000-0005-0000-0000-000006380000}"/>
    <cellStyle name="Normal 2 30 5 3" xfId="12516" xr:uid="{00000000-0005-0000-0000-000007380000}"/>
    <cellStyle name="Normal 2 30 5 3 2" xfId="12517" xr:uid="{00000000-0005-0000-0000-000008380000}"/>
    <cellStyle name="Normal 2 30 5 3 2 2" xfId="12518" xr:uid="{00000000-0005-0000-0000-000009380000}"/>
    <cellStyle name="Normal 2 30 5 3 2 2 2" xfId="30850" xr:uid="{00000000-0005-0000-0000-00000A380000}"/>
    <cellStyle name="Normal 2 30 5 3 2 3" xfId="12519" xr:uid="{00000000-0005-0000-0000-00000B380000}"/>
    <cellStyle name="Normal 2 30 5 3 2 3 2" xfId="30851" xr:uid="{00000000-0005-0000-0000-00000C380000}"/>
    <cellStyle name="Normal 2 30 5 3 2 4" xfId="12520" xr:uid="{00000000-0005-0000-0000-00000D380000}"/>
    <cellStyle name="Normal 2 30 5 3 2 4 2" xfId="30852" xr:uid="{00000000-0005-0000-0000-00000E380000}"/>
    <cellStyle name="Normal 2 30 5 3 2 5" xfId="12521" xr:uid="{00000000-0005-0000-0000-00000F380000}"/>
    <cellStyle name="Normal 2 30 5 3 2 5 2" xfId="30853" xr:uid="{00000000-0005-0000-0000-000010380000}"/>
    <cellStyle name="Normal 2 30 5 3 2 6" xfId="30849" xr:uid="{00000000-0005-0000-0000-000011380000}"/>
    <cellStyle name="Normal 2 30 5 3 3" xfId="12522" xr:uid="{00000000-0005-0000-0000-000012380000}"/>
    <cellStyle name="Normal 2 30 5 3 3 2" xfId="30854" xr:uid="{00000000-0005-0000-0000-000013380000}"/>
    <cellStyle name="Normal 2 30 5 3 4" xfId="12523" xr:uid="{00000000-0005-0000-0000-000014380000}"/>
    <cellStyle name="Normal 2 30 5 3 4 2" xfId="30855" xr:uid="{00000000-0005-0000-0000-000015380000}"/>
    <cellStyle name="Normal 2 30 5 3 5" xfId="12524" xr:uid="{00000000-0005-0000-0000-000016380000}"/>
    <cellStyle name="Normal 2 30 5 3 5 2" xfId="30856" xr:uid="{00000000-0005-0000-0000-000017380000}"/>
    <cellStyle name="Normal 2 30 5 3 6" xfId="12525" xr:uid="{00000000-0005-0000-0000-000018380000}"/>
    <cellStyle name="Normal 2 30 5 3 6 2" xfId="30857" xr:uid="{00000000-0005-0000-0000-000019380000}"/>
    <cellStyle name="Normal 2 30 5 3 7" xfId="30848" xr:uid="{00000000-0005-0000-0000-00001A380000}"/>
    <cellStyle name="Normal 2 30 5 4" xfId="12526" xr:uid="{00000000-0005-0000-0000-00001B380000}"/>
    <cellStyle name="Normal 2 30 5 4 2" xfId="12527" xr:uid="{00000000-0005-0000-0000-00001C380000}"/>
    <cellStyle name="Normal 2 30 5 4 2 2" xfId="12528" xr:uid="{00000000-0005-0000-0000-00001D380000}"/>
    <cellStyle name="Normal 2 30 5 4 2 2 2" xfId="30860" xr:uid="{00000000-0005-0000-0000-00001E380000}"/>
    <cellStyle name="Normal 2 30 5 4 2 3" xfId="12529" xr:uid="{00000000-0005-0000-0000-00001F380000}"/>
    <cellStyle name="Normal 2 30 5 4 2 3 2" xfId="30861" xr:uid="{00000000-0005-0000-0000-000020380000}"/>
    <cellStyle name="Normal 2 30 5 4 2 4" xfId="12530" xr:uid="{00000000-0005-0000-0000-000021380000}"/>
    <cellStyle name="Normal 2 30 5 4 2 4 2" xfId="30862" xr:uid="{00000000-0005-0000-0000-000022380000}"/>
    <cellStyle name="Normal 2 30 5 4 2 5" xfId="12531" xr:uid="{00000000-0005-0000-0000-000023380000}"/>
    <cellStyle name="Normal 2 30 5 4 2 5 2" xfId="30863" xr:uid="{00000000-0005-0000-0000-000024380000}"/>
    <cellStyle name="Normal 2 30 5 4 2 6" xfId="30859" xr:uid="{00000000-0005-0000-0000-000025380000}"/>
    <cellStyle name="Normal 2 30 5 4 3" xfId="12532" xr:uid="{00000000-0005-0000-0000-000026380000}"/>
    <cellStyle name="Normal 2 30 5 4 3 2" xfId="30864" xr:uid="{00000000-0005-0000-0000-000027380000}"/>
    <cellStyle name="Normal 2 30 5 4 4" xfId="12533" xr:uid="{00000000-0005-0000-0000-000028380000}"/>
    <cellStyle name="Normal 2 30 5 4 4 2" xfId="30865" xr:uid="{00000000-0005-0000-0000-000029380000}"/>
    <cellStyle name="Normal 2 30 5 4 5" xfId="12534" xr:uid="{00000000-0005-0000-0000-00002A380000}"/>
    <cellStyle name="Normal 2 30 5 4 5 2" xfId="30866" xr:uid="{00000000-0005-0000-0000-00002B380000}"/>
    <cellStyle name="Normal 2 30 5 4 6" xfId="12535" xr:uid="{00000000-0005-0000-0000-00002C380000}"/>
    <cellStyle name="Normal 2 30 5 4 6 2" xfId="30867" xr:uid="{00000000-0005-0000-0000-00002D380000}"/>
    <cellStyle name="Normal 2 30 5 4 7" xfId="30858" xr:uid="{00000000-0005-0000-0000-00002E380000}"/>
    <cellStyle name="Normal 2 30 5 5" xfId="12536" xr:uid="{00000000-0005-0000-0000-00002F380000}"/>
    <cellStyle name="Normal 2 30 5 5 2" xfId="12537" xr:uid="{00000000-0005-0000-0000-000030380000}"/>
    <cellStyle name="Normal 2 30 5 5 2 2" xfId="30869" xr:uid="{00000000-0005-0000-0000-000031380000}"/>
    <cellStyle name="Normal 2 30 5 5 3" xfId="12538" xr:uid="{00000000-0005-0000-0000-000032380000}"/>
    <cellStyle name="Normal 2 30 5 5 3 2" xfId="30870" xr:uid="{00000000-0005-0000-0000-000033380000}"/>
    <cellStyle name="Normal 2 30 5 5 4" xfId="12539" xr:uid="{00000000-0005-0000-0000-000034380000}"/>
    <cellStyle name="Normal 2 30 5 5 4 2" xfId="30871" xr:uid="{00000000-0005-0000-0000-000035380000}"/>
    <cellStyle name="Normal 2 30 5 5 5" xfId="12540" xr:uid="{00000000-0005-0000-0000-000036380000}"/>
    <cellStyle name="Normal 2 30 5 5 5 2" xfId="30872" xr:uid="{00000000-0005-0000-0000-000037380000}"/>
    <cellStyle name="Normal 2 30 5 5 6" xfId="30868" xr:uid="{00000000-0005-0000-0000-000038380000}"/>
    <cellStyle name="Normal 2 30 5 6" xfId="12541" xr:uid="{00000000-0005-0000-0000-000039380000}"/>
    <cellStyle name="Normal 2 30 5 6 2" xfId="12542" xr:uid="{00000000-0005-0000-0000-00003A380000}"/>
    <cellStyle name="Normal 2 30 5 6 2 2" xfId="30874" xr:uid="{00000000-0005-0000-0000-00003B380000}"/>
    <cellStyle name="Normal 2 30 5 6 3" xfId="12543" xr:uid="{00000000-0005-0000-0000-00003C380000}"/>
    <cellStyle name="Normal 2 30 5 6 3 2" xfId="30875" xr:uid="{00000000-0005-0000-0000-00003D380000}"/>
    <cellStyle name="Normal 2 30 5 6 4" xfId="12544" xr:uid="{00000000-0005-0000-0000-00003E380000}"/>
    <cellStyle name="Normal 2 30 5 6 4 2" xfId="30876" xr:uid="{00000000-0005-0000-0000-00003F380000}"/>
    <cellStyle name="Normal 2 30 5 6 5" xfId="12545" xr:uid="{00000000-0005-0000-0000-000040380000}"/>
    <cellStyle name="Normal 2 30 5 6 5 2" xfId="30877" xr:uid="{00000000-0005-0000-0000-000041380000}"/>
    <cellStyle name="Normal 2 30 5 6 6" xfId="30873" xr:uid="{00000000-0005-0000-0000-000042380000}"/>
    <cellStyle name="Normal 2 30 5 7" xfId="12546" xr:uid="{00000000-0005-0000-0000-000043380000}"/>
    <cellStyle name="Normal 2 30 5 7 2" xfId="12547" xr:uid="{00000000-0005-0000-0000-000044380000}"/>
    <cellStyle name="Normal 2 30 5 7 2 2" xfId="30879" xr:uid="{00000000-0005-0000-0000-000045380000}"/>
    <cellStyle name="Normal 2 30 5 7 3" xfId="12548" xr:uid="{00000000-0005-0000-0000-000046380000}"/>
    <cellStyle name="Normal 2 30 5 7 3 2" xfId="30880" xr:uid="{00000000-0005-0000-0000-000047380000}"/>
    <cellStyle name="Normal 2 30 5 7 4" xfId="12549" xr:uid="{00000000-0005-0000-0000-000048380000}"/>
    <cellStyle name="Normal 2 30 5 7 4 2" xfId="30881" xr:uid="{00000000-0005-0000-0000-000049380000}"/>
    <cellStyle name="Normal 2 30 5 7 5" xfId="12550" xr:uid="{00000000-0005-0000-0000-00004A380000}"/>
    <cellStyle name="Normal 2 30 5 7 5 2" xfId="30882" xr:uid="{00000000-0005-0000-0000-00004B380000}"/>
    <cellStyle name="Normal 2 30 5 7 6" xfId="30878" xr:uid="{00000000-0005-0000-0000-00004C380000}"/>
    <cellStyle name="Normal 2 30 5 8" xfId="12551" xr:uid="{00000000-0005-0000-0000-00004D380000}"/>
    <cellStyle name="Normal 2 30 5 8 2" xfId="12552" xr:uid="{00000000-0005-0000-0000-00004E380000}"/>
    <cellStyle name="Normal 2 30 5 8 2 2" xfId="30884" xr:uid="{00000000-0005-0000-0000-00004F380000}"/>
    <cellStyle name="Normal 2 30 5 8 3" xfId="12553" xr:uid="{00000000-0005-0000-0000-000050380000}"/>
    <cellStyle name="Normal 2 30 5 8 3 2" xfId="30885" xr:uid="{00000000-0005-0000-0000-000051380000}"/>
    <cellStyle name="Normal 2 30 5 8 4" xfId="12554" xr:uid="{00000000-0005-0000-0000-000052380000}"/>
    <cellStyle name="Normal 2 30 5 8 4 2" xfId="30886" xr:uid="{00000000-0005-0000-0000-000053380000}"/>
    <cellStyle name="Normal 2 30 5 8 5" xfId="12555" xr:uid="{00000000-0005-0000-0000-000054380000}"/>
    <cellStyle name="Normal 2 30 5 8 5 2" xfId="30887" xr:uid="{00000000-0005-0000-0000-000055380000}"/>
    <cellStyle name="Normal 2 30 5 8 6" xfId="30883" xr:uid="{00000000-0005-0000-0000-000056380000}"/>
    <cellStyle name="Normal 2 30 5 9" xfId="12556" xr:uid="{00000000-0005-0000-0000-000057380000}"/>
    <cellStyle name="Normal 2 30 5 9 2" xfId="12557" xr:uid="{00000000-0005-0000-0000-000058380000}"/>
    <cellStyle name="Normal 2 30 5 9 2 2" xfId="30889" xr:uid="{00000000-0005-0000-0000-000059380000}"/>
    <cellStyle name="Normal 2 30 5 9 3" xfId="12558" xr:uid="{00000000-0005-0000-0000-00005A380000}"/>
    <cellStyle name="Normal 2 30 5 9 3 2" xfId="30890" xr:uid="{00000000-0005-0000-0000-00005B380000}"/>
    <cellStyle name="Normal 2 30 5 9 4" xfId="12559" xr:uid="{00000000-0005-0000-0000-00005C380000}"/>
    <cellStyle name="Normal 2 30 5 9 4 2" xfId="30891" xr:uid="{00000000-0005-0000-0000-00005D380000}"/>
    <cellStyle name="Normal 2 30 5 9 5" xfId="12560" xr:uid="{00000000-0005-0000-0000-00005E380000}"/>
    <cellStyle name="Normal 2 30 5 9 5 2" xfId="30892" xr:uid="{00000000-0005-0000-0000-00005F380000}"/>
    <cellStyle name="Normal 2 30 5 9 6" xfId="30888" xr:uid="{00000000-0005-0000-0000-000060380000}"/>
    <cellStyle name="Normal 2 30 6" xfId="12561" xr:uid="{00000000-0005-0000-0000-000061380000}"/>
    <cellStyle name="Normal 2 30 6 10" xfId="12562" xr:uid="{00000000-0005-0000-0000-000062380000}"/>
    <cellStyle name="Normal 2 30 6 10 2" xfId="12563" xr:uid="{00000000-0005-0000-0000-000063380000}"/>
    <cellStyle name="Normal 2 30 6 10 2 2" xfId="30895" xr:uid="{00000000-0005-0000-0000-000064380000}"/>
    <cellStyle name="Normal 2 30 6 10 3" xfId="12564" xr:uid="{00000000-0005-0000-0000-000065380000}"/>
    <cellStyle name="Normal 2 30 6 10 3 2" xfId="30896" xr:uid="{00000000-0005-0000-0000-000066380000}"/>
    <cellStyle name="Normal 2 30 6 10 4" xfId="12565" xr:uid="{00000000-0005-0000-0000-000067380000}"/>
    <cellStyle name="Normal 2 30 6 10 4 2" xfId="30897" xr:uid="{00000000-0005-0000-0000-000068380000}"/>
    <cellStyle name="Normal 2 30 6 10 5" xfId="12566" xr:uid="{00000000-0005-0000-0000-000069380000}"/>
    <cellStyle name="Normal 2 30 6 10 5 2" xfId="30898" xr:uid="{00000000-0005-0000-0000-00006A380000}"/>
    <cellStyle name="Normal 2 30 6 10 6" xfId="30894" xr:uid="{00000000-0005-0000-0000-00006B380000}"/>
    <cellStyle name="Normal 2 30 6 11" xfId="12567" xr:uid="{00000000-0005-0000-0000-00006C380000}"/>
    <cellStyle name="Normal 2 30 6 11 2" xfId="12568" xr:uid="{00000000-0005-0000-0000-00006D380000}"/>
    <cellStyle name="Normal 2 30 6 11 2 2" xfId="30900" xr:uid="{00000000-0005-0000-0000-00006E380000}"/>
    <cellStyle name="Normal 2 30 6 11 3" xfId="12569" xr:uid="{00000000-0005-0000-0000-00006F380000}"/>
    <cellStyle name="Normal 2 30 6 11 3 2" xfId="30901" xr:uid="{00000000-0005-0000-0000-000070380000}"/>
    <cellStyle name="Normal 2 30 6 11 4" xfId="12570" xr:uid="{00000000-0005-0000-0000-000071380000}"/>
    <cellStyle name="Normal 2 30 6 11 4 2" xfId="30902" xr:uid="{00000000-0005-0000-0000-000072380000}"/>
    <cellStyle name="Normal 2 30 6 11 5" xfId="12571" xr:uid="{00000000-0005-0000-0000-000073380000}"/>
    <cellStyle name="Normal 2 30 6 11 5 2" xfId="30903" xr:uid="{00000000-0005-0000-0000-000074380000}"/>
    <cellStyle name="Normal 2 30 6 11 6" xfId="30899" xr:uid="{00000000-0005-0000-0000-000075380000}"/>
    <cellStyle name="Normal 2 30 6 12" xfId="12572" xr:uid="{00000000-0005-0000-0000-000076380000}"/>
    <cellStyle name="Normal 2 30 6 12 2" xfId="12573" xr:uid="{00000000-0005-0000-0000-000077380000}"/>
    <cellStyle name="Normal 2 30 6 12 2 2" xfId="30905" xr:uid="{00000000-0005-0000-0000-000078380000}"/>
    <cellStyle name="Normal 2 30 6 12 3" xfId="12574" xr:uid="{00000000-0005-0000-0000-000079380000}"/>
    <cellStyle name="Normal 2 30 6 12 3 2" xfId="30906" xr:uid="{00000000-0005-0000-0000-00007A380000}"/>
    <cellStyle name="Normal 2 30 6 12 4" xfId="12575" xr:uid="{00000000-0005-0000-0000-00007B380000}"/>
    <cellStyle name="Normal 2 30 6 12 4 2" xfId="30907" xr:uid="{00000000-0005-0000-0000-00007C380000}"/>
    <cellStyle name="Normal 2 30 6 12 5" xfId="12576" xr:uid="{00000000-0005-0000-0000-00007D380000}"/>
    <cellStyle name="Normal 2 30 6 12 5 2" xfId="30908" xr:uid="{00000000-0005-0000-0000-00007E380000}"/>
    <cellStyle name="Normal 2 30 6 12 6" xfId="30904" xr:uid="{00000000-0005-0000-0000-00007F380000}"/>
    <cellStyle name="Normal 2 30 6 13" xfId="12577" xr:uid="{00000000-0005-0000-0000-000080380000}"/>
    <cellStyle name="Normal 2 30 6 13 2" xfId="12578" xr:uid="{00000000-0005-0000-0000-000081380000}"/>
    <cellStyle name="Normal 2 30 6 13 2 2" xfId="30910" xr:uid="{00000000-0005-0000-0000-000082380000}"/>
    <cellStyle name="Normal 2 30 6 13 3" xfId="12579" xr:uid="{00000000-0005-0000-0000-000083380000}"/>
    <cellStyle name="Normal 2 30 6 13 3 2" xfId="30911" xr:uid="{00000000-0005-0000-0000-000084380000}"/>
    <cellStyle name="Normal 2 30 6 13 4" xfId="12580" xr:uid="{00000000-0005-0000-0000-000085380000}"/>
    <cellStyle name="Normal 2 30 6 13 4 2" xfId="30912" xr:uid="{00000000-0005-0000-0000-000086380000}"/>
    <cellStyle name="Normal 2 30 6 13 5" xfId="12581" xr:uid="{00000000-0005-0000-0000-000087380000}"/>
    <cellStyle name="Normal 2 30 6 13 5 2" xfId="30913" xr:uid="{00000000-0005-0000-0000-000088380000}"/>
    <cellStyle name="Normal 2 30 6 13 6" xfId="30909" xr:uid="{00000000-0005-0000-0000-000089380000}"/>
    <cellStyle name="Normal 2 30 6 14" xfId="12582" xr:uid="{00000000-0005-0000-0000-00008A380000}"/>
    <cellStyle name="Normal 2 30 6 14 2" xfId="12583" xr:uid="{00000000-0005-0000-0000-00008B380000}"/>
    <cellStyle name="Normal 2 30 6 14 2 2" xfId="30915" xr:uid="{00000000-0005-0000-0000-00008C380000}"/>
    <cellStyle name="Normal 2 30 6 14 3" xfId="12584" xr:uid="{00000000-0005-0000-0000-00008D380000}"/>
    <cellStyle name="Normal 2 30 6 14 3 2" xfId="30916" xr:uid="{00000000-0005-0000-0000-00008E380000}"/>
    <cellStyle name="Normal 2 30 6 14 4" xfId="12585" xr:uid="{00000000-0005-0000-0000-00008F380000}"/>
    <cellStyle name="Normal 2 30 6 14 4 2" xfId="30917" xr:uid="{00000000-0005-0000-0000-000090380000}"/>
    <cellStyle name="Normal 2 30 6 14 5" xfId="12586" xr:uid="{00000000-0005-0000-0000-000091380000}"/>
    <cellStyle name="Normal 2 30 6 14 5 2" xfId="30918" xr:uid="{00000000-0005-0000-0000-000092380000}"/>
    <cellStyle name="Normal 2 30 6 14 6" xfId="30914" xr:uid="{00000000-0005-0000-0000-000093380000}"/>
    <cellStyle name="Normal 2 30 6 15" xfId="12587" xr:uid="{00000000-0005-0000-0000-000094380000}"/>
    <cellStyle name="Normal 2 30 6 15 2" xfId="12588" xr:uid="{00000000-0005-0000-0000-000095380000}"/>
    <cellStyle name="Normal 2 30 6 15 2 2" xfId="30920" xr:uid="{00000000-0005-0000-0000-000096380000}"/>
    <cellStyle name="Normal 2 30 6 15 3" xfId="12589" xr:uid="{00000000-0005-0000-0000-000097380000}"/>
    <cellStyle name="Normal 2 30 6 15 3 2" xfId="30921" xr:uid="{00000000-0005-0000-0000-000098380000}"/>
    <cellStyle name="Normal 2 30 6 15 4" xfId="12590" xr:uid="{00000000-0005-0000-0000-000099380000}"/>
    <cellStyle name="Normal 2 30 6 15 4 2" xfId="30922" xr:uid="{00000000-0005-0000-0000-00009A380000}"/>
    <cellStyle name="Normal 2 30 6 15 5" xfId="12591" xr:uid="{00000000-0005-0000-0000-00009B380000}"/>
    <cellStyle name="Normal 2 30 6 15 5 2" xfId="30923" xr:uid="{00000000-0005-0000-0000-00009C380000}"/>
    <cellStyle name="Normal 2 30 6 15 6" xfId="30919" xr:uid="{00000000-0005-0000-0000-00009D380000}"/>
    <cellStyle name="Normal 2 30 6 16" xfId="12592" xr:uid="{00000000-0005-0000-0000-00009E380000}"/>
    <cellStyle name="Normal 2 30 6 16 2" xfId="12593" xr:uid="{00000000-0005-0000-0000-00009F380000}"/>
    <cellStyle name="Normal 2 30 6 16 2 2" xfId="30925" xr:uid="{00000000-0005-0000-0000-0000A0380000}"/>
    <cellStyle name="Normal 2 30 6 16 3" xfId="12594" xr:uid="{00000000-0005-0000-0000-0000A1380000}"/>
    <cellStyle name="Normal 2 30 6 16 3 2" xfId="30926" xr:uid="{00000000-0005-0000-0000-0000A2380000}"/>
    <cellStyle name="Normal 2 30 6 16 4" xfId="12595" xr:uid="{00000000-0005-0000-0000-0000A3380000}"/>
    <cellStyle name="Normal 2 30 6 16 4 2" xfId="30927" xr:uid="{00000000-0005-0000-0000-0000A4380000}"/>
    <cellStyle name="Normal 2 30 6 16 5" xfId="12596" xr:uid="{00000000-0005-0000-0000-0000A5380000}"/>
    <cellStyle name="Normal 2 30 6 16 5 2" xfId="30928" xr:uid="{00000000-0005-0000-0000-0000A6380000}"/>
    <cellStyle name="Normal 2 30 6 16 6" xfId="30924" xr:uid="{00000000-0005-0000-0000-0000A7380000}"/>
    <cellStyle name="Normal 2 30 6 17" xfId="12597" xr:uid="{00000000-0005-0000-0000-0000A8380000}"/>
    <cellStyle name="Normal 2 30 6 17 2" xfId="30929" xr:uid="{00000000-0005-0000-0000-0000A9380000}"/>
    <cellStyle name="Normal 2 30 6 18" xfId="12598" xr:uid="{00000000-0005-0000-0000-0000AA380000}"/>
    <cellStyle name="Normal 2 30 6 18 2" xfId="30930" xr:uid="{00000000-0005-0000-0000-0000AB380000}"/>
    <cellStyle name="Normal 2 30 6 19" xfId="12599" xr:uid="{00000000-0005-0000-0000-0000AC380000}"/>
    <cellStyle name="Normal 2 30 6 19 2" xfId="30931" xr:uid="{00000000-0005-0000-0000-0000AD380000}"/>
    <cellStyle name="Normal 2 30 6 2" xfId="12600" xr:uid="{00000000-0005-0000-0000-0000AE380000}"/>
    <cellStyle name="Normal 2 30 6 20" xfId="12601" xr:uid="{00000000-0005-0000-0000-0000AF380000}"/>
    <cellStyle name="Normal 2 30 6 20 2" xfId="30932" xr:uid="{00000000-0005-0000-0000-0000B0380000}"/>
    <cellStyle name="Normal 2 30 6 21" xfId="30893" xr:uid="{00000000-0005-0000-0000-0000B1380000}"/>
    <cellStyle name="Normal 2 30 6 3" xfId="12602" xr:uid="{00000000-0005-0000-0000-0000B2380000}"/>
    <cellStyle name="Normal 2 30 6 3 2" xfId="12603" xr:uid="{00000000-0005-0000-0000-0000B3380000}"/>
    <cellStyle name="Normal 2 30 6 3 2 2" xfId="30934" xr:uid="{00000000-0005-0000-0000-0000B4380000}"/>
    <cellStyle name="Normal 2 30 6 3 3" xfId="12604" xr:uid="{00000000-0005-0000-0000-0000B5380000}"/>
    <cellStyle name="Normal 2 30 6 3 3 2" xfId="30935" xr:uid="{00000000-0005-0000-0000-0000B6380000}"/>
    <cellStyle name="Normal 2 30 6 3 4" xfId="12605" xr:uid="{00000000-0005-0000-0000-0000B7380000}"/>
    <cellStyle name="Normal 2 30 6 3 4 2" xfId="30936" xr:uid="{00000000-0005-0000-0000-0000B8380000}"/>
    <cellStyle name="Normal 2 30 6 3 5" xfId="12606" xr:uid="{00000000-0005-0000-0000-0000B9380000}"/>
    <cellStyle name="Normal 2 30 6 3 5 2" xfId="30937" xr:uid="{00000000-0005-0000-0000-0000BA380000}"/>
    <cellStyle name="Normal 2 30 6 3 6" xfId="30933" xr:uid="{00000000-0005-0000-0000-0000BB380000}"/>
    <cellStyle name="Normal 2 30 6 4" xfId="12607" xr:uid="{00000000-0005-0000-0000-0000BC380000}"/>
    <cellStyle name="Normal 2 30 6 4 2" xfId="12608" xr:uid="{00000000-0005-0000-0000-0000BD380000}"/>
    <cellStyle name="Normal 2 30 6 4 2 2" xfId="30939" xr:uid="{00000000-0005-0000-0000-0000BE380000}"/>
    <cellStyle name="Normal 2 30 6 4 3" xfId="12609" xr:uid="{00000000-0005-0000-0000-0000BF380000}"/>
    <cellStyle name="Normal 2 30 6 4 3 2" xfId="30940" xr:uid="{00000000-0005-0000-0000-0000C0380000}"/>
    <cellStyle name="Normal 2 30 6 4 4" xfId="12610" xr:uid="{00000000-0005-0000-0000-0000C1380000}"/>
    <cellStyle name="Normal 2 30 6 4 4 2" xfId="30941" xr:uid="{00000000-0005-0000-0000-0000C2380000}"/>
    <cellStyle name="Normal 2 30 6 4 5" xfId="12611" xr:uid="{00000000-0005-0000-0000-0000C3380000}"/>
    <cellStyle name="Normal 2 30 6 4 5 2" xfId="30942" xr:uid="{00000000-0005-0000-0000-0000C4380000}"/>
    <cellStyle name="Normal 2 30 6 4 6" xfId="30938" xr:uid="{00000000-0005-0000-0000-0000C5380000}"/>
    <cellStyle name="Normal 2 30 6 5" xfId="12612" xr:uid="{00000000-0005-0000-0000-0000C6380000}"/>
    <cellStyle name="Normal 2 30 6 5 2" xfId="12613" xr:uid="{00000000-0005-0000-0000-0000C7380000}"/>
    <cellStyle name="Normal 2 30 6 5 2 2" xfId="30944" xr:uid="{00000000-0005-0000-0000-0000C8380000}"/>
    <cellStyle name="Normal 2 30 6 5 3" xfId="12614" xr:uid="{00000000-0005-0000-0000-0000C9380000}"/>
    <cellStyle name="Normal 2 30 6 5 3 2" xfId="30945" xr:uid="{00000000-0005-0000-0000-0000CA380000}"/>
    <cellStyle name="Normal 2 30 6 5 4" xfId="12615" xr:uid="{00000000-0005-0000-0000-0000CB380000}"/>
    <cellStyle name="Normal 2 30 6 5 4 2" xfId="30946" xr:uid="{00000000-0005-0000-0000-0000CC380000}"/>
    <cellStyle name="Normal 2 30 6 5 5" xfId="12616" xr:uid="{00000000-0005-0000-0000-0000CD380000}"/>
    <cellStyle name="Normal 2 30 6 5 5 2" xfId="30947" xr:uid="{00000000-0005-0000-0000-0000CE380000}"/>
    <cellStyle name="Normal 2 30 6 5 6" xfId="30943" xr:uid="{00000000-0005-0000-0000-0000CF380000}"/>
    <cellStyle name="Normal 2 30 6 6" xfId="12617" xr:uid="{00000000-0005-0000-0000-0000D0380000}"/>
    <cellStyle name="Normal 2 30 6 6 2" xfId="12618" xr:uid="{00000000-0005-0000-0000-0000D1380000}"/>
    <cellStyle name="Normal 2 30 6 6 2 2" xfId="30949" xr:uid="{00000000-0005-0000-0000-0000D2380000}"/>
    <cellStyle name="Normal 2 30 6 6 3" xfId="12619" xr:uid="{00000000-0005-0000-0000-0000D3380000}"/>
    <cellStyle name="Normal 2 30 6 6 3 2" xfId="30950" xr:uid="{00000000-0005-0000-0000-0000D4380000}"/>
    <cellStyle name="Normal 2 30 6 6 4" xfId="12620" xr:uid="{00000000-0005-0000-0000-0000D5380000}"/>
    <cellStyle name="Normal 2 30 6 6 4 2" xfId="30951" xr:uid="{00000000-0005-0000-0000-0000D6380000}"/>
    <cellStyle name="Normal 2 30 6 6 5" xfId="12621" xr:uid="{00000000-0005-0000-0000-0000D7380000}"/>
    <cellStyle name="Normal 2 30 6 6 5 2" xfId="30952" xr:uid="{00000000-0005-0000-0000-0000D8380000}"/>
    <cellStyle name="Normal 2 30 6 6 6" xfId="30948" xr:uid="{00000000-0005-0000-0000-0000D9380000}"/>
    <cellStyle name="Normal 2 30 6 7" xfId="12622" xr:uid="{00000000-0005-0000-0000-0000DA380000}"/>
    <cellStyle name="Normal 2 30 6 7 2" xfId="12623" xr:uid="{00000000-0005-0000-0000-0000DB380000}"/>
    <cellStyle name="Normal 2 30 6 7 2 2" xfId="30954" xr:uid="{00000000-0005-0000-0000-0000DC380000}"/>
    <cellStyle name="Normal 2 30 6 7 3" xfId="12624" xr:uid="{00000000-0005-0000-0000-0000DD380000}"/>
    <cellStyle name="Normal 2 30 6 7 3 2" xfId="30955" xr:uid="{00000000-0005-0000-0000-0000DE380000}"/>
    <cellStyle name="Normal 2 30 6 7 4" xfId="12625" xr:uid="{00000000-0005-0000-0000-0000DF380000}"/>
    <cellStyle name="Normal 2 30 6 7 4 2" xfId="30956" xr:uid="{00000000-0005-0000-0000-0000E0380000}"/>
    <cellStyle name="Normal 2 30 6 7 5" xfId="12626" xr:uid="{00000000-0005-0000-0000-0000E1380000}"/>
    <cellStyle name="Normal 2 30 6 7 5 2" xfId="30957" xr:uid="{00000000-0005-0000-0000-0000E2380000}"/>
    <cellStyle name="Normal 2 30 6 7 6" xfId="30953" xr:uid="{00000000-0005-0000-0000-0000E3380000}"/>
    <cellStyle name="Normal 2 30 6 8" xfId="12627" xr:uid="{00000000-0005-0000-0000-0000E4380000}"/>
    <cellStyle name="Normal 2 30 6 8 2" xfId="12628" xr:uid="{00000000-0005-0000-0000-0000E5380000}"/>
    <cellStyle name="Normal 2 30 6 8 2 2" xfId="30959" xr:uid="{00000000-0005-0000-0000-0000E6380000}"/>
    <cellStyle name="Normal 2 30 6 8 3" xfId="12629" xr:uid="{00000000-0005-0000-0000-0000E7380000}"/>
    <cellStyle name="Normal 2 30 6 8 3 2" xfId="30960" xr:uid="{00000000-0005-0000-0000-0000E8380000}"/>
    <cellStyle name="Normal 2 30 6 8 4" xfId="12630" xr:uid="{00000000-0005-0000-0000-0000E9380000}"/>
    <cellStyle name="Normal 2 30 6 8 4 2" xfId="30961" xr:uid="{00000000-0005-0000-0000-0000EA380000}"/>
    <cellStyle name="Normal 2 30 6 8 5" xfId="12631" xr:uid="{00000000-0005-0000-0000-0000EB380000}"/>
    <cellStyle name="Normal 2 30 6 8 5 2" xfId="30962" xr:uid="{00000000-0005-0000-0000-0000EC380000}"/>
    <cellStyle name="Normal 2 30 6 8 6" xfId="30958" xr:uid="{00000000-0005-0000-0000-0000ED380000}"/>
    <cellStyle name="Normal 2 30 6 9" xfId="12632" xr:uid="{00000000-0005-0000-0000-0000EE380000}"/>
    <cellStyle name="Normal 2 30 6 9 2" xfId="12633" xr:uid="{00000000-0005-0000-0000-0000EF380000}"/>
    <cellStyle name="Normal 2 30 6 9 2 2" xfId="30964" xr:uid="{00000000-0005-0000-0000-0000F0380000}"/>
    <cellStyle name="Normal 2 30 6 9 3" xfId="12634" xr:uid="{00000000-0005-0000-0000-0000F1380000}"/>
    <cellStyle name="Normal 2 30 6 9 3 2" xfId="30965" xr:uid="{00000000-0005-0000-0000-0000F2380000}"/>
    <cellStyle name="Normal 2 30 6 9 4" xfId="12635" xr:uid="{00000000-0005-0000-0000-0000F3380000}"/>
    <cellStyle name="Normal 2 30 6 9 4 2" xfId="30966" xr:uid="{00000000-0005-0000-0000-0000F4380000}"/>
    <cellStyle name="Normal 2 30 6 9 5" xfId="12636" xr:uid="{00000000-0005-0000-0000-0000F5380000}"/>
    <cellStyle name="Normal 2 30 6 9 5 2" xfId="30967" xr:uid="{00000000-0005-0000-0000-0000F6380000}"/>
    <cellStyle name="Normal 2 30 6 9 6" xfId="30963" xr:uid="{00000000-0005-0000-0000-0000F7380000}"/>
    <cellStyle name="Normal 2 30 7" xfId="12637" xr:uid="{00000000-0005-0000-0000-0000F8380000}"/>
    <cellStyle name="Normal 2 30 7 2" xfId="12638" xr:uid="{00000000-0005-0000-0000-0000F9380000}"/>
    <cellStyle name="Normal 2 30 7 3" xfId="12639" xr:uid="{00000000-0005-0000-0000-0000FA380000}"/>
    <cellStyle name="Normal 2 30 7 3 2" xfId="30969" xr:uid="{00000000-0005-0000-0000-0000FB380000}"/>
    <cellStyle name="Normal 2 30 7 4" xfId="12640" xr:uid="{00000000-0005-0000-0000-0000FC380000}"/>
    <cellStyle name="Normal 2 30 7 4 2" xfId="30970" xr:uid="{00000000-0005-0000-0000-0000FD380000}"/>
    <cellStyle name="Normal 2 30 7 5" xfId="12641" xr:uid="{00000000-0005-0000-0000-0000FE380000}"/>
    <cellStyle name="Normal 2 30 7 5 2" xfId="30971" xr:uid="{00000000-0005-0000-0000-0000FF380000}"/>
    <cellStyle name="Normal 2 30 7 6" xfId="12642" xr:uid="{00000000-0005-0000-0000-000000390000}"/>
    <cellStyle name="Normal 2 30 7 6 2" xfId="30972" xr:uid="{00000000-0005-0000-0000-000001390000}"/>
    <cellStyle name="Normal 2 30 7 7" xfId="30968" xr:uid="{00000000-0005-0000-0000-000002390000}"/>
    <cellStyle name="Normal 2 30 8" xfId="12643" xr:uid="{00000000-0005-0000-0000-000003390000}"/>
    <cellStyle name="Normal 2 30 8 2" xfId="12644" xr:uid="{00000000-0005-0000-0000-000004390000}"/>
    <cellStyle name="Normal 2 30 8 3" xfId="12645" xr:uid="{00000000-0005-0000-0000-000005390000}"/>
    <cellStyle name="Normal 2 30 8 3 2" xfId="30974" xr:uid="{00000000-0005-0000-0000-000006390000}"/>
    <cellStyle name="Normal 2 30 8 4" xfId="12646" xr:uid="{00000000-0005-0000-0000-000007390000}"/>
    <cellStyle name="Normal 2 30 8 4 2" xfId="30975" xr:uid="{00000000-0005-0000-0000-000008390000}"/>
    <cellStyle name="Normal 2 30 8 5" xfId="12647" xr:uid="{00000000-0005-0000-0000-000009390000}"/>
    <cellStyle name="Normal 2 30 8 5 2" xfId="30976" xr:uid="{00000000-0005-0000-0000-00000A390000}"/>
    <cellStyle name="Normal 2 30 8 6" xfId="12648" xr:uid="{00000000-0005-0000-0000-00000B390000}"/>
    <cellStyle name="Normal 2 30 8 6 2" xfId="30977" xr:uid="{00000000-0005-0000-0000-00000C390000}"/>
    <cellStyle name="Normal 2 30 8 7" xfId="30973" xr:uid="{00000000-0005-0000-0000-00000D390000}"/>
    <cellStyle name="Normal 2 30 9" xfId="12649" xr:uid="{00000000-0005-0000-0000-00000E390000}"/>
    <cellStyle name="Normal 2 30 9 2" xfId="12650" xr:uid="{00000000-0005-0000-0000-00000F390000}"/>
    <cellStyle name="Normal 2 30 9 3" xfId="12651" xr:uid="{00000000-0005-0000-0000-000010390000}"/>
    <cellStyle name="Normal 2 30 9 3 2" xfId="30979" xr:uid="{00000000-0005-0000-0000-000011390000}"/>
    <cellStyle name="Normal 2 30 9 4" xfId="12652" xr:uid="{00000000-0005-0000-0000-000012390000}"/>
    <cellStyle name="Normal 2 30 9 4 2" xfId="30980" xr:uid="{00000000-0005-0000-0000-000013390000}"/>
    <cellStyle name="Normal 2 30 9 5" xfId="12653" xr:uid="{00000000-0005-0000-0000-000014390000}"/>
    <cellStyle name="Normal 2 30 9 5 2" xfId="30981" xr:uid="{00000000-0005-0000-0000-000015390000}"/>
    <cellStyle name="Normal 2 30 9 6" xfId="12654" xr:uid="{00000000-0005-0000-0000-000016390000}"/>
    <cellStyle name="Normal 2 30 9 6 2" xfId="30982" xr:uid="{00000000-0005-0000-0000-000017390000}"/>
    <cellStyle name="Normal 2 30 9 7" xfId="30978" xr:uid="{00000000-0005-0000-0000-000018390000}"/>
    <cellStyle name="Normal 2 31" xfId="12655" xr:uid="{00000000-0005-0000-0000-000019390000}"/>
    <cellStyle name="Normal 2 31 10" xfId="12656" xr:uid="{00000000-0005-0000-0000-00001A390000}"/>
    <cellStyle name="Normal 2 31 2" xfId="12657" xr:uid="{00000000-0005-0000-0000-00001B390000}"/>
    <cellStyle name="Normal 2 31 2 2" xfId="12658" xr:uid="{00000000-0005-0000-0000-00001C390000}"/>
    <cellStyle name="Normal 2 31 2 3" xfId="12659" xr:uid="{00000000-0005-0000-0000-00001D390000}"/>
    <cellStyle name="Normal 2 31 2 4" xfId="12660" xr:uid="{00000000-0005-0000-0000-00001E390000}"/>
    <cellStyle name="Normal 2 31 2 5" xfId="12661" xr:uid="{00000000-0005-0000-0000-00001F390000}"/>
    <cellStyle name="Normal 2 31 2 6" xfId="12662" xr:uid="{00000000-0005-0000-0000-000020390000}"/>
    <cellStyle name="Normal 2 31 2 7" xfId="12663" xr:uid="{00000000-0005-0000-0000-000021390000}"/>
    <cellStyle name="Normal 2 31 3" xfId="12664" xr:uid="{00000000-0005-0000-0000-000022390000}"/>
    <cellStyle name="Normal 2 31 4" xfId="12665" xr:uid="{00000000-0005-0000-0000-000023390000}"/>
    <cellStyle name="Normal 2 31 5" xfId="12666" xr:uid="{00000000-0005-0000-0000-000024390000}"/>
    <cellStyle name="Normal 2 31 6" xfId="12667" xr:uid="{00000000-0005-0000-0000-000025390000}"/>
    <cellStyle name="Normal 2 31 7" xfId="12668" xr:uid="{00000000-0005-0000-0000-000026390000}"/>
    <cellStyle name="Normal 2 31 8" xfId="12669" xr:uid="{00000000-0005-0000-0000-000027390000}"/>
    <cellStyle name="Normal 2 31 9" xfId="12670" xr:uid="{00000000-0005-0000-0000-000028390000}"/>
    <cellStyle name="Normal 2 32" xfId="12671" xr:uid="{00000000-0005-0000-0000-000029390000}"/>
    <cellStyle name="Normal 2 32 2" xfId="12672" xr:uid="{00000000-0005-0000-0000-00002A390000}"/>
    <cellStyle name="Normal 2 32 3" xfId="12673" xr:uid="{00000000-0005-0000-0000-00002B390000}"/>
    <cellStyle name="Normal 2 32 4" xfId="12674" xr:uid="{00000000-0005-0000-0000-00002C390000}"/>
    <cellStyle name="Normal 2 32 5" xfId="12675" xr:uid="{00000000-0005-0000-0000-00002D390000}"/>
    <cellStyle name="Normal 2 33" xfId="12676" xr:uid="{00000000-0005-0000-0000-00002E390000}"/>
    <cellStyle name="Normal 2 33 10" xfId="12677" xr:uid="{00000000-0005-0000-0000-00002F390000}"/>
    <cellStyle name="Normal 2 33 10 2" xfId="12678" xr:uid="{00000000-0005-0000-0000-000030390000}"/>
    <cellStyle name="Normal 2 33 10 2 2" xfId="30984" xr:uid="{00000000-0005-0000-0000-000031390000}"/>
    <cellStyle name="Normal 2 33 10 3" xfId="12679" xr:uid="{00000000-0005-0000-0000-000032390000}"/>
    <cellStyle name="Normal 2 33 10 3 2" xfId="30985" xr:uid="{00000000-0005-0000-0000-000033390000}"/>
    <cellStyle name="Normal 2 33 10 4" xfId="12680" xr:uid="{00000000-0005-0000-0000-000034390000}"/>
    <cellStyle name="Normal 2 33 10 4 2" xfId="30986" xr:uid="{00000000-0005-0000-0000-000035390000}"/>
    <cellStyle name="Normal 2 33 10 5" xfId="12681" xr:uid="{00000000-0005-0000-0000-000036390000}"/>
    <cellStyle name="Normal 2 33 10 5 2" xfId="30987" xr:uid="{00000000-0005-0000-0000-000037390000}"/>
    <cellStyle name="Normal 2 33 10 6" xfId="30983" xr:uid="{00000000-0005-0000-0000-000038390000}"/>
    <cellStyle name="Normal 2 33 11" xfId="12682" xr:uid="{00000000-0005-0000-0000-000039390000}"/>
    <cellStyle name="Normal 2 33 11 2" xfId="12683" xr:uid="{00000000-0005-0000-0000-00003A390000}"/>
    <cellStyle name="Normal 2 33 11 2 2" xfId="30989" xr:uid="{00000000-0005-0000-0000-00003B390000}"/>
    <cellStyle name="Normal 2 33 11 3" xfId="12684" xr:uid="{00000000-0005-0000-0000-00003C390000}"/>
    <cellStyle name="Normal 2 33 11 3 2" xfId="30990" xr:uid="{00000000-0005-0000-0000-00003D390000}"/>
    <cellStyle name="Normal 2 33 11 4" xfId="12685" xr:uid="{00000000-0005-0000-0000-00003E390000}"/>
    <cellStyle name="Normal 2 33 11 4 2" xfId="30991" xr:uid="{00000000-0005-0000-0000-00003F390000}"/>
    <cellStyle name="Normal 2 33 11 5" xfId="12686" xr:uid="{00000000-0005-0000-0000-000040390000}"/>
    <cellStyle name="Normal 2 33 11 5 2" xfId="30992" xr:uid="{00000000-0005-0000-0000-000041390000}"/>
    <cellStyle name="Normal 2 33 11 6" xfId="30988" xr:uid="{00000000-0005-0000-0000-000042390000}"/>
    <cellStyle name="Normal 2 33 12" xfId="12687" xr:uid="{00000000-0005-0000-0000-000043390000}"/>
    <cellStyle name="Normal 2 33 12 2" xfId="12688" xr:uid="{00000000-0005-0000-0000-000044390000}"/>
    <cellStyle name="Normal 2 33 12 2 2" xfId="30994" xr:uid="{00000000-0005-0000-0000-000045390000}"/>
    <cellStyle name="Normal 2 33 12 3" xfId="12689" xr:uid="{00000000-0005-0000-0000-000046390000}"/>
    <cellStyle name="Normal 2 33 12 3 2" xfId="30995" xr:uid="{00000000-0005-0000-0000-000047390000}"/>
    <cellStyle name="Normal 2 33 12 4" xfId="12690" xr:uid="{00000000-0005-0000-0000-000048390000}"/>
    <cellStyle name="Normal 2 33 12 4 2" xfId="30996" xr:uid="{00000000-0005-0000-0000-000049390000}"/>
    <cellStyle name="Normal 2 33 12 5" xfId="12691" xr:uid="{00000000-0005-0000-0000-00004A390000}"/>
    <cellStyle name="Normal 2 33 12 5 2" xfId="30997" xr:uid="{00000000-0005-0000-0000-00004B390000}"/>
    <cellStyle name="Normal 2 33 12 6" xfId="30993" xr:uid="{00000000-0005-0000-0000-00004C390000}"/>
    <cellStyle name="Normal 2 33 13" xfId="12692" xr:uid="{00000000-0005-0000-0000-00004D390000}"/>
    <cellStyle name="Normal 2 33 13 2" xfId="12693" xr:uid="{00000000-0005-0000-0000-00004E390000}"/>
    <cellStyle name="Normal 2 33 13 2 2" xfId="30999" xr:uid="{00000000-0005-0000-0000-00004F390000}"/>
    <cellStyle name="Normal 2 33 13 3" xfId="12694" xr:uid="{00000000-0005-0000-0000-000050390000}"/>
    <cellStyle name="Normal 2 33 13 3 2" xfId="31000" xr:uid="{00000000-0005-0000-0000-000051390000}"/>
    <cellStyle name="Normal 2 33 13 4" xfId="12695" xr:uid="{00000000-0005-0000-0000-000052390000}"/>
    <cellStyle name="Normal 2 33 13 4 2" xfId="31001" xr:uid="{00000000-0005-0000-0000-000053390000}"/>
    <cellStyle name="Normal 2 33 13 5" xfId="12696" xr:uid="{00000000-0005-0000-0000-000054390000}"/>
    <cellStyle name="Normal 2 33 13 5 2" xfId="31002" xr:uid="{00000000-0005-0000-0000-000055390000}"/>
    <cellStyle name="Normal 2 33 13 6" xfId="30998" xr:uid="{00000000-0005-0000-0000-000056390000}"/>
    <cellStyle name="Normal 2 33 14" xfId="12697" xr:uid="{00000000-0005-0000-0000-000057390000}"/>
    <cellStyle name="Normal 2 33 14 2" xfId="12698" xr:uid="{00000000-0005-0000-0000-000058390000}"/>
    <cellStyle name="Normal 2 33 14 2 2" xfId="31004" xr:uid="{00000000-0005-0000-0000-000059390000}"/>
    <cellStyle name="Normal 2 33 14 3" xfId="12699" xr:uid="{00000000-0005-0000-0000-00005A390000}"/>
    <cellStyle name="Normal 2 33 14 3 2" xfId="31005" xr:uid="{00000000-0005-0000-0000-00005B390000}"/>
    <cellStyle name="Normal 2 33 14 4" xfId="12700" xr:uid="{00000000-0005-0000-0000-00005C390000}"/>
    <cellStyle name="Normal 2 33 14 4 2" xfId="31006" xr:uid="{00000000-0005-0000-0000-00005D390000}"/>
    <cellStyle name="Normal 2 33 14 5" xfId="12701" xr:uid="{00000000-0005-0000-0000-00005E390000}"/>
    <cellStyle name="Normal 2 33 14 5 2" xfId="31007" xr:uid="{00000000-0005-0000-0000-00005F390000}"/>
    <cellStyle name="Normal 2 33 14 6" xfId="31003" xr:uid="{00000000-0005-0000-0000-000060390000}"/>
    <cellStyle name="Normal 2 33 15" xfId="12702" xr:uid="{00000000-0005-0000-0000-000061390000}"/>
    <cellStyle name="Normal 2 33 15 2" xfId="12703" xr:uid="{00000000-0005-0000-0000-000062390000}"/>
    <cellStyle name="Normal 2 33 15 2 2" xfId="31009" xr:uid="{00000000-0005-0000-0000-000063390000}"/>
    <cellStyle name="Normal 2 33 15 3" xfId="12704" xr:uid="{00000000-0005-0000-0000-000064390000}"/>
    <cellStyle name="Normal 2 33 15 3 2" xfId="31010" xr:uid="{00000000-0005-0000-0000-000065390000}"/>
    <cellStyle name="Normal 2 33 15 4" xfId="12705" xr:uid="{00000000-0005-0000-0000-000066390000}"/>
    <cellStyle name="Normal 2 33 15 4 2" xfId="31011" xr:uid="{00000000-0005-0000-0000-000067390000}"/>
    <cellStyle name="Normal 2 33 15 5" xfId="12706" xr:uid="{00000000-0005-0000-0000-000068390000}"/>
    <cellStyle name="Normal 2 33 15 5 2" xfId="31012" xr:uid="{00000000-0005-0000-0000-000069390000}"/>
    <cellStyle name="Normal 2 33 15 6" xfId="31008" xr:uid="{00000000-0005-0000-0000-00006A390000}"/>
    <cellStyle name="Normal 2 33 16" xfId="12707" xr:uid="{00000000-0005-0000-0000-00006B390000}"/>
    <cellStyle name="Normal 2 33 16 2" xfId="12708" xr:uid="{00000000-0005-0000-0000-00006C390000}"/>
    <cellStyle name="Normal 2 33 16 2 2" xfId="31014" xr:uid="{00000000-0005-0000-0000-00006D390000}"/>
    <cellStyle name="Normal 2 33 16 3" xfId="12709" xr:uid="{00000000-0005-0000-0000-00006E390000}"/>
    <cellStyle name="Normal 2 33 16 3 2" xfId="31015" xr:uid="{00000000-0005-0000-0000-00006F390000}"/>
    <cellStyle name="Normal 2 33 16 4" xfId="12710" xr:uid="{00000000-0005-0000-0000-000070390000}"/>
    <cellStyle name="Normal 2 33 16 4 2" xfId="31016" xr:uid="{00000000-0005-0000-0000-000071390000}"/>
    <cellStyle name="Normal 2 33 16 5" xfId="12711" xr:uid="{00000000-0005-0000-0000-000072390000}"/>
    <cellStyle name="Normal 2 33 16 5 2" xfId="31017" xr:uid="{00000000-0005-0000-0000-000073390000}"/>
    <cellStyle name="Normal 2 33 16 6" xfId="31013" xr:uid="{00000000-0005-0000-0000-000074390000}"/>
    <cellStyle name="Normal 2 33 17" xfId="12712" xr:uid="{00000000-0005-0000-0000-000075390000}"/>
    <cellStyle name="Normal 2 33 17 2" xfId="12713" xr:uid="{00000000-0005-0000-0000-000076390000}"/>
    <cellStyle name="Normal 2 33 17 2 2" xfId="31019" xr:uid="{00000000-0005-0000-0000-000077390000}"/>
    <cellStyle name="Normal 2 33 17 3" xfId="12714" xr:uid="{00000000-0005-0000-0000-000078390000}"/>
    <cellStyle name="Normal 2 33 17 3 2" xfId="31020" xr:uid="{00000000-0005-0000-0000-000079390000}"/>
    <cellStyle name="Normal 2 33 17 4" xfId="12715" xr:uid="{00000000-0005-0000-0000-00007A390000}"/>
    <cellStyle name="Normal 2 33 17 4 2" xfId="31021" xr:uid="{00000000-0005-0000-0000-00007B390000}"/>
    <cellStyle name="Normal 2 33 17 5" xfId="12716" xr:uid="{00000000-0005-0000-0000-00007C390000}"/>
    <cellStyle name="Normal 2 33 17 5 2" xfId="31022" xr:uid="{00000000-0005-0000-0000-00007D390000}"/>
    <cellStyle name="Normal 2 33 17 6" xfId="31018" xr:uid="{00000000-0005-0000-0000-00007E390000}"/>
    <cellStyle name="Normal 2 33 18" xfId="12717" xr:uid="{00000000-0005-0000-0000-00007F390000}"/>
    <cellStyle name="Normal 2 33 18 2" xfId="12718" xr:uid="{00000000-0005-0000-0000-000080390000}"/>
    <cellStyle name="Normal 2 33 18 2 2" xfId="31024" xr:uid="{00000000-0005-0000-0000-000081390000}"/>
    <cellStyle name="Normal 2 33 18 3" xfId="12719" xr:uid="{00000000-0005-0000-0000-000082390000}"/>
    <cellStyle name="Normal 2 33 18 3 2" xfId="31025" xr:uid="{00000000-0005-0000-0000-000083390000}"/>
    <cellStyle name="Normal 2 33 18 4" xfId="12720" xr:uid="{00000000-0005-0000-0000-000084390000}"/>
    <cellStyle name="Normal 2 33 18 4 2" xfId="31026" xr:uid="{00000000-0005-0000-0000-000085390000}"/>
    <cellStyle name="Normal 2 33 18 5" xfId="12721" xr:uid="{00000000-0005-0000-0000-000086390000}"/>
    <cellStyle name="Normal 2 33 18 5 2" xfId="31027" xr:uid="{00000000-0005-0000-0000-000087390000}"/>
    <cellStyle name="Normal 2 33 18 6" xfId="31023" xr:uid="{00000000-0005-0000-0000-000088390000}"/>
    <cellStyle name="Normal 2 33 19" xfId="12722" xr:uid="{00000000-0005-0000-0000-000089390000}"/>
    <cellStyle name="Normal 2 33 19 2" xfId="12723" xr:uid="{00000000-0005-0000-0000-00008A390000}"/>
    <cellStyle name="Normal 2 33 19 2 2" xfId="31029" xr:uid="{00000000-0005-0000-0000-00008B390000}"/>
    <cellStyle name="Normal 2 33 19 3" xfId="12724" xr:uid="{00000000-0005-0000-0000-00008C390000}"/>
    <cellStyle name="Normal 2 33 19 3 2" xfId="31030" xr:uid="{00000000-0005-0000-0000-00008D390000}"/>
    <cellStyle name="Normal 2 33 19 4" xfId="12725" xr:uid="{00000000-0005-0000-0000-00008E390000}"/>
    <cellStyle name="Normal 2 33 19 4 2" xfId="31031" xr:uid="{00000000-0005-0000-0000-00008F390000}"/>
    <cellStyle name="Normal 2 33 19 5" xfId="12726" xr:uid="{00000000-0005-0000-0000-000090390000}"/>
    <cellStyle name="Normal 2 33 19 5 2" xfId="31032" xr:uid="{00000000-0005-0000-0000-000091390000}"/>
    <cellStyle name="Normal 2 33 19 6" xfId="31028" xr:uid="{00000000-0005-0000-0000-000092390000}"/>
    <cellStyle name="Normal 2 33 2" xfId="12727" xr:uid="{00000000-0005-0000-0000-000093390000}"/>
    <cellStyle name="Normal 2 33 2 10" xfId="12728" xr:uid="{00000000-0005-0000-0000-000094390000}"/>
    <cellStyle name="Normal 2 33 2 10 2" xfId="12729" xr:uid="{00000000-0005-0000-0000-000095390000}"/>
    <cellStyle name="Normal 2 33 2 10 2 2" xfId="31035" xr:uid="{00000000-0005-0000-0000-000096390000}"/>
    <cellStyle name="Normal 2 33 2 10 3" xfId="12730" xr:uid="{00000000-0005-0000-0000-000097390000}"/>
    <cellStyle name="Normal 2 33 2 10 3 2" xfId="31036" xr:uid="{00000000-0005-0000-0000-000098390000}"/>
    <cellStyle name="Normal 2 33 2 10 4" xfId="12731" xr:uid="{00000000-0005-0000-0000-000099390000}"/>
    <cellStyle name="Normal 2 33 2 10 4 2" xfId="31037" xr:uid="{00000000-0005-0000-0000-00009A390000}"/>
    <cellStyle name="Normal 2 33 2 10 5" xfId="12732" xr:uid="{00000000-0005-0000-0000-00009B390000}"/>
    <cellStyle name="Normal 2 33 2 10 5 2" xfId="31038" xr:uid="{00000000-0005-0000-0000-00009C390000}"/>
    <cellStyle name="Normal 2 33 2 10 6" xfId="31034" xr:uid="{00000000-0005-0000-0000-00009D390000}"/>
    <cellStyle name="Normal 2 33 2 11" xfId="12733" xr:uid="{00000000-0005-0000-0000-00009E390000}"/>
    <cellStyle name="Normal 2 33 2 11 2" xfId="12734" xr:uid="{00000000-0005-0000-0000-00009F390000}"/>
    <cellStyle name="Normal 2 33 2 11 2 2" xfId="31040" xr:uid="{00000000-0005-0000-0000-0000A0390000}"/>
    <cellStyle name="Normal 2 33 2 11 3" xfId="12735" xr:uid="{00000000-0005-0000-0000-0000A1390000}"/>
    <cellStyle name="Normal 2 33 2 11 3 2" xfId="31041" xr:uid="{00000000-0005-0000-0000-0000A2390000}"/>
    <cellStyle name="Normal 2 33 2 11 4" xfId="12736" xr:uid="{00000000-0005-0000-0000-0000A3390000}"/>
    <cellStyle name="Normal 2 33 2 11 4 2" xfId="31042" xr:uid="{00000000-0005-0000-0000-0000A4390000}"/>
    <cellStyle name="Normal 2 33 2 11 5" xfId="12737" xr:uid="{00000000-0005-0000-0000-0000A5390000}"/>
    <cellStyle name="Normal 2 33 2 11 5 2" xfId="31043" xr:uid="{00000000-0005-0000-0000-0000A6390000}"/>
    <cellStyle name="Normal 2 33 2 11 6" xfId="31039" xr:uid="{00000000-0005-0000-0000-0000A7390000}"/>
    <cellStyle name="Normal 2 33 2 12" xfId="12738" xr:uid="{00000000-0005-0000-0000-0000A8390000}"/>
    <cellStyle name="Normal 2 33 2 12 2" xfId="12739" xr:uid="{00000000-0005-0000-0000-0000A9390000}"/>
    <cellStyle name="Normal 2 33 2 12 2 2" xfId="31045" xr:uid="{00000000-0005-0000-0000-0000AA390000}"/>
    <cellStyle name="Normal 2 33 2 12 3" xfId="12740" xr:uid="{00000000-0005-0000-0000-0000AB390000}"/>
    <cellStyle name="Normal 2 33 2 12 3 2" xfId="31046" xr:uid="{00000000-0005-0000-0000-0000AC390000}"/>
    <cellStyle name="Normal 2 33 2 12 4" xfId="12741" xr:uid="{00000000-0005-0000-0000-0000AD390000}"/>
    <cellStyle name="Normal 2 33 2 12 4 2" xfId="31047" xr:uid="{00000000-0005-0000-0000-0000AE390000}"/>
    <cellStyle name="Normal 2 33 2 12 5" xfId="12742" xr:uid="{00000000-0005-0000-0000-0000AF390000}"/>
    <cellStyle name="Normal 2 33 2 12 5 2" xfId="31048" xr:uid="{00000000-0005-0000-0000-0000B0390000}"/>
    <cellStyle name="Normal 2 33 2 12 6" xfId="31044" xr:uid="{00000000-0005-0000-0000-0000B1390000}"/>
    <cellStyle name="Normal 2 33 2 13" xfId="12743" xr:uid="{00000000-0005-0000-0000-0000B2390000}"/>
    <cellStyle name="Normal 2 33 2 13 2" xfId="12744" xr:uid="{00000000-0005-0000-0000-0000B3390000}"/>
    <cellStyle name="Normal 2 33 2 13 2 2" xfId="31050" xr:uid="{00000000-0005-0000-0000-0000B4390000}"/>
    <cellStyle name="Normal 2 33 2 13 3" xfId="12745" xr:uid="{00000000-0005-0000-0000-0000B5390000}"/>
    <cellStyle name="Normal 2 33 2 13 3 2" xfId="31051" xr:uid="{00000000-0005-0000-0000-0000B6390000}"/>
    <cellStyle name="Normal 2 33 2 13 4" xfId="12746" xr:uid="{00000000-0005-0000-0000-0000B7390000}"/>
    <cellStyle name="Normal 2 33 2 13 4 2" xfId="31052" xr:uid="{00000000-0005-0000-0000-0000B8390000}"/>
    <cellStyle name="Normal 2 33 2 13 5" xfId="12747" xr:uid="{00000000-0005-0000-0000-0000B9390000}"/>
    <cellStyle name="Normal 2 33 2 13 5 2" xfId="31053" xr:uid="{00000000-0005-0000-0000-0000BA390000}"/>
    <cellStyle name="Normal 2 33 2 13 6" xfId="31049" xr:uid="{00000000-0005-0000-0000-0000BB390000}"/>
    <cellStyle name="Normal 2 33 2 14" xfId="12748" xr:uid="{00000000-0005-0000-0000-0000BC390000}"/>
    <cellStyle name="Normal 2 33 2 14 2" xfId="12749" xr:uid="{00000000-0005-0000-0000-0000BD390000}"/>
    <cellStyle name="Normal 2 33 2 14 2 2" xfId="31055" xr:uid="{00000000-0005-0000-0000-0000BE390000}"/>
    <cellStyle name="Normal 2 33 2 14 3" xfId="12750" xr:uid="{00000000-0005-0000-0000-0000BF390000}"/>
    <cellStyle name="Normal 2 33 2 14 3 2" xfId="31056" xr:uid="{00000000-0005-0000-0000-0000C0390000}"/>
    <cellStyle name="Normal 2 33 2 14 4" xfId="12751" xr:uid="{00000000-0005-0000-0000-0000C1390000}"/>
    <cellStyle name="Normal 2 33 2 14 4 2" xfId="31057" xr:uid="{00000000-0005-0000-0000-0000C2390000}"/>
    <cellStyle name="Normal 2 33 2 14 5" xfId="12752" xr:uid="{00000000-0005-0000-0000-0000C3390000}"/>
    <cellStyle name="Normal 2 33 2 14 5 2" xfId="31058" xr:uid="{00000000-0005-0000-0000-0000C4390000}"/>
    <cellStyle name="Normal 2 33 2 14 6" xfId="31054" xr:uid="{00000000-0005-0000-0000-0000C5390000}"/>
    <cellStyle name="Normal 2 33 2 15" xfId="12753" xr:uid="{00000000-0005-0000-0000-0000C6390000}"/>
    <cellStyle name="Normal 2 33 2 15 2" xfId="12754" xr:uid="{00000000-0005-0000-0000-0000C7390000}"/>
    <cellStyle name="Normal 2 33 2 15 2 2" xfId="31060" xr:uid="{00000000-0005-0000-0000-0000C8390000}"/>
    <cellStyle name="Normal 2 33 2 15 3" xfId="12755" xr:uid="{00000000-0005-0000-0000-0000C9390000}"/>
    <cellStyle name="Normal 2 33 2 15 3 2" xfId="31061" xr:uid="{00000000-0005-0000-0000-0000CA390000}"/>
    <cellStyle name="Normal 2 33 2 15 4" xfId="12756" xr:uid="{00000000-0005-0000-0000-0000CB390000}"/>
    <cellStyle name="Normal 2 33 2 15 4 2" xfId="31062" xr:uid="{00000000-0005-0000-0000-0000CC390000}"/>
    <cellStyle name="Normal 2 33 2 15 5" xfId="12757" xr:uid="{00000000-0005-0000-0000-0000CD390000}"/>
    <cellStyle name="Normal 2 33 2 15 5 2" xfId="31063" xr:uid="{00000000-0005-0000-0000-0000CE390000}"/>
    <cellStyle name="Normal 2 33 2 15 6" xfId="31059" xr:uid="{00000000-0005-0000-0000-0000CF390000}"/>
    <cellStyle name="Normal 2 33 2 16" xfId="12758" xr:uid="{00000000-0005-0000-0000-0000D0390000}"/>
    <cellStyle name="Normal 2 33 2 16 2" xfId="12759" xr:uid="{00000000-0005-0000-0000-0000D1390000}"/>
    <cellStyle name="Normal 2 33 2 16 2 2" xfId="31065" xr:uid="{00000000-0005-0000-0000-0000D2390000}"/>
    <cellStyle name="Normal 2 33 2 16 3" xfId="12760" xr:uid="{00000000-0005-0000-0000-0000D3390000}"/>
    <cellStyle name="Normal 2 33 2 16 3 2" xfId="31066" xr:uid="{00000000-0005-0000-0000-0000D4390000}"/>
    <cellStyle name="Normal 2 33 2 16 4" xfId="12761" xr:uid="{00000000-0005-0000-0000-0000D5390000}"/>
    <cellStyle name="Normal 2 33 2 16 4 2" xfId="31067" xr:uid="{00000000-0005-0000-0000-0000D6390000}"/>
    <cellStyle name="Normal 2 33 2 16 5" xfId="12762" xr:uid="{00000000-0005-0000-0000-0000D7390000}"/>
    <cellStyle name="Normal 2 33 2 16 5 2" xfId="31068" xr:uid="{00000000-0005-0000-0000-0000D8390000}"/>
    <cellStyle name="Normal 2 33 2 16 6" xfId="31064" xr:uid="{00000000-0005-0000-0000-0000D9390000}"/>
    <cellStyle name="Normal 2 33 2 17" xfId="12763" xr:uid="{00000000-0005-0000-0000-0000DA390000}"/>
    <cellStyle name="Normal 2 33 2 17 2" xfId="31069" xr:uid="{00000000-0005-0000-0000-0000DB390000}"/>
    <cellStyle name="Normal 2 33 2 18" xfId="12764" xr:uid="{00000000-0005-0000-0000-0000DC390000}"/>
    <cellStyle name="Normal 2 33 2 18 2" xfId="31070" xr:uid="{00000000-0005-0000-0000-0000DD390000}"/>
    <cellStyle name="Normal 2 33 2 19" xfId="12765" xr:uid="{00000000-0005-0000-0000-0000DE390000}"/>
    <cellStyle name="Normal 2 33 2 19 2" xfId="31071" xr:uid="{00000000-0005-0000-0000-0000DF390000}"/>
    <cellStyle name="Normal 2 33 2 2" xfId="12766" xr:uid="{00000000-0005-0000-0000-0000E0390000}"/>
    <cellStyle name="Normal 2 33 2 20" xfId="12767" xr:uid="{00000000-0005-0000-0000-0000E1390000}"/>
    <cellStyle name="Normal 2 33 2 20 2" xfId="31072" xr:uid="{00000000-0005-0000-0000-0000E2390000}"/>
    <cellStyle name="Normal 2 33 2 21" xfId="31033" xr:uid="{00000000-0005-0000-0000-0000E3390000}"/>
    <cellStyle name="Normal 2 33 2 3" xfId="12768" xr:uid="{00000000-0005-0000-0000-0000E4390000}"/>
    <cellStyle name="Normal 2 33 2 3 2" xfId="12769" xr:uid="{00000000-0005-0000-0000-0000E5390000}"/>
    <cellStyle name="Normal 2 33 2 3 2 2" xfId="31074" xr:uid="{00000000-0005-0000-0000-0000E6390000}"/>
    <cellStyle name="Normal 2 33 2 3 3" xfId="12770" xr:uid="{00000000-0005-0000-0000-0000E7390000}"/>
    <cellStyle name="Normal 2 33 2 3 3 2" xfId="31075" xr:uid="{00000000-0005-0000-0000-0000E8390000}"/>
    <cellStyle name="Normal 2 33 2 3 4" xfId="12771" xr:uid="{00000000-0005-0000-0000-0000E9390000}"/>
    <cellStyle name="Normal 2 33 2 3 4 2" xfId="31076" xr:uid="{00000000-0005-0000-0000-0000EA390000}"/>
    <cellStyle name="Normal 2 33 2 3 5" xfId="12772" xr:uid="{00000000-0005-0000-0000-0000EB390000}"/>
    <cellStyle name="Normal 2 33 2 3 5 2" xfId="31077" xr:uid="{00000000-0005-0000-0000-0000EC390000}"/>
    <cellStyle name="Normal 2 33 2 3 6" xfId="31073" xr:uid="{00000000-0005-0000-0000-0000ED390000}"/>
    <cellStyle name="Normal 2 33 2 4" xfId="12773" xr:uid="{00000000-0005-0000-0000-0000EE390000}"/>
    <cellStyle name="Normal 2 33 2 4 2" xfId="12774" xr:uid="{00000000-0005-0000-0000-0000EF390000}"/>
    <cellStyle name="Normal 2 33 2 4 2 2" xfId="31079" xr:uid="{00000000-0005-0000-0000-0000F0390000}"/>
    <cellStyle name="Normal 2 33 2 4 3" xfId="12775" xr:uid="{00000000-0005-0000-0000-0000F1390000}"/>
    <cellStyle name="Normal 2 33 2 4 3 2" xfId="31080" xr:uid="{00000000-0005-0000-0000-0000F2390000}"/>
    <cellStyle name="Normal 2 33 2 4 4" xfId="12776" xr:uid="{00000000-0005-0000-0000-0000F3390000}"/>
    <cellStyle name="Normal 2 33 2 4 4 2" xfId="31081" xr:uid="{00000000-0005-0000-0000-0000F4390000}"/>
    <cellStyle name="Normal 2 33 2 4 5" xfId="12777" xr:uid="{00000000-0005-0000-0000-0000F5390000}"/>
    <cellStyle name="Normal 2 33 2 4 5 2" xfId="31082" xr:uid="{00000000-0005-0000-0000-0000F6390000}"/>
    <cellStyle name="Normal 2 33 2 4 6" xfId="31078" xr:uid="{00000000-0005-0000-0000-0000F7390000}"/>
    <cellStyle name="Normal 2 33 2 5" xfId="12778" xr:uid="{00000000-0005-0000-0000-0000F8390000}"/>
    <cellStyle name="Normal 2 33 2 5 2" xfId="12779" xr:uid="{00000000-0005-0000-0000-0000F9390000}"/>
    <cellStyle name="Normal 2 33 2 5 2 2" xfId="31084" xr:uid="{00000000-0005-0000-0000-0000FA390000}"/>
    <cellStyle name="Normal 2 33 2 5 3" xfId="12780" xr:uid="{00000000-0005-0000-0000-0000FB390000}"/>
    <cellStyle name="Normal 2 33 2 5 3 2" xfId="31085" xr:uid="{00000000-0005-0000-0000-0000FC390000}"/>
    <cellStyle name="Normal 2 33 2 5 4" xfId="12781" xr:uid="{00000000-0005-0000-0000-0000FD390000}"/>
    <cellStyle name="Normal 2 33 2 5 4 2" xfId="31086" xr:uid="{00000000-0005-0000-0000-0000FE390000}"/>
    <cellStyle name="Normal 2 33 2 5 5" xfId="12782" xr:uid="{00000000-0005-0000-0000-0000FF390000}"/>
    <cellStyle name="Normal 2 33 2 5 5 2" xfId="31087" xr:uid="{00000000-0005-0000-0000-0000003A0000}"/>
    <cellStyle name="Normal 2 33 2 5 6" xfId="31083" xr:uid="{00000000-0005-0000-0000-0000013A0000}"/>
    <cellStyle name="Normal 2 33 2 6" xfId="12783" xr:uid="{00000000-0005-0000-0000-0000023A0000}"/>
    <cellStyle name="Normal 2 33 2 6 2" xfId="12784" xr:uid="{00000000-0005-0000-0000-0000033A0000}"/>
    <cellStyle name="Normal 2 33 2 6 2 2" xfId="31089" xr:uid="{00000000-0005-0000-0000-0000043A0000}"/>
    <cellStyle name="Normal 2 33 2 6 3" xfId="12785" xr:uid="{00000000-0005-0000-0000-0000053A0000}"/>
    <cellStyle name="Normal 2 33 2 6 3 2" xfId="31090" xr:uid="{00000000-0005-0000-0000-0000063A0000}"/>
    <cellStyle name="Normal 2 33 2 6 4" xfId="12786" xr:uid="{00000000-0005-0000-0000-0000073A0000}"/>
    <cellStyle name="Normal 2 33 2 6 4 2" xfId="31091" xr:uid="{00000000-0005-0000-0000-0000083A0000}"/>
    <cellStyle name="Normal 2 33 2 6 5" xfId="12787" xr:uid="{00000000-0005-0000-0000-0000093A0000}"/>
    <cellStyle name="Normal 2 33 2 6 5 2" xfId="31092" xr:uid="{00000000-0005-0000-0000-00000A3A0000}"/>
    <cellStyle name="Normal 2 33 2 6 6" xfId="31088" xr:uid="{00000000-0005-0000-0000-00000B3A0000}"/>
    <cellStyle name="Normal 2 33 2 7" xfId="12788" xr:uid="{00000000-0005-0000-0000-00000C3A0000}"/>
    <cellStyle name="Normal 2 33 2 7 2" xfId="12789" xr:uid="{00000000-0005-0000-0000-00000D3A0000}"/>
    <cellStyle name="Normal 2 33 2 7 2 2" xfId="31094" xr:uid="{00000000-0005-0000-0000-00000E3A0000}"/>
    <cellStyle name="Normal 2 33 2 7 3" xfId="12790" xr:uid="{00000000-0005-0000-0000-00000F3A0000}"/>
    <cellStyle name="Normal 2 33 2 7 3 2" xfId="31095" xr:uid="{00000000-0005-0000-0000-0000103A0000}"/>
    <cellStyle name="Normal 2 33 2 7 4" xfId="12791" xr:uid="{00000000-0005-0000-0000-0000113A0000}"/>
    <cellStyle name="Normal 2 33 2 7 4 2" xfId="31096" xr:uid="{00000000-0005-0000-0000-0000123A0000}"/>
    <cellStyle name="Normal 2 33 2 7 5" xfId="12792" xr:uid="{00000000-0005-0000-0000-0000133A0000}"/>
    <cellStyle name="Normal 2 33 2 7 5 2" xfId="31097" xr:uid="{00000000-0005-0000-0000-0000143A0000}"/>
    <cellStyle name="Normal 2 33 2 7 6" xfId="31093" xr:uid="{00000000-0005-0000-0000-0000153A0000}"/>
    <cellStyle name="Normal 2 33 2 8" xfId="12793" xr:uid="{00000000-0005-0000-0000-0000163A0000}"/>
    <cellStyle name="Normal 2 33 2 8 2" xfId="12794" xr:uid="{00000000-0005-0000-0000-0000173A0000}"/>
    <cellStyle name="Normal 2 33 2 8 2 2" xfId="31099" xr:uid="{00000000-0005-0000-0000-0000183A0000}"/>
    <cellStyle name="Normal 2 33 2 8 3" xfId="12795" xr:uid="{00000000-0005-0000-0000-0000193A0000}"/>
    <cellStyle name="Normal 2 33 2 8 3 2" xfId="31100" xr:uid="{00000000-0005-0000-0000-00001A3A0000}"/>
    <cellStyle name="Normal 2 33 2 8 4" xfId="12796" xr:uid="{00000000-0005-0000-0000-00001B3A0000}"/>
    <cellStyle name="Normal 2 33 2 8 4 2" xfId="31101" xr:uid="{00000000-0005-0000-0000-00001C3A0000}"/>
    <cellStyle name="Normal 2 33 2 8 5" xfId="12797" xr:uid="{00000000-0005-0000-0000-00001D3A0000}"/>
    <cellStyle name="Normal 2 33 2 8 5 2" xfId="31102" xr:uid="{00000000-0005-0000-0000-00001E3A0000}"/>
    <cellStyle name="Normal 2 33 2 8 6" xfId="31098" xr:uid="{00000000-0005-0000-0000-00001F3A0000}"/>
    <cellStyle name="Normal 2 33 2 9" xfId="12798" xr:uid="{00000000-0005-0000-0000-0000203A0000}"/>
    <cellStyle name="Normal 2 33 2 9 2" xfId="12799" xr:uid="{00000000-0005-0000-0000-0000213A0000}"/>
    <cellStyle name="Normal 2 33 2 9 2 2" xfId="31104" xr:uid="{00000000-0005-0000-0000-0000223A0000}"/>
    <cellStyle name="Normal 2 33 2 9 3" xfId="12800" xr:uid="{00000000-0005-0000-0000-0000233A0000}"/>
    <cellStyle name="Normal 2 33 2 9 3 2" xfId="31105" xr:uid="{00000000-0005-0000-0000-0000243A0000}"/>
    <cellStyle name="Normal 2 33 2 9 4" xfId="12801" xr:uid="{00000000-0005-0000-0000-0000253A0000}"/>
    <cellStyle name="Normal 2 33 2 9 4 2" xfId="31106" xr:uid="{00000000-0005-0000-0000-0000263A0000}"/>
    <cellStyle name="Normal 2 33 2 9 5" xfId="12802" xr:uid="{00000000-0005-0000-0000-0000273A0000}"/>
    <cellStyle name="Normal 2 33 2 9 5 2" xfId="31107" xr:uid="{00000000-0005-0000-0000-0000283A0000}"/>
    <cellStyle name="Normal 2 33 2 9 6" xfId="31103" xr:uid="{00000000-0005-0000-0000-0000293A0000}"/>
    <cellStyle name="Normal 2 33 20" xfId="12803" xr:uid="{00000000-0005-0000-0000-00002A3A0000}"/>
    <cellStyle name="Normal 2 33 20 2" xfId="31108" xr:uid="{00000000-0005-0000-0000-00002B3A0000}"/>
    <cellStyle name="Normal 2 33 21" xfId="12804" xr:uid="{00000000-0005-0000-0000-00002C3A0000}"/>
    <cellStyle name="Normal 2 33 21 2" xfId="31109" xr:uid="{00000000-0005-0000-0000-00002D3A0000}"/>
    <cellStyle name="Normal 2 33 22" xfId="12805" xr:uid="{00000000-0005-0000-0000-00002E3A0000}"/>
    <cellStyle name="Normal 2 33 22 2" xfId="31110" xr:uid="{00000000-0005-0000-0000-00002F3A0000}"/>
    <cellStyle name="Normal 2 33 23" xfId="12806" xr:uid="{00000000-0005-0000-0000-0000303A0000}"/>
    <cellStyle name="Normal 2 33 23 2" xfId="31111" xr:uid="{00000000-0005-0000-0000-0000313A0000}"/>
    <cellStyle name="Normal 2 33 24" xfId="12807" xr:uid="{00000000-0005-0000-0000-0000323A0000}"/>
    <cellStyle name="Normal 2 33 24 2" xfId="31112" xr:uid="{00000000-0005-0000-0000-0000333A0000}"/>
    <cellStyle name="Normal 2 33 3" xfId="12808" xr:uid="{00000000-0005-0000-0000-0000343A0000}"/>
    <cellStyle name="Normal 2 33 3 2" xfId="12809" xr:uid="{00000000-0005-0000-0000-0000353A0000}"/>
    <cellStyle name="Normal 2 33 3 3" xfId="12810" xr:uid="{00000000-0005-0000-0000-0000363A0000}"/>
    <cellStyle name="Normal 2 33 3 3 2" xfId="31114" xr:uid="{00000000-0005-0000-0000-0000373A0000}"/>
    <cellStyle name="Normal 2 33 3 4" xfId="12811" xr:uid="{00000000-0005-0000-0000-0000383A0000}"/>
    <cellStyle name="Normal 2 33 3 4 2" xfId="31115" xr:uid="{00000000-0005-0000-0000-0000393A0000}"/>
    <cellStyle name="Normal 2 33 3 5" xfId="12812" xr:uid="{00000000-0005-0000-0000-00003A3A0000}"/>
    <cellStyle name="Normal 2 33 3 5 2" xfId="31116" xr:uid="{00000000-0005-0000-0000-00003B3A0000}"/>
    <cellStyle name="Normal 2 33 3 6" xfId="12813" xr:uid="{00000000-0005-0000-0000-00003C3A0000}"/>
    <cellStyle name="Normal 2 33 3 6 2" xfId="31117" xr:uid="{00000000-0005-0000-0000-00003D3A0000}"/>
    <cellStyle name="Normal 2 33 3 7" xfId="31113" xr:uid="{00000000-0005-0000-0000-00003E3A0000}"/>
    <cellStyle name="Normal 2 33 4" xfId="12814" xr:uid="{00000000-0005-0000-0000-00003F3A0000}"/>
    <cellStyle name="Normal 2 33 4 2" xfId="12815" xr:uid="{00000000-0005-0000-0000-0000403A0000}"/>
    <cellStyle name="Normal 2 33 4 3" xfId="12816" xr:uid="{00000000-0005-0000-0000-0000413A0000}"/>
    <cellStyle name="Normal 2 33 4 3 2" xfId="31119" xr:uid="{00000000-0005-0000-0000-0000423A0000}"/>
    <cellStyle name="Normal 2 33 4 4" xfId="12817" xr:uid="{00000000-0005-0000-0000-0000433A0000}"/>
    <cellStyle name="Normal 2 33 4 4 2" xfId="31120" xr:uid="{00000000-0005-0000-0000-0000443A0000}"/>
    <cellStyle name="Normal 2 33 4 5" xfId="12818" xr:uid="{00000000-0005-0000-0000-0000453A0000}"/>
    <cellStyle name="Normal 2 33 4 5 2" xfId="31121" xr:uid="{00000000-0005-0000-0000-0000463A0000}"/>
    <cellStyle name="Normal 2 33 4 6" xfId="12819" xr:uid="{00000000-0005-0000-0000-0000473A0000}"/>
    <cellStyle name="Normal 2 33 4 6 2" xfId="31122" xr:uid="{00000000-0005-0000-0000-0000483A0000}"/>
    <cellStyle name="Normal 2 33 4 7" xfId="31118" xr:uid="{00000000-0005-0000-0000-0000493A0000}"/>
    <cellStyle name="Normal 2 33 5" xfId="12820" xr:uid="{00000000-0005-0000-0000-00004A3A0000}"/>
    <cellStyle name="Normal 2 33 5 2" xfId="12821" xr:uid="{00000000-0005-0000-0000-00004B3A0000}"/>
    <cellStyle name="Normal 2 33 5 3" xfId="12822" xr:uid="{00000000-0005-0000-0000-00004C3A0000}"/>
    <cellStyle name="Normal 2 33 5 3 2" xfId="31124" xr:uid="{00000000-0005-0000-0000-00004D3A0000}"/>
    <cellStyle name="Normal 2 33 5 4" xfId="12823" xr:uid="{00000000-0005-0000-0000-00004E3A0000}"/>
    <cellStyle name="Normal 2 33 5 4 2" xfId="31125" xr:uid="{00000000-0005-0000-0000-00004F3A0000}"/>
    <cellStyle name="Normal 2 33 5 5" xfId="12824" xr:uid="{00000000-0005-0000-0000-0000503A0000}"/>
    <cellStyle name="Normal 2 33 5 5 2" xfId="31126" xr:uid="{00000000-0005-0000-0000-0000513A0000}"/>
    <cellStyle name="Normal 2 33 5 6" xfId="12825" xr:uid="{00000000-0005-0000-0000-0000523A0000}"/>
    <cellStyle name="Normal 2 33 5 6 2" xfId="31127" xr:uid="{00000000-0005-0000-0000-0000533A0000}"/>
    <cellStyle name="Normal 2 33 5 7" xfId="31123" xr:uid="{00000000-0005-0000-0000-0000543A0000}"/>
    <cellStyle name="Normal 2 33 6" xfId="12826" xr:uid="{00000000-0005-0000-0000-0000553A0000}"/>
    <cellStyle name="Normal 2 33 6 2" xfId="12827" xr:uid="{00000000-0005-0000-0000-0000563A0000}"/>
    <cellStyle name="Normal 2 33 6 2 2" xfId="31129" xr:uid="{00000000-0005-0000-0000-0000573A0000}"/>
    <cellStyle name="Normal 2 33 6 3" xfId="12828" xr:uid="{00000000-0005-0000-0000-0000583A0000}"/>
    <cellStyle name="Normal 2 33 6 3 2" xfId="31130" xr:uid="{00000000-0005-0000-0000-0000593A0000}"/>
    <cellStyle name="Normal 2 33 6 4" xfId="12829" xr:uid="{00000000-0005-0000-0000-00005A3A0000}"/>
    <cellStyle name="Normal 2 33 6 4 2" xfId="31131" xr:uid="{00000000-0005-0000-0000-00005B3A0000}"/>
    <cellStyle name="Normal 2 33 6 5" xfId="12830" xr:uid="{00000000-0005-0000-0000-00005C3A0000}"/>
    <cellStyle name="Normal 2 33 6 5 2" xfId="31132" xr:uid="{00000000-0005-0000-0000-00005D3A0000}"/>
    <cellStyle name="Normal 2 33 6 6" xfId="31128" xr:uid="{00000000-0005-0000-0000-00005E3A0000}"/>
    <cellStyle name="Normal 2 33 7" xfId="12831" xr:uid="{00000000-0005-0000-0000-00005F3A0000}"/>
    <cellStyle name="Normal 2 33 7 2" xfId="12832" xr:uid="{00000000-0005-0000-0000-0000603A0000}"/>
    <cellStyle name="Normal 2 33 7 2 2" xfId="31134" xr:uid="{00000000-0005-0000-0000-0000613A0000}"/>
    <cellStyle name="Normal 2 33 7 3" xfId="12833" xr:uid="{00000000-0005-0000-0000-0000623A0000}"/>
    <cellStyle name="Normal 2 33 7 3 2" xfId="31135" xr:uid="{00000000-0005-0000-0000-0000633A0000}"/>
    <cellStyle name="Normal 2 33 7 4" xfId="12834" xr:uid="{00000000-0005-0000-0000-0000643A0000}"/>
    <cellStyle name="Normal 2 33 7 4 2" xfId="31136" xr:uid="{00000000-0005-0000-0000-0000653A0000}"/>
    <cellStyle name="Normal 2 33 7 5" xfId="12835" xr:uid="{00000000-0005-0000-0000-0000663A0000}"/>
    <cellStyle name="Normal 2 33 7 5 2" xfId="31137" xr:uid="{00000000-0005-0000-0000-0000673A0000}"/>
    <cellStyle name="Normal 2 33 7 6" xfId="31133" xr:uid="{00000000-0005-0000-0000-0000683A0000}"/>
    <cellStyle name="Normal 2 33 8" xfId="12836" xr:uid="{00000000-0005-0000-0000-0000693A0000}"/>
    <cellStyle name="Normal 2 33 8 2" xfId="12837" xr:uid="{00000000-0005-0000-0000-00006A3A0000}"/>
    <cellStyle name="Normal 2 33 8 2 2" xfId="31139" xr:uid="{00000000-0005-0000-0000-00006B3A0000}"/>
    <cellStyle name="Normal 2 33 8 3" xfId="12838" xr:uid="{00000000-0005-0000-0000-00006C3A0000}"/>
    <cellStyle name="Normal 2 33 8 3 2" xfId="31140" xr:uid="{00000000-0005-0000-0000-00006D3A0000}"/>
    <cellStyle name="Normal 2 33 8 4" xfId="12839" xr:uid="{00000000-0005-0000-0000-00006E3A0000}"/>
    <cellStyle name="Normal 2 33 8 4 2" xfId="31141" xr:uid="{00000000-0005-0000-0000-00006F3A0000}"/>
    <cellStyle name="Normal 2 33 8 5" xfId="12840" xr:uid="{00000000-0005-0000-0000-0000703A0000}"/>
    <cellStyle name="Normal 2 33 8 5 2" xfId="31142" xr:uid="{00000000-0005-0000-0000-0000713A0000}"/>
    <cellStyle name="Normal 2 33 8 6" xfId="31138" xr:uid="{00000000-0005-0000-0000-0000723A0000}"/>
    <cellStyle name="Normal 2 33 9" xfId="12841" xr:uid="{00000000-0005-0000-0000-0000733A0000}"/>
    <cellStyle name="Normal 2 33 9 2" xfId="12842" xr:uid="{00000000-0005-0000-0000-0000743A0000}"/>
    <cellStyle name="Normal 2 33 9 2 2" xfId="31144" xr:uid="{00000000-0005-0000-0000-0000753A0000}"/>
    <cellStyle name="Normal 2 33 9 3" xfId="12843" xr:uid="{00000000-0005-0000-0000-0000763A0000}"/>
    <cellStyle name="Normal 2 33 9 3 2" xfId="31145" xr:uid="{00000000-0005-0000-0000-0000773A0000}"/>
    <cellStyle name="Normal 2 33 9 4" xfId="12844" xr:uid="{00000000-0005-0000-0000-0000783A0000}"/>
    <cellStyle name="Normal 2 33 9 4 2" xfId="31146" xr:uid="{00000000-0005-0000-0000-0000793A0000}"/>
    <cellStyle name="Normal 2 33 9 5" xfId="12845" xr:uid="{00000000-0005-0000-0000-00007A3A0000}"/>
    <cellStyle name="Normal 2 33 9 5 2" xfId="31147" xr:uid="{00000000-0005-0000-0000-00007B3A0000}"/>
    <cellStyle name="Normal 2 33 9 6" xfId="31143" xr:uid="{00000000-0005-0000-0000-00007C3A0000}"/>
    <cellStyle name="Normal 2 34" xfId="12846" xr:uid="{00000000-0005-0000-0000-00007D3A0000}"/>
    <cellStyle name="Normal 2 34 10" xfId="12847" xr:uid="{00000000-0005-0000-0000-00007E3A0000}"/>
    <cellStyle name="Normal 2 34 10 2" xfId="12848" xr:uid="{00000000-0005-0000-0000-00007F3A0000}"/>
    <cellStyle name="Normal 2 34 10 2 2" xfId="31149" xr:uid="{00000000-0005-0000-0000-0000803A0000}"/>
    <cellStyle name="Normal 2 34 10 3" xfId="12849" xr:uid="{00000000-0005-0000-0000-0000813A0000}"/>
    <cellStyle name="Normal 2 34 10 3 2" xfId="31150" xr:uid="{00000000-0005-0000-0000-0000823A0000}"/>
    <cellStyle name="Normal 2 34 10 4" xfId="12850" xr:uid="{00000000-0005-0000-0000-0000833A0000}"/>
    <cellStyle name="Normal 2 34 10 4 2" xfId="31151" xr:uid="{00000000-0005-0000-0000-0000843A0000}"/>
    <cellStyle name="Normal 2 34 10 5" xfId="12851" xr:uid="{00000000-0005-0000-0000-0000853A0000}"/>
    <cellStyle name="Normal 2 34 10 5 2" xfId="31152" xr:uid="{00000000-0005-0000-0000-0000863A0000}"/>
    <cellStyle name="Normal 2 34 10 6" xfId="31148" xr:uid="{00000000-0005-0000-0000-0000873A0000}"/>
    <cellStyle name="Normal 2 34 11" xfId="12852" xr:uid="{00000000-0005-0000-0000-0000883A0000}"/>
    <cellStyle name="Normal 2 34 11 2" xfId="12853" xr:uid="{00000000-0005-0000-0000-0000893A0000}"/>
    <cellStyle name="Normal 2 34 11 2 2" xfId="31154" xr:uid="{00000000-0005-0000-0000-00008A3A0000}"/>
    <cellStyle name="Normal 2 34 11 3" xfId="12854" xr:uid="{00000000-0005-0000-0000-00008B3A0000}"/>
    <cellStyle name="Normal 2 34 11 3 2" xfId="31155" xr:uid="{00000000-0005-0000-0000-00008C3A0000}"/>
    <cellStyle name="Normal 2 34 11 4" xfId="12855" xr:uid="{00000000-0005-0000-0000-00008D3A0000}"/>
    <cellStyle name="Normal 2 34 11 4 2" xfId="31156" xr:uid="{00000000-0005-0000-0000-00008E3A0000}"/>
    <cellStyle name="Normal 2 34 11 5" xfId="12856" xr:uid="{00000000-0005-0000-0000-00008F3A0000}"/>
    <cellStyle name="Normal 2 34 11 5 2" xfId="31157" xr:uid="{00000000-0005-0000-0000-0000903A0000}"/>
    <cellStyle name="Normal 2 34 11 6" xfId="31153" xr:uid="{00000000-0005-0000-0000-0000913A0000}"/>
    <cellStyle name="Normal 2 34 12" xfId="12857" xr:uid="{00000000-0005-0000-0000-0000923A0000}"/>
    <cellStyle name="Normal 2 34 12 2" xfId="12858" xr:uid="{00000000-0005-0000-0000-0000933A0000}"/>
    <cellStyle name="Normal 2 34 12 2 2" xfId="31159" xr:uid="{00000000-0005-0000-0000-0000943A0000}"/>
    <cellStyle name="Normal 2 34 12 3" xfId="12859" xr:uid="{00000000-0005-0000-0000-0000953A0000}"/>
    <cellStyle name="Normal 2 34 12 3 2" xfId="31160" xr:uid="{00000000-0005-0000-0000-0000963A0000}"/>
    <cellStyle name="Normal 2 34 12 4" xfId="12860" xr:uid="{00000000-0005-0000-0000-0000973A0000}"/>
    <cellStyle name="Normal 2 34 12 4 2" xfId="31161" xr:uid="{00000000-0005-0000-0000-0000983A0000}"/>
    <cellStyle name="Normal 2 34 12 5" xfId="12861" xr:uid="{00000000-0005-0000-0000-0000993A0000}"/>
    <cellStyle name="Normal 2 34 12 5 2" xfId="31162" xr:uid="{00000000-0005-0000-0000-00009A3A0000}"/>
    <cellStyle name="Normal 2 34 12 6" xfId="31158" xr:uid="{00000000-0005-0000-0000-00009B3A0000}"/>
    <cellStyle name="Normal 2 34 13" xfId="12862" xr:uid="{00000000-0005-0000-0000-00009C3A0000}"/>
    <cellStyle name="Normal 2 34 13 2" xfId="12863" xr:uid="{00000000-0005-0000-0000-00009D3A0000}"/>
    <cellStyle name="Normal 2 34 13 2 2" xfId="31164" xr:uid="{00000000-0005-0000-0000-00009E3A0000}"/>
    <cellStyle name="Normal 2 34 13 3" xfId="12864" xr:uid="{00000000-0005-0000-0000-00009F3A0000}"/>
    <cellStyle name="Normal 2 34 13 3 2" xfId="31165" xr:uid="{00000000-0005-0000-0000-0000A03A0000}"/>
    <cellStyle name="Normal 2 34 13 4" xfId="12865" xr:uid="{00000000-0005-0000-0000-0000A13A0000}"/>
    <cellStyle name="Normal 2 34 13 4 2" xfId="31166" xr:uid="{00000000-0005-0000-0000-0000A23A0000}"/>
    <cellStyle name="Normal 2 34 13 5" xfId="12866" xr:uid="{00000000-0005-0000-0000-0000A33A0000}"/>
    <cellStyle name="Normal 2 34 13 5 2" xfId="31167" xr:uid="{00000000-0005-0000-0000-0000A43A0000}"/>
    <cellStyle name="Normal 2 34 13 6" xfId="31163" xr:uid="{00000000-0005-0000-0000-0000A53A0000}"/>
    <cellStyle name="Normal 2 34 14" xfId="12867" xr:uid="{00000000-0005-0000-0000-0000A63A0000}"/>
    <cellStyle name="Normal 2 34 14 2" xfId="12868" xr:uid="{00000000-0005-0000-0000-0000A73A0000}"/>
    <cellStyle name="Normal 2 34 14 2 2" xfId="31169" xr:uid="{00000000-0005-0000-0000-0000A83A0000}"/>
    <cellStyle name="Normal 2 34 14 3" xfId="12869" xr:uid="{00000000-0005-0000-0000-0000A93A0000}"/>
    <cellStyle name="Normal 2 34 14 3 2" xfId="31170" xr:uid="{00000000-0005-0000-0000-0000AA3A0000}"/>
    <cellStyle name="Normal 2 34 14 4" xfId="12870" xr:uid="{00000000-0005-0000-0000-0000AB3A0000}"/>
    <cellStyle name="Normal 2 34 14 4 2" xfId="31171" xr:uid="{00000000-0005-0000-0000-0000AC3A0000}"/>
    <cellStyle name="Normal 2 34 14 5" xfId="12871" xr:uid="{00000000-0005-0000-0000-0000AD3A0000}"/>
    <cellStyle name="Normal 2 34 14 5 2" xfId="31172" xr:uid="{00000000-0005-0000-0000-0000AE3A0000}"/>
    <cellStyle name="Normal 2 34 14 6" xfId="31168" xr:uid="{00000000-0005-0000-0000-0000AF3A0000}"/>
    <cellStyle name="Normal 2 34 15" xfId="12872" xr:uid="{00000000-0005-0000-0000-0000B03A0000}"/>
    <cellStyle name="Normal 2 34 15 2" xfId="12873" xr:uid="{00000000-0005-0000-0000-0000B13A0000}"/>
    <cellStyle name="Normal 2 34 15 2 2" xfId="31174" xr:uid="{00000000-0005-0000-0000-0000B23A0000}"/>
    <cellStyle name="Normal 2 34 15 3" xfId="12874" xr:uid="{00000000-0005-0000-0000-0000B33A0000}"/>
    <cellStyle name="Normal 2 34 15 3 2" xfId="31175" xr:uid="{00000000-0005-0000-0000-0000B43A0000}"/>
    <cellStyle name="Normal 2 34 15 4" xfId="12875" xr:uid="{00000000-0005-0000-0000-0000B53A0000}"/>
    <cellStyle name="Normal 2 34 15 4 2" xfId="31176" xr:uid="{00000000-0005-0000-0000-0000B63A0000}"/>
    <cellStyle name="Normal 2 34 15 5" xfId="12876" xr:uid="{00000000-0005-0000-0000-0000B73A0000}"/>
    <cellStyle name="Normal 2 34 15 5 2" xfId="31177" xr:uid="{00000000-0005-0000-0000-0000B83A0000}"/>
    <cellStyle name="Normal 2 34 15 6" xfId="31173" xr:uid="{00000000-0005-0000-0000-0000B93A0000}"/>
    <cellStyle name="Normal 2 34 16" xfId="12877" xr:uid="{00000000-0005-0000-0000-0000BA3A0000}"/>
    <cellStyle name="Normal 2 34 16 2" xfId="12878" xr:uid="{00000000-0005-0000-0000-0000BB3A0000}"/>
    <cellStyle name="Normal 2 34 16 2 2" xfId="31179" xr:uid="{00000000-0005-0000-0000-0000BC3A0000}"/>
    <cellStyle name="Normal 2 34 16 3" xfId="12879" xr:uid="{00000000-0005-0000-0000-0000BD3A0000}"/>
    <cellStyle name="Normal 2 34 16 3 2" xfId="31180" xr:uid="{00000000-0005-0000-0000-0000BE3A0000}"/>
    <cellStyle name="Normal 2 34 16 4" xfId="12880" xr:uid="{00000000-0005-0000-0000-0000BF3A0000}"/>
    <cellStyle name="Normal 2 34 16 4 2" xfId="31181" xr:uid="{00000000-0005-0000-0000-0000C03A0000}"/>
    <cellStyle name="Normal 2 34 16 5" xfId="12881" xr:uid="{00000000-0005-0000-0000-0000C13A0000}"/>
    <cellStyle name="Normal 2 34 16 5 2" xfId="31182" xr:uid="{00000000-0005-0000-0000-0000C23A0000}"/>
    <cellStyle name="Normal 2 34 16 6" xfId="31178" xr:uid="{00000000-0005-0000-0000-0000C33A0000}"/>
    <cellStyle name="Normal 2 34 17" xfId="12882" xr:uid="{00000000-0005-0000-0000-0000C43A0000}"/>
    <cellStyle name="Normal 2 34 17 2" xfId="12883" xr:uid="{00000000-0005-0000-0000-0000C53A0000}"/>
    <cellStyle name="Normal 2 34 17 2 2" xfId="31184" xr:uid="{00000000-0005-0000-0000-0000C63A0000}"/>
    <cellStyle name="Normal 2 34 17 3" xfId="12884" xr:uid="{00000000-0005-0000-0000-0000C73A0000}"/>
    <cellStyle name="Normal 2 34 17 3 2" xfId="31185" xr:uid="{00000000-0005-0000-0000-0000C83A0000}"/>
    <cellStyle name="Normal 2 34 17 4" xfId="12885" xr:uid="{00000000-0005-0000-0000-0000C93A0000}"/>
    <cellStyle name="Normal 2 34 17 4 2" xfId="31186" xr:uid="{00000000-0005-0000-0000-0000CA3A0000}"/>
    <cellStyle name="Normal 2 34 17 5" xfId="12886" xr:uid="{00000000-0005-0000-0000-0000CB3A0000}"/>
    <cellStyle name="Normal 2 34 17 5 2" xfId="31187" xr:uid="{00000000-0005-0000-0000-0000CC3A0000}"/>
    <cellStyle name="Normal 2 34 17 6" xfId="31183" xr:uid="{00000000-0005-0000-0000-0000CD3A0000}"/>
    <cellStyle name="Normal 2 34 18" xfId="12887" xr:uid="{00000000-0005-0000-0000-0000CE3A0000}"/>
    <cellStyle name="Normal 2 34 18 2" xfId="12888" xr:uid="{00000000-0005-0000-0000-0000CF3A0000}"/>
    <cellStyle name="Normal 2 34 18 2 2" xfId="31189" xr:uid="{00000000-0005-0000-0000-0000D03A0000}"/>
    <cellStyle name="Normal 2 34 18 3" xfId="12889" xr:uid="{00000000-0005-0000-0000-0000D13A0000}"/>
    <cellStyle name="Normal 2 34 18 3 2" xfId="31190" xr:uid="{00000000-0005-0000-0000-0000D23A0000}"/>
    <cellStyle name="Normal 2 34 18 4" xfId="12890" xr:uid="{00000000-0005-0000-0000-0000D33A0000}"/>
    <cellStyle name="Normal 2 34 18 4 2" xfId="31191" xr:uid="{00000000-0005-0000-0000-0000D43A0000}"/>
    <cellStyle name="Normal 2 34 18 5" xfId="12891" xr:uid="{00000000-0005-0000-0000-0000D53A0000}"/>
    <cellStyle name="Normal 2 34 18 5 2" xfId="31192" xr:uid="{00000000-0005-0000-0000-0000D63A0000}"/>
    <cellStyle name="Normal 2 34 18 6" xfId="31188" xr:uid="{00000000-0005-0000-0000-0000D73A0000}"/>
    <cellStyle name="Normal 2 34 19" xfId="12892" xr:uid="{00000000-0005-0000-0000-0000D83A0000}"/>
    <cellStyle name="Normal 2 34 19 2" xfId="12893" xr:uid="{00000000-0005-0000-0000-0000D93A0000}"/>
    <cellStyle name="Normal 2 34 19 2 2" xfId="31194" xr:uid="{00000000-0005-0000-0000-0000DA3A0000}"/>
    <cellStyle name="Normal 2 34 19 3" xfId="12894" xr:uid="{00000000-0005-0000-0000-0000DB3A0000}"/>
    <cellStyle name="Normal 2 34 19 3 2" xfId="31195" xr:uid="{00000000-0005-0000-0000-0000DC3A0000}"/>
    <cellStyle name="Normal 2 34 19 4" xfId="12895" xr:uid="{00000000-0005-0000-0000-0000DD3A0000}"/>
    <cellStyle name="Normal 2 34 19 4 2" xfId="31196" xr:uid="{00000000-0005-0000-0000-0000DE3A0000}"/>
    <cellStyle name="Normal 2 34 19 5" xfId="12896" xr:uid="{00000000-0005-0000-0000-0000DF3A0000}"/>
    <cellStyle name="Normal 2 34 19 5 2" xfId="31197" xr:uid="{00000000-0005-0000-0000-0000E03A0000}"/>
    <cellStyle name="Normal 2 34 19 6" xfId="31193" xr:uid="{00000000-0005-0000-0000-0000E13A0000}"/>
    <cellStyle name="Normal 2 34 2" xfId="12897" xr:uid="{00000000-0005-0000-0000-0000E23A0000}"/>
    <cellStyle name="Normal 2 34 2 10" xfId="12898" xr:uid="{00000000-0005-0000-0000-0000E33A0000}"/>
    <cellStyle name="Normal 2 34 2 10 2" xfId="12899" xr:uid="{00000000-0005-0000-0000-0000E43A0000}"/>
    <cellStyle name="Normal 2 34 2 10 2 2" xfId="31200" xr:uid="{00000000-0005-0000-0000-0000E53A0000}"/>
    <cellStyle name="Normal 2 34 2 10 3" xfId="12900" xr:uid="{00000000-0005-0000-0000-0000E63A0000}"/>
    <cellStyle name="Normal 2 34 2 10 3 2" xfId="31201" xr:uid="{00000000-0005-0000-0000-0000E73A0000}"/>
    <cellStyle name="Normal 2 34 2 10 4" xfId="12901" xr:uid="{00000000-0005-0000-0000-0000E83A0000}"/>
    <cellStyle name="Normal 2 34 2 10 4 2" xfId="31202" xr:uid="{00000000-0005-0000-0000-0000E93A0000}"/>
    <cellStyle name="Normal 2 34 2 10 5" xfId="12902" xr:uid="{00000000-0005-0000-0000-0000EA3A0000}"/>
    <cellStyle name="Normal 2 34 2 10 5 2" xfId="31203" xr:uid="{00000000-0005-0000-0000-0000EB3A0000}"/>
    <cellStyle name="Normal 2 34 2 10 6" xfId="31199" xr:uid="{00000000-0005-0000-0000-0000EC3A0000}"/>
    <cellStyle name="Normal 2 34 2 11" xfId="12903" xr:uid="{00000000-0005-0000-0000-0000ED3A0000}"/>
    <cellStyle name="Normal 2 34 2 11 2" xfId="12904" xr:uid="{00000000-0005-0000-0000-0000EE3A0000}"/>
    <cellStyle name="Normal 2 34 2 11 2 2" xfId="31205" xr:uid="{00000000-0005-0000-0000-0000EF3A0000}"/>
    <cellStyle name="Normal 2 34 2 11 3" xfId="12905" xr:uid="{00000000-0005-0000-0000-0000F03A0000}"/>
    <cellStyle name="Normal 2 34 2 11 3 2" xfId="31206" xr:uid="{00000000-0005-0000-0000-0000F13A0000}"/>
    <cellStyle name="Normal 2 34 2 11 4" xfId="12906" xr:uid="{00000000-0005-0000-0000-0000F23A0000}"/>
    <cellStyle name="Normal 2 34 2 11 4 2" xfId="31207" xr:uid="{00000000-0005-0000-0000-0000F33A0000}"/>
    <cellStyle name="Normal 2 34 2 11 5" xfId="12907" xr:uid="{00000000-0005-0000-0000-0000F43A0000}"/>
    <cellStyle name="Normal 2 34 2 11 5 2" xfId="31208" xr:uid="{00000000-0005-0000-0000-0000F53A0000}"/>
    <cellStyle name="Normal 2 34 2 11 6" xfId="31204" xr:uid="{00000000-0005-0000-0000-0000F63A0000}"/>
    <cellStyle name="Normal 2 34 2 12" xfId="12908" xr:uid="{00000000-0005-0000-0000-0000F73A0000}"/>
    <cellStyle name="Normal 2 34 2 12 2" xfId="12909" xr:uid="{00000000-0005-0000-0000-0000F83A0000}"/>
    <cellStyle name="Normal 2 34 2 12 2 2" xfId="31210" xr:uid="{00000000-0005-0000-0000-0000F93A0000}"/>
    <cellStyle name="Normal 2 34 2 12 3" xfId="12910" xr:uid="{00000000-0005-0000-0000-0000FA3A0000}"/>
    <cellStyle name="Normal 2 34 2 12 3 2" xfId="31211" xr:uid="{00000000-0005-0000-0000-0000FB3A0000}"/>
    <cellStyle name="Normal 2 34 2 12 4" xfId="12911" xr:uid="{00000000-0005-0000-0000-0000FC3A0000}"/>
    <cellStyle name="Normal 2 34 2 12 4 2" xfId="31212" xr:uid="{00000000-0005-0000-0000-0000FD3A0000}"/>
    <cellStyle name="Normal 2 34 2 12 5" xfId="12912" xr:uid="{00000000-0005-0000-0000-0000FE3A0000}"/>
    <cellStyle name="Normal 2 34 2 12 5 2" xfId="31213" xr:uid="{00000000-0005-0000-0000-0000FF3A0000}"/>
    <cellStyle name="Normal 2 34 2 12 6" xfId="31209" xr:uid="{00000000-0005-0000-0000-0000003B0000}"/>
    <cellStyle name="Normal 2 34 2 13" xfId="12913" xr:uid="{00000000-0005-0000-0000-0000013B0000}"/>
    <cellStyle name="Normal 2 34 2 13 2" xfId="12914" xr:uid="{00000000-0005-0000-0000-0000023B0000}"/>
    <cellStyle name="Normal 2 34 2 13 2 2" xfId="31215" xr:uid="{00000000-0005-0000-0000-0000033B0000}"/>
    <cellStyle name="Normal 2 34 2 13 3" xfId="12915" xr:uid="{00000000-0005-0000-0000-0000043B0000}"/>
    <cellStyle name="Normal 2 34 2 13 3 2" xfId="31216" xr:uid="{00000000-0005-0000-0000-0000053B0000}"/>
    <cellStyle name="Normal 2 34 2 13 4" xfId="12916" xr:uid="{00000000-0005-0000-0000-0000063B0000}"/>
    <cellStyle name="Normal 2 34 2 13 4 2" xfId="31217" xr:uid="{00000000-0005-0000-0000-0000073B0000}"/>
    <cellStyle name="Normal 2 34 2 13 5" xfId="12917" xr:uid="{00000000-0005-0000-0000-0000083B0000}"/>
    <cellStyle name="Normal 2 34 2 13 5 2" xfId="31218" xr:uid="{00000000-0005-0000-0000-0000093B0000}"/>
    <cellStyle name="Normal 2 34 2 13 6" xfId="31214" xr:uid="{00000000-0005-0000-0000-00000A3B0000}"/>
    <cellStyle name="Normal 2 34 2 14" xfId="12918" xr:uid="{00000000-0005-0000-0000-00000B3B0000}"/>
    <cellStyle name="Normal 2 34 2 14 2" xfId="12919" xr:uid="{00000000-0005-0000-0000-00000C3B0000}"/>
    <cellStyle name="Normal 2 34 2 14 2 2" xfId="31220" xr:uid="{00000000-0005-0000-0000-00000D3B0000}"/>
    <cellStyle name="Normal 2 34 2 14 3" xfId="12920" xr:uid="{00000000-0005-0000-0000-00000E3B0000}"/>
    <cellStyle name="Normal 2 34 2 14 3 2" xfId="31221" xr:uid="{00000000-0005-0000-0000-00000F3B0000}"/>
    <cellStyle name="Normal 2 34 2 14 4" xfId="12921" xr:uid="{00000000-0005-0000-0000-0000103B0000}"/>
    <cellStyle name="Normal 2 34 2 14 4 2" xfId="31222" xr:uid="{00000000-0005-0000-0000-0000113B0000}"/>
    <cellStyle name="Normal 2 34 2 14 5" xfId="12922" xr:uid="{00000000-0005-0000-0000-0000123B0000}"/>
    <cellStyle name="Normal 2 34 2 14 5 2" xfId="31223" xr:uid="{00000000-0005-0000-0000-0000133B0000}"/>
    <cellStyle name="Normal 2 34 2 14 6" xfId="31219" xr:uid="{00000000-0005-0000-0000-0000143B0000}"/>
    <cellStyle name="Normal 2 34 2 15" xfId="12923" xr:uid="{00000000-0005-0000-0000-0000153B0000}"/>
    <cellStyle name="Normal 2 34 2 15 2" xfId="12924" xr:uid="{00000000-0005-0000-0000-0000163B0000}"/>
    <cellStyle name="Normal 2 34 2 15 2 2" xfId="31225" xr:uid="{00000000-0005-0000-0000-0000173B0000}"/>
    <cellStyle name="Normal 2 34 2 15 3" xfId="12925" xr:uid="{00000000-0005-0000-0000-0000183B0000}"/>
    <cellStyle name="Normal 2 34 2 15 3 2" xfId="31226" xr:uid="{00000000-0005-0000-0000-0000193B0000}"/>
    <cellStyle name="Normal 2 34 2 15 4" xfId="12926" xr:uid="{00000000-0005-0000-0000-00001A3B0000}"/>
    <cellStyle name="Normal 2 34 2 15 4 2" xfId="31227" xr:uid="{00000000-0005-0000-0000-00001B3B0000}"/>
    <cellStyle name="Normal 2 34 2 15 5" xfId="12927" xr:uid="{00000000-0005-0000-0000-00001C3B0000}"/>
    <cellStyle name="Normal 2 34 2 15 5 2" xfId="31228" xr:uid="{00000000-0005-0000-0000-00001D3B0000}"/>
    <cellStyle name="Normal 2 34 2 15 6" xfId="31224" xr:uid="{00000000-0005-0000-0000-00001E3B0000}"/>
    <cellStyle name="Normal 2 34 2 16" xfId="12928" xr:uid="{00000000-0005-0000-0000-00001F3B0000}"/>
    <cellStyle name="Normal 2 34 2 16 2" xfId="12929" xr:uid="{00000000-0005-0000-0000-0000203B0000}"/>
    <cellStyle name="Normal 2 34 2 16 2 2" xfId="31230" xr:uid="{00000000-0005-0000-0000-0000213B0000}"/>
    <cellStyle name="Normal 2 34 2 16 3" xfId="12930" xr:uid="{00000000-0005-0000-0000-0000223B0000}"/>
    <cellStyle name="Normal 2 34 2 16 3 2" xfId="31231" xr:uid="{00000000-0005-0000-0000-0000233B0000}"/>
    <cellStyle name="Normal 2 34 2 16 4" xfId="12931" xr:uid="{00000000-0005-0000-0000-0000243B0000}"/>
    <cellStyle name="Normal 2 34 2 16 4 2" xfId="31232" xr:uid="{00000000-0005-0000-0000-0000253B0000}"/>
    <cellStyle name="Normal 2 34 2 16 5" xfId="12932" xr:uid="{00000000-0005-0000-0000-0000263B0000}"/>
    <cellStyle name="Normal 2 34 2 16 5 2" xfId="31233" xr:uid="{00000000-0005-0000-0000-0000273B0000}"/>
    <cellStyle name="Normal 2 34 2 16 6" xfId="31229" xr:uid="{00000000-0005-0000-0000-0000283B0000}"/>
    <cellStyle name="Normal 2 34 2 17" xfId="12933" xr:uid="{00000000-0005-0000-0000-0000293B0000}"/>
    <cellStyle name="Normal 2 34 2 17 2" xfId="31234" xr:uid="{00000000-0005-0000-0000-00002A3B0000}"/>
    <cellStyle name="Normal 2 34 2 18" xfId="12934" xr:uid="{00000000-0005-0000-0000-00002B3B0000}"/>
    <cellStyle name="Normal 2 34 2 18 2" xfId="31235" xr:uid="{00000000-0005-0000-0000-00002C3B0000}"/>
    <cellStyle name="Normal 2 34 2 19" xfId="12935" xr:uid="{00000000-0005-0000-0000-00002D3B0000}"/>
    <cellStyle name="Normal 2 34 2 19 2" xfId="31236" xr:uid="{00000000-0005-0000-0000-00002E3B0000}"/>
    <cellStyle name="Normal 2 34 2 2" xfId="12936" xr:uid="{00000000-0005-0000-0000-00002F3B0000}"/>
    <cellStyle name="Normal 2 34 2 20" xfId="12937" xr:uid="{00000000-0005-0000-0000-0000303B0000}"/>
    <cellStyle name="Normal 2 34 2 20 2" xfId="31237" xr:uid="{00000000-0005-0000-0000-0000313B0000}"/>
    <cellStyle name="Normal 2 34 2 21" xfId="31198" xr:uid="{00000000-0005-0000-0000-0000323B0000}"/>
    <cellStyle name="Normal 2 34 2 3" xfId="12938" xr:uid="{00000000-0005-0000-0000-0000333B0000}"/>
    <cellStyle name="Normal 2 34 2 3 2" xfId="12939" xr:uid="{00000000-0005-0000-0000-0000343B0000}"/>
    <cellStyle name="Normal 2 34 2 3 2 2" xfId="31239" xr:uid="{00000000-0005-0000-0000-0000353B0000}"/>
    <cellStyle name="Normal 2 34 2 3 3" xfId="12940" xr:uid="{00000000-0005-0000-0000-0000363B0000}"/>
    <cellStyle name="Normal 2 34 2 3 3 2" xfId="31240" xr:uid="{00000000-0005-0000-0000-0000373B0000}"/>
    <cellStyle name="Normal 2 34 2 3 4" xfId="12941" xr:uid="{00000000-0005-0000-0000-0000383B0000}"/>
    <cellStyle name="Normal 2 34 2 3 4 2" xfId="31241" xr:uid="{00000000-0005-0000-0000-0000393B0000}"/>
    <cellStyle name="Normal 2 34 2 3 5" xfId="12942" xr:uid="{00000000-0005-0000-0000-00003A3B0000}"/>
    <cellStyle name="Normal 2 34 2 3 5 2" xfId="31242" xr:uid="{00000000-0005-0000-0000-00003B3B0000}"/>
    <cellStyle name="Normal 2 34 2 3 6" xfId="31238" xr:uid="{00000000-0005-0000-0000-00003C3B0000}"/>
    <cellStyle name="Normal 2 34 2 4" xfId="12943" xr:uid="{00000000-0005-0000-0000-00003D3B0000}"/>
    <cellStyle name="Normal 2 34 2 4 2" xfId="12944" xr:uid="{00000000-0005-0000-0000-00003E3B0000}"/>
    <cellStyle name="Normal 2 34 2 4 2 2" xfId="31244" xr:uid="{00000000-0005-0000-0000-00003F3B0000}"/>
    <cellStyle name="Normal 2 34 2 4 3" xfId="12945" xr:uid="{00000000-0005-0000-0000-0000403B0000}"/>
    <cellStyle name="Normal 2 34 2 4 3 2" xfId="31245" xr:uid="{00000000-0005-0000-0000-0000413B0000}"/>
    <cellStyle name="Normal 2 34 2 4 4" xfId="12946" xr:uid="{00000000-0005-0000-0000-0000423B0000}"/>
    <cellStyle name="Normal 2 34 2 4 4 2" xfId="31246" xr:uid="{00000000-0005-0000-0000-0000433B0000}"/>
    <cellStyle name="Normal 2 34 2 4 5" xfId="12947" xr:uid="{00000000-0005-0000-0000-0000443B0000}"/>
    <cellStyle name="Normal 2 34 2 4 5 2" xfId="31247" xr:uid="{00000000-0005-0000-0000-0000453B0000}"/>
    <cellStyle name="Normal 2 34 2 4 6" xfId="31243" xr:uid="{00000000-0005-0000-0000-0000463B0000}"/>
    <cellStyle name="Normal 2 34 2 5" xfId="12948" xr:uid="{00000000-0005-0000-0000-0000473B0000}"/>
    <cellStyle name="Normal 2 34 2 5 2" xfId="12949" xr:uid="{00000000-0005-0000-0000-0000483B0000}"/>
    <cellStyle name="Normal 2 34 2 5 2 2" xfId="31249" xr:uid="{00000000-0005-0000-0000-0000493B0000}"/>
    <cellStyle name="Normal 2 34 2 5 3" xfId="12950" xr:uid="{00000000-0005-0000-0000-00004A3B0000}"/>
    <cellStyle name="Normal 2 34 2 5 3 2" xfId="31250" xr:uid="{00000000-0005-0000-0000-00004B3B0000}"/>
    <cellStyle name="Normal 2 34 2 5 4" xfId="12951" xr:uid="{00000000-0005-0000-0000-00004C3B0000}"/>
    <cellStyle name="Normal 2 34 2 5 4 2" xfId="31251" xr:uid="{00000000-0005-0000-0000-00004D3B0000}"/>
    <cellStyle name="Normal 2 34 2 5 5" xfId="12952" xr:uid="{00000000-0005-0000-0000-00004E3B0000}"/>
    <cellStyle name="Normal 2 34 2 5 5 2" xfId="31252" xr:uid="{00000000-0005-0000-0000-00004F3B0000}"/>
    <cellStyle name="Normal 2 34 2 5 6" xfId="31248" xr:uid="{00000000-0005-0000-0000-0000503B0000}"/>
    <cellStyle name="Normal 2 34 2 6" xfId="12953" xr:uid="{00000000-0005-0000-0000-0000513B0000}"/>
    <cellStyle name="Normal 2 34 2 6 2" xfId="12954" xr:uid="{00000000-0005-0000-0000-0000523B0000}"/>
    <cellStyle name="Normal 2 34 2 6 2 2" xfId="31254" xr:uid="{00000000-0005-0000-0000-0000533B0000}"/>
    <cellStyle name="Normal 2 34 2 6 3" xfId="12955" xr:uid="{00000000-0005-0000-0000-0000543B0000}"/>
    <cellStyle name="Normal 2 34 2 6 3 2" xfId="31255" xr:uid="{00000000-0005-0000-0000-0000553B0000}"/>
    <cellStyle name="Normal 2 34 2 6 4" xfId="12956" xr:uid="{00000000-0005-0000-0000-0000563B0000}"/>
    <cellStyle name="Normal 2 34 2 6 4 2" xfId="31256" xr:uid="{00000000-0005-0000-0000-0000573B0000}"/>
    <cellStyle name="Normal 2 34 2 6 5" xfId="12957" xr:uid="{00000000-0005-0000-0000-0000583B0000}"/>
    <cellStyle name="Normal 2 34 2 6 5 2" xfId="31257" xr:uid="{00000000-0005-0000-0000-0000593B0000}"/>
    <cellStyle name="Normal 2 34 2 6 6" xfId="31253" xr:uid="{00000000-0005-0000-0000-00005A3B0000}"/>
    <cellStyle name="Normal 2 34 2 7" xfId="12958" xr:uid="{00000000-0005-0000-0000-00005B3B0000}"/>
    <cellStyle name="Normal 2 34 2 7 2" xfId="12959" xr:uid="{00000000-0005-0000-0000-00005C3B0000}"/>
    <cellStyle name="Normal 2 34 2 7 2 2" xfId="31259" xr:uid="{00000000-0005-0000-0000-00005D3B0000}"/>
    <cellStyle name="Normal 2 34 2 7 3" xfId="12960" xr:uid="{00000000-0005-0000-0000-00005E3B0000}"/>
    <cellStyle name="Normal 2 34 2 7 3 2" xfId="31260" xr:uid="{00000000-0005-0000-0000-00005F3B0000}"/>
    <cellStyle name="Normal 2 34 2 7 4" xfId="12961" xr:uid="{00000000-0005-0000-0000-0000603B0000}"/>
    <cellStyle name="Normal 2 34 2 7 4 2" xfId="31261" xr:uid="{00000000-0005-0000-0000-0000613B0000}"/>
    <cellStyle name="Normal 2 34 2 7 5" xfId="12962" xr:uid="{00000000-0005-0000-0000-0000623B0000}"/>
    <cellStyle name="Normal 2 34 2 7 5 2" xfId="31262" xr:uid="{00000000-0005-0000-0000-0000633B0000}"/>
    <cellStyle name="Normal 2 34 2 7 6" xfId="31258" xr:uid="{00000000-0005-0000-0000-0000643B0000}"/>
    <cellStyle name="Normal 2 34 2 8" xfId="12963" xr:uid="{00000000-0005-0000-0000-0000653B0000}"/>
    <cellStyle name="Normal 2 34 2 8 2" xfId="12964" xr:uid="{00000000-0005-0000-0000-0000663B0000}"/>
    <cellStyle name="Normal 2 34 2 8 2 2" xfId="31264" xr:uid="{00000000-0005-0000-0000-0000673B0000}"/>
    <cellStyle name="Normal 2 34 2 8 3" xfId="12965" xr:uid="{00000000-0005-0000-0000-0000683B0000}"/>
    <cellStyle name="Normal 2 34 2 8 3 2" xfId="31265" xr:uid="{00000000-0005-0000-0000-0000693B0000}"/>
    <cellStyle name="Normal 2 34 2 8 4" xfId="12966" xr:uid="{00000000-0005-0000-0000-00006A3B0000}"/>
    <cellStyle name="Normal 2 34 2 8 4 2" xfId="31266" xr:uid="{00000000-0005-0000-0000-00006B3B0000}"/>
    <cellStyle name="Normal 2 34 2 8 5" xfId="12967" xr:uid="{00000000-0005-0000-0000-00006C3B0000}"/>
    <cellStyle name="Normal 2 34 2 8 5 2" xfId="31267" xr:uid="{00000000-0005-0000-0000-00006D3B0000}"/>
    <cellStyle name="Normal 2 34 2 8 6" xfId="31263" xr:uid="{00000000-0005-0000-0000-00006E3B0000}"/>
    <cellStyle name="Normal 2 34 2 9" xfId="12968" xr:uid="{00000000-0005-0000-0000-00006F3B0000}"/>
    <cellStyle name="Normal 2 34 2 9 2" xfId="12969" xr:uid="{00000000-0005-0000-0000-0000703B0000}"/>
    <cellStyle name="Normal 2 34 2 9 2 2" xfId="31269" xr:uid="{00000000-0005-0000-0000-0000713B0000}"/>
    <cellStyle name="Normal 2 34 2 9 3" xfId="12970" xr:uid="{00000000-0005-0000-0000-0000723B0000}"/>
    <cellStyle name="Normal 2 34 2 9 3 2" xfId="31270" xr:uid="{00000000-0005-0000-0000-0000733B0000}"/>
    <cellStyle name="Normal 2 34 2 9 4" xfId="12971" xr:uid="{00000000-0005-0000-0000-0000743B0000}"/>
    <cellStyle name="Normal 2 34 2 9 4 2" xfId="31271" xr:uid="{00000000-0005-0000-0000-0000753B0000}"/>
    <cellStyle name="Normal 2 34 2 9 5" xfId="12972" xr:uid="{00000000-0005-0000-0000-0000763B0000}"/>
    <cellStyle name="Normal 2 34 2 9 5 2" xfId="31272" xr:uid="{00000000-0005-0000-0000-0000773B0000}"/>
    <cellStyle name="Normal 2 34 2 9 6" xfId="31268" xr:uid="{00000000-0005-0000-0000-0000783B0000}"/>
    <cellStyle name="Normal 2 34 20" xfId="12973" xr:uid="{00000000-0005-0000-0000-0000793B0000}"/>
    <cellStyle name="Normal 2 34 20 2" xfId="31273" xr:uid="{00000000-0005-0000-0000-00007A3B0000}"/>
    <cellStyle name="Normal 2 34 21" xfId="12974" xr:uid="{00000000-0005-0000-0000-00007B3B0000}"/>
    <cellStyle name="Normal 2 34 21 2" xfId="31274" xr:uid="{00000000-0005-0000-0000-00007C3B0000}"/>
    <cellStyle name="Normal 2 34 22" xfId="12975" xr:uid="{00000000-0005-0000-0000-00007D3B0000}"/>
    <cellStyle name="Normal 2 34 22 2" xfId="31275" xr:uid="{00000000-0005-0000-0000-00007E3B0000}"/>
    <cellStyle name="Normal 2 34 23" xfId="12976" xr:uid="{00000000-0005-0000-0000-00007F3B0000}"/>
    <cellStyle name="Normal 2 34 23 2" xfId="31276" xr:uid="{00000000-0005-0000-0000-0000803B0000}"/>
    <cellStyle name="Normal 2 34 24" xfId="12977" xr:uid="{00000000-0005-0000-0000-0000813B0000}"/>
    <cellStyle name="Normal 2 34 24 2" xfId="31277" xr:uid="{00000000-0005-0000-0000-0000823B0000}"/>
    <cellStyle name="Normal 2 34 3" xfId="12978" xr:uid="{00000000-0005-0000-0000-0000833B0000}"/>
    <cellStyle name="Normal 2 34 3 2" xfId="12979" xr:uid="{00000000-0005-0000-0000-0000843B0000}"/>
    <cellStyle name="Normal 2 34 3 3" xfId="12980" xr:uid="{00000000-0005-0000-0000-0000853B0000}"/>
    <cellStyle name="Normal 2 34 3 3 2" xfId="31279" xr:uid="{00000000-0005-0000-0000-0000863B0000}"/>
    <cellStyle name="Normal 2 34 3 4" xfId="12981" xr:uid="{00000000-0005-0000-0000-0000873B0000}"/>
    <cellStyle name="Normal 2 34 3 4 2" xfId="31280" xr:uid="{00000000-0005-0000-0000-0000883B0000}"/>
    <cellStyle name="Normal 2 34 3 5" xfId="12982" xr:uid="{00000000-0005-0000-0000-0000893B0000}"/>
    <cellStyle name="Normal 2 34 3 5 2" xfId="31281" xr:uid="{00000000-0005-0000-0000-00008A3B0000}"/>
    <cellStyle name="Normal 2 34 3 6" xfId="12983" xr:uid="{00000000-0005-0000-0000-00008B3B0000}"/>
    <cellStyle name="Normal 2 34 3 6 2" xfId="31282" xr:uid="{00000000-0005-0000-0000-00008C3B0000}"/>
    <cellStyle name="Normal 2 34 3 7" xfId="31278" xr:uid="{00000000-0005-0000-0000-00008D3B0000}"/>
    <cellStyle name="Normal 2 34 4" xfId="12984" xr:uid="{00000000-0005-0000-0000-00008E3B0000}"/>
    <cellStyle name="Normal 2 34 4 2" xfId="12985" xr:uid="{00000000-0005-0000-0000-00008F3B0000}"/>
    <cellStyle name="Normal 2 34 4 3" xfId="12986" xr:uid="{00000000-0005-0000-0000-0000903B0000}"/>
    <cellStyle name="Normal 2 34 4 3 2" xfId="31284" xr:uid="{00000000-0005-0000-0000-0000913B0000}"/>
    <cellStyle name="Normal 2 34 4 4" xfId="12987" xr:uid="{00000000-0005-0000-0000-0000923B0000}"/>
    <cellStyle name="Normal 2 34 4 4 2" xfId="31285" xr:uid="{00000000-0005-0000-0000-0000933B0000}"/>
    <cellStyle name="Normal 2 34 4 5" xfId="12988" xr:uid="{00000000-0005-0000-0000-0000943B0000}"/>
    <cellStyle name="Normal 2 34 4 5 2" xfId="31286" xr:uid="{00000000-0005-0000-0000-0000953B0000}"/>
    <cellStyle name="Normal 2 34 4 6" xfId="12989" xr:uid="{00000000-0005-0000-0000-0000963B0000}"/>
    <cellStyle name="Normal 2 34 4 6 2" xfId="31287" xr:uid="{00000000-0005-0000-0000-0000973B0000}"/>
    <cellStyle name="Normal 2 34 4 7" xfId="31283" xr:uid="{00000000-0005-0000-0000-0000983B0000}"/>
    <cellStyle name="Normal 2 34 5" xfId="12990" xr:uid="{00000000-0005-0000-0000-0000993B0000}"/>
    <cellStyle name="Normal 2 34 5 2" xfId="12991" xr:uid="{00000000-0005-0000-0000-00009A3B0000}"/>
    <cellStyle name="Normal 2 34 5 3" xfId="12992" xr:uid="{00000000-0005-0000-0000-00009B3B0000}"/>
    <cellStyle name="Normal 2 34 5 3 2" xfId="31289" xr:uid="{00000000-0005-0000-0000-00009C3B0000}"/>
    <cellStyle name="Normal 2 34 5 4" xfId="12993" xr:uid="{00000000-0005-0000-0000-00009D3B0000}"/>
    <cellStyle name="Normal 2 34 5 4 2" xfId="31290" xr:uid="{00000000-0005-0000-0000-00009E3B0000}"/>
    <cellStyle name="Normal 2 34 5 5" xfId="12994" xr:uid="{00000000-0005-0000-0000-00009F3B0000}"/>
    <cellStyle name="Normal 2 34 5 5 2" xfId="31291" xr:uid="{00000000-0005-0000-0000-0000A03B0000}"/>
    <cellStyle name="Normal 2 34 5 6" xfId="12995" xr:uid="{00000000-0005-0000-0000-0000A13B0000}"/>
    <cellStyle name="Normal 2 34 5 6 2" xfId="31292" xr:uid="{00000000-0005-0000-0000-0000A23B0000}"/>
    <cellStyle name="Normal 2 34 5 7" xfId="31288" xr:uid="{00000000-0005-0000-0000-0000A33B0000}"/>
    <cellStyle name="Normal 2 34 6" xfId="12996" xr:uid="{00000000-0005-0000-0000-0000A43B0000}"/>
    <cellStyle name="Normal 2 34 6 2" xfId="12997" xr:uid="{00000000-0005-0000-0000-0000A53B0000}"/>
    <cellStyle name="Normal 2 34 6 2 2" xfId="31294" xr:uid="{00000000-0005-0000-0000-0000A63B0000}"/>
    <cellStyle name="Normal 2 34 6 3" xfId="12998" xr:uid="{00000000-0005-0000-0000-0000A73B0000}"/>
    <cellStyle name="Normal 2 34 6 3 2" xfId="31295" xr:uid="{00000000-0005-0000-0000-0000A83B0000}"/>
    <cellStyle name="Normal 2 34 6 4" xfId="12999" xr:uid="{00000000-0005-0000-0000-0000A93B0000}"/>
    <cellStyle name="Normal 2 34 6 4 2" xfId="31296" xr:uid="{00000000-0005-0000-0000-0000AA3B0000}"/>
    <cellStyle name="Normal 2 34 6 5" xfId="13000" xr:uid="{00000000-0005-0000-0000-0000AB3B0000}"/>
    <cellStyle name="Normal 2 34 6 5 2" xfId="31297" xr:uid="{00000000-0005-0000-0000-0000AC3B0000}"/>
    <cellStyle name="Normal 2 34 6 6" xfId="31293" xr:uid="{00000000-0005-0000-0000-0000AD3B0000}"/>
    <cellStyle name="Normal 2 34 7" xfId="13001" xr:uid="{00000000-0005-0000-0000-0000AE3B0000}"/>
    <cellStyle name="Normal 2 34 7 2" xfId="13002" xr:uid="{00000000-0005-0000-0000-0000AF3B0000}"/>
    <cellStyle name="Normal 2 34 7 2 2" xfId="31299" xr:uid="{00000000-0005-0000-0000-0000B03B0000}"/>
    <cellStyle name="Normal 2 34 7 3" xfId="13003" xr:uid="{00000000-0005-0000-0000-0000B13B0000}"/>
    <cellStyle name="Normal 2 34 7 3 2" xfId="31300" xr:uid="{00000000-0005-0000-0000-0000B23B0000}"/>
    <cellStyle name="Normal 2 34 7 4" xfId="13004" xr:uid="{00000000-0005-0000-0000-0000B33B0000}"/>
    <cellStyle name="Normal 2 34 7 4 2" xfId="31301" xr:uid="{00000000-0005-0000-0000-0000B43B0000}"/>
    <cellStyle name="Normal 2 34 7 5" xfId="13005" xr:uid="{00000000-0005-0000-0000-0000B53B0000}"/>
    <cellStyle name="Normal 2 34 7 5 2" xfId="31302" xr:uid="{00000000-0005-0000-0000-0000B63B0000}"/>
    <cellStyle name="Normal 2 34 7 6" xfId="31298" xr:uid="{00000000-0005-0000-0000-0000B73B0000}"/>
    <cellStyle name="Normal 2 34 8" xfId="13006" xr:uid="{00000000-0005-0000-0000-0000B83B0000}"/>
    <cellStyle name="Normal 2 34 8 2" xfId="13007" xr:uid="{00000000-0005-0000-0000-0000B93B0000}"/>
    <cellStyle name="Normal 2 34 8 2 2" xfId="31304" xr:uid="{00000000-0005-0000-0000-0000BA3B0000}"/>
    <cellStyle name="Normal 2 34 8 3" xfId="13008" xr:uid="{00000000-0005-0000-0000-0000BB3B0000}"/>
    <cellStyle name="Normal 2 34 8 3 2" xfId="31305" xr:uid="{00000000-0005-0000-0000-0000BC3B0000}"/>
    <cellStyle name="Normal 2 34 8 4" xfId="13009" xr:uid="{00000000-0005-0000-0000-0000BD3B0000}"/>
    <cellStyle name="Normal 2 34 8 4 2" xfId="31306" xr:uid="{00000000-0005-0000-0000-0000BE3B0000}"/>
    <cellStyle name="Normal 2 34 8 5" xfId="13010" xr:uid="{00000000-0005-0000-0000-0000BF3B0000}"/>
    <cellStyle name="Normal 2 34 8 5 2" xfId="31307" xr:uid="{00000000-0005-0000-0000-0000C03B0000}"/>
    <cellStyle name="Normal 2 34 8 6" xfId="31303" xr:uid="{00000000-0005-0000-0000-0000C13B0000}"/>
    <cellStyle name="Normal 2 34 9" xfId="13011" xr:uid="{00000000-0005-0000-0000-0000C23B0000}"/>
    <cellStyle name="Normal 2 34 9 2" xfId="13012" xr:uid="{00000000-0005-0000-0000-0000C33B0000}"/>
    <cellStyle name="Normal 2 34 9 2 2" xfId="31309" xr:uid="{00000000-0005-0000-0000-0000C43B0000}"/>
    <cellStyle name="Normal 2 34 9 3" xfId="13013" xr:uid="{00000000-0005-0000-0000-0000C53B0000}"/>
    <cellStyle name="Normal 2 34 9 3 2" xfId="31310" xr:uid="{00000000-0005-0000-0000-0000C63B0000}"/>
    <cellStyle name="Normal 2 34 9 4" xfId="13014" xr:uid="{00000000-0005-0000-0000-0000C73B0000}"/>
    <cellStyle name="Normal 2 34 9 4 2" xfId="31311" xr:uid="{00000000-0005-0000-0000-0000C83B0000}"/>
    <cellStyle name="Normal 2 34 9 5" xfId="13015" xr:uid="{00000000-0005-0000-0000-0000C93B0000}"/>
    <cellStyle name="Normal 2 34 9 5 2" xfId="31312" xr:uid="{00000000-0005-0000-0000-0000CA3B0000}"/>
    <cellStyle name="Normal 2 34 9 6" xfId="31308" xr:uid="{00000000-0005-0000-0000-0000CB3B0000}"/>
    <cellStyle name="Normal 2 35" xfId="13016" xr:uid="{00000000-0005-0000-0000-0000CC3B0000}"/>
    <cellStyle name="Normal 2 36" xfId="13017" xr:uid="{00000000-0005-0000-0000-0000CD3B0000}"/>
    <cellStyle name="Normal 2 36 2" xfId="13018" xr:uid="{00000000-0005-0000-0000-0000CE3B0000}"/>
    <cellStyle name="Normal 2 36 3" xfId="13019" xr:uid="{00000000-0005-0000-0000-0000CF3B0000}"/>
    <cellStyle name="Normal 2 36 4" xfId="13020" xr:uid="{00000000-0005-0000-0000-0000D03B0000}"/>
    <cellStyle name="Normal 2 36 5" xfId="13021" xr:uid="{00000000-0005-0000-0000-0000D13B0000}"/>
    <cellStyle name="Normal 2 36 6" xfId="13022" xr:uid="{00000000-0005-0000-0000-0000D23B0000}"/>
    <cellStyle name="Normal 2 36 7" xfId="13023" xr:uid="{00000000-0005-0000-0000-0000D33B0000}"/>
    <cellStyle name="Normal 2 37" xfId="13024" xr:uid="{00000000-0005-0000-0000-0000D43B0000}"/>
    <cellStyle name="Normal 2 38" xfId="13025" xr:uid="{00000000-0005-0000-0000-0000D53B0000}"/>
    <cellStyle name="Normal 2 39" xfId="13026" xr:uid="{00000000-0005-0000-0000-0000D63B0000}"/>
    <cellStyle name="Normal 2 4" xfId="13027" xr:uid="{00000000-0005-0000-0000-0000D73B0000}"/>
    <cellStyle name="Normal 2 4 10" xfId="13028" xr:uid="{00000000-0005-0000-0000-0000D83B0000}"/>
    <cellStyle name="Normal 2 4 10 2" xfId="13029" xr:uid="{00000000-0005-0000-0000-0000D93B0000}"/>
    <cellStyle name="Normal 2 4 11" xfId="13030" xr:uid="{00000000-0005-0000-0000-0000DA3B0000}"/>
    <cellStyle name="Normal 2 4 11 2" xfId="13031" xr:uid="{00000000-0005-0000-0000-0000DB3B0000}"/>
    <cellStyle name="Normal 2 4 12" xfId="13032" xr:uid="{00000000-0005-0000-0000-0000DC3B0000}"/>
    <cellStyle name="Normal 2 4 12 2" xfId="13033" xr:uid="{00000000-0005-0000-0000-0000DD3B0000}"/>
    <cellStyle name="Normal 2 4 13" xfId="13034" xr:uid="{00000000-0005-0000-0000-0000DE3B0000}"/>
    <cellStyle name="Normal 2 4 14" xfId="13035" xr:uid="{00000000-0005-0000-0000-0000DF3B0000}"/>
    <cellStyle name="Normal 2 4 14 2" xfId="13036" xr:uid="{00000000-0005-0000-0000-0000E03B0000}"/>
    <cellStyle name="Normal 2 4 15" xfId="13037" xr:uid="{00000000-0005-0000-0000-0000E13B0000}"/>
    <cellStyle name="Normal 2 4 15 2" xfId="13038" xr:uid="{00000000-0005-0000-0000-0000E23B0000}"/>
    <cellStyle name="Normal 2 4 16" xfId="13039" xr:uid="{00000000-0005-0000-0000-0000E33B0000}"/>
    <cellStyle name="Normal 2 4 16 2" xfId="13040" xr:uid="{00000000-0005-0000-0000-0000E43B0000}"/>
    <cellStyle name="Normal 2 4 17" xfId="13041" xr:uid="{00000000-0005-0000-0000-0000E53B0000}"/>
    <cellStyle name="Normal 2 4 18" xfId="13042" xr:uid="{00000000-0005-0000-0000-0000E63B0000}"/>
    <cellStyle name="Normal 2 4 19" xfId="13043" xr:uid="{00000000-0005-0000-0000-0000E73B0000}"/>
    <cellStyle name="Normal 2 4 2" xfId="13044" xr:uid="{00000000-0005-0000-0000-0000E83B0000}"/>
    <cellStyle name="Normal 2 4 2 2" xfId="13045" xr:uid="{00000000-0005-0000-0000-0000E93B0000}"/>
    <cellStyle name="Normal 2 4 2 3" xfId="13046" xr:uid="{00000000-0005-0000-0000-0000EA3B0000}"/>
    <cellStyle name="Normal 2 4 2 4" xfId="13047" xr:uid="{00000000-0005-0000-0000-0000EB3B0000}"/>
    <cellStyle name="Normal 2 4 2 5" xfId="13048" xr:uid="{00000000-0005-0000-0000-0000EC3B0000}"/>
    <cellStyle name="Normal 2 4 2 6" xfId="13049" xr:uid="{00000000-0005-0000-0000-0000ED3B0000}"/>
    <cellStyle name="Normal 2 4 2 7" xfId="13050" xr:uid="{00000000-0005-0000-0000-0000EE3B0000}"/>
    <cellStyle name="Normal 2 4 2 8" xfId="40640" xr:uid="{00000000-0005-0000-0000-0000EF3B0000}"/>
    <cellStyle name="Normal 2 4 20" xfId="13051" xr:uid="{00000000-0005-0000-0000-0000F03B0000}"/>
    <cellStyle name="Normal 2 4 21" xfId="13052" xr:uid="{00000000-0005-0000-0000-0000F13B0000}"/>
    <cellStyle name="Normal 2 4 22" xfId="13053" xr:uid="{00000000-0005-0000-0000-0000F23B0000}"/>
    <cellStyle name="Normal 2 4 23" xfId="13054" xr:uid="{00000000-0005-0000-0000-0000F33B0000}"/>
    <cellStyle name="Normal 2 4 24" xfId="13055" xr:uid="{00000000-0005-0000-0000-0000F43B0000}"/>
    <cellStyle name="Normal 2 4 25" xfId="13056" xr:uid="{00000000-0005-0000-0000-0000F53B0000}"/>
    <cellStyle name="Normal 2 4 26" xfId="13057" xr:uid="{00000000-0005-0000-0000-0000F63B0000}"/>
    <cellStyle name="Normal 2 4 27" xfId="13058" xr:uid="{00000000-0005-0000-0000-0000F73B0000}"/>
    <cellStyle name="Normal 2 4 28" xfId="13059" xr:uid="{00000000-0005-0000-0000-0000F83B0000}"/>
    <cellStyle name="Normal 2 4 29" xfId="13060" xr:uid="{00000000-0005-0000-0000-0000F93B0000}"/>
    <cellStyle name="Normal 2 4 3" xfId="13061" xr:uid="{00000000-0005-0000-0000-0000FA3B0000}"/>
    <cellStyle name="Normal 2 4 3 2" xfId="40641" xr:uid="{00000000-0005-0000-0000-0000FB3B0000}"/>
    <cellStyle name="Normal 2 4 30" xfId="13062" xr:uid="{00000000-0005-0000-0000-0000FC3B0000}"/>
    <cellStyle name="Normal 2 4 31" xfId="13063" xr:uid="{00000000-0005-0000-0000-0000FD3B0000}"/>
    <cellStyle name="Normal 2 4 32" xfId="13064" xr:uid="{00000000-0005-0000-0000-0000FE3B0000}"/>
    <cellStyle name="Normal 2 4 4" xfId="13065" xr:uid="{00000000-0005-0000-0000-0000FF3B0000}"/>
    <cellStyle name="Normal 2 4 4 10" xfId="13066" xr:uid="{00000000-0005-0000-0000-0000003C0000}"/>
    <cellStyle name="Normal 2 4 4 11" xfId="13067" xr:uid="{00000000-0005-0000-0000-0000013C0000}"/>
    <cellStyle name="Normal 2 4 4 12" xfId="13068" xr:uid="{00000000-0005-0000-0000-0000023C0000}"/>
    <cellStyle name="Normal 2 4 4 13" xfId="13069" xr:uid="{00000000-0005-0000-0000-0000033C0000}"/>
    <cellStyle name="Normal 2 4 4 14" xfId="13070" xr:uid="{00000000-0005-0000-0000-0000043C0000}"/>
    <cellStyle name="Normal 2 4 4 15" xfId="13071" xr:uid="{00000000-0005-0000-0000-0000053C0000}"/>
    <cellStyle name="Normal 2 4 4 16" xfId="13072" xr:uid="{00000000-0005-0000-0000-0000063C0000}"/>
    <cellStyle name="Normal 2 4 4 17" xfId="40642" xr:uid="{00000000-0005-0000-0000-0000073C0000}"/>
    <cellStyle name="Normal 2 4 4 2" xfId="13073" xr:uid="{00000000-0005-0000-0000-0000083C0000}"/>
    <cellStyle name="Normal 2 4 4 3" xfId="13074" xr:uid="{00000000-0005-0000-0000-0000093C0000}"/>
    <cellStyle name="Normal 2 4 4 4" xfId="13075" xr:uid="{00000000-0005-0000-0000-00000A3C0000}"/>
    <cellStyle name="Normal 2 4 4 5" xfId="13076" xr:uid="{00000000-0005-0000-0000-00000B3C0000}"/>
    <cellStyle name="Normal 2 4 4 6" xfId="13077" xr:uid="{00000000-0005-0000-0000-00000C3C0000}"/>
    <cellStyle name="Normal 2 4 4 7" xfId="13078" xr:uid="{00000000-0005-0000-0000-00000D3C0000}"/>
    <cellStyle name="Normal 2 4 4 8" xfId="13079" xr:uid="{00000000-0005-0000-0000-00000E3C0000}"/>
    <cellStyle name="Normal 2 4 4 9" xfId="13080" xr:uid="{00000000-0005-0000-0000-00000F3C0000}"/>
    <cellStyle name="Normal 2 4 5" xfId="13081" xr:uid="{00000000-0005-0000-0000-0000103C0000}"/>
    <cellStyle name="Normal 2 4 5 10" xfId="13082" xr:uid="{00000000-0005-0000-0000-0000113C0000}"/>
    <cellStyle name="Normal 2 4 5 11" xfId="13083" xr:uid="{00000000-0005-0000-0000-0000123C0000}"/>
    <cellStyle name="Normal 2 4 5 12" xfId="13084" xr:uid="{00000000-0005-0000-0000-0000133C0000}"/>
    <cellStyle name="Normal 2 4 5 13" xfId="13085" xr:uid="{00000000-0005-0000-0000-0000143C0000}"/>
    <cellStyle name="Normal 2 4 5 14" xfId="13086" xr:uid="{00000000-0005-0000-0000-0000153C0000}"/>
    <cellStyle name="Normal 2 4 5 15" xfId="13087" xr:uid="{00000000-0005-0000-0000-0000163C0000}"/>
    <cellStyle name="Normal 2 4 5 16" xfId="13088" xr:uid="{00000000-0005-0000-0000-0000173C0000}"/>
    <cellStyle name="Normal 2 4 5 2" xfId="13089" xr:uid="{00000000-0005-0000-0000-0000183C0000}"/>
    <cellStyle name="Normal 2 4 5 3" xfId="13090" xr:uid="{00000000-0005-0000-0000-0000193C0000}"/>
    <cellStyle name="Normal 2 4 5 4" xfId="13091" xr:uid="{00000000-0005-0000-0000-00001A3C0000}"/>
    <cellStyle name="Normal 2 4 5 5" xfId="13092" xr:uid="{00000000-0005-0000-0000-00001B3C0000}"/>
    <cellStyle name="Normal 2 4 5 6" xfId="13093" xr:uid="{00000000-0005-0000-0000-00001C3C0000}"/>
    <cellStyle name="Normal 2 4 5 7" xfId="13094" xr:uid="{00000000-0005-0000-0000-00001D3C0000}"/>
    <cellStyle name="Normal 2 4 5 8" xfId="13095" xr:uid="{00000000-0005-0000-0000-00001E3C0000}"/>
    <cellStyle name="Normal 2 4 5 9" xfId="13096" xr:uid="{00000000-0005-0000-0000-00001F3C0000}"/>
    <cellStyle name="Normal 2 4 6" xfId="13097" xr:uid="{00000000-0005-0000-0000-0000203C0000}"/>
    <cellStyle name="Normal 2 4 6 2" xfId="13098" xr:uid="{00000000-0005-0000-0000-0000213C0000}"/>
    <cellStyle name="Normal 2 4 7" xfId="13099" xr:uid="{00000000-0005-0000-0000-0000223C0000}"/>
    <cellStyle name="Normal 2 4 7 2" xfId="13100" xr:uid="{00000000-0005-0000-0000-0000233C0000}"/>
    <cellStyle name="Normal 2 4 8" xfId="13101" xr:uid="{00000000-0005-0000-0000-0000243C0000}"/>
    <cellStyle name="Normal 2 4 8 2" xfId="13102" xr:uid="{00000000-0005-0000-0000-0000253C0000}"/>
    <cellStyle name="Normal 2 4 9" xfId="13103" xr:uid="{00000000-0005-0000-0000-0000263C0000}"/>
    <cellStyle name="Normal 2 4 9 2" xfId="13104" xr:uid="{00000000-0005-0000-0000-0000273C0000}"/>
    <cellStyle name="Normal 2 40" xfId="13105" xr:uid="{00000000-0005-0000-0000-0000283C0000}"/>
    <cellStyle name="Normal 2 41" xfId="13106" xr:uid="{00000000-0005-0000-0000-0000293C0000}"/>
    <cellStyle name="Normal 2 42" xfId="13107" xr:uid="{00000000-0005-0000-0000-00002A3C0000}"/>
    <cellStyle name="Normal 2 43" xfId="13108" xr:uid="{00000000-0005-0000-0000-00002B3C0000}"/>
    <cellStyle name="Normal 2 44" xfId="13109" xr:uid="{00000000-0005-0000-0000-00002C3C0000}"/>
    <cellStyle name="Normal 2 45" xfId="13110" xr:uid="{00000000-0005-0000-0000-00002D3C0000}"/>
    <cellStyle name="Normal 2 45 10" xfId="13111" xr:uid="{00000000-0005-0000-0000-00002E3C0000}"/>
    <cellStyle name="Normal 2 45 11" xfId="13112" xr:uid="{00000000-0005-0000-0000-00002F3C0000}"/>
    <cellStyle name="Normal 2 45 12" xfId="13113" xr:uid="{00000000-0005-0000-0000-0000303C0000}"/>
    <cellStyle name="Normal 2 45 13" xfId="13114" xr:uid="{00000000-0005-0000-0000-0000313C0000}"/>
    <cellStyle name="Normal 2 45 14" xfId="13115" xr:uid="{00000000-0005-0000-0000-0000323C0000}"/>
    <cellStyle name="Normal 2 45 15" xfId="13116" xr:uid="{00000000-0005-0000-0000-0000333C0000}"/>
    <cellStyle name="Normal 2 45 16" xfId="13117" xr:uid="{00000000-0005-0000-0000-0000343C0000}"/>
    <cellStyle name="Normal 2 45 2" xfId="13118" xr:uid="{00000000-0005-0000-0000-0000353C0000}"/>
    <cellStyle name="Normal 2 45 3" xfId="13119" xr:uid="{00000000-0005-0000-0000-0000363C0000}"/>
    <cellStyle name="Normal 2 45 4" xfId="13120" xr:uid="{00000000-0005-0000-0000-0000373C0000}"/>
    <cellStyle name="Normal 2 45 5" xfId="13121" xr:uid="{00000000-0005-0000-0000-0000383C0000}"/>
    <cellStyle name="Normal 2 45 6" xfId="13122" xr:uid="{00000000-0005-0000-0000-0000393C0000}"/>
    <cellStyle name="Normal 2 45 7" xfId="13123" xr:uid="{00000000-0005-0000-0000-00003A3C0000}"/>
    <cellStyle name="Normal 2 45 8" xfId="13124" xr:uid="{00000000-0005-0000-0000-00003B3C0000}"/>
    <cellStyle name="Normal 2 45 9" xfId="13125" xr:uid="{00000000-0005-0000-0000-00003C3C0000}"/>
    <cellStyle name="Normal 2 46" xfId="13126" xr:uid="{00000000-0005-0000-0000-00003D3C0000}"/>
    <cellStyle name="Normal 2 46 10" xfId="13127" xr:uid="{00000000-0005-0000-0000-00003E3C0000}"/>
    <cellStyle name="Normal 2 46 11" xfId="13128" xr:uid="{00000000-0005-0000-0000-00003F3C0000}"/>
    <cellStyle name="Normal 2 46 12" xfId="13129" xr:uid="{00000000-0005-0000-0000-0000403C0000}"/>
    <cellStyle name="Normal 2 46 13" xfId="13130" xr:uid="{00000000-0005-0000-0000-0000413C0000}"/>
    <cellStyle name="Normal 2 46 14" xfId="13131" xr:uid="{00000000-0005-0000-0000-0000423C0000}"/>
    <cellStyle name="Normal 2 46 15" xfId="13132" xr:uid="{00000000-0005-0000-0000-0000433C0000}"/>
    <cellStyle name="Normal 2 46 16" xfId="13133" xr:uid="{00000000-0005-0000-0000-0000443C0000}"/>
    <cellStyle name="Normal 2 46 2" xfId="13134" xr:uid="{00000000-0005-0000-0000-0000453C0000}"/>
    <cellStyle name="Normal 2 46 2 10" xfId="13135" xr:uid="{00000000-0005-0000-0000-0000463C0000}"/>
    <cellStyle name="Normal 2 46 2 10 2" xfId="31314" xr:uid="{00000000-0005-0000-0000-0000473C0000}"/>
    <cellStyle name="Normal 2 46 2 11" xfId="13136" xr:uid="{00000000-0005-0000-0000-0000483C0000}"/>
    <cellStyle name="Normal 2 46 2 11 2" xfId="31315" xr:uid="{00000000-0005-0000-0000-0000493C0000}"/>
    <cellStyle name="Normal 2 46 2 12" xfId="31313" xr:uid="{00000000-0005-0000-0000-00004A3C0000}"/>
    <cellStyle name="Normal 2 46 2 2" xfId="13137" xr:uid="{00000000-0005-0000-0000-00004B3C0000}"/>
    <cellStyle name="Normal 2 46 2 2 2" xfId="13138" xr:uid="{00000000-0005-0000-0000-00004C3C0000}"/>
    <cellStyle name="Normal 2 46 2 2 2 2" xfId="31317" xr:uid="{00000000-0005-0000-0000-00004D3C0000}"/>
    <cellStyle name="Normal 2 46 2 2 3" xfId="13139" xr:uid="{00000000-0005-0000-0000-00004E3C0000}"/>
    <cellStyle name="Normal 2 46 2 2 3 2" xfId="31318" xr:uid="{00000000-0005-0000-0000-00004F3C0000}"/>
    <cellStyle name="Normal 2 46 2 2 4" xfId="13140" xr:uid="{00000000-0005-0000-0000-0000503C0000}"/>
    <cellStyle name="Normal 2 46 2 2 4 2" xfId="31319" xr:uid="{00000000-0005-0000-0000-0000513C0000}"/>
    <cellStyle name="Normal 2 46 2 2 5" xfId="13141" xr:uid="{00000000-0005-0000-0000-0000523C0000}"/>
    <cellStyle name="Normal 2 46 2 2 5 2" xfId="31320" xr:uid="{00000000-0005-0000-0000-0000533C0000}"/>
    <cellStyle name="Normal 2 46 2 2 6" xfId="31316" xr:uid="{00000000-0005-0000-0000-0000543C0000}"/>
    <cellStyle name="Normal 2 46 2 3" xfId="13142" xr:uid="{00000000-0005-0000-0000-0000553C0000}"/>
    <cellStyle name="Normal 2 46 2 3 2" xfId="13143" xr:uid="{00000000-0005-0000-0000-0000563C0000}"/>
    <cellStyle name="Normal 2 46 2 3 2 2" xfId="31322" xr:uid="{00000000-0005-0000-0000-0000573C0000}"/>
    <cellStyle name="Normal 2 46 2 3 3" xfId="13144" xr:uid="{00000000-0005-0000-0000-0000583C0000}"/>
    <cellStyle name="Normal 2 46 2 3 3 2" xfId="31323" xr:uid="{00000000-0005-0000-0000-0000593C0000}"/>
    <cellStyle name="Normal 2 46 2 3 4" xfId="13145" xr:uid="{00000000-0005-0000-0000-00005A3C0000}"/>
    <cellStyle name="Normal 2 46 2 3 4 2" xfId="31324" xr:uid="{00000000-0005-0000-0000-00005B3C0000}"/>
    <cellStyle name="Normal 2 46 2 3 5" xfId="13146" xr:uid="{00000000-0005-0000-0000-00005C3C0000}"/>
    <cellStyle name="Normal 2 46 2 3 5 2" xfId="31325" xr:uid="{00000000-0005-0000-0000-00005D3C0000}"/>
    <cellStyle name="Normal 2 46 2 3 6" xfId="31321" xr:uid="{00000000-0005-0000-0000-00005E3C0000}"/>
    <cellStyle name="Normal 2 46 2 4" xfId="13147" xr:uid="{00000000-0005-0000-0000-00005F3C0000}"/>
    <cellStyle name="Normal 2 46 2 4 2" xfId="13148" xr:uid="{00000000-0005-0000-0000-0000603C0000}"/>
    <cellStyle name="Normal 2 46 2 4 2 2" xfId="31327" xr:uid="{00000000-0005-0000-0000-0000613C0000}"/>
    <cellStyle name="Normal 2 46 2 4 3" xfId="13149" xr:uid="{00000000-0005-0000-0000-0000623C0000}"/>
    <cellStyle name="Normal 2 46 2 4 3 2" xfId="31328" xr:uid="{00000000-0005-0000-0000-0000633C0000}"/>
    <cellStyle name="Normal 2 46 2 4 4" xfId="13150" xr:uid="{00000000-0005-0000-0000-0000643C0000}"/>
    <cellStyle name="Normal 2 46 2 4 4 2" xfId="31329" xr:uid="{00000000-0005-0000-0000-0000653C0000}"/>
    <cellStyle name="Normal 2 46 2 4 5" xfId="13151" xr:uid="{00000000-0005-0000-0000-0000663C0000}"/>
    <cellStyle name="Normal 2 46 2 4 5 2" xfId="31330" xr:uid="{00000000-0005-0000-0000-0000673C0000}"/>
    <cellStyle name="Normal 2 46 2 4 6" xfId="31326" xr:uid="{00000000-0005-0000-0000-0000683C0000}"/>
    <cellStyle name="Normal 2 46 2 5" xfId="13152" xr:uid="{00000000-0005-0000-0000-0000693C0000}"/>
    <cellStyle name="Normal 2 46 2 5 2" xfId="13153" xr:uid="{00000000-0005-0000-0000-00006A3C0000}"/>
    <cellStyle name="Normal 2 46 2 5 2 2" xfId="31332" xr:uid="{00000000-0005-0000-0000-00006B3C0000}"/>
    <cellStyle name="Normal 2 46 2 5 3" xfId="13154" xr:uid="{00000000-0005-0000-0000-00006C3C0000}"/>
    <cellStyle name="Normal 2 46 2 5 3 2" xfId="31333" xr:uid="{00000000-0005-0000-0000-00006D3C0000}"/>
    <cellStyle name="Normal 2 46 2 5 4" xfId="13155" xr:uid="{00000000-0005-0000-0000-00006E3C0000}"/>
    <cellStyle name="Normal 2 46 2 5 4 2" xfId="31334" xr:uid="{00000000-0005-0000-0000-00006F3C0000}"/>
    <cellStyle name="Normal 2 46 2 5 5" xfId="13156" xr:uid="{00000000-0005-0000-0000-0000703C0000}"/>
    <cellStyle name="Normal 2 46 2 5 5 2" xfId="31335" xr:uid="{00000000-0005-0000-0000-0000713C0000}"/>
    <cellStyle name="Normal 2 46 2 5 6" xfId="31331" xr:uid="{00000000-0005-0000-0000-0000723C0000}"/>
    <cellStyle name="Normal 2 46 2 6" xfId="13157" xr:uid="{00000000-0005-0000-0000-0000733C0000}"/>
    <cellStyle name="Normal 2 46 2 6 2" xfId="13158" xr:uid="{00000000-0005-0000-0000-0000743C0000}"/>
    <cellStyle name="Normal 2 46 2 6 2 2" xfId="31337" xr:uid="{00000000-0005-0000-0000-0000753C0000}"/>
    <cellStyle name="Normal 2 46 2 6 3" xfId="13159" xr:uid="{00000000-0005-0000-0000-0000763C0000}"/>
    <cellStyle name="Normal 2 46 2 6 3 2" xfId="31338" xr:uid="{00000000-0005-0000-0000-0000773C0000}"/>
    <cellStyle name="Normal 2 46 2 6 4" xfId="13160" xr:uid="{00000000-0005-0000-0000-0000783C0000}"/>
    <cellStyle name="Normal 2 46 2 6 4 2" xfId="31339" xr:uid="{00000000-0005-0000-0000-0000793C0000}"/>
    <cellStyle name="Normal 2 46 2 6 5" xfId="13161" xr:uid="{00000000-0005-0000-0000-00007A3C0000}"/>
    <cellStyle name="Normal 2 46 2 6 5 2" xfId="31340" xr:uid="{00000000-0005-0000-0000-00007B3C0000}"/>
    <cellStyle name="Normal 2 46 2 6 6" xfId="31336" xr:uid="{00000000-0005-0000-0000-00007C3C0000}"/>
    <cellStyle name="Normal 2 46 2 7" xfId="13162" xr:uid="{00000000-0005-0000-0000-00007D3C0000}"/>
    <cellStyle name="Normal 2 46 2 7 2" xfId="13163" xr:uid="{00000000-0005-0000-0000-00007E3C0000}"/>
    <cellStyle name="Normal 2 46 2 7 2 2" xfId="31342" xr:uid="{00000000-0005-0000-0000-00007F3C0000}"/>
    <cellStyle name="Normal 2 46 2 7 3" xfId="13164" xr:uid="{00000000-0005-0000-0000-0000803C0000}"/>
    <cellStyle name="Normal 2 46 2 7 3 2" xfId="31343" xr:uid="{00000000-0005-0000-0000-0000813C0000}"/>
    <cellStyle name="Normal 2 46 2 7 4" xfId="13165" xr:uid="{00000000-0005-0000-0000-0000823C0000}"/>
    <cellStyle name="Normal 2 46 2 7 4 2" xfId="31344" xr:uid="{00000000-0005-0000-0000-0000833C0000}"/>
    <cellStyle name="Normal 2 46 2 7 5" xfId="13166" xr:uid="{00000000-0005-0000-0000-0000843C0000}"/>
    <cellStyle name="Normal 2 46 2 7 5 2" xfId="31345" xr:uid="{00000000-0005-0000-0000-0000853C0000}"/>
    <cellStyle name="Normal 2 46 2 7 6" xfId="31341" xr:uid="{00000000-0005-0000-0000-0000863C0000}"/>
    <cellStyle name="Normal 2 46 2 8" xfId="13167" xr:uid="{00000000-0005-0000-0000-0000873C0000}"/>
    <cellStyle name="Normal 2 46 2 8 2" xfId="31346" xr:uid="{00000000-0005-0000-0000-0000883C0000}"/>
    <cellStyle name="Normal 2 46 2 9" xfId="13168" xr:uid="{00000000-0005-0000-0000-0000893C0000}"/>
    <cellStyle name="Normal 2 46 2 9 2" xfId="31347" xr:uid="{00000000-0005-0000-0000-00008A3C0000}"/>
    <cellStyle name="Normal 2 46 3" xfId="13169" xr:uid="{00000000-0005-0000-0000-00008B3C0000}"/>
    <cellStyle name="Normal 2 46 4" xfId="13170" xr:uid="{00000000-0005-0000-0000-00008C3C0000}"/>
    <cellStyle name="Normal 2 46 5" xfId="13171" xr:uid="{00000000-0005-0000-0000-00008D3C0000}"/>
    <cellStyle name="Normal 2 46 6" xfId="13172" xr:uid="{00000000-0005-0000-0000-00008E3C0000}"/>
    <cellStyle name="Normal 2 46 7" xfId="13173" xr:uid="{00000000-0005-0000-0000-00008F3C0000}"/>
    <cellStyle name="Normal 2 46 8" xfId="13174" xr:uid="{00000000-0005-0000-0000-0000903C0000}"/>
    <cellStyle name="Normal 2 46 9" xfId="13175" xr:uid="{00000000-0005-0000-0000-0000913C0000}"/>
    <cellStyle name="Normal 2 47" xfId="13176" xr:uid="{00000000-0005-0000-0000-0000923C0000}"/>
    <cellStyle name="Normal 2 47 10" xfId="13177" xr:uid="{00000000-0005-0000-0000-0000933C0000}"/>
    <cellStyle name="Normal 2 47 11" xfId="13178" xr:uid="{00000000-0005-0000-0000-0000943C0000}"/>
    <cellStyle name="Normal 2 47 12" xfId="13179" xr:uid="{00000000-0005-0000-0000-0000953C0000}"/>
    <cellStyle name="Normal 2 47 13" xfId="13180" xr:uid="{00000000-0005-0000-0000-0000963C0000}"/>
    <cellStyle name="Normal 2 47 14" xfId="13181" xr:uid="{00000000-0005-0000-0000-0000973C0000}"/>
    <cellStyle name="Normal 2 47 15" xfId="13182" xr:uid="{00000000-0005-0000-0000-0000983C0000}"/>
    <cellStyle name="Normal 2 47 16" xfId="13183" xr:uid="{00000000-0005-0000-0000-0000993C0000}"/>
    <cellStyle name="Normal 2 47 2" xfId="13184" xr:uid="{00000000-0005-0000-0000-00009A3C0000}"/>
    <cellStyle name="Normal 2 47 2 10" xfId="13185" xr:uid="{00000000-0005-0000-0000-00009B3C0000}"/>
    <cellStyle name="Normal 2 47 2 10 2" xfId="31349" xr:uid="{00000000-0005-0000-0000-00009C3C0000}"/>
    <cellStyle name="Normal 2 47 2 11" xfId="13186" xr:uid="{00000000-0005-0000-0000-00009D3C0000}"/>
    <cellStyle name="Normal 2 47 2 11 2" xfId="31350" xr:uid="{00000000-0005-0000-0000-00009E3C0000}"/>
    <cellStyle name="Normal 2 47 2 12" xfId="31348" xr:uid="{00000000-0005-0000-0000-00009F3C0000}"/>
    <cellStyle name="Normal 2 47 2 2" xfId="13187" xr:uid="{00000000-0005-0000-0000-0000A03C0000}"/>
    <cellStyle name="Normal 2 47 2 2 2" xfId="13188" xr:uid="{00000000-0005-0000-0000-0000A13C0000}"/>
    <cellStyle name="Normal 2 47 2 2 2 2" xfId="31352" xr:uid="{00000000-0005-0000-0000-0000A23C0000}"/>
    <cellStyle name="Normal 2 47 2 2 3" xfId="13189" xr:uid="{00000000-0005-0000-0000-0000A33C0000}"/>
    <cellStyle name="Normal 2 47 2 2 3 2" xfId="31353" xr:uid="{00000000-0005-0000-0000-0000A43C0000}"/>
    <cellStyle name="Normal 2 47 2 2 4" xfId="13190" xr:uid="{00000000-0005-0000-0000-0000A53C0000}"/>
    <cellStyle name="Normal 2 47 2 2 4 2" xfId="31354" xr:uid="{00000000-0005-0000-0000-0000A63C0000}"/>
    <cellStyle name="Normal 2 47 2 2 5" xfId="13191" xr:uid="{00000000-0005-0000-0000-0000A73C0000}"/>
    <cellStyle name="Normal 2 47 2 2 5 2" xfId="31355" xr:uid="{00000000-0005-0000-0000-0000A83C0000}"/>
    <cellStyle name="Normal 2 47 2 2 6" xfId="31351" xr:uid="{00000000-0005-0000-0000-0000A93C0000}"/>
    <cellStyle name="Normal 2 47 2 3" xfId="13192" xr:uid="{00000000-0005-0000-0000-0000AA3C0000}"/>
    <cellStyle name="Normal 2 47 2 3 2" xfId="13193" xr:uid="{00000000-0005-0000-0000-0000AB3C0000}"/>
    <cellStyle name="Normal 2 47 2 3 2 2" xfId="31357" xr:uid="{00000000-0005-0000-0000-0000AC3C0000}"/>
    <cellStyle name="Normal 2 47 2 3 3" xfId="13194" xr:uid="{00000000-0005-0000-0000-0000AD3C0000}"/>
    <cellStyle name="Normal 2 47 2 3 3 2" xfId="31358" xr:uid="{00000000-0005-0000-0000-0000AE3C0000}"/>
    <cellStyle name="Normal 2 47 2 3 4" xfId="13195" xr:uid="{00000000-0005-0000-0000-0000AF3C0000}"/>
    <cellStyle name="Normal 2 47 2 3 4 2" xfId="31359" xr:uid="{00000000-0005-0000-0000-0000B03C0000}"/>
    <cellStyle name="Normal 2 47 2 3 5" xfId="13196" xr:uid="{00000000-0005-0000-0000-0000B13C0000}"/>
    <cellStyle name="Normal 2 47 2 3 5 2" xfId="31360" xr:uid="{00000000-0005-0000-0000-0000B23C0000}"/>
    <cellStyle name="Normal 2 47 2 3 6" xfId="31356" xr:uid="{00000000-0005-0000-0000-0000B33C0000}"/>
    <cellStyle name="Normal 2 47 2 4" xfId="13197" xr:uid="{00000000-0005-0000-0000-0000B43C0000}"/>
    <cellStyle name="Normal 2 47 2 4 2" xfId="13198" xr:uid="{00000000-0005-0000-0000-0000B53C0000}"/>
    <cellStyle name="Normal 2 47 2 4 2 2" xfId="31362" xr:uid="{00000000-0005-0000-0000-0000B63C0000}"/>
    <cellStyle name="Normal 2 47 2 4 3" xfId="13199" xr:uid="{00000000-0005-0000-0000-0000B73C0000}"/>
    <cellStyle name="Normal 2 47 2 4 3 2" xfId="31363" xr:uid="{00000000-0005-0000-0000-0000B83C0000}"/>
    <cellStyle name="Normal 2 47 2 4 4" xfId="13200" xr:uid="{00000000-0005-0000-0000-0000B93C0000}"/>
    <cellStyle name="Normal 2 47 2 4 4 2" xfId="31364" xr:uid="{00000000-0005-0000-0000-0000BA3C0000}"/>
    <cellStyle name="Normal 2 47 2 4 5" xfId="13201" xr:uid="{00000000-0005-0000-0000-0000BB3C0000}"/>
    <cellStyle name="Normal 2 47 2 4 5 2" xfId="31365" xr:uid="{00000000-0005-0000-0000-0000BC3C0000}"/>
    <cellStyle name="Normal 2 47 2 4 6" xfId="31361" xr:uid="{00000000-0005-0000-0000-0000BD3C0000}"/>
    <cellStyle name="Normal 2 47 2 5" xfId="13202" xr:uid="{00000000-0005-0000-0000-0000BE3C0000}"/>
    <cellStyle name="Normal 2 47 2 5 2" xfId="13203" xr:uid="{00000000-0005-0000-0000-0000BF3C0000}"/>
    <cellStyle name="Normal 2 47 2 5 2 2" xfId="31367" xr:uid="{00000000-0005-0000-0000-0000C03C0000}"/>
    <cellStyle name="Normal 2 47 2 5 3" xfId="13204" xr:uid="{00000000-0005-0000-0000-0000C13C0000}"/>
    <cellStyle name="Normal 2 47 2 5 3 2" xfId="31368" xr:uid="{00000000-0005-0000-0000-0000C23C0000}"/>
    <cellStyle name="Normal 2 47 2 5 4" xfId="13205" xr:uid="{00000000-0005-0000-0000-0000C33C0000}"/>
    <cellStyle name="Normal 2 47 2 5 4 2" xfId="31369" xr:uid="{00000000-0005-0000-0000-0000C43C0000}"/>
    <cellStyle name="Normal 2 47 2 5 5" xfId="13206" xr:uid="{00000000-0005-0000-0000-0000C53C0000}"/>
    <cellStyle name="Normal 2 47 2 5 5 2" xfId="31370" xr:uid="{00000000-0005-0000-0000-0000C63C0000}"/>
    <cellStyle name="Normal 2 47 2 5 6" xfId="31366" xr:uid="{00000000-0005-0000-0000-0000C73C0000}"/>
    <cellStyle name="Normal 2 47 2 6" xfId="13207" xr:uid="{00000000-0005-0000-0000-0000C83C0000}"/>
    <cellStyle name="Normal 2 47 2 6 2" xfId="13208" xr:uid="{00000000-0005-0000-0000-0000C93C0000}"/>
    <cellStyle name="Normal 2 47 2 6 2 2" xfId="31372" xr:uid="{00000000-0005-0000-0000-0000CA3C0000}"/>
    <cellStyle name="Normal 2 47 2 6 3" xfId="13209" xr:uid="{00000000-0005-0000-0000-0000CB3C0000}"/>
    <cellStyle name="Normal 2 47 2 6 3 2" xfId="31373" xr:uid="{00000000-0005-0000-0000-0000CC3C0000}"/>
    <cellStyle name="Normal 2 47 2 6 4" xfId="13210" xr:uid="{00000000-0005-0000-0000-0000CD3C0000}"/>
    <cellStyle name="Normal 2 47 2 6 4 2" xfId="31374" xr:uid="{00000000-0005-0000-0000-0000CE3C0000}"/>
    <cellStyle name="Normal 2 47 2 6 5" xfId="13211" xr:uid="{00000000-0005-0000-0000-0000CF3C0000}"/>
    <cellStyle name="Normal 2 47 2 6 5 2" xfId="31375" xr:uid="{00000000-0005-0000-0000-0000D03C0000}"/>
    <cellStyle name="Normal 2 47 2 6 6" xfId="31371" xr:uid="{00000000-0005-0000-0000-0000D13C0000}"/>
    <cellStyle name="Normal 2 47 2 7" xfId="13212" xr:uid="{00000000-0005-0000-0000-0000D23C0000}"/>
    <cellStyle name="Normal 2 47 2 7 2" xfId="13213" xr:uid="{00000000-0005-0000-0000-0000D33C0000}"/>
    <cellStyle name="Normal 2 47 2 7 2 2" xfId="31377" xr:uid="{00000000-0005-0000-0000-0000D43C0000}"/>
    <cellStyle name="Normal 2 47 2 7 3" xfId="13214" xr:uid="{00000000-0005-0000-0000-0000D53C0000}"/>
    <cellStyle name="Normal 2 47 2 7 3 2" xfId="31378" xr:uid="{00000000-0005-0000-0000-0000D63C0000}"/>
    <cellStyle name="Normal 2 47 2 7 4" xfId="13215" xr:uid="{00000000-0005-0000-0000-0000D73C0000}"/>
    <cellStyle name="Normal 2 47 2 7 4 2" xfId="31379" xr:uid="{00000000-0005-0000-0000-0000D83C0000}"/>
    <cellStyle name="Normal 2 47 2 7 5" xfId="13216" xr:uid="{00000000-0005-0000-0000-0000D93C0000}"/>
    <cellStyle name="Normal 2 47 2 7 5 2" xfId="31380" xr:uid="{00000000-0005-0000-0000-0000DA3C0000}"/>
    <cellStyle name="Normal 2 47 2 7 6" xfId="31376" xr:uid="{00000000-0005-0000-0000-0000DB3C0000}"/>
    <cellStyle name="Normal 2 47 2 8" xfId="13217" xr:uid="{00000000-0005-0000-0000-0000DC3C0000}"/>
    <cellStyle name="Normal 2 47 2 8 2" xfId="31381" xr:uid="{00000000-0005-0000-0000-0000DD3C0000}"/>
    <cellStyle name="Normal 2 47 2 9" xfId="13218" xr:uid="{00000000-0005-0000-0000-0000DE3C0000}"/>
    <cellStyle name="Normal 2 47 2 9 2" xfId="31382" xr:uid="{00000000-0005-0000-0000-0000DF3C0000}"/>
    <cellStyle name="Normal 2 47 3" xfId="13219" xr:uid="{00000000-0005-0000-0000-0000E03C0000}"/>
    <cellStyle name="Normal 2 47 4" xfId="13220" xr:uid="{00000000-0005-0000-0000-0000E13C0000}"/>
    <cellStyle name="Normal 2 47 5" xfId="13221" xr:uid="{00000000-0005-0000-0000-0000E23C0000}"/>
    <cellStyle name="Normal 2 47 6" xfId="13222" xr:uid="{00000000-0005-0000-0000-0000E33C0000}"/>
    <cellStyle name="Normal 2 47 7" xfId="13223" xr:uid="{00000000-0005-0000-0000-0000E43C0000}"/>
    <cellStyle name="Normal 2 47 8" xfId="13224" xr:uid="{00000000-0005-0000-0000-0000E53C0000}"/>
    <cellStyle name="Normal 2 47 9" xfId="13225" xr:uid="{00000000-0005-0000-0000-0000E63C0000}"/>
    <cellStyle name="Normal 2 48" xfId="13226" xr:uid="{00000000-0005-0000-0000-0000E73C0000}"/>
    <cellStyle name="Normal 2 48 10" xfId="13227" xr:uid="{00000000-0005-0000-0000-0000E83C0000}"/>
    <cellStyle name="Normal 2 48 11" xfId="13228" xr:uid="{00000000-0005-0000-0000-0000E93C0000}"/>
    <cellStyle name="Normal 2 48 12" xfId="13229" xr:uid="{00000000-0005-0000-0000-0000EA3C0000}"/>
    <cellStyle name="Normal 2 48 13" xfId="13230" xr:uid="{00000000-0005-0000-0000-0000EB3C0000}"/>
    <cellStyle name="Normal 2 48 14" xfId="13231" xr:uid="{00000000-0005-0000-0000-0000EC3C0000}"/>
    <cellStyle name="Normal 2 48 15" xfId="13232" xr:uid="{00000000-0005-0000-0000-0000ED3C0000}"/>
    <cellStyle name="Normal 2 48 16" xfId="13233" xr:uid="{00000000-0005-0000-0000-0000EE3C0000}"/>
    <cellStyle name="Normal 2 48 2" xfId="13234" xr:uid="{00000000-0005-0000-0000-0000EF3C0000}"/>
    <cellStyle name="Normal 2 48 2 10" xfId="13235" xr:uid="{00000000-0005-0000-0000-0000F03C0000}"/>
    <cellStyle name="Normal 2 48 2 10 2" xfId="31384" xr:uid="{00000000-0005-0000-0000-0000F13C0000}"/>
    <cellStyle name="Normal 2 48 2 11" xfId="13236" xr:uid="{00000000-0005-0000-0000-0000F23C0000}"/>
    <cellStyle name="Normal 2 48 2 11 2" xfId="31385" xr:uid="{00000000-0005-0000-0000-0000F33C0000}"/>
    <cellStyle name="Normal 2 48 2 12" xfId="31383" xr:uid="{00000000-0005-0000-0000-0000F43C0000}"/>
    <cellStyle name="Normal 2 48 2 2" xfId="13237" xr:uid="{00000000-0005-0000-0000-0000F53C0000}"/>
    <cellStyle name="Normal 2 48 2 2 2" xfId="13238" xr:uid="{00000000-0005-0000-0000-0000F63C0000}"/>
    <cellStyle name="Normal 2 48 2 2 2 2" xfId="31387" xr:uid="{00000000-0005-0000-0000-0000F73C0000}"/>
    <cellStyle name="Normal 2 48 2 2 3" xfId="13239" xr:uid="{00000000-0005-0000-0000-0000F83C0000}"/>
    <cellStyle name="Normal 2 48 2 2 3 2" xfId="31388" xr:uid="{00000000-0005-0000-0000-0000F93C0000}"/>
    <cellStyle name="Normal 2 48 2 2 4" xfId="13240" xr:uid="{00000000-0005-0000-0000-0000FA3C0000}"/>
    <cellStyle name="Normal 2 48 2 2 4 2" xfId="31389" xr:uid="{00000000-0005-0000-0000-0000FB3C0000}"/>
    <cellStyle name="Normal 2 48 2 2 5" xfId="13241" xr:uid="{00000000-0005-0000-0000-0000FC3C0000}"/>
    <cellStyle name="Normal 2 48 2 2 5 2" xfId="31390" xr:uid="{00000000-0005-0000-0000-0000FD3C0000}"/>
    <cellStyle name="Normal 2 48 2 2 6" xfId="31386" xr:uid="{00000000-0005-0000-0000-0000FE3C0000}"/>
    <cellStyle name="Normal 2 48 2 3" xfId="13242" xr:uid="{00000000-0005-0000-0000-0000FF3C0000}"/>
    <cellStyle name="Normal 2 48 2 3 2" xfId="13243" xr:uid="{00000000-0005-0000-0000-0000003D0000}"/>
    <cellStyle name="Normal 2 48 2 3 2 2" xfId="31392" xr:uid="{00000000-0005-0000-0000-0000013D0000}"/>
    <cellStyle name="Normal 2 48 2 3 3" xfId="13244" xr:uid="{00000000-0005-0000-0000-0000023D0000}"/>
    <cellStyle name="Normal 2 48 2 3 3 2" xfId="31393" xr:uid="{00000000-0005-0000-0000-0000033D0000}"/>
    <cellStyle name="Normal 2 48 2 3 4" xfId="13245" xr:uid="{00000000-0005-0000-0000-0000043D0000}"/>
    <cellStyle name="Normal 2 48 2 3 4 2" xfId="31394" xr:uid="{00000000-0005-0000-0000-0000053D0000}"/>
    <cellStyle name="Normal 2 48 2 3 5" xfId="13246" xr:uid="{00000000-0005-0000-0000-0000063D0000}"/>
    <cellStyle name="Normal 2 48 2 3 5 2" xfId="31395" xr:uid="{00000000-0005-0000-0000-0000073D0000}"/>
    <cellStyle name="Normal 2 48 2 3 6" xfId="31391" xr:uid="{00000000-0005-0000-0000-0000083D0000}"/>
    <cellStyle name="Normal 2 48 2 4" xfId="13247" xr:uid="{00000000-0005-0000-0000-0000093D0000}"/>
    <cellStyle name="Normal 2 48 2 4 2" xfId="13248" xr:uid="{00000000-0005-0000-0000-00000A3D0000}"/>
    <cellStyle name="Normal 2 48 2 4 2 2" xfId="31397" xr:uid="{00000000-0005-0000-0000-00000B3D0000}"/>
    <cellStyle name="Normal 2 48 2 4 3" xfId="13249" xr:uid="{00000000-0005-0000-0000-00000C3D0000}"/>
    <cellStyle name="Normal 2 48 2 4 3 2" xfId="31398" xr:uid="{00000000-0005-0000-0000-00000D3D0000}"/>
    <cellStyle name="Normal 2 48 2 4 4" xfId="13250" xr:uid="{00000000-0005-0000-0000-00000E3D0000}"/>
    <cellStyle name="Normal 2 48 2 4 4 2" xfId="31399" xr:uid="{00000000-0005-0000-0000-00000F3D0000}"/>
    <cellStyle name="Normal 2 48 2 4 5" xfId="13251" xr:uid="{00000000-0005-0000-0000-0000103D0000}"/>
    <cellStyle name="Normal 2 48 2 4 5 2" xfId="31400" xr:uid="{00000000-0005-0000-0000-0000113D0000}"/>
    <cellStyle name="Normal 2 48 2 4 6" xfId="31396" xr:uid="{00000000-0005-0000-0000-0000123D0000}"/>
    <cellStyle name="Normal 2 48 2 5" xfId="13252" xr:uid="{00000000-0005-0000-0000-0000133D0000}"/>
    <cellStyle name="Normal 2 48 2 5 2" xfId="13253" xr:uid="{00000000-0005-0000-0000-0000143D0000}"/>
    <cellStyle name="Normal 2 48 2 5 2 2" xfId="31402" xr:uid="{00000000-0005-0000-0000-0000153D0000}"/>
    <cellStyle name="Normal 2 48 2 5 3" xfId="13254" xr:uid="{00000000-0005-0000-0000-0000163D0000}"/>
    <cellStyle name="Normal 2 48 2 5 3 2" xfId="31403" xr:uid="{00000000-0005-0000-0000-0000173D0000}"/>
    <cellStyle name="Normal 2 48 2 5 4" xfId="13255" xr:uid="{00000000-0005-0000-0000-0000183D0000}"/>
    <cellStyle name="Normal 2 48 2 5 4 2" xfId="31404" xr:uid="{00000000-0005-0000-0000-0000193D0000}"/>
    <cellStyle name="Normal 2 48 2 5 5" xfId="13256" xr:uid="{00000000-0005-0000-0000-00001A3D0000}"/>
    <cellStyle name="Normal 2 48 2 5 5 2" xfId="31405" xr:uid="{00000000-0005-0000-0000-00001B3D0000}"/>
    <cellStyle name="Normal 2 48 2 5 6" xfId="31401" xr:uid="{00000000-0005-0000-0000-00001C3D0000}"/>
    <cellStyle name="Normal 2 48 2 6" xfId="13257" xr:uid="{00000000-0005-0000-0000-00001D3D0000}"/>
    <cellStyle name="Normal 2 48 2 6 2" xfId="13258" xr:uid="{00000000-0005-0000-0000-00001E3D0000}"/>
    <cellStyle name="Normal 2 48 2 6 2 2" xfId="31407" xr:uid="{00000000-0005-0000-0000-00001F3D0000}"/>
    <cellStyle name="Normal 2 48 2 6 3" xfId="13259" xr:uid="{00000000-0005-0000-0000-0000203D0000}"/>
    <cellStyle name="Normal 2 48 2 6 3 2" xfId="31408" xr:uid="{00000000-0005-0000-0000-0000213D0000}"/>
    <cellStyle name="Normal 2 48 2 6 4" xfId="13260" xr:uid="{00000000-0005-0000-0000-0000223D0000}"/>
    <cellStyle name="Normal 2 48 2 6 4 2" xfId="31409" xr:uid="{00000000-0005-0000-0000-0000233D0000}"/>
    <cellStyle name="Normal 2 48 2 6 5" xfId="13261" xr:uid="{00000000-0005-0000-0000-0000243D0000}"/>
    <cellStyle name="Normal 2 48 2 6 5 2" xfId="31410" xr:uid="{00000000-0005-0000-0000-0000253D0000}"/>
    <cellStyle name="Normal 2 48 2 6 6" xfId="31406" xr:uid="{00000000-0005-0000-0000-0000263D0000}"/>
    <cellStyle name="Normal 2 48 2 7" xfId="13262" xr:uid="{00000000-0005-0000-0000-0000273D0000}"/>
    <cellStyle name="Normal 2 48 2 7 2" xfId="13263" xr:uid="{00000000-0005-0000-0000-0000283D0000}"/>
    <cellStyle name="Normal 2 48 2 7 2 2" xfId="31412" xr:uid="{00000000-0005-0000-0000-0000293D0000}"/>
    <cellStyle name="Normal 2 48 2 7 3" xfId="13264" xr:uid="{00000000-0005-0000-0000-00002A3D0000}"/>
    <cellStyle name="Normal 2 48 2 7 3 2" xfId="31413" xr:uid="{00000000-0005-0000-0000-00002B3D0000}"/>
    <cellStyle name="Normal 2 48 2 7 4" xfId="13265" xr:uid="{00000000-0005-0000-0000-00002C3D0000}"/>
    <cellStyle name="Normal 2 48 2 7 4 2" xfId="31414" xr:uid="{00000000-0005-0000-0000-00002D3D0000}"/>
    <cellStyle name="Normal 2 48 2 7 5" xfId="13266" xr:uid="{00000000-0005-0000-0000-00002E3D0000}"/>
    <cellStyle name="Normal 2 48 2 7 5 2" xfId="31415" xr:uid="{00000000-0005-0000-0000-00002F3D0000}"/>
    <cellStyle name="Normal 2 48 2 7 6" xfId="31411" xr:uid="{00000000-0005-0000-0000-0000303D0000}"/>
    <cellStyle name="Normal 2 48 2 8" xfId="13267" xr:uid="{00000000-0005-0000-0000-0000313D0000}"/>
    <cellStyle name="Normal 2 48 2 8 2" xfId="31416" xr:uid="{00000000-0005-0000-0000-0000323D0000}"/>
    <cellStyle name="Normal 2 48 2 9" xfId="13268" xr:uid="{00000000-0005-0000-0000-0000333D0000}"/>
    <cellStyle name="Normal 2 48 2 9 2" xfId="31417" xr:uid="{00000000-0005-0000-0000-0000343D0000}"/>
    <cellStyle name="Normal 2 48 3" xfId="13269" xr:uid="{00000000-0005-0000-0000-0000353D0000}"/>
    <cellStyle name="Normal 2 48 4" xfId="13270" xr:uid="{00000000-0005-0000-0000-0000363D0000}"/>
    <cellStyle name="Normal 2 48 5" xfId="13271" xr:uid="{00000000-0005-0000-0000-0000373D0000}"/>
    <cellStyle name="Normal 2 48 6" xfId="13272" xr:uid="{00000000-0005-0000-0000-0000383D0000}"/>
    <cellStyle name="Normal 2 48 7" xfId="13273" xr:uid="{00000000-0005-0000-0000-0000393D0000}"/>
    <cellStyle name="Normal 2 48 8" xfId="13274" xr:uid="{00000000-0005-0000-0000-00003A3D0000}"/>
    <cellStyle name="Normal 2 48 9" xfId="13275" xr:uid="{00000000-0005-0000-0000-00003B3D0000}"/>
    <cellStyle name="Normal 2 49" xfId="13276" xr:uid="{00000000-0005-0000-0000-00003C3D0000}"/>
    <cellStyle name="Normal 2 49 10" xfId="13277" xr:uid="{00000000-0005-0000-0000-00003D3D0000}"/>
    <cellStyle name="Normal 2 49 11" xfId="13278" xr:uid="{00000000-0005-0000-0000-00003E3D0000}"/>
    <cellStyle name="Normal 2 49 12" xfId="13279" xr:uid="{00000000-0005-0000-0000-00003F3D0000}"/>
    <cellStyle name="Normal 2 49 13" xfId="13280" xr:uid="{00000000-0005-0000-0000-0000403D0000}"/>
    <cellStyle name="Normal 2 49 14" xfId="13281" xr:uid="{00000000-0005-0000-0000-0000413D0000}"/>
    <cellStyle name="Normal 2 49 15" xfId="13282" xr:uid="{00000000-0005-0000-0000-0000423D0000}"/>
    <cellStyle name="Normal 2 49 16" xfId="13283" xr:uid="{00000000-0005-0000-0000-0000433D0000}"/>
    <cellStyle name="Normal 2 49 2" xfId="13284" xr:uid="{00000000-0005-0000-0000-0000443D0000}"/>
    <cellStyle name="Normal 2 49 2 10" xfId="13285" xr:uid="{00000000-0005-0000-0000-0000453D0000}"/>
    <cellStyle name="Normal 2 49 2 10 2" xfId="31419" xr:uid="{00000000-0005-0000-0000-0000463D0000}"/>
    <cellStyle name="Normal 2 49 2 11" xfId="13286" xr:uid="{00000000-0005-0000-0000-0000473D0000}"/>
    <cellStyle name="Normal 2 49 2 11 2" xfId="31420" xr:uid="{00000000-0005-0000-0000-0000483D0000}"/>
    <cellStyle name="Normal 2 49 2 12" xfId="31418" xr:uid="{00000000-0005-0000-0000-0000493D0000}"/>
    <cellStyle name="Normal 2 49 2 2" xfId="13287" xr:uid="{00000000-0005-0000-0000-00004A3D0000}"/>
    <cellStyle name="Normal 2 49 2 2 2" xfId="13288" xr:uid="{00000000-0005-0000-0000-00004B3D0000}"/>
    <cellStyle name="Normal 2 49 2 2 2 2" xfId="31422" xr:uid="{00000000-0005-0000-0000-00004C3D0000}"/>
    <cellStyle name="Normal 2 49 2 2 3" xfId="13289" xr:uid="{00000000-0005-0000-0000-00004D3D0000}"/>
    <cellStyle name="Normal 2 49 2 2 3 2" xfId="31423" xr:uid="{00000000-0005-0000-0000-00004E3D0000}"/>
    <cellStyle name="Normal 2 49 2 2 4" xfId="13290" xr:uid="{00000000-0005-0000-0000-00004F3D0000}"/>
    <cellStyle name="Normal 2 49 2 2 4 2" xfId="31424" xr:uid="{00000000-0005-0000-0000-0000503D0000}"/>
    <cellStyle name="Normal 2 49 2 2 5" xfId="13291" xr:uid="{00000000-0005-0000-0000-0000513D0000}"/>
    <cellStyle name="Normal 2 49 2 2 5 2" xfId="31425" xr:uid="{00000000-0005-0000-0000-0000523D0000}"/>
    <cellStyle name="Normal 2 49 2 2 6" xfId="31421" xr:uid="{00000000-0005-0000-0000-0000533D0000}"/>
    <cellStyle name="Normal 2 49 2 3" xfId="13292" xr:uid="{00000000-0005-0000-0000-0000543D0000}"/>
    <cellStyle name="Normal 2 49 2 3 2" xfId="13293" xr:uid="{00000000-0005-0000-0000-0000553D0000}"/>
    <cellStyle name="Normal 2 49 2 3 2 2" xfId="31427" xr:uid="{00000000-0005-0000-0000-0000563D0000}"/>
    <cellStyle name="Normal 2 49 2 3 3" xfId="13294" xr:uid="{00000000-0005-0000-0000-0000573D0000}"/>
    <cellStyle name="Normal 2 49 2 3 3 2" xfId="31428" xr:uid="{00000000-0005-0000-0000-0000583D0000}"/>
    <cellStyle name="Normal 2 49 2 3 4" xfId="13295" xr:uid="{00000000-0005-0000-0000-0000593D0000}"/>
    <cellStyle name="Normal 2 49 2 3 4 2" xfId="31429" xr:uid="{00000000-0005-0000-0000-00005A3D0000}"/>
    <cellStyle name="Normal 2 49 2 3 5" xfId="13296" xr:uid="{00000000-0005-0000-0000-00005B3D0000}"/>
    <cellStyle name="Normal 2 49 2 3 5 2" xfId="31430" xr:uid="{00000000-0005-0000-0000-00005C3D0000}"/>
    <cellStyle name="Normal 2 49 2 3 6" xfId="31426" xr:uid="{00000000-0005-0000-0000-00005D3D0000}"/>
    <cellStyle name="Normal 2 49 2 4" xfId="13297" xr:uid="{00000000-0005-0000-0000-00005E3D0000}"/>
    <cellStyle name="Normal 2 49 2 4 2" xfId="13298" xr:uid="{00000000-0005-0000-0000-00005F3D0000}"/>
    <cellStyle name="Normal 2 49 2 4 2 2" xfId="31432" xr:uid="{00000000-0005-0000-0000-0000603D0000}"/>
    <cellStyle name="Normal 2 49 2 4 3" xfId="13299" xr:uid="{00000000-0005-0000-0000-0000613D0000}"/>
    <cellStyle name="Normal 2 49 2 4 3 2" xfId="31433" xr:uid="{00000000-0005-0000-0000-0000623D0000}"/>
    <cellStyle name="Normal 2 49 2 4 4" xfId="13300" xr:uid="{00000000-0005-0000-0000-0000633D0000}"/>
    <cellStyle name="Normal 2 49 2 4 4 2" xfId="31434" xr:uid="{00000000-0005-0000-0000-0000643D0000}"/>
    <cellStyle name="Normal 2 49 2 4 5" xfId="13301" xr:uid="{00000000-0005-0000-0000-0000653D0000}"/>
    <cellStyle name="Normal 2 49 2 4 5 2" xfId="31435" xr:uid="{00000000-0005-0000-0000-0000663D0000}"/>
    <cellStyle name="Normal 2 49 2 4 6" xfId="31431" xr:uid="{00000000-0005-0000-0000-0000673D0000}"/>
    <cellStyle name="Normal 2 49 2 5" xfId="13302" xr:uid="{00000000-0005-0000-0000-0000683D0000}"/>
    <cellStyle name="Normal 2 49 2 5 2" xfId="13303" xr:uid="{00000000-0005-0000-0000-0000693D0000}"/>
    <cellStyle name="Normal 2 49 2 5 2 2" xfId="31437" xr:uid="{00000000-0005-0000-0000-00006A3D0000}"/>
    <cellStyle name="Normal 2 49 2 5 3" xfId="13304" xr:uid="{00000000-0005-0000-0000-00006B3D0000}"/>
    <cellStyle name="Normal 2 49 2 5 3 2" xfId="31438" xr:uid="{00000000-0005-0000-0000-00006C3D0000}"/>
    <cellStyle name="Normal 2 49 2 5 4" xfId="13305" xr:uid="{00000000-0005-0000-0000-00006D3D0000}"/>
    <cellStyle name="Normal 2 49 2 5 4 2" xfId="31439" xr:uid="{00000000-0005-0000-0000-00006E3D0000}"/>
    <cellStyle name="Normal 2 49 2 5 5" xfId="13306" xr:uid="{00000000-0005-0000-0000-00006F3D0000}"/>
    <cellStyle name="Normal 2 49 2 5 5 2" xfId="31440" xr:uid="{00000000-0005-0000-0000-0000703D0000}"/>
    <cellStyle name="Normal 2 49 2 5 6" xfId="31436" xr:uid="{00000000-0005-0000-0000-0000713D0000}"/>
    <cellStyle name="Normal 2 49 2 6" xfId="13307" xr:uid="{00000000-0005-0000-0000-0000723D0000}"/>
    <cellStyle name="Normal 2 49 2 6 2" xfId="13308" xr:uid="{00000000-0005-0000-0000-0000733D0000}"/>
    <cellStyle name="Normal 2 49 2 6 2 2" xfId="31442" xr:uid="{00000000-0005-0000-0000-0000743D0000}"/>
    <cellStyle name="Normal 2 49 2 6 3" xfId="13309" xr:uid="{00000000-0005-0000-0000-0000753D0000}"/>
    <cellStyle name="Normal 2 49 2 6 3 2" xfId="31443" xr:uid="{00000000-0005-0000-0000-0000763D0000}"/>
    <cellStyle name="Normal 2 49 2 6 4" xfId="13310" xr:uid="{00000000-0005-0000-0000-0000773D0000}"/>
    <cellStyle name="Normal 2 49 2 6 4 2" xfId="31444" xr:uid="{00000000-0005-0000-0000-0000783D0000}"/>
    <cellStyle name="Normal 2 49 2 6 5" xfId="13311" xr:uid="{00000000-0005-0000-0000-0000793D0000}"/>
    <cellStyle name="Normal 2 49 2 6 5 2" xfId="31445" xr:uid="{00000000-0005-0000-0000-00007A3D0000}"/>
    <cellStyle name="Normal 2 49 2 6 6" xfId="31441" xr:uid="{00000000-0005-0000-0000-00007B3D0000}"/>
    <cellStyle name="Normal 2 49 2 7" xfId="13312" xr:uid="{00000000-0005-0000-0000-00007C3D0000}"/>
    <cellStyle name="Normal 2 49 2 7 2" xfId="13313" xr:uid="{00000000-0005-0000-0000-00007D3D0000}"/>
    <cellStyle name="Normal 2 49 2 7 2 2" xfId="31447" xr:uid="{00000000-0005-0000-0000-00007E3D0000}"/>
    <cellStyle name="Normal 2 49 2 7 3" xfId="13314" xr:uid="{00000000-0005-0000-0000-00007F3D0000}"/>
    <cellStyle name="Normal 2 49 2 7 3 2" xfId="31448" xr:uid="{00000000-0005-0000-0000-0000803D0000}"/>
    <cellStyle name="Normal 2 49 2 7 4" xfId="13315" xr:uid="{00000000-0005-0000-0000-0000813D0000}"/>
    <cellStyle name="Normal 2 49 2 7 4 2" xfId="31449" xr:uid="{00000000-0005-0000-0000-0000823D0000}"/>
    <cellStyle name="Normal 2 49 2 7 5" xfId="13316" xr:uid="{00000000-0005-0000-0000-0000833D0000}"/>
    <cellStyle name="Normal 2 49 2 7 5 2" xfId="31450" xr:uid="{00000000-0005-0000-0000-0000843D0000}"/>
    <cellStyle name="Normal 2 49 2 7 6" xfId="31446" xr:uid="{00000000-0005-0000-0000-0000853D0000}"/>
    <cellStyle name="Normal 2 49 2 8" xfId="13317" xr:uid="{00000000-0005-0000-0000-0000863D0000}"/>
    <cellStyle name="Normal 2 49 2 8 2" xfId="31451" xr:uid="{00000000-0005-0000-0000-0000873D0000}"/>
    <cellStyle name="Normal 2 49 2 9" xfId="13318" xr:uid="{00000000-0005-0000-0000-0000883D0000}"/>
    <cellStyle name="Normal 2 49 2 9 2" xfId="31452" xr:uid="{00000000-0005-0000-0000-0000893D0000}"/>
    <cellStyle name="Normal 2 49 3" xfId="13319" xr:uid="{00000000-0005-0000-0000-00008A3D0000}"/>
    <cellStyle name="Normal 2 49 4" xfId="13320" xr:uid="{00000000-0005-0000-0000-00008B3D0000}"/>
    <cellStyle name="Normal 2 49 5" xfId="13321" xr:uid="{00000000-0005-0000-0000-00008C3D0000}"/>
    <cellStyle name="Normal 2 49 6" xfId="13322" xr:uid="{00000000-0005-0000-0000-00008D3D0000}"/>
    <cellStyle name="Normal 2 49 7" xfId="13323" xr:uid="{00000000-0005-0000-0000-00008E3D0000}"/>
    <cellStyle name="Normal 2 49 8" xfId="13324" xr:uid="{00000000-0005-0000-0000-00008F3D0000}"/>
    <cellStyle name="Normal 2 49 9" xfId="13325" xr:uid="{00000000-0005-0000-0000-0000903D0000}"/>
    <cellStyle name="Normal 2 5" xfId="13326" xr:uid="{00000000-0005-0000-0000-0000913D0000}"/>
    <cellStyle name="Normal 2 5 10" xfId="13327" xr:uid="{00000000-0005-0000-0000-0000923D0000}"/>
    <cellStyle name="Normal 2 5 11" xfId="13328" xr:uid="{00000000-0005-0000-0000-0000933D0000}"/>
    <cellStyle name="Normal 2 5 12" xfId="13329" xr:uid="{00000000-0005-0000-0000-0000943D0000}"/>
    <cellStyle name="Normal 2 5 13" xfId="13330" xr:uid="{00000000-0005-0000-0000-0000953D0000}"/>
    <cellStyle name="Normal 2 5 14" xfId="13331" xr:uid="{00000000-0005-0000-0000-0000963D0000}"/>
    <cellStyle name="Normal 2 5 15" xfId="13332" xr:uid="{00000000-0005-0000-0000-0000973D0000}"/>
    <cellStyle name="Normal 2 5 16" xfId="13333" xr:uid="{00000000-0005-0000-0000-0000983D0000}"/>
    <cellStyle name="Normal 2 5 17" xfId="13334" xr:uid="{00000000-0005-0000-0000-0000993D0000}"/>
    <cellStyle name="Normal 2 5 18" xfId="13335" xr:uid="{00000000-0005-0000-0000-00009A3D0000}"/>
    <cellStyle name="Normal 2 5 19" xfId="13336" xr:uid="{00000000-0005-0000-0000-00009B3D0000}"/>
    <cellStyle name="Normal 2 5 2" xfId="13337" xr:uid="{00000000-0005-0000-0000-00009C3D0000}"/>
    <cellStyle name="Normal 2 5 2 10" xfId="13338" xr:uid="{00000000-0005-0000-0000-00009D3D0000}"/>
    <cellStyle name="Normal 2 5 2 11" xfId="40643" xr:uid="{00000000-0005-0000-0000-00009E3D0000}"/>
    <cellStyle name="Normal 2 5 2 2" xfId="13339" xr:uid="{00000000-0005-0000-0000-00009F3D0000}"/>
    <cellStyle name="Normal 2 5 2 2 2" xfId="13340" xr:uid="{00000000-0005-0000-0000-0000A03D0000}"/>
    <cellStyle name="Normal 2 5 2 2 3" xfId="13341" xr:uid="{00000000-0005-0000-0000-0000A13D0000}"/>
    <cellStyle name="Normal 2 5 2 2 4" xfId="13342" xr:uid="{00000000-0005-0000-0000-0000A23D0000}"/>
    <cellStyle name="Normal 2 5 2 2 5" xfId="13343" xr:uid="{00000000-0005-0000-0000-0000A33D0000}"/>
    <cellStyle name="Normal 2 5 2 2 6" xfId="13344" xr:uid="{00000000-0005-0000-0000-0000A43D0000}"/>
    <cellStyle name="Normal 2 5 2 2 7" xfId="13345" xr:uid="{00000000-0005-0000-0000-0000A53D0000}"/>
    <cellStyle name="Normal 2 5 2 3" xfId="13346" xr:uid="{00000000-0005-0000-0000-0000A63D0000}"/>
    <cellStyle name="Normal 2 5 2 4" xfId="13347" xr:uid="{00000000-0005-0000-0000-0000A73D0000}"/>
    <cellStyle name="Normal 2 5 2 5" xfId="13348" xr:uid="{00000000-0005-0000-0000-0000A83D0000}"/>
    <cellStyle name="Normal 2 5 2 6" xfId="13349" xr:uid="{00000000-0005-0000-0000-0000A93D0000}"/>
    <cellStyle name="Normal 2 5 2 7" xfId="13350" xr:uid="{00000000-0005-0000-0000-0000AA3D0000}"/>
    <cellStyle name="Normal 2 5 2 8" xfId="13351" xr:uid="{00000000-0005-0000-0000-0000AB3D0000}"/>
    <cellStyle name="Normal 2 5 2 9" xfId="13352" xr:uid="{00000000-0005-0000-0000-0000AC3D0000}"/>
    <cellStyle name="Normal 2 5 20" xfId="13353" xr:uid="{00000000-0005-0000-0000-0000AD3D0000}"/>
    <cellStyle name="Normal 2 5 21" xfId="13354" xr:uid="{00000000-0005-0000-0000-0000AE3D0000}"/>
    <cellStyle name="Normal 2 5 22" xfId="13355" xr:uid="{00000000-0005-0000-0000-0000AF3D0000}"/>
    <cellStyle name="Normal 2 5 23" xfId="13356" xr:uid="{00000000-0005-0000-0000-0000B03D0000}"/>
    <cellStyle name="Normal 2 5 24" xfId="13357" xr:uid="{00000000-0005-0000-0000-0000B13D0000}"/>
    <cellStyle name="Normal 2 5 25" xfId="13358" xr:uid="{00000000-0005-0000-0000-0000B23D0000}"/>
    <cellStyle name="Normal 2 5 26" xfId="13359" xr:uid="{00000000-0005-0000-0000-0000B33D0000}"/>
    <cellStyle name="Normal 2 5 27" xfId="13360" xr:uid="{00000000-0005-0000-0000-0000B43D0000}"/>
    <cellStyle name="Normal 2 5 28" xfId="13361" xr:uid="{00000000-0005-0000-0000-0000B53D0000}"/>
    <cellStyle name="Normal 2 5 29" xfId="13362" xr:uid="{00000000-0005-0000-0000-0000B63D0000}"/>
    <cellStyle name="Normal 2 5 3" xfId="13363" xr:uid="{00000000-0005-0000-0000-0000B73D0000}"/>
    <cellStyle name="Normal 2 5 3 2" xfId="13364" xr:uid="{00000000-0005-0000-0000-0000B83D0000}"/>
    <cellStyle name="Normal 2 5 3 3" xfId="13365" xr:uid="{00000000-0005-0000-0000-0000B93D0000}"/>
    <cellStyle name="Normal 2 5 3 4" xfId="13366" xr:uid="{00000000-0005-0000-0000-0000BA3D0000}"/>
    <cellStyle name="Normal 2 5 3 5" xfId="13367" xr:uid="{00000000-0005-0000-0000-0000BB3D0000}"/>
    <cellStyle name="Normal 2 5 3 6" xfId="40644" xr:uid="{00000000-0005-0000-0000-0000BC3D0000}"/>
    <cellStyle name="Normal 2 5 30" xfId="13368" xr:uid="{00000000-0005-0000-0000-0000BD3D0000}"/>
    <cellStyle name="Normal 2 5 31" xfId="13369" xr:uid="{00000000-0005-0000-0000-0000BE3D0000}"/>
    <cellStyle name="Normal 2 5 4" xfId="13370" xr:uid="{00000000-0005-0000-0000-0000BF3D0000}"/>
    <cellStyle name="Normal 2 5 4 2" xfId="40645" xr:uid="{00000000-0005-0000-0000-0000C03D0000}"/>
    <cellStyle name="Normal 2 5 5" xfId="13371" xr:uid="{00000000-0005-0000-0000-0000C13D0000}"/>
    <cellStyle name="Normal 2 5 6" xfId="13372" xr:uid="{00000000-0005-0000-0000-0000C23D0000}"/>
    <cellStyle name="Normal 2 5 7" xfId="13373" xr:uid="{00000000-0005-0000-0000-0000C33D0000}"/>
    <cellStyle name="Normal 2 5 8" xfId="13374" xr:uid="{00000000-0005-0000-0000-0000C43D0000}"/>
    <cellStyle name="Normal 2 5 9" xfId="13375" xr:uid="{00000000-0005-0000-0000-0000C53D0000}"/>
    <cellStyle name="Normal 2 50" xfId="13376" xr:uid="{00000000-0005-0000-0000-0000C63D0000}"/>
    <cellStyle name="Normal 2 51" xfId="13377" xr:uid="{00000000-0005-0000-0000-0000C73D0000}"/>
    <cellStyle name="Normal 2 52" xfId="13378" xr:uid="{00000000-0005-0000-0000-0000C83D0000}"/>
    <cellStyle name="Normal 2 53" xfId="13379" xr:uid="{00000000-0005-0000-0000-0000C93D0000}"/>
    <cellStyle name="Normal 2 54" xfId="13380" xr:uid="{00000000-0005-0000-0000-0000CA3D0000}"/>
    <cellStyle name="Normal 2 55" xfId="13381" xr:uid="{00000000-0005-0000-0000-0000CB3D0000}"/>
    <cellStyle name="Normal 2 56" xfId="13382" xr:uid="{00000000-0005-0000-0000-0000CC3D0000}"/>
    <cellStyle name="Normal 2 57" xfId="13383" xr:uid="{00000000-0005-0000-0000-0000CD3D0000}"/>
    <cellStyle name="Normal 2 58" xfId="13384" xr:uid="{00000000-0005-0000-0000-0000CE3D0000}"/>
    <cellStyle name="Normal 2 59" xfId="13385" xr:uid="{00000000-0005-0000-0000-0000CF3D0000}"/>
    <cellStyle name="Normal 2 6" xfId="13386" xr:uid="{00000000-0005-0000-0000-0000D03D0000}"/>
    <cellStyle name="Normal 2 6 10" xfId="13387" xr:uid="{00000000-0005-0000-0000-0000D13D0000}"/>
    <cellStyle name="Normal 2 6 11" xfId="13388" xr:uid="{00000000-0005-0000-0000-0000D23D0000}"/>
    <cellStyle name="Normal 2 6 12" xfId="13389" xr:uid="{00000000-0005-0000-0000-0000D33D0000}"/>
    <cellStyle name="Normal 2 6 13" xfId="13390" xr:uid="{00000000-0005-0000-0000-0000D43D0000}"/>
    <cellStyle name="Normal 2 6 14" xfId="13391" xr:uid="{00000000-0005-0000-0000-0000D53D0000}"/>
    <cellStyle name="Normal 2 6 15" xfId="13392" xr:uid="{00000000-0005-0000-0000-0000D63D0000}"/>
    <cellStyle name="Normal 2 6 16" xfId="13393" xr:uid="{00000000-0005-0000-0000-0000D73D0000}"/>
    <cellStyle name="Normal 2 6 17" xfId="13394" xr:uid="{00000000-0005-0000-0000-0000D83D0000}"/>
    <cellStyle name="Normal 2 6 18" xfId="13395" xr:uid="{00000000-0005-0000-0000-0000D93D0000}"/>
    <cellStyle name="Normal 2 6 19" xfId="13396" xr:uid="{00000000-0005-0000-0000-0000DA3D0000}"/>
    <cellStyle name="Normal 2 6 2" xfId="13397" xr:uid="{00000000-0005-0000-0000-0000DB3D0000}"/>
    <cellStyle name="Normal 2 6 2 10" xfId="13398" xr:uid="{00000000-0005-0000-0000-0000DC3D0000}"/>
    <cellStyle name="Normal 2 6 2 11" xfId="40646" xr:uid="{00000000-0005-0000-0000-0000DD3D0000}"/>
    <cellStyle name="Normal 2 6 2 2" xfId="13399" xr:uid="{00000000-0005-0000-0000-0000DE3D0000}"/>
    <cellStyle name="Normal 2 6 2 2 2" xfId="13400" xr:uid="{00000000-0005-0000-0000-0000DF3D0000}"/>
    <cellStyle name="Normal 2 6 2 2 3" xfId="13401" xr:uid="{00000000-0005-0000-0000-0000E03D0000}"/>
    <cellStyle name="Normal 2 6 2 2 4" xfId="13402" xr:uid="{00000000-0005-0000-0000-0000E13D0000}"/>
    <cellStyle name="Normal 2 6 2 2 5" xfId="13403" xr:uid="{00000000-0005-0000-0000-0000E23D0000}"/>
    <cellStyle name="Normal 2 6 2 2 6" xfId="13404" xr:uid="{00000000-0005-0000-0000-0000E33D0000}"/>
    <cellStyle name="Normal 2 6 2 2 7" xfId="13405" xr:uid="{00000000-0005-0000-0000-0000E43D0000}"/>
    <cellStyle name="Normal 2 6 2 3" xfId="13406" xr:uid="{00000000-0005-0000-0000-0000E53D0000}"/>
    <cellStyle name="Normal 2 6 2 4" xfId="13407" xr:uid="{00000000-0005-0000-0000-0000E63D0000}"/>
    <cellStyle name="Normal 2 6 2 5" xfId="13408" xr:uid="{00000000-0005-0000-0000-0000E73D0000}"/>
    <cellStyle name="Normal 2 6 2 6" xfId="13409" xr:uid="{00000000-0005-0000-0000-0000E83D0000}"/>
    <cellStyle name="Normal 2 6 2 7" xfId="13410" xr:uid="{00000000-0005-0000-0000-0000E93D0000}"/>
    <cellStyle name="Normal 2 6 2 8" xfId="13411" xr:uid="{00000000-0005-0000-0000-0000EA3D0000}"/>
    <cellStyle name="Normal 2 6 2 9" xfId="13412" xr:uid="{00000000-0005-0000-0000-0000EB3D0000}"/>
    <cellStyle name="Normal 2 6 20" xfId="13413" xr:uid="{00000000-0005-0000-0000-0000EC3D0000}"/>
    <cellStyle name="Normal 2 6 21" xfId="13414" xr:uid="{00000000-0005-0000-0000-0000ED3D0000}"/>
    <cellStyle name="Normal 2 6 22" xfId="13415" xr:uid="{00000000-0005-0000-0000-0000EE3D0000}"/>
    <cellStyle name="Normal 2 6 23" xfId="13416" xr:uid="{00000000-0005-0000-0000-0000EF3D0000}"/>
    <cellStyle name="Normal 2 6 24" xfId="13417" xr:uid="{00000000-0005-0000-0000-0000F03D0000}"/>
    <cellStyle name="Normal 2 6 25" xfId="13418" xr:uid="{00000000-0005-0000-0000-0000F13D0000}"/>
    <cellStyle name="Normal 2 6 26" xfId="13419" xr:uid="{00000000-0005-0000-0000-0000F23D0000}"/>
    <cellStyle name="Normal 2 6 27" xfId="13420" xr:uid="{00000000-0005-0000-0000-0000F33D0000}"/>
    <cellStyle name="Normal 2 6 28" xfId="13421" xr:uid="{00000000-0005-0000-0000-0000F43D0000}"/>
    <cellStyle name="Normal 2 6 29" xfId="13422" xr:uid="{00000000-0005-0000-0000-0000F53D0000}"/>
    <cellStyle name="Normal 2 6 3" xfId="13423" xr:uid="{00000000-0005-0000-0000-0000F63D0000}"/>
    <cellStyle name="Normal 2 6 3 2" xfId="13424" xr:uid="{00000000-0005-0000-0000-0000F73D0000}"/>
    <cellStyle name="Normal 2 6 3 3" xfId="13425" xr:uid="{00000000-0005-0000-0000-0000F83D0000}"/>
    <cellStyle name="Normal 2 6 3 4" xfId="13426" xr:uid="{00000000-0005-0000-0000-0000F93D0000}"/>
    <cellStyle name="Normal 2 6 3 5" xfId="13427" xr:uid="{00000000-0005-0000-0000-0000FA3D0000}"/>
    <cellStyle name="Normal 2 6 3 6" xfId="40647" xr:uid="{00000000-0005-0000-0000-0000FB3D0000}"/>
    <cellStyle name="Normal 2 6 30" xfId="13428" xr:uid="{00000000-0005-0000-0000-0000FC3D0000}"/>
    <cellStyle name="Normal 2 6 31" xfId="13429" xr:uid="{00000000-0005-0000-0000-0000FD3D0000}"/>
    <cellStyle name="Normal 2 6 4" xfId="13430" xr:uid="{00000000-0005-0000-0000-0000FE3D0000}"/>
    <cellStyle name="Normal 2 6 4 2" xfId="40648" xr:uid="{00000000-0005-0000-0000-0000FF3D0000}"/>
    <cellStyle name="Normal 2 6 5" xfId="13431" xr:uid="{00000000-0005-0000-0000-0000003E0000}"/>
    <cellStyle name="Normal 2 6 6" xfId="13432" xr:uid="{00000000-0005-0000-0000-0000013E0000}"/>
    <cellStyle name="Normal 2 6 7" xfId="13433" xr:uid="{00000000-0005-0000-0000-0000023E0000}"/>
    <cellStyle name="Normal 2 6 8" xfId="13434" xr:uid="{00000000-0005-0000-0000-0000033E0000}"/>
    <cellStyle name="Normal 2 6 9" xfId="13435" xr:uid="{00000000-0005-0000-0000-0000043E0000}"/>
    <cellStyle name="Normal 2 60" xfId="13436" xr:uid="{00000000-0005-0000-0000-0000053E0000}"/>
    <cellStyle name="Normal 2 61" xfId="13437" xr:uid="{00000000-0005-0000-0000-0000063E0000}"/>
    <cellStyle name="Normal 2 62" xfId="13438" xr:uid="{00000000-0005-0000-0000-0000073E0000}"/>
    <cellStyle name="Normal 2 63" xfId="13439" xr:uid="{00000000-0005-0000-0000-0000083E0000}"/>
    <cellStyle name="Normal 2 64" xfId="13440" xr:uid="{00000000-0005-0000-0000-0000093E0000}"/>
    <cellStyle name="Normal 2 65" xfId="13441" xr:uid="{00000000-0005-0000-0000-00000A3E0000}"/>
    <cellStyle name="Normal 2 66" xfId="13442" xr:uid="{00000000-0005-0000-0000-00000B3E0000}"/>
    <cellStyle name="Normal 2 67" xfId="13443" xr:uid="{00000000-0005-0000-0000-00000C3E0000}"/>
    <cellStyle name="Normal 2 68" xfId="13444" xr:uid="{00000000-0005-0000-0000-00000D3E0000}"/>
    <cellStyle name="Normal 2 69" xfId="13445" xr:uid="{00000000-0005-0000-0000-00000E3E0000}"/>
    <cellStyle name="Normal 2 7" xfId="13446" xr:uid="{00000000-0005-0000-0000-00000F3E0000}"/>
    <cellStyle name="Normal 2 7 10" xfId="13447" xr:uid="{00000000-0005-0000-0000-0000103E0000}"/>
    <cellStyle name="Normal 2 7 11" xfId="13448" xr:uid="{00000000-0005-0000-0000-0000113E0000}"/>
    <cellStyle name="Normal 2 7 12" xfId="13449" xr:uid="{00000000-0005-0000-0000-0000123E0000}"/>
    <cellStyle name="Normal 2 7 13" xfId="13450" xr:uid="{00000000-0005-0000-0000-0000133E0000}"/>
    <cellStyle name="Normal 2 7 14" xfId="13451" xr:uid="{00000000-0005-0000-0000-0000143E0000}"/>
    <cellStyle name="Normal 2 7 15" xfId="13452" xr:uid="{00000000-0005-0000-0000-0000153E0000}"/>
    <cellStyle name="Normal 2 7 16" xfId="13453" xr:uid="{00000000-0005-0000-0000-0000163E0000}"/>
    <cellStyle name="Normal 2 7 17" xfId="13454" xr:uid="{00000000-0005-0000-0000-0000173E0000}"/>
    <cellStyle name="Normal 2 7 18" xfId="13455" xr:uid="{00000000-0005-0000-0000-0000183E0000}"/>
    <cellStyle name="Normal 2 7 19" xfId="13456" xr:uid="{00000000-0005-0000-0000-0000193E0000}"/>
    <cellStyle name="Normal 2 7 2" xfId="13457" xr:uid="{00000000-0005-0000-0000-00001A3E0000}"/>
    <cellStyle name="Normal 2 7 2 10" xfId="13458" xr:uid="{00000000-0005-0000-0000-00001B3E0000}"/>
    <cellStyle name="Normal 2 7 2 11" xfId="40649" xr:uid="{00000000-0005-0000-0000-00001C3E0000}"/>
    <cellStyle name="Normal 2 7 2 2" xfId="13459" xr:uid="{00000000-0005-0000-0000-00001D3E0000}"/>
    <cellStyle name="Normal 2 7 2 2 2" xfId="13460" xr:uid="{00000000-0005-0000-0000-00001E3E0000}"/>
    <cellStyle name="Normal 2 7 2 2 3" xfId="13461" xr:uid="{00000000-0005-0000-0000-00001F3E0000}"/>
    <cellStyle name="Normal 2 7 2 2 4" xfId="13462" xr:uid="{00000000-0005-0000-0000-0000203E0000}"/>
    <cellStyle name="Normal 2 7 2 2 5" xfId="13463" xr:uid="{00000000-0005-0000-0000-0000213E0000}"/>
    <cellStyle name="Normal 2 7 2 2 6" xfId="13464" xr:uid="{00000000-0005-0000-0000-0000223E0000}"/>
    <cellStyle name="Normal 2 7 2 2 7" xfId="13465" xr:uid="{00000000-0005-0000-0000-0000233E0000}"/>
    <cellStyle name="Normal 2 7 2 3" xfId="13466" xr:uid="{00000000-0005-0000-0000-0000243E0000}"/>
    <cellStyle name="Normal 2 7 2 4" xfId="13467" xr:uid="{00000000-0005-0000-0000-0000253E0000}"/>
    <cellStyle name="Normal 2 7 2 5" xfId="13468" xr:uid="{00000000-0005-0000-0000-0000263E0000}"/>
    <cellStyle name="Normal 2 7 2 6" xfId="13469" xr:uid="{00000000-0005-0000-0000-0000273E0000}"/>
    <cellStyle name="Normal 2 7 2 7" xfId="13470" xr:uid="{00000000-0005-0000-0000-0000283E0000}"/>
    <cellStyle name="Normal 2 7 2 8" xfId="13471" xr:uid="{00000000-0005-0000-0000-0000293E0000}"/>
    <cellStyle name="Normal 2 7 2 9" xfId="13472" xr:uid="{00000000-0005-0000-0000-00002A3E0000}"/>
    <cellStyle name="Normal 2 7 20" xfId="13473" xr:uid="{00000000-0005-0000-0000-00002B3E0000}"/>
    <cellStyle name="Normal 2 7 21" xfId="13474" xr:uid="{00000000-0005-0000-0000-00002C3E0000}"/>
    <cellStyle name="Normal 2 7 22" xfId="13475" xr:uid="{00000000-0005-0000-0000-00002D3E0000}"/>
    <cellStyle name="Normal 2 7 23" xfId="13476" xr:uid="{00000000-0005-0000-0000-00002E3E0000}"/>
    <cellStyle name="Normal 2 7 24" xfId="13477" xr:uid="{00000000-0005-0000-0000-00002F3E0000}"/>
    <cellStyle name="Normal 2 7 25" xfId="13478" xr:uid="{00000000-0005-0000-0000-0000303E0000}"/>
    <cellStyle name="Normal 2 7 26" xfId="13479" xr:uid="{00000000-0005-0000-0000-0000313E0000}"/>
    <cellStyle name="Normal 2 7 27" xfId="13480" xr:uid="{00000000-0005-0000-0000-0000323E0000}"/>
    <cellStyle name="Normal 2 7 28" xfId="13481" xr:uid="{00000000-0005-0000-0000-0000333E0000}"/>
    <cellStyle name="Normal 2 7 29" xfId="13482" xr:uid="{00000000-0005-0000-0000-0000343E0000}"/>
    <cellStyle name="Normal 2 7 3" xfId="13483" xr:uid="{00000000-0005-0000-0000-0000353E0000}"/>
    <cellStyle name="Normal 2 7 3 2" xfId="13484" xr:uid="{00000000-0005-0000-0000-0000363E0000}"/>
    <cellStyle name="Normal 2 7 3 3" xfId="13485" xr:uid="{00000000-0005-0000-0000-0000373E0000}"/>
    <cellStyle name="Normal 2 7 3 4" xfId="13486" xr:uid="{00000000-0005-0000-0000-0000383E0000}"/>
    <cellStyle name="Normal 2 7 3 5" xfId="13487" xr:uid="{00000000-0005-0000-0000-0000393E0000}"/>
    <cellStyle name="Normal 2 7 3 6" xfId="40650" xr:uid="{00000000-0005-0000-0000-00003A3E0000}"/>
    <cellStyle name="Normal 2 7 30" xfId="13488" xr:uid="{00000000-0005-0000-0000-00003B3E0000}"/>
    <cellStyle name="Normal 2 7 31" xfId="13489" xr:uid="{00000000-0005-0000-0000-00003C3E0000}"/>
    <cellStyle name="Normal 2 7 4" xfId="13490" xr:uid="{00000000-0005-0000-0000-00003D3E0000}"/>
    <cellStyle name="Normal 2 7 4 2" xfId="40651" xr:uid="{00000000-0005-0000-0000-00003E3E0000}"/>
    <cellStyle name="Normal 2 7 5" xfId="13491" xr:uid="{00000000-0005-0000-0000-00003F3E0000}"/>
    <cellStyle name="Normal 2 7 6" xfId="13492" xr:uid="{00000000-0005-0000-0000-0000403E0000}"/>
    <cellStyle name="Normal 2 7 7" xfId="13493" xr:uid="{00000000-0005-0000-0000-0000413E0000}"/>
    <cellStyle name="Normal 2 7 8" xfId="13494" xr:uid="{00000000-0005-0000-0000-0000423E0000}"/>
    <cellStyle name="Normal 2 7 9" xfId="13495" xr:uid="{00000000-0005-0000-0000-0000433E0000}"/>
    <cellStyle name="Normal 2 70" xfId="13496" xr:uid="{00000000-0005-0000-0000-0000443E0000}"/>
    <cellStyle name="Normal 2 71" xfId="13497" xr:uid="{00000000-0005-0000-0000-0000453E0000}"/>
    <cellStyle name="Normal 2 72" xfId="13498" xr:uid="{00000000-0005-0000-0000-0000463E0000}"/>
    <cellStyle name="Normal 2 73" xfId="13499" xr:uid="{00000000-0005-0000-0000-0000473E0000}"/>
    <cellStyle name="Normal 2 74" xfId="13500" xr:uid="{00000000-0005-0000-0000-0000483E0000}"/>
    <cellStyle name="Normal 2 75" xfId="13501" xr:uid="{00000000-0005-0000-0000-0000493E0000}"/>
    <cellStyle name="Normal 2 76" xfId="13502" xr:uid="{00000000-0005-0000-0000-00004A3E0000}"/>
    <cellStyle name="Normal 2 77" xfId="13503" xr:uid="{00000000-0005-0000-0000-00004B3E0000}"/>
    <cellStyle name="Normal 2 78" xfId="13504" xr:uid="{00000000-0005-0000-0000-00004C3E0000}"/>
    <cellStyle name="Normal 2 79" xfId="13505" xr:uid="{00000000-0005-0000-0000-00004D3E0000}"/>
    <cellStyle name="Normal 2 8" xfId="13506" xr:uid="{00000000-0005-0000-0000-00004E3E0000}"/>
    <cellStyle name="Normal 2 8 10" xfId="13507" xr:uid="{00000000-0005-0000-0000-00004F3E0000}"/>
    <cellStyle name="Normal 2 8 11" xfId="13508" xr:uid="{00000000-0005-0000-0000-0000503E0000}"/>
    <cellStyle name="Normal 2 8 12" xfId="13509" xr:uid="{00000000-0005-0000-0000-0000513E0000}"/>
    <cellStyle name="Normal 2 8 13" xfId="40652" xr:uid="{00000000-0005-0000-0000-0000523E0000}"/>
    <cellStyle name="Normal 2 8 2" xfId="13510" xr:uid="{00000000-0005-0000-0000-0000533E0000}"/>
    <cellStyle name="Normal 2 8 2 2" xfId="13511" xr:uid="{00000000-0005-0000-0000-0000543E0000}"/>
    <cellStyle name="Normal 2 8 2 2 2" xfId="40653" xr:uid="{00000000-0005-0000-0000-0000553E0000}"/>
    <cellStyle name="Normal 2 8 2 3" xfId="13512" xr:uid="{00000000-0005-0000-0000-0000563E0000}"/>
    <cellStyle name="Normal 2 8 2 4" xfId="13513" xr:uid="{00000000-0005-0000-0000-0000573E0000}"/>
    <cellStyle name="Normal 2 8 2 5" xfId="13514" xr:uid="{00000000-0005-0000-0000-0000583E0000}"/>
    <cellStyle name="Normal 2 8 2 6" xfId="13515" xr:uid="{00000000-0005-0000-0000-0000593E0000}"/>
    <cellStyle name="Normal 2 8 2 7" xfId="13516" xr:uid="{00000000-0005-0000-0000-00005A3E0000}"/>
    <cellStyle name="Normal 2 8 3" xfId="13517" xr:uid="{00000000-0005-0000-0000-00005B3E0000}"/>
    <cellStyle name="Normal 2 8 3 2" xfId="40654" xr:uid="{00000000-0005-0000-0000-00005C3E0000}"/>
    <cellStyle name="Normal 2 8 4" xfId="13518" xr:uid="{00000000-0005-0000-0000-00005D3E0000}"/>
    <cellStyle name="Normal 2 8 4 2" xfId="40655" xr:uid="{00000000-0005-0000-0000-00005E3E0000}"/>
    <cellStyle name="Normal 2 8 5" xfId="13519" xr:uid="{00000000-0005-0000-0000-00005F3E0000}"/>
    <cellStyle name="Normal 2 8 5 2" xfId="41017" xr:uid="{00000000-0005-0000-0000-0000603E0000}"/>
    <cellStyle name="Normal 2 8 6" xfId="13520" xr:uid="{00000000-0005-0000-0000-0000613E0000}"/>
    <cellStyle name="Normal 2 8 6 2" xfId="41016" xr:uid="{00000000-0005-0000-0000-0000623E0000}"/>
    <cellStyle name="Normal 2 8 7" xfId="13521" xr:uid="{00000000-0005-0000-0000-0000633E0000}"/>
    <cellStyle name="Normal 2 8 8" xfId="13522" xr:uid="{00000000-0005-0000-0000-0000643E0000}"/>
    <cellStyle name="Normal 2 8 9" xfId="13523" xr:uid="{00000000-0005-0000-0000-0000653E0000}"/>
    <cellStyle name="Normal 2 80" xfId="13524" xr:uid="{00000000-0005-0000-0000-0000663E0000}"/>
    <cellStyle name="Normal 2 81" xfId="13525" xr:uid="{00000000-0005-0000-0000-0000673E0000}"/>
    <cellStyle name="Normal 2 82" xfId="13526" xr:uid="{00000000-0005-0000-0000-0000683E0000}"/>
    <cellStyle name="Normal 2 83" xfId="13527" xr:uid="{00000000-0005-0000-0000-0000693E0000}"/>
    <cellStyle name="Normal 2 84" xfId="13528" xr:uid="{00000000-0005-0000-0000-00006A3E0000}"/>
    <cellStyle name="Normal 2 85" xfId="13529" xr:uid="{00000000-0005-0000-0000-00006B3E0000}"/>
    <cellStyle name="Normal 2 86" xfId="13530" xr:uid="{00000000-0005-0000-0000-00006C3E0000}"/>
    <cellStyle name="Normal 2 87" xfId="13531" xr:uid="{00000000-0005-0000-0000-00006D3E0000}"/>
    <cellStyle name="Normal 2 88" xfId="13532" xr:uid="{00000000-0005-0000-0000-00006E3E0000}"/>
    <cellStyle name="Normal 2 89" xfId="13533" xr:uid="{00000000-0005-0000-0000-00006F3E0000}"/>
    <cellStyle name="Normal 2 9" xfId="13534" xr:uid="{00000000-0005-0000-0000-0000703E0000}"/>
    <cellStyle name="Normal 2 9 10" xfId="13535" xr:uid="{00000000-0005-0000-0000-0000713E0000}"/>
    <cellStyle name="Normal 2 9 11" xfId="13536" xr:uid="{00000000-0005-0000-0000-0000723E0000}"/>
    <cellStyle name="Normal 2 9 12" xfId="13537" xr:uid="{00000000-0005-0000-0000-0000733E0000}"/>
    <cellStyle name="Normal 2 9 13" xfId="40656" xr:uid="{00000000-0005-0000-0000-0000743E0000}"/>
    <cellStyle name="Normal 2 9 2" xfId="13538" xr:uid="{00000000-0005-0000-0000-0000753E0000}"/>
    <cellStyle name="Normal 2 9 2 2" xfId="13539" xr:uid="{00000000-0005-0000-0000-0000763E0000}"/>
    <cellStyle name="Normal 2 9 2 2 2" xfId="40657" xr:uid="{00000000-0005-0000-0000-0000773E0000}"/>
    <cellStyle name="Normal 2 9 2 3" xfId="13540" xr:uid="{00000000-0005-0000-0000-0000783E0000}"/>
    <cellStyle name="Normal 2 9 2 4" xfId="13541" xr:uid="{00000000-0005-0000-0000-0000793E0000}"/>
    <cellStyle name="Normal 2 9 2 5" xfId="13542" xr:uid="{00000000-0005-0000-0000-00007A3E0000}"/>
    <cellStyle name="Normal 2 9 2 6" xfId="13543" xr:uid="{00000000-0005-0000-0000-00007B3E0000}"/>
    <cellStyle name="Normal 2 9 2 7" xfId="13544" xr:uid="{00000000-0005-0000-0000-00007C3E0000}"/>
    <cellStyle name="Normal 2 9 3" xfId="13545" xr:uid="{00000000-0005-0000-0000-00007D3E0000}"/>
    <cellStyle name="Normal 2 9 3 2" xfId="40658" xr:uid="{00000000-0005-0000-0000-00007E3E0000}"/>
    <cellStyle name="Normal 2 9 4" xfId="13546" xr:uid="{00000000-0005-0000-0000-00007F3E0000}"/>
    <cellStyle name="Normal 2 9 4 2" xfId="40659" xr:uid="{00000000-0005-0000-0000-0000803E0000}"/>
    <cellStyle name="Normal 2 9 5" xfId="13547" xr:uid="{00000000-0005-0000-0000-0000813E0000}"/>
    <cellStyle name="Normal 2 9 6" xfId="13548" xr:uid="{00000000-0005-0000-0000-0000823E0000}"/>
    <cellStyle name="Normal 2 9 7" xfId="13549" xr:uid="{00000000-0005-0000-0000-0000833E0000}"/>
    <cellStyle name="Normal 2 9 8" xfId="13550" xr:uid="{00000000-0005-0000-0000-0000843E0000}"/>
    <cellStyle name="Normal 2 9 9" xfId="13551" xr:uid="{00000000-0005-0000-0000-0000853E0000}"/>
    <cellStyle name="Normal 2 90" xfId="13552" xr:uid="{00000000-0005-0000-0000-0000863E0000}"/>
    <cellStyle name="Normal 2 91" xfId="13553" xr:uid="{00000000-0005-0000-0000-0000873E0000}"/>
    <cellStyle name="Normal 2 92" xfId="13554" xr:uid="{00000000-0005-0000-0000-0000883E0000}"/>
    <cellStyle name="Normal 2 93" xfId="13555" xr:uid="{00000000-0005-0000-0000-0000893E0000}"/>
    <cellStyle name="Normal 2 94" xfId="13556" xr:uid="{00000000-0005-0000-0000-00008A3E0000}"/>
    <cellStyle name="Normal 2 95" xfId="13557" xr:uid="{00000000-0005-0000-0000-00008B3E0000}"/>
    <cellStyle name="Normal 2 96" xfId="13558" xr:uid="{00000000-0005-0000-0000-00008C3E0000}"/>
    <cellStyle name="Normal 2 97" xfId="13559" xr:uid="{00000000-0005-0000-0000-00008D3E0000}"/>
    <cellStyle name="Normal 2 98" xfId="13560" xr:uid="{00000000-0005-0000-0000-00008E3E0000}"/>
    <cellStyle name="Normal 2 99" xfId="13561" xr:uid="{00000000-0005-0000-0000-00008F3E0000}"/>
    <cellStyle name="Normal 20" xfId="13562" xr:uid="{00000000-0005-0000-0000-0000903E0000}"/>
    <cellStyle name="Normal 20 2" xfId="13563" xr:uid="{00000000-0005-0000-0000-0000913E0000}"/>
    <cellStyle name="Normal 20 3" xfId="13564" xr:uid="{00000000-0005-0000-0000-0000923E0000}"/>
    <cellStyle name="Normal 21" xfId="13565" xr:uid="{00000000-0005-0000-0000-0000933E0000}"/>
    <cellStyle name="Normal 21 2" xfId="13566" xr:uid="{00000000-0005-0000-0000-0000943E0000}"/>
    <cellStyle name="Normal 21 3" xfId="13567" xr:uid="{00000000-0005-0000-0000-0000953E0000}"/>
    <cellStyle name="Normal 22" xfId="13568" xr:uid="{00000000-0005-0000-0000-0000963E0000}"/>
    <cellStyle name="Normal 22 2" xfId="13569" xr:uid="{00000000-0005-0000-0000-0000973E0000}"/>
    <cellStyle name="Normal 22 3" xfId="13570" xr:uid="{00000000-0005-0000-0000-0000983E0000}"/>
    <cellStyle name="Normal 23" xfId="13571" xr:uid="{00000000-0005-0000-0000-0000993E0000}"/>
    <cellStyle name="Normal 23 2" xfId="13572" xr:uid="{00000000-0005-0000-0000-00009A3E0000}"/>
    <cellStyle name="Normal 24" xfId="13573" xr:uid="{00000000-0005-0000-0000-00009B3E0000}"/>
    <cellStyle name="Normal 24 2" xfId="13574" xr:uid="{00000000-0005-0000-0000-00009C3E0000}"/>
    <cellStyle name="Normal 25" xfId="13575" xr:uid="{00000000-0005-0000-0000-00009D3E0000}"/>
    <cellStyle name="Normal 25 2" xfId="13576" xr:uid="{00000000-0005-0000-0000-00009E3E0000}"/>
    <cellStyle name="Normal 26" xfId="13577" xr:uid="{00000000-0005-0000-0000-00009F3E0000}"/>
    <cellStyle name="Normal 26 2" xfId="13578" xr:uid="{00000000-0005-0000-0000-0000A03E0000}"/>
    <cellStyle name="Normal 26 3" xfId="13579" xr:uid="{00000000-0005-0000-0000-0000A13E0000}"/>
    <cellStyle name="Normal 27" xfId="13580" xr:uid="{00000000-0005-0000-0000-0000A23E0000}"/>
    <cellStyle name="Normal 27 2" xfId="13581" xr:uid="{00000000-0005-0000-0000-0000A33E0000}"/>
    <cellStyle name="Normal 28" xfId="13582" xr:uid="{00000000-0005-0000-0000-0000A43E0000}"/>
    <cellStyle name="Normal 28 2" xfId="13583" xr:uid="{00000000-0005-0000-0000-0000A53E0000}"/>
    <cellStyle name="Normal 29" xfId="13584" xr:uid="{00000000-0005-0000-0000-0000A63E0000}"/>
    <cellStyle name="Normal 29 10" xfId="13585" xr:uid="{00000000-0005-0000-0000-0000A73E0000}"/>
    <cellStyle name="Normal 29 11" xfId="13586" xr:uid="{00000000-0005-0000-0000-0000A83E0000}"/>
    <cellStyle name="Normal 29 12" xfId="13587" xr:uid="{00000000-0005-0000-0000-0000A93E0000}"/>
    <cellStyle name="Normal 29 13" xfId="13588" xr:uid="{00000000-0005-0000-0000-0000AA3E0000}"/>
    <cellStyle name="Normal 29 14" xfId="13589" xr:uid="{00000000-0005-0000-0000-0000AB3E0000}"/>
    <cellStyle name="Normal 29 15" xfId="13590" xr:uid="{00000000-0005-0000-0000-0000AC3E0000}"/>
    <cellStyle name="Normal 29 16" xfId="13591" xr:uid="{00000000-0005-0000-0000-0000AD3E0000}"/>
    <cellStyle name="Normal 29 17" xfId="13592" xr:uid="{00000000-0005-0000-0000-0000AE3E0000}"/>
    <cellStyle name="Normal 29 2" xfId="13593" xr:uid="{00000000-0005-0000-0000-0000AF3E0000}"/>
    <cellStyle name="Normal 29 3" xfId="13594" xr:uid="{00000000-0005-0000-0000-0000B03E0000}"/>
    <cellStyle name="Normal 29 4" xfId="13595" xr:uid="{00000000-0005-0000-0000-0000B13E0000}"/>
    <cellStyle name="Normal 29 5" xfId="13596" xr:uid="{00000000-0005-0000-0000-0000B23E0000}"/>
    <cellStyle name="Normal 29 6" xfId="13597" xr:uid="{00000000-0005-0000-0000-0000B33E0000}"/>
    <cellStyle name="Normal 29 7" xfId="13598" xr:uid="{00000000-0005-0000-0000-0000B43E0000}"/>
    <cellStyle name="Normal 29 8" xfId="13599" xr:uid="{00000000-0005-0000-0000-0000B53E0000}"/>
    <cellStyle name="Normal 29 9" xfId="13600" xr:uid="{00000000-0005-0000-0000-0000B63E0000}"/>
    <cellStyle name="Normal 3" xfId="13601" xr:uid="{00000000-0005-0000-0000-0000B73E0000}"/>
    <cellStyle name="Normal 3 10" xfId="13602" xr:uid="{00000000-0005-0000-0000-0000B83E0000}"/>
    <cellStyle name="Normal 3 10 10" xfId="13603" xr:uid="{00000000-0005-0000-0000-0000B93E0000}"/>
    <cellStyle name="Normal 3 10 11" xfId="13604" xr:uid="{00000000-0005-0000-0000-0000BA3E0000}"/>
    <cellStyle name="Normal 3 10 12" xfId="13605" xr:uid="{00000000-0005-0000-0000-0000BB3E0000}"/>
    <cellStyle name="Normal 3 10 13" xfId="13606" xr:uid="{00000000-0005-0000-0000-0000BC3E0000}"/>
    <cellStyle name="Normal 3 10 14" xfId="13607" xr:uid="{00000000-0005-0000-0000-0000BD3E0000}"/>
    <cellStyle name="Normal 3 10 15" xfId="13608" xr:uid="{00000000-0005-0000-0000-0000BE3E0000}"/>
    <cellStyle name="Normal 3 10 16" xfId="13609" xr:uid="{00000000-0005-0000-0000-0000BF3E0000}"/>
    <cellStyle name="Normal 3 10 17" xfId="13610" xr:uid="{00000000-0005-0000-0000-0000C03E0000}"/>
    <cellStyle name="Normal 3 10 18" xfId="13611" xr:uid="{00000000-0005-0000-0000-0000C13E0000}"/>
    <cellStyle name="Normal 3 10 19" xfId="13612" xr:uid="{00000000-0005-0000-0000-0000C23E0000}"/>
    <cellStyle name="Normal 3 10 2" xfId="13613" xr:uid="{00000000-0005-0000-0000-0000C33E0000}"/>
    <cellStyle name="Normal 3 10 2 10" xfId="13614" xr:uid="{00000000-0005-0000-0000-0000C43E0000}"/>
    <cellStyle name="Normal 3 10 2 11" xfId="13615" xr:uid="{00000000-0005-0000-0000-0000C53E0000}"/>
    <cellStyle name="Normal 3 10 2 12" xfId="13616" xr:uid="{00000000-0005-0000-0000-0000C63E0000}"/>
    <cellStyle name="Normal 3 10 2 13" xfId="13617" xr:uid="{00000000-0005-0000-0000-0000C73E0000}"/>
    <cellStyle name="Normal 3 10 2 14" xfId="13618" xr:uid="{00000000-0005-0000-0000-0000C83E0000}"/>
    <cellStyle name="Normal 3 10 2 15" xfId="13619" xr:uid="{00000000-0005-0000-0000-0000C93E0000}"/>
    <cellStyle name="Normal 3 10 2 16" xfId="13620" xr:uid="{00000000-0005-0000-0000-0000CA3E0000}"/>
    <cellStyle name="Normal 3 10 2 17" xfId="40660" xr:uid="{00000000-0005-0000-0000-0000CB3E0000}"/>
    <cellStyle name="Normal 3 10 2 2" xfId="13621" xr:uid="{00000000-0005-0000-0000-0000CC3E0000}"/>
    <cellStyle name="Normal 3 10 2 3" xfId="13622" xr:uid="{00000000-0005-0000-0000-0000CD3E0000}"/>
    <cellStyle name="Normal 3 10 2 4" xfId="13623" xr:uid="{00000000-0005-0000-0000-0000CE3E0000}"/>
    <cellStyle name="Normal 3 10 2 5" xfId="13624" xr:uid="{00000000-0005-0000-0000-0000CF3E0000}"/>
    <cellStyle name="Normal 3 10 2 6" xfId="13625" xr:uid="{00000000-0005-0000-0000-0000D03E0000}"/>
    <cellStyle name="Normal 3 10 2 7" xfId="13626" xr:uid="{00000000-0005-0000-0000-0000D13E0000}"/>
    <cellStyle name="Normal 3 10 2 8" xfId="13627" xr:uid="{00000000-0005-0000-0000-0000D23E0000}"/>
    <cellStyle name="Normal 3 10 2 9" xfId="13628" xr:uid="{00000000-0005-0000-0000-0000D33E0000}"/>
    <cellStyle name="Normal 3 10 20" xfId="13629" xr:uid="{00000000-0005-0000-0000-0000D43E0000}"/>
    <cellStyle name="Normal 3 10 3" xfId="13630" xr:uid="{00000000-0005-0000-0000-0000D53E0000}"/>
    <cellStyle name="Normal 3 10 3 2" xfId="13631" xr:uid="{00000000-0005-0000-0000-0000D63E0000}"/>
    <cellStyle name="Normal 3 10 3 3" xfId="40661" xr:uid="{00000000-0005-0000-0000-0000D73E0000}"/>
    <cellStyle name="Normal 3 10 4" xfId="13632" xr:uid="{00000000-0005-0000-0000-0000D83E0000}"/>
    <cellStyle name="Normal 3 10 4 2" xfId="13633" xr:uid="{00000000-0005-0000-0000-0000D93E0000}"/>
    <cellStyle name="Normal 3 10 4 3" xfId="40662" xr:uid="{00000000-0005-0000-0000-0000DA3E0000}"/>
    <cellStyle name="Normal 3 10 5" xfId="13634" xr:uid="{00000000-0005-0000-0000-0000DB3E0000}"/>
    <cellStyle name="Normal 3 10 5 2" xfId="13635" xr:uid="{00000000-0005-0000-0000-0000DC3E0000}"/>
    <cellStyle name="Normal 3 10 6" xfId="13636" xr:uid="{00000000-0005-0000-0000-0000DD3E0000}"/>
    <cellStyle name="Normal 3 10 6 2" xfId="13637" xr:uid="{00000000-0005-0000-0000-0000DE3E0000}"/>
    <cellStyle name="Normal 3 10 7" xfId="13638" xr:uid="{00000000-0005-0000-0000-0000DF3E0000}"/>
    <cellStyle name="Normal 3 10 8" xfId="13639" xr:uid="{00000000-0005-0000-0000-0000E03E0000}"/>
    <cellStyle name="Normal 3 10 9" xfId="13640" xr:uid="{00000000-0005-0000-0000-0000E13E0000}"/>
    <cellStyle name="Normal 3 11" xfId="13641" xr:uid="{00000000-0005-0000-0000-0000E23E0000}"/>
    <cellStyle name="Normal 3 11 10" xfId="13642" xr:uid="{00000000-0005-0000-0000-0000E33E0000}"/>
    <cellStyle name="Normal 3 11 11" xfId="13643" xr:uid="{00000000-0005-0000-0000-0000E43E0000}"/>
    <cellStyle name="Normal 3 11 12" xfId="13644" xr:uid="{00000000-0005-0000-0000-0000E53E0000}"/>
    <cellStyle name="Normal 3 11 13" xfId="13645" xr:uid="{00000000-0005-0000-0000-0000E63E0000}"/>
    <cellStyle name="Normal 3 11 14" xfId="13646" xr:uid="{00000000-0005-0000-0000-0000E73E0000}"/>
    <cellStyle name="Normal 3 11 15" xfId="13647" xr:uid="{00000000-0005-0000-0000-0000E83E0000}"/>
    <cellStyle name="Normal 3 11 16" xfId="13648" xr:uid="{00000000-0005-0000-0000-0000E93E0000}"/>
    <cellStyle name="Normal 3 11 17" xfId="13649" xr:uid="{00000000-0005-0000-0000-0000EA3E0000}"/>
    <cellStyle name="Normal 3 11 18" xfId="13650" xr:uid="{00000000-0005-0000-0000-0000EB3E0000}"/>
    <cellStyle name="Normal 3 11 19" xfId="13651" xr:uid="{00000000-0005-0000-0000-0000EC3E0000}"/>
    <cellStyle name="Normal 3 11 2" xfId="13652" xr:uid="{00000000-0005-0000-0000-0000ED3E0000}"/>
    <cellStyle name="Normal 3 11 2 10" xfId="13653" xr:uid="{00000000-0005-0000-0000-0000EE3E0000}"/>
    <cellStyle name="Normal 3 11 2 11" xfId="13654" xr:uid="{00000000-0005-0000-0000-0000EF3E0000}"/>
    <cellStyle name="Normal 3 11 2 12" xfId="13655" xr:uid="{00000000-0005-0000-0000-0000F03E0000}"/>
    <cellStyle name="Normal 3 11 2 13" xfId="13656" xr:uid="{00000000-0005-0000-0000-0000F13E0000}"/>
    <cellStyle name="Normal 3 11 2 14" xfId="13657" xr:uid="{00000000-0005-0000-0000-0000F23E0000}"/>
    <cellStyle name="Normal 3 11 2 15" xfId="13658" xr:uid="{00000000-0005-0000-0000-0000F33E0000}"/>
    <cellStyle name="Normal 3 11 2 16" xfId="13659" xr:uid="{00000000-0005-0000-0000-0000F43E0000}"/>
    <cellStyle name="Normal 3 11 2 17" xfId="40663" xr:uid="{00000000-0005-0000-0000-0000F53E0000}"/>
    <cellStyle name="Normal 3 11 2 2" xfId="13660" xr:uid="{00000000-0005-0000-0000-0000F63E0000}"/>
    <cellStyle name="Normal 3 11 2 3" xfId="13661" xr:uid="{00000000-0005-0000-0000-0000F73E0000}"/>
    <cellStyle name="Normal 3 11 2 4" xfId="13662" xr:uid="{00000000-0005-0000-0000-0000F83E0000}"/>
    <cellStyle name="Normal 3 11 2 5" xfId="13663" xr:uid="{00000000-0005-0000-0000-0000F93E0000}"/>
    <cellStyle name="Normal 3 11 2 6" xfId="13664" xr:uid="{00000000-0005-0000-0000-0000FA3E0000}"/>
    <cellStyle name="Normal 3 11 2 7" xfId="13665" xr:uid="{00000000-0005-0000-0000-0000FB3E0000}"/>
    <cellStyle name="Normal 3 11 2 8" xfId="13666" xr:uid="{00000000-0005-0000-0000-0000FC3E0000}"/>
    <cellStyle name="Normal 3 11 2 9" xfId="13667" xr:uid="{00000000-0005-0000-0000-0000FD3E0000}"/>
    <cellStyle name="Normal 3 11 20" xfId="13668" xr:uid="{00000000-0005-0000-0000-0000FE3E0000}"/>
    <cellStyle name="Normal 3 11 3" xfId="13669" xr:uid="{00000000-0005-0000-0000-0000FF3E0000}"/>
    <cellStyle name="Normal 3 11 3 2" xfId="13670" xr:uid="{00000000-0005-0000-0000-0000003F0000}"/>
    <cellStyle name="Normal 3 11 3 3" xfId="40664" xr:uid="{00000000-0005-0000-0000-0000013F0000}"/>
    <cellStyle name="Normal 3 11 4" xfId="13671" xr:uid="{00000000-0005-0000-0000-0000023F0000}"/>
    <cellStyle name="Normal 3 11 4 2" xfId="13672" xr:uid="{00000000-0005-0000-0000-0000033F0000}"/>
    <cellStyle name="Normal 3 11 4 3" xfId="40665" xr:uid="{00000000-0005-0000-0000-0000043F0000}"/>
    <cellStyle name="Normal 3 11 5" xfId="13673" xr:uid="{00000000-0005-0000-0000-0000053F0000}"/>
    <cellStyle name="Normal 3 11 5 2" xfId="13674" xr:uid="{00000000-0005-0000-0000-0000063F0000}"/>
    <cellStyle name="Normal 3 11 6" xfId="13675" xr:uid="{00000000-0005-0000-0000-0000073F0000}"/>
    <cellStyle name="Normal 3 11 6 2" xfId="13676" xr:uid="{00000000-0005-0000-0000-0000083F0000}"/>
    <cellStyle name="Normal 3 11 7" xfId="13677" xr:uid="{00000000-0005-0000-0000-0000093F0000}"/>
    <cellStyle name="Normal 3 11 8" xfId="13678" xr:uid="{00000000-0005-0000-0000-00000A3F0000}"/>
    <cellStyle name="Normal 3 11 9" xfId="13679" xr:uid="{00000000-0005-0000-0000-00000B3F0000}"/>
    <cellStyle name="Normal 3 12" xfId="13680" xr:uid="{00000000-0005-0000-0000-00000C3F0000}"/>
    <cellStyle name="Normal 3 12 2" xfId="13681" xr:uid="{00000000-0005-0000-0000-00000D3F0000}"/>
    <cellStyle name="Normal 3 12 3" xfId="13682" xr:uid="{00000000-0005-0000-0000-00000E3F0000}"/>
    <cellStyle name="Normal 3 12 4" xfId="13683" xr:uid="{00000000-0005-0000-0000-00000F3F0000}"/>
    <cellStyle name="Normal 3 12 5" xfId="13684" xr:uid="{00000000-0005-0000-0000-0000103F0000}"/>
    <cellStyle name="Normal 3 13" xfId="13685" xr:uid="{00000000-0005-0000-0000-0000113F0000}"/>
    <cellStyle name="Normal 3 13 2" xfId="13686" xr:uid="{00000000-0005-0000-0000-0000123F0000}"/>
    <cellStyle name="Normal 3 13 3" xfId="13687" xr:uid="{00000000-0005-0000-0000-0000133F0000}"/>
    <cellStyle name="Normal 3 13 4" xfId="13688" xr:uid="{00000000-0005-0000-0000-0000143F0000}"/>
    <cellStyle name="Normal 3 13 5" xfId="13689" xr:uid="{00000000-0005-0000-0000-0000153F0000}"/>
    <cellStyle name="Normal 3 14" xfId="13690" xr:uid="{00000000-0005-0000-0000-0000163F0000}"/>
    <cellStyle name="Normal 3 14 2" xfId="13691" xr:uid="{00000000-0005-0000-0000-0000173F0000}"/>
    <cellStyle name="Normal 3 14 2 10" xfId="13692" xr:uid="{00000000-0005-0000-0000-0000183F0000}"/>
    <cellStyle name="Normal 3 14 2 11" xfId="13693" xr:uid="{00000000-0005-0000-0000-0000193F0000}"/>
    <cellStyle name="Normal 3 14 2 12" xfId="13694" xr:uid="{00000000-0005-0000-0000-00001A3F0000}"/>
    <cellStyle name="Normal 3 14 2 13" xfId="13695" xr:uid="{00000000-0005-0000-0000-00001B3F0000}"/>
    <cellStyle name="Normal 3 14 2 14" xfId="13696" xr:uid="{00000000-0005-0000-0000-00001C3F0000}"/>
    <cellStyle name="Normal 3 14 2 15" xfId="13697" xr:uid="{00000000-0005-0000-0000-00001D3F0000}"/>
    <cellStyle name="Normal 3 14 2 2" xfId="13698" xr:uid="{00000000-0005-0000-0000-00001E3F0000}"/>
    <cellStyle name="Normal 3 14 2 3" xfId="13699" xr:uid="{00000000-0005-0000-0000-00001F3F0000}"/>
    <cellStyle name="Normal 3 14 2 4" xfId="13700" xr:uid="{00000000-0005-0000-0000-0000203F0000}"/>
    <cellStyle name="Normal 3 14 2 5" xfId="13701" xr:uid="{00000000-0005-0000-0000-0000213F0000}"/>
    <cellStyle name="Normal 3 14 2 6" xfId="13702" xr:uid="{00000000-0005-0000-0000-0000223F0000}"/>
    <cellStyle name="Normal 3 14 2 7" xfId="13703" xr:uid="{00000000-0005-0000-0000-0000233F0000}"/>
    <cellStyle name="Normal 3 14 2 8" xfId="13704" xr:uid="{00000000-0005-0000-0000-0000243F0000}"/>
    <cellStyle name="Normal 3 14 2 9" xfId="13705" xr:uid="{00000000-0005-0000-0000-0000253F0000}"/>
    <cellStyle name="Normal 3 14 3" xfId="13706" xr:uid="{00000000-0005-0000-0000-0000263F0000}"/>
    <cellStyle name="Normal 3 14 3 10" xfId="13707" xr:uid="{00000000-0005-0000-0000-0000273F0000}"/>
    <cellStyle name="Normal 3 14 3 11" xfId="13708" xr:uid="{00000000-0005-0000-0000-0000283F0000}"/>
    <cellStyle name="Normal 3 14 3 12" xfId="13709" xr:uid="{00000000-0005-0000-0000-0000293F0000}"/>
    <cellStyle name="Normal 3 14 3 13" xfId="13710" xr:uid="{00000000-0005-0000-0000-00002A3F0000}"/>
    <cellStyle name="Normal 3 14 3 14" xfId="13711" xr:uid="{00000000-0005-0000-0000-00002B3F0000}"/>
    <cellStyle name="Normal 3 14 3 15" xfId="13712" xr:uid="{00000000-0005-0000-0000-00002C3F0000}"/>
    <cellStyle name="Normal 3 14 3 2" xfId="13713" xr:uid="{00000000-0005-0000-0000-00002D3F0000}"/>
    <cellStyle name="Normal 3 14 3 3" xfId="13714" xr:uid="{00000000-0005-0000-0000-00002E3F0000}"/>
    <cellStyle name="Normal 3 14 3 4" xfId="13715" xr:uid="{00000000-0005-0000-0000-00002F3F0000}"/>
    <cellStyle name="Normal 3 14 3 5" xfId="13716" xr:uid="{00000000-0005-0000-0000-0000303F0000}"/>
    <cellStyle name="Normal 3 14 3 6" xfId="13717" xr:uid="{00000000-0005-0000-0000-0000313F0000}"/>
    <cellStyle name="Normal 3 14 3 7" xfId="13718" xr:uid="{00000000-0005-0000-0000-0000323F0000}"/>
    <cellStyle name="Normal 3 14 3 8" xfId="13719" xr:uid="{00000000-0005-0000-0000-0000333F0000}"/>
    <cellStyle name="Normal 3 14 3 9" xfId="13720" xr:uid="{00000000-0005-0000-0000-0000343F0000}"/>
    <cellStyle name="Normal 3 14 4" xfId="13721" xr:uid="{00000000-0005-0000-0000-0000353F0000}"/>
    <cellStyle name="Normal 3 14 4 10" xfId="13722" xr:uid="{00000000-0005-0000-0000-0000363F0000}"/>
    <cellStyle name="Normal 3 14 4 11" xfId="13723" xr:uid="{00000000-0005-0000-0000-0000373F0000}"/>
    <cellStyle name="Normal 3 14 4 12" xfId="13724" xr:uid="{00000000-0005-0000-0000-0000383F0000}"/>
    <cellStyle name="Normal 3 14 4 13" xfId="13725" xr:uid="{00000000-0005-0000-0000-0000393F0000}"/>
    <cellStyle name="Normal 3 14 4 14" xfId="13726" xr:uid="{00000000-0005-0000-0000-00003A3F0000}"/>
    <cellStyle name="Normal 3 14 4 15" xfId="13727" xr:uid="{00000000-0005-0000-0000-00003B3F0000}"/>
    <cellStyle name="Normal 3 14 4 2" xfId="13728" xr:uid="{00000000-0005-0000-0000-00003C3F0000}"/>
    <cellStyle name="Normal 3 14 4 3" xfId="13729" xr:uid="{00000000-0005-0000-0000-00003D3F0000}"/>
    <cellStyle name="Normal 3 14 4 4" xfId="13730" xr:uid="{00000000-0005-0000-0000-00003E3F0000}"/>
    <cellStyle name="Normal 3 14 4 5" xfId="13731" xr:uid="{00000000-0005-0000-0000-00003F3F0000}"/>
    <cellStyle name="Normal 3 14 4 6" xfId="13732" xr:uid="{00000000-0005-0000-0000-0000403F0000}"/>
    <cellStyle name="Normal 3 14 4 7" xfId="13733" xr:uid="{00000000-0005-0000-0000-0000413F0000}"/>
    <cellStyle name="Normal 3 14 4 8" xfId="13734" xr:uid="{00000000-0005-0000-0000-0000423F0000}"/>
    <cellStyle name="Normal 3 14 4 9" xfId="13735" xr:uid="{00000000-0005-0000-0000-0000433F0000}"/>
    <cellStyle name="Normal 3 14 5" xfId="13736" xr:uid="{00000000-0005-0000-0000-0000443F0000}"/>
    <cellStyle name="Normal 3 14 5 10" xfId="13737" xr:uid="{00000000-0005-0000-0000-0000453F0000}"/>
    <cellStyle name="Normal 3 14 5 11" xfId="13738" xr:uid="{00000000-0005-0000-0000-0000463F0000}"/>
    <cellStyle name="Normal 3 14 5 12" xfId="13739" xr:uid="{00000000-0005-0000-0000-0000473F0000}"/>
    <cellStyle name="Normal 3 14 5 13" xfId="13740" xr:uid="{00000000-0005-0000-0000-0000483F0000}"/>
    <cellStyle name="Normal 3 14 5 14" xfId="13741" xr:uid="{00000000-0005-0000-0000-0000493F0000}"/>
    <cellStyle name="Normal 3 14 5 15" xfId="13742" xr:uid="{00000000-0005-0000-0000-00004A3F0000}"/>
    <cellStyle name="Normal 3 14 5 2" xfId="13743" xr:uid="{00000000-0005-0000-0000-00004B3F0000}"/>
    <cellStyle name="Normal 3 14 5 3" xfId="13744" xr:uid="{00000000-0005-0000-0000-00004C3F0000}"/>
    <cellStyle name="Normal 3 14 5 4" xfId="13745" xr:uid="{00000000-0005-0000-0000-00004D3F0000}"/>
    <cellStyle name="Normal 3 14 5 5" xfId="13746" xr:uid="{00000000-0005-0000-0000-00004E3F0000}"/>
    <cellStyle name="Normal 3 14 5 6" xfId="13747" xr:uid="{00000000-0005-0000-0000-00004F3F0000}"/>
    <cellStyle name="Normal 3 14 5 7" xfId="13748" xr:uid="{00000000-0005-0000-0000-0000503F0000}"/>
    <cellStyle name="Normal 3 14 5 8" xfId="13749" xr:uid="{00000000-0005-0000-0000-0000513F0000}"/>
    <cellStyle name="Normal 3 14 5 9" xfId="13750" xr:uid="{00000000-0005-0000-0000-0000523F0000}"/>
    <cellStyle name="Normal 3 15" xfId="13751" xr:uid="{00000000-0005-0000-0000-0000533F0000}"/>
    <cellStyle name="Normal 3 15 2" xfId="13752" xr:uid="{00000000-0005-0000-0000-0000543F0000}"/>
    <cellStyle name="Normal 3 15 2 10" xfId="13753" xr:uid="{00000000-0005-0000-0000-0000553F0000}"/>
    <cellStyle name="Normal 3 15 2 11" xfId="13754" xr:uid="{00000000-0005-0000-0000-0000563F0000}"/>
    <cellStyle name="Normal 3 15 2 12" xfId="13755" xr:uid="{00000000-0005-0000-0000-0000573F0000}"/>
    <cellStyle name="Normal 3 15 2 13" xfId="13756" xr:uid="{00000000-0005-0000-0000-0000583F0000}"/>
    <cellStyle name="Normal 3 15 2 14" xfId="13757" xr:uid="{00000000-0005-0000-0000-0000593F0000}"/>
    <cellStyle name="Normal 3 15 2 15" xfId="13758" xr:uid="{00000000-0005-0000-0000-00005A3F0000}"/>
    <cellStyle name="Normal 3 15 2 2" xfId="13759" xr:uid="{00000000-0005-0000-0000-00005B3F0000}"/>
    <cellStyle name="Normal 3 15 2 3" xfId="13760" xr:uid="{00000000-0005-0000-0000-00005C3F0000}"/>
    <cellStyle name="Normal 3 15 2 4" xfId="13761" xr:uid="{00000000-0005-0000-0000-00005D3F0000}"/>
    <cellStyle name="Normal 3 15 2 5" xfId="13762" xr:uid="{00000000-0005-0000-0000-00005E3F0000}"/>
    <cellStyle name="Normal 3 15 2 6" xfId="13763" xr:uid="{00000000-0005-0000-0000-00005F3F0000}"/>
    <cellStyle name="Normal 3 15 2 7" xfId="13764" xr:uid="{00000000-0005-0000-0000-0000603F0000}"/>
    <cellStyle name="Normal 3 15 2 8" xfId="13765" xr:uid="{00000000-0005-0000-0000-0000613F0000}"/>
    <cellStyle name="Normal 3 15 2 9" xfId="13766" xr:uid="{00000000-0005-0000-0000-0000623F0000}"/>
    <cellStyle name="Normal 3 15 3" xfId="13767" xr:uid="{00000000-0005-0000-0000-0000633F0000}"/>
    <cellStyle name="Normal 3 15 3 10" xfId="13768" xr:uid="{00000000-0005-0000-0000-0000643F0000}"/>
    <cellStyle name="Normal 3 15 3 11" xfId="13769" xr:uid="{00000000-0005-0000-0000-0000653F0000}"/>
    <cellStyle name="Normal 3 15 3 12" xfId="13770" xr:uid="{00000000-0005-0000-0000-0000663F0000}"/>
    <cellStyle name="Normal 3 15 3 13" xfId="13771" xr:uid="{00000000-0005-0000-0000-0000673F0000}"/>
    <cellStyle name="Normal 3 15 3 14" xfId="13772" xr:uid="{00000000-0005-0000-0000-0000683F0000}"/>
    <cellStyle name="Normal 3 15 3 15" xfId="13773" xr:uid="{00000000-0005-0000-0000-0000693F0000}"/>
    <cellStyle name="Normal 3 15 3 2" xfId="13774" xr:uid="{00000000-0005-0000-0000-00006A3F0000}"/>
    <cellStyle name="Normal 3 15 3 3" xfId="13775" xr:uid="{00000000-0005-0000-0000-00006B3F0000}"/>
    <cellStyle name="Normal 3 15 3 4" xfId="13776" xr:uid="{00000000-0005-0000-0000-00006C3F0000}"/>
    <cellStyle name="Normal 3 15 3 5" xfId="13777" xr:uid="{00000000-0005-0000-0000-00006D3F0000}"/>
    <cellStyle name="Normal 3 15 3 6" xfId="13778" xr:uid="{00000000-0005-0000-0000-00006E3F0000}"/>
    <cellStyle name="Normal 3 15 3 7" xfId="13779" xr:uid="{00000000-0005-0000-0000-00006F3F0000}"/>
    <cellStyle name="Normal 3 15 3 8" xfId="13780" xr:uid="{00000000-0005-0000-0000-0000703F0000}"/>
    <cellStyle name="Normal 3 15 3 9" xfId="13781" xr:uid="{00000000-0005-0000-0000-0000713F0000}"/>
    <cellStyle name="Normal 3 15 4" xfId="13782" xr:uid="{00000000-0005-0000-0000-0000723F0000}"/>
    <cellStyle name="Normal 3 15 4 10" xfId="13783" xr:uid="{00000000-0005-0000-0000-0000733F0000}"/>
    <cellStyle name="Normal 3 15 4 11" xfId="13784" xr:uid="{00000000-0005-0000-0000-0000743F0000}"/>
    <cellStyle name="Normal 3 15 4 12" xfId="13785" xr:uid="{00000000-0005-0000-0000-0000753F0000}"/>
    <cellStyle name="Normal 3 15 4 13" xfId="13786" xr:uid="{00000000-0005-0000-0000-0000763F0000}"/>
    <cellStyle name="Normal 3 15 4 14" xfId="13787" xr:uid="{00000000-0005-0000-0000-0000773F0000}"/>
    <cellStyle name="Normal 3 15 4 15" xfId="13788" xr:uid="{00000000-0005-0000-0000-0000783F0000}"/>
    <cellStyle name="Normal 3 15 4 2" xfId="13789" xr:uid="{00000000-0005-0000-0000-0000793F0000}"/>
    <cellStyle name="Normal 3 15 4 3" xfId="13790" xr:uid="{00000000-0005-0000-0000-00007A3F0000}"/>
    <cellStyle name="Normal 3 15 4 4" xfId="13791" xr:uid="{00000000-0005-0000-0000-00007B3F0000}"/>
    <cellStyle name="Normal 3 15 4 5" xfId="13792" xr:uid="{00000000-0005-0000-0000-00007C3F0000}"/>
    <cellStyle name="Normal 3 15 4 6" xfId="13793" xr:uid="{00000000-0005-0000-0000-00007D3F0000}"/>
    <cellStyle name="Normal 3 15 4 7" xfId="13794" xr:uid="{00000000-0005-0000-0000-00007E3F0000}"/>
    <cellStyle name="Normal 3 15 4 8" xfId="13795" xr:uid="{00000000-0005-0000-0000-00007F3F0000}"/>
    <cellStyle name="Normal 3 15 4 9" xfId="13796" xr:uid="{00000000-0005-0000-0000-0000803F0000}"/>
    <cellStyle name="Normal 3 15 5" xfId="13797" xr:uid="{00000000-0005-0000-0000-0000813F0000}"/>
    <cellStyle name="Normal 3 15 5 10" xfId="13798" xr:uid="{00000000-0005-0000-0000-0000823F0000}"/>
    <cellStyle name="Normal 3 15 5 11" xfId="13799" xr:uid="{00000000-0005-0000-0000-0000833F0000}"/>
    <cellStyle name="Normal 3 15 5 12" xfId="13800" xr:uid="{00000000-0005-0000-0000-0000843F0000}"/>
    <cellStyle name="Normal 3 15 5 13" xfId="13801" xr:uid="{00000000-0005-0000-0000-0000853F0000}"/>
    <cellStyle name="Normal 3 15 5 14" xfId="13802" xr:uid="{00000000-0005-0000-0000-0000863F0000}"/>
    <cellStyle name="Normal 3 15 5 15" xfId="13803" xr:uid="{00000000-0005-0000-0000-0000873F0000}"/>
    <cellStyle name="Normal 3 15 5 2" xfId="13804" xr:uid="{00000000-0005-0000-0000-0000883F0000}"/>
    <cellStyle name="Normal 3 15 5 3" xfId="13805" xr:uid="{00000000-0005-0000-0000-0000893F0000}"/>
    <cellStyle name="Normal 3 15 5 4" xfId="13806" xr:uid="{00000000-0005-0000-0000-00008A3F0000}"/>
    <cellStyle name="Normal 3 15 5 5" xfId="13807" xr:uid="{00000000-0005-0000-0000-00008B3F0000}"/>
    <cellStyle name="Normal 3 15 5 6" xfId="13808" xr:uid="{00000000-0005-0000-0000-00008C3F0000}"/>
    <cellStyle name="Normal 3 15 5 7" xfId="13809" xr:uid="{00000000-0005-0000-0000-00008D3F0000}"/>
    <cellStyle name="Normal 3 15 5 8" xfId="13810" xr:uid="{00000000-0005-0000-0000-00008E3F0000}"/>
    <cellStyle name="Normal 3 15 5 9" xfId="13811" xr:uid="{00000000-0005-0000-0000-00008F3F0000}"/>
    <cellStyle name="Normal 3 16" xfId="13812" xr:uid="{00000000-0005-0000-0000-0000903F0000}"/>
    <cellStyle name="Normal 3 16 2" xfId="13813" xr:uid="{00000000-0005-0000-0000-0000913F0000}"/>
    <cellStyle name="Normal 3 16 2 10" xfId="13814" xr:uid="{00000000-0005-0000-0000-0000923F0000}"/>
    <cellStyle name="Normal 3 16 2 11" xfId="13815" xr:uid="{00000000-0005-0000-0000-0000933F0000}"/>
    <cellStyle name="Normal 3 16 2 12" xfId="13816" xr:uid="{00000000-0005-0000-0000-0000943F0000}"/>
    <cellStyle name="Normal 3 16 2 13" xfId="13817" xr:uid="{00000000-0005-0000-0000-0000953F0000}"/>
    <cellStyle name="Normal 3 16 2 14" xfId="13818" xr:uid="{00000000-0005-0000-0000-0000963F0000}"/>
    <cellStyle name="Normal 3 16 2 15" xfId="13819" xr:uid="{00000000-0005-0000-0000-0000973F0000}"/>
    <cellStyle name="Normal 3 16 2 2" xfId="13820" xr:uid="{00000000-0005-0000-0000-0000983F0000}"/>
    <cellStyle name="Normal 3 16 2 3" xfId="13821" xr:uid="{00000000-0005-0000-0000-0000993F0000}"/>
    <cellStyle name="Normal 3 16 2 4" xfId="13822" xr:uid="{00000000-0005-0000-0000-00009A3F0000}"/>
    <cellStyle name="Normal 3 16 2 5" xfId="13823" xr:uid="{00000000-0005-0000-0000-00009B3F0000}"/>
    <cellStyle name="Normal 3 16 2 6" xfId="13824" xr:uid="{00000000-0005-0000-0000-00009C3F0000}"/>
    <cellStyle name="Normal 3 16 2 7" xfId="13825" xr:uid="{00000000-0005-0000-0000-00009D3F0000}"/>
    <cellStyle name="Normal 3 16 2 8" xfId="13826" xr:uid="{00000000-0005-0000-0000-00009E3F0000}"/>
    <cellStyle name="Normal 3 16 2 9" xfId="13827" xr:uid="{00000000-0005-0000-0000-00009F3F0000}"/>
    <cellStyle name="Normal 3 16 3" xfId="13828" xr:uid="{00000000-0005-0000-0000-0000A03F0000}"/>
    <cellStyle name="Normal 3 16 3 10" xfId="13829" xr:uid="{00000000-0005-0000-0000-0000A13F0000}"/>
    <cellStyle name="Normal 3 16 3 11" xfId="13830" xr:uid="{00000000-0005-0000-0000-0000A23F0000}"/>
    <cellStyle name="Normal 3 16 3 12" xfId="13831" xr:uid="{00000000-0005-0000-0000-0000A33F0000}"/>
    <cellStyle name="Normal 3 16 3 13" xfId="13832" xr:uid="{00000000-0005-0000-0000-0000A43F0000}"/>
    <cellStyle name="Normal 3 16 3 14" xfId="13833" xr:uid="{00000000-0005-0000-0000-0000A53F0000}"/>
    <cellStyle name="Normal 3 16 3 15" xfId="13834" xr:uid="{00000000-0005-0000-0000-0000A63F0000}"/>
    <cellStyle name="Normal 3 16 3 2" xfId="13835" xr:uid="{00000000-0005-0000-0000-0000A73F0000}"/>
    <cellStyle name="Normal 3 16 3 3" xfId="13836" xr:uid="{00000000-0005-0000-0000-0000A83F0000}"/>
    <cellStyle name="Normal 3 16 3 4" xfId="13837" xr:uid="{00000000-0005-0000-0000-0000A93F0000}"/>
    <cellStyle name="Normal 3 16 3 5" xfId="13838" xr:uid="{00000000-0005-0000-0000-0000AA3F0000}"/>
    <cellStyle name="Normal 3 16 3 6" xfId="13839" xr:uid="{00000000-0005-0000-0000-0000AB3F0000}"/>
    <cellStyle name="Normal 3 16 3 7" xfId="13840" xr:uid="{00000000-0005-0000-0000-0000AC3F0000}"/>
    <cellStyle name="Normal 3 16 3 8" xfId="13841" xr:uid="{00000000-0005-0000-0000-0000AD3F0000}"/>
    <cellStyle name="Normal 3 16 3 9" xfId="13842" xr:uid="{00000000-0005-0000-0000-0000AE3F0000}"/>
    <cellStyle name="Normal 3 16 4" xfId="13843" xr:uid="{00000000-0005-0000-0000-0000AF3F0000}"/>
    <cellStyle name="Normal 3 16 4 10" xfId="13844" xr:uid="{00000000-0005-0000-0000-0000B03F0000}"/>
    <cellStyle name="Normal 3 16 4 11" xfId="13845" xr:uid="{00000000-0005-0000-0000-0000B13F0000}"/>
    <cellStyle name="Normal 3 16 4 12" xfId="13846" xr:uid="{00000000-0005-0000-0000-0000B23F0000}"/>
    <cellStyle name="Normal 3 16 4 13" xfId="13847" xr:uid="{00000000-0005-0000-0000-0000B33F0000}"/>
    <cellStyle name="Normal 3 16 4 14" xfId="13848" xr:uid="{00000000-0005-0000-0000-0000B43F0000}"/>
    <cellStyle name="Normal 3 16 4 15" xfId="13849" xr:uid="{00000000-0005-0000-0000-0000B53F0000}"/>
    <cellStyle name="Normal 3 16 4 2" xfId="13850" xr:uid="{00000000-0005-0000-0000-0000B63F0000}"/>
    <cellStyle name="Normal 3 16 4 3" xfId="13851" xr:uid="{00000000-0005-0000-0000-0000B73F0000}"/>
    <cellStyle name="Normal 3 16 4 4" xfId="13852" xr:uid="{00000000-0005-0000-0000-0000B83F0000}"/>
    <cellStyle name="Normal 3 16 4 5" xfId="13853" xr:uid="{00000000-0005-0000-0000-0000B93F0000}"/>
    <cellStyle name="Normal 3 16 4 6" xfId="13854" xr:uid="{00000000-0005-0000-0000-0000BA3F0000}"/>
    <cellStyle name="Normal 3 16 4 7" xfId="13855" xr:uid="{00000000-0005-0000-0000-0000BB3F0000}"/>
    <cellStyle name="Normal 3 16 4 8" xfId="13856" xr:uid="{00000000-0005-0000-0000-0000BC3F0000}"/>
    <cellStyle name="Normal 3 16 4 9" xfId="13857" xr:uid="{00000000-0005-0000-0000-0000BD3F0000}"/>
    <cellStyle name="Normal 3 16 5" xfId="13858" xr:uid="{00000000-0005-0000-0000-0000BE3F0000}"/>
    <cellStyle name="Normal 3 16 5 10" xfId="13859" xr:uid="{00000000-0005-0000-0000-0000BF3F0000}"/>
    <cellStyle name="Normal 3 16 5 11" xfId="13860" xr:uid="{00000000-0005-0000-0000-0000C03F0000}"/>
    <cellStyle name="Normal 3 16 5 12" xfId="13861" xr:uid="{00000000-0005-0000-0000-0000C13F0000}"/>
    <cellStyle name="Normal 3 16 5 13" xfId="13862" xr:uid="{00000000-0005-0000-0000-0000C23F0000}"/>
    <cellStyle name="Normal 3 16 5 14" xfId="13863" xr:uid="{00000000-0005-0000-0000-0000C33F0000}"/>
    <cellStyle name="Normal 3 16 5 15" xfId="13864" xr:uid="{00000000-0005-0000-0000-0000C43F0000}"/>
    <cellStyle name="Normal 3 16 5 2" xfId="13865" xr:uid="{00000000-0005-0000-0000-0000C53F0000}"/>
    <cellStyle name="Normal 3 16 5 3" xfId="13866" xr:uid="{00000000-0005-0000-0000-0000C63F0000}"/>
    <cellStyle name="Normal 3 16 5 4" xfId="13867" xr:uid="{00000000-0005-0000-0000-0000C73F0000}"/>
    <cellStyle name="Normal 3 16 5 5" xfId="13868" xr:uid="{00000000-0005-0000-0000-0000C83F0000}"/>
    <cellStyle name="Normal 3 16 5 6" xfId="13869" xr:uid="{00000000-0005-0000-0000-0000C93F0000}"/>
    <cellStyle name="Normal 3 16 5 7" xfId="13870" xr:uid="{00000000-0005-0000-0000-0000CA3F0000}"/>
    <cellStyle name="Normal 3 16 5 8" xfId="13871" xr:uid="{00000000-0005-0000-0000-0000CB3F0000}"/>
    <cellStyle name="Normal 3 16 5 9" xfId="13872" xr:uid="{00000000-0005-0000-0000-0000CC3F0000}"/>
    <cellStyle name="Normal 3 17" xfId="13873" xr:uid="{00000000-0005-0000-0000-0000CD3F0000}"/>
    <cellStyle name="Normal 3 17 2" xfId="13874" xr:uid="{00000000-0005-0000-0000-0000CE3F0000}"/>
    <cellStyle name="Normal 3 17 2 10" xfId="13875" xr:uid="{00000000-0005-0000-0000-0000CF3F0000}"/>
    <cellStyle name="Normal 3 17 2 11" xfId="13876" xr:uid="{00000000-0005-0000-0000-0000D03F0000}"/>
    <cellStyle name="Normal 3 17 2 12" xfId="13877" xr:uid="{00000000-0005-0000-0000-0000D13F0000}"/>
    <cellStyle name="Normal 3 17 2 13" xfId="13878" xr:uid="{00000000-0005-0000-0000-0000D23F0000}"/>
    <cellStyle name="Normal 3 17 2 14" xfId="13879" xr:uid="{00000000-0005-0000-0000-0000D33F0000}"/>
    <cellStyle name="Normal 3 17 2 15" xfId="13880" xr:uid="{00000000-0005-0000-0000-0000D43F0000}"/>
    <cellStyle name="Normal 3 17 2 2" xfId="13881" xr:uid="{00000000-0005-0000-0000-0000D53F0000}"/>
    <cellStyle name="Normal 3 17 2 3" xfId="13882" xr:uid="{00000000-0005-0000-0000-0000D63F0000}"/>
    <cellStyle name="Normal 3 17 2 4" xfId="13883" xr:uid="{00000000-0005-0000-0000-0000D73F0000}"/>
    <cellStyle name="Normal 3 17 2 5" xfId="13884" xr:uid="{00000000-0005-0000-0000-0000D83F0000}"/>
    <cellStyle name="Normal 3 17 2 6" xfId="13885" xr:uid="{00000000-0005-0000-0000-0000D93F0000}"/>
    <cellStyle name="Normal 3 17 2 7" xfId="13886" xr:uid="{00000000-0005-0000-0000-0000DA3F0000}"/>
    <cellStyle name="Normal 3 17 2 8" xfId="13887" xr:uid="{00000000-0005-0000-0000-0000DB3F0000}"/>
    <cellStyle name="Normal 3 17 2 9" xfId="13888" xr:uid="{00000000-0005-0000-0000-0000DC3F0000}"/>
    <cellStyle name="Normal 3 17 3" xfId="13889" xr:uid="{00000000-0005-0000-0000-0000DD3F0000}"/>
    <cellStyle name="Normal 3 17 3 10" xfId="13890" xr:uid="{00000000-0005-0000-0000-0000DE3F0000}"/>
    <cellStyle name="Normal 3 17 3 11" xfId="13891" xr:uid="{00000000-0005-0000-0000-0000DF3F0000}"/>
    <cellStyle name="Normal 3 17 3 12" xfId="13892" xr:uid="{00000000-0005-0000-0000-0000E03F0000}"/>
    <cellStyle name="Normal 3 17 3 13" xfId="13893" xr:uid="{00000000-0005-0000-0000-0000E13F0000}"/>
    <cellStyle name="Normal 3 17 3 14" xfId="13894" xr:uid="{00000000-0005-0000-0000-0000E23F0000}"/>
    <cellStyle name="Normal 3 17 3 15" xfId="13895" xr:uid="{00000000-0005-0000-0000-0000E33F0000}"/>
    <cellStyle name="Normal 3 17 3 2" xfId="13896" xr:uid="{00000000-0005-0000-0000-0000E43F0000}"/>
    <cellStyle name="Normal 3 17 3 3" xfId="13897" xr:uid="{00000000-0005-0000-0000-0000E53F0000}"/>
    <cellStyle name="Normal 3 17 3 4" xfId="13898" xr:uid="{00000000-0005-0000-0000-0000E63F0000}"/>
    <cellStyle name="Normal 3 17 3 5" xfId="13899" xr:uid="{00000000-0005-0000-0000-0000E73F0000}"/>
    <cellStyle name="Normal 3 17 3 6" xfId="13900" xr:uid="{00000000-0005-0000-0000-0000E83F0000}"/>
    <cellStyle name="Normal 3 17 3 7" xfId="13901" xr:uid="{00000000-0005-0000-0000-0000E93F0000}"/>
    <cellStyle name="Normal 3 17 3 8" xfId="13902" xr:uid="{00000000-0005-0000-0000-0000EA3F0000}"/>
    <cellStyle name="Normal 3 17 3 9" xfId="13903" xr:uid="{00000000-0005-0000-0000-0000EB3F0000}"/>
    <cellStyle name="Normal 3 17 4" xfId="13904" xr:uid="{00000000-0005-0000-0000-0000EC3F0000}"/>
    <cellStyle name="Normal 3 17 4 10" xfId="13905" xr:uid="{00000000-0005-0000-0000-0000ED3F0000}"/>
    <cellStyle name="Normal 3 17 4 11" xfId="13906" xr:uid="{00000000-0005-0000-0000-0000EE3F0000}"/>
    <cellStyle name="Normal 3 17 4 12" xfId="13907" xr:uid="{00000000-0005-0000-0000-0000EF3F0000}"/>
    <cellStyle name="Normal 3 17 4 13" xfId="13908" xr:uid="{00000000-0005-0000-0000-0000F03F0000}"/>
    <cellStyle name="Normal 3 17 4 14" xfId="13909" xr:uid="{00000000-0005-0000-0000-0000F13F0000}"/>
    <cellStyle name="Normal 3 17 4 15" xfId="13910" xr:uid="{00000000-0005-0000-0000-0000F23F0000}"/>
    <cellStyle name="Normal 3 17 4 2" xfId="13911" xr:uid="{00000000-0005-0000-0000-0000F33F0000}"/>
    <cellStyle name="Normal 3 17 4 3" xfId="13912" xr:uid="{00000000-0005-0000-0000-0000F43F0000}"/>
    <cellStyle name="Normal 3 17 4 4" xfId="13913" xr:uid="{00000000-0005-0000-0000-0000F53F0000}"/>
    <cellStyle name="Normal 3 17 4 5" xfId="13914" xr:uid="{00000000-0005-0000-0000-0000F63F0000}"/>
    <cellStyle name="Normal 3 17 4 6" xfId="13915" xr:uid="{00000000-0005-0000-0000-0000F73F0000}"/>
    <cellStyle name="Normal 3 17 4 7" xfId="13916" xr:uid="{00000000-0005-0000-0000-0000F83F0000}"/>
    <cellStyle name="Normal 3 17 4 8" xfId="13917" xr:uid="{00000000-0005-0000-0000-0000F93F0000}"/>
    <cellStyle name="Normal 3 17 4 9" xfId="13918" xr:uid="{00000000-0005-0000-0000-0000FA3F0000}"/>
    <cellStyle name="Normal 3 17 5" xfId="13919" xr:uid="{00000000-0005-0000-0000-0000FB3F0000}"/>
    <cellStyle name="Normal 3 17 5 10" xfId="13920" xr:uid="{00000000-0005-0000-0000-0000FC3F0000}"/>
    <cellStyle name="Normal 3 17 5 11" xfId="13921" xr:uid="{00000000-0005-0000-0000-0000FD3F0000}"/>
    <cellStyle name="Normal 3 17 5 12" xfId="13922" xr:uid="{00000000-0005-0000-0000-0000FE3F0000}"/>
    <cellStyle name="Normal 3 17 5 13" xfId="13923" xr:uid="{00000000-0005-0000-0000-0000FF3F0000}"/>
    <cellStyle name="Normal 3 17 5 14" xfId="13924" xr:uid="{00000000-0005-0000-0000-000000400000}"/>
    <cellStyle name="Normal 3 17 5 15" xfId="13925" xr:uid="{00000000-0005-0000-0000-000001400000}"/>
    <cellStyle name="Normal 3 17 5 2" xfId="13926" xr:uid="{00000000-0005-0000-0000-000002400000}"/>
    <cellStyle name="Normal 3 17 5 3" xfId="13927" xr:uid="{00000000-0005-0000-0000-000003400000}"/>
    <cellStyle name="Normal 3 17 5 4" xfId="13928" xr:uid="{00000000-0005-0000-0000-000004400000}"/>
    <cellStyle name="Normal 3 17 5 5" xfId="13929" xr:uid="{00000000-0005-0000-0000-000005400000}"/>
    <cellStyle name="Normal 3 17 5 6" xfId="13930" xr:uid="{00000000-0005-0000-0000-000006400000}"/>
    <cellStyle name="Normal 3 17 5 7" xfId="13931" xr:uid="{00000000-0005-0000-0000-000007400000}"/>
    <cellStyle name="Normal 3 17 5 8" xfId="13932" xr:uid="{00000000-0005-0000-0000-000008400000}"/>
    <cellStyle name="Normal 3 17 5 9" xfId="13933" xr:uid="{00000000-0005-0000-0000-000009400000}"/>
    <cellStyle name="Normal 3 18" xfId="13934" xr:uid="{00000000-0005-0000-0000-00000A400000}"/>
    <cellStyle name="Normal 3 18 2" xfId="13935" xr:uid="{00000000-0005-0000-0000-00000B400000}"/>
    <cellStyle name="Normal 3 18 2 10" xfId="13936" xr:uid="{00000000-0005-0000-0000-00000C400000}"/>
    <cellStyle name="Normal 3 18 2 11" xfId="13937" xr:uid="{00000000-0005-0000-0000-00000D400000}"/>
    <cellStyle name="Normal 3 18 2 12" xfId="13938" xr:uid="{00000000-0005-0000-0000-00000E400000}"/>
    <cellStyle name="Normal 3 18 2 13" xfId="13939" xr:uid="{00000000-0005-0000-0000-00000F400000}"/>
    <cellStyle name="Normal 3 18 2 14" xfId="13940" xr:uid="{00000000-0005-0000-0000-000010400000}"/>
    <cellStyle name="Normal 3 18 2 15" xfId="13941" xr:uid="{00000000-0005-0000-0000-000011400000}"/>
    <cellStyle name="Normal 3 18 2 2" xfId="13942" xr:uid="{00000000-0005-0000-0000-000012400000}"/>
    <cellStyle name="Normal 3 18 2 3" xfId="13943" xr:uid="{00000000-0005-0000-0000-000013400000}"/>
    <cellStyle name="Normal 3 18 2 4" xfId="13944" xr:uid="{00000000-0005-0000-0000-000014400000}"/>
    <cellStyle name="Normal 3 18 2 5" xfId="13945" xr:uid="{00000000-0005-0000-0000-000015400000}"/>
    <cellStyle name="Normal 3 18 2 6" xfId="13946" xr:uid="{00000000-0005-0000-0000-000016400000}"/>
    <cellStyle name="Normal 3 18 2 7" xfId="13947" xr:uid="{00000000-0005-0000-0000-000017400000}"/>
    <cellStyle name="Normal 3 18 2 8" xfId="13948" xr:uid="{00000000-0005-0000-0000-000018400000}"/>
    <cellStyle name="Normal 3 18 2 9" xfId="13949" xr:uid="{00000000-0005-0000-0000-000019400000}"/>
    <cellStyle name="Normal 3 18 3" xfId="13950" xr:uid="{00000000-0005-0000-0000-00001A400000}"/>
    <cellStyle name="Normal 3 18 3 10" xfId="13951" xr:uid="{00000000-0005-0000-0000-00001B400000}"/>
    <cellStyle name="Normal 3 18 3 11" xfId="13952" xr:uid="{00000000-0005-0000-0000-00001C400000}"/>
    <cellStyle name="Normal 3 18 3 12" xfId="13953" xr:uid="{00000000-0005-0000-0000-00001D400000}"/>
    <cellStyle name="Normal 3 18 3 13" xfId="13954" xr:uid="{00000000-0005-0000-0000-00001E400000}"/>
    <cellStyle name="Normal 3 18 3 14" xfId="13955" xr:uid="{00000000-0005-0000-0000-00001F400000}"/>
    <cellStyle name="Normal 3 18 3 15" xfId="13956" xr:uid="{00000000-0005-0000-0000-000020400000}"/>
    <cellStyle name="Normal 3 18 3 2" xfId="13957" xr:uid="{00000000-0005-0000-0000-000021400000}"/>
    <cellStyle name="Normal 3 18 3 3" xfId="13958" xr:uid="{00000000-0005-0000-0000-000022400000}"/>
    <cellStyle name="Normal 3 18 3 4" xfId="13959" xr:uid="{00000000-0005-0000-0000-000023400000}"/>
    <cellStyle name="Normal 3 18 3 5" xfId="13960" xr:uid="{00000000-0005-0000-0000-000024400000}"/>
    <cellStyle name="Normal 3 18 3 6" xfId="13961" xr:uid="{00000000-0005-0000-0000-000025400000}"/>
    <cellStyle name="Normal 3 18 3 7" xfId="13962" xr:uid="{00000000-0005-0000-0000-000026400000}"/>
    <cellStyle name="Normal 3 18 3 8" xfId="13963" xr:uid="{00000000-0005-0000-0000-000027400000}"/>
    <cellStyle name="Normal 3 18 3 9" xfId="13964" xr:uid="{00000000-0005-0000-0000-000028400000}"/>
    <cellStyle name="Normal 3 18 4" xfId="13965" xr:uid="{00000000-0005-0000-0000-000029400000}"/>
    <cellStyle name="Normal 3 18 4 10" xfId="13966" xr:uid="{00000000-0005-0000-0000-00002A400000}"/>
    <cellStyle name="Normal 3 18 4 11" xfId="13967" xr:uid="{00000000-0005-0000-0000-00002B400000}"/>
    <cellStyle name="Normal 3 18 4 12" xfId="13968" xr:uid="{00000000-0005-0000-0000-00002C400000}"/>
    <cellStyle name="Normal 3 18 4 13" xfId="13969" xr:uid="{00000000-0005-0000-0000-00002D400000}"/>
    <cellStyle name="Normal 3 18 4 14" xfId="13970" xr:uid="{00000000-0005-0000-0000-00002E400000}"/>
    <cellStyle name="Normal 3 18 4 15" xfId="13971" xr:uid="{00000000-0005-0000-0000-00002F400000}"/>
    <cellStyle name="Normal 3 18 4 2" xfId="13972" xr:uid="{00000000-0005-0000-0000-000030400000}"/>
    <cellStyle name="Normal 3 18 4 3" xfId="13973" xr:uid="{00000000-0005-0000-0000-000031400000}"/>
    <cellStyle name="Normal 3 18 4 4" xfId="13974" xr:uid="{00000000-0005-0000-0000-000032400000}"/>
    <cellStyle name="Normal 3 18 4 5" xfId="13975" xr:uid="{00000000-0005-0000-0000-000033400000}"/>
    <cellStyle name="Normal 3 18 4 6" xfId="13976" xr:uid="{00000000-0005-0000-0000-000034400000}"/>
    <cellStyle name="Normal 3 18 4 7" xfId="13977" xr:uid="{00000000-0005-0000-0000-000035400000}"/>
    <cellStyle name="Normal 3 18 4 8" xfId="13978" xr:uid="{00000000-0005-0000-0000-000036400000}"/>
    <cellStyle name="Normal 3 18 4 9" xfId="13979" xr:uid="{00000000-0005-0000-0000-000037400000}"/>
    <cellStyle name="Normal 3 18 5" xfId="13980" xr:uid="{00000000-0005-0000-0000-000038400000}"/>
    <cellStyle name="Normal 3 18 5 10" xfId="13981" xr:uid="{00000000-0005-0000-0000-000039400000}"/>
    <cellStyle name="Normal 3 18 5 11" xfId="13982" xr:uid="{00000000-0005-0000-0000-00003A400000}"/>
    <cellStyle name="Normal 3 18 5 12" xfId="13983" xr:uid="{00000000-0005-0000-0000-00003B400000}"/>
    <cellStyle name="Normal 3 18 5 13" xfId="13984" xr:uid="{00000000-0005-0000-0000-00003C400000}"/>
    <cellStyle name="Normal 3 18 5 14" xfId="13985" xr:uid="{00000000-0005-0000-0000-00003D400000}"/>
    <cellStyle name="Normal 3 18 5 15" xfId="13986" xr:uid="{00000000-0005-0000-0000-00003E400000}"/>
    <cellStyle name="Normal 3 18 5 2" xfId="13987" xr:uid="{00000000-0005-0000-0000-00003F400000}"/>
    <cellStyle name="Normal 3 18 5 3" xfId="13988" xr:uid="{00000000-0005-0000-0000-000040400000}"/>
    <cellStyle name="Normal 3 18 5 4" xfId="13989" xr:uid="{00000000-0005-0000-0000-000041400000}"/>
    <cellStyle name="Normal 3 18 5 5" xfId="13990" xr:uid="{00000000-0005-0000-0000-000042400000}"/>
    <cellStyle name="Normal 3 18 5 6" xfId="13991" xr:uid="{00000000-0005-0000-0000-000043400000}"/>
    <cellStyle name="Normal 3 18 5 7" xfId="13992" xr:uid="{00000000-0005-0000-0000-000044400000}"/>
    <cellStyle name="Normal 3 18 5 8" xfId="13993" xr:uid="{00000000-0005-0000-0000-000045400000}"/>
    <cellStyle name="Normal 3 18 5 9" xfId="13994" xr:uid="{00000000-0005-0000-0000-000046400000}"/>
    <cellStyle name="Normal 3 19" xfId="13995" xr:uid="{00000000-0005-0000-0000-000047400000}"/>
    <cellStyle name="Normal 3 19 10" xfId="40666" xr:uid="{00000000-0005-0000-0000-000048400000}"/>
    <cellStyle name="Normal 3 19 11" xfId="31453" xr:uid="{00000000-0005-0000-0000-000049400000}"/>
    <cellStyle name="Normal 3 19 2" xfId="13996" xr:uid="{00000000-0005-0000-0000-00004A400000}"/>
    <cellStyle name="Normal 3 19 2 10" xfId="13997" xr:uid="{00000000-0005-0000-0000-00004B400000}"/>
    <cellStyle name="Normal 3 19 2 11" xfId="13998" xr:uid="{00000000-0005-0000-0000-00004C400000}"/>
    <cellStyle name="Normal 3 19 2 12" xfId="13999" xr:uid="{00000000-0005-0000-0000-00004D400000}"/>
    <cellStyle name="Normal 3 19 2 13" xfId="14000" xr:uid="{00000000-0005-0000-0000-00004E400000}"/>
    <cellStyle name="Normal 3 19 2 14" xfId="14001" xr:uid="{00000000-0005-0000-0000-00004F400000}"/>
    <cellStyle name="Normal 3 19 2 15" xfId="14002" xr:uid="{00000000-0005-0000-0000-000050400000}"/>
    <cellStyle name="Normal 3 19 2 2" xfId="14003" xr:uid="{00000000-0005-0000-0000-000051400000}"/>
    <cellStyle name="Normal 3 19 2 3" xfId="14004" xr:uid="{00000000-0005-0000-0000-000052400000}"/>
    <cellStyle name="Normal 3 19 2 4" xfId="14005" xr:uid="{00000000-0005-0000-0000-000053400000}"/>
    <cellStyle name="Normal 3 19 2 5" xfId="14006" xr:uid="{00000000-0005-0000-0000-000054400000}"/>
    <cellStyle name="Normal 3 19 2 6" xfId="14007" xr:uid="{00000000-0005-0000-0000-000055400000}"/>
    <cellStyle name="Normal 3 19 2 7" xfId="14008" xr:uid="{00000000-0005-0000-0000-000056400000}"/>
    <cellStyle name="Normal 3 19 2 8" xfId="14009" xr:uid="{00000000-0005-0000-0000-000057400000}"/>
    <cellStyle name="Normal 3 19 2 9" xfId="14010" xr:uid="{00000000-0005-0000-0000-000058400000}"/>
    <cellStyle name="Normal 3 19 3" xfId="14011" xr:uid="{00000000-0005-0000-0000-000059400000}"/>
    <cellStyle name="Normal 3 19 3 10" xfId="14012" xr:uid="{00000000-0005-0000-0000-00005A400000}"/>
    <cellStyle name="Normal 3 19 3 11" xfId="14013" xr:uid="{00000000-0005-0000-0000-00005B400000}"/>
    <cellStyle name="Normal 3 19 3 12" xfId="14014" xr:uid="{00000000-0005-0000-0000-00005C400000}"/>
    <cellStyle name="Normal 3 19 3 13" xfId="14015" xr:uid="{00000000-0005-0000-0000-00005D400000}"/>
    <cellStyle name="Normal 3 19 3 14" xfId="14016" xr:uid="{00000000-0005-0000-0000-00005E400000}"/>
    <cellStyle name="Normal 3 19 3 15" xfId="14017" xr:uid="{00000000-0005-0000-0000-00005F400000}"/>
    <cellStyle name="Normal 3 19 3 2" xfId="14018" xr:uid="{00000000-0005-0000-0000-000060400000}"/>
    <cellStyle name="Normal 3 19 3 3" xfId="14019" xr:uid="{00000000-0005-0000-0000-000061400000}"/>
    <cellStyle name="Normal 3 19 3 4" xfId="14020" xr:uid="{00000000-0005-0000-0000-000062400000}"/>
    <cellStyle name="Normal 3 19 3 5" xfId="14021" xr:uid="{00000000-0005-0000-0000-000063400000}"/>
    <cellStyle name="Normal 3 19 3 6" xfId="14022" xr:uid="{00000000-0005-0000-0000-000064400000}"/>
    <cellStyle name="Normal 3 19 3 7" xfId="14023" xr:uid="{00000000-0005-0000-0000-000065400000}"/>
    <cellStyle name="Normal 3 19 3 8" xfId="14024" xr:uid="{00000000-0005-0000-0000-000066400000}"/>
    <cellStyle name="Normal 3 19 3 9" xfId="14025" xr:uid="{00000000-0005-0000-0000-000067400000}"/>
    <cellStyle name="Normal 3 19 4" xfId="14026" xr:uid="{00000000-0005-0000-0000-000068400000}"/>
    <cellStyle name="Normal 3 19 4 10" xfId="14027" xr:uid="{00000000-0005-0000-0000-000069400000}"/>
    <cellStyle name="Normal 3 19 4 11" xfId="14028" xr:uid="{00000000-0005-0000-0000-00006A400000}"/>
    <cellStyle name="Normal 3 19 4 12" xfId="14029" xr:uid="{00000000-0005-0000-0000-00006B400000}"/>
    <cellStyle name="Normal 3 19 4 13" xfId="14030" xr:uid="{00000000-0005-0000-0000-00006C400000}"/>
    <cellStyle name="Normal 3 19 4 14" xfId="14031" xr:uid="{00000000-0005-0000-0000-00006D400000}"/>
    <cellStyle name="Normal 3 19 4 15" xfId="14032" xr:uid="{00000000-0005-0000-0000-00006E400000}"/>
    <cellStyle name="Normal 3 19 4 2" xfId="14033" xr:uid="{00000000-0005-0000-0000-00006F400000}"/>
    <cellStyle name="Normal 3 19 4 3" xfId="14034" xr:uid="{00000000-0005-0000-0000-000070400000}"/>
    <cellStyle name="Normal 3 19 4 4" xfId="14035" xr:uid="{00000000-0005-0000-0000-000071400000}"/>
    <cellStyle name="Normal 3 19 4 5" xfId="14036" xr:uid="{00000000-0005-0000-0000-000072400000}"/>
    <cellStyle name="Normal 3 19 4 6" xfId="14037" xr:uid="{00000000-0005-0000-0000-000073400000}"/>
    <cellStyle name="Normal 3 19 4 7" xfId="14038" xr:uid="{00000000-0005-0000-0000-000074400000}"/>
    <cellStyle name="Normal 3 19 4 8" xfId="14039" xr:uid="{00000000-0005-0000-0000-000075400000}"/>
    <cellStyle name="Normal 3 19 4 9" xfId="14040" xr:uid="{00000000-0005-0000-0000-000076400000}"/>
    <cellStyle name="Normal 3 19 5" xfId="14041" xr:uid="{00000000-0005-0000-0000-000077400000}"/>
    <cellStyle name="Normal 3 19 5 10" xfId="14042" xr:uid="{00000000-0005-0000-0000-000078400000}"/>
    <cellStyle name="Normal 3 19 5 11" xfId="14043" xr:uid="{00000000-0005-0000-0000-000079400000}"/>
    <cellStyle name="Normal 3 19 5 12" xfId="14044" xr:uid="{00000000-0005-0000-0000-00007A400000}"/>
    <cellStyle name="Normal 3 19 5 13" xfId="14045" xr:uid="{00000000-0005-0000-0000-00007B400000}"/>
    <cellStyle name="Normal 3 19 5 14" xfId="14046" xr:uid="{00000000-0005-0000-0000-00007C400000}"/>
    <cellStyle name="Normal 3 19 5 15" xfId="14047" xr:uid="{00000000-0005-0000-0000-00007D400000}"/>
    <cellStyle name="Normal 3 19 5 2" xfId="14048" xr:uid="{00000000-0005-0000-0000-00007E400000}"/>
    <cellStyle name="Normal 3 19 5 3" xfId="14049" xr:uid="{00000000-0005-0000-0000-00007F400000}"/>
    <cellStyle name="Normal 3 19 5 4" xfId="14050" xr:uid="{00000000-0005-0000-0000-000080400000}"/>
    <cellStyle name="Normal 3 19 5 5" xfId="14051" xr:uid="{00000000-0005-0000-0000-000081400000}"/>
    <cellStyle name="Normal 3 19 5 6" xfId="14052" xr:uid="{00000000-0005-0000-0000-000082400000}"/>
    <cellStyle name="Normal 3 19 5 7" xfId="14053" xr:uid="{00000000-0005-0000-0000-000083400000}"/>
    <cellStyle name="Normal 3 19 5 8" xfId="14054" xr:uid="{00000000-0005-0000-0000-000084400000}"/>
    <cellStyle name="Normal 3 19 5 9" xfId="14055" xr:uid="{00000000-0005-0000-0000-000085400000}"/>
    <cellStyle name="Normal 3 19 6" xfId="14056" xr:uid="{00000000-0005-0000-0000-000086400000}"/>
    <cellStyle name="Normal 3 19 6 2" xfId="31454" xr:uid="{00000000-0005-0000-0000-000087400000}"/>
    <cellStyle name="Normal 3 19 7" xfId="14057" xr:uid="{00000000-0005-0000-0000-000088400000}"/>
    <cellStyle name="Normal 3 19 7 2" xfId="31455" xr:uid="{00000000-0005-0000-0000-000089400000}"/>
    <cellStyle name="Normal 3 19 8" xfId="14058" xr:uid="{00000000-0005-0000-0000-00008A400000}"/>
    <cellStyle name="Normal 3 19 8 2" xfId="31456" xr:uid="{00000000-0005-0000-0000-00008B400000}"/>
    <cellStyle name="Normal 3 19 9" xfId="14059" xr:uid="{00000000-0005-0000-0000-00008C400000}"/>
    <cellStyle name="Normal 3 19 9 2" xfId="31457" xr:uid="{00000000-0005-0000-0000-00008D400000}"/>
    <cellStyle name="Normal 3 2" xfId="14060" xr:uid="{00000000-0005-0000-0000-00008E400000}"/>
    <cellStyle name="Normal 3 2 10" xfId="14061" xr:uid="{00000000-0005-0000-0000-00008F400000}"/>
    <cellStyle name="Normal 3 2 11" xfId="14062" xr:uid="{00000000-0005-0000-0000-000090400000}"/>
    <cellStyle name="Normal 3 2 12" xfId="14063" xr:uid="{00000000-0005-0000-0000-000091400000}"/>
    <cellStyle name="Normal 3 2 13" xfId="14064" xr:uid="{00000000-0005-0000-0000-000092400000}"/>
    <cellStyle name="Normal 3 2 14" xfId="14065" xr:uid="{00000000-0005-0000-0000-000093400000}"/>
    <cellStyle name="Normal 3 2 15" xfId="14066" xr:uid="{00000000-0005-0000-0000-000094400000}"/>
    <cellStyle name="Normal 3 2 16" xfId="14067" xr:uid="{00000000-0005-0000-0000-000095400000}"/>
    <cellStyle name="Normal 3 2 17" xfId="14068" xr:uid="{00000000-0005-0000-0000-000096400000}"/>
    <cellStyle name="Normal 3 2 18" xfId="14069" xr:uid="{00000000-0005-0000-0000-000097400000}"/>
    <cellStyle name="Normal 3 2 2" xfId="14070" xr:uid="{00000000-0005-0000-0000-000098400000}"/>
    <cellStyle name="Normal 3 2 2 10" xfId="14071" xr:uid="{00000000-0005-0000-0000-000099400000}"/>
    <cellStyle name="Normal 3 2 2 2" xfId="14072" xr:uid="{00000000-0005-0000-0000-00009A400000}"/>
    <cellStyle name="Normal 3 2 2 2 2" xfId="14073" xr:uid="{00000000-0005-0000-0000-00009B400000}"/>
    <cellStyle name="Normal 3 2 2 2 3" xfId="14074" xr:uid="{00000000-0005-0000-0000-00009C400000}"/>
    <cellStyle name="Normal 3 2 2 2 4" xfId="14075" xr:uid="{00000000-0005-0000-0000-00009D400000}"/>
    <cellStyle name="Normal 3 2 2 2 5" xfId="14076" xr:uid="{00000000-0005-0000-0000-00009E400000}"/>
    <cellStyle name="Normal 3 2 2 2 6" xfId="14077" xr:uid="{00000000-0005-0000-0000-00009F400000}"/>
    <cellStyle name="Normal 3 2 2 2 7" xfId="14078" xr:uid="{00000000-0005-0000-0000-0000A0400000}"/>
    <cellStyle name="Normal 3 2 2 3" xfId="14079" xr:uid="{00000000-0005-0000-0000-0000A1400000}"/>
    <cellStyle name="Normal 3 2 2 4" xfId="14080" xr:uid="{00000000-0005-0000-0000-0000A2400000}"/>
    <cellStyle name="Normal 3 2 2 5" xfId="14081" xr:uid="{00000000-0005-0000-0000-0000A3400000}"/>
    <cellStyle name="Normal 3 2 2 6" xfId="14082" xr:uid="{00000000-0005-0000-0000-0000A4400000}"/>
    <cellStyle name="Normal 3 2 2 7" xfId="14083" xr:uid="{00000000-0005-0000-0000-0000A5400000}"/>
    <cellStyle name="Normal 3 2 2 8" xfId="14084" xr:uid="{00000000-0005-0000-0000-0000A6400000}"/>
    <cellStyle name="Normal 3 2 2 9" xfId="14085" xr:uid="{00000000-0005-0000-0000-0000A7400000}"/>
    <cellStyle name="Normal 3 2 3" xfId="14086" xr:uid="{00000000-0005-0000-0000-0000A8400000}"/>
    <cellStyle name="Normal 3 2 3 2" xfId="14087" xr:uid="{00000000-0005-0000-0000-0000A9400000}"/>
    <cellStyle name="Normal 3 2 3 2 2" xfId="14088" xr:uid="{00000000-0005-0000-0000-0000AA400000}"/>
    <cellStyle name="Normal 3 2 3 3" xfId="14089" xr:uid="{00000000-0005-0000-0000-0000AB400000}"/>
    <cellStyle name="Normal 3 2 3 3 2" xfId="14090" xr:uid="{00000000-0005-0000-0000-0000AC400000}"/>
    <cellStyle name="Normal 3 2 3 4" xfId="14091" xr:uid="{00000000-0005-0000-0000-0000AD400000}"/>
    <cellStyle name="Normal 3 2 3 4 2" xfId="14092" xr:uid="{00000000-0005-0000-0000-0000AE400000}"/>
    <cellStyle name="Normal 3 2 3 5" xfId="14093" xr:uid="{00000000-0005-0000-0000-0000AF400000}"/>
    <cellStyle name="Normal 3 2 3 5 2" xfId="14094" xr:uid="{00000000-0005-0000-0000-0000B0400000}"/>
    <cellStyle name="Normal 3 2 4" xfId="14095" xr:uid="{00000000-0005-0000-0000-0000B1400000}"/>
    <cellStyle name="Normal 3 2 4 10" xfId="14096" xr:uid="{00000000-0005-0000-0000-0000B2400000}"/>
    <cellStyle name="Normal 3 2 4 11" xfId="14097" xr:uid="{00000000-0005-0000-0000-0000B3400000}"/>
    <cellStyle name="Normal 3 2 4 12" xfId="14098" xr:uid="{00000000-0005-0000-0000-0000B4400000}"/>
    <cellStyle name="Normal 3 2 4 13" xfId="14099" xr:uid="{00000000-0005-0000-0000-0000B5400000}"/>
    <cellStyle name="Normal 3 2 4 14" xfId="14100" xr:uid="{00000000-0005-0000-0000-0000B6400000}"/>
    <cellStyle name="Normal 3 2 4 15" xfId="14101" xr:uid="{00000000-0005-0000-0000-0000B7400000}"/>
    <cellStyle name="Normal 3 2 4 16" xfId="14102" xr:uid="{00000000-0005-0000-0000-0000B8400000}"/>
    <cellStyle name="Normal 3 2 4 17" xfId="14103" xr:uid="{00000000-0005-0000-0000-0000B9400000}"/>
    <cellStyle name="Normal 3 2 4 18" xfId="14104" xr:uid="{00000000-0005-0000-0000-0000BA400000}"/>
    <cellStyle name="Normal 3 2 4 19" xfId="14105" xr:uid="{00000000-0005-0000-0000-0000BB400000}"/>
    <cellStyle name="Normal 3 2 4 2" xfId="14106" xr:uid="{00000000-0005-0000-0000-0000BC400000}"/>
    <cellStyle name="Normal 3 2 4 2 10" xfId="14107" xr:uid="{00000000-0005-0000-0000-0000BD400000}"/>
    <cellStyle name="Normal 3 2 4 2 11" xfId="14108" xr:uid="{00000000-0005-0000-0000-0000BE400000}"/>
    <cellStyle name="Normal 3 2 4 2 12" xfId="14109" xr:uid="{00000000-0005-0000-0000-0000BF400000}"/>
    <cellStyle name="Normal 3 2 4 2 13" xfId="14110" xr:uid="{00000000-0005-0000-0000-0000C0400000}"/>
    <cellStyle name="Normal 3 2 4 2 14" xfId="14111" xr:uid="{00000000-0005-0000-0000-0000C1400000}"/>
    <cellStyle name="Normal 3 2 4 2 15" xfId="14112" xr:uid="{00000000-0005-0000-0000-0000C2400000}"/>
    <cellStyle name="Normal 3 2 4 2 16" xfId="14113" xr:uid="{00000000-0005-0000-0000-0000C3400000}"/>
    <cellStyle name="Normal 3 2 4 2 2" xfId="14114" xr:uid="{00000000-0005-0000-0000-0000C4400000}"/>
    <cellStyle name="Normal 3 2 4 2 3" xfId="14115" xr:uid="{00000000-0005-0000-0000-0000C5400000}"/>
    <cellStyle name="Normal 3 2 4 2 4" xfId="14116" xr:uid="{00000000-0005-0000-0000-0000C6400000}"/>
    <cellStyle name="Normal 3 2 4 2 5" xfId="14117" xr:uid="{00000000-0005-0000-0000-0000C7400000}"/>
    <cellStyle name="Normal 3 2 4 2 6" xfId="14118" xr:uid="{00000000-0005-0000-0000-0000C8400000}"/>
    <cellStyle name="Normal 3 2 4 2 7" xfId="14119" xr:uid="{00000000-0005-0000-0000-0000C9400000}"/>
    <cellStyle name="Normal 3 2 4 2 8" xfId="14120" xr:uid="{00000000-0005-0000-0000-0000CA400000}"/>
    <cellStyle name="Normal 3 2 4 2 9" xfId="14121" xr:uid="{00000000-0005-0000-0000-0000CB400000}"/>
    <cellStyle name="Normal 3 2 4 3" xfId="14122" xr:uid="{00000000-0005-0000-0000-0000CC400000}"/>
    <cellStyle name="Normal 3 2 4 3 2" xfId="14123" xr:uid="{00000000-0005-0000-0000-0000CD400000}"/>
    <cellStyle name="Normal 3 2 4 4" xfId="14124" xr:uid="{00000000-0005-0000-0000-0000CE400000}"/>
    <cellStyle name="Normal 3 2 4 4 2" xfId="14125" xr:uid="{00000000-0005-0000-0000-0000CF400000}"/>
    <cellStyle name="Normal 3 2 4 5" xfId="14126" xr:uid="{00000000-0005-0000-0000-0000D0400000}"/>
    <cellStyle name="Normal 3 2 4 5 2" xfId="14127" xr:uid="{00000000-0005-0000-0000-0000D1400000}"/>
    <cellStyle name="Normal 3 2 4 6" xfId="14128" xr:uid="{00000000-0005-0000-0000-0000D2400000}"/>
    <cellStyle name="Normal 3 2 4 6 2" xfId="14129" xr:uid="{00000000-0005-0000-0000-0000D3400000}"/>
    <cellStyle name="Normal 3 2 4 7" xfId="14130" xr:uid="{00000000-0005-0000-0000-0000D4400000}"/>
    <cellStyle name="Normal 3 2 4 8" xfId="14131" xr:uid="{00000000-0005-0000-0000-0000D5400000}"/>
    <cellStyle name="Normal 3 2 4 9" xfId="14132" xr:uid="{00000000-0005-0000-0000-0000D6400000}"/>
    <cellStyle name="Normal 3 2 5" xfId="14133" xr:uid="{00000000-0005-0000-0000-0000D7400000}"/>
    <cellStyle name="Normal 3 2 5 10" xfId="14134" xr:uid="{00000000-0005-0000-0000-0000D8400000}"/>
    <cellStyle name="Normal 3 2 5 11" xfId="14135" xr:uid="{00000000-0005-0000-0000-0000D9400000}"/>
    <cellStyle name="Normal 3 2 5 12" xfId="14136" xr:uid="{00000000-0005-0000-0000-0000DA400000}"/>
    <cellStyle name="Normal 3 2 5 13" xfId="14137" xr:uid="{00000000-0005-0000-0000-0000DB400000}"/>
    <cellStyle name="Normal 3 2 5 14" xfId="14138" xr:uid="{00000000-0005-0000-0000-0000DC400000}"/>
    <cellStyle name="Normal 3 2 5 15" xfId="14139" xr:uid="{00000000-0005-0000-0000-0000DD400000}"/>
    <cellStyle name="Normal 3 2 5 16" xfId="14140" xr:uid="{00000000-0005-0000-0000-0000DE400000}"/>
    <cellStyle name="Normal 3 2 5 2" xfId="14141" xr:uid="{00000000-0005-0000-0000-0000DF400000}"/>
    <cellStyle name="Normal 3 2 5 3" xfId="14142" xr:uid="{00000000-0005-0000-0000-0000E0400000}"/>
    <cellStyle name="Normal 3 2 5 4" xfId="14143" xr:uid="{00000000-0005-0000-0000-0000E1400000}"/>
    <cellStyle name="Normal 3 2 5 5" xfId="14144" xr:uid="{00000000-0005-0000-0000-0000E2400000}"/>
    <cellStyle name="Normal 3 2 5 6" xfId="14145" xr:uid="{00000000-0005-0000-0000-0000E3400000}"/>
    <cellStyle name="Normal 3 2 5 7" xfId="14146" xr:uid="{00000000-0005-0000-0000-0000E4400000}"/>
    <cellStyle name="Normal 3 2 5 8" xfId="14147" xr:uid="{00000000-0005-0000-0000-0000E5400000}"/>
    <cellStyle name="Normal 3 2 5 9" xfId="14148" xr:uid="{00000000-0005-0000-0000-0000E6400000}"/>
    <cellStyle name="Normal 3 2 6" xfId="14149" xr:uid="{00000000-0005-0000-0000-0000E7400000}"/>
    <cellStyle name="Normal 3 2 6 2" xfId="14150" xr:uid="{00000000-0005-0000-0000-0000E8400000}"/>
    <cellStyle name="Normal 3 2 7" xfId="14151" xr:uid="{00000000-0005-0000-0000-0000E9400000}"/>
    <cellStyle name="Normal 3 2 7 2" xfId="14152" xr:uid="{00000000-0005-0000-0000-0000EA400000}"/>
    <cellStyle name="Normal 3 2 8" xfId="14153" xr:uid="{00000000-0005-0000-0000-0000EB400000}"/>
    <cellStyle name="Normal 3 2 8 2" xfId="14154" xr:uid="{00000000-0005-0000-0000-0000EC400000}"/>
    <cellStyle name="Normal 3 2 9" xfId="14155" xr:uid="{00000000-0005-0000-0000-0000ED400000}"/>
    <cellStyle name="Normal 3 2 9 2" xfId="14156" xr:uid="{00000000-0005-0000-0000-0000EE400000}"/>
    <cellStyle name="Normal 3 20" xfId="14157" xr:uid="{00000000-0005-0000-0000-0000EF400000}"/>
    <cellStyle name="Normal 3 20 2" xfId="14158" xr:uid="{00000000-0005-0000-0000-0000F0400000}"/>
    <cellStyle name="Normal 3 20 3" xfId="14159" xr:uid="{00000000-0005-0000-0000-0000F1400000}"/>
    <cellStyle name="Normal 3 20 3 2" xfId="31459" xr:uid="{00000000-0005-0000-0000-0000F2400000}"/>
    <cellStyle name="Normal 3 20 4" xfId="14160" xr:uid="{00000000-0005-0000-0000-0000F3400000}"/>
    <cellStyle name="Normal 3 20 4 2" xfId="31460" xr:uid="{00000000-0005-0000-0000-0000F4400000}"/>
    <cellStyle name="Normal 3 20 5" xfId="14161" xr:uid="{00000000-0005-0000-0000-0000F5400000}"/>
    <cellStyle name="Normal 3 20 5 2" xfId="31461" xr:uid="{00000000-0005-0000-0000-0000F6400000}"/>
    <cellStyle name="Normal 3 20 6" xfId="14162" xr:uid="{00000000-0005-0000-0000-0000F7400000}"/>
    <cellStyle name="Normal 3 20 6 2" xfId="31462" xr:uid="{00000000-0005-0000-0000-0000F8400000}"/>
    <cellStyle name="Normal 3 20 7" xfId="40667" xr:uid="{00000000-0005-0000-0000-0000F9400000}"/>
    <cellStyle name="Normal 3 20 8" xfId="31458" xr:uid="{00000000-0005-0000-0000-0000FA400000}"/>
    <cellStyle name="Normal 3 21" xfId="14163" xr:uid="{00000000-0005-0000-0000-0000FB400000}"/>
    <cellStyle name="Normal 3 21 2" xfId="40668" xr:uid="{00000000-0005-0000-0000-0000FC400000}"/>
    <cellStyle name="Normal 3 22" xfId="14164" xr:uid="{00000000-0005-0000-0000-0000FD400000}"/>
    <cellStyle name="Normal 3 22 2" xfId="40669" xr:uid="{00000000-0005-0000-0000-0000FE400000}"/>
    <cellStyle name="Normal 3 23" xfId="14165" xr:uid="{00000000-0005-0000-0000-0000FF400000}"/>
    <cellStyle name="Normal 3 24" xfId="14166" xr:uid="{00000000-0005-0000-0000-000000410000}"/>
    <cellStyle name="Normal 3 25" xfId="14167" xr:uid="{00000000-0005-0000-0000-000001410000}"/>
    <cellStyle name="Normal 3 26" xfId="14168" xr:uid="{00000000-0005-0000-0000-000002410000}"/>
    <cellStyle name="Normal 3 27" xfId="14169" xr:uid="{00000000-0005-0000-0000-000003410000}"/>
    <cellStyle name="Normal 3 28" xfId="14170" xr:uid="{00000000-0005-0000-0000-000004410000}"/>
    <cellStyle name="Normal 3 29" xfId="14171" xr:uid="{00000000-0005-0000-0000-000005410000}"/>
    <cellStyle name="Normal 3 3" xfId="14172" xr:uid="{00000000-0005-0000-0000-000006410000}"/>
    <cellStyle name="Normal 3 3 10" xfId="14173" xr:uid="{00000000-0005-0000-0000-000007410000}"/>
    <cellStyle name="Normal 3 3 10 10" xfId="14174" xr:uid="{00000000-0005-0000-0000-000008410000}"/>
    <cellStyle name="Normal 3 3 10 11" xfId="14175" xr:uid="{00000000-0005-0000-0000-000009410000}"/>
    <cellStyle name="Normal 3 3 10 12" xfId="14176" xr:uid="{00000000-0005-0000-0000-00000A410000}"/>
    <cellStyle name="Normal 3 3 10 13" xfId="14177" xr:uid="{00000000-0005-0000-0000-00000B410000}"/>
    <cellStyle name="Normal 3 3 10 14" xfId="14178" xr:uid="{00000000-0005-0000-0000-00000C410000}"/>
    <cellStyle name="Normal 3 3 10 15" xfId="14179" xr:uid="{00000000-0005-0000-0000-00000D410000}"/>
    <cellStyle name="Normal 3 3 10 2" xfId="14180" xr:uid="{00000000-0005-0000-0000-00000E410000}"/>
    <cellStyle name="Normal 3 3 10 3" xfId="14181" xr:uid="{00000000-0005-0000-0000-00000F410000}"/>
    <cellStyle name="Normal 3 3 10 4" xfId="14182" xr:uid="{00000000-0005-0000-0000-000010410000}"/>
    <cellStyle name="Normal 3 3 10 5" xfId="14183" xr:uid="{00000000-0005-0000-0000-000011410000}"/>
    <cellStyle name="Normal 3 3 10 6" xfId="14184" xr:uid="{00000000-0005-0000-0000-000012410000}"/>
    <cellStyle name="Normal 3 3 10 7" xfId="14185" xr:uid="{00000000-0005-0000-0000-000013410000}"/>
    <cellStyle name="Normal 3 3 10 8" xfId="14186" xr:uid="{00000000-0005-0000-0000-000014410000}"/>
    <cellStyle name="Normal 3 3 10 9" xfId="14187" xr:uid="{00000000-0005-0000-0000-000015410000}"/>
    <cellStyle name="Normal 3 3 11" xfId="14188" xr:uid="{00000000-0005-0000-0000-000016410000}"/>
    <cellStyle name="Normal 3 3 11 10" xfId="14189" xr:uid="{00000000-0005-0000-0000-000017410000}"/>
    <cellStyle name="Normal 3 3 11 11" xfId="14190" xr:uid="{00000000-0005-0000-0000-000018410000}"/>
    <cellStyle name="Normal 3 3 11 12" xfId="14191" xr:uid="{00000000-0005-0000-0000-000019410000}"/>
    <cellStyle name="Normal 3 3 11 13" xfId="14192" xr:uid="{00000000-0005-0000-0000-00001A410000}"/>
    <cellStyle name="Normal 3 3 11 14" xfId="14193" xr:uid="{00000000-0005-0000-0000-00001B410000}"/>
    <cellStyle name="Normal 3 3 11 15" xfId="14194" xr:uid="{00000000-0005-0000-0000-00001C410000}"/>
    <cellStyle name="Normal 3 3 11 2" xfId="14195" xr:uid="{00000000-0005-0000-0000-00001D410000}"/>
    <cellStyle name="Normal 3 3 11 3" xfId="14196" xr:uid="{00000000-0005-0000-0000-00001E410000}"/>
    <cellStyle name="Normal 3 3 11 4" xfId="14197" xr:uid="{00000000-0005-0000-0000-00001F410000}"/>
    <cellStyle name="Normal 3 3 11 5" xfId="14198" xr:uid="{00000000-0005-0000-0000-000020410000}"/>
    <cellStyle name="Normal 3 3 11 6" xfId="14199" xr:uid="{00000000-0005-0000-0000-000021410000}"/>
    <cellStyle name="Normal 3 3 11 7" xfId="14200" xr:uid="{00000000-0005-0000-0000-000022410000}"/>
    <cellStyle name="Normal 3 3 11 8" xfId="14201" xr:uid="{00000000-0005-0000-0000-000023410000}"/>
    <cellStyle name="Normal 3 3 11 9" xfId="14202" xr:uid="{00000000-0005-0000-0000-000024410000}"/>
    <cellStyle name="Normal 3 3 12" xfId="14203" xr:uid="{00000000-0005-0000-0000-000025410000}"/>
    <cellStyle name="Normal 3 3 13" xfId="14204" xr:uid="{00000000-0005-0000-0000-000026410000}"/>
    <cellStyle name="Normal 3 3 14" xfId="14205" xr:uid="{00000000-0005-0000-0000-000027410000}"/>
    <cellStyle name="Normal 3 3 15" xfId="14206" xr:uid="{00000000-0005-0000-0000-000028410000}"/>
    <cellStyle name="Normal 3 3 16" xfId="14207" xr:uid="{00000000-0005-0000-0000-000029410000}"/>
    <cellStyle name="Normal 3 3 17" xfId="14208" xr:uid="{00000000-0005-0000-0000-00002A410000}"/>
    <cellStyle name="Normal 3 3 2" xfId="14209" xr:uid="{00000000-0005-0000-0000-00002B410000}"/>
    <cellStyle name="Normal 3 3 2 10" xfId="14210" xr:uid="{00000000-0005-0000-0000-00002C410000}"/>
    <cellStyle name="Normal 3 3 2 11" xfId="14211" xr:uid="{00000000-0005-0000-0000-00002D410000}"/>
    <cellStyle name="Normal 3 3 2 12" xfId="14212" xr:uid="{00000000-0005-0000-0000-00002E410000}"/>
    <cellStyle name="Normal 3 3 2 13" xfId="14213" xr:uid="{00000000-0005-0000-0000-00002F410000}"/>
    <cellStyle name="Normal 3 3 2 14" xfId="14214" xr:uid="{00000000-0005-0000-0000-000030410000}"/>
    <cellStyle name="Normal 3 3 2 15" xfId="14215" xr:uid="{00000000-0005-0000-0000-000031410000}"/>
    <cellStyle name="Normal 3 3 2 16" xfId="14216" xr:uid="{00000000-0005-0000-0000-000032410000}"/>
    <cellStyle name="Normal 3 3 2 17" xfId="14217" xr:uid="{00000000-0005-0000-0000-000033410000}"/>
    <cellStyle name="Normal 3 3 2 18" xfId="14218" xr:uid="{00000000-0005-0000-0000-000034410000}"/>
    <cellStyle name="Normal 3 3 2 19" xfId="14219" xr:uid="{00000000-0005-0000-0000-000035410000}"/>
    <cellStyle name="Normal 3 3 2 2" xfId="14220" xr:uid="{00000000-0005-0000-0000-000036410000}"/>
    <cellStyle name="Normal 3 3 2 2 10" xfId="14221" xr:uid="{00000000-0005-0000-0000-000037410000}"/>
    <cellStyle name="Normal 3 3 2 2 11" xfId="14222" xr:uid="{00000000-0005-0000-0000-000038410000}"/>
    <cellStyle name="Normal 3 3 2 2 12" xfId="14223" xr:uid="{00000000-0005-0000-0000-000039410000}"/>
    <cellStyle name="Normal 3 3 2 2 13" xfId="14224" xr:uid="{00000000-0005-0000-0000-00003A410000}"/>
    <cellStyle name="Normal 3 3 2 2 14" xfId="14225" xr:uid="{00000000-0005-0000-0000-00003B410000}"/>
    <cellStyle name="Normal 3 3 2 2 15" xfId="14226" xr:uid="{00000000-0005-0000-0000-00003C410000}"/>
    <cellStyle name="Normal 3 3 2 2 16" xfId="14227" xr:uid="{00000000-0005-0000-0000-00003D410000}"/>
    <cellStyle name="Normal 3 3 2 2 17" xfId="14228" xr:uid="{00000000-0005-0000-0000-00003E410000}"/>
    <cellStyle name="Normal 3 3 2 2 18" xfId="14229" xr:uid="{00000000-0005-0000-0000-00003F410000}"/>
    <cellStyle name="Normal 3 3 2 2 19" xfId="14230" xr:uid="{00000000-0005-0000-0000-000040410000}"/>
    <cellStyle name="Normal 3 3 2 2 2" xfId="14231" xr:uid="{00000000-0005-0000-0000-000041410000}"/>
    <cellStyle name="Normal 3 3 2 2 2 2" xfId="14232" xr:uid="{00000000-0005-0000-0000-000042410000}"/>
    <cellStyle name="Normal 3 3 2 2 2 3" xfId="14233" xr:uid="{00000000-0005-0000-0000-000043410000}"/>
    <cellStyle name="Normal 3 3 2 2 2 4" xfId="14234" xr:uid="{00000000-0005-0000-0000-000044410000}"/>
    <cellStyle name="Normal 3 3 2 2 2 5" xfId="14235" xr:uid="{00000000-0005-0000-0000-000045410000}"/>
    <cellStyle name="Normal 3 3 2 2 2 6" xfId="14236" xr:uid="{00000000-0005-0000-0000-000046410000}"/>
    <cellStyle name="Normal 3 3 2 2 2 7" xfId="14237" xr:uid="{00000000-0005-0000-0000-000047410000}"/>
    <cellStyle name="Normal 3 3 2 2 20" xfId="14238" xr:uid="{00000000-0005-0000-0000-000048410000}"/>
    <cellStyle name="Normal 3 3 2 2 21" xfId="14239" xr:uid="{00000000-0005-0000-0000-000049410000}"/>
    <cellStyle name="Normal 3 3 2 2 3" xfId="14240" xr:uid="{00000000-0005-0000-0000-00004A410000}"/>
    <cellStyle name="Normal 3 3 2 2 4" xfId="14241" xr:uid="{00000000-0005-0000-0000-00004B410000}"/>
    <cellStyle name="Normal 3 3 2 2 5" xfId="14242" xr:uid="{00000000-0005-0000-0000-00004C410000}"/>
    <cellStyle name="Normal 3 3 2 2 6" xfId="14243" xr:uid="{00000000-0005-0000-0000-00004D410000}"/>
    <cellStyle name="Normal 3 3 2 2 7" xfId="14244" xr:uid="{00000000-0005-0000-0000-00004E410000}"/>
    <cellStyle name="Normal 3 3 2 2 8" xfId="14245" xr:uid="{00000000-0005-0000-0000-00004F410000}"/>
    <cellStyle name="Normal 3 3 2 2 9" xfId="14246" xr:uid="{00000000-0005-0000-0000-000050410000}"/>
    <cellStyle name="Normal 3 3 2 20" xfId="14247" xr:uid="{00000000-0005-0000-0000-000051410000}"/>
    <cellStyle name="Normal 3 3 2 21" xfId="14248" xr:uid="{00000000-0005-0000-0000-000052410000}"/>
    <cellStyle name="Normal 3 3 2 22" xfId="14249" xr:uid="{00000000-0005-0000-0000-000053410000}"/>
    <cellStyle name="Normal 3 3 2 23" xfId="14250" xr:uid="{00000000-0005-0000-0000-000054410000}"/>
    <cellStyle name="Normal 3 3 2 24" xfId="14251" xr:uid="{00000000-0005-0000-0000-000055410000}"/>
    <cellStyle name="Normal 3 3 2 25" xfId="40670" xr:uid="{00000000-0005-0000-0000-000056410000}"/>
    <cellStyle name="Normal 3 3 2 3" xfId="14252" xr:uid="{00000000-0005-0000-0000-000057410000}"/>
    <cellStyle name="Normal 3 3 2 3 2" xfId="14253" xr:uid="{00000000-0005-0000-0000-000058410000}"/>
    <cellStyle name="Normal 3 3 2 4" xfId="14254" xr:uid="{00000000-0005-0000-0000-000059410000}"/>
    <cellStyle name="Normal 3 3 2 4 2" xfId="14255" xr:uid="{00000000-0005-0000-0000-00005A410000}"/>
    <cellStyle name="Normal 3 3 2 5" xfId="14256" xr:uid="{00000000-0005-0000-0000-00005B410000}"/>
    <cellStyle name="Normal 3 3 2 5 2" xfId="14257" xr:uid="{00000000-0005-0000-0000-00005C410000}"/>
    <cellStyle name="Normal 3 3 2 6" xfId="14258" xr:uid="{00000000-0005-0000-0000-00005D410000}"/>
    <cellStyle name="Normal 3 3 2 6 2" xfId="14259" xr:uid="{00000000-0005-0000-0000-00005E410000}"/>
    <cellStyle name="Normal 3 3 2 7" xfId="14260" xr:uid="{00000000-0005-0000-0000-00005F410000}"/>
    <cellStyle name="Normal 3 3 2 8" xfId="14261" xr:uid="{00000000-0005-0000-0000-000060410000}"/>
    <cellStyle name="Normal 3 3 2 9" xfId="14262" xr:uid="{00000000-0005-0000-0000-000061410000}"/>
    <cellStyle name="Normal 3 3 3" xfId="14263" xr:uid="{00000000-0005-0000-0000-000062410000}"/>
    <cellStyle name="Normal 3 3 3 10" xfId="14264" xr:uid="{00000000-0005-0000-0000-000063410000}"/>
    <cellStyle name="Normal 3 3 3 11" xfId="14265" xr:uid="{00000000-0005-0000-0000-000064410000}"/>
    <cellStyle name="Normal 3 3 3 12" xfId="14266" xr:uid="{00000000-0005-0000-0000-000065410000}"/>
    <cellStyle name="Normal 3 3 3 13" xfId="14267" xr:uid="{00000000-0005-0000-0000-000066410000}"/>
    <cellStyle name="Normal 3 3 3 14" xfId="14268" xr:uid="{00000000-0005-0000-0000-000067410000}"/>
    <cellStyle name="Normal 3 3 3 15" xfId="14269" xr:uid="{00000000-0005-0000-0000-000068410000}"/>
    <cellStyle name="Normal 3 3 3 16" xfId="14270" xr:uid="{00000000-0005-0000-0000-000069410000}"/>
    <cellStyle name="Normal 3 3 3 17" xfId="14271" xr:uid="{00000000-0005-0000-0000-00006A410000}"/>
    <cellStyle name="Normal 3 3 3 18" xfId="14272" xr:uid="{00000000-0005-0000-0000-00006B410000}"/>
    <cellStyle name="Normal 3 3 3 19" xfId="14273" xr:uid="{00000000-0005-0000-0000-00006C410000}"/>
    <cellStyle name="Normal 3 3 3 2" xfId="14274" xr:uid="{00000000-0005-0000-0000-00006D410000}"/>
    <cellStyle name="Normal 3 3 3 2 2" xfId="14275" xr:uid="{00000000-0005-0000-0000-00006E410000}"/>
    <cellStyle name="Normal 3 3 3 20" xfId="40671" xr:uid="{00000000-0005-0000-0000-00006F410000}"/>
    <cellStyle name="Normal 3 3 3 3" xfId="14276" xr:uid="{00000000-0005-0000-0000-000070410000}"/>
    <cellStyle name="Normal 3 3 3 3 2" xfId="14277" xr:uid="{00000000-0005-0000-0000-000071410000}"/>
    <cellStyle name="Normal 3 3 3 4" xfId="14278" xr:uid="{00000000-0005-0000-0000-000072410000}"/>
    <cellStyle name="Normal 3 3 3 4 2" xfId="14279" xr:uid="{00000000-0005-0000-0000-000073410000}"/>
    <cellStyle name="Normal 3 3 3 5" xfId="14280" xr:uid="{00000000-0005-0000-0000-000074410000}"/>
    <cellStyle name="Normal 3 3 3 5 2" xfId="14281" xr:uid="{00000000-0005-0000-0000-000075410000}"/>
    <cellStyle name="Normal 3 3 3 6" xfId="14282" xr:uid="{00000000-0005-0000-0000-000076410000}"/>
    <cellStyle name="Normal 3 3 3 6 2" xfId="14283" xr:uid="{00000000-0005-0000-0000-000077410000}"/>
    <cellStyle name="Normal 3 3 3 7" xfId="14284" xr:uid="{00000000-0005-0000-0000-000078410000}"/>
    <cellStyle name="Normal 3 3 3 8" xfId="14285" xr:uid="{00000000-0005-0000-0000-000079410000}"/>
    <cellStyle name="Normal 3 3 3 9" xfId="14286" xr:uid="{00000000-0005-0000-0000-00007A410000}"/>
    <cellStyle name="Normal 3 3 4" xfId="14287" xr:uid="{00000000-0005-0000-0000-00007B410000}"/>
    <cellStyle name="Normal 3 3 4 10" xfId="14288" xr:uid="{00000000-0005-0000-0000-00007C410000}"/>
    <cellStyle name="Normal 3 3 4 11" xfId="14289" xr:uid="{00000000-0005-0000-0000-00007D410000}"/>
    <cellStyle name="Normal 3 3 4 12" xfId="14290" xr:uid="{00000000-0005-0000-0000-00007E410000}"/>
    <cellStyle name="Normal 3 3 4 13" xfId="14291" xr:uid="{00000000-0005-0000-0000-00007F410000}"/>
    <cellStyle name="Normal 3 3 4 14" xfId="14292" xr:uid="{00000000-0005-0000-0000-000080410000}"/>
    <cellStyle name="Normal 3 3 4 15" xfId="14293" xr:uid="{00000000-0005-0000-0000-000081410000}"/>
    <cellStyle name="Normal 3 3 4 16" xfId="14294" xr:uid="{00000000-0005-0000-0000-000082410000}"/>
    <cellStyle name="Normal 3 3 4 17" xfId="40672" xr:uid="{00000000-0005-0000-0000-000083410000}"/>
    <cellStyle name="Normal 3 3 4 2" xfId="14295" xr:uid="{00000000-0005-0000-0000-000084410000}"/>
    <cellStyle name="Normal 3 3 4 3" xfId="14296" xr:uid="{00000000-0005-0000-0000-000085410000}"/>
    <cellStyle name="Normal 3 3 4 4" xfId="14297" xr:uid="{00000000-0005-0000-0000-000086410000}"/>
    <cellStyle name="Normal 3 3 4 5" xfId="14298" xr:uid="{00000000-0005-0000-0000-000087410000}"/>
    <cellStyle name="Normal 3 3 4 6" xfId="14299" xr:uid="{00000000-0005-0000-0000-000088410000}"/>
    <cellStyle name="Normal 3 3 4 7" xfId="14300" xr:uid="{00000000-0005-0000-0000-000089410000}"/>
    <cellStyle name="Normal 3 3 4 8" xfId="14301" xr:uid="{00000000-0005-0000-0000-00008A410000}"/>
    <cellStyle name="Normal 3 3 4 9" xfId="14302" xr:uid="{00000000-0005-0000-0000-00008B410000}"/>
    <cellStyle name="Normal 3 3 5" xfId="14303" xr:uid="{00000000-0005-0000-0000-00008C410000}"/>
    <cellStyle name="Normal 3 3 5 10" xfId="14304" xr:uid="{00000000-0005-0000-0000-00008D410000}"/>
    <cellStyle name="Normal 3 3 5 11" xfId="14305" xr:uid="{00000000-0005-0000-0000-00008E410000}"/>
    <cellStyle name="Normal 3 3 5 12" xfId="14306" xr:uid="{00000000-0005-0000-0000-00008F410000}"/>
    <cellStyle name="Normal 3 3 5 13" xfId="14307" xr:uid="{00000000-0005-0000-0000-000090410000}"/>
    <cellStyle name="Normal 3 3 5 14" xfId="14308" xr:uid="{00000000-0005-0000-0000-000091410000}"/>
    <cellStyle name="Normal 3 3 5 15" xfId="14309" xr:uid="{00000000-0005-0000-0000-000092410000}"/>
    <cellStyle name="Normal 3 3 5 16" xfId="14310" xr:uid="{00000000-0005-0000-0000-000093410000}"/>
    <cellStyle name="Normal 3 3 5 2" xfId="14311" xr:uid="{00000000-0005-0000-0000-000094410000}"/>
    <cellStyle name="Normal 3 3 5 3" xfId="14312" xr:uid="{00000000-0005-0000-0000-000095410000}"/>
    <cellStyle name="Normal 3 3 5 4" xfId="14313" xr:uid="{00000000-0005-0000-0000-000096410000}"/>
    <cellStyle name="Normal 3 3 5 5" xfId="14314" xr:uid="{00000000-0005-0000-0000-000097410000}"/>
    <cellStyle name="Normal 3 3 5 6" xfId="14315" xr:uid="{00000000-0005-0000-0000-000098410000}"/>
    <cellStyle name="Normal 3 3 5 7" xfId="14316" xr:uid="{00000000-0005-0000-0000-000099410000}"/>
    <cellStyle name="Normal 3 3 5 8" xfId="14317" xr:uid="{00000000-0005-0000-0000-00009A410000}"/>
    <cellStyle name="Normal 3 3 5 9" xfId="14318" xr:uid="{00000000-0005-0000-0000-00009B410000}"/>
    <cellStyle name="Normal 3 3 6" xfId="14319" xr:uid="{00000000-0005-0000-0000-00009C410000}"/>
    <cellStyle name="Normal 3 3 6 2" xfId="14320" xr:uid="{00000000-0005-0000-0000-00009D410000}"/>
    <cellStyle name="Normal 3 3 7" xfId="14321" xr:uid="{00000000-0005-0000-0000-00009E410000}"/>
    <cellStyle name="Normal 3 3 7 2" xfId="14322" xr:uid="{00000000-0005-0000-0000-00009F410000}"/>
    <cellStyle name="Normal 3 3 8" xfId="14323" xr:uid="{00000000-0005-0000-0000-0000A0410000}"/>
    <cellStyle name="Normal 3 3 8 2" xfId="14324" xr:uid="{00000000-0005-0000-0000-0000A1410000}"/>
    <cellStyle name="Normal 3 3 9" xfId="14325" xr:uid="{00000000-0005-0000-0000-0000A2410000}"/>
    <cellStyle name="Normal 3 3 9 10" xfId="14326" xr:uid="{00000000-0005-0000-0000-0000A3410000}"/>
    <cellStyle name="Normal 3 3 9 11" xfId="14327" xr:uid="{00000000-0005-0000-0000-0000A4410000}"/>
    <cellStyle name="Normal 3 3 9 12" xfId="14328" xr:uid="{00000000-0005-0000-0000-0000A5410000}"/>
    <cellStyle name="Normal 3 3 9 13" xfId="14329" xr:uid="{00000000-0005-0000-0000-0000A6410000}"/>
    <cellStyle name="Normal 3 3 9 14" xfId="14330" xr:uid="{00000000-0005-0000-0000-0000A7410000}"/>
    <cellStyle name="Normal 3 3 9 15" xfId="14331" xr:uid="{00000000-0005-0000-0000-0000A8410000}"/>
    <cellStyle name="Normal 3 3 9 2" xfId="14332" xr:uid="{00000000-0005-0000-0000-0000A9410000}"/>
    <cellStyle name="Normal 3 3 9 3" xfId="14333" xr:uid="{00000000-0005-0000-0000-0000AA410000}"/>
    <cellStyle name="Normal 3 3 9 4" xfId="14334" xr:uid="{00000000-0005-0000-0000-0000AB410000}"/>
    <cellStyle name="Normal 3 3 9 5" xfId="14335" xr:uid="{00000000-0005-0000-0000-0000AC410000}"/>
    <cellStyle name="Normal 3 3 9 6" xfId="14336" xr:uid="{00000000-0005-0000-0000-0000AD410000}"/>
    <cellStyle name="Normal 3 3 9 7" xfId="14337" xr:uid="{00000000-0005-0000-0000-0000AE410000}"/>
    <cellStyle name="Normal 3 3 9 8" xfId="14338" xr:uid="{00000000-0005-0000-0000-0000AF410000}"/>
    <cellStyle name="Normal 3 3 9 9" xfId="14339" xr:uid="{00000000-0005-0000-0000-0000B0410000}"/>
    <cellStyle name="Normal 3 30" xfId="14340" xr:uid="{00000000-0005-0000-0000-0000B1410000}"/>
    <cellStyle name="Normal 3 31" xfId="14341" xr:uid="{00000000-0005-0000-0000-0000B2410000}"/>
    <cellStyle name="Normal 3 32" xfId="14342" xr:uid="{00000000-0005-0000-0000-0000B3410000}"/>
    <cellStyle name="Normal 3 33" xfId="14343" xr:uid="{00000000-0005-0000-0000-0000B4410000}"/>
    <cellStyle name="Normal 3 34" xfId="14344" xr:uid="{00000000-0005-0000-0000-0000B5410000}"/>
    <cellStyle name="Normal 3 35" xfId="14345" xr:uid="{00000000-0005-0000-0000-0000B6410000}"/>
    <cellStyle name="Normal 3 36" xfId="14346" xr:uid="{00000000-0005-0000-0000-0000B7410000}"/>
    <cellStyle name="Normal 3 37" xfId="14347" xr:uid="{00000000-0005-0000-0000-0000B8410000}"/>
    <cellStyle name="Normal 3 38" xfId="14348" xr:uid="{00000000-0005-0000-0000-0000B9410000}"/>
    <cellStyle name="Normal 3 39" xfId="14349" xr:uid="{00000000-0005-0000-0000-0000BA410000}"/>
    <cellStyle name="Normal 3 4" xfId="14350" xr:uid="{00000000-0005-0000-0000-0000BB410000}"/>
    <cellStyle name="Normal 3 4 10" xfId="14351" xr:uid="{00000000-0005-0000-0000-0000BC410000}"/>
    <cellStyle name="Normal 3 4 11" xfId="14352" xr:uid="{00000000-0005-0000-0000-0000BD410000}"/>
    <cellStyle name="Normal 3 4 2" xfId="14353" xr:uid="{00000000-0005-0000-0000-0000BE410000}"/>
    <cellStyle name="Normal 3 4 2 10" xfId="14354" xr:uid="{00000000-0005-0000-0000-0000BF410000}"/>
    <cellStyle name="Normal 3 4 2 11" xfId="14355" xr:uid="{00000000-0005-0000-0000-0000C0410000}"/>
    <cellStyle name="Normal 3 4 2 12" xfId="14356" xr:uid="{00000000-0005-0000-0000-0000C1410000}"/>
    <cellStyle name="Normal 3 4 2 13" xfId="14357" xr:uid="{00000000-0005-0000-0000-0000C2410000}"/>
    <cellStyle name="Normal 3 4 2 14" xfId="14358" xr:uid="{00000000-0005-0000-0000-0000C3410000}"/>
    <cellStyle name="Normal 3 4 2 15" xfId="14359" xr:uid="{00000000-0005-0000-0000-0000C4410000}"/>
    <cellStyle name="Normal 3 4 2 16" xfId="14360" xr:uid="{00000000-0005-0000-0000-0000C5410000}"/>
    <cellStyle name="Normal 3 4 2 17" xfId="14361" xr:uid="{00000000-0005-0000-0000-0000C6410000}"/>
    <cellStyle name="Normal 3 4 2 18" xfId="14362" xr:uid="{00000000-0005-0000-0000-0000C7410000}"/>
    <cellStyle name="Normal 3 4 2 19" xfId="14363" xr:uid="{00000000-0005-0000-0000-0000C8410000}"/>
    <cellStyle name="Normal 3 4 2 2" xfId="14364" xr:uid="{00000000-0005-0000-0000-0000C9410000}"/>
    <cellStyle name="Normal 3 4 2 2 2" xfId="14365" xr:uid="{00000000-0005-0000-0000-0000CA410000}"/>
    <cellStyle name="Normal 3 4 2 2 3" xfId="14366" xr:uid="{00000000-0005-0000-0000-0000CB410000}"/>
    <cellStyle name="Normal 3 4 2 2 4" xfId="14367" xr:uid="{00000000-0005-0000-0000-0000CC410000}"/>
    <cellStyle name="Normal 3 4 2 2 5" xfId="14368" xr:uid="{00000000-0005-0000-0000-0000CD410000}"/>
    <cellStyle name="Normal 3 4 2 2 6" xfId="14369" xr:uid="{00000000-0005-0000-0000-0000CE410000}"/>
    <cellStyle name="Normal 3 4 2 2 7" xfId="14370" xr:uid="{00000000-0005-0000-0000-0000CF410000}"/>
    <cellStyle name="Normal 3 4 2 20" xfId="14371" xr:uid="{00000000-0005-0000-0000-0000D0410000}"/>
    <cellStyle name="Normal 3 4 2 21" xfId="14372" xr:uid="{00000000-0005-0000-0000-0000D1410000}"/>
    <cellStyle name="Normal 3 4 2 22" xfId="40673" xr:uid="{00000000-0005-0000-0000-0000D2410000}"/>
    <cellStyle name="Normal 3 4 2 3" xfId="14373" xr:uid="{00000000-0005-0000-0000-0000D3410000}"/>
    <cellStyle name="Normal 3 4 2 4" xfId="14374" xr:uid="{00000000-0005-0000-0000-0000D4410000}"/>
    <cellStyle name="Normal 3 4 2 5" xfId="14375" xr:uid="{00000000-0005-0000-0000-0000D5410000}"/>
    <cellStyle name="Normal 3 4 2 6" xfId="14376" xr:uid="{00000000-0005-0000-0000-0000D6410000}"/>
    <cellStyle name="Normal 3 4 2 7" xfId="14377" xr:uid="{00000000-0005-0000-0000-0000D7410000}"/>
    <cellStyle name="Normal 3 4 2 8" xfId="14378" xr:uid="{00000000-0005-0000-0000-0000D8410000}"/>
    <cellStyle name="Normal 3 4 2 9" xfId="14379" xr:uid="{00000000-0005-0000-0000-0000D9410000}"/>
    <cellStyle name="Normal 3 4 3" xfId="14380" xr:uid="{00000000-0005-0000-0000-0000DA410000}"/>
    <cellStyle name="Normal 3 4 3 10" xfId="14381" xr:uid="{00000000-0005-0000-0000-0000DB410000}"/>
    <cellStyle name="Normal 3 4 3 11" xfId="14382" xr:uid="{00000000-0005-0000-0000-0000DC410000}"/>
    <cellStyle name="Normal 3 4 3 12" xfId="14383" xr:uid="{00000000-0005-0000-0000-0000DD410000}"/>
    <cellStyle name="Normal 3 4 3 13" xfId="14384" xr:uid="{00000000-0005-0000-0000-0000DE410000}"/>
    <cellStyle name="Normal 3 4 3 14" xfId="14385" xr:uid="{00000000-0005-0000-0000-0000DF410000}"/>
    <cellStyle name="Normal 3 4 3 15" xfId="14386" xr:uid="{00000000-0005-0000-0000-0000E0410000}"/>
    <cellStyle name="Normal 3 4 3 16" xfId="14387" xr:uid="{00000000-0005-0000-0000-0000E1410000}"/>
    <cellStyle name="Normal 3 4 3 17" xfId="40674" xr:uid="{00000000-0005-0000-0000-0000E2410000}"/>
    <cellStyle name="Normal 3 4 3 2" xfId="14388" xr:uid="{00000000-0005-0000-0000-0000E3410000}"/>
    <cellStyle name="Normal 3 4 3 3" xfId="14389" xr:uid="{00000000-0005-0000-0000-0000E4410000}"/>
    <cellStyle name="Normal 3 4 3 4" xfId="14390" xr:uid="{00000000-0005-0000-0000-0000E5410000}"/>
    <cellStyle name="Normal 3 4 3 5" xfId="14391" xr:uid="{00000000-0005-0000-0000-0000E6410000}"/>
    <cellStyle name="Normal 3 4 3 6" xfId="14392" xr:uid="{00000000-0005-0000-0000-0000E7410000}"/>
    <cellStyle name="Normal 3 4 3 7" xfId="14393" xr:uid="{00000000-0005-0000-0000-0000E8410000}"/>
    <cellStyle name="Normal 3 4 3 8" xfId="14394" xr:uid="{00000000-0005-0000-0000-0000E9410000}"/>
    <cellStyle name="Normal 3 4 3 9" xfId="14395" xr:uid="{00000000-0005-0000-0000-0000EA410000}"/>
    <cellStyle name="Normal 3 4 4" xfId="14396" xr:uid="{00000000-0005-0000-0000-0000EB410000}"/>
    <cellStyle name="Normal 3 4 4 2" xfId="40675" xr:uid="{00000000-0005-0000-0000-0000EC410000}"/>
    <cellStyle name="Normal 3 4 5" xfId="14397" xr:uid="{00000000-0005-0000-0000-0000ED410000}"/>
    <cellStyle name="Normal 3 4 6" xfId="14398" xr:uid="{00000000-0005-0000-0000-0000EE410000}"/>
    <cellStyle name="Normal 3 4 7" xfId="14399" xr:uid="{00000000-0005-0000-0000-0000EF410000}"/>
    <cellStyle name="Normal 3 4 8" xfId="14400" xr:uid="{00000000-0005-0000-0000-0000F0410000}"/>
    <cellStyle name="Normal 3 4 9" xfId="14401" xr:uid="{00000000-0005-0000-0000-0000F1410000}"/>
    <cellStyle name="Normal 3 40" xfId="14402" xr:uid="{00000000-0005-0000-0000-0000F2410000}"/>
    <cellStyle name="Normal 3 41" xfId="14403" xr:uid="{00000000-0005-0000-0000-0000F3410000}"/>
    <cellStyle name="Normal 3 42" xfId="14404" xr:uid="{00000000-0005-0000-0000-0000F4410000}"/>
    <cellStyle name="Normal 3 43" xfId="14405" xr:uid="{00000000-0005-0000-0000-0000F5410000}"/>
    <cellStyle name="Normal 3 44" xfId="14406" xr:uid="{00000000-0005-0000-0000-0000F6410000}"/>
    <cellStyle name="Normal 3 45" xfId="14407" xr:uid="{00000000-0005-0000-0000-0000F7410000}"/>
    <cellStyle name="Normal 3 46" xfId="14408" xr:uid="{00000000-0005-0000-0000-0000F8410000}"/>
    <cellStyle name="Normal 3 47" xfId="14409" xr:uid="{00000000-0005-0000-0000-0000F9410000}"/>
    <cellStyle name="Normal 3 48" xfId="14410" xr:uid="{00000000-0005-0000-0000-0000FA410000}"/>
    <cellStyle name="Normal 3 49" xfId="14411" xr:uid="{00000000-0005-0000-0000-0000FB410000}"/>
    <cellStyle name="Normal 3 5" xfId="14412" xr:uid="{00000000-0005-0000-0000-0000FC410000}"/>
    <cellStyle name="Normal 3 5 10" xfId="14413" xr:uid="{00000000-0005-0000-0000-0000FD410000}"/>
    <cellStyle name="Normal 3 5 11" xfId="14414" xr:uid="{00000000-0005-0000-0000-0000FE410000}"/>
    <cellStyle name="Normal 3 5 2" xfId="14415" xr:uid="{00000000-0005-0000-0000-0000FF410000}"/>
    <cellStyle name="Normal 3 5 2 10" xfId="14416" xr:uid="{00000000-0005-0000-0000-000000420000}"/>
    <cellStyle name="Normal 3 5 2 11" xfId="14417" xr:uid="{00000000-0005-0000-0000-000001420000}"/>
    <cellStyle name="Normal 3 5 2 12" xfId="14418" xr:uid="{00000000-0005-0000-0000-000002420000}"/>
    <cellStyle name="Normal 3 5 2 13" xfId="14419" xr:uid="{00000000-0005-0000-0000-000003420000}"/>
    <cellStyle name="Normal 3 5 2 14" xfId="14420" xr:uid="{00000000-0005-0000-0000-000004420000}"/>
    <cellStyle name="Normal 3 5 2 15" xfId="14421" xr:uid="{00000000-0005-0000-0000-000005420000}"/>
    <cellStyle name="Normal 3 5 2 16" xfId="14422" xr:uid="{00000000-0005-0000-0000-000006420000}"/>
    <cellStyle name="Normal 3 5 2 17" xfId="14423" xr:uid="{00000000-0005-0000-0000-000007420000}"/>
    <cellStyle name="Normal 3 5 2 18" xfId="14424" xr:uid="{00000000-0005-0000-0000-000008420000}"/>
    <cellStyle name="Normal 3 5 2 19" xfId="14425" xr:uid="{00000000-0005-0000-0000-000009420000}"/>
    <cellStyle name="Normal 3 5 2 2" xfId="14426" xr:uid="{00000000-0005-0000-0000-00000A420000}"/>
    <cellStyle name="Normal 3 5 2 2 2" xfId="14427" xr:uid="{00000000-0005-0000-0000-00000B420000}"/>
    <cellStyle name="Normal 3 5 2 2 3" xfId="14428" xr:uid="{00000000-0005-0000-0000-00000C420000}"/>
    <cellStyle name="Normal 3 5 2 2 4" xfId="14429" xr:uid="{00000000-0005-0000-0000-00000D420000}"/>
    <cellStyle name="Normal 3 5 2 2 5" xfId="14430" xr:uid="{00000000-0005-0000-0000-00000E420000}"/>
    <cellStyle name="Normal 3 5 2 2 6" xfId="14431" xr:uid="{00000000-0005-0000-0000-00000F420000}"/>
    <cellStyle name="Normal 3 5 2 2 7" xfId="14432" xr:uid="{00000000-0005-0000-0000-000010420000}"/>
    <cellStyle name="Normal 3 5 2 20" xfId="14433" xr:uid="{00000000-0005-0000-0000-000011420000}"/>
    <cellStyle name="Normal 3 5 2 21" xfId="14434" xr:uid="{00000000-0005-0000-0000-000012420000}"/>
    <cellStyle name="Normal 3 5 2 22" xfId="40676" xr:uid="{00000000-0005-0000-0000-000013420000}"/>
    <cellStyle name="Normal 3 5 2 3" xfId="14435" xr:uid="{00000000-0005-0000-0000-000014420000}"/>
    <cellStyle name="Normal 3 5 2 4" xfId="14436" xr:uid="{00000000-0005-0000-0000-000015420000}"/>
    <cellStyle name="Normal 3 5 2 5" xfId="14437" xr:uid="{00000000-0005-0000-0000-000016420000}"/>
    <cellStyle name="Normal 3 5 2 6" xfId="14438" xr:uid="{00000000-0005-0000-0000-000017420000}"/>
    <cellStyle name="Normal 3 5 2 7" xfId="14439" xr:uid="{00000000-0005-0000-0000-000018420000}"/>
    <cellStyle name="Normal 3 5 2 8" xfId="14440" xr:uid="{00000000-0005-0000-0000-000019420000}"/>
    <cellStyle name="Normal 3 5 2 9" xfId="14441" xr:uid="{00000000-0005-0000-0000-00001A420000}"/>
    <cellStyle name="Normal 3 5 3" xfId="14442" xr:uid="{00000000-0005-0000-0000-00001B420000}"/>
    <cellStyle name="Normal 3 5 3 10" xfId="14443" xr:uid="{00000000-0005-0000-0000-00001C420000}"/>
    <cellStyle name="Normal 3 5 3 11" xfId="14444" xr:uid="{00000000-0005-0000-0000-00001D420000}"/>
    <cellStyle name="Normal 3 5 3 12" xfId="14445" xr:uid="{00000000-0005-0000-0000-00001E420000}"/>
    <cellStyle name="Normal 3 5 3 13" xfId="14446" xr:uid="{00000000-0005-0000-0000-00001F420000}"/>
    <cellStyle name="Normal 3 5 3 14" xfId="14447" xr:uid="{00000000-0005-0000-0000-000020420000}"/>
    <cellStyle name="Normal 3 5 3 15" xfId="14448" xr:uid="{00000000-0005-0000-0000-000021420000}"/>
    <cellStyle name="Normal 3 5 3 16" xfId="14449" xr:uid="{00000000-0005-0000-0000-000022420000}"/>
    <cellStyle name="Normal 3 5 3 17" xfId="40677" xr:uid="{00000000-0005-0000-0000-000023420000}"/>
    <cellStyle name="Normal 3 5 3 2" xfId="14450" xr:uid="{00000000-0005-0000-0000-000024420000}"/>
    <cellStyle name="Normal 3 5 3 3" xfId="14451" xr:uid="{00000000-0005-0000-0000-000025420000}"/>
    <cellStyle name="Normal 3 5 3 4" xfId="14452" xr:uid="{00000000-0005-0000-0000-000026420000}"/>
    <cellStyle name="Normal 3 5 3 5" xfId="14453" xr:uid="{00000000-0005-0000-0000-000027420000}"/>
    <cellStyle name="Normal 3 5 3 6" xfId="14454" xr:uid="{00000000-0005-0000-0000-000028420000}"/>
    <cellStyle name="Normal 3 5 3 7" xfId="14455" xr:uid="{00000000-0005-0000-0000-000029420000}"/>
    <cellStyle name="Normal 3 5 3 8" xfId="14456" xr:uid="{00000000-0005-0000-0000-00002A420000}"/>
    <cellStyle name="Normal 3 5 3 9" xfId="14457" xr:uid="{00000000-0005-0000-0000-00002B420000}"/>
    <cellStyle name="Normal 3 5 4" xfId="14458" xr:uid="{00000000-0005-0000-0000-00002C420000}"/>
    <cellStyle name="Normal 3 5 4 2" xfId="40678" xr:uid="{00000000-0005-0000-0000-00002D420000}"/>
    <cellStyle name="Normal 3 5 5" xfId="14459" xr:uid="{00000000-0005-0000-0000-00002E420000}"/>
    <cellStyle name="Normal 3 5 6" xfId="14460" xr:uid="{00000000-0005-0000-0000-00002F420000}"/>
    <cellStyle name="Normal 3 5 7" xfId="14461" xr:uid="{00000000-0005-0000-0000-000030420000}"/>
    <cellStyle name="Normal 3 5 8" xfId="14462" xr:uid="{00000000-0005-0000-0000-000031420000}"/>
    <cellStyle name="Normal 3 5 9" xfId="14463" xr:uid="{00000000-0005-0000-0000-000032420000}"/>
    <cellStyle name="Normal 3 50" xfId="14464" xr:uid="{00000000-0005-0000-0000-000033420000}"/>
    <cellStyle name="Normal 3 51" xfId="14465" xr:uid="{00000000-0005-0000-0000-000034420000}"/>
    <cellStyle name="Normal 3 52" xfId="14466" xr:uid="{00000000-0005-0000-0000-000035420000}"/>
    <cellStyle name="Normal 3 53" xfId="14467" xr:uid="{00000000-0005-0000-0000-000036420000}"/>
    <cellStyle name="Normal 3 54" xfId="14468" xr:uid="{00000000-0005-0000-0000-000037420000}"/>
    <cellStyle name="Normal 3 55" xfId="14469" xr:uid="{00000000-0005-0000-0000-000038420000}"/>
    <cellStyle name="Normal 3 56" xfId="14470" xr:uid="{00000000-0005-0000-0000-000039420000}"/>
    <cellStyle name="Normal 3 57" xfId="14471" xr:uid="{00000000-0005-0000-0000-00003A420000}"/>
    <cellStyle name="Normal 3 58" xfId="14472" xr:uid="{00000000-0005-0000-0000-00003B420000}"/>
    <cellStyle name="Normal 3 6" xfId="14473" xr:uid="{00000000-0005-0000-0000-00003C420000}"/>
    <cellStyle name="Normal 3 6 10" xfId="14474" xr:uid="{00000000-0005-0000-0000-00003D420000}"/>
    <cellStyle name="Normal 3 6 11" xfId="14475" xr:uid="{00000000-0005-0000-0000-00003E420000}"/>
    <cellStyle name="Normal 3 6 2" xfId="14476" xr:uid="{00000000-0005-0000-0000-00003F420000}"/>
    <cellStyle name="Normal 3 6 2 10" xfId="14477" xr:uid="{00000000-0005-0000-0000-000040420000}"/>
    <cellStyle name="Normal 3 6 2 11" xfId="14478" xr:uid="{00000000-0005-0000-0000-000041420000}"/>
    <cellStyle name="Normal 3 6 2 12" xfId="14479" xr:uid="{00000000-0005-0000-0000-000042420000}"/>
    <cellStyle name="Normal 3 6 2 13" xfId="14480" xr:uid="{00000000-0005-0000-0000-000043420000}"/>
    <cellStyle name="Normal 3 6 2 14" xfId="14481" xr:uid="{00000000-0005-0000-0000-000044420000}"/>
    <cellStyle name="Normal 3 6 2 15" xfId="14482" xr:uid="{00000000-0005-0000-0000-000045420000}"/>
    <cellStyle name="Normal 3 6 2 16" xfId="14483" xr:uid="{00000000-0005-0000-0000-000046420000}"/>
    <cellStyle name="Normal 3 6 2 17" xfId="14484" xr:uid="{00000000-0005-0000-0000-000047420000}"/>
    <cellStyle name="Normal 3 6 2 18" xfId="14485" xr:uid="{00000000-0005-0000-0000-000048420000}"/>
    <cellStyle name="Normal 3 6 2 19" xfId="14486" xr:uid="{00000000-0005-0000-0000-000049420000}"/>
    <cellStyle name="Normal 3 6 2 2" xfId="14487" xr:uid="{00000000-0005-0000-0000-00004A420000}"/>
    <cellStyle name="Normal 3 6 2 2 2" xfId="14488" xr:uid="{00000000-0005-0000-0000-00004B420000}"/>
    <cellStyle name="Normal 3 6 2 2 3" xfId="14489" xr:uid="{00000000-0005-0000-0000-00004C420000}"/>
    <cellStyle name="Normal 3 6 2 2 4" xfId="14490" xr:uid="{00000000-0005-0000-0000-00004D420000}"/>
    <cellStyle name="Normal 3 6 2 2 5" xfId="14491" xr:uid="{00000000-0005-0000-0000-00004E420000}"/>
    <cellStyle name="Normal 3 6 2 2 6" xfId="14492" xr:uid="{00000000-0005-0000-0000-00004F420000}"/>
    <cellStyle name="Normal 3 6 2 2 7" xfId="14493" xr:uid="{00000000-0005-0000-0000-000050420000}"/>
    <cellStyle name="Normal 3 6 2 20" xfId="14494" xr:uid="{00000000-0005-0000-0000-000051420000}"/>
    <cellStyle name="Normal 3 6 2 21" xfId="14495" xr:uid="{00000000-0005-0000-0000-000052420000}"/>
    <cellStyle name="Normal 3 6 2 22" xfId="40679" xr:uid="{00000000-0005-0000-0000-000053420000}"/>
    <cellStyle name="Normal 3 6 2 3" xfId="14496" xr:uid="{00000000-0005-0000-0000-000054420000}"/>
    <cellStyle name="Normal 3 6 2 4" xfId="14497" xr:uid="{00000000-0005-0000-0000-000055420000}"/>
    <cellStyle name="Normal 3 6 2 5" xfId="14498" xr:uid="{00000000-0005-0000-0000-000056420000}"/>
    <cellStyle name="Normal 3 6 2 6" xfId="14499" xr:uid="{00000000-0005-0000-0000-000057420000}"/>
    <cellStyle name="Normal 3 6 2 7" xfId="14500" xr:uid="{00000000-0005-0000-0000-000058420000}"/>
    <cellStyle name="Normal 3 6 2 8" xfId="14501" xr:uid="{00000000-0005-0000-0000-000059420000}"/>
    <cellStyle name="Normal 3 6 2 9" xfId="14502" xr:uid="{00000000-0005-0000-0000-00005A420000}"/>
    <cellStyle name="Normal 3 6 3" xfId="14503" xr:uid="{00000000-0005-0000-0000-00005B420000}"/>
    <cellStyle name="Normal 3 6 3 10" xfId="14504" xr:uid="{00000000-0005-0000-0000-00005C420000}"/>
    <cellStyle name="Normal 3 6 3 11" xfId="14505" xr:uid="{00000000-0005-0000-0000-00005D420000}"/>
    <cellStyle name="Normal 3 6 3 12" xfId="14506" xr:uid="{00000000-0005-0000-0000-00005E420000}"/>
    <cellStyle name="Normal 3 6 3 13" xfId="14507" xr:uid="{00000000-0005-0000-0000-00005F420000}"/>
    <cellStyle name="Normal 3 6 3 14" xfId="14508" xr:uid="{00000000-0005-0000-0000-000060420000}"/>
    <cellStyle name="Normal 3 6 3 15" xfId="14509" xr:uid="{00000000-0005-0000-0000-000061420000}"/>
    <cellStyle name="Normal 3 6 3 16" xfId="14510" xr:uid="{00000000-0005-0000-0000-000062420000}"/>
    <cellStyle name="Normal 3 6 3 17" xfId="40680" xr:uid="{00000000-0005-0000-0000-000063420000}"/>
    <cellStyle name="Normal 3 6 3 2" xfId="14511" xr:uid="{00000000-0005-0000-0000-000064420000}"/>
    <cellStyle name="Normal 3 6 3 3" xfId="14512" xr:uid="{00000000-0005-0000-0000-000065420000}"/>
    <cellStyle name="Normal 3 6 3 4" xfId="14513" xr:uid="{00000000-0005-0000-0000-000066420000}"/>
    <cellStyle name="Normal 3 6 3 5" xfId="14514" xr:uid="{00000000-0005-0000-0000-000067420000}"/>
    <cellStyle name="Normal 3 6 3 6" xfId="14515" xr:uid="{00000000-0005-0000-0000-000068420000}"/>
    <cellStyle name="Normal 3 6 3 7" xfId="14516" xr:uid="{00000000-0005-0000-0000-000069420000}"/>
    <cellStyle name="Normal 3 6 3 8" xfId="14517" xr:uid="{00000000-0005-0000-0000-00006A420000}"/>
    <cellStyle name="Normal 3 6 3 9" xfId="14518" xr:uid="{00000000-0005-0000-0000-00006B420000}"/>
    <cellStyle name="Normal 3 6 4" xfId="14519" xr:uid="{00000000-0005-0000-0000-00006C420000}"/>
    <cellStyle name="Normal 3 6 4 2" xfId="40681" xr:uid="{00000000-0005-0000-0000-00006D420000}"/>
    <cellStyle name="Normal 3 6 5" xfId="14520" xr:uid="{00000000-0005-0000-0000-00006E420000}"/>
    <cellStyle name="Normal 3 6 6" xfId="14521" xr:uid="{00000000-0005-0000-0000-00006F420000}"/>
    <cellStyle name="Normal 3 6 7" xfId="14522" xr:uid="{00000000-0005-0000-0000-000070420000}"/>
    <cellStyle name="Normal 3 6 8" xfId="14523" xr:uid="{00000000-0005-0000-0000-000071420000}"/>
    <cellStyle name="Normal 3 6 9" xfId="14524" xr:uid="{00000000-0005-0000-0000-000072420000}"/>
    <cellStyle name="Normal 3 7" xfId="14525" xr:uid="{00000000-0005-0000-0000-000073420000}"/>
    <cellStyle name="Normal 3 7 10" xfId="14526" xr:uid="{00000000-0005-0000-0000-000074420000}"/>
    <cellStyle name="Normal 3 7 11" xfId="14527" xr:uid="{00000000-0005-0000-0000-000075420000}"/>
    <cellStyle name="Normal 3 7 2" xfId="14528" xr:uid="{00000000-0005-0000-0000-000076420000}"/>
    <cellStyle name="Normal 3 7 2 10" xfId="14529" xr:uid="{00000000-0005-0000-0000-000077420000}"/>
    <cellStyle name="Normal 3 7 2 11" xfId="14530" xr:uid="{00000000-0005-0000-0000-000078420000}"/>
    <cellStyle name="Normal 3 7 2 12" xfId="14531" xr:uid="{00000000-0005-0000-0000-000079420000}"/>
    <cellStyle name="Normal 3 7 2 13" xfId="14532" xr:uid="{00000000-0005-0000-0000-00007A420000}"/>
    <cellStyle name="Normal 3 7 2 14" xfId="14533" xr:uid="{00000000-0005-0000-0000-00007B420000}"/>
    <cellStyle name="Normal 3 7 2 15" xfId="14534" xr:uid="{00000000-0005-0000-0000-00007C420000}"/>
    <cellStyle name="Normal 3 7 2 16" xfId="14535" xr:uid="{00000000-0005-0000-0000-00007D420000}"/>
    <cellStyle name="Normal 3 7 2 17" xfId="14536" xr:uid="{00000000-0005-0000-0000-00007E420000}"/>
    <cellStyle name="Normal 3 7 2 18" xfId="14537" xr:uid="{00000000-0005-0000-0000-00007F420000}"/>
    <cellStyle name="Normal 3 7 2 19" xfId="14538" xr:uid="{00000000-0005-0000-0000-000080420000}"/>
    <cellStyle name="Normal 3 7 2 2" xfId="14539" xr:uid="{00000000-0005-0000-0000-000081420000}"/>
    <cellStyle name="Normal 3 7 2 2 2" xfId="14540" xr:uid="{00000000-0005-0000-0000-000082420000}"/>
    <cellStyle name="Normal 3 7 2 2 3" xfId="14541" xr:uid="{00000000-0005-0000-0000-000083420000}"/>
    <cellStyle name="Normal 3 7 2 2 4" xfId="14542" xr:uid="{00000000-0005-0000-0000-000084420000}"/>
    <cellStyle name="Normal 3 7 2 2 5" xfId="14543" xr:uid="{00000000-0005-0000-0000-000085420000}"/>
    <cellStyle name="Normal 3 7 2 2 6" xfId="14544" xr:uid="{00000000-0005-0000-0000-000086420000}"/>
    <cellStyle name="Normal 3 7 2 2 7" xfId="14545" xr:uid="{00000000-0005-0000-0000-000087420000}"/>
    <cellStyle name="Normal 3 7 2 20" xfId="14546" xr:uid="{00000000-0005-0000-0000-000088420000}"/>
    <cellStyle name="Normal 3 7 2 21" xfId="14547" xr:uid="{00000000-0005-0000-0000-000089420000}"/>
    <cellStyle name="Normal 3 7 2 22" xfId="40682" xr:uid="{00000000-0005-0000-0000-00008A420000}"/>
    <cellStyle name="Normal 3 7 2 3" xfId="14548" xr:uid="{00000000-0005-0000-0000-00008B420000}"/>
    <cellStyle name="Normal 3 7 2 4" xfId="14549" xr:uid="{00000000-0005-0000-0000-00008C420000}"/>
    <cellStyle name="Normal 3 7 2 5" xfId="14550" xr:uid="{00000000-0005-0000-0000-00008D420000}"/>
    <cellStyle name="Normal 3 7 2 6" xfId="14551" xr:uid="{00000000-0005-0000-0000-00008E420000}"/>
    <cellStyle name="Normal 3 7 2 7" xfId="14552" xr:uid="{00000000-0005-0000-0000-00008F420000}"/>
    <cellStyle name="Normal 3 7 2 8" xfId="14553" xr:uid="{00000000-0005-0000-0000-000090420000}"/>
    <cellStyle name="Normal 3 7 2 9" xfId="14554" xr:uid="{00000000-0005-0000-0000-000091420000}"/>
    <cellStyle name="Normal 3 7 3" xfId="14555" xr:uid="{00000000-0005-0000-0000-000092420000}"/>
    <cellStyle name="Normal 3 7 3 10" xfId="14556" xr:uid="{00000000-0005-0000-0000-000093420000}"/>
    <cellStyle name="Normal 3 7 3 11" xfId="14557" xr:uid="{00000000-0005-0000-0000-000094420000}"/>
    <cellStyle name="Normal 3 7 3 12" xfId="14558" xr:uid="{00000000-0005-0000-0000-000095420000}"/>
    <cellStyle name="Normal 3 7 3 13" xfId="14559" xr:uid="{00000000-0005-0000-0000-000096420000}"/>
    <cellStyle name="Normal 3 7 3 14" xfId="14560" xr:uid="{00000000-0005-0000-0000-000097420000}"/>
    <cellStyle name="Normal 3 7 3 15" xfId="14561" xr:uid="{00000000-0005-0000-0000-000098420000}"/>
    <cellStyle name="Normal 3 7 3 16" xfId="14562" xr:uid="{00000000-0005-0000-0000-000099420000}"/>
    <cellStyle name="Normal 3 7 3 17" xfId="40683" xr:uid="{00000000-0005-0000-0000-00009A420000}"/>
    <cellStyle name="Normal 3 7 3 2" xfId="14563" xr:uid="{00000000-0005-0000-0000-00009B420000}"/>
    <cellStyle name="Normal 3 7 3 3" xfId="14564" xr:uid="{00000000-0005-0000-0000-00009C420000}"/>
    <cellStyle name="Normal 3 7 3 4" xfId="14565" xr:uid="{00000000-0005-0000-0000-00009D420000}"/>
    <cellStyle name="Normal 3 7 3 5" xfId="14566" xr:uid="{00000000-0005-0000-0000-00009E420000}"/>
    <cellStyle name="Normal 3 7 3 6" xfId="14567" xr:uid="{00000000-0005-0000-0000-00009F420000}"/>
    <cellStyle name="Normal 3 7 3 7" xfId="14568" xr:uid="{00000000-0005-0000-0000-0000A0420000}"/>
    <cellStyle name="Normal 3 7 3 8" xfId="14569" xr:uid="{00000000-0005-0000-0000-0000A1420000}"/>
    <cellStyle name="Normal 3 7 3 9" xfId="14570" xr:uid="{00000000-0005-0000-0000-0000A2420000}"/>
    <cellStyle name="Normal 3 7 4" xfId="14571" xr:uid="{00000000-0005-0000-0000-0000A3420000}"/>
    <cellStyle name="Normal 3 7 4 2" xfId="40684" xr:uid="{00000000-0005-0000-0000-0000A4420000}"/>
    <cellStyle name="Normal 3 7 5" xfId="14572" xr:uid="{00000000-0005-0000-0000-0000A5420000}"/>
    <cellStyle name="Normal 3 7 6" xfId="14573" xr:uid="{00000000-0005-0000-0000-0000A6420000}"/>
    <cellStyle name="Normal 3 7 7" xfId="14574" xr:uid="{00000000-0005-0000-0000-0000A7420000}"/>
    <cellStyle name="Normal 3 7 8" xfId="14575" xr:uid="{00000000-0005-0000-0000-0000A8420000}"/>
    <cellStyle name="Normal 3 7 9" xfId="14576" xr:uid="{00000000-0005-0000-0000-0000A9420000}"/>
    <cellStyle name="Normal 3 8" xfId="14577" xr:uid="{00000000-0005-0000-0000-0000AA420000}"/>
    <cellStyle name="Normal 3 8 10" xfId="14578" xr:uid="{00000000-0005-0000-0000-0000AB420000}"/>
    <cellStyle name="Normal 3 8 10 2" xfId="14579" xr:uid="{00000000-0005-0000-0000-0000AC420000}"/>
    <cellStyle name="Normal 3 8 10 2 2" xfId="14580" xr:uid="{00000000-0005-0000-0000-0000AD420000}"/>
    <cellStyle name="Normal 3 8 10 2 2 2" xfId="31465" xr:uid="{00000000-0005-0000-0000-0000AE420000}"/>
    <cellStyle name="Normal 3 8 10 2 3" xfId="14581" xr:uid="{00000000-0005-0000-0000-0000AF420000}"/>
    <cellStyle name="Normal 3 8 10 2 3 2" xfId="31466" xr:uid="{00000000-0005-0000-0000-0000B0420000}"/>
    <cellStyle name="Normal 3 8 10 2 4" xfId="14582" xr:uid="{00000000-0005-0000-0000-0000B1420000}"/>
    <cellStyle name="Normal 3 8 10 2 4 2" xfId="31467" xr:uid="{00000000-0005-0000-0000-0000B2420000}"/>
    <cellStyle name="Normal 3 8 10 2 5" xfId="14583" xr:uid="{00000000-0005-0000-0000-0000B3420000}"/>
    <cellStyle name="Normal 3 8 10 2 5 2" xfId="31468" xr:uid="{00000000-0005-0000-0000-0000B4420000}"/>
    <cellStyle name="Normal 3 8 10 2 6" xfId="31464" xr:uid="{00000000-0005-0000-0000-0000B5420000}"/>
    <cellStyle name="Normal 3 8 10 3" xfId="14584" xr:uid="{00000000-0005-0000-0000-0000B6420000}"/>
    <cellStyle name="Normal 3 8 10 3 2" xfId="31469" xr:uid="{00000000-0005-0000-0000-0000B7420000}"/>
    <cellStyle name="Normal 3 8 10 4" xfId="14585" xr:uid="{00000000-0005-0000-0000-0000B8420000}"/>
    <cellStyle name="Normal 3 8 10 4 2" xfId="31470" xr:uid="{00000000-0005-0000-0000-0000B9420000}"/>
    <cellStyle name="Normal 3 8 10 5" xfId="14586" xr:uid="{00000000-0005-0000-0000-0000BA420000}"/>
    <cellStyle name="Normal 3 8 10 5 2" xfId="31471" xr:uid="{00000000-0005-0000-0000-0000BB420000}"/>
    <cellStyle name="Normal 3 8 10 6" xfId="14587" xr:uid="{00000000-0005-0000-0000-0000BC420000}"/>
    <cellStyle name="Normal 3 8 10 6 2" xfId="31472" xr:uid="{00000000-0005-0000-0000-0000BD420000}"/>
    <cellStyle name="Normal 3 8 10 7" xfId="31463" xr:uid="{00000000-0005-0000-0000-0000BE420000}"/>
    <cellStyle name="Normal 3 8 11" xfId="14588" xr:uid="{00000000-0005-0000-0000-0000BF420000}"/>
    <cellStyle name="Normal 3 8 11 2" xfId="14589" xr:uid="{00000000-0005-0000-0000-0000C0420000}"/>
    <cellStyle name="Normal 3 8 11 2 2" xfId="31474" xr:uid="{00000000-0005-0000-0000-0000C1420000}"/>
    <cellStyle name="Normal 3 8 11 3" xfId="14590" xr:uid="{00000000-0005-0000-0000-0000C2420000}"/>
    <cellStyle name="Normal 3 8 11 3 2" xfId="31475" xr:uid="{00000000-0005-0000-0000-0000C3420000}"/>
    <cellStyle name="Normal 3 8 11 4" xfId="14591" xr:uid="{00000000-0005-0000-0000-0000C4420000}"/>
    <cellStyle name="Normal 3 8 11 4 2" xfId="31476" xr:uid="{00000000-0005-0000-0000-0000C5420000}"/>
    <cellStyle name="Normal 3 8 11 5" xfId="14592" xr:uid="{00000000-0005-0000-0000-0000C6420000}"/>
    <cellStyle name="Normal 3 8 11 5 2" xfId="31477" xr:uid="{00000000-0005-0000-0000-0000C7420000}"/>
    <cellStyle name="Normal 3 8 11 6" xfId="31473" xr:uid="{00000000-0005-0000-0000-0000C8420000}"/>
    <cellStyle name="Normal 3 8 12" xfId="14593" xr:uid="{00000000-0005-0000-0000-0000C9420000}"/>
    <cellStyle name="Normal 3 8 12 2" xfId="14594" xr:uid="{00000000-0005-0000-0000-0000CA420000}"/>
    <cellStyle name="Normal 3 8 12 2 2" xfId="31479" xr:uid="{00000000-0005-0000-0000-0000CB420000}"/>
    <cellStyle name="Normal 3 8 12 3" xfId="14595" xr:uid="{00000000-0005-0000-0000-0000CC420000}"/>
    <cellStyle name="Normal 3 8 12 3 2" xfId="31480" xr:uid="{00000000-0005-0000-0000-0000CD420000}"/>
    <cellStyle name="Normal 3 8 12 4" xfId="14596" xr:uid="{00000000-0005-0000-0000-0000CE420000}"/>
    <cellStyle name="Normal 3 8 12 4 2" xfId="31481" xr:uid="{00000000-0005-0000-0000-0000CF420000}"/>
    <cellStyle name="Normal 3 8 12 5" xfId="14597" xr:uid="{00000000-0005-0000-0000-0000D0420000}"/>
    <cellStyle name="Normal 3 8 12 5 2" xfId="31482" xr:uid="{00000000-0005-0000-0000-0000D1420000}"/>
    <cellStyle name="Normal 3 8 12 6" xfId="31478" xr:uid="{00000000-0005-0000-0000-0000D2420000}"/>
    <cellStyle name="Normal 3 8 13" xfId="14598" xr:uid="{00000000-0005-0000-0000-0000D3420000}"/>
    <cellStyle name="Normal 3 8 13 2" xfId="14599" xr:uid="{00000000-0005-0000-0000-0000D4420000}"/>
    <cellStyle name="Normal 3 8 13 2 2" xfId="31484" xr:uid="{00000000-0005-0000-0000-0000D5420000}"/>
    <cellStyle name="Normal 3 8 13 3" xfId="14600" xr:uid="{00000000-0005-0000-0000-0000D6420000}"/>
    <cellStyle name="Normal 3 8 13 3 2" xfId="31485" xr:uid="{00000000-0005-0000-0000-0000D7420000}"/>
    <cellStyle name="Normal 3 8 13 4" xfId="14601" xr:uid="{00000000-0005-0000-0000-0000D8420000}"/>
    <cellStyle name="Normal 3 8 13 4 2" xfId="31486" xr:uid="{00000000-0005-0000-0000-0000D9420000}"/>
    <cellStyle name="Normal 3 8 13 5" xfId="14602" xr:uid="{00000000-0005-0000-0000-0000DA420000}"/>
    <cellStyle name="Normal 3 8 13 5 2" xfId="31487" xr:uid="{00000000-0005-0000-0000-0000DB420000}"/>
    <cellStyle name="Normal 3 8 13 6" xfId="31483" xr:uid="{00000000-0005-0000-0000-0000DC420000}"/>
    <cellStyle name="Normal 3 8 14" xfId="14603" xr:uid="{00000000-0005-0000-0000-0000DD420000}"/>
    <cellStyle name="Normal 3 8 14 2" xfId="14604" xr:uid="{00000000-0005-0000-0000-0000DE420000}"/>
    <cellStyle name="Normal 3 8 14 2 2" xfId="31489" xr:uid="{00000000-0005-0000-0000-0000DF420000}"/>
    <cellStyle name="Normal 3 8 14 3" xfId="14605" xr:uid="{00000000-0005-0000-0000-0000E0420000}"/>
    <cellStyle name="Normal 3 8 14 3 2" xfId="31490" xr:uid="{00000000-0005-0000-0000-0000E1420000}"/>
    <cellStyle name="Normal 3 8 14 4" xfId="14606" xr:uid="{00000000-0005-0000-0000-0000E2420000}"/>
    <cellStyle name="Normal 3 8 14 4 2" xfId="31491" xr:uid="{00000000-0005-0000-0000-0000E3420000}"/>
    <cellStyle name="Normal 3 8 14 5" xfId="14607" xr:uid="{00000000-0005-0000-0000-0000E4420000}"/>
    <cellStyle name="Normal 3 8 14 5 2" xfId="31492" xr:uid="{00000000-0005-0000-0000-0000E5420000}"/>
    <cellStyle name="Normal 3 8 14 6" xfId="31488" xr:uid="{00000000-0005-0000-0000-0000E6420000}"/>
    <cellStyle name="Normal 3 8 15" xfId="14608" xr:uid="{00000000-0005-0000-0000-0000E7420000}"/>
    <cellStyle name="Normal 3 8 15 2" xfId="14609" xr:uid="{00000000-0005-0000-0000-0000E8420000}"/>
    <cellStyle name="Normal 3 8 15 2 2" xfId="31494" xr:uid="{00000000-0005-0000-0000-0000E9420000}"/>
    <cellStyle name="Normal 3 8 15 3" xfId="14610" xr:uid="{00000000-0005-0000-0000-0000EA420000}"/>
    <cellStyle name="Normal 3 8 15 3 2" xfId="31495" xr:uid="{00000000-0005-0000-0000-0000EB420000}"/>
    <cellStyle name="Normal 3 8 15 4" xfId="14611" xr:uid="{00000000-0005-0000-0000-0000EC420000}"/>
    <cellStyle name="Normal 3 8 15 4 2" xfId="31496" xr:uid="{00000000-0005-0000-0000-0000ED420000}"/>
    <cellStyle name="Normal 3 8 15 5" xfId="14612" xr:uid="{00000000-0005-0000-0000-0000EE420000}"/>
    <cellStyle name="Normal 3 8 15 5 2" xfId="31497" xr:uid="{00000000-0005-0000-0000-0000EF420000}"/>
    <cellStyle name="Normal 3 8 15 6" xfId="31493" xr:uid="{00000000-0005-0000-0000-0000F0420000}"/>
    <cellStyle name="Normal 3 8 16" xfId="14613" xr:uid="{00000000-0005-0000-0000-0000F1420000}"/>
    <cellStyle name="Normal 3 8 16 2" xfId="14614" xr:uid="{00000000-0005-0000-0000-0000F2420000}"/>
    <cellStyle name="Normal 3 8 16 2 2" xfId="31499" xr:uid="{00000000-0005-0000-0000-0000F3420000}"/>
    <cellStyle name="Normal 3 8 16 3" xfId="14615" xr:uid="{00000000-0005-0000-0000-0000F4420000}"/>
    <cellStyle name="Normal 3 8 16 3 2" xfId="31500" xr:uid="{00000000-0005-0000-0000-0000F5420000}"/>
    <cellStyle name="Normal 3 8 16 4" xfId="14616" xr:uid="{00000000-0005-0000-0000-0000F6420000}"/>
    <cellStyle name="Normal 3 8 16 4 2" xfId="31501" xr:uid="{00000000-0005-0000-0000-0000F7420000}"/>
    <cellStyle name="Normal 3 8 16 5" xfId="14617" xr:uid="{00000000-0005-0000-0000-0000F8420000}"/>
    <cellStyle name="Normal 3 8 16 5 2" xfId="31502" xr:uid="{00000000-0005-0000-0000-0000F9420000}"/>
    <cellStyle name="Normal 3 8 16 6" xfId="31498" xr:uid="{00000000-0005-0000-0000-0000FA420000}"/>
    <cellStyle name="Normal 3 8 17" xfId="14618" xr:uid="{00000000-0005-0000-0000-0000FB420000}"/>
    <cellStyle name="Normal 3 8 17 2" xfId="14619" xr:uid="{00000000-0005-0000-0000-0000FC420000}"/>
    <cellStyle name="Normal 3 8 17 2 2" xfId="31504" xr:uid="{00000000-0005-0000-0000-0000FD420000}"/>
    <cellStyle name="Normal 3 8 17 3" xfId="14620" xr:uid="{00000000-0005-0000-0000-0000FE420000}"/>
    <cellStyle name="Normal 3 8 17 3 2" xfId="31505" xr:uid="{00000000-0005-0000-0000-0000FF420000}"/>
    <cellStyle name="Normal 3 8 17 4" xfId="14621" xr:uid="{00000000-0005-0000-0000-000000430000}"/>
    <cellStyle name="Normal 3 8 17 4 2" xfId="31506" xr:uid="{00000000-0005-0000-0000-000001430000}"/>
    <cellStyle name="Normal 3 8 17 5" xfId="14622" xr:uid="{00000000-0005-0000-0000-000002430000}"/>
    <cellStyle name="Normal 3 8 17 5 2" xfId="31507" xr:uid="{00000000-0005-0000-0000-000003430000}"/>
    <cellStyle name="Normal 3 8 17 6" xfId="31503" xr:uid="{00000000-0005-0000-0000-000004430000}"/>
    <cellStyle name="Normal 3 8 18" xfId="14623" xr:uid="{00000000-0005-0000-0000-000005430000}"/>
    <cellStyle name="Normal 3 8 18 2" xfId="14624" xr:uid="{00000000-0005-0000-0000-000006430000}"/>
    <cellStyle name="Normal 3 8 18 2 2" xfId="31509" xr:uid="{00000000-0005-0000-0000-000007430000}"/>
    <cellStyle name="Normal 3 8 18 3" xfId="14625" xr:uid="{00000000-0005-0000-0000-000008430000}"/>
    <cellStyle name="Normal 3 8 18 3 2" xfId="31510" xr:uid="{00000000-0005-0000-0000-000009430000}"/>
    <cellStyle name="Normal 3 8 18 4" xfId="14626" xr:uid="{00000000-0005-0000-0000-00000A430000}"/>
    <cellStyle name="Normal 3 8 18 4 2" xfId="31511" xr:uid="{00000000-0005-0000-0000-00000B430000}"/>
    <cellStyle name="Normal 3 8 18 5" xfId="14627" xr:uid="{00000000-0005-0000-0000-00000C430000}"/>
    <cellStyle name="Normal 3 8 18 5 2" xfId="31512" xr:uid="{00000000-0005-0000-0000-00000D430000}"/>
    <cellStyle name="Normal 3 8 18 6" xfId="31508" xr:uid="{00000000-0005-0000-0000-00000E430000}"/>
    <cellStyle name="Normal 3 8 19" xfId="14628" xr:uid="{00000000-0005-0000-0000-00000F430000}"/>
    <cellStyle name="Normal 3 8 19 2" xfId="14629" xr:uid="{00000000-0005-0000-0000-000010430000}"/>
    <cellStyle name="Normal 3 8 19 2 2" xfId="31514" xr:uid="{00000000-0005-0000-0000-000011430000}"/>
    <cellStyle name="Normal 3 8 19 3" xfId="14630" xr:uid="{00000000-0005-0000-0000-000012430000}"/>
    <cellStyle name="Normal 3 8 19 3 2" xfId="31515" xr:uid="{00000000-0005-0000-0000-000013430000}"/>
    <cellStyle name="Normal 3 8 19 4" xfId="14631" xr:uid="{00000000-0005-0000-0000-000014430000}"/>
    <cellStyle name="Normal 3 8 19 4 2" xfId="31516" xr:uid="{00000000-0005-0000-0000-000015430000}"/>
    <cellStyle name="Normal 3 8 19 5" xfId="14632" xr:uid="{00000000-0005-0000-0000-000016430000}"/>
    <cellStyle name="Normal 3 8 19 5 2" xfId="31517" xr:uid="{00000000-0005-0000-0000-000017430000}"/>
    <cellStyle name="Normal 3 8 19 6" xfId="31513" xr:uid="{00000000-0005-0000-0000-000018430000}"/>
    <cellStyle name="Normal 3 8 2" xfId="14633" xr:uid="{00000000-0005-0000-0000-000019430000}"/>
    <cellStyle name="Normal 3 8 2 10" xfId="14634" xr:uid="{00000000-0005-0000-0000-00001A430000}"/>
    <cellStyle name="Normal 3 8 2 11" xfId="14635" xr:uid="{00000000-0005-0000-0000-00001B430000}"/>
    <cellStyle name="Normal 3 8 2 12" xfId="14636" xr:uid="{00000000-0005-0000-0000-00001C430000}"/>
    <cellStyle name="Normal 3 8 2 13" xfId="14637" xr:uid="{00000000-0005-0000-0000-00001D430000}"/>
    <cellStyle name="Normal 3 8 2 14" xfId="14638" xr:uid="{00000000-0005-0000-0000-00001E430000}"/>
    <cellStyle name="Normal 3 8 2 15" xfId="14639" xr:uid="{00000000-0005-0000-0000-00001F430000}"/>
    <cellStyle name="Normal 3 8 2 16" xfId="14640" xr:uid="{00000000-0005-0000-0000-000020430000}"/>
    <cellStyle name="Normal 3 8 2 17" xfId="14641" xr:uid="{00000000-0005-0000-0000-000021430000}"/>
    <cellStyle name="Normal 3 8 2 18" xfId="14642" xr:uid="{00000000-0005-0000-0000-000022430000}"/>
    <cellStyle name="Normal 3 8 2 19" xfId="14643" xr:uid="{00000000-0005-0000-0000-000023430000}"/>
    <cellStyle name="Normal 3 8 2 2" xfId="14644" xr:uid="{00000000-0005-0000-0000-000024430000}"/>
    <cellStyle name="Normal 3 8 2 2 2" xfId="14645" xr:uid="{00000000-0005-0000-0000-000025430000}"/>
    <cellStyle name="Normal 3 8 2 2 3" xfId="14646" xr:uid="{00000000-0005-0000-0000-000026430000}"/>
    <cellStyle name="Normal 3 8 2 2 4" xfId="14647" xr:uid="{00000000-0005-0000-0000-000027430000}"/>
    <cellStyle name="Normal 3 8 2 2 5" xfId="14648" xr:uid="{00000000-0005-0000-0000-000028430000}"/>
    <cellStyle name="Normal 3 8 2 2 6" xfId="14649" xr:uid="{00000000-0005-0000-0000-000029430000}"/>
    <cellStyle name="Normal 3 8 2 2 7" xfId="14650" xr:uid="{00000000-0005-0000-0000-00002A430000}"/>
    <cellStyle name="Normal 3 8 2 20" xfId="14651" xr:uid="{00000000-0005-0000-0000-00002B430000}"/>
    <cellStyle name="Normal 3 8 2 21" xfId="14652" xr:uid="{00000000-0005-0000-0000-00002C430000}"/>
    <cellStyle name="Normal 3 8 2 22" xfId="40685" xr:uid="{00000000-0005-0000-0000-00002D430000}"/>
    <cellStyle name="Normal 3 8 2 23" xfId="31518" xr:uid="{00000000-0005-0000-0000-00002E430000}"/>
    <cellStyle name="Normal 3 8 2 3" xfId="14653" xr:uid="{00000000-0005-0000-0000-00002F430000}"/>
    <cellStyle name="Normal 3 8 2 4" xfId="14654" xr:uid="{00000000-0005-0000-0000-000030430000}"/>
    <cellStyle name="Normal 3 8 2 5" xfId="14655" xr:uid="{00000000-0005-0000-0000-000031430000}"/>
    <cellStyle name="Normal 3 8 2 6" xfId="14656" xr:uid="{00000000-0005-0000-0000-000032430000}"/>
    <cellStyle name="Normal 3 8 2 7" xfId="14657" xr:uid="{00000000-0005-0000-0000-000033430000}"/>
    <cellStyle name="Normal 3 8 2 8" xfId="14658" xr:uid="{00000000-0005-0000-0000-000034430000}"/>
    <cellStyle name="Normal 3 8 2 9" xfId="14659" xr:uid="{00000000-0005-0000-0000-000035430000}"/>
    <cellStyle name="Normal 3 8 20" xfId="14660" xr:uid="{00000000-0005-0000-0000-000036430000}"/>
    <cellStyle name="Normal 3 8 20 2" xfId="14661" xr:uid="{00000000-0005-0000-0000-000037430000}"/>
    <cellStyle name="Normal 3 8 20 2 2" xfId="31520" xr:uid="{00000000-0005-0000-0000-000038430000}"/>
    <cellStyle name="Normal 3 8 20 3" xfId="14662" xr:uid="{00000000-0005-0000-0000-000039430000}"/>
    <cellStyle name="Normal 3 8 20 3 2" xfId="31521" xr:uid="{00000000-0005-0000-0000-00003A430000}"/>
    <cellStyle name="Normal 3 8 20 4" xfId="14663" xr:uid="{00000000-0005-0000-0000-00003B430000}"/>
    <cellStyle name="Normal 3 8 20 4 2" xfId="31522" xr:uid="{00000000-0005-0000-0000-00003C430000}"/>
    <cellStyle name="Normal 3 8 20 5" xfId="14664" xr:uid="{00000000-0005-0000-0000-00003D430000}"/>
    <cellStyle name="Normal 3 8 20 5 2" xfId="31523" xr:uid="{00000000-0005-0000-0000-00003E430000}"/>
    <cellStyle name="Normal 3 8 20 6" xfId="31519" xr:uid="{00000000-0005-0000-0000-00003F430000}"/>
    <cellStyle name="Normal 3 8 21" xfId="14665" xr:uid="{00000000-0005-0000-0000-000040430000}"/>
    <cellStyle name="Normal 3 8 21 2" xfId="14666" xr:uid="{00000000-0005-0000-0000-000041430000}"/>
    <cellStyle name="Normal 3 8 21 2 2" xfId="31525" xr:uid="{00000000-0005-0000-0000-000042430000}"/>
    <cellStyle name="Normal 3 8 21 3" xfId="14667" xr:uid="{00000000-0005-0000-0000-000043430000}"/>
    <cellStyle name="Normal 3 8 21 3 2" xfId="31526" xr:uid="{00000000-0005-0000-0000-000044430000}"/>
    <cellStyle name="Normal 3 8 21 4" xfId="14668" xr:uid="{00000000-0005-0000-0000-000045430000}"/>
    <cellStyle name="Normal 3 8 21 4 2" xfId="31527" xr:uid="{00000000-0005-0000-0000-000046430000}"/>
    <cellStyle name="Normal 3 8 21 5" xfId="14669" xr:uid="{00000000-0005-0000-0000-000047430000}"/>
    <cellStyle name="Normal 3 8 21 5 2" xfId="31528" xr:uid="{00000000-0005-0000-0000-000048430000}"/>
    <cellStyle name="Normal 3 8 21 6" xfId="31524" xr:uid="{00000000-0005-0000-0000-000049430000}"/>
    <cellStyle name="Normal 3 8 22" xfId="14670" xr:uid="{00000000-0005-0000-0000-00004A430000}"/>
    <cellStyle name="Normal 3 8 22 2" xfId="31529" xr:uid="{00000000-0005-0000-0000-00004B430000}"/>
    <cellStyle name="Normal 3 8 23" xfId="14671" xr:uid="{00000000-0005-0000-0000-00004C430000}"/>
    <cellStyle name="Normal 3 8 23 2" xfId="31530" xr:uid="{00000000-0005-0000-0000-00004D430000}"/>
    <cellStyle name="Normal 3 8 24" xfId="14672" xr:uid="{00000000-0005-0000-0000-00004E430000}"/>
    <cellStyle name="Normal 3 8 24 2" xfId="31531" xr:uid="{00000000-0005-0000-0000-00004F430000}"/>
    <cellStyle name="Normal 3 8 25" xfId="14673" xr:uid="{00000000-0005-0000-0000-000050430000}"/>
    <cellStyle name="Normal 3 8 25 2" xfId="31532" xr:uid="{00000000-0005-0000-0000-000051430000}"/>
    <cellStyle name="Normal 3 8 26" xfId="14674" xr:uid="{00000000-0005-0000-0000-000052430000}"/>
    <cellStyle name="Normal 3 8 26 2" xfId="31533" xr:uid="{00000000-0005-0000-0000-000053430000}"/>
    <cellStyle name="Normal 3 8 3" xfId="14675" xr:uid="{00000000-0005-0000-0000-000054430000}"/>
    <cellStyle name="Normal 3 8 3 10" xfId="14676" xr:uid="{00000000-0005-0000-0000-000055430000}"/>
    <cellStyle name="Normal 3 8 3 11" xfId="14677" xr:uid="{00000000-0005-0000-0000-000056430000}"/>
    <cellStyle name="Normal 3 8 3 12" xfId="14678" xr:uid="{00000000-0005-0000-0000-000057430000}"/>
    <cellStyle name="Normal 3 8 3 13" xfId="14679" xr:uid="{00000000-0005-0000-0000-000058430000}"/>
    <cellStyle name="Normal 3 8 3 14" xfId="14680" xr:uid="{00000000-0005-0000-0000-000059430000}"/>
    <cellStyle name="Normal 3 8 3 15" xfId="14681" xr:uid="{00000000-0005-0000-0000-00005A430000}"/>
    <cellStyle name="Normal 3 8 3 16" xfId="14682" xr:uid="{00000000-0005-0000-0000-00005B430000}"/>
    <cellStyle name="Normal 3 8 3 17" xfId="40686" xr:uid="{00000000-0005-0000-0000-00005C430000}"/>
    <cellStyle name="Normal 3 8 3 2" xfId="14683" xr:uid="{00000000-0005-0000-0000-00005D430000}"/>
    <cellStyle name="Normal 3 8 3 3" xfId="14684" xr:uid="{00000000-0005-0000-0000-00005E430000}"/>
    <cellStyle name="Normal 3 8 3 4" xfId="14685" xr:uid="{00000000-0005-0000-0000-00005F430000}"/>
    <cellStyle name="Normal 3 8 3 5" xfId="14686" xr:uid="{00000000-0005-0000-0000-000060430000}"/>
    <cellStyle name="Normal 3 8 3 6" xfId="14687" xr:uid="{00000000-0005-0000-0000-000061430000}"/>
    <cellStyle name="Normal 3 8 3 7" xfId="14688" xr:uid="{00000000-0005-0000-0000-000062430000}"/>
    <cellStyle name="Normal 3 8 3 8" xfId="14689" xr:uid="{00000000-0005-0000-0000-000063430000}"/>
    <cellStyle name="Normal 3 8 3 9" xfId="14690" xr:uid="{00000000-0005-0000-0000-000064430000}"/>
    <cellStyle name="Normal 3 8 4" xfId="14691" xr:uid="{00000000-0005-0000-0000-000065430000}"/>
    <cellStyle name="Normal 3 8 4 10" xfId="14692" xr:uid="{00000000-0005-0000-0000-000066430000}"/>
    <cellStyle name="Normal 3 8 4 10 2" xfId="14693" xr:uid="{00000000-0005-0000-0000-000067430000}"/>
    <cellStyle name="Normal 3 8 4 10 2 2" xfId="31535" xr:uid="{00000000-0005-0000-0000-000068430000}"/>
    <cellStyle name="Normal 3 8 4 10 3" xfId="14694" xr:uid="{00000000-0005-0000-0000-000069430000}"/>
    <cellStyle name="Normal 3 8 4 10 3 2" xfId="31536" xr:uid="{00000000-0005-0000-0000-00006A430000}"/>
    <cellStyle name="Normal 3 8 4 10 4" xfId="14695" xr:uid="{00000000-0005-0000-0000-00006B430000}"/>
    <cellStyle name="Normal 3 8 4 10 4 2" xfId="31537" xr:uid="{00000000-0005-0000-0000-00006C430000}"/>
    <cellStyle name="Normal 3 8 4 10 5" xfId="14696" xr:uid="{00000000-0005-0000-0000-00006D430000}"/>
    <cellStyle name="Normal 3 8 4 10 5 2" xfId="31538" xr:uid="{00000000-0005-0000-0000-00006E430000}"/>
    <cellStyle name="Normal 3 8 4 10 6" xfId="31534" xr:uid="{00000000-0005-0000-0000-00006F430000}"/>
    <cellStyle name="Normal 3 8 4 11" xfId="14697" xr:uid="{00000000-0005-0000-0000-000070430000}"/>
    <cellStyle name="Normal 3 8 4 11 2" xfId="14698" xr:uid="{00000000-0005-0000-0000-000071430000}"/>
    <cellStyle name="Normal 3 8 4 11 2 2" xfId="31540" xr:uid="{00000000-0005-0000-0000-000072430000}"/>
    <cellStyle name="Normal 3 8 4 11 3" xfId="14699" xr:uid="{00000000-0005-0000-0000-000073430000}"/>
    <cellStyle name="Normal 3 8 4 11 3 2" xfId="31541" xr:uid="{00000000-0005-0000-0000-000074430000}"/>
    <cellStyle name="Normal 3 8 4 11 4" xfId="14700" xr:uid="{00000000-0005-0000-0000-000075430000}"/>
    <cellStyle name="Normal 3 8 4 11 4 2" xfId="31542" xr:uid="{00000000-0005-0000-0000-000076430000}"/>
    <cellStyle name="Normal 3 8 4 11 5" xfId="14701" xr:uid="{00000000-0005-0000-0000-000077430000}"/>
    <cellStyle name="Normal 3 8 4 11 5 2" xfId="31543" xr:uid="{00000000-0005-0000-0000-000078430000}"/>
    <cellStyle name="Normal 3 8 4 11 6" xfId="31539" xr:uid="{00000000-0005-0000-0000-000079430000}"/>
    <cellStyle name="Normal 3 8 4 12" xfId="14702" xr:uid="{00000000-0005-0000-0000-00007A430000}"/>
    <cellStyle name="Normal 3 8 4 12 2" xfId="14703" xr:uid="{00000000-0005-0000-0000-00007B430000}"/>
    <cellStyle name="Normal 3 8 4 12 2 2" xfId="31545" xr:uid="{00000000-0005-0000-0000-00007C430000}"/>
    <cellStyle name="Normal 3 8 4 12 3" xfId="14704" xr:uid="{00000000-0005-0000-0000-00007D430000}"/>
    <cellStyle name="Normal 3 8 4 12 3 2" xfId="31546" xr:uid="{00000000-0005-0000-0000-00007E430000}"/>
    <cellStyle name="Normal 3 8 4 12 4" xfId="14705" xr:uid="{00000000-0005-0000-0000-00007F430000}"/>
    <cellStyle name="Normal 3 8 4 12 4 2" xfId="31547" xr:uid="{00000000-0005-0000-0000-000080430000}"/>
    <cellStyle name="Normal 3 8 4 12 5" xfId="14706" xr:uid="{00000000-0005-0000-0000-000081430000}"/>
    <cellStyle name="Normal 3 8 4 12 5 2" xfId="31548" xr:uid="{00000000-0005-0000-0000-000082430000}"/>
    <cellStyle name="Normal 3 8 4 12 6" xfId="31544" xr:uid="{00000000-0005-0000-0000-000083430000}"/>
    <cellStyle name="Normal 3 8 4 13" xfId="14707" xr:uid="{00000000-0005-0000-0000-000084430000}"/>
    <cellStyle name="Normal 3 8 4 13 2" xfId="14708" xr:uid="{00000000-0005-0000-0000-000085430000}"/>
    <cellStyle name="Normal 3 8 4 13 2 2" xfId="31550" xr:uid="{00000000-0005-0000-0000-000086430000}"/>
    <cellStyle name="Normal 3 8 4 13 3" xfId="14709" xr:uid="{00000000-0005-0000-0000-000087430000}"/>
    <cellStyle name="Normal 3 8 4 13 3 2" xfId="31551" xr:uid="{00000000-0005-0000-0000-000088430000}"/>
    <cellStyle name="Normal 3 8 4 13 4" xfId="14710" xr:uid="{00000000-0005-0000-0000-000089430000}"/>
    <cellStyle name="Normal 3 8 4 13 4 2" xfId="31552" xr:uid="{00000000-0005-0000-0000-00008A430000}"/>
    <cellStyle name="Normal 3 8 4 13 5" xfId="14711" xr:uid="{00000000-0005-0000-0000-00008B430000}"/>
    <cellStyle name="Normal 3 8 4 13 5 2" xfId="31553" xr:uid="{00000000-0005-0000-0000-00008C430000}"/>
    <cellStyle name="Normal 3 8 4 13 6" xfId="31549" xr:uid="{00000000-0005-0000-0000-00008D430000}"/>
    <cellStyle name="Normal 3 8 4 14" xfId="14712" xr:uid="{00000000-0005-0000-0000-00008E430000}"/>
    <cellStyle name="Normal 3 8 4 14 2" xfId="14713" xr:uid="{00000000-0005-0000-0000-00008F430000}"/>
    <cellStyle name="Normal 3 8 4 14 2 2" xfId="31555" xr:uid="{00000000-0005-0000-0000-000090430000}"/>
    <cellStyle name="Normal 3 8 4 14 3" xfId="14714" xr:uid="{00000000-0005-0000-0000-000091430000}"/>
    <cellStyle name="Normal 3 8 4 14 3 2" xfId="31556" xr:uid="{00000000-0005-0000-0000-000092430000}"/>
    <cellStyle name="Normal 3 8 4 14 4" xfId="14715" xr:uid="{00000000-0005-0000-0000-000093430000}"/>
    <cellStyle name="Normal 3 8 4 14 4 2" xfId="31557" xr:uid="{00000000-0005-0000-0000-000094430000}"/>
    <cellStyle name="Normal 3 8 4 14 5" xfId="14716" xr:uid="{00000000-0005-0000-0000-000095430000}"/>
    <cellStyle name="Normal 3 8 4 14 5 2" xfId="31558" xr:uid="{00000000-0005-0000-0000-000096430000}"/>
    <cellStyle name="Normal 3 8 4 14 6" xfId="31554" xr:uid="{00000000-0005-0000-0000-000097430000}"/>
    <cellStyle name="Normal 3 8 4 15" xfId="14717" xr:uid="{00000000-0005-0000-0000-000098430000}"/>
    <cellStyle name="Normal 3 8 4 15 2" xfId="14718" xr:uid="{00000000-0005-0000-0000-000099430000}"/>
    <cellStyle name="Normal 3 8 4 15 2 2" xfId="31560" xr:uid="{00000000-0005-0000-0000-00009A430000}"/>
    <cellStyle name="Normal 3 8 4 15 3" xfId="14719" xr:uid="{00000000-0005-0000-0000-00009B430000}"/>
    <cellStyle name="Normal 3 8 4 15 3 2" xfId="31561" xr:uid="{00000000-0005-0000-0000-00009C430000}"/>
    <cellStyle name="Normal 3 8 4 15 4" xfId="14720" xr:uid="{00000000-0005-0000-0000-00009D430000}"/>
    <cellStyle name="Normal 3 8 4 15 4 2" xfId="31562" xr:uid="{00000000-0005-0000-0000-00009E430000}"/>
    <cellStyle name="Normal 3 8 4 15 5" xfId="14721" xr:uid="{00000000-0005-0000-0000-00009F430000}"/>
    <cellStyle name="Normal 3 8 4 15 5 2" xfId="31563" xr:uid="{00000000-0005-0000-0000-0000A0430000}"/>
    <cellStyle name="Normal 3 8 4 15 6" xfId="31559" xr:uid="{00000000-0005-0000-0000-0000A1430000}"/>
    <cellStyle name="Normal 3 8 4 16" xfId="14722" xr:uid="{00000000-0005-0000-0000-0000A2430000}"/>
    <cellStyle name="Normal 3 8 4 16 2" xfId="14723" xr:uid="{00000000-0005-0000-0000-0000A3430000}"/>
    <cellStyle name="Normal 3 8 4 16 2 2" xfId="31565" xr:uid="{00000000-0005-0000-0000-0000A4430000}"/>
    <cellStyle name="Normal 3 8 4 16 3" xfId="14724" xr:uid="{00000000-0005-0000-0000-0000A5430000}"/>
    <cellStyle name="Normal 3 8 4 16 3 2" xfId="31566" xr:uid="{00000000-0005-0000-0000-0000A6430000}"/>
    <cellStyle name="Normal 3 8 4 16 4" xfId="14725" xr:uid="{00000000-0005-0000-0000-0000A7430000}"/>
    <cellStyle name="Normal 3 8 4 16 4 2" xfId="31567" xr:uid="{00000000-0005-0000-0000-0000A8430000}"/>
    <cellStyle name="Normal 3 8 4 16 5" xfId="14726" xr:uid="{00000000-0005-0000-0000-0000A9430000}"/>
    <cellStyle name="Normal 3 8 4 16 5 2" xfId="31568" xr:uid="{00000000-0005-0000-0000-0000AA430000}"/>
    <cellStyle name="Normal 3 8 4 16 6" xfId="31564" xr:uid="{00000000-0005-0000-0000-0000AB430000}"/>
    <cellStyle name="Normal 3 8 4 17" xfId="40687" xr:uid="{00000000-0005-0000-0000-0000AC430000}"/>
    <cellStyle name="Normal 3 8 4 2" xfId="14727" xr:uid="{00000000-0005-0000-0000-0000AD430000}"/>
    <cellStyle name="Normal 3 8 4 3" xfId="14728" xr:uid="{00000000-0005-0000-0000-0000AE430000}"/>
    <cellStyle name="Normal 3 8 4 3 2" xfId="14729" xr:uid="{00000000-0005-0000-0000-0000AF430000}"/>
    <cellStyle name="Normal 3 8 4 3 2 2" xfId="31570" xr:uid="{00000000-0005-0000-0000-0000B0430000}"/>
    <cellStyle name="Normal 3 8 4 3 3" xfId="14730" xr:uid="{00000000-0005-0000-0000-0000B1430000}"/>
    <cellStyle name="Normal 3 8 4 3 3 2" xfId="31571" xr:uid="{00000000-0005-0000-0000-0000B2430000}"/>
    <cellStyle name="Normal 3 8 4 3 4" xfId="14731" xr:uid="{00000000-0005-0000-0000-0000B3430000}"/>
    <cellStyle name="Normal 3 8 4 3 4 2" xfId="31572" xr:uid="{00000000-0005-0000-0000-0000B4430000}"/>
    <cellStyle name="Normal 3 8 4 3 5" xfId="14732" xr:uid="{00000000-0005-0000-0000-0000B5430000}"/>
    <cellStyle name="Normal 3 8 4 3 5 2" xfId="31573" xr:uid="{00000000-0005-0000-0000-0000B6430000}"/>
    <cellStyle name="Normal 3 8 4 3 6" xfId="31569" xr:uid="{00000000-0005-0000-0000-0000B7430000}"/>
    <cellStyle name="Normal 3 8 4 4" xfId="14733" xr:uid="{00000000-0005-0000-0000-0000B8430000}"/>
    <cellStyle name="Normal 3 8 4 4 2" xfId="14734" xr:uid="{00000000-0005-0000-0000-0000B9430000}"/>
    <cellStyle name="Normal 3 8 4 4 2 2" xfId="31575" xr:uid="{00000000-0005-0000-0000-0000BA430000}"/>
    <cellStyle name="Normal 3 8 4 4 3" xfId="14735" xr:uid="{00000000-0005-0000-0000-0000BB430000}"/>
    <cellStyle name="Normal 3 8 4 4 3 2" xfId="31576" xr:uid="{00000000-0005-0000-0000-0000BC430000}"/>
    <cellStyle name="Normal 3 8 4 4 4" xfId="14736" xr:uid="{00000000-0005-0000-0000-0000BD430000}"/>
    <cellStyle name="Normal 3 8 4 4 4 2" xfId="31577" xr:uid="{00000000-0005-0000-0000-0000BE430000}"/>
    <cellStyle name="Normal 3 8 4 4 5" xfId="14737" xr:uid="{00000000-0005-0000-0000-0000BF430000}"/>
    <cellStyle name="Normal 3 8 4 4 5 2" xfId="31578" xr:uid="{00000000-0005-0000-0000-0000C0430000}"/>
    <cellStyle name="Normal 3 8 4 4 6" xfId="31574" xr:uid="{00000000-0005-0000-0000-0000C1430000}"/>
    <cellStyle name="Normal 3 8 4 5" xfId="14738" xr:uid="{00000000-0005-0000-0000-0000C2430000}"/>
    <cellStyle name="Normal 3 8 4 5 2" xfId="14739" xr:uid="{00000000-0005-0000-0000-0000C3430000}"/>
    <cellStyle name="Normal 3 8 4 5 2 2" xfId="31580" xr:uid="{00000000-0005-0000-0000-0000C4430000}"/>
    <cellStyle name="Normal 3 8 4 5 3" xfId="14740" xr:uid="{00000000-0005-0000-0000-0000C5430000}"/>
    <cellStyle name="Normal 3 8 4 5 3 2" xfId="31581" xr:uid="{00000000-0005-0000-0000-0000C6430000}"/>
    <cellStyle name="Normal 3 8 4 5 4" xfId="14741" xr:uid="{00000000-0005-0000-0000-0000C7430000}"/>
    <cellStyle name="Normal 3 8 4 5 4 2" xfId="31582" xr:uid="{00000000-0005-0000-0000-0000C8430000}"/>
    <cellStyle name="Normal 3 8 4 5 5" xfId="14742" xr:uid="{00000000-0005-0000-0000-0000C9430000}"/>
    <cellStyle name="Normal 3 8 4 5 5 2" xfId="31583" xr:uid="{00000000-0005-0000-0000-0000CA430000}"/>
    <cellStyle name="Normal 3 8 4 5 6" xfId="31579" xr:uid="{00000000-0005-0000-0000-0000CB430000}"/>
    <cellStyle name="Normal 3 8 4 6" xfId="14743" xr:uid="{00000000-0005-0000-0000-0000CC430000}"/>
    <cellStyle name="Normal 3 8 4 6 2" xfId="14744" xr:uid="{00000000-0005-0000-0000-0000CD430000}"/>
    <cellStyle name="Normal 3 8 4 6 2 2" xfId="31585" xr:uid="{00000000-0005-0000-0000-0000CE430000}"/>
    <cellStyle name="Normal 3 8 4 6 3" xfId="14745" xr:uid="{00000000-0005-0000-0000-0000CF430000}"/>
    <cellStyle name="Normal 3 8 4 6 3 2" xfId="31586" xr:uid="{00000000-0005-0000-0000-0000D0430000}"/>
    <cellStyle name="Normal 3 8 4 6 4" xfId="14746" xr:uid="{00000000-0005-0000-0000-0000D1430000}"/>
    <cellStyle name="Normal 3 8 4 6 4 2" xfId="31587" xr:uid="{00000000-0005-0000-0000-0000D2430000}"/>
    <cellStyle name="Normal 3 8 4 6 5" xfId="14747" xr:uid="{00000000-0005-0000-0000-0000D3430000}"/>
    <cellStyle name="Normal 3 8 4 6 5 2" xfId="31588" xr:uid="{00000000-0005-0000-0000-0000D4430000}"/>
    <cellStyle name="Normal 3 8 4 6 6" xfId="31584" xr:uid="{00000000-0005-0000-0000-0000D5430000}"/>
    <cellStyle name="Normal 3 8 4 7" xfId="14748" xr:uid="{00000000-0005-0000-0000-0000D6430000}"/>
    <cellStyle name="Normal 3 8 4 7 2" xfId="14749" xr:uid="{00000000-0005-0000-0000-0000D7430000}"/>
    <cellStyle name="Normal 3 8 4 7 2 2" xfId="31590" xr:uid="{00000000-0005-0000-0000-0000D8430000}"/>
    <cellStyle name="Normal 3 8 4 7 3" xfId="14750" xr:uid="{00000000-0005-0000-0000-0000D9430000}"/>
    <cellStyle name="Normal 3 8 4 7 3 2" xfId="31591" xr:uid="{00000000-0005-0000-0000-0000DA430000}"/>
    <cellStyle name="Normal 3 8 4 7 4" xfId="14751" xr:uid="{00000000-0005-0000-0000-0000DB430000}"/>
    <cellStyle name="Normal 3 8 4 7 4 2" xfId="31592" xr:uid="{00000000-0005-0000-0000-0000DC430000}"/>
    <cellStyle name="Normal 3 8 4 7 5" xfId="14752" xr:uid="{00000000-0005-0000-0000-0000DD430000}"/>
    <cellStyle name="Normal 3 8 4 7 5 2" xfId="31593" xr:uid="{00000000-0005-0000-0000-0000DE430000}"/>
    <cellStyle name="Normal 3 8 4 7 6" xfId="31589" xr:uid="{00000000-0005-0000-0000-0000DF430000}"/>
    <cellStyle name="Normal 3 8 4 8" xfId="14753" xr:uid="{00000000-0005-0000-0000-0000E0430000}"/>
    <cellStyle name="Normal 3 8 4 8 2" xfId="14754" xr:uid="{00000000-0005-0000-0000-0000E1430000}"/>
    <cellStyle name="Normal 3 8 4 8 2 2" xfId="31595" xr:uid="{00000000-0005-0000-0000-0000E2430000}"/>
    <cellStyle name="Normal 3 8 4 8 3" xfId="14755" xr:uid="{00000000-0005-0000-0000-0000E3430000}"/>
    <cellStyle name="Normal 3 8 4 8 3 2" xfId="31596" xr:uid="{00000000-0005-0000-0000-0000E4430000}"/>
    <cellStyle name="Normal 3 8 4 8 4" xfId="14756" xr:uid="{00000000-0005-0000-0000-0000E5430000}"/>
    <cellStyle name="Normal 3 8 4 8 4 2" xfId="31597" xr:uid="{00000000-0005-0000-0000-0000E6430000}"/>
    <cellStyle name="Normal 3 8 4 8 5" xfId="14757" xr:uid="{00000000-0005-0000-0000-0000E7430000}"/>
    <cellStyle name="Normal 3 8 4 8 5 2" xfId="31598" xr:uid="{00000000-0005-0000-0000-0000E8430000}"/>
    <cellStyle name="Normal 3 8 4 8 6" xfId="31594" xr:uid="{00000000-0005-0000-0000-0000E9430000}"/>
    <cellStyle name="Normal 3 8 4 9" xfId="14758" xr:uid="{00000000-0005-0000-0000-0000EA430000}"/>
    <cellStyle name="Normal 3 8 4 9 2" xfId="14759" xr:uid="{00000000-0005-0000-0000-0000EB430000}"/>
    <cellStyle name="Normal 3 8 4 9 2 2" xfId="31600" xr:uid="{00000000-0005-0000-0000-0000EC430000}"/>
    <cellStyle name="Normal 3 8 4 9 3" xfId="14760" xr:uid="{00000000-0005-0000-0000-0000ED430000}"/>
    <cellStyle name="Normal 3 8 4 9 3 2" xfId="31601" xr:uid="{00000000-0005-0000-0000-0000EE430000}"/>
    <cellStyle name="Normal 3 8 4 9 4" xfId="14761" xr:uid="{00000000-0005-0000-0000-0000EF430000}"/>
    <cellStyle name="Normal 3 8 4 9 4 2" xfId="31602" xr:uid="{00000000-0005-0000-0000-0000F0430000}"/>
    <cellStyle name="Normal 3 8 4 9 5" xfId="14762" xr:uid="{00000000-0005-0000-0000-0000F1430000}"/>
    <cellStyle name="Normal 3 8 4 9 5 2" xfId="31603" xr:uid="{00000000-0005-0000-0000-0000F2430000}"/>
    <cellStyle name="Normal 3 8 4 9 6" xfId="31599" xr:uid="{00000000-0005-0000-0000-0000F3430000}"/>
    <cellStyle name="Normal 3 8 5" xfId="14763" xr:uid="{00000000-0005-0000-0000-0000F4430000}"/>
    <cellStyle name="Normal 3 8 5 2" xfId="14764" xr:uid="{00000000-0005-0000-0000-0000F5430000}"/>
    <cellStyle name="Normal 3 8 6" xfId="14765" xr:uid="{00000000-0005-0000-0000-0000F6430000}"/>
    <cellStyle name="Normal 3 8 6 2" xfId="14766" xr:uid="{00000000-0005-0000-0000-0000F7430000}"/>
    <cellStyle name="Normal 3 8 7" xfId="14767" xr:uid="{00000000-0005-0000-0000-0000F8430000}"/>
    <cellStyle name="Normal 3 8 7 2" xfId="14768" xr:uid="{00000000-0005-0000-0000-0000F9430000}"/>
    <cellStyle name="Normal 3 8 8" xfId="14769" xr:uid="{00000000-0005-0000-0000-0000FA430000}"/>
    <cellStyle name="Normal 3 8 8 2" xfId="14770" xr:uid="{00000000-0005-0000-0000-0000FB430000}"/>
    <cellStyle name="Normal 3 8 8 2 2" xfId="14771" xr:uid="{00000000-0005-0000-0000-0000FC430000}"/>
    <cellStyle name="Normal 3 8 8 2 2 2" xfId="31606" xr:uid="{00000000-0005-0000-0000-0000FD430000}"/>
    <cellStyle name="Normal 3 8 8 2 3" xfId="14772" xr:uid="{00000000-0005-0000-0000-0000FE430000}"/>
    <cellStyle name="Normal 3 8 8 2 3 2" xfId="31607" xr:uid="{00000000-0005-0000-0000-0000FF430000}"/>
    <cellStyle name="Normal 3 8 8 2 4" xfId="14773" xr:uid="{00000000-0005-0000-0000-000000440000}"/>
    <cellStyle name="Normal 3 8 8 2 4 2" xfId="31608" xr:uid="{00000000-0005-0000-0000-000001440000}"/>
    <cellStyle name="Normal 3 8 8 2 5" xfId="14774" xr:uid="{00000000-0005-0000-0000-000002440000}"/>
    <cellStyle name="Normal 3 8 8 2 5 2" xfId="31609" xr:uid="{00000000-0005-0000-0000-000003440000}"/>
    <cellStyle name="Normal 3 8 8 2 6" xfId="31605" xr:uid="{00000000-0005-0000-0000-000004440000}"/>
    <cellStyle name="Normal 3 8 8 3" xfId="14775" xr:uid="{00000000-0005-0000-0000-000005440000}"/>
    <cellStyle name="Normal 3 8 8 3 2" xfId="31610" xr:uid="{00000000-0005-0000-0000-000006440000}"/>
    <cellStyle name="Normal 3 8 8 4" xfId="14776" xr:uid="{00000000-0005-0000-0000-000007440000}"/>
    <cellStyle name="Normal 3 8 8 4 2" xfId="31611" xr:uid="{00000000-0005-0000-0000-000008440000}"/>
    <cellStyle name="Normal 3 8 8 5" xfId="14777" xr:uid="{00000000-0005-0000-0000-000009440000}"/>
    <cellStyle name="Normal 3 8 8 5 2" xfId="31612" xr:uid="{00000000-0005-0000-0000-00000A440000}"/>
    <cellStyle name="Normal 3 8 8 6" xfId="14778" xr:uid="{00000000-0005-0000-0000-00000B440000}"/>
    <cellStyle name="Normal 3 8 8 6 2" xfId="31613" xr:uid="{00000000-0005-0000-0000-00000C440000}"/>
    <cellStyle name="Normal 3 8 8 7" xfId="31604" xr:uid="{00000000-0005-0000-0000-00000D440000}"/>
    <cellStyle name="Normal 3 8 9" xfId="14779" xr:uid="{00000000-0005-0000-0000-00000E440000}"/>
    <cellStyle name="Normal 3 8 9 2" xfId="14780" xr:uid="{00000000-0005-0000-0000-00000F440000}"/>
    <cellStyle name="Normal 3 8 9 2 2" xfId="14781" xr:uid="{00000000-0005-0000-0000-000010440000}"/>
    <cellStyle name="Normal 3 8 9 2 2 2" xfId="31616" xr:uid="{00000000-0005-0000-0000-000011440000}"/>
    <cellStyle name="Normal 3 8 9 2 3" xfId="14782" xr:uid="{00000000-0005-0000-0000-000012440000}"/>
    <cellStyle name="Normal 3 8 9 2 3 2" xfId="31617" xr:uid="{00000000-0005-0000-0000-000013440000}"/>
    <cellStyle name="Normal 3 8 9 2 4" xfId="14783" xr:uid="{00000000-0005-0000-0000-000014440000}"/>
    <cellStyle name="Normal 3 8 9 2 4 2" xfId="31618" xr:uid="{00000000-0005-0000-0000-000015440000}"/>
    <cellStyle name="Normal 3 8 9 2 5" xfId="14784" xr:uid="{00000000-0005-0000-0000-000016440000}"/>
    <cellStyle name="Normal 3 8 9 2 5 2" xfId="31619" xr:uid="{00000000-0005-0000-0000-000017440000}"/>
    <cellStyle name="Normal 3 8 9 2 6" xfId="31615" xr:uid="{00000000-0005-0000-0000-000018440000}"/>
    <cellStyle name="Normal 3 8 9 3" xfId="14785" xr:uid="{00000000-0005-0000-0000-000019440000}"/>
    <cellStyle name="Normal 3 8 9 3 2" xfId="31620" xr:uid="{00000000-0005-0000-0000-00001A440000}"/>
    <cellStyle name="Normal 3 8 9 4" xfId="14786" xr:uid="{00000000-0005-0000-0000-00001B440000}"/>
    <cellStyle name="Normal 3 8 9 4 2" xfId="31621" xr:uid="{00000000-0005-0000-0000-00001C440000}"/>
    <cellStyle name="Normal 3 8 9 5" xfId="14787" xr:uid="{00000000-0005-0000-0000-00001D440000}"/>
    <cellStyle name="Normal 3 8 9 5 2" xfId="31622" xr:uid="{00000000-0005-0000-0000-00001E440000}"/>
    <cellStyle name="Normal 3 8 9 6" xfId="14788" xr:uid="{00000000-0005-0000-0000-00001F440000}"/>
    <cellStyle name="Normal 3 8 9 6 2" xfId="31623" xr:uid="{00000000-0005-0000-0000-000020440000}"/>
    <cellStyle name="Normal 3 8 9 7" xfId="31614" xr:uid="{00000000-0005-0000-0000-000021440000}"/>
    <cellStyle name="Normal 3 9" xfId="14789" xr:uid="{00000000-0005-0000-0000-000022440000}"/>
    <cellStyle name="Normal 3 9 10" xfId="14790" xr:uid="{00000000-0005-0000-0000-000023440000}"/>
    <cellStyle name="Normal 3 9 10 2" xfId="14791" xr:uid="{00000000-0005-0000-0000-000024440000}"/>
    <cellStyle name="Normal 3 9 10 2 2" xfId="14792" xr:uid="{00000000-0005-0000-0000-000025440000}"/>
    <cellStyle name="Normal 3 9 10 2 2 2" xfId="31626" xr:uid="{00000000-0005-0000-0000-000026440000}"/>
    <cellStyle name="Normal 3 9 10 2 3" xfId="14793" xr:uid="{00000000-0005-0000-0000-000027440000}"/>
    <cellStyle name="Normal 3 9 10 2 3 2" xfId="31627" xr:uid="{00000000-0005-0000-0000-000028440000}"/>
    <cellStyle name="Normal 3 9 10 2 4" xfId="14794" xr:uid="{00000000-0005-0000-0000-000029440000}"/>
    <cellStyle name="Normal 3 9 10 2 4 2" xfId="31628" xr:uid="{00000000-0005-0000-0000-00002A440000}"/>
    <cellStyle name="Normal 3 9 10 2 5" xfId="14795" xr:uid="{00000000-0005-0000-0000-00002B440000}"/>
    <cellStyle name="Normal 3 9 10 2 5 2" xfId="31629" xr:uid="{00000000-0005-0000-0000-00002C440000}"/>
    <cellStyle name="Normal 3 9 10 2 6" xfId="31625" xr:uid="{00000000-0005-0000-0000-00002D440000}"/>
    <cellStyle name="Normal 3 9 10 3" xfId="14796" xr:uid="{00000000-0005-0000-0000-00002E440000}"/>
    <cellStyle name="Normal 3 9 10 3 2" xfId="31630" xr:uid="{00000000-0005-0000-0000-00002F440000}"/>
    <cellStyle name="Normal 3 9 10 4" xfId="14797" xr:uid="{00000000-0005-0000-0000-000030440000}"/>
    <cellStyle name="Normal 3 9 10 4 2" xfId="31631" xr:uid="{00000000-0005-0000-0000-000031440000}"/>
    <cellStyle name="Normal 3 9 10 5" xfId="14798" xr:uid="{00000000-0005-0000-0000-000032440000}"/>
    <cellStyle name="Normal 3 9 10 5 2" xfId="31632" xr:uid="{00000000-0005-0000-0000-000033440000}"/>
    <cellStyle name="Normal 3 9 10 6" xfId="14799" xr:uid="{00000000-0005-0000-0000-000034440000}"/>
    <cellStyle name="Normal 3 9 10 6 2" xfId="31633" xr:uid="{00000000-0005-0000-0000-000035440000}"/>
    <cellStyle name="Normal 3 9 10 7" xfId="31624" xr:uid="{00000000-0005-0000-0000-000036440000}"/>
    <cellStyle name="Normal 3 9 11" xfId="14800" xr:uid="{00000000-0005-0000-0000-000037440000}"/>
    <cellStyle name="Normal 3 9 11 2" xfId="14801" xr:uid="{00000000-0005-0000-0000-000038440000}"/>
    <cellStyle name="Normal 3 9 11 2 2" xfId="31635" xr:uid="{00000000-0005-0000-0000-000039440000}"/>
    <cellStyle name="Normal 3 9 11 3" xfId="14802" xr:uid="{00000000-0005-0000-0000-00003A440000}"/>
    <cellStyle name="Normal 3 9 11 3 2" xfId="31636" xr:uid="{00000000-0005-0000-0000-00003B440000}"/>
    <cellStyle name="Normal 3 9 11 4" xfId="14803" xr:uid="{00000000-0005-0000-0000-00003C440000}"/>
    <cellStyle name="Normal 3 9 11 4 2" xfId="31637" xr:uid="{00000000-0005-0000-0000-00003D440000}"/>
    <cellStyle name="Normal 3 9 11 5" xfId="14804" xr:uid="{00000000-0005-0000-0000-00003E440000}"/>
    <cellStyle name="Normal 3 9 11 5 2" xfId="31638" xr:uid="{00000000-0005-0000-0000-00003F440000}"/>
    <cellStyle name="Normal 3 9 11 6" xfId="31634" xr:uid="{00000000-0005-0000-0000-000040440000}"/>
    <cellStyle name="Normal 3 9 12" xfId="14805" xr:uid="{00000000-0005-0000-0000-000041440000}"/>
    <cellStyle name="Normal 3 9 12 2" xfId="14806" xr:uid="{00000000-0005-0000-0000-000042440000}"/>
    <cellStyle name="Normal 3 9 12 2 2" xfId="31640" xr:uid="{00000000-0005-0000-0000-000043440000}"/>
    <cellStyle name="Normal 3 9 12 3" xfId="14807" xr:uid="{00000000-0005-0000-0000-000044440000}"/>
    <cellStyle name="Normal 3 9 12 3 2" xfId="31641" xr:uid="{00000000-0005-0000-0000-000045440000}"/>
    <cellStyle name="Normal 3 9 12 4" xfId="14808" xr:uid="{00000000-0005-0000-0000-000046440000}"/>
    <cellStyle name="Normal 3 9 12 4 2" xfId="31642" xr:uid="{00000000-0005-0000-0000-000047440000}"/>
    <cellStyle name="Normal 3 9 12 5" xfId="14809" xr:uid="{00000000-0005-0000-0000-000048440000}"/>
    <cellStyle name="Normal 3 9 12 5 2" xfId="31643" xr:uid="{00000000-0005-0000-0000-000049440000}"/>
    <cellStyle name="Normal 3 9 12 6" xfId="31639" xr:uid="{00000000-0005-0000-0000-00004A440000}"/>
    <cellStyle name="Normal 3 9 13" xfId="14810" xr:uid="{00000000-0005-0000-0000-00004B440000}"/>
    <cellStyle name="Normal 3 9 13 2" xfId="14811" xr:uid="{00000000-0005-0000-0000-00004C440000}"/>
    <cellStyle name="Normal 3 9 13 2 2" xfId="31645" xr:uid="{00000000-0005-0000-0000-00004D440000}"/>
    <cellStyle name="Normal 3 9 13 3" xfId="14812" xr:uid="{00000000-0005-0000-0000-00004E440000}"/>
    <cellStyle name="Normal 3 9 13 3 2" xfId="31646" xr:uid="{00000000-0005-0000-0000-00004F440000}"/>
    <cellStyle name="Normal 3 9 13 4" xfId="14813" xr:uid="{00000000-0005-0000-0000-000050440000}"/>
    <cellStyle name="Normal 3 9 13 4 2" xfId="31647" xr:uid="{00000000-0005-0000-0000-000051440000}"/>
    <cellStyle name="Normal 3 9 13 5" xfId="14814" xr:uid="{00000000-0005-0000-0000-000052440000}"/>
    <cellStyle name="Normal 3 9 13 5 2" xfId="31648" xr:uid="{00000000-0005-0000-0000-000053440000}"/>
    <cellStyle name="Normal 3 9 13 6" xfId="31644" xr:uid="{00000000-0005-0000-0000-000054440000}"/>
    <cellStyle name="Normal 3 9 14" xfId="14815" xr:uid="{00000000-0005-0000-0000-000055440000}"/>
    <cellStyle name="Normal 3 9 14 2" xfId="14816" xr:uid="{00000000-0005-0000-0000-000056440000}"/>
    <cellStyle name="Normal 3 9 14 2 2" xfId="31650" xr:uid="{00000000-0005-0000-0000-000057440000}"/>
    <cellStyle name="Normal 3 9 14 3" xfId="14817" xr:uid="{00000000-0005-0000-0000-000058440000}"/>
    <cellStyle name="Normal 3 9 14 3 2" xfId="31651" xr:uid="{00000000-0005-0000-0000-000059440000}"/>
    <cellStyle name="Normal 3 9 14 4" xfId="14818" xr:uid="{00000000-0005-0000-0000-00005A440000}"/>
    <cellStyle name="Normal 3 9 14 4 2" xfId="31652" xr:uid="{00000000-0005-0000-0000-00005B440000}"/>
    <cellStyle name="Normal 3 9 14 5" xfId="14819" xr:uid="{00000000-0005-0000-0000-00005C440000}"/>
    <cellStyle name="Normal 3 9 14 5 2" xfId="31653" xr:uid="{00000000-0005-0000-0000-00005D440000}"/>
    <cellStyle name="Normal 3 9 14 6" xfId="31649" xr:uid="{00000000-0005-0000-0000-00005E440000}"/>
    <cellStyle name="Normal 3 9 15" xfId="14820" xr:uid="{00000000-0005-0000-0000-00005F440000}"/>
    <cellStyle name="Normal 3 9 15 2" xfId="14821" xr:uid="{00000000-0005-0000-0000-000060440000}"/>
    <cellStyle name="Normal 3 9 15 2 2" xfId="31655" xr:uid="{00000000-0005-0000-0000-000061440000}"/>
    <cellStyle name="Normal 3 9 15 3" xfId="14822" xr:uid="{00000000-0005-0000-0000-000062440000}"/>
    <cellStyle name="Normal 3 9 15 3 2" xfId="31656" xr:uid="{00000000-0005-0000-0000-000063440000}"/>
    <cellStyle name="Normal 3 9 15 4" xfId="14823" xr:uid="{00000000-0005-0000-0000-000064440000}"/>
    <cellStyle name="Normal 3 9 15 4 2" xfId="31657" xr:uid="{00000000-0005-0000-0000-000065440000}"/>
    <cellStyle name="Normal 3 9 15 5" xfId="14824" xr:uid="{00000000-0005-0000-0000-000066440000}"/>
    <cellStyle name="Normal 3 9 15 5 2" xfId="31658" xr:uid="{00000000-0005-0000-0000-000067440000}"/>
    <cellStyle name="Normal 3 9 15 6" xfId="31654" xr:uid="{00000000-0005-0000-0000-000068440000}"/>
    <cellStyle name="Normal 3 9 16" xfId="14825" xr:uid="{00000000-0005-0000-0000-000069440000}"/>
    <cellStyle name="Normal 3 9 16 2" xfId="14826" xr:uid="{00000000-0005-0000-0000-00006A440000}"/>
    <cellStyle name="Normal 3 9 16 2 2" xfId="31660" xr:uid="{00000000-0005-0000-0000-00006B440000}"/>
    <cellStyle name="Normal 3 9 16 3" xfId="14827" xr:uid="{00000000-0005-0000-0000-00006C440000}"/>
    <cellStyle name="Normal 3 9 16 3 2" xfId="31661" xr:uid="{00000000-0005-0000-0000-00006D440000}"/>
    <cellStyle name="Normal 3 9 16 4" xfId="14828" xr:uid="{00000000-0005-0000-0000-00006E440000}"/>
    <cellStyle name="Normal 3 9 16 4 2" xfId="31662" xr:uid="{00000000-0005-0000-0000-00006F440000}"/>
    <cellStyle name="Normal 3 9 16 5" xfId="14829" xr:uid="{00000000-0005-0000-0000-000070440000}"/>
    <cellStyle name="Normal 3 9 16 5 2" xfId="31663" xr:uid="{00000000-0005-0000-0000-000071440000}"/>
    <cellStyle name="Normal 3 9 16 6" xfId="31659" xr:uid="{00000000-0005-0000-0000-000072440000}"/>
    <cellStyle name="Normal 3 9 17" xfId="14830" xr:uid="{00000000-0005-0000-0000-000073440000}"/>
    <cellStyle name="Normal 3 9 17 2" xfId="14831" xr:uid="{00000000-0005-0000-0000-000074440000}"/>
    <cellStyle name="Normal 3 9 17 2 2" xfId="31665" xr:uid="{00000000-0005-0000-0000-000075440000}"/>
    <cellStyle name="Normal 3 9 17 3" xfId="14832" xr:uid="{00000000-0005-0000-0000-000076440000}"/>
    <cellStyle name="Normal 3 9 17 3 2" xfId="31666" xr:uid="{00000000-0005-0000-0000-000077440000}"/>
    <cellStyle name="Normal 3 9 17 4" xfId="14833" xr:uid="{00000000-0005-0000-0000-000078440000}"/>
    <cellStyle name="Normal 3 9 17 4 2" xfId="31667" xr:uid="{00000000-0005-0000-0000-000079440000}"/>
    <cellStyle name="Normal 3 9 17 5" xfId="14834" xr:uid="{00000000-0005-0000-0000-00007A440000}"/>
    <cellStyle name="Normal 3 9 17 5 2" xfId="31668" xr:uid="{00000000-0005-0000-0000-00007B440000}"/>
    <cellStyle name="Normal 3 9 17 6" xfId="31664" xr:uid="{00000000-0005-0000-0000-00007C440000}"/>
    <cellStyle name="Normal 3 9 18" xfId="14835" xr:uid="{00000000-0005-0000-0000-00007D440000}"/>
    <cellStyle name="Normal 3 9 18 2" xfId="14836" xr:uid="{00000000-0005-0000-0000-00007E440000}"/>
    <cellStyle name="Normal 3 9 18 2 2" xfId="31670" xr:uid="{00000000-0005-0000-0000-00007F440000}"/>
    <cellStyle name="Normal 3 9 18 3" xfId="14837" xr:uid="{00000000-0005-0000-0000-000080440000}"/>
    <cellStyle name="Normal 3 9 18 3 2" xfId="31671" xr:uid="{00000000-0005-0000-0000-000081440000}"/>
    <cellStyle name="Normal 3 9 18 4" xfId="14838" xr:uid="{00000000-0005-0000-0000-000082440000}"/>
    <cellStyle name="Normal 3 9 18 4 2" xfId="31672" xr:uid="{00000000-0005-0000-0000-000083440000}"/>
    <cellStyle name="Normal 3 9 18 5" xfId="14839" xr:uid="{00000000-0005-0000-0000-000084440000}"/>
    <cellStyle name="Normal 3 9 18 5 2" xfId="31673" xr:uid="{00000000-0005-0000-0000-000085440000}"/>
    <cellStyle name="Normal 3 9 18 6" xfId="31669" xr:uid="{00000000-0005-0000-0000-000086440000}"/>
    <cellStyle name="Normal 3 9 19" xfId="14840" xr:uid="{00000000-0005-0000-0000-000087440000}"/>
    <cellStyle name="Normal 3 9 19 2" xfId="14841" xr:uid="{00000000-0005-0000-0000-000088440000}"/>
    <cellStyle name="Normal 3 9 19 2 2" xfId="31675" xr:uid="{00000000-0005-0000-0000-000089440000}"/>
    <cellStyle name="Normal 3 9 19 3" xfId="14842" xr:uid="{00000000-0005-0000-0000-00008A440000}"/>
    <cellStyle name="Normal 3 9 19 3 2" xfId="31676" xr:uid="{00000000-0005-0000-0000-00008B440000}"/>
    <cellStyle name="Normal 3 9 19 4" xfId="14843" xr:uid="{00000000-0005-0000-0000-00008C440000}"/>
    <cellStyle name="Normal 3 9 19 4 2" xfId="31677" xr:uid="{00000000-0005-0000-0000-00008D440000}"/>
    <cellStyle name="Normal 3 9 19 5" xfId="14844" xr:uid="{00000000-0005-0000-0000-00008E440000}"/>
    <cellStyle name="Normal 3 9 19 5 2" xfId="31678" xr:uid="{00000000-0005-0000-0000-00008F440000}"/>
    <cellStyle name="Normal 3 9 19 6" xfId="31674" xr:uid="{00000000-0005-0000-0000-000090440000}"/>
    <cellStyle name="Normal 3 9 2" xfId="14845" xr:uid="{00000000-0005-0000-0000-000091440000}"/>
    <cellStyle name="Normal 3 9 2 10" xfId="14846" xr:uid="{00000000-0005-0000-0000-000092440000}"/>
    <cellStyle name="Normal 3 9 2 11" xfId="14847" xr:uid="{00000000-0005-0000-0000-000093440000}"/>
    <cellStyle name="Normal 3 9 2 12" xfId="14848" xr:uid="{00000000-0005-0000-0000-000094440000}"/>
    <cellStyle name="Normal 3 9 2 13" xfId="14849" xr:uid="{00000000-0005-0000-0000-000095440000}"/>
    <cellStyle name="Normal 3 9 2 14" xfId="14850" xr:uid="{00000000-0005-0000-0000-000096440000}"/>
    <cellStyle name="Normal 3 9 2 15" xfId="14851" xr:uid="{00000000-0005-0000-0000-000097440000}"/>
    <cellStyle name="Normal 3 9 2 16" xfId="14852" xr:uid="{00000000-0005-0000-0000-000098440000}"/>
    <cellStyle name="Normal 3 9 2 17" xfId="14853" xr:uid="{00000000-0005-0000-0000-000099440000}"/>
    <cellStyle name="Normal 3 9 2 18" xfId="14854" xr:uid="{00000000-0005-0000-0000-00009A440000}"/>
    <cellStyle name="Normal 3 9 2 19" xfId="14855" xr:uid="{00000000-0005-0000-0000-00009B440000}"/>
    <cellStyle name="Normal 3 9 2 2" xfId="14856" xr:uid="{00000000-0005-0000-0000-00009C440000}"/>
    <cellStyle name="Normal 3 9 2 2 2" xfId="14857" xr:uid="{00000000-0005-0000-0000-00009D440000}"/>
    <cellStyle name="Normal 3 9 2 2 3" xfId="14858" xr:uid="{00000000-0005-0000-0000-00009E440000}"/>
    <cellStyle name="Normal 3 9 2 2 4" xfId="14859" xr:uid="{00000000-0005-0000-0000-00009F440000}"/>
    <cellStyle name="Normal 3 9 2 2 5" xfId="14860" xr:uid="{00000000-0005-0000-0000-0000A0440000}"/>
    <cellStyle name="Normal 3 9 2 2 6" xfId="14861" xr:uid="{00000000-0005-0000-0000-0000A1440000}"/>
    <cellStyle name="Normal 3 9 2 2 7" xfId="14862" xr:uid="{00000000-0005-0000-0000-0000A2440000}"/>
    <cellStyle name="Normal 3 9 2 20" xfId="14863" xr:uid="{00000000-0005-0000-0000-0000A3440000}"/>
    <cellStyle name="Normal 3 9 2 21" xfId="14864" xr:uid="{00000000-0005-0000-0000-0000A4440000}"/>
    <cellStyle name="Normal 3 9 2 22" xfId="40688" xr:uid="{00000000-0005-0000-0000-0000A5440000}"/>
    <cellStyle name="Normal 3 9 2 23" xfId="31679" xr:uid="{00000000-0005-0000-0000-0000A6440000}"/>
    <cellStyle name="Normal 3 9 2 3" xfId="14865" xr:uid="{00000000-0005-0000-0000-0000A7440000}"/>
    <cellStyle name="Normal 3 9 2 4" xfId="14866" xr:uid="{00000000-0005-0000-0000-0000A8440000}"/>
    <cellStyle name="Normal 3 9 2 5" xfId="14867" xr:uid="{00000000-0005-0000-0000-0000A9440000}"/>
    <cellStyle name="Normal 3 9 2 6" xfId="14868" xr:uid="{00000000-0005-0000-0000-0000AA440000}"/>
    <cellStyle name="Normal 3 9 2 7" xfId="14869" xr:uid="{00000000-0005-0000-0000-0000AB440000}"/>
    <cellStyle name="Normal 3 9 2 8" xfId="14870" xr:uid="{00000000-0005-0000-0000-0000AC440000}"/>
    <cellStyle name="Normal 3 9 2 9" xfId="14871" xr:uid="{00000000-0005-0000-0000-0000AD440000}"/>
    <cellStyle name="Normal 3 9 20" xfId="14872" xr:uid="{00000000-0005-0000-0000-0000AE440000}"/>
    <cellStyle name="Normal 3 9 20 2" xfId="14873" xr:uid="{00000000-0005-0000-0000-0000AF440000}"/>
    <cellStyle name="Normal 3 9 20 2 2" xfId="31681" xr:uid="{00000000-0005-0000-0000-0000B0440000}"/>
    <cellStyle name="Normal 3 9 20 3" xfId="14874" xr:uid="{00000000-0005-0000-0000-0000B1440000}"/>
    <cellStyle name="Normal 3 9 20 3 2" xfId="31682" xr:uid="{00000000-0005-0000-0000-0000B2440000}"/>
    <cellStyle name="Normal 3 9 20 4" xfId="14875" xr:uid="{00000000-0005-0000-0000-0000B3440000}"/>
    <cellStyle name="Normal 3 9 20 4 2" xfId="31683" xr:uid="{00000000-0005-0000-0000-0000B4440000}"/>
    <cellStyle name="Normal 3 9 20 5" xfId="14876" xr:uid="{00000000-0005-0000-0000-0000B5440000}"/>
    <cellStyle name="Normal 3 9 20 5 2" xfId="31684" xr:uid="{00000000-0005-0000-0000-0000B6440000}"/>
    <cellStyle name="Normal 3 9 20 6" xfId="31680" xr:uid="{00000000-0005-0000-0000-0000B7440000}"/>
    <cellStyle name="Normal 3 9 21" xfId="14877" xr:uid="{00000000-0005-0000-0000-0000B8440000}"/>
    <cellStyle name="Normal 3 9 21 2" xfId="14878" xr:uid="{00000000-0005-0000-0000-0000B9440000}"/>
    <cellStyle name="Normal 3 9 21 2 2" xfId="31686" xr:uid="{00000000-0005-0000-0000-0000BA440000}"/>
    <cellStyle name="Normal 3 9 21 3" xfId="14879" xr:uid="{00000000-0005-0000-0000-0000BB440000}"/>
    <cellStyle name="Normal 3 9 21 3 2" xfId="31687" xr:uid="{00000000-0005-0000-0000-0000BC440000}"/>
    <cellStyle name="Normal 3 9 21 4" xfId="14880" xr:uid="{00000000-0005-0000-0000-0000BD440000}"/>
    <cellStyle name="Normal 3 9 21 4 2" xfId="31688" xr:uid="{00000000-0005-0000-0000-0000BE440000}"/>
    <cellStyle name="Normal 3 9 21 5" xfId="14881" xr:uid="{00000000-0005-0000-0000-0000BF440000}"/>
    <cellStyle name="Normal 3 9 21 5 2" xfId="31689" xr:uid="{00000000-0005-0000-0000-0000C0440000}"/>
    <cellStyle name="Normal 3 9 21 6" xfId="31685" xr:uid="{00000000-0005-0000-0000-0000C1440000}"/>
    <cellStyle name="Normal 3 9 22" xfId="14882" xr:uid="{00000000-0005-0000-0000-0000C2440000}"/>
    <cellStyle name="Normal 3 9 22 2" xfId="31690" xr:uid="{00000000-0005-0000-0000-0000C3440000}"/>
    <cellStyle name="Normal 3 9 23" xfId="14883" xr:uid="{00000000-0005-0000-0000-0000C4440000}"/>
    <cellStyle name="Normal 3 9 23 2" xfId="31691" xr:uid="{00000000-0005-0000-0000-0000C5440000}"/>
    <cellStyle name="Normal 3 9 24" xfId="14884" xr:uid="{00000000-0005-0000-0000-0000C6440000}"/>
    <cellStyle name="Normal 3 9 24 2" xfId="31692" xr:uid="{00000000-0005-0000-0000-0000C7440000}"/>
    <cellStyle name="Normal 3 9 25" xfId="14885" xr:uid="{00000000-0005-0000-0000-0000C8440000}"/>
    <cellStyle name="Normal 3 9 25 2" xfId="31693" xr:uid="{00000000-0005-0000-0000-0000C9440000}"/>
    <cellStyle name="Normal 3 9 26" xfId="14886" xr:uid="{00000000-0005-0000-0000-0000CA440000}"/>
    <cellStyle name="Normal 3 9 26 2" xfId="31694" xr:uid="{00000000-0005-0000-0000-0000CB440000}"/>
    <cellStyle name="Normal 3 9 3" xfId="14887" xr:uid="{00000000-0005-0000-0000-0000CC440000}"/>
    <cellStyle name="Normal 3 9 3 10" xfId="14888" xr:uid="{00000000-0005-0000-0000-0000CD440000}"/>
    <cellStyle name="Normal 3 9 3 11" xfId="14889" xr:uid="{00000000-0005-0000-0000-0000CE440000}"/>
    <cellStyle name="Normal 3 9 3 12" xfId="14890" xr:uid="{00000000-0005-0000-0000-0000CF440000}"/>
    <cellStyle name="Normal 3 9 3 13" xfId="14891" xr:uid="{00000000-0005-0000-0000-0000D0440000}"/>
    <cellStyle name="Normal 3 9 3 14" xfId="14892" xr:uid="{00000000-0005-0000-0000-0000D1440000}"/>
    <cellStyle name="Normal 3 9 3 15" xfId="14893" xr:uid="{00000000-0005-0000-0000-0000D2440000}"/>
    <cellStyle name="Normal 3 9 3 16" xfId="14894" xr:uid="{00000000-0005-0000-0000-0000D3440000}"/>
    <cellStyle name="Normal 3 9 3 17" xfId="40689" xr:uid="{00000000-0005-0000-0000-0000D4440000}"/>
    <cellStyle name="Normal 3 9 3 2" xfId="14895" xr:uid="{00000000-0005-0000-0000-0000D5440000}"/>
    <cellStyle name="Normal 3 9 3 3" xfId="14896" xr:uid="{00000000-0005-0000-0000-0000D6440000}"/>
    <cellStyle name="Normal 3 9 3 4" xfId="14897" xr:uid="{00000000-0005-0000-0000-0000D7440000}"/>
    <cellStyle name="Normal 3 9 3 5" xfId="14898" xr:uid="{00000000-0005-0000-0000-0000D8440000}"/>
    <cellStyle name="Normal 3 9 3 6" xfId="14899" xr:uid="{00000000-0005-0000-0000-0000D9440000}"/>
    <cellStyle name="Normal 3 9 3 7" xfId="14900" xr:uid="{00000000-0005-0000-0000-0000DA440000}"/>
    <cellStyle name="Normal 3 9 3 8" xfId="14901" xr:uid="{00000000-0005-0000-0000-0000DB440000}"/>
    <cellStyle name="Normal 3 9 3 9" xfId="14902" xr:uid="{00000000-0005-0000-0000-0000DC440000}"/>
    <cellStyle name="Normal 3 9 4" xfId="14903" xr:uid="{00000000-0005-0000-0000-0000DD440000}"/>
    <cellStyle name="Normal 3 9 4 10" xfId="14904" xr:uid="{00000000-0005-0000-0000-0000DE440000}"/>
    <cellStyle name="Normal 3 9 4 10 2" xfId="14905" xr:uid="{00000000-0005-0000-0000-0000DF440000}"/>
    <cellStyle name="Normal 3 9 4 10 2 2" xfId="31696" xr:uid="{00000000-0005-0000-0000-0000E0440000}"/>
    <cellStyle name="Normal 3 9 4 10 3" xfId="14906" xr:uid="{00000000-0005-0000-0000-0000E1440000}"/>
    <cellStyle name="Normal 3 9 4 10 3 2" xfId="31697" xr:uid="{00000000-0005-0000-0000-0000E2440000}"/>
    <cellStyle name="Normal 3 9 4 10 4" xfId="14907" xr:uid="{00000000-0005-0000-0000-0000E3440000}"/>
    <cellStyle name="Normal 3 9 4 10 4 2" xfId="31698" xr:uid="{00000000-0005-0000-0000-0000E4440000}"/>
    <cellStyle name="Normal 3 9 4 10 5" xfId="14908" xr:uid="{00000000-0005-0000-0000-0000E5440000}"/>
    <cellStyle name="Normal 3 9 4 10 5 2" xfId="31699" xr:uid="{00000000-0005-0000-0000-0000E6440000}"/>
    <cellStyle name="Normal 3 9 4 10 6" xfId="31695" xr:uid="{00000000-0005-0000-0000-0000E7440000}"/>
    <cellStyle name="Normal 3 9 4 11" xfId="14909" xr:uid="{00000000-0005-0000-0000-0000E8440000}"/>
    <cellStyle name="Normal 3 9 4 11 2" xfId="14910" xr:uid="{00000000-0005-0000-0000-0000E9440000}"/>
    <cellStyle name="Normal 3 9 4 11 2 2" xfId="31701" xr:uid="{00000000-0005-0000-0000-0000EA440000}"/>
    <cellStyle name="Normal 3 9 4 11 3" xfId="14911" xr:uid="{00000000-0005-0000-0000-0000EB440000}"/>
    <cellStyle name="Normal 3 9 4 11 3 2" xfId="31702" xr:uid="{00000000-0005-0000-0000-0000EC440000}"/>
    <cellStyle name="Normal 3 9 4 11 4" xfId="14912" xr:uid="{00000000-0005-0000-0000-0000ED440000}"/>
    <cellStyle name="Normal 3 9 4 11 4 2" xfId="31703" xr:uid="{00000000-0005-0000-0000-0000EE440000}"/>
    <cellStyle name="Normal 3 9 4 11 5" xfId="14913" xr:uid="{00000000-0005-0000-0000-0000EF440000}"/>
    <cellStyle name="Normal 3 9 4 11 5 2" xfId="31704" xr:uid="{00000000-0005-0000-0000-0000F0440000}"/>
    <cellStyle name="Normal 3 9 4 11 6" xfId="31700" xr:uid="{00000000-0005-0000-0000-0000F1440000}"/>
    <cellStyle name="Normal 3 9 4 12" xfId="14914" xr:uid="{00000000-0005-0000-0000-0000F2440000}"/>
    <cellStyle name="Normal 3 9 4 12 2" xfId="14915" xr:uid="{00000000-0005-0000-0000-0000F3440000}"/>
    <cellStyle name="Normal 3 9 4 12 2 2" xfId="31706" xr:uid="{00000000-0005-0000-0000-0000F4440000}"/>
    <cellStyle name="Normal 3 9 4 12 3" xfId="14916" xr:uid="{00000000-0005-0000-0000-0000F5440000}"/>
    <cellStyle name="Normal 3 9 4 12 3 2" xfId="31707" xr:uid="{00000000-0005-0000-0000-0000F6440000}"/>
    <cellStyle name="Normal 3 9 4 12 4" xfId="14917" xr:uid="{00000000-0005-0000-0000-0000F7440000}"/>
    <cellStyle name="Normal 3 9 4 12 4 2" xfId="31708" xr:uid="{00000000-0005-0000-0000-0000F8440000}"/>
    <cellStyle name="Normal 3 9 4 12 5" xfId="14918" xr:uid="{00000000-0005-0000-0000-0000F9440000}"/>
    <cellStyle name="Normal 3 9 4 12 5 2" xfId="31709" xr:uid="{00000000-0005-0000-0000-0000FA440000}"/>
    <cellStyle name="Normal 3 9 4 12 6" xfId="31705" xr:uid="{00000000-0005-0000-0000-0000FB440000}"/>
    <cellStyle name="Normal 3 9 4 13" xfId="14919" xr:uid="{00000000-0005-0000-0000-0000FC440000}"/>
    <cellStyle name="Normal 3 9 4 13 2" xfId="14920" xr:uid="{00000000-0005-0000-0000-0000FD440000}"/>
    <cellStyle name="Normal 3 9 4 13 2 2" xfId="31711" xr:uid="{00000000-0005-0000-0000-0000FE440000}"/>
    <cellStyle name="Normal 3 9 4 13 3" xfId="14921" xr:uid="{00000000-0005-0000-0000-0000FF440000}"/>
    <cellStyle name="Normal 3 9 4 13 3 2" xfId="31712" xr:uid="{00000000-0005-0000-0000-000000450000}"/>
    <cellStyle name="Normal 3 9 4 13 4" xfId="14922" xr:uid="{00000000-0005-0000-0000-000001450000}"/>
    <cellStyle name="Normal 3 9 4 13 4 2" xfId="31713" xr:uid="{00000000-0005-0000-0000-000002450000}"/>
    <cellStyle name="Normal 3 9 4 13 5" xfId="14923" xr:uid="{00000000-0005-0000-0000-000003450000}"/>
    <cellStyle name="Normal 3 9 4 13 5 2" xfId="31714" xr:uid="{00000000-0005-0000-0000-000004450000}"/>
    <cellStyle name="Normal 3 9 4 13 6" xfId="31710" xr:uid="{00000000-0005-0000-0000-000005450000}"/>
    <cellStyle name="Normal 3 9 4 14" xfId="14924" xr:uid="{00000000-0005-0000-0000-000006450000}"/>
    <cellStyle name="Normal 3 9 4 14 2" xfId="14925" xr:uid="{00000000-0005-0000-0000-000007450000}"/>
    <cellStyle name="Normal 3 9 4 14 2 2" xfId="31716" xr:uid="{00000000-0005-0000-0000-000008450000}"/>
    <cellStyle name="Normal 3 9 4 14 3" xfId="14926" xr:uid="{00000000-0005-0000-0000-000009450000}"/>
    <cellStyle name="Normal 3 9 4 14 3 2" xfId="31717" xr:uid="{00000000-0005-0000-0000-00000A450000}"/>
    <cellStyle name="Normal 3 9 4 14 4" xfId="14927" xr:uid="{00000000-0005-0000-0000-00000B450000}"/>
    <cellStyle name="Normal 3 9 4 14 4 2" xfId="31718" xr:uid="{00000000-0005-0000-0000-00000C450000}"/>
    <cellStyle name="Normal 3 9 4 14 5" xfId="14928" xr:uid="{00000000-0005-0000-0000-00000D450000}"/>
    <cellStyle name="Normal 3 9 4 14 5 2" xfId="31719" xr:uid="{00000000-0005-0000-0000-00000E450000}"/>
    <cellStyle name="Normal 3 9 4 14 6" xfId="31715" xr:uid="{00000000-0005-0000-0000-00000F450000}"/>
    <cellStyle name="Normal 3 9 4 15" xfId="14929" xr:uid="{00000000-0005-0000-0000-000010450000}"/>
    <cellStyle name="Normal 3 9 4 15 2" xfId="14930" xr:uid="{00000000-0005-0000-0000-000011450000}"/>
    <cellStyle name="Normal 3 9 4 15 2 2" xfId="31721" xr:uid="{00000000-0005-0000-0000-000012450000}"/>
    <cellStyle name="Normal 3 9 4 15 3" xfId="14931" xr:uid="{00000000-0005-0000-0000-000013450000}"/>
    <cellStyle name="Normal 3 9 4 15 3 2" xfId="31722" xr:uid="{00000000-0005-0000-0000-000014450000}"/>
    <cellStyle name="Normal 3 9 4 15 4" xfId="14932" xr:uid="{00000000-0005-0000-0000-000015450000}"/>
    <cellStyle name="Normal 3 9 4 15 4 2" xfId="31723" xr:uid="{00000000-0005-0000-0000-000016450000}"/>
    <cellStyle name="Normal 3 9 4 15 5" xfId="14933" xr:uid="{00000000-0005-0000-0000-000017450000}"/>
    <cellStyle name="Normal 3 9 4 15 5 2" xfId="31724" xr:uid="{00000000-0005-0000-0000-000018450000}"/>
    <cellStyle name="Normal 3 9 4 15 6" xfId="31720" xr:uid="{00000000-0005-0000-0000-000019450000}"/>
    <cellStyle name="Normal 3 9 4 16" xfId="14934" xr:uid="{00000000-0005-0000-0000-00001A450000}"/>
    <cellStyle name="Normal 3 9 4 16 2" xfId="14935" xr:uid="{00000000-0005-0000-0000-00001B450000}"/>
    <cellStyle name="Normal 3 9 4 16 2 2" xfId="31726" xr:uid="{00000000-0005-0000-0000-00001C450000}"/>
    <cellStyle name="Normal 3 9 4 16 3" xfId="14936" xr:uid="{00000000-0005-0000-0000-00001D450000}"/>
    <cellStyle name="Normal 3 9 4 16 3 2" xfId="31727" xr:uid="{00000000-0005-0000-0000-00001E450000}"/>
    <cellStyle name="Normal 3 9 4 16 4" xfId="14937" xr:uid="{00000000-0005-0000-0000-00001F450000}"/>
    <cellStyle name="Normal 3 9 4 16 4 2" xfId="31728" xr:uid="{00000000-0005-0000-0000-000020450000}"/>
    <cellStyle name="Normal 3 9 4 16 5" xfId="14938" xr:uid="{00000000-0005-0000-0000-000021450000}"/>
    <cellStyle name="Normal 3 9 4 16 5 2" xfId="31729" xr:uid="{00000000-0005-0000-0000-000022450000}"/>
    <cellStyle name="Normal 3 9 4 16 6" xfId="31725" xr:uid="{00000000-0005-0000-0000-000023450000}"/>
    <cellStyle name="Normal 3 9 4 17" xfId="40690" xr:uid="{00000000-0005-0000-0000-000024450000}"/>
    <cellStyle name="Normal 3 9 4 2" xfId="14939" xr:uid="{00000000-0005-0000-0000-000025450000}"/>
    <cellStyle name="Normal 3 9 4 3" xfId="14940" xr:uid="{00000000-0005-0000-0000-000026450000}"/>
    <cellStyle name="Normal 3 9 4 3 2" xfId="14941" xr:uid="{00000000-0005-0000-0000-000027450000}"/>
    <cellStyle name="Normal 3 9 4 3 2 2" xfId="31731" xr:uid="{00000000-0005-0000-0000-000028450000}"/>
    <cellStyle name="Normal 3 9 4 3 3" xfId="14942" xr:uid="{00000000-0005-0000-0000-000029450000}"/>
    <cellStyle name="Normal 3 9 4 3 3 2" xfId="31732" xr:uid="{00000000-0005-0000-0000-00002A450000}"/>
    <cellStyle name="Normal 3 9 4 3 4" xfId="14943" xr:uid="{00000000-0005-0000-0000-00002B450000}"/>
    <cellStyle name="Normal 3 9 4 3 4 2" xfId="31733" xr:uid="{00000000-0005-0000-0000-00002C450000}"/>
    <cellStyle name="Normal 3 9 4 3 5" xfId="14944" xr:uid="{00000000-0005-0000-0000-00002D450000}"/>
    <cellStyle name="Normal 3 9 4 3 5 2" xfId="31734" xr:uid="{00000000-0005-0000-0000-00002E450000}"/>
    <cellStyle name="Normal 3 9 4 3 6" xfId="31730" xr:uid="{00000000-0005-0000-0000-00002F450000}"/>
    <cellStyle name="Normal 3 9 4 4" xfId="14945" xr:uid="{00000000-0005-0000-0000-000030450000}"/>
    <cellStyle name="Normal 3 9 4 4 2" xfId="14946" xr:uid="{00000000-0005-0000-0000-000031450000}"/>
    <cellStyle name="Normal 3 9 4 4 2 2" xfId="31736" xr:uid="{00000000-0005-0000-0000-000032450000}"/>
    <cellStyle name="Normal 3 9 4 4 3" xfId="14947" xr:uid="{00000000-0005-0000-0000-000033450000}"/>
    <cellStyle name="Normal 3 9 4 4 3 2" xfId="31737" xr:uid="{00000000-0005-0000-0000-000034450000}"/>
    <cellStyle name="Normal 3 9 4 4 4" xfId="14948" xr:uid="{00000000-0005-0000-0000-000035450000}"/>
    <cellStyle name="Normal 3 9 4 4 4 2" xfId="31738" xr:uid="{00000000-0005-0000-0000-000036450000}"/>
    <cellStyle name="Normal 3 9 4 4 5" xfId="14949" xr:uid="{00000000-0005-0000-0000-000037450000}"/>
    <cellStyle name="Normal 3 9 4 4 5 2" xfId="31739" xr:uid="{00000000-0005-0000-0000-000038450000}"/>
    <cellStyle name="Normal 3 9 4 4 6" xfId="31735" xr:uid="{00000000-0005-0000-0000-000039450000}"/>
    <cellStyle name="Normal 3 9 4 5" xfId="14950" xr:uid="{00000000-0005-0000-0000-00003A450000}"/>
    <cellStyle name="Normal 3 9 4 5 2" xfId="14951" xr:uid="{00000000-0005-0000-0000-00003B450000}"/>
    <cellStyle name="Normal 3 9 4 5 2 2" xfId="31741" xr:uid="{00000000-0005-0000-0000-00003C450000}"/>
    <cellStyle name="Normal 3 9 4 5 3" xfId="14952" xr:uid="{00000000-0005-0000-0000-00003D450000}"/>
    <cellStyle name="Normal 3 9 4 5 3 2" xfId="31742" xr:uid="{00000000-0005-0000-0000-00003E450000}"/>
    <cellStyle name="Normal 3 9 4 5 4" xfId="14953" xr:uid="{00000000-0005-0000-0000-00003F450000}"/>
    <cellStyle name="Normal 3 9 4 5 4 2" xfId="31743" xr:uid="{00000000-0005-0000-0000-000040450000}"/>
    <cellStyle name="Normal 3 9 4 5 5" xfId="14954" xr:uid="{00000000-0005-0000-0000-000041450000}"/>
    <cellStyle name="Normal 3 9 4 5 5 2" xfId="31744" xr:uid="{00000000-0005-0000-0000-000042450000}"/>
    <cellStyle name="Normal 3 9 4 5 6" xfId="31740" xr:uid="{00000000-0005-0000-0000-000043450000}"/>
    <cellStyle name="Normal 3 9 4 6" xfId="14955" xr:uid="{00000000-0005-0000-0000-000044450000}"/>
    <cellStyle name="Normal 3 9 4 6 2" xfId="14956" xr:uid="{00000000-0005-0000-0000-000045450000}"/>
    <cellStyle name="Normal 3 9 4 6 2 2" xfId="31746" xr:uid="{00000000-0005-0000-0000-000046450000}"/>
    <cellStyle name="Normal 3 9 4 6 3" xfId="14957" xr:uid="{00000000-0005-0000-0000-000047450000}"/>
    <cellStyle name="Normal 3 9 4 6 3 2" xfId="31747" xr:uid="{00000000-0005-0000-0000-000048450000}"/>
    <cellStyle name="Normal 3 9 4 6 4" xfId="14958" xr:uid="{00000000-0005-0000-0000-000049450000}"/>
    <cellStyle name="Normal 3 9 4 6 4 2" xfId="31748" xr:uid="{00000000-0005-0000-0000-00004A450000}"/>
    <cellStyle name="Normal 3 9 4 6 5" xfId="14959" xr:uid="{00000000-0005-0000-0000-00004B450000}"/>
    <cellStyle name="Normal 3 9 4 6 5 2" xfId="31749" xr:uid="{00000000-0005-0000-0000-00004C450000}"/>
    <cellStyle name="Normal 3 9 4 6 6" xfId="31745" xr:uid="{00000000-0005-0000-0000-00004D450000}"/>
    <cellStyle name="Normal 3 9 4 7" xfId="14960" xr:uid="{00000000-0005-0000-0000-00004E450000}"/>
    <cellStyle name="Normal 3 9 4 7 2" xfId="14961" xr:uid="{00000000-0005-0000-0000-00004F450000}"/>
    <cellStyle name="Normal 3 9 4 7 2 2" xfId="31751" xr:uid="{00000000-0005-0000-0000-000050450000}"/>
    <cellStyle name="Normal 3 9 4 7 3" xfId="14962" xr:uid="{00000000-0005-0000-0000-000051450000}"/>
    <cellStyle name="Normal 3 9 4 7 3 2" xfId="31752" xr:uid="{00000000-0005-0000-0000-000052450000}"/>
    <cellStyle name="Normal 3 9 4 7 4" xfId="14963" xr:uid="{00000000-0005-0000-0000-000053450000}"/>
    <cellStyle name="Normal 3 9 4 7 4 2" xfId="31753" xr:uid="{00000000-0005-0000-0000-000054450000}"/>
    <cellStyle name="Normal 3 9 4 7 5" xfId="14964" xr:uid="{00000000-0005-0000-0000-000055450000}"/>
    <cellStyle name="Normal 3 9 4 7 5 2" xfId="31754" xr:uid="{00000000-0005-0000-0000-000056450000}"/>
    <cellStyle name="Normal 3 9 4 7 6" xfId="31750" xr:uid="{00000000-0005-0000-0000-000057450000}"/>
    <cellStyle name="Normal 3 9 4 8" xfId="14965" xr:uid="{00000000-0005-0000-0000-000058450000}"/>
    <cellStyle name="Normal 3 9 4 8 2" xfId="14966" xr:uid="{00000000-0005-0000-0000-000059450000}"/>
    <cellStyle name="Normal 3 9 4 8 2 2" xfId="31756" xr:uid="{00000000-0005-0000-0000-00005A450000}"/>
    <cellStyle name="Normal 3 9 4 8 3" xfId="14967" xr:uid="{00000000-0005-0000-0000-00005B450000}"/>
    <cellStyle name="Normal 3 9 4 8 3 2" xfId="31757" xr:uid="{00000000-0005-0000-0000-00005C450000}"/>
    <cellStyle name="Normal 3 9 4 8 4" xfId="14968" xr:uid="{00000000-0005-0000-0000-00005D450000}"/>
    <cellStyle name="Normal 3 9 4 8 4 2" xfId="31758" xr:uid="{00000000-0005-0000-0000-00005E450000}"/>
    <cellStyle name="Normal 3 9 4 8 5" xfId="14969" xr:uid="{00000000-0005-0000-0000-00005F450000}"/>
    <cellStyle name="Normal 3 9 4 8 5 2" xfId="31759" xr:uid="{00000000-0005-0000-0000-000060450000}"/>
    <cellStyle name="Normal 3 9 4 8 6" xfId="31755" xr:uid="{00000000-0005-0000-0000-000061450000}"/>
    <cellStyle name="Normal 3 9 4 9" xfId="14970" xr:uid="{00000000-0005-0000-0000-000062450000}"/>
    <cellStyle name="Normal 3 9 4 9 2" xfId="14971" xr:uid="{00000000-0005-0000-0000-000063450000}"/>
    <cellStyle name="Normal 3 9 4 9 2 2" xfId="31761" xr:uid="{00000000-0005-0000-0000-000064450000}"/>
    <cellStyle name="Normal 3 9 4 9 3" xfId="14972" xr:uid="{00000000-0005-0000-0000-000065450000}"/>
    <cellStyle name="Normal 3 9 4 9 3 2" xfId="31762" xr:uid="{00000000-0005-0000-0000-000066450000}"/>
    <cellStyle name="Normal 3 9 4 9 4" xfId="14973" xr:uid="{00000000-0005-0000-0000-000067450000}"/>
    <cellStyle name="Normal 3 9 4 9 4 2" xfId="31763" xr:uid="{00000000-0005-0000-0000-000068450000}"/>
    <cellStyle name="Normal 3 9 4 9 5" xfId="14974" xr:uid="{00000000-0005-0000-0000-000069450000}"/>
    <cellStyle name="Normal 3 9 4 9 5 2" xfId="31764" xr:uid="{00000000-0005-0000-0000-00006A450000}"/>
    <cellStyle name="Normal 3 9 4 9 6" xfId="31760" xr:uid="{00000000-0005-0000-0000-00006B450000}"/>
    <cellStyle name="Normal 3 9 5" xfId="14975" xr:uid="{00000000-0005-0000-0000-00006C450000}"/>
    <cellStyle name="Normal 3 9 5 2" xfId="14976" xr:uid="{00000000-0005-0000-0000-00006D450000}"/>
    <cellStyle name="Normal 3 9 6" xfId="14977" xr:uid="{00000000-0005-0000-0000-00006E450000}"/>
    <cellStyle name="Normal 3 9 6 2" xfId="14978" xr:uid="{00000000-0005-0000-0000-00006F450000}"/>
    <cellStyle name="Normal 3 9 7" xfId="14979" xr:uid="{00000000-0005-0000-0000-000070450000}"/>
    <cellStyle name="Normal 3 9 7 2" xfId="14980" xr:uid="{00000000-0005-0000-0000-000071450000}"/>
    <cellStyle name="Normal 3 9 8" xfId="14981" xr:uid="{00000000-0005-0000-0000-000072450000}"/>
    <cellStyle name="Normal 3 9 8 2" xfId="14982" xr:uid="{00000000-0005-0000-0000-000073450000}"/>
    <cellStyle name="Normal 3 9 8 2 2" xfId="14983" xr:uid="{00000000-0005-0000-0000-000074450000}"/>
    <cellStyle name="Normal 3 9 8 2 2 2" xfId="31767" xr:uid="{00000000-0005-0000-0000-000075450000}"/>
    <cellStyle name="Normal 3 9 8 2 3" xfId="14984" xr:uid="{00000000-0005-0000-0000-000076450000}"/>
    <cellStyle name="Normal 3 9 8 2 3 2" xfId="31768" xr:uid="{00000000-0005-0000-0000-000077450000}"/>
    <cellStyle name="Normal 3 9 8 2 4" xfId="14985" xr:uid="{00000000-0005-0000-0000-000078450000}"/>
    <cellStyle name="Normal 3 9 8 2 4 2" xfId="31769" xr:uid="{00000000-0005-0000-0000-000079450000}"/>
    <cellStyle name="Normal 3 9 8 2 5" xfId="14986" xr:uid="{00000000-0005-0000-0000-00007A450000}"/>
    <cellStyle name="Normal 3 9 8 2 5 2" xfId="31770" xr:uid="{00000000-0005-0000-0000-00007B450000}"/>
    <cellStyle name="Normal 3 9 8 2 6" xfId="31766" xr:uid="{00000000-0005-0000-0000-00007C450000}"/>
    <cellStyle name="Normal 3 9 8 3" xfId="14987" xr:uid="{00000000-0005-0000-0000-00007D450000}"/>
    <cellStyle name="Normal 3 9 8 3 2" xfId="31771" xr:uid="{00000000-0005-0000-0000-00007E450000}"/>
    <cellStyle name="Normal 3 9 8 4" xfId="14988" xr:uid="{00000000-0005-0000-0000-00007F450000}"/>
    <cellStyle name="Normal 3 9 8 4 2" xfId="31772" xr:uid="{00000000-0005-0000-0000-000080450000}"/>
    <cellStyle name="Normal 3 9 8 5" xfId="14989" xr:uid="{00000000-0005-0000-0000-000081450000}"/>
    <cellStyle name="Normal 3 9 8 5 2" xfId="31773" xr:uid="{00000000-0005-0000-0000-000082450000}"/>
    <cellStyle name="Normal 3 9 8 6" xfId="14990" xr:uid="{00000000-0005-0000-0000-000083450000}"/>
    <cellStyle name="Normal 3 9 8 6 2" xfId="31774" xr:uid="{00000000-0005-0000-0000-000084450000}"/>
    <cellStyle name="Normal 3 9 8 7" xfId="31765" xr:uid="{00000000-0005-0000-0000-000085450000}"/>
    <cellStyle name="Normal 3 9 9" xfId="14991" xr:uid="{00000000-0005-0000-0000-000086450000}"/>
    <cellStyle name="Normal 3 9 9 2" xfId="14992" xr:uid="{00000000-0005-0000-0000-000087450000}"/>
    <cellStyle name="Normal 3 9 9 2 2" xfId="14993" xr:uid="{00000000-0005-0000-0000-000088450000}"/>
    <cellStyle name="Normal 3 9 9 2 2 2" xfId="31777" xr:uid="{00000000-0005-0000-0000-000089450000}"/>
    <cellStyle name="Normal 3 9 9 2 3" xfId="14994" xr:uid="{00000000-0005-0000-0000-00008A450000}"/>
    <cellStyle name="Normal 3 9 9 2 3 2" xfId="31778" xr:uid="{00000000-0005-0000-0000-00008B450000}"/>
    <cellStyle name="Normal 3 9 9 2 4" xfId="14995" xr:uid="{00000000-0005-0000-0000-00008C450000}"/>
    <cellStyle name="Normal 3 9 9 2 4 2" xfId="31779" xr:uid="{00000000-0005-0000-0000-00008D450000}"/>
    <cellStyle name="Normal 3 9 9 2 5" xfId="14996" xr:uid="{00000000-0005-0000-0000-00008E450000}"/>
    <cellStyle name="Normal 3 9 9 2 5 2" xfId="31780" xr:uid="{00000000-0005-0000-0000-00008F450000}"/>
    <cellStyle name="Normal 3 9 9 2 6" xfId="31776" xr:uid="{00000000-0005-0000-0000-000090450000}"/>
    <cellStyle name="Normal 3 9 9 3" xfId="14997" xr:uid="{00000000-0005-0000-0000-000091450000}"/>
    <cellStyle name="Normal 3 9 9 3 2" xfId="31781" xr:uid="{00000000-0005-0000-0000-000092450000}"/>
    <cellStyle name="Normal 3 9 9 4" xfId="14998" xr:uid="{00000000-0005-0000-0000-000093450000}"/>
    <cellStyle name="Normal 3 9 9 4 2" xfId="31782" xr:uid="{00000000-0005-0000-0000-000094450000}"/>
    <cellStyle name="Normal 3 9 9 5" xfId="14999" xr:uid="{00000000-0005-0000-0000-000095450000}"/>
    <cellStyle name="Normal 3 9 9 5 2" xfId="31783" xr:uid="{00000000-0005-0000-0000-000096450000}"/>
    <cellStyle name="Normal 3 9 9 6" xfId="15000" xr:uid="{00000000-0005-0000-0000-000097450000}"/>
    <cellStyle name="Normal 3 9 9 6 2" xfId="31784" xr:uid="{00000000-0005-0000-0000-000098450000}"/>
    <cellStyle name="Normal 3 9 9 7" xfId="31775" xr:uid="{00000000-0005-0000-0000-000099450000}"/>
    <cellStyle name="Normal 30" xfId="15001" xr:uid="{00000000-0005-0000-0000-00009A450000}"/>
    <cellStyle name="Normal 31" xfId="15002" xr:uid="{00000000-0005-0000-0000-00009B450000}"/>
    <cellStyle name="Normal 32" xfId="15003" xr:uid="{00000000-0005-0000-0000-00009C450000}"/>
    <cellStyle name="Normal 33" xfId="15004" xr:uid="{00000000-0005-0000-0000-00009D450000}"/>
    <cellStyle name="Normal 34" xfId="15005" xr:uid="{00000000-0005-0000-0000-00009E450000}"/>
    <cellStyle name="Normal 34 2" xfId="31785" xr:uid="{00000000-0005-0000-0000-00009F450000}"/>
    <cellStyle name="Normal 35" xfId="15006" xr:uid="{00000000-0005-0000-0000-0000A0450000}"/>
    <cellStyle name="Normal 35 2" xfId="31786" xr:uid="{00000000-0005-0000-0000-0000A1450000}"/>
    <cellStyle name="Normal 36" xfId="29073" xr:uid="{00000000-0005-0000-0000-0000A2450000}"/>
    <cellStyle name="Normal 36 2" xfId="41063" xr:uid="{00000000-0005-0000-0000-0000A3450000}"/>
    <cellStyle name="Normal 37" xfId="41055" xr:uid="{00000000-0005-0000-0000-0000A4450000}"/>
    <cellStyle name="Normal 38" xfId="16" xr:uid="{00000000-0005-0000-0000-0000A5450000}"/>
    <cellStyle name="Normal 38 2" xfId="29359" xr:uid="{00000000-0005-0000-0000-0000A6450000}"/>
    <cellStyle name="Normal 39" xfId="41056" xr:uid="{00000000-0005-0000-0000-0000A7450000}"/>
    <cellStyle name="Normal 39 2" xfId="41067" xr:uid="{00000000-0005-0000-0000-0000A8450000}"/>
    <cellStyle name="Normal 39 4" xfId="41068" xr:uid="{00000000-0005-0000-0000-0000A9450000}"/>
    <cellStyle name="Normal 4" xfId="15007" xr:uid="{00000000-0005-0000-0000-0000AA450000}"/>
    <cellStyle name="Normal 4 10" xfId="15008" xr:uid="{00000000-0005-0000-0000-0000AB450000}"/>
    <cellStyle name="Normal 4 10 2" xfId="15009" xr:uid="{00000000-0005-0000-0000-0000AC450000}"/>
    <cellStyle name="Normal 4 10 2 2" xfId="15010" xr:uid="{00000000-0005-0000-0000-0000AD450000}"/>
    <cellStyle name="Normal 4 10 2 3" xfId="15011" xr:uid="{00000000-0005-0000-0000-0000AE450000}"/>
    <cellStyle name="Normal 4 10 2 4" xfId="15012" xr:uid="{00000000-0005-0000-0000-0000AF450000}"/>
    <cellStyle name="Normal 4 10 2 5" xfId="15013" xr:uid="{00000000-0005-0000-0000-0000B0450000}"/>
    <cellStyle name="Normal 4 10 2 6" xfId="15014" xr:uid="{00000000-0005-0000-0000-0000B1450000}"/>
    <cellStyle name="Normal 4 10 2 7" xfId="15015" xr:uid="{00000000-0005-0000-0000-0000B2450000}"/>
    <cellStyle name="Normal 4 10 3" xfId="15016" xr:uid="{00000000-0005-0000-0000-0000B3450000}"/>
    <cellStyle name="Normal 4 10 4" xfId="15017" xr:uid="{00000000-0005-0000-0000-0000B4450000}"/>
    <cellStyle name="Normal 4 10 5" xfId="15018" xr:uid="{00000000-0005-0000-0000-0000B5450000}"/>
    <cellStyle name="Normal 4 10 6" xfId="15019" xr:uid="{00000000-0005-0000-0000-0000B6450000}"/>
    <cellStyle name="Normal 4 10 7" xfId="15020" xr:uid="{00000000-0005-0000-0000-0000B7450000}"/>
    <cellStyle name="Normal 4 10 8" xfId="15021" xr:uid="{00000000-0005-0000-0000-0000B8450000}"/>
    <cellStyle name="Normal 4 10 9" xfId="40692" xr:uid="{00000000-0005-0000-0000-0000B9450000}"/>
    <cellStyle name="Normal 4 11" xfId="15022" xr:uid="{00000000-0005-0000-0000-0000BA450000}"/>
    <cellStyle name="Normal 4 11 10" xfId="15023" xr:uid="{00000000-0005-0000-0000-0000BB450000}"/>
    <cellStyle name="Normal 4 11 10 2" xfId="15024" xr:uid="{00000000-0005-0000-0000-0000BC450000}"/>
    <cellStyle name="Normal 4 11 10 2 2" xfId="31788" xr:uid="{00000000-0005-0000-0000-0000BD450000}"/>
    <cellStyle name="Normal 4 11 10 3" xfId="15025" xr:uid="{00000000-0005-0000-0000-0000BE450000}"/>
    <cellStyle name="Normal 4 11 10 3 2" xfId="31789" xr:uid="{00000000-0005-0000-0000-0000BF450000}"/>
    <cellStyle name="Normal 4 11 10 4" xfId="15026" xr:uid="{00000000-0005-0000-0000-0000C0450000}"/>
    <cellStyle name="Normal 4 11 10 4 2" xfId="31790" xr:uid="{00000000-0005-0000-0000-0000C1450000}"/>
    <cellStyle name="Normal 4 11 10 5" xfId="15027" xr:uid="{00000000-0005-0000-0000-0000C2450000}"/>
    <cellStyle name="Normal 4 11 10 5 2" xfId="31791" xr:uid="{00000000-0005-0000-0000-0000C3450000}"/>
    <cellStyle name="Normal 4 11 10 6" xfId="31787" xr:uid="{00000000-0005-0000-0000-0000C4450000}"/>
    <cellStyle name="Normal 4 11 11" xfId="15028" xr:uid="{00000000-0005-0000-0000-0000C5450000}"/>
    <cellStyle name="Normal 4 11 11 2" xfId="15029" xr:uid="{00000000-0005-0000-0000-0000C6450000}"/>
    <cellStyle name="Normal 4 11 11 2 2" xfId="31793" xr:uid="{00000000-0005-0000-0000-0000C7450000}"/>
    <cellStyle name="Normal 4 11 11 3" xfId="15030" xr:uid="{00000000-0005-0000-0000-0000C8450000}"/>
    <cellStyle name="Normal 4 11 11 3 2" xfId="31794" xr:uid="{00000000-0005-0000-0000-0000C9450000}"/>
    <cellStyle name="Normal 4 11 11 4" xfId="15031" xr:uid="{00000000-0005-0000-0000-0000CA450000}"/>
    <cellStyle name="Normal 4 11 11 4 2" xfId="31795" xr:uid="{00000000-0005-0000-0000-0000CB450000}"/>
    <cellStyle name="Normal 4 11 11 5" xfId="15032" xr:uid="{00000000-0005-0000-0000-0000CC450000}"/>
    <cellStyle name="Normal 4 11 11 5 2" xfId="31796" xr:uid="{00000000-0005-0000-0000-0000CD450000}"/>
    <cellStyle name="Normal 4 11 11 6" xfId="31792" xr:uid="{00000000-0005-0000-0000-0000CE450000}"/>
    <cellStyle name="Normal 4 11 12" xfId="15033" xr:uid="{00000000-0005-0000-0000-0000CF450000}"/>
    <cellStyle name="Normal 4 11 12 2" xfId="15034" xr:uid="{00000000-0005-0000-0000-0000D0450000}"/>
    <cellStyle name="Normal 4 11 12 2 2" xfId="31798" xr:uid="{00000000-0005-0000-0000-0000D1450000}"/>
    <cellStyle name="Normal 4 11 12 3" xfId="15035" xr:uid="{00000000-0005-0000-0000-0000D2450000}"/>
    <cellStyle name="Normal 4 11 12 3 2" xfId="31799" xr:uid="{00000000-0005-0000-0000-0000D3450000}"/>
    <cellStyle name="Normal 4 11 12 4" xfId="15036" xr:uid="{00000000-0005-0000-0000-0000D4450000}"/>
    <cellStyle name="Normal 4 11 12 4 2" xfId="31800" xr:uid="{00000000-0005-0000-0000-0000D5450000}"/>
    <cellStyle name="Normal 4 11 12 5" xfId="15037" xr:uid="{00000000-0005-0000-0000-0000D6450000}"/>
    <cellStyle name="Normal 4 11 12 5 2" xfId="31801" xr:uid="{00000000-0005-0000-0000-0000D7450000}"/>
    <cellStyle name="Normal 4 11 12 6" xfId="31797" xr:uid="{00000000-0005-0000-0000-0000D8450000}"/>
    <cellStyle name="Normal 4 11 13" xfId="15038" xr:uid="{00000000-0005-0000-0000-0000D9450000}"/>
    <cellStyle name="Normal 4 11 13 2" xfId="15039" xr:uid="{00000000-0005-0000-0000-0000DA450000}"/>
    <cellStyle name="Normal 4 11 13 2 2" xfId="31803" xr:uid="{00000000-0005-0000-0000-0000DB450000}"/>
    <cellStyle name="Normal 4 11 13 3" xfId="15040" xr:uid="{00000000-0005-0000-0000-0000DC450000}"/>
    <cellStyle name="Normal 4 11 13 3 2" xfId="31804" xr:uid="{00000000-0005-0000-0000-0000DD450000}"/>
    <cellStyle name="Normal 4 11 13 4" xfId="15041" xr:uid="{00000000-0005-0000-0000-0000DE450000}"/>
    <cellStyle name="Normal 4 11 13 4 2" xfId="31805" xr:uid="{00000000-0005-0000-0000-0000DF450000}"/>
    <cellStyle name="Normal 4 11 13 5" xfId="15042" xr:uid="{00000000-0005-0000-0000-0000E0450000}"/>
    <cellStyle name="Normal 4 11 13 5 2" xfId="31806" xr:uid="{00000000-0005-0000-0000-0000E1450000}"/>
    <cellStyle name="Normal 4 11 13 6" xfId="31802" xr:uid="{00000000-0005-0000-0000-0000E2450000}"/>
    <cellStyle name="Normal 4 11 14" xfId="15043" xr:uid="{00000000-0005-0000-0000-0000E3450000}"/>
    <cellStyle name="Normal 4 11 14 2" xfId="15044" xr:uid="{00000000-0005-0000-0000-0000E4450000}"/>
    <cellStyle name="Normal 4 11 14 2 2" xfId="31808" xr:uid="{00000000-0005-0000-0000-0000E5450000}"/>
    <cellStyle name="Normal 4 11 14 3" xfId="15045" xr:uid="{00000000-0005-0000-0000-0000E6450000}"/>
    <cellStyle name="Normal 4 11 14 3 2" xfId="31809" xr:uid="{00000000-0005-0000-0000-0000E7450000}"/>
    <cellStyle name="Normal 4 11 14 4" xfId="15046" xr:uid="{00000000-0005-0000-0000-0000E8450000}"/>
    <cellStyle name="Normal 4 11 14 4 2" xfId="31810" xr:uid="{00000000-0005-0000-0000-0000E9450000}"/>
    <cellStyle name="Normal 4 11 14 5" xfId="15047" xr:uid="{00000000-0005-0000-0000-0000EA450000}"/>
    <cellStyle name="Normal 4 11 14 5 2" xfId="31811" xr:uid="{00000000-0005-0000-0000-0000EB450000}"/>
    <cellStyle name="Normal 4 11 14 6" xfId="31807" xr:uid="{00000000-0005-0000-0000-0000EC450000}"/>
    <cellStyle name="Normal 4 11 15" xfId="15048" xr:uid="{00000000-0005-0000-0000-0000ED450000}"/>
    <cellStyle name="Normal 4 11 15 2" xfId="15049" xr:uid="{00000000-0005-0000-0000-0000EE450000}"/>
    <cellStyle name="Normal 4 11 15 2 2" xfId="31813" xr:uid="{00000000-0005-0000-0000-0000EF450000}"/>
    <cellStyle name="Normal 4 11 15 3" xfId="15050" xr:uid="{00000000-0005-0000-0000-0000F0450000}"/>
    <cellStyle name="Normal 4 11 15 3 2" xfId="31814" xr:uid="{00000000-0005-0000-0000-0000F1450000}"/>
    <cellStyle name="Normal 4 11 15 4" xfId="15051" xr:uid="{00000000-0005-0000-0000-0000F2450000}"/>
    <cellStyle name="Normal 4 11 15 4 2" xfId="31815" xr:uid="{00000000-0005-0000-0000-0000F3450000}"/>
    <cellStyle name="Normal 4 11 15 5" xfId="15052" xr:uid="{00000000-0005-0000-0000-0000F4450000}"/>
    <cellStyle name="Normal 4 11 15 5 2" xfId="31816" xr:uid="{00000000-0005-0000-0000-0000F5450000}"/>
    <cellStyle name="Normal 4 11 15 6" xfId="31812" xr:uid="{00000000-0005-0000-0000-0000F6450000}"/>
    <cellStyle name="Normal 4 11 16" xfId="15053" xr:uid="{00000000-0005-0000-0000-0000F7450000}"/>
    <cellStyle name="Normal 4 11 16 2" xfId="15054" xr:uid="{00000000-0005-0000-0000-0000F8450000}"/>
    <cellStyle name="Normal 4 11 16 2 2" xfId="31818" xr:uid="{00000000-0005-0000-0000-0000F9450000}"/>
    <cellStyle name="Normal 4 11 16 3" xfId="15055" xr:uid="{00000000-0005-0000-0000-0000FA450000}"/>
    <cellStyle name="Normal 4 11 16 3 2" xfId="31819" xr:uid="{00000000-0005-0000-0000-0000FB450000}"/>
    <cellStyle name="Normal 4 11 16 4" xfId="15056" xr:uid="{00000000-0005-0000-0000-0000FC450000}"/>
    <cellStyle name="Normal 4 11 16 4 2" xfId="31820" xr:uid="{00000000-0005-0000-0000-0000FD450000}"/>
    <cellStyle name="Normal 4 11 16 5" xfId="15057" xr:uid="{00000000-0005-0000-0000-0000FE450000}"/>
    <cellStyle name="Normal 4 11 16 5 2" xfId="31821" xr:uid="{00000000-0005-0000-0000-0000FF450000}"/>
    <cellStyle name="Normal 4 11 16 6" xfId="31817" xr:uid="{00000000-0005-0000-0000-000000460000}"/>
    <cellStyle name="Normal 4 11 17" xfId="15058" xr:uid="{00000000-0005-0000-0000-000001460000}"/>
    <cellStyle name="Normal 4 11 17 2" xfId="15059" xr:uid="{00000000-0005-0000-0000-000002460000}"/>
    <cellStyle name="Normal 4 11 17 2 2" xfId="31823" xr:uid="{00000000-0005-0000-0000-000003460000}"/>
    <cellStyle name="Normal 4 11 17 3" xfId="15060" xr:uid="{00000000-0005-0000-0000-000004460000}"/>
    <cellStyle name="Normal 4 11 17 3 2" xfId="31824" xr:uid="{00000000-0005-0000-0000-000005460000}"/>
    <cellStyle name="Normal 4 11 17 4" xfId="15061" xr:uid="{00000000-0005-0000-0000-000006460000}"/>
    <cellStyle name="Normal 4 11 17 4 2" xfId="31825" xr:uid="{00000000-0005-0000-0000-000007460000}"/>
    <cellStyle name="Normal 4 11 17 5" xfId="15062" xr:uid="{00000000-0005-0000-0000-000008460000}"/>
    <cellStyle name="Normal 4 11 17 5 2" xfId="31826" xr:uid="{00000000-0005-0000-0000-000009460000}"/>
    <cellStyle name="Normal 4 11 17 6" xfId="31822" xr:uid="{00000000-0005-0000-0000-00000A460000}"/>
    <cellStyle name="Normal 4 11 18" xfId="15063" xr:uid="{00000000-0005-0000-0000-00000B460000}"/>
    <cellStyle name="Normal 4 11 18 2" xfId="15064" xr:uid="{00000000-0005-0000-0000-00000C460000}"/>
    <cellStyle name="Normal 4 11 18 2 2" xfId="31828" xr:uid="{00000000-0005-0000-0000-00000D460000}"/>
    <cellStyle name="Normal 4 11 18 3" xfId="15065" xr:uid="{00000000-0005-0000-0000-00000E460000}"/>
    <cellStyle name="Normal 4 11 18 3 2" xfId="31829" xr:uid="{00000000-0005-0000-0000-00000F460000}"/>
    <cellStyle name="Normal 4 11 18 4" xfId="15066" xr:uid="{00000000-0005-0000-0000-000010460000}"/>
    <cellStyle name="Normal 4 11 18 4 2" xfId="31830" xr:uid="{00000000-0005-0000-0000-000011460000}"/>
    <cellStyle name="Normal 4 11 18 5" xfId="15067" xr:uid="{00000000-0005-0000-0000-000012460000}"/>
    <cellStyle name="Normal 4 11 18 5 2" xfId="31831" xr:uid="{00000000-0005-0000-0000-000013460000}"/>
    <cellStyle name="Normal 4 11 18 6" xfId="31827" xr:uid="{00000000-0005-0000-0000-000014460000}"/>
    <cellStyle name="Normal 4 11 19" xfId="15068" xr:uid="{00000000-0005-0000-0000-000015460000}"/>
    <cellStyle name="Normal 4 11 19 2" xfId="31832" xr:uid="{00000000-0005-0000-0000-000016460000}"/>
    <cellStyle name="Normal 4 11 2" xfId="15069" xr:uid="{00000000-0005-0000-0000-000017460000}"/>
    <cellStyle name="Normal 4 11 2 2" xfId="15070" xr:uid="{00000000-0005-0000-0000-000018460000}"/>
    <cellStyle name="Normal 4 11 2 3" xfId="15071" xr:uid="{00000000-0005-0000-0000-000019460000}"/>
    <cellStyle name="Normal 4 11 2 4" xfId="15072" xr:uid="{00000000-0005-0000-0000-00001A460000}"/>
    <cellStyle name="Normal 4 11 2 5" xfId="15073" xr:uid="{00000000-0005-0000-0000-00001B460000}"/>
    <cellStyle name="Normal 4 11 2 6" xfId="15074" xr:uid="{00000000-0005-0000-0000-00001C460000}"/>
    <cellStyle name="Normal 4 11 2 7" xfId="15075" xr:uid="{00000000-0005-0000-0000-00001D460000}"/>
    <cellStyle name="Normal 4 11 2 8" xfId="31833" xr:uid="{00000000-0005-0000-0000-00001E460000}"/>
    <cellStyle name="Normal 4 11 20" xfId="15076" xr:uid="{00000000-0005-0000-0000-00001F460000}"/>
    <cellStyle name="Normal 4 11 20 2" xfId="31834" xr:uid="{00000000-0005-0000-0000-000020460000}"/>
    <cellStyle name="Normal 4 11 21" xfId="15077" xr:uid="{00000000-0005-0000-0000-000021460000}"/>
    <cellStyle name="Normal 4 11 21 2" xfId="31835" xr:uid="{00000000-0005-0000-0000-000022460000}"/>
    <cellStyle name="Normal 4 11 22" xfId="15078" xr:uid="{00000000-0005-0000-0000-000023460000}"/>
    <cellStyle name="Normal 4 11 22 2" xfId="31836" xr:uid="{00000000-0005-0000-0000-000024460000}"/>
    <cellStyle name="Normal 4 11 23" xfId="15079" xr:uid="{00000000-0005-0000-0000-000025460000}"/>
    <cellStyle name="Normal 4 11 23 2" xfId="31837" xr:uid="{00000000-0005-0000-0000-000026460000}"/>
    <cellStyle name="Normal 4 11 24" xfId="40693" xr:uid="{00000000-0005-0000-0000-000027460000}"/>
    <cellStyle name="Normal 4 11 3" xfId="15080" xr:uid="{00000000-0005-0000-0000-000028460000}"/>
    <cellStyle name="Normal 4 11 4" xfId="15081" xr:uid="{00000000-0005-0000-0000-000029460000}"/>
    <cellStyle name="Normal 4 11 4 10" xfId="15082" xr:uid="{00000000-0005-0000-0000-00002A460000}"/>
    <cellStyle name="Normal 4 11 4 10 2" xfId="31839" xr:uid="{00000000-0005-0000-0000-00002B460000}"/>
    <cellStyle name="Normal 4 11 4 11" xfId="15083" xr:uid="{00000000-0005-0000-0000-00002C460000}"/>
    <cellStyle name="Normal 4 11 4 11 2" xfId="31840" xr:uid="{00000000-0005-0000-0000-00002D460000}"/>
    <cellStyle name="Normal 4 11 4 12" xfId="31838" xr:uid="{00000000-0005-0000-0000-00002E460000}"/>
    <cellStyle name="Normal 4 11 4 2" xfId="15084" xr:uid="{00000000-0005-0000-0000-00002F460000}"/>
    <cellStyle name="Normal 4 11 4 2 2" xfId="15085" xr:uid="{00000000-0005-0000-0000-000030460000}"/>
    <cellStyle name="Normal 4 11 4 2 2 2" xfId="31842" xr:uid="{00000000-0005-0000-0000-000031460000}"/>
    <cellStyle name="Normal 4 11 4 2 3" xfId="15086" xr:uid="{00000000-0005-0000-0000-000032460000}"/>
    <cellStyle name="Normal 4 11 4 2 3 2" xfId="31843" xr:uid="{00000000-0005-0000-0000-000033460000}"/>
    <cellStyle name="Normal 4 11 4 2 4" xfId="15087" xr:uid="{00000000-0005-0000-0000-000034460000}"/>
    <cellStyle name="Normal 4 11 4 2 4 2" xfId="31844" xr:uid="{00000000-0005-0000-0000-000035460000}"/>
    <cellStyle name="Normal 4 11 4 2 5" xfId="15088" xr:uid="{00000000-0005-0000-0000-000036460000}"/>
    <cellStyle name="Normal 4 11 4 2 5 2" xfId="31845" xr:uid="{00000000-0005-0000-0000-000037460000}"/>
    <cellStyle name="Normal 4 11 4 2 6" xfId="31841" xr:uid="{00000000-0005-0000-0000-000038460000}"/>
    <cellStyle name="Normal 4 11 4 3" xfId="15089" xr:uid="{00000000-0005-0000-0000-000039460000}"/>
    <cellStyle name="Normal 4 11 4 3 2" xfId="15090" xr:uid="{00000000-0005-0000-0000-00003A460000}"/>
    <cellStyle name="Normal 4 11 4 3 2 2" xfId="31847" xr:uid="{00000000-0005-0000-0000-00003B460000}"/>
    <cellStyle name="Normal 4 11 4 3 3" xfId="15091" xr:uid="{00000000-0005-0000-0000-00003C460000}"/>
    <cellStyle name="Normal 4 11 4 3 3 2" xfId="31848" xr:uid="{00000000-0005-0000-0000-00003D460000}"/>
    <cellStyle name="Normal 4 11 4 3 4" xfId="15092" xr:uid="{00000000-0005-0000-0000-00003E460000}"/>
    <cellStyle name="Normal 4 11 4 3 4 2" xfId="31849" xr:uid="{00000000-0005-0000-0000-00003F460000}"/>
    <cellStyle name="Normal 4 11 4 3 5" xfId="15093" xr:uid="{00000000-0005-0000-0000-000040460000}"/>
    <cellStyle name="Normal 4 11 4 3 5 2" xfId="31850" xr:uid="{00000000-0005-0000-0000-000041460000}"/>
    <cellStyle name="Normal 4 11 4 3 6" xfId="31846" xr:uid="{00000000-0005-0000-0000-000042460000}"/>
    <cellStyle name="Normal 4 11 4 4" xfId="15094" xr:uid="{00000000-0005-0000-0000-000043460000}"/>
    <cellStyle name="Normal 4 11 4 4 2" xfId="15095" xr:uid="{00000000-0005-0000-0000-000044460000}"/>
    <cellStyle name="Normal 4 11 4 4 2 2" xfId="31852" xr:uid="{00000000-0005-0000-0000-000045460000}"/>
    <cellStyle name="Normal 4 11 4 4 3" xfId="15096" xr:uid="{00000000-0005-0000-0000-000046460000}"/>
    <cellStyle name="Normal 4 11 4 4 3 2" xfId="31853" xr:uid="{00000000-0005-0000-0000-000047460000}"/>
    <cellStyle name="Normal 4 11 4 4 4" xfId="15097" xr:uid="{00000000-0005-0000-0000-000048460000}"/>
    <cellStyle name="Normal 4 11 4 4 4 2" xfId="31854" xr:uid="{00000000-0005-0000-0000-000049460000}"/>
    <cellStyle name="Normal 4 11 4 4 5" xfId="15098" xr:uid="{00000000-0005-0000-0000-00004A460000}"/>
    <cellStyle name="Normal 4 11 4 4 5 2" xfId="31855" xr:uid="{00000000-0005-0000-0000-00004B460000}"/>
    <cellStyle name="Normal 4 11 4 4 6" xfId="31851" xr:uid="{00000000-0005-0000-0000-00004C460000}"/>
    <cellStyle name="Normal 4 11 4 5" xfId="15099" xr:uid="{00000000-0005-0000-0000-00004D460000}"/>
    <cellStyle name="Normal 4 11 4 5 2" xfId="15100" xr:uid="{00000000-0005-0000-0000-00004E460000}"/>
    <cellStyle name="Normal 4 11 4 5 2 2" xfId="31857" xr:uid="{00000000-0005-0000-0000-00004F460000}"/>
    <cellStyle name="Normal 4 11 4 5 3" xfId="15101" xr:uid="{00000000-0005-0000-0000-000050460000}"/>
    <cellStyle name="Normal 4 11 4 5 3 2" xfId="31858" xr:uid="{00000000-0005-0000-0000-000051460000}"/>
    <cellStyle name="Normal 4 11 4 5 4" xfId="15102" xr:uid="{00000000-0005-0000-0000-000052460000}"/>
    <cellStyle name="Normal 4 11 4 5 4 2" xfId="31859" xr:uid="{00000000-0005-0000-0000-000053460000}"/>
    <cellStyle name="Normal 4 11 4 5 5" xfId="15103" xr:uid="{00000000-0005-0000-0000-000054460000}"/>
    <cellStyle name="Normal 4 11 4 5 5 2" xfId="31860" xr:uid="{00000000-0005-0000-0000-000055460000}"/>
    <cellStyle name="Normal 4 11 4 5 6" xfId="31856" xr:uid="{00000000-0005-0000-0000-000056460000}"/>
    <cellStyle name="Normal 4 11 4 6" xfId="15104" xr:uid="{00000000-0005-0000-0000-000057460000}"/>
    <cellStyle name="Normal 4 11 4 6 2" xfId="15105" xr:uid="{00000000-0005-0000-0000-000058460000}"/>
    <cellStyle name="Normal 4 11 4 6 2 2" xfId="31862" xr:uid="{00000000-0005-0000-0000-000059460000}"/>
    <cellStyle name="Normal 4 11 4 6 3" xfId="15106" xr:uid="{00000000-0005-0000-0000-00005A460000}"/>
    <cellStyle name="Normal 4 11 4 6 3 2" xfId="31863" xr:uid="{00000000-0005-0000-0000-00005B460000}"/>
    <cellStyle name="Normal 4 11 4 6 4" xfId="15107" xr:uid="{00000000-0005-0000-0000-00005C460000}"/>
    <cellStyle name="Normal 4 11 4 6 4 2" xfId="31864" xr:uid="{00000000-0005-0000-0000-00005D460000}"/>
    <cellStyle name="Normal 4 11 4 6 5" xfId="15108" xr:uid="{00000000-0005-0000-0000-00005E460000}"/>
    <cellStyle name="Normal 4 11 4 6 5 2" xfId="31865" xr:uid="{00000000-0005-0000-0000-00005F460000}"/>
    <cellStyle name="Normal 4 11 4 6 6" xfId="31861" xr:uid="{00000000-0005-0000-0000-000060460000}"/>
    <cellStyle name="Normal 4 11 4 7" xfId="15109" xr:uid="{00000000-0005-0000-0000-000061460000}"/>
    <cellStyle name="Normal 4 11 4 7 2" xfId="15110" xr:uid="{00000000-0005-0000-0000-000062460000}"/>
    <cellStyle name="Normal 4 11 4 7 2 2" xfId="31867" xr:uid="{00000000-0005-0000-0000-000063460000}"/>
    <cellStyle name="Normal 4 11 4 7 3" xfId="15111" xr:uid="{00000000-0005-0000-0000-000064460000}"/>
    <cellStyle name="Normal 4 11 4 7 3 2" xfId="31868" xr:uid="{00000000-0005-0000-0000-000065460000}"/>
    <cellStyle name="Normal 4 11 4 7 4" xfId="15112" xr:uid="{00000000-0005-0000-0000-000066460000}"/>
    <cellStyle name="Normal 4 11 4 7 4 2" xfId="31869" xr:uid="{00000000-0005-0000-0000-000067460000}"/>
    <cellStyle name="Normal 4 11 4 7 5" xfId="15113" xr:uid="{00000000-0005-0000-0000-000068460000}"/>
    <cellStyle name="Normal 4 11 4 7 5 2" xfId="31870" xr:uid="{00000000-0005-0000-0000-000069460000}"/>
    <cellStyle name="Normal 4 11 4 7 6" xfId="31866" xr:uid="{00000000-0005-0000-0000-00006A460000}"/>
    <cellStyle name="Normal 4 11 4 8" xfId="15114" xr:uid="{00000000-0005-0000-0000-00006B460000}"/>
    <cellStyle name="Normal 4 11 4 8 2" xfId="31871" xr:uid="{00000000-0005-0000-0000-00006C460000}"/>
    <cellStyle name="Normal 4 11 4 9" xfId="15115" xr:uid="{00000000-0005-0000-0000-00006D460000}"/>
    <cellStyle name="Normal 4 11 4 9 2" xfId="31872" xr:uid="{00000000-0005-0000-0000-00006E460000}"/>
    <cellStyle name="Normal 4 11 5" xfId="15116" xr:uid="{00000000-0005-0000-0000-00006F460000}"/>
    <cellStyle name="Normal 4 11 5 2" xfId="15117" xr:uid="{00000000-0005-0000-0000-000070460000}"/>
    <cellStyle name="Normal 4 11 5 2 2" xfId="15118" xr:uid="{00000000-0005-0000-0000-000071460000}"/>
    <cellStyle name="Normal 4 11 5 2 2 2" xfId="31875" xr:uid="{00000000-0005-0000-0000-000072460000}"/>
    <cellStyle name="Normal 4 11 5 2 3" xfId="15119" xr:uid="{00000000-0005-0000-0000-000073460000}"/>
    <cellStyle name="Normal 4 11 5 2 3 2" xfId="31876" xr:uid="{00000000-0005-0000-0000-000074460000}"/>
    <cellStyle name="Normal 4 11 5 2 4" xfId="15120" xr:uid="{00000000-0005-0000-0000-000075460000}"/>
    <cellStyle name="Normal 4 11 5 2 4 2" xfId="31877" xr:uid="{00000000-0005-0000-0000-000076460000}"/>
    <cellStyle name="Normal 4 11 5 2 5" xfId="15121" xr:uid="{00000000-0005-0000-0000-000077460000}"/>
    <cellStyle name="Normal 4 11 5 2 5 2" xfId="31878" xr:uid="{00000000-0005-0000-0000-000078460000}"/>
    <cellStyle name="Normal 4 11 5 2 6" xfId="31874" xr:uid="{00000000-0005-0000-0000-000079460000}"/>
    <cellStyle name="Normal 4 11 5 3" xfId="15122" xr:uid="{00000000-0005-0000-0000-00007A460000}"/>
    <cellStyle name="Normal 4 11 5 3 2" xfId="31879" xr:uid="{00000000-0005-0000-0000-00007B460000}"/>
    <cellStyle name="Normal 4 11 5 4" xfId="15123" xr:uid="{00000000-0005-0000-0000-00007C460000}"/>
    <cellStyle name="Normal 4 11 5 4 2" xfId="31880" xr:uid="{00000000-0005-0000-0000-00007D460000}"/>
    <cellStyle name="Normal 4 11 5 5" xfId="15124" xr:uid="{00000000-0005-0000-0000-00007E460000}"/>
    <cellStyle name="Normal 4 11 5 5 2" xfId="31881" xr:uid="{00000000-0005-0000-0000-00007F460000}"/>
    <cellStyle name="Normal 4 11 5 6" xfId="15125" xr:uid="{00000000-0005-0000-0000-000080460000}"/>
    <cellStyle name="Normal 4 11 5 6 2" xfId="31882" xr:uid="{00000000-0005-0000-0000-000081460000}"/>
    <cellStyle name="Normal 4 11 5 7" xfId="31873" xr:uid="{00000000-0005-0000-0000-000082460000}"/>
    <cellStyle name="Normal 4 11 6" xfId="15126" xr:uid="{00000000-0005-0000-0000-000083460000}"/>
    <cellStyle name="Normal 4 11 6 2" xfId="15127" xr:uid="{00000000-0005-0000-0000-000084460000}"/>
    <cellStyle name="Normal 4 11 6 2 2" xfId="15128" xr:uid="{00000000-0005-0000-0000-000085460000}"/>
    <cellStyle name="Normal 4 11 6 2 2 2" xfId="31885" xr:uid="{00000000-0005-0000-0000-000086460000}"/>
    <cellStyle name="Normal 4 11 6 2 3" xfId="15129" xr:uid="{00000000-0005-0000-0000-000087460000}"/>
    <cellStyle name="Normal 4 11 6 2 3 2" xfId="31886" xr:uid="{00000000-0005-0000-0000-000088460000}"/>
    <cellStyle name="Normal 4 11 6 2 4" xfId="15130" xr:uid="{00000000-0005-0000-0000-000089460000}"/>
    <cellStyle name="Normal 4 11 6 2 4 2" xfId="31887" xr:uid="{00000000-0005-0000-0000-00008A460000}"/>
    <cellStyle name="Normal 4 11 6 2 5" xfId="15131" xr:uid="{00000000-0005-0000-0000-00008B460000}"/>
    <cellStyle name="Normal 4 11 6 2 5 2" xfId="31888" xr:uid="{00000000-0005-0000-0000-00008C460000}"/>
    <cellStyle name="Normal 4 11 6 2 6" xfId="31884" xr:uid="{00000000-0005-0000-0000-00008D460000}"/>
    <cellStyle name="Normal 4 11 6 3" xfId="15132" xr:uid="{00000000-0005-0000-0000-00008E460000}"/>
    <cellStyle name="Normal 4 11 6 3 2" xfId="31889" xr:uid="{00000000-0005-0000-0000-00008F460000}"/>
    <cellStyle name="Normal 4 11 6 4" xfId="15133" xr:uid="{00000000-0005-0000-0000-000090460000}"/>
    <cellStyle name="Normal 4 11 6 4 2" xfId="31890" xr:uid="{00000000-0005-0000-0000-000091460000}"/>
    <cellStyle name="Normal 4 11 6 5" xfId="15134" xr:uid="{00000000-0005-0000-0000-000092460000}"/>
    <cellStyle name="Normal 4 11 6 5 2" xfId="31891" xr:uid="{00000000-0005-0000-0000-000093460000}"/>
    <cellStyle name="Normal 4 11 6 6" xfId="15135" xr:uid="{00000000-0005-0000-0000-000094460000}"/>
    <cellStyle name="Normal 4 11 6 6 2" xfId="31892" xr:uid="{00000000-0005-0000-0000-000095460000}"/>
    <cellStyle name="Normal 4 11 6 7" xfId="31883" xr:uid="{00000000-0005-0000-0000-000096460000}"/>
    <cellStyle name="Normal 4 11 7" xfId="15136" xr:uid="{00000000-0005-0000-0000-000097460000}"/>
    <cellStyle name="Normal 4 11 7 2" xfId="15137" xr:uid="{00000000-0005-0000-0000-000098460000}"/>
    <cellStyle name="Normal 4 11 7 2 2" xfId="31894" xr:uid="{00000000-0005-0000-0000-000099460000}"/>
    <cellStyle name="Normal 4 11 7 3" xfId="15138" xr:uid="{00000000-0005-0000-0000-00009A460000}"/>
    <cellStyle name="Normal 4 11 7 3 2" xfId="31895" xr:uid="{00000000-0005-0000-0000-00009B460000}"/>
    <cellStyle name="Normal 4 11 7 4" xfId="15139" xr:uid="{00000000-0005-0000-0000-00009C460000}"/>
    <cellStyle name="Normal 4 11 7 4 2" xfId="31896" xr:uid="{00000000-0005-0000-0000-00009D460000}"/>
    <cellStyle name="Normal 4 11 7 5" xfId="15140" xr:uid="{00000000-0005-0000-0000-00009E460000}"/>
    <cellStyle name="Normal 4 11 7 5 2" xfId="31897" xr:uid="{00000000-0005-0000-0000-00009F460000}"/>
    <cellStyle name="Normal 4 11 7 6" xfId="31893" xr:uid="{00000000-0005-0000-0000-0000A0460000}"/>
    <cellStyle name="Normal 4 11 8" xfId="15141" xr:uid="{00000000-0005-0000-0000-0000A1460000}"/>
    <cellStyle name="Normal 4 11 8 2" xfId="15142" xr:uid="{00000000-0005-0000-0000-0000A2460000}"/>
    <cellStyle name="Normal 4 11 8 2 2" xfId="31899" xr:uid="{00000000-0005-0000-0000-0000A3460000}"/>
    <cellStyle name="Normal 4 11 8 3" xfId="15143" xr:uid="{00000000-0005-0000-0000-0000A4460000}"/>
    <cellStyle name="Normal 4 11 8 3 2" xfId="31900" xr:uid="{00000000-0005-0000-0000-0000A5460000}"/>
    <cellStyle name="Normal 4 11 8 4" xfId="15144" xr:uid="{00000000-0005-0000-0000-0000A6460000}"/>
    <cellStyle name="Normal 4 11 8 4 2" xfId="31901" xr:uid="{00000000-0005-0000-0000-0000A7460000}"/>
    <cellStyle name="Normal 4 11 8 5" xfId="15145" xr:uid="{00000000-0005-0000-0000-0000A8460000}"/>
    <cellStyle name="Normal 4 11 8 5 2" xfId="31902" xr:uid="{00000000-0005-0000-0000-0000A9460000}"/>
    <cellStyle name="Normal 4 11 8 6" xfId="31898" xr:uid="{00000000-0005-0000-0000-0000AA460000}"/>
    <cellStyle name="Normal 4 11 9" xfId="15146" xr:uid="{00000000-0005-0000-0000-0000AB460000}"/>
    <cellStyle name="Normal 4 11 9 2" xfId="15147" xr:uid="{00000000-0005-0000-0000-0000AC460000}"/>
    <cellStyle name="Normal 4 11 9 2 2" xfId="31904" xr:uid="{00000000-0005-0000-0000-0000AD460000}"/>
    <cellStyle name="Normal 4 11 9 3" xfId="15148" xr:uid="{00000000-0005-0000-0000-0000AE460000}"/>
    <cellStyle name="Normal 4 11 9 3 2" xfId="31905" xr:uid="{00000000-0005-0000-0000-0000AF460000}"/>
    <cellStyle name="Normal 4 11 9 4" xfId="15149" xr:uid="{00000000-0005-0000-0000-0000B0460000}"/>
    <cellStyle name="Normal 4 11 9 4 2" xfId="31906" xr:uid="{00000000-0005-0000-0000-0000B1460000}"/>
    <cellStyle name="Normal 4 11 9 5" xfId="15150" xr:uid="{00000000-0005-0000-0000-0000B2460000}"/>
    <cellStyle name="Normal 4 11 9 5 2" xfId="31907" xr:uid="{00000000-0005-0000-0000-0000B3460000}"/>
    <cellStyle name="Normal 4 11 9 6" xfId="31903" xr:uid="{00000000-0005-0000-0000-0000B4460000}"/>
    <cellStyle name="Normal 4 12" xfId="15151" xr:uid="{00000000-0005-0000-0000-0000B5460000}"/>
    <cellStyle name="Normal 4 12 10" xfId="15152" xr:uid="{00000000-0005-0000-0000-0000B6460000}"/>
    <cellStyle name="Normal 4 12 11" xfId="15153" xr:uid="{00000000-0005-0000-0000-0000B7460000}"/>
    <cellStyle name="Normal 4 12 12" xfId="15154" xr:uid="{00000000-0005-0000-0000-0000B8460000}"/>
    <cellStyle name="Normal 4 12 13" xfId="15155" xr:uid="{00000000-0005-0000-0000-0000B9460000}"/>
    <cellStyle name="Normal 4 12 14" xfId="15156" xr:uid="{00000000-0005-0000-0000-0000BA460000}"/>
    <cellStyle name="Normal 4 12 15" xfId="15157" xr:uid="{00000000-0005-0000-0000-0000BB460000}"/>
    <cellStyle name="Normal 4 12 16" xfId="15158" xr:uid="{00000000-0005-0000-0000-0000BC460000}"/>
    <cellStyle name="Normal 4 12 17" xfId="40694" xr:uid="{00000000-0005-0000-0000-0000BD460000}"/>
    <cellStyle name="Normal 4 12 2" xfId="15159" xr:uid="{00000000-0005-0000-0000-0000BE460000}"/>
    <cellStyle name="Normal 4 12 2 10" xfId="15160" xr:uid="{00000000-0005-0000-0000-0000BF460000}"/>
    <cellStyle name="Normal 4 12 2 10 2" xfId="15161" xr:uid="{00000000-0005-0000-0000-0000C0460000}"/>
    <cellStyle name="Normal 4 12 2 10 2 2" xfId="31910" xr:uid="{00000000-0005-0000-0000-0000C1460000}"/>
    <cellStyle name="Normal 4 12 2 10 3" xfId="15162" xr:uid="{00000000-0005-0000-0000-0000C2460000}"/>
    <cellStyle name="Normal 4 12 2 10 3 2" xfId="31911" xr:uid="{00000000-0005-0000-0000-0000C3460000}"/>
    <cellStyle name="Normal 4 12 2 10 4" xfId="15163" xr:uid="{00000000-0005-0000-0000-0000C4460000}"/>
    <cellStyle name="Normal 4 12 2 10 4 2" xfId="31912" xr:uid="{00000000-0005-0000-0000-0000C5460000}"/>
    <cellStyle name="Normal 4 12 2 10 5" xfId="15164" xr:uid="{00000000-0005-0000-0000-0000C6460000}"/>
    <cellStyle name="Normal 4 12 2 10 5 2" xfId="31913" xr:uid="{00000000-0005-0000-0000-0000C7460000}"/>
    <cellStyle name="Normal 4 12 2 10 6" xfId="31909" xr:uid="{00000000-0005-0000-0000-0000C8460000}"/>
    <cellStyle name="Normal 4 12 2 11" xfId="15165" xr:uid="{00000000-0005-0000-0000-0000C9460000}"/>
    <cellStyle name="Normal 4 12 2 11 2" xfId="15166" xr:uid="{00000000-0005-0000-0000-0000CA460000}"/>
    <cellStyle name="Normal 4 12 2 11 2 2" xfId="31915" xr:uid="{00000000-0005-0000-0000-0000CB460000}"/>
    <cellStyle name="Normal 4 12 2 11 3" xfId="15167" xr:uid="{00000000-0005-0000-0000-0000CC460000}"/>
    <cellStyle name="Normal 4 12 2 11 3 2" xfId="31916" xr:uid="{00000000-0005-0000-0000-0000CD460000}"/>
    <cellStyle name="Normal 4 12 2 11 4" xfId="15168" xr:uid="{00000000-0005-0000-0000-0000CE460000}"/>
    <cellStyle name="Normal 4 12 2 11 4 2" xfId="31917" xr:uid="{00000000-0005-0000-0000-0000CF460000}"/>
    <cellStyle name="Normal 4 12 2 11 5" xfId="15169" xr:uid="{00000000-0005-0000-0000-0000D0460000}"/>
    <cellStyle name="Normal 4 12 2 11 5 2" xfId="31918" xr:uid="{00000000-0005-0000-0000-0000D1460000}"/>
    <cellStyle name="Normal 4 12 2 11 6" xfId="31914" xr:uid="{00000000-0005-0000-0000-0000D2460000}"/>
    <cellStyle name="Normal 4 12 2 12" xfId="15170" xr:uid="{00000000-0005-0000-0000-0000D3460000}"/>
    <cellStyle name="Normal 4 12 2 12 2" xfId="15171" xr:uid="{00000000-0005-0000-0000-0000D4460000}"/>
    <cellStyle name="Normal 4 12 2 12 2 2" xfId="31920" xr:uid="{00000000-0005-0000-0000-0000D5460000}"/>
    <cellStyle name="Normal 4 12 2 12 3" xfId="15172" xr:uid="{00000000-0005-0000-0000-0000D6460000}"/>
    <cellStyle name="Normal 4 12 2 12 3 2" xfId="31921" xr:uid="{00000000-0005-0000-0000-0000D7460000}"/>
    <cellStyle name="Normal 4 12 2 12 4" xfId="15173" xr:uid="{00000000-0005-0000-0000-0000D8460000}"/>
    <cellStyle name="Normal 4 12 2 12 4 2" xfId="31922" xr:uid="{00000000-0005-0000-0000-0000D9460000}"/>
    <cellStyle name="Normal 4 12 2 12 5" xfId="15174" xr:uid="{00000000-0005-0000-0000-0000DA460000}"/>
    <cellStyle name="Normal 4 12 2 12 5 2" xfId="31923" xr:uid="{00000000-0005-0000-0000-0000DB460000}"/>
    <cellStyle name="Normal 4 12 2 12 6" xfId="31919" xr:uid="{00000000-0005-0000-0000-0000DC460000}"/>
    <cellStyle name="Normal 4 12 2 13" xfId="15175" xr:uid="{00000000-0005-0000-0000-0000DD460000}"/>
    <cellStyle name="Normal 4 12 2 13 2" xfId="15176" xr:uid="{00000000-0005-0000-0000-0000DE460000}"/>
    <cellStyle name="Normal 4 12 2 13 2 2" xfId="31925" xr:uid="{00000000-0005-0000-0000-0000DF460000}"/>
    <cellStyle name="Normal 4 12 2 13 3" xfId="15177" xr:uid="{00000000-0005-0000-0000-0000E0460000}"/>
    <cellStyle name="Normal 4 12 2 13 3 2" xfId="31926" xr:uid="{00000000-0005-0000-0000-0000E1460000}"/>
    <cellStyle name="Normal 4 12 2 13 4" xfId="15178" xr:uid="{00000000-0005-0000-0000-0000E2460000}"/>
    <cellStyle name="Normal 4 12 2 13 4 2" xfId="31927" xr:uid="{00000000-0005-0000-0000-0000E3460000}"/>
    <cellStyle name="Normal 4 12 2 13 5" xfId="15179" xr:uid="{00000000-0005-0000-0000-0000E4460000}"/>
    <cellStyle name="Normal 4 12 2 13 5 2" xfId="31928" xr:uid="{00000000-0005-0000-0000-0000E5460000}"/>
    <cellStyle name="Normal 4 12 2 13 6" xfId="31924" xr:uid="{00000000-0005-0000-0000-0000E6460000}"/>
    <cellStyle name="Normal 4 12 2 14" xfId="15180" xr:uid="{00000000-0005-0000-0000-0000E7460000}"/>
    <cellStyle name="Normal 4 12 2 14 2" xfId="15181" xr:uid="{00000000-0005-0000-0000-0000E8460000}"/>
    <cellStyle name="Normal 4 12 2 14 2 2" xfId="31930" xr:uid="{00000000-0005-0000-0000-0000E9460000}"/>
    <cellStyle name="Normal 4 12 2 14 3" xfId="15182" xr:uid="{00000000-0005-0000-0000-0000EA460000}"/>
    <cellStyle name="Normal 4 12 2 14 3 2" xfId="31931" xr:uid="{00000000-0005-0000-0000-0000EB460000}"/>
    <cellStyle name="Normal 4 12 2 14 4" xfId="15183" xr:uid="{00000000-0005-0000-0000-0000EC460000}"/>
    <cellStyle name="Normal 4 12 2 14 4 2" xfId="31932" xr:uid="{00000000-0005-0000-0000-0000ED460000}"/>
    <cellStyle name="Normal 4 12 2 14 5" xfId="15184" xr:uid="{00000000-0005-0000-0000-0000EE460000}"/>
    <cellStyle name="Normal 4 12 2 14 5 2" xfId="31933" xr:uid="{00000000-0005-0000-0000-0000EF460000}"/>
    <cellStyle name="Normal 4 12 2 14 6" xfId="31929" xr:uid="{00000000-0005-0000-0000-0000F0460000}"/>
    <cellStyle name="Normal 4 12 2 15" xfId="15185" xr:uid="{00000000-0005-0000-0000-0000F1460000}"/>
    <cellStyle name="Normal 4 12 2 15 2" xfId="15186" xr:uid="{00000000-0005-0000-0000-0000F2460000}"/>
    <cellStyle name="Normal 4 12 2 15 2 2" xfId="31935" xr:uid="{00000000-0005-0000-0000-0000F3460000}"/>
    <cellStyle name="Normal 4 12 2 15 3" xfId="15187" xr:uid="{00000000-0005-0000-0000-0000F4460000}"/>
    <cellStyle name="Normal 4 12 2 15 3 2" xfId="31936" xr:uid="{00000000-0005-0000-0000-0000F5460000}"/>
    <cellStyle name="Normal 4 12 2 15 4" xfId="15188" xr:uid="{00000000-0005-0000-0000-0000F6460000}"/>
    <cellStyle name="Normal 4 12 2 15 4 2" xfId="31937" xr:uid="{00000000-0005-0000-0000-0000F7460000}"/>
    <cellStyle name="Normal 4 12 2 15 5" xfId="15189" xr:uid="{00000000-0005-0000-0000-0000F8460000}"/>
    <cellStyle name="Normal 4 12 2 15 5 2" xfId="31938" xr:uid="{00000000-0005-0000-0000-0000F9460000}"/>
    <cellStyle name="Normal 4 12 2 15 6" xfId="31934" xr:uid="{00000000-0005-0000-0000-0000FA460000}"/>
    <cellStyle name="Normal 4 12 2 16" xfId="15190" xr:uid="{00000000-0005-0000-0000-0000FB460000}"/>
    <cellStyle name="Normal 4 12 2 16 2" xfId="15191" xr:uid="{00000000-0005-0000-0000-0000FC460000}"/>
    <cellStyle name="Normal 4 12 2 16 2 2" xfId="31940" xr:uid="{00000000-0005-0000-0000-0000FD460000}"/>
    <cellStyle name="Normal 4 12 2 16 3" xfId="15192" xr:uid="{00000000-0005-0000-0000-0000FE460000}"/>
    <cellStyle name="Normal 4 12 2 16 3 2" xfId="31941" xr:uid="{00000000-0005-0000-0000-0000FF460000}"/>
    <cellStyle name="Normal 4 12 2 16 4" xfId="15193" xr:uid="{00000000-0005-0000-0000-000000470000}"/>
    <cellStyle name="Normal 4 12 2 16 4 2" xfId="31942" xr:uid="{00000000-0005-0000-0000-000001470000}"/>
    <cellStyle name="Normal 4 12 2 16 5" xfId="15194" xr:uid="{00000000-0005-0000-0000-000002470000}"/>
    <cellStyle name="Normal 4 12 2 16 5 2" xfId="31943" xr:uid="{00000000-0005-0000-0000-000003470000}"/>
    <cellStyle name="Normal 4 12 2 16 6" xfId="31939" xr:uid="{00000000-0005-0000-0000-000004470000}"/>
    <cellStyle name="Normal 4 12 2 17" xfId="15195" xr:uid="{00000000-0005-0000-0000-000005470000}"/>
    <cellStyle name="Normal 4 12 2 17 2" xfId="31944" xr:uid="{00000000-0005-0000-0000-000006470000}"/>
    <cellStyle name="Normal 4 12 2 18" xfId="15196" xr:uid="{00000000-0005-0000-0000-000007470000}"/>
    <cellStyle name="Normal 4 12 2 18 2" xfId="31945" xr:uid="{00000000-0005-0000-0000-000008470000}"/>
    <cellStyle name="Normal 4 12 2 19" xfId="15197" xr:uid="{00000000-0005-0000-0000-000009470000}"/>
    <cellStyle name="Normal 4 12 2 19 2" xfId="31946" xr:uid="{00000000-0005-0000-0000-00000A470000}"/>
    <cellStyle name="Normal 4 12 2 2" xfId="15198" xr:uid="{00000000-0005-0000-0000-00000B470000}"/>
    <cellStyle name="Normal 4 12 2 20" xfId="15199" xr:uid="{00000000-0005-0000-0000-00000C470000}"/>
    <cellStyle name="Normal 4 12 2 20 2" xfId="31947" xr:uid="{00000000-0005-0000-0000-00000D470000}"/>
    <cellStyle name="Normal 4 12 2 21" xfId="31908" xr:uid="{00000000-0005-0000-0000-00000E470000}"/>
    <cellStyle name="Normal 4 12 2 3" xfId="15200" xr:uid="{00000000-0005-0000-0000-00000F470000}"/>
    <cellStyle name="Normal 4 12 2 3 2" xfId="15201" xr:uid="{00000000-0005-0000-0000-000010470000}"/>
    <cellStyle name="Normal 4 12 2 3 2 2" xfId="31949" xr:uid="{00000000-0005-0000-0000-000011470000}"/>
    <cellStyle name="Normal 4 12 2 3 3" xfId="15202" xr:uid="{00000000-0005-0000-0000-000012470000}"/>
    <cellStyle name="Normal 4 12 2 3 3 2" xfId="31950" xr:uid="{00000000-0005-0000-0000-000013470000}"/>
    <cellStyle name="Normal 4 12 2 3 4" xfId="15203" xr:uid="{00000000-0005-0000-0000-000014470000}"/>
    <cellStyle name="Normal 4 12 2 3 4 2" xfId="31951" xr:uid="{00000000-0005-0000-0000-000015470000}"/>
    <cellStyle name="Normal 4 12 2 3 5" xfId="15204" xr:uid="{00000000-0005-0000-0000-000016470000}"/>
    <cellStyle name="Normal 4 12 2 3 5 2" xfId="31952" xr:uid="{00000000-0005-0000-0000-000017470000}"/>
    <cellStyle name="Normal 4 12 2 3 6" xfId="31948" xr:uid="{00000000-0005-0000-0000-000018470000}"/>
    <cellStyle name="Normal 4 12 2 4" xfId="15205" xr:uid="{00000000-0005-0000-0000-000019470000}"/>
    <cellStyle name="Normal 4 12 2 4 2" xfId="15206" xr:uid="{00000000-0005-0000-0000-00001A470000}"/>
    <cellStyle name="Normal 4 12 2 4 2 2" xfId="31954" xr:uid="{00000000-0005-0000-0000-00001B470000}"/>
    <cellStyle name="Normal 4 12 2 4 3" xfId="15207" xr:uid="{00000000-0005-0000-0000-00001C470000}"/>
    <cellStyle name="Normal 4 12 2 4 3 2" xfId="31955" xr:uid="{00000000-0005-0000-0000-00001D470000}"/>
    <cellStyle name="Normal 4 12 2 4 4" xfId="15208" xr:uid="{00000000-0005-0000-0000-00001E470000}"/>
    <cellStyle name="Normal 4 12 2 4 4 2" xfId="31956" xr:uid="{00000000-0005-0000-0000-00001F470000}"/>
    <cellStyle name="Normal 4 12 2 4 5" xfId="15209" xr:uid="{00000000-0005-0000-0000-000020470000}"/>
    <cellStyle name="Normal 4 12 2 4 5 2" xfId="31957" xr:uid="{00000000-0005-0000-0000-000021470000}"/>
    <cellStyle name="Normal 4 12 2 4 6" xfId="31953" xr:uid="{00000000-0005-0000-0000-000022470000}"/>
    <cellStyle name="Normal 4 12 2 5" xfId="15210" xr:uid="{00000000-0005-0000-0000-000023470000}"/>
    <cellStyle name="Normal 4 12 2 5 2" xfId="15211" xr:uid="{00000000-0005-0000-0000-000024470000}"/>
    <cellStyle name="Normal 4 12 2 5 2 2" xfId="31959" xr:uid="{00000000-0005-0000-0000-000025470000}"/>
    <cellStyle name="Normal 4 12 2 5 3" xfId="15212" xr:uid="{00000000-0005-0000-0000-000026470000}"/>
    <cellStyle name="Normal 4 12 2 5 3 2" xfId="31960" xr:uid="{00000000-0005-0000-0000-000027470000}"/>
    <cellStyle name="Normal 4 12 2 5 4" xfId="15213" xr:uid="{00000000-0005-0000-0000-000028470000}"/>
    <cellStyle name="Normal 4 12 2 5 4 2" xfId="31961" xr:uid="{00000000-0005-0000-0000-000029470000}"/>
    <cellStyle name="Normal 4 12 2 5 5" xfId="15214" xr:uid="{00000000-0005-0000-0000-00002A470000}"/>
    <cellStyle name="Normal 4 12 2 5 5 2" xfId="31962" xr:uid="{00000000-0005-0000-0000-00002B470000}"/>
    <cellStyle name="Normal 4 12 2 5 6" xfId="31958" xr:uid="{00000000-0005-0000-0000-00002C470000}"/>
    <cellStyle name="Normal 4 12 2 6" xfId="15215" xr:uid="{00000000-0005-0000-0000-00002D470000}"/>
    <cellStyle name="Normal 4 12 2 6 2" xfId="15216" xr:uid="{00000000-0005-0000-0000-00002E470000}"/>
    <cellStyle name="Normal 4 12 2 6 2 2" xfId="31964" xr:uid="{00000000-0005-0000-0000-00002F470000}"/>
    <cellStyle name="Normal 4 12 2 6 3" xfId="15217" xr:uid="{00000000-0005-0000-0000-000030470000}"/>
    <cellStyle name="Normal 4 12 2 6 3 2" xfId="31965" xr:uid="{00000000-0005-0000-0000-000031470000}"/>
    <cellStyle name="Normal 4 12 2 6 4" xfId="15218" xr:uid="{00000000-0005-0000-0000-000032470000}"/>
    <cellStyle name="Normal 4 12 2 6 4 2" xfId="31966" xr:uid="{00000000-0005-0000-0000-000033470000}"/>
    <cellStyle name="Normal 4 12 2 6 5" xfId="15219" xr:uid="{00000000-0005-0000-0000-000034470000}"/>
    <cellStyle name="Normal 4 12 2 6 5 2" xfId="31967" xr:uid="{00000000-0005-0000-0000-000035470000}"/>
    <cellStyle name="Normal 4 12 2 6 6" xfId="31963" xr:uid="{00000000-0005-0000-0000-000036470000}"/>
    <cellStyle name="Normal 4 12 2 7" xfId="15220" xr:uid="{00000000-0005-0000-0000-000037470000}"/>
    <cellStyle name="Normal 4 12 2 7 2" xfId="15221" xr:uid="{00000000-0005-0000-0000-000038470000}"/>
    <cellStyle name="Normal 4 12 2 7 2 2" xfId="31969" xr:uid="{00000000-0005-0000-0000-000039470000}"/>
    <cellStyle name="Normal 4 12 2 7 3" xfId="15222" xr:uid="{00000000-0005-0000-0000-00003A470000}"/>
    <cellStyle name="Normal 4 12 2 7 3 2" xfId="31970" xr:uid="{00000000-0005-0000-0000-00003B470000}"/>
    <cellStyle name="Normal 4 12 2 7 4" xfId="15223" xr:uid="{00000000-0005-0000-0000-00003C470000}"/>
    <cellStyle name="Normal 4 12 2 7 4 2" xfId="31971" xr:uid="{00000000-0005-0000-0000-00003D470000}"/>
    <cellStyle name="Normal 4 12 2 7 5" xfId="15224" xr:uid="{00000000-0005-0000-0000-00003E470000}"/>
    <cellStyle name="Normal 4 12 2 7 5 2" xfId="31972" xr:uid="{00000000-0005-0000-0000-00003F470000}"/>
    <cellStyle name="Normal 4 12 2 7 6" xfId="31968" xr:uid="{00000000-0005-0000-0000-000040470000}"/>
    <cellStyle name="Normal 4 12 2 8" xfId="15225" xr:uid="{00000000-0005-0000-0000-000041470000}"/>
    <cellStyle name="Normal 4 12 2 8 2" xfId="15226" xr:uid="{00000000-0005-0000-0000-000042470000}"/>
    <cellStyle name="Normal 4 12 2 8 2 2" xfId="31974" xr:uid="{00000000-0005-0000-0000-000043470000}"/>
    <cellStyle name="Normal 4 12 2 8 3" xfId="15227" xr:uid="{00000000-0005-0000-0000-000044470000}"/>
    <cellStyle name="Normal 4 12 2 8 3 2" xfId="31975" xr:uid="{00000000-0005-0000-0000-000045470000}"/>
    <cellStyle name="Normal 4 12 2 8 4" xfId="15228" xr:uid="{00000000-0005-0000-0000-000046470000}"/>
    <cellStyle name="Normal 4 12 2 8 4 2" xfId="31976" xr:uid="{00000000-0005-0000-0000-000047470000}"/>
    <cellStyle name="Normal 4 12 2 8 5" xfId="15229" xr:uid="{00000000-0005-0000-0000-000048470000}"/>
    <cellStyle name="Normal 4 12 2 8 5 2" xfId="31977" xr:uid="{00000000-0005-0000-0000-000049470000}"/>
    <cellStyle name="Normal 4 12 2 8 6" xfId="31973" xr:uid="{00000000-0005-0000-0000-00004A470000}"/>
    <cellStyle name="Normal 4 12 2 9" xfId="15230" xr:uid="{00000000-0005-0000-0000-00004B470000}"/>
    <cellStyle name="Normal 4 12 2 9 2" xfId="15231" xr:uid="{00000000-0005-0000-0000-00004C470000}"/>
    <cellStyle name="Normal 4 12 2 9 2 2" xfId="31979" xr:uid="{00000000-0005-0000-0000-00004D470000}"/>
    <cellStyle name="Normal 4 12 2 9 3" xfId="15232" xr:uid="{00000000-0005-0000-0000-00004E470000}"/>
    <cellStyle name="Normal 4 12 2 9 3 2" xfId="31980" xr:uid="{00000000-0005-0000-0000-00004F470000}"/>
    <cellStyle name="Normal 4 12 2 9 4" xfId="15233" xr:uid="{00000000-0005-0000-0000-000050470000}"/>
    <cellStyle name="Normal 4 12 2 9 4 2" xfId="31981" xr:uid="{00000000-0005-0000-0000-000051470000}"/>
    <cellStyle name="Normal 4 12 2 9 5" xfId="15234" xr:uid="{00000000-0005-0000-0000-000052470000}"/>
    <cellStyle name="Normal 4 12 2 9 5 2" xfId="31982" xr:uid="{00000000-0005-0000-0000-000053470000}"/>
    <cellStyle name="Normal 4 12 2 9 6" xfId="31978" xr:uid="{00000000-0005-0000-0000-000054470000}"/>
    <cellStyle name="Normal 4 12 3" xfId="15235" xr:uid="{00000000-0005-0000-0000-000055470000}"/>
    <cellStyle name="Normal 4 12 4" xfId="15236" xr:uid="{00000000-0005-0000-0000-000056470000}"/>
    <cellStyle name="Normal 4 12 5" xfId="15237" xr:uid="{00000000-0005-0000-0000-000057470000}"/>
    <cellStyle name="Normal 4 12 6" xfId="15238" xr:uid="{00000000-0005-0000-0000-000058470000}"/>
    <cellStyle name="Normal 4 12 7" xfId="15239" xr:uid="{00000000-0005-0000-0000-000059470000}"/>
    <cellStyle name="Normal 4 12 8" xfId="15240" xr:uid="{00000000-0005-0000-0000-00005A470000}"/>
    <cellStyle name="Normal 4 12 9" xfId="15241" xr:uid="{00000000-0005-0000-0000-00005B470000}"/>
    <cellStyle name="Normal 4 13" xfId="15242" xr:uid="{00000000-0005-0000-0000-00005C470000}"/>
    <cellStyle name="Normal 4 13 10" xfId="15243" xr:uid="{00000000-0005-0000-0000-00005D470000}"/>
    <cellStyle name="Normal 4 13 11" xfId="15244" xr:uid="{00000000-0005-0000-0000-00005E470000}"/>
    <cellStyle name="Normal 4 13 12" xfId="15245" xr:uid="{00000000-0005-0000-0000-00005F470000}"/>
    <cellStyle name="Normal 4 13 13" xfId="15246" xr:uid="{00000000-0005-0000-0000-000060470000}"/>
    <cellStyle name="Normal 4 13 14" xfId="15247" xr:uid="{00000000-0005-0000-0000-000061470000}"/>
    <cellStyle name="Normal 4 13 15" xfId="15248" xr:uid="{00000000-0005-0000-0000-000062470000}"/>
    <cellStyle name="Normal 4 13 16" xfId="15249" xr:uid="{00000000-0005-0000-0000-000063470000}"/>
    <cellStyle name="Normal 4 13 17" xfId="15250" xr:uid="{00000000-0005-0000-0000-000064470000}"/>
    <cellStyle name="Normal 4 13 18" xfId="40695" xr:uid="{00000000-0005-0000-0000-000065470000}"/>
    <cellStyle name="Normal 4 13 19" xfId="41071" xr:uid="{AE2D6544-5AC6-4B69-BB9E-5666A9A68342}"/>
    <cellStyle name="Normal 4 13 2" xfId="15251" xr:uid="{00000000-0005-0000-0000-000066470000}"/>
    <cellStyle name="Normal 4 13 2 2" xfId="15252" xr:uid="{00000000-0005-0000-0000-000067470000}"/>
    <cellStyle name="Normal 4 13 3" xfId="15253" xr:uid="{00000000-0005-0000-0000-000068470000}"/>
    <cellStyle name="Normal 4 13 4" xfId="15254" xr:uid="{00000000-0005-0000-0000-000069470000}"/>
    <cellStyle name="Normal 4 13 5" xfId="15255" xr:uid="{00000000-0005-0000-0000-00006A470000}"/>
    <cellStyle name="Normal 4 13 6" xfId="15256" xr:uid="{00000000-0005-0000-0000-00006B470000}"/>
    <cellStyle name="Normal 4 13 7" xfId="15257" xr:uid="{00000000-0005-0000-0000-00006C470000}"/>
    <cellStyle name="Normal 4 13 8" xfId="15258" xr:uid="{00000000-0005-0000-0000-00006D470000}"/>
    <cellStyle name="Normal 4 13 9" xfId="15259" xr:uid="{00000000-0005-0000-0000-00006E470000}"/>
    <cellStyle name="Normal 4 14" xfId="15260" xr:uid="{00000000-0005-0000-0000-00006F470000}"/>
    <cellStyle name="Normal 4 14 2" xfId="40696" xr:uid="{00000000-0005-0000-0000-000070470000}"/>
    <cellStyle name="Normal 4 15" xfId="15261" xr:uid="{00000000-0005-0000-0000-000071470000}"/>
    <cellStyle name="Normal 4 15 2" xfId="40697" xr:uid="{00000000-0005-0000-0000-000072470000}"/>
    <cellStyle name="Normal 4 16" xfId="15262" xr:uid="{00000000-0005-0000-0000-000073470000}"/>
    <cellStyle name="Normal 4 16 2" xfId="40698" xr:uid="{00000000-0005-0000-0000-000074470000}"/>
    <cellStyle name="Normal 4 17" xfId="15263" xr:uid="{00000000-0005-0000-0000-000075470000}"/>
    <cellStyle name="Normal 4 17 2" xfId="40699" xr:uid="{00000000-0005-0000-0000-000076470000}"/>
    <cellStyle name="Normal 4 18" xfId="15264" xr:uid="{00000000-0005-0000-0000-000077470000}"/>
    <cellStyle name="Normal 4 18 2" xfId="40700" xr:uid="{00000000-0005-0000-0000-000078470000}"/>
    <cellStyle name="Normal 4 19" xfId="15265" xr:uid="{00000000-0005-0000-0000-000079470000}"/>
    <cellStyle name="Normal 4 19 10" xfId="15266" xr:uid="{00000000-0005-0000-0000-00007A470000}"/>
    <cellStyle name="Normal 4 19 10 2" xfId="15267" xr:uid="{00000000-0005-0000-0000-00007B470000}"/>
    <cellStyle name="Normal 4 19 10 2 2" xfId="31985" xr:uid="{00000000-0005-0000-0000-00007C470000}"/>
    <cellStyle name="Normal 4 19 10 3" xfId="15268" xr:uid="{00000000-0005-0000-0000-00007D470000}"/>
    <cellStyle name="Normal 4 19 10 3 2" xfId="31986" xr:uid="{00000000-0005-0000-0000-00007E470000}"/>
    <cellStyle name="Normal 4 19 10 4" xfId="15269" xr:uid="{00000000-0005-0000-0000-00007F470000}"/>
    <cellStyle name="Normal 4 19 10 4 2" xfId="31987" xr:uid="{00000000-0005-0000-0000-000080470000}"/>
    <cellStyle name="Normal 4 19 10 5" xfId="15270" xr:uid="{00000000-0005-0000-0000-000081470000}"/>
    <cellStyle name="Normal 4 19 10 5 2" xfId="31988" xr:uid="{00000000-0005-0000-0000-000082470000}"/>
    <cellStyle name="Normal 4 19 10 6" xfId="31984" xr:uid="{00000000-0005-0000-0000-000083470000}"/>
    <cellStyle name="Normal 4 19 11" xfId="15271" xr:uid="{00000000-0005-0000-0000-000084470000}"/>
    <cellStyle name="Normal 4 19 11 2" xfId="15272" xr:uid="{00000000-0005-0000-0000-000085470000}"/>
    <cellStyle name="Normal 4 19 11 2 2" xfId="31990" xr:uid="{00000000-0005-0000-0000-000086470000}"/>
    <cellStyle name="Normal 4 19 11 3" xfId="15273" xr:uid="{00000000-0005-0000-0000-000087470000}"/>
    <cellStyle name="Normal 4 19 11 3 2" xfId="31991" xr:uid="{00000000-0005-0000-0000-000088470000}"/>
    <cellStyle name="Normal 4 19 11 4" xfId="15274" xr:uid="{00000000-0005-0000-0000-000089470000}"/>
    <cellStyle name="Normal 4 19 11 4 2" xfId="31992" xr:uid="{00000000-0005-0000-0000-00008A470000}"/>
    <cellStyle name="Normal 4 19 11 5" xfId="15275" xr:uid="{00000000-0005-0000-0000-00008B470000}"/>
    <cellStyle name="Normal 4 19 11 5 2" xfId="31993" xr:uid="{00000000-0005-0000-0000-00008C470000}"/>
    <cellStyle name="Normal 4 19 11 6" xfId="31989" xr:uid="{00000000-0005-0000-0000-00008D470000}"/>
    <cellStyle name="Normal 4 19 12" xfId="15276" xr:uid="{00000000-0005-0000-0000-00008E470000}"/>
    <cellStyle name="Normal 4 19 12 2" xfId="15277" xr:uid="{00000000-0005-0000-0000-00008F470000}"/>
    <cellStyle name="Normal 4 19 12 2 2" xfId="31995" xr:uid="{00000000-0005-0000-0000-000090470000}"/>
    <cellStyle name="Normal 4 19 12 3" xfId="15278" xr:uid="{00000000-0005-0000-0000-000091470000}"/>
    <cellStyle name="Normal 4 19 12 3 2" xfId="31996" xr:uid="{00000000-0005-0000-0000-000092470000}"/>
    <cellStyle name="Normal 4 19 12 4" xfId="15279" xr:uid="{00000000-0005-0000-0000-000093470000}"/>
    <cellStyle name="Normal 4 19 12 4 2" xfId="31997" xr:uid="{00000000-0005-0000-0000-000094470000}"/>
    <cellStyle name="Normal 4 19 12 5" xfId="15280" xr:uid="{00000000-0005-0000-0000-000095470000}"/>
    <cellStyle name="Normal 4 19 12 5 2" xfId="31998" xr:uid="{00000000-0005-0000-0000-000096470000}"/>
    <cellStyle name="Normal 4 19 12 6" xfId="31994" xr:uid="{00000000-0005-0000-0000-000097470000}"/>
    <cellStyle name="Normal 4 19 13" xfId="15281" xr:uid="{00000000-0005-0000-0000-000098470000}"/>
    <cellStyle name="Normal 4 19 13 2" xfId="15282" xr:uid="{00000000-0005-0000-0000-000099470000}"/>
    <cellStyle name="Normal 4 19 13 2 2" xfId="32000" xr:uid="{00000000-0005-0000-0000-00009A470000}"/>
    <cellStyle name="Normal 4 19 13 3" xfId="15283" xr:uid="{00000000-0005-0000-0000-00009B470000}"/>
    <cellStyle name="Normal 4 19 13 3 2" xfId="32001" xr:uid="{00000000-0005-0000-0000-00009C470000}"/>
    <cellStyle name="Normal 4 19 13 4" xfId="15284" xr:uid="{00000000-0005-0000-0000-00009D470000}"/>
    <cellStyle name="Normal 4 19 13 4 2" xfId="32002" xr:uid="{00000000-0005-0000-0000-00009E470000}"/>
    <cellStyle name="Normal 4 19 13 5" xfId="15285" xr:uid="{00000000-0005-0000-0000-00009F470000}"/>
    <cellStyle name="Normal 4 19 13 5 2" xfId="32003" xr:uid="{00000000-0005-0000-0000-0000A0470000}"/>
    <cellStyle name="Normal 4 19 13 6" xfId="31999" xr:uid="{00000000-0005-0000-0000-0000A1470000}"/>
    <cellStyle name="Normal 4 19 14" xfId="15286" xr:uid="{00000000-0005-0000-0000-0000A2470000}"/>
    <cellStyle name="Normal 4 19 14 2" xfId="15287" xr:uid="{00000000-0005-0000-0000-0000A3470000}"/>
    <cellStyle name="Normal 4 19 14 2 2" xfId="32005" xr:uid="{00000000-0005-0000-0000-0000A4470000}"/>
    <cellStyle name="Normal 4 19 14 3" xfId="15288" xr:uid="{00000000-0005-0000-0000-0000A5470000}"/>
    <cellStyle name="Normal 4 19 14 3 2" xfId="32006" xr:uid="{00000000-0005-0000-0000-0000A6470000}"/>
    <cellStyle name="Normal 4 19 14 4" xfId="15289" xr:uid="{00000000-0005-0000-0000-0000A7470000}"/>
    <cellStyle name="Normal 4 19 14 4 2" xfId="32007" xr:uid="{00000000-0005-0000-0000-0000A8470000}"/>
    <cellStyle name="Normal 4 19 14 5" xfId="15290" xr:uid="{00000000-0005-0000-0000-0000A9470000}"/>
    <cellStyle name="Normal 4 19 14 5 2" xfId="32008" xr:uid="{00000000-0005-0000-0000-0000AA470000}"/>
    <cellStyle name="Normal 4 19 14 6" xfId="32004" xr:uid="{00000000-0005-0000-0000-0000AB470000}"/>
    <cellStyle name="Normal 4 19 15" xfId="15291" xr:uid="{00000000-0005-0000-0000-0000AC470000}"/>
    <cellStyle name="Normal 4 19 15 2" xfId="15292" xr:uid="{00000000-0005-0000-0000-0000AD470000}"/>
    <cellStyle name="Normal 4 19 15 2 2" xfId="32010" xr:uid="{00000000-0005-0000-0000-0000AE470000}"/>
    <cellStyle name="Normal 4 19 15 3" xfId="15293" xr:uid="{00000000-0005-0000-0000-0000AF470000}"/>
    <cellStyle name="Normal 4 19 15 3 2" xfId="32011" xr:uid="{00000000-0005-0000-0000-0000B0470000}"/>
    <cellStyle name="Normal 4 19 15 4" xfId="15294" xr:uid="{00000000-0005-0000-0000-0000B1470000}"/>
    <cellStyle name="Normal 4 19 15 4 2" xfId="32012" xr:uid="{00000000-0005-0000-0000-0000B2470000}"/>
    <cellStyle name="Normal 4 19 15 5" xfId="15295" xr:uid="{00000000-0005-0000-0000-0000B3470000}"/>
    <cellStyle name="Normal 4 19 15 5 2" xfId="32013" xr:uid="{00000000-0005-0000-0000-0000B4470000}"/>
    <cellStyle name="Normal 4 19 15 6" xfId="32009" xr:uid="{00000000-0005-0000-0000-0000B5470000}"/>
    <cellStyle name="Normal 4 19 16" xfId="15296" xr:uid="{00000000-0005-0000-0000-0000B6470000}"/>
    <cellStyle name="Normal 4 19 16 2" xfId="32014" xr:uid="{00000000-0005-0000-0000-0000B7470000}"/>
    <cellStyle name="Normal 4 19 17" xfId="15297" xr:uid="{00000000-0005-0000-0000-0000B8470000}"/>
    <cellStyle name="Normal 4 19 17 2" xfId="32015" xr:uid="{00000000-0005-0000-0000-0000B9470000}"/>
    <cellStyle name="Normal 4 19 18" xfId="15298" xr:uid="{00000000-0005-0000-0000-0000BA470000}"/>
    <cellStyle name="Normal 4 19 18 2" xfId="32016" xr:uid="{00000000-0005-0000-0000-0000BB470000}"/>
    <cellStyle name="Normal 4 19 19" xfId="15299" xr:uid="{00000000-0005-0000-0000-0000BC470000}"/>
    <cellStyle name="Normal 4 19 19 2" xfId="32017" xr:uid="{00000000-0005-0000-0000-0000BD470000}"/>
    <cellStyle name="Normal 4 19 2" xfId="15300" xr:uid="{00000000-0005-0000-0000-0000BE470000}"/>
    <cellStyle name="Normal 4 19 2 2" xfId="15301" xr:uid="{00000000-0005-0000-0000-0000BF470000}"/>
    <cellStyle name="Normal 4 19 2 2 2" xfId="15302" xr:uid="{00000000-0005-0000-0000-0000C0470000}"/>
    <cellStyle name="Normal 4 19 2 2 2 2" xfId="32020" xr:uid="{00000000-0005-0000-0000-0000C1470000}"/>
    <cellStyle name="Normal 4 19 2 2 3" xfId="15303" xr:uid="{00000000-0005-0000-0000-0000C2470000}"/>
    <cellStyle name="Normal 4 19 2 2 3 2" xfId="32021" xr:uid="{00000000-0005-0000-0000-0000C3470000}"/>
    <cellStyle name="Normal 4 19 2 2 4" xfId="15304" xr:uid="{00000000-0005-0000-0000-0000C4470000}"/>
    <cellStyle name="Normal 4 19 2 2 4 2" xfId="32022" xr:uid="{00000000-0005-0000-0000-0000C5470000}"/>
    <cellStyle name="Normal 4 19 2 2 5" xfId="15305" xr:uid="{00000000-0005-0000-0000-0000C6470000}"/>
    <cellStyle name="Normal 4 19 2 2 5 2" xfId="32023" xr:uid="{00000000-0005-0000-0000-0000C7470000}"/>
    <cellStyle name="Normal 4 19 2 2 6" xfId="32019" xr:uid="{00000000-0005-0000-0000-0000C8470000}"/>
    <cellStyle name="Normal 4 19 2 3" xfId="15306" xr:uid="{00000000-0005-0000-0000-0000C9470000}"/>
    <cellStyle name="Normal 4 19 2 3 2" xfId="32024" xr:uid="{00000000-0005-0000-0000-0000CA470000}"/>
    <cellStyle name="Normal 4 19 2 4" xfId="15307" xr:uid="{00000000-0005-0000-0000-0000CB470000}"/>
    <cellStyle name="Normal 4 19 2 4 2" xfId="32025" xr:uid="{00000000-0005-0000-0000-0000CC470000}"/>
    <cellStyle name="Normal 4 19 2 5" xfId="15308" xr:uid="{00000000-0005-0000-0000-0000CD470000}"/>
    <cellStyle name="Normal 4 19 2 5 2" xfId="32026" xr:uid="{00000000-0005-0000-0000-0000CE470000}"/>
    <cellStyle name="Normal 4 19 2 6" xfId="15309" xr:uid="{00000000-0005-0000-0000-0000CF470000}"/>
    <cellStyle name="Normal 4 19 2 6 2" xfId="32027" xr:uid="{00000000-0005-0000-0000-0000D0470000}"/>
    <cellStyle name="Normal 4 19 2 7" xfId="32018" xr:uid="{00000000-0005-0000-0000-0000D1470000}"/>
    <cellStyle name="Normal 4 19 20" xfId="40701" xr:uid="{00000000-0005-0000-0000-0000D2470000}"/>
    <cellStyle name="Normal 4 19 21" xfId="31983" xr:uid="{00000000-0005-0000-0000-0000D3470000}"/>
    <cellStyle name="Normal 4 19 3" xfId="15310" xr:uid="{00000000-0005-0000-0000-0000D4470000}"/>
    <cellStyle name="Normal 4 19 3 2" xfId="15311" xr:uid="{00000000-0005-0000-0000-0000D5470000}"/>
    <cellStyle name="Normal 4 19 3 2 2" xfId="15312" xr:uid="{00000000-0005-0000-0000-0000D6470000}"/>
    <cellStyle name="Normal 4 19 3 2 2 2" xfId="32030" xr:uid="{00000000-0005-0000-0000-0000D7470000}"/>
    <cellStyle name="Normal 4 19 3 2 3" xfId="15313" xr:uid="{00000000-0005-0000-0000-0000D8470000}"/>
    <cellStyle name="Normal 4 19 3 2 3 2" xfId="32031" xr:uid="{00000000-0005-0000-0000-0000D9470000}"/>
    <cellStyle name="Normal 4 19 3 2 4" xfId="15314" xr:uid="{00000000-0005-0000-0000-0000DA470000}"/>
    <cellStyle name="Normal 4 19 3 2 4 2" xfId="32032" xr:uid="{00000000-0005-0000-0000-0000DB470000}"/>
    <cellStyle name="Normal 4 19 3 2 5" xfId="15315" xr:uid="{00000000-0005-0000-0000-0000DC470000}"/>
    <cellStyle name="Normal 4 19 3 2 5 2" xfId="32033" xr:uid="{00000000-0005-0000-0000-0000DD470000}"/>
    <cellStyle name="Normal 4 19 3 2 6" xfId="32029" xr:uid="{00000000-0005-0000-0000-0000DE470000}"/>
    <cellStyle name="Normal 4 19 3 3" xfId="15316" xr:uid="{00000000-0005-0000-0000-0000DF470000}"/>
    <cellStyle name="Normal 4 19 3 3 2" xfId="32034" xr:uid="{00000000-0005-0000-0000-0000E0470000}"/>
    <cellStyle name="Normal 4 19 3 4" xfId="15317" xr:uid="{00000000-0005-0000-0000-0000E1470000}"/>
    <cellStyle name="Normal 4 19 3 4 2" xfId="32035" xr:uid="{00000000-0005-0000-0000-0000E2470000}"/>
    <cellStyle name="Normal 4 19 3 5" xfId="15318" xr:uid="{00000000-0005-0000-0000-0000E3470000}"/>
    <cellStyle name="Normal 4 19 3 5 2" xfId="32036" xr:uid="{00000000-0005-0000-0000-0000E4470000}"/>
    <cellStyle name="Normal 4 19 3 6" xfId="15319" xr:uid="{00000000-0005-0000-0000-0000E5470000}"/>
    <cellStyle name="Normal 4 19 3 6 2" xfId="32037" xr:uid="{00000000-0005-0000-0000-0000E6470000}"/>
    <cellStyle name="Normal 4 19 3 7" xfId="32028" xr:uid="{00000000-0005-0000-0000-0000E7470000}"/>
    <cellStyle name="Normal 4 19 4" xfId="15320" xr:uid="{00000000-0005-0000-0000-0000E8470000}"/>
    <cellStyle name="Normal 4 19 4 2" xfId="15321" xr:uid="{00000000-0005-0000-0000-0000E9470000}"/>
    <cellStyle name="Normal 4 19 4 2 2" xfId="15322" xr:uid="{00000000-0005-0000-0000-0000EA470000}"/>
    <cellStyle name="Normal 4 19 4 2 2 2" xfId="32040" xr:uid="{00000000-0005-0000-0000-0000EB470000}"/>
    <cellStyle name="Normal 4 19 4 2 3" xfId="15323" xr:uid="{00000000-0005-0000-0000-0000EC470000}"/>
    <cellStyle name="Normal 4 19 4 2 3 2" xfId="32041" xr:uid="{00000000-0005-0000-0000-0000ED470000}"/>
    <cellStyle name="Normal 4 19 4 2 4" xfId="15324" xr:uid="{00000000-0005-0000-0000-0000EE470000}"/>
    <cellStyle name="Normal 4 19 4 2 4 2" xfId="32042" xr:uid="{00000000-0005-0000-0000-0000EF470000}"/>
    <cellStyle name="Normal 4 19 4 2 5" xfId="15325" xr:uid="{00000000-0005-0000-0000-0000F0470000}"/>
    <cellStyle name="Normal 4 19 4 2 5 2" xfId="32043" xr:uid="{00000000-0005-0000-0000-0000F1470000}"/>
    <cellStyle name="Normal 4 19 4 2 6" xfId="32039" xr:uid="{00000000-0005-0000-0000-0000F2470000}"/>
    <cellStyle name="Normal 4 19 4 3" xfId="15326" xr:uid="{00000000-0005-0000-0000-0000F3470000}"/>
    <cellStyle name="Normal 4 19 4 3 2" xfId="32044" xr:uid="{00000000-0005-0000-0000-0000F4470000}"/>
    <cellStyle name="Normal 4 19 4 4" xfId="15327" xr:uid="{00000000-0005-0000-0000-0000F5470000}"/>
    <cellStyle name="Normal 4 19 4 4 2" xfId="32045" xr:uid="{00000000-0005-0000-0000-0000F6470000}"/>
    <cellStyle name="Normal 4 19 4 5" xfId="15328" xr:uid="{00000000-0005-0000-0000-0000F7470000}"/>
    <cellStyle name="Normal 4 19 4 5 2" xfId="32046" xr:uid="{00000000-0005-0000-0000-0000F8470000}"/>
    <cellStyle name="Normal 4 19 4 6" xfId="15329" xr:uid="{00000000-0005-0000-0000-0000F9470000}"/>
    <cellStyle name="Normal 4 19 4 6 2" xfId="32047" xr:uid="{00000000-0005-0000-0000-0000FA470000}"/>
    <cellStyle name="Normal 4 19 4 7" xfId="32038" xr:uid="{00000000-0005-0000-0000-0000FB470000}"/>
    <cellStyle name="Normal 4 19 5" xfId="15330" xr:uid="{00000000-0005-0000-0000-0000FC470000}"/>
    <cellStyle name="Normal 4 19 5 2" xfId="15331" xr:uid="{00000000-0005-0000-0000-0000FD470000}"/>
    <cellStyle name="Normal 4 19 5 2 2" xfId="32049" xr:uid="{00000000-0005-0000-0000-0000FE470000}"/>
    <cellStyle name="Normal 4 19 5 3" xfId="15332" xr:uid="{00000000-0005-0000-0000-0000FF470000}"/>
    <cellStyle name="Normal 4 19 5 3 2" xfId="32050" xr:uid="{00000000-0005-0000-0000-000000480000}"/>
    <cellStyle name="Normal 4 19 5 4" xfId="15333" xr:uid="{00000000-0005-0000-0000-000001480000}"/>
    <cellStyle name="Normal 4 19 5 4 2" xfId="32051" xr:uid="{00000000-0005-0000-0000-000002480000}"/>
    <cellStyle name="Normal 4 19 5 5" xfId="15334" xr:uid="{00000000-0005-0000-0000-000003480000}"/>
    <cellStyle name="Normal 4 19 5 5 2" xfId="32052" xr:uid="{00000000-0005-0000-0000-000004480000}"/>
    <cellStyle name="Normal 4 19 5 6" xfId="32048" xr:uid="{00000000-0005-0000-0000-000005480000}"/>
    <cellStyle name="Normal 4 19 6" xfId="15335" xr:uid="{00000000-0005-0000-0000-000006480000}"/>
    <cellStyle name="Normal 4 19 6 2" xfId="15336" xr:uid="{00000000-0005-0000-0000-000007480000}"/>
    <cellStyle name="Normal 4 19 6 2 2" xfId="32054" xr:uid="{00000000-0005-0000-0000-000008480000}"/>
    <cellStyle name="Normal 4 19 6 3" xfId="15337" xr:uid="{00000000-0005-0000-0000-000009480000}"/>
    <cellStyle name="Normal 4 19 6 3 2" xfId="32055" xr:uid="{00000000-0005-0000-0000-00000A480000}"/>
    <cellStyle name="Normal 4 19 6 4" xfId="15338" xr:uid="{00000000-0005-0000-0000-00000B480000}"/>
    <cellStyle name="Normal 4 19 6 4 2" xfId="32056" xr:uid="{00000000-0005-0000-0000-00000C480000}"/>
    <cellStyle name="Normal 4 19 6 5" xfId="15339" xr:uid="{00000000-0005-0000-0000-00000D480000}"/>
    <cellStyle name="Normal 4 19 6 5 2" xfId="32057" xr:uid="{00000000-0005-0000-0000-00000E480000}"/>
    <cellStyle name="Normal 4 19 6 6" xfId="32053" xr:uid="{00000000-0005-0000-0000-00000F480000}"/>
    <cellStyle name="Normal 4 19 7" xfId="15340" xr:uid="{00000000-0005-0000-0000-000010480000}"/>
    <cellStyle name="Normal 4 19 7 2" xfId="15341" xr:uid="{00000000-0005-0000-0000-000011480000}"/>
    <cellStyle name="Normal 4 19 7 2 2" xfId="32059" xr:uid="{00000000-0005-0000-0000-000012480000}"/>
    <cellStyle name="Normal 4 19 7 3" xfId="15342" xr:uid="{00000000-0005-0000-0000-000013480000}"/>
    <cellStyle name="Normal 4 19 7 3 2" xfId="32060" xr:uid="{00000000-0005-0000-0000-000014480000}"/>
    <cellStyle name="Normal 4 19 7 4" xfId="15343" xr:uid="{00000000-0005-0000-0000-000015480000}"/>
    <cellStyle name="Normal 4 19 7 4 2" xfId="32061" xr:uid="{00000000-0005-0000-0000-000016480000}"/>
    <cellStyle name="Normal 4 19 7 5" xfId="15344" xr:uid="{00000000-0005-0000-0000-000017480000}"/>
    <cellStyle name="Normal 4 19 7 5 2" xfId="32062" xr:uid="{00000000-0005-0000-0000-000018480000}"/>
    <cellStyle name="Normal 4 19 7 6" xfId="32058" xr:uid="{00000000-0005-0000-0000-000019480000}"/>
    <cellStyle name="Normal 4 19 8" xfId="15345" xr:uid="{00000000-0005-0000-0000-00001A480000}"/>
    <cellStyle name="Normal 4 19 8 2" xfId="15346" xr:uid="{00000000-0005-0000-0000-00001B480000}"/>
    <cellStyle name="Normal 4 19 8 2 2" xfId="32064" xr:uid="{00000000-0005-0000-0000-00001C480000}"/>
    <cellStyle name="Normal 4 19 8 3" xfId="15347" xr:uid="{00000000-0005-0000-0000-00001D480000}"/>
    <cellStyle name="Normal 4 19 8 3 2" xfId="32065" xr:uid="{00000000-0005-0000-0000-00001E480000}"/>
    <cellStyle name="Normal 4 19 8 4" xfId="15348" xr:uid="{00000000-0005-0000-0000-00001F480000}"/>
    <cellStyle name="Normal 4 19 8 4 2" xfId="32066" xr:uid="{00000000-0005-0000-0000-000020480000}"/>
    <cellStyle name="Normal 4 19 8 5" xfId="15349" xr:uid="{00000000-0005-0000-0000-000021480000}"/>
    <cellStyle name="Normal 4 19 8 5 2" xfId="32067" xr:uid="{00000000-0005-0000-0000-000022480000}"/>
    <cellStyle name="Normal 4 19 8 6" xfId="32063" xr:uid="{00000000-0005-0000-0000-000023480000}"/>
    <cellStyle name="Normal 4 19 9" xfId="15350" xr:uid="{00000000-0005-0000-0000-000024480000}"/>
    <cellStyle name="Normal 4 19 9 2" xfId="15351" xr:uid="{00000000-0005-0000-0000-000025480000}"/>
    <cellStyle name="Normal 4 19 9 2 2" xfId="32069" xr:uid="{00000000-0005-0000-0000-000026480000}"/>
    <cellStyle name="Normal 4 19 9 3" xfId="15352" xr:uid="{00000000-0005-0000-0000-000027480000}"/>
    <cellStyle name="Normal 4 19 9 3 2" xfId="32070" xr:uid="{00000000-0005-0000-0000-000028480000}"/>
    <cellStyle name="Normal 4 19 9 4" xfId="15353" xr:uid="{00000000-0005-0000-0000-000029480000}"/>
    <cellStyle name="Normal 4 19 9 4 2" xfId="32071" xr:uid="{00000000-0005-0000-0000-00002A480000}"/>
    <cellStyle name="Normal 4 19 9 5" xfId="15354" xr:uid="{00000000-0005-0000-0000-00002B480000}"/>
    <cellStyle name="Normal 4 19 9 5 2" xfId="32072" xr:uid="{00000000-0005-0000-0000-00002C480000}"/>
    <cellStyle name="Normal 4 19 9 6" xfId="32068" xr:uid="{00000000-0005-0000-0000-00002D480000}"/>
    <cellStyle name="Normal 4 2" xfId="15355" xr:uid="{00000000-0005-0000-0000-00002E480000}"/>
    <cellStyle name="Normal 4 2 10" xfId="15356" xr:uid="{00000000-0005-0000-0000-00002F480000}"/>
    <cellStyle name="Normal 4 2 11" xfId="15357" xr:uid="{00000000-0005-0000-0000-000030480000}"/>
    <cellStyle name="Normal 4 2 12" xfId="40691" xr:uid="{00000000-0005-0000-0000-000031480000}"/>
    <cellStyle name="Normal 4 2 2" xfId="15358" xr:uid="{00000000-0005-0000-0000-000032480000}"/>
    <cellStyle name="Normal 4 2 2 2" xfId="15359" xr:uid="{00000000-0005-0000-0000-000033480000}"/>
    <cellStyle name="Normal 4 2 2 2 2" xfId="40702" xr:uid="{00000000-0005-0000-0000-000034480000}"/>
    <cellStyle name="Normal 4 2 2 3" xfId="15360" xr:uid="{00000000-0005-0000-0000-000035480000}"/>
    <cellStyle name="Normal 4 2 2 3 2" xfId="41037" xr:uid="{00000000-0005-0000-0000-000036480000}"/>
    <cellStyle name="Normal 4 2 2 4" xfId="15361" xr:uid="{00000000-0005-0000-0000-000037480000}"/>
    <cellStyle name="Normal 4 2 2 5" xfId="15362" xr:uid="{00000000-0005-0000-0000-000038480000}"/>
    <cellStyle name="Normal 4 2 2 6" xfId="15363" xr:uid="{00000000-0005-0000-0000-000039480000}"/>
    <cellStyle name="Normal 4 2 2 7" xfId="15364" xr:uid="{00000000-0005-0000-0000-00003A480000}"/>
    <cellStyle name="Normal 4 2 3" xfId="15365" xr:uid="{00000000-0005-0000-0000-00003B480000}"/>
    <cellStyle name="Normal 4 2 3 2" xfId="41036" xr:uid="{00000000-0005-0000-0000-00003C480000}"/>
    <cellStyle name="Normal 4 2 4" xfId="15366" xr:uid="{00000000-0005-0000-0000-00003D480000}"/>
    <cellStyle name="Normal 4 2 5" xfId="15367" xr:uid="{00000000-0005-0000-0000-00003E480000}"/>
    <cellStyle name="Normal 4 2 6" xfId="15368" xr:uid="{00000000-0005-0000-0000-00003F480000}"/>
    <cellStyle name="Normal 4 2 7" xfId="15369" xr:uid="{00000000-0005-0000-0000-000040480000}"/>
    <cellStyle name="Normal 4 2 8" xfId="15370" xr:uid="{00000000-0005-0000-0000-000041480000}"/>
    <cellStyle name="Normal 4 2 9" xfId="15371" xr:uid="{00000000-0005-0000-0000-000042480000}"/>
    <cellStyle name="Normal 4 20" xfId="15372" xr:uid="{00000000-0005-0000-0000-000043480000}"/>
    <cellStyle name="Normal 4 20 10" xfId="15373" xr:uid="{00000000-0005-0000-0000-000044480000}"/>
    <cellStyle name="Normal 4 20 10 2" xfId="15374" xr:uid="{00000000-0005-0000-0000-000045480000}"/>
    <cellStyle name="Normal 4 20 10 2 2" xfId="32075" xr:uid="{00000000-0005-0000-0000-000046480000}"/>
    <cellStyle name="Normal 4 20 10 3" xfId="15375" xr:uid="{00000000-0005-0000-0000-000047480000}"/>
    <cellStyle name="Normal 4 20 10 3 2" xfId="32076" xr:uid="{00000000-0005-0000-0000-000048480000}"/>
    <cellStyle name="Normal 4 20 10 4" xfId="15376" xr:uid="{00000000-0005-0000-0000-000049480000}"/>
    <cellStyle name="Normal 4 20 10 4 2" xfId="32077" xr:uid="{00000000-0005-0000-0000-00004A480000}"/>
    <cellStyle name="Normal 4 20 10 5" xfId="15377" xr:uid="{00000000-0005-0000-0000-00004B480000}"/>
    <cellStyle name="Normal 4 20 10 5 2" xfId="32078" xr:uid="{00000000-0005-0000-0000-00004C480000}"/>
    <cellStyle name="Normal 4 20 10 6" xfId="32074" xr:uid="{00000000-0005-0000-0000-00004D480000}"/>
    <cellStyle name="Normal 4 20 11" xfId="15378" xr:uid="{00000000-0005-0000-0000-00004E480000}"/>
    <cellStyle name="Normal 4 20 11 2" xfId="15379" xr:uid="{00000000-0005-0000-0000-00004F480000}"/>
    <cellStyle name="Normal 4 20 11 2 2" xfId="32080" xr:uid="{00000000-0005-0000-0000-000050480000}"/>
    <cellStyle name="Normal 4 20 11 3" xfId="15380" xr:uid="{00000000-0005-0000-0000-000051480000}"/>
    <cellStyle name="Normal 4 20 11 3 2" xfId="32081" xr:uid="{00000000-0005-0000-0000-000052480000}"/>
    <cellStyle name="Normal 4 20 11 4" xfId="15381" xr:uid="{00000000-0005-0000-0000-000053480000}"/>
    <cellStyle name="Normal 4 20 11 4 2" xfId="32082" xr:uid="{00000000-0005-0000-0000-000054480000}"/>
    <cellStyle name="Normal 4 20 11 5" xfId="15382" xr:uid="{00000000-0005-0000-0000-000055480000}"/>
    <cellStyle name="Normal 4 20 11 5 2" xfId="32083" xr:uid="{00000000-0005-0000-0000-000056480000}"/>
    <cellStyle name="Normal 4 20 11 6" xfId="32079" xr:uid="{00000000-0005-0000-0000-000057480000}"/>
    <cellStyle name="Normal 4 20 12" xfId="15383" xr:uid="{00000000-0005-0000-0000-000058480000}"/>
    <cellStyle name="Normal 4 20 12 2" xfId="15384" xr:uid="{00000000-0005-0000-0000-000059480000}"/>
    <cellStyle name="Normal 4 20 12 2 2" xfId="32085" xr:uid="{00000000-0005-0000-0000-00005A480000}"/>
    <cellStyle name="Normal 4 20 12 3" xfId="15385" xr:uid="{00000000-0005-0000-0000-00005B480000}"/>
    <cellStyle name="Normal 4 20 12 3 2" xfId="32086" xr:uid="{00000000-0005-0000-0000-00005C480000}"/>
    <cellStyle name="Normal 4 20 12 4" xfId="15386" xr:uid="{00000000-0005-0000-0000-00005D480000}"/>
    <cellStyle name="Normal 4 20 12 4 2" xfId="32087" xr:uid="{00000000-0005-0000-0000-00005E480000}"/>
    <cellStyle name="Normal 4 20 12 5" xfId="15387" xr:uid="{00000000-0005-0000-0000-00005F480000}"/>
    <cellStyle name="Normal 4 20 12 5 2" xfId="32088" xr:uid="{00000000-0005-0000-0000-000060480000}"/>
    <cellStyle name="Normal 4 20 12 6" xfId="32084" xr:uid="{00000000-0005-0000-0000-000061480000}"/>
    <cellStyle name="Normal 4 20 13" xfId="15388" xr:uid="{00000000-0005-0000-0000-000062480000}"/>
    <cellStyle name="Normal 4 20 13 2" xfId="15389" xr:uid="{00000000-0005-0000-0000-000063480000}"/>
    <cellStyle name="Normal 4 20 13 2 2" xfId="32090" xr:uid="{00000000-0005-0000-0000-000064480000}"/>
    <cellStyle name="Normal 4 20 13 3" xfId="15390" xr:uid="{00000000-0005-0000-0000-000065480000}"/>
    <cellStyle name="Normal 4 20 13 3 2" xfId="32091" xr:uid="{00000000-0005-0000-0000-000066480000}"/>
    <cellStyle name="Normal 4 20 13 4" xfId="15391" xr:uid="{00000000-0005-0000-0000-000067480000}"/>
    <cellStyle name="Normal 4 20 13 4 2" xfId="32092" xr:uid="{00000000-0005-0000-0000-000068480000}"/>
    <cellStyle name="Normal 4 20 13 5" xfId="15392" xr:uid="{00000000-0005-0000-0000-000069480000}"/>
    <cellStyle name="Normal 4 20 13 5 2" xfId="32093" xr:uid="{00000000-0005-0000-0000-00006A480000}"/>
    <cellStyle name="Normal 4 20 13 6" xfId="32089" xr:uid="{00000000-0005-0000-0000-00006B480000}"/>
    <cellStyle name="Normal 4 20 14" xfId="15393" xr:uid="{00000000-0005-0000-0000-00006C480000}"/>
    <cellStyle name="Normal 4 20 14 2" xfId="15394" xr:uid="{00000000-0005-0000-0000-00006D480000}"/>
    <cellStyle name="Normal 4 20 14 2 2" xfId="32095" xr:uid="{00000000-0005-0000-0000-00006E480000}"/>
    <cellStyle name="Normal 4 20 14 3" xfId="15395" xr:uid="{00000000-0005-0000-0000-00006F480000}"/>
    <cellStyle name="Normal 4 20 14 3 2" xfId="32096" xr:uid="{00000000-0005-0000-0000-000070480000}"/>
    <cellStyle name="Normal 4 20 14 4" xfId="15396" xr:uid="{00000000-0005-0000-0000-000071480000}"/>
    <cellStyle name="Normal 4 20 14 4 2" xfId="32097" xr:uid="{00000000-0005-0000-0000-000072480000}"/>
    <cellStyle name="Normal 4 20 14 5" xfId="15397" xr:uid="{00000000-0005-0000-0000-000073480000}"/>
    <cellStyle name="Normal 4 20 14 5 2" xfId="32098" xr:uid="{00000000-0005-0000-0000-000074480000}"/>
    <cellStyle name="Normal 4 20 14 6" xfId="32094" xr:uid="{00000000-0005-0000-0000-000075480000}"/>
    <cellStyle name="Normal 4 20 15" xfId="15398" xr:uid="{00000000-0005-0000-0000-000076480000}"/>
    <cellStyle name="Normal 4 20 15 2" xfId="15399" xr:uid="{00000000-0005-0000-0000-000077480000}"/>
    <cellStyle name="Normal 4 20 15 2 2" xfId="32100" xr:uid="{00000000-0005-0000-0000-000078480000}"/>
    <cellStyle name="Normal 4 20 15 3" xfId="15400" xr:uid="{00000000-0005-0000-0000-000079480000}"/>
    <cellStyle name="Normal 4 20 15 3 2" xfId="32101" xr:uid="{00000000-0005-0000-0000-00007A480000}"/>
    <cellStyle name="Normal 4 20 15 4" xfId="15401" xr:uid="{00000000-0005-0000-0000-00007B480000}"/>
    <cellStyle name="Normal 4 20 15 4 2" xfId="32102" xr:uid="{00000000-0005-0000-0000-00007C480000}"/>
    <cellStyle name="Normal 4 20 15 5" xfId="15402" xr:uid="{00000000-0005-0000-0000-00007D480000}"/>
    <cellStyle name="Normal 4 20 15 5 2" xfId="32103" xr:uid="{00000000-0005-0000-0000-00007E480000}"/>
    <cellStyle name="Normal 4 20 15 6" xfId="32099" xr:uid="{00000000-0005-0000-0000-00007F480000}"/>
    <cellStyle name="Normal 4 20 16" xfId="15403" xr:uid="{00000000-0005-0000-0000-000080480000}"/>
    <cellStyle name="Normal 4 20 16 2" xfId="32104" xr:uid="{00000000-0005-0000-0000-000081480000}"/>
    <cellStyle name="Normal 4 20 17" xfId="15404" xr:uid="{00000000-0005-0000-0000-000082480000}"/>
    <cellStyle name="Normal 4 20 17 2" xfId="32105" xr:uid="{00000000-0005-0000-0000-000083480000}"/>
    <cellStyle name="Normal 4 20 18" xfId="15405" xr:uid="{00000000-0005-0000-0000-000084480000}"/>
    <cellStyle name="Normal 4 20 18 2" xfId="32106" xr:uid="{00000000-0005-0000-0000-000085480000}"/>
    <cellStyle name="Normal 4 20 19" xfId="15406" xr:uid="{00000000-0005-0000-0000-000086480000}"/>
    <cellStyle name="Normal 4 20 19 2" xfId="32107" xr:uid="{00000000-0005-0000-0000-000087480000}"/>
    <cellStyle name="Normal 4 20 2" xfId="15407" xr:uid="{00000000-0005-0000-0000-000088480000}"/>
    <cellStyle name="Normal 4 20 2 2" xfId="15408" xr:uid="{00000000-0005-0000-0000-000089480000}"/>
    <cellStyle name="Normal 4 20 2 2 2" xfId="15409" xr:uid="{00000000-0005-0000-0000-00008A480000}"/>
    <cellStyle name="Normal 4 20 2 2 2 2" xfId="32110" xr:uid="{00000000-0005-0000-0000-00008B480000}"/>
    <cellStyle name="Normal 4 20 2 2 3" xfId="15410" xr:uid="{00000000-0005-0000-0000-00008C480000}"/>
    <cellStyle name="Normal 4 20 2 2 3 2" xfId="32111" xr:uid="{00000000-0005-0000-0000-00008D480000}"/>
    <cellStyle name="Normal 4 20 2 2 4" xfId="15411" xr:uid="{00000000-0005-0000-0000-00008E480000}"/>
    <cellStyle name="Normal 4 20 2 2 4 2" xfId="32112" xr:uid="{00000000-0005-0000-0000-00008F480000}"/>
    <cellStyle name="Normal 4 20 2 2 5" xfId="15412" xr:uid="{00000000-0005-0000-0000-000090480000}"/>
    <cellStyle name="Normal 4 20 2 2 5 2" xfId="32113" xr:uid="{00000000-0005-0000-0000-000091480000}"/>
    <cellStyle name="Normal 4 20 2 2 6" xfId="32109" xr:uid="{00000000-0005-0000-0000-000092480000}"/>
    <cellStyle name="Normal 4 20 2 3" xfId="15413" xr:uid="{00000000-0005-0000-0000-000093480000}"/>
    <cellStyle name="Normal 4 20 2 3 2" xfId="32114" xr:uid="{00000000-0005-0000-0000-000094480000}"/>
    <cellStyle name="Normal 4 20 2 4" xfId="15414" xr:uid="{00000000-0005-0000-0000-000095480000}"/>
    <cellStyle name="Normal 4 20 2 4 2" xfId="32115" xr:uid="{00000000-0005-0000-0000-000096480000}"/>
    <cellStyle name="Normal 4 20 2 5" xfId="15415" xr:uid="{00000000-0005-0000-0000-000097480000}"/>
    <cellStyle name="Normal 4 20 2 5 2" xfId="32116" xr:uid="{00000000-0005-0000-0000-000098480000}"/>
    <cellStyle name="Normal 4 20 2 6" xfId="15416" xr:uid="{00000000-0005-0000-0000-000099480000}"/>
    <cellStyle name="Normal 4 20 2 6 2" xfId="32117" xr:uid="{00000000-0005-0000-0000-00009A480000}"/>
    <cellStyle name="Normal 4 20 2 7" xfId="32108" xr:uid="{00000000-0005-0000-0000-00009B480000}"/>
    <cellStyle name="Normal 4 20 20" xfId="40703" xr:uid="{00000000-0005-0000-0000-00009C480000}"/>
    <cellStyle name="Normal 4 20 21" xfId="32073" xr:uid="{00000000-0005-0000-0000-00009D480000}"/>
    <cellStyle name="Normal 4 20 3" xfId="15417" xr:uid="{00000000-0005-0000-0000-00009E480000}"/>
    <cellStyle name="Normal 4 20 3 2" xfId="15418" xr:uid="{00000000-0005-0000-0000-00009F480000}"/>
    <cellStyle name="Normal 4 20 3 2 2" xfId="15419" xr:uid="{00000000-0005-0000-0000-0000A0480000}"/>
    <cellStyle name="Normal 4 20 3 2 2 2" xfId="32120" xr:uid="{00000000-0005-0000-0000-0000A1480000}"/>
    <cellStyle name="Normal 4 20 3 2 3" xfId="15420" xr:uid="{00000000-0005-0000-0000-0000A2480000}"/>
    <cellStyle name="Normal 4 20 3 2 3 2" xfId="32121" xr:uid="{00000000-0005-0000-0000-0000A3480000}"/>
    <cellStyle name="Normal 4 20 3 2 4" xfId="15421" xr:uid="{00000000-0005-0000-0000-0000A4480000}"/>
    <cellStyle name="Normal 4 20 3 2 4 2" xfId="32122" xr:uid="{00000000-0005-0000-0000-0000A5480000}"/>
    <cellStyle name="Normal 4 20 3 2 5" xfId="15422" xr:uid="{00000000-0005-0000-0000-0000A6480000}"/>
    <cellStyle name="Normal 4 20 3 2 5 2" xfId="32123" xr:uid="{00000000-0005-0000-0000-0000A7480000}"/>
    <cellStyle name="Normal 4 20 3 2 6" xfId="32119" xr:uid="{00000000-0005-0000-0000-0000A8480000}"/>
    <cellStyle name="Normal 4 20 3 3" xfId="15423" xr:uid="{00000000-0005-0000-0000-0000A9480000}"/>
    <cellStyle name="Normal 4 20 3 3 2" xfId="32124" xr:uid="{00000000-0005-0000-0000-0000AA480000}"/>
    <cellStyle name="Normal 4 20 3 4" xfId="15424" xr:uid="{00000000-0005-0000-0000-0000AB480000}"/>
    <cellStyle name="Normal 4 20 3 4 2" xfId="32125" xr:uid="{00000000-0005-0000-0000-0000AC480000}"/>
    <cellStyle name="Normal 4 20 3 5" xfId="15425" xr:uid="{00000000-0005-0000-0000-0000AD480000}"/>
    <cellStyle name="Normal 4 20 3 5 2" xfId="32126" xr:uid="{00000000-0005-0000-0000-0000AE480000}"/>
    <cellStyle name="Normal 4 20 3 6" xfId="15426" xr:uid="{00000000-0005-0000-0000-0000AF480000}"/>
    <cellStyle name="Normal 4 20 3 6 2" xfId="32127" xr:uid="{00000000-0005-0000-0000-0000B0480000}"/>
    <cellStyle name="Normal 4 20 3 7" xfId="32118" xr:uid="{00000000-0005-0000-0000-0000B1480000}"/>
    <cellStyle name="Normal 4 20 4" xfId="15427" xr:uid="{00000000-0005-0000-0000-0000B2480000}"/>
    <cellStyle name="Normal 4 20 4 2" xfId="15428" xr:uid="{00000000-0005-0000-0000-0000B3480000}"/>
    <cellStyle name="Normal 4 20 4 2 2" xfId="15429" xr:uid="{00000000-0005-0000-0000-0000B4480000}"/>
    <cellStyle name="Normal 4 20 4 2 2 2" xfId="32130" xr:uid="{00000000-0005-0000-0000-0000B5480000}"/>
    <cellStyle name="Normal 4 20 4 2 3" xfId="15430" xr:uid="{00000000-0005-0000-0000-0000B6480000}"/>
    <cellStyle name="Normal 4 20 4 2 3 2" xfId="32131" xr:uid="{00000000-0005-0000-0000-0000B7480000}"/>
    <cellStyle name="Normal 4 20 4 2 4" xfId="15431" xr:uid="{00000000-0005-0000-0000-0000B8480000}"/>
    <cellStyle name="Normal 4 20 4 2 4 2" xfId="32132" xr:uid="{00000000-0005-0000-0000-0000B9480000}"/>
    <cellStyle name="Normal 4 20 4 2 5" xfId="15432" xr:uid="{00000000-0005-0000-0000-0000BA480000}"/>
    <cellStyle name="Normal 4 20 4 2 5 2" xfId="32133" xr:uid="{00000000-0005-0000-0000-0000BB480000}"/>
    <cellStyle name="Normal 4 20 4 2 6" xfId="32129" xr:uid="{00000000-0005-0000-0000-0000BC480000}"/>
    <cellStyle name="Normal 4 20 4 3" xfId="15433" xr:uid="{00000000-0005-0000-0000-0000BD480000}"/>
    <cellStyle name="Normal 4 20 4 3 2" xfId="32134" xr:uid="{00000000-0005-0000-0000-0000BE480000}"/>
    <cellStyle name="Normal 4 20 4 4" xfId="15434" xr:uid="{00000000-0005-0000-0000-0000BF480000}"/>
    <cellStyle name="Normal 4 20 4 4 2" xfId="32135" xr:uid="{00000000-0005-0000-0000-0000C0480000}"/>
    <cellStyle name="Normal 4 20 4 5" xfId="15435" xr:uid="{00000000-0005-0000-0000-0000C1480000}"/>
    <cellStyle name="Normal 4 20 4 5 2" xfId="32136" xr:uid="{00000000-0005-0000-0000-0000C2480000}"/>
    <cellStyle name="Normal 4 20 4 6" xfId="15436" xr:uid="{00000000-0005-0000-0000-0000C3480000}"/>
    <cellStyle name="Normal 4 20 4 6 2" xfId="32137" xr:uid="{00000000-0005-0000-0000-0000C4480000}"/>
    <cellStyle name="Normal 4 20 4 7" xfId="32128" xr:uid="{00000000-0005-0000-0000-0000C5480000}"/>
    <cellStyle name="Normal 4 20 5" xfId="15437" xr:uid="{00000000-0005-0000-0000-0000C6480000}"/>
    <cellStyle name="Normal 4 20 5 2" xfId="15438" xr:uid="{00000000-0005-0000-0000-0000C7480000}"/>
    <cellStyle name="Normal 4 20 5 2 2" xfId="32139" xr:uid="{00000000-0005-0000-0000-0000C8480000}"/>
    <cellStyle name="Normal 4 20 5 3" xfId="15439" xr:uid="{00000000-0005-0000-0000-0000C9480000}"/>
    <cellStyle name="Normal 4 20 5 3 2" xfId="32140" xr:uid="{00000000-0005-0000-0000-0000CA480000}"/>
    <cellStyle name="Normal 4 20 5 4" xfId="15440" xr:uid="{00000000-0005-0000-0000-0000CB480000}"/>
    <cellStyle name="Normal 4 20 5 4 2" xfId="32141" xr:uid="{00000000-0005-0000-0000-0000CC480000}"/>
    <cellStyle name="Normal 4 20 5 5" xfId="15441" xr:uid="{00000000-0005-0000-0000-0000CD480000}"/>
    <cellStyle name="Normal 4 20 5 5 2" xfId="32142" xr:uid="{00000000-0005-0000-0000-0000CE480000}"/>
    <cellStyle name="Normal 4 20 5 6" xfId="32138" xr:uid="{00000000-0005-0000-0000-0000CF480000}"/>
    <cellStyle name="Normal 4 20 6" xfId="15442" xr:uid="{00000000-0005-0000-0000-0000D0480000}"/>
    <cellStyle name="Normal 4 20 6 2" xfId="15443" xr:uid="{00000000-0005-0000-0000-0000D1480000}"/>
    <cellStyle name="Normal 4 20 6 2 2" xfId="32144" xr:uid="{00000000-0005-0000-0000-0000D2480000}"/>
    <cellStyle name="Normal 4 20 6 3" xfId="15444" xr:uid="{00000000-0005-0000-0000-0000D3480000}"/>
    <cellStyle name="Normal 4 20 6 3 2" xfId="32145" xr:uid="{00000000-0005-0000-0000-0000D4480000}"/>
    <cellStyle name="Normal 4 20 6 4" xfId="15445" xr:uid="{00000000-0005-0000-0000-0000D5480000}"/>
    <cellStyle name="Normal 4 20 6 4 2" xfId="32146" xr:uid="{00000000-0005-0000-0000-0000D6480000}"/>
    <cellStyle name="Normal 4 20 6 5" xfId="15446" xr:uid="{00000000-0005-0000-0000-0000D7480000}"/>
    <cellStyle name="Normal 4 20 6 5 2" xfId="32147" xr:uid="{00000000-0005-0000-0000-0000D8480000}"/>
    <cellStyle name="Normal 4 20 6 6" xfId="32143" xr:uid="{00000000-0005-0000-0000-0000D9480000}"/>
    <cellStyle name="Normal 4 20 7" xfId="15447" xr:uid="{00000000-0005-0000-0000-0000DA480000}"/>
    <cellStyle name="Normal 4 20 7 2" xfId="15448" xr:uid="{00000000-0005-0000-0000-0000DB480000}"/>
    <cellStyle name="Normal 4 20 7 2 2" xfId="32149" xr:uid="{00000000-0005-0000-0000-0000DC480000}"/>
    <cellStyle name="Normal 4 20 7 3" xfId="15449" xr:uid="{00000000-0005-0000-0000-0000DD480000}"/>
    <cellStyle name="Normal 4 20 7 3 2" xfId="32150" xr:uid="{00000000-0005-0000-0000-0000DE480000}"/>
    <cellStyle name="Normal 4 20 7 4" xfId="15450" xr:uid="{00000000-0005-0000-0000-0000DF480000}"/>
    <cellStyle name="Normal 4 20 7 4 2" xfId="32151" xr:uid="{00000000-0005-0000-0000-0000E0480000}"/>
    <cellStyle name="Normal 4 20 7 5" xfId="15451" xr:uid="{00000000-0005-0000-0000-0000E1480000}"/>
    <cellStyle name="Normal 4 20 7 5 2" xfId="32152" xr:uid="{00000000-0005-0000-0000-0000E2480000}"/>
    <cellStyle name="Normal 4 20 7 6" xfId="32148" xr:uid="{00000000-0005-0000-0000-0000E3480000}"/>
    <cellStyle name="Normal 4 20 8" xfId="15452" xr:uid="{00000000-0005-0000-0000-0000E4480000}"/>
    <cellStyle name="Normal 4 20 8 2" xfId="15453" xr:uid="{00000000-0005-0000-0000-0000E5480000}"/>
    <cellStyle name="Normal 4 20 8 2 2" xfId="32154" xr:uid="{00000000-0005-0000-0000-0000E6480000}"/>
    <cellStyle name="Normal 4 20 8 3" xfId="15454" xr:uid="{00000000-0005-0000-0000-0000E7480000}"/>
    <cellStyle name="Normal 4 20 8 3 2" xfId="32155" xr:uid="{00000000-0005-0000-0000-0000E8480000}"/>
    <cellStyle name="Normal 4 20 8 4" xfId="15455" xr:uid="{00000000-0005-0000-0000-0000E9480000}"/>
    <cellStyle name="Normal 4 20 8 4 2" xfId="32156" xr:uid="{00000000-0005-0000-0000-0000EA480000}"/>
    <cellStyle name="Normal 4 20 8 5" xfId="15456" xr:uid="{00000000-0005-0000-0000-0000EB480000}"/>
    <cellStyle name="Normal 4 20 8 5 2" xfId="32157" xr:uid="{00000000-0005-0000-0000-0000EC480000}"/>
    <cellStyle name="Normal 4 20 8 6" xfId="32153" xr:uid="{00000000-0005-0000-0000-0000ED480000}"/>
    <cellStyle name="Normal 4 20 9" xfId="15457" xr:uid="{00000000-0005-0000-0000-0000EE480000}"/>
    <cellStyle name="Normal 4 20 9 2" xfId="15458" xr:uid="{00000000-0005-0000-0000-0000EF480000}"/>
    <cellStyle name="Normal 4 20 9 2 2" xfId="32159" xr:uid="{00000000-0005-0000-0000-0000F0480000}"/>
    <cellStyle name="Normal 4 20 9 3" xfId="15459" xr:uid="{00000000-0005-0000-0000-0000F1480000}"/>
    <cellStyle name="Normal 4 20 9 3 2" xfId="32160" xr:uid="{00000000-0005-0000-0000-0000F2480000}"/>
    <cellStyle name="Normal 4 20 9 4" xfId="15460" xr:uid="{00000000-0005-0000-0000-0000F3480000}"/>
    <cellStyle name="Normal 4 20 9 4 2" xfId="32161" xr:uid="{00000000-0005-0000-0000-0000F4480000}"/>
    <cellStyle name="Normal 4 20 9 5" xfId="15461" xr:uid="{00000000-0005-0000-0000-0000F5480000}"/>
    <cellStyle name="Normal 4 20 9 5 2" xfId="32162" xr:uid="{00000000-0005-0000-0000-0000F6480000}"/>
    <cellStyle name="Normal 4 20 9 6" xfId="32158" xr:uid="{00000000-0005-0000-0000-0000F7480000}"/>
    <cellStyle name="Normal 4 21" xfId="15462" xr:uid="{00000000-0005-0000-0000-0000F8480000}"/>
    <cellStyle name="Normal 4 21 10" xfId="15463" xr:uid="{00000000-0005-0000-0000-0000F9480000}"/>
    <cellStyle name="Normal 4 21 10 2" xfId="15464" xr:uid="{00000000-0005-0000-0000-0000FA480000}"/>
    <cellStyle name="Normal 4 21 10 2 2" xfId="32165" xr:uid="{00000000-0005-0000-0000-0000FB480000}"/>
    <cellStyle name="Normal 4 21 10 3" xfId="15465" xr:uid="{00000000-0005-0000-0000-0000FC480000}"/>
    <cellStyle name="Normal 4 21 10 3 2" xfId="32166" xr:uid="{00000000-0005-0000-0000-0000FD480000}"/>
    <cellStyle name="Normal 4 21 10 4" xfId="15466" xr:uid="{00000000-0005-0000-0000-0000FE480000}"/>
    <cellStyle name="Normal 4 21 10 4 2" xfId="32167" xr:uid="{00000000-0005-0000-0000-0000FF480000}"/>
    <cellStyle name="Normal 4 21 10 5" xfId="15467" xr:uid="{00000000-0005-0000-0000-000000490000}"/>
    <cellStyle name="Normal 4 21 10 5 2" xfId="32168" xr:uid="{00000000-0005-0000-0000-000001490000}"/>
    <cellStyle name="Normal 4 21 10 6" xfId="32164" xr:uid="{00000000-0005-0000-0000-000002490000}"/>
    <cellStyle name="Normal 4 21 11" xfId="15468" xr:uid="{00000000-0005-0000-0000-000003490000}"/>
    <cellStyle name="Normal 4 21 11 2" xfId="15469" xr:uid="{00000000-0005-0000-0000-000004490000}"/>
    <cellStyle name="Normal 4 21 11 2 2" xfId="32170" xr:uid="{00000000-0005-0000-0000-000005490000}"/>
    <cellStyle name="Normal 4 21 11 3" xfId="15470" xr:uid="{00000000-0005-0000-0000-000006490000}"/>
    <cellStyle name="Normal 4 21 11 3 2" xfId="32171" xr:uid="{00000000-0005-0000-0000-000007490000}"/>
    <cellStyle name="Normal 4 21 11 4" xfId="15471" xr:uid="{00000000-0005-0000-0000-000008490000}"/>
    <cellStyle name="Normal 4 21 11 4 2" xfId="32172" xr:uid="{00000000-0005-0000-0000-000009490000}"/>
    <cellStyle name="Normal 4 21 11 5" xfId="15472" xr:uid="{00000000-0005-0000-0000-00000A490000}"/>
    <cellStyle name="Normal 4 21 11 5 2" xfId="32173" xr:uid="{00000000-0005-0000-0000-00000B490000}"/>
    <cellStyle name="Normal 4 21 11 6" xfId="32169" xr:uid="{00000000-0005-0000-0000-00000C490000}"/>
    <cellStyle name="Normal 4 21 12" xfId="15473" xr:uid="{00000000-0005-0000-0000-00000D490000}"/>
    <cellStyle name="Normal 4 21 12 2" xfId="15474" xr:uid="{00000000-0005-0000-0000-00000E490000}"/>
    <cellStyle name="Normal 4 21 12 2 2" xfId="32175" xr:uid="{00000000-0005-0000-0000-00000F490000}"/>
    <cellStyle name="Normal 4 21 12 3" xfId="15475" xr:uid="{00000000-0005-0000-0000-000010490000}"/>
    <cellStyle name="Normal 4 21 12 3 2" xfId="32176" xr:uid="{00000000-0005-0000-0000-000011490000}"/>
    <cellStyle name="Normal 4 21 12 4" xfId="15476" xr:uid="{00000000-0005-0000-0000-000012490000}"/>
    <cellStyle name="Normal 4 21 12 4 2" xfId="32177" xr:uid="{00000000-0005-0000-0000-000013490000}"/>
    <cellStyle name="Normal 4 21 12 5" xfId="15477" xr:uid="{00000000-0005-0000-0000-000014490000}"/>
    <cellStyle name="Normal 4 21 12 5 2" xfId="32178" xr:uid="{00000000-0005-0000-0000-000015490000}"/>
    <cellStyle name="Normal 4 21 12 6" xfId="32174" xr:uid="{00000000-0005-0000-0000-000016490000}"/>
    <cellStyle name="Normal 4 21 13" xfId="15478" xr:uid="{00000000-0005-0000-0000-000017490000}"/>
    <cellStyle name="Normal 4 21 13 2" xfId="15479" xr:uid="{00000000-0005-0000-0000-000018490000}"/>
    <cellStyle name="Normal 4 21 13 2 2" xfId="32180" xr:uid="{00000000-0005-0000-0000-000019490000}"/>
    <cellStyle name="Normal 4 21 13 3" xfId="15480" xr:uid="{00000000-0005-0000-0000-00001A490000}"/>
    <cellStyle name="Normal 4 21 13 3 2" xfId="32181" xr:uid="{00000000-0005-0000-0000-00001B490000}"/>
    <cellStyle name="Normal 4 21 13 4" xfId="15481" xr:uid="{00000000-0005-0000-0000-00001C490000}"/>
    <cellStyle name="Normal 4 21 13 4 2" xfId="32182" xr:uid="{00000000-0005-0000-0000-00001D490000}"/>
    <cellStyle name="Normal 4 21 13 5" xfId="15482" xr:uid="{00000000-0005-0000-0000-00001E490000}"/>
    <cellStyle name="Normal 4 21 13 5 2" xfId="32183" xr:uid="{00000000-0005-0000-0000-00001F490000}"/>
    <cellStyle name="Normal 4 21 13 6" xfId="32179" xr:uid="{00000000-0005-0000-0000-000020490000}"/>
    <cellStyle name="Normal 4 21 14" xfId="15483" xr:uid="{00000000-0005-0000-0000-000021490000}"/>
    <cellStyle name="Normal 4 21 14 2" xfId="15484" xr:uid="{00000000-0005-0000-0000-000022490000}"/>
    <cellStyle name="Normal 4 21 14 2 2" xfId="32185" xr:uid="{00000000-0005-0000-0000-000023490000}"/>
    <cellStyle name="Normal 4 21 14 3" xfId="15485" xr:uid="{00000000-0005-0000-0000-000024490000}"/>
    <cellStyle name="Normal 4 21 14 3 2" xfId="32186" xr:uid="{00000000-0005-0000-0000-000025490000}"/>
    <cellStyle name="Normal 4 21 14 4" xfId="15486" xr:uid="{00000000-0005-0000-0000-000026490000}"/>
    <cellStyle name="Normal 4 21 14 4 2" xfId="32187" xr:uid="{00000000-0005-0000-0000-000027490000}"/>
    <cellStyle name="Normal 4 21 14 5" xfId="15487" xr:uid="{00000000-0005-0000-0000-000028490000}"/>
    <cellStyle name="Normal 4 21 14 5 2" xfId="32188" xr:uid="{00000000-0005-0000-0000-000029490000}"/>
    <cellStyle name="Normal 4 21 14 6" xfId="32184" xr:uid="{00000000-0005-0000-0000-00002A490000}"/>
    <cellStyle name="Normal 4 21 15" xfId="15488" xr:uid="{00000000-0005-0000-0000-00002B490000}"/>
    <cellStyle name="Normal 4 21 15 2" xfId="15489" xr:uid="{00000000-0005-0000-0000-00002C490000}"/>
    <cellStyle name="Normal 4 21 15 2 2" xfId="32190" xr:uid="{00000000-0005-0000-0000-00002D490000}"/>
    <cellStyle name="Normal 4 21 15 3" xfId="15490" xr:uid="{00000000-0005-0000-0000-00002E490000}"/>
    <cellStyle name="Normal 4 21 15 3 2" xfId="32191" xr:uid="{00000000-0005-0000-0000-00002F490000}"/>
    <cellStyle name="Normal 4 21 15 4" xfId="15491" xr:uid="{00000000-0005-0000-0000-000030490000}"/>
    <cellStyle name="Normal 4 21 15 4 2" xfId="32192" xr:uid="{00000000-0005-0000-0000-000031490000}"/>
    <cellStyle name="Normal 4 21 15 5" xfId="15492" xr:uid="{00000000-0005-0000-0000-000032490000}"/>
    <cellStyle name="Normal 4 21 15 5 2" xfId="32193" xr:uid="{00000000-0005-0000-0000-000033490000}"/>
    <cellStyle name="Normal 4 21 15 6" xfId="32189" xr:uid="{00000000-0005-0000-0000-000034490000}"/>
    <cellStyle name="Normal 4 21 16" xfId="15493" xr:uid="{00000000-0005-0000-0000-000035490000}"/>
    <cellStyle name="Normal 4 21 16 2" xfId="32194" xr:uid="{00000000-0005-0000-0000-000036490000}"/>
    <cellStyle name="Normal 4 21 17" xfId="15494" xr:uid="{00000000-0005-0000-0000-000037490000}"/>
    <cellStyle name="Normal 4 21 17 2" xfId="32195" xr:uid="{00000000-0005-0000-0000-000038490000}"/>
    <cellStyle name="Normal 4 21 18" xfId="15495" xr:uid="{00000000-0005-0000-0000-000039490000}"/>
    <cellStyle name="Normal 4 21 18 2" xfId="32196" xr:uid="{00000000-0005-0000-0000-00003A490000}"/>
    <cellStyle name="Normal 4 21 19" xfId="15496" xr:uid="{00000000-0005-0000-0000-00003B490000}"/>
    <cellStyle name="Normal 4 21 19 2" xfId="32197" xr:uid="{00000000-0005-0000-0000-00003C490000}"/>
    <cellStyle name="Normal 4 21 2" xfId="15497" xr:uid="{00000000-0005-0000-0000-00003D490000}"/>
    <cellStyle name="Normal 4 21 2 2" xfId="15498" xr:uid="{00000000-0005-0000-0000-00003E490000}"/>
    <cellStyle name="Normal 4 21 2 2 2" xfId="15499" xr:uid="{00000000-0005-0000-0000-00003F490000}"/>
    <cellStyle name="Normal 4 21 2 2 2 2" xfId="32200" xr:uid="{00000000-0005-0000-0000-000040490000}"/>
    <cellStyle name="Normal 4 21 2 2 3" xfId="15500" xr:uid="{00000000-0005-0000-0000-000041490000}"/>
    <cellStyle name="Normal 4 21 2 2 3 2" xfId="32201" xr:uid="{00000000-0005-0000-0000-000042490000}"/>
    <cellStyle name="Normal 4 21 2 2 4" xfId="15501" xr:uid="{00000000-0005-0000-0000-000043490000}"/>
    <cellStyle name="Normal 4 21 2 2 4 2" xfId="32202" xr:uid="{00000000-0005-0000-0000-000044490000}"/>
    <cellStyle name="Normal 4 21 2 2 5" xfId="15502" xr:uid="{00000000-0005-0000-0000-000045490000}"/>
    <cellStyle name="Normal 4 21 2 2 5 2" xfId="32203" xr:uid="{00000000-0005-0000-0000-000046490000}"/>
    <cellStyle name="Normal 4 21 2 2 6" xfId="32199" xr:uid="{00000000-0005-0000-0000-000047490000}"/>
    <cellStyle name="Normal 4 21 2 3" xfId="15503" xr:uid="{00000000-0005-0000-0000-000048490000}"/>
    <cellStyle name="Normal 4 21 2 3 2" xfId="32204" xr:uid="{00000000-0005-0000-0000-000049490000}"/>
    <cellStyle name="Normal 4 21 2 4" xfId="15504" xr:uid="{00000000-0005-0000-0000-00004A490000}"/>
    <cellStyle name="Normal 4 21 2 4 2" xfId="32205" xr:uid="{00000000-0005-0000-0000-00004B490000}"/>
    <cellStyle name="Normal 4 21 2 5" xfId="15505" xr:uid="{00000000-0005-0000-0000-00004C490000}"/>
    <cellStyle name="Normal 4 21 2 5 2" xfId="32206" xr:uid="{00000000-0005-0000-0000-00004D490000}"/>
    <cellStyle name="Normal 4 21 2 6" xfId="15506" xr:uid="{00000000-0005-0000-0000-00004E490000}"/>
    <cellStyle name="Normal 4 21 2 6 2" xfId="32207" xr:uid="{00000000-0005-0000-0000-00004F490000}"/>
    <cellStyle name="Normal 4 21 2 7" xfId="32198" xr:uid="{00000000-0005-0000-0000-000050490000}"/>
    <cellStyle name="Normal 4 21 20" xfId="41035" xr:uid="{00000000-0005-0000-0000-000051490000}"/>
    <cellStyle name="Normal 4 21 21" xfId="32163" xr:uid="{00000000-0005-0000-0000-000052490000}"/>
    <cellStyle name="Normal 4 21 3" xfId="15507" xr:uid="{00000000-0005-0000-0000-000053490000}"/>
    <cellStyle name="Normal 4 21 3 2" xfId="15508" xr:uid="{00000000-0005-0000-0000-000054490000}"/>
    <cellStyle name="Normal 4 21 3 2 2" xfId="15509" xr:uid="{00000000-0005-0000-0000-000055490000}"/>
    <cellStyle name="Normal 4 21 3 2 2 2" xfId="32210" xr:uid="{00000000-0005-0000-0000-000056490000}"/>
    <cellStyle name="Normal 4 21 3 2 3" xfId="15510" xr:uid="{00000000-0005-0000-0000-000057490000}"/>
    <cellStyle name="Normal 4 21 3 2 3 2" xfId="32211" xr:uid="{00000000-0005-0000-0000-000058490000}"/>
    <cellStyle name="Normal 4 21 3 2 4" xfId="15511" xr:uid="{00000000-0005-0000-0000-000059490000}"/>
    <cellStyle name="Normal 4 21 3 2 4 2" xfId="32212" xr:uid="{00000000-0005-0000-0000-00005A490000}"/>
    <cellStyle name="Normal 4 21 3 2 5" xfId="15512" xr:uid="{00000000-0005-0000-0000-00005B490000}"/>
    <cellStyle name="Normal 4 21 3 2 5 2" xfId="32213" xr:uid="{00000000-0005-0000-0000-00005C490000}"/>
    <cellStyle name="Normal 4 21 3 2 6" xfId="32209" xr:uid="{00000000-0005-0000-0000-00005D490000}"/>
    <cellStyle name="Normal 4 21 3 3" xfId="15513" xr:uid="{00000000-0005-0000-0000-00005E490000}"/>
    <cellStyle name="Normal 4 21 3 3 2" xfId="32214" xr:uid="{00000000-0005-0000-0000-00005F490000}"/>
    <cellStyle name="Normal 4 21 3 4" xfId="15514" xr:uid="{00000000-0005-0000-0000-000060490000}"/>
    <cellStyle name="Normal 4 21 3 4 2" xfId="32215" xr:uid="{00000000-0005-0000-0000-000061490000}"/>
    <cellStyle name="Normal 4 21 3 5" xfId="15515" xr:uid="{00000000-0005-0000-0000-000062490000}"/>
    <cellStyle name="Normal 4 21 3 5 2" xfId="32216" xr:uid="{00000000-0005-0000-0000-000063490000}"/>
    <cellStyle name="Normal 4 21 3 6" xfId="15516" xr:uid="{00000000-0005-0000-0000-000064490000}"/>
    <cellStyle name="Normal 4 21 3 6 2" xfId="32217" xr:uid="{00000000-0005-0000-0000-000065490000}"/>
    <cellStyle name="Normal 4 21 3 7" xfId="32208" xr:uid="{00000000-0005-0000-0000-000066490000}"/>
    <cellStyle name="Normal 4 21 4" xfId="15517" xr:uid="{00000000-0005-0000-0000-000067490000}"/>
    <cellStyle name="Normal 4 21 4 2" xfId="15518" xr:uid="{00000000-0005-0000-0000-000068490000}"/>
    <cellStyle name="Normal 4 21 4 2 2" xfId="15519" xr:uid="{00000000-0005-0000-0000-000069490000}"/>
    <cellStyle name="Normal 4 21 4 2 2 2" xfId="32220" xr:uid="{00000000-0005-0000-0000-00006A490000}"/>
    <cellStyle name="Normal 4 21 4 2 3" xfId="15520" xr:uid="{00000000-0005-0000-0000-00006B490000}"/>
    <cellStyle name="Normal 4 21 4 2 3 2" xfId="32221" xr:uid="{00000000-0005-0000-0000-00006C490000}"/>
    <cellStyle name="Normal 4 21 4 2 4" xfId="15521" xr:uid="{00000000-0005-0000-0000-00006D490000}"/>
    <cellStyle name="Normal 4 21 4 2 4 2" xfId="32222" xr:uid="{00000000-0005-0000-0000-00006E490000}"/>
    <cellStyle name="Normal 4 21 4 2 5" xfId="15522" xr:uid="{00000000-0005-0000-0000-00006F490000}"/>
    <cellStyle name="Normal 4 21 4 2 5 2" xfId="32223" xr:uid="{00000000-0005-0000-0000-000070490000}"/>
    <cellStyle name="Normal 4 21 4 2 6" xfId="32219" xr:uid="{00000000-0005-0000-0000-000071490000}"/>
    <cellStyle name="Normal 4 21 4 3" xfId="15523" xr:uid="{00000000-0005-0000-0000-000072490000}"/>
    <cellStyle name="Normal 4 21 4 3 2" xfId="32224" xr:uid="{00000000-0005-0000-0000-000073490000}"/>
    <cellStyle name="Normal 4 21 4 4" xfId="15524" xr:uid="{00000000-0005-0000-0000-000074490000}"/>
    <cellStyle name="Normal 4 21 4 4 2" xfId="32225" xr:uid="{00000000-0005-0000-0000-000075490000}"/>
    <cellStyle name="Normal 4 21 4 5" xfId="15525" xr:uid="{00000000-0005-0000-0000-000076490000}"/>
    <cellStyle name="Normal 4 21 4 5 2" xfId="32226" xr:uid="{00000000-0005-0000-0000-000077490000}"/>
    <cellStyle name="Normal 4 21 4 6" xfId="15526" xr:uid="{00000000-0005-0000-0000-000078490000}"/>
    <cellStyle name="Normal 4 21 4 6 2" xfId="32227" xr:uid="{00000000-0005-0000-0000-000079490000}"/>
    <cellStyle name="Normal 4 21 4 7" xfId="32218" xr:uid="{00000000-0005-0000-0000-00007A490000}"/>
    <cellStyle name="Normal 4 21 5" xfId="15527" xr:uid="{00000000-0005-0000-0000-00007B490000}"/>
    <cellStyle name="Normal 4 21 5 2" xfId="15528" xr:uid="{00000000-0005-0000-0000-00007C490000}"/>
    <cellStyle name="Normal 4 21 5 2 2" xfId="32229" xr:uid="{00000000-0005-0000-0000-00007D490000}"/>
    <cellStyle name="Normal 4 21 5 3" xfId="15529" xr:uid="{00000000-0005-0000-0000-00007E490000}"/>
    <cellStyle name="Normal 4 21 5 3 2" xfId="32230" xr:uid="{00000000-0005-0000-0000-00007F490000}"/>
    <cellStyle name="Normal 4 21 5 4" xfId="15530" xr:uid="{00000000-0005-0000-0000-000080490000}"/>
    <cellStyle name="Normal 4 21 5 4 2" xfId="32231" xr:uid="{00000000-0005-0000-0000-000081490000}"/>
    <cellStyle name="Normal 4 21 5 5" xfId="15531" xr:uid="{00000000-0005-0000-0000-000082490000}"/>
    <cellStyle name="Normal 4 21 5 5 2" xfId="32232" xr:uid="{00000000-0005-0000-0000-000083490000}"/>
    <cellStyle name="Normal 4 21 5 6" xfId="32228" xr:uid="{00000000-0005-0000-0000-000084490000}"/>
    <cellStyle name="Normal 4 21 6" xfId="15532" xr:uid="{00000000-0005-0000-0000-000085490000}"/>
    <cellStyle name="Normal 4 21 6 2" xfId="15533" xr:uid="{00000000-0005-0000-0000-000086490000}"/>
    <cellStyle name="Normal 4 21 6 2 2" xfId="32234" xr:uid="{00000000-0005-0000-0000-000087490000}"/>
    <cellStyle name="Normal 4 21 6 3" xfId="15534" xr:uid="{00000000-0005-0000-0000-000088490000}"/>
    <cellStyle name="Normal 4 21 6 3 2" xfId="32235" xr:uid="{00000000-0005-0000-0000-000089490000}"/>
    <cellStyle name="Normal 4 21 6 4" xfId="15535" xr:uid="{00000000-0005-0000-0000-00008A490000}"/>
    <cellStyle name="Normal 4 21 6 4 2" xfId="32236" xr:uid="{00000000-0005-0000-0000-00008B490000}"/>
    <cellStyle name="Normal 4 21 6 5" xfId="15536" xr:uid="{00000000-0005-0000-0000-00008C490000}"/>
    <cellStyle name="Normal 4 21 6 5 2" xfId="32237" xr:uid="{00000000-0005-0000-0000-00008D490000}"/>
    <cellStyle name="Normal 4 21 6 6" xfId="32233" xr:uid="{00000000-0005-0000-0000-00008E490000}"/>
    <cellStyle name="Normal 4 21 7" xfId="15537" xr:uid="{00000000-0005-0000-0000-00008F490000}"/>
    <cellStyle name="Normal 4 21 7 2" xfId="15538" xr:uid="{00000000-0005-0000-0000-000090490000}"/>
    <cellStyle name="Normal 4 21 7 2 2" xfId="32239" xr:uid="{00000000-0005-0000-0000-000091490000}"/>
    <cellStyle name="Normal 4 21 7 3" xfId="15539" xr:uid="{00000000-0005-0000-0000-000092490000}"/>
    <cellStyle name="Normal 4 21 7 3 2" xfId="32240" xr:uid="{00000000-0005-0000-0000-000093490000}"/>
    <cellStyle name="Normal 4 21 7 4" xfId="15540" xr:uid="{00000000-0005-0000-0000-000094490000}"/>
    <cellStyle name="Normal 4 21 7 4 2" xfId="32241" xr:uid="{00000000-0005-0000-0000-000095490000}"/>
    <cellStyle name="Normal 4 21 7 5" xfId="15541" xr:uid="{00000000-0005-0000-0000-000096490000}"/>
    <cellStyle name="Normal 4 21 7 5 2" xfId="32242" xr:uid="{00000000-0005-0000-0000-000097490000}"/>
    <cellStyle name="Normal 4 21 7 6" xfId="32238" xr:uid="{00000000-0005-0000-0000-000098490000}"/>
    <cellStyle name="Normal 4 21 8" xfId="15542" xr:uid="{00000000-0005-0000-0000-000099490000}"/>
    <cellStyle name="Normal 4 21 8 2" xfId="15543" xr:uid="{00000000-0005-0000-0000-00009A490000}"/>
    <cellStyle name="Normal 4 21 8 2 2" xfId="32244" xr:uid="{00000000-0005-0000-0000-00009B490000}"/>
    <cellStyle name="Normal 4 21 8 3" xfId="15544" xr:uid="{00000000-0005-0000-0000-00009C490000}"/>
    <cellStyle name="Normal 4 21 8 3 2" xfId="32245" xr:uid="{00000000-0005-0000-0000-00009D490000}"/>
    <cellStyle name="Normal 4 21 8 4" xfId="15545" xr:uid="{00000000-0005-0000-0000-00009E490000}"/>
    <cellStyle name="Normal 4 21 8 4 2" xfId="32246" xr:uid="{00000000-0005-0000-0000-00009F490000}"/>
    <cellStyle name="Normal 4 21 8 5" xfId="15546" xr:uid="{00000000-0005-0000-0000-0000A0490000}"/>
    <cellStyle name="Normal 4 21 8 5 2" xfId="32247" xr:uid="{00000000-0005-0000-0000-0000A1490000}"/>
    <cellStyle name="Normal 4 21 8 6" xfId="32243" xr:uid="{00000000-0005-0000-0000-0000A2490000}"/>
    <cellStyle name="Normal 4 21 9" xfId="15547" xr:uid="{00000000-0005-0000-0000-0000A3490000}"/>
    <cellStyle name="Normal 4 21 9 2" xfId="15548" xr:uid="{00000000-0005-0000-0000-0000A4490000}"/>
    <cellStyle name="Normal 4 21 9 2 2" xfId="32249" xr:uid="{00000000-0005-0000-0000-0000A5490000}"/>
    <cellStyle name="Normal 4 21 9 3" xfId="15549" xr:uid="{00000000-0005-0000-0000-0000A6490000}"/>
    <cellStyle name="Normal 4 21 9 3 2" xfId="32250" xr:uid="{00000000-0005-0000-0000-0000A7490000}"/>
    <cellStyle name="Normal 4 21 9 4" xfId="15550" xr:uid="{00000000-0005-0000-0000-0000A8490000}"/>
    <cellStyle name="Normal 4 21 9 4 2" xfId="32251" xr:uid="{00000000-0005-0000-0000-0000A9490000}"/>
    <cellStyle name="Normal 4 21 9 5" xfId="15551" xr:uid="{00000000-0005-0000-0000-0000AA490000}"/>
    <cellStyle name="Normal 4 21 9 5 2" xfId="32252" xr:uid="{00000000-0005-0000-0000-0000AB490000}"/>
    <cellStyle name="Normal 4 21 9 6" xfId="32248" xr:uid="{00000000-0005-0000-0000-0000AC490000}"/>
    <cellStyle name="Normal 4 22" xfId="15552" xr:uid="{00000000-0005-0000-0000-0000AD490000}"/>
    <cellStyle name="Normal 4 22 10" xfId="15553" xr:uid="{00000000-0005-0000-0000-0000AE490000}"/>
    <cellStyle name="Normal 4 22 10 2" xfId="15554" xr:uid="{00000000-0005-0000-0000-0000AF490000}"/>
    <cellStyle name="Normal 4 22 10 2 2" xfId="32255" xr:uid="{00000000-0005-0000-0000-0000B0490000}"/>
    <cellStyle name="Normal 4 22 10 3" xfId="15555" xr:uid="{00000000-0005-0000-0000-0000B1490000}"/>
    <cellStyle name="Normal 4 22 10 3 2" xfId="32256" xr:uid="{00000000-0005-0000-0000-0000B2490000}"/>
    <cellStyle name="Normal 4 22 10 4" xfId="15556" xr:uid="{00000000-0005-0000-0000-0000B3490000}"/>
    <cellStyle name="Normal 4 22 10 4 2" xfId="32257" xr:uid="{00000000-0005-0000-0000-0000B4490000}"/>
    <cellStyle name="Normal 4 22 10 5" xfId="15557" xr:uid="{00000000-0005-0000-0000-0000B5490000}"/>
    <cellStyle name="Normal 4 22 10 5 2" xfId="32258" xr:uid="{00000000-0005-0000-0000-0000B6490000}"/>
    <cellStyle name="Normal 4 22 10 6" xfId="32254" xr:uid="{00000000-0005-0000-0000-0000B7490000}"/>
    <cellStyle name="Normal 4 22 11" xfId="15558" xr:uid="{00000000-0005-0000-0000-0000B8490000}"/>
    <cellStyle name="Normal 4 22 11 2" xfId="15559" xr:uid="{00000000-0005-0000-0000-0000B9490000}"/>
    <cellStyle name="Normal 4 22 11 2 2" xfId="32260" xr:uid="{00000000-0005-0000-0000-0000BA490000}"/>
    <cellStyle name="Normal 4 22 11 3" xfId="15560" xr:uid="{00000000-0005-0000-0000-0000BB490000}"/>
    <cellStyle name="Normal 4 22 11 3 2" xfId="32261" xr:uid="{00000000-0005-0000-0000-0000BC490000}"/>
    <cellStyle name="Normal 4 22 11 4" xfId="15561" xr:uid="{00000000-0005-0000-0000-0000BD490000}"/>
    <cellStyle name="Normal 4 22 11 4 2" xfId="32262" xr:uid="{00000000-0005-0000-0000-0000BE490000}"/>
    <cellStyle name="Normal 4 22 11 5" xfId="15562" xr:uid="{00000000-0005-0000-0000-0000BF490000}"/>
    <cellStyle name="Normal 4 22 11 5 2" xfId="32263" xr:uid="{00000000-0005-0000-0000-0000C0490000}"/>
    <cellStyle name="Normal 4 22 11 6" xfId="32259" xr:uid="{00000000-0005-0000-0000-0000C1490000}"/>
    <cellStyle name="Normal 4 22 12" xfId="15563" xr:uid="{00000000-0005-0000-0000-0000C2490000}"/>
    <cellStyle name="Normal 4 22 12 2" xfId="15564" xr:uid="{00000000-0005-0000-0000-0000C3490000}"/>
    <cellStyle name="Normal 4 22 12 2 2" xfId="32265" xr:uid="{00000000-0005-0000-0000-0000C4490000}"/>
    <cellStyle name="Normal 4 22 12 3" xfId="15565" xr:uid="{00000000-0005-0000-0000-0000C5490000}"/>
    <cellStyle name="Normal 4 22 12 3 2" xfId="32266" xr:uid="{00000000-0005-0000-0000-0000C6490000}"/>
    <cellStyle name="Normal 4 22 12 4" xfId="15566" xr:uid="{00000000-0005-0000-0000-0000C7490000}"/>
    <cellStyle name="Normal 4 22 12 4 2" xfId="32267" xr:uid="{00000000-0005-0000-0000-0000C8490000}"/>
    <cellStyle name="Normal 4 22 12 5" xfId="15567" xr:uid="{00000000-0005-0000-0000-0000C9490000}"/>
    <cellStyle name="Normal 4 22 12 5 2" xfId="32268" xr:uid="{00000000-0005-0000-0000-0000CA490000}"/>
    <cellStyle name="Normal 4 22 12 6" xfId="32264" xr:uid="{00000000-0005-0000-0000-0000CB490000}"/>
    <cellStyle name="Normal 4 22 13" xfId="15568" xr:uid="{00000000-0005-0000-0000-0000CC490000}"/>
    <cellStyle name="Normal 4 22 13 2" xfId="15569" xr:uid="{00000000-0005-0000-0000-0000CD490000}"/>
    <cellStyle name="Normal 4 22 13 2 2" xfId="32270" xr:uid="{00000000-0005-0000-0000-0000CE490000}"/>
    <cellStyle name="Normal 4 22 13 3" xfId="15570" xr:uid="{00000000-0005-0000-0000-0000CF490000}"/>
    <cellStyle name="Normal 4 22 13 3 2" xfId="32271" xr:uid="{00000000-0005-0000-0000-0000D0490000}"/>
    <cellStyle name="Normal 4 22 13 4" xfId="15571" xr:uid="{00000000-0005-0000-0000-0000D1490000}"/>
    <cellStyle name="Normal 4 22 13 4 2" xfId="32272" xr:uid="{00000000-0005-0000-0000-0000D2490000}"/>
    <cellStyle name="Normal 4 22 13 5" xfId="15572" xr:uid="{00000000-0005-0000-0000-0000D3490000}"/>
    <cellStyle name="Normal 4 22 13 5 2" xfId="32273" xr:uid="{00000000-0005-0000-0000-0000D4490000}"/>
    <cellStyle name="Normal 4 22 13 6" xfId="32269" xr:uid="{00000000-0005-0000-0000-0000D5490000}"/>
    <cellStyle name="Normal 4 22 14" xfId="15573" xr:uid="{00000000-0005-0000-0000-0000D6490000}"/>
    <cellStyle name="Normal 4 22 14 2" xfId="15574" xr:uid="{00000000-0005-0000-0000-0000D7490000}"/>
    <cellStyle name="Normal 4 22 14 2 2" xfId="32275" xr:uid="{00000000-0005-0000-0000-0000D8490000}"/>
    <cellStyle name="Normal 4 22 14 3" xfId="15575" xr:uid="{00000000-0005-0000-0000-0000D9490000}"/>
    <cellStyle name="Normal 4 22 14 3 2" xfId="32276" xr:uid="{00000000-0005-0000-0000-0000DA490000}"/>
    <cellStyle name="Normal 4 22 14 4" xfId="15576" xr:uid="{00000000-0005-0000-0000-0000DB490000}"/>
    <cellStyle name="Normal 4 22 14 4 2" xfId="32277" xr:uid="{00000000-0005-0000-0000-0000DC490000}"/>
    <cellStyle name="Normal 4 22 14 5" xfId="15577" xr:uid="{00000000-0005-0000-0000-0000DD490000}"/>
    <cellStyle name="Normal 4 22 14 5 2" xfId="32278" xr:uid="{00000000-0005-0000-0000-0000DE490000}"/>
    <cellStyle name="Normal 4 22 14 6" xfId="32274" xr:uid="{00000000-0005-0000-0000-0000DF490000}"/>
    <cellStyle name="Normal 4 22 15" xfId="15578" xr:uid="{00000000-0005-0000-0000-0000E0490000}"/>
    <cellStyle name="Normal 4 22 15 2" xfId="15579" xr:uid="{00000000-0005-0000-0000-0000E1490000}"/>
    <cellStyle name="Normal 4 22 15 2 2" xfId="32280" xr:uid="{00000000-0005-0000-0000-0000E2490000}"/>
    <cellStyle name="Normal 4 22 15 3" xfId="15580" xr:uid="{00000000-0005-0000-0000-0000E3490000}"/>
    <cellStyle name="Normal 4 22 15 3 2" xfId="32281" xr:uid="{00000000-0005-0000-0000-0000E4490000}"/>
    <cellStyle name="Normal 4 22 15 4" xfId="15581" xr:uid="{00000000-0005-0000-0000-0000E5490000}"/>
    <cellStyle name="Normal 4 22 15 4 2" xfId="32282" xr:uid="{00000000-0005-0000-0000-0000E6490000}"/>
    <cellStyle name="Normal 4 22 15 5" xfId="15582" xr:uid="{00000000-0005-0000-0000-0000E7490000}"/>
    <cellStyle name="Normal 4 22 15 5 2" xfId="32283" xr:uid="{00000000-0005-0000-0000-0000E8490000}"/>
    <cellStyle name="Normal 4 22 15 6" xfId="32279" xr:uid="{00000000-0005-0000-0000-0000E9490000}"/>
    <cellStyle name="Normal 4 22 16" xfId="15583" xr:uid="{00000000-0005-0000-0000-0000EA490000}"/>
    <cellStyle name="Normal 4 22 16 2" xfId="32284" xr:uid="{00000000-0005-0000-0000-0000EB490000}"/>
    <cellStyle name="Normal 4 22 17" xfId="15584" xr:uid="{00000000-0005-0000-0000-0000EC490000}"/>
    <cellStyle name="Normal 4 22 17 2" xfId="32285" xr:uid="{00000000-0005-0000-0000-0000ED490000}"/>
    <cellStyle name="Normal 4 22 18" xfId="15585" xr:uid="{00000000-0005-0000-0000-0000EE490000}"/>
    <cellStyle name="Normal 4 22 18 2" xfId="32286" xr:uid="{00000000-0005-0000-0000-0000EF490000}"/>
    <cellStyle name="Normal 4 22 19" xfId="15586" xr:uid="{00000000-0005-0000-0000-0000F0490000}"/>
    <cellStyle name="Normal 4 22 19 2" xfId="32287" xr:uid="{00000000-0005-0000-0000-0000F1490000}"/>
    <cellStyle name="Normal 4 22 2" xfId="15587" xr:uid="{00000000-0005-0000-0000-0000F2490000}"/>
    <cellStyle name="Normal 4 22 2 2" xfId="15588" xr:uid="{00000000-0005-0000-0000-0000F3490000}"/>
    <cellStyle name="Normal 4 22 2 2 2" xfId="15589" xr:uid="{00000000-0005-0000-0000-0000F4490000}"/>
    <cellStyle name="Normal 4 22 2 2 2 2" xfId="32290" xr:uid="{00000000-0005-0000-0000-0000F5490000}"/>
    <cellStyle name="Normal 4 22 2 2 3" xfId="15590" xr:uid="{00000000-0005-0000-0000-0000F6490000}"/>
    <cellStyle name="Normal 4 22 2 2 3 2" xfId="32291" xr:uid="{00000000-0005-0000-0000-0000F7490000}"/>
    <cellStyle name="Normal 4 22 2 2 4" xfId="15591" xr:uid="{00000000-0005-0000-0000-0000F8490000}"/>
    <cellStyle name="Normal 4 22 2 2 4 2" xfId="32292" xr:uid="{00000000-0005-0000-0000-0000F9490000}"/>
    <cellStyle name="Normal 4 22 2 2 5" xfId="15592" xr:uid="{00000000-0005-0000-0000-0000FA490000}"/>
    <cellStyle name="Normal 4 22 2 2 5 2" xfId="32293" xr:uid="{00000000-0005-0000-0000-0000FB490000}"/>
    <cellStyle name="Normal 4 22 2 2 6" xfId="32289" xr:uid="{00000000-0005-0000-0000-0000FC490000}"/>
    <cellStyle name="Normal 4 22 2 3" xfId="15593" xr:uid="{00000000-0005-0000-0000-0000FD490000}"/>
    <cellStyle name="Normal 4 22 2 3 2" xfId="32294" xr:uid="{00000000-0005-0000-0000-0000FE490000}"/>
    <cellStyle name="Normal 4 22 2 4" xfId="15594" xr:uid="{00000000-0005-0000-0000-0000FF490000}"/>
    <cellStyle name="Normal 4 22 2 4 2" xfId="32295" xr:uid="{00000000-0005-0000-0000-0000004A0000}"/>
    <cellStyle name="Normal 4 22 2 5" xfId="15595" xr:uid="{00000000-0005-0000-0000-0000014A0000}"/>
    <cellStyle name="Normal 4 22 2 5 2" xfId="32296" xr:uid="{00000000-0005-0000-0000-0000024A0000}"/>
    <cellStyle name="Normal 4 22 2 6" xfId="15596" xr:uid="{00000000-0005-0000-0000-0000034A0000}"/>
    <cellStyle name="Normal 4 22 2 6 2" xfId="32297" xr:uid="{00000000-0005-0000-0000-0000044A0000}"/>
    <cellStyle name="Normal 4 22 2 7" xfId="32288" xr:uid="{00000000-0005-0000-0000-0000054A0000}"/>
    <cellStyle name="Normal 4 22 20" xfId="32253" xr:uid="{00000000-0005-0000-0000-0000064A0000}"/>
    <cellStyle name="Normal 4 22 3" xfId="15597" xr:uid="{00000000-0005-0000-0000-0000074A0000}"/>
    <cellStyle name="Normal 4 22 3 2" xfId="15598" xr:uid="{00000000-0005-0000-0000-0000084A0000}"/>
    <cellStyle name="Normal 4 22 3 2 2" xfId="15599" xr:uid="{00000000-0005-0000-0000-0000094A0000}"/>
    <cellStyle name="Normal 4 22 3 2 2 2" xfId="32300" xr:uid="{00000000-0005-0000-0000-00000A4A0000}"/>
    <cellStyle name="Normal 4 22 3 2 3" xfId="15600" xr:uid="{00000000-0005-0000-0000-00000B4A0000}"/>
    <cellStyle name="Normal 4 22 3 2 3 2" xfId="32301" xr:uid="{00000000-0005-0000-0000-00000C4A0000}"/>
    <cellStyle name="Normal 4 22 3 2 4" xfId="15601" xr:uid="{00000000-0005-0000-0000-00000D4A0000}"/>
    <cellStyle name="Normal 4 22 3 2 4 2" xfId="32302" xr:uid="{00000000-0005-0000-0000-00000E4A0000}"/>
    <cellStyle name="Normal 4 22 3 2 5" xfId="15602" xr:uid="{00000000-0005-0000-0000-00000F4A0000}"/>
    <cellStyle name="Normal 4 22 3 2 5 2" xfId="32303" xr:uid="{00000000-0005-0000-0000-0000104A0000}"/>
    <cellStyle name="Normal 4 22 3 2 6" xfId="32299" xr:uid="{00000000-0005-0000-0000-0000114A0000}"/>
    <cellStyle name="Normal 4 22 3 3" xfId="15603" xr:uid="{00000000-0005-0000-0000-0000124A0000}"/>
    <cellStyle name="Normal 4 22 3 3 2" xfId="32304" xr:uid="{00000000-0005-0000-0000-0000134A0000}"/>
    <cellStyle name="Normal 4 22 3 4" xfId="15604" xr:uid="{00000000-0005-0000-0000-0000144A0000}"/>
    <cellStyle name="Normal 4 22 3 4 2" xfId="32305" xr:uid="{00000000-0005-0000-0000-0000154A0000}"/>
    <cellStyle name="Normal 4 22 3 5" xfId="15605" xr:uid="{00000000-0005-0000-0000-0000164A0000}"/>
    <cellStyle name="Normal 4 22 3 5 2" xfId="32306" xr:uid="{00000000-0005-0000-0000-0000174A0000}"/>
    <cellStyle name="Normal 4 22 3 6" xfId="15606" xr:uid="{00000000-0005-0000-0000-0000184A0000}"/>
    <cellStyle name="Normal 4 22 3 6 2" xfId="32307" xr:uid="{00000000-0005-0000-0000-0000194A0000}"/>
    <cellStyle name="Normal 4 22 3 7" xfId="32298" xr:uid="{00000000-0005-0000-0000-00001A4A0000}"/>
    <cellStyle name="Normal 4 22 4" xfId="15607" xr:uid="{00000000-0005-0000-0000-00001B4A0000}"/>
    <cellStyle name="Normal 4 22 4 2" xfId="15608" xr:uid="{00000000-0005-0000-0000-00001C4A0000}"/>
    <cellStyle name="Normal 4 22 4 2 2" xfId="15609" xr:uid="{00000000-0005-0000-0000-00001D4A0000}"/>
    <cellStyle name="Normal 4 22 4 2 2 2" xfId="32310" xr:uid="{00000000-0005-0000-0000-00001E4A0000}"/>
    <cellStyle name="Normal 4 22 4 2 3" xfId="15610" xr:uid="{00000000-0005-0000-0000-00001F4A0000}"/>
    <cellStyle name="Normal 4 22 4 2 3 2" xfId="32311" xr:uid="{00000000-0005-0000-0000-0000204A0000}"/>
    <cellStyle name="Normal 4 22 4 2 4" xfId="15611" xr:uid="{00000000-0005-0000-0000-0000214A0000}"/>
    <cellStyle name="Normal 4 22 4 2 4 2" xfId="32312" xr:uid="{00000000-0005-0000-0000-0000224A0000}"/>
    <cellStyle name="Normal 4 22 4 2 5" xfId="15612" xr:uid="{00000000-0005-0000-0000-0000234A0000}"/>
    <cellStyle name="Normal 4 22 4 2 5 2" xfId="32313" xr:uid="{00000000-0005-0000-0000-0000244A0000}"/>
    <cellStyle name="Normal 4 22 4 2 6" xfId="32309" xr:uid="{00000000-0005-0000-0000-0000254A0000}"/>
    <cellStyle name="Normal 4 22 4 3" xfId="15613" xr:uid="{00000000-0005-0000-0000-0000264A0000}"/>
    <cellStyle name="Normal 4 22 4 3 2" xfId="32314" xr:uid="{00000000-0005-0000-0000-0000274A0000}"/>
    <cellStyle name="Normal 4 22 4 4" xfId="15614" xr:uid="{00000000-0005-0000-0000-0000284A0000}"/>
    <cellStyle name="Normal 4 22 4 4 2" xfId="32315" xr:uid="{00000000-0005-0000-0000-0000294A0000}"/>
    <cellStyle name="Normal 4 22 4 5" xfId="15615" xr:uid="{00000000-0005-0000-0000-00002A4A0000}"/>
    <cellStyle name="Normal 4 22 4 5 2" xfId="32316" xr:uid="{00000000-0005-0000-0000-00002B4A0000}"/>
    <cellStyle name="Normal 4 22 4 6" xfId="15616" xr:uid="{00000000-0005-0000-0000-00002C4A0000}"/>
    <cellStyle name="Normal 4 22 4 6 2" xfId="32317" xr:uid="{00000000-0005-0000-0000-00002D4A0000}"/>
    <cellStyle name="Normal 4 22 4 7" xfId="32308" xr:uid="{00000000-0005-0000-0000-00002E4A0000}"/>
    <cellStyle name="Normal 4 22 5" xfId="15617" xr:uid="{00000000-0005-0000-0000-00002F4A0000}"/>
    <cellStyle name="Normal 4 22 5 2" xfId="15618" xr:uid="{00000000-0005-0000-0000-0000304A0000}"/>
    <cellStyle name="Normal 4 22 5 2 2" xfId="32319" xr:uid="{00000000-0005-0000-0000-0000314A0000}"/>
    <cellStyle name="Normal 4 22 5 3" xfId="15619" xr:uid="{00000000-0005-0000-0000-0000324A0000}"/>
    <cellStyle name="Normal 4 22 5 3 2" xfId="32320" xr:uid="{00000000-0005-0000-0000-0000334A0000}"/>
    <cellStyle name="Normal 4 22 5 4" xfId="15620" xr:uid="{00000000-0005-0000-0000-0000344A0000}"/>
    <cellStyle name="Normal 4 22 5 4 2" xfId="32321" xr:uid="{00000000-0005-0000-0000-0000354A0000}"/>
    <cellStyle name="Normal 4 22 5 5" xfId="15621" xr:uid="{00000000-0005-0000-0000-0000364A0000}"/>
    <cellStyle name="Normal 4 22 5 5 2" xfId="32322" xr:uid="{00000000-0005-0000-0000-0000374A0000}"/>
    <cellStyle name="Normal 4 22 5 6" xfId="32318" xr:uid="{00000000-0005-0000-0000-0000384A0000}"/>
    <cellStyle name="Normal 4 22 6" xfId="15622" xr:uid="{00000000-0005-0000-0000-0000394A0000}"/>
    <cellStyle name="Normal 4 22 6 2" xfId="15623" xr:uid="{00000000-0005-0000-0000-00003A4A0000}"/>
    <cellStyle name="Normal 4 22 6 2 2" xfId="32324" xr:uid="{00000000-0005-0000-0000-00003B4A0000}"/>
    <cellStyle name="Normal 4 22 6 3" xfId="15624" xr:uid="{00000000-0005-0000-0000-00003C4A0000}"/>
    <cellStyle name="Normal 4 22 6 3 2" xfId="32325" xr:uid="{00000000-0005-0000-0000-00003D4A0000}"/>
    <cellStyle name="Normal 4 22 6 4" xfId="15625" xr:uid="{00000000-0005-0000-0000-00003E4A0000}"/>
    <cellStyle name="Normal 4 22 6 4 2" xfId="32326" xr:uid="{00000000-0005-0000-0000-00003F4A0000}"/>
    <cellStyle name="Normal 4 22 6 5" xfId="15626" xr:uid="{00000000-0005-0000-0000-0000404A0000}"/>
    <cellStyle name="Normal 4 22 6 5 2" xfId="32327" xr:uid="{00000000-0005-0000-0000-0000414A0000}"/>
    <cellStyle name="Normal 4 22 6 6" xfId="32323" xr:uid="{00000000-0005-0000-0000-0000424A0000}"/>
    <cellStyle name="Normal 4 22 7" xfId="15627" xr:uid="{00000000-0005-0000-0000-0000434A0000}"/>
    <cellStyle name="Normal 4 22 7 2" xfId="15628" xr:uid="{00000000-0005-0000-0000-0000444A0000}"/>
    <cellStyle name="Normal 4 22 7 2 2" xfId="32329" xr:uid="{00000000-0005-0000-0000-0000454A0000}"/>
    <cellStyle name="Normal 4 22 7 3" xfId="15629" xr:uid="{00000000-0005-0000-0000-0000464A0000}"/>
    <cellStyle name="Normal 4 22 7 3 2" xfId="32330" xr:uid="{00000000-0005-0000-0000-0000474A0000}"/>
    <cellStyle name="Normal 4 22 7 4" xfId="15630" xr:uid="{00000000-0005-0000-0000-0000484A0000}"/>
    <cellStyle name="Normal 4 22 7 4 2" xfId="32331" xr:uid="{00000000-0005-0000-0000-0000494A0000}"/>
    <cellStyle name="Normal 4 22 7 5" xfId="15631" xr:uid="{00000000-0005-0000-0000-00004A4A0000}"/>
    <cellStyle name="Normal 4 22 7 5 2" xfId="32332" xr:uid="{00000000-0005-0000-0000-00004B4A0000}"/>
    <cellStyle name="Normal 4 22 7 6" xfId="32328" xr:uid="{00000000-0005-0000-0000-00004C4A0000}"/>
    <cellStyle name="Normal 4 22 8" xfId="15632" xr:uid="{00000000-0005-0000-0000-00004D4A0000}"/>
    <cellStyle name="Normal 4 22 8 2" xfId="15633" xr:uid="{00000000-0005-0000-0000-00004E4A0000}"/>
    <cellStyle name="Normal 4 22 8 2 2" xfId="32334" xr:uid="{00000000-0005-0000-0000-00004F4A0000}"/>
    <cellStyle name="Normal 4 22 8 3" xfId="15634" xr:uid="{00000000-0005-0000-0000-0000504A0000}"/>
    <cellStyle name="Normal 4 22 8 3 2" xfId="32335" xr:uid="{00000000-0005-0000-0000-0000514A0000}"/>
    <cellStyle name="Normal 4 22 8 4" xfId="15635" xr:uid="{00000000-0005-0000-0000-0000524A0000}"/>
    <cellStyle name="Normal 4 22 8 4 2" xfId="32336" xr:uid="{00000000-0005-0000-0000-0000534A0000}"/>
    <cellStyle name="Normal 4 22 8 5" xfId="15636" xr:uid="{00000000-0005-0000-0000-0000544A0000}"/>
    <cellStyle name="Normal 4 22 8 5 2" xfId="32337" xr:uid="{00000000-0005-0000-0000-0000554A0000}"/>
    <cellStyle name="Normal 4 22 8 6" xfId="32333" xr:uid="{00000000-0005-0000-0000-0000564A0000}"/>
    <cellStyle name="Normal 4 22 9" xfId="15637" xr:uid="{00000000-0005-0000-0000-0000574A0000}"/>
    <cellStyle name="Normal 4 22 9 2" xfId="15638" xr:uid="{00000000-0005-0000-0000-0000584A0000}"/>
    <cellStyle name="Normal 4 22 9 2 2" xfId="32339" xr:uid="{00000000-0005-0000-0000-0000594A0000}"/>
    <cellStyle name="Normal 4 22 9 3" xfId="15639" xr:uid="{00000000-0005-0000-0000-00005A4A0000}"/>
    <cellStyle name="Normal 4 22 9 3 2" xfId="32340" xr:uid="{00000000-0005-0000-0000-00005B4A0000}"/>
    <cellStyle name="Normal 4 22 9 4" xfId="15640" xr:uid="{00000000-0005-0000-0000-00005C4A0000}"/>
    <cellStyle name="Normal 4 22 9 4 2" xfId="32341" xr:uid="{00000000-0005-0000-0000-00005D4A0000}"/>
    <cellStyle name="Normal 4 22 9 5" xfId="15641" xr:uid="{00000000-0005-0000-0000-00005E4A0000}"/>
    <cellStyle name="Normal 4 22 9 5 2" xfId="32342" xr:uid="{00000000-0005-0000-0000-00005F4A0000}"/>
    <cellStyle name="Normal 4 22 9 6" xfId="32338" xr:uid="{00000000-0005-0000-0000-0000604A0000}"/>
    <cellStyle name="Normal 4 23" xfId="15642" xr:uid="{00000000-0005-0000-0000-0000614A0000}"/>
    <cellStyle name="Normal 4 23 2" xfId="15643" xr:uid="{00000000-0005-0000-0000-0000624A0000}"/>
    <cellStyle name="Normal 4 23 3" xfId="15644" xr:uid="{00000000-0005-0000-0000-0000634A0000}"/>
    <cellStyle name="Normal 4 23 3 2" xfId="32344" xr:uid="{00000000-0005-0000-0000-0000644A0000}"/>
    <cellStyle name="Normal 4 23 4" xfId="15645" xr:uid="{00000000-0005-0000-0000-0000654A0000}"/>
    <cellStyle name="Normal 4 23 4 2" xfId="32345" xr:uid="{00000000-0005-0000-0000-0000664A0000}"/>
    <cellStyle name="Normal 4 23 5" xfId="15646" xr:uid="{00000000-0005-0000-0000-0000674A0000}"/>
    <cellStyle name="Normal 4 23 5 2" xfId="32346" xr:uid="{00000000-0005-0000-0000-0000684A0000}"/>
    <cellStyle name="Normal 4 23 6" xfId="15647" xr:uid="{00000000-0005-0000-0000-0000694A0000}"/>
    <cellStyle name="Normal 4 23 6 2" xfId="32347" xr:uid="{00000000-0005-0000-0000-00006A4A0000}"/>
    <cellStyle name="Normal 4 23 7" xfId="32343" xr:uid="{00000000-0005-0000-0000-00006B4A0000}"/>
    <cellStyle name="Normal 4 24" xfId="15648" xr:uid="{00000000-0005-0000-0000-00006C4A0000}"/>
    <cellStyle name="Normal 4 25" xfId="15649" xr:uid="{00000000-0005-0000-0000-00006D4A0000}"/>
    <cellStyle name="Normal 4 26" xfId="15650" xr:uid="{00000000-0005-0000-0000-00006E4A0000}"/>
    <cellStyle name="Normal 4 27" xfId="15651" xr:uid="{00000000-0005-0000-0000-00006F4A0000}"/>
    <cellStyle name="Normal 4 28" xfId="15652" xr:uid="{00000000-0005-0000-0000-0000704A0000}"/>
    <cellStyle name="Normal 4 29" xfId="15653" xr:uid="{00000000-0005-0000-0000-0000714A0000}"/>
    <cellStyle name="Normal 4 3" xfId="15654" xr:uid="{00000000-0005-0000-0000-0000724A0000}"/>
    <cellStyle name="Normal 4 3 10" xfId="15655" xr:uid="{00000000-0005-0000-0000-0000734A0000}"/>
    <cellStyle name="Normal 4 3 11" xfId="15656" xr:uid="{00000000-0005-0000-0000-0000744A0000}"/>
    <cellStyle name="Normal 4 3 2" xfId="15657" xr:uid="{00000000-0005-0000-0000-0000754A0000}"/>
    <cellStyle name="Normal 4 3 2 2" xfId="15658" xr:uid="{00000000-0005-0000-0000-0000764A0000}"/>
    <cellStyle name="Normal 4 3 2 3" xfId="15659" xr:uid="{00000000-0005-0000-0000-0000774A0000}"/>
    <cellStyle name="Normal 4 3 2 4" xfId="15660" xr:uid="{00000000-0005-0000-0000-0000784A0000}"/>
    <cellStyle name="Normal 4 3 2 5" xfId="15661" xr:uid="{00000000-0005-0000-0000-0000794A0000}"/>
    <cellStyle name="Normal 4 3 2 6" xfId="15662" xr:uid="{00000000-0005-0000-0000-00007A4A0000}"/>
    <cellStyle name="Normal 4 3 2 7" xfId="15663" xr:uid="{00000000-0005-0000-0000-00007B4A0000}"/>
    <cellStyle name="Normal 4 3 2 8" xfId="40704" xr:uid="{00000000-0005-0000-0000-00007C4A0000}"/>
    <cellStyle name="Normal 4 3 3" xfId="15664" xr:uid="{00000000-0005-0000-0000-00007D4A0000}"/>
    <cellStyle name="Normal 4 3 3 2" xfId="41018" xr:uid="{00000000-0005-0000-0000-00007E4A0000}"/>
    <cellStyle name="Normal 4 3 4" xfId="15665" xr:uid="{00000000-0005-0000-0000-00007F4A0000}"/>
    <cellStyle name="Normal 4 3 4 2" xfId="41015" xr:uid="{00000000-0005-0000-0000-0000804A0000}"/>
    <cellStyle name="Normal 4 3 5" xfId="15666" xr:uid="{00000000-0005-0000-0000-0000814A0000}"/>
    <cellStyle name="Normal 4 3 6" xfId="15667" xr:uid="{00000000-0005-0000-0000-0000824A0000}"/>
    <cellStyle name="Normal 4 3 7" xfId="15668" xr:uid="{00000000-0005-0000-0000-0000834A0000}"/>
    <cellStyle name="Normal 4 3 8" xfId="15669" xr:uid="{00000000-0005-0000-0000-0000844A0000}"/>
    <cellStyle name="Normal 4 3 9" xfId="15670" xr:uid="{00000000-0005-0000-0000-0000854A0000}"/>
    <cellStyle name="Normal 4 30" xfId="15671" xr:uid="{00000000-0005-0000-0000-0000864A0000}"/>
    <cellStyle name="Normal 4 31" xfId="15672" xr:uid="{00000000-0005-0000-0000-0000874A0000}"/>
    <cellStyle name="Normal 4 32" xfId="15673" xr:uid="{00000000-0005-0000-0000-0000884A0000}"/>
    <cellStyle name="Normal 4 33" xfId="15674" xr:uid="{00000000-0005-0000-0000-0000894A0000}"/>
    <cellStyle name="Normal 4 34" xfId="15675" xr:uid="{00000000-0005-0000-0000-00008A4A0000}"/>
    <cellStyle name="Normal 4 35" xfId="15676" xr:uid="{00000000-0005-0000-0000-00008B4A0000}"/>
    <cellStyle name="Normal 4 36" xfId="15677" xr:uid="{00000000-0005-0000-0000-00008C4A0000}"/>
    <cellStyle name="Normal 4 37" xfId="15678" xr:uid="{00000000-0005-0000-0000-00008D4A0000}"/>
    <cellStyle name="Normal 4 38" xfId="15679" xr:uid="{00000000-0005-0000-0000-00008E4A0000}"/>
    <cellStyle name="Normal 4 39" xfId="15680" xr:uid="{00000000-0005-0000-0000-00008F4A0000}"/>
    <cellStyle name="Normal 4 39 2" xfId="32348" xr:uid="{00000000-0005-0000-0000-0000904A0000}"/>
    <cellStyle name="Normal 4 4" xfId="15681" xr:uid="{00000000-0005-0000-0000-0000914A0000}"/>
    <cellStyle name="Normal 4 4 10" xfId="15682" xr:uid="{00000000-0005-0000-0000-0000924A0000}"/>
    <cellStyle name="Normal 4 4 10 2" xfId="15683" xr:uid="{00000000-0005-0000-0000-0000934A0000}"/>
    <cellStyle name="Normal 4 4 10 3" xfId="15684" xr:uid="{00000000-0005-0000-0000-0000944A0000}"/>
    <cellStyle name="Normal 4 4 10 3 2" xfId="32350" xr:uid="{00000000-0005-0000-0000-0000954A0000}"/>
    <cellStyle name="Normal 4 4 10 4" xfId="15685" xr:uid="{00000000-0005-0000-0000-0000964A0000}"/>
    <cellStyle name="Normal 4 4 10 4 2" xfId="32351" xr:uid="{00000000-0005-0000-0000-0000974A0000}"/>
    <cellStyle name="Normal 4 4 10 5" xfId="15686" xr:uid="{00000000-0005-0000-0000-0000984A0000}"/>
    <cellStyle name="Normal 4 4 10 5 2" xfId="32352" xr:uid="{00000000-0005-0000-0000-0000994A0000}"/>
    <cellStyle name="Normal 4 4 10 6" xfId="15687" xr:uid="{00000000-0005-0000-0000-00009A4A0000}"/>
    <cellStyle name="Normal 4 4 10 6 2" xfId="32353" xr:uid="{00000000-0005-0000-0000-00009B4A0000}"/>
    <cellStyle name="Normal 4 4 10 7" xfId="32349" xr:uid="{00000000-0005-0000-0000-00009C4A0000}"/>
    <cellStyle name="Normal 4 4 11" xfId="15688" xr:uid="{00000000-0005-0000-0000-00009D4A0000}"/>
    <cellStyle name="Normal 4 4 11 2" xfId="15689" xr:uid="{00000000-0005-0000-0000-00009E4A0000}"/>
    <cellStyle name="Normal 4 4 11 2 2" xfId="32355" xr:uid="{00000000-0005-0000-0000-00009F4A0000}"/>
    <cellStyle name="Normal 4 4 11 3" xfId="15690" xr:uid="{00000000-0005-0000-0000-0000A04A0000}"/>
    <cellStyle name="Normal 4 4 11 3 2" xfId="32356" xr:uid="{00000000-0005-0000-0000-0000A14A0000}"/>
    <cellStyle name="Normal 4 4 11 4" xfId="15691" xr:uid="{00000000-0005-0000-0000-0000A24A0000}"/>
    <cellStyle name="Normal 4 4 11 4 2" xfId="32357" xr:uid="{00000000-0005-0000-0000-0000A34A0000}"/>
    <cellStyle name="Normal 4 4 11 5" xfId="15692" xr:uid="{00000000-0005-0000-0000-0000A44A0000}"/>
    <cellStyle name="Normal 4 4 11 5 2" xfId="32358" xr:uid="{00000000-0005-0000-0000-0000A54A0000}"/>
    <cellStyle name="Normal 4 4 11 6" xfId="32354" xr:uid="{00000000-0005-0000-0000-0000A64A0000}"/>
    <cellStyle name="Normal 4 4 12" xfId="15693" xr:uid="{00000000-0005-0000-0000-0000A74A0000}"/>
    <cellStyle name="Normal 4 4 12 2" xfId="15694" xr:uid="{00000000-0005-0000-0000-0000A84A0000}"/>
    <cellStyle name="Normal 4 4 12 2 2" xfId="32360" xr:uid="{00000000-0005-0000-0000-0000A94A0000}"/>
    <cellStyle name="Normal 4 4 12 3" xfId="15695" xr:uid="{00000000-0005-0000-0000-0000AA4A0000}"/>
    <cellStyle name="Normal 4 4 12 3 2" xfId="32361" xr:uid="{00000000-0005-0000-0000-0000AB4A0000}"/>
    <cellStyle name="Normal 4 4 12 4" xfId="15696" xr:uid="{00000000-0005-0000-0000-0000AC4A0000}"/>
    <cellStyle name="Normal 4 4 12 4 2" xfId="32362" xr:uid="{00000000-0005-0000-0000-0000AD4A0000}"/>
    <cellStyle name="Normal 4 4 12 5" xfId="15697" xr:uid="{00000000-0005-0000-0000-0000AE4A0000}"/>
    <cellStyle name="Normal 4 4 12 5 2" xfId="32363" xr:uid="{00000000-0005-0000-0000-0000AF4A0000}"/>
    <cellStyle name="Normal 4 4 12 6" xfId="32359" xr:uid="{00000000-0005-0000-0000-0000B04A0000}"/>
    <cellStyle name="Normal 4 4 13" xfId="15698" xr:uid="{00000000-0005-0000-0000-0000B14A0000}"/>
    <cellStyle name="Normal 4 4 13 2" xfId="15699" xr:uid="{00000000-0005-0000-0000-0000B24A0000}"/>
    <cellStyle name="Normal 4 4 13 2 2" xfId="32365" xr:uid="{00000000-0005-0000-0000-0000B34A0000}"/>
    <cellStyle name="Normal 4 4 13 3" xfId="15700" xr:uid="{00000000-0005-0000-0000-0000B44A0000}"/>
    <cellStyle name="Normal 4 4 13 3 2" xfId="32366" xr:uid="{00000000-0005-0000-0000-0000B54A0000}"/>
    <cellStyle name="Normal 4 4 13 4" xfId="15701" xr:uid="{00000000-0005-0000-0000-0000B64A0000}"/>
    <cellStyle name="Normal 4 4 13 4 2" xfId="32367" xr:uid="{00000000-0005-0000-0000-0000B74A0000}"/>
    <cellStyle name="Normal 4 4 13 5" xfId="15702" xr:uid="{00000000-0005-0000-0000-0000B84A0000}"/>
    <cellStyle name="Normal 4 4 13 5 2" xfId="32368" xr:uid="{00000000-0005-0000-0000-0000B94A0000}"/>
    <cellStyle name="Normal 4 4 13 6" xfId="32364" xr:uid="{00000000-0005-0000-0000-0000BA4A0000}"/>
    <cellStyle name="Normal 4 4 14" xfId="15703" xr:uid="{00000000-0005-0000-0000-0000BB4A0000}"/>
    <cellStyle name="Normal 4 4 14 2" xfId="15704" xr:uid="{00000000-0005-0000-0000-0000BC4A0000}"/>
    <cellStyle name="Normal 4 4 14 2 2" xfId="32370" xr:uid="{00000000-0005-0000-0000-0000BD4A0000}"/>
    <cellStyle name="Normal 4 4 14 3" xfId="15705" xr:uid="{00000000-0005-0000-0000-0000BE4A0000}"/>
    <cellStyle name="Normal 4 4 14 3 2" xfId="32371" xr:uid="{00000000-0005-0000-0000-0000BF4A0000}"/>
    <cellStyle name="Normal 4 4 14 4" xfId="15706" xr:uid="{00000000-0005-0000-0000-0000C04A0000}"/>
    <cellStyle name="Normal 4 4 14 4 2" xfId="32372" xr:uid="{00000000-0005-0000-0000-0000C14A0000}"/>
    <cellStyle name="Normal 4 4 14 5" xfId="15707" xr:uid="{00000000-0005-0000-0000-0000C24A0000}"/>
    <cellStyle name="Normal 4 4 14 5 2" xfId="32373" xr:uid="{00000000-0005-0000-0000-0000C34A0000}"/>
    <cellStyle name="Normal 4 4 14 6" xfId="32369" xr:uid="{00000000-0005-0000-0000-0000C44A0000}"/>
    <cellStyle name="Normal 4 4 15" xfId="15708" xr:uid="{00000000-0005-0000-0000-0000C54A0000}"/>
    <cellStyle name="Normal 4 4 15 2" xfId="15709" xr:uid="{00000000-0005-0000-0000-0000C64A0000}"/>
    <cellStyle name="Normal 4 4 15 2 2" xfId="32375" xr:uid="{00000000-0005-0000-0000-0000C74A0000}"/>
    <cellStyle name="Normal 4 4 15 3" xfId="15710" xr:uid="{00000000-0005-0000-0000-0000C84A0000}"/>
    <cellStyle name="Normal 4 4 15 3 2" xfId="32376" xr:uid="{00000000-0005-0000-0000-0000C94A0000}"/>
    <cellStyle name="Normal 4 4 15 4" xfId="15711" xr:uid="{00000000-0005-0000-0000-0000CA4A0000}"/>
    <cellStyle name="Normal 4 4 15 4 2" xfId="32377" xr:uid="{00000000-0005-0000-0000-0000CB4A0000}"/>
    <cellStyle name="Normal 4 4 15 5" xfId="15712" xr:uid="{00000000-0005-0000-0000-0000CC4A0000}"/>
    <cellStyle name="Normal 4 4 15 5 2" xfId="32378" xr:uid="{00000000-0005-0000-0000-0000CD4A0000}"/>
    <cellStyle name="Normal 4 4 15 6" xfId="32374" xr:uid="{00000000-0005-0000-0000-0000CE4A0000}"/>
    <cellStyle name="Normal 4 4 16" xfId="15713" xr:uid="{00000000-0005-0000-0000-0000CF4A0000}"/>
    <cellStyle name="Normal 4 4 16 2" xfId="15714" xr:uid="{00000000-0005-0000-0000-0000D04A0000}"/>
    <cellStyle name="Normal 4 4 16 2 2" xfId="32380" xr:uid="{00000000-0005-0000-0000-0000D14A0000}"/>
    <cellStyle name="Normal 4 4 16 3" xfId="15715" xr:uid="{00000000-0005-0000-0000-0000D24A0000}"/>
    <cellStyle name="Normal 4 4 16 3 2" xfId="32381" xr:uid="{00000000-0005-0000-0000-0000D34A0000}"/>
    <cellStyle name="Normal 4 4 16 4" xfId="15716" xr:uid="{00000000-0005-0000-0000-0000D44A0000}"/>
    <cellStyle name="Normal 4 4 16 4 2" xfId="32382" xr:uid="{00000000-0005-0000-0000-0000D54A0000}"/>
    <cellStyle name="Normal 4 4 16 5" xfId="15717" xr:uid="{00000000-0005-0000-0000-0000D64A0000}"/>
    <cellStyle name="Normal 4 4 16 5 2" xfId="32383" xr:uid="{00000000-0005-0000-0000-0000D74A0000}"/>
    <cellStyle name="Normal 4 4 16 6" xfId="32379" xr:uid="{00000000-0005-0000-0000-0000D84A0000}"/>
    <cellStyle name="Normal 4 4 17" xfId="15718" xr:uid="{00000000-0005-0000-0000-0000D94A0000}"/>
    <cellStyle name="Normal 4 4 17 2" xfId="15719" xr:uid="{00000000-0005-0000-0000-0000DA4A0000}"/>
    <cellStyle name="Normal 4 4 17 2 2" xfId="32385" xr:uid="{00000000-0005-0000-0000-0000DB4A0000}"/>
    <cellStyle name="Normal 4 4 17 3" xfId="15720" xr:uid="{00000000-0005-0000-0000-0000DC4A0000}"/>
    <cellStyle name="Normal 4 4 17 3 2" xfId="32386" xr:uid="{00000000-0005-0000-0000-0000DD4A0000}"/>
    <cellStyle name="Normal 4 4 17 4" xfId="15721" xr:uid="{00000000-0005-0000-0000-0000DE4A0000}"/>
    <cellStyle name="Normal 4 4 17 4 2" xfId="32387" xr:uid="{00000000-0005-0000-0000-0000DF4A0000}"/>
    <cellStyle name="Normal 4 4 17 5" xfId="15722" xr:uid="{00000000-0005-0000-0000-0000E04A0000}"/>
    <cellStyle name="Normal 4 4 17 5 2" xfId="32388" xr:uid="{00000000-0005-0000-0000-0000E14A0000}"/>
    <cellStyle name="Normal 4 4 17 6" xfId="32384" xr:uid="{00000000-0005-0000-0000-0000E24A0000}"/>
    <cellStyle name="Normal 4 4 18" xfId="15723" xr:uid="{00000000-0005-0000-0000-0000E34A0000}"/>
    <cellStyle name="Normal 4 4 18 2" xfId="15724" xr:uid="{00000000-0005-0000-0000-0000E44A0000}"/>
    <cellStyle name="Normal 4 4 18 2 2" xfId="32390" xr:uid="{00000000-0005-0000-0000-0000E54A0000}"/>
    <cellStyle name="Normal 4 4 18 3" xfId="15725" xr:uid="{00000000-0005-0000-0000-0000E64A0000}"/>
    <cellStyle name="Normal 4 4 18 3 2" xfId="32391" xr:uid="{00000000-0005-0000-0000-0000E74A0000}"/>
    <cellStyle name="Normal 4 4 18 4" xfId="15726" xr:uid="{00000000-0005-0000-0000-0000E84A0000}"/>
    <cellStyle name="Normal 4 4 18 4 2" xfId="32392" xr:uid="{00000000-0005-0000-0000-0000E94A0000}"/>
    <cellStyle name="Normal 4 4 18 5" xfId="15727" xr:uid="{00000000-0005-0000-0000-0000EA4A0000}"/>
    <cellStyle name="Normal 4 4 18 5 2" xfId="32393" xr:uid="{00000000-0005-0000-0000-0000EB4A0000}"/>
    <cellStyle name="Normal 4 4 18 6" xfId="32389" xr:uid="{00000000-0005-0000-0000-0000EC4A0000}"/>
    <cellStyle name="Normal 4 4 19" xfId="15728" xr:uid="{00000000-0005-0000-0000-0000ED4A0000}"/>
    <cellStyle name="Normal 4 4 19 2" xfId="15729" xr:uid="{00000000-0005-0000-0000-0000EE4A0000}"/>
    <cellStyle name="Normal 4 4 19 2 2" xfId="32395" xr:uid="{00000000-0005-0000-0000-0000EF4A0000}"/>
    <cellStyle name="Normal 4 4 19 3" xfId="15730" xr:uid="{00000000-0005-0000-0000-0000F04A0000}"/>
    <cellStyle name="Normal 4 4 19 3 2" xfId="32396" xr:uid="{00000000-0005-0000-0000-0000F14A0000}"/>
    <cellStyle name="Normal 4 4 19 4" xfId="15731" xr:uid="{00000000-0005-0000-0000-0000F24A0000}"/>
    <cellStyle name="Normal 4 4 19 4 2" xfId="32397" xr:uid="{00000000-0005-0000-0000-0000F34A0000}"/>
    <cellStyle name="Normal 4 4 19 5" xfId="15732" xr:uid="{00000000-0005-0000-0000-0000F44A0000}"/>
    <cellStyle name="Normal 4 4 19 5 2" xfId="32398" xr:uid="{00000000-0005-0000-0000-0000F54A0000}"/>
    <cellStyle name="Normal 4 4 19 6" xfId="32394" xr:uid="{00000000-0005-0000-0000-0000F64A0000}"/>
    <cellStyle name="Normal 4 4 2" xfId="15733" xr:uid="{00000000-0005-0000-0000-0000F74A0000}"/>
    <cellStyle name="Normal 4 4 2 10" xfId="15734" xr:uid="{00000000-0005-0000-0000-0000F84A0000}"/>
    <cellStyle name="Normal 4 4 2 10 2" xfId="15735" xr:uid="{00000000-0005-0000-0000-0000F94A0000}"/>
    <cellStyle name="Normal 4 4 2 10 2 2" xfId="32401" xr:uid="{00000000-0005-0000-0000-0000FA4A0000}"/>
    <cellStyle name="Normal 4 4 2 10 3" xfId="15736" xr:uid="{00000000-0005-0000-0000-0000FB4A0000}"/>
    <cellStyle name="Normal 4 4 2 10 3 2" xfId="32402" xr:uid="{00000000-0005-0000-0000-0000FC4A0000}"/>
    <cellStyle name="Normal 4 4 2 10 4" xfId="15737" xr:uid="{00000000-0005-0000-0000-0000FD4A0000}"/>
    <cellStyle name="Normal 4 4 2 10 4 2" xfId="32403" xr:uid="{00000000-0005-0000-0000-0000FE4A0000}"/>
    <cellStyle name="Normal 4 4 2 10 5" xfId="15738" xr:uid="{00000000-0005-0000-0000-0000FF4A0000}"/>
    <cellStyle name="Normal 4 4 2 10 5 2" xfId="32404" xr:uid="{00000000-0005-0000-0000-0000004B0000}"/>
    <cellStyle name="Normal 4 4 2 10 6" xfId="32400" xr:uid="{00000000-0005-0000-0000-0000014B0000}"/>
    <cellStyle name="Normal 4 4 2 11" xfId="15739" xr:uid="{00000000-0005-0000-0000-0000024B0000}"/>
    <cellStyle name="Normal 4 4 2 11 2" xfId="15740" xr:uid="{00000000-0005-0000-0000-0000034B0000}"/>
    <cellStyle name="Normal 4 4 2 11 2 2" xfId="32406" xr:uid="{00000000-0005-0000-0000-0000044B0000}"/>
    <cellStyle name="Normal 4 4 2 11 3" xfId="15741" xr:uid="{00000000-0005-0000-0000-0000054B0000}"/>
    <cellStyle name="Normal 4 4 2 11 3 2" xfId="32407" xr:uid="{00000000-0005-0000-0000-0000064B0000}"/>
    <cellStyle name="Normal 4 4 2 11 4" xfId="15742" xr:uid="{00000000-0005-0000-0000-0000074B0000}"/>
    <cellStyle name="Normal 4 4 2 11 4 2" xfId="32408" xr:uid="{00000000-0005-0000-0000-0000084B0000}"/>
    <cellStyle name="Normal 4 4 2 11 5" xfId="15743" xr:uid="{00000000-0005-0000-0000-0000094B0000}"/>
    <cellStyle name="Normal 4 4 2 11 5 2" xfId="32409" xr:uid="{00000000-0005-0000-0000-00000A4B0000}"/>
    <cellStyle name="Normal 4 4 2 11 6" xfId="32405" xr:uid="{00000000-0005-0000-0000-00000B4B0000}"/>
    <cellStyle name="Normal 4 4 2 12" xfId="15744" xr:uid="{00000000-0005-0000-0000-00000C4B0000}"/>
    <cellStyle name="Normal 4 4 2 12 2" xfId="15745" xr:uid="{00000000-0005-0000-0000-00000D4B0000}"/>
    <cellStyle name="Normal 4 4 2 12 2 2" xfId="32411" xr:uid="{00000000-0005-0000-0000-00000E4B0000}"/>
    <cellStyle name="Normal 4 4 2 12 3" xfId="15746" xr:uid="{00000000-0005-0000-0000-00000F4B0000}"/>
    <cellStyle name="Normal 4 4 2 12 3 2" xfId="32412" xr:uid="{00000000-0005-0000-0000-0000104B0000}"/>
    <cellStyle name="Normal 4 4 2 12 4" xfId="15747" xr:uid="{00000000-0005-0000-0000-0000114B0000}"/>
    <cellStyle name="Normal 4 4 2 12 4 2" xfId="32413" xr:uid="{00000000-0005-0000-0000-0000124B0000}"/>
    <cellStyle name="Normal 4 4 2 12 5" xfId="15748" xr:uid="{00000000-0005-0000-0000-0000134B0000}"/>
    <cellStyle name="Normal 4 4 2 12 5 2" xfId="32414" xr:uid="{00000000-0005-0000-0000-0000144B0000}"/>
    <cellStyle name="Normal 4 4 2 12 6" xfId="32410" xr:uid="{00000000-0005-0000-0000-0000154B0000}"/>
    <cellStyle name="Normal 4 4 2 13" xfId="15749" xr:uid="{00000000-0005-0000-0000-0000164B0000}"/>
    <cellStyle name="Normal 4 4 2 13 2" xfId="15750" xr:uid="{00000000-0005-0000-0000-0000174B0000}"/>
    <cellStyle name="Normal 4 4 2 13 2 2" xfId="32416" xr:uid="{00000000-0005-0000-0000-0000184B0000}"/>
    <cellStyle name="Normal 4 4 2 13 3" xfId="15751" xr:uid="{00000000-0005-0000-0000-0000194B0000}"/>
    <cellStyle name="Normal 4 4 2 13 3 2" xfId="32417" xr:uid="{00000000-0005-0000-0000-00001A4B0000}"/>
    <cellStyle name="Normal 4 4 2 13 4" xfId="15752" xr:uid="{00000000-0005-0000-0000-00001B4B0000}"/>
    <cellStyle name="Normal 4 4 2 13 4 2" xfId="32418" xr:uid="{00000000-0005-0000-0000-00001C4B0000}"/>
    <cellStyle name="Normal 4 4 2 13 5" xfId="15753" xr:uid="{00000000-0005-0000-0000-00001D4B0000}"/>
    <cellStyle name="Normal 4 4 2 13 5 2" xfId="32419" xr:uid="{00000000-0005-0000-0000-00001E4B0000}"/>
    <cellStyle name="Normal 4 4 2 13 6" xfId="32415" xr:uid="{00000000-0005-0000-0000-00001F4B0000}"/>
    <cellStyle name="Normal 4 4 2 14" xfId="15754" xr:uid="{00000000-0005-0000-0000-0000204B0000}"/>
    <cellStyle name="Normal 4 4 2 14 2" xfId="15755" xr:uid="{00000000-0005-0000-0000-0000214B0000}"/>
    <cellStyle name="Normal 4 4 2 14 2 2" xfId="32421" xr:uid="{00000000-0005-0000-0000-0000224B0000}"/>
    <cellStyle name="Normal 4 4 2 14 3" xfId="15756" xr:uid="{00000000-0005-0000-0000-0000234B0000}"/>
    <cellStyle name="Normal 4 4 2 14 3 2" xfId="32422" xr:uid="{00000000-0005-0000-0000-0000244B0000}"/>
    <cellStyle name="Normal 4 4 2 14 4" xfId="15757" xr:uid="{00000000-0005-0000-0000-0000254B0000}"/>
    <cellStyle name="Normal 4 4 2 14 4 2" xfId="32423" xr:uid="{00000000-0005-0000-0000-0000264B0000}"/>
    <cellStyle name="Normal 4 4 2 14 5" xfId="15758" xr:uid="{00000000-0005-0000-0000-0000274B0000}"/>
    <cellStyle name="Normal 4 4 2 14 5 2" xfId="32424" xr:uid="{00000000-0005-0000-0000-0000284B0000}"/>
    <cellStyle name="Normal 4 4 2 14 6" xfId="32420" xr:uid="{00000000-0005-0000-0000-0000294B0000}"/>
    <cellStyle name="Normal 4 4 2 15" xfId="15759" xr:uid="{00000000-0005-0000-0000-00002A4B0000}"/>
    <cellStyle name="Normal 4 4 2 15 2" xfId="15760" xr:uid="{00000000-0005-0000-0000-00002B4B0000}"/>
    <cellStyle name="Normal 4 4 2 15 2 2" xfId="32426" xr:uid="{00000000-0005-0000-0000-00002C4B0000}"/>
    <cellStyle name="Normal 4 4 2 15 3" xfId="15761" xr:uid="{00000000-0005-0000-0000-00002D4B0000}"/>
    <cellStyle name="Normal 4 4 2 15 3 2" xfId="32427" xr:uid="{00000000-0005-0000-0000-00002E4B0000}"/>
    <cellStyle name="Normal 4 4 2 15 4" xfId="15762" xr:uid="{00000000-0005-0000-0000-00002F4B0000}"/>
    <cellStyle name="Normal 4 4 2 15 4 2" xfId="32428" xr:uid="{00000000-0005-0000-0000-0000304B0000}"/>
    <cellStyle name="Normal 4 4 2 15 5" xfId="15763" xr:uid="{00000000-0005-0000-0000-0000314B0000}"/>
    <cellStyle name="Normal 4 4 2 15 5 2" xfId="32429" xr:uid="{00000000-0005-0000-0000-0000324B0000}"/>
    <cellStyle name="Normal 4 4 2 15 6" xfId="32425" xr:uid="{00000000-0005-0000-0000-0000334B0000}"/>
    <cellStyle name="Normal 4 4 2 16" xfId="15764" xr:uid="{00000000-0005-0000-0000-0000344B0000}"/>
    <cellStyle name="Normal 4 4 2 16 2" xfId="15765" xr:uid="{00000000-0005-0000-0000-0000354B0000}"/>
    <cellStyle name="Normal 4 4 2 16 2 2" xfId="32431" xr:uid="{00000000-0005-0000-0000-0000364B0000}"/>
    <cellStyle name="Normal 4 4 2 16 3" xfId="15766" xr:uid="{00000000-0005-0000-0000-0000374B0000}"/>
    <cellStyle name="Normal 4 4 2 16 3 2" xfId="32432" xr:uid="{00000000-0005-0000-0000-0000384B0000}"/>
    <cellStyle name="Normal 4 4 2 16 4" xfId="15767" xr:uid="{00000000-0005-0000-0000-0000394B0000}"/>
    <cellStyle name="Normal 4 4 2 16 4 2" xfId="32433" xr:uid="{00000000-0005-0000-0000-00003A4B0000}"/>
    <cellStyle name="Normal 4 4 2 16 5" xfId="15768" xr:uid="{00000000-0005-0000-0000-00003B4B0000}"/>
    <cellStyle name="Normal 4 4 2 16 5 2" xfId="32434" xr:uid="{00000000-0005-0000-0000-00003C4B0000}"/>
    <cellStyle name="Normal 4 4 2 16 6" xfId="32430" xr:uid="{00000000-0005-0000-0000-00003D4B0000}"/>
    <cellStyle name="Normal 4 4 2 17" xfId="15769" xr:uid="{00000000-0005-0000-0000-00003E4B0000}"/>
    <cellStyle name="Normal 4 4 2 17 2" xfId="15770" xr:uid="{00000000-0005-0000-0000-00003F4B0000}"/>
    <cellStyle name="Normal 4 4 2 17 2 2" xfId="32436" xr:uid="{00000000-0005-0000-0000-0000404B0000}"/>
    <cellStyle name="Normal 4 4 2 17 3" xfId="15771" xr:uid="{00000000-0005-0000-0000-0000414B0000}"/>
    <cellStyle name="Normal 4 4 2 17 3 2" xfId="32437" xr:uid="{00000000-0005-0000-0000-0000424B0000}"/>
    <cellStyle name="Normal 4 4 2 17 4" xfId="15772" xr:uid="{00000000-0005-0000-0000-0000434B0000}"/>
    <cellStyle name="Normal 4 4 2 17 4 2" xfId="32438" xr:uid="{00000000-0005-0000-0000-0000444B0000}"/>
    <cellStyle name="Normal 4 4 2 17 5" xfId="15773" xr:uid="{00000000-0005-0000-0000-0000454B0000}"/>
    <cellStyle name="Normal 4 4 2 17 5 2" xfId="32439" xr:uid="{00000000-0005-0000-0000-0000464B0000}"/>
    <cellStyle name="Normal 4 4 2 17 6" xfId="32435" xr:uid="{00000000-0005-0000-0000-0000474B0000}"/>
    <cellStyle name="Normal 4 4 2 18" xfId="15774" xr:uid="{00000000-0005-0000-0000-0000484B0000}"/>
    <cellStyle name="Normal 4 4 2 18 2" xfId="15775" xr:uid="{00000000-0005-0000-0000-0000494B0000}"/>
    <cellStyle name="Normal 4 4 2 18 2 2" xfId="32441" xr:uid="{00000000-0005-0000-0000-00004A4B0000}"/>
    <cellStyle name="Normal 4 4 2 18 3" xfId="15776" xr:uid="{00000000-0005-0000-0000-00004B4B0000}"/>
    <cellStyle name="Normal 4 4 2 18 3 2" xfId="32442" xr:uid="{00000000-0005-0000-0000-00004C4B0000}"/>
    <cellStyle name="Normal 4 4 2 18 4" xfId="15777" xr:uid="{00000000-0005-0000-0000-00004D4B0000}"/>
    <cellStyle name="Normal 4 4 2 18 4 2" xfId="32443" xr:uid="{00000000-0005-0000-0000-00004E4B0000}"/>
    <cellStyle name="Normal 4 4 2 18 5" xfId="15778" xr:uid="{00000000-0005-0000-0000-00004F4B0000}"/>
    <cellStyle name="Normal 4 4 2 18 5 2" xfId="32444" xr:uid="{00000000-0005-0000-0000-0000504B0000}"/>
    <cellStyle name="Normal 4 4 2 18 6" xfId="32440" xr:uid="{00000000-0005-0000-0000-0000514B0000}"/>
    <cellStyle name="Normal 4 4 2 19" xfId="15779" xr:uid="{00000000-0005-0000-0000-0000524B0000}"/>
    <cellStyle name="Normal 4 4 2 19 2" xfId="15780" xr:uid="{00000000-0005-0000-0000-0000534B0000}"/>
    <cellStyle name="Normal 4 4 2 19 2 2" xfId="32446" xr:uid="{00000000-0005-0000-0000-0000544B0000}"/>
    <cellStyle name="Normal 4 4 2 19 3" xfId="15781" xr:uid="{00000000-0005-0000-0000-0000554B0000}"/>
    <cellStyle name="Normal 4 4 2 19 3 2" xfId="32447" xr:uid="{00000000-0005-0000-0000-0000564B0000}"/>
    <cellStyle name="Normal 4 4 2 19 4" xfId="15782" xr:uid="{00000000-0005-0000-0000-0000574B0000}"/>
    <cellStyle name="Normal 4 4 2 19 4 2" xfId="32448" xr:uid="{00000000-0005-0000-0000-0000584B0000}"/>
    <cellStyle name="Normal 4 4 2 19 5" xfId="15783" xr:uid="{00000000-0005-0000-0000-0000594B0000}"/>
    <cellStyle name="Normal 4 4 2 19 5 2" xfId="32449" xr:uid="{00000000-0005-0000-0000-00005A4B0000}"/>
    <cellStyle name="Normal 4 4 2 19 6" xfId="32445" xr:uid="{00000000-0005-0000-0000-00005B4B0000}"/>
    <cellStyle name="Normal 4 4 2 2" xfId="15784" xr:uid="{00000000-0005-0000-0000-00005C4B0000}"/>
    <cellStyle name="Normal 4 4 2 2 10" xfId="15785" xr:uid="{00000000-0005-0000-0000-00005D4B0000}"/>
    <cellStyle name="Normal 4 4 2 2 10 2" xfId="15786" xr:uid="{00000000-0005-0000-0000-00005E4B0000}"/>
    <cellStyle name="Normal 4 4 2 2 10 2 2" xfId="32452" xr:uid="{00000000-0005-0000-0000-00005F4B0000}"/>
    <cellStyle name="Normal 4 4 2 2 10 3" xfId="15787" xr:uid="{00000000-0005-0000-0000-0000604B0000}"/>
    <cellStyle name="Normal 4 4 2 2 10 3 2" xfId="32453" xr:uid="{00000000-0005-0000-0000-0000614B0000}"/>
    <cellStyle name="Normal 4 4 2 2 10 4" xfId="15788" xr:uid="{00000000-0005-0000-0000-0000624B0000}"/>
    <cellStyle name="Normal 4 4 2 2 10 4 2" xfId="32454" xr:uid="{00000000-0005-0000-0000-0000634B0000}"/>
    <cellStyle name="Normal 4 4 2 2 10 5" xfId="15789" xr:uid="{00000000-0005-0000-0000-0000644B0000}"/>
    <cellStyle name="Normal 4 4 2 2 10 5 2" xfId="32455" xr:uid="{00000000-0005-0000-0000-0000654B0000}"/>
    <cellStyle name="Normal 4 4 2 2 10 6" xfId="32451" xr:uid="{00000000-0005-0000-0000-0000664B0000}"/>
    <cellStyle name="Normal 4 4 2 2 11" xfId="15790" xr:uid="{00000000-0005-0000-0000-0000674B0000}"/>
    <cellStyle name="Normal 4 4 2 2 11 2" xfId="15791" xr:uid="{00000000-0005-0000-0000-0000684B0000}"/>
    <cellStyle name="Normal 4 4 2 2 11 2 2" xfId="32457" xr:uid="{00000000-0005-0000-0000-0000694B0000}"/>
    <cellStyle name="Normal 4 4 2 2 11 3" xfId="15792" xr:uid="{00000000-0005-0000-0000-00006A4B0000}"/>
    <cellStyle name="Normal 4 4 2 2 11 3 2" xfId="32458" xr:uid="{00000000-0005-0000-0000-00006B4B0000}"/>
    <cellStyle name="Normal 4 4 2 2 11 4" xfId="15793" xr:uid="{00000000-0005-0000-0000-00006C4B0000}"/>
    <cellStyle name="Normal 4 4 2 2 11 4 2" xfId="32459" xr:uid="{00000000-0005-0000-0000-00006D4B0000}"/>
    <cellStyle name="Normal 4 4 2 2 11 5" xfId="15794" xr:uid="{00000000-0005-0000-0000-00006E4B0000}"/>
    <cellStyle name="Normal 4 4 2 2 11 5 2" xfId="32460" xr:uid="{00000000-0005-0000-0000-00006F4B0000}"/>
    <cellStyle name="Normal 4 4 2 2 11 6" xfId="32456" xr:uid="{00000000-0005-0000-0000-0000704B0000}"/>
    <cellStyle name="Normal 4 4 2 2 12" xfId="15795" xr:uid="{00000000-0005-0000-0000-0000714B0000}"/>
    <cellStyle name="Normal 4 4 2 2 12 2" xfId="15796" xr:uid="{00000000-0005-0000-0000-0000724B0000}"/>
    <cellStyle name="Normal 4 4 2 2 12 2 2" xfId="32462" xr:uid="{00000000-0005-0000-0000-0000734B0000}"/>
    <cellStyle name="Normal 4 4 2 2 12 3" xfId="15797" xr:uid="{00000000-0005-0000-0000-0000744B0000}"/>
    <cellStyle name="Normal 4 4 2 2 12 3 2" xfId="32463" xr:uid="{00000000-0005-0000-0000-0000754B0000}"/>
    <cellStyle name="Normal 4 4 2 2 12 4" xfId="15798" xr:uid="{00000000-0005-0000-0000-0000764B0000}"/>
    <cellStyle name="Normal 4 4 2 2 12 4 2" xfId="32464" xr:uid="{00000000-0005-0000-0000-0000774B0000}"/>
    <cellStyle name="Normal 4 4 2 2 12 5" xfId="15799" xr:uid="{00000000-0005-0000-0000-0000784B0000}"/>
    <cellStyle name="Normal 4 4 2 2 12 5 2" xfId="32465" xr:uid="{00000000-0005-0000-0000-0000794B0000}"/>
    <cellStyle name="Normal 4 4 2 2 12 6" xfId="32461" xr:uid="{00000000-0005-0000-0000-00007A4B0000}"/>
    <cellStyle name="Normal 4 4 2 2 13" xfId="15800" xr:uid="{00000000-0005-0000-0000-00007B4B0000}"/>
    <cellStyle name="Normal 4 4 2 2 13 2" xfId="15801" xr:uid="{00000000-0005-0000-0000-00007C4B0000}"/>
    <cellStyle name="Normal 4 4 2 2 13 2 2" xfId="32467" xr:uid="{00000000-0005-0000-0000-00007D4B0000}"/>
    <cellStyle name="Normal 4 4 2 2 13 3" xfId="15802" xr:uid="{00000000-0005-0000-0000-00007E4B0000}"/>
    <cellStyle name="Normal 4 4 2 2 13 3 2" xfId="32468" xr:uid="{00000000-0005-0000-0000-00007F4B0000}"/>
    <cellStyle name="Normal 4 4 2 2 13 4" xfId="15803" xr:uid="{00000000-0005-0000-0000-0000804B0000}"/>
    <cellStyle name="Normal 4 4 2 2 13 4 2" xfId="32469" xr:uid="{00000000-0005-0000-0000-0000814B0000}"/>
    <cellStyle name="Normal 4 4 2 2 13 5" xfId="15804" xr:uid="{00000000-0005-0000-0000-0000824B0000}"/>
    <cellStyle name="Normal 4 4 2 2 13 5 2" xfId="32470" xr:uid="{00000000-0005-0000-0000-0000834B0000}"/>
    <cellStyle name="Normal 4 4 2 2 13 6" xfId="32466" xr:uid="{00000000-0005-0000-0000-0000844B0000}"/>
    <cellStyle name="Normal 4 4 2 2 14" xfId="15805" xr:uid="{00000000-0005-0000-0000-0000854B0000}"/>
    <cellStyle name="Normal 4 4 2 2 14 2" xfId="15806" xr:uid="{00000000-0005-0000-0000-0000864B0000}"/>
    <cellStyle name="Normal 4 4 2 2 14 2 2" xfId="32472" xr:uid="{00000000-0005-0000-0000-0000874B0000}"/>
    <cellStyle name="Normal 4 4 2 2 14 3" xfId="15807" xr:uid="{00000000-0005-0000-0000-0000884B0000}"/>
    <cellStyle name="Normal 4 4 2 2 14 3 2" xfId="32473" xr:uid="{00000000-0005-0000-0000-0000894B0000}"/>
    <cellStyle name="Normal 4 4 2 2 14 4" xfId="15808" xr:uid="{00000000-0005-0000-0000-00008A4B0000}"/>
    <cellStyle name="Normal 4 4 2 2 14 4 2" xfId="32474" xr:uid="{00000000-0005-0000-0000-00008B4B0000}"/>
    <cellStyle name="Normal 4 4 2 2 14 5" xfId="15809" xr:uid="{00000000-0005-0000-0000-00008C4B0000}"/>
    <cellStyle name="Normal 4 4 2 2 14 5 2" xfId="32475" xr:uid="{00000000-0005-0000-0000-00008D4B0000}"/>
    <cellStyle name="Normal 4 4 2 2 14 6" xfId="32471" xr:uid="{00000000-0005-0000-0000-00008E4B0000}"/>
    <cellStyle name="Normal 4 4 2 2 15" xfId="15810" xr:uid="{00000000-0005-0000-0000-00008F4B0000}"/>
    <cellStyle name="Normal 4 4 2 2 15 2" xfId="15811" xr:uid="{00000000-0005-0000-0000-0000904B0000}"/>
    <cellStyle name="Normal 4 4 2 2 15 2 2" xfId="32477" xr:uid="{00000000-0005-0000-0000-0000914B0000}"/>
    <cellStyle name="Normal 4 4 2 2 15 3" xfId="15812" xr:uid="{00000000-0005-0000-0000-0000924B0000}"/>
    <cellStyle name="Normal 4 4 2 2 15 3 2" xfId="32478" xr:uid="{00000000-0005-0000-0000-0000934B0000}"/>
    <cellStyle name="Normal 4 4 2 2 15 4" xfId="15813" xr:uid="{00000000-0005-0000-0000-0000944B0000}"/>
    <cellStyle name="Normal 4 4 2 2 15 4 2" xfId="32479" xr:uid="{00000000-0005-0000-0000-0000954B0000}"/>
    <cellStyle name="Normal 4 4 2 2 15 5" xfId="15814" xr:uid="{00000000-0005-0000-0000-0000964B0000}"/>
    <cellStyle name="Normal 4 4 2 2 15 5 2" xfId="32480" xr:uid="{00000000-0005-0000-0000-0000974B0000}"/>
    <cellStyle name="Normal 4 4 2 2 15 6" xfId="32476" xr:uid="{00000000-0005-0000-0000-0000984B0000}"/>
    <cellStyle name="Normal 4 4 2 2 16" xfId="15815" xr:uid="{00000000-0005-0000-0000-0000994B0000}"/>
    <cellStyle name="Normal 4 4 2 2 16 2" xfId="15816" xr:uid="{00000000-0005-0000-0000-00009A4B0000}"/>
    <cellStyle name="Normal 4 4 2 2 16 2 2" xfId="32482" xr:uid="{00000000-0005-0000-0000-00009B4B0000}"/>
    <cellStyle name="Normal 4 4 2 2 16 3" xfId="15817" xr:uid="{00000000-0005-0000-0000-00009C4B0000}"/>
    <cellStyle name="Normal 4 4 2 2 16 3 2" xfId="32483" xr:uid="{00000000-0005-0000-0000-00009D4B0000}"/>
    <cellStyle name="Normal 4 4 2 2 16 4" xfId="15818" xr:uid="{00000000-0005-0000-0000-00009E4B0000}"/>
    <cellStyle name="Normal 4 4 2 2 16 4 2" xfId="32484" xr:uid="{00000000-0005-0000-0000-00009F4B0000}"/>
    <cellStyle name="Normal 4 4 2 2 16 5" xfId="15819" xr:uid="{00000000-0005-0000-0000-0000A04B0000}"/>
    <cellStyle name="Normal 4 4 2 2 16 5 2" xfId="32485" xr:uid="{00000000-0005-0000-0000-0000A14B0000}"/>
    <cellStyle name="Normal 4 4 2 2 16 6" xfId="32481" xr:uid="{00000000-0005-0000-0000-0000A24B0000}"/>
    <cellStyle name="Normal 4 4 2 2 17" xfId="15820" xr:uid="{00000000-0005-0000-0000-0000A34B0000}"/>
    <cellStyle name="Normal 4 4 2 2 17 2" xfId="32486" xr:uid="{00000000-0005-0000-0000-0000A44B0000}"/>
    <cellStyle name="Normal 4 4 2 2 18" xfId="15821" xr:uid="{00000000-0005-0000-0000-0000A54B0000}"/>
    <cellStyle name="Normal 4 4 2 2 18 2" xfId="32487" xr:uid="{00000000-0005-0000-0000-0000A64B0000}"/>
    <cellStyle name="Normal 4 4 2 2 19" xfId="15822" xr:uid="{00000000-0005-0000-0000-0000A74B0000}"/>
    <cellStyle name="Normal 4 4 2 2 19 2" xfId="32488" xr:uid="{00000000-0005-0000-0000-0000A84B0000}"/>
    <cellStyle name="Normal 4 4 2 2 2" xfId="15823" xr:uid="{00000000-0005-0000-0000-0000A94B0000}"/>
    <cellStyle name="Normal 4 4 2 2 2 10" xfId="15824" xr:uid="{00000000-0005-0000-0000-0000AA4B0000}"/>
    <cellStyle name="Normal 4 4 2 2 2 10 2" xfId="32490" xr:uid="{00000000-0005-0000-0000-0000AB4B0000}"/>
    <cellStyle name="Normal 4 4 2 2 2 11" xfId="15825" xr:uid="{00000000-0005-0000-0000-0000AC4B0000}"/>
    <cellStyle name="Normal 4 4 2 2 2 11 2" xfId="32491" xr:uid="{00000000-0005-0000-0000-0000AD4B0000}"/>
    <cellStyle name="Normal 4 4 2 2 2 12" xfId="32489" xr:uid="{00000000-0005-0000-0000-0000AE4B0000}"/>
    <cellStyle name="Normal 4 4 2 2 2 2" xfId="15826" xr:uid="{00000000-0005-0000-0000-0000AF4B0000}"/>
    <cellStyle name="Normal 4 4 2 2 2 2 2" xfId="15827" xr:uid="{00000000-0005-0000-0000-0000B04B0000}"/>
    <cellStyle name="Normal 4 4 2 2 2 2 2 2" xfId="32493" xr:uid="{00000000-0005-0000-0000-0000B14B0000}"/>
    <cellStyle name="Normal 4 4 2 2 2 2 3" xfId="15828" xr:uid="{00000000-0005-0000-0000-0000B24B0000}"/>
    <cellStyle name="Normal 4 4 2 2 2 2 3 2" xfId="32494" xr:uid="{00000000-0005-0000-0000-0000B34B0000}"/>
    <cellStyle name="Normal 4 4 2 2 2 2 4" xfId="15829" xr:uid="{00000000-0005-0000-0000-0000B44B0000}"/>
    <cellStyle name="Normal 4 4 2 2 2 2 4 2" xfId="32495" xr:uid="{00000000-0005-0000-0000-0000B54B0000}"/>
    <cellStyle name="Normal 4 4 2 2 2 2 5" xfId="15830" xr:uid="{00000000-0005-0000-0000-0000B64B0000}"/>
    <cellStyle name="Normal 4 4 2 2 2 2 5 2" xfId="32496" xr:uid="{00000000-0005-0000-0000-0000B74B0000}"/>
    <cellStyle name="Normal 4 4 2 2 2 2 6" xfId="32492" xr:uid="{00000000-0005-0000-0000-0000B84B0000}"/>
    <cellStyle name="Normal 4 4 2 2 2 3" xfId="15831" xr:uid="{00000000-0005-0000-0000-0000B94B0000}"/>
    <cellStyle name="Normal 4 4 2 2 2 3 2" xfId="15832" xr:uid="{00000000-0005-0000-0000-0000BA4B0000}"/>
    <cellStyle name="Normal 4 4 2 2 2 3 2 2" xfId="32498" xr:uid="{00000000-0005-0000-0000-0000BB4B0000}"/>
    <cellStyle name="Normal 4 4 2 2 2 3 3" xfId="15833" xr:uid="{00000000-0005-0000-0000-0000BC4B0000}"/>
    <cellStyle name="Normal 4 4 2 2 2 3 3 2" xfId="32499" xr:uid="{00000000-0005-0000-0000-0000BD4B0000}"/>
    <cellStyle name="Normal 4 4 2 2 2 3 4" xfId="15834" xr:uid="{00000000-0005-0000-0000-0000BE4B0000}"/>
    <cellStyle name="Normal 4 4 2 2 2 3 4 2" xfId="32500" xr:uid="{00000000-0005-0000-0000-0000BF4B0000}"/>
    <cellStyle name="Normal 4 4 2 2 2 3 5" xfId="15835" xr:uid="{00000000-0005-0000-0000-0000C04B0000}"/>
    <cellStyle name="Normal 4 4 2 2 2 3 5 2" xfId="32501" xr:uid="{00000000-0005-0000-0000-0000C14B0000}"/>
    <cellStyle name="Normal 4 4 2 2 2 3 6" xfId="32497" xr:uid="{00000000-0005-0000-0000-0000C24B0000}"/>
    <cellStyle name="Normal 4 4 2 2 2 4" xfId="15836" xr:uid="{00000000-0005-0000-0000-0000C34B0000}"/>
    <cellStyle name="Normal 4 4 2 2 2 4 2" xfId="15837" xr:uid="{00000000-0005-0000-0000-0000C44B0000}"/>
    <cellStyle name="Normal 4 4 2 2 2 4 2 2" xfId="32503" xr:uid="{00000000-0005-0000-0000-0000C54B0000}"/>
    <cellStyle name="Normal 4 4 2 2 2 4 3" xfId="15838" xr:uid="{00000000-0005-0000-0000-0000C64B0000}"/>
    <cellStyle name="Normal 4 4 2 2 2 4 3 2" xfId="32504" xr:uid="{00000000-0005-0000-0000-0000C74B0000}"/>
    <cellStyle name="Normal 4 4 2 2 2 4 4" xfId="15839" xr:uid="{00000000-0005-0000-0000-0000C84B0000}"/>
    <cellStyle name="Normal 4 4 2 2 2 4 4 2" xfId="32505" xr:uid="{00000000-0005-0000-0000-0000C94B0000}"/>
    <cellStyle name="Normal 4 4 2 2 2 4 5" xfId="15840" xr:uid="{00000000-0005-0000-0000-0000CA4B0000}"/>
    <cellStyle name="Normal 4 4 2 2 2 4 5 2" xfId="32506" xr:uid="{00000000-0005-0000-0000-0000CB4B0000}"/>
    <cellStyle name="Normal 4 4 2 2 2 4 6" xfId="32502" xr:uid="{00000000-0005-0000-0000-0000CC4B0000}"/>
    <cellStyle name="Normal 4 4 2 2 2 5" xfId="15841" xr:uid="{00000000-0005-0000-0000-0000CD4B0000}"/>
    <cellStyle name="Normal 4 4 2 2 2 5 2" xfId="15842" xr:uid="{00000000-0005-0000-0000-0000CE4B0000}"/>
    <cellStyle name="Normal 4 4 2 2 2 5 2 2" xfId="32508" xr:uid="{00000000-0005-0000-0000-0000CF4B0000}"/>
    <cellStyle name="Normal 4 4 2 2 2 5 3" xfId="15843" xr:uid="{00000000-0005-0000-0000-0000D04B0000}"/>
    <cellStyle name="Normal 4 4 2 2 2 5 3 2" xfId="32509" xr:uid="{00000000-0005-0000-0000-0000D14B0000}"/>
    <cellStyle name="Normal 4 4 2 2 2 5 4" xfId="15844" xr:uid="{00000000-0005-0000-0000-0000D24B0000}"/>
    <cellStyle name="Normal 4 4 2 2 2 5 4 2" xfId="32510" xr:uid="{00000000-0005-0000-0000-0000D34B0000}"/>
    <cellStyle name="Normal 4 4 2 2 2 5 5" xfId="15845" xr:uid="{00000000-0005-0000-0000-0000D44B0000}"/>
    <cellStyle name="Normal 4 4 2 2 2 5 5 2" xfId="32511" xr:uid="{00000000-0005-0000-0000-0000D54B0000}"/>
    <cellStyle name="Normal 4 4 2 2 2 5 6" xfId="32507" xr:uid="{00000000-0005-0000-0000-0000D64B0000}"/>
    <cellStyle name="Normal 4 4 2 2 2 6" xfId="15846" xr:uid="{00000000-0005-0000-0000-0000D74B0000}"/>
    <cellStyle name="Normal 4 4 2 2 2 6 2" xfId="15847" xr:uid="{00000000-0005-0000-0000-0000D84B0000}"/>
    <cellStyle name="Normal 4 4 2 2 2 6 2 2" xfId="32513" xr:uid="{00000000-0005-0000-0000-0000D94B0000}"/>
    <cellStyle name="Normal 4 4 2 2 2 6 3" xfId="15848" xr:uid="{00000000-0005-0000-0000-0000DA4B0000}"/>
    <cellStyle name="Normal 4 4 2 2 2 6 3 2" xfId="32514" xr:uid="{00000000-0005-0000-0000-0000DB4B0000}"/>
    <cellStyle name="Normal 4 4 2 2 2 6 4" xfId="15849" xr:uid="{00000000-0005-0000-0000-0000DC4B0000}"/>
    <cellStyle name="Normal 4 4 2 2 2 6 4 2" xfId="32515" xr:uid="{00000000-0005-0000-0000-0000DD4B0000}"/>
    <cellStyle name="Normal 4 4 2 2 2 6 5" xfId="15850" xr:uid="{00000000-0005-0000-0000-0000DE4B0000}"/>
    <cellStyle name="Normal 4 4 2 2 2 6 5 2" xfId="32516" xr:uid="{00000000-0005-0000-0000-0000DF4B0000}"/>
    <cellStyle name="Normal 4 4 2 2 2 6 6" xfId="32512" xr:uid="{00000000-0005-0000-0000-0000E04B0000}"/>
    <cellStyle name="Normal 4 4 2 2 2 7" xfId="15851" xr:uid="{00000000-0005-0000-0000-0000E14B0000}"/>
    <cellStyle name="Normal 4 4 2 2 2 7 2" xfId="15852" xr:uid="{00000000-0005-0000-0000-0000E24B0000}"/>
    <cellStyle name="Normal 4 4 2 2 2 7 2 2" xfId="32518" xr:uid="{00000000-0005-0000-0000-0000E34B0000}"/>
    <cellStyle name="Normal 4 4 2 2 2 7 3" xfId="15853" xr:uid="{00000000-0005-0000-0000-0000E44B0000}"/>
    <cellStyle name="Normal 4 4 2 2 2 7 3 2" xfId="32519" xr:uid="{00000000-0005-0000-0000-0000E54B0000}"/>
    <cellStyle name="Normal 4 4 2 2 2 7 4" xfId="15854" xr:uid="{00000000-0005-0000-0000-0000E64B0000}"/>
    <cellStyle name="Normal 4 4 2 2 2 7 4 2" xfId="32520" xr:uid="{00000000-0005-0000-0000-0000E74B0000}"/>
    <cellStyle name="Normal 4 4 2 2 2 7 5" xfId="15855" xr:uid="{00000000-0005-0000-0000-0000E84B0000}"/>
    <cellStyle name="Normal 4 4 2 2 2 7 5 2" xfId="32521" xr:uid="{00000000-0005-0000-0000-0000E94B0000}"/>
    <cellStyle name="Normal 4 4 2 2 2 7 6" xfId="32517" xr:uid="{00000000-0005-0000-0000-0000EA4B0000}"/>
    <cellStyle name="Normal 4 4 2 2 2 8" xfId="15856" xr:uid="{00000000-0005-0000-0000-0000EB4B0000}"/>
    <cellStyle name="Normal 4 4 2 2 2 8 2" xfId="32522" xr:uid="{00000000-0005-0000-0000-0000EC4B0000}"/>
    <cellStyle name="Normal 4 4 2 2 2 9" xfId="15857" xr:uid="{00000000-0005-0000-0000-0000ED4B0000}"/>
    <cellStyle name="Normal 4 4 2 2 2 9 2" xfId="32523" xr:uid="{00000000-0005-0000-0000-0000EE4B0000}"/>
    <cellStyle name="Normal 4 4 2 2 20" xfId="15858" xr:uid="{00000000-0005-0000-0000-0000EF4B0000}"/>
    <cellStyle name="Normal 4 4 2 2 20 2" xfId="32524" xr:uid="{00000000-0005-0000-0000-0000F04B0000}"/>
    <cellStyle name="Normal 4 4 2 2 21" xfId="40707" xr:uid="{00000000-0005-0000-0000-0000F14B0000}"/>
    <cellStyle name="Normal 4 4 2 2 22" xfId="32450" xr:uid="{00000000-0005-0000-0000-0000F24B0000}"/>
    <cellStyle name="Normal 4 4 2 2 3" xfId="15859" xr:uid="{00000000-0005-0000-0000-0000F34B0000}"/>
    <cellStyle name="Normal 4 4 2 2 3 2" xfId="15860" xr:uid="{00000000-0005-0000-0000-0000F44B0000}"/>
    <cellStyle name="Normal 4 4 2 2 3 2 2" xfId="15861" xr:uid="{00000000-0005-0000-0000-0000F54B0000}"/>
    <cellStyle name="Normal 4 4 2 2 3 2 2 2" xfId="32527" xr:uid="{00000000-0005-0000-0000-0000F64B0000}"/>
    <cellStyle name="Normal 4 4 2 2 3 2 3" xfId="15862" xr:uid="{00000000-0005-0000-0000-0000F74B0000}"/>
    <cellStyle name="Normal 4 4 2 2 3 2 3 2" xfId="32528" xr:uid="{00000000-0005-0000-0000-0000F84B0000}"/>
    <cellStyle name="Normal 4 4 2 2 3 2 4" xfId="15863" xr:uid="{00000000-0005-0000-0000-0000F94B0000}"/>
    <cellStyle name="Normal 4 4 2 2 3 2 4 2" xfId="32529" xr:uid="{00000000-0005-0000-0000-0000FA4B0000}"/>
    <cellStyle name="Normal 4 4 2 2 3 2 5" xfId="15864" xr:uid="{00000000-0005-0000-0000-0000FB4B0000}"/>
    <cellStyle name="Normal 4 4 2 2 3 2 5 2" xfId="32530" xr:uid="{00000000-0005-0000-0000-0000FC4B0000}"/>
    <cellStyle name="Normal 4 4 2 2 3 2 6" xfId="32526" xr:uid="{00000000-0005-0000-0000-0000FD4B0000}"/>
    <cellStyle name="Normal 4 4 2 2 3 3" xfId="15865" xr:uid="{00000000-0005-0000-0000-0000FE4B0000}"/>
    <cellStyle name="Normal 4 4 2 2 3 3 2" xfId="32531" xr:uid="{00000000-0005-0000-0000-0000FF4B0000}"/>
    <cellStyle name="Normal 4 4 2 2 3 4" xfId="15866" xr:uid="{00000000-0005-0000-0000-0000004C0000}"/>
    <cellStyle name="Normal 4 4 2 2 3 4 2" xfId="32532" xr:uid="{00000000-0005-0000-0000-0000014C0000}"/>
    <cellStyle name="Normal 4 4 2 2 3 5" xfId="15867" xr:uid="{00000000-0005-0000-0000-0000024C0000}"/>
    <cellStyle name="Normal 4 4 2 2 3 5 2" xfId="32533" xr:uid="{00000000-0005-0000-0000-0000034C0000}"/>
    <cellStyle name="Normal 4 4 2 2 3 6" xfId="15868" xr:uid="{00000000-0005-0000-0000-0000044C0000}"/>
    <cellStyle name="Normal 4 4 2 2 3 6 2" xfId="32534" xr:uid="{00000000-0005-0000-0000-0000054C0000}"/>
    <cellStyle name="Normal 4 4 2 2 3 7" xfId="32525" xr:uid="{00000000-0005-0000-0000-0000064C0000}"/>
    <cellStyle name="Normal 4 4 2 2 4" xfId="15869" xr:uid="{00000000-0005-0000-0000-0000074C0000}"/>
    <cellStyle name="Normal 4 4 2 2 4 2" xfId="15870" xr:uid="{00000000-0005-0000-0000-0000084C0000}"/>
    <cellStyle name="Normal 4 4 2 2 4 2 2" xfId="15871" xr:uid="{00000000-0005-0000-0000-0000094C0000}"/>
    <cellStyle name="Normal 4 4 2 2 4 2 2 2" xfId="32537" xr:uid="{00000000-0005-0000-0000-00000A4C0000}"/>
    <cellStyle name="Normal 4 4 2 2 4 2 3" xfId="15872" xr:uid="{00000000-0005-0000-0000-00000B4C0000}"/>
    <cellStyle name="Normal 4 4 2 2 4 2 3 2" xfId="32538" xr:uid="{00000000-0005-0000-0000-00000C4C0000}"/>
    <cellStyle name="Normal 4 4 2 2 4 2 4" xfId="15873" xr:uid="{00000000-0005-0000-0000-00000D4C0000}"/>
    <cellStyle name="Normal 4 4 2 2 4 2 4 2" xfId="32539" xr:uid="{00000000-0005-0000-0000-00000E4C0000}"/>
    <cellStyle name="Normal 4 4 2 2 4 2 5" xfId="15874" xr:uid="{00000000-0005-0000-0000-00000F4C0000}"/>
    <cellStyle name="Normal 4 4 2 2 4 2 5 2" xfId="32540" xr:uid="{00000000-0005-0000-0000-0000104C0000}"/>
    <cellStyle name="Normal 4 4 2 2 4 2 6" xfId="32536" xr:uid="{00000000-0005-0000-0000-0000114C0000}"/>
    <cellStyle name="Normal 4 4 2 2 4 3" xfId="15875" xr:uid="{00000000-0005-0000-0000-0000124C0000}"/>
    <cellStyle name="Normal 4 4 2 2 4 3 2" xfId="32541" xr:uid="{00000000-0005-0000-0000-0000134C0000}"/>
    <cellStyle name="Normal 4 4 2 2 4 4" xfId="15876" xr:uid="{00000000-0005-0000-0000-0000144C0000}"/>
    <cellStyle name="Normal 4 4 2 2 4 4 2" xfId="32542" xr:uid="{00000000-0005-0000-0000-0000154C0000}"/>
    <cellStyle name="Normal 4 4 2 2 4 5" xfId="15877" xr:uid="{00000000-0005-0000-0000-0000164C0000}"/>
    <cellStyle name="Normal 4 4 2 2 4 5 2" xfId="32543" xr:uid="{00000000-0005-0000-0000-0000174C0000}"/>
    <cellStyle name="Normal 4 4 2 2 4 6" xfId="15878" xr:uid="{00000000-0005-0000-0000-0000184C0000}"/>
    <cellStyle name="Normal 4 4 2 2 4 6 2" xfId="32544" xr:uid="{00000000-0005-0000-0000-0000194C0000}"/>
    <cellStyle name="Normal 4 4 2 2 4 7" xfId="32535" xr:uid="{00000000-0005-0000-0000-00001A4C0000}"/>
    <cellStyle name="Normal 4 4 2 2 5" xfId="15879" xr:uid="{00000000-0005-0000-0000-00001B4C0000}"/>
    <cellStyle name="Normal 4 4 2 2 5 2" xfId="15880" xr:uid="{00000000-0005-0000-0000-00001C4C0000}"/>
    <cellStyle name="Normal 4 4 2 2 5 2 2" xfId="32546" xr:uid="{00000000-0005-0000-0000-00001D4C0000}"/>
    <cellStyle name="Normal 4 4 2 2 5 3" xfId="15881" xr:uid="{00000000-0005-0000-0000-00001E4C0000}"/>
    <cellStyle name="Normal 4 4 2 2 5 3 2" xfId="32547" xr:uid="{00000000-0005-0000-0000-00001F4C0000}"/>
    <cellStyle name="Normal 4 4 2 2 5 4" xfId="15882" xr:uid="{00000000-0005-0000-0000-0000204C0000}"/>
    <cellStyle name="Normal 4 4 2 2 5 4 2" xfId="32548" xr:uid="{00000000-0005-0000-0000-0000214C0000}"/>
    <cellStyle name="Normal 4 4 2 2 5 5" xfId="15883" xr:uid="{00000000-0005-0000-0000-0000224C0000}"/>
    <cellStyle name="Normal 4 4 2 2 5 5 2" xfId="32549" xr:uid="{00000000-0005-0000-0000-0000234C0000}"/>
    <cellStyle name="Normal 4 4 2 2 5 6" xfId="32545" xr:uid="{00000000-0005-0000-0000-0000244C0000}"/>
    <cellStyle name="Normal 4 4 2 2 6" xfId="15884" xr:uid="{00000000-0005-0000-0000-0000254C0000}"/>
    <cellStyle name="Normal 4 4 2 2 6 2" xfId="15885" xr:uid="{00000000-0005-0000-0000-0000264C0000}"/>
    <cellStyle name="Normal 4 4 2 2 6 2 2" xfId="32551" xr:uid="{00000000-0005-0000-0000-0000274C0000}"/>
    <cellStyle name="Normal 4 4 2 2 6 3" xfId="15886" xr:uid="{00000000-0005-0000-0000-0000284C0000}"/>
    <cellStyle name="Normal 4 4 2 2 6 3 2" xfId="32552" xr:uid="{00000000-0005-0000-0000-0000294C0000}"/>
    <cellStyle name="Normal 4 4 2 2 6 4" xfId="15887" xr:uid="{00000000-0005-0000-0000-00002A4C0000}"/>
    <cellStyle name="Normal 4 4 2 2 6 4 2" xfId="32553" xr:uid="{00000000-0005-0000-0000-00002B4C0000}"/>
    <cellStyle name="Normal 4 4 2 2 6 5" xfId="15888" xr:uid="{00000000-0005-0000-0000-00002C4C0000}"/>
    <cellStyle name="Normal 4 4 2 2 6 5 2" xfId="32554" xr:uid="{00000000-0005-0000-0000-00002D4C0000}"/>
    <cellStyle name="Normal 4 4 2 2 6 6" xfId="32550" xr:uid="{00000000-0005-0000-0000-00002E4C0000}"/>
    <cellStyle name="Normal 4 4 2 2 7" xfId="15889" xr:uid="{00000000-0005-0000-0000-00002F4C0000}"/>
    <cellStyle name="Normal 4 4 2 2 7 2" xfId="15890" xr:uid="{00000000-0005-0000-0000-0000304C0000}"/>
    <cellStyle name="Normal 4 4 2 2 7 2 2" xfId="32556" xr:uid="{00000000-0005-0000-0000-0000314C0000}"/>
    <cellStyle name="Normal 4 4 2 2 7 3" xfId="15891" xr:uid="{00000000-0005-0000-0000-0000324C0000}"/>
    <cellStyle name="Normal 4 4 2 2 7 3 2" xfId="32557" xr:uid="{00000000-0005-0000-0000-0000334C0000}"/>
    <cellStyle name="Normal 4 4 2 2 7 4" xfId="15892" xr:uid="{00000000-0005-0000-0000-0000344C0000}"/>
    <cellStyle name="Normal 4 4 2 2 7 4 2" xfId="32558" xr:uid="{00000000-0005-0000-0000-0000354C0000}"/>
    <cellStyle name="Normal 4 4 2 2 7 5" xfId="15893" xr:uid="{00000000-0005-0000-0000-0000364C0000}"/>
    <cellStyle name="Normal 4 4 2 2 7 5 2" xfId="32559" xr:uid="{00000000-0005-0000-0000-0000374C0000}"/>
    <cellStyle name="Normal 4 4 2 2 7 6" xfId="32555" xr:uid="{00000000-0005-0000-0000-0000384C0000}"/>
    <cellStyle name="Normal 4 4 2 2 8" xfId="15894" xr:uid="{00000000-0005-0000-0000-0000394C0000}"/>
    <cellStyle name="Normal 4 4 2 2 8 2" xfId="15895" xr:uid="{00000000-0005-0000-0000-00003A4C0000}"/>
    <cellStyle name="Normal 4 4 2 2 8 2 2" xfId="32561" xr:uid="{00000000-0005-0000-0000-00003B4C0000}"/>
    <cellStyle name="Normal 4 4 2 2 8 3" xfId="15896" xr:uid="{00000000-0005-0000-0000-00003C4C0000}"/>
    <cellStyle name="Normal 4 4 2 2 8 3 2" xfId="32562" xr:uid="{00000000-0005-0000-0000-00003D4C0000}"/>
    <cellStyle name="Normal 4 4 2 2 8 4" xfId="15897" xr:uid="{00000000-0005-0000-0000-00003E4C0000}"/>
    <cellStyle name="Normal 4 4 2 2 8 4 2" xfId="32563" xr:uid="{00000000-0005-0000-0000-00003F4C0000}"/>
    <cellStyle name="Normal 4 4 2 2 8 5" xfId="15898" xr:uid="{00000000-0005-0000-0000-0000404C0000}"/>
    <cellStyle name="Normal 4 4 2 2 8 5 2" xfId="32564" xr:uid="{00000000-0005-0000-0000-0000414C0000}"/>
    <cellStyle name="Normal 4 4 2 2 8 6" xfId="32560" xr:uid="{00000000-0005-0000-0000-0000424C0000}"/>
    <cellStyle name="Normal 4 4 2 2 9" xfId="15899" xr:uid="{00000000-0005-0000-0000-0000434C0000}"/>
    <cellStyle name="Normal 4 4 2 2 9 2" xfId="15900" xr:uid="{00000000-0005-0000-0000-0000444C0000}"/>
    <cellStyle name="Normal 4 4 2 2 9 2 2" xfId="32566" xr:uid="{00000000-0005-0000-0000-0000454C0000}"/>
    <cellStyle name="Normal 4 4 2 2 9 3" xfId="15901" xr:uid="{00000000-0005-0000-0000-0000464C0000}"/>
    <cellStyle name="Normal 4 4 2 2 9 3 2" xfId="32567" xr:uid="{00000000-0005-0000-0000-0000474C0000}"/>
    <cellStyle name="Normal 4 4 2 2 9 4" xfId="15902" xr:uid="{00000000-0005-0000-0000-0000484C0000}"/>
    <cellStyle name="Normal 4 4 2 2 9 4 2" xfId="32568" xr:uid="{00000000-0005-0000-0000-0000494C0000}"/>
    <cellStyle name="Normal 4 4 2 2 9 5" xfId="15903" xr:uid="{00000000-0005-0000-0000-00004A4C0000}"/>
    <cellStyle name="Normal 4 4 2 2 9 5 2" xfId="32569" xr:uid="{00000000-0005-0000-0000-00004B4C0000}"/>
    <cellStyle name="Normal 4 4 2 2 9 6" xfId="32565" xr:uid="{00000000-0005-0000-0000-00004C4C0000}"/>
    <cellStyle name="Normal 4 4 2 20" xfId="15904" xr:uid="{00000000-0005-0000-0000-00004D4C0000}"/>
    <cellStyle name="Normal 4 4 2 20 2" xfId="32570" xr:uid="{00000000-0005-0000-0000-00004E4C0000}"/>
    <cellStyle name="Normal 4 4 2 21" xfId="15905" xr:uid="{00000000-0005-0000-0000-00004F4C0000}"/>
    <cellStyle name="Normal 4 4 2 21 2" xfId="32571" xr:uid="{00000000-0005-0000-0000-0000504C0000}"/>
    <cellStyle name="Normal 4 4 2 22" xfId="15906" xr:uid="{00000000-0005-0000-0000-0000514C0000}"/>
    <cellStyle name="Normal 4 4 2 22 2" xfId="32572" xr:uid="{00000000-0005-0000-0000-0000524C0000}"/>
    <cellStyle name="Normal 4 4 2 23" xfId="15907" xr:uid="{00000000-0005-0000-0000-0000534C0000}"/>
    <cellStyle name="Normal 4 4 2 23 2" xfId="32573" xr:uid="{00000000-0005-0000-0000-0000544C0000}"/>
    <cellStyle name="Normal 4 4 2 24" xfId="40706" xr:uid="{00000000-0005-0000-0000-0000554C0000}"/>
    <cellStyle name="Normal 4 4 2 25" xfId="32399" xr:uid="{00000000-0005-0000-0000-0000564C0000}"/>
    <cellStyle name="Normal 4 4 2 3" xfId="15908" xr:uid="{00000000-0005-0000-0000-0000574C0000}"/>
    <cellStyle name="Normal 4 4 2 3 10" xfId="15909" xr:uid="{00000000-0005-0000-0000-0000584C0000}"/>
    <cellStyle name="Normal 4 4 2 3 10 2" xfId="15910" xr:uid="{00000000-0005-0000-0000-0000594C0000}"/>
    <cellStyle name="Normal 4 4 2 3 10 2 2" xfId="32576" xr:uid="{00000000-0005-0000-0000-00005A4C0000}"/>
    <cellStyle name="Normal 4 4 2 3 10 3" xfId="15911" xr:uid="{00000000-0005-0000-0000-00005B4C0000}"/>
    <cellStyle name="Normal 4 4 2 3 10 3 2" xfId="32577" xr:uid="{00000000-0005-0000-0000-00005C4C0000}"/>
    <cellStyle name="Normal 4 4 2 3 10 4" xfId="15912" xr:uid="{00000000-0005-0000-0000-00005D4C0000}"/>
    <cellStyle name="Normal 4 4 2 3 10 4 2" xfId="32578" xr:uid="{00000000-0005-0000-0000-00005E4C0000}"/>
    <cellStyle name="Normal 4 4 2 3 10 5" xfId="15913" xr:uid="{00000000-0005-0000-0000-00005F4C0000}"/>
    <cellStyle name="Normal 4 4 2 3 10 5 2" xfId="32579" xr:uid="{00000000-0005-0000-0000-0000604C0000}"/>
    <cellStyle name="Normal 4 4 2 3 10 6" xfId="32575" xr:uid="{00000000-0005-0000-0000-0000614C0000}"/>
    <cellStyle name="Normal 4 4 2 3 11" xfId="15914" xr:uid="{00000000-0005-0000-0000-0000624C0000}"/>
    <cellStyle name="Normal 4 4 2 3 11 2" xfId="15915" xr:uid="{00000000-0005-0000-0000-0000634C0000}"/>
    <cellStyle name="Normal 4 4 2 3 11 2 2" xfId="32581" xr:uid="{00000000-0005-0000-0000-0000644C0000}"/>
    <cellStyle name="Normal 4 4 2 3 11 3" xfId="15916" xr:uid="{00000000-0005-0000-0000-0000654C0000}"/>
    <cellStyle name="Normal 4 4 2 3 11 3 2" xfId="32582" xr:uid="{00000000-0005-0000-0000-0000664C0000}"/>
    <cellStyle name="Normal 4 4 2 3 11 4" xfId="15917" xr:uid="{00000000-0005-0000-0000-0000674C0000}"/>
    <cellStyle name="Normal 4 4 2 3 11 4 2" xfId="32583" xr:uid="{00000000-0005-0000-0000-0000684C0000}"/>
    <cellStyle name="Normal 4 4 2 3 11 5" xfId="15918" xr:uid="{00000000-0005-0000-0000-0000694C0000}"/>
    <cellStyle name="Normal 4 4 2 3 11 5 2" xfId="32584" xr:uid="{00000000-0005-0000-0000-00006A4C0000}"/>
    <cellStyle name="Normal 4 4 2 3 11 6" xfId="32580" xr:uid="{00000000-0005-0000-0000-00006B4C0000}"/>
    <cellStyle name="Normal 4 4 2 3 12" xfId="15919" xr:uid="{00000000-0005-0000-0000-00006C4C0000}"/>
    <cellStyle name="Normal 4 4 2 3 12 2" xfId="15920" xr:uid="{00000000-0005-0000-0000-00006D4C0000}"/>
    <cellStyle name="Normal 4 4 2 3 12 2 2" xfId="32586" xr:uid="{00000000-0005-0000-0000-00006E4C0000}"/>
    <cellStyle name="Normal 4 4 2 3 12 3" xfId="15921" xr:uid="{00000000-0005-0000-0000-00006F4C0000}"/>
    <cellStyle name="Normal 4 4 2 3 12 3 2" xfId="32587" xr:uid="{00000000-0005-0000-0000-0000704C0000}"/>
    <cellStyle name="Normal 4 4 2 3 12 4" xfId="15922" xr:uid="{00000000-0005-0000-0000-0000714C0000}"/>
    <cellStyle name="Normal 4 4 2 3 12 4 2" xfId="32588" xr:uid="{00000000-0005-0000-0000-0000724C0000}"/>
    <cellStyle name="Normal 4 4 2 3 12 5" xfId="15923" xr:uid="{00000000-0005-0000-0000-0000734C0000}"/>
    <cellStyle name="Normal 4 4 2 3 12 5 2" xfId="32589" xr:uid="{00000000-0005-0000-0000-0000744C0000}"/>
    <cellStyle name="Normal 4 4 2 3 12 6" xfId="32585" xr:uid="{00000000-0005-0000-0000-0000754C0000}"/>
    <cellStyle name="Normal 4 4 2 3 13" xfId="15924" xr:uid="{00000000-0005-0000-0000-0000764C0000}"/>
    <cellStyle name="Normal 4 4 2 3 13 2" xfId="15925" xr:uid="{00000000-0005-0000-0000-0000774C0000}"/>
    <cellStyle name="Normal 4 4 2 3 13 2 2" xfId="32591" xr:uid="{00000000-0005-0000-0000-0000784C0000}"/>
    <cellStyle name="Normal 4 4 2 3 13 3" xfId="15926" xr:uid="{00000000-0005-0000-0000-0000794C0000}"/>
    <cellStyle name="Normal 4 4 2 3 13 3 2" xfId="32592" xr:uid="{00000000-0005-0000-0000-00007A4C0000}"/>
    <cellStyle name="Normal 4 4 2 3 13 4" xfId="15927" xr:uid="{00000000-0005-0000-0000-00007B4C0000}"/>
    <cellStyle name="Normal 4 4 2 3 13 4 2" xfId="32593" xr:uid="{00000000-0005-0000-0000-00007C4C0000}"/>
    <cellStyle name="Normal 4 4 2 3 13 5" xfId="15928" xr:uid="{00000000-0005-0000-0000-00007D4C0000}"/>
    <cellStyle name="Normal 4 4 2 3 13 5 2" xfId="32594" xr:uid="{00000000-0005-0000-0000-00007E4C0000}"/>
    <cellStyle name="Normal 4 4 2 3 13 6" xfId="32590" xr:uid="{00000000-0005-0000-0000-00007F4C0000}"/>
    <cellStyle name="Normal 4 4 2 3 14" xfId="15929" xr:uid="{00000000-0005-0000-0000-0000804C0000}"/>
    <cellStyle name="Normal 4 4 2 3 14 2" xfId="15930" xr:uid="{00000000-0005-0000-0000-0000814C0000}"/>
    <cellStyle name="Normal 4 4 2 3 14 2 2" xfId="32596" xr:uid="{00000000-0005-0000-0000-0000824C0000}"/>
    <cellStyle name="Normal 4 4 2 3 14 3" xfId="15931" xr:uid="{00000000-0005-0000-0000-0000834C0000}"/>
    <cellStyle name="Normal 4 4 2 3 14 3 2" xfId="32597" xr:uid="{00000000-0005-0000-0000-0000844C0000}"/>
    <cellStyle name="Normal 4 4 2 3 14 4" xfId="15932" xr:uid="{00000000-0005-0000-0000-0000854C0000}"/>
    <cellStyle name="Normal 4 4 2 3 14 4 2" xfId="32598" xr:uid="{00000000-0005-0000-0000-0000864C0000}"/>
    <cellStyle name="Normal 4 4 2 3 14 5" xfId="15933" xr:uid="{00000000-0005-0000-0000-0000874C0000}"/>
    <cellStyle name="Normal 4 4 2 3 14 5 2" xfId="32599" xr:uid="{00000000-0005-0000-0000-0000884C0000}"/>
    <cellStyle name="Normal 4 4 2 3 14 6" xfId="32595" xr:uid="{00000000-0005-0000-0000-0000894C0000}"/>
    <cellStyle name="Normal 4 4 2 3 15" xfId="15934" xr:uid="{00000000-0005-0000-0000-00008A4C0000}"/>
    <cellStyle name="Normal 4 4 2 3 15 2" xfId="15935" xr:uid="{00000000-0005-0000-0000-00008B4C0000}"/>
    <cellStyle name="Normal 4 4 2 3 15 2 2" xfId="32601" xr:uid="{00000000-0005-0000-0000-00008C4C0000}"/>
    <cellStyle name="Normal 4 4 2 3 15 3" xfId="15936" xr:uid="{00000000-0005-0000-0000-00008D4C0000}"/>
    <cellStyle name="Normal 4 4 2 3 15 3 2" xfId="32602" xr:uid="{00000000-0005-0000-0000-00008E4C0000}"/>
    <cellStyle name="Normal 4 4 2 3 15 4" xfId="15937" xr:uid="{00000000-0005-0000-0000-00008F4C0000}"/>
    <cellStyle name="Normal 4 4 2 3 15 4 2" xfId="32603" xr:uid="{00000000-0005-0000-0000-0000904C0000}"/>
    <cellStyle name="Normal 4 4 2 3 15 5" xfId="15938" xr:uid="{00000000-0005-0000-0000-0000914C0000}"/>
    <cellStyle name="Normal 4 4 2 3 15 5 2" xfId="32604" xr:uid="{00000000-0005-0000-0000-0000924C0000}"/>
    <cellStyle name="Normal 4 4 2 3 15 6" xfId="32600" xr:uid="{00000000-0005-0000-0000-0000934C0000}"/>
    <cellStyle name="Normal 4 4 2 3 16" xfId="15939" xr:uid="{00000000-0005-0000-0000-0000944C0000}"/>
    <cellStyle name="Normal 4 4 2 3 16 2" xfId="15940" xr:uid="{00000000-0005-0000-0000-0000954C0000}"/>
    <cellStyle name="Normal 4 4 2 3 16 2 2" xfId="32606" xr:uid="{00000000-0005-0000-0000-0000964C0000}"/>
    <cellStyle name="Normal 4 4 2 3 16 3" xfId="15941" xr:uid="{00000000-0005-0000-0000-0000974C0000}"/>
    <cellStyle name="Normal 4 4 2 3 16 3 2" xfId="32607" xr:uid="{00000000-0005-0000-0000-0000984C0000}"/>
    <cellStyle name="Normal 4 4 2 3 16 4" xfId="15942" xr:uid="{00000000-0005-0000-0000-0000994C0000}"/>
    <cellStyle name="Normal 4 4 2 3 16 4 2" xfId="32608" xr:uid="{00000000-0005-0000-0000-00009A4C0000}"/>
    <cellStyle name="Normal 4 4 2 3 16 5" xfId="15943" xr:uid="{00000000-0005-0000-0000-00009B4C0000}"/>
    <cellStyle name="Normal 4 4 2 3 16 5 2" xfId="32609" xr:uid="{00000000-0005-0000-0000-00009C4C0000}"/>
    <cellStyle name="Normal 4 4 2 3 16 6" xfId="32605" xr:uid="{00000000-0005-0000-0000-00009D4C0000}"/>
    <cellStyle name="Normal 4 4 2 3 17" xfId="15944" xr:uid="{00000000-0005-0000-0000-00009E4C0000}"/>
    <cellStyle name="Normal 4 4 2 3 17 2" xfId="32610" xr:uid="{00000000-0005-0000-0000-00009F4C0000}"/>
    <cellStyle name="Normal 4 4 2 3 18" xfId="15945" xr:uid="{00000000-0005-0000-0000-0000A04C0000}"/>
    <cellStyle name="Normal 4 4 2 3 18 2" xfId="32611" xr:uid="{00000000-0005-0000-0000-0000A14C0000}"/>
    <cellStyle name="Normal 4 4 2 3 19" xfId="15946" xr:uid="{00000000-0005-0000-0000-0000A24C0000}"/>
    <cellStyle name="Normal 4 4 2 3 19 2" xfId="32612" xr:uid="{00000000-0005-0000-0000-0000A34C0000}"/>
    <cellStyle name="Normal 4 4 2 3 2" xfId="15947" xr:uid="{00000000-0005-0000-0000-0000A44C0000}"/>
    <cellStyle name="Normal 4 4 2 3 2 10" xfId="15948" xr:uid="{00000000-0005-0000-0000-0000A54C0000}"/>
    <cellStyle name="Normal 4 4 2 3 2 10 2" xfId="32614" xr:uid="{00000000-0005-0000-0000-0000A64C0000}"/>
    <cellStyle name="Normal 4 4 2 3 2 11" xfId="15949" xr:uid="{00000000-0005-0000-0000-0000A74C0000}"/>
    <cellStyle name="Normal 4 4 2 3 2 11 2" xfId="32615" xr:uid="{00000000-0005-0000-0000-0000A84C0000}"/>
    <cellStyle name="Normal 4 4 2 3 2 12" xfId="32613" xr:uid="{00000000-0005-0000-0000-0000A94C0000}"/>
    <cellStyle name="Normal 4 4 2 3 2 2" xfId="15950" xr:uid="{00000000-0005-0000-0000-0000AA4C0000}"/>
    <cellStyle name="Normal 4 4 2 3 2 2 2" xfId="15951" xr:uid="{00000000-0005-0000-0000-0000AB4C0000}"/>
    <cellStyle name="Normal 4 4 2 3 2 2 2 2" xfId="32617" xr:uid="{00000000-0005-0000-0000-0000AC4C0000}"/>
    <cellStyle name="Normal 4 4 2 3 2 2 3" xfId="15952" xr:uid="{00000000-0005-0000-0000-0000AD4C0000}"/>
    <cellStyle name="Normal 4 4 2 3 2 2 3 2" xfId="32618" xr:uid="{00000000-0005-0000-0000-0000AE4C0000}"/>
    <cellStyle name="Normal 4 4 2 3 2 2 4" xfId="15953" xr:uid="{00000000-0005-0000-0000-0000AF4C0000}"/>
    <cellStyle name="Normal 4 4 2 3 2 2 4 2" xfId="32619" xr:uid="{00000000-0005-0000-0000-0000B04C0000}"/>
    <cellStyle name="Normal 4 4 2 3 2 2 5" xfId="15954" xr:uid="{00000000-0005-0000-0000-0000B14C0000}"/>
    <cellStyle name="Normal 4 4 2 3 2 2 5 2" xfId="32620" xr:uid="{00000000-0005-0000-0000-0000B24C0000}"/>
    <cellStyle name="Normal 4 4 2 3 2 2 6" xfId="32616" xr:uid="{00000000-0005-0000-0000-0000B34C0000}"/>
    <cellStyle name="Normal 4 4 2 3 2 3" xfId="15955" xr:uid="{00000000-0005-0000-0000-0000B44C0000}"/>
    <cellStyle name="Normal 4 4 2 3 2 3 2" xfId="15956" xr:uid="{00000000-0005-0000-0000-0000B54C0000}"/>
    <cellStyle name="Normal 4 4 2 3 2 3 2 2" xfId="32622" xr:uid="{00000000-0005-0000-0000-0000B64C0000}"/>
    <cellStyle name="Normal 4 4 2 3 2 3 3" xfId="15957" xr:uid="{00000000-0005-0000-0000-0000B74C0000}"/>
    <cellStyle name="Normal 4 4 2 3 2 3 3 2" xfId="32623" xr:uid="{00000000-0005-0000-0000-0000B84C0000}"/>
    <cellStyle name="Normal 4 4 2 3 2 3 4" xfId="15958" xr:uid="{00000000-0005-0000-0000-0000B94C0000}"/>
    <cellStyle name="Normal 4 4 2 3 2 3 4 2" xfId="32624" xr:uid="{00000000-0005-0000-0000-0000BA4C0000}"/>
    <cellStyle name="Normal 4 4 2 3 2 3 5" xfId="15959" xr:uid="{00000000-0005-0000-0000-0000BB4C0000}"/>
    <cellStyle name="Normal 4 4 2 3 2 3 5 2" xfId="32625" xr:uid="{00000000-0005-0000-0000-0000BC4C0000}"/>
    <cellStyle name="Normal 4 4 2 3 2 3 6" xfId="32621" xr:uid="{00000000-0005-0000-0000-0000BD4C0000}"/>
    <cellStyle name="Normal 4 4 2 3 2 4" xfId="15960" xr:uid="{00000000-0005-0000-0000-0000BE4C0000}"/>
    <cellStyle name="Normal 4 4 2 3 2 4 2" xfId="15961" xr:uid="{00000000-0005-0000-0000-0000BF4C0000}"/>
    <cellStyle name="Normal 4 4 2 3 2 4 2 2" xfId="32627" xr:uid="{00000000-0005-0000-0000-0000C04C0000}"/>
    <cellStyle name="Normal 4 4 2 3 2 4 3" xfId="15962" xr:uid="{00000000-0005-0000-0000-0000C14C0000}"/>
    <cellStyle name="Normal 4 4 2 3 2 4 3 2" xfId="32628" xr:uid="{00000000-0005-0000-0000-0000C24C0000}"/>
    <cellStyle name="Normal 4 4 2 3 2 4 4" xfId="15963" xr:uid="{00000000-0005-0000-0000-0000C34C0000}"/>
    <cellStyle name="Normal 4 4 2 3 2 4 4 2" xfId="32629" xr:uid="{00000000-0005-0000-0000-0000C44C0000}"/>
    <cellStyle name="Normal 4 4 2 3 2 4 5" xfId="15964" xr:uid="{00000000-0005-0000-0000-0000C54C0000}"/>
    <cellStyle name="Normal 4 4 2 3 2 4 5 2" xfId="32630" xr:uid="{00000000-0005-0000-0000-0000C64C0000}"/>
    <cellStyle name="Normal 4 4 2 3 2 4 6" xfId="32626" xr:uid="{00000000-0005-0000-0000-0000C74C0000}"/>
    <cellStyle name="Normal 4 4 2 3 2 5" xfId="15965" xr:uid="{00000000-0005-0000-0000-0000C84C0000}"/>
    <cellStyle name="Normal 4 4 2 3 2 5 2" xfId="15966" xr:uid="{00000000-0005-0000-0000-0000C94C0000}"/>
    <cellStyle name="Normal 4 4 2 3 2 5 2 2" xfId="32632" xr:uid="{00000000-0005-0000-0000-0000CA4C0000}"/>
    <cellStyle name="Normal 4 4 2 3 2 5 3" xfId="15967" xr:uid="{00000000-0005-0000-0000-0000CB4C0000}"/>
    <cellStyle name="Normal 4 4 2 3 2 5 3 2" xfId="32633" xr:uid="{00000000-0005-0000-0000-0000CC4C0000}"/>
    <cellStyle name="Normal 4 4 2 3 2 5 4" xfId="15968" xr:uid="{00000000-0005-0000-0000-0000CD4C0000}"/>
    <cellStyle name="Normal 4 4 2 3 2 5 4 2" xfId="32634" xr:uid="{00000000-0005-0000-0000-0000CE4C0000}"/>
    <cellStyle name="Normal 4 4 2 3 2 5 5" xfId="15969" xr:uid="{00000000-0005-0000-0000-0000CF4C0000}"/>
    <cellStyle name="Normal 4 4 2 3 2 5 5 2" xfId="32635" xr:uid="{00000000-0005-0000-0000-0000D04C0000}"/>
    <cellStyle name="Normal 4 4 2 3 2 5 6" xfId="32631" xr:uid="{00000000-0005-0000-0000-0000D14C0000}"/>
    <cellStyle name="Normal 4 4 2 3 2 6" xfId="15970" xr:uid="{00000000-0005-0000-0000-0000D24C0000}"/>
    <cellStyle name="Normal 4 4 2 3 2 6 2" xfId="15971" xr:uid="{00000000-0005-0000-0000-0000D34C0000}"/>
    <cellStyle name="Normal 4 4 2 3 2 6 2 2" xfId="32637" xr:uid="{00000000-0005-0000-0000-0000D44C0000}"/>
    <cellStyle name="Normal 4 4 2 3 2 6 3" xfId="15972" xr:uid="{00000000-0005-0000-0000-0000D54C0000}"/>
    <cellStyle name="Normal 4 4 2 3 2 6 3 2" xfId="32638" xr:uid="{00000000-0005-0000-0000-0000D64C0000}"/>
    <cellStyle name="Normal 4 4 2 3 2 6 4" xfId="15973" xr:uid="{00000000-0005-0000-0000-0000D74C0000}"/>
    <cellStyle name="Normal 4 4 2 3 2 6 4 2" xfId="32639" xr:uid="{00000000-0005-0000-0000-0000D84C0000}"/>
    <cellStyle name="Normal 4 4 2 3 2 6 5" xfId="15974" xr:uid="{00000000-0005-0000-0000-0000D94C0000}"/>
    <cellStyle name="Normal 4 4 2 3 2 6 5 2" xfId="32640" xr:uid="{00000000-0005-0000-0000-0000DA4C0000}"/>
    <cellStyle name="Normal 4 4 2 3 2 6 6" xfId="32636" xr:uid="{00000000-0005-0000-0000-0000DB4C0000}"/>
    <cellStyle name="Normal 4 4 2 3 2 7" xfId="15975" xr:uid="{00000000-0005-0000-0000-0000DC4C0000}"/>
    <cellStyle name="Normal 4 4 2 3 2 7 2" xfId="15976" xr:uid="{00000000-0005-0000-0000-0000DD4C0000}"/>
    <cellStyle name="Normal 4 4 2 3 2 7 2 2" xfId="32642" xr:uid="{00000000-0005-0000-0000-0000DE4C0000}"/>
    <cellStyle name="Normal 4 4 2 3 2 7 3" xfId="15977" xr:uid="{00000000-0005-0000-0000-0000DF4C0000}"/>
    <cellStyle name="Normal 4 4 2 3 2 7 3 2" xfId="32643" xr:uid="{00000000-0005-0000-0000-0000E04C0000}"/>
    <cellStyle name="Normal 4 4 2 3 2 7 4" xfId="15978" xr:uid="{00000000-0005-0000-0000-0000E14C0000}"/>
    <cellStyle name="Normal 4 4 2 3 2 7 4 2" xfId="32644" xr:uid="{00000000-0005-0000-0000-0000E24C0000}"/>
    <cellStyle name="Normal 4 4 2 3 2 7 5" xfId="15979" xr:uid="{00000000-0005-0000-0000-0000E34C0000}"/>
    <cellStyle name="Normal 4 4 2 3 2 7 5 2" xfId="32645" xr:uid="{00000000-0005-0000-0000-0000E44C0000}"/>
    <cellStyle name="Normal 4 4 2 3 2 7 6" xfId="32641" xr:uid="{00000000-0005-0000-0000-0000E54C0000}"/>
    <cellStyle name="Normal 4 4 2 3 2 8" xfId="15980" xr:uid="{00000000-0005-0000-0000-0000E64C0000}"/>
    <cellStyle name="Normal 4 4 2 3 2 8 2" xfId="32646" xr:uid="{00000000-0005-0000-0000-0000E74C0000}"/>
    <cellStyle name="Normal 4 4 2 3 2 9" xfId="15981" xr:uid="{00000000-0005-0000-0000-0000E84C0000}"/>
    <cellStyle name="Normal 4 4 2 3 2 9 2" xfId="32647" xr:uid="{00000000-0005-0000-0000-0000E94C0000}"/>
    <cellStyle name="Normal 4 4 2 3 20" xfId="15982" xr:uid="{00000000-0005-0000-0000-0000EA4C0000}"/>
    <cellStyle name="Normal 4 4 2 3 20 2" xfId="32648" xr:uid="{00000000-0005-0000-0000-0000EB4C0000}"/>
    <cellStyle name="Normal 4 4 2 3 21" xfId="32574" xr:uid="{00000000-0005-0000-0000-0000EC4C0000}"/>
    <cellStyle name="Normal 4 4 2 3 3" xfId="15983" xr:uid="{00000000-0005-0000-0000-0000ED4C0000}"/>
    <cellStyle name="Normal 4 4 2 3 3 2" xfId="15984" xr:uid="{00000000-0005-0000-0000-0000EE4C0000}"/>
    <cellStyle name="Normal 4 4 2 3 3 2 2" xfId="15985" xr:uid="{00000000-0005-0000-0000-0000EF4C0000}"/>
    <cellStyle name="Normal 4 4 2 3 3 2 2 2" xfId="32651" xr:uid="{00000000-0005-0000-0000-0000F04C0000}"/>
    <cellStyle name="Normal 4 4 2 3 3 2 3" xfId="15986" xr:uid="{00000000-0005-0000-0000-0000F14C0000}"/>
    <cellStyle name="Normal 4 4 2 3 3 2 3 2" xfId="32652" xr:uid="{00000000-0005-0000-0000-0000F24C0000}"/>
    <cellStyle name="Normal 4 4 2 3 3 2 4" xfId="15987" xr:uid="{00000000-0005-0000-0000-0000F34C0000}"/>
    <cellStyle name="Normal 4 4 2 3 3 2 4 2" xfId="32653" xr:uid="{00000000-0005-0000-0000-0000F44C0000}"/>
    <cellStyle name="Normal 4 4 2 3 3 2 5" xfId="15988" xr:uid="{00000000-0005-0000-0000-0000F54C0000}"/>
    <cellStyle name="Normal 4 4 2 3 3 2 5 2" xfId="32654" xr:uid="{00000000-0005-0000-0000-0000F64C0000}"/>
    <cellStyle name="Normal 4 4 2 3 3 2 6" xfId="32650" xr:uid="{00000000-0005-0000-0000-0000F74C0000}"/>
    <cellStyle name="Normal 4 4 2 3 3 3" xfId="15989" xr:uid="{00000000-0005-0000-0000-0000F84C0000}"/>
    <cellStyle name="Normal 4 4 2 3 3 3 2" xfId="32655" xr:uid="{00000000-0005-0000-0000-0000F94C0000}"/>
    <cellStyle name="Normal 4 4 2 3 3 4" xfId="15990" xr:uid="{00000000-0005-0000-0000-0000FA4C0000}"/>
    <cellStyle name="Normal 4 4 2 3 3 4 2" xfId="32656" xr:uid="{00000000-0005-0000-0000-0000FB4C0000}"/>
    <cellStyle name="Normal 4 4 2 3 3 5" xfId="15991" xr:uid="{00000000-0005-0000-0000-0000FC4C0000}"/>
    <cellStyle name="Normal 4 4 2 3 3 5 2" xfId="32657" xr:uid="{00000000-0005-0000-0000-0000FD4C0000}"/>
    <cellStyle name="Normal 4 4 2 3 3 6" xfId="15992" xr:uid="{00000000-0005-0000-0000-0000FE4C0000}"/>
    <cellStyle name="Normal 4 4 2 3 3 6 2" xfId="32658" xr:uid="{00000000-0005-0000-0000-0000FF4C0000}"/>
    <cellStyle name="Normal 4 4 2 3 3 7" xfId="32649" xr:uid="{00000000-0005-0000-0000-0000004D0000}"/>
    <cellStyle name="Normal 4 4 2 3 4" xfId="15993" xr:uid="{00000000-0005-0000-0000-0000014D0000}"/>
    <cellStyle name="Normal 4 4 2 3 4 2" xfId="15994" xr:uid="{00000000-0005-0000-0000-0000024D0000}"/>
    <cellStyle name="Normal 4 4 2 3 4 2 2" xfId="15995" xr:uid="{00000000-0005-0000-0000-0000034D0000}"/>
    <cellStyle name="Normal 4 4 2 3 4 2 2 2" xfId="32661" xr:uid="{00000000-0005-0000-0000-0000044D0000}"/>
    <cellStyle name="Normal 4 4 2 3 4 2 3" xfId="15996" xr:uid="{00000000-0005-0000-0000-0000054D0000}"/>
    <cellStyle name="Normal 4 4 2 3 4 2 3 2" xfId="32662" xr:uid="{00000000-0005-0000-0000-0000064D0000}"/>
    <cellStyle name="Normal 4 4 2 3 4 2 4" xfId="15997" xr:uid="{00000000-0005-0000-0000-0000074D0000}"/>
    <cellStyle name="Normal 4 4 2 3 4 2 4 2" xfId="32663" xr:uid="{00000000-0005-0000-0000-0000084D0000}"/>
    <cellStyle name="Normal 4 4 2 3 4 2 5" xfId="15998" xr:uid="{00000000-0005-0000-0000-0000094D0000}"/>
    <cellStyle name="Normal 4 4 2 3 4 2 5 2" xfId="32664" xr:uid="{00000000-0005-0000-0000-00000A4D0000}"/>
    <cellStyle name="Normal 4 4 2 3 4 2 6" xfId="32660" xr:uid="{00000000-0005-0000-0000-00000B4D0000}"/>
    <cellStyle name="Normal 4 4 2 3 4 3" xfId="15999" xr:uid="{00000000-0005-0000-0000-00000C4D0000}"/>
    <cellStyle name="Normal 4 4 2 3 4 3 2" xfId="32665" xr:uid="{00000000-0005-0000-0000-00000D4D0000}"/>
    <cellStyle name="Normal 4 4 2 3 4 4" xfId="16000" xr:uid="{00000000-0005-0000-0000-00000E4D0000}"/>
    <cellStyle name="Normal 4 4 2 3 4 4 2" xfId="32666" xr:uid="{00000000-0005-0000-0000-00000F4D0000}"/>
    <cellStyle name="Normal 4 4 2 3 4 5" xfId="16001" xr:uid="{00000000-0005-0000-0000-0000104D0000}"/>
    <cellStyle name="Normal 4 4 2 3 4 5 2" xfId="32667" xr:uid="{00000000-0005-0000-0000-0000114D0000}"/>
    <cellStyle name="Normal 4 4 2 3 4 6" xfId="16002" xr:uid="{00000000-0005-0000-0000-0000124D0000}"/>
    <cellStyle name="Normal 4 4 2 3 4 6 2" xfId="32668" xr:uid="{00000000-0005-0000-0000-0000134D0000}"/>
    <cellStyle name="Normal 4 4 2 3 4 7" xfId="32659" xr:uid="{00000000-0005-0000-0000-0000144D0000}"/>
    <cellStyle name="Normal 4 4 2 3 5" xfId="16003" xr:uid="{00000000-0005-0000-0000-0000154D0000}"/>
    <cellStyle name="Normal 4 4 2 3 5 2" xfId="16004" xr:uid="{00000000-0005-0000-0000-0000164D0000}"/>
    <cellStyle name="Normal 4 4 2 3 5 2 2" xfId="32670" xr:uid="{00000000-0005-0000-0000-0000174D0000}"/>
    <cellStyle name="Normal 4 4 2 3 5 3" xfId="16005" xr:uid="{00000000-0005-0000-0000-0000184D0000}"/>
    <cellStyle name="Normal 4 4 2 3 5 3 2" xfId="32671" xr:uid="{00000000-0005-0000-0000-0000194D0000}"/>
    <cellStyle name="Normal 4 4 2 3 5 4" xfId="16006" xr:uid="{00000000-0005-0000-0000-00001A4D0000}"/>
    <cellStyle name="Normal 4 4 2 3 5 4 2" xfId="32672" xr:uid="{00000000-0005-0000-0000-00001B4D0000}"/>
    <cellStyle name="Normal 4 4 2 3 5 5" xfId="16007" xr:uid="{00000000-0005-0000-0000-00001C4D0000}"/>
    <cellStyle name="Normal 4 4 2 3 5 5 2" xfId="32673" xr:uid="{00000000-0005-0000-0000-00001D4D0000}"/>
    <cellStyle name="Normal 4 4 2 3 5 6" xfId="32669" xr:uid="{00000000-0005-0000-0000-00001E4D0000}"/>
    <cellStyle name="Normal 4 4 2 3 6" xfId="16008" xr:uid="{00000000-0005-0000-0000-00001F4D0000}"/>
    <cellStyle name="Normal 4 4 2 3 6 2" xfId="16009" xr:uid="{00000000-0005-0000-0000-0000204D0000}"/>
    <cellStyle name="Normal 4 4 2 3 6 2 2" xfId="32675" xr:uid="{00000000-0005-0000-0000-0000214D0000}"/>
    <cellStyle name="Normal 4 4 2 3 6 3" xfId="16010" xr:uid="{00000000-0005-0000-0000-0000224D0000}"/>
    <cellStyle name="Normal 4 4 2 3 6 3 2" xfId="32676" xr:uid="{00000000-0005-0000-0000-0000234D0000}"/>
    <cellStyle name="Normal 4 4 2 3 6 4" xfId="16011" xr:uid="{00000000-0005-0000-0000-0000244D0000}"/>
    <cellStyle name="Normal 4 4 2 3 6 4 2" xfId="32677" xr:uid="{00000000-0005-0000-0000-0000254D0000}"/>
    <cellStyle name="Normal 4 4 2 3 6 5" xfId="16012" xr:uid="{00000000-0005-0000-0000-0000264D0000}"/>
    <cellStyle name="Normal 4 4 2 3 6 5 2" xfId="32678" xr:uid="{00000000-0005-0000-0000-0000274D0000}"/>
    <cellStyle name="Normal 4 4 2 3 6 6" xfId="32674" xr:uid="{00000000-0005-0000-0000-0000284D0000}"/>
    <cellStyle name="Normal 4 4 2 3 7" xfId="16013" xr:uid="{00000000-0005-0000-0000-0000294D0000}"/>
    <cellStyle name="Normal 4 4 2 3 7 2" xfId="16014" xr:uid="{00000000-0005-0000-0000-00002A4D0000}"/>
    <cellStyle name="Normal 4 4 2 3 7 2 2" xfId="32680" xr:uid="{00000000-0005-0000-0000-00002B4D0000}"/>
    <cellStyle name="Normal 4 4 2 3 7 3" xfId="16015" xr:uid="{00000000-0005-0000-0000-00002C4D0000}"/>
    <cellStyle name="Normal 4 4 2 3 7 3 2" xfId="32681" xr:uid="{00000000-0005-0000-0000-00002D4D0000}"/>
    <cellStyle name="Normal 4 4 2 3 7 4" xfId="16016" xr:uid="{00000000-0005-0000-0000-00002E4D0000}"/>
    <cellStyle name="Normal 4 4 2 3 7 4 2" xfId="32682" xr:uid="{00000000-0005-0000-0000-00002F4D0000}"/>
    <cellStyle name="Normal 4 4 2 3 7 5" xfId="16017" xr:uid="{00000000-0005-0000-0000-0000304D0000}"/>
    <cellStyle name="Normal 4 4 2 3 7 5 2" xfId="32683" xr:uid="{00000000-0005-0000-0000-0000314D0000}"/>
    <cellStyle name="Normal 4 4 2 3 7 6" xfId="32679" xr:uid="{00000000-0005-0000-0000-0000324D0000}"/>
    <cellStyle name="Normal 4 4 2 3 8" xfId="16018" xr:uid="{00000000-0005-0000-0000-0000334D0000}"/>
    <cellStyle name="Normal 4 4 2 3 8 2" xfId="16019" xr:uid="{00000000-0005-0000-0000-0000344D0000}"/>
    <cellStyle name="Normal 4 4 2 3 8 2 2" xfId="32685" xr:uid="{00000000-0005-0000-0000-0000354D0000}"/>
    <cellStyle name="Normal 4 4 2 3 8 3" xfId="16020" xr:uid="{00000000-0005-0000-0000-0000364D0000}"/>
    <cellStyle name="Normal 4 4 2 3 8 3 2" xfId="32686" xr:uid="{00000000-0005-0000-0000-0000374D0000}"/>
    <cellStyle name="Normal 4 4 2 3 8 4" xfId="16021" xr:uid="{00000000-0005-0000-0000-0000384D0000}"/>
    <cellStyle name="Normal 4 4 2 3 8 4 2" xfId="32687" xr:uid="{00000000-0005-0000-0000-0000394D0000}"/>
    <cellStyle name="Normal 4 4 2 3 8 5" xfId="16022" xr:uid="{00000000-0005-0000-0000-00003A4D0000}"/>
    <cellStyle name="Normal 4 4 2 3 8 5 2" xfId="32688" xr:uid="{00000000-0005-0000-0000-00003B4D0000}"/>
    <cellStyle name="Normal 4 4 2 3 8 6" xfId="32684" xr:uid="{00000000-0005-0000-0000-00003C4D0000}"/>
    <cellStyle name="Normal 4 4 2 3 9" xfId="16023" xr:uid="{00000000-0005-0000-0000-00003D4D0000}"/>
    <cellStyle name="Normal 4 4 2 3 9 2" xfId="16024" xr:uid="{00000000-0005-0000-0000-00003E4D0000}"/>
    <cellStyle name="Normal 4 4 2 3 9 2 2" xfId="32690" xr:uid="{00000000-0005-0000-0000-00003F4D0000}"/>
    <cellStyle name="Normal 4 4 2 3 9 3" xfId="16025" xr:uid="{00000000-0005-0000-0000-0000404D0000}"/>
    <cellStyle name="Normal 4 4 2 3 9 3 2" xfId="32691" xr:uid="{00000000-0005-0000-0000-0000414D0000}"/>
    <cellStyle name="Normal 4 4 2 3 9 4" xfId="16026" xr:uid="{00000000-0005-0000-0000-0000424D0000}"/>
    <cellStyle name="Normal 4 4 2 3 9 4 2" xfId="32692" xr:uid="{00000000-0005-0000-0000-0000434D0000}"/>
    <cellStyle name="Normal 4 4 2 3 9 5" xfId="16027" xr:uid="{00000000-0005-0000-0000-0000444D0000}"/>
    <cellStyle name="Normal 4 4 2 3 9 5 2" xfId="32693" xr:uid="{00000000-0005-0000-0000-0000454D0000}"/>
    <cellStyle name="Normal 4 4 2 3 9 6" xfId="32689" xr:uid="{00000000-0005-0000-0000-0000464D0000}"/>
    <cellStyle name="Normal 4 4 2 4" xfId="16028" xr:uid="{00000000-0005-0000-0000-0000474D0000}"/>
    <cellStyle name="Normal 4 4 2 4 10" xfId="16029" xr:uid="{00000000-0005-0000-0000-0000484D0000}"/>
    <cellStyle name="Normal 4 4 2 4 10 2" xfId="16030" xr:uid="{00000000-0005-0000-0000-0000494D0000}"/>
    <cellStyle name="Normal 4 4 2 4 10 2 2" xfId="32696" xr:uid="{00000000-0005-0000-0000-00004A4D0000}"/>
    <cellStyle name="Normal 4 4 2 4 10 3" xfId="16031" xr:uid="{00000000-0005-0000-0000-00004B4D0000}"/>
    <cellStyle name="Normal 4 4 2 4 10 3 2" xfId="32697" xr:uid="{00000000-0005-0000-0000-00004C4D0000}"/>
    <cellStyle name="Normal 4 4 2 4 10 4" xfId="16032" xr:uid="{00000000-0005-0000-0000-00004D4D0000}"/>
    <cellStyle name="Normal 4 4 2 4 10 4 2" xfId="32698" xr:uid="{00000000-0005-0000-0000-00004E4D0000}"/>
    <cellStyle name="Normal 4 4 2 4 10 5" xfId="16033" xr:uid="{00000000-0005-0000-0000-00004F4D0000}"/>
    <cellStyle name="Normal 4 4 2 4 10 5 2" xfId="32699" xr:uid="{00000000-0005-0000-0000-0000504D0000}"/>
    <cellStyle name="Normal 4 4 2 4 10 6" xfId="32695" xr:uid="{00000000-0005-0000-0000-0000514D0000}"/>
    <cellStyle name="Normal 4 4 2 4 11" xfId="16034" xr:uid="{00000000-0005-0000-0000-0000524D0000}"/>
    <cellStyle name="Normal 4 4 2 4 11 2" xfId="16035" xr:uid="{00000000-0005-0000-0000-0000534D0000}"/>
    <cellStyle name="Normal 4 4 2 4 11 2 2" xfId="32701" xr:uid="{00000000-0005-0000-0000-0000544D0000}"/>
    <cellStyle name="Normal 4 4 2 4 11 3" xfId="16036" xr:uid="{00000000-0005-0000-0000-0000554D0000}"/>
    <cellStyle name="Normal 4 4 2 4 11 3 2" xfId="32702" xr:uid="{00000000-0005-0000-0000-0000564D0000}"/>
    <cellStyle name="Normal 4 4 2 4 11 4" xfId="16037" xr:uid="{00000000-0005-0000-0000-0000574D0000}"/>
    <cellStyle name="Normal 4 4 2 4 11 4 2" xfId="32703" xr:uid="{00000000-0005-0000-0000-0000584D0000}"/>
    <cellStyle name="Normal 4 4 2 4 11 5" xfId="16038" xr:uid="{00000000-0005-0000-0000-0000594D0000}"/>
    <cellStyle name="Normal 4 4 2 4 11 5 2" xfId="32704" xr:uid="{00000000-0005-0000-0000-00005A4D0000}"/>
    <cellStyle name="Normal 4 4 2 4 11 6" xfId="32700" xr:uid="{00000000-0005-0000-0000-00005B4D0000}"/>
    <cellStyle name="Normal 4 4 2 4 12" xfId="16039" xr:uid="{00000000-0005-0000-0000-00005C4D0000}"/>
    <cellStyle name="Normal 4 4 2 4 12 2" xfId="16040" xr:uid="{00000000-0005-0000-0000-00005D4D0000}"/>
    <cellStyle name="Normal 4 4 2 4 12 2 2" xfId="32706" xr:uid="{00000000-0005-0000-0000-00005E4D0000}"/>
    <cellStyle name="Normal 4 4 2 4 12 3" xfId="16041" xr:uid="{00000000-0005-0000-0000-00005F4D0000}"/>
    <cellStyle name="Normal 4 4 2 4 12 3 2" xfId="32707" xr:uid="{00000000-0005-0000-0000-0000604D0000}"/>
    <cellStyle name="Normal 4 4 2 4 12 4" xfId="16042" xr:uid="{00000000-0005-0000-0000-0000614D0000}"/>
    <cellStyle name="Normal 4 4 2 4 12 4 2" xfId="32708" xr:uid="{00000000-0005-0000-0000-0000624D0000}"/>
    <cellStyle name="Normal 4 4 2 4 12 5" xfId="16043" xr:uid="{00000000-0005-0000-0000-0000634D0000}"/>
    <cellStyle name="Normal 4 4 2 4 12 5 2" xfId="32709" xr:uid="{00000000-0005-0000-0000-0000644D0000}"/>
    <cellStyle name="Normal 4 4 2 4 12 6" xfId="32705" xr:uid="{00000000-0005-0000-0000-0000654D0000}"/>
    <cellStyle name="Normal 4 4 2 4 13" xfId="16044" xr:uid="{00000000-0005-0000-0000-0000664D0000}"/>
    <cellStyle name="Normal 4 4 2 4 13 2" xfId="16045" xr:uid="{00000000-0005-0000-0000-0000674D0000}"/>
    <cellStyle name="Normal 4 4 2 4 13 2 2" xfId="32711" xr:uid="{00000000-0005-0000-0000-0000684D0000}"/>
    <cellStyle name="Normal 4 4 2 4 13 3" xfId="16046" xr:uid="{00000000-0005-0000-0000-0000694D0000}"/>
    <cellStyle name="Normal 4 4 2 4 13 3 2" xfId="32712" xr:uid="{00000000-0005-0000-0000-00006A4D0000}"/>
    <cellStyle name="Normal 4 4 2 4 13 4" xfId="16047" xr:uid="{00000000-0005-0000-0000-00006B4D0000}"/>
    <cellStyle name="Normal 4 4 2 4 13 4 2" xfId="32713" xr:uid="{00000000-0005-0000-0000-00006C4D0000}"/>
    <cellStyle name="Normal 4 4 2 4 13 5" xfId="16048" xr:uid="{00000000-0005-0000-0000-00006D4D0000}"/>
    <cellStyle name="Normal 4 4 2 4 13 5 2" xfId="32714" xr:uid="{00000000-0005-0000-0000-00006E4D0000}"/>
    <cellStyle name="Normal 4 4 2 4 13 6" xfId="32710" xr:uid="{00000000-0005-0000-0000-00006F4D0000}"/>
    <cellStyle name="Normal 4 4 2 4 14" xfId="16049" xr:uid="{00000000-0005-0000-0000-0000704D0000}"/>
    <cellStyle name="Normal 4 4 2 4 14 2" xfId="16050" xr:uid="{00000000-0005-0000-0000-0000714D0000}"/>
    <cellStyle name="Normal 4 4 2 4 14 2 2" xfId="32716" xr:uid="{00000000-0005-0000-0000-0000724D0000}"/>
    <cellStyle name="Normal 4 4 2 4 14 3" xfId="16051" xr:uid="{00000000-0005-0000-0000-0000734D0000}"/>
    <cellStyle name="Normal 4 4 2 4 14 3 2" xfId="32717" xr:uid="{00000000-0005-0000-0000-0000744D0000}"/>
    <cellStyle name="Normal 4 4 2 4 14 4" xfId="16052" xr:uid="{00000000-0005-0000-0000-0000754D0000}"/>
    <cellStyle name="Normal 4 4 2 4 14 4 2" xfId="32718" xr:uid="{00000000-0005-0000-0000-0000764D0000}"/>
    <cellStyle name="Normal 4 4 2 4 14 5" xfId="16053" xr:uid="{00000000-0005-0000-0000-0000774D0000}"/>
    <cellStyle name="Normal 4 4 2 4 14 5 2" xfId="32719" xr:uid="{00000000-0005-0000-0000-0000784D0000}"/>
    <cellStyle name="Normal 4 4 2 4 14 6" xfId="32715" xr:uid="{00000000-0005-0000-0000-0000794D0000}"/>
    <cellStyle name="Normal 4 4 2 4 15" xfId="16054" xr:uid="{00000000-0005-0000-0000-00007A4D0000}"/>
    <cellStyle name="Normal 4 4 2 4 15 2" xfId="16055" xr:uid="{00000000-0005-0000-0000-00007B4D0000}"/>
    <cellStyle name="Normal 4 4 2 4 15 2 2" xfId="32721" xr:uid="{00000000-0005-0000-0000-00007C4D0000}"/>
    <cellStyle name="Normal 4 4 2 4 15 3" xfId="16056" xr:uid="{00000000-0005-0000-0000-00007D4D0000}"/>
    <cellStyle name="Normal 4 4 2 4 15 3 2" xfId="32722" xr:uid="{00000000-0005-0000-0000-00007E4D0000}"/>
    <cellStyle name="Normal 4 4 2 4 15 4" xfId="16057" xr:uid="{00000000-0005-0000-0000-00007F4D0000}"/>
    <cellStyle name="Normal 4 4 2 4 15 4 2" xfId="32723" xr:uid="{00000000-0005-0000-0000-0000804D0000}"/>
    <cellStyle name="Normal 4 4 2 4 15 5" xfId="16058" xr:uid="{00000000-0005-0000-0000-0000814D0000}"/>
    <cellStyle name="Normal 4 4 2 4 15 5 2" xfId="32724" xr:uid="{00000000-0005-0000-0000-0000824D0000}"/>
    <cellStyle name="Normal 4 4 2 4 15 6" xfId="32720" xr:uid="{00000000-0005-0000-0000-0000834D0000}"/>
    <cellStyle name="Normal 4 4 2 4 16" xfId="16059" xr:uid="{00000000-0005-0000-0000-0000844D0000}"/>
    <cellStyle name="Normal 4 4 2 4 16 2" xfId="16060" xr:uid="{00000000-0005-0000-0000-0000854D0000}"/>
    <cellStyle name="Normal 4 4 2 4 16 2 2" xfId="32726" xr:uid="{00000000-0005-0000-0000-0000864D0000}"/>
    <cellStyle name="Normal 4 4 2 4 16 3" xfId="16061" xr:uid="{00000000-0005-0000-0000-0000874D0000}"/>
    <cellStyle name="Normal 4 4 2 4 16 3 2" xfId="32727" xr:uid="{00000000-0005-0000-0000-0000884D0000}"/>
    <cellStyle name="Normal 4 4 2 4 16 4" xfId="16062" xr:uid="{00000000-0005-0000-0000-0000894D0000}"/>
    <cellStyle name="Normal 4 4 2 4 16 4 2" xfId="32728" xr:uid="{00000000-0005-0000-0000-00008A4D0000}"/>
    <cellStyle name="Normal 4 4 2 4 16 5" xfId="16063" xr:uid="{00000000-0005-0000-0000-00008B4D0000}"/>
    <cellStyle name="Normal 4 4 2 4 16 5 2" xfId="32729" xr:uid="{00000000-0005-0000-0000-00008C4D0000}"/>
    <cellStyle name="Normal 4 4 2 4 16 6" xfId="32725" xr:uid="{00000000-0005-0000-0000-00008D4D0000}"/>
    <cellStyle name="Normal 4 4 2 4 17" xfId="16064" xr:uid="{00000000-0005-0000-0000-00008E4D0000}"/>
    <cellStyle name="Normal 4 4 2 4 17 2" xfId="32730" xr:uid="{00000000-0005-0000-0000-00008F4D0000}"/>
    <cellStyle name="Normal 4 4 2 4 18" xfId="16065" xr:uid="{00000000-0005-0000-0000-0000904D0000}"/>
    <cellStyle name="Normal 4 4 2 4 18 2" xfId="32731" xr:uid="{00000000-0005-0000-0000-0000914D0000}"/>
    <cellStyle name="Normal 4 4 2 4 19" xfId="16066" xr:uid="{00000000-0005-0000-0000-0000924D0000}"/>
    <cellStyle name="Normal 4 4 2 4 19 2" xfId="32732" xr:uid="{00000000-0005-0000-0000-0000934D0000}"/>
    <cellStyle name="Normal 4 4 2 4 2" xfId="16067" xr:uid="{00000000-0005-0000-0000-0000944D0000}"/>
    <cellStyle name="Normal 4 4 2 4 2 10" xfId="16068" xr:uid="{00000000-0005-0000-0000-0000954D0000}"/>
    <cellStyle name="Normal 4 4 2 4 2 10 2" xfId="32734" xr:uid="{00000000-0005-0000-0000-0000964D0000}"/>
    <cellStyle name="Normal 4 4 2 4 2 11" xfId="16069" xr:uid="{00000000-0005-0000-0000-0000974D0000}"/>
    <cellStyle name="Normal 4 4 2 4 2 11 2" xfId="32735" xr:uid="{00000000-0005-0000-0000-0000984D0000}"/>
    <cellStyle name="Normal 4 4 2 4 2 12" xfId="32733" xr:uid="{00000000-0005-0000-0000-0000994D0000}"/>
    <cellStyle name="Normal 4 4 2 4 2 2" xfId="16070" xr:uid="{00000000-0005-0000-0000-00009A4D0000}"/>
    <cellStyle name="Normal 4 4 2 4 2 2 2" xfId="16071" xr:uid="{00000000-0005-0000-0000-00009B4D0000}"/>
    <cellStyle name="Normal 4 4 2 4 2 2 2 2" xfId="32737" xr:uid="{00000000-0005-0000-0000-00009C4D0000}"/>
    <cellStyle name="Normal 4 4 2 4 2 2 3" xfId="16072" xr:uid="{00000000-0005-0000-0000-00009D4D0000}"/>
    <cellStyle name="Normal 4 4 2 4 2 2 3 2" xfId="32738" xr:uid="{00000000-0005-0000-0000-00009E4D0000}"/>
    <cellStyle name="Normal 4 4 2 4 2 2 4" xfId="16073" xr:uid="{00000000-0005-0000-0000-00009F4D0000}"/>
    <cellStyle name="Normal 4 4 2 4 2 2 4 2" xfId="32739" xr:uid="{00000000-0005-0000-0000-0000A04D0000}"/>
    <cellStyle name="Normal 4 4 2 4 2 2 5" xfId="16074" xr:uid="{00000000-0005-0000-0000-0000A14D0000}"/>
    <cellStyle name="Normal 4 4 2 4 2 2 5 2" xfId="32740" xr:uid="{00000000-0005-0000-0000-0000A24D0000}"/>
    <cellStyle name="Normal 4 4 2 4 2 2 6" xfId="32736" xr:uid="{00000000-0005-0000-0000-0000A34D0000}"/>
    <cellStyle name="Normal 4 4 2 4 2 3" xfId="16075" xr:uid="{00000000-0005-0000-0000-0000A44D0000}"/>
    <cellStyle name="Normal 4 4 2 4 2 3 2" xfId="16076" xr:uid="{00000000-0005-0000-0000-0000A54D0000}"/>
    <cellStyle name="Normal 4 4 2 4 2 3 2 2" xfId="32742" xr:uid="{00000000-0005-0000-0000-0000A64D0000}"/>
    <cellStyle name="Normal 4 4 2 4 2 3 3" xfId="16077" xr:uid="{00000000-0005-0000-0000-0000A74D0000}"/>
    <cellStyle name="Normal 4 4 2 4 2 3 3 2" xfId="32743" xr:uid="{00000000-0005-0000-0000-0000A84D0000}"/>
    <cellStyle name="Normal 4 4 2 4 2 3 4" xfId="16078" xr:uid="{00000000-0005-0000-0000-0000A94D0000}"/>
    <cellStyle name="Normal 4 4 2 4 2 3 4 2" xfId="32744" xr:uid="{00000000-0005-0000-0000-0000AA4D0000}"/>
    <cellStyle name="Normal 4 4 2 4 2 3 5" xfId="16079" xr:uid="{00000000-0005-0000-0000-0000AB4D0000}"/>
    <cellStyle name="Normal 4 4 2 4 2 3 5 2" xfId="32745" xr:uid="{00000000-0005-0000-0000-0000AC4D0000}"/>
    <cellStyle name="Normal 4 4 2 4 2 3 6" xfId="32741" xr:uid="{00000000-0005-0000-0000-0000AD4D0000}"/>
    <cellStyle name="Normal 4 4 2 4 2 4" xfId="16080" xr:uid="{00000000-0005-0000-0000-0000AE4D0000}"/>
    <cellStyle name="Normal 4 4 2 4 2 4 2" xfId="16081" xr:uid="{00000000-0005-0000-0000-0000AF4D0000}"/>
    <cellStyle name="Normal 4 4 2 4 2 4 2 2" xfId="32747" xr:uid="{00000000-0005-0000-0000-0000B04D0000}"/>
    <cellStyle name="Normal 4 4 2 4 2 4 3" xfId="16082" xr:uid="{00000000-0005-0000-0000-0000B14D0000}"/>
    <cellStyle name="Normal 4 4 2 4 2 4 3 2" xfId="32748" xr:uid="{00000000-0005-0000-0000-0000B24D0000}"/>
    <cellStyle name="Normal 4 4 2 4 2 4 4" xfId="16083" xr:uid="{00000000-0005-0000-0000-0000B34D0000}"/>
    <cellStyle name="Normal 4 4 2 4 2 4 4 2" xfId="32749" xr:uid="{00000000-0005-0000-0000-0000B44D0000}"/>
    <cellStyle name="Normal 4 4 2 4 2 4 5" xfId="16084" xr:uid="{00000000-0005-0000-0000-0000B54D0000}"/>
    <cellStyle name="Normal 4 4 2 4 2 4 5 2" xfId="32750" xr:uid="{00000000-0005-0000-0000-0000B64D0000}"/>
    <cellStyle name="Normal 4 4 2 4 2 4 6" xfId="32746" xr:uid="{00000000-0005-0000-0000-0000B74D0000}"/>
    <cellStyle name="Normal 4 4 2 4 2 5" xfId="16085" xr:uid="{00000000-0005-0000-0000-0000B84D0000}"/>
    <cellStyle name="Normal 4 4 2 4 2 5 2" xfId="16086" xr:uid="{00000000-0005-0000-0000-0000B94D0000}"/>
    <cellStyle name="Normal 4 4 2 4 2 5 2 2" xfId="32752" xr:uid="{00000000-0005-0000-0000-0000BA4D0000}"/>
    <cellStyle name="Normal 4 4 2 4 2 5 3" xfId="16087" xr:uid="{00000000-0005-0000-0000-0000BB4D0000}"/>
    <cellStyle name="Normal 4 4 2 4 2 5 3 2" xfId="32753" xr:uid="{00000000-0005-0000-0000-0000BC4D0000}"/>
    <cellStyle name="Normal 4 4 2 4 2 5 4" xfId="16088" xr:uid="{00000000-0005-0000-0000-0000BD4D0000}"/>
    <cellStyle name="Normal 4 4 2 4 2 5 4 2" xfId="32754" xr:uid="{00000000-0005-0000-0000-0000BE4D0000}"/>
    <cellStyle name="Normal 4 4 2 4 2 5 5" xfId="16089" xr:uid="{00000000-0005-0000-0000-0000BF4D0000}"/>
    <cellStyle name="Normal 4 4 2 4 2 5 5 2" xfId="32755" xr:uid="{00000000-0005-0000-0000-0000C04D0000}"/>
    <cellStyle name="Normal 4 4 2 4 2 5 6" xfId="32751" xr:uid="{00000000-0005-0000-0000-0000C14D0000}"/>
    <cellStyle name="Normal 4 4 2 4 2 6" xfId="16090" xr:uid="{00000000-0005-0000-0000-0000C24D0000}"/>
    <cellStyle name="Normal 4 4 2 4 2 6 2" xfId="16091" xr:uid="{00000000-0005-0000-0000-0000C34D0000}"/>
    <cellStyle name="Normal 4 4 2 4 2 6 2 2" xfId="32757" xr:uid="{00000000-0005-0000-0000-0000C44D0000}"/>
    <cellStyle name="Normal 4 4 2 4 2 6 3" xfId="16092" xr:uid="{00000000-0005-0000-0000-0000C54D0000}"/>
    <cellStyle name="Normal 4 4 2 4 2 6 3 2" xfId="32758" xr:uid="{00000000-0005-0000-0000-0000C64D0000}"/>
    <cellStyle name="Normal 4 4 2 4 2 6 4" xfId="16093" xr:uid="{00000000-0005-0000-0000-0000C74D0000}"/>
    <cellStyle name="Normal 4 4 2 4 2 6 4 2" xfId="32759" xr:uid="{00000000-0005-0000-0000-0000C84D0000}"/>
    <cellStyle name="Normal 4 4 2 4 2 6 5" xfId="16094" xr:uid="{00000000-0005-0000-0000-0000C94D0000}"/>
    <cellStyle name="Normal 4 4 2 4 2 6 5 2" xfId="32760" xr:uid="{00000000-0005-0000-0000-0000CA4D0000}"/>
    <cellStyle name="Normal 4 4 2 4 2 6 6" xfId="32756" xr:uid="{00000000-0005-0000-0000-0000CB4D0000}"/>
    <cellStyle name="Normal 4 4 2 4 2 7" xfId="16095" xr:uid="{00000000-0005-0000-0000-0000CC4D0000}"/>
    <cellStyle name="Normal 4 4 2 4 2 7 2" xfId="16096" xr:uid="{00000000-0005-0000-0000-0000CD4D0000}"/>
    <cellStyle name="Normal 4 4 2 4 2 7 2 2" xfId="32762" xr:uid="{00000000-0005-0000-0000-0000CE4D0000}"/>
    <cellStyle name="Normal 4 4 2 4 2 7 3" xfId="16097" xr:uid="{00000000-0005-0000-0000-0000CF4D0000}"/>
    <cellStyle name="Normal 4 4 2 4 2 7 3 2" xfId="32763" xr:uid="{00000000-0005-0000-0000-0000D04D0000}"/>
    <cellStyle name="Normal 4 4 2 4 2 7 4" xfId="16098" xr:uid="{00000000-0005-0000-0000-0000D14D0000}"/>
    <cellStyle name="Normal 4 4 2 4 2 7 4 2" xfId="32764" xr:uid="{00000000-0005-0000-0000-0000D24D0000}"/>
    <cellStyle name="Normal 4 4 2 4 2 7 5" xfId="16099" xr:uid="{00000000-0005-0000-0000-0000D34D0000}"/>
    <cellStyle name="Normal 4 4 2 4 2 7 5 2" xfId="32765" xr:uid="{00000000-0005-0000-0000-0000D44D0000}"/>
    <cellStyle name="Normal 4 4 2 4 2 7 6" xfId="32761" xr:uid="{00000000-0005-0000-0000-0000D54D0000}"/>
    <cellStyle name="Normal 4 4 2 4 2 8" xfId="16100" xr:uid="{00000000-0005-0000-0000-0000D64D0000}"/>
    <cellStyle name="Normal 4 4 2 4 2 8 2" xfId="32766" xr:uid="{00000000-0005-0000-0000-0000D74D0000}"/>
    <cellStyle name="Normal 4 4 2 4 2 9" xfId="16101" xr:uid="{00000000-0005-0000-0000-0000D84D0000}"/>
    <cellStyle name="Normal 4 4 2 4 2 9 2" xfId="32767" xr:uid="{00000000-0005-0000-0000-0000D94D0000}"/>
    <cellStyle name="Normal 4 4 2 4 20" xfId="16102" xr:uid="{00000000-0005-0000-0000-0000DA4D0000}"/>
    <cellStyle name="Normal 4 4 2 4 20 2" xfId="32768" xr:uid="{00000000-0005-0000-0000-0000DB4D0000}"/>
    <cellStyle name="Normal 4 4 2 4 21" xfId="32694" xr:uid="{00000000-0005-0000-0000-0000DC4D0000}"/>
    <cellStyle name="Normal 4 4 2 4 3" xfId="16103" xr:uid="{00000000-0005-0000-0000-0000DD4D0000}"/>
    <cellStyle name="Normal 4 4 2 4 3 2" xfId="16104" xr:uid="{00000000-0005-0000-0000-0000DE4D0000}"/>
    <cellStyle name="Normal 4 4 2 4 3 2 2" xfId="16105" xr:uid="{00000000-0005-0000-0000-0000DF4D0000}"/>
    <cellStyle name="Normal 4 4 2 4 3 2 2 2" xfId="32771" xr:uid="{00000000-0005-0000-0000-0000E04D0000}"/>
    <cellStyle name="Normal 4 4 2 4 3 2 3" xfId="16106" xr:uid="{00000000-0005-0000-0000-0000E14D0000}"/>
    <cellStyle name="Normal 4 4 2 4 3 2 3 2" xfId="32772" xr:uid="{00000000-0005-0000-0000-0000E24D0000}"/>
    <cellStyle name="Normal 4 4 2 4 3 2 4" xfId="16107" xr:uid="{00000000-0005-0000-0000-0000E34D0000}"/>
    <cellStyle name="Normal 4 4 2 4 3 2 4 2" xfId="32773" xr:uid="{00000000-0005-0000-0000-0000E44D0000}"/>
    <cellStyle name="Normal 4 4 2 4 3 2 5" xfId="16108" xr:uid="{00000000-0005-0000-0000-0000E54D0000}"/>
    <cellStyle name="Normal 4 4 2 4 3 2 5 2" xfId="32774" xr:uid="{00000000-0005-0000-0000-0000E64D0000}"/>
    <cellStyle name="Normal 4 4 2 4 3 2 6" xfId="32770" xr:uid="{00000000-0005-0000-0000-0000E74D0000}"/>
    <cellStyle name="Normal 4 4 2 4 3 3" xfId="16109" xr:uid="{00000000-0005-0000-0000-0000E84D0000}"/>
    <cellStyle name="Normal 4 4 2 4 3 3 2" xfId="32775" xr:uid="{00000000-0005-0000-0000-0000E94D0000}"/>
    <cellStyle name="Normal 4 4 2 4 3 4" xfId="16110" xr:uid="{00000000-0005-0000-0000-0000EA4D0000}"/>
    <cellStyle name="Normal 4 4 2 4 3 4 2" xfId="32776" xr:uid="{00000000-0005-0000-0000-0000EB4D0000}"/>
    <cellStyle name="Normal 4 4 2 4 3 5" xfId="16111" xr:uid="{00000000-0005-0000-0000-0000EC4D0000}"/>
    <cellStyle name="Normal 4 4 2 4 3 5 2" xfId="32777" xr:uid="{00000000-0005-0000-0000-0000ED4D0000}"/>
    <cellStyle name="Normal 4 4 2 4 3 6" xfId="16112" xr:uid="{00000000-0005-0000-0000-0000EE4D0000}"/>
    <cellStyle name="Normal 4 4 2 4 3 6 2" xfId="32778" xr:uid="{00000000-0005-0000-0000-0000EF4D0000}"/>
    <cellStyle name="Normal 4 4 2 4 3 7" xfId="32769" xr:uid="{00000000-0005-0000-0000-0000F04D0000}"/>
    <cellStyle name="Normal 4 4 2 4 4" xfId="16113" xr:uid="{00000000-0005-0000-0000-0000F14D0000}"/>
    <cellStyle name="Normal 4 4 2 4 4 2" xfId="16114" xr:uid="{00000000-0005-0000-0000-0000F24D0000}"/>
    <cellStyle name="Normal 4 4 2 4 4 2 2" xfId="16115" xr:uid="{00000000-0005-0000-0000-0000F34D0000}"/>
    <cellStyle name="Normal 4 4 2 4 4 2 2 2" xfId="32781" xr:uid="{00000000-0005-0000-0000-0000F44D0000}"/>
    <cellStyle name="Normal 4 4 2 4 4 2 3" xfId="16116" xr:uid="{00000000-0005-0000-0000-0000F54D0000}"/>
    <cellStyle name="Normal 4 4 2 4 4 2 3 2" xfId="32782" xr:uid="{00000000-0005-0000-0000-0000F64D0000}"/>
    <cellStyle name="Normal 4 4 2 4 4 2 4" xfId="16117" xr:uid="{00000000-0005-0000-0000-0000F74D0000}"/>
    <cellStyle name="Normal 4 4 2 4 4 2 4 2" xfId="32783" xr:uid="{00000000-0005-0000-0000-0000F84D0000}"/>
    <cellStyle name="Normal 4 4 2 4 4 2 5" xfId="16118" xr:uid="{00000000-0005-0000-0000-0000F94D0000}"/>
    <cellStyle name="Normal 4 4 2 4 4 2 5 2" xfId="32784" xr:uid="{00000000-0005-0000-0000-0000FA4D0000}"/>
    <cellStyle name="Normal 4 4 2 4 4 2 6" xfId="32780" xr:uid="{00000000-0005-0000-0000-0000FB4D0000}"/>
    <cellStyle name="Normal 4 4 2 4 4 3" xfId="16119" xr:uid="{00000000-0005-0000-0000-0000FC4D0000}"/>
    <cellStyle name="Normal 4 4 2 4 4 3 2" xfId="32785" xr:uid="{00000000-0005-0000-0000-0000FD4D0000}"/>
    <cellStyle name="Normal 4 4 2 4 4 4" xfId="16120" xr:uid="{00000000-0005-0000-0000-0000FE4D0000}"/>
    <cellStyle name="Normal 4 4 2 4 4 4 2" xfId="32786" xr:uid="{00000000-0005-0000-0000-0000FF4D0000}"/>
    <cellStyle name="Normal 4 4 2 4 4 5" xfId="16121" xr:uid="{00000000-0005-0000-0000-0000004E0000}"/>
    <cellStyle name="Normal 4 4 2 4 4 5 2" xfId="32787" xr:uid="{00000000-0005-0000-0000-0000014E0000}"/>
    <cellStyle name="Normal 4 4 2 4 4 6" xfId="16122" xr:uid="{00000000-0005-0000-0000-0000024E0000}"/>
    <cellStyle name="Normal 4 4 2 4 4 6 2" xfId="32788" xr:uid="{00000000-0005-0000-0000-0000034E0000}"/>
    <cellStyle name="Normal 4 4 2 4 4 7" xfId="32779" xr:uid="{00000000-0005-0000-0000-0000044E0000}"/>
    <cellStyle name="Normal 4 4 2 4 5" xfId="16123" xr:uid="{00000000-0005-0000-0000-0000054E0000}"/>
    <cellStyle name="Normal 4 4 2 4 5 2" xfId="16124" xr:uid="{00000000-0005-0000-0000-0000064E0000}"/>
    <cellStyle name="Normal 4 4 2 4 5 2 2" xfId="32790" xr:uid="{00000000-0005-0000-0000-0000074E0000}"/>
    <cellStyle name="Normal 4 4 2 4 5 3" xfId="16125" xr:uid="{00000000-0005-0000-0000-0000084E0000}"/>
    <cellStyle name="Normal 4 4 2 4 5 3 2" xfId="32791" xr:uid="{00000000-0005-0000-0000-0000094E0000}"/>
    <cellStyle name="Normal 4 4 2 4 5 4" xfId="16126" xr:uid="{00000000-0005-0000-0000-00000A4E0000}"/>
    <cellStyle name="Normal 4 4 2 4 5 4 2" xfId="32792" xr:uid="{00000000-0005-0000-0000-00000B4E0000}"/>
    <cellStyle name="Normal 4 4 2 4 5 5" xfId="16127" xr:uid="{00000000-0005-0000-0000-00000C4E0000}"/>
    <cellStyle name="Normal 4 4 2 4 5 5 2" xfId="32793" xr:uid="{00000000-0005-0000-0000-00000D4E0000}"/>
    <cellStyle name="Normal 4 4 2 4 5 6" xfId="32789" xr:uid="{00000000-0005-0000-0000-00000E4E0000}"/>
    <cellStyle name="Normal 4 4 2 4 6" xfId="16128" xr:uid="{00000000-0005-0000-0000-00000F4E0000}"/>
    <cellStyle name="Normal 4 4 2 4 6 2" xfId="16129" xr:uid="{00000000-0005-0000-0000-0000104E0000}"/>
    <cellStyle name="Normal 4 4 2 4 6 2 2" xfId="32795" xr:uid="{00000000-0005-0000-0000-0000114E0000}"/>
    <cellStyle name="Normal 4 4 2 4 6 3" xfId="16130" xr:uid="{00000000-0005-0000-0000-0000124E0000}"/>
    <cellStyle name="Normal 4 4 2 4 6 3 2" xfId="32796" xr:uid="{00000000-0005-0000-0000-0000134E0000}"/>
    <cellStyle name="Normal 4 4 2 4 6 4" xfId="16131" xr:uid="{00000000-0005-0000-0000-0000144E0000}"/>
    <cellStyle name="Normal 4 4 2 4 6 4 2" xfId="32797" xr:uid="{00000000-0005-0000-0000-0000154E0000}"/>
    <cellStyle name="Normal 4 4 2 4 6 5" xfId="16132" xr:uid="{00000000-0005-0000-0000-0000164E0000}"/>
    <cellStyle name="Normal 4 4 2 4 6 5 2" xfId="32798" xr:uid="{00000000-0005-0000-0000-0000174E0000}"/>
    <cellStyle name="Normal 4 4 2 4 6 6" xfId="32794" xr:uid="{00000000-0005-0000-0000-0000184E0000}"/>
    <cellStyle name="Normal 4 4 2 4 7" xfId="16133" xr:uid="{00000000-0005-0000-0000-0000194E0000}"/>
    <cellStyle name="Normal 4 4 2 4 7 2" xfId="16134" xr:uid="{00000000-0005-0000-0000-00001A4E0000}"/>
    <cellStyle name="Normal 4 4 2 4 7 2 2" xfId="32800" xr:uid="{00000000-0005-0000-0000-00001B4E0000}"/>
    <cellStyle name="Normal 4 4 2 4 7 3" xfId="16135" xr:uid="{00000000-0005-0000-0000-00001C4E0000}"/>
    <cellStyle name="Normal 4 4 2 4 7 3 2" xfId="32801" xr:uid="{00000000-0005-0000-0000-00001D4E0000}"/>
    <cellStyle name="Normal 4 4 2 4 7 4" xfId="16136" xr:uid="{00000000-0005-0000-0000-00001E4E0000}"/>
    <cellStyle name="Normal 4 4 2 4 7 4 2" xfId="32802" xr:uid="{00000000-0005-0000-0000-00001F4E0000}"/>
    <cellStyle name="Normal 4 4 2 4 7 5" xfId="16137" xr:uid="{00000000-0005-0000-0000-0000204E0000}"/>
    <cellStyle name="Normal 4 4 2 4 7 5 2" xfId="32803" xr:uid="{00000000-0005-0000-0000-0000214E0000}"/>
    <cellStyle name="Normal 4 4 2 4 7 6" xfId="32799" xr:uid="{00000000-0005-0000-0000-0000224E0000}"/>
    <cellStyle name="Normal 4 4 2 4 8" xfId="16138" xr:uid="{00000000-0005-0000-0000-0000234E0000}"/>
    <cellStyle name="Normal 4 4 2 4 8 2" xfId="16139" xr:uid="{00000000-0005-0000-0000-0000244E0000}"/>
    <cellStyle name="Normal 4 4 2 4 8 2 2" xfId="32805" xr:uid="{00000000-0005-0000-0000-0000254E0000}"/>
    <cellStyle name="Normal 4 4 2 4 8 3" xfId="16140" xr:uid="{00000000-0005-0000-0000-0000264E0000}"/>
    <cellStyle name="Normal 4 4 2 4 8 3 2" xfId="32806" xr:uid="{00000000-0005-0000-0000-0000274E0000}"/>
    <cellStyle name="Normal 4 4 2 4 8 4" xfId="16141" xr:uid="{00000000-0005-0000-0000-0000284E0000}"/>
    <cellStyle name="Normal 4 4 2 4 8 4 2" xfId="32807" xr:uid="{00000000-0005-0000-0000-0000294E0000}"/>
    <cellStyle name="Normal 4 4 2 4 8 5" xfId="16142" xr:uid="{00000000-0005-0000-0000-00002A4E0000}"/>
    <cellStyle name="Normal 4 4 2 4 8 5 2" xfId="32808" xr:uid="{00000000-0005-0000-0000-00002B4E0000}"/>
    <cellStyle name="Normal 4 4 2 4 8 6" xfId="32804" xr:uid="{00000000-0005-0000-0000-00002C4E0000}"/>
    <cellStyle name="Normal 4 4 2 4 9" xfId="16143" xr:uid="{00000000-0005-0000-0000-00002D4E0000}"/>
    <cellStyle name="Normal 4 4 2 4 9 2" xfId="16144" xr:uid="{00000000-0005-0000-0000-00002E4E0000}"/>
    <cellStyle name="Normal 4 4 2 4 9 2 2" xfId="32810" xr:uid="{00000000-0005-0000-0000-00002F4E0000}"/>
    <cellStyle name="Normal 4 4 2 4 9 3" xfId="16145" xr:uid="{00000000-0005-0000-0000-0000304E0000}"/>
    <cellStyle name="Normal 4 4 2 4 9 3 2" xfId="32811" xr:uid="{00000000-0005-0000-0000-0000314E0000}"/>
    <cellStyle name="Normal 4 4 2 4 9 4" xfId="16146" xr:uid="{00000000-0005-0000-0000-0000324E0000}"/>
    <cellStyle name="Normal 4 4 2 4 9 4 2" xfId="32812" xr:uid="{00000000-0005-0000-0000-0000334E0000}"/>
    <cellStyle name="Normal 4 4 2 4 9 5" xfId="16147" xr:uid="{00000000-0005-0000-0000-0000344E0000}"/>
    <cellStyle name="Normal 4 4 2 4 9 5 2" xfId="32813" xr:uid="{00000000-0005-0000-0000-0000354E0000}"/>
    <cellStyle name="Normal 4 4 2 4 9 6" xfId="32809" xr:uid="{00000000-0005-0000-0000-0000364E0000}"/>
    <cellStyle name="Normal 4 4 2 5" xfId="16148" xr:uid="{00000000-0005-0000-0000-0000374E0000}"/>
    <cellStyle name="Normal 4 4 2 5 10" xfId="16149" xr:uid="{00000000-0005-0000-0000-0000384E0000}"/>
    <cellStyle name="Normal 4 4 2 5 10 2" xfId="32815" xr:uid="{00000000-0005-0000-0000-0000394E0000}"/>
    <cellStyle name="Normal 4 4 2 5 11" xfId="16150" xr:uid="{00000000-0005-0000-0000-00003A4E0000}"/>
    <cellStyle name="Normal 4 4 2 5 11 2" xfId="32816" xr:uid="{00000000-0005-0000-0000-00003B4E0000}"/>
    <cellStyle name="Normal 4 4 2 5 12" xfId="32814" xr:uid="{00000000-0005-0000-0000-00003C4E0000}"/>
    <cellStyle name="Normal 4 4 2 5 2" xfId="16151" xr:uid="{00000000-0005-0000-0000-00003D4E0000}"/>
    <cellStyle name="Normal 4 4 2 5 2 2" xfId="16152" xr:uid="{00000000-0005-0000-0000-00003E4E0000}"/>
    <cellStyle name="Normal 4 4 2 5 2 2 2" xfId="32818" xr:uid="{00000000-0005-0000-0000-00003F4E0000}"/>
    <cellStyle name="Normal 4 4 2 5 2 3" xfId="16153" xr:uid="{00000000-0005-0000-0000-0000404E0000}"/>
    <cellStyle name="Normal 4 4 2 5 2 3 2" xfId="32819" xr:uid="{00000000-0005-0000-0000-0000414E0000}"/>
    <cellStyle name="Normal 4 4 2 5 2 4" xfId="16154" xr:uid="{00000000-0005-0000-0000-0000424E0000}"/>
    <cellStyle name="Normal 4 4 2 5 2 4 2" xfId="32820" xr:uid="{00000000-0005-0000-0000-0000434E0000}"/>
    <cellStyle name="Normal 4 4 2 5 2 5" xfId="16155" xr:uid="{00000000-0005-0000-0000-0000444E0000}"/>
    <cellStyle name="Normal 4 4 2 5 2 5 2" xfId="32821" xr:uid="{00000000-0005-0000-0000-0000454E0000}"/>
    <cellStyle name="Normal 4 4 2 5 2 6" xfId="32817" xr:uid="{00000000-0005-0000-0000-0000464E0000}"/>
    <cellStyle name="Normal 4 4 2 5 3" xfId="16156" xr:uid="{00000000-0005-0000-0000-0000474E0000}"/>
    <cellStyle name="Normal 4 4 2 5 3 2" xfId="16157" xr:uid="{00000000-0005-0000-0000-0000484E0000}"/>
    <cellStyle name="Normal 4 4 2 5 3 2 2" xfId="32823" xr:uid="{00000000-0005-0000-0000-0000494E0000}"/>
    <cellStyle name="Normal 4 4 2 5 3 3" xfId="16158" xr:uid="{00000000-0005-0000-0000-00004A4E0000}"/>
    <cellStyle name="Normal 4 4 2 5 3 3 2" xfId="32824" xr:uid="{00000000-0005-0000-0000-00004B4E0000}"/>
    <cellStyle name="Normal 4 4 2 5 3 4" xfId="16159" xr:uid="{00000000-0005-0000-0000-00004C4E0000}"/>
    <cellStyle name="Normal 4 4 2 5 3 4 2" xfId="32825" xr:uid="{00000000-0005-0000-0000-00004D4E0000}"/>
    <cellStyle name="Normal 4 4 2 5 3 5" xfId="16160" xr:uid="{00000000-0005-0000-0000-00004E4E0000}"/>
    <cellStyle name="Normal 4 4 2 5 3 5 2" xfId="32826" xr:uid="{00000000-0005-0000-0000-00004F4E0000}"/>
    <cellStyle name="Normal 4 4 2 5 3 6" xfId="32822" xr:uid="{00000000-0005-0000-0000-0000504E0000}"/>
    <cellStyle name="Normal 4 4 2 5 4" xfId="16161" xr:uid="{00000000-0005-0000-0000-0000514E0000}"/>
    <cellStyle name="Normal 4 4 2 5 4 2" xfId="16162" xr:uid="{00000000-0005-0000-0000-0000524E0000}"/>
    <cellStyle name="Normal 4 4 2 5 4 2 2" xfId="32828" xr:uid="{00000000-0005-0000-0000-0000534E0000}"/>
    <cellStyle name="Normal 4 4 2 5 4 3" xfId="16163" xr:uid="{00000000-0005-0000-0000-0000544E0000}"/>
    <cellStyle name="Normal 4 4 2 5 4 3 2" xfId="32829" xr:uid="{00000000-0005-0000-0000-0000554E0000}"/>
    <cellStyle name="Normal 4 4 2 5 4 4" xfId="16164" xr:uid="{00000000-0005-0000-0000-0000564E0000}"/>
    <cellStyle name="Normal 4 4 2 5 4 4 2" xfId="32830" xr:uid="{00000000-0005-0000-0000-0000574E0000}"/>
    <cellStyle name="Normal 4 4 2 5 4 5" xfId="16165" xr:uid="{00000000-0005-0000-0000-0000584E0000}"/>
    <cellStyle name="Normal 4 4 2 5 4 5 2" xfId="32831" xr:uid="{00000000-0005-0000-0000-0000594E0000}"/>
    <cellStyle name="Normal 4 4 2 5 4 6" xfId="32827" xr:uid="{00000000-0005-0000-0000-00005A4E0000}"/>
    <cellStyle name="Normal 4 4 2 5 5" xfId="16166" xr:uid="{00000000-0005-0000-0000-00005B4E0000}"/>
    <cellStyle name="Normal 4 4 2 5 5 2" xfId="16167" xr:uid="{00000000-0005-0000-0000-00005C4E0000}"/>
    <cellStyle name="Normal 4 4 2 5 5 2 2" xfId="32833" xr:uid="{00000000-0005-0000-0000-00005D4E0000}"/>
    <cellStyle name="Normal 4 4 2 5 5 3" xfId="16168" xr:uid="{00000000-0005-0000-0000-00005E4E0000}"/>
    <cellStyle name="Normal 4 4 2 5 5 3 2" xfId="32834" xr:uid="{00000000-0005-0000-0000-00005F4E0000}"/>
    <cellStyle name="Normal 4 4 2 5 5 4" xfId="16169" xr:uid="{00000000-0005-0000-0000-0000604E0000}"/>
    <cellStyle name="Normal 4 4 2 5 5 4 2" xfId="32835" xr:uid="{00000000-0005-0000-0000-0000614E0000}"/>
    <cellStyle name="Normal 4 4 2 5 5 5" xfId="16170" xr:uid="{00000000-0005-0000-0000-0000624E0000}"/>
    <cellStyle name="Normal 4 4 2 5 5 5 2" xfId="32836" xr:uid="{00000000-0005-0000-0000-0000634E0000}"/>
    <cellStyle name="Normal 4 4 2 5 5 6" xfId="32832" xr:uid="{00000000-0005-0000-0000-0000644E0000}"/>
    <cellStyle name="Normal 4 4 2 5 6" xfId="16171" xr:uid="{00000000-0005-0000-0000-0000654E0000}"/>
    <cellStyle name="Normal 4 4 2 5 6 2" xfId="16172" xr:uid="{00000000-0005-0000-0000-0000664E0000}"/>
    <cellStyle name="Normal 4 4 2 5 6 2 2" xfId="32838" xr:uid="{00000000-0005-0000-0000-0000674E0000}"/>
    <cellStyle name="Normal 4 4 2 5 6 3" xfId="16173" xr:uid="{00000000-0005-0000-0000-0000684E0000}"/>
    <cellStyle name="Normal 4 4 2 5 6 3 2" xfId="32839" xr:uid="{00000000-0005-0000-0000-0000694E0000}"/>
    <cellStyle name="Normal 4 4 2 5 6 4" xfId="16174" xr:uid="{00000000-0005-0000-0000-00006A4E0000}"/>
    <cellStyle name="Normal 4 4 2 5 6 4 2" xfId="32840" xr:uid="{00000000-0005-0000-0000-00006B4E0000}"/>
    <cellStyle name="Normal 4 4 2 5 6 5" xfId="16175" xr:uid="{00000000-0005-0000-0000-00006C4E0000}"/>
    <cellStyle name="Normal 4 4 2 5 6 5 2" xfId="32841" xr:uid="{00000000-0005-0000-0000-00006D4E0000}"/>
    <cellStyle name="Normal 4 4 2 5 6 6" xfId="32837" xr:uid="{00000000-0005-0000-0000-00006E4E0000}"/>
    <cellStyle name="Normal 4 4 2 5 7" xfId="16176" xr:uid="{00000000-0005-0000-0000-00006F4E0000}"/>
    <cellStyle name="Normal 4 4 2 5 7 2" xfId="16177" xr:uid="{00000000-0005-0000-0000-0000704E0000}"/>
    <cellStyle name="Normal 4 4 2 5 7 2 2" xfId="32843" xr:uid="{00000000-0005-0000-0000-0000714E0000}"/>
    <cellStyle name="Normal 4 4 2 5 7 3" xfId="16178" xr:uid="{00000000-0005-0000-0000-0000724E0000}"/>
    <cellStyle name="Normal 4 4 2 5 7 3 2" xfId="32844" xr:uid="{00000000-0005-0000-0000-0000734E0000}"/>
    <cellStyle name="Normal 4 4 2 5 7 4" xfId="16179" xr:uid="{00000000-0005-0000-0000-0000744E0000}"/>
    <cellStyle name="Normal 4 4 2 5 7 4 2" xfId="32845" xr:uid="{00000000-0005-0000-0000-0000754E0000}"/>
    <cellStyle name="Normal 4 4 2 5 7 5" xfId="16180" xr:uid="{00000000-0005-0000-0000-0000764E0000}"/>
    <cellStyle name="Normal 4 4 2 5 7 5 2" xfId="32846" xr:uid="{00000000-0005-0000-0000-0000774E0000}"/>
    <cellStyle name="Normal 4 4 2 5 7 6" xfId="32842" xr:uid="{00000000-0005-0000-0000-0000784E0000}"/>
    <cellStyle name="Normal 4 4 2 5 8" xfId="16181" xr:uid="{00000000-0005-0000-0000-0000794E0000}"/>
    <cellStyle name="Normal 4 4 2 5 8 2" xfId="32847" xr:uid="{00000000-0005-0000-0000-00007A4E0000}"/>
    <cellStyle name="Normal 4 4 2 5 9" xfId="16182" xr:uid="{00000000-0005-0000-0000-00007B4E0000}"/>
    <cellStyle name="Normal 4 4 2 5 9 2" xfId="32848" xr:uid="{00000000-0005-0000-0000-00007C4E0000}"/>
    <cellStyle name="Normal 4 4 2 6" xfId="16183" xr:uid="{00000000-0005-0000-0000-00007D4E0000}"/>
    <cellStyle name="Normal 4 4 2 6 2" xfId="16184" xr:uid="{00000000-0005-0000-0000-00007E4E0000}"/>
    <cellStyle name="Normal 4 4 2 6 2 2" xfId="16185" xr:uid="{00000000-0005-0000-0000-00007F4E0000}"/>
    <cellStyle name="Normal 4 4 2 6 2 2 2" xfId="32851" xr:uid="{00000000-0005-0000-0000-0000804E0000}"/>
    <cellStyle name="Normal 4 4 2 6 2 3" xfId="16186" xr:uid="{00000000-0005-0000-0000-0000814E0000}"/>
    <cellStyle name="Normal 4 4 2 6 2 3 2" xfId="32852" xr:uid="{00000000-0005-0000-0000-0000824E0000}"/>
    <cellStyle name="Normal 4 4 2 6 2 4" xfId="16187" xr:uid="{00000000-0005-0000-0000-0000834E0000}"/>
    <cellStyle name="Normal 4 4 2 6 2 4 2" xfId="32853" xr:uid="{00000000-0005-0000-0000-0000844E0000}"/>
    <cellStyle name="Normal 4 4 2 6 2 5" xfId="16188" xr:uid="{00000000-0005-0000-0000-0000854E0000}"/>
    <cellStyle name="Normal 4 4 2 6 2 5 2" xfId="32854" xr:uid="{00000000-0005-0000-0000-0000864E0000}"/>
    <cellStyle name="Normal 4 4 2 6 2 6" xfId="32850" xr:uid="{00000000-0005-0000-0000-0000874E0000}"/>
    <cellStyle name="Normal 4 4 2 6 3" xfId="16189" xr:uid="{00000000-0005-0000-0000-0000884E0000}"/>
    <cellStyle name="Normal 4 4 2 6 3 2" xfId="32855" xr:uid="{00000000-0005-0000-0000-0000894E0000}"/>
    <cellStyle name="Normal 4 4 2 6 4" xfId="16190" xr:uid="{00000000-0005-0000-0000-00008A4E0000}"/>
    <cellStyle name="Normal 4 4 2 6 4 2" xfId="32856" xr:uid="{00000000-0005-0000-0000-00008B4E0000}"/>
    <cellStyle name="Normal 4 4 2 6 5" xfId="16191" xr:uid="{00000000-0005-0000-0000-00008C4E0000}"/>
    <cellStyle name="Normal 4 4 2 6 5 2" xfId="32857" xr:uid="{00000000-0005-0000-0000-00008D4E0000}"/>
    <cellStyle name="Normal 4 4 2 6 6" xfId="16192" xr:uid="{00000000-0005-0000-0000-00008E4E0000}"/>
    <cellStyle name="Normal 4 4 2 6 6 2" xfId="32858" xr:uid="{00000000-0005-0000-0000-00008F4E0000}"/>
    <cellStyle name="Normal 4 4 2 6 7" xfId="32849" xr:uid="{00000000-0005-0000-0000-0000904E0000}"/>
    <cellStyle name="Normal 4 4 2 7" xfId="16193" xr:uid="{00000000-0005-0000-0000-0000914E0000}"/>
    <cellStyle name="Normal 4 4 2 7 2" xfId="16194" xr:uid="{00000000-0005-0000-0000-0000924E0000}"/>
    <cellStyle name="Normal 4 4 2 7 2 2" xfId="16195" xr:uid="{00000000-0005-0000-0000-0000934E0000}"/>
    <cellStyle name="Normal 4 4 2 7 2 2 2" xfId="32861" xr:uid="{00000000-0005-0000-0000-0000944E0000}"/>
    <cellStyle name="Normal 4 4 2 7 2 3" xfId="16196" xr:uid="{00000000-0005-0000-0000-0000954E0000}"/>
    <cellStyle name="Normal 4 4 2 7 2 3 2" xfId="32862" xr:uid="{00000000-0005-0000-0000-0000964E0000}"/>
    <cellStyle name="Normal 4 4 2 7 2 4" xfId="16197" xr:uid="{00000000-0005-0000-0000-0000974E0000}"/>
    <cellStyle name="Normal 4 4 2 7 2 4 2" xfId="32863" xr:uid="{00000000-0005-0000-0000-0000984E0000}"/>
    <cellStyle name="Normal 4 4 2 7 2 5" xfId="16198" xr:uid="{00000000-0005-0000-0000-0000994E0000}"/>
    <cellStyle name="Normal 4 4 2 7 2 5 2" xfId="32864" xr:uid="{00000000-0005-0000-0000-00009A4E0000}"/>
    <cellStyle name="Normal 4 4 2 7 2 6" xfId="32860" xr:uid="{00000000-0005-0000-0000-00009B4E0000}"/>
    <cellStyle name="Normal 4 4 2 7 3" xfId="16199" xr:uid="{00000000-0005-0000-0000-00009C4E0000}"/>
    <cellStyle name="Normal 4 4 2 7 3 2" xfId="32865" xr:uid="{00000000-0005-0000-0000-00009D4E0000}"/>
    <cellStyle name="Normal 4 4 2 7 4" xfId="16200" xr:uid="{00000000-0005-0000-0000-00009E4E0000}"/>
    <cellStyle name="Normal 4 4 2 7 4 2" xfId="32866" xr:uid="{00000000-0005-0000-0000-00009F4E0000}"/>
    <cellStyle name="Normal 4 4 2 7 5" xfId="16201" xr:uid="{00000000-0005-0000-0000-0000A04E0000}"/>
    <cellStyle name="Normal 4 4 2 7 5 2" xfId="32867" xr:uid="{00000000-0005-0000-0000-0000A14E0000}"/>
    <cellStyle name="Normal 4 4 2 7 6" xfId="16202" xr:uid="{00000000-0005-0000-0000-0000A24E0000}"/>
    <cellStyle name="Normal 4 4 2 7 6 2" xfId="32868" xr:uid="{00000000-0005-0000-0000-0000A34E0000}"/>
    <cellStyle name="Normal 4 4 2 7 7" xfId="32859" xr:uid="{00000000-0005-0000-0000-0000A44E0000}"/>
    <cellStyle name="Normal 4 4 2 8" xfId="16203" xr:uid="{00000000-0005-0000-0000-0000A54E0000}"/>
    <cellStyle name="Normal 4 4 2 8 2" xfId="16204" xr:uid="{00000000-0005-0000-0000-0000A64E0000}"/>
    <cellStyle name="Normal 4 4 2 8 2 2" xfId="32870" xr:uid="{00000000-0005-0000-0000-0000A74E0000}"/>
    <cellStyle name="Normal 4 4 2 8 3" xfId="16205" xr:uid="{00000000-0005-0000-0000-0000A84E0000}"/>
    <cellStyle name="Normal 4 4 2 8 3 2" xfId="32871" xr:uid="{00000000-0005-0000-0000-0000A94E0000}"/>
    <cellStyle name="Normal 4 4 2 8 4" xfId="16206" xr:uid="{00000000-0005-0000-0000-0000AA4E0000}"/>
    <cellStyle name="Normal 4 4 2 8 4 2" xfId="32872" xr:uid="{00000000-0005-0000-0000-0000AB4E0000}"/>
    <cellStyle name="Normal 4 4 2 8 5" xfId="16207" xr:uid="{00000000-0005-0000-0000-0000AC4E0000}"/>
    <cellStyle name="Normal 4 4 2 8 5 2" xfId="32873" xr:uid="{00000000-0005-0000-0000-0000AD4E0000}"/>
    <cellStyle name="Normal 4 4 2 8 6" xfId="32869" xr:uid="{00000000-0005-0000-0000-0000AE4E0000}"/>
    <cellStyle name="Normal 4 4 2 9" xfId="16208" xr:uid="{00000000-0005-0000-0000-0000AF4E0000}"/>
    <cellStyle name="Normal 4 4 2 9 2" xfId="16209" xr:uid="{00000000-0005-0000-0000-0000B04E0000}"/>
    <cellStyle name="Normal 4 4 2 9 2 2" xfId="32875" xr:uid="{00000000-0005-0000-0000-0000B14E0000}"/>
    <cellStyle name="Normal 4 4 2 9 3" xfId="16210" xr:uid="{00000000-0005-0000-0000-0000B24E0000}"/>
    <cellStyle name="Normal 4 4 2 9 3 2" xfId="32876" xr:uid="{00000000-0005-0000-0000-0000B34E0000}"/>
    <cellStyle name="Normal 4 4 2 9 4" xfId="16211" xr:uid="{00000000-0005-0000-0000-0000B44E0000}"/>
    <cellStyle name="Normal 4 4 2 9 4 2" xfId="32877" xr:uid="{00000000-0005-0000-0000-0000B54E0000}"/>
    <cellStyle name="Normal 4 4 2 9 5" xfId="16212" xr:uid="{00000000-0005-0000-0000-0000B64E0000}"/>
    <cellStyle name="Normal 4 4 2 9 5 2" xfId="32878" xr:uid="{00000000-0005-0000-0000-0000B74E0000}"/>
    <cellStyle name="Normal 4 4 2 9 6" xfId="32874" xr:uid="{00000000-0005-0000-0000-0000B84E0000}"/>
    <cellStyle name="Normal 4 4 20" xfId="16213" xr:uid="{00000000-0005-0000-0000-0000B94E0000}"/>
    <cellStyle name="Normal 4 4 20 2" xfId="16214" xr:uid="{00000000-0005-0000-0000-0000BA4E0000}"/>
    <cellStyle name="Normal 4 4 20 2 2" xfId="32880" xr:uid="{00000000-0005-0000-0000-0000BB4E0000}"/>
    <cellStyle name="Normal 4 4 20 3" xfId="16215" xr:uid="{00000000-0005-0000-0000-0000BC4E0000}"/>
    <cellStyle name="Normal 4 4 20 3 2" xfId="32881" xr:uid="{00000000-0005-0000-0000-0000BD4E0000}"/>
    <cellStyle name="Normal 4 4 20 4" xfId="16216" xr:uid="{00000000-0005-0000-0000-0000BE4E0000}"/>
    <cellStyle name="Normal 4 4 20 4 2" xfId="32882" xr:uid="{00000000-0005-0000-0000-0000BF4E0000}"/>
    <cellStyle name="Normal 4 4 20 5" xfId="16217" xr:uid="{00000000-0005-0000-0000-0000C04E0000}"/>
    <cellStyle name="Normal 4 4 20 5 2" xfId="32883" xr:uid="{00000000-0005-0000-0000-0000C14E0000}"/>
    <cellStyle name="Normal 4 4 20 6" xfId="32879" xr:uid="{00000000-0005-0000-0000-0000C24E0000}"/>
    <cellStyle name="Normal 4 4 21" xfId="16218" xr:uid="{00000000-0005-0000-0000-0000C34E0000}"/>
    <cellStyle name="Normal 4 4 21 2" xfId="16219" xr:uid="{00000000-0005-0000-0000-0000C44E0000}"/>
    <cellStyle name="Normal 4 4 21 2 2" xfId="32885" xr:uid="{00000000-0005-0000-0000-0000C54E0000}"/>
    <cellStyle name="Normal 4 4 21 3" xfId="16220" xr:uid="{00000000-0005-0000-0000-0000C64E0000}"/>
    <cellStyle name="Normal 4 4 21 3 2" xfId="32886" xr:uid="{00000000-0005-0000-0000-0000C74E0000}"/>
    <cellStyle name="Normal 4 4 21 4" xfId="16221" xr:uid="{00000000-0005-0000-0000-0000C84E0000}"/>
    <cellStyle name="Normal 4 4 21 4 2" xfId="32887" xr:uid="{00000000-0005-0000-0000-0000C94E0000}"/>
    <cellStyle name="Normal 4 4 21 5" xfId="16222" xr:uid="{00000000-0005-0000-0000-0000CA4E0000}"/>
    <cellStyle name="Normal 4 4 21 5 2" xfId="32888" xr:uid="{00000000-0005-0000-0000-0000CB4E0000}"/>
    <cellStyle name="Normal 4 4 21 6" xfId="32884" xr:uid="{00000000-0005-0000-0000-0000CC4E0000}"/>
    <cellStyle name="Normal 4 4 22" xfId="16223" xr:uid="{00000000-0005-0000-0000-0000CD4E0000}"/>
    <cellStyle name="Normal 4 4 22 2" xfId="16224" xr:uid="{00000000-0005-0000-0000-0000CE4E0000}"/>
    <cellStyle name="Normal 4 4 22 2 2" xfId="32890" xr:uid="{00000000-0005-0000-0000-0000CF4E0000}"/>
    <cellStyle name="Normal 4 4 22 3" xfId="16225" xr:uid="{00000000-0005-0000-0000-0000D04E0000}"/>
    <cellStyle name="Normal 4 4 22 3 2" xfId="32891" xr:uid="{00000000-0005-0000-0000-0000D14E0000}"/>
    <cellStyle name="Normal 4 4 22 4" xfId="16226" xr:uid="{00000000-0005-0000-0000-0000D24E0000}"/>
    <cellStyle name="Normal 4 4 22 4 2" xfId="32892" xr:uid="{00000000-0005-0000-0000-0000D34E0000}"/>
    <cellStyle name="Normal 4 4 22 5" xfId="16227" xr:uid="{00000000-0005-0000-0000-0000D44E0000}"/>
    <cellStyle name="Normal 4 4 22 5 2" xfId="32893" xr:uid="{00000000-0005-0000-0000-0000D54E0000}"/>
    <cellStyle name="Normal 4 4 22 6" xfId="32889" xr:uid="{00000000-0005-0000-0000-0000D64E0000}"/>
    <cellStyle name="Normal 4 4 23" xfId="16228" xr:uid="{00000000-0005-0000-0000-0000D74E0000}"/>
    <cellStyle name="Normal 4 4 23 2" xfId="16229" xr:uid="{00000000-0005-0000-0000-0000D84E0000}"/>
    <cellStyle name="Normal 4 4 23 2 2" xfId="32895" xr:uid="{00000000-0005-0000-0000-0000D94E0000}"/>
    <cellStyle name="Normal 4 4 23 3" xfId="16230" xr:uid="{00000000-0005-0000-0000-0000DA4E0000}"/>
    <cellStyle name="Normal 4 4 23 3 2" xfId="32896" xr:uid="{00000000-0005-0000-0000-0000DB4E0000}"/>
    <cellStyle name="Normal 4 4 23 4" xfId="16231" xr:uid="{00000000-0005-0000-0000-0000DC4E0000}"/>
    <cellStyle name="Normal 4 4 23 4 2" xfId="32897" xr:uid="{00000000-0005-0000-0000-0000DD4E0000}"/>
    <cellStyle name="Normal 4 4 23 5" xfId="16232" xr:uid="{00000000-0005-0000-0000-0000DE4E0000}"/>
    <cellStyle name="Normal 4 4 23 5 2" xfId="32898" xr:uid="{00000000-0005-0000-0000-0000DF4E0000}"/>
    <cellStyle name="Normal 4 4 23 6" xfId="32894" xr:uid="{00000000-0005-0000-0000-0000E04E0000}"/>
    <cellStyle name="Normal 4 4 24" xfId="16233" xr:uid="{00000000-0005-0000-0000-0000E14E0000}"/>
    <cellStyle name="Normal 4 4 24 2" xfId="16234" xr:uid="{00000000-0005-0000-0000-0000E24E0000}"/>
    <cellStyle name="Normal 4 4 24 2 2" xfId="32900" xr:uid="{00000000-0005-0000-0000-0000E34E0000}"/>
    <cellStyle name="Normal 4 4 24 3" xfId="16235" xr:uid="{00000000-0005-0000-0000-0000E44E0000}"/>
    <cellStyle name="Normal 4 4 24 3 2" xfId="32901" xr:uid="{00000000-0005-0000-0000-0000E54E0000}"/>
    <cellStyle name="Normal 4 4 24 4" xfId="16236" xr:uid="{00000000-0005-0000-0000-0000E64E0000}"/>
    <cellStyle name="Normal 4 4 24 4 2" xfId="32902" xr:uid="{00000000-0005-0000-0000-0000E74E0000}"/>
    <cellStyle name="Normal 4 4 24 5" xfId="16237" xr:uid="{00000000-0005-0000-0000-0000E84E0000}"/>
    <cellStyle name="Normal 4 4 24 5 2" xfId="32903" xr:uid="{00000000-0005-0000-0000-0000E94E0000}"/>
    <cellStyle name="Normal 4 4 24 6" xfId="32899" xr:uid="{00000000-0005-0000-0000-0000EA4E0000}"/>
    <cellStyle name="Normal 4 4 25" xfId="16238" xr:uid="{00000000-0005-0000-0000-0000EB4E0000}"/>
    <cellStyle name="Normal 4 4 25 2" xfId="32904" xr:uid="{00000000-0005-0000-0000-0000EC4E0000}"/>
    <cellStyle name="Normal 4 4 26" xfId="16239" xr:uid="{00000000-0005-0000-0000-0000ED4E0000}"/>
    <cellStyle name="Normal 4 4 26 2" xfId="32905" xr:uid="{00000000-0005-0000-0000-0000EE4E0000}"/>
    <cellStyle name="Normal 4 4 27" xfId="16240" xr:uid="{00000000-0005-0000-0000-0000EF4E0000}"/>
    <cellStyle name="Normal 4 4 27 2" xfId="32906" xr:uid="{00000000-0005-0000-0000-0000F04E0000}"/>
    <cellStyle name="Normal 4 4 28" xfId="16241" xr:uid="{00000000-0005-0000-0000-0000F14E0000}"/>
    <cellStyle name="Normal 4 4 28 2" xfId="32907" xr:uid="{00000000-0005-0000-0000-0000F24E0000}"/>
    <cellStyle name="Normal 4 4 29" xfId="16242" xr:uid="{00000000-0005-0000-0000-0000F34E0000}"/>
    <cellStyle name="Normal 4 4 29 2" xfId="32908" xr:uid="{00000000-0005-0000-0000-0000F44E0000}"/>
    <cellStyle name="Normal 4 4 3" xfId="16243" xr:uid="{00000000-0005-0000-0000-0000F54E0000}"/>
    <cellStyle name="Normal 4 4 3 10" xfId="16244" xr:uid="{00000000-0005-0000-0000-0000F64E0000}"/>
    <cellStyle name="Normal 4 4 3 10 2" xfId="16245" xr:uid="{00000000-0005-0000-0000-0000F74E0000}"/>
    <cellStyle name="Normal 4 4 3 10 2 2" xfId="32911" xr:uid="{00000000-0005-0000-0000-0000F84E0000}"/>
    <cellStyle name="Normal 4 4 3 10 3" xfId="16246" xr:uid="{00000000-0005-0000-0000-0000F94E0000}"/>
    <cellStyle name="Normal 4 4 3 10 3 2" xfId="32912" xr:uid="{00000000-0005-0000-0000-0000FA4E0000}"/>
    <cellStyle name="Normal 4 4 3 10 4" xfId="16247" xr:uid="{00000000-0005-0000-0000-0000FB4E0000}"/>
    <cellStyle name="Normal 4 4 3 10 4 2" xfId="32913" xr:uid="{00000000-0005-0000-0000-0000FC4E0000}"/>
    <cellStyle name="Normal 4 4 3 10 5" xfId="16248" xr:uid="{00000000-0005-0000-0000-0000FD4E0000}"/>
    <cellStyle name="Normal 4 4 3 10 5 2" xfId="32914" xr:uid="{00000000-0005-0000-0000-0000FE4E0000}"/>
    <cellStyle name="Normal 4 4 3 10 6" xfId="32910" xr:uid="{00000000-0005-0000-0000-0000FF4E0000}"/>
    <cellStyle name="Normal 4 4 3 11" xfId="16249" xr:uid="{00000000-0005-0000-0000-0000004F0000}"/>
    <cellStyle name="Normal 4 4 3 11 2" xfId="16250" xr:uid="{00000000-0005-0000-0000-0000014F0000}"/>
    <cellStyle name="Normal 4 4 3 11 2 2" xfId="32916" xr:uid="{00000000-0005-0000-0000-0000024F0000}"/>
    <cellStyle name="Normal 4 4 3 11 3" xfId="16251" xr:uid="{00000000-0005-0000-0000-0000034F0000}"/>
    <cellStyle name="Normal 4 4 3 11 3 2" xfId="32917" xr:uid="{00000000-0005-0000-0000-0000044F0000}"/>
    <cellStyle name="Normal 4 4 3 11 4" xfId="16252" xr:uid="{00000000-0005-0000-0000-0000054F0000}"/>
    <cellStyle name="Normal 4 4 3 11 4 2" xfId="32918" xr:uid="{00000000-0005-0000-0000-0000064F0000}"/>
    <cellStyle name="Normal 4 4 3 11 5" xfId="16253" xr:uid="{00000000-0005-0000-0000-0000074F0000}"/>
    <cellStyle name="Normal 4 4 3 11 5 2" xfId="32919" xr:uid="{00000000-0005-0000-0000-0000084F0000}"/>
    <cellStyle name="Normal 4 4 3 11 6" xfId="32915" xr:uid="{00000000-0005-0000-0000-0000094F0000}"/>
    <cellStyle name="Normal 4 4 3 12" xfId="16254" xr:uid="{00000000-0005-0000-0000-00000A4F0000}"/>
    <cellStyle name="Normal 4 4 3 12 2" xfId="16255" xr:uid="{00000000-0005-0000-0000-00000B4F0000}"/>
    <cellStyle name="Normal 4 4 3 12 2 2" xfId="32921" xr:uid="{00000000-0005-0000-0000-00000C4F0000}"/>
    <cellStyle name="Normal 4 4 3 12 3" xfId="16256" xr:uid="{00000000-0005-0000-0000-00000D4F0000}"/>
    <cellStyle name="Normal 4 4 3 12 3 2" xfId="32922" xr:uid="{00000000-0005-0000-0000-00000E4F0000}"/>
    <cellStyle name="Normal 4 4 3 12 4" xfId="16257" xr:uid="{00000000-0005-0000-0000-00000F4F0000}"/>
    <cellStyle name="Normal 4 4 3 12 4 2" xfId="32923" xr:uid="{00000000-0005-0000-0000-0000104F0000}"/>
    <cellStyle name="Normal 4 4 3 12 5" xfId="16258" xr:uid="{00000000-0005-0000-0000-0000114F0000}"/>
    <cellStyle name="Normal 4 4 3 12 5 2" xfId="32924" xr:uid="{00000000-0005-0000-0000-0000124F0000}"/>
    <cellStyle name="Normal 4 4 3 12 6" xfId="32920" xr:uid="{00000000-0005-0000-0000-0000134F0000}"/>
    <cellStyle name="Normal 4 4 3 13" xfId="16259" xr:uid="{00000000-0005-0000-0000-0000144F0000}"/>
    <cellStyle name="Normal 4 4 3 13 2" xfId="16260" xr:uid="{00000000-0005-0000-0000-0000154F0000}"/>
    <cellStyle name="Normal 4 4 3 13 2 2" xfId="32926" xr:uid="{00000000-0005-0000-0000-0000164F0000}"/>
    <cellStyle name="Normal 4 4 3 13 3" xfId="16261" xr:uid="{00000000-0005-0000-0000-0000174F0000}"/>
    <cellStyle name="Normal 4 4 3 13 3 2" xfId="32927" xr:uid="{00000000-0005-0000-0000-0000184F0000}"/>
    <cellStyle name="Normal 4 4 3 13 4" xfId="16262" xr:uid="{00000000-0005-0000-0000-0000194F0000}"/>
    <cellStyle name="Normal 4 4 3 13 4 2" xfId="32928" xr:uid="{00000000-0005-0000-0000-00001A4F0000}"/>
    <cellStyle name="Normal 4 4 3 13 5" xfId="16263" xr:uid="{00000000-0005-0000-0000-00001B4F0000}"/>
    <cellStyle name="Normal 4 4 3 13 5 2" xfId="32929" xr:uid="{00000000-0005-0000-0000-00001C4F0000}"/>
    <cellStyle name="Normal 4 4 3 13 6" xfId="32925" xr:uid="{00000000-0005-0000-0000-00001D4F0000}"/>
    <cellStyle name="Normal 4 4 3 14" xfId="16264" xr:uid="{00000000-0005-0000-0000-00001E4F0000}"/>
    <cellStyle name="Normal 4 4 3 14 2" xfId="16265" xr:uid="{00000000-0005-0000-0000-00001F4F0000}"/>
    <cellStyle name="Normal 4 4 3 14 2 2" xfId="32931" xr:uid="{00000000-0005-0000-0000-0000204F0000}"/>
    <cellStyle name="Normal 4 4 3 14 3" xfId="16266" xr:uid="{00000000-0005-0000-0000-0000214F0000}"/>
    <cellStyle name="Normal 4 4 3 14 3 2" xfId="32932" xr:uid="{00000000-0005-0000-0000-0000224F0000}"/>
    <cellStyle name="Normal 4 4 3 14 4" xfId="16267" xr:uid="{00000000-0005-0000-0000-0000234F0000}"/>
    <cellStyle name="Normal 4 4 3 14 4 2" xfId="32933" xr:uid="{00000000-0005-0000-0000-0000244F0000}"/>
    <cellStyle name="Normal 4 4 3 14 5" xfId="16268" xr:uid="{00000000-0005-0000-0000-0000254F0000}"/>
    <cellStyle name="Normal 4 4 3 14 5 2" xfId="32934" xr:uid="{00000000-0005-0000-0000-0000264F0000}"/>
    <cellStyle name="Normal 4 4 3 14 6" xfId="32930" xr:uid="{00000000-0005-0000-0000-0000274F0000}"/>
    <cellStyle name="Normal 4 4 3 15" xfId="16269" xr:uid="{00000000-0005-0000-0000-0000284F0000}"/>
    <cellStyle name="Normal 4 4 3 15 2" xfId="16270" xr:uid="{00000000-0005-0000-0000-0000294F0000}"/>
    <cellStyle name="Normal 4 4 3 15 2 2" xfId="32936" xr:uid="{00000000-0005-0000-0000-00002A4F0000}"/>
    <cellStyle name="Normal 4 4 3 15 3" xfId="16271" xr:uid="{00000000-0005-0000-0000-00002B4F0000}"/>
    <cellStyle name="Normal 4 4 3 15 3 2" xfId="32937" xr:uid="{00000000-0005-0000-0000-00002C4F0000}"/>
    <cellStyle name="Normal 4 4 3 15 4" xfId="16272" xr:uid="{00000000-0005-0000-0000-00002D4F0000}"/>
    <cellStyle name="Normal 4 4 3 15 4 2" xfId="32938" xr:uid="{00000000-0005-0000-0000-00002E4F0000}"/>
    <cellStyle name="Normal 4 4 3 15 5" xfId="16273" xr:uid="{00000000-0005-0000-0000-00002F4F0000}"/>
    <cellStyle name="Normal 4 4 3 15 5 2" xfId="32939" xr:uid="{00000000-0005-0000-0000-0000304F0000}"/>
    <cellStyle name="Normal 4 4 3 15 6" xfId="32935" xr:uid="{00000000-0005-0000-0000-0000314F0000}"/>
    <cellStyle name="Normal 4 4 3 16" xfId="16274" xr:uid="{00000000-0005-0000-0000-0000324F0000}"/>
    <cellStyle name="Normal 4 4 3 16 2" xfId="16275" xr:uid="{00000000-0005-0000-0000-0000334F0000}"/>
    <cellStyle name="Normal 4 4 3 16 2 2" xfId="32941" xr:uid="{00000000-0005-0000-0000-0000344F0000}"/>
    <cellStyle name="Normal 4 4 3 16 3" xfId="16276" xr:uid="{00000000-0005-0000-0000-0000354F0000}"/>
    <cellStyle name="Normal 4 4 3 16 3 2" xfId="32942" xr:uid="{00000000-0005-0000-0000-0000364F0000}"/>
    <cellStyle name="Normal 4 4 3 16 4" xfId="16277" xr:uid="{00000000-0005-0000-0000-0000374F0000}"/>
    <cellStyle name="Normal 4 4 3 16 4 2" xfId="32943" xr:uid="{00000000-0005-0000-0000-0000384F0000}"/>
    <cellStyle name="Normal 4 4 3 16 5" xfId="16278" xr:uid="{00000000-0005-0000-0000-0000394F0000}"/>
    <cellStyle name="Normal 4 4 3 16 5 2" xfId="32944" xr:uid="{00000000-0005-0000-0000-00003A4F0000}"/>
    <cellStyle name="Normal 4 4 3 16 6" xfId="32940" xr:uid="{00000000-0005-0000-0000-00003B4F0000}"/>
    <cellStyle name="Normal 4 4 3 17" xfId="16279" xr:uid="{00000000-0005-0000-0000-00003C4F0000}"/>
    <cellStyle name="Normal 4 4 3 17 2" xfId="32945" xr:uid="{00000000-0005-0000-0000-00003D4F0000}"/>
    <cellStyle name="Normal 4 4 3 18" xfId="16280" xr:uid="{00000000-0005-0000-0000-00003E4F0000}"/>
    <cellStyle name="Normal 4 4 3 18 2" xfId="32946" xr:uid="{00000000-0005-0000-0000-00003F4F0000}"/>
    <cellStyle name="Normal 4 4 3 19" xfId="16281" xr:uid="{00000000-0005-0000-0000-0000404F0000}"/>
    <cellStyle name="Normal 4 4 3 19 2" xfId="32947" xr:uid="{00000000-0005-0000-0000-0000414F0000}"/>
    <cellStyle name="Normal 4 4 3 2" xfId="16282" xr:uid="{00000000-0005-0000-0000-0000424F0000}"/>
    <cellStyle name="Normal 4 4 3 2 10" xfId="16283" xr:uid="{00000000-0005-0000-0000-0000434F0000}"/>
    <cellStyle name="Normal 4 4 3 2 10 2" xfId="32949" xr:uid="{00000000-0005-0000-0000-0000444F0000}"/>
    <cellStyle name="Normal 4 4 3 2 11" xfId="16284" xr:uid="{00000000-0005-0000-0000-0000454F0000}"/>
    <cellStyle name="Normal 4 4 3 2 11 2" xfId="32950" xr:uid="{00000000-0005-0000-0000-0000464F0000}"/>
    <cellStyle name="Normal 4 4 3 2 12" xfId="32948" xr:uid="{00000000-0005-0000-0000-0000474F0000}"/>
    <cellStyle name="Normal 4 4 3 2 2" xfId="16285" xr:uid="{00000000-0005-0000-0000-0000484F0000}"/>
    <cellStyle name="Normal 4 4 3 2 2 2" xfId="16286" xr:uid="{00000000-0005-0000-0000-0000494F0000}"/>
    <cellStyle name="Normal 4 4 3 2 2 2 2" xfId="32952" xr:uid="{00000000-0005-0000-0000-00004A4F0000}"/>
    <cellStyle name="Normal 4 4 3 2 2 3" xfId="16287" xr:uid="{00000000-0005-0000-0000-00004B4F0000}"/>
    <cellStyle name="Normal 4 4 3 2 2 3 2" xfId="32953" xr:uid="{00000000-0005-0000-0000-00004C4F0000}"/>
    <cellStyle name="Normal 4 4 3 2 2 4" xfId="16288" xr:uid="{00000000-0005-0000-0000-00004D4F0000}"/>
    <cellStyle name="Normal 4 4 3 2 2 4 2" xfId="32954" xr:uid="{00000000-0005-0000-0000-00004E4F0000}"/>
    <cellStyle name="Normal 4 4 3 2 2 5" xfId="16289" xr:uid="{00000000-0005-0000-0000-00004F4F0000}"/>
    <cellStyle name="Normal 4 4 3 2 2 5 2" xfId="32955" xr:uid="{00000000-0005-0000-0000-0000504F0000}"/>
    <cellStyle name="Normal 4 4 3 2 2 6" xfId="32951" xr:uid="{00000000-0005-0000-0000-0000514F0000}"/>
    <cellStyle name="Normal 4 4 3 2 3" xfId="16290" xr:uid="{00000000-0005-0000-0000-0000524F0000}"/>
    <cellStyle name="Normal 4 4 3 2 3 2" xfId="16291" xr:uid="{00000000-0005-0000-0000-0000534F0000}"/>
    <cellStyle name="Normal 4 4 3 2 3 2 2" xfId="32957" xr:uid="{00000000-0005-0000-0000-0000544F0000}"/>
    <cellStyle name="Normal 4 4 3 2 3 3" xfId="16292" xr:uid="{00000000-0005-0000-0000-0000554F0000}"/>
    <cellStyle name="Normal 4 4 3 2 3 3 2" xfId="32958" xr:uid="{00000000-0005-0000-0000-0000564F0000}"/>
    <cellStyle name="Normal 4 4 3 2 3 4" xfId="16293" xr:uid="{00000000-0005-0000-0000-0000574F0000}"/>
    <cellStyle name="Normal 4 4 3 2 3 4 2" xfId="32959" xr:uid="{00000000-0005-0000-0000-0000584F0000}"/>
    <cellStyle name="Normal 4 4 3 2 3 5" xfId="16294" xr:uid="{00000000-0005-0000-0000-0000594F0000}"/>
    <cellStyle name="Normal 4 4 3 2 3 5 2" xfId="32960" xr:uid="{00000000-0005-0000-0000-00005A4F0000}"/>
    <cellStyle name="Normal 4 4 3 2 3 6" xfId="32956" xr:uid="{00000000-0005-0000-0000-00005B4F0000}"/>
    <cellStyle name="Normal 4 4 3 2 4" xfId="16295" xr:uid="{00000000-0005-0000-0000-00005C4F0000}"/>
    <cellStyle name="Normal 4 4 3 2 4 2" xfId="16296" xr:uid="{00000000-0005-0000-0000-00005D4F0000}"/>
    <cellStyle name="Normal 4 4 3 2 4 2 2" xfId="32962" xr:uid="{00000000-0005-0000-0000-00005E4F0000}"/>
    <cellStyle name="Normal 4 4 3 2 4 3" xfId="16297" xr:uid="{00000000-0005-0000-0000-00005F4F0000}"/>
    <cellStyle name="Normal 4 4 3 2 4 3 2" xfId="32963" xr:uid="{00000000-0005-0000-0000-0000604F0000}"/>
    <cellStyle name="Normal 4 4 3 2 4 4" xfId="16298" xr:uid="{00000000-0005-0000-0000-0000614F0000}"/>
    <cellStyle name="Normal 4 4 3 2 4 4 2" xfId="32964" xr:uid="{00000000-0005-0000-0000-0000624F0000}"/>
    <cellStyle name="Normal 4 4 3 2 4 5" xfId="16299" xr:uid="{00000000-0005-0000-0000-0000634F0000}"/>
    <cellStyle name="Normal 4 4 3 2 4 5 2" xfId="32965" xr:uid="{00000000-0005-0000-0000-0000644F0000}"/>
    <cellStyle name="Normal 4 4 3 2 4 6" xfId="32961" xr:uid="{00000000-0005-0000-0000-0000654F0000}"/>
    <cellStyle name="Normal 4 4 3 2 5" xfId="16300" xr:uid="{00000000-0005-0000-0000-0000664F0000}"/>
    <cellStyle name="Normal 4 4 3 2 5 2" xfId="16301" xr:uid="{00000000-0005-0000-0000-0000674F0000}"/>
    <cellStyle name="Normal 4 4 3 2 5 2 2" xfId="32967" xr:uid="{00000000-0005-0000-0000-0000684F0000}"/>
    <cellStyle name="Normal 4 4 3 2 5 3" xfId="16302" xr:uid="{00000000-0005-0000-0000-0000694F0000}"/>
    <cellStyle name="Normal 4 4 3 2 5 3 2" xfId="32968" xr:uid="{00000000-0005-0000-0000-00006A4F0000}"/>
    <cellStyle name="Normal 4 4 3 2 5 4" xfId="16303" xr:uid="{00000000-0005-0000-0000-00006B4F0000}"/>
    <cellStyle name="Normal 4 4 3 2 5 4 2" xfId="32969" xr:uid="{00000000-0005-0000-0000-00006C4F0000}"/>
    <cellStyle name="Normal 4 4 3 2 5 5" xfId="16304" xr:uid="{00000000-0005-0000-0000-00006D4F0000}"/>
    <cellStyle name="Normal 4 4 3 2 5 5 2" xfId="32970" xr:uid="{00000000-0005-0000-0000-00006E4F0000}"/>
    <cellStyle name="Normal 4 4 3 2 5 6" xfId="32966" xr:uid="{00000000-0005-0000-0000-00006F4F0000}"/>
    <cellStyle name="Normal 4 4 3 2 6" xfId="16305" xr:uid="{00000000-0005-0000-0000-0000704F0000}"/>
    <cellStyle name="Normal 4 4 3 2 6 2" xfId="16306" xr:uid="{00000000-0005-0000-0000-0000714F0000}"/>
    <cellStyle name="Normal 4 4 3 2 6 2 2" xfId="32972" xr:uid="{00000000-0005-0000-0000-0000724F0000}"/>
    <cellStyle name="Normal 4 4 3 2 6 3" xfId="16307" xr:uid="{00000000-0005-0000-0000-0000734F0000}"/>
    <cellStyle name="Normal 4 4 3 2 6 3 2" xfId="32973" xr:uid="{00000000-0005-0000-0000-0000744F0000}"/>
    <cellStyle name="Normal 4 4 3 2 6 4" xfId="16308" xr:uid="{00000000-0005-0000-0000-0000754F0000}"/>
    <cellStyle name="Normal 4 4 3 2 6 4 2" xfId="32974" xr:uid="{00000000-0005-0000-0000-0000764F0000}"/>
    <cellStyle name="Normal 4 4 3 2 6 5" xfId="16309" xr:uid="{00000000-0005-0000-0000-0000774F0000}"/>
    <cellStyle name="Normal 4 4 3 2 6 5 2" xfId="32975" xr:uid="{00000000-0005-0000-0000-0000784F0000}"/>
    <cellStyle name="Normal 4 4 3 2 6 6" xfId="32971" xr:uid="{00000000-0005-0000-0000-0000794F0000}"/>
    <cellStyle name="Normal 4 4 3 2 7" xfId="16310" xr:uid="{00000000-0005-0000-0000-00007A4F0000}"/>
    <cellStyle name="Normal 4 4 3 2 7 2" xfId="16311" xr:uid="{00000000-0005-0000-0000-00007B4F0000}"/>
    <cellStyle name="Normal 4 4 3 2 7 2 2" xfId="32977" xr:uid="{00000000-0005-0000-0000-00007C4F0000}"/>
    <cellStyle name="Normal 4 4 3 2 7 3" xfId="16312" xr:uid="{00000000-0005-0000-0000-00007D4F0000}"/>
    <cellStyle name="Normal 4 4 3 2 7 3 2" xfId="32978" xr:uid="{00000000-0005-0000-0000-00007E4F0000}"/>
    <cellStyle name="Normal 4 4 3 2 7 4" xfId="16313" xr:uid="{00000000-0005-0000-0000-00007F4F0000}"/>
    <cellStyle name="Normal 4 4 3 2 7 4 2" xfId="32979" xr:uid="{00000000-0005-0000-0000-0000804F0000}"/>
    <cellStyle name="Normal 4 4 3 2 7 5" xfId="16314" xr:uid="{00000000-0005-0000-0000-0000814F0000}"/>
    <cellStyle name="Normal 4 4 3 2 7 5 2" xfId="32980" xr:uid="{00000000-0005-0000-0000-0000824F0000}"/>
    <cellStyle name="Normal 4 4 3 2 7 6" xfId="32976" xr:uid="{00000000-0005-0000-0000-0000834F0000}"/>
    <cellStyle name="Normal 4 4 3 2 8" xfId="16315" xr:uid="{00000000-0005-0000-0000-0000844F0000}"/>
    <cellStyle name="Normal 4 4 3 2 8 2" xfId="32981" xr:uid="{00000000-0005-0000-0000-0000854F0000}"/>
    <cellStyle name="Normal 4 4 3 2 9" xfId="16316" xr:uid="{00000000-0005-0000-0000-0000864F0000}"/>
    <cellStyle name="Normal 4 4 3 2 9 2" xfId="32982" xr:uid="{00000000-0005-0000-0000-0000874F0000}"/>
    <cellStyle name="Normal 4 4 3 20" xfId="16317" xr:uid="{00000000-0005-0000-0000-0000884F0000}"/>
    <cellStyle name="Normal 4 4 3 20 2" xfId="32983" xr:uid="{00000000-0005-0000-0000-0000894F0000}"/>
    <cellStyle name="Normal 4 4 3 21" xfId="40708" xr:uid="{00000000-0005-0000-0000-00008A4F0000}"/>
    <cellStyle name="Normal 4 4 3 22" xfId="32909" xr:uid="{00000000-0005-0000-0000-00008B4F0000}"/>
    <cellStyle name="Normal 4 4 3 3" xfId="16318" xr:uid="{00000000-0005-0000-0000-00008C4F0000}"/>
    <cellStyle name="Normal 4 4 3 3 2" xfId="16319" xr:uid="{00000000-0005-0000-0000-00008D4F0000}"/>
    <cellStyle name="Normal 4 4 3 3 2 2" xfId="16320" xr:uid="{00000000-0005-0000-0000-00008E4F0000}"/>
    <cellStyle name="Normal 4 4 3 3 2 2 2" xfId="32986" xr:uid="{00000000-0005-0000-0000-00008F4F0000}"/>
    <cellStyle name="Normal 4 4 3 3 2 3" xfId="16321" xr:uid="{00000000-0005-0000-0000-0000904F0000}"/>
    <cellStyle name="Normal 4 4 3 3 2 3 2" xfId="32987" xr:uid="{00000000-0005-0000-0000-0000914F0000}"/>
    <cellStyle name="Normal 4 4 3 3 2 4" xfId="16322" xr:uid="{00000000-0005-0000-0000-0000924F0000}"/>
    <cellStyle name="Normal 4 4 3 3 2 4 2" xfId="32988" xr:uid="{00000000-0005-0000-0000-0000934F0000}"/>
    <cellStyle name="Normal 4 4 3 3 2 5" xfId="16323" xr:uid="{00000000-0005-0000-0000-0000944F0000}"/>
    <cellStyle name="Normal 4 4 3 3 2 5 2" xfId="32989" xr:uid="{00000000-0005-0000-0000-0000954F0000}"/>
    <cellStyle name="Normal 4 4 3 3 2 6" xfId="32985" xr:uid="{00000000-0005-0000-0000-0000964F0000}"/>
    <cellStyle name="Normal 4 4 3 3 3" xfId="16324" xr:uid="{00000000-0005-0000-0000-0000974F0000}"/>
    <cellStyle name="Normal 4 4 3 3 3 2" xfId="32990" xr:uid="{00000000-0005-0000-0000-0000984F0000}"/>
    <cellStyle name="Normal 4 4 3 3 4" xfId="16325" xr:uid="{00000000-0005-0000-0000-0000994F0000}"/>
    <cellStyle name="Normal 4 4 3 3 4 2" xfId="32991" xr:uid="{00000000-0005-0000-0000-00009A4F0000}"/>
    <cellStyle name="Normal 4 4 3 3 5" xfId="16326" xr:uid="{00000000-0005-0000-0000-00009B4F0000}"/>
    <cellStyle name="Normal 4 4 3 3 5 2" xfId="32992" xr:uid="{00000000-0005-0000-0000-00009C4F0000}"/>
    <cellStyle name="Normal 4 4 3 3 6" xfId="16327" xr:uid="{00000000-0005-0000-0000-00009D4F0000}"/>
    <cellStyle name="Normal 4 4 3 3 6 2" xfId="32993" xr:uid="{00000000-0005-0000-0000-00009E4F0000}"/>
    <cellStyle name="Normal 4 4 3 3 7" xfId="32984" xr:uid="{00000000-0005-0000-0000-00009F4F0000}"/>
    <cellStyle name="Normal 4 4 3 4" xfId="16328" xr:uid="{00000000-0005-0000-0000-0000A04F0000}"/>
    <cellStyle name="Normal 4 4 3 4 2" xfId="16329" xr:uid="{00000000-0005-0000-0000-0000A14F0000}"/>
    <cellStyle name="Normal 4 4 3 4 2 2" xfId="16330" xr:uid="{00000000-0005-0000-0000-0000A24F0000}"/>
    <cellStyle name="Normal 4 4 3 4 2 2 2" xfId="32996" xr:uid="{00000000-0005-0000-0000-0000A34F0000}"/>
    <cellStyle name="Normal 4 4 3 4 2 3" xfId="16331" xr:uid="{00000000-0005-0000-0000-0000A44F0000}"/>
    <cellStyle name="Normal 4 4 3 4 2 3 2" xfId="32997" xr:uid="{00000000-0005-0000-0000-0000A54F0000}"/>
    <cellStyle name="Normal 4 4 3 4 2 4" xfId="16332" xr:uid="{00000000-0005-0000-0000-0000A64F0000}"/>
    <cellStyle name="Normal 4 4 3 4 2 4 2" xfId="32998" xr:uid="{00000000-0005-0000-0000-0000A74F0000}"/>
    <cellStyle name="Normal 4 4 3 4 2 5" xfId="16333" xr:uid="{00000000-0005-0000-0000-0000A84F0000}"/>
    <cellStyle name="Normal 4 4 3 4 2 5 2" xfId="32999" xr:uid="{00000000-0005-0000-0000-0000A94F0000}"/>
    <cellStyle name="Normal 4 4 3 4 2 6" xfId="32995" xr:uid="{00000000-0005-0000-0000-0000AA4F0000}"/>
    <cellStyle name="Normal 4 4 3 4 3" xfId="16334" xr:uid="{00000000-0005-0000-0000-0000AB4F0000}"/>
    <cellStyle name="Normal 4 4 3 4 3 2" xfId="33000" xr:uid="{00000000-0005-0000-0000-0000AC4F0000}"/>
    <cellStyle name="Normal 4 4 3 4 4" xfId="16335" xr:uid="{00000000-0005-0000-0000-0000AD4F0000}"/>
    <cellStyle name="Normal 4 4 3 4 4 2" xfId="33001" xr:uid="{00000000-0005-0000-0000-0000AE4F0000}"/>
    <cellStyle name="Normal 4 4 3 4 5" xfId="16336" xr:uid="{00000000-0005-0000-0000-0000AF4F0000}"/>
    <cellStyle name="Normal 4 4 3 4 5 2" xfId="33002" xr:uid="{00000000-0005-0000-0000-0000B04F0000}"/>
    <cellStyle name="Normal 4 4 3 4 6" xfId="16337" xr:uid="{00000000-0005-0000-0000-0000B14F0000}"/>
    <cellStyle name="Normal 4 4 3 4 6 2" xfId="33003" xr:uid="{00000000-0005-0000-0000-0000B24F0000}"/>
    <cellStyle name="Normal 4 4 3 4 7" xfId="32994" xr:uid="{00000000-0005-0000-0000-0000B34F0000}"/>
    <cellStyle name="Normal 4 4 3 5" xfId="16338" xr:uid="{00000000-0005-0000-0000-0000B44F0000}"/>
    <cellStyle name="Normal 4 4 3 5 2" xfId="16339" xr:uid="{00000000-0005-0000-0000-0000B54F0000}"/>
    <cellStyle name="Normal 4 4 3 5 2 2" xfId="33005" xr:uid="{00000000-0005-0000-0000-0000B64F0000}"/>
    <cellStyle name="Normal 4 4 3 5 3" xfId="16340" xr:uid="{00000000-0005-0000-0000-0000B74F0000}"/>
    <cellStyle name="Normal 4 4 3 5 3 2" xfId="33006" xr:uid="{00000000-0005-0000-0000-0000B84F0000}"/>
    <cellStyle name="Normal 4 4 3 5 4" xfId="16341" xr:uid="{00000000-0005-0000-0000-0000B94F0000}"/>
    <cellStyle name="Normal 4 4 3 5 4 2" xfId="33007" xr:uid="{00000000-0005-0000-0000-0000BA4F0000}"/>
    <cellStyle name="Normal 4 4 3 5 5" xfId="16342" xr:uid="{00000000-0005-0000-0000-0000BB4F0000}"/>
    <cellStyle name="Normal 4 4 3 5 5 2" xfId="33008" xr:uid="{00000000-0005-0000-0000-0000BC4F0000}"/>
    <cellStyle name="Normal 4 4 3 5 6" xfId="33004" xr:uid="{00000000-0005-0000-0000-0000BD4F0000}"/>
    <cellStyle name="Normal 4 4 3 6" xfId="16343" xr:uid="{00000000-0005-0000-0000-0000BE4F0000}"/>
    <cellStyle name="Normal 4 4 3 6 2" xfId="16344" xr:uid="{00000000-0005-0000-0000-0000BF4F0000}"/>
    <cellStyle name="Normal 4 4 3 6 2 2" xfId="33010" xr:uid="{00000000-0005-0000-0000-0000C04F0000}"/>
    <cellStyle name="Normal 4 4 3 6 3" xfId="16345" xr:uid="{00000000-0005-0000-0000-0000C14F0000}"/>
    <cellStyle name="Normal 4 4 3 6 3 2" xfId="33011" xr:uid="{00000000-0005-0000-0000-0000C24F0000}"/>
    <cellStyle name="Normal 4 4 3 6 4" xfId="16346" xr:uid="{00000000-0005-0000-0000-0000C34F0000}"/>
    <cellStyle name="Normal 4 4 3 6 4 2" xfId="33012" xr:uid="{00000000-0005-0000-0000-0000C44F0000}"/>
    <cellStyle name="Normal 4 4 3 6 5" xfId="16347" xr:uid="{00000000-0005-0000-0000-0000C54F0000}"/>
    <cellStyle name="Normal 4 4 3 6 5 2" xfId="33013" xr:uid="{00000000-0005-0000-0000-0000C64F0000}"/>
    <cellStyle name="Normal 4 4 3 6 6" xfId="33009" xr:uid="{00000000-0005-0000-0000-0000C74F0000}"/>
    <cellStyle name="Normal 4 4 3 7" xfId="16348" xr:uid="{00000000-0005-0000-0000-0000C84F0000}"/>
    <cellStyle name="Normal 4 4 3 7 2" xfId="16349" xr:uid="{00000000-0005-0000-0000-0000C94F0000}"/>
    <cellStyle name="Normal 4 4 3 7 2 2" xfId="33015" xr:uid="{00000000-0005-0000-0000-0000CA4F0000}"/>
    <cellStyle name="Normal 4 4 3 7 3" xfId="16350" xr:uid="{00000000-0005-0000-0000-0000CB4F0000}"/>
    <cellStyle name="Normal 4 4 3 7 3 2" xfId="33016" xr:uid="{00000000-0005-0000-0000-0000CC4F0000}"/>
    <cellStyle name="Normal 4 4 3 7 4" xfId="16351" xr:uid="{00000000-0005-0000-0000-0000CD4F0000}"/>
    <cellStyle name="Normal 4 4 3 7 4 2" xfId="33017" xr:uid="{00000000-0005-0000-0000-0000CE4F0000}"/>
    <cellStyle name="Normal 4 4 3 7 5" xfId="16352" xr:uid="{00000000-0005-0000-0000-0000CF4F0000}"/>
    <cellStyle name="Normal 4 4 3 7 5 2" xfId="33018" xr:uid="{00000000-0005-0000-0000-0000D04F0000}"/>
    <cellStyle name="Normal 4 4 3 7 6" xfId="33014" xr:uid="{00000000-0005-0000-0000-0000D14F0000}"/>
    <cellStyle name="Normal 4 4 3 8" xfId="16353" xr:uid="{00000000-0005-0000-0000-0000D24F0000}"/>
    <cellStyle name="Normal 4 4 3 8 2" xfId="16354" xr:uid="{00000000-0005-0000-0000-0000D34F0000}"/>
    <cellStyle name="Normal 4 4 3 8 2 2" xfId="33020" xr:uid="{00000000-0005-0000-0000-0000D44F0000}"/>
    <cellStyle name="Normal 4 4 3 8 3" xfId="16355" xr:uid="{00000000-0005-0000-0000-0000D54F0000}"/>
    <cellStyle name="Normal 4 4 3 8 3 2" xfId="33021" xr:uid="{00000000-0005-0000-0000-0000D64F0000}"/>
    <cellStyle name="Normal 4 4 3 8 4" xfId="16356" xr:uid="{00000000-0005-0000-0000-0000D74F0000}"/>
    <cellStyle name="Normal 4 4 3 8 4 2" xfId="33022" xr:uid="{00000000-0005-0000-0000-0000D84F0000}"/>
    <cellStyle name="Normal 4 4 3 8 5" xfId="16357" xr:uid="{00000000-0005-0000-0000-0000D94F0000}"/>
    <cellStyle name="Normal 4 4 3 8 5 2" xfId="33023" xr:uid="{00000000-0005-0000-0000-0000DA4F0000}"/>
    <cellStyle name="Normal 4 4 3 8 6" xfId="33019" xr:uid="{00000000-0005-0000-0000-0000DB4F0000}"/>
    <cellStyle name="Normal 4 4 3 9" xfId="16358" xr:uid="{00000000-0005-0000-0000-0000DC4F0000}"/>
    <cellStyle name="Normal 4 4 3 9 2" xfId="16359" xr:uid="{00000000-0005-0000-0000-0000DD4F0000}"/>
    <cellStyle name="Normal 4 4 3 9 2 2" xfId="33025" xr:uid="{00000000-0005-0000-0000-0000DE4F0000}"/>
    <cellStyle name="Normal 4 4 3 9 3" xfId="16360" xr:uid="{00000000-0005-0000-0000-0000DF4F0000}"/>
    <cellStyle name="Normal 4 4 3 9 3 2" xfId="33026" xr:uid="{00000000-0005-0000-0000-0000E04F0000}"/>
    <cellStyle name="Normal 4 4 3 9 4" xfId="16361" xr:uid="{00000000-0005-0000-0000-0000E14F0000}"/>
    <cellStyle name="Normal 4 4 3 9 4 2" xfId="33027" xr:uid="{00000000-0005-0000-0000-0000E24F0000}"/>
    <cellStyle name="Normal 4 4 3 9 5" xfId="16362" xr:uid="{00000000-0005-0000-0000-0000E34F0000}"/>
    <cellStyle name="Normal 4 4 3 9 5 2" xfId="33028" xr:uid="{00000000-0005-0000-0000-0000E44F0000}"/>
    <cellStyle name="Normal 4 4 3 9 6" xfId="33024" xr:uid="{00000000-0005-0000-0000-0000E54F0000}"/>
    <cellStyle name="Normal 4 4 30" xfId="40705" xr:uid="{00000000-0005-0000-0000-0000E64F0000}"/>
    <cellStyle name="Normal 4 4 4" xfId="16363" xr:uid="{00000000-0005-0000-0000-0000E74F0000}"/>
    <cellStyle name="Normal 4 4 4 10" xfId="16364" xr:uid="{00000000-0005-0000-0000-0000E84F0000}"/>
    <cellStyle name="Normal 4 4 4 10 2" xfId="16365" xr:uid="{00000000-0005-0000-0000-0000E94F0000}"/>
    <cellStyle name="Normal 4 4 4 10 2 2" xfId="33031" xr:uid="{00000000-0005-0000-0000-0000EA4F0000}"/>
    <cellStyle name="Normal 4 4 4 10 3" xfId="16366" xr:uid="{00000000-0005-0000-0000-0000EB4F0000}"/>
    <cellStyle name="Normal 4 4 4 10 3 2" xfId="33032" xr:uid="{00000000-0005-0000-0000-0000EC4F0000}"/>
    <cellStyle name="Normal 4 4 4 10 4" xfId="16367" xr:uid="{00000000-0005-0000-0000-0000ED4F0000}"/>
    <cellStyle name="Normal 4 4 4 10 4 2" xfId="33033" xr:uid="{00000000-0005-0000-0000-0000EE4F0000}"/>
    <cellStyle name="Normal 4 4 4 10 5" xfId="16368" xr:uid="{00000000-0005-0000-0000-0000EF4F0000}"/>
    <cellStyle name="Normal 4 4 4 10 5 2" xfId="33034" xr:uid="{00000000-0005-0000-0000-0000F04F0000}"/>
    <cellStyle name="Normal 4 4 4 10 6" xfId="33030" xr:uid="{00000000-0005-0000-0000-0000F14F0000}"/>
    <cellStyle name="Normal 4 4 4 11" xfId="16369" xr:uid="{00000000-0005-0000-0000-0000F24F0000}"/>
    <cellStyle name="Normal 4 4 4 11 2" xfId="16370" xr:uid="{00000000-0005-0000-0000-0000F34F0000}"/>
    <cellStyle name="Normal 4 4 4 11 2 2" xfId="33036" xr:uid="{00000000-0005-0000-0000-0000F44F0000}"/>
    <cellStyle name="Normal 4 4 4 11 3" xfId="16371" xr:uid="{00000000-0005-0000-0000-0000F54F0000}"/>
    <cellStyle name="Normal 4 4 4 11 3 2" xfId="33037" xr:uid="{00000000-0005-0000-0000-0000F64F0000}"/>
    <cellStyle name="Normal 4 4 4 11 4" xfId="16372" xr:uid="{00000000-0005-0000-0000-0000F74F0000}"/>
    <cellStyle name="Normal 4 4 4 11 4 2" xfId="33038" xr:uid="{00000000-0005-0000-0000-0000F84F0000}"/>
    <cellStyle name="Normal 4 4 4 11 5" xfId="16373" xr:uid="{00000000-0005-0000-0000-0000F94F0000}"/>
    <cellStyle name="Normal 4 4 4 11 5 2" xfId="33039" xr:uid="{00000000-0005-0000-0000-0000FA4F0000}"/>
    <cellStyle name="Normal 4 4 4 11 6" xfId="33035" xr:uid="{00000000-0005-0000-0000-0000FB4F0000}"/>
    <cellStyle name="Normal 4 4 4 12" xfId="16374" xr:uid="{00000000-0005-0000-0000-0000FC4F0000}"/>
    <cellStyle name="Normal 4 4 4 12 2" xfId="16375" xr:uid="{00000000-0005-0000-0000-0000FD4F0000}"/>
    <cellStyle name="Normal 4 4 4 12 2 2" xfId="33041" xr:uid="{00000000-0005-0000-0000-0000FE4F0000}"/>
    <cellStyle name="Normal 4 4 4 12 3" xfId="16376" xr:uid="{00000000-0005-0000-0000-0000FF4F0000}"/>
    <cellStyle name="Normal 4 4 4 12 3 2" xfId="33042" xr:uid="{00000000-0005-0000-0000-000000500000}"/>
    <cellStyle name="Normal 4 4 4 12 4" xfId="16377" xr:uid="{00000000-0005-0000-0000-000001500000}"/>
    <cellStyle name="Normal 4 4 4 12 4 2" xfId="33043" xr:uid="{00000000-0005-0000-0000-000002500000}"/>
    <cellStyle name="Normal 4 4 4 12 5" xfId="16378" xr:uid="{00000000-0005-0000-0000-000003500000}"/>
    <cellStyle name="Normal 4 4 4 12 5 2" xfId="33044" xr:uid="{00000000-0005-0000-0000-000004500000}"/>
    <cellStyle name="Normal 4 4 4 12 6" xfId="33040" xr:uid="{00000000-0005-0000-0000-000005500000}"/>
    <cellStyle name="Normal 4 4 4 13" xfId="16379" xr:uid="{00000000-0005-0000-0000-000006500000}"/>
    <cellStyle name="Normal 4 4 4 13 2" xfId="16380" xr:uid="{00000000-0005-0000-0000-000007500000}"/>
    <cellStyle name="Normal 4 4 4 13 2 2" xfId="33046" xr:uid="{00000000-0005-0000-0000-000008500000}"/>
    <cellStyle name="Normal 4 4 4 13 3" xfId="16381" xr:uid="{00000000-0005-0000-0000-000009500000}"/>
    <cellStyle name="Normal 4 4 4 13 3 2" xfId="33047" xr:uid="{00000000-0005-0000-0000-00000A500000}"/>
    <cellStyle name="Normal 4 4 4 13 4" xfId="16382" xr:uid="{00000000-0005-0000-0000-00000B500000}"/>
    <cellStyle name="Normal 4 4 4 13 4 2" xfId="33048" xr:uid="{00000000-0005-0000-0000-00000C500000}"/>
    <cellStyle name="Normal 4 4 4 13 5" xfId="16383" xr:uid="{00000000-0005-0000-0000-00000D500000}"/>
    <cellStyle name="Normal 4 4 4 13 5 2" xfId="33049" xr:uid="{00000000-0005-0000-0000-00000E500000}"/>
    <cellStyle name="Normal 4 4 4 13 6" xfId="33045" xr:uid="{00000000-0005-0000-0000-00000F500000}"/>
    <cellStyle name="Normal 4 4 4 14" xfId="16384" xr:uid="{00000000-0005-0000-0000-000010500000}"/>
    <cellStyle name="Normal 4 4 4 14 2" xfId="16385" xr:uid="{00000000-0005-0000-0000-000011500000}"/>
    <cellStyle name="Normal 4 4 4 14 2 2" xfId="33051" xr:uid="{00000000-0005-0000-0000-000012500000}"/>
    <cellStyle name="Normal 4 4 4 14 3" xfId="16386" xr:uid="{00000000-0005-0000-0000-000013500000}"/>
    <cellStyle name="Normal 4 4 4 14 3 2" xfId="33052" xr:uid="{00000000-0005-0000-0000-000014500000}"/>
    <cellStyle name="Normal 4 4 4 14 4" xfId="16387" xr:uid="{00000000-0005-0000-0000-000015500000}"/>
    <cellStyle name="Normal 4 4 4 14 4 2" xfId="33053" xr:uid="{00000000-0005-0000-0000-000016500000}"/>
    <cellStyle name="Normal 4 4 4 14 5" xfId="16388" xr:uid="{00000000-0005-0000-0000-000017500000}"/>
    <cellStyle name="Normal 4 4 4 14 5 2" xfId="33054" xr:uid="{00000000-0005-0000-0000-000018500000}"/>
    <cellStyle name="Normal 4 4 4 14 6" xfId="33050" xr:uid="{00000000-0005-0000-0000-000019500000}"/>
    <cellStyle name="Normal 4 4 4 15" xfId="16389" xr:uid="{00000000-0005-0000-0000-00001A500000}"/>
    <cellStyle name="Normal 4 4 4 15 2" xfId="16390" xr:uid="{00000000-0005-0000-0000-00001B500000}"/>
    <cellStyle name="Normal 4 4 4 15 2 2" xfId="33056" xr:uid="{00000000-0005-0000-0000-00001C500000}"/>
    <cellStyle name="Normal 4 4 4 15 3" xfId="16391" xr:uid="{00000000-0005-0000-0000-00001D500000}"/>
    <cellStyle name="Normal 4 4 4 15 3 2" xfId="33057" xr:uid="{00000000-0005-0000-0000-00001E500000}"/>
    <cellStyle name="Normal 4 4 4 15 4" xfId="16392" xr:uid="{00000000-0005-0000-0000-00001F500000}"/>
    <cellStyle name="Normal 4 4 4 15 4 2" xfId="33058" xr:uid="{00000000-0005-0000-0000-000020500000}"/>
    <cellStyle name="Normal 4 4 4 15 5" xfId="16393" xr:uid="{00000000-0005-0000-0000-000021500000}"/>
    <cellStyle name="Normal 4 4 4 15 5 2" xfId="33059" xr:uid="{00000000-0005-0000-0000-000022500000}"/>
    <cellStyle name="Normal 4 4 4 15 6" xfId="33055" xr:uid="{00000000-0005-0000-0000-000023500000}"/>
    <cellStyle name="Normal 4 4 4 16" xfId="16394" xr:uid="{00000000-0005-0000-0000-000024500000}"/>
    <cellStyle name="Normal 4 4 4 16 2" xfId="16395" xr:uid="{00000000-0005-0000-0000-000025500000}"/>
    <cellStyle name="Normal 4 4 4 16 2 2" xfId="33061" xr:uid="{00000000-0005-0000-0000-000026500000}"/>
    <cellStyle name="Normal 4 4 4 16 3" xfId="16396" xr:uid="{00000000-0005-0000-0000-000027500000}"/>
    <cellStyle name="Normal 4 4 4 16 3 2" xfId="33062" xr:uid="{00000000-0005-0000-0000-000028500000}"/>
    <cellStyle name="Normal 4 4 4 16 4" xfId="16397" xr:uid="{00000000-0005-0000-0000-000029500000}"/>
    <cellStyle name="Normal 4 4 4 16 4 2" xfId="33063" xr:uid="{00000000-0005-0000-0000-00002A500000}"/>
    <cellStyle name="Normal 4 4 4 16 5" xfId="16398" xr:uid="{00000000-0005-0000-0000-00002B500000}"/>
    <cellStyle name="Normal 4 4 4 16 5 2" xfId="33064" xr:uid="{00000000-0005-0000-0000-00002C500000}"/>
    <cellStyle name="Normal 4 4 4 16 6" xfId="33060" xr:uid="{00000000-0005-0000-0000-00002D500000}"/>
    <cellStyle name="Normal 4 4 4 17" xfId="16399" xr:uid="{00000000-0005-0000-0000-00002E500000}"/>
    <cellStyle name="Normal 4 4 4 17 2" xfId="33065" xr:uid="{00000000-0005-0000-0000-00002F500000}"/>
    <cellStyle name="Normal 4 4 4 18" xfId="16400" xr:uid="{00000000-0005-0000-0000-000030500000}"/>
    <cellStyle name="Normal 4 4 4 18 2" xfId="33066" xr:uid="{00000000-0005-0000-0000-000031500000}"/>
    <cellStyle name="Normal 4 4 4 19" xfId="16401" xr:uid="{00000000-0005-0000-0000-000032500000}"/>
    <cellStyle name="Normal 4 4 4 19 2" xfId="33067" xr:uid="{00000000-0005-0000-0000-000033500000}"/>
    <cellStyle name="Normal 4 4 4 2" xfId="16402" xr:uid="{00000000-0005-0000-0000-000034500000}"/>
    <cellStyle name="Normal 4 4 4 2 10" xfId="16403" xr:uid="{00000000-0005-0000-0000-000035500000}"/>
    <cellStyle name="Normal 4 4 4 2 10 2" xfId="33069" xr:uid="{00000000-0005-0000-0000-000036500000}"/>
    <cellStyle name="Normal 4 4 4 2 11" xfId="16404" xr:uid="{00000000-0005-0000-0000-000037500000}"/>
    <cellStyle name="Normal 4 4 4 2 11 2" xfId="33070" xr:uid="{00000000-0005-0000-0000-000038500000}"/>
    <cellStyle name="Normal 4 4 4 2 12" xfId="33068" xr:uid="{00000000-0005-0000-0000-000039500000}"/>
    <cellStyle name="Normal 4 4 4 2 2" xfId="16405" xr:uid="{00000000-0005-0000-0000-00003A500000}"/>
    <cellStyle name="Normal 4 4 4 2 2 2" xfId="16406" xr:uid="{00000000-0005-0000-0000-00003B500000}"/>
    <cellStyle name="Normal 4 4 4 2 2 2 2" xfId="33072" xr:uid="{00000000-0005-0000-0000-00003C500000}"/>
    <cellStyle name="Normal 4 4 4 2 2 3" xfId="16407" xr:uid="{00000000-0005-0000-0000-00003D500000}"/>
    <cellStyle name="Normal 4 4 4 2 2 3 2" xfId="33073" xr:uid="{00000000-0005-0000-0000-00003E500000}"/>
    <cellStyle name="Normal 4 4 4 2 2 4" xfId="16408" xr:uid="{00000000-0005-0000-0000-00003F500000}"/>
    <cellStyle name="Normal 4 4 4 2 2 4 2" xfId="33074" xr:uid="{00000000-0005-0000-0000-000040500000}"/>
    <cellStyle name="Normal 4 4 4 2 2 5" xfId="16409" xr:uid="{00000000-0005-0000-0000-000041500000}"/>
    <cellStyle name="Normal 4 4 4 2 2 5 2" xfId="33075" xr:uid="{00000000-0005-0000-0000-000042500000}"/>
    <cellStyle name="Normal 4 4 4 2 2 6" xfId="33071" xr:uid="{00000000-0005-0000-0000-000043500000}"/>
    <cellStyle name="Normal 4 4 4 2 3" xfId="16410" xr:uid="{00000000-0005-0000-0000-000044500000}"/>
    <cellStyle name="Normal 4 4 4 2 3 2" xfId="16411" xr:uid="{00000000-0005-0000-0000-000045500000}"/>
    <cellStyle name="Normal 4 4 4 2 3 2 2" xfId="33077" xr:uid="{00000000-0005-0000-0000-000046500000}"/>
    <cellStyle name="Normal 4 4 4 2 3 3" xfId="16412" xr:uid="{00000000-0005-0000-0000-000047500000}"/>
    <cellStyle name="Normal 4 4 4 2 3 3 2" xfId="33078" xr:uid="{00000000-0005-0000-0000-000048500000}"/>
    <cellStyle name="Normal 4 4 4 2 3 4" xfId="16413" xr:uid="{00000000-0005-0000-0000-000049500000}"/>
    <cellStyle name="Normal 4 4 4 2 3 4 2" xfId="33079" xr:uid="{00000000-0005-0000-0000-00004A500000}"/>
    <cellStyle name="Normal 4 4 4 2 3 5" xfId="16414" xr:uid="{00000000-0005-0000-0000-00004B500000}"/>
    <cellStyle name="Normal 4 4 4 2 3 5 2" xfId="33080" xr:uid="{00000000-0005-0000-0000-00004C500000}"/>
    <cellStyle name="Normal 4 4 4 2 3 6" xfId="33076" xr:uid="{00000000-0005-0000-0000-00004D500000}"/>
    <cellStyle name="Normal 4 4 4 2 4" xfId="16415" xr:uid="{00000000-0005-0000-0000-00004E500000}"/>
    <cellStyle name="Normal 4 4 4 2 4 2" xfId="16416" xr:uid="{00000000-0005-0000-0000-00004F500000}"/>
    <cellStyle name="Normal 4 4 4 2 4 2 2" xfId="33082" xr:uid="{00000000-0005-0000-0000-000050500000}"/>
    <cellStyle name="Normal 4 4 4 2 4 3" xfId="16417" xr:uid="{00000000-0005-0000-0000-000051500000}"/>
    <cellStyle name="Normal 4 4 4 2 4 3 2" xfId="33083" xr:uid="{00000000-0005-0000-0000-000052500000}"/>
    <cellStyle name="Normal 4 4 4 2 4 4" xfId="16418" xr:uid="{00000000-0005-0000-0000-000053500000}"/>
    <cellStyle name="Normal 4 4 4 2 4 4 2" xfId="33084" xr:uid="{00000000-0005-0000-0000-000054500000}"/>
    <cellStyle name="Normal 4 4 4 2 4 5" xfId="16419" xr:uid="{00000000-0005-0000-0000-000055500000}"/>
    <cellStyle name="Normal 4 4 4 2 4 5 2" xfId="33085" xr:uid="{00000000-0005-0000-0000-000056500000}"/>
    <cellStyle name="Normal 4 4 4 2 4 6" xfId="33081" xr:uid="{00000000-0005-0000-0000-000057500000}"/>
    <cellStyle name="Normal 4 4 4 2 5" xfId="16420" xr:uid="{00000000-0005-0000-0000-000058500000}"/>
    <cellStyle name="Normal 4 4 4 2 5 2" xfId="16421" xr:uid="{00000000-0005-0000-0000-000059500000}"/>
    <cellStyle name="Normal 4 4 4 2 5 2 2" xfId="33087" xr:uid="{00000000-0005-0000-0000-00005A500000}"/>
    <cellStyle name="Normal 4 4 4 2 5 3" xfId="16422" xr:uid="{00000000-0005-0000-0000-00005B500000}"/>
    <cellStyle name="Normal 4 4 4 2 5 3 2" xfId="33088" xr:uid="{00000000-0005-0000-0000-00005C500000}"/>
    <cellStyle name="Normal 4 4 4 2 5 4" xfId="16423" xr:uid="{00000000-0005-0000-0000-00005D500000}"/>
    <cellStyle name="Normal 4 4 4 2 5 4 2" xfId="33089" xr:uid="{00000000-0005-0000-0000-00005E500000}"/>
    <cellStyle name="Normal 4 4 4 2 5 5" xfId="16424" xr:uid="{00000000-0005-0000-0000-00005F500000}"/>
    <cellStyle name="Normal 4 4 4 2 5 5 2" xfId="33090" xr:uid="{00000000-0005-0000-0000-000060500000}"/>
    <cellStyle name="Normal 4 4 4 2 5 6" xfId="33086" xr:uid="{00000000-0005-0000-0000-000061500000}"/>
    <cellStyle name="Normal 4 4 4 2 6" xfId="16425" xr:uid="{00000000-0005-0000-0000-000062500000}"/>
    <cellStyle name="Normal 4 4 4 2 6 2" xfId="16426" xr:uid="{00000000-0005-0000-0000-000063500000}"/>
    <cellStyle name="Normal 4 4 4 2 6 2 2" xfId="33092" xr:uid="{00000000-0005-0000-0000-000064500000}"/>
    <cellStyle name="Normal 4 4 4 2 6 3" xfId="16427" xr:uid="{00000000-0005-0000-0000-000065500000}"/>
    <cellStyle name="Normal 4 4 4 2 6 3 2" xfId="33093" xr:uid="{00000000-0005-0000-0000-000066500000}"/>
    <cellStyle name="Normal 4 4 4 2 6 4" xfId="16428" xr:uid="{00000000-0005-0000-0000-000067500000}"/>
    <cellStyle name="Normal 4 4 4 2 6 4 2" xfId="33094" xr:uid="{00000000-0005-0000-0000-000068500000}"/>
    <cellStyle name="Normal 4 4 4 2 6 5" xfId="16429" xr:uid="{00000000-0005-0000-0000-000069500000}"/>
    <cellStyle name="Normal 4 4 4 2 6 5 2" xfId="33095" xr:uid="{00000000-0005-0000-0000-00006A500000}"/>
    <cellStyle name="Normal 4 4 4 2 6 6" xfId="33091" xr:uid="{00000000-0005-0000-0000-00006B500000}"/>
    <cellStyle name="Normal 4 4 4 2 7" xfId="16430" xr:uid="{00000000-0005-0000-0000-00006C500000}"/>
    <cellStyle name="Normal 4 4 4 2 7 2" xfId="16431" xr:uid="{00000000-0005-0000-0000-00006D500000}"/>
    <cellStyle name="Normal 4 4 4 2 7 2 2" xfId="33097" xr:uid="{00000000-0005-0000-0000-00006E500000}"/>
    <cellStyle name="Normal 4 4 4 2 7 3" xfId="16432" xr:uid="{00000000-0005-0000-0000-00006F500000}"/>
    <cellStyle name="Normal 4 4 4 2 7 3 2" xfId="33098" xr:uid="{00000000-0005-0000-0000-000070500000}"/>
    <cellStyle name="Normal 4 4 4 2 7 4" xfId="16433" xr:uid="{00000000-0005-0000-0000-000071500000}"/>
    <cellStyle name="Normal 4 4 4 2 7 4 2" xfId="33099" xr:uid="{00000000-0005-0000-0000-000072500000}"/>
    <cellStyle name="Normal 4 4 4 2 7 5" xfId="16434" xr:uid="{00000000-0005-0000-0000-000073500000}"/>
    <cellStyle name="Normal 4 4 4 2 7 5 2" xfId="33100" xr:uid="{00000000-0005-0000-0000-000074500000}"/>
    <cellStyle name="Normal 4 4 4 2 7 6" xfId="33096" xr:uid="{00000000-0005-0000-0000-000075500000}"/>
    <cellStyle name="Normal 4 4 4 2 8" xfId="16435" xr:uid="{00000000-0005-0000-0000-000076500000}"/>
    <cellStyle name="Normal 4 4 4 2 8 2" xfId="33101" xr:uid="{00000000-0005-0000-0000-000077500000}"/>
    <cellStyle name="Normal 4 4 4 2 9" xfId="16436" xr:uid="{00000000-0005-0000-0000-000078500000}"/>
    <cellStyle name="Normal 4 4 4 2 9 2" xfId="33102" xr:uid="{00000000-0005-0000-0000-000079500000}"/>
    <cellStyle name="Normal 4 4 4 20" xfId="16437" xr:uid="{00000000-0005-0000-0000-00007A500000}"/>
    <cellStyle name="Normal 4 4 4 20 2" xfId="33103" xr:uid="{00000000-0005-0000-0000-00007B500000}"/>
    <cellStyle name="Normal 4 4 4 21" xfId="40709" xr:uid="{00000000-0005-0000-0000-00007C500000}"/>
    <cellStyle name="Normal 4 4 4 22" xfId="33029" xr:uid="{00000000-0005-0000-0000-00007D500000}"/>
    <cellStyle name="Normal 4 4 4 3" xfId="16438" xr:uid="{00000000-0005-0000-0000-00007E500000}"/>
    <cellStyle name="Normal 4 4 4 3 2" xfId="16439" xr:uid="{00000000-0005-0000-0000-00007F500000}"/>
    <cellStyle name="Normal 4 4 4 3 2 2" xfId="16440" xr:uid="{00000000-0005-0000-0000-000080500000}"/>
    <cellStyle name="Normal 4 4 4 3 2 2 2" xfId="33106" xr:uid="{00000000-0005-0000-0000-000081500000}"/>
    <cellStyle name="Normal 4 4 4 3 2 3" xfId="16441" xr:uid="{00000000-0005-0000-0000-000082500000}"/>
    <cellStyle name="Normal 4 4 4 3 2 3 2" xfId="33107" xr:uid="{00000000-0005-0000-0000-000083500000}"/>
    <cellStyle name="Normal 4 4 4 3 2 4" xfId="16442" xr:uid="{00000000-0005-0000-0000-000084500000}"/>
    <cellStyle name="Normal 4 4 4 3 2 4 2" xfId="33108" xr:uid="{00000000-0005-0000-0000-000085500000}"/>
    <cellStyle name="Normal 4 4 4 3 2 5" xfId="16443" xr:uid="{00000000-0005-0000-0000-000086500000}"/>
    <cellStyle name="Normal 4 4 4 3 2 5 2" xfId="33109" xr:uid="{00000000-0005-0000-0000-000087500000}"/>
    <cellStyle name="Normal 4 4 4 3 2 6" xfId="33105" xr:uid="{00000000-0005-0000-0000-000088500000}"/>
    <cellStyle name="Normal 4 4 4 3 3" xfId="16444" xr:uid="{00000000-0005-0000-0000-000089500000}"/>
    <cellStyle name="Normal 4 4 4 3 3 2" xfId="33110" xr:uid="{00000000-0005-0000-0000-00008A500000}"/>
    <cellStyle name="Normal 4 4 4 3 4" xfId="16445" xr:uid="{00000000-0005-0000-0000-00008B500000}"/>
    <cellStyle name="Normal 4 4 4 3 4 2" xfId="33111" xr:uid="{00000000-0005-0000-0000-00008C500000}"/>
    <cellStyle name="Normal 4 4 4 3 5" xfId="16446" xr:uid="{00000000-0005-0000-0000-00008D500000}"/>
    <cellStyle name="Normal 4 4 4 3 5 2" xfId="33112" xr:uid="{00000000-0005-0000-0000-00008E500000}"/>
    <cellStyle name="Normal 4 4 4 3 6" xfId="16447" xr:uid="{00000000-0005-0000-0000-00008F500000}"/>
    <cellStyle name="Normal 4 4 4 3 6 2" xfId="33113" xr:uid="{00000000-0005-0000-0000-000090500000}"/>
    <cellStyle name="Normal 4 4 4 3 7" xfId="33104" xr:uid="{00000000-0005-0000-0000-000091500000}"/>
    <cellStyle name="Normal 4 4 4 4" xfId="16448" xr:uid="{00000000-0005-0000-0000-000092500000}"/>
    <cellStyle name="Normal 4 4 4 4 2" xfId="16449" xr:uid="{00000000-0005-0000-0000-000093500000}"/>
    <cellStyle name="Normal 4 4 4 4 2 2" xfId="16450" xr:uid="{00000000-0005-0000-0000-000094500000}"/>
    <cellStyle name="Normal 4 4 4 4 2 2 2" xfId="33116" xr:uid="{00000000-0005-0000-0000-000095500000}"/>
    <cellStyle name="Normal 4 4 4 4 2 3" xfId="16451" xr:uid="{00000000-0005-0000-0000-000096500000}"/>
    <cellStyle name="Normal 4 4 4 4 2 3 2" xfId="33117" xr:uid="{00000000-0005-0000-0000-000097500000}"/>
    <cellStyle name="Normal 4 4 4 4 2 4" xfId="16452" xr:uid="{00000000-0005-0000-0000-000098500000}"/>
    <cellStyle name="Normal 4 4 4 4 2 4 2" xfId="33118" xr:uid="{00000000-0005-0000-0000-000099500000}"/>
    <cellStyle name="Normal 4 4 4 4 2 5" xfId="16453" xr:uid="{00000000-0005-0000-0000-00009A500000}"/>
    <cellStyle name="Normal 4 4 4 4 2 5 2" xfId="33119" xr:uid="{00000000-0005-0000-0000-00009B500000}"/>
    <cellStyle name="Normal 4 4 4 4 2 6" xfId="33115" xr:uid="{00000000-0005-0000-0000-00009C500000}"/>
    <cellStyle name="Normal 4 4 4 4 3" xfId="16454" xr:uid="{00000000-0005-0000-0000-00009D500000}"/>
    <cellStyle name="Normal 4 4 4 4 3 2" xfId="33120" xr:uid="{00000000-0005-0000-0000-00009E500000}"/>
    <cellStyle name="Normal 4 4 4 4 4" xfId="16455" xr:uid="{00000000-0005-0000-0000-00009F500000}"/>
    <cellStyle name="Normal 4 4 4 4 4 2" xfId="33121" xr:uid="{00000000-0005-0000-0000-0000A0500000}"/>
    <cellStyle name="Normal 4 4 4 4 5" xfId="16456" xr:uid="{00000000-0005-0000-0000-0000A1500000}"/>
    <cellStyle name="Normal 4 4 4 4 5 2" xfId="33122" xr:uid="{00000000-0005-0000-0000-0000A2500000}"/>
    <cellStyle name="Normal 4 4 4 4 6" xfId="16457" xr:uid="{00000000-0005-0000-0000-0000A3500000}"/>
    <cellStyle name="Normal 4 4 4 4 6 2" xfId="33123" xr:uid="{00000000-0005-0000-0000-0000A4500000}"/>
    <cellStyle name="Normal 4 4 4 4 7" xfId="33114" xr:uid="{00000000-0005-0000-0000-0000A5500000}"/>
    <cellStyle name="Normal 4 4 4 5" xfId="16458" xr:uid="{00000000-0005-0000-0000-0000A6500000}"/>
    <cellStyle name="Normal 4 4 4 5 2" xfId="16459" xr:uid="{00000000-0005-0000-0000-0000A7500000}"/>
    <cellStyle name="Normal 4 4 4 5 2 2" xfId="33125" xr:uid="{00000000-0005-0000-0000-0000A8500000}"/>
    <cellStyle name="Normal 4 4 4 5 3" xfId="16460" xr:uid="{00000000-0005-0000-0000-0000A9500000}"/>
    <cellStyle name="Normal 4 4 4 5 3 2" xfId="33126" xr:uid="{00000000-0005-0000-0000-0000AA500000}"/>
    <cellStyle name="Normal 4 4 4 5 4" xfId="16461" xr:uid="{00000000-0005-0000-0000-0000AB500000}"/>
    <cellStyle name="Normal 4 4 4 5 4 2" xfId="33127" xr:uid="{00000000-0005-0000-0000-0000AC500000}"/>
    <cellStyle name="Normal 4 4 4 5 5" xfId="16462" xr:uid="{00000000-0005-0000-0000-0000AD500000}"/>
    <cellStyle name="Normal 4 4 4 5 5 2" xfId="33128" xr:uid="{00000000-0005-0000-0000-0000AE500000}"/>
    <cellStyle name="Normal 4 4 4 5 6" xfId="33124" xr:uid="{00000000-0005-0000-0000-0000AF500000}"/>
    <cellStyle name="Normal 4 4 4 6" xfId="16463" xr:uid="{00000000-0005-0000-0000-0000B0500000}"/>
    <cellStyle name="Normal 4 4 4 6 2" xfId="16464" xr:uid="{00000000-0005-0000-0000-0000B1500000}"/>
    <cellStyle name="Normal 4 4 4 6 2 2" xfId="33130" xr:uid="{00000000-0005-0000-0000-0000B2500000}"/>
    <cellStyle name="Normal 4 4 4 6 3" xfId="16465" xr:uid="{00000000-0005-0000-0000-0000B3500000}"/>
    <cellStyle name="Normal 4 4 4 6 3 2" xfId="33131" xr:uid="{00000000-0005-0000-0000-0000B4500000}"/>
    <cellStyle name="Normal 4 4 4 6 4" xfId="16466" xr:uid="{00000000-0005-0000-0000-0000B5500000}"/>
    <cellStyle name="Normal 4 4 4 6 4 2" xfId="33132" xr:uid="{00000000-0005-0000-0000-0000B6500000}"/>
    <cellStyle name="Normal 4 4 4 6 5" xfId="16467" xr:uid="{00000000-0005-0000-0000-0000B7500000}"/>
    <cellStyle name="Normal 4 4 4 6 5 2" xfId="33133" xr:uid="{00000000-0005-0000-0000-0000B8500000}"/>
    <cellStyle name="Normal 4 4 4 6 6" xfId="33129" xr:uid="{00000000-0005-0000-0000-0000B9500000}"/>
    <cellStyle name="Normal 4 4 4 7" xfId="16468" xr:uid="{00000000-0005-0000-0000-0000BA500000}"/>
    <cellStyle name="Normal 4 4 4 7 2" xfId="16469" xr:uid="{00000000-0005-0000-0000-0000BB500000}"/>
    <cellStyle name="Normal 4 4 4 7 2 2" xfId="33135" xr:uid="{00000000-0005-0000-0000-0000BC500000}"/>
    <cellStyle name="Normal 4 4 4 7 3" xfId="16470" xr:uid="{00000000-0005-0000-0000-0000BD500000}"/>
    <cellStyle name="Normal 4 4 4 7 3 2" xfId="33136" xr:uid="{00000000-0005-0000-0000-0000BE500000}"/>
    <cellStyle name="Normal 4 4 4 7 4" xfId="16471" xr:uid="{00000000-0005-0000-0000-0000BF500000}"/>
    <cellStyle name="Normal 4 4 4 7 4 2" xfId="33137" xr:uid="{00000000-0005-0000-0000-0000C0500000}"/>
    <cellStyle name="Normal 4 4 4 7 5" xfId="16472" xr:uid="{00000000-0005-0000-0000-0000C1500000}"/>
    <cellStyle name="Normal 4 4 4 7 5 2" xfId="33138" xr:uid="{00000000-0005-0000-0000-0000C2500000}"/>
    <cellStyle name="Normal 4 4 4 7 6" xfId="33134" xr:uid="{00000000-0005-0000-0000-0000C3500000}"/>
    <cellStyle name="Normal 4 4 4 8" xfId="16473" xr:uid="{00000000-0005-0000-0000-0000C4500000}"/>
    <cellStyle name="Normal 4 4 4 8 2" xfId="16474" xr:uid="{00000000-0005-0000-0000-0000C5500000}"/>
    <cellStyle name="Normal 4 4 4 8 2 2" xfId="33140" xr:uid="{00000000-0005-0000-0000-0000C6500000}"/>
    <cellStyle name="Normal 4 4 4 8 3" xfId="16475" xr:uid="{00000000-0005-0000-0000-0000C7500000}"/>
    <cellStyle name="Normal 4 4 4 8 3 2" xfId="33141" xr:uid="{00000000-0005-0000-0000-0000C8500000}"/>
    <cellStyle name="Normal 4 4 4 8 4" xfId="16476" xr:uid="{00000000-0005-0000-0000-0000C9500000}"/>
    <cellStyle name="Normal 4 4 4 8 4 2" xfId="33142" xr:uid="{00000000-0005-0000-0000-0000CA500000}"/>
    <cellStyle name="Normal 4 4 4 8 5" xfId="16477" xr:uid="{00000000-0005-0000-0000-0000CB500000}"/>
    <cellStyle name="Normal 4 4 4 8 5 2" xfId="33143" xr:uid="{00000000-0005-0000-0000-0000CC500000}"/>
    <cellStyle name="Normal 4 4 4 8 6" xfId="33139" xr:uid="{00000000-0005-0000-0000-0000CD500000}"/>
    <cellStyle name="Normal 4 4 4 9" xfId="16478" xr:uid="{00000000-0005-0000-0000-0000CE500000}"/>
    <cellStyle name="Normal 4 4 4 9 2" xfId="16479" xr:uid="{00000000-0005-0000-0000-0000CF500000}"/>
    <cellStyle name="Normal 4 4 4 9 2 2" xfId="33145" xr:uid="{00000000-0005-0000-0000-0000D0500000}"/>
    <cellStyle name="Normal 4 4 4 9 3" xfId="16480" xr:uid="{00000000-0005-0000-0000-0000D1500000}"/>
    <cellStyle name="Normal 4 4 4 9 3 2" xfId="33146" xr:uid="{00000000-0005-0000-0000-0000D2500000}"/>
    <cellStyle name="Normal 4 4 4 9 4" xfId="16481" xr:uid="{00000000-0005-0000-0000-0000D3500000}"/>
    <cellStyle name="Normal 4 4 4 9 4 2" xfId="33147" xr:uid="{00000000-0005-0000-0000-0000D4500000}"/>
    <cellStyle name="Normal 4 4 4 9 5" xfId="16482" xr:uid="{00000000-0005-0000-0000-0000D5500000}"/>
    <cellStyle name="Normal 4 4 4 9 5 2" xfId="33148" xr:uid="{00000000-0005-0000-0000-0000D6500000}"/>
    <cellStyle name="Normal 4 4 4 9 6" xfId="33144" xr:uid="{00000000-0005-0000-0000-0000D7500000}"/>
    <cellStyle name="Normal 4 4 5" xfId="16483" xr:uid="{00000000-0005-0000-0000-0000D8500000}"/>
    <cellStyle name="Normal 4 4 5 10" xfId="16484" xr:uid="{00000000-0005-0000-0000-0000D9500000}"/>
    <cellStyle name="Normal 4 4 5 10 2" xfId="16485" xr:uid="{00000000-0005-0000-0000-0000DA500000}"/>
    <cellStyle name="Normal 4 4 5 10 2 2" xfId="33151" xr:uid="{00000000-0005-0000-0000-0000DB500000}"/>
    <cellStyle name="Normal 4 4 5 10 3" xfId="16486" xr:uid="{00000000-0005-0000-0000-0000DC500000}"/>
    <cellStyle name="Normal 4 4 5 10 3 2" xfId="33152" xr:uid="{00000000-0005-0000-0000-0000DD500000}"/>
    <cellStyle name="Normal 4 4 5 10 4" xfId="16487" xr:uid="{00000000-0005-0000-0000-0000DE500000}"/>
    <cellStyle name="Normal 4 4 5 10 4 2" xfId="33153" xr:uid="{00000000-0005-0000-0000-0000DF500000}"/>
    <cellStyle name="Normal 4 4 5 10 5" xfId="16488" xr:uid="{00000000-0005-0000-0000-0000E0500000}"/>
    <cellStyle name="Normal 4 4 5 10 5 2" xfId="33154" xr:uid="{00000000-0005-0000-0000-0000E1500000}"/>
    <cellStyle name="Normal 4 4 5 10 6" xfId="33150" xr:uid="{00000000-0005-0000-0000-0000E2500000}"/>
    <cellStyle name="Normal 4 4 5 11" xfId="16489" xr:uid="{00000000-0005-0000-0000-0000E3500000}"/>
    <cellStyle name="Normal 4 4 5 11 2" xfId="16490" xr:uid="{00000000-0005-0000-0000-0000E4500000}"/>
    <cellStyle name="Normal 4 4 5 11 2 2" xfId="33156" xr:uid="{00000000-0005-0000-0000-0000E5500000}"/>
    <cellStyle name="Normal 4 4 5 11 3" xfId="16491" xr:uid="{00000000-0005-0000-0000-0000E6500000}"/>
    <cellStyle name="Normal 4 4 5 11 3 2" xfId="33157" xr:uid="{00000000-0005-0000-0000-0000E7500000}"/>
    <cellStyle name="Normal 4 4 5 11 4" xfId="16492" xr:uid="{00000000-0005-0000-0000-0000E8500000}"/>
    <cellStyle name="Normal 4 4 5 11 4 2" xfId="33158" xr:uid="{00000000-0005-0000-0000-0000E9500000}"/>
    <cellStyle name="Normal 4 4 5 11 5" xfId="16493" xr:uid="{00000000-0005-0000-0000-0000EA500000}"/>
    <cellStyle name="Normal 4 4 5 11 5 2" xfId="33159" xr:uid="{00000000-0005-0000-0000-0000EB500000}"/>
    <cellStyle name="Normal 4 4 5 11 6" xfId="33155" xr:uid="{00000000-0005-0000-0000-0000EC500000}"/>
    <cellStyle name="Normal 4 4 5 12" xfId="16494" xr:uid="{00000000-0005-0000-0000-0000ED500000}"/>
    <cellStyle name="Normal 4 4 5 12 2" xfId="16495" xr:uid="{00000000-0005-0000-0000-0000EE500000}"/>
    <cellStyle name="Normal 4 4 5 12 2 2" xfId="33161" xr:uid="{00000000-0005-0000-0000-0000EF500000}"/>
    <cellStyle name="Normal 4 4 5 12 3" xfId="16496" xr:uid="{00000000-0005-0000-0000-0000F0500000}"/>
    <cellStyle name="Normal 4 4 5 12 3 2" xfId="33162" xr:uid="{00000000-0005-0000-0000-0000F1500000}"/>
    <cellStyle name="Normal 4 4 5 12 4" xfId="16497" xr:uid="{00000000-0005-0000-0000-0000F2500000}"/>
    <cellStyle name="Normal 4 4 5 12 4 2" xfId="33163" xr:uid="{00000000-0005-0000-0000-0000F3500000}"/>
    <cellStyle name="Normal 4 4 5 12 5" xfId="16498" xr:uid="{00000000-0005-0000-0000-0000F4500000}"/>
    <cellStyle name="Normal 4 4 5 12 5 2" xfId="33164" xr:uid="{00000000-0005-0000-0000-0000F5500000}"/>
    <cellStyle name="Normal 4 4 5 12 6" xfId="33160" xr:uid="{00000000-0005-0000-0000-0000F6500000}"/>
    <cellStyle name="Normal 4 4 5 13" xfId="16499" xr:uid="{00000000-0005-0000-0000-0000F7500000}"/>
    <cellStyle name="Normal 4 4 5 13 2" xfId="16500" xr:uid="{00000000-0005-0000-0000-0000F8500000}"/>
    <cellStyle name="Normal 4 4 5 13 2 2" xfId="33166" xr:uid="{00000000-0005-0000-0000-0000F9500000}"/>
    <cellStyle name="Normal 4 4 5 13 3" xfId="16501" xr:uid="{00000000-0005-0000-0000-0000FA500000}"/>
    <cellStyle name="Normal 4 4 5 13 3 2" xfId="33167" xr:uid="{00000000-0005-0000-0000-0000FB500000}"/>
    <cellStyle name="Normal 4 4 5 13 4" xfId="16502" xr:uid="{00000000-0005-0000-0000-0000FC500000}"/>
    <cellStyle name="Normal 4 4 5 13 4 2" xfId="33168" xr:uid="{00000000-0005-0000-0000-0000FD500000}"/>
    <cellStyle name="Normal 4 4 5 13 5" xfId="16503" xr:uid="{00000000-0005-0000-0000-0000FE500000}"/>
    <cellStyle name="Normal 4 4 5 13 5 2" xfId="33169" xr:uid="{00000000-0005-0000-0000-0000FF500000}"/>
    <cellStyle name="Normal 4 4 5 13 6" xfId="33165" xr:uid="{00000000-0005-0000-0000-000000510000}"/>
    <cellStyle name="Normal 4 4 5 14" xfId="16504" xr:uid="{00000000-0005-0000-0000-000001510000}"/>
    <cellStyle name="Normal 4 4 5 14 2" xfId="16505" xr:uid="{00000000-0005-0000-0000-000002510000}"/>
    <cellStyle name="Normal 4 4 5 14 2 2" xfId="33171" xr:uid="{00000000-0005-0000-0000-000003510000}"/>
    <cellStyle name="Normal 4 4 5 14 3" xfId="16506" xr:uid="{00000000-0005-0000-0000-000004510000}"/>
    <cellStyle name="Normal 4 4 5 14 3 2" xfId="33172" xr:uid="{00000000-0005-0000-0000-000005510000}"/>
    <cellStyle name="Normal 4 4 5 14 4" xfId="16507" xr:uid="{00000000-0005-0000-0000-000006510000}"/>
    <cellStyle name="Normal 4 4 5 14 4 2" xfId="33173" xr:uid="{00000000-0005-0000-0000-000007510000}"/>
    <cellStyle name="Normal 4 4 5 14 5" xfId="16508" xr:uid="{00000000-0005-0000-0000-000008510000}"/>
    <cellStyle name="Normal 4 4 5 14 5 2" xfId="33174" xr:uid="{00000000-0005-0000-0000-000009510000}"/>
    <cellStyle name="Normal 4 4 5 14 6" xfId="33170" xr:uid="{00000000-0005-0000-0000-00000A510000}"/>
    <cellStyle name="Normal 4 4 5 15" xfId="16509" xr:uid="{00000000-0005-0000-0000-00000B510000}"/>
    <cellStyle name="Normal 4 4 5 15 2" xfId="16510" xr:uid="{00000000-0005-0000-0000-00000C510000}"/>
    <cellStyle name="Normal 4 4 5 15 2 2" xfId="33176" xr:uid="{00000000-0005-0000-0000-00000D510000}"/>
    <cellStyle name="Normal 4 4 5 15 3" xfId="16511" xr:uid="{00000000-0005-0000-0000-00000E510000}"/>
    <cellStyle name="Normal 4 4 5 15 3 2" xfId="33177" xr:uid="{00000000-0005-0000-0000-00000F510000}"/>
    <cellStyle name="Normal 4 4 5 15 4" xfId="16512" xr:uid="{00000000-0005-0000-0000-000010510000}"/>
    <cellStyle name="Normal 4 4 5 15 4 2" xfId="33178" xr:uid="{00000000-0005-0000-0000-000011510000}"/>
    <cellStyle name="Normal 4 4 5 15 5" xfId="16513" xr:uid="{00000000-0005-0000-0000-000012510000}"/>
    <cellStyle name="Normal 4 4 5 15 5 2" xfId="33179" xr:uid="{00000000-0005-0000-0000-000013510000}"/>
    <cellStyle name="Normal 4 4 5 15 6" xfId="33175" xr:uid="{00000000-0005-0000-0000-000014510000}"/>
    <cellStyle name="Normal 4 4 5 16" xfId="16514" xr:uid="{00000000-0005-0000-0000-000015510000}"/>
    <cellStyle name="Normal 4 4 5 16 2" xfId="16515" xr:uid="{00000000-0005-0000-0000-000016510000}"/>
    <cellStyle name="Normal 4 4 5 16 2 2" xfId="33181" xr:uid="{00000000-0005-0000-0000-000017510000}"/>
    <cellStyle name="Normal 4 4 5 16 3" xfId="16516" xr:uid="{00000000-0005-0000-0000-000018510000}"/>
    <cellStyle name="Normal 4 4 5 16 3 2" xfId="33182" xr:uid="{00000000-0005-0000-0000-000019510000}"/>
    <cellStyle name="Normal 4 4 5 16 4" xfId="16517" xr:uid="{00000000-0005-0000-0000-00001A510000}"/>
    <cellStyle name="Normal 4 4 5 16 4 2" xfId="33183" xr:uid="{00000000-0005-0000-0000-00001B510000}"/>
    <cellStyle name="Normal 4 4 5 16 5" xfId="16518" xr:uid="{00000000-0005-0000-0000-00001C510000}"/>
    <cellStyle name="Normal 4 4 5 16 5 2" xfId="33184" xr:uid="{00000000-0005-0000-0000-00001D510000}"/>
    <cellStyle name="Normal 4 4 5 16 6" xfId="33180" xr:uid="{00000000-0005-0000-0000-00001E510000}"/>
    <cellStyle name="Normal 4 4 5 17" xfId="16519" xr:uid="{00000000-0005-0000-0000-00001F510000}"/>
    <cellStyle name="Normal 4 4 5 17 2" xfId="33185" xr:uid="{00000000-0005-0000-0000-000020510000}"/>
    <cellStyle name="Normal 4 4 5 18" xfId="16520" xr:uid="{00000000-0005-0000-0000-000021510000}"/>
    <cellStyle name="Normal 4 4 5 18 2" xfId="33186" xr:uid="{00000000-0005-0000-0000-000022510000}"/>
    <cellStyle name="Normal 4 4 5 19" xfId="16521" xr:uid="{00000000-0005-0000-0000-000023510000}"/>
    <cellStyle name="Normal 4 4 5 19 2" xfId="33187" xr:uid="{00000000-0005-0000-0000-000024510000}"/>
    <cellStyle name="Normal 4 4 5 2" xfId="16522" xr:uid="{00000000-0005-0000-0000-000025510000}"/>
    <cellStyle name="Normal 4 4 5 2 10" xfId="16523" xr:uid="{00000000-0005-0000-0000-000026510000}"/>
    <cellStyle name="Normal 4 4 5 2 10 2" xfId="33189" xr:uid="{00000000-0005-0000-0000-000027510000}"/>
    <cellStyle name="Normal 4 4 5 2 11" xfId="16524" xr:uid="{00000000-0005-0000-0000-000028510000}"/>
    <cellStyle name="Normal 4 4 5 2 11 2" xfId="33190" xr:uid="{00000000-0005-0000-0000-000029510000}"/>
    <cellStyle name="Normal 4 4 5 2 12" xfId="33188" xr:uid="{00000000-0005-0000-0000-00002A510000}"/>
    <cellStyle name="Normal 4 4 5 2 2" xfId="16525" xr:uid="{00000000-0005-0000-0000-00002B510000}"/>
    <cellStyle name="Normal 4 4 5 2 2 2" xfId="16526" xr:uid="{00000000-0005-0000-0000-00002C510000}"/>
    <cellStyle name="Normal 4 4 5 2 2 2 2" xfId="33192" xr:uid="{00000000-0005-0000-0000-00002D510000}"/>
    <cellStyle name="Normal 4 4 5 2 2 3" xfId="16527" xr:uid="{00000000-0005-0000-0000-00002E510000}"/>
    <cellStyle name="Normal 4 4 5 2 2 3 2" xfId="33193" xr:uid="{00000000-0005-0000-0000-00002F510000}"/>
    <cellStyle name="Normal 4 4 5 2 2 4" xfId="16528" xr:uid="{00000000-0005-0000-0000-000030510000}"/>
    <cellStyle name="Normal 4 4 5 2 2 4 2" xfId="33194" xr:uid="{00000000-0005-0000-0000-000031510000}"/>
    <cellStyle name="Normal 4 4 5 2 2 5" xfId="16529" xr:uid="{00000000-0005-0000-0000-000032510000}"/>
    <cellStyle name="Normal 4 4 5 2 2 5 2" xfId="33195" xr:uid="{00000000-0005-0000-0000-000033510000}"/>
    <cellStyle name="Normal 4 4 5 2 2 6" xfId="33191" xr:uid="{00000000-0005-0000-0000-000034510000}"/>
    <cellStyle name="Normal 4 4 5 2 3" xfId="16530" xr:uid="{00000000-0005-0000-0000-000035510000}"/>
    <cellStyle name="Normal 4 4 5 2 3 2" xfId="16531" xr:uid="{00000000-0005-0000-0000-000036510000}"/>
    <cellStyle name="Normal 4 4 5 2 3 2 2" xfId="33197" xr:uid="{00000000-0005-0000-0000-000037510000}"/>
    <cellStyle name="Normal 4 4 5 2 3 3" xfId="16532" xr:uid="{00000000-0005-0000-0000-000038510000}"/>
    <cellStyle name="Normal 4 4 5 2 3 3 2" xfId="33198" xr:uid="{00000000-0005-0000-0000-000039510000}"/>
    <cellStyle name="Normal 4 4 5 2 3 4" xfId="16533" xr:uid="{00000000-0005-0000-0000-00003A510000}"/>
    <cellStyle name="Normal 4 4 5 2 3 4 2" xfId="33199" xr:uid="{00000000-0005-0000-0000-00003B510000}"/>
    <cellStyle name="Normal 4 4 5 2 3 5" xfId="16534" xr:uid="{00000000-0005-0000-0000-00003C510000}"/>
    <cellStyle name="Normal 4 4 5 2 3 5 2" xfId="33200" xr:uid="{00000000-0005-0000-0000-00003D510000}"/>
    <cellStyle name="Normal 4 4 5 2 3 6" xfId="33196" xr:uid="{00000000-0005-0000-0000-00003E510000}"/>
    <cellStyle name="Normal 4 4 5 2 4" xfId="16535" xr:uid="{00000000-0005-0000-0000-00003F510000}"/>
    <cellStyle name="Normal 4 4 5 2 4 2" xfId="16536" xr:uid="{00000000-0005-0000-0000-000040510000}"/>
    <cellStyle name="Normal 4 4 5 2 4 2 2" xfId="33202" xr:uid="{00000000-0005-0000-0000-000041510000}"/>
    <cellStyle name="Normal 4 4 5 2 4 3" xfId="16537" xr:uid="{00000000-0005-0000-0000-000042510000}"/>
    <cellStyle name="Normal 4 4 5 2 4 3 2" xfId="33203" xr:uid="{00000000-0005-0000-0000-000043510000}"/>
    <cellStyle name="Normal 4 4 5 2 4 4" xfId="16538" xr:uid="{00000000-0005-0000-0000-000044510000}"/>
    <cellStyle name="Normal 4 4 5 2 4 4 2" xfId="33204" xr:uid="{00000000-0005-0000-0000-000045510000}"/>
    <cellStyle name="Normal 4 4 5 2 4 5" xfId="16539" xr:uid="{00000000-0005-0000-0000-000046510000}"/>
    <cellStyle name="Normal 4 4 5 2 4 5 2" xfId="33205" xr:uid="{00000000-0005-0000-0000-000047510000}"/>
    <cellStyle name="Normal 4 4 5 2 4 6" xfId="33201" xr:uid="{00000000-0005-0000-0000-000048510000}"/>
    <cellStyle name="Normal 4 4 5 2 5" xfId="16540" xr:uid="{00000000-0005-0000-0000-000049510000}"/>
    <cellStyle name="Normal 4 4 5 2 5 2" xfId="16541" xr:uid="{00000000-0005-0000-0000-00004A510000}"/>
    <cellStyle name="Normal 4 4 5 2 5 2 2" xfId="33207" xr:uid="{00000000-0005-0000-0000-00004B510000}"/>
    <cellStyle name="Normal 4 4 5 2 5 3" xfId="16542" xr:uid="{00000000-0005-0000-0000-00004C510000}"/>
    <cellStyle name="Normal 4 4 5 2 5 3 2" xfId="33208" xr:uid="{00000000-0005-0000-0000-00004D510000}"/>
    <cellStyle name="Normal 4 4 5 2 5 4" xfId="16543" xr:uid="{00000000-0005-0000-0000-00004E510000}"/>
    <cellStyle name="Normal 4 4 5 2 5 4 2" xfId="33209" xr:uid="{00000000-0005-0000-0000-00004F510000}"/>
    <cellStyle name="Normal 4 4 5 2 5 5" xfId="16544" xr:uid="{00000000-0005-0000-0000-000050510000}"/>
    <cellStyle name="Normal 4 4 5 2 5 5 2" xfId="33210" xr:uid="{00000000-0005-0000-0000-000051510000}"/>
    <cellStyle name="Normal 4 4 5 2 5 6" xfId="33206" xr:uid="{00000000-0005-0000-0000-000052510000}"/>
    <cellStyle name="Normal 4 4 5 2 6" xfId="16545" xr:uid="{00000000-0005-0000-0000-000053510000}"/>
    <cellStyle name="Normal 4 4 5 2 6 2" xfId="16546" xr:uid="{00000000-0005-0000-0000-000054510000}"/>
    <cellStyle name="Normal 4 4 5 2 6 2 2" xfId="33212" xr:uid="{00000000-0005-0000-0000-000055510000}"/>
    <cellStyle name="Normal 4 4 5 2 6 3" xfId="16547" xr:uid="{00000000-0005-0000-0000-000056510000}"/>
    <cellStyle name="Normal 4 4 5 2 6 3 2" xfId="33213" xr:uid="{00000000-0005-0000-0000-000057510000}"/>
    <cellStyle name="Normal 4 4 5 2 6 4" xfId="16548" xr:uid="{00000000-0005-0000-0000-000058510000}"/>
    <cellStyle name="Normal 4 4 5 2 6 4 2" xfId="33214" xr:uid="{00000000-0005-0000-0000-000059510000}"/>
    <cellStyle name="Normal 4 4 5 2 6 5" xfId="16549" xr:uid="{00000000-0005-0000-0000-00005A510000}"/>
    <cellStyle name="Normal 4 4 5 2 6 5 2" xfId="33215" xr:uid="{00000000-0005-0000-0000-00005B510000}"/>
    <cellStyle name="Normal 4 4 5 2 6 6" xfId="33211" xr:uid="{00000000-0005-0000-0000-00005C510000}"/>
    <cellStyle name="Normal 4 4 5 2 7" xfId="16550" xr:uid="{00000000-0005-0000-0000-00005D510000}"/>
    <cellStyle name="Normal 4 4 5 2 7 2" xfId="16551" xr:uid="{00000000-0005-0000-0000-00005E510000}"/>
    <cellStyle name="Normal 4 4 5 2 7 2 2" xfId="33217" xr:uid="{00000000-0005-0000-0000-00005F510000}"/>
    <cellStyle name="Normal 4 4 5 2 7 3" xfId="16552" xr:uid="{00000000-0005-0000-0000-000060510000}"/>
    <cellStyle name="Normal 4 4 5 2 7 3 2" xfId="33218" xr:uid="{00000000-0005-0000-0000-000061510000}"/>
    <cellStyle name="Normal 4 4 5 2 7 4" xfId="16553" xr:uid="{00000000-0005-0000-0000-000062510000}"/>
    <cellStyle name="Normal 4 4 5 2 7 4 2" xfId="33219" xr:uid="{00000000-0005-0000-0000-000063510000}"/>
    <cellStyle name="Normal 4 4 5 2 7 5" xfId="16554" xr:uid="{00000000-0005-0000-0000-000064510000}"/>
    <cellStyle name="Normal 4 4 5 2 7 5 2" xfId="33220" xr:uid="{00000000-0005-0000-0000-000065510000}"/>
    <cellStyle name="Normal 4 4 5 2 7 6" xfId="33216" xr:uid="{00000000-0005-0000-0000-000066510000}"/>
    <cellStyle name="Normal 4 4 5 2 8" xfId="16555" xr:uid="{00000000-0005-0000-0000-000067510000}"/>
    <cellStyle name="Normal 4 4 5 2 8 2" xfId="33221" xr:uid="{00000000-0005-0000-0000-000068510000}"/>
    <cellStyle name="Normal 4 4 5 2 9" xfId="16556" xr:uid="{00000000-0005-0000-0000-000069510000}"/>
    <cellStyle name="Normal 4 4 5 2 9 2" xfId="33222" xr:uid="{00000000-0005-0000-0000-00006A510000}"/>
    <cellStyle name="Normal 4 4 5 20" xfId="16557" xr:uid="{00000000-0005-0000-0000-00006B510000}"/>
    <cellStyle name="Normal 4 4 5 20 2" xfId="33223" xr:uid="{00000000-0005-0000-0000-00006C510000}"/>
    <cellStyle name="Normal 4 4 5 21" xfId="33149" xr:uid="{00000000-0005-0000-0000-00006D510000}"/>
    <cellStyle name="Normal 4 4 5 3" xfId="16558" xr:uid="{00000000-0005-0000-0000-00006E510000}"/>
    <cellStyle name="Normal 4 4 5 3 2" xfId="16559" xr:uid="{00000000-0005-0000-0000-00006F510000}"/>
    <cellStyle name="Normal 4 4 5 3 2 2" xfId="16560" xr:uid="{00000000-0005-0000-0000-000070510000}"/>
    <cellStyle name="Normal 4 4 5 3 2 2 2" xfId="33226" xr:uid="{00000000-0005-0000-0000-000071510000}"/>
    <cellStyle name="Normal 4 4 5 3 2 3" xfId="16561" xr:uid="{00000000-0005-0000-0000-000072510000}"/>
    <cellStyle name="Normal 4 4 5 3 2 3 2" xfId="33227" xr:uid="{00000000-0005-0000-0000-000073510000}"/>
    <cellStyle name="Normal 4 4 5 3 2 4" xfId="16562" xr:uid="{00000000-0005-0000-0000-000074510000}"/>
    <cellStyle name="Normal 4 4 5 3 2 4 2" xfId="33228" xr:uid="{00000000-0005-0000-0000-000075510000}"/>
    <cellStyle name="Normal 4 4 5 3 2 5" xfId="16563" xr:uid="{00000000-0005-0000-0000-000076510000}"/>
    <cellStyle name="Normal 4 4 5 3 2 5 2" xfId="33229" xr:uid="{00000000-0005-0000-0000-000077510000}"/>
    <cellStyle name="Normal 4 4 5 3 2 6" xfId="33225" xr:uid="{00000000-0005-0000-0000-000078510000}"/>
    <cellStyle name="Normal 4 4 5 3 3" xfId="16564" xr:uid="{00000000-0005-0000-0000-000079510000}"/>
    <cellStyle name="Normal 4 4 5 3 3 2" xfId="33230" xr:uid="{00000000-0005-0000-0000-00007A510000}"/>
    <cellStyle name="Normal 4 4 5 3 4" xfId="16565" xr:uid="{00000000-0005-0000-0000-00007B510000}"/>
    <cellStyle name="Normal 4 4 5 3 4 2" xfId="33231" xr:uid="{00000000-0005-0000-0000-00007C510000}"/>
    <cellStyle name="Normal 4 4 5 3 5" xfId="16566" xr:uid="{00000000-0005-0000-0000-00007D510000}"/>
    <cellStyle name="Normal 4 4 5 3 5 2" xfId="33232" xr:uid="{00000000-0005-0000-0000-00007E510000}"/>
    <cellStyle name="Normal 4 4 5 3 6" xfId="16567" xr:uid="{00000000-0005-0000-0000-00007F510000}"/>
    <cellStyle name="Normal 4 4 5 3 6 2" xfId="33233" xr:uid="{00000000-0005-0000-0000-000080510000}"/>
    <cellStyle name="Normal 4 4 5 3 7" xfId="33224" xr:uid="{00000000-0005-0000-0000-000081510000}"/>
    <cellStyle name="Normal 4 4 5 4" xfId="16568" xr:uid="{00000000-0005-0000-0000-000082510000}"/>
    <cellStyle name="Normal 4 4 5 4 2" xfId="16569" xr:uid="{00000000-0005-0000-0000-000083510000}"/>
    <cellStyle name="Normal 4 4 5 4 2 2" xfId="16570" xr:uid="{00000000-0005-0000-0000-000084510000}"/>
    <cellStyle name="Normal 4 4 5 4 2 2 2" xfId="33236" xr:uid="{00000000-0005-0000-0000-000085510000}"/>
    <cellStyle name="Normal 4 4 5 4 2 3" xfId="16571" xr:uid="{00000000-0005-0000-0000-000086510000}"/>
    <cellStyle name="Normal 4 4 5 4 2 3 2" xfId="33237" xr:uid="{00000000-0005-0000-0000-000087510000}"/>
    <cellStyle name="Normal 4 4 5 4 2 4" xfId="16572" xr:uid="{00000000-0005-0000-0000-000088510000}"/>
    <cellStyle name="Normal 4 4 5 4 2 4 2" xfId="33238" xr:uid="{00000000-0005-0000-0000-000089510000}"/>
    <cellStyle name="Normal 4 4 5 4 2 5" xfId="16573" xr:uid="{00000000-0005-0000-0000-00008A510000}"/>
    <cellStyle name="Normal 4 4 5 4 2 5 2" xfId="33239" xr:uid="{00000000-0005-0000-0000-00008B510000}"/>
    <cellStyle name="Normal 4 4 5 4 2 6" xfId="33235" xr:uid="{00000000-0005-0000-0000-00008C510000}"/>
    <cellStyle name="Normal 4 4 5 4 3" xfId="16574" xr:uid="{00000000-0005-0000-0000-00008D510000}"/>
    <cellStyle name="Normal 4 4 5 4 3 2" xfId="33240" xr:uid="{00000000-0005-0000-0000-00008E510000}"/>
    <cellStyle name="Normal 4 4 5 4 4" xfId="16575" xr:uid="{00000000-0005-0000-0000-00008F510000}"/>
    <cellStyle name="Normal 4 4 5 4 4 2" xfId="33241" xr:uid="{00000000-0005-0000-0000-000090510000}"/>
    <cellStyle name="Normal 4 4 5 4 5" xfId="16576" xr:uid="{00000000-0005-0000-0000-000091510000}"/>
    <cellStyle name="Normal 4 4 5 4 5 2" xfId="33242" xr:uid="{00000000-0005-0000-0000-000092510000}"/>
    <cellStyle name="Normal 4 4 5 4 6" xfId="16577" xr:uid="{00000000-0005-0000-0000-000093510000}"/>
    <cellStyle name="Normal 4 4 5 4 6 2" xfId="33243" xr:uid="{00000000-0005-0000-0000-000094510000}"/>
    <cellStyle name="Normal 4 4 5 4 7" xfId="33234" xr:uid="{00000000-0005-0000-0000-000095510000}"/>
    <cellStyle name="Normal 4 4 5 5" xfId="16578" xr:uid="{00000000-0005-0000-0000-000096510000}"/>
    <cellStyle name="Normal 4 4 5 5 2" xfId="16579" xr:uid="{00000000-0005-0000-0000-000097510000}"/>
    <cellStyle name="Normal 4 4 5 5 2 2" xfId="33245" xr:uid="{00000000-0005-0000-0000-000098510000}"/>
    <cellStyle name="Normal 4 4 5 5 3" xfId="16580" xr:uid="{00000000-0005-0000-0000-000099510000}"/>
    <cellStyle name="Normal 4 4 5 5 3 2" xfId="33246" xr:uid="{00000000-0005-0000-0000-00009A510000}"/>
    <cellStyle name="Normal 4 4 5 5 4" xfId="16581" xr:uid="{00000000-0005-0000-0000-00009B510000}"/>
    <cellStyle name="Normal 4 4 5 5 4 2" xfId="33247" xr:uid="{00000000-0005-0000-0000-00009C510000}"/>
    <cellStyle name="Normal 4 4 5 5 5" xfId="16582" xr:uid="{00000000-0005-0000-0000-00009D510000}"/>
    <cellStyle name="Normal 4 4 5 5 5 2" xfId="33248" xr:uid="{00000000-0005-0000-0000-00009E510000}"/>
    <cellStyle name="Normal 4 4 5 5 6" xfId="33244" xr:uid="{00000000-0005-0000-0000-00009F510000}"/>
    <cellStyle name="Normal 4 4 5 6" xfId="16583" xr:uid="{00000000-0005-0000-0000-0000A0510000}"/>
    <cellStyle name="Normal 4 4 5 6 2" xfId="16584" xr:uid="{00000000-0005-0000-0000-0000A1510000}"/>
    <cellStyle name="Normal 4 4 5 6 2 2" xfId="33250" xr:uid="{00000000-0005-0000-0000-0000A2510000}"/>
    <cellStyle name="Normal 4 4 5 6 3" xfId="16585" xr:uid="{00000000-0005-0000-0000-0000A3510000}"/>
    <cellStyle name="Normal 4 4 5 6 3 2" xfId="33251" xr:uid="{00000000-0005-0000-0000-0000A4510000}"/>
    <cellStyle name="Normal 4 4 5 6 4" xfId="16586" xr:uid="{00000000-0005-0000-0000-0000A5510000}"/>
    <cellStyle name="Normal 4 4 5 6 4 2" xfId="33252" xr:uid="{00000000-0005-0000-0000-0000A6510000}"/>
    <cellStyle name="Normal 4 4 5 6 5" xfId="16587" xr:uid="{00000000-0005-0000-0000-0000A7510000}"/>
    <cellStyle name="Normal 4 4 5 6 5 2" xfId="33253" xr:uid="{00000000-0005-0000-0000-0000A8510000}"/>
    <cellStyle name="Normal 4 4 5 6 6" xfId="33249" xr:uid="{00000000-0005-0000-0000-0000A9510000}"/>
    <cellStyle name="Normal 4 4 5 7" xfId="16588" xr:uid="{00000000-0005-0000-0000-0000AA510000}"/>
    <cellStyle name="Normal 4 4 5 7 2" xfId="16589" xr:uid="{00000000-0005-0000-0000-0000AB510000}"/>
    <cellStyle name="Normal 4 4 5 7 2 2" xfId="33255" xr:uid="{00000000-0005-0000-0000-0000AC510000}"/>
    <cellStyle name="Normal 4 4 5 7 3" xfId="16590" xr:uid="{00000000-0005-0000-0000-0000AD510000}"/>
    <cellStyle name="Normal 4 4 5 7 3 2" xfId="33256" xr:uid="{00000000-0005-0000-0000-0000AE510000}"/>
    <cellStyle name="Normal 4 4 5 7 4" xfId="16591" xr:uid="{00000000-0005-0000-0000-0000AF510000}"/>
    <cellStyle name="Normal 4 4 5 7 4 2" xfId="33257" xr:uid="{00000000-0005-0000-0000-0000B0510000}"/>
    <cellStyle name="Normal 4 4 5 7 5" xfId="16592" xr:uid="{00000000-0005-0000-0000-0000B1510000}"/>
    <cellStyle name="Normal 4 4 5 7 5 2" xfId="33258" xr:uid="{00000000-0005-0000-0000-0000B2510000}"/>
    <cellStyle name="Normal 4 4 5 7 6" xfId="33254" xr:uid="{00000000-0005-0000-0000-0000B3510000}"/>
    <cellStyle name="Normal 4 4 5 8" xfId="16593" xr:uid="{00000000-0005-0000-0000-0000B4510000}"/>
    <cellStyle name="Normal 4 4 5 8 2" xfId="16594" xr:uid="{00000000-0005-0000-0000-0000B5510000}"/>
    <cellStyle name="Normal 4 4 5 8 2 2" xfId="33260" xr:uid="{00000000-0005-0000-0000-0000B6510000}"/>
    <cellStyle name="Normal 4 4 5 8 3" xfId="16595" xr:uid="{00000000-0005-0000-0000-0000B7510000}"/>
    <cellStyle name="Normal 4 4 5 8 3 2" xfId="33261" xr:uid="{00000000-0005-0000-0000-0000B8510000}"/>
    <cellStyle name="Normal 4 4 5 8 4" xfId="16596" xr:uid="{00000000-0005-0000-0000-0000B9510000}"/>
    <cellStyle name="Normal 4 4 5 8 4 2" xfId="33262" xr:uid="{00000000-0005-0000-0000-0000BA510000}"/>
    <cellStyle name="Normal 4 4 5 8 5" xfId="16597" xr:uid="{00000000-0005-0000-0000-0000BB510000}"/>
    <cellStyle name="Normal 4 4 5 8 5 2" xfId="33263" xr:uid="{00000000-0005-0000-0000-0000BC510000}"/>
    <cellStyle name="Normal 4 4 5 8 6" xfId="33259" xr:uid="{00000000-0005-0000-0000-0000BD510000}"/>
    <cellStyle name="Normal 4 4 5 9" xfId="16598" xr:uid="{00000000-0005-0000-0000-0000BE510000}"/>
    <cellStyle name="Normal 4 4 5 9 2" xfId="16599" xr:uid="{00000000-0005-0000-0000-0000BF510000}"/>
    <cellStyle name="Normal 4 4 5 9 2 2" xfId="33265" xr:uid="{00000000-0005-0000-0000-0000C0510000}"/>
    <cellStyle name="Normal 4 4 5 9 3" xfId="16600" xr:uid="{00000000-0005-0000-0000-0000C1510000}"/>
    <cellStyle name="Normal 4 4 5 9 3 2" xfId="33266" xr:uid="{00000000-0005-0000-0000-0000C2510000}"/>
    <cellStyle name="Normal 4 4 5 9 4" xfId="16601" xr:uid="{00000000-0005-0000-0000-0000C3510000}"/>
    <cellStyle name="Normal 4 4 5 9 4 2" xfId="33267" xr:uid="{00000000-0005-0000-0000-0000C4510000}"/>
    <cellStyle name="Normal 4 4 5 9 5" xfId="16602" xr:uid="{00000000-0005-0000-0000-0000C5510000}"/>
    <cellStyle name="Normal 4 4 5 9 5 2" xfId="33268" xr:uid="{00000000-0005-0000-0000-0000C6510000}"/>
    <cellStyle name="Normal 4 4 5 9 6" xfId="33264" xr:uid="{00000000-0005-0000-0000-0000C7510000}"/>
    <cellStyle name="Normal 4 4 6" xfId="16603" xr:uid="{00000000-0005-0000-0000-0000C8510000}"/>
    <cellStyle name="Normal 4 4 6 10" xfId="16604" xr:uid="{00000000-0005-0000-0000-0000C9510000}"/>
    <cellStyle name="Normal 4 4 6 11" xfId="16605" xr:uid="{00000000-0005-0000-0000-0000CA510000}"/>
    <cellStyle name="Normal 4 4 6 12" xfId="16606" xr:uid="{00000000-0005-0000-0000-0000CB510000}"/>
    <cellStyle name="Normal 4 4 6 13" xfId="16607" xr:uid="{00000000-0005-0000-0000-0000CC510000}"/>
    <cellStyle name="Normal 4 4 6 14" xfId="16608" xr:uid="{00000000-0005-0000-0000-0000CD510000}"/>
    <cellStyle name="Normal 4 4 6 15" xfId="16609" xr:uid="{00000000-0005-0000-0000-0000CE510000}"/>
    <cellStyle name="Normal 4 4 6 16" xfId="16610" xr:uid="{00000000-0005-0000-0000-0000CF510000}"/>
    <cellStyle name="Normal 4 4 6 2" xfId="16611" xr:uid="{00000000-0005-0000-0000-0000D0510000}"/>
    <cellStyle name="Normal 4 4 6 3" xfId="16612" xr:uid="{00000000-0005-0000-0000-0000D1510000}"/>
    <cellStyle name="Normal 4 4 6 4" xfId="16613" xr:uid="{00000000-0005-0000-0000-0000D2510000}"/>
    <cellStyle name="Normal 4 4 6 5" xfId="16614" xr:uid="{00000000-0005-0000-0000-0000D3510000}"/>
    <cellStyle name="Normal 4 4 6 6" xfId="16615" xr:uid="{00000000-0005-0000-0000-0000D4510000}"/>
    <cellStyle name="Normal 4 4 6 7" xfId="16616" xr:uid="{00000000-0005-0000-0000-0000D5510000}"/>
    <cellStyle name="Normal 4 4 6 8" xfId="16617" xr:uid="{00000000-0005-0000-0000-0000D6510000}"/>
    <cellStyle name="Normal 4 4 6 9" xfId="16618" xr:uid="{00000000-0005-0000-0000-0000D7510000}"/>
    <cellStyle name="Normal 4 4 7" xfId="16619" xr:uid="{00000000-0005-0000-0000-0000D8510000}"/>
    <cellStyle name="Normal 4 4 7 10" xfId="16620" xr:uid="{00000000-0005-0000-0000-0000D9510000}"/>
    <cellStyle name="Normal 4 4 7 11" xfId="16621" xr:uid="{00000000-0005-0000-0000-0000DA510000}"/>
    <cellStyle name="Normal 4 4 7 12" xfId="16622" xr:uid="{00000000-0005-0000-0000-0000DB510000}"/>
    <cellStyle name="Normal 4 4 7 13" xfId="16623" xr:uid="{00000000-0005-0000-0000-0000DC510000}"/>
    <cellStyle name="Normal 4 4 7 14" xfId="16624" xr:uid="{00000000-0005-0000-0000-0000DD510000}"/>
    <cellStyle name="Normal 4 4 7 15" xfId="16625" xr:uid="{00000000-0005-0000-0000-0000DE510000}"/>
    <cellStyle name="Normal 4 4 7 16" xfId="16626" xr:uid="{00000000-0005-0000-0000-0000DF510000}"/>
    <cellStyle name="Normal 4 4 7 2" xfId="16627" xr:uid="{00000000-0005-0000-0000-0000E0510000}"/>
    <cellStyle name="Normal 4 4 7 3" xfId="16628" xr:uid="{00000000-0005-0000-0000-0000E1510000}"/>
    <cellStyle name="Normal 4 4 7 4" xfId="16629" xr:uid="{00000000-0005-0000-0000-0000E2510000}"/>
    <cellStyle name="Normal 4 4 7 5" xfId="16630" xr:uid="{00000000-0005-0000-0000-0000E3510000}"/>
    <cellStyle name="Normal 4 4 7 6" xfId="16631" xr:uid="{00000000-0005-0000-0000-0000E4510000}"/>
    <cellStyle name="Normal 4 4 7 7" xfId="16632" xr:uid="{00000000-0005-0000-0000-0000E5510000}"/>
    <cellStyle name="Normal 4 4 7 8" xfId="16633" xr:uid="{00000000-0005-0000-0000-0000E6510000}"/>
    <cellStyle name="Normal 4 4 7 9" xfId="16634" xr:uid="{00000000-0005-0000-0000-0000E7510000}"/>
    <cellStyle name="Normal 4 4 8" xfId="16635" xr:uid="{00000000-0005-0000-0000-0000E8510000}"/>
    <cellStyle name="Normal 4 4 8 10" xfId="16636" xr:uid="{00000000-0005-0000-0000-0000E9510000}"/>
    <cellStyle name="Normal 4 4 8 10 2" xfId="16637" xr:uid="{00000000-0005-0000-0000-0000EA510000}"/>
    <cellStyle name="Normal 4 4 8 10 2 2" xfId="33271" xr:uid="{00000000-0005-0000-0000-0000EB510000}"/>
    <cellStyle name="Normal 4 4 8 10 3" xfId="16638" xr:uid="{00000000-0005-0000-0000-0000EC510000}"/>
    <cellStyle name="Normal 4 4 8 10 3 2" xfId="33272" xr:uid="{00000000-0005-0000-0000-0000ED510000}"/>
    <cellStyle name="Normal 4 4 8 10 4" xfId="16639" xr:uid="{00000000-0005-0000-0000-0000EE510000}"/>
    <cellStyle name="Normal 4 4 8 10 4 2" xfId="33273" xr:uid="{00000000-0005-0000-0000-0000EF510000}"/>
    <cellStyle name="Normal 4 4 8 10 5" xfId="16640" xr:uid="{00000000-0005-0000-0000-0000F0510000}"/>
    <cellStyle name="Normal 4 4 8 10 5 2" xfId="33274" xr:uid="{00000000-0005-0000-0000-0000F1510000}"/>
    <cellStyle name="Normal 4 4 8 10 6" xfId="33270" xr:uid="{00000000-0005-0000-0000-0000F2510000}"/>
    <cellStyle name="Normal 4 4 8 11" xfId="16641" xr:uid="{00000000-0005-0000-0000-0000F3510000}"/>
    <cellStyle name="Normal 4 4 8 11 2" xfId="16642" xr:uid="{00000000-0005-0000-0000-0000F4510000}"/>
    <cellStyle name="Normal 4 4 8 11 2 2" xfId="33276" xr:uid="{00000000-0005-0000-0000-0000F5510000}"/>
    <cellStyle name="Normal 4 4 8 11 3" xfId="16643" xr:uid="{00000000-0005-0000-0000-0000F6510000}"/>
    <cellStyle name="Normal 4 4 8 11 3 2" xfId="33277" xr:uid="{00000000-0005-0000-0000-0000F7510000}"/>
    <cellStyle name="Normal 4 4 8 11 4" xfId="16644" xr:uid="{00000000-0005-0000-0000-0000F8510000}"/>
    <cellStyle name="Normal 4 4 8 11 4 2" xfId="33278" xr:uid="{00000000-0005-0000-0000-0000F9510000}"/>
    <cellStyle name="Normal 4 4 8 11 5" xfId="16645" xr:uid="{00000000-0005-0000-0000-0000FA510000}"/>
    <cellStyle name="Normal 4 4 8 11 5 2" xfId="33279" xr:uid="{00000000-0005-0000-0000-0000FB510000}"/>
    <cellStyle name="Normal 4 4 8 11 6" xfId="33275" xr:uid="{00000000-0005-0000-0000-0000FC510000}"/>
    <cellStyle name="Normal 4 4 8 12" xfId="16646" xr:uid="{00000000-0005-0000-0000-0000FD510000}"/>
    <cellStyle name="Normal 4 4 8 12 2" xfId="16647" xr:uid="{00000000-0005-0000-0000-0000FE510000}"/>
    <cellStyle name="Normal 4 4 8 12 2 2" xfId="33281" xr:uid="{00000000-0005-0000-0000-0000FF510000}"/>
    <cellStyle name="Normal 4 4 8 12 3" xfId="16648" xr:uid="{00000000-0005-0000-0000-000000520000}"/>
    <cellStyle name="Normal 4 4 8 12 3 2" xfId="33282" xr:uid="{00000000-0005-0000-0000-000001520000}"/>
    <cellStyle name="Normal 4 4 8 12 4" xfId="16649" xr:uid="{00000000-0005-0000-0000-000002520000}"/>
    <cellStyle name="Normal 4 4 8 12 4 2" xfId="33283" xr:uid="{00000000-0005-0000-0000-000003520000}"/>
    <cellStyle name="Normal 4 4 8 12 5" xfId="16650" xr:uid="{00000000-0005-0000-0000-000004520000}"/>
    <cellStyle name="Normal 4 4 8 12 5 2" xfId="33284" xr:uid="{00000000-0005-0000-0000-000005520000}"/>
    <cellStyle name="Normal 4 4 8 12 6" xfId="33280" xr:uid="{00000000-0005-0000-0000-000006520000}"/>
    <cellStyle name="Normal 4 4 8 13" xfId="16651" xr:uid="{00000000-0005-0000-0000-000007520000}"/>
    <cellStyle name="Normal 4 4 8 13 2" xfId="16652" xr:uid="{00000000-0005-0000-0000-000008520000}"/>
    <cellStyle name="Normal 4 4 8 13 2 2" xfId="33286" xr:uid="{00000000-0005-0000-0000-000009520000}"/>
    <cellStyle name="Normal 4 4 8 13 3" xfId="16653" xr:uid="{00000000-0005-0000-0000-00000A520000}"/>
    <cellStyle name="Normal 4 4 8 13 3 2" xfId="33287" xr:uid="{00000000-0005-0000-0000-00000B520000}"/>
    <cellStyle name="Normal 4 4 8 13 4" xfId="16654" xr:uid="{00000000-0005-0000-0000-00000C520000}"/>
    <cellStyle name="Normal 4 4 8 13 4 2" xfId="33288" xr:uid="{00000000-0005-0000-0000-00000D520000}"/>
    <cellStyle name="Normal 4 4 8 13 5" xfId="16655" xr:uid="{00000000-0005-0000-0000-00000E520000}"/>
    <cellStyle name="Normal 4 4 8 13 5 2" xfId="33289" xr:uid="{00000000-0005-0000-0000-00000F520000}"/>
    <cellStyle name="Normal 4 4 8 13 6" xfId="33285" xr:uid="{00000000-0005-0000-0000-000010520000}"/>
    <cellStyle name="Normal 4 4 8 14" xfId="16656" xr:uid="{00000000-0005-0000-0000-000011520000}"/>
    <cellStyle name="Normal 4 4 8 14 2" xfId="16657" xr:uid="{00000000-0005-0000-0000-000012520000}"/>
    <cellStyle name="Normal 4 4 8 14 2 2" xfId="33291" xr:uid="{00000000-0005-0000-0000-000013520000}"/>
    <cellStyle name="Normal 4 4 8 14 3" xfId="16658" xr:uid="{00000000-0005-0000-0000-000014520000}"/>
    <cellStyle name="Normal 4 4 8 14 3 2" xfId="33292" xr:uid="{00000000-0005-0000-0000-000015520000}"/>
    <cellStyle name="Normal 4 4 8 14 4" xfId="16659" xr:uid="{00000000-0005-0000-0000-000016520000}"/>
    <cellStyle name="Normal 4 4 8 14 4 2" xfId="33293" xr:uid="{00000000-0005-0000-0000-000017520000}"/>
    <cellStyle name="Normal 4 4 8 14 5" xfId="16660" xr:uid="{00000000-0005-0000-0000-000018520000}"/>
    <cellStyle name="Normal 4 4 8 14 5 2" xfId="33294" xr:uid="{00000000-0005-0000-0000-000019520000}"/>
    <cellStyle name="Normal 4 4 8 14 6" xfId="33290" xr:uid="{00000000-0005-0000-0000-00001A520000}"/>
    <cellStyle name="Normal 4 4 8 15" xfId="16661" xr:uid="{00000000-0005-0000-0000-00001B520000}"/>
    <cellStyle name="Normal 4 4 8 15 2" xfId="16662" xr:uid="{00000000-0005-0000-0000-00001C520000}"/>
    <cellStyle name="Normal 4 4 8 15 2 2" xfId="33296" xr:uid="{00000000-0005-0000-0000-00001D520000}"/>
    <cellStyle name="Normal 4 4 8 15 3" xfId="16663" xr:uid="{00000000-0005-0000-0000-00001E520000}"/>
    <cellStyle name="Normal 4 4 8 15 3 2" xfId="33297" xr:uid="{00000000-0005-0000-0000-00001F520000}"/>
    <cellStyle name="Normal 4 4 8 15 4" xfId="16664" xr:uid="{00000000-0005-0000-0000-000020520000}"/>
    <cellStyle name="Normal 4 4 8 15 4 2" xfId="33298" xr:uid="{00000000-0005-0000-0000-000021520000}"/>
    <cellStyle name="Normal 4 4 8 15 5" xfId="16665" xr:uid="{00000000-0005-0000-0000-000022520000}"/>
    <cellStyle name="Normal 4 4 8 15 5 2" xfId="33299" xr:uid="{00000000-0005-0000-0000-000023520000}"/>
    <cellStyle name="Normal 4 4 8 15 6" xfId="33295" xr:uid="{00000000-0005-0000-0000-000024520000}"/>
    <cellStyle name="Normal 4 4 8 16" xfId="16666" xr:uid="{00000000-0005-0000-0000-000025520000}"/>
    <cellStyle name="Normal 4 4 8 16 2" xfId="16667" xr:uid="{00000000-0005-0000-0000-000026520000}"/>
    <cellStyle name="Normal 4 4 8 16 2 2" xfId="33301" xr:uid="{00000000-0005-0000-0000-000027520000}"/>
    <cellStyle name="Normal 4 4 8 16 3" xfId="16668" xr:uid="{00000000-0005-0000-0000-000028520000}"/>
    <cellStyle name="Normal 4 4 8 16 3 2" xfId="33302" xr:uid="{00000000-0005-0000-0000-000029520000}"/>
    <cellStyle name="Normal 4 4 8 16 4" xfId="16669" xr:uid="{00000000-0005-0000-0000-00002A520000}"/>
    <cellStyle name="Normal 4 4 8 16 4 2" xfId="33303" xr:uid="{00000000-0005-0000-0000-00002B520000}"/>
    <cellStyle name="Normal 4 4 8 16 5" xfId="16670" xr:uid="{00000000-0005-0000-0000-00002C520000}"/>
    <cellStyle name="Normal 4 4 8 16 5 2" xfId="33304" xr:uid="{00000000-0005-0000-0000-00002D520000}"/>
    <cellStyle name="Normal 4 4 8 16 6" xfId="33300" xr:uid="{00000000-0005-0000-0000-00002E520000}"/>
    <cellStyle name="Normal 4 4 8 17" xfId="16671" xr:uid="{00000000-0005-0000-0000-00002F520000}"/>
    <cellStyle name="Normal 4 4 8 17 2" xfId="33305" xr:uid="{00000000-0005-0000-0000-000030520000}"/>
    <cellStyle name="Normal 4 4 8 18" xfId="16672" xr:uid="{00000000-0005-0000-0000-000031520000}"/>
    <cellStyle name="Normal 4 4 8 18 2" xfId="33306" xr:uid="{00000000-0005-0000-0000-000032520000}"/>
    <cellStyle name="Normal 4 4 8 19" xfId="16673" xr:uid="{00000000-0005-0000-0000-000033520000}"/>
    <cellStyle name="Normal 4 4 8 19 2" xfId="33307" xr:uid="{00000000-0005-0000-0000-000034520000}"/>
    <cellStyle name="Normal 4 4 8 2" xfId="16674" xr:uid="{00000000-0005-0000-0000-000035520000}"/>
    <cellStyle name="Normal 4 4 8 20" xfId="16675" xr:uid="{00000000-0005-0000-0000-000036520000}"/>
    <cellStyle name="Normal 4 4 8 20 2" xfId="33308" xr:uid="{00000000-0005-0000-0000-000037520000}"/>
    <cellStyle name="Normal 4 4 8 21" xfId="33269" xr:uid="{00000000-0005-0000-0000-000038520000}"/>
    <cellStyle name="Normal 4 4 8 3" xfId="16676" xr:uid="{00000000-0005-0000-0000-000039520000}"/>
    <cellStyle name="Normal 4 4 8 3 2" xfId="16677" xr:uid="{00000000-0005-0000-0000-00003A520000}"/>
    <cellStyle name="Normal 4 4 8 3 2 2" xfId="33310" xr:uid="{00000000-0005-0000-0000-00003B520000}"/>
    <cellStyle name="Normal 4 4 8 3 3" xfId="16678" xr:uid="{00000000-0005-0000-0000-00003C520000}"/>
    <cellStyle name="Normal 4 4 8 3 3 2" xfId="33311" xr:uid="{00000000-0005-0000-0000-00003D520000}"/>
    <cellStyle name="Normal 4 4 8 3 4" xfId="16679" xr:uid="{00000000-0005-0000-0000-00003E520000}"/>
    <cellStyle name="Normal 4 4 8 3 4 2" xfId="33312" xr:uid="{00000000-0005-0000-0000-00003F520000}"/>
    <cellStyle name="Normal 4 4 8 3 5" xfId="16680" xr:uid="{00000000-0005-0000-0000-000040520000}"/>
    <cellStyle name="Normal 4 4 8 3 5 2" xfId="33313" xr:uid="{00000000-0005-0000-0000-000041520000}"/>
    <cellStyle name="Normal 4 4 8 3 6" xfId="33309" xr:uid="{00000000-0005-0000-0000-000042520000}"/>
    <cellStyle name="Normal 4 4 8 4" xfId="16681" xr:uid="{00000000-0005-0000-0000-000043520000}"/>
    <cellStyle name="Normal 4 4 8 4 2" xfId="16682" xr:uid="{00000000-0005-0000-0000-000044520000}"/>
    <cellStyle name="Normal 4 4 8 4 2 2" xfId="33315" xr:uid="{00000000-0005-0000-0000-000045520000}"/>
    <cellStyle name="Normal 4 4 8 4 3" xfId="16683" xr:uid="{00000000-0005-0000-0000-000046520000}"/>
    <cellStyle name="Normal 4 4 8 4 3 2" xfId="33316" xr:uid="{00000000-0005-0000-0000-000047520000}"/>
    <cellStyle name="Normal 4 4 8 4 4" xfId="16684" xr:uid="{00000000-0005-0000-0000-000048520000}"/>
    <cellStyle name="Normal 4 4 8 4 4 2" xfId="33317" xr:uid="{00000000-0005-0000-0000-000049520000}"/>
    <cellStyle name="Normal 4 4 8 4 5" xfId="16685" xr:uid="{00000000-0005-0000-0000-00004A520000}"/>
    <cellStyle name="Normal 4 4 8 4 5 2" xfId="33318" xr:uid="{00000000-0005-0000-0000-00004B520000}"/>
    <cellStyle name="Normal 4 4 8 4 6" xfId="33314" xr:uid="{00000000-0005-0000-0000-00004C520000}"/>
    <cellStyle name="Normal 4 4 8 5" xfId="16686" xr:uid="{00000000-0005-0000-0000-00004D520000}"/>
    <cellStyle name="Normal 4 4 8 5 2" xfId="16687" xr:uid="{00000000-0005-0000-0000-00004E520000}"/>
    <cellStyle name="Normal 4 4 8 5 2 2" xfId="33320" xr:uid="{00000000-0005-0000-0000-00004F520000}"/>
    <cellStyle name="Normal 4 4 8 5 3" xfId="16688" xr:uid="{00000000-0005-0000-0000-000050520000}"/>
    <cellStyle name="Normal 4 4 8 5 3 2" xfId="33321" xr:uid="{00000000-0005-0000-0000-000051520000}"/>
    <cellStyle name="Normal 4 4 8 5 4" xfId="16689" xr:uid="{00000000-0005-0000-0000-000052520000}"/>
    <cellStyle name="Normal 4 4 8 5 4 2" xfId="33322" xr:uid="{00000000-0005-0000-0000-000053520000}"/>
    <cellStyle name="Normal 4 4 8 5 5" xfId="16690" xr:uid="{00000000-0005-0000-0000-000054520000}"/>
    <cellStyle name="Normal 4 4 8 5 5 2" xfId="33323" xr:uid="{00000000-0005-0000-0000-000055520000}"/>
    <cellStyle name="Normal 4 4 8 5 6" xfId="33319" xr:uid="{00000000-0005-0000-0000-000056520000}"/>
    <cellStyle name="Normal 4 4 8 6" xfId="16691" xr:uid="{00000000-0005-0000-0000-000057520000}"/>
    <cellStyle name="Normal 4 4 8 6 2" xfId="16692" xr:uid="{00000000-0005-0000-0000-000058520000}"/>
    <cellStyle name="Normal 4 4 8 6 2 2" xfId="33325" xr:uid="{00000000-0005-0000-0000-000059520000}"/>
    <cellStyle name="Normal 4 4 8 6 3" xfId="16693" xr:uid="{00000000-0005-0000-0000-00005A520000}"/>
    <cellStyle name="Normal 4 4 8 6 3 2" xfId="33326" xr:uid="{00000000-0005-0000-0000-00005B520000}"/>
    <cellStyle name="Normal 4 4 8 6 4" xfId="16694" xr:uid="{00000000-0005-0000-0000-00005C520000}"/>
    <cellStyle name="Normal 4 4 8 6 4 2" xfId="33327" xr:uid="{00000000-0005-0000-0000-00005D520000}"/>
    <cellStyle name="Normal 4 4 8 6 5" xfId="16695" xr:uid="{00000000-0005-0000-0000-00005E520000}"/>
    <cellStyle name="Normal 4 4 8 6 5 2" xfId="33328" xr:uid="{00000000-0005-0000-0000-00005F520000}"/>
    <cellStyle name="Normal 4 4 8 6 6" xfId="33324" xr:uid="{00000000-0005-0000-0000-000060520000}"/>
    <cellStyle name="Normal 4 4 8 7" xfId="16696" xr:uid="{00000000-0005-0000-0000-000061520000}"/>
    <cellStyle name="Normal 4 4 8 7 2" xfId="16697" xr:uid="{00000000-0005-0000-0000-000062520000}"/>
    <cellStyle name="Normal 4 4 8 7 2 2" xfId="33330" xr:uid="{00000000-0005-0000-0000-000063520000}"/>
    <cellStyle name="Normal 4 4 8 7 3" xfId="16698" xr:uid="{00000000-0005-0000-0000-000064520000}"/>
    <cellStyle name="Normal 4 4 8 7 3 2" xfId="33331" xr:uid="{00000000-0005-0000-0000-000065520000}"/>
    <cellStyle name="Normal 4 4 8 7 4" xfId="16699" xr:uid="{00000000-0005-0000-0000-000066520000}"/>
    <cellStyle name="Normal 4 4 8 7 4 2" xfId="33332" xr:uid="{00000000-0005-0000-0000-000067520000}"/>
    <cellStyle name="Normal 4 4 8 7 5" xfId="16700" xr:uid="{00000000-0005-0000-0000-000068520000}"/>
    <cellStyle name="Normal 4 4 8 7 5 2" xfId="33333" xr:uid="{00000000-0005-0000-0000-000069520000}"/>
    <cellStyle name="Normal 4 4 8 7 6" xfId="33329" xr:uid="{00000000-0005-0000-0000-00006A520000}"/>
    <cellStyle name="Normal 4 4 8 8" xfId="16701" xr:uid="{00000000-0005-0000-0000-00006B520000}"/>
    <cellStyle name="Normal 4 4 8 8 2" xfId="16702" xr:uid="{00000000-0005-0000-0000-00006C520000}"/>
    <cellStyle name="Normal 4 4 8 8 2 2" xfId="33335" xr:uid="{00000000-0005-0000-0000-00006D520000}"/>
    <cellStyle name="Normal 4 4 8 8 3" xfId="16703" xr:uid="{00000000-0005-0000-0000-00006E520000}"/>
    <cellStyle name="Normal 4 4 8 8 3 2" xfId="33336" xr:uid="{00000000-0005-0000-0000-00006F520000}"/>
    <cellStyle name="Normal 4 4 8 8 4" xfId="16704" xr:uid="{00000000-0005-0000-0000-000070520000}"/>
    <cellStyle name="Normal 4 4 8 8 4 2" xfId="33337" xr:uid="{00000000-0005-0000-0000-000071520000}"/>
    <cellStyle name="Normal 4 4 8 8 5" xfId="16705" xr:uid="{00000000-0005-0000-0000-000072520000}"/>
    <cellStyle name="Normal 4 4 8 8 5 2" xfId="33338" xr:uid="{00000000-0005-0000-0000-000073520000}"/>
    <cellStyle name="Normal 4 4 8 8 6" xfId="33334" xr:uid="{00000000-0005-0000-0000-000074520000}"/>
    <cellStyle name="Normal 4 4 8 9" xfId="16706" xr:uid="{00000000-0005-0000-0000-000075520000}"/>
    <cellStyle name="Normal 4 4 8 9 2" xfId="16707" xr:uid="{00000000-0005-0000-0000-000076520000}"/>
    <cellStyle name="Normal 4 4 8 9 2 2" xfId="33340" xr:uid="{00000000-0005-0000-0000-000077520000}"/>
    <cellStyle name="Normal 4 4 8 9 3" xfId="16708" xr:uid="{00000000-0005-0000-0000-000078520000}"/>
    <cellStyle name="Normal 4 4 8 9 3 2" xfId="33341" xr:uid="{00000000-0005-0000-0000-000079520000}"/>
    <cellStyle name="Normal 4 4 8 9 4" xfId="16709" xr:uid="{00000000-0005-0000-0000-00007A520000}"/>
    <cellStyle name="Normal 4 4 8 9 4 2" xfId="33342" xr:uid="{00000000-0005-0000-0000-00007B520000}"/>
    <cellStyle name="Normal 4 4 8 9 5" xfId="16710" xr:uid="{00000000-0005-0000-0000-00007C520000}"/>
    <cellStyle name="Normal 4 4 8 9 5 2" xfId="33343" xr:uid="{00000000-0005-0000-0000-00007D520000}"/>
    <cellStyle name="Normal 4 4 8 9 6" xfId="33339" xr:uid="{00000000-0005-0000-0000-00007E520000}"/>
    <cellStyle name="Normal 4 4 9" xfId="16711" xr:uid="{00000000-0005-0000-0000-00007F520000}"/>
    <cellStyle name="Normal 4 4 9 2" xfId="16712" xr:uid="{00000000-0005-0000-0000-000080520000}"/>
    <cellStyle name="Normal 4 4 9 3" xfId="16713" xr:uid="{00000000-0005-0000-0000-000081520000}"/>
    <cellStyle name="Normal 4 4 9 3 2" xfId="33345" xr:uid="{00000000-0005-0000-0000-000082520000}"/>
    <cellStyle name="Normal 4 4 9 4" xfId="16714" xr:uid="{00000000-0005-0000-0000-000083520000}"/>
    <cellStyle name="Normal 4 4 9 4 2" xfId="33346" xr:uid="{00000000-0005-0000-0000-000084520000}"/>
    <cellStyle name="Normal 4 4 9 5" xfId="16715" xr:uid="{00000000-0005-0000-0000-000085520000}"/>
    <cellStyle name="Normal 4 4 9 5 2" xfId="33347" xr:uid="{00000000-0005-0000-0000-000086520000}"/>
    <cellStyle name="Normal 4 4 9 6" xfId="16716" xr:uid="{00000000-0005-0000-0000-000087520000}"/>
    <cellStyle name="Normal 4 4 9 6 2" xfId="33348" xr:uid="{00000000-0005-0000-0000-000088520000}"/>
    <cellStyle name="Normal 4 4 9 7" xfId="33344" xr:uid="{00000000-0005-0000-0000-000089520000}"/>
    <cellStyle name="Normal 4 40" xfId="16717" xr:uid="{00000000-0005-0000-0000-00008A520000}"/>
    <cellStyle name="Normal 4 40 2" xfId="33349" xr:uid="{00000000-0005-0000-0000-00008B520000}"/>
    <cellStyle name="Normal 4 41" xfId="41065" xr:uid="{00000000-0005-0000-0000-00008C520000}"/>
    <cellStyle name="Normal 4 5" xfId="16718" xr:uid="{00000000-0005-0000-0000-00008D520000}"/>
    <cellStyle name="Normal 4 5 10" xfId="16719" xr:uid="{00000000-0005-0000-0000-00008E520000}"/>
    <cellStyle name="Normal 4 5 10 2" xfId="16720" xr:uid="{00000000-0005-0000-0000-00008F520000}"/>
    <cellStyle name="Normal 4 5 10 2 2" xfId="33351" xr:uid="{00000000-0005-0000-0000-000090520000}"/>
    <cellStyle name="Normal 4 5 10 3" xfId="16721" xr:uid="{00000000-0005-0000-0000-000091520000}"/>
    <cellStyle name="Normal 4 5 10 3 2" xfId="33352" xr:uid="{00000000-0005-0000-0000-000092520000}"/>
    <cellStyle name="Normal 4 5 10 4" xfId="16722" xr:uid="{00000000-0005-0000-0000-000093520000}"/>
    <cellStyle name="Normal 4 5 10 4 2" xfId="33353" xr:uid="{00000000-0005-0000-0000-000094520000}"/>
    <cellStyle name="Normal 4 5 10 5" xfId="16723" xr:uid="{00000000-0005-0000-0000-000095520000}"/>
    <cellStyle name="Normal 4 5 10 5 2" xfId="33354" xr:uid="{00000000-0005-0000-0000-000096520000}"/>
    <cellStyle name="Normal 4 5 10 6" xfId="33350" xr:uid="{00000000-0005-0000-0000-000097520000}"/>
    <cellStyle name="Normal 4 5 11" xfId="16724" xr:uid="{00000000-0005-0000-0000-000098520000}"/>
    <cellStyle name="Normal 4 5 11 2" xfId="16725" xr:uid="{00000000-0005-0000-0000-000099520000}"/>
    <cellStyle name="Normal 4 5 11 2 2" xfId="33356" xr:uid="{00000000-0005-0000-0000-00009A520000}"/>
    <cellStyle name="Normal 4 5 11 3" xfId="16726" xr:uid="{00000000-0005-0000-0000-00009B520000}"/>
    <cellStyle name="Normal 4 5 11 3 2" xfId="33357" xr:uid="{00000000-0005-0000-0000-00009C520000}"/>
    <cellStyle name="Normal 4 5 11 4" xfId="16727" xr:uid="{00000000-0005-0000-0000-00009D520000}"/>
    <cellStyle name="Normal 4 5 11 4 2" xfId="33358" xr:uid="{00000000-0005-0000-0000-00009E520000}"/>
    <cellStyle name="Normal 4 5 11 5" xfId="16728" xr:uid="{00000000-0005-0000-0000-00009F520000}"/>
    <cellStyle name="Normal 4 5 11 5 2" xfId="33359" xr:uid="{00000000-0005-0000-0000-0000A0520000}"/>
    <cellStyle name="Normal 4 5 11 6" xfId="33355" xr:uid="{00000000-0005-0000-0000-0000A1520000}"/>
    <cellStyle name="Normal 4 5 12" xfId="16729" xr:uid="{00000000-0005-0000-0000-0000A2520000}"/>
    <cellStyle name="Normal 4 5 12 2" xfId="16730" xr:uid="{00000000-0005-0000-0000-0000A3520000}"/>
    <cellStyle name="Normal 4 5 12 2 2" xfId="33361" xr:uid="{00000000-0005-0000-0000-0000A4520000}"/>
    <cellStyle name="Normal 4 5 12 3" xfId="16731" xr:uid="{00000000-0005-0000-0000-0000A5520000}"/>
    <cellStyle name="Normal 4 5 12 3 2" xfId="33362" xr:uid="{00000000-0005-0000-0000-0000A6520000}"/>
    <cellStyle name="Normal 4 5 12 4" xfId="16732" xr:uid="{00000000-0005-0000-0000-0000A7520000}"/>
    <cellStyle name="Normal 4 5 12 4 2" xfId="33363" xr:uid="{00000000-0005-0000-0000-0000A8520000}"/>
    <cellStyle name="Normal 4 5 12 5" xfId="16733" xr:uid="{00000000-0005-0000-0000-0000A9520000}"/>
    <cellStyle name="Normal 4 5 12 5 2" xfId="33364" xr:uid="{00000000-0005-0000-0000-0000AA520000}"/>
    <cellStyle name="Normal 4 5 12 6" xfId="33360" xr:uid="{00000000-0005-0000-0000-0000AB520000}"/>
    <cellStyle name="Normal 4 5 13" xfId="16734" xr:uid="{00000000-0005-0000-0000-0000AC520000}"/>
    <cellStyle name="Normal 4 5 13 2" xfId="16735" xr:uid="{00000000-0005-0000-0000-0000AD520000}"/>
    <cellStyle name="Normal 4 5 13 2 2" xfId="33366" xr:uid="{00000000-0005-0000-0000-0000AE520000}"/>
    <cellStyle name="Normal 4 5 13 3" xfId="16736" xr:uid="{00000000-0005-0000-0000-0000AF520000}"/>
    <cellStyle name="Normal 4 5 13 3 2" xfId="33367" xr:uid="{00000000-0005-0000-0000-0000B0520000}"/>
    <cellStyle name="Normal 4 5 13 4" xfId="16737" xr:uid="{00000000-0005-0000-0000-0000B1520000}"/>
    <cellStyle name="Normal 4 5 13 4 2" xfId="33368" xr:uid="{00000000-0005-0000-0000-0000B2520000}"/>
    <cellStyle name="Normal 4 5 13 5" xfId="16738" xr:uid="{00000000-0005-0000-0000-0000B3520000}"/>
    <cellStyle name="Normal 4 5 13 5 2" xfId="33369" xr:uid="{00000000-0005-0000-0000-0000B4520000}"/>
    <cellStyle name="Normal 4 5 13 6" xfId="33365" xr:uid="{00000000-0005-0000-0000-0000B5520000}"/>
    <cellStyle name="Normal 4 5 14" xfId="16739" xr:uid="{00000000-0005-0000-0000-0000B6520000}"/>
    <cellStyle name="Normal 4 5 14 2" xfId="16740" xr:uid="{00000000-0005-0000-0000-0000B7520000}"/>
    <cellStyle name="Normal 4 5 14 2 2" xfId="33371" xr:uid="{00000000-0005-0000-0000-0000B8520000}"/>
    <cellStyle name="Normal 4 5 14 3" xfId="16741" xr:uid="{00000000-0005-0000-0000-0000B9520000}"/>
    <cellStyle name="Normal 4 5 14 3 2" xfId="33372" xr:uid="{00000000-0005-0000-0000-0000BA520000}"/>
    <cellStyle name="Normal 4 5 14 4" xfId="16742" xr:uid="{00000000-0005-0000-0000-0000BB520000}"/>
    <cellStyle name="Normal 4 5 14 4 2" xfId="33373" xr:uid="{00000000-0005-0000-0000-0000BC520000}"/>
    <cellStyle name="Normal 4 5 14 5" xfId="16743" xr:uid="{00000000-0005-0000-0000-0000BD520000}"/>
    <cellStyle name="Normal 4 5 14 5 2" xfId="33374" xr:uid="{00000000-0005-0000-0000-0000BE520000}"/>
    <cellStyle name="Normal 4 5 14 6" xfId="33370" xr:uid="{00000000-0005-0000-0000-0000BF520000}"/>
    <cellStyle name="Normal 4 5 15" xfId="16744" xr:uid="{00000000-0005-0000-0000-0000C0520000}"/>
    <cellStyle name="Normal 4 5 15 2" xfId="16745" xr:uid="{00000000-0005-0000-0000-0000C1520000}"/>
    <cellStyle name="Normal 4 5 15 2 2" xfId="33376" xr:uid="{00000000-0005-0000-0000-0000C2520000}"/>
    <cellStyle name="Normal 4 5 15 3" xfId="16746" xr:uid="{00000000-0005-0000-0000-0000C3520000}"/>
    <cellStyle name="Normal 4 5 15 3 2" xfId="33377" xr:uid="{00000000-0005-0000-0000-0000C4520000}"/>
    <cellStyle name="Normal 4 5 15 4" xfId="16747" xr:uid="{00000000-0005-0000-0000-0000C5520000}"/>
    <cellStyle name="Normal 4 5 15 4 2" xfId="33378" xr:uid="{00000000-0005-0000-0000-0000C6520000}"/>
    <cellStyle name="Normal 4 5 15 5" xfId="16748" xr:uid="{00000000-0005-0000-0000-0000C7520000}"/>
    <cellStyle name="Normal 4 5 15 5 2" xfId="33379" xr:uid="{00000000-0005-0000-0000-0000C8520000}"/>
    <cellStyle name="Normal 4 5 15 6" xfId="33375" xr:uid="{00000000-0005-0000-0000-0000C9520000}"/>
    <cellStyle name="Normal 4 5 16" xfId="16749" xr:uid="{00000000-0005-0000-0000-0000CA520000}"/>
    <cellStyle name="Normal 4 5 16 2" xfId="16750" xr:uid="{00000000-0005-0000-0000-0000CB520000}"/>
    <cellStyle name="Normal 4 5 16 2 2" xfId="33381" xr:uid="{00000000-0005-0000-0000-0000CC520000}"/>
    <cellStyle name="Normal 4 5 16 3" xfId="16751" xr:uid="{00000000-0005-0000-0000-0000CD520000}"/>
    <cellStyle name="Normal 4 5 16 3 2" xfId="33382" xr:uid="{00000000-0005-0000-0000-0000CE520000}"/>
    <cellStyle name="Normal 4 5 16 4" xfId="16752" xr:uid="{00000000-0005-0000-0000-0000CF520000}"/>
    <cellStyle name="Normal 4 5 16 4 2" xfId="33383" xr:uid="{00000000-0005-0000-0000-0000D0520000}"/>
    <cellStyle name="Normal 4 5 16 5" xfId="16753" xr:uid="{00000000-0005-0000-0000-0000D1520000}"/>
    <cellStyle name="Normal 4 5 16 5 2" xfId="33384" xr:uid="{00000000-0005-0000-0000-0000D2520000}"/>
    <cellStyle name="Normal 4 5 16 6" xfId="33380" xr:uid="{00000000-0005-0000-0000-0000D3520000}"/>
    <cellStyle name="Normal 4 5 17" xfId="16754" xr:uid="{00000000-0005-0000-0000-0000D4520000}"/>
    <cellStyle name="Normal 4 5 17 2" xfId="16755" xr:uid="{00000000-0005-0000-0000-0000D5520000}"/>
    <cellStyle name="Normal 4 5 17 2 2" xfId="33386" xr:uid="{00000000-0005-0000-0000-0000D6520000}"/>
    <cellStyle name="Normal 4 5 17 3" xfId="16756" xr:uid="{00000000-0005-0000-0000-0000D7520000}"/>
    <cellStyle name="Normal 4 5 17 3 2" xfId="33387" xr:uid="{00000000-0005-0000-0000-0000D8520000}"/>
    <cellStyle name="Normal 4 5 17 4" xfId="16757" xr:uid="{00000000-0005-0000-0000-0000D9520000}"/>
    <cellStyle name="Normal 4 5 17 4 2" xfId="33388" xr:uid="{00000000-0005-0000-0000-0000DA520000}"/>
    <cellStyle name="Normal 4 5 17 5" xfId="16758" xr:uid="{00000000-0005-0000-0000-0000DB520000}"/>
    <cellStyle name="Normal 4 5 17 5 2" xfId="33389" xr:uid="{00000000-0005-0000-0000-0000DC520000}"/>
    <cellStyle name="Normal 4 5 17 6" xfId="33385" xr:uid="{00000000-0005-0000-0000-0000DD520000}"/>
    <cellStyle name="Normal 4 5 18" xfId="16759" xr:uid="{00000000-0005-0000-0000-0000DE520000}"/>
    <cellStyle name="Normal 4 5 18 2" xfId="16760" xr:uid="{00000000-0005-0000-0000-0000DF520000}"/>
    <cellStyle name="Normal 4 5 18 2 2" xfId="33391" xr:uid="{00000000-0005-0000-0000-0000E0520000}"/>
    <cellStyle name="Normal 4 5 18 3" xfId="16761" xr:uid="{00000000-0005-0000-0000-0000E1520000}"/>
    <cellStyle name="Normal 4 5 18 3 2" xfId="33392" xr:uid="{00000000-0005-0000-0000-0000E2520000}"/>
    <cellStyle name="Normal 4 5 18 4" xfId="16762" xr:uid="{00000000-0005-0000-0000-0000E3520000}"/>
    <cellStyle name="Normal 4 5 18 4 2" xfId="33393" xr:uid="{00000000-0005-0000-0000-0000E4520000}"/>
    <cellStyle name="Normal 4 5 18 5" xfId="16763" xr:uid="{00000000-0005-0000-0000-0000E5520000}"/>
    <cellStyle name="Normal 4 5 18 5 2" xfId="33394" xr:uid="{00000000-0005-0000-0000-0000E6520000}"/>
    <cellStyle name="Normal 4 5 18 6" xfId="33390" xr:uid="{00000000-0005-0000-0000-0000E7520000}"/>
    <cellStyle name="Normal 4 5 19" xfId="16764" xr:uid="{00000000-0005-0000-0000-0000E8520000}"/>
    <cellStyle name="Normal 4 5 19 2" xfId="16765" xr:uid="{00000000-0005-0000-0000-0000E9520000}"/>
    <cellStyle name="Normal 4 5 19 2 2" xfId="33396" xr:uid="{00000000-0005-0000-0000-0000EA520000}"/>
    <cellStyle name="Normal 4 5 19 3" xfId="16766" xr:uid="{00000000-0005-0000-0000-0000EB520000}"/>
    <cellStyle name="Normal 4 5 19 3 2" xfId="33397" xr:uid="{00000000-0005-0000-0000-0000EC520000}"/>
    <cellStyle name="Normal 4 5 19 4" xfId="16767" xr:uid="{00000000-0005-0000-0000-0000ED520000}"/>
    <cellStyle name="Normal 4 5 19 4 2" xfId="33398" xr:uid="{00000000-0005-0000-0000-0000EE520000}"/>
    <cellStyle name="Normal 4 5 19 5" xfId="16768" xr:uid="{00000000-0005-0000-0000-0000EF520000}"/>
    <cellStyle name="Normal 4 5 19 5 2" xfId="33399" xr:uid="{00000000-0005-0000-0000-0000F0520000}"/>
    <cellStyle name="Normal 4 5 19 6" xfId="33395" xr:uid="{00000000-0005-0000-0000-0000F1520000}"/>
    <cellStyle name="Normal 4 5 2" xfId="16769" xr:uid="{00000000-0005-0000-0000-0000F2520000}"/>
    <cellStyle name="Normal 4 5 2 10" xfId="16770" xr:uid="{00000000-0005-0000-0000-0000F3520000}"/>
    <cellStyle name="Normal 4 5 2 10 2" xfId="16771" xr:uid="{00000000-0005-0000-0000-0000F4520000}"/>
    <cellStyle name="Normal 4 5 2 10 2 2" xfId="33402" xr:uid="{00000000-0005-0000-0000-0000F5520000}"/>
    <cellStyle name="Normal 4 5 2 10 3" xfId="16772" xr:uid="{00000000-0005-0000-0000-0000F6520000}"/>
    <cellStyle name="Normal 4 5 2 10 3 2" xfId="33403" xr:uid="{00000000-0005-0000-0000-0000F7520000}"/>
    <cellStyle name="Normal 4 5 2 10 4" xfId="16773" xr:uid="{00000000-0005-0000-0000-0000F8520000}"/>
    <cellStyle name="Normal 4 5 2 10 4 2" xfId="33404" xr:uid="{00000000-0005-0000-0000-0000F9520000}"/>
    <cellStyle name="Normal 4 5 2 10 5" xfId="16774" xr:uid="{00000000-0005-0000-0000-0000FA520000}"/>
    <cellStyle name="Normal 4 5 2 10 5 2" xfId="33405" xr:uid="{00000000-0005-0000-0000-0000FB520000}"/>
    <cellStyle name="Normal 4 5 2 10 6" xfId="33401" xr:uid="{00000000-0005-0000-0000-0000FC520000}"/>
    <cellStyle name="Normal 4 5 2 11" xfId="16775" xr:uid="{00000000-0005-0000-0000-0000FD520000}"/>
    <cellStyle name="Normal 4 5 2 11 2" xfId="16776" xr:uid="{00000000-0005-0000-0000-0000FE520000}"/>
    <cellStyle name="Normal 4 5 2 11 2 2" xfId="33407" xr:uid="{00000000-0005-0000-0000-0000FF520000}"/>
    <cellStyle name="Normal 4 5 2 11 3" xfId="16777" xr:uid="{00000000-0005-0000-0000-000000530000}"/>
    <cellStyle name="Normal 4 5 2 11 3 2" xfId="33408" xr:uid="{00000000-0005-0000-0000-000001530000}"/>
    <cellStyle name="Normal 4 5 2 11 4" xfId="16778" xr:uid="{00000000-0005-0000-0000-000002530000}"/>
    <cellStyle name="Normal 4 5 2 11 4 2" xfId="33409" xr:uid="{00000000-0005-0000-0000-000003530000}"/>
    <cellStyle name="Normal 4 5 2 11 5" xfId="16779" xr:uid="{00000000-0005-0000-0000-000004530000}"/>
    <cellStyle name="Normal 4 5 2 11 5 2" xfId="33410" xr:uid="{00000000-0005-0000-0000-000005530000}"/>
    <cellStyle name="Normal 4 5 2 11 6" xfId="33406" xr:uid="{00000000-0005-0000-0000-000006530000}"/>
    <cellStyle name="Normal 4 5 2 12" xfId="16780" xr:uid="{00000000-0005-0000-0000-000007530000}"/>
    <cellStyle name="Normal 4 5 2 12 2" xfId="16781" xr:uid="{00000000-0005-0000-0000-000008530000}"/>
    <cellStyle name="Normal 4 5 2 12 2 2" xfId="33412" xr:uid="{00000000-0005-0000-0000-000009530000}"/>
    <cellStyle name="Normal 4 5 2 12 3" xfId="16782" xr:uid="{00000000-0005-0000-0000-00000A530000}"/>
    <cellStyle name="Normal 4 5 2 12 3 2" xfId="33413" xr:uid="{00000000-0005-0000-0000-00000B530000}"/>
    <cellStyle name="Normal 4 5 2 12 4" xfId="16783" xr:uid="{00000000-0005-0000-0000-00000C530000}"/>
    <cellStyle name="Normal 4 5 2 12 4 2" xfId="33414" xr:uid="{00000000-0005-0000-0000-00000D530000}"/>
    <cellStyle name="Normal 4 5 2 12 5" xfId="16784" xr:uid="{00000000-0005-0000-0000-00000E530000}"/>
    <cellStyle name="Normal 4 5 2 12 5 2" xfId="33415" xr:uid="{00000000-0005-0000-0000-00000F530000}"/>
    <cellStyle name="Normal 4 5 2 12 6" xfId="33411" xr:uid="{00000000-0005-0000-0000-000010530000}"/>
    <cellStyle name="Normal 4 5 2 13" xfId="16785" xr:uid="{00000000-0005-0000-0000-000011530000}"/>
    <cellStyle name="Normal 4 5 2 13 2" xfId="16786" xr:uid="{00000000-0005-0000-0000-000012530000}"/>
    <cellStyle name="Normal 4 5 2 13 2 2" xfId="33417" xr:uid="{00000000-0005-0000-0000-000013530000}"/>
    <cellStyle name="Normal 4 5 2 13 3" xfId="16787" xr:uid="{00000000-0005-0000-0000-000014530000}"/>
    <cellStyle name="Normal 4 5 2 13 3 2" xfId="33418" xr:uid="{00000000-0005-0000-0000-000015530000}"/>
    <cellStyle name="Normal 4 5 2 13 4" xfId="16788" xr:uid="{00000000-0005-0000-0000-000016530000}"/>
    <cellStyle name="Normal 4 5 2 13 4 2" xfId="33419" xr:uid="{00000000-0005-0000-0000-000017530000}"/>
    <cellStyle name="Normal 4 5 2 13 5" xfId="16789" xr:uid="{00000000-0005-0000-0000-000018530000}"/>
    <cellStyle name="Normal 4 5 2 13 5 2" xfId="33420" xr:uid="{00000000-0005-0000-0000-000019530000}"/>
    <cellStyle name="Normal 4 5 2 13 6" xfId="33416" xr:uid="{00000000-0005-0000-0000-00001A530000}"/>
    <cellStyle name="Normal 4 5 2 14" xfId="16790" xr:uid="{00000000-0005-0000-0000-00001B530000}"/>
    <cellStyle name="Normal 4 5 2 14 2" xfId="16791" xr:uid="{00000000-0005-0000-0000-00001C530000}"/>
    <cellStyle name="Normal 4 5 2 14 2 2" xfId="33422" xr:uid="{00000000-0005-0000-0000-00001D530000}"/>
    <cellStyle name="Normal 4 5 2 14 3" xfId="16792" xr:uid="{00000000-0005-0000-0000-00001E530000}"/>
    <cellStyle name="Normal 4 5 2 14 3 2" xfId="33423" xr:uid="{00000000-0005-0000-0000-00001F530000}"/>
    <cellStyle name="Normal 4 5 2 14 4" xfId="16793" xr:uid="{00000000-0005-0000-0000-000020530000}"/>
    <cellStyle name="Normal 4 5 2 14 4 2" xfId="33424" xr:uid="{00000000-0005-0000-0000-000021530000}"/>
    <cellStyle name="Normal 4 5 2 14 5" xfId="16794" xr:uid="{00000000-0005-0000-0000-000022530000}"/>
    <cellStyle name="Normal 4 5 2 14 5 2" xfId="33425" xr:uid="{00000000-0005-0000-0000-000023530000}"/>
    <cellStyle name="Normal 4 5 2 14 6" xfId="33421" xr:uid="{00000000-0005-0000-0000-000024530000}"/>
    <cellStyle name="Normal 4 5 2 15" xfId="16795" xr:uid="{00000000-0005-0000-0000-000025530000}"/>
    <cellStyle name="Normal 4 5 2 15 2" xfId="16796" xr:uid="{00000000-0005-0000-0000-000026530000}"/>
    <cellStyle name="Normal 4 5 2 15 2 2" xfId="33427" xr:uid="{00000000-0005-0000-0000-000027530000}"/>
    <cellStyle name="Normal 4 5 2 15 3" xfId="16797" xr:uid="{00000000-0005-0000-0000-000028530000}"/>
    <cellStyle name="Normal 4 5 2 15 3 2" xfId="33428" xr:uid="{00000000-0005-0000-0000-000029530000}"/>
    <cellStyle name="Normal 4 5 2 15 4" xfId="16798" xr:uid="{00000000-0005-0000-0000-00002A530000}"/>
    <cellStyle name="Normal 4 5 2 15 4 2" xfId="33429" xr:uid="{00000000-0005-0000-0000-00002B530000}"/>
    <cellStyle name="Normal 4 5 2 15 5" xfId="16799" xr:uid="{00000000-0005-0000-0000-00002C530000}"/>
    <cellStyle name="Normal 4 5 2 15 5 2" xfId="33430" xr:uid="{00000000-0005-0000-0000-00002D530000}"/>
    <cellStyle name="Normal 4 5 2 15 6" xfId="33426" xr:uid="{00000000-0005-0000-0000-00002E530000}"/>
    <cellStyle name="Normal 4 5 2 16" xfId="16800" xr:uid="{00000000-0005-0000-0000-00002F530000}"/>
    <cellStyle name="Normal 4 5 2 16 2" xfId="16801" xr:uid="{00000000-0005-0000-0000-000030530000}"/>
    <cellStyle name="Normal 4 5 2 16 2 2" xfId="33432" xr:uid="{00000000-0005-0000-0000-000031530000}"/>
    <cellStyle name="Normal 4 5 2 16 3" xfId="16802" xr:uid="{00000000-0005-0000-0000-000032530000}"/>
    <cellStyle name="Normal 4 5 2 16 3 2" xfId="33433" xr:uid="{00000000-0005-0000-0000-000033530000}"/>
    <cellStyle name="Normal 4 5 2 16 4" xfId="16803" xr:uid="{00000000-0005-0000-0000-000034530000}"/>
    <cellStyle name="Normal 4 5 2 16 4 2" xfId="33434" xr:uid="{00000000-0005-0000-0000-000035530000}"/>
    <cellStyle name="Normal 4 5 2 16 5" xfId="16804" xr:uid="{00000000-0005-0000-0000-000036530000}"/>
    <cellStyle name="Normal 4 5 2 16 5 2" xfId="33435" xr:uid="{00000000-0005-0000-0000-000037530000}"/>
    <cellStyle name="Normal 4 5 2 16 6" xfId="33431" xr:uid="{00000000-0005-0000-0000-000038530000}"/>
    <cellStyle name="Normal 4 5 2 17" xfId="16805" xr:uid="{00000000-0005-0000-0000-000039530000}"/>
    <cellStyle name="Normal 4 5 2 17 2" xfId="33436" xr:uid="{00000000-0005-0000-0000-00003A530000}"/>
    <cellStyle name="Normal 4 5 2 18" xfId="16806" xr:uid="{00000000-0005-0000-0000-00003B530000}"/>
    <cellStyle name="Normal 4 5 2 18 2" xfId="33437" xr:uid="{00000000-0005-0000-0000-00003C530000}"/>
    <cellStyle name="Normal 4 5 2 19" xfId="16807" xr:uid="{00000000-0005-0000-0000-00003D530000}"/>
    <cellStyle name="Normal 4 5 2 19 2" xfId="33438" xr:uid="{00000000-0005-0000-0000-00003E530000}"/>
    <cellStyle name="Normal 4 5 2 2" xfId="16808" xr:uid="{00000000-0005-0000-0000-00003F530000}"/>
    <cellStyle name="Normal 4 5 2 2 10" xfId="16809" xr:uid="{00000000-0005-0000-0000-000040530000}"/>
    <cellStyle name="Normal 4 5 2 2 10 2" xfId="33440" xr:uid="{00000000-0005-0000-0000-000041530000}"/>
    <cellStyle name="Normal 4 5 2 2 11" xfId="16810" xr:uid="{00000000-0005-0000-0000-000042530000}"/>
    <cellStyle name="Normal 4 5 2 2 11 2" xfId="33441" xr:uid="{00000000-0005-0000-0000-000043530000}"/>
    <cellStyle name="Normal 4 5 2 2 12" xfId="33439" xr:uid="{00000000-0005-0000-0000-000044530000}"/>
    <cellStyle name="Normal 4 5 2 2 2" xfId="16811" xr:uid="{00000000-0005-0000-0000-000045530000}"/>
    <cellStyle name="Normal 4 5 2 2 2 2" xfId="16812" xr:uid="{00000000-0005-0000-0000-000046530000}"/>
    <cellStyle name="Normal 4 5 2 2 2 2 2" xfId="33443" xr:uid="{00000000-0005-0000-0000-000047530000}"/>
    <cellStyle name="Normal 4 5 2 2 2 3" xfId="16813" xr:uid="{00000000-0005-0000-0000-000048530000}"/>
    <cellStyle name="Normal 4 5 2 2 2 3 2" xfId="33444" xr:uid="{00000000-0005-0000-0000-000049530000}"/>
    <cellStyle name="Normal 4 5 2 2 2 4" xfId="16814" xr:uid="{00000000-0005-0000-0000-00004A530000}"/>
    <cellStyle name="Normal 4 5 2 2 2 4 2" xfId="33445" xr:uid="{00000000-0005-0000-0000-00004B530000}"/>
    <cellStyle name="Normal 4 5 2 2 2 5" xfId="16815" xr:uid="{00000000-0005-0000-0000-00004C530000}"/>
    <cellStyle name="Normal 4 5 2 2 2 5 2" xfId="33446" xr:uid="{00000000-0005-0000-0000-00004D530000}"/>
    <cellStyle name="Normal 4 5 2 2 2 6" xfId="33442" xr:uid="{00000000-0005-0000-0000-00004E530000}"/>
    <cellStyle name="Normal 4 5 2 2 3" xfId="16816" xr:uid="{00000000-0005-0000-0000-00004F530000}"/>
    <cellStyle name="Normal 4 5 2 2 3 2" xfId="16817" xr:uid="{00000000-0005-0000-0000-000050530000}"/>
    <cellStyle name="Normal 4 5 2 2 3 2 2" xfId="33448" xr:uid="{00000000-0005-0000-0000-000051530000}"/>
    <cellStyle name="Normal 4 5 2 2 3 3" xfId="16818" xr:uid="{00000000-0005-0000-0000-000052530000}"/>
    <cellStyle name="Normal 4 5 2 2 3 3 2" xfId="33449" xr:uid="{00000000-0005-0000-0000-000053530000}"/>
    <cellStyle name="Normal 4 5 2 2 3 4" xfId="16819" xr:uid="{00000000-0005-0000-0000-000054530000}"/>
    <cellStyle name="Normal 4 5 2 2 3 4 2" xfId="33450" xr:uid="{00000000-0005-0000-0000-000055530000}"/>
    <cellStyle name="Normal 4 5 2 2 3 5" xfId="16820" xr:uid="{00000000-0005-0000-0000-000056530000}"/>
    <cellStyle name="Normal 4 5 2 2 3 5 2" xfId="33451" xr:uid="{00000000-0005-0000-0000-000057530000}"/>
    <cellStyle name="Normal 4 5 2 2 3 6" xfId="33447" xr:uid="{00000000-0005-0000-0000-000058530000}"/>
    <cellStyle name="Normal 4 5 2 2 4" xfId="16821" xr:uid="{00000000-0005-0000-0000-000059530000}"/>
    <cellStyle name="Normal 4 5 2 2 4 2" xfId="16822" xr:uid="{00000000-0005-0000-0000-00005A530000}"/>
    <cellStyle name="Normal 4 5 2 2 4 2 2" xfId="33453" xr:uid="{00000000-0005-0000-0000-00005B530000}"/>
    <cellStyle name="Normal 4 5 2 2 4 3" xfId="16823" xr:uid="{00000000-0005-0000-0000-00005C530000}"/>
    <cellStyle name="Normal 4 5 2 2 4 3 2" xfId="33454" xr:uid="{00000000-0005-0000-0000-00005D530000}"/>
    <cellStyle name="Normal 4 5 2 2 4 4" xfId="16824" xr:uid="{00000000-0005-0000-0000-00005E530000}"/>
    <cellStyle name="Normal 4 5 2 2 4 4 2" xfId="33455" xr:uid="{00000000-0005-0000-0000-00005F530000}"/>
    <cellStyle name="Normal 4 5 2 2 4 5" xfId="16825" xr:uid="{00000000-0005-0000-0000-000060530000}"/>
    <cellStyle name="Normal 4 5 2 2 4 5 2" xfId="33456" xr:uid="{00000000-0005-0000-0000-000061530000}"/>
    <cellStyle name="Normal 4 5 2 2 4 6" xfId="33452" xr:uid="{00000000-0005-0000-0000-000062530000}"/>
    <cellStyle name="Normal 4 5 2 2 5" xfId="16826" xr:uid="{00000000-0005-0000-0000-000063530000}"/>
    <cellStyle name="Normal 4 5 2 2 5 2" xfId="16827" xr:uid="{00000000-0005-0000-0000-000064530000}"/>
    <cellStyle name="Normal 4 5 2 2 5 2 2" xfId="33458" xr:uid="{00000000-0005-0000-0000-000065530000}"/>
    <cellStyle name="Normal 4 5 2 2 5 3" xfId="16828" xr:uid="{00000000-0005-0000-0000-000066530000}"/>
    <cellStyle name="Normal 4 5 2 2 5 3 2" xfId="33459" xr:uid="{00000000-0005-0000-0000-000067530000}"/>
    <cellStyle name="Normal 4 5 2 2 5 4" xfId="16829" xr:uid="{00000000-0005-0000-0000-000068530000}"/>
    <cellStyle name="Normal 4 5 2 2 5 4 2" xfId="33460" xr:uid="{00000000-0005-0000-0000-000069530000}"/>
    <cellStyle name="Normal 4 5 2 2 5 5" xfId="16830" xr:uid="{00000000-0005-0000-0000-00006A530000}"/>
    <cellStyle name="Normal 4 5 2 2 5 5 2" xfId="33461" xr:uid="{00000000-0005-0000-0000-00006B530000}"/>
    <cellStyle name="Normal 4 5 2 2 5 6" xfId="33457" xr:uid="{00000000-0005-0000-0000-00006C530000}"/>
    <cellStyle name="Normal 4 5 2 2 6" xfId="16831" xr:uid="{00000000-0005-0000-0000-00006D530000}"/>
    <cellStyle name="Normal 4 5 2 2 6 2" xfId="16832" xr:uid="{00000000-0005-0000-0000-00006E530000}"/>
    <cellStyle name="Normal 4 5 2 2 6 2 2" xfId="33463" xr:uid="{00000000-0005-0000-0000-00006F530000}"/>
    <cellStyle name="Normal 4 5 2 2 6 3" xfId="16833" xr:uid="{00000000-0005-0000-0000-000070530000}"/>
    <cellStyle name="Normal 4 5 2 2 6 3 2" xfId="33464" xr:uid="{00000000-0005-0000-0000-000071530000}"/>
    <cellStyle name="Normal 4 5 2 2 6 4" xfId="16834" xr:uid="{00000000-0005-0000-0000-000072530000}"/>
    <cellStyle name="Normal 4 5 2 2 6 4 2" xfId="33465" xr:uid="{00000000-0005-0000-0000-000073530000}"/>
    <cellStyle name="Normal 4 5 2 2 6 5" xfId="16835" xr:uid="{00000000-0005-0000-0000-000074530000}"/>
    <cellStyle name="Normal 4 5 2 2 6 5 2" xfId="33466" xr:uid="{00000000-0005-0000-0000-000075530000}"/>
    <cellStyle name="Normal 4 5 2 2 6 6" xfId="33462" xr:uid="{00000000-0005-0000-0000-000076530000}"/>
    <cellStyle name="Normal 4 5 2 2 7" xfId="16836" xr:uid="{00000000-0005-0000-0000-000077530000}"/>
    <cellStyle name="Normal 4 5 2 2 7 2" xfId="16837" xr:uid="{00000000-0005-0000-0000-000078530000}"/>
    <cellStyle name="Normal 4 5 2 2 7 2 2" xfId="33468" xr:uid="{00000000-0005-0000-0000-000079530000}"/>
    <cellStyle name="Normal 4 5 2 2 7 3" xfId="16838" xr:uid="{00000000-0005-0000-0000-00007A530000}"/>
    <cellStyle name="Normal 4 5 2 2 7 3 2" xfId="33469" xr:uid="{00000000-0005-0000-0000-00007B530000}"/>
    <cellStyle name="Normal 4 5 2 2 7 4" xfId="16839" xr:uid="{00000000-0005-0000-0000-00007C530000}"/>
    <cellStyle name="Normal 4 5 2 2 7 4 2" xfId="33470" xr:uid="{00000000-0005-0000-0000-00007D530000}"/>
    <cellStyle name="Normal 4 5 2 2 7 5" xfId="16840" xr:uid="{00000000-0005-0000-0000-00007E530000}"/>
    <cellStyle name="Normal 4 5 2 2 7 5 2" xfId="33471" xr:uid="{00000000-0005-0000-0000-00007F530000}"/>
    <cellStyle name="Normal 4 5 2 2 7 6" xfId="33467" xr:uid="{00000000-0005-0000-0000-000080530000}"/>
    <cellStyle name="Normal 4 5 2 2 8" xfId="16841" xr:uid="{00000000-0005-0000-0000-000081530000}"/>
    <cellStyle name="Normal 4 5 2 2 8 2" xfId="33472" xr:uid="{00000000-0005-0000-0000-000082530000}"/>
    <cellStyle name="Normal 4 5 2 2 9" xfId="16842" xr:uid="{00000000-0005-0000-0000-000083530000}"/>
    <cellStyle name="Normal 4 5 2 2 9 2" xfId="33473" xr:uid="{00000000-0005-0000-0000-000084530000}"/>
    <cellStyle name="Normal 4 5 2 20" xfId="16843" xr:uid="{00000000-0005-0000-0000-000085530000}"/>
    <cellStyle name="Normal 4 5 2 20 2" xfId="33474" xr:uid="{00000000-0005-0000-0000-000086530000}"/>
    <cellStyle name="Normal 4 5 2 21" xfId="40711" xr:uid="{00000000-0005-0000-0000-000087530000}"/>
    <cellStyle name="Normal 4 5 2 22" xfId="33400" xr:uid="{00000000-0005-0000-0000-000088530000}"/>
    <cellStyle name="Normal 4 5 2 3" xfId="16844" xr:uid="{00000000-0005-0000-0000-000089530000}"/>
    <cellStyle name="Normal 4 5 2 3 2" xfId="16845" xr:uid="{00000000-0005-0000-0000-00008A530000}"/>
    <cellStyle name="Normal 4 5 2 3 2 2" xfId="16846" xr:uid="{00000000-0005-0000-0000-00008B530000}"/>
    <cellStyle name="Normal 4 5 2 3 2 2 2" xfId="33477" xr:uid="{00000000-0005-0000-0000-00008C530000}"/>
    <cellStyle name="Normal 4 5 2 3 2 3" xfId="16847" xr:uid="{00000000-0005-0000-0000-00008D530000}"/>
    <cellStyle name="Normal 4 5 2 3 2 3 2" xfId="33478" xr:uid="{00000000-0005-0000-0000-00008E530000}"/>
    <cellStyle name="Normal 4 5 2 3 2 4" xfId="16848" xr:uid="{00000000-0005-0000-0000-00008F530000}"/>
    <cellStyle name="Normal 4 5 2 3 2 4 2" xfId="33479" xr:uid="{00000000-0005-0000-0000-000090530000}"/>
    <cellStyle name="Normal 4 5 2 3 2 5" xfId="16849" xr:uid="{00000000-0005-0000-0000-000091530000}"/>
    <cellStyle name="Normal 4 5 2 3 2 5 2" xfId="33480" xr:uid="{00000000-0005-0000-0000-000092530000}"/>
    <cellStyle name="Normal 4 5 2 3 2 6" xfId="33476" xr:uid="{00000000-0005-0000-0000-000093530000}"/>
    <cellStyle name="Normal 4 5 2 3 3" xfId="16850" xr:uid="{00000000-0005-0000-0000-000094530000}"/>
    <cellStyle name="Normal 4 5 2 3 3 2" xfId="33481" xr:uid="{00000000-0005-0000-0000-000095530000}"/>
    <cellStyle name="Normal 4 5 2 3 4" xfId="16851" xr:uid="{00000000-0005-0000-0000-000096530000}"/>
    <cellStyle name="Normal 4 5 2 3 4 2" xfId="33482" xr:uid="{00000000-0005-0000-0000-000097530000}"/>
    <cellStyle name="Normal 4 5 2 3 5" xfId="16852" xr:uid="{00000000-0005-0000-0000-000098530000}"/>
    <cellStyle name="Normal 4 5 2 3 5 2" xfId="33483" xr:uid="{00000000-0005-0000-0000-000099530000}"/>
    <cellStyle name="Normal 4 5 2 3 6" xfId="16853" xr:uid="{00000000-0005-0000-0000-00009A530000}"/>
    <cellStyle name="Normal 4 5 2 3 6 2" xfId="33484" xr:uid="{00000000-0005-0000-0000-00009B530000}"/>
    <cellStyle name="Normal 4 5 2 3 7" xfId="33475" xr:uid="{00000000-0005-0000-0000-00009C530000}"/>
    <cellStyle name="Normal 4 5 2 4" xfId="16854" xr:uid="{00000000-0005-0000-0000-00009D530000}"/>
    <cellStyle name="Normal 4 5 2 4 2" xfId="16855" xr:uid="{00000000-0005-0000-0000-00009E530000}"/>
    <cellStyle name="Normal 4 5 2 4 2 2" xfId="16856" xr:uid="{00000000-0005-0000-0000-00009F530000}"/>
    <cellStyle name="Normal 4 5 2 4 2 2 2" xfId="33487" xr:uid="{00000000-0005-0000-0000-0000A0530000}"/>
    <cellStyle name="Normal 4 5 2 4 2 3" xfId="16857" xr:uid="{00000000-0005-0000-0000-0000A1530000}"/>
    <cellStyle name="Normal 4 5 2 4 2 3 2" xfId="33488" xr:uid="{00000000-0005-0000-0000-0000A2530000}"/>
    <cellStyle name="Normal 4 5 2 4 2 4" xfId="16858" xr:uid="{00000000-0005-0000-0000-0000A3530000}"/>
    <cellStyle name="Normal 4 5 2 4 2 4 2" xfId="33489" xr:uid="{00000000-0005-0000-0000-0000A4530000}"/>
    <cellStyle name="Normal 4 5 2 4 2 5" xfId="16859" xr:uid="{00000000-0005-0000-0000-0000A5530000}"/>
    <cellStyle name="Normal 4 5 2 4 2 5 2" xfId="33490" xr:uid="{00000000-0005-0000-0000-0000A6530000}"/>
    <cellStyle name="Normal 4 5 2 4 2 6" xfId="33486" xr:uid="{00000000-0005-0000-0000-0000A7530000}"/>
    <cellStyle name="Normal 4 5 2 4 3" xfId="16860" xr:uid="{00000000-0005-0000-0000-0000A8530000}"/>
    <cellStyle name="Normal 4 5 2 4 3 2" xfId="33491" xr:uid="{00000000-0005-0000-0000-0000A9530000}"/>
    <cellStyle name="Normal 4 5 2 4 4" xfId="16861" xr:uid="{00000000-0005-0000-0000-0000AA530000}"/>
    <cellStyle name="Normal 4 5 2 4 4 2" xfId="33492" xr:uid="{00000000-0005-0000-0000-0000AB530000}"/>
    <cellStyle name="Normal 4 5 2 4 5" xfId="16862" xr:uid="{00000000-0005-0000-0000-0000AC530000}"/>
    <cellStyle name="Normal 4 5 2 4 5 2" xfId="33493" xr:uid="{00000000-0005-0000-0000-0000AD530000}"/>
    <cellStyle name="Normal 4 5 2 4 6" xfId="16863" xr:uid="{00000000-0005-0000-0000-0000AE530000}"/>
    <cellStyle name="Normal 4 5 2 4 6 2" xfId="33494" xr:uid="{00000000-0005-0000-0000-0000AF530000}"/>
    <cellStyle name="Normal 4 5 2 4 7" xfId="33485" xr:uid="{00000000-0005-0000-0000-0000B0530000}"/>
    <cellStyle name="Normal 4 5 2 5" xfId="16864" xr:uid="{00000000-0005-0000-0000-0000B1530000}"/>
    <cellStyle name="Normal 4 5 2 5 2" xfId="16865" xr:uid="{00000000-0005-0000-0000-0000B2530000}"/>
    <cellStyle name="Normal 4 5 2 5 2 2" xfId="33496" xr:uid="{00000000-0005-0000-0000-0000B3530000}"/>
    <cellStyle name="Normal 4 5 2 5 3" xfId="16866" xr:uid="{00000000-0005-0000-0000-0000B4530000}"/>
    <cellStyle name="Normal 4 5 2 5 3 2" xfId="33497" xr:uid="{00000000-0005-0000-0000-0000B5530000}"/>
    <cellStyle name="Normal 4 5 2 5 4" xfId="16867" xr:uid="{00000000-0005-0000-0000-0000B6530000}"/>
    <cellStyle name="Normal 4 5 2 5 4 2" xfId="33498" xr:uid="{00000000-0005-0000-0000-0000B7530000}"/>
    <cellStyle name="Normal 4 5 2 5 5" xfId="16868" xr:uid="{00000000-0005-0000-0000-0000B8530000}"/>
    <cellStyle name="Normal 4 5 2 5 5 2" xfId="33499" xr:uid="{00000000-0005-0000-0000-0000B9530000}"/>
    <cellStyle name="Normal 4 5 2 5 6" xfId="33495" xr:uid="{00000000-0005-0000-0000-0000BA530000}"/>
    <cellStyle name="Normal 4 5 2 6" xfId="16869" xr:uid="{00000000-0005-0000-0000-0000BB530000}"/>
    <cellStyle name="Normal 4 5 2 6 2" xfId="16870" xr:uid="{00000000-0005-0000-0000-0000BC530000}"/>
    <cellStyle name="Normal 4 5 2 6 2 2" xfId="33501" xr:uid="{00000000-0005-0000-0000-0000BD530000}"/>
    <cellStyle name="Normal 4 5 2 6 3" xfId="16871" xr:uid="{00000000-0005-0000-0000-0000BE530000}"/>
    <cellStyle name="Normal 4 5 2 6 3 2" xfId="33502" xr:uid="{00000000-0005-0000-0000-0000BF530000}"/>
    <cellStyle name="Normal 4 5 2 6 4" xfId="16872" xr:uid="{00000000-0005-0000-0000-0000C0530000}"/>
    <cellStyle name="Normal 4 5 2 6 4 2" xfId="33503" xr:uid="{00000000-0005-0000-0000-0000C1530000}"/>
    <cellStyle name="Normal 4 5 2 6 5" xfId="16873" xr:uid="{00000000-0005-0000-0000-0000C2530000}"/>
    <cellStyle name="Normal 4 5 2 6 5 2" xfId="33504" xr:uid="{00000000-0005-0000-0000-0000C3530000}"/>
    <cellStyle name="Normal 4 5 2 6 6" xfId="33500" xr:uid="{00000000-0005-0000-0000-0000C4530000}"/>
    <cellStyle name="Normal 4 5 2 7" xfId="16874" xr:uid="{00000000-0005-0000-0000-0000C5530000}"/>
    <cellStyle name="Normal 4 5 2 7 2" xfId="16875" xr:uid="{00000000-0005-0000-0000-0000C6530000}"/>
    <cellStyle name="Normal 4 5 2 7 2 2" xfId="33506" xr:uid="{00000000-0005-0000-0000-0000C7530000}"/>
    <cellStyle name="Normal 4 5 2 7 3" xfId="16876" xr:uid="{00000000-0005-0000-0000-0000C8530000}"/>
    <cellStyle name="Normal 4 5 2 7 3 2" xfId="33507" xr:uid="{00000000-0005-0000-0000-0000C9530000}"/>
    <cellStyle name="Normal 4 5 2 7 4" xfId="16877" xr:uid="{00000000-0005-0000-0000-0000CA530000}"/>
    <cellStyle name="Normal 4 5 2 7 4 2" xfId="33508" xr:uid="{00000000-0005-0000-0000-0000CB530000}"/>
    <cellStyle name="Normal 4 5 2 7 5" xfId="16878" xr:uid="{00000000-0005-0000-0000-0000CC530000}"/>
    <cellStyle name="Normal 4 5 2 7 5 2" xfId="33509" xr:uid="{00000000-0005-0000-0000-0000CD530000}"/>
    <cellStyle name="Normal 4 5 2 7 6" xfId="33505" xr:uid="{00000000-0005-0000-0000-0000CE530000}"/>
    <cellStyle name="Normal 4 5 2 8" xfId="16879" xr:uid="{00000000-0005-0000-0000-0000CF530000}"/>
    <cellStyle name="Normal 4 5 2 8 2" xfId="16880" xr:uid="{00000000-0005-0000-0000-0000D0530000}"/>
    <cellStyle name="Normal 4 5 2 8 2 2" xfId="33511" xr:uid="{00000000-0005-0000-0000-0000D1530000}"/>
    <cellStyle name="Normal 4 5 2 8 3" xfId="16881" xr:uid="{00000000-0005-0000-0000-0000D2530000}"/>
    <cellStyle name="Normal 4 5 2 8 3 2" xfId="33512" xr:uid="{00000000-0005-0000-0000-0000D3530000}"/>
    <cellStyle name="Normal 4 5 2 8 4" xfId="16882" xr:uid="{00000000-0005-0000-0000-0000D4530000}"/>
    <cellStyle name="Normal 4 5 2 8 4 2" xfId="33513" xr:uid="{00000000-0005-0000-0000-0000D5530000}"/>
    <cellStyle name="Normal 4 5 2 8 5" xfId="16883" xr:uid="{00000000-0005-0000-0000-0000D6530000}"/>
    <cellStyle name="Normal 4 5 2 8 5 2" xfId="33514" xr:uid="{00000000-0005-0000-0000-0000D7530000}"/>
    <cellStyle name="Normal 4 5 2 8 6" xfId="33510" xr:uid="{00000000-0005-0000-0000-0000D8530000}"/>
    <cellStyle name="Normal 4 5 2 9" xfId="16884" xr:uid="{00000000-0005-0000-0000-0000D9530000}"/>
    <cellStyle name="Normal 4 5 2 9 2" xfId="16885" xr:uid="{00000000-0005-0000-0000-0000DA530000}"/>
    <cellStyle name="Normal 4 5 2 9 2 2" xfId="33516" xr:uid="{00000000-0005-0000-0000-0000DB530000}"/>
    <cellStyle name="Normal 4 5 2 9 3" xfId="16886" xr:uid="{00000000-0005-0000-0000-0000DC530000}"/>
    <cellStyle name="Normal 4 5 2 9 3 2" xfId="33517" xr:uid="{00000000-0005-0000-0000-0000DD530000}"/>
    <cellStyle name="Normal 4 5 2 9 4" xfId="16887" xr:uid="{00000000-0005-0000-0000-0000DE530000}"/>
    <cellStyle name="Normal 4 5 2 9 4 2" xfId="33518" xr:uid="{00000000-0005-0000-0000-0000DF530000}"/>
    <cellStyle name="Normal 4 5 2 9 5" xfId="16888" xr:uid="{00000000-0005-0000-0000-0000E0530000}"/>
    <cellStyle name="Normal 4 5 2 9 5 2" xfId="33519" xr:uid="{00000000-0005-0000-0000-0000E1530000}"/>
    <cellStyle name="Normal 4 5 2 9 6" xfId="33515" xr:uid="{00000000-0005-0000-0000-0000E2530000}"/>
    <cellStyle name="Normal 4 5 20" xfId="16889" xr:uid="{00000000-0005-0000-0000-0000E3530000}"/>
    <cellStyle name="Normal 4 5 20 2" xfId="16890" xr:uid="{00000000-0005-0000-0000-0000E4530000}"/>
    <cellStyle name="Normal 4 5 20 2 2" xfId="33521" xr:uid="{00000000-0005-0000-0000-0000E5530000}"/>
    <cellStyle name="Normal 4 5 20 3" xfId="16891" xr:uid="{00000000-0005-0000-0000-0000E6530000}"/>
    <cellStyle name="Normal 4 5 20 3 2" xfId="33522" xr:uid="{00000000-0005-0000-0000-0000E7530000}"/>
    <cellStyle name="Normal 4 5 20 4" xfId="16892" xr:uid="{00000000-0005-0000-0000-0000E8530000}"/>
    <cellStyle name="Normal 4 5 20 4 2" xfId="33523" xr:uid="{00000000-0005-0000-0000-0000E9530000}"/>
    <cellStyle name="Normal 4 5 20 5" xfId="16893" xr:uid="{00000000-0005-0000-0000-0000EA530000}"/>
    <cellStyle name="Normal 4 5 20 5 2" xfId="33524" xr:uid="{00000000-0005-0000-0000-0000EB530000}"/>
    <cellStyle name="Normal 4 5 20 6" xfId="33520" xr:uid="{00000000-0005-0000-0000-0000EC530000}"/>
    <cellStyle name="Normal 4 5 21" xfId="16894" xr:uid="{00000000-0005-0000-0000-0000ED530000}"/>
    <cellStyle name="Normal 4 5 21 2" xfId="16895" xr:uid="{00000000-0005-0000-0000-0000EE530000}"/>
    <cellStyle name="Normal 4 5 21 2 2" xfId="33526" xr:uid="{00000000-0005-0000-0000-0000EF530000}"/>
    <cellStyle name="Normal 4 5 21 3" xfId="16896" xr:uid="{00000000-0005-0000-0000-0000F0530000}"/>
    <cellStyle name="Normal 4 5 21 3 2" xfId="33527" xr:uid="{00000000-0005-0000-0000-0000F1530000}"/>
    <cellStyle name="Normal 4 5 21 4" xfId="16897" xr:uid="{00000000-0005-0000-0000-0000F2530000}"/>
    <cellStyle name="Normal 4 5 21 4 2" xfId="33528" xr:uid="{00000000-0005-0000-0000-0000F3530000}"/>
    <cellStyle name="Normal 4 5 21 5" xfId="16898" xr:uid="{00000000-0005-0000-0000-0000F4530000}"/>
    <cellStyle name="Normal 4 5 21 5 2" xfId="33529" xr:uid="{00000000-0005-0000-0000-0000F5530000}"/>
    <cellStyle name="Normal 4 5 21 6" xfId="33525" xr:uid="{00000000-0005-0000-0000-0000F6530000}"/>
    <cellStyle name="Normal 4 5 22" xfId="16899" xr:uid="{00000000-0005-0000-0000-0000F7530000}"/>
    <cellStyle name="Normal 4 5 22 2" xfId="16900" xr:uid="{00000000-0005-0000-0000-0000F8530000}"/>
    <cellStyle name="Normal 4 5 22 2 2" xfId="33531" xr:uid="{00000000-0005-0000-0000-0000F9530000}"/>
    <cellStyle name="Normal 4 5 22 3" xfId="16901" xr:uid="{00000000-0005-0000-0000-0000FA530000}"/>
    <cellStyle name="Normal 4 5 22 3 2" xfId="33532" xr:uid="{00000000-0005-0000-0000-0000FB530000}"/>
    <cellStyle name="Normal 4 5 22 4" xfId="16902" xr:uid="{00000000-0005-0000-0000-0000FC530000}"/>
    <cellStyle name="Normal 4 5 22 4 2" xfId="33533" xr:uid="{00000000-0005-0000-0000-0000FD530000}"/>
    <cellStyle name="Normal 4 5 22 5" xfId="16903" xr:uid="{00000000-0005-0000-0000-0000FE530000}"/>
    <cellStyle name="Normal 4 5 22 5 2" xfId="33534" xr:uid="{00000000-0005-0000-0000-0000FF530000}"/>
    <cellStyle name="Normal 4 5 22 6" xfId="33530" xr:uid="{00000000-0005-0000-0000-000000540000}"/>
    <cellStyle name="Normal 4 5 23" xfId="16904" xr:uid="{00000000-0005-0000-0000-000001540000}"/>
    <cellStyle name="Normal 4 5 23 2" xfId="16905" xr:uid="{00000000-0005-0000-0000-000002540000}"/>
    <cellStyle name="Normal 4 5 23 2 2" xfId="33536" xr:uid="{00000000-0005-0000-0000-000003540000}"/>
    <cellStyle name="Normal 4 5 23 3" xfId="16906" xr:uid="{00000000-0005-0000-0000-000004540000}"/>
    <cellStyle name="Normal 4 5 23 3 2" xfId="33537" xr:uid="{00000000-0005-0000-0000-000005540000}"/>
    <cellStyle name="Normal 4 5 23 4" xfId="16907" xr:uid="{00000000-0005-0000-0000-000006540000}"/>
    <cellStyle name="Normal 4 5 23 4 2" xfId="33538" xr:uid="{00000000-0005-0000-0000-000007540000}"/>
    <cellStyle name="Normal 4 5 23 5" xfId="16908" xr:uid="{00000000-0005-0000-0000-000008540000}"/>
    <cellStyle name="Normal 4 5 23 5 2" xfId="33539" xr:uid="{00000000-0005-0000-0000-000009540000}"/>
    <cellStyle name="Normal 4 5 23 6" xfId="33535" xr:uid="{00000000-0005-0000-0000-00000A540000}"/>
    <cellStyle name="Normal 4 5 24" xfId="16909" xr:uid="{00000000-0005-0000-0000-00000B540000}"/>
    <cellStyle name="Normal 4 5 24 2" xfId="33540" xr:uid="{00000000-0005-0000-0000-00000C540000}"/>
    <cellStyle name="Normal 4 5 25" xfId="16910" xr:uid="{00000000-0005-0000-0000-00000D540000}"/>
    <cellStyle name="Normal 4 5 25 2" xfId="33541" xr:uid="{00000000-0005-0000-0000-00000E540000}"/>
    <cellStyle name="Normal 4 5 26" xfId="16911" xr:uid="{00000000-0005-0000-0000-00000F540000}"/>
    <cellStyle name="Normal 4 5 26 2" xfId="33542" xr:uid="{00000000-0005-0000-0000-000010540000}"/>
    <cellStyle name="Normal 4 5 27" xfId="16912" xr:uid="{00000000-0005-0000-0000-000011540000}"/>
    <cellStyle name="Normal 4 5 27 2" xfId="33543" xr:uid="{00000000-0005-0000-0000-000012540000}"/>
    <cellStyle name="Normal 4 5 28" xfId="16913" xr:uid="{00000000-0005-0000-0000-000013540000}"/>
    <cellStyle name="Normal 4 5 28 2" xfId="33544" xr:uid="{00000000-0005-0000-0000-000014540000}"/>
    <cellStyle name="Normal 4 5 29" xfId="40710" xr:uid="{00000000-0005-0000-0000-000015540000}"/>
    <cellStyle name="Normal 4 5 3" xfId="16914" xr:uid="{00000000-0005-0000-0000-000016540000}"/>
    <cellStyle name="Normal 4 5 3 10" xfId="16915" xr:uid="{00000000-0005-0000-0000-000017540000}"/>
    <cellStyle name="Normal 4 5 3 10 2" xfId="16916" xr:uid="{00000000-0005-0000-0000-000018540000}"/>
    <cellStyle name="Normal 4 5 3 10 2 2" xfId="33547" xr:uid="{00000000-0005-0000-0000-000019540000}"/>
    <cellStyle name="Normal 4 5 3 10 3" xfId="16917" xr:uid="{00000000-0005-0000-0000-00001A540000}"/>
    <cellStyle name="Normal 4 5 3 10 3 2" xfId="33548" xr:uid="{00000000-0005-0000-0000-00001B540000}"/>
    <cellStyle name="Normal 4 5 3 10 4" xfId="16918" xr:uid="{00000000-0005-0000-0000-00001C540000}"/>
    <cellStyle name="Normal 4 5 3 10 4 2" xfId="33549" xr:uid="{00000000-0005-0000-0000-00001D540000}"/>
    <cellStyle name="Normal 4 5 3 10 5" xfId="16919" xr:uid="{00000000-0005-0000-0000-00001E540000}"/>
    <cellStyle name="Normal 4 5 3 10 5 2" xfId="33550" xr:uid="{00000000-0005-0000-0000-00001F540000}"/>
    <cellStyle name="Normal 4 5 3 10 6" xfId="33546" xr:uid="{00000000-0005-0000-0000-000020540000}"/>
    <cellStyle name="Normal 4 5 3 11" xfId="16920" xr:uid="{00000000-0005-0000-0000-000021540000}"/>
    <cellStyle name="Normal 4 5 3 11 2" xfId="16921" xr:uid="{00000000-0005-0000-0000-000022540000}"/>
    <cellStyle name="Normal 4 5 3 11 2 2" xfId="33552" xr:uid="{00000000-0005-0000-0000-000023540000}"/>
    <cellStyle name="Normal 4 5 3 11 3" xfId="16922" xr:uid="{00000000-0005-0000-0000-000024540000}"/>
    <cellStyle name="Normal 4 5 3 11 3 2" xfId="33553" xr:uid="{00000000-0005-0000-0000-000025540000}"/>
    <cellStyle name="Normal 4 5 3 11 4" xfId="16923" xr:uid="{00000000-0005-0000-0000-000026540000}"/>
    <cellStyle name="Normal 4 5 3 11 4 2" xfId="33554" xr:uid="{00000000-0005-0000-0000-000027540000}"/>
    <cellStyle name="Normal 4 5 3 11 5" xfId="16924" xr:uid="{00000000-0005-0000-0000-000028540000}"/>
    <cellStyle name="Normal 4 5 3 11 5 2" xfId="33555" xr:uid="{00000000-0005-0000-0000-000029540000}"/>
    <cellStyle name="Normal 4 5 3 11 6" xfId="33551" xr:uid="{00000000-0005-0000-0000-00002A540000}"/>
    <cellStyle name="Normal 4 5 3 12" xfId="16925" xr:uid="{00000000-0005-0000-0000-00002B540000}"/>
    <cellStyle name="Normal 4 5 3 12 2" xfId="16926" xr:uid="{00000000-0005-0000-0000-00002C540000}"/>
    <cellStyle name="Normal 4 5 3 12 2 2" xfId="33557" xr:uid="{00000000-0005-0000-0000-00002D540000}"/>
    <cellStyle name="Normal 4 5 3 12 3" xfId="16927" xr:uid="{00000000-0005-0000-0000-00002E540000}"/>
    <cellStyle name="Normal 4 5 3 12 3 2" xfId="33558" xr:uid="{00000000-0005-0000-0000-00002F540000}"/>
    <cellStyle name="Normal 4 5 3 12 4" xfId="16928" xr:uid="{00000000-0005-0000-0000-000030540000}"/>
    <cellStyle name="Normal 4 5 3 12 4 2" xfId="33559" xr:uid="{00000000-0005-0000-0000-000031540000}"/>
    <cellStyle name="Normal 4 5 3 12 5" xfId="16929" xr:uid="{00000000-0005-0000-0000-000032540000}"/>
    <cellStyle name="Normal 4 5 3 12 5 2" xfId="33560" xr:uid="{00000000-0005-0000-0000-000033540000}"/>
    <cellStyle name="Normal 4 5 3 12 6" xfId="33556" xr:uid="{00000000-0005-0000-0000-000034540000}"/>
    <cellStyle name="Normal 4 5 3 13" xfId="16930" xr:uid="{00000000-0005-0000-0000-000035540000}"/>
    <cellStyle name="Normal 4 5 3 13 2" xfId="16931" xr:uid="{00000000-0005-0000-0000-000036540000}"/>
    <cellStyle name="Normal 4 5 3 13 2 2" xfId="33562" xr:uid="{00000000-0005-0000-0000-000037540000}"/>
    <cellStyle name="Normal 4 5 3 13 3" xfId="16932" xr:uid="{00000000-0005-0000-0000-000038540000}"/>
    <cellStyle name="Normal 4 5 3 13 3 2" xfId="33563" xr:uid="{00000000-0005-0000-0000-000039540000}"/>
    <cellStyle name="Normal 4 5 3 13 4" xfId="16933" xr:uid="{00000000-0005-0000-0000-00003A540000}"/>
    <cellStyle name="Normal 4 5 3 13 4 2" xfId="33564" xr:uid="{00000000-0005-0000-0000-00003B540000}"/>
    <cellStyle name="Normal 4 5 3 13 5" xfId="16934" xr:uid="{00000000-0005-0000-0000-00003C540000}"/>
    <cellStyle name="Normal 4 5 3 13 5 2" xfId="33565" xr:uid="{00000000-0005-0000-0000-00003D540000}"/>
    <cellStyle name="Normal 4 5 3 13 6" xfId="33561" xr:uid="{00000000-0005-0000-0000-00003E540000}"/>
    <cellStyle name="Normal 4 5 3 14" xfId="16935" xr:uid="{00000000-0005-0000-0000-00003F540000}"/>
    <cellStyle name="Normal 4 5 3 14 2" xfId="16936" xr:uid="{00000000-0005-0000-0000-000040540000}"/>
    <cellStyle name="Normal 4 5 3 14 2 2" xfId="33567" xr:uid="{00000000-0005-0000-0000-000041540000}"/>
    <cellStyle name="Normal 4 5 3 14 3" xfId="16937" xr:uid="{00000000-0005-0000-0000-000042540000}"/>
    <cellStyle name="Normal 4 5 3 14 3 2" xfId="33568" xr:uid="{00000000-0005-0000-0000-000043540000}"/>
    <cellStyle name="Normal 4 5 3 14 4" xfId="16938" xr:uid="{00000000-0005-0000-0000-000044540000}"/>
    <cellStyle name="Normal 4 5 3 14 4 2" xfId="33569" xr:uid="{00000000-0005-0000-0000-000045540000}"/>
    <cellStyle name="Normal 4 5 3 14 5" xfId="16939" xr:uid="{00000000-0005-0000-0000-000046540000}"/>
    <cellStyle name="Normal 4 5 3 14 5 2" xfId="33570" xr:uid="{00000000-0005-0000-0000-000047540000}"/>
    <cellStyle name="Normal 4 5 3 14 6" xfId="33566" xr:uid="{00000000-0005-0000-0000-000048540000}"/>
    <cellStyle name="Normal 4 5 3 15" xfId="16940" xr:uid="{00000000-0005-0000-0000-000049540000}"/>
    <cellStyle name="Normal 4 5 3 15 2" xfId="16941" xr:uid="{00000000-0005-0000-0000-00004A540000}"/>
    <cellStyle name="Normal 4 5 3 15 2 2" xfId="33572" xr:uid="{00000000-0005-0000-0000-00004B540000}"/>
    <cellStyle name="Normal 4 5 3 15 3" xfId="16942" xr:uid="{00000000-0005-0000-0000-00004C540000}"/>
    <cellStyle name="Normal 4 5 3 15 3 2" xfId="33573" xr:uid="{00000000-0005-0000-0000-00004D540000}"/>
    <cellStyle name="Normal 4 5 3 15 4" xfId="16943" xr:uid="{00000000-0005-0000-0000-00004E540000}"/>
    <cellStyle name="Normal 4 5 3 15 4 2" xfId="33574" xr:uid="{00000000-0005-0000-0000-00004F540000}"/>
    <cellStyle name="Normal 4 5 3 15 5" xfId="16944" xr:uid="{00000000-0005-0000-0000-000050540000}"/>
    <cellStyle name="Normal 4 5 3 15 5 2" xfId="33575" xr:uid="{00000000-0005-0000-0000-000051540000}"/>
    <cellStyle name="Normal 4 5 3 15 6" xfId="33571" xr:uid="{00000000-0005-0000-0000-000052540000}"/>
    <cellStyle name="Normal 4 5 3 16" xfId="16945" xr:uid="{00000000-0005-0000-0000-000053540000}"/>
    <cellStyle name="Normal 4 5 3 16 2" xfId="16946" xr:uid="{00000000-0005-0000-0000-000054540000}"/>
    <cellStyle name="Normal 4 5 3 16 2 2" xfId="33577" xr:uid="{00000000-0005-0000-0000-000055540000}"/>
    <cellStyle name="Normal 4 5 3 16 3" xfId="16947" xr:uid="{00000000-0005-0000-0000-000056540000}"/>
    <cellStyle name="Normal 4 5 3 16 3 2" xfId="33578" xr:uid="{00000000-0005-0000-0000-000057540000}"/>
    <cellStyle name="Normal 4 5 3 16 4" xfId="16948" xr:uid="{00000000-0005-0000-0000-000058540000}"/>
    <cellStyle name="Normal 4 5 3 16 4 2" xfId="33579" xr:uid="{00000000-0005-0000-0000-000059540000}"/>
    <cellStyle name="Normal 4 5 3 16 5" xfId="16949" xr:uid="{00000000-0005-0000-0000-00005A540000}"/>
    <cellStyle name="Normal 4 5 3 16 5 2" xfId="33580" xr:uid="{00000000-0005-0000-0000-00005B540000}"/>
    <cellStyle name="Normal 4 5 3 16 6" xfId="33576" xr:uid="{00000000-0005-0000-0000-00005C540000}"/>
    <cellStyle name="Normal 4 5 3 17" xfId="16950" xr:uid="{00000000-0005-0000-0000-00005D540000}"/>
    <cellStyle name="Normal 4 5 3 17 2" xfId="33581" xr:uid="{00000000-0005-0000-0000-00005E540000}"/>
    <cellStyle name="Normal 4 5 3 18" xfId="16951" xr:uid="{00000000-0005-0000-0000-00005F540000}"/>
    <cellStyle name="Normal 4 5 3 18 2" xfId="33582" xr:uid="{00000000-0005-0000-0000-000060540000}"/>
    <cellStyle name="Normal 4 5 3 19" xfId="16952" xr:uid="{00000000-0005-0000-0000-000061540000}"/>
    <cellStyle name="Normal 4 5 3 19 2" xfId="33583" xr:uid="{00000000-0005-0000-0000-000062540000}"/>
    <cellStyle name="Normal 4 5 3 2" xfId="16953" xr:uid="{00000000-0005-0000-0000-000063540000}"/>
    <cellStyle name="Normal 4 5 3 2 10" xfId="16954" xr:uid="{00000000-0005-0000-0000-000064540000}"/>
    <cellStyle name="Normal 4 5 3 2 10 2" xfId="33585" xr:uid="{00000000-0005-0000-0000-000065540000}"/>
    <cellStyle name="Normal 4 5 3 2 11" xfId="16955" xr:uid="{00000000-0005-0000-0000-000066540000}"/>
    <cellStyle name="Normal 4 5 3 2 11 2" xfId="33586" xr:uid="{00000000-0005-0000-0000-000067540000}"/>
    <cellStyle name="Normal 4 5 3 2 12" xfId="33584" xr:uid="{00000000-0005-0000-0000-000068540000}"/>
    <cellStyle name="Normal 4 5 3 2 2" xfId="16956" xr:uid="{00000000-0005-0000-0000-000069540000}"/>
    <cellStyle name="Normal 4 5 3 2 2 2" xfId="16957" xr:uid="{00000000-0005-0000-0000-00006A540000}"/>
    <cellStyle name="Normal 4 5 3 2 2 2 2" xfId="33588" xr:uid="{00000000-0005-0000-0000-00006B540000}"/>
    <cellStyle name="Normal 4 5 3 2 2 3" xfId="16958" xr:uid="{00000000-0005-0000-0000-00006C540000}"/>
    <cellStyle name="Normal 4 5 3 2 2 3 2" xfId="33589" xr:uid="{00000000-0005-0000-0000-00006D540000}"/>
    <cellStyle name="Normal 4 5 3 2 2 4" xfId="16959" xr:uid="{00000000-0005-0000-0000-00006E540000}"/>
    <cellStyle name="Normal 4 5 3 2 2 4 2" xfId="33590" xr:uid="{00000000-0005-0000-0000-00006F540000}"/>
    <cellStyle name="Normal 4 5 3 2 2 5" xfId="16960" xr:uid="{00000000-0005-0000-0000-000070540000}"/>
    <cellStyle name="Normal 4 5 3 2 2 5 2" xfId="33591" xr:uid="{00000000-0005-0000-0000-000071540000}"/>
    <cellStyle name="Normal 4 5 3 2 2 6" xfId="33587" xr:uid="{00000000-0005-0000-0000-000072540000}"/>
    <cellStyle name="Normal 4 5 3 2 3" xfId="16961" xr:uid="{00000000-0005-0000-0000-000073540000}"/>
    <cellStyle name="Normal 4 5 3 2 3 2" xfId="16962" xr:uid="{00000000-0005-0000-0000-000074540000}"/>
    <cellStyle name="Normal 4 5 3 2 3 2 2" xfId="33593" xr:uid="{00000000-0005-0000-0000-000075540000}"/>
    <cellStyle name="Normal 4 5 3 2 3 3" xfId="16963" xr:uid="{00000000-0005-0000-0000-000076540000}"/>
    <cellStyle name="Normal 4 5 3 2 3 3 2" xfId="33594" xr:uid="{00000000-0005-0000-0000-000077540000}"/>
    <cellStyle name="Normal 4 5 3 2 3 4" xfId="16964" xr:uid="{00000000-0005-0000-0000-000078540000}"/>
    <cellStyle name="Normal 4 5 3 2 3 4 2" xfId="33595" xr:uid="{00000000-0005-0000-0000-000079540000}"/>
    <cellStyle name="Normal 4 5 3 2 3 5" xfId="16965" xr:uid="{00000000-0005-0000-0000-00007A540000}"/>
    <cellStyle name="Normal 4 5 3 2 3 5 2" xfId="33596" xr:uid="{00000000-0005-0000-0000-00007B540000}"/>
    <cellStyle name="Normal 4 5 3 2 3 6" xfId="33592" xr:uid="{00000000-0005-0000-0000-00007C540000}"/>
    <cellStyle name="Normal 4 5 3 2 4" xfId="16966" xr:uid="{00000000-0005-0000-0000-00007D540000}"/>
    <cellStyle name="Normal 4 5 3 2 4 2" xfId="16967" xr:uid="{00000000-0005-0000-0000-00007E540000}"/>
    <cellStyle name="Normal 4 5 3 2 4 2 2" xfId="33598" xr:uid="{00000000-0005-0000-0000-00007F540000}"/>
    <cellStyle name="Normal 4 5 3 2 4 3" xfId="16968" xr:uid="{00000000-0005-0000-0000-000080540000}"/>
    <cellStyle name="Normal 4 5 3 2 4 3 2" xfId="33599" xr:uid="{00000000-0005-0000-0000-000081540000}"/>
    <cellStyle name="Normal 4 5 3 2 4 4" xfId="16969" xr:uid="{00000000-0005-0000-0000-000082540000}"/>
    <cellStyle name="Normal 4 5 3 2 4 4 2" xfId="33600" xr:uid="{00000000-0005-0000-0000-000083540000}"/>
    <cellStyle name="Normal 4 5 3 2 4 5" xfId="16970" xr:uid="{00000000-0005-0000-0000-000084540000}"/>
    <cellStyle name="Normal 4 5 3 2 4 5 2" xfId="33601" xr:uid="{00000000-0005-0000-0000-000085540000}"/>
    <cellStyle name="Normal 4 5 3 2 4 6" xfId="33597" xr:uid="{00000000-0005-0000-0000-000086540000}"/>
    <cellStyle name="Normal 4 5 3 2 5" xfId="16971" xr:uid="{00000000-0005-0000-0000-000087540000}"/>
    <cellStyle name="Normal 4 5 3 2 5 2" xfId="16972" xr:uid="{00000000-0005-0000-0000-000088540000}"/>
    <cellStyle name="Normal 4 5 3 2 5 2 2" xfId="33603" xr:uid="{00000000-0005-0000-0000-000089540000}"/>
    <cellStyle name="Normal 4 5 3 2 5 3" xfId="16973" xr:uid="{00000000-0005-0000-0000-00008A540000}"/>
    <cellStyle name="Normal 4 5 3 2 5 3 2" xfId="33604" xr:uid="{00000000-0005-0000-0000-00008B540000}"/>
    <cellStyle name="Normal 4 5 3 2 5 4" xfId="16974" xr:uid="{00000000-0005-0000-0000-00008C540000}"/>
    <cellStyle name="Normal 4 5 3 2 5 4 2" xfId="33605" xr:uid="{00000000-0005-0000-0000-00008D540000}"/>
    <cellStyle name="Normal 4 5 3 2 5 5" xfId="16975" xr:uid="{00000000-0005-0000-0000-00008E540000}"/>
    <cellStyle name="Normal 4 5 3 2 5 5 2" xfId="33606" xr:uid="{00000000-0005-0000-0000-00008F540000}"/>
    <cellStyle name="Normal 4 5 3 2 5 6" xfId="33602" xr:uid="{00000000-0005-0000-0000-000090540000}"/>
    <cellStyle name="Normal 4 5 3 2 6" xfId="16976" xr:uid="{00000000-0005-0000-0000-000091540000}"/>
    <cellStyle name="Normal 4 5 3 2 6 2" xfId="16977" xr:uid="{00000000-0005-0000-0000-000092540000}"/>
    <cellStyle name="Normal 4 5 3 2 6 2 2" xfId="33608" xr:uid="{00000000-0005-0000-0000-000093540000}"/>
    <cellStyle name="Normal 4 5 3 2 6 3" xfId="16978" xr:uid="{00000000-0005-0000-0000-000094540000}"/>
    <cellStyle name="Normal 4 5 3 2 6 3 2" xfId="33609" xr:uid="{00000000-0005-0000-0000-000095540000}"/>
    <cellStyle name="Normal 4 5 3 2 6 4" xfId="16979" xr:uid="{00000000-0005-0000-0000-000096540000}"/>
    <cellStyle name="Normal 4 5 3 2 6 4 2" xfId="33610" xr:uid="{00000000-0005-0000-0000-000097540000}"/>
    <cellStyle name="Normal 4 5 3 2 6 5" xfId="16980" xr:uid="{00000000-0005-0000-0000-000098540000}"/>
    <cellStyle name="Normal 4 5 3 2 6 5 2" xfId="33611" xr:uid="{00000000-0005-0000-0000-000099540000}"/>
    <cellStyle name="Normal 4 5 3 2 6 6" xfId="33607" xr:uid="{00000000-0005-0000-0000-00009A540000}"/>
    <cellStyle name="Normal 4 5 3 2 7" xfId="16981" xr:uid="{00000000-0005-0000-0000-00009B540000}"/>
    <cellStyle name="Normal 4 5 3 2 7 2" xfId="16982" xr:uid="{00000000-0005-0000-0000-00009C540000}"/>
    <cellStyle name="Normal 4 5 3 2 7 2 2" xfId="33613" xr:uid="{00000000-0005-0000-0000-00009D540000}"/>
    <cellStyle name="Normal 4 5 3 2 7 3" xfId="16983" xr:uid="{00000000-0005-0000-0000-00009E540000}"/>
    <cellStyle name="Normal 4 5 3 2 7 3 2" xfId="33614" xr:uid="{00000000-0005-0000-0000-00009F540000}"/>
    <cellStyle name="Normal 4 5 3 2 7 4" xfId="16984" xr:uid="{00000000-0005-0000-0000-0000A0540000}"/>
    <cellStyle name="Normal 4 5 3 2 7 4 2" xfId="33615" xr:uid="{00000000-0005-0000-0000-0000A1540000}"/>
    <cellStyle name="Normal 4 5 3 2 7 5" xfId="16985" xr:uid="{00000000-0005-0000-0000-0000A2540000}"/>
    <cellStyle name="Normal 4 5 3 2 7 5 2" xfId="33616" xr:uid="{00000000-0005-0000-0000-0000A3540000}"/>
    <cellStyle name="Normal 4 5 3 2 7 6" xfId="33612" xr:uid="{00000000-0005-0000-0000-0000A4540000}"/>
    <cellStyle name="Normal 4 5 3 2 8" xfId="16986" xr:uid="{00000000-0005-0000-0000-0000A5540000}"/>
    <cellStyle name="Normal 4 5 3 2 8 2" xfId="33617" xr:uid="{00000000-0005-0000-0000-0000A6540000}"/>
    <cellStyle name="Normal 4 5 3 2 9" xfId="16987" xr:uid="{00000000-0005-0000-0000-0000A7540000}"/>
    <cellStyle name="Normal 4 5 3 2 9 2" xfId="33618" xr:uid="{00000000-0005-0000-0000-0000A8540000}"/>
    <cellStyle name="Normal 4 5 3 20" xfId="16988" xr:uid="{00000000-0005-0000-0000-0000A9540000}"/>
    <cellStyle name="Normal 4 5 3 20 2" xfId="33619" xr:uid="{00000000-0005-0000-0000-0000AA540000}"/>
    <cellStyle name="Normal 4 5 3 21" xfId="40712" xr:uid="{00000000-0005-0000-0000-0000AB540000}"/>
    <cellStyle name="Normal 4 5 3 22" xfId="33545" xr:uid="{00000000-0005-0000-0000-0000AC540000}"/>
    <cellStyle name="Normal 4 5 3 3" xfId="16989" xr:uid="{00000000-0005-0000-0000-0000AD540000}"/>
    <cellStyle name="Normal 4 5 3 3 2" xfId="16990" xr:uid="{00000000-0005-0000-0000-0000AE540000}"/>
    <cellStyle name="Normal 4 5 3 3 2 2" xfId="16991" xr:uid="{00000000-0005-0000-0000-0000AF540000}"/>
    <cellStyle name="Normal 4 5 3 3 2 2 2" xfId="33622" xr:uid="{00000000-0005-0000-0000-0000B0540000}"/>
    <cellStyle name="Normal 4 5 3 3 2 3" xfId="16992" xr:uid="{00000000-0005-0000-0000-0000B1540000}"/>
    <cellStyle name="Normal 4 5 3 3 2 3 2" xfId="33623" xr:uid="{00000000-0005-0000-0000-0000B2540000}"/>
    <cellStyle name="Normal 4 5 3 3 2 4" xfId="16993" xr:uid="{00000000-0005-0000-0000-0000B3540000}"/>
    <cellStyle name="Normal 4 5 3 3 2 4 2" xfId="33624" xr:uid="{00000000-0005-0000-0000-0000B4540000}"/>
    <cellStyle name="Normal 4 5 3 3 2 5" xfId="16994" xr:uid="{00000000-0005-0000-0000-0000B5540000}"/>
    <cellStyle name="Normal 4 5 3 3 2 5 2" xfId="33625" xr:uid="{00000000-0005-0000-0000-0000B6540000}"/>
    <cellStyle name="Normal 4 5 3 3 2 6" xfId="33621" xr:uid="{00000000-0005-0000-0000-0000B7540000}"/>
    <cellStyle name="Normal 4 5 3 3 3" xfId="16995" xr:uid="{00000000-0005-0000-0000-0000B8540000}"/>
    <cellStyle name="Normal 4 5 3 3 3 2" xfId="33626" xr:uid="{00000000-0005-0000-0000-0000B9540000}"/>
    <cellStyle name="Normal 4 5 3 3 4" xfId="16996" xr:uid="{00000000-0005-0000-0000-0000BA540000}"/>
    <cellStyle name="Normal 4 5 3 3 4 2" xfId="33627" xr:uid="{00000000-0005-0000-0000-0000BB540000}"/>
    <cellStyle name="Normal 4 5 3 3 5" xfId="16997" xr:uid="{00000000-0005-0000-0000-0000BC540000}"/>
    <cellStyle name="Normal 4 5 3 3 5 2" xfId="33628" xr:uid="{00000000-0005-0000-0000-0000BD540000}"/>
    <cellStyle name="Normal 4 5 3 3 6" xfId="16998" xr:uid="{00000000-0005-0000-0000-0000BE540000}"/>
    <cellStyle name="Normal 4 5 3 3 6 2" xfId="33629" xr:uid="{00000000-0005-0000-0000-0000BF540000}"/>
    <cellStyle name="Normal 4 5 3 3 7" xfId="33620" xr:uid="{00000000-0005-0000-0000-0000C0540000}"/>
    <cellStyle name="Normal 4 5 3 4" xfId="16999" xr:uid="{00000000-0005-0000-0000-0000C1540000}"/>
    <cellStyle name="Normal 4 5 3 4 2" xfId="17000" xr:uid="{00000000-0005-0000-0000-0000C2540000}"/>
    <cellStyle name="Normal 4 5 3 4 2 2" xfId="17001" xr:uid="{00000000-0005-0000-0000-0000C3540000}"/>
    <cellStyle name="Normal 4 5 3 4 2 2 2" xfId="33632" xr:uid="{00000000-0005-0000-0000-0000C4540000}"/>
    <cellStyle name="Normal 4 5 3 4 2 3" xfId="17002" xr:uid="{00000000-0005-0000-0000-0000C5540000}"/>
    <cellStyle name="Normal 4 5 3 4 2 3 2" xfId="33633" xr:uid="{00000000-0005-0000-0000-0000C6540000}"/>
    <cellStyle name="Normal 4 5 3 4 2 4" xfId="17003" xr:uid="{00000000-0005-0000-0000-0000C7540000}"/>
    <cellStyle name="Normal 4 5 3 4 2 4 2" xfId="33634" xr:uid="{00000000-0005-0000-0000-0000C8540000}"/>
    <cellStyle name="Normal 4 5 3 4 2 5" xfId="17004" xr:uid="{00000000-0005-0000-0000-0000C9540000}"/>
    <cellStyle name="Normal 4 5 3 4 2 5 2" xfId="33635" xr:uid="{00000000-0005-0000-0000-0000CA540000}"/>
    <cellStyle name="Normal 4 5 3 4 2 6" xfId="33631" xr:uid="{00000000-0005-0000-0000-0000CB540000}"/>
    <cellStyle name="Normal 4 5 3 4 3" xfId="17005" xr:uid="{00000000-0005-0000-0000-0000CC540000}"/>
    <cellStyle name="Normal 4 5 3 4 3 2" xfId="33636" xr:uid="{00000000-0005-0000-0000-0000CD540000}"/>
    <cellStyle name="Normal 4 5 3 4 4" xfId="17006" xr:uid="{00000000-0005-0000-0000-0000CE540000}"/>
    <cellStyle name="Normal 4 5 3 4 4 2" xfId="33637" xr:uid="{00000000-0005-0000-0000-0000CF540000}"/>
    <cellStyle name="Normal 4 5 3 4 5" xfId="17007" xr:uid="{00000000-0005-0000-0000-0000D0540000}"/>
    <cellStyle name="Normal 4 5 3 4 5 2" xfId="33638" xr:uid="{00000000-0005-0000-0000-0000D1540000}"/>
    <cellStyle name="Normal 4 5 3 4 6" xfId="17008" xr:uid="{00000000-0005-0000-0000-0000D2540000}"/>
    <cellStyle name="Normal 4 5 3 4 6 2" xfId="33639" xr:uid="{00000000-0005-0000-0000-0000D3540000}"/>
    <cellStyle name="Normal 4 5 3 4 7" xfId="33630" xr:uid="{00000000-0005-0000-0000-0000D4540000}"/>
    <cellStyle name="Normal 4 5 3 5" xfId="17009" xr:uid="{00000000-0005-0000-0000-0000D5540000}"/>
    <cellStyle name="Normal 4 5 3 5 2" xfId="17010" xr:uid="{00000000-0005-0000-0000-0000D6540000}"/>
    <cellStyle name="Normal 4 5 3 5 2 2" xfId="33641" xr:uid="{00000000-0005-0000-0000-0000D7540000}"/>
    <cellStyle name="Normal 4 5 3 5 3" xfId="17011" xr:uid="{00000000-0005-0000-0000-0000D8540000}"/>
    <cellStyle name="Normal 4 5 3 5 3 2" xfId="33642" xr:uid="{00000000-0005-0000-0000-0000D9540000}"/>
    <cellStyle name="Normal 4 5 3 5 4" xfId="17012" xr:uid="{00000000-0005-0000-0000-0000DA540000}"/>
    <cellStyle name="Normal 4 5 3 5 4 2" xfId="33643" xr:uid="{00000000-0005-0000-0000-0000DB540000}"/>
    <cellStyle name="Normal 4 5 3 5 5" xfId="17013" xr:uid="{00000000-0005-0000-0000-0000DC540000}"/>
    <cellStyle name="Normal 4 5 3 5 5 2" xfId="33644" xr:uid="{00000000-0005-0000-0000-0000DD540000}"/>
    <cellStyle name="Normal 4 5 3 5 6" xfId="33640" xr:uid="{00000000-0005-0000-0000-0000DE540000}"/>
    <cellStyle name="Normal 4 5 3 6" xfId="17014" xr:uid="{00000000-0005-0000-0000-0000DF540000}"/>
    <cellStyle name="Normal 4 5 3 6 2" xfId="17015" xr:uid="{00000000-0005-0000-0000-0000E0540000}"/>
    <cellStyle name="Normal 4 5 3 6 2 2" xfId="33646" xr:uid="{00000000-0005-0000-0000-0000E1540000}"/>
    <cellStyle name="Normal 4 5 3 6 3" xfId="17016" xr:uid="{00000000-0005-0000-0000-0000E2540000}"/>
    <cellStyle name="Normal 4 5 3 6 3 2" xfId="33647" xr:uid="{00000000-0005-0000-0000-0000E3540000}"/>
    <cellStyle name="Normal 4 5 3 6 4" xfId="17017" xr:uid="{00000000-0005-0000-0000-0000E4540000}"/>
    <cellStyle name="Normal 4 5 3 6 4 2" xfId="33648" xr:uid="{00000000-0005-0000-0000-0000E5540000}"/>
    <cellStyle name="Normal 4 5 3 6 5" xfId="17018" xr:uid="{00000000-0005-0000-0000-0000E6540000}"/>
    <cellStyle name="Normal 4 5 3 6 5 2" xfId="33649" xr:uid="{00000000-0005-0000-0000-0000E7540000}"/>
    <cellStyle name="Normal 4 5 3 6 6" xfId="33645" xr:uid="{00000000-0005-0000-0000-0000E8540000}"/>
    <cellStyle name="Normal 4 5 3 7" xfId="17019" xr:uid="{00000000-0005-0000-0000-0000E9540000}"/>
    <cellStyle name="Normal 4 5 3 7 2" xfId="17020" xr:uid="{00000000-0005-0000-0000-0000EA540000}"/>
    <cellStyle name="Normal 4 5 3 7 2 2" xfId="33651" xr:uid="{00000000-0005-0000-0000-0000EB540000}"/>
    <cellStyle name="Normal 4 5 3 7 3" xfId="17021" xr:uid="{00000000-0005-0000-0000-0000EC540000}"/>
    <cellStyle name="Normal 4 5 3 7 3 2" xfId="33652" xr:uid="{00000000-0005-0000-0000-0000ED540000}"/>
    <cellStyle name="Normal 4 5 3 7 4" xfId="17022" xr:uid="{00000000-0005-0000-0000-0000EE540000}"/>
    <cellStyle name="Normal 4 5 3 7 4 2" xfId="33653" xr:uid="{00000000-0005-0000-0000-0000EF540000}"/>
    <cellStyle name="Normal 4 5 3 7 5" xfId="17023" xr:uid="{00000000-0005-0000-0000-0000F0540000}"/>
    <cellStyle name="Normal 4 5 3 7 5 2" xfId="33654" xr:uid="{00000000-0005-0000-0000-0000F1540000}"/>
    <cellStyle name="Normal 4 5 3 7 6" xfId="33650" xr:uid="{00000000-0005-0000-0000-0000F2540000}"/>
    <cellStyle name="Normal 4 5 3 8" xfId="17024" xr:uid="{00000000-0005-0000-0000-0000F3540000}"/>
    <cellStyle name="Normal 4 5 3 8 2" xfId="17025" xr:uid="{00000000-0005-0000-0000-0000F4540000}"/>
    <cellStyle name="Normal 4 5 3 8 2 2" xfId="33656" xr:uid="{00000000-0005-0000-0000-0000F5540000}"/>
    <cellStyle name="Normal 4 5 3 8 3" xfId="17026" xr:uid="{00000000-0005-0000-0000-0000F6540000}"/>
    <cellStyle name="Normal 4 5 3 8 3 2" xfId="33657" xr:uid="{00000000-0005-0000-0000-0000F7540000}"/>
    <cellStyle name="Normal 4 5 3 8 4" xfId="17027" xr:uid="{00000000-0005-0000-0000-0000F8540000}"/>
    <cellStyle name="Normal 4 5 3 8 4 2" xfId="33658" xr:uid="{00000000-0005-0000-0000-0000F9540000}"/>
    <cellStyle name="Normal 4 5 3 8 5" xfId="17028" xr:uid="{00000000-0005-0000-0000-0000FA540000}"/>
    <cellStyle name="Normal 4 5 3 8 5 2" xfId="33659" xr:uid="{00000000-0005-0000-0000-0000FB540000}"/>
    <cellStyle name="Normal 4 5 3 8 6" xfId="33655" xr:uid="{00000000-0005-0000-0000-0000FC540000}"/>
    <cellStyle name="Normal 4 5 3 9" xfId="17029" xr:uid="{00000000-0005-0000-0000-0000FD540000}"/>
    <cellStyle name="Normal 4 5 3 9 2" xfId="17030" xr:uid="{00000000-0005-0000-0000-0000FE540000}"/>
    <cellStyle name="Normal 4 5 3 9 2 2" xfId="33661" xr:uid="{00000000-0005-0000-0000-0000FF540000}"/>
    <cellStyle name="Normal 4 5 3 9 3" xfId="17031" xr:uid="{00000000-0005-0000-0000-000000550000}"/>
    <cellStyle name="Normal 4 5 3 9 3 2" xfId="33662" xr:uid="{00000000-0005-0000-0000-000001550000}"/>
    <cellStyle name="Normal 4 5 3 9 4" xfId="17032" xr:uid="{00000000-0005-0000-0000-000002550000}"/>
    <cellStyle name="Normal 4 5 3 9 4 2" xfId="33663" xr:uid="{00000000-0005-0000-0000-000003550000}"/>
    <cellStyle name="Normal 4 5 3 9 5" xfId="17033" xr:uid="{00000000-0005-0000-0000-000004550000}"/>
    <cellStyle name="Normal 4 5 3 9 5 2" xfId="33664" xr:uid="{00000000-0005-0000-0000-000005550000}"/>
    <cellStyle name="Normal 4 5 3 9 6" xfId="33660" xr:uid="{00000000-0005-0000-0000-000006550000}"/>
    <cellStyle name="Normal 4 5 4" xfId="17034" xr:uid="{00000000-0005-0000-0000-000007550000}"/>
    <cellStyle name="Normal 4 5 4 10" xfId="17035" xr:uid="{00000000-0005-0000-0000-000008550000}"/>
    <cellStyle name="Normal 4 5 4 10 2" xfId="17036" xr:uid="{00000000-0005-0000-0000-000009550000}"/>
    <cellStyle name="Normal 4 5 4 10 2 2" xfId="33667" xr:uid="{00000000-0005-0000-0000-00000A550000}"/>
    <cellStyle name="Normal 4 5 4 10 3" xfId="17037" xr:uid="{00000000-0005-0000-0000-00000B550000}"/>
    <cellStyle name="Normal 4 5 4 10 3 2" xfId="33668" xr:uid="{00000000-0005-0000-0000-00000C550000}"/>
    <cellStyle name="Normal 4 5 4 10 4" xfId="17038" xr:uid="{00000000-0005-0000-0000-00000D550000}"/>
    <cellStyle name="Normal 4 5 4 10 4 2" xfId="33669" xr:uid="{00000000-0005-0000-0000-00000E550000}"/>
    <cellStyle name="Normal 4 5 4 10 5" xfId="17039" xr:uid="{00000000-0005-0000-0000-00000F550000}"/>
    <cellStyle name="Normal 4 5 4 10 5 2" xfId="33670" xr:uid="{00000000-0005-0000-0000-000010550000}"/>
    <cellStyle name="Normal 4 5 4 10 6" xfId="33666" xr:uid="{00000000-0005-0000-0000-000011550000}"/>
    <cellStyle name="Normal 4 5 4 11" xfId="17040" xr:uid="{00000000-0005-0000-0000-000012550000}"/>
    <cellStyle name="Normal 4 5 4 11 2" xfId="17041" xr:uid="{00000000-0005-0000-0000-000013550000}"/>
    <cellStyle name="Normal 4 5 4 11 2 2" xfId="33672" xr:uid="{00000000-0005-0000-0000-000014550000}"/>
    <cellStyle name="Normal 4 5 4 11 3" xfId="17042" xr:uid="{00000000-0005-0000-0000-000015550000}"/>
    <cellStyle name="Normal 4 5 4 11 3 2" xfId="33673" xr:uid="{00000000-0005-0000-0000-000016550000}"/>
    <cellStyle name="Normal 4 5 4 11 4" xfId="17043" xr:uid="{00000000-0005-0000-0000-000017550000}"/>
    <cellStyle name="Normal 4 5 4 11 4 2" xfId="33674" xr:uid="{00000000-0005-0000-0000-000018550000}"/>
    <cellStyle name="Normal 4 5 4 11 5" xfId="17044" xr:uid="{00000000-0005-0000-0000-000019550000}"/>
    <cellStyle name="Normal 4 5 4 11 5 2" xfId="33675" xr:uid="{00000000-0005-0000-0000-00001A550000}"/>
    <cellStyle name="Normal 4 5 4 11 6" xfId="33671" xr:uid="{00000000-0005-0000-0000-00001B550000}"/>
    <cellStyle name="Normal 4 5 4 12" xfId="17045" xr:uid="{00000000-0005-0000-0000-00001C550000}"/>
    <cellStyle name="Normal 4 5 4 12 2" xfId="17046" xr:uid="{00000000-0005-0000-0000-00001D550000}"/>
    <cellStyle name="Normal 4 5 4 12 2 2" xfId="33677" xr:uid="{00000000-0005-0000-0000-00001E550000}"/>
    <cellStyle name="Normal 4 5 4 12 3" xfId="17047" xr:uid="{00000000-0005-0000-0000-00001F550000}"/>
    <cellStyle name="Normal 4 5 4 12 3 2" xfId="33678" xr:uid="{00000000-0005-0000-0000-000020550000}"/>
    <cellStyle name="Normal 4 5 4 12 4" xfId="17048" xr:uid="{00000000-0005-0000-0000-000021550000}"/>
    <cellStyle name="Normal 4 5 4 12 4 2" xfId="33679" xr:uid="{00000000-0005-0000-0000-000022550000}"/>
    <cellStyle name="Normal 4 5 4 12 5" xfId="17049" xr:uid="{00000000-0005-0000-0000-000023550000}"/>
    <cellStyle name="Normal 4 5 4 12 5 2" xfId="33680" xr:uid="{00000000-0005-0000-0000-000024550000}"/>
    <cellStyle name="Normal 4 5 4 12 6" xfId="33676" xr:uid="{00000000-0005-0000-0000-000025550000}"/>
    <cellStyle name="Normal 4 5 4 13" xfId="17050" xr:uid="{00000000-0005-0000-0000-000026550000}"/>
    <cellStyle name="Normal 4 5 4 13 2" xfId="17051" xr:uid="{00000000-0005-0000-0000-000027550000}"/>
    <cellStyle name="Normal 4 5 4 13 2 2" xfId="33682" xr:uid="{00000000-0005-0000-0000-000028550000}"/>
    <cellStyle name="Normal 4 5 4 13 3" xfId="17052" xr:uid="{00000000-0005-0000-0000-000029550000}"/>
    <cellStyle name="Normal 4 5 4 13 3 2" xfId="33683" xr:uid="{00000000-0005-0000-0000-00002A550000}"/>
    <cellStyle name="Normal 4 5 4 13 4" xfId="17053" xr:uid="{00000000-0005-0000-0000-00002B550000}"/>
    <cellStyle name="Normal 4 5 4 13 4 2" xfId="33684" xr:uid="{00000000-0005-0000-0000-00002C550000}"/>
    <cellStyle name="Normal 4 5 4 13 5" xfId="17054" xr:uid="{00000000-0005-0000-0000-00002D550000}"/>
    <cellStyle name="Normal 4 5 4 13 5 2" xfId="33685" xr:uid="{00000000-0005-0000-0000-00002E550000}"/>
    <cellStyle name="Normal 4 5 4 13 6" xfId="33681" xr:uid="{00000000-0005-0000-0000-00002F550000}"/>
    <cellStyle name="Normal 4 5 4 14" xfId="17055" xr:uid="{00000000-0005-0000-0000-000030550000}"/>
    <cellStyle name="Normal 4 5 4 14 2" xfId="17056" xr:uid="{00000000-0005-0000-0000-000031550000}"/>
    <cellStyle name="Normal 4 5 4 14 2 2" xfId="33687" xr:uid="{00000000-0005-0000-0000-000032550000}"/>
    <cellStyle name="Normal 4 5 4 14 3" xfId="17057" xr:uid="{00000000-0005-0000-0000-000033550000}"/>
    <cellStyle name="Normal 4 5 4 14 3 2" xfId="33688" xr:uid="{00000000-0005-0000-0000-000034550000}"/>
    <cellStyle name="Normal 4 5 4 14 4" xfId="17058" xr:uid="{00000000-0005-0000-0000-000035550000}"/>
    <cellStyle name="Normal 4 5 4 14 4 2" xfId="33689" xr:uid="{00000000-0005-0000-0000-000036550000}"/>
    <cellStyle name="Normal 4 5 4 14 5" xfId="17059" xr:uid="{00000000-0005-0000-0000-000037550000}"/>
    <cellStyle name="Normal 4 5 4 14 5 2" xfId="33690" xr:uid="{00000000-0005-0000-0000-000038550000}"/>
    <cellStyle name="Normal 4 5 4 14 6" xfId="33686" xr:uid="{00000000-0005-0000-0000-000039550000}"/>
    <cellStyle name="Normal 4 5 4 15" xfId="17060" xr:uid="{00000000-0005-0000-0000-00003A550000}"/>
    <cellStyle name="Normal 4 5 4 15 2" xfId="17061" xr:uid="{00000000-0005-0000-0000-00003B550000}"/>
    <cellStyle name="Normal 4 5 4 15 2 2" xfId="33692" xr:uid="{00000000-0005-0000-0000-00003C550000}"/>
    <cellStyle name="Normal 4 5 4 15 3" xfId="17062" xr:uid="{00000000-0005-0000-0000-00003D550000}"/>
    <cellStyle name="Normal 4 5 4 15 3 2" xfId="33693" xr:uid="{00000000-0005-0000-0000-00003E550000}"/>
    <cellStyle name="Normal 4 5 4 15 4" xfId="17063" xr:uid="{00000000-0005-0000-0000-00003F550000}"/>
    <cellStyle name="Normal 4 5 4 15 4 2" xfId="33694" xr:uid="{00000000-0005-0000-0000-000040550000}"/>
    <cellStyle name="Normal 4 5 4 15 5" xfId="17064" xr:uid="{00000000-0005-0000-0000-000041550000}"/>
    <cellStyle name="Normal 4 5 4 15 5 2" xfId="33695" xr:uid="{00000000-0005-0000-0000-000042550000}"/>
    <cellStyle name="Normal 4 5 4 15 6" xfId="33691" xr:uid="{00000000-0005-0000-0000-000043550000}"/>
    <cellStyle name="Normal 4 5 4 16" xfId="17065" xr:uid="{00000000-0005-0000-0000-000044550000}"/>
    <cellStyle name="Normal 4 5 4 16 2" xfId="17066" xr:uid="{00000000-0005-0000-0000-000045550000}"/>
    <cellStyle name="Normal 4 5 4 16 2 2" xfId="33697" xr:uid="{00000000-0005-0000-0000-000046550000}"/>
    <cellStyle name="Normal 4 5 4 16 3" xfId="17067" xr:uid="{00000000-0005-0000-0000-000047550000}"/>
    <cellStyle name="Normal 4 5 4 16 3 2" xfId="33698" xr:uid="{00000000-0005-0000-0000-000048550000}"/>
    <cellStyle name="Normal 4 5 4 16 4" xfId="17068" xr:uid="{00000000-0005-0000-0000-000049550000}"/>
    <cellStyle name="Normal 4 5 4 16 4 2" xfId="33699" xr:uid="{00000000-0005-0000-0000-00004A550000}"/>
    <cellStyle name="Normal 4 5 4 16 5" xfId="17069" xr:uid="{00000000-0005-0000-0000-00004B550000}"/>
    <cellStyle name="Normal 4 5 4 16 5 2" xfId="33700" xr:uid="{00000000-0005-0000-0000-00004C550000}"/>
    <cellStyle name="Normal 4 5 4 16 6" xfId="33696" xr:uid="{00000000-0005-0000-0000-00004D550000}"/>
    <cellStyle name="Normal 4 5 4 17" xfId="17070" xr:uid="{00000000-0005-0000-0000-00004E550000}"/>
    <cellStyle name="Normal 4 5 4 17 2" xfId="33701" xr:uid="{00000000-0005-0000-0000-00004F550000}"/>
    <cellStyle name="Normal 4 5 4 18" xfId="17071" xr:uid="{00000000-0005-0000-0000-000050550000}"/>
    <cellStyle name="Normal 4 5 4 18 2" xfId="33702" xr:uid="{00000000-0005-0000-0000-000051550000}"/>
    <cellStyle name="Normal 4 5 4 19" xfId="17072" xr:uid="{00000000-0005-0000-0000-000052550000}"/>
    <cellStyle name="Normal 4 5 4 19 2" xfId="33703" xr:uid="{00000000-0005-0000-0000-000053550000}"/>
    <cellStyle name="Normal 4 5 4 2" xfId="17073" xr:uid="{00000000-0005-0000-0000-000054550000}"/>
    <cellStyle name="Normal 4 5 4 2 10" xfId="17074" xr:uid="{00000000-0005-0000-0000-000055550000}"/>
    <cellStyle name="Normal 4 5 4 2 10 2" xfId="33705" xr:uid="{00000000-0005-0000-0000-000056550000}"/>
    <cellStyle name="Normal 4 5 4 2 11" xfId="17075" xr:uid="{00000000-0005-0000-0000-000057550000}"/>
    <cellStyle name="Normal 4 5 4 2 11 2" xfId="33706" xr:uid="{00000000-0005-0000-0000-000058550000}"/>
    <cellStyle name="Normal 4 5 4 2 12" xfId="33704" xr:uid="{00000000-0005-0000-0000-000059550000}"/>
    <cellStyle name="Normal 4 5 4 2 2" xfId="17076" xr:uid="{00000000-0005-0000-0000-00005A550000}"/>
    <cellStyle name="Normal 4 5 4 2 2 2" xfId="17077" xr:uid="{00000000-0005-0000-0000-00005B550000}"/>
    <cellStyle name="Normal 4 5 4 2 2 2 2" xfId="33708" xr:uid="{00000000-0005-0000-0000-00005C550000}"/>
    <cellStyle name="Normal 4 5 4 2 2 3" xfId="17078" xr:uid="{00000000-0005-0000-0000-00005D550000}"/>
    <cellStyle name="Normal 4 5 4 2 2 3 2" xfId="33709" xr:uid="{00000000-0005-0000-0000-00005E550000}"/>
    <cellStyle name="Normal 4 5 4 2 2 4" xfId="17079" xr:uid="{00000000-0005-0000-0000-00005F550000}"/>
    <cellStyle name="Normal 4 5 4 2 2 4 2" xfId="33710" xr:uid="{00000000-0005-0000-0000-000060550000}"/>
    <cellStyle name="Normal 4 5 4 2 2 5" xfId="17080" xr:uid="{00000000-0005-0000-0000-000061550000}"/>
    <cellStyle name="Normal 4 5 4 2 2 5 2" xfId="33711" xr:uid="{00000000-0005-0000-0000-000062550000}"/>
    <cellStyle name="Normal 4 5 4 2 2 6" xfId="33707" xr:uid="{00000000-0005-0000-0000-000063550000}"/>
    <cellStyle name="Normal 4 5 4 2 3" xfId="17081" xr:uid="{00000000-0005-0000-0000-000064550000}"/>
    <cellStyle name="Normal 4 5 4 2 3 2" xfId="17082" xr:uid="{00000000-0005-0000-0000-000065550000}"/>
    <cellStyle name="Normal 4 5 4 2 3 2 2" xfId="33713" xr:uid="{00000000-0005-0000-0000-000066550000}"/>
    <cellStyle name="Normal 4 5 4 2 3 3" xfId="17083" xr:uid="{00000000-0005-0000-0000-000067550000}"/>
    <cellStyle name="Normal 4 5 4 2 3 3 2" xfId="33714" xr:uid="{00000000-0005-0000-0000-000068550000}"/>
    <cellStyle name="Normal 4 5 4 2 3 4" xfId="17084" xr:uid="{00000000-0005-0000-0000-000069550000}"/>
    <cellStyle name="Normal 4 5 4 2 3 4 2" xfId="33715" xr:uid="{00000000-0005-0000-0000-00006A550000}"/>
    <cellStyle name="Normal 4 5 4 2 3 5" xfId="17085" xr:uid="{00000000-0005-0000-0000-00006B550000}"/>
    <cellStyle name="Normal 4 5 4 2 3 5 2" xfId="33716" xr:uid="{00000000-0005-0000-0000-00006C550000}"/>
    <cellStyle name="Normal 4 5 4 2 3 6" xfId="33712" xr:uid="{00000000-0005-0000-0000-00006D550000}"/>
    <cellStyle name="Normal 4 5 4 2 4" xfId="17086" xr:uid="{00000000-0005-0000-0000-00006E550000}"/>
    <cellStyle name="Normal 4 5 4 2 4 2" xfId="17087" xr:uid="{00000000-0005-0000-0000-00006F550000}"/>
    <cellStyle name="Normal 4 5 4 2 4 2 2" xfId="33718" xr:uid="{00000000-0005-0000-0000-000070550000}"/>
    <cellStyle name="Normal 4 5 4 2 4 3" xfId="17088" xr:uid="{00000000-0005-0000-0000-000071550000}"/>
    <cellStyle name="Normal 4 5 4 2 4 3 2" xfId="33719" xr:uid="{00000000-0005-0000-0000-000072550000}"/>
    <cellStyle name="Normal 4 5 4 2 4 4" xfId="17089" xr:uid="{00000000-0005-0000-0000-000073550000}"/>
    <cellStyle name="Normal 4 5 4 2 4 4 2" xfId="33720" xr:uid="{00000000-0005-0000-0000-000074550000}"/>
    <cellStyle name="Normal 4 5 4 2 4 5" xfId="17090" xr:uid="{00000000-0005-0000-0000-000075550000}"/>
    <cellStyle name="Normal 4 5 4 2 4 5 2" xfId="33721" xr:uid="{00000000-0005-0000-0000-000076550000}"/>
    <cellStyle name="Normal 4 5 4 2 4 6" xfId="33717" xr:uid="{00000000-0005-0000-0000-000077550000}"/>
    <cellStyle name="Normal 4 5 4 2 5" xfId="17091" xr:uid="{00000000-0005-0000-0000-000078550000}"/>
    <cellStyle name="Normal 4 5 4 2 5 2" xfId="17092" xr:uid="{00000000-0005-0000-0000-000079550000}"/>
    <cellStyle name="Normal 4 5 4 2 5 2 2" xfId="33723" xr:uid="{00000000-0005-0000-0000-00007A550000}"/>
    <cellStyle name="Normal 4 5 4 2 5 3" xfId="17093" xr:uid="{00000000-0005-0000-0000-00007B550000}"/>
    <cellStyle name="Normal 4 5 4 2 5 3 2" xfId="33724" xr:uid="{00000000-0005-0000-0000-00007C550000}"/>
    <cellStyle name="Normal 4 5 4 2 5 4" xfId="17094" xr:uid="{00000000-0005-0000-0000-00007D550000}"/>
    <cellStyle name="Normal 4 5 4 2 5 4 2" xfId="33725" xr:uid="{00000000-0005-0000-0000-00007E550000}"/>
    <cellStyle name="Normal 4 5 4 2 5 5" xfId="17095" xr:uid="{00000000-0005-0000-0000-00007F550000}"/>
    <cellStyle name="Normal 4 5 4 2 5 5 2" xfId="33726" xr:uid="{00000000-0005-0000-0000-000080550000}"/>
    <cellStyle name="Normal 4 5 4 2 5 6" xfId="33722" xr:uid="{00000000-0005-0000-0000-000081550000}"/>
    <cellStyle name="Normal 4 5 4 2 6" xfId="17096" xr:uid="{00000000-0005-0000-0000-000082550000}"/>
    <cellStyle name="Normal 4 5 4 2 6 2" xfId="17097" xr:uid="{00000000-0005-0000-0000-000083550000}"/>
    <cellStyle name="Normal 4 5 4 2 6 2 2" xfId="33728" xr:uid="{00000000-0005-0000-0000-000084550000}"/>
    <cellStyle name="Normal 4 5 4 2 6 3" xfId="17098" xr:uid="{00000000-0005-0000-0000-000085550000}"/>
    <cellStyle name="Normal 4 5 4 2 6 3 2" xfId="33729" xr:uid="{00000000-0005-0000-0000-000086550000}"/>
    <cellStyle name="Normal 4 5 4 2 6 4" xfId="17099" xr:uid="{00000000-0005-0000-0000-000087550000}"/>
    <cellStyle name="Normal 4 5 4 2 6 4 2" xfId="33730" xr:uid="{00000000-0005-0000-0000-000088550000}"/>
    <cellStyle name="Normal 4 5 4 2 6 5" xfId="17100" xr:uid="{00000000-0005-0000-0000-000089550000}"/>
    <cellStyle name="Normal 4 5 4 2 6 5 2" xfId="33731" xr:uid="{00000000-0005-0000-0000-00008A550000}"/>
    <cellStyle name="Normal 4 5 4 2 6 6" xfId="33727" xr:uid="{00000000-0005-0000-0000-00008B550000}"/>
    <cellStyle name="Normal 4 5 4 2 7" xfId="17101" xr:uid="{00000000-0005-0000-0000-00008C550000}"/>
    <cellStyle name="Normal 4 5 4 2 7 2" xfId="17102" xr:uid="{00000000-0005-0000-0000-00008D550000}"/>
    <cellStyle name="Normal 4 5 4 2 7 2 2" xfId="33733" xr:uid="{00000000-0005-0000-0000-00008E550000}"/>
    <cellStyle name="Normal 4 5 4 2 7 3" xfId="17103" xr:uid="{00000000-0005-0000-0000-00008F550000}"/>
    <cellStyle name="Normal 4 5 4 2 7 3 2" xfId="33734" xr:uid="{00000000-0005-0000-0000-000090550000}"/>
    <cellStyle name="Normal 4 5 4 2 7 4" xfId="17104" xr:uid="{00000000-0005-0000-0000-000091550000}"/>
    <cellStyle name="Normal 4 5 4 2 7 4 2" xfId="33735" xr:uid="{00000000-0005-0000-0000-000092550000}"/>
    <cellStyle name="Normal 4 5 4 2 7 5" xfId="17105" xr:uid="{00000000-0005-0000-0000-000093550000}"/>
    <cellStyle name="Normal 4 5 4 2 7 5 2" xfId="33736" xr:uid="{00000000-0005-0000-0000-000094550000}"/>
    <cellStyle name="Normal 4 5 4 2 7 6" xfId="33732" xr:uid="{00000000-0005-0000-0000-000095550000}"/>
    <cellStyle name="Normal 4 5 4 2 8" xfId="17106" xr:uid="{00000000-0005-0000-0000-000096550000}"/>
    <cellStyle name="Normal 4 5 4 2 8 2" xfId="33737" xr:uid="{00000000-0005-0000-0000-000097550000}"/>
    <cellStyle name="Normal 4 5 4 2 9" xfId="17107" xr:uid="{00000000-0005-0000-0000-000098550000}"/>
    <cellStyle name="Normal 4 5 4 2 9 2" xfId="33738" xr:uid="{00000000-0005-0000-0000-000099550000}"/>
    <cellStyle name="Normal 4 5 4 20" xfId="17108" xr:uid="{00000000-0005-0000-0000-00009A550000}"/>
    <cellStyle name="Normal 4 5 4 20 2" xfId="33739" xr:uid="{00000000-0005-0000-0000-00009B550000}"/>
    <cellStyle name="Normal 4 5 4 21" xfId="40713" xr:uid="{00000000-0005-0000-0000-00009C550000}"/>
    <cellStyle name="Normal 4 5 4 22" xfId="33665" xr:uid="{00000000-0005-0000-0000-00009D550000}"/>
    <cellStyle name="Normal 4 5 4 3" xfId="17109" xr:uid="{00000000-0005-0000-0000-00009E550000}"/>
    <cellStyle name="Normal 4 5 4 3 2" xfId="17110" xr:uid="{00000000-0005-0000-0000-00009F550000}"/>
    <cellStyle name="Normal 4 5 4 3 2 2" xfId="17111" xr:uid="{00000000-0005-0000-0000-0000A0550000}"/>
    <cellStyle name="Normal 4 5 4 3 2 2 2" xfId="33742" xr:uid="{00000000-0005-0000-0000-0000A1550000}"/>
    <cellStyle name="Normal 4 5 4 3 2 3" xfId="17112" xr:uid="{00000000-0005-0000-0000-0000A2550000}"/>
    <cellStyle name="Normal 4 5 4 3 2 3 2" xfId="33743" xr:uid="{00000000-0005-0000-0000-0000A3550000}"/>
    <cellStyle name="Normal 4 5 4 3 2 4" xfId="17113" xr:uid="{00000000-0005-0000-0000-0000A4550000}"/>
    <cellStyle name="Normal 4 5 4 3 2 4 2" xfId="33744" xr:uid="{00000000-0005-0000-0000-0000A5550000}"/>
    <cellStyle name="Normal 4 5 4 3 2 5" xfId="17114" xr:uid="{00000000-0005-0000-0000-0000A6550000}"/>
    <cellStyle name="Normal 4 5 4 3 2 5 2" xfId="33745" xr:uid="{00000000-0005-0000-0000-0000A7550000}"/>
    <cellStyle name="Normal 4 5 4 3 2 6" xfId="33741" xr:uid="{00000000-0005-0000-0000-0000A8550000}"/>
    <cellStyle name="Normal 4 5 4 3 3" xfId="17115" xr:uid="{00000000-0005-0000-0000-0000A9550000}"/>
    <cellStyle name="Normal 4 5 4 3 3 2" xfId="33746" xr:uid="{00000000-0005-0000-0000-0000AA550000}"/>
    <cellStyle name="Normal 4 5 4 3 4" xfId="17116" xr:uid="{00000000-0005-0000-0000-0000AB550000}"/>
    <cellStyle name="Normal 4 5 4 3 4 2" xfId="33747" xr:uid="{00000000-0005-0000-0000-0000AC550000}"/>
    <cellStyle name="Normal 4 5 4 3 5" xfId="17117" xr:uid="{00000000-0005-0000-0000-0000AD550000}"/>
    <cellStyle name="Normal 4 5 4 3 5 2" xfId="33748" xr:uid="{00000000-0005-0000-0000-0000AE550000}"/>
    <cellStyle name="Normal 4 5 4 3 6" xfId="17118" xr:uid="{00000000-0005-0000-0000-0000AF550000}"/>
    <cellStyle name="Normal 4 5 4 3 6 2" xfId="33749" xr:uid="{00000000-0005-0000-0000-0000B0550000}"/>
    <cellStyle name="Normal 4 5 4 3 7" xfId="33740" xr:uid="{00000000-0005-0000-0000-0000B1550000}"/>
    <cellStyle name="Normal 4 5 4 4" xfId="17119" xr:uid="{00000000-0005-0000-0000-0000B2550000}"/>
    <cellStyle name="Normal 4 5 4 4 2" xfId="17120" xr:uid="{00000000-0005-0000-0000-0000B3550000}"/>
    <cellStyle name="Normal 4 5 4 4 2 2" xfId="17121" xr:uid="{00000000-0005-0000-0000-0000B4550000}"/>
    <cellStyle name="Normal 4 5 4 4 2 2 2" xfId="33752" xr:uid="{00000000-0005-0000-0000-0000B5550000}"/>
    <cellStyle name="Normal 4 5 4 4 2 3" xfId="17122" xr:uid="{00000000-0005-0000-0000-0000B6550000}"/>
    <cellStyle name="Normal 4 5 4 4 2 3 2" xfId="33753" xr:uid="{00000000-0005-0000-0000-0000B7550000}"/>
    <cellStyle name="Normal 4 5 4 4 2 4" xfId="17123" xr:uid="{00000000-0005-0000-0000-0000B8550000}"/>
    <cellStyle name="Normal 4 5 4 4 2 4 2" xfId="33754" xr:uid="{00000000-0005-0000-0000-0000B9550000}"/>
    <cellStyle name="Normal 4 5 4 4 2 5" xfId="17124" xr:uid="{00000000-0005-0000-0000-0000BA550000}"/>
    <cellStyle name="Normal 4 5 4 4 2 5 2" xfId="33755" xr:uid="{00000000-0005-0000-0000-0000BB550000}"/>
    <cellStyle name="Normal 4 5 4 4 2 6" xfId="33751" xr:uid="{00000000-0005-0000-0000-0000BC550000}"/>
    <cellStyle name="Normal 4 5 4 4 3" xfId="17125" xr:uid="{00000000-0005-0000-0000-0000BD550000}"/>
    <cellStyle name="Normal 4 5 4 4 3 2" xfId="33756" xr:uid="{00000000-0005-0000-0000-0000BE550000}"/>
    <cellStyle name="Normal 4 5 4 4 4" xfId="17126" xr:uid="{00000000-0005-0000-0000-0000BF550000}"/>
    <cellStyle name="Normal 4 5 4 4 4 2" xfId="33757" xr:uid="{00000000-0005-0000-0000-0000C0550000}"/>
    <cellStyle name="Normal 4 5 4 4 5" xfId="17127" xr:uid="{00000000-0005-0000-0000-0000C1550000}"/>
    <cellStyle name="Normal 4 5 4 4 5 2" xfId="33758" xr:uid="{00000000-0005-0000-0000-0000C2550000}"/>
    <cellStyle name="Normal 4 5 4 4 6" xfId="17128" xr:uid="{00000000-0005-0000-0000-0000C3550000}"/>
    <cellStyle name="Normal 4 5 4 4 6 2" xfId="33759" xr:uid="{00000000-0005-0000-0000-0000C4550000}"/>
    <cellStyle name="Normal 4 5 4 4 7" xfId="33750" xr:uid="{00000000-0005-0000-0000-0000C5550000}"/>
    <cellStyle name="Normal 4 5 4 5" xfId="17129" xr:uid="{00000000-0005-0000-0000-0000C6550000}"/>
    <cellStyle name="Normal 4 5 4 5 2" xfId="17130" xr:uid="{00000000-0005-0000-0000-0000C7550000}"/>
    <cellStyle name="Normal 4 5 4 5 2 2" xfId="33761" xr:uid="{00000000-0005-0000-0000-0000C8550000}"/>
    <cellStyle name="Normal 4 5 4 5 3" xfId="17131" xr:uid="{00000000-0005-0000-0000-0000C9550000}"/>
    <cellStyle name="Normal 4 5 4 5 3 2" xfId="33762" xr:uid="{00000000-0005-0000-0000-0000CA550000}"/>
    <cellStyle name="Normal 4 5 4 5 4" xfId="17132" xr:uid="{00000000-0005-0000-0000-0000CB550000}"/>
    <cellStyle name="Normal 4 5 4 5 4 2" xfId="33763" xr:uid="{00000000-0005-0000-0000-0000CC550000}"/>
    <cellStyle name="Normal 4 5 4 5 5" xfId="17133" xr:uid="{00000000-0005-0000-0000-0000CD550000}"/>
    <cellStyle name="Normal 4 5 4 5 5 2" xfId="33764" xr:uid="{00000000-0005-0000-0000-0000CE550000}"/>
    <cellStyle name="Normal 4 5 4 5 6" xfId="33760" xr:uid="{00000000-0005-0000-0000-0000CF550000}"/>
    <cellStyle name="Normal 4 5 4 6" xfId="17134" xr:uid="{00000000-0005-0000-0000-0000D0550000}"/>
    <cellStyle name="Normal 4 5 4 6 2" xfId="17135" xr:uid="{00000000-0005-0000-0000-0000D1550000}"/>
    <cellStyle name="Normal 4 5 4 6 2 2" xfId="33766" xr:uid="{00000000-0005-0000-0000-0000D2550000}"/>
    <cellStyle name="Normal 4 5 4 6 3" xfId="17136" xr:uid="{00000000-0005-0000-0000-0000D3550000}"/>
    <cellStyle name="Normal 4 5 4 6 3 2" xfId="33767" xr:uid="{00000000-0005-0000-0000-0000D4550000}"/>
    <cellStyle name="Normal 4 5 4 6 4" xfId="17137" xr:uid="{00000000-0005-0000-0000-0000D5550000}"/>
    <cellStyle name="Normal 4 5 4 6 4 2" xfId="33768" xr:uid="{00000000-0005-0000-0000-0000D6550000}"/>
    <cellStyle name="Normal 4 5 4 6 5" xfId="17138" xr:uid="{00000000-0005-0000-0000-0000D7550000}"/>
    <cellStyle name="Normal 4 5 4 6 5 2" xfId="33769" xr:uid="{00000000-0005-0000-0000-0000D8550000}"/>
    <cellStyle name="Normal 4 5 4 6 6" xfId="33765" xr:uid="{00000000-0005-0000-0000-0000D9550000}"/>
    <cellStyle name="Normal 4 5 4 7" xfId="17139" xr:uid="{00000000-0005-0000-0000-0000DA550000}"/>
    <cellStyle name="Normal 4 5 4 7 2" xfId="17140" xr:uid="{00000000-0005-0000-0000-0000DB550000}"/>
    <cellStyle name="Normal 4 5 4 7 2 2" xfId="33771" xr:uid="{00000000-0005-0000-0000-0000DC550000}"/>
    <cellStyle name="Normal 4 5 4 7 3" xfId="17141" xr:uid="{00000000-0005-0000-0000-0000DD550000}"/>
    <cellStyle name="Normal 4 5 4 7 3 2" xfId="33772" xr:uid="{00000000-0005-0000-0000-0000DE550000}"/>
    <cellStyle name="Normal 4 5 4 7 4" xfId="17142" xr:uid="{00000000-0005-0000-0000-0000DF550000}"/>
    <cellStyle name="Normal 4 5 4 7 4 2" xfId="33773" xr:uid="{00000000-0005-0000-0000-0000E0550000}"/>
    <cellStyle name="Normal 4 5 4 7 5" xfId="17143" xr:uid="{00000000-0005-0000-0000-0000E1550000}"/>
    <cellStyle name="Normal 4 5 4 7 5 2" xfId="33774" xr:uid="{00000000-0005-0000-0000-0000E2550000}"/>
    <cellStyle name="Normal 4 5 4 7 6" xfId="33770" xr:uid="{00000000-0005-0000-0000-0000E3550000}"/>
    <cellStyle name="Normal 4 5 4 8" xfId="17144" xr:uid="{00000000-0005-0000-0000-0000E4550000}"/>
    <cellStyle name="Normal 4 5 4 8 2" xfId="17145" xr:uid="{00000000-0005-0000-0000-0000E5550000}"/>
    <cellStyle name="Normal 4 5 4 8 2 2" xfId="33776" xr:uid="{00000000-0005-0000-0000-0000E6550000}"/>
    <cellStyle name="Normal 4 5 4 8 3" xfId="17146" xr:uid="{00000000-0005-0000-0000-0000E7550000}"/>
    <cellStyle name="Normal 4 5 4 8 3 2" xfId="33777" xr:uid="{00000000-0005-0000-0000-0000E8550000}"/>
    <cellStyle name="Normal 4 5 4 8 4" xfId="17147" xr:uid="{00000000-0005-0000-0000-0000E9550000}"/>
    <cellStyle name="Normal 4 5 4 8 4 2" xfId="33778" xr:uid="{00000000-0005-0000-0000-0000EA550000}"/>
    <cellStyle name="Normal 4 5 4 8 5" xfId="17148" xr:uid="{00000000-0005-0000-0000-0000EB550000}"/>
    <cellStyle name="Normal 4 5 4 8 5 2" xfId="33779" xr:uid="{00000000-0005-0000-0000-0000EC550000}"/>
    <cellStyle name="Normal 4 5 4 8 6" xfId="33775" xr:uid="{00000000-0005-0000-0000-0000ED550000}"/>
    <cellStyle name="Normal 4 5 4 9" xfId="17149" xr:uid="{00000000-0005-0000-0000-0000EE550000}"/>
    <cellStyle name="Normal 4 5 4 9 2" xfId="17150" xr:uid="{00000000-0005-0000-0000-0000EF550000}"/>
    <cellStyle name="Normal 4 5 4 9 2 2" xfId="33781" xr:uid="{00000000-0005-0000-0000-0000F0550000}"/>
    <cellStyle name="Normal 4 5 4 9 3" xfId="17151" xr:uid="{00000000-0005-0000-0000-0000F1550000}"/>
    <cellStyle name="Normal 4 5 4 9 3 2" xfId="33782" xr:uid="{00000000-0005-0000-0000-0000F2550000}"/>
    <cellStyle name="Normal 4 5 4 9 4" xfId="17152" xr:uid="{00000000-0005-0000-0000-0000F3550000}"/>
    <cellStyle name="Normal 4 5 4 9 4 2" xfId="33783" xr:uid="{00000000-0005-0000-0000-0000F4550000}"/>
    <cellStyle name="Normal 4 5 4 9 5" xfId="17153" xr:uid="{00000000-0005-0000-0000-0000F5550000}"/>
    <cellStyle name="Normal 4 5 4 9 5 2" xfId="33784" xr:uid="{00000000-0005-0000-0000-0000F6550000}"/>
    <cellStyle name="Normal 4 5 4 9 6" xfId="33780" xr:uid="{00000000-0005-0000-0000-0000F7550000}"/>
    <cellStyle name="Normal 4 5 5" xfId="17154" xr:uid="{00000000-0005-0000-0000-0000F8550000}"/>
    <cellStyle name="Normal 4 5 5 10" xfId="17155" xr:uid="{00000000-0005-0000-0000-0000F9550000}"/>
    <cellStyle name="Normal 4 5 5 11" xfId="17156" xr:uid="{00000000-0005-0000-0000-0000FA550000}"/>
    <cellStyle name="Normal 4 5 5 12" xfId="17157" xr:uid="{00000000-0005-0000-0000-0000FB550000}"/>
    <cellStyle name="Normal 4 5 5 13" xfId="17158" xr:uid="{00000000-0005-0000-0000-0000FC550000}"/>
    <cellStyle name="Normal 4 5 5 14" xfId="17159" xr:uid="{00000000-0005-0000-0000-0000FD550000}"/>
    <cellStyle name="Normal 4 5 5 15" xfId="17160" xr:uid="{00000000-0005-0000-0000-0000FE550000}"/>
    <cellStyle name="Normal 4 5 5 16" xfId="17161" xr:uid="{00000000-0005-0000-0000-0000FF550000}"/>
    <cellStyle name="Normal 4 5 5 2" xfId="17162" xr:uid="{00000000-0005-0000-0000-000000560000}"/>
    <cellStyle name="Normal 4 5 5 3" xfId="17163" xr:uid="{00000000-0005-0000-0000-000001560000}"/>
    <cellStyle name="Normal 4 5 5 4" xfId="17164" xr:uid="{00000000-0005-0000-0000-000002560000}"/>
    <cellStyle name="Normal 4 5 5 5" xfId="17165" xr:uid="{00000000-0005-0000-0000-000003560000}"/>
    <cellStyle name="Normal 4 5 5 6" xfId="17166" xr:uid="{00000000-0005-0000-0000-000004560000}"/>
    <cellStyle name="Normal 4 5 5 7" xfId="17167" xr:uid="{00000000-0005-0000-0000-000005560000}"/>
    <cellStyle name="Normal 4 5 5 8" xfId="17168" xr:uid="{00000000-0005-0000-0000-000006560000}"/>
    <cellStyle name="Normal 4 5 5 9" xfId="17169" xr:uid="{00000000-0005-0000-0000-000007560000}"/>
    <cellStyle name="Normal 4 5 6" xfId="17170" xr:uid="{00000000-0005-0000-0000-000008560000}"/>
    <cellStyle name="Normal 4 5 6 10" xfId="17171" xr:uid="{00000000-0005-0000-0000-000009560000}"/>
    <cellStyle name="Normal 4 5 6 11" xfId="17172" xr:uid="{00000000-0005-0000-0000-00000A560000}"/>
    <cellStyle name="Normal 4 5 6 12" xfId="17173" xr:uid="{00000000-0005-0000-0000-00000B560000}"/>
    <cellStyle name="Normal 4 5 6 13" xfId="17174" xr:uid="{00000000-0005-0000-0000-00000C560000}"/>
    <cellStyle name="Normal 4 5 6 14" xfId="17175" xr:uid="{00000000-0005-0000-0000-00000D560000}"/>
    <cellStyle name="Normal 4 5 6 15" xfId="17176" xr:uid="{00000000-0005-0000-0000-00000E560000}"/>
    <cellStyle name="Normal 4 5 6 16" xfId="17177" xr:uid="{00000000-0005-0000-0000-00000F560000}"/>
    <cellStyle name="Normal 4 5 6 2" xfId="17178" xr:uid="{00000000-0005-0000-0000-000010560000}"/>
    <cellStyle name="Normal 4 5 6 3" xfId="17179" xr:uid="{00000000-0005-0000-0000-000011560000}"/>
    <cellStyle name="Normal 4 5 6 4" xfId="17180" xr:uid="{00000000-0005-0000-0000-000012560000}"/>
    <cellStyle name="Normal 4 5 6 5" xfId="17181" xr:uid="{00000000-0005-0000-0000-000013560000}"/>
    <cellStyle name="Normal 4 5 6 6" xfId="17182" xr:uid="{00000000-0005-0000-0000-000014560000}"/>
    <cellStyle name="Normal 4 5 6 7" xfId="17183" xr:uid="{00000000-0005-0000-0000-000015560000}"/>
    <cellStyle name="Normal 4 5 6 8" xfId="17184" xr:uid="{00000000-0005-0000-0000-000016560000}"/>
    <cellStyle name="Normal 4 5 6 9" xfId="17185" xr:uid="{00000000-0005-0000-0000-000017560000}"/>
    <cellStyle name="Normal 4 5 7" xfId="17186" xr:uid="{00000000-0005-0000-0000-000018560000}"/>
    <cellStyle name="Normal 4 5 7 10" xfId="17187" xr:uid="{00000000-0005-0000-0000-000019560000}"/>
    <cellStyle name="Normal 4 5 7 10 2" xfId="17188" xr:uid="{00000000-0005-0000-0000-00001A560000}"/>
    <cellStyle name="Normal 4 5 7 10 2 2" xfId="33787" xr:uid="{00000000-0005-0000-0000-00001B560000}"/>
    <cellStyle name="Normal 4 5 7 10 3" xfId="17189" xr:uid="{00000000-0005-0000-0000-00001C560000}"/>
    <cellStyle name="Normal 4 5 7 10 3 2" xfId="33788" xr:uid="{00000000-0005-0000-0000-00001D560000}"/>
    <cellStyle name="Normal 4 5 7 10 4" xfId="17190" xr:uid="{00000000-0005-0000-0000-00001E560000}"/>
    <cellStyle name="Normal 4 5 7 10 4 2" xfId="33789" xr:uid="{00000000-0005-0000-0000-00001F560000}"/>
    <cellStyle name="Normal 4 5 7 10 5" xfId="17191" xr:uid="{00000000-0005-0000-0000-000020560000}"/>
    <cellStyle name="Normal 4 5 7 10 5 2" xfId="33790" xr:uid="{00000000-0005-0000-0000-000021560000}"/>
    <cellStyle name="Normal 4 5 7 10 6" xfId="33786" xr:uid="{00000000-0005-0000-0000-000022560000}"/>
    <cellStyle name="Normal 4 5 7 11" xfId="17192" xr:uid="{00000000-0005-0000-0000-000023560000}"/>
    <cellStyle name="Normal 4 5 7 11 2" xfId="17193" xr:uid="{00000000-0005-0000-0000-000024560000}"/>
    <cellStyle name="Normal 4 5 7 11 2 2" xfId="33792" xr:uid="{00000000-0005-0000-0000-000025560000}"/>
    <cellStyle name="Normal 4 5 7 11 3" xfId="17194" xr:uid="{00000000-0005-0000-0000-000026560000}"/>
    <cellStyle name="Normal 4 5 7 11 3 2" xfId="33793" xr:uid="{00000000-0005-0000-0000-000027560000}"/>
    <cellStyle name="Normal 4 5 7 11 4" xfId="17195" xr:uid="{00000000-0005-0000-0000-000028560000}"/>
    <cellStyle name="Normal 4 5 7 11 4 2" xfId="33794" xr:uid="{00000000-0005-0000-0000-000029560000}"/>
    <cellStyle name="Normal 4 5 7 11 5" xfId="17196" xr:uid="{00000000-0005-0000-0000-00002A560000}"/>
    <cellStyle name="Normal 4 5 7 11 5 2" xfId="33795" xr:uid="{00000000-0005-0000-0000-00002B560000}"/>
    <cellStyle name="Normal 4 5 7 11 6" xfId="33791" xr:uid="{00000000-0005-0000-0000-00002C560000}"/>
    <cellStyle name="Normal 4 5 7 12" xfId="17197" xr:uid="{00000000-0005-0000-0000-00002D560000}"/>
    <cellStyle name="Normal 4 5 7 12 2" xfId="17198" xr:uid="{00000000-0005-0000-0000-00002E560000}"/>
    <cellStyle name="Normal 4 5 7 12 2 2" xfId="33797" xr:uid="{00000000-0005-0000-0000-00002F560000}"/>
    <cellStyle name="Normal 4 5 7 12 3" xfId="17199" xr:uid="{00000000-0005-0000-0000-000030560000}"/>
    <cellStyle name="Normal 4 5 7 12 3 2" xfId="33798" xr:uid="{00000000-0005-0000-0000-000031560000}"/>
    <cellStyle name="Normal 4 5 7 12 4" xfId="17200" xr:uid="{00000000-0005-0000-0000-000032560000}"/>
    <cellStyle name="Normal 4 5 7 12 4 2" xfId="33799" xr:uid="{00000000-0005-0000-0000-000033560000}"/>
    <cellStyle name="Normal 4 5 7 12 5" xfId="17201" xr:uid="{00000000-0005-0000-0000-000034560000}"/>
    <cellStyle name="Normal 4 5 7 12 5 2" xfId="33800" xr:uid="{00000000-0005-0000-0000-000035560000}"/>
    <cellStyle name="Normal 4 5 7 12 6" xfId="33796" xr:uid="{00000000-0005-0000-0000-000036560000}"/>
    <cellStyle name="Normal 4 5 7 13" xfId="17202" xr:uid="{00000000-0005-0000-0000-000037560000}"/>
    <cellStyle name="Normal 4 5 7 13 2" xfId="17203" xr:uid="{00000000-0005-0000-0000-000038560000}"/>
    <cellStyle name="Normal 4 5 7 13 2 2" xfId="33802" xr:uid="{00000000-0005-0000-0000-000039560000}"/>
    <cellStyle name="Normal 4 5 7 13 3" xfId="17204" xr:uid="{00000000-0005-0000-0000-00003A560000}"/>
    <cellStyle name="Normal 4 5 7 13 3 2" xfId="33803" xr:uid="{00000000-0005-0000-0000-00003B560000}"/>
    <cellStyle name="Normal 4 5 7 13 4" xfId="17205" xr:uid="{00000000-0005-0000-0000-00003C560000}"/>
    <cellStyle name="Normal 4 5 7 13 4 2" xfId="33804" xr:uid="{00000000-0005-0000-0000-00003D560000}"/>
    <cellStyle name="Normal 4 5 7 13 5" xfId="17206" xr:uid="{00000000-0005-0000-0000-00003E560000}"/>
    <cellStyle name="Normal 4 5 7 13 5 2" xfId="33805" xr:uid="{00000000-0005-0000-0000-00003F560000}"/>
    <cellStyle name="Normal 4 5 7 13 6" xfId="33801" xr:uid="{00000000-0005-0000-0000-000040560000}"/>
    <cellStyle name="Normal 4 5 7 14" xfId="17207" xr:uid="{00000000-0005-0000-0000-000041560000}"/>
    <cellStyle name="Normal 4 5 7 14 2" xfId="17208" xr:uid="{00000000-0005-0000-0000-000042560000}"/>
    <cellStyle name="Normal 4 5 7 14 2 2" xfId="33807" xr:uid="{00000000-0005-0000-0000-000043560000}"/>
    <cellStyle name="Normal 4 5 7 14 3" xfId="17209" xr:uid="{00000000-0005-0000-0000-000044560000}"/>
    <cellStyle name="Normal 4 5 7 14 3 2" xfId="33808" xr:uid="{00000000-0005-0000-0000-000045560000}"/>
    <cellStyle name="Normal 4 5 7 14 4" xfId="17210" xr:uid="{00000000-0005-0000-0000-000046560000}"/>
    <cellStyle name="Normal 4 5 7 14 4 2" xfId="33809" xr:uid="{00000000-0005-0000-0000-000047560000}"/>
    <cellStyle name="Normal 4 5 7 14 5" xfId="17211" xr:uid="{00000000-0005-0000-0000-000048560000}"/>
    <cellStyle name="Normal 4 5 7 14 5 2" xfId="33810" xr:uid="{00000000-0005-0000-0000-000049560000}"/>
    <cellStyle name="Normal 4 5 7 14 6" xfId="33806" xr:uid="{00000000-0005-0000-0000-00004A560000}"/>
    <cellStyle name="Normal 4 5 7 15" xfId="17212" xr:uid="{00000000-0005-0000-0000-00004B560000}"/>
    <cellStyle name="Normal 4 5 7 15 2" xfId="17213" xr:uid="{00000000-0005-0000-0000-00004C560000}"/>
    <cellStyle name="Normal 4 5 7 15 2 2" xfId="33812" xr:uid="{00000000-0005-0000-0000-00004D560000}"/>
    <cellStyle name="Normal 4 5 7 15 3" xfId="17214" xr:uid="{00000000-0005-0000-0000-00004E560000}"/>
    <cellStyle name="Normal 4 5 7 15 3 2" xfId="33813" xr:uid="{00000000-0005-0000-0000-00004F560000}"/>
    <cellStyle name="Normal 4 5 7 15 4" xfId="17215" xr:uid="{00000000-0005-0000-0000-000050560000}"/>
    <cellStyle name="Normal 4 5 7 15 4 2" xfId="33814" xr:uid="{00000000-0005-0000-0000-000051560000}"/>
    <cellStyle name="Normal 4 5 7 15 5" xfId="17216" xr:uid="{00000000-0005-0000-0000-000052560000}"/>
    <cellStyle name="Normal 4 5 7 15 5 2" xfId="33815" xr:uid="{00000000-0005-0000-0000-000053560000}"/>
    <cellStyle name="Normal 4 5 7 15 6" xfId="33811" xr:uid="{00000000-0005-0000-0000-000054560000}"/>
    <cellStyle name="Normal 4 5 7 16" xfId="17217" xr:uid="{00000000-0005-0000-0000-000055560000}"/>
    <cellStyle name="Normal 4 5 7 16 2" xfId="17218" xr:uid="{00000000-0005-0000-0000-000056560000}"/>
    <cellStyle name="Normal 4 5 7 16 2 2" xfId="33817" xr:uid="{00000000-0005-0000-0000-000057560000}"/>
    <cellStyle name="Normal 4 5 7 16 3" xfId="17219" xr:uid="{00000000-0005-0000-0000-000058560000}"/>
    <cellStyle name="Normal 4 5 7 16 3 2" xfId="33818" xr:uid="{00000000-0005-0000-0000-000059560000}"/>
    <cellStyle name="Normal 4 5 7 16 4" xfId="17220" xr:uid="{00000000-0005-0000-0000-00005A560000}"/>
    <cellStyle name="Normal 4 5 7 16 4 2" xfId="33819" xr:uid="{00000000-0005-0000-0000-00005B560000}"/>
    <cellStyle name="Normal 4 5 7 16 5" xfId="17221" xr:uid="{00000000-0005-0000-0000-00005C560000}"/>
    <cellStyle name="Normal 4 5 7 16 5 2" xfId="33820" xr:uid="{00000000-0005-0000-0000-00005D560000}"/>
    <cellStyle name="Normal 4 5 7 16 6" xfId="33816" xr:uid="{00000000-0005-0000-0000-00005E560000}"/>
    <cellStyle name="Normal 4 5 7 17" xfId="17222" xr:uid="{00000000-0005-0000-0000-00005F560000}"/>
    <cellStyle name="Normal 4 5 7 17 2" xfId="33821" xr:uid="{00000000-0005-0000-0000-000060560000}"/>
    <cellStyle name="Normal 4 5 7 18" xfId="17223" xr:uid="{00000000-0005-0000-0000-000061560000}"/>
    <cellStyle name="Normal 4 5 7 18 2" xfId="33822" xr:uid="{00000000-0005-0000-0000-000062560000}"/>
    <cellStyle name="Normal 4 5 7 19" xfId="17224" xr:uid="{00000000-0005-0000-0000-000063560000}"/>
    <cellStyle name="Normal 4 5 7 19 2" xfId="33823" xr:uid="{00000000-0005-0000-0000-000064560000}"/>
    <cellStyle name="Normal 4 5 7 2" xfId="17225" xr:uid="{00000000-0005-0000-0000-000065560000}"/>
    <cellStyle name="Normal 4 5 7 20" xfId="17226" xr:uid="{00000000-0005-0000-0000-000066560000}"/>
    <cellStyle name="Normal 4 5 7 20 2" xfId="33824" xr:uid="{00000000-0005-0000-0000-000067560000}"/>
    <cellStyle name="Normal 4 5 7 21" xfId="33785" xr:uid="{00000000-0005-0000-0000-000068560000}"/>
    <cellStyle name="Normal 4 5 7 3" xfId="17227" xr:uid="{00000000-0005-0000-0000-000069560000}"/>
    <cellStyle name="Normal 4 5 7 3 2" xfId="17228" xr:uid="{00000000-0005-0000-0000-00006A560000}"/>
    <cellStyle name="Normal 4 5 7 3 2 2" xfId="33826" xr:uid="{00000000-0005-0000-0000-00006B560000}"/>
    <cellStyle name="Normal 4 5 7 3 3" xfId="17229" xr:uid="{00000000-0005-0000-0000-00006C560000}"/>
    <cellStyle name="Normal 4 5 7 3 3 2" xfId="33827" xr:uid="{00000000-0005-0000-0000-00006D560000}"/>
    <cellStyle name="Normal 4 5 7 3 4" xfId="17230" xr:uid="{00000000-0005-0000-0000-00006E560000}"/>
    <cellStyle name="Normal 4 5 7 3 4 2" xfId="33828" xr:uid="{00000000-0005-0000-0000-00006F560000}"/>
    <cellStyle name="Normal 4 5 7 3 5" xfId="17231" xr:uid="{00000000-0005-0000-0000-000070560000}"/>
    <cellStyle name="Normal 4 5 7 3 5 2" xfId="33829" xr:uid="{00000000-0005-0000-0000-000071560000}"/>
    <cellStyle name="Normal 4 5 7 3 6" xfId="33825" xr:uid="{00000000-0005-0000-0000-000072560000}"/>
    <cellStyle name="Normal 4 5 7 4" xfId="17232" xr:uid="{00000000-0005-0000-0000-000073560000}"/>
    <cellStyle name="Normal 4 5 7 4 2" xfId="17233" xr:uid="{00000000-0005-0000-0000-000074560000}"/>
    <cellStyle name="Normal 4 5 7 4 2 2" xfId="33831" xr:uid="{00000000-0005-0000-0000-000075560000}"/>
    <cellStyle name="Normal 4 5 7 4 3" xfId="17234" xr:uid="{00000000-0005-0000-0000-000076560000}"/>
    <cellStyle name="Normal 4 5 7 4 3 2" xfId="33832" xr:uid="{00000000-0005-0000-0000-000077560000}"/>
    <cellStyle name="Normal 4 5 7 4 4" xfId="17235" xr:uid="{00000000-0005-0000-0000-000078560000}"/>
    <cellStyle name="Normal 4 5 7 4 4 2" xfId="33833" xr:uid="{00000000-0005-0000-0000-000079560000}"/>
    <cellStyle name="Normal 4 5 7 4 5" xfId="17236" xr:uid="{00000000-0005-0000-0000-00007A560000}"/>
    <cellStyle name="Normal 4 5 7 4 5 2" xfId="33834" xr:uid="{00000000-0005-0000-0000-00007B560000}"/>
    <cellStyle name="Normal 4 5 7 4 6" xfId="33830" xr:uid="{00000000-0005-0000-0000-00007C560000}"/>
    <cellStyle name="Normal 4 5 7 5" xfId="17237" xr:uid="{00000000-0005-0000-0000-00007D560000}"/>
    <cellStyle name="Normal 4 5 7 5 2" xfId="17238" xr:uid="{00000000-0005-0000-0000-00007E560000}"/>
    <cellStyle name="Normal 4 5 7 5 2 2" xfId="33836" xr:uid="{00000000-0005-0000-0000-00007F560000}"/>
    <cellStyle name="Normal 4 5 7 5 3" xfId="17239" xr:uid="{00000000-0005-0000-0000-000080560000}"/>
    <cellStyle name="Normal 4 5 7 5 3 2" xfId="33837" xr:uid="{00000000-0005-0000-0000-000081560000}"/>
    <cellStyle name="Normal 4 5 7 5 4" xfId="17240" xr:uid="{00000000-0005-0000-0000-000082560000}"/>
    <cellStyle name="Normal 4 5 7 5 4 2" xfId="33838" xr:uid="{00000000-0005-0000-0000-000083560000}"/>
    <cellStyle name="Normal 4 5 7 5 5" xfId="17241" xr:uid="{00000000-0005-0000-0000-000084560000}"/>
    <cellStyle name="Normal 4 5 7 5 5 2" xfId="33839" xr:uid="{00000000-0005-0000-0000-000085560000}"/>
    <cellStyle name="Normal 4 5 7 5 6" xfId="33835" xr:uid="{00000000-0005-0000-0000-000086560000}"/>
    <cellStyle name="Normal 4 5 7 6" xfId="17242" xr:uid="{00000000-0005-0000-0000-000087560000}"/>
    <cellStyle name="Normal 4 5 7 6 2" xfId="17243" xr:uid="{00000000-0005-0000-0000-000088560000}"/>
    <cellStyle name="Normal 4 5 7 6 2 2" xfId="33841" xr:uid="{00000000-0005-0000-0000-000089560000}"/>
    <cellStyle name="Normal 4 5 7 6 3" xfId="17244" xr:uid="{00000000-0005-0000-0000-00008A560000}"/>
    <cellStyle name="Normal 4 5 7 6 3 2" xfId="33842" xr:uid="{00000000-0005-0000-0000-00008B560000}"/>
    <cellStyle name="Normal 4 5 7 6 4" xfId="17245" xr:uid="{00000000-0005-0000-0000-00008C560000}"/>
    <cellStyle name="Normal 4 5 7 6 4 2" xfId="33843" xr:uid="{00000000-0005-0000-0000-00008D560000}"/>
    <cellStyle name="Normal 4 5 7 6 5" xfId="17246" xr:uid="{00000000-0005-0000-0000-00008E560000}"/>
    <cellStyle name="Normal 4 5 7 6 5 2" xfId="33844" xr:uid="{00000000-0005-0000-0000-00008F560000}"/>
    <cellStyle name="Normal 4 5 7 6 6" xfId="33840" xr:uid="{00000000-0005-0000-0000-000090560000}"/>
    <cellStyle name="Normal 4 5 7 7" xfId="17247" xr:uid="{00000000-0005-0000-0000-000091560000}"/>
    <cellStyle name="Normal 4 5 7 7 2" xfId="17248" xr:uid="{00000000-0005-0000-0000-000092560000}"/>
    <cellStyle name="Normal 4 5 7 7 2 2" xfId="33846" xr:uid="{00000000-0005-0000-0000-000093560000}"/>
    <cellStyle name="Normal 4 5 7 7 3" xfId="17249" xr:uid="{00000000-0005-0000-0000-000094560000}"/>
    <cellStyle name="Normal 4 5 7 7 3 2" xfId="33847" xr:uid="{00000000-0005-0000-0000-000095560000}"/>
    <cellStyle name="Normal 4 5 7 7 4" xfId="17250" xr:uid="{00000000-0005-0000-0000-000096560000}"/>
    <cellStyle name="Normal 4 5 7 7 4 2" xfId="33848" xr:uid="{00000000-0005-0000-0000-000097560000}"/>
    <cellStyle name="Normal 4 5 7 7 5" xfId="17251" xr:uid="{00000000-0005-0000-0000-000098560000}"/>
    <cellStyle name="Normal 4 5 7 7 5 2" xfId="33849" xr:uid="{00000000-0005-0000-0000-000099560000}"/>
    <cellStyle name="Normal 4 5 7 7 6" xfId="33845" xr:uid="{00000000-0005-0000-0000-00009A560000}"/>
    <cellStyle name="Normal 4 5 7 8" xfId="17252" xr:uid="{00000000-0005-0000-0000-00009B560000}"/>
    <cellStyle name="Normal 4 5 7 8 2" xfId="17253" xr:uid="{00000000-0005-0000-0000-00009C560000}"/>
    <cellStyle name="Normal 4 5 7 8 2 2" xfId="33851" xr:uid="{00000000-0005-0000-0000-00009D560000}"/>
    <cellStyle name="Normal 4 5 7 8 3" xfId="17254" xr:uid="{00000000-0005-0000-0000-00009E560000}"/>
    <cellStyle name="Normal 4 5 7 8 3 2" xfId="33852" xr:uid="{00000000-0005-0000-0000-00009F560000}"/>
    <cellStyle name="Normal 4 5 7 8 4" xfId="17255" xr:uid="{00000000-0005-0000-0000-0000A0560000}"/>
    <cellStyle name="Normal 4 5 7 8 4 2" xfId="33853" xr:uid="{00000000-0005-0000-0000-0000A1560000}"/>
    <cellStyle name="Normal 4 5 7 8 5" xfId="17256" xr:uid="{00000000-0005-0000-0000-0000A2560000}"/>
    <cellStyle name="Normal 4 5 7 8 5 2" xfId="33854" xr:uid="{00000000-0005-0000-0000-0000A3560000}"/>
    <cellStyle name="Normal 4 5 7 8 6" xfId="33850" xr:uid="{00000000-0005-0000-0000-0000A4560000}"/>
    <cellStyle name="Normal 4 5 7 9" xfId="17257" xr:uid="{00000000-0005-0000-0000-0000A5560000}"/>
    <cellStyle name="Normal 4 5 7 9 2" xfId="17258" xr:uid="{00000000-0005-0000-0000-0000A6560000}"/>
    <cellStyle name="Normal 4 5 7 9 2 2" xfId="33856" xr:uid="{00000000-0005-0000-0000-0000A7560000}"/>
    <cellStyle name="Normal 4 5 7 9 3" xfId="17259" xr:uid="{00000000-0005-0000-0000-0000A8560000}"/>
    <cellStyle name="Normal 4 5 7 9 3 2" xfId="33857" xr:uid="{00000000-0005-0000-0000-0000A9560000}"/>
    <cellStyle name="Normal 4 5 7 9 4" xfId="17260" xr:uid="{00000000-0005-0000-0000-0000AA560000}"/>
    <cellStyle name="Normal 4 5 7 9 4 2" xfId="33858" xr:uid="{00000000-0005-0000-0000-0000AB560000}"/>
    <cellStyle name="Normal 4 5 7 9 5" xfId="17261" xr:uid="{00000000-0005-0000-0000-0000AC560000}"/>
    <cellStyle name="Normal 4 5 7 9 5 2" xfId="33859" xr:uid="{00000000-0005-0000-0000-0000AD560000}"/>
    <cellStyle name="Normal 4 5 7 9 6" xfId="33855" xr:uid="{00000000-0005-0000-0000-0000AE560000}"/>
    <cellStyle name="Normal 4 5 8" xfId="17262" xr:uid="{00000000-0005-0000-0000-0000AF560000}"/>
    <cellStyle name="Normal 4 5 8 2" xfId="17263" xr:uid="{00000000-0005-0000-0000-0000B0560000}"/>
    <cellStyle name="Normal 4 5 8 3" xfId="17264" xr:uid="{00000000-0005-0000-0000-0000B1560000}"/>
    <cellStyle name="Normal 4 5 8 3 2" xfId="33861" xr:uid="{00000000-0005-0000-0000-0000B2560000}"/>
    <cellStyle name="Normal 4 5 8 4" xfId="17265" xr:uid="{00000000-0005-0000-0000-0000B3560000}"/>
    <cellStyle name="Normal 4 5 8 4 2" xfId="33862" xr:uid="{00000000-0005-0000-0000-0000B4560000}"/>
    <cellStyle name="Normal 4 5 8 5" xfId="17266" xr:uid="{00000000-0005-0000-0000-0000B5560000}"/>
    <cellStyle name="Normal 4 5 8 5 2" xfId="33863" xr:uid="{00000000-0005-0000-0000-0000B6560000}"/>
    <cellStyle name="Normal 4 5 8 6" xfId="17267" xr:uid="{00000000-0005-0000-0000-0000B7560000}"/>
    <cellStyle name="Normal 4 5 8 6 2" xfId="33864" xr:uid="{00000000-0005-0000-0000-0000B8560000}"/>
    <cellStyle name="Normal 4 5 8 7" xfId="33860" xr:uid="{00000000-0005-0000-0000-0000B9560000}"/>
    <cellStyle name="Normal 4 5 9" xfId="17268" xr:uid="{00000000-0005-0000-0000-0000BA560000}"/>
    <cellStyle name="Normal 4 5 9 2" xfId="17269" xr:uid="{00000000-0005-0000-0000-0000BB560000}"/>
    <cellStyle name="Normal 4 5 9 3" xfId="17270" xr:uid="{00000000-0005-0000-0000-0000BC560000}"/>
    <cellStyle name="Normal 4 5 9 3 2" xfId="33866" xr:uid="{00000000-0005-0000-0000-0000BD560000}"/>
    <cellStyle name="Normal 4 5 9 4" xfId="17271" xr:uid="{00000000-0005-0000-0000-0000BE560000}"/>
    <cellStyle name="Normal 4 5 9 4 2" xfId="33867" xr:uid="{00000000-0005-0000-0000-0000BF560000}"/>
    <cellStyle name="Normal 4 5 9 5" xfId="17272" xr:uid="{00000000-0005-0000-0000-0000C0560000}"/>
    <cellStyle name="Normal 4 5 9 5 2" xfId="33868" xr:uid="{00000000-0005-0000-0000-0000C1560000}"/>
    <cellStyle name="Normal 4 5 9 6" xfId="17273" xr:uid="{00000000-0005-0000-0000-0000C2560000}"/>
    <cellStyle name="Normal 4 5 9 6 2" xfId="33869" xr:uid="{00000000-0005-0000-0000-0000C3560000}"/>
    <cellStyle name="Normal 4 5 9 7" xfId="33865" xr:uid="{00000000-0005-0000-0000-0000C4560000}"/>
    <cellStyle name="Normal 4 6" xfId="17274" xr:uid="{00000000-0005-0000-0000-0000C5560000}"/>
    <cellStyle name="Normal 4 6 10" xfId="17275" xr:uid="{00000000-0005-0000-0000-0000C6560000}"/>
    <cellStyle name="Normal 4 6 10 2" xfId="17276" xr:uid="{00000000-0005-0000-0000-0000C7560000}"/>
    <cellStyle name="Normal 4 6 10 2 2" xfId="33871" xr:uid="{00000000-0005-0000-0000-0000C8560000}"/>
    <cellStyle name="Normal 4 6 10 3" xfId="17277" xr:uid="{00000000-0005-0000-0000-0000C9560000}"/>
    <cellStyle name="Normal 4 6 10 3 2" xfId="33872" xr:uid="{00000000-0005-0000-0000-0000CA560000}"/>
    <cellStyle name="Normal 4 6 10 4" xfId="17278" xr:uid="{00000000-0005-0000-0000-0000CB560000}"/>
    <cellStyle name="Normal 4 6 10 4 2" xfId="33873" xr:uid="{00000000-0005-0000-0000-0000CC560000}"/>
    <cellStyle name="Normal 4 6 10 5" xfId="17279" xr:uid="{00000000-0005-0000-0000-0000CD560000}"/>
    <cellStyle name="Normal 4 6 10 5 2" xfId="33874" xr:uid="{00000000-0005-0000-0000-0000CE560000}"/>
    <cellStyle name="Normal 4 6 10 6" xfId="33870" xr:uid="{00000000-0005-0000-0000-0000CF560000}"/>
    <cellStyle name="Normal 4 6 11" xfId="17280" xr:uid="{00000000-0005-0000-0000-0000D0560000}"/>
    <cellStyle name="Normal 4 6 11 2" xfId="17281" xr:uid="{00000000-0005-0000-0000-0000D1560000}"/>
    <cellStyle name="Normal 4 6 11 2 2" xfId="33876" xr:uid="{00000000-0005-0000-0000-0000D2560000}"/>
    <cellStyle name="Normal 4 6 11 3" xfId="17282" xr:uid="{00000000-0005-0000-0000-0000D3560000}"/>
    <cellStyle name="Normal 4 6 11 3 2" xfId="33877" xr:uid="{00000000-0005-0000-0000-0000D4560000}"/>
    <cellStyle name="Normal 4 6 11 4" xfId="17283" xr:uid="{00000000-0005-0000-0000-0000D5560000}"/>
    <cellStyle name="Normal 4 6 11 4 2" xfId="33878" xr:uid="{00000000-0005-0000-0000-0000D6560000}"/>
    <cellStyle name="Normal 4 6 11 5" xfId="17284" xr:uid="{00000000-0005-0000-0000-0000D7560000}"/>
    <cellStyle name="Normal 4 6 11 5 2" xfId="33879" xr:uid="{00000000-0005-0000-0000-0000D8560000}"/>
    <cellStyle name="Normal 4 6 11 6" xfId="33875" xr:uid="{00000000-0005-0000-0000-0000D9560000}"/>
    <cellStyle name="Normal 4 6 12" xfId="17285" xr:uid="{00000000-0005-0000-0000-0000DA560000}"/>
    <cellStyle name="Normal 4 6 12 2" xfId="17286" xr:uid="{00000000-0005-0000-0000-0000DB560000}"/>
    <cellStyle name="Normal 4 6 12 2 2" xfId="33881" xr:uid="{00000000-0005-0000-0000-0000DC560000}"/>
    <cellStyle name="Normal 4 6 12 3" xfId="17287" xr:uid="{00000000-0005-0000-0000-0000DD560000}"/>
    <cellStyle name="Normal 4 6 12 3 2" xfId="33882" xr:uid="{00000000-0005-0000-0000-0000DE560000}"/>
    <cellStyle name="Normal 4 6 12 4" xfId="17288" xr:uid="{00000000-0005-0000-0000-0000DF560000}"/>
    <cellStyle name="Normal 4 6 12 4 2" xfId="33883" xr:uid="{00000000-0005-0000-0000-0000E0560000}"/>
    <cellStyle name="Normal 4 6 12 5" xfId="17289" xr:uid="{00000000-0005-0000-0000-0000E1560000}"/>
    <cellStyle name="Normal 4 6 12 5 2" xfId="33884" xr:uid="{00000000-0005-0000-0000-0000E2560000}"/>
    <cellStyle name="Normal 4 6 12 6" xfId="33880" xr:uid="{00000000-0005-0000-0000-0000E3560000}"/>
    <cellStyle name="Normal 4 6 13" xfId="17290" xr:uid="{00000000-0005-0000-0000-0000E4560000}"/>
    <cellStyle name="Normal 4 6 13 2" xfId="17291" xr:uid="{00000000-0005-0000-0000-0000E5560000}"/>
    <cellStyle name="Normal 4 6 13 2 2" xfId="33886" xr:uid="{00000000-0005-0000-0000-0000E6560000}"/>
    <cellStyle name="Normal 4 6 13 3" xfId="17292" xr:uid="{00000000-0005-0000-0000-0000E7560000}"/>
    <cellStyle name="Normal 4 6 13 3 2" xfId="33887" xr:uid="{00000000-0005-0000-0000-0000E8560000}"/>
    <cellStyle name="Normal 4 6 13 4" xfId="17293" xr:uid="{00000000-0005-0000-0000-0000E9560000}"/>
    <cellStyle name="Normal 4 6 13 4 2" xfId="33888" xr:uid="{00000000-0005-0000-0000-0000EA560000}"/>
    <cellStyle name="Normal 4 6 13 5" xfId="17294" xr:uid="{00000000-0005-0000-0000-0000EB560000}"/>
    <cellStyle name="Normal 4 6 13 5 2" xfId="33889" xr:uid="{00000000-0005-0000-0000-0000EC560000}"/>
    <cellStyle name="Normal 4 6 13 6" xfId="33885" xr:uid="{00000000-0005-0000-0000-0000ED560000}"/>
    <cellStyle name="Normal 4 6 14" xfId="17295" xr:uid="{00000000-0005-0000-0000-0000EE560000}"/>
    <cellStyle name="Normal 4 6 14 2" xfId="17296" xr:uid="{00000000-0005-0000-0000-0000EF560000}"/>
    <cellStyle name="Normal 4 6 14 2 2" xfId="33891" xr:uid="{00000000-0005-0000-0000-0000F0560000}"/>
    <cellStyle name="Normal 4 6 14 3" xfId="17297" xr:uid="{00000000-0005-0000-0000-0000F1560000}"/>
    <cellStyle name="Normal 4 6 14 3 2" xfId="33892" xr:uid="{00000000-0005-0000-0000-0000F2560000}"/>
    <cellStyle name="Normal 4 6 14 4" xfId="17298" xr:uid="{00000000-0005-0000-0000-0000F3560000}"/>
    <cellStyle name="Normal 4 6 14 4 2" xfId="33893" xr:uid="{00000000-0005-0000-0000-0000F4560000}"/>
    <cellStyle name="Normal 4 6 14 5" xfId="17299" xr:uid="{00000000-0005-0000-0000-0000F5560000}"/>
    <cellStyle name="Normal 4 6 14 5 2" xfId="33894" xr:uid="{00000000-0005-0000-0000-0000F6560000}"/>
    <cellStyle name="Normal 4 6 14 6" xfId="33890" xr:uid="{00000000-0005-0000-0000-0000F7560000}"/>
    <cellStyle name="Normal 4 6 15" xfId="17300" xr:uid="{00000000-0005-0000-0000-0000F8560000}"/>
    <cellStyle name="Normal 4 6 15 2" xfId="17301" xr:uid="{00000000-0005-0000-0000-0000F9560000}"/>
    <cellStyle name="Normal 4 6 15 2 2" xfId="33896" xr:uid="{00000000-0005-0000-0000-0000FA560000}"/>
    <cellStyle name="Normal 4 6 15 3" xfId="17302" xr:uid="{00000000-0005-0000-0000-0000FB560000}"/>
    <cellStyle name="Normal 4 6 15 3 2" xfId="33897" xr:uid="{00000000-0005-0000-0000-0000FC560000}"/>
    <cellStyle name="Normal 4 6 15 4" xfId="17303" xr:uid="{00000000-0005-0000-0000-0000FD560000}"/>
    <cellStyle name="Normal 4 6 15 4 2" xfId="33898" xr:uid="{00000000-0005-0000-0000-0000FE560000}"/>
    <cellStyle name="Normal 4 6 15 5" xfId="17304" xr:uid="{00000000-0005-0000-0000-0000FF560000}"/>
    <cellStyle name="Normal 4 6 15 5 2" xfId="33899" xr:uid="{00000000-0005-0000-0000-000000570000}"/>
    <cellStyle name="Normal 4 6 15 6" xfId="33895" xr:uid="{00000000-0005-0000-0000-000001570000}"/>
    <cellStyle name="Normal 4 6 16" xfId="17305" xr:uid="{00000000-0005-0000-0000-000002570000}"/>
    <cellStyle name="Normal 4 6 16 2" xfId="17306" xr:uid="{00000000-0005-0000-0000-000003570000}"/>
    <cellStyle name="Normal 4 6 16 2 2" xfId="33901" xr:uid="{00000000-0005-0000-0000-000004570000}"/>
    <cellStyle name="Normal 4 6 16 3" xfId="17307" xr:uid="{00000000-0005-0000-0000-000005570000}"/>
    <cellStyle name="Normal 4 6 16 3 2" xfId="33902" xr:uid="{00000000-0005-0000-0000-000006570000}"/>
    <cellStyle name="Normal 4 6 16 4" xfId="17308" xr:uid="{00000000-0005-0000-0000-000007570000}"/>
    <cellStyle name="Normal 4 6 16 4 2" xfId="33903" xr:uid="{00000000-0005-0000-0000-000008570000}"/>
    <cellStyle name="Normal 4 6 16 5" xfId="17309" xr:uid="{00000000-0005-0000-0000-000009570000}"/>
    <cellStyle name="Normal 4 6 16 5 2" xfId="33904" xr:uid="{00000000-0005-0000-0000-00000A570000}"/>
    <cellStyle name="Normal 4 6 16 6" xfId="33900" xr:uid="{00000000-0005-0000-0000-00000B570000}"/>
    <cellStyle name="Normal 4 6 17" xfId="17310" xr:uid="{00000000-0005-0000-0000-00000C570000}"/>
    <cellStyle name="Normal 4 6 17 2" xfId="17311" xr:uid="{00000000-0005-0000-0000-00000D570000}"/>
    <cellStyle name="Normal 4 6 17 2 2" xfId="33906" xr:uid="{00000000-0005-0000-0000-00000E570000}"/>
    <cellStyle name="Normal 4 6 17 3" xfId="17312" xr:uid="{00000000-0005-0000-0000-00000F570000}"/>
    <cellStyle name="Normal 4 6 17 3 2" xfId="33907" xr:uid="{00000000-0005-0000-0000-000010570000}"/>
    <cellStyle name="Normal 4 6 17 4" xfId="17313" xr:uid="{00000000-0005-0000-0000-000011570000}"/>
    <cellStyle name="Normal 4 6 17 4 2" xfId="33908" xr:uid="{00000000-0005-0000-0000-000012570000}"/>
    <cellStyle name="Normal 4 6 17 5" xfId="17314" xr:uid="{00000000-0005-0000-0000-000013570000}"/>
    <cellStyle name="Normal 4 6 17 5 2" xfId="33909" xr:uid="{00000000-0005-0000-0000-000014570000}"/>
    <cellStyle name="Normal 4 6 17 6" xfId="33905" xr:uid="{00000000-0005-0000-0000-000015570000}"/>
    <cellStyle name="Normal 4 6 18" xfId="17315" xr:uid="{00000000-0005-0000-0000-000016570000}"/>
    <cellStyle name="Normal 4 6 18 2" xfId="17316" xr:uid="{00000000-0005-0000-0000-000017570000}"/>
    <cellStyle name="Normal 4 6 18 2 2" xfId="33911" xr:uid="{00000000-0005-0000-0000-000018570000}"/>
    <cellStyle name="Normal 4 6 18 3" xfId="17317" xr:uid="{00000000-0005-0000-0000-000019570000}"/>
    <cellStyle name="Normal 4 6 18 3 2" xfId="33912" xr:uid="{00000000-0005-0000-0000-00001A570000}"/>
    <cellStyle name="Normal 4 6 18 4" xfId="17318" xr:uid="{00000000-0005-0000-0000-00001B570000}"/>
    <cellStyle name="Normal 4 6 18 4 2" xfId="33913" xr:uid="{00000000-0005-0000-0000-00001C570000}"/>
    <cellStyle name="Normal 4 6 18 5" xfId="17319" xr:uid="{00000000-0005-0000-0000-00001D570000}"/>
    <cellStyle name="Normal 4 6 18 5 2" xfId="33914" xr:uid="{00000000-0005-0000-0000-00001E570000}"/>
    <cellStyle name="Normal 4 6 18 6" xfId="33910" xr:uid="{00000000-0005-0000-0000-00001F570000}"/>
    <cellStyle name="Normal 4 6 19" xfId="17320" xr:uid="{00000000-0005-0000-0000-000020570000}"/>
    <cellStyle name="Normal 4 6 19 2" xfId="17321" xr:uid="{00000000-0005-0000-0000-000021570000}"/>
    <cellStyle name="Normal 4 6 19 2 2" xfId="33916" xr:uid="{00000000-0005-0000-0000-000022570000}"/>
    <cellStyle name="Normal 4 6 19 3" xfId="17322" xr:uid="{00000000-0005-0000-0000-000023570000}"/>
    <cellStyle name="Normal 4 6 19 3 2" xfId="33917" xr:uid="{00000000-0005-0000-0000-000024570000}"/>
    <cellStyle name="Normal 4 6 19 4" xfId="17323" xr:uid="{00000000-0005-0000-0000-000025570000}"/>
    <cellStyle name="Normal 4 6 19 4 2" xfId="33918" xr:uid="{00000000-0005-0000-0000-000026570000}"/>
    <cellStyle name="Normal 4 6 19 5" xfId="17324" xr:uid="{00000000-0005-0000-0000-000027570000}"/>
    <cellStyle name="Normal 4 6 19 5 2" xfId="33919" xr:uid="{00000000-0005-0000-0000-000028570000}"/>
    <cellStyle name="Normal 4 6 19 6" xfId="33915" xr:uid="{00000000-0005-0000-0000-000029570000}"/>
    <cellStyle name="Normal 4 6 2" xfId="17325" xr:uid="{00000000-0005-0000-0000-00002A570000}"/>
    <cellStyle name="Normal 4 6 2 10" xfId="17326" xr:uid="{00000000-0005-0000-0000-00002B570000}"/>
    <cellStyle name="Normal 4 6 2 11" xfId="17327" xr:uid="{00000000-0005-0000-0000-00002C570000}"/>
    <cellStyle name="Normal 4 6 2 12" xfId="17328" xr:uid="{00000000-0005-0000-0000-00002D570000}"/>
    <cellStyle name="Normal 4 6 2 13" xfId="17329" xr:uid="{00000000-0005-0000-0000-00002E570000}"/>
    <cellStyle name="Normal 4 6 2 14" xfId="17330" xr:uid="{00000000-0005-0000-0000-00002F570000}"/>
    <cellStyle name="Normal 4 6 2 15" xfId="17331" xr:uid="{00000000-0005-0000-0000-000030570000}"/>
    <cellStyle name="Normal 4 6 2 16" xfId="17332" xr:uid="{00000000-0005-0000-0000-000031570000}"/>
    <cellStyle name="Normal 4 6 2 17" xfId="17333" xr:uid="{00000000-0005-0000-0000-000032570000}"/>
    <cellStyle name="Normal 4 6 2 18" xfId="17334" xr:uid="{00000000-0005-0000-0000-000033570000}"/>
    <cellStyle name="Normal 4 6 2 19" xfId="17335" xr:uid="{00000000-0005-0000-0000-000034570000}"/>
    <cellStyle name="Normal 4 6 2 2" xfId="17336" xr:uid="{00000000-0005-0000-0000-000035570000}"/>
    <cellStyle name="Normal 4 6 2 2 2" xfId="17337" xr:uid="{00000000-0005-0000-0000-000036570000}"/>
    <cellStyle name="Normal 4 6 2 2 3" xfId="17338" xr:uid="{00000000-0005-0000-0000-000037570000}"/>
    <cellStyle name="Normal 4 6 2 2 4" xfId="17339" xr:uid="{00000000-0005-0000-0000-000038570000}"/>
    <cellStyle name="Normal 4 6 2 2 5" xfId="17340" xr:uid="{00000000-0005-0000-0000-000039570000}"/>
    <cellStyle name="Normal 4 6 2 2 6" xfId="17341" xr:uid="{00000000-0005-0000-0000-00003A570000}"/>
    <cellStyle name="Normal 4 6 2 2 7" xfId="17342" xr:uid="{00000000-0005-0000-0000-00003B570000}"/>
    <cellStyle name="Normal 4 6 2 20" xfId="17343" xr:uid="{00000000-0005-0000-0000-00003C570000}"/>
    <cellStyle name="Normal 4 6 2 21" xfId="17344" xr:uid="{00000000-0005-0000-0000-00003D570000}"/>
    <cellStyle name="Normal 4 6 2 22" xfId="33920" xr:uid="{00000000-0005-0000-0000-00003E570000}"/>
    <cellStyle name="Normal 4 6 2 3" xfId="17345" xr:uid="{00000000-0005-0000-0000-00003F570000}"/>
    <cellStyle name="Normal 4 6 2 4" xfId="17346" xr:uid="{00000000-0005-0000-0000-000040570000}"/>
    <cellStyle name="Normal 4 6 2 5" xfId="17347" xr:uid="{00000000-0005-0000-0000-000041570000}"/>
    <cellStyle name="Normal 4 6 2 6" xfId="17348" xr:uid="{00000000-0005-0000-0000-000042570000}"/>
    <cellStyle name="Normal 4 6 2 7" xfId="17349" xr:uid="{00000000-0005-0000-0000-000043570000}"/>
    <cellStyle name="Normal 4 6 2 8" xfId="17350" xr:uid="{00000000-0005-0000-0000-000044570000}"/>
    <cellStyle name="Normal 4 6 2 9" xfId="17351" xr:uid="{00000000-0005-0000-0000-000045570000}"/>
    <cellStyle name="Normal 4 6 20" xfId="17352" xr:uid="{00000000-0005-0000-0000-000046570000}"/>
    <cellStyle name="Normal 4 6 20 2" xfId="17353" xr:uid="{00000000-0005-0000-0000-000047570000}"/>
    <cellStyle name="Normal 4 6 20 2 2" xfId="33922" xr:uid="{00000000-0005-0000-0000-000048570000}"/>
    <cellStyle name="Normal 4 6 20 3" xfId="17354" xr:uid="{00000000-0005-0000-0000-000049570000}"/>
    <cellStyle name="Normal 4 6 20 3 2" xfId="33923" xr:uid="{00000000-0005-0000-0000-00004A570000}"/>
    <cellStyle name="Normal 4 6 20 4" xfId="17355" xr:uid="{00000000-0005-0000-0000-00004B570000}"/>
    <cellStyle name="Normal 4 6 20 4 2" xfId="33924" xr:uid="{00000000-0005-0000-0000-00004C570000}"/>
    <cellStyle name="Normal 4 6 20 5" xfId="17356" xr:uid="{00000000-0005-0000-0000-00004D570000}"/>
    <cellStyle name="Normal 4 6 20 5 2" xfId="33925" xr:uid="{00000000-0005-0000-0000-00004E570000}"/>
    <cellStyle name="Normal 4 6 20 6" xfId="33921" xr:uid="{00000000-0005-0000-0000-00004F570000}"/>
    <cellStyle name="Normal 4 6 21" xfId="17357" xr:uid="{00000000-0005-0000-0000-000050570000}"/>
    <cellStyle name="Normal 4 6 21 2" xfId="33926" xr:uid="{00000000-0005-0000-0000-000051570000}"/>
    <cellStyle name="Normal 4 6 22" xfId="17358" xr:uid="{00000000-0005-0000-0000-000052570000}"/>
    <cellStyle name="Normal 4 6 22 2" xfId="33927" xr:uid="{00000000-0005-0000-0000-000053570000}"/>
    <cellStyle name="Normal 4 6 23" xfId="17359" xr:uid="{00000000-0005-0000-0000-000054570000}"/>
    <cellStyle name="Normal 4 6 23 2" xfId="33928" xr:uid="{00000000-0005-0000-0000-000055570000}"/>
    <cellStyle name="Normal 4 6 24" xfId="17360" xr:uid="{00000000-0005-0000-0000-000056570000}"/>
    <cellStyle name="Normal 4 6 24 2" xfId="33929" xr:uid="{00000000-0005-0000-0000-000057570000}"/>
    <cellStyle name="Normal 4 6 25" xfId="17361" xr:uid="{00000000-0005-0000-0000-000058570000}"/>
    <cellStyle name="Normal 4 6 25 2" xfId="33930" xr:uid="{00000000-0005-0000-0000-000059570000}"/>
    <cellStyle name="Normal 4 6 26" xfId="40714" xr:uid="{00000000-0005-0000-0000-00005A570000}"/>
    <cellStyle name="Normal 4 6 3" xfId="17362" xr:uid="{00000000-0005-0000-0000-00005B570000}"/>
    <cellStyle name="Normal 4 6 3 10" xfId="17363" xr:uid="{00000000-0005-0000-0000-00005C570000}"/>
    <cellStyle name="Normal 4 6 3 11" xfId="17364" xr:uid="{00000000-0005-0000-0000-00005D570000}"/>
    <cellStyle name="Normal 4 6 3 12" xfId="17365" xr:uid="{00000000-0005-0000-0000-00005E570000}"/>
    <cellStyle name="Normal 4 6 3 13" xfId="17366" xr:uid="{00000000-0005-0000-0000-00005F570000}"/>
    <cellStyle name="Normal 4 6 3 14" xfId="17367" xr:uid="{00000000-0005-0000-0000-000060570000}"/>
    <cellStyle name="Normal 4 6 3 15" xfId="17368" xr:uid="{00000000-0005-0000-0000-000061570000}"/>
    <cellStyle name="Normal 4 6 3 16" xfId="17369" xr:uid="{00000000-0005-0000-0000-000062570000}"/>
    <cellStyle name="Normal 4 6 3 2" xfId="17370" xr:uid="{00000000-0005-0000-0000-000063570000}"/>
    <cellStyle name="Normal 4 6 3 3" xfId="17371" xr:uid="{00000000-0005-0000-0000-000064570000}"/>
    <cellStyle name="Normal 4 6 3 4" xfId="17372" xr:uid="{00000000-0005-0000-0000-000065570000}"/>
    <cellStyle name="Normal 4 6 3 5" xfId="17373" xr:uid="{00000000-0005-0000-0000-000066570000}"/>
    <cellStyle name="Normal 4 6 3 6" xfId="17374" xr:uid="{00000000-0005-0000-0000-000067570000}"/>
    <cellStyle name="Normal 4 6 3 7" xfId="17375" xr:uid="{00000000-0005-0000-0000-000068570000}"/>
    <cellStyle name="Normal 4 6 3 8" xfId="17376" xr:uid="{00000000-0005-0000-0000-000069570000}"/>
    <cellStyle name="Normal 4 6 3 9" xfId="17377" xr:uid="{00000000-0005-0000-0000-00006A570000}"/>
    <cellStyle name="Normal 4 6 4" xfId="17378" xr:uid="{00000000-0005-0000-0000-00006B570000}"/>
    <cellStyle name="Normal 4 6 4 10" xfId="17379" xr:uid="{00000000-0005-0000-0000-00006C570000}"/>
    <cellStyle name="Normal 4 6 4 10 2" xfId="17380" xr:uid="{00000000-0005-0000-0000-00006D570000}"/>
    <cellStyle name="Normal 4 6 4 10 2 2" xfId="33933" xr:uid="{00000000-0005-0000-0000-00006E570000}"/>
    <cellStyle name="Normal 4 6 4 10 3" xfId="17381" xr:uid="{00000000-0005-0000-0000-00006F570000}"/>
    <cellStyle name="Normal 4 6 4 10 3 2" xfId="33934" xr:uid="{00000000-0005-0000-0000-000070570000}"/>
    <cellStyle name="Normal 4 6 4 10 4" xfId="17382" xr:uid="{00000000-0005-0000-0000-000071570000}"/>
    <cellStyle name="Normal 4 6 4 10 4 2" xfId="33935" xr:uid="{00000000-0005-0000-0000-000072570000}"/>
    <cellStyle name="Normal 4 6 4 10 5" xfId="17383" xr:uid="{00000000-0005-0000-0000-000073570000}"/>
    <cellStyle name="Normal 4 6 4 10 5 2" xfId="33936" xr:uid="{00000000-0005-0000-0000-000074570000}"/>
    <cellStyle name="Normal 4 6 4 10 6" xfId="33932" xr:uid="{00000000-0005-0000-0000-000075570000}"/>
    <cellStyle name="Normal 4 6 4 11" xfId="17384" xr:uid="{00000000-0005-0000-0000-000076570000}"/>
    <cellStyle name="Normal 4 6 4 11 2" xfId="17385" xr:uid="{00000000-0005-0000-0000-000077570000}"/>
    <cellStyle name="Normal 4 6 4 11 2 2" xfId="33938" xr:uid="{00000000-0005-0000-0000-000078570000}"/>
    <cellStyle name="Normal 4 6 4 11 3" xfId="17386" xr:uid="{00000000-0005-0000-0000-000079570000}"/>
    <cellStyle name="Normal 4 6 4 11 3 2" xfId="33939" xr:uid="{00000000-0005-0000-0000-00007A570000}"/>
    <cellStyle name="Normal 4 6 4 11 4" xfId="17387" xr:uid="{00000000-0005-0000-0000-00007B570000}"/>
    <cellStyle name="Normal 4 6 4 11 4 2" xfId="33940" xr:uid="{00000000-0005-0000-0000-00007C570000}"/>
    <cellStyle name="Normal 4 6 4 11 5" xfId="17388" xr:uid="{00000000-0005-0000-0000-00007D570000}"/>
    <cellStyle name="Normal 4 6 4 11 5 2" xfId="33941" xr:uid="{00000000-0005-0000-0000-00007E570000}"/>
    <cellStyle name="Normal 4 6 4 11 6" xfId="33937" xr:uid="{00000000-0005-0000-0000-00007F570000}"/>
    <cellStyle name="Normal 4 6 4 12" xfId="17389" xr:uid="{00000000-0005-0000-0000-000080570000}"/>
    <cellStyle name="Normal 4 6 4 12 2" xfId="17390" xr:uid="{00000000-0005-0000-0000-000081570000}"/>
    <cellStyle name="Normal 4 6 4 12 2 2" xfId="33943" xr:uid="{00000000-0005-0000-0000-000082570000}"/>
    <cellStyle name="Normal 4 6 4 12 3" xfId="17391" xr:uid="{00000000-0005-0000-0000-000083570000}"/>
    <cellStyle name="Normal 4 6 4 12 3 2" xfId="33944" xr:uid="{00000000-0005-0000-0000-000084570000}"/>
    <cellStyle name="Normal 4 6 4 12 4" xfId="17392" xr:uid="{00000000-0005-0000-0000-000085570000}"/>
    <cellStyle name="Normal 4 6 4 12 4 2" xfId="33945" xr:uid="{00000000-0005-0000-0000-000086570000}"/>
    <cellStyle name="Normal 4 6 4 12 5" xfId="17393" xr:uid="{00000000-0005-0000-0000-000087570000}"/>
    <cellStyle name="Normal 4 6 4 12 5 2" xfId="33946" xr:uid="{00000000-0005-0000-0000-000088570000}"/>
    <cellStyle name="Normal 4 6 4 12 6" xfId="33942" xr:uid="{00000000-0005-0000-0000-000089570000}"/>
    <cellStyle name="Normal 4 6 4 13" xfId="17394" xr:uid="{00000000-0005-0000-0000-00008A570000}"/>
    <cellStyle name="Normal 4 6 4 13 2" xfId="17395" xr:uid="{00000000-0005-0000-0000-00008B570000}"/>
    <cellStyle name="Normal 4 6 4 13 2 2" xfId="33948" xr:uid="{00000000-0005-0000-0000-00008C570000}"/>
    <cellStyle name="Normal 4 6 4 13 3" xfId="17396" xr:uid="{00000000-0005-0000-0000-00008D570000}"/>
    <cellStyle name="Normal 4 6 4 13 3 2" xfId="33949" xr:uid="{00000000-0005-0000-0000-00008E570000}"/>
    <cellStyle name="Normal 4 6 4 13 4" xfId="17397" xr:uid="{00000000-0005-0000-0000-00008F570000}"/>
    <cellStyle name="Normal 4 6 4 13 4 2" xfId="33950" xr:uid="{00000000-0005-0000-0000-000090570000}"/>
    <cellStyle name="Normal 4 6 4 13 5" xfId="17398" xr:uid="{00000000-0005-0000-0000-000091570000}"/>
    <cellStyle name="Normal 4 6 4 13 5 2" xfId="33951" xr:uid="{00000000-0005-0000-0000-000092570000}"/>
    <cellStyle name="Normal 4 6 4 13 6" xfId="33947" xr:uid="{00000000-0005-0000-0000-000093570000}"/>
    <cellStyle name="Normal 4 6 4 14" xfId="17399" xr:uid="{00000000-0005-0000-0000-000094570000}"/>
    <cellStyle name="Normal 4 6 4 14 2" xfId="17400" xr:uid="{00000000-0005-0000-0000-000095570000}"/>
    <cellStyle name="Normal 4 6 4 14 2 2" xfId="33953" xr:uid="{00000000-0005-0000-0000-000096570000}"/>
    <cellStyle name="Normal 4 6 4 14 3" xfId="17401" xr:uid="{00000000-0005-0000-0000-000097570000}"/>
    <cellStyle name="Normal 4 6 4 14 3 2" xfId="33954" xr:uid="{00000000-0005-0000-0000-000098570000}"/>
    <cellStyle name="Normal 4 6 4 14 4" xfId="17402" xr:uid="{00000000-0005-0000-0000-000099570000}"/>
    <cellStyle name="Normal 4 6 4 14 4 2" xfId="33955" xr:uid="{00000000-0005-0000-0000-00009A570000}"/>
    <cellStyle name="Normal 4 6 4 14 5" xfId="17403" xr:uid="{00000000-0005-0000-0000-00009B570000}"/>
    <cellStyle name="Normal 4 6 4 14 5 2" xfId="33956" xr:uid="{00000000-0005-0000-0000-00009C570000}"/>
    <cellStyle name="Normal 4 6 4 14 6" xfId="33952" xr:uid="{00000000-0005-0000-0000-00009D570000}"/>
    <cellStyle name="Normal 4 6 4 15" xfId="17404" xr:uid="{00000000-0005-0000-0000-00009E570000}"/>
    <cellStyle name="Normal 4 6 4 15 2" xfId="17405" xr:uid="{00000000-0005-0000-0000-00009F570000}"/>
    <cellStyle name="Normal 4 6 4 15 2 2" xfId="33958" xr:uid="{00000000-0005-0000-0000-0000A0570000}"/>
    <cellStyle name="Normal 4 6 4 15 3" xfId="17406" xr:uid="{00000000-0005-0000-0000-0000A1570000}"/>
    <cellStyle name="Normal 4 6 4 15 3 2" xfId="33959" xr:uid="{00000000-0005-0000-0000-0000A2570000}"/>
    <cellStyle name="Normal 4 6 4 15 4" xfId="17407" xr:uid="{00000000-0005-0000-0000-0000A3570000}"/>
    <cellStyle name="Normal 4 6 4 15 4 2" xfId="33960" xr:uid="{00000000-0005-0000-0000-0000A4570000}"/>
    <cellStyle name="Normal 4 6 4 15 5" xfId="17408" xr:uid="{00000000-0005-0000-0000-0000A5570000}"/>
    <cellStyle name="Normal 4 6 4 15 5 2" xfId="33961" xr:uid="{00000000-0005-0000-0000-0000A6570000}"/>
    <cellStyle name="Normal 4 6 4 15 6" xfId="33957" xr:uid="{00000000-0005-0000-0000-0000A7570000}"/>
    <cellStyle name="Normal 4 6 4 16" xfId="17409" xr:uid="{00000000-0005-0000-0000-0000A8570000}"/>
    <cellStyle name="Normal 4 6 4 16 2" xfId="17410" xr:uid="{00000000-0005-0000-0000-0000A9570000}"/>
    <cellStyle name="Normal 4 6 4 16 2 2" xfId="33963" xr:uid="{00000000-0005-0000-0000-0000AA570000}"/>
    <cellStyle name="Normal 4 6 4 16 3" xfId="17411" xr:uid="{00000000-0005-0000-0000-0000AB570000}"/>
    <cellStyle name="Normal 4 6 4 16 3 2" xfId="33964" xr:uid="{00000000-0005-0000-0000-0000AC570000}"/>
    <cellStyle name="Normal 4 6 4 16 4" xfId="17412" xr:uid="{00000000-0005-0000-0000-0000AD570000}"/>
    <cellStyle name="Normal 4 6 4 16 4 2" xfId="33965" xr:uid="{00000000-0005-0000-0000-0000AE570000}"/>
    <cellStyle name="Normal 4 6 4 16 5" xfId="17413" xr:uid="{00000000-0005-0000-0000-0000AF570000}"/>
    <cellStyle name="Normal 4 6 4 16 5 2" xfId="33966" xr:uid="{00000000-0005-0000-0000-0000B0570000}"/>
    <cellStyle name="Normal 4 6 4 16 6" xfId="33962" xr:uid="{00000000-0005-0000-0000-0000B1570000}"/>
    <cellStyle name="Normal 4 6 4 17" xfId="17414" xr:uid="{00000000-0005-0000-0000-0000B2570000}"/>
    <cellStyle name="Normal 4 6 4 17 2" xfId="33967" xr:uid="{00000000-0005-0000-0000-0000B3570000}"/>
    <cellStyle name="Normal 4 6 4 18" xfId="17415" xr:uid="{00000000-0005-0000-0000-0000B4570000}"/>
    <cellStyle name="Normal 4 6 4 18 2" xfId="33968" xr:uid="{00000000-0005-0000-0000-0000B5570000}"/>
    <cellStyle name="Normal 4 6 4 19" xfId="17416" xr:uid="{00000000-0005-0000-0000-0000B6570000}"/>
    <cellStyle name="Normal 4 6 4 19 2" xfId="33969" xr:uid="{00000000-0005-0000-0000-0000B7570000}"/>
    <cellStyle name="Normal 4 6 4 2" xfId="17417" xr:uid="{00000000-0005-0000-0000-0000B8570000}"/>
    <cellStyle name="Normal 4 6 4 20" xfId="17418" xr:uid="{00000000-0005-0000-0000-0000B9570000}"/>
    <cellStyle name="Normal 4 6 4 20 2" xfId="33970" xr:uid="{00000000-0005-0000-0000-0000BA570000}"/>
    <cellStyle name="Normal 4 6 4 21" xfId="33931" xr:uid="{00000000-0005-0000-0000-0000BB570000}"/>
    <cellStyle name="Normal 4 6 4 3" xfId="17419" xr:uid="{00000000-0005-0000-0000-0000BC570000}"/>
    <cellStyle name="Normal 4 6 4 3 2" xfId="17420" xr:uid="{00000000-0005-0000-0000-0000BD570000}"/>
    <cellStyle name="Normal 4 6 4 3 2 2" xfId="33972" xr:uid="{00000000-0005-0000-0000-0000BE570000}"/>
    <cellStyle name="Normal 4 6 4 3 3" xfId="17421" xr:uid="{00000000-0005-0000-0000-0000BF570000}"/>
    <cellStyle name="Normal 4 6 4 3 3 2" xfId="33973" xr:uid="{00000000-0005-0000-0000-0000C0570000}"/>
    <cellStyle name="Normal 4 6 4 3 4" xfId="17422" xr:uid="{00000000-0005-0000-0000-0000C1570000}"/>
    <cellStyle name="Normal 4 6 4 3 4 2" xfId="33974" xr:uid="{00000000-0005-0000-0000-0000C2570000}"/>
    <cellStyle name="Normal 4 6 4 3 5" xfId="17423" xr:uid="{00000000-0005-0000-0000-0000C3570000}"/>
    <cellStyle name="Normal 4 6 4 3 5 2" xfId="33975" xr:uid="{00000000-0005-0000-0000-0000C4570000}"/>
    <cellStyle name="Normal 4 6 4 3 6" xfId="33971" xr:uid="{00000000-0005-0000-0000-0000C5570000}"/>
    <cellStyle name="Normal 4 6 4 4" xfId="17424" xr:uid="{00000000-0005-0000-0000-0000C6570000}"/>
    <cellStyle name="Normal 4 6 4 4 2" xfId="17425" xr:uid="{00000000-0005-0000-0000-0000C7570000}"/>
    <cellStyle name="Normal 4 6 4 4 2 2" xfId="33977" xr:uid="{00000000-0005-0000-0000-0000C8570000}"/>
    <cellStyle name="Normal 4 6 4 4 3" xfId="17426" xr:uid="{00000000-0005-0000-0000-0000C9570000}"/>
    <cellStyle name="Normal 4 6 4 4 3 2" xfId="33978" xr:uid="{00000000-0005-0000-0000-0000CA570000}"/>
    <cellStyle name="Normal 4 6 4 4 4" xfId="17427" xr:uid="{00000000-0005-0000-0000-0000CB570000}"/>
    <cellStyle name="Normal 4 6 4 4 4 2" xfId="33979" xr:uid="{00000000-0005-0000-0000-0000CC570000}"/>
    <cellStyle name="Normal 4 6 4 4 5" xfId="17428" xr:uid="{00000000-0005-0000-0000-0000CD570000}"/>
    <cellStyle name="Normal 4 6 4 4 5 2" xfId="33980" xr:uid="{00000000-0005-0000-0000-0000CE570000}"/>
    <cellStyle name="Normal 4 6 4 4 6" xfId="33976" xr:uid="{00000000-0005-0000-0000-0000CF570000}"/>
    <cellStyle name="Normal 4 6 4 5" xfId="17429" xr:uid="{00000000-0005-0000-0000-0000D0570000}"/>
    <cellStyle name="Normal 4 6 4 5 2" xfId="17430" xr:uid="{00000000-0005-0000-0000-0000D1570000}"/>
    <cellStyle name="Normal 4 6 4 5 2 2" xfId="33982" xr:uid="{00000000-0005-0000-0000-0000D2570000}"/>
    <cellStyle name="Normal 4 6 4 5 3" xfId="17431" xr:uid="{00000000-0005-0000-0000-0000D3570000}"/>
    <cellStyle name="Normal 4 6 4 5 3 2" xfId="33983" xr:uid="{00000000-0005-0000-0000-0000D4570000}"/>
    <cellStyle name="Normal 4 6 4 5 4" xfId="17432" xr:uid="{00000000-0005-0000-0000-0000D5570000}"/>
    <cellStyle name="Normal 4 6 4 5 4 2" xfId="33984" xr:uid="{00000000-0005-0000-0000-0000D6570000}"/>
    <cellStyle name="Normal 4 6 4 5 5" xfId="17433" xr:uid="{00000000-0005-0000-0000-0000D7570000}"/>
    <cellStyle name="Normal 4 6 4 5 5 2" xfId="33985" xr:uid="{00000000-0005-0000-0000-0000D8570000}"/>
    <cellStyle name="Normal 4 6 4 5 6" xfId="33981" xr:uid="{00000000-0005-0000-0000-0000D9570000}"/>
    <cellStyle name="Normal 4 6 4 6" xfId="17434" xr:uid="{00000000-0005-0000-0000-0000DA570000}"/>
    <cellStyle name="Normal 4 6 4 6 2" xfId="17435" xr:uid="{00000000-0005-0000-0000-0000DB570000}"/>
    <cellStyle name="Normal 4 6 4 6 2 2" xfId="33987" xr:uid="{00000000-0005-0000-0000-0000DC570000}"/>
    <cellStyle name="Normal 4 6 4 6 3" xfId="17436" xr:uid="{00000000-0005-0000-0000-0000DD570000}"/>
    <cellStyle name="Normal 4 6 4 6 3 2" xfId="33988" xr:uid="{00000000-0005-0000-0000-0000DE570000}"/>
    <cellStyle name="Normal 4 6 4 6 4" xfId="17437" xr:uid="{00000000-0005-0000-0000-0000DF570000}"/>
    <cellStyle name="Normal 4 6 4 6 4 2" xfId="33989" xr:uid="{00000000-0005-0000-0000-0000E0570000}"/>
    <cellStyle name="Normal 4 6 4 6 5" xfId="17438" xr:uid="{00000000-0005-0000-0000-0000E1570000}"/>
    <cellStyle name="Normal 4 6 4 6 5 2" xfId="33990" xr:uid="{00000000-0005-0000-0000-0000E2570000}"/>
    <cellStyle name="Normal 4 6 4 6 6" xfId="33986" xr:uid="{00000000-0005-0000-0000-0000E3570000}"/>
    <cellStyle name="Normal 4 6 4 7" xfId="17439" xr:uid="{00000000-0005-0000-0000-0000E4570000}"/>
    <cellStyle name="Normal 4 6 4 7 2" xfId="17440" xr:uid="{00000000-0005-0000-0000-0000E5570000}"/>
    <cellStyle name="Normal 4 6 4 7 2 2" xfId="33992" xr:uid="{00000000-0005-0000-0000-0000E6570000}"/>
    <cellStyle name="Normal 4 6 4 7 3" xfId="17441" xr:uid="{00000000-0005-0000-0000-0000E7570000}"/>
    <cellStyle name="Normal 4 6 4 7 3 2" xfId="33993" xr:uid="{00000000-0005-0000-0000-0000E8570000}"/>
    <cellStyle name="Normal 4 6 4 7 4" xfId="17442" xr:uid="{00000000-0005-0000-0000-0000E9570000}"/>
    <cellStyle name="Normal 4 6 4 7 4 2" xfId="33994" xr:uid="{00000000-0005-0000-0000-0000EA570000}"/>
    <cellStyle name="Normal 4 6 4 7 5" xfId="17443" xr:uid="{00000000-0005-0000-0000-0000EB570000}"/>
    <cellStyle name="Normal 4 6 4 7 5 2" xfId="33995" xr:uid="{00000000-0005-0000-0000-0000EC570000}"/>
    <cellStyle name="Normal 4 6 4 7 6" xfId="33991" xr:uid="{00000000-0005-0000-0000-0000ED570000}"/>
    <cellStyle name="Normal 4 6 4 8" xfId="17444" xr:uid="{00000000-0005-0000-0000-0000EE570000}"/>
    <cellStyle name="Normal 4 6 4 8 2" xfId="17445" xr:uid="{00000000-0005-0000-0000-0000EF570000}"/>
    <cellStyle name="Normal 4 6 4 8 2 2" xfId="33997" xr:uid="{00000000-0005-0000-0000-0000F0570000}"/>
    <cellStyle name="Normal 4 6 4 8 3" xfId="17446" xr:uid="{00000000-0005-0000-0000-0000F1570000}"/>
    <cellStyle name="Normal 4 6 4 8 3 2" xfId="33998" xr:uid="{00000000-0005-0000-0000-0000F2570000}"/>
    <cellStyle name="Normal 4 6 4 8 4" xfId="17447" xr:uid="{00000000-0005-0000-0000-0000F3570000}"/>
    <cellStyle name="Normal 4 6 4 8 4 2" xfId="33999" xr:uid="{00000000-0005-0000-0000-0000F4570000}"/>
    <cellStyle name="Normal 4 6 4 8 5" xfId="17448" xr:uid="{00000000-0005-0000-0000-0000F5570000}"/>
    <cellStyle name="Normal 4 6 4 8 5 2" xfId="34000" xr:uid="{00000000-0005-0000-0000-0000F6570000}"/>
    <cellStyle name="Normal 4 6 4 8 6" xfId="33996" xr:uid="{00000000-0005-0000-0000-0000F7570000}"/>
    <cellStyle name="Normal 4 6 4 9" xfId="17449" xr:uid="{00000000-0005-0000-0000-0000F8570000}"/>
    <cellStyle name="Normal 4 6 4 9 2" xfId="17450" xr:uid="{00000000-0005-0000-0000-0000F9570000}"/>
    <cellStyle name="Normal 4 6 4 9 2 2" xfId="34002" xr:uid="{00000000-0005-0000-0000-0000FA570000}"/>
    <cellStyle name="Normal 4 6 4 9 3" xfId="17451" xr:uid="{00000000-0005-0000-0000-0000FB570000}"/>
    <cellStyle name="Normal 4 6 4 9 3 2" xfId="34003" xr:uid="{00000000-0005-0000-0000-0000FC570000}"/>
    <cellStyle name="Normal 4 6 4 9 4" xfId="17452" xr:uid="{00000000-0005-0000-0000-0000FD570000}"/>
    <cellStyle name="Normal 4 6 4 9 4 2" xfId="34004" xr:uid="{00000000-0005-0000-0000-0000FE570000}"/>
    <cellStyle name="Normal 4 6 4 9 5" xfId="17453" xr:uid="{00000000-0005-0000-0000-0000FF570000}"/>
    <cellStyle name="Normal 4 6 4 9 5 2" xfId="34005" xr:uid="{00000000-0005-0000-0000-000000580000}"/>
    <cellStyle name="Normal 4 6 4 9 6" xfId="34001" xr:uid="{00000000-0005-0000-0000-000001580000}"/>
    <cellStyle name="Normal 4 6 5" xfId="17454" xr:uid="{00000000-0005-0000-0000-000002580000}"/>
    <cellStyle name="Normal 4 6 5 2" xfId="17455" xr:uid="{00000000-0005-0000-0000-000003580000}"/>
    <cellStyle name="Normal 4 6 5 3" xfId="17456" xr:uid="{00000000-0005-0000-0000-000004580000}"/>
    <cellStyle name="Normal 4 6 5 3 2" xfId="34007" xr:uid="{00000000-0005-0000-0000-000005580000}"/>
    <cellStyle name="Normal 4 6 5 4" xfId="17457" xr:uid="{00000000-0005-0000-0000-000006580000}"/>
    <cellStyle name="Normal 4 6 5 4 2" xfId="34008" xr:uid="{00000000-0005-0000-0000-000007580000}"/>
    <cellStyle name="Normal 4 6 5 5" xfId="17458" xr:uid="{00000000-0005-0000-0000-000008580000}"/>
    <cellStyle name="Normal 4 6 5 5 2" xfId="34009" xr:uid="{00000000-0005-0000-0000-000009580000}"/>
    <cellStyle name="Normal 4 6 5 6" xfId="17459" xr:uid="{00000000-0005-0000-0000-00000A580000}"/>
    <cellStyle name="Normal 4 6 5 6 2" xfId="34010" xr:uid="{00000000-0005-0000-0000-00000B580000}"/>
    <cellStyle name="Normal 4 6 5 7" xfId="34006" xr:uid="{00000000-0005-0000-0000-00000C580000}"/>
    <cellStyle name="Normal 4 6 6" xfId="17460" xr:uid="{00000000-0005-0000-0000-00000D580000}"/>
    <cellStyle name="Normal 4 6 6 2" xfId="17461" xr:uid="{00000000-0005-0000-0000-00000E580000}"/>
    <cellStyle name="Normal 4 6 6 3" xfId="17462" xr:uid="{00000000-0005-0000-0000-00000F580000}"/>
    <cellStyle name="Normal 4 6 6 3 2" xfId="34012" xr:uid="{00000000-0005-0000-0000-000010580000}"/>
    <cellStyle name="Normal 4 6 6 4" xfId="17463" xr:uid="{00000000-0005-0000-0000-000011580000}"/>
    <cellStyle name="Normal 4 6 6 4 2" xfId="34013" xr:uid="{00000000-0005-0000-0000-000012580000}"/>
    <cellStyle name="Normal 4 6 6 5" xfId="17464" xr:uid="{00000000-0005-0000-0000-000013580000}"/>
    <cellStyle name="Normal 4 6 6 5 2" xfId="34014" xr:uid="{00000000-0005-0000-0000-000014580000}"/>
    <cellStyle name="Normal 4 6 6 6" xfId="17465" xr:uid="{00000000-0005-0000-0000-000015580000}"/>
    <cellStyle name="Normal 4 6 6 6 2" xfId="34015" xr:uid="{00000000-0005-0000-0000-000016580000}"/>
    <cellStyle name="Normal 4 6 6 7" xfId="34011" xr:uid="{00000000-0005-0000-0000-000017580000}"/>
    <cellStyle name="Normal 4 6 7" xfId="17466" xr:uid="{00000000-0005-0000-0000-000018580000}"/>
    <cellStyle name="Normal 4 6 7 2" xfId="17467" xr:uid="{00000000-0005-0000-0000-000019580000}"/>
    <cellStyle name="Normal 4 6 7 2 2" xfId="34017" xr:uid="{00000000-0005-0000-0000-00001A580000}"/>
    <cellStyle name="Normal 4 6 7 3" xfId="17468" xr:uid="{00000000-0005-0000-0000-00001B580000}"/>
    <cellStyle name="Normal 4 6 7 3 2" xfId="34018" xr:uid="{00000000-0005-0000-0000-00001C580000}"/>
    <cellStyle name="Normal 4 6 7 4" xfId="17469" xr:uid="{00000000-0005-0000-0000-00001D580000}"/>
    <cellStyle name="Normal 4 6 7 4 2" xfId="34019" xr:uid="{00000000-0005-0000-0000-00001E580000}"/>
    <cellStyle name="Normal 4 6 7 5" xfId="17470" xr:uid="{00000000-0005-0000-0000-00001F580000}"/>
    <cellStyle name="Normal 4 6 7 5 2" xfId="34020" xr:uid="{00000000-0005-0000-0000-000020580000}"/>
    <cellStyle name="Normal 4 6 7 6" xfId="34016" xr:uid="{00000000-0005-0000-0000-000021580000}"/>
    <cellStyle name="Normal 4 6 8" xfId="17471" xr:uid="{00000000-0005-0000-0000-000022580000}"/>
    <cellStyle name="Normal 4 6 8 2" xfId="17472" xr:uid="{00000000-0005-0000-0000-000023580000}"/>
    <cellStyle name="Normal 4 6 8 2 2" xfId="34022" xr:uid="{00000000-0005-0000-0000-000024580000}"/>
    <cellStyle name="Normal 4 6 8 3" xfId="17473" xr:uid="{00000000-0005-0000-0000-000025580000}"/>
    <cellStyle name="Normal 4 6 8 3 2" xfId="34023" xr:uid="{00000000-0005-0000-0000-000026580000}"/>
    <cellStyle name="Normal 4 6 8 4" xfId="17474" xr:uid="{00000000-0005-0000-0000-000027580000}"/>
    <cellStyle name="Normal 4 6 8 4 2" xfId="34024" xr:uid="{00000000-0005-0000-0000-000028580000}"/>
    <cellStyle name="Normal 4 6 8 5" xfId="17475" xr:uid="{00000000-0005-0000-0000-000029580000}"/>
    <cellStyle name="Normal 4 6 8 5 2" xfId="34025" xr:uid="{00000000-0005-0000-0000-00002A580000}"/>
    <cellStyle name="Normal 4 6 8 6" xfId="34021" xr:uid="{00000000-0005-0000-0000-00002B580000}"/>
    <cellStyle name="Normal 4 6 9" xfId="17476" xr:uid="{00000000-0005-0000-0000-00002C580000}"/>
    <cellStyle name="Normal 4 6 9 2" xfId="17477" xr:uid="{00000000-0005-0000-0000-00002D580000}"/>
    <cellStyle name="Normal 4 6 9 2 2" xfId="34027" xr:uid="{00000000-0005-0000-0000-00002E580000}"/>
    <cellStyle name="Normal 4 6 9 3" xfId="17478" xr:uid="{00000000-0005-0000-0000-00002F580000}"/>
    <cellStyle name="Normal 4 6 9 3 2" xfId="34028" xr:uid="{00000000-0005-0000-0000-000030580000}"/>
    <cellStyle name="Normal 4 6 9 4" xfId="17479" xr:uid="{00000000-0005-0000-0000-000031580000}"/>
    <cellStyle name="Normal 4 6 9 4 2" xfId="34029" xr:uid="{00000000-0005-0000-0000-000032580000}"/>
    <cellStyle name="Normal 4 6 9 5" xfId="17480" xr:uid="{00000000-0005-0000-0000-000033580000}"/>
    <cellStyle name="Normal 4 6 9 5 2" xfId="34030" xr:uid="{00000000-0005-0000-0000-000034580000}"/>
    <cellStyle name="Normal 4 6 9 6" xfId="34026" xr:uid="{00000000-0005-0000-0000-000035580000}"/>
    <cellStyle name="Normal 4 7" xfId="17481" xr:uid="{00000000-0005-0000-0000-000036580000}"/>
    <cellStyle name="Normal 4 7 10" xfId="17482" xr:uid="{00000000-0005-0000-0000-000037580000}"/>
    <cellStyle name="Normal 4 7 10 2" xfId="17483" xr:uid="{00000000-0005-0000-0000-000038580000}"/>
    <cellStyle name="Normal 4 7 10 2 2" xfId="34032" xr:uid="{00000000-0005-0000-0000-000039580000}"/>
    <cellStyle name="Normal 4 7 10 3" xfId="17484" xr:uid="{00000000-0005-0000-0000-00003A580000}"/>
    <cellStyle name="Normal 4 7 10 3 2" xfId="34033" xr:uid="{00000000-0005-0000-0000-00003B580000}"/>
    <cellStyle name="Normal 4 7 10 4" xfId="17485" xr:uid="{00000000-0005-0000-0000-00003C580000}"/>
    <cellStyle name="Normal 4 7 10 4 2" xfId="34034" xr:uid="{00000000-0005-0000-0000-00003D580000}"/>
    <cellStyle name="Normal 4 7 10 5" xfId="17486" xr:uid="{00000000-0005-0000-0000-00003E580000}"/>
    <cellStyle name="Normal 4 7 10 5 2" xfId="34035" xr:uid="{00000000-0005-0000-0000-00003F580000}"/>
    <cellStyle name="Normal 4 7 10 6" xfId="34031" xr:uid="{00000000-0005-0000-0000-000040580000}"/>
    <cellStyle name="Normal 4 7 11" xfId="17487" xr:uid="{00000000-0005-0000-0000-000041580000}"/>
    <cellStyle name="Normal 4 7 11 2" xfId="17488" xr:uid="{00000000-0005-0000-0000-000042580000}"/>
    <cellStyle name="Normal 4 7 11 2 2" xfId="34037" xr:uid="{00000000-0005-0000-0000-000043580000}"/>
    <cellStyle name="Normal 4 7 11 3" xfId="17489" xr:uid="{00000000-0005-0000-0000-000044580000}"/>
    <cellStyle name="Normal 4 7 11 3 2" xfId="34038" xr:uid="{00000000-0005-0000-0000-000045580000}"/>
    <cellStyle name="Normal 4 7 11 4" xfId="17490" xr:uid="{00000000-0005-0000-0000-000046580000}"/>
    <cellStyle name="Normal 4 7 11 4 2" xfId="34039" xr:uid="{00000000-0005-0000-0000-000047580000}"/>
    <cellStyle name="Normal 4 7 11 5" xfId="17491" xr:uid="{00000000-0005-0000-0000-000048580000}"/>
    <cellStyle name="Normal 4 7 11 5 2" xfId="34040" xr:uid="{00000000-0005-0000-0000-000049580000}"/>
    <cellStyle name="Normal 4 7 11 6" xfId="34036" xr:uid="{00000000-0005-0000-0000-00004A580000}"/>
    <cellStyle name="Normal 4 7 12" xfId="17492" xr:uid="{00000000-0005-0000-0000-00004B580000}"/>
    <cellStyle name="Normal 4 7 12 2" xfId="17493" xr:uid="{00000000-0005-0000-0000-00004C580000}"/>
    <cellStyle name="Normal 4 7 12 2 2" xfId="34042" xr:uid="{00000000-0005-0000-0000-00004D580000}"/>
    <cellStyle name="Normal 4 7 12 3" xfId="17494" xr:uid="{00000000-0005-0000-0000-00004E580000}"/>
    <cellStyle name="Normal 4 7 12 3 2" xfId="34043" xr:uid="{00000000-0005-0000-0000-00004F580000}"/>
    <cellStyle name="Normal 4 7 12 4" xfId="17495" xr:uid="{00000000-0005-0000-0000-000050580000}"/>
    <cellStyle name="Normal 4 7 12 4 2" xfId="34044" xr:uid="{00000000-0005-0000-0000-000051580000}"/>
    <cellStyle name="Normal 4 7 12 5" xfId="17496" xr:uid="{00000000-0005-0000-0000-000052580000}"/>
    <cellStyle name="Normal 4 7 12 5 2" xfId="34045" xr:uid="{00000000-0005-0000-0000-000053580000}"/>
    <cellStyle name="Normal 4 7 12 6" xfId="34041" xr:uid="{00000000-0005-0000-0000-000054580000}"/>
    <cellStyle name="Normal 4 7 13" xfId="17497" xr:uid="{00000000-0005-0000-0000-000055580000}"/>
    <cellStyle name="Normal 4 7 13 2" xfId="17498" xr:uid="{00000000-0005-0000-0000-000056580000}"/>
    <cellStyle name="Normal 4 7 13 2 2" xfId="34047" xr:uid="{00000000-0005-0000-0000-000057580000}"/>
    <cellStyle name="Normal 4 7 13 3" xfId="17499" xr:uid="{00000000-0005-0000-0000-000058580000}"/>
    <cellStyle name="Normal 4 7 13 3 2" xfId="34048" xr:uid="{00000000-0005-0000-0000-000059580000}"/>
    <cellStyle name="Normal 4 7 13 4" xfId="17500" xr:uid="{00000000-0005-0000-0000-00005A580000}"/>
    <cellStyle name="Normal 4 7 13 4 2" xfId="34049" xr:uid="{00000000-0005-0000-0000-00005B580000}"/>
    <cellStyle name="Normal 4 7 13 5" xfId="17501" xr:uid="{00000000-0005-0000-0000-00005C580000}"/>
    <cellStyle name="Normal 4 7 13 5 2" xfId="34050" xr:uid="{00000000-0005-0000-0000-00005D580000}"/>
    <cellStyle name="Normal 4 7 13 6" xfId="34046" xr:uid="{00000000-0005-0000-0000-00005E580000}"/>
    <cellStyle name="Normal 4 7 14" xfId="17502" xr:uid="{00000000-0005-0000-0000-00005F580000}"/>
    <cellStyle name="Normal 4 7 14 2" xfId="17503" xr:uid="{00000000-0005-0000-0000-000060580000}"/>
    <cellStyle name="Normal 4 7 14 2 2" xfId="34052" xr:uid="{00000000-0005-0000-0000-000061580000}"/>
    <cellStyle name="Normal 4 7 14 3" xfId="17504" xr:uid="{00000000-0005-0000-0000-000062580000}"/>
    <cellStyle name="Normal 4 7 14 3 2" xfId="34053" xr:uid="{00000000-0005-0000-0000-000063580000}"/>
    <cellStyle name="Normal 4 7 14 4" xfId="17505" xr:uid="{00000000-0005-0000-0000-000064580000}"/>
    <cellStyle name="Normal 4 7 14 4 2" xfId="34054" xr:uid="{00000000-0005-0000-0000-000065580000}"/>
    <cellStyle name="Normal 4 7 14 5" xfId="17506" xr:uid="{00000000-0005-0000-0000-000066580000}"/>
    <cellStyle name="Normal 4 7 14 5 2" xfId="34055" xr:uid="{00000000-0005-0000-0000-000067580000}"/>
    <cellStyle name="Normal 4 7 14 6" xfId="34051" xr:uid="{00000000-0005-0000-0000-000068580000}"/>
    <cellStyle name="Normal 4 7 15" xfId="17507" xr:uid="{00000000-0005-0000-0000-000069580000}"/>
    <cellStyle name="Normal 4 7 15 2" xfId="17508" xr:uid="{00000000-0005-0000-0000-00006A580000}"/>
    <cellStyle name="Normal 4 7 15 2 2" xfId="34057" xr:uid="{00000000-0005-0000-0000-00006B580000}"/>
    <cellStyle name="Normal 4 7 15 3" xfId="17509" xr:uid="{00000000-0005-0000-0000-00006C580000}"/>
    <cellStyle name="Normal 4 7 15 3 2" xfId="34058" xr:uid="{00000000-0005-0000-0000-00006D580000}"/>
    <cellStyle name="Normal 4 7 15 4" xfId="17510" xr:uid="{00000000-0005-0000-0000-00006E580000}"/>
    <cellStyle name="Normal 4 7 15 4 2" xfId="34059" xr:uid="{00000000-0005-0000-0000-00006F580000}"/>
    <cellStyle name="Normal 4 7 15 5" xfId="17511" xr:uid="{00000000-0005-0000-0000-000070580000}"/>
    <cellStyle name="Normal 4 7 15 5 2" xfId="34060" xr:uid="{00000000-0005-0000-0000-000071580000}"/>
    <cellStyle name="Normal 4 7 15 6" xfId="34056" xr:uid="{00000000-0005-0000-0000-000072580000}"/>
    <cellStyle name="Normal 4 7 16" xfId="17512" xr:uid="{00000000-0005-0000-0000-000073580000}"/>
    <cellStyle name="Normal 4 7 16 2" xfId="17513" xr:uid="{00000000-0005-0000-0000-000074580000}"/>
    <cellStyle name="Normal 4 7 16 2 2" xfId="34062" xr:uid="{00000000-0005-0000-0000-000075580000}"/>
    <cellStyle name="Normal 4 7 16 3" xfId="17514" xr:uid="{00000000-0005-0000-0000-000076580000}"/>
    <cellStyle name="Normal 4 7 16 3 2" xfId="34063" xr:uid="{00000000-0005-0000-0000-000077580000}"/>
    <cellStyle name="Normal 4 7 16 4" xfId="17515" xr:uid="{00000000-0005-0000-0000-000078580000}"/>
    <cellStyle name="Normal 4 7 16 4 2" xfId="34064" xr:uid="{00000000-0005-0000-0000-000079580000}"/>
    <cellStyle name="Normal 4 7 16 5" xfId="17516" xr:uid="{00000000-0005-0000-0000-00007A580000}"/>
    <cellStyle name="Normal 4 7 16 5 2" xfId="34065" xr:uid="{00000000-0005-0000-0000-00007B580000}"/>
    <cellStyle name="Normal 4 7 16 6" xfId="34061" xr:uid="{00000000-0005-0000-0000-00007C580000}"/>
    <cellStyle name="Normal 4 7 17" xfId="17517" xr:uid="{00000000-0005-0000-0000-00007D580000}"/>
    <cellStyle name="Normal 4 7 17 2" xfId="17518" xr:uid="{00000000-0005-0000-0000-00007E580000}"/>
    <cellStyle name="Normal 4 7 17 2 2" xfId="34067" xr:uid="{00000000-0005-0000-0000-00007F580000}"/>
    <cellStyle name="Normal 4 7 17 3" xfId="17519" xr:uid="{00000000-0005-0000-0000-000080580000}"/>
    <cellStyle name="Normal 4 7 17 3 2" xfId="34068" xr:uid="{00000000-0005-0000-0000-000081580000}"/>
    <cellStyle name="Normal 4 7 17 4" xfId="17520" xr:uid="{00000000-0005-0000-0000-000082580000}"/>
    <cellStyle name="Normal 4 7 17 4 2" xfId="34069" xr:uid="{00000000-0005-0000-0000-000083580000}"/>
    <cellStyle name="Normal 4 7 17 5" xfId="17521" xr:uid="{00000000-0005-0000-0000-000084580000}"/>
    <cellStyle name="Normal 4 7 17 5 2" xfId="34070" xr:uid="{00000000-0005-0000-0000-000085580000}"/>
    <cellStyle name="Normal 4 7 17 6" xfId="34066" xr:uid="{00000000-0005-0000-0000-000086580000}"/>
    <cellStyle name="Normal 4 7 18" xfId="17522" xr:uid="{00000000-0005-0000-0000-000087580000}"/>
    <cellStyle name="Normal 4 7 18 2" xfId="17523" xr:uid="{00000000-0005-0000-0000-000088580000}"/>
    <cellStyle name="Normal 4 7 18 2 2" xfId="34072" xr:uid="{00000000-0005-0000-0000-000089580000}"/>
    <cellStyle name="Normal 4 7 18 3" xfId="17524" xr:uid="{00000000-0005-0000-0000-00008A580000}"/>
    <cellStyle name="Normal 4 7 18 3 2" xfId="34073" xr:uid="{00000000-0005-0000-0000-00008B580000}"/>
    <cellStyle name="Normal 4 7 18 4" xfId="17525" xr:uid="{00000000-0005-0000-0000-00008C580000}"/>
    <cellStyle name="Normal 4 7 18 4 2" xfId="34074" xr:uid="{00000000-0005-0000-0000-00008D580000}"/>
    <cellStyle name="Normal 4 7 18 5" xfId="17526" xr:uid="{00000000-0005-0000-0000-00008E580000}"/>
    <cellStyle name="Normal 4 7 18 5 2" xfId="34075" xr:uid="{00000000-0005-0000-0000-00008F580000}"/>
    <cellStyle name="Normal 4 7 18 6" xfId="34071" xr:uid="{00000000-0005-0000-0000-000090580000}"/>
    <cellStyle name="Normal 4 7 19" xfId="17527" xr:uid="{00000000-0005-0000-0000-000091580000}"/>
    <cellStyle name="Normal 4 7 19 2" xfId="17528" xr:uid="{00000000-0005-0000-0000-000092580000}"/>
    <cellStyle name="Normal 4 7 19 2 2" xfId="34077" xr:uid="{00000000-0005-0000-0000-000093580000}"/>
    <cellStyle name="Normal 4 7 19 3" xfId="17529" xr:uid="{00000000-0005-0000-0000-000094580000}"/>
    <cellStyle name="Normal 4 7 19 3 2" xfId="34078" xr:uid="{00000000-0005-0000-0000-000095580000}"/>
    <cellStyle name="Normal 4 7 19 4" xfId="17530" xr:uid="{00000000-0005-0000-0000-000096580000}"/>
    <cellStyle name="Normal 4 7 19 4 2" xfId="34079" xr:uid="{00000000-0005-0000-0000-000097580000}"/>
    <cellStyle name="Normal 4 7 19 5" xfId="17531" xr:uid="{00000000-0005-0000-0000-000098580000}"/>
    <cellStyle name="Normal 4 7 19 5 2" xfId="34080" xr:uid="{00000000-0005-0000-0000-000099580000}"/>
    <cellStyle name="Normal 4 7 19 6" xfId="34076" xr:uid="{00000000-0005-0000-0000-00009A580000}"/>
    <cellStyle name="Normal 4 7 2" xfId="17532" xr:uid="{00000000-0005-0000-0000-00009B580000}"/>
    <cellStyle name="Normal 4 7 2 10" xfId="17533" xr:uid="{00000000-0005-0000-0000-00009C580000}"/>
    <cellStyle name="Normal 4 7 2 11" xfId="17534" xr:uid="{00000000-0005-0000-0000-00009D580000}"/>
    <cellStyle name="Normal 4 7 2 12" xfId="17535" xr:uid="{00000000-0005-0000-0000-00009E580000}"/>
    <cellStyle name="Normal 4 7 2 13" xfId="17536" xr:uid="{00000000-0005-0000-0000-00009F580000}"/>
    <cellStyle name="Normal 4 7 2 14" xfId="17537" xr:uid="{00000000-0005-0000-0000-0000A0580000}"/>
    <cellStyle name="Normal 4 7 2 15" xfId="17538" xr:uid="{00000000-0005-0000-0000-0000A1580000}"/>
    <cellStyle name="Normal 4 7 2 16" xfId="17539" xr:uid="{00000000-0005-0000-0000-0000A2580000}"/>
    <cellStyle name="Normal 4 7 2 17" xfId="17540" xr:uid="{00000000-0005-0000-0000-0000A3580000}"/>
    <cellStyle name="Normal 4 7 2 18" xfId="17541" xr:uid="{00000000-0005-0000-0000-0000A4580000}"/>
    <cellStyle name="Normal 4 7 2 19" xfId="17542" xr:uid="{00000000-0005-0000-0000-0000A5580000}"/>
    <cellStyle name="Normal 4 7 2 2" xfId="17543" xr:uid="{00000000-0005-0000-0000-0000A6580000}"/>
    <cellStyle name="Normal 4 7 2 2 2" xfId="17544" xr:uid="{00000000-0005-0000-0000-0000A7580000}"/>
    <cellStyle name="Normal 4 7 2 2 3" xfId="17545" xr:uid="{00000000-0005-0000-0000-0000A8580000}"/>
    <cellStyle name="Normal 4 7 2 2 4" xfId="17546" xr:uid="{00000000-0005-0000-0000-0000A9580000}"/>
    <cellStyle name="Normal 4 7 2 2 5" xfId="17547" xr:uid="{00000000-0005-0000-0000-0000AA580000}"/>
    <cellStyle name="Normal 4 7 2 2 6" xfId="17548" xr:uid="{00000000-0005-0000-0000-0000AB580000}"/>
    <cellStyle name="Normal 4 7 2 2 7" xfId="17549" xr:uid="{00000000-0005-0000-0000-0000AC580000}"/>
    <cellStyle name="Normal 4 7 2 20" xfId="17550" xr:uid="{00000000-0005-0000-0000-0000AD580000}"/>
    <cellStyle name="Normal 4 7 2 21" xfId="17551" xr:uid="{00000000-0005-0000-0000-0000AE580000}"/>
    <cellStyle name="Normal 4 7 2 22" xfId="34081" xr:uid="{00000000-0005-0000-0000-0000AF580000}"/>
    <cellStyle name="Normal 4 7 2 3" xfId="17552" xr:uid="{00000000-0005-0000-0000-0000B0580000}"/>
    <cellStyle name="Normal 4 7 2 4" xfId="17553" xr:uid="{00000000-0005-0000-0000-0000B1580000}"/>
    <cellStyle name="Normal 4 7 2 5" xfId="17554" xr:uid="{00000000-0005-0000-0000-0000B2580000}"/>
    <cellStyle name="Normal 4 7 2 6" xfId="17555" xr:uid="{00000000-0005-0000-0000-0000B3580000}"/>
    <cellStyle name="Normal 4 7 2 7" xfId="17556" xr:uid="{00000000-0005-0000-0000-0000B4580000}"/>
    <cellStyle name="Normal 4 7 2 8" xfId="17557" xr:uid="{00000000-0005-0000-0000-0000B5580000}"/>
    <cellStyle name="Normal 4 7 2 9" xfId="17558" xr:uid="{00000000-0005-0000-0000-0000B6580000}"/>
    <cellStyle name="Normal 4 7 20" xfId="17559" xr:uid="{00000000-0005-0000-0000-0000B7580000}"/>
    <cellStyle name="Normal 4 7 20 2" xfId="17560" xr:uid="{00000000-0005-0000-0000-0000B8580000}"/>
    <cellStyle name="Normal 4 7 20 2 2" xfId="34083" xr:uid="{00000000-0005-0000-0000-0000B9580000}"/>
    <cellStyle name="Normal 4 7 20 3" xfId="17561" xr:uid="{00000000-0005-0000-0000-0000BA580000}"/>
    <cellStyle name="Normal 4 7 20 3 2" xfId="34084" xr:uid="{00000000-0005-0000-0000-0000BB580000}"/>
    <cellStyle name="Normal 4 7 20 4" xfId="17562" xr:uid="{00000000-0005-0000-0000-0000BC580000}"/>
    <cellStyle name="Normal 4 7 20 4 2" xfId="34085" xr:uid="{00000000-0005-0000-0000-0000BD580000}"/>
    <cellStyle name="Normal 4 7 20 5" xfId="17563" xr:uid="{00000000-0005-0000-0000-0000BE580000}"/>
    <cellStyle name="Normal 4 7 20 5 2" xfId="34086" xr:uid="{00000000-0005-0000-0000-0000BF580000}"/>
    <cellStyle name="Normal 4 7 20 6" xfId="34082" xr:uid="{00000000-0005-0000-0000-0000C0580000}"/>
    <cellStyle name="Normal 4 7 21" xfId="17564" xr:uid="{00000000-0005-0000-0000-0000C1580000}"/>
    <cellStyle name="Normal 4 7 21 2" xfId="34087" xr:uid="{00000000-0005-0000-0000-0000C2580000}"/>
    <cellStyle name="Normal 4 7 22" xfId="17565" xr:uid="{00000000-0005-0000-0000-0000C3580000}"/>
    <cellStyle name="Normal 4 7 22 2" xfId="34088" xr:uid="{00000000-0005-0000-0000-0000C4580000}"/>
    <cellStyle name="Normal 4 7 23" xfId="17566" xr:uid="{00000000-0005-0000-0000-0000C5580000}"/>
    <cellStyle name="Normal 4 7 23 2" xfId="34089" xr:uid="{00000000-0005-0000-0000-0000C6580000}"/>
    <cellStyle name="Normal 4 7 24" xfId="17567" xr:uid="{00000000-0005-0000-0000-0000C7580000}"/>
    <cellStyle name="Normal 4 7 24 2" xfId="34090" xr:uid="{00000000-0005-0000-0000-0000C8580000}"/>
    <cellStyle name="Normal 4 7 25" xfId="17568" xr:uid="{00000000-0005-0000-0000-0000C9580000}"/>
    <cellStyle name="Normal 4 7 25 2" xfId="34091" xr:uid="{00000000-0005-0000-0000-0000CA580000}"/>
    <cellStyle name="Normal 4 7 26" xfId="40715" xr:uid="{00000000-0005-0000-0000-0000CB580000}"/>
    <cellStyle name="Normal 4 7 3" xfId="17569" xr:uid="{00000000-0005-0000-0000-0000CC580000}"/>
    <cellStyle name="Normal 4 7 3 10" xfId="17570" xr:uid="{00000000-0005-0000-0000-0000CD580000}"/>
    <cellStyle name="Normal 4 7 3 11" xfId="17571" xr:uid="{00000000-0005-0000-0000-0000CE580000}"/>
    <cellStyle name="Normal 4 7 3 12" xfId="17572" xr:uid="{00000000-0005-0000-0000-0000CF580000}"/>
    <cellStyle name="Normal 4 7 3 13" xfId="17573" xr:uid="{00000000-0005-0000-0000-0000D0580000}"/>
    <cellStyle name="Normal 4 7 3 14" xfId="17574" xr:uid="{00000000-0005-0000-0000-0000D1580000}"/>
    <cellStyle name="Normal 4 7 3 15" xfId="17575" xr:uid="{00000000-0005-0000-0000-0000D2580000}"/>
    <cellStyle name="Normal 4 7 3 16" xfId="17576" xr:uid="{00000000-0005-0000-0000-0000D3580000}"/>
    <cellStyle name="Normal 4 7 3 2" xfId="17577" xr:uid="{00000000-0005-0000-0000-0000D4580000}"/>
    <cellStyle name="Normal 4 7 3 3" xfId="17578" xr:uid="{00000000-0005-0000-0000-0000D5580000}"/>
    <cellStyle name="Normal 4 7 3 4" xfId="17579" xr:uid="{00000000-0005-0000-0000-0000D6580000}"/>
    <cellStyle name="Normal 4 7 3 5" xfId="17580" xr:uid="{00000000-0005-0000-0000-0000D7580000}"/>
    <cellStyle name="Normal 4 7 3 6" xfId="17581" xr:uid="{00000000-0005-0000-0000-0000D8580000}"/>
    <cellStyle name="Normal 4 7 3 7" xfId="17582" xr:uid="{00000000-0005-0000-0000-0000D9580000}"/>
    <cellStyle name="Normal 4 7 3 8" xfId="17583" xr:uid="{00000000-0005-0000-0000-0000DA580000}"/>
    <cellStyle name="Normal 4 7 3 9" xfId="17584" xr:uid="{00000000-0005-0000-0000-0000DB580000}"/>
    <cellStyle name="Normal 4 7 4" xfId="17585" xr:uid="{00000000-0005-0000-0000-0000DC580000}"/>
    <cellStyle name="Normal 4 7 4 10" xfId="17586" xr:uid="{00000000-0005-0000-0000-0000DD580000}"/>
    <cellStyle name="Normal 4 7 4 10 2" xfId="17587" xr:uid="{00000000-0005-0000-0000-0000DE580000}"/>
    <cellStyle name="Normal 4 7 4 10 2 2" xfId="34094" xr:uid="{00000000-0005-0000-0000-0000DF580000}"/>
    <cellStyle name="Normal 4 7 4 10 3" xfId="17588" xr:uid="{00000000-0005-0000-0000-0000E0580000}"/>
    <cellStyle name="Normal 4 7 4 10 3 2" xfId="34095" xr:uid="{00000000-0005-0000-0000-0000E1580000}"/>
    <cellStyle name="Normal 4 7 4 10 4" xfId="17589" xr:uid="{00000000-0005-0000-0000-0000E2580000}"/>
    <cellStyle name="Normal 4 7 4 10 4 2" xfId="34096" xr:uid="{00000000-0005-0000-0000-0000E3580000}"/>
    <cellStyle name="Normal 4 7 4 10 5" xfId="17590" xr:uid="{00000000-0005-0000-0000-0000E4580000}"/>
    <cellStyle name="Normal 4 7 4 10 5 2" xfId="34097" xr:uid="{00000000-0005-0000-0000-0000E5580000}"/>
    <cellStyle name="Normal 4 7 4 10 6" xfId="34093" xr:uid="{00000000-0005-0000-0000-0000E6580000}"/>
    <cellStyle name="Normal 4 7 4 11" xfId="17591" xr:uid="{00000000-0005-0000-0000-0000E7580000}"/>
    <cellStyle name="Normal 4 7 4 11 2" xfId="17592" xr:uid="{00000000-0005-0000-0000-0000E8580000}"/>
    <cellStyle name="Normal 4 7 4 11 2 2" xfId="34099" xr:uid="{00000000-0005-0000-0000-0000E9580000}"/>
    <cellStyle name="Normal 4 7 4 11 3" xfId="17593" xr:uid="{00000000-0005-0000-0000-0000EA580000}"/>
    <cellStyle name="Normal 4 7 4 11 3 2" xfId="34100" xr:uid="{00000000-0005-0000-0000-0000EB580000}"/>
    <cellStyle name="Normal 4 7 4 11 4" xfId="17594" xr:uid="{00000000-0005-0000-0000-0000EC580000}"/>
    <cellStyle name="Normal 4 7 4 11 4 2" xfId="34101" xr:uid="{00000000-0005-0000-0000-0000ED580000}"/>
    <cellStyle name="Normal 4 7 4 11 5" xfId="17595" xr:uid="{00000000-0005-0000-0000-0000EE580000}"/>
    <cellStyle name="Normal 4 7 4 11 5 2" xfId="34102" xr:uid="{00000000-0005-0000-0000-0000EF580000}"/>
    <cellStyle name="Normal 4 7 4 11 6" xfId="34098" xr:uid="{00000000-0005-0000-0000-0000F0580000}"/>
    <cellStyle name="Normal 4 7 4 12" xfId="17596" xr:uid="{00000000-0005-0000-0000-0000F1580000}"/>
    <cellStyle name="Normal 4 7 4 12 2" xfId="17597" xr:uid="{00000000-0005-0000-0000-0000F2580000}"/>
    <cellStyle name="Normal 4 7 4 12 2 2" xfId="34104" xr:uid="{00000000-0005-0000-0000-0000F3580000}"/>
    <cellStyle name="Normal 4 7 4 12 3" xfId="17598" xr:uid="{00000000-0005-0000-0000-0000F4580000}"/>
    <cellStyle name="Normal 4 7 4 12 3 2" xfId="34105" xr:uid="{00000000-0005-0000-0000-0000F5580000}"/>
    <cellStyle name="Normal 4 7 4 12 4" xfId="17599" xr:uid="{00000000-0005-0000-0000-0000F6580000}"/>
    <cellStyle name="Normal 4 7 4 12 4 2" xfId="34106" xr:uid="{00000000-0005-0000-0000-0000F7580000}"/>
    <cellStyle name="Normal 4 7 4 12 5" xfId="17600" xr:uid="{00000000-0005-0000-0000-0000F8580000}"/>
    <cellStyle name="Normal 4 7 4 12 5 2" xfId="34107" xr:uid="{00000000-0005-0000-0000-0000F9580000}"/>
    <cellStyle name="Normal 4 7 4 12 6" xfId="34103" xr:uid="{00000000-0005-0000-0000-0000FA580000}"/>
    <cellStyle name="Normal 4 7 4 13" xfId="17601" xr:uid="{00000000-0005-0000-0000-0000FB580000}"/>
    <cellStyle name="Normal 4 7 4 13 2" xfId="17602" xr:uid="{00000000-0005-0000-0000-0000FC580000}"/>
    <cellStyle name="Normal 4 7 4 13 2 2" xfId="34109" xr:uid="{00000000-0005-0000-0000-0000FD580000}"/>
    <cellStyle name="Normal 4 7 4 13 3" xfId="17603" xr:uid="{00000000-0005-0000-0000-0000FE580000}"/>
    <cellStyle name="Normal 4 7 4 13 3 2" xfId="34110" xr:uid="{00000000-0005-0000-0000-0000FF580000}"/>
    <cellStyle name="Normal 4 7 4 13 4" xfId="17604" xr:uid="{00000000-0005-0000-0000-000000590000}"/>
    <cellStyle name="Normal 4 7 4 13 4 2" xfId="34111" xr:uid="{00000000-0005-0000-0000-000001590000}"/>
    <cellStyle name="Normal 4 7 4 13 5" xfId="17605" xr:uid="{00000000-0005-0000-0000-000002590000}"/>
    <cellStyle name="Normal 4 7 4 13 5 2" xfId="34112" xr:uid="{00000000-0005-0000-0000-000003590000}"/>
    <cellStyle name="Normal 4 7 4 13 6" xfId="34108" xr:uid="{00000000-0005-0000-0000-000004590000}"/>
    <cellStyle name="Normal 4 7 4 14" xfId="17606" xr:uid="{00000000-0005-0000-0000-000005590000}"/>
    <cellStyle name="Normal 4 7 4 14 2" xfId="17607" xr:uid="{00000000-0005-0000-0000-000006590000}"/>
    <cellStyle name="Normal 4 7 4 14 2 2" xfId="34114" xr:uid="{00000000-0005-0000-0000-000007590000}"/>
    <cellStyle name="Normal 4 7 4 14 3" xfId="17608" xr:uid="{00000000-0005-0000-0000-000008590000}"/>
    <cellStyle name="Normal 4 7 4 14 3 2" xfId="34115" xr:uid="{00000000-0005-0000-0000-000009590000}"/>
    <cellStyle name="Normal 4 7 4 14 4" xfId="17609" xr:uid="{00000000-0005-0000-0000-00000A590000}"/>
    <cellStyle name="Normal 4 7 4 14 4 2" xfId="34116" xr:uid="{00000000-0005-0000-0000-00000B590000}"/>
    <cellStyle name="Normal 4 7 4 14 5" xfId="17610" xr:uid="{00000000-0005-0000-0000-00000C590000}"/>
    <cellStyle name="Normal 4 7 4 14 5 2" xfId="34117" xr:uid="{00000000-0005-0000-0000-00000D590000}"/>
    <cellStyle name="Normal 4 7 4 14 6" xfId="34113" xr:uid="{00000000-0005-0000-0000-00000E590000}"/>
    <cellStyle name="Normal 4 7 4 15" xfId="17611" xr:uid="{00000000-0005-0000-0000-00000F590000}"/>
    <cellStyle name="Normal 4 7 4 15 2" xfId="17612" xr:uid="{00000000-0005-0000-0000-000010590000}"/>
    <cellStyle name="Normal 4 7 4 15 2 2" xfId="34119" xr:uid="{00000000-0005-0000-0000-000011590000}"/>
    <cellStyle name="Normal 4 7 4 15 3" xfId="17613" xr:uid="{00000000-0005-0000-0000-000012590000}"/>
    <cellStyle name="Normal 4 7 4 15 3 2" xfId="34120" xr:uid="{00000000-0005-0000-0000-000013590000}"/>
    <cellStyle name="Normal 4 7 4 15 4" xfId="17614" xr:uid="{00000000-0005-0000-0000-000014590000}"/>
    <cellStyle name="Normal 4 7 4 15 4 2" xfId="34121" xr:uid="{00000000-0005-0000-0000-000015590000}"/>
    <cellStyle name="Normal 4 7 4 15 5" xfId="17615" xr:uid="{00000000-0005-0000-0000-000016590000}"/>
    <cellStyle name="Normal 4 7 4 15 5 2" xfId="34122" xr:uid="{00000000-0005-0000-0000-000017590000}"/>
    <cellStyle name="Normal 4 7 4 15 6" xfId="34118" xr:uid="{00000000-0005-0000-0000-000018590000}"/>
    <cellStyle name="Normal 4 7 4 16" xfId="17616" xr:uid="{00000000-0005-0000-0000-000019590000}"/>
    <cellStyle name="Normal 4 7 4 16 2" xfId="17617" xr:uid="{00000000-0005-0000-0000-00001A590000}"/>
    <cellStyle name="Normal 4 7 4 16 2 2" xfId="34124" xr:uid="{00000000-0005-0000-0000-00001B590000}"/>
    <cellStyle name="Normal 4 7 4 16 3" xfId="17618" xr:uid="{00000000-0005-0000-0000-00001C590000}"/>
    <cellStyle name="Normal 4 7 4 16 3 2" xfId="34125" xr:uid="{00000000-0005-0000-0000-00001D590000}"/>
    <cellStyle name="Normal 4 7 4 16 4" xfId="17619" xr:uid="{00000000-0005-0000-0000-00001E590000}"/>
    <cellStyle name="Normal 4 7 4 16 4 2" xfId="34126" xr:uid="{00000000-0005-0000-0000-00001F590000}"/>
    <cellStyle name="Normal 4 7 4 16 5" xfId="17620" xr:uid="{00000000-0005-0000-0000-000020590000}"/>
    <cellStyle name="Normal 4 7 4 16 5 2" xfId="34127" xr:uid="{00000000-0005-0000-0000-000021590000}"/>
    <cellStyle name="Normal 4 7 4 16 6" xfId="34123" xr:uid="{00000000-0005-0000-0000-000022590000}"/>
    <cellStyle name="Normal 4 7 4 17" xfId="17621" xr:uid="{00000000-0005-0000-0000-000023590000}"/>
    <cellStyle name="Normal 4 7 4 17 2" xfId="34128" xr:uid="{00000000-0005-0000-0000-000024590000}"/>
    <cellStyle name="Normal 4 7 4 18" xfId="17622" xr:uid="{00000000-0005-0000-0000-000025590000}"/>
    <cellStyle name="Normal 4 7 4 18 2" xfId="34129" xr:uid="{00000000-0005-0000-0000-000026590000}"/>
    <cellStyle name="Normal 4 7 4 19" xfId="17623" xr:uid="{00000000-0005-0000-0000-000027590000}"/>
    <cellStyle name="Normal 4 7 4 19 2" xfId="34130" xr:uid="{00000000-0005-0000-0000-000028590000}"/>
    <cellStyle name="Normal 4 7 4 2" xfId="17624" xr:uid="{00000000-0005-0000-0000-000029590000}"/>
    <cellStyle name="Normal 4 7 4 20" xfId="17625" xr:uid="{00000000-0005-0000-0000-00002A590000}"/>
    <cellStyle name="Normal 4 7 4 20 2" xfId="34131" xr:uid="{00000000-0005-0000-0000-00002B590000}"/>
    <cellStyle name="Normal 4 7 4 21" xfId="34092" xr:uid="{00000000-0005-0000-0000-00002C590000}"/>
    <cellStyle name="Normal 4 7 4 3" xfId="17626" xr:uid="{00000000-0005-0000-0000-00002D590000}"/>
    <cellStyle name="Normal 4 7 4 3 2" xfId="17627" xr:uid="{00000000-0005-0000-0000-00002E590000}"/>
    <cellStyle name="Normal 4 7 4 3 2 2" xfId="34133" xr:uid="{00000000-0005-0000-0000-00002F590000}"/>
    <cellStyle name="Normal 4 7 4 3 3" xfId="17628" xr:uid="{00000000-0005-0000-0000-000030590000}"/>
    <cellStyle name="Normal 4 7 4 3 3 2" xfId="34134" xr:uid="{00000000-0005-0000-0000-000031590000}"/>
    <cellStyle name="Normal 4 7 4 3 4" xfId="17629" xr:uid="{00000000-0005-0000-0000-000032590000}"/>
    <cellStyle name="Normal 4 7 4 3 4 2" xfId="34135" xr:uid="{00000000-0005-0000-0000-000033590000}"/>
    <cellStyle name="Normal 4 7 4 3 5" xfId="17630" xr:uid="{00000000-0005-0000-0000-000034590000}"/>
    <cellStyle name="Normal 4 7 4 3 5 2" xfId="34136" xr:uid="{00000000-0005-0000-0000-000035590000}"/>
    <cellStyle name="Normal 4 7 4 3 6" xfId="34132" xr:uid="{00000000-0005-0000-0000-000036590000}"/>
    <cellStyle name="Normal 4 7 4 4" xfId="17631" xr:uid="{00000000-0005-0000-0000-000037590000}"/>
    <cellStyle name="Normal 4 7 4 4 2" xfId="17632" xr:uid="{00000000-0005-0000-0000-000038590000}"/>
    <cellStyle name="Normal 4 7 4 4 2 2" xfId="34138" xr:uid="{00000000-0005-0000-0000-000039590000}"/>
    <cellStyle name="Normal 4 7 4 4 3" xfId="17633" xr:uid="{00000000-0005-0000-0000-00003A590000}"/>
    <cellStyle name="Normal 4 7 4 4 3 2" xfId="34139" xr:uid="{00000000-0005-0000-0000-00003B590000}"/>
    <cellStyle name="Normal 4 7 4 4 4" xfId="17634" xr:uid="{00000000-0005-0000-0000-00003C590000}"/>
    <cellStyle name="Normal 4 7 4 4 4 2" xfId="34140" xr:uid="{00000000-0005-0000-0000-00003D590000}"/>
    <cellStyle name="Normal 4 7 4 4 5" xfId="17635" xr:uid="{00000000-0005-0000-0000-00003E590000}"/>
    <cellStyle name="Normal 4 7 4 4 5 2" xfId="34141" xr:uid="{00000000-0005-0000-0000-00003F590000}"/>
    <cellStyle name="Normal 4 7 4 4 6" xfId="34137" xr:uid="{00000000-0005-0000-0000-000040590000}"/>
    <cellStyle name="Normal 4 7 4 5" xfId="17636" xr:uid="{00000000-0005-0000-0000-000041590000}"/>
    <cellStyle name="Normal 4 7 4 5 2" xfId="17637" xr:uid="{00000000-0005-0000-0000-000042590000}"/>
    <cellStyle name="Normal 4 7 4 5 2 2" xfId="34143" xr:uid="{00000000-0005-0000-0000-000043590000}"/>
    <cellStyle name="Normal 4 7 4 5 3" xfId="17638" xr:uid="{00000000-0005-0000-0000-000044590000}"/>
    <cellStyle name="Normal 4 7 4 5 3 2" xfId="34144" xr:uid="{00000000-0005-0000-0000-000045590000}"/>
    <cellStyle name="Normal 4 7 4 5 4" xfId="17639" xr:uid="{00000000-0005-0000-0000-000046590000}"/>
    <cellStyle name="Normal 4 7 4 5 4 2" xfId="34145" xr:uid="{00000000-0005-0000-0000-000047590000}"/>
    <cellStyle name="Normal 4 7 4 5 5" xfId="17640" xr:uid="{00000000-0005-0000-0000-000048590000}"/>
    <cellStyle name="Normal 4 7 4 5 5 2" xfId="34146" xr:uid="{00000000-0005-0000-0000-000049590000}"/>
    <cellStyle name="Normal 4 7 4 5 6" xfId="34142" xr:uid="{00000000-0005-0000-0000-00004A590000}"/>
    <cellStyle name="Normal 4 7 4 6" xfId="17641" xr:uid="{00000000-0005-0000-0000-00004B590000}"/>
    <cellStyle name="Normal 4 7 4 6 2" xfId="17642" xr:uid="{00000000-0005-0000-0000-00004C590000}"/>
    <cellStyle name="Normal 4 7 4 6 2 2" xfId="34148" xr:uid="{00000000-0005-0000-0000-00004D590000}"/>
    <cellStyle name="Normal 4 7 4 6 3" xfId="17643" xr:uid="{00000000-0005-0000-0000-00004E590000}"/>
    <cellStyle name="Normal 4 7 4 6 3 2" xfId="34149" xr:uid="{00000000-0005-0000-0000-00004F590000}"/>
    <cellStyle name="Normal 4 7 4 6 4" xfId="17644" xr:uid="{00000000-0005-0000-0000-000050590000}"/>
    <cellStyle name="Normal 4 7 4 6 4 2" xfId="34150" xr:uid="{00000000-0005-0000-0000-000051590000}"/>
    <cellStyle name="Normal 4 7 4 6 5" xfId="17645" xr:uid="{00000000-0005-0000-0000-000052590000}"/>
    <cellStyle name="Normal 4 7 4 6 5 2" xfId="34151" xr:uid="{00000000-0005-0000-0000-000053590000}"/>
    <cellStyle name="Normal 4 7 4 6 6" xfId="34147" xr:uid="{00000000-0005-0000-0000-000054590000}"/>
    <cellStyle name="Normal 4 7 4 7" xfId="17646" xr:uid="{00000000-0005-0000-0000-000055590000}"/>
    <cellStyle name="Normal 4 7 4 7 2" xfId="17647" xr:uid="{00000000-0005-0000-0000-000056590000}"/>
    <cellStyle name="Normal 4 7 4 7 2 2" xfId="34153" xr:uid="{00000000-0005-0000-0000-000057590000}"/>
    <cellStyle name="Normal 4 7 4 7 3" xfId="17648" xr:uid="{00000000-0005-0000-0000-000058590000}"/>
    <cellStyle name="Normal 4 7 4 7 3 2" xfId="34154" xr:uid="{00000000-0005-0000-0000-000059590000}"/>
    <cellStyle name="Normal 4 7 4 7 4" xfId="17649" xr:uid="{00000000-0005-0000-0000-00005A590000}"/>
    <cellStyle name="Normal 4 7 4 7 4 2" xfId="34155" xr:uid="{00000000-0005-0000-0000-00005B590000}"/>
    <cellStyle name="Normal 4 7 4 7 5" xfId="17650" xr:uid="{00000000-0005-0000-0000-00005C590000}"/>
    <cellStyle name="Normal 4 7 4 7 5 2" xfId="34156" xr:uid="{00000000-0005-0000-0000-00005D590000}"/>
    <cellStyle name="Normal 4 7 4 7 6" xfId="34152" xr:uid="{00000000-0005-0000-0000-00005E590000}"/>
    <cellStyle name="Normal 4 7 4 8" xfId="17651" xr:uid="{00000000-0005-0000-0000-00005F590000}"/>
    <cellStyle name="Normal 4 7 4 8 2" xfId="17652" xr:uid="{00000000-0005-0000-0000-000060590000}"/>
    <cellStyle name="Normal 4 7 4 8 2 2" xfId="34158" xr:uid="{00000000-0005-0000-0000-000061590000}"/>
    <cellStyle name="Normal 4 7 4 8 3" xfId="17653" xr:uid="{00000000-0005-0000-0000-000062590000}"/>
    <cellStyle name="Normal 4 7 4 8 3 2" xfId="34159" xr:uid="{00000000-0005-0000-0000-000063590000}"/>
    <cellStyle name="Normal 4 7 4 8 4" xfId="17654" xr:uid="{00000000-0005-0000-0000-000064590000}"/>
    <cellStyle name="Normal 4 7 4 8 4 2" xfId="34160" xr:uid="{00000000-0005-0000-0000-000065590000}"/>
    <cellStyle name="Normal 4 7 4 8 5" xfId="17655" xr:uid="{00000000-0005-0000-0000-000066590000}"/>
    <cellStyle name="Normal 4 7 4 8 5 2" xfId="34161" xr:uid="{00000000-0005-0000-0000-000067590000}"/>
    <cellStyle name="Normal 4 7 4 8 6" xfId="34157" xr:uid="{00000000-0005-0000-0000-000068590000}"/>
    <cellStyle name="Normal 4 7 4 9" xfId="17656" xr:uid="{00000000-0005-0000-0000-000069590000}"/>
    <cellStyle name="Normal 4 7 4 9 2" xfId="17657" xr:uid="{00000000-0005-0000-0000-00006A590000}"/>
    <cellStyle name="Normal 4 7 4 9 2 2" xfId="34163" xr:uid="{00000000-0005-0000-0000-00006B590000}"/>
    <cellStyle name="Normal 4 7 4 9 3" xfId="17658" xr:uid="{00000000-0005-0000-0000-00006C590000}"/>
    <cellStyle name="Normal 4 7 4 9 3 2" xfId="34164" xr:uid="{00000000-0005-0000-0000-00006D590000}"/>
    <cellStyle name="Normal 4 7 4 9 4" xfId="17659" xr:uid="{00000000-0005-0000-0000-00006E590000}"/>
    <cellStyle name="Normal 4 7 4 9 4 2" xfId="34165" xr:uid="{00000000-0005-0000-0000-00006F590000}"/>
    <cellStyle name="Normal 4 7 4 9 5" xfId="17660" xr:uid="{00000000-0005-0000-0000-000070590000}"/>
    <cellStyle name="Normal 4 7 4 9 5 2" xfId="34166" xr:uid="{00000000-0005-0000-0000-000071590000}"/>
    <cellStyle name="Normal 4 7 4 9 6" xfId="34162" xr:uid="{00000000-0005-0000-0000-000072590000}"/>
    <cellStyle name="Normal 4 7 5" xfId="17661" xr:uid="{00000000-0005-0000-0000-000073590000}"/>
    <cellStyle name="Normal 4 7 5 2" xfId="17662" xr:uid="{00000000-0005-0000-0000-000074590000}"/>
    <cellStyle name="Normal 4 7 5 3" xfId="17663" xr:uid="{00000000-0005-0000-0000-000075590000}"/>
    <cellStyle name="Normal 4 7 5 3 2" xfId="34168" xr:uid="{00000000-0005-0000-0000-000076590000}"/>
    <cellStyle name="Normal 4 7 5 4" xfId="17664" xr:uid="{00000000-0005-0000-0000-000077590000}"/>
    <cellStyle name="Normal 4 7 5 4 2" xfId="34169" xr:uid="{00000000-0005-0000-0000-000078590000}"/>
    <cellStyle name="Normal 4 7 5 5" xfId="17665" xr:uid="{00000000-0005-0000-0000-000079590000}"/>
    <cellStyle name="Normal 4 7 5 5 2" xfId="34170" xr:uid="{00000000-0005-0000-0000-00007A590000}"/>
    <cellStyle name="Normal 4 7 5 6" xfId="17666" xr:uid="{00000000-0005-0000-0000-00007B590000}"/>
    <cellStyle name="Normal 4 7 5 6 2" xfId="34171" xr:uid="{00000000-0005-0000-0000-00007C590000}"/>
    <cellStyle name="Normal 4 7 5 7" xfId="34167" xr:uid="{00000000-0005-0000-0000-00007D590000}"/>
    <cellStyle name="Normal 4 7 6" xfId="17667" xr:uid="{00000000-0005-0000-0000-00007E590000}"/>
    <cellStyle name="Normal 4 7 6 2" xfId="17668" xr:uid="{00000000-0005-0000-0000-00007F590000}"/>
    <cellStyle name="Normal 4 7 6 3" xfId="17669" xr:uid="{00000000-0005-0000-0000-000080590000}"/>
    <cellStyle name="Normal 4 7 6 3 2" xfId="34173" xr:uid="{00000000-0005-0000-0000-000081590000}"/>
    <cellStyle name="Normal 4 7 6 4" xfId="17670" xr:uid="{00000000-0005-0000-0000-000082590000}"/>
    <cellStyle name="Normal 4 7 6 4 2" xfId="34174" xr:uid="{00000000-0005-0000-0000-000083590000}"/>
    <cellStyle name="Normal 4 7 6 5" xfId="17671" xr:uid="{00000000-0005-0000-0000-000084590000}"/>
    <cellStyle name="Normal 4 7 6 5 2" xfId="34175" xr:uid="{00000000-0005-0000-0000-000085590000}"/>
    <cellStyle name="Normal 4 7 6 6" xfId="17672" xr:uid="{00000000-0005-0000-0000-000086590000}"/>
    <cellStyle name="Normal 4 7 6 6 2" xfId="34176" xr:uid="{00000000-0005-0000-0000-000087590000}"/>
    <cellStyle name="Normal 4 7 6 7" xfId="34172" xr:uid="{00000000-0005-0000-0000-000088590000}"/>
    <cellStyle name="Normal 4 7 7" xfId="17673" xr:uid="{00000000-0005-0000-0000-000089590000}"/>
    <cellStyle name="Normal 4 7 7 2" xfId="17674" xr:uid="{00000000-0005-0000-0000-00008A590000}"/>
    <cellStyle name="Normal 4 7 7 2 2" xfId="34178" xr:uid="{00000000-0005-0000-0000-00008B590000}"/>
    <cellStyle name="Normal 4 7 7 3" xfId="17675" xr:uid="{00000000-0005-0000-0000-00008C590000}"/>
    <cellStyle name="Normal 4 7 7 3 2" xfId="34179" xr:uid="{00000000-0005-0000-0000-00008D590000}"/>
    <cellStyle name="Normal 4 7 7 4" xfId="17676" xr:uid="{00000000-0005-0000-0000-00008E590000}"/>
    <cellStyle name="Normal 4 7 7 4 2" xfId="34180" xr:uid="{00000000-0005-0000-0000-00008F590000}"/>
    <cellStyle name="Normal 4 7 7 5" xfId="17677" xr:uid="{00000000-0005-0000-0000-000090590000}"/>
    <cellStyle name="Normal 4 7 7 5 2" xfId="34181" xr:uid="{00000000-0005-0000-0000-000091590000}"/>
    <cellStyle name="Normal 4 7 7 6" xfId="34177" xr:uid="{00000000-0005-0000-0000-000092590000}"/>
    <cellStyle name="Normal 4 7 8" xfId="17678" xr:uid="{00000000-0005-0000-0000-000093590000}"/>
    <cellStyle name="Normal 4 7 8 2" xfId="17679" xr:uid="{00000000-0005-0000-0000-000094590000}"/>
    <cellStyle name="Normal 4 7 8 2 2" xfId="34183" xr:uid="{00000000-0005-0000-0000-000095590000}"/>
    <cellStyle name="Normal 4 7 8 3" xfId="17680" xr:uid="{00000000-0005-0000-0000-000096590000}"/>
    <cellStyle name="Normal 4 7 8 3 2" xfId="34184" xr:uid="{00000000-0005-0000-0000-000097590000}"/>
    <cellStyle name="Normal 4 7 8 4" xfId="17681" xr:uid="{00000000-0005-0000-0000-000098590000}"/>
    <cellStyle name="Normal 4 7 8 4 2" xfId="34185" xr:uid="{00000000-0005-0000-0000-000099590000}"/>
    <cellStyle name="Normal 4 7 8 5" xfId="17682" xr:uid="{00000000-0005-0000-0000-00009A590000}"/>
    <cellStyle name="Normal 4 7 8 5 2" xfId="34186" xr:uid="{00000000-0005-0000-0000-00009B590000}"/>
    <cellStyle name="Normal 4 7 8 6" xfId="34182" xr:uid="{00000000-0005-0000-0000-00009C590000}"/>
    <cellStyle name="Normal 4 7 9" xfId="17683" xr:uid="{00000000-0005-0000-0000-00009D590000}"/>
    <cellStyle name="Normal 4 7 9 2" xfId="17684" xr:uid="{00000000-0005-0000-0000-00009E590000}"/>
    <cellStyle name="Normal 4 7 9 2 2" xfId="34188" xr:uid="{00000000-0005-0000-0000-00009F590000}"/>
    <cellStyle name="Normal 4 7 9 3" xfId="17685" xr:uid="{00000000-0005-0000-0000-0000A0590000}"/>
    <cellStyle name="Normal 4 7 9 3 2" xfId="34189" xr:uid="{00000000-0005-0000-0000-0000A1590000}"/>
    <cellStyle name="Normal 4 7 9 4" xfId="17686" xr:uid="{00000000-0005-0000-0000-0000A2590000}"/>
    <cellStyle name="Normal 4 7 9 4 2" xfId="34190" xr:uid="{00000000-0005-0000-0000-0000A3590000}"/>
    <cellStyle name="Normal 4 7 9 5" xfId="17687" xr:uid="{00000000-0005-0000-0000-0000A4590000}"/>
    <cellStyle name="Normal 4 7 9 5 2" xfId="34191" xr:uid="{00000000-0005-0000-0000-0000A5590000}"/>
    <cellStyle name="Normal 4 7 9 6" xfId="34187" xr:uid="{00000000-0005-0000-0000-0000A6590000}"/>
    <cellStyle name="Normal 4 8" xfId="17688" xr:uid="{00000000-0005-0000-0000-0000A7590000}"/>
    <cellStyle name="Normal 4 8 10" xfId="17689" xr:uid="{00000000-0005-0000-0000-0000A8590000}"/>
    <cellStyle name="Normal 4 8 10 2" xfId="17690" xr:uid="{00000000-0005-0000-0000-0000A9590000}"/>
    <cellStyle name="Normal 4 8 10 2 2" xfId="34193" xr:uid="{00000000-0005-0000-0000-0000AA590000}"/>
    <cellStyle name="Normal 4 8 10 3" xfId="17691" xr:uid="{00000000-0005-0000-0000-0000AB590000}"/>
    <cellStyle name="Normal 4 8 10 3 2" xfId="34194" xr:uid="{00000000-0005-0000-0000-0000AC590000}"/>
    <cellStyle name="Normal 4 8 10 4" xfId="17692" xr:uid="{00000000-0005-0000-0000-0000AD590000}"/>
    <cellStyle name="Normal 4 8 10 4 2" xfId="34195" xr:uid="{00000000-0005-0000-0000-0000AE590000}"/>
    <cellStyle name="Normal 4 8 10 5" xfId="17693" xr:uid="{00000000-0005-0000-0000-0000AF590000}"/>
    <cellStyle name="Normal 4 8 10 5 2" xfId="34196" xr:uid="{00000000-0005-0000-0000-0000B0590000}"/>
    <cellStyle name="Normal 4 8 10 6" xfId="34192" xr:uid="{00000000-0005-0000-0000-0000B1590000}"/>
    <cellStyle name="Normal 4 8 11" xfId="17694" xr:uid="{00000000-0005-0000-0000-0000B2590000}"/>
    <cellStyle name="Normal 4 8 11 2" xfId="17695" xr:uid="{00000000-0005-0000-0000-0000B3590000}"/>
    <cellStyle name="Normal 4 8 11 2 2" xfId="34198" xr:uid="{00000000-0005-0000-0000-0000B4590000}"/>
    <cellStyle name="Normal 4 8 11 3" xfId="17696" xr:uid="{00000000-0005-0000-0000-0000B5590000}"/>
    <cellStyle name="Normal 4 8 11 3 2" xfId="34199" xr:uid="{00000000-0005-0000-0000-0000B6590000}"/>
    <cellStyle name="Normal 4 8 11 4" xfId="17697" xr:uid="{00000000-0005-0000-0000-0000B7590000}"/>
    <cellStyle name="Normal 4 8 11 4 2" xfId="34200" xr:uid="{00000000-0005-0000-0000-0000B8590000}"/>
    <cellStyle name="Normal 4 8 11 5" xfId="17698" xr:uid="{00000000-0005-0000-0000-0000B9590000}"/>
    <cellStyle name="Normal 4 8 11 5 2" xfId="34201" xr:uid="{00000000-0005-0000-0000-0000BA590000}"/>
    <cellStyle name="Normal 4 8 11 6" xfId="34197" xr:uid="{00000000-0005-0000-0000-0000BB590000}"/>
    <cellStyle name="Normal 4 8 12" xfId="17699" xr:uid="{00000000-0005-0000-0000-0000BC590000}"/>
    <cellStyle name="Normal 4 8 12 2" xfId="17700" xr:uid="{00000000-0005-0000-0000-0000BD590000}"/>
    <cellStyle name="Normal 4 8 12 2 2" xfId="34203" xr:uid="{00000000-0005-0000-0000-0000BE590000}"/>
    <cellStyle name="Normal 4 8 12 3" xfId="17701" xr:uid="{00000000-0005-0000-0000-0000BF590000}"/>
    <cellStyle name="Normal 4 8 12 3 2" xfId="34204" xr:uid="{00000000-0005-0000-0000-0000C0590000}"/>
    <cellStyle name="Normal 4 8 12 4" xfId="17702" xr:uid="{00000000-0005-0000-0000-0000C1590000}"/>
    <cellStyle name="Normal 4 8 12 4 2" xfId="34205" xr:uid="{00000000-0005-0000-0000-0000C2590000}"/>
    <cellStyle name="Normal 4 8 12 5" xfId="17703" xr:uid="{00000000-0005-0000-0000-0000C3590000}"/>
    <cellStyle name="Normal 4 8 12 5 2" xfId="34206" xr:uid="{00000000-0005-0000-0000-0000C4590000}"/>
    <cellStyle name="Normal 4 8 12 6" xfId="34202" xr:uid="{00000000-0005-0000-0000-0000C5590000}"/>
    <cellStyle name="Normal 4 8 13" xfId="17704" xr:uid="{00000000-0005-0000-0000-0000C6590000}"/>
    <cellStyle name="Normal 4 8 13 2" xfId="17705" xr:uid="{00000000-0005-0000-0000-0000C7590000}"/>
    <cellStyle name="Normal 4 8 13 2 2" xfId="34208" xr:uid="{00000000-0005-0000-0000-0000C8590000}"/>
    <cellStyle name="Normal 4 8 13 3" xfId="17706" xr:uid="{00000000-0005-0000-0000-0000C9590000}"/>
    <cellStyle name="Normal 4 8 13 3 2" xfId="34209" xr:uid="{00000000-0005-0000-0000-0000CA590000}"/>
    <cellStyle name="Normal 4 8 13 4" xfId="17707" xr:uid="{00000000-0005-0000-0000-0000CB590000}"/>
    <cellStyle name="Normal 4 8 13 4 2" xfId="34210" xr:uid="{00000000-0005-0000-0000-0000CC590000}"/>
    <cellStyle name="Normal 4 8 13 5" xfId="17708" xr:uid="{00000000-0005-0000-0000-0000CD590000}"/>
    <cellStyle name="Normal 4 8 13 5 2" xfId="34211" xr:uid="{00000000-0005-0000-0000-0000CE590000}"/>
    <cellStyle name="Normal 4 8 13 6" xfId="34207" xr:uid="{00000000-0005-0000-0000-0000CF590000}"/>
    <cellStyle name="Normal 4 8 14" xfId="17709" xr:uid="{00000000-0005-0000-0000-0000D0590000}"/>
    <cellStyle name="Normal 4 8 14 2" xfId="17710" xr:uid="{00000000-0005-0000-0000-0000D1590000}"/>
    <cellStyle name="Normal 4 8 14 2 2" xfId="34213" xr:uid="{00000000-0005-0000-0000-0000D2590000}"/>
    <cellStyle name="Normal 4 8 14 3" xfId="17711" xr:uid="{00000000-0005-0000-0000-0000D3590000}"/>
    <cellStyle name="Normal 4 8 14 3 2" xfId="34214" xr:uid="{00000000-0005-0000-0000-0000D4590000}"/>
    <cellStyle name="Normal 4 8 14 4" xfId="17712" xr:uid="{00000000-0005-0000-0000-0000D5590000}"/>
    <cellStyle name="Normal 4 8 14 4 2" xfId="34215" xr:uid="{00000000-0005-0000-0000-0000D6590000}"/>
    <cellStyle name="Normal 4 8 14 5" xfId="17713" xr:uid="{00000000-0005-0000-0000-0000D7590000}"/>
    <cellStyle name="Normal 4 8 14 5 2" xfId="34216" xr:uid="{00000000-0005-0000-0000-0000D8590000}"/>
    <cellStyle name="Normal 4 8 14 6" xfId="34212" xr:uid="{00000000-0005-0000-0000-0000D9590000}"/>
    <cellStyle name="Normal 4 8 15" xfId="17714" xr:uid="{00000000-0005-0000-0000-0000DA590000}"/>
    <cellStyle name="Normal 4 8 15 2" xfId="17715" xr:uid="{00000000-0005-0000-0000-0000DB590000}"/>
    <cellStyle name="Normal 4 8 15 2 2" xfId="34218" xr:uid="{00000000-0005-0000-0000-0000DC590000}"/>
    <cellStyle name="Normal 4 8 15 3" xfId="17716" xr:uid="{00000000-0005-0000-0000-0000DD590000}"/>
    <cellStyle name="Normal 4 8 15 3 2" xfId="34219" xr:uid="{00000000-0005-0000-0000-0000DE590000}"/>
    <cellStyle name="Normal 4 8 15 4" xfId="17717" xr:uid="{00000000-0005-0000-0000-0000DF590000}"/>
    <cellStyle name="Normal 4 8 15 4 2" xfId="34220" xr:uid="{00000000-0005-0000-0000-0000E0590000}"/>
    <cellStyle name="Normal 4 8 15 5" xfId="17718" xr:uid="{00000000-0005-0000-0000-0000E1590000}"/>
    <cellStyle name="Normal 4 8 15 5 2" xfId="34221" xr:uid="{00000000-0005-0000-0000-0000E2590000}"/>
    <cellStyle name="Normal 4 8 15 6" xfId="34217" xr:uid="{00000000-0005-0000-0000-0000E3590000}"/>
    <cellStyle name="Normal 4 8 16" xfId="17719" xr:uid="{00000000-0005-0000-0000-0000E4590000}"/>
    <cellStyle name="Normal 4 8 16 2" xfId="17720" xr:uid="{00000000-0005-0000-0000-0000E5590000}"/>
    <cellStyle name="Normal 4 8 16 2 2" xfId="34223" xr:uid="{00000000-0005-0000-0000-0000E6590000}"/>
    <cellStyle name="Normal 4 8 16 3" xfId="17721" xr:uid="{00000000-0005-0000-0000-0000E7590000}"/>
    <cellStyle name="Normal 4 8 16 3 2" xfId="34224" xr:uid="{00000000-0005-0000-0000-0000E8590000}"/>
    <cellStyle name="Normal 4 8 16 4" xfId="17722" xr:uid="{00000000-0005-0000-0000-0000E9590000}"/>
    <cellStyle name="Normal 4 8 16 4 2" xfId="34225" xr:uid="{00000000-0005-0000-0000-0000EA590000}"/>
    <cellStyle name="Normal 4 8 16 5" xfId="17723" xr:uid="{00000000-0005-0000-0000-0000EB590000}"/>
    <cellStyle name="Normal 4 8 16 5 2" xfId="34226" xr:uid="{00000000-0005-0000-0000-0000EC590000}"/>
    <cellStyle name="Normal 4 8 16 6" xfId="34222" xr:uid="{00000000-0005-0000-0000-0000ED590000}"/>
    <cellStyle name="Normal 4 8 17" xfId="17724" xr:uid="{00000000-0005-0000-0000-0000EE590000}"/>
    <cellStyle name="Normal 4 8 17 2" xfId="17725" xr:uid="{00000000-0005-0000-0000-0000EF590000}"/>
    <cellStyle name="Normal 4 8 17 2 2" xfId="34228" xr:uid="{00000000-0005-0000-0000-0000F0590000}"/>
    <cellStyle name="Normal 4 8 17 3" xfId="17726" xr:uid="{00000000-0005-0000-0000-0000F1590000}"/>
    <cellStyle name="Normal 4 8 17 3 2" xfId="34229" xr:uid="{00000000-0005-0000-0000-0000F2590000}"/>
    <cellStyle name="Normal 4 8 17 4" xfId="17727" xr:uid="{00000000-0005-0000-0000-0000F3590000}"/>
    <cellStyle name="Normal 4 8 17 4 2" xfId="34230" xr:uid="{00000000-0005-0000-0000-0000F4590000}"/>
    <cellStyle name="Normal 4 8 17 5" xfId="17728" xr:uid="{00000000-0005-0000-0000-0000F5590000}"/>
    <cellStyle name="Normal 4 8 17 5 2" xfId="34231" xr:uid="{00000000-0005-0000-0000-0000F6590000}"/>
    <cellStyle name="Normal 4 8 17 6" xfId="34227" xr:uid="{00000000-0005-0000-0000-0000F7590000}"/>
    <cellStyle name="Normal 4 8 18" xfId="17729" xr:uid="{00000000-0005-0000-0000-0000F8590000}"/>
    <cellStyle name="Normal 4 8 18 2" xfId="17730" xr:uid="{00000000-0005-0000-0000-0000F9590000}"/>
    <cellStyle name="Normal 4 8 18 2 2" xfId="34233" xr:uid="{00000000-0005-0000-0000-0000FA590000}"/>
    <cellStyle name="Normal 4 8 18 3" xfId="17731" xr:uid="{00000000-0005-0000-0000-0000FB590000}"/>
    <cellStyle name="Normal 4 8 18 3 2" xfId="34234" xr:uid="{00000000-0005-0000-0000-0000FC590000}"/>
    <cellStyle name="Normal 4 8 18 4" xfId="17732" xr:uid="{00000000-0005-0000-0000-0000FD590000}"/>
    <cellStyle name="Normal 4 8 18 4 2" xfId="34235" xr:uid="{00000000-0005-0000-0000-0000FE590000}"/>
    <cellStyle name="Normal 4 8 18 5" xfId="17733" xr:uid="{00000000-0005-0000-0000-0000FF590000}"/>
    <cellStyle name="Normal 4 8 18 5 2" xfId="34236" xr:uid="{00000000-0005-0000-0000-0000005A0000}"/>
    <cellStyle name="Normal 4 8 18 6" xfId="34232" xr:uid="{00000000-0005-0000-0000-0000015A0000}"/>
    <cellStyle name="Normal 4 8 19" xfId="17734" xr:uid="{00000000-0005-0000-0000-0000025A0000}"/>
    <cellStyle name="Normal 4 8 19 2" xfId="17735" xr:uid="{00000000-0005-0000-0000-0000035A0000}"/>
    <cellStyle name="Normal 4 8 19 2 2" xfId="34238" xr:uid="{00000000-0005-0000-0000-0000045A0000}"/>
    <cellStyle name="Normal 4 8 19 3" xfId="17736" xr:uid="{00000000-0005-0000-0000-0000055A0000}"/>
    <cellStyle name="Normal 4 8 19 3 2" xfId="34239" xr:uid="{00000000-0005-0000-0000-0000065A0000}"/>
    <cellStyle name="Normal 4 8 19 4" xfId="17737" xr:uid="{00000000-0005-0000-0000-0000075A0000}"/>
    <cellStyle name="Normal 4 8 19 4 2" xfId="34240" xr:uid="{00000000-0005-0000-0000-0000085A0000}"/>
    <cellStyle name="Normal 4 8 19 5" xfId="17738" xr:uid="{00000000-0005-0000-0000-0000095A0000}"/>
    <cellStyle name="Normal 4 8 19 5 2" xfId="34241" xr:uid="{00000000-0005-0000-0000-00000A5A0000}"/>
    <cellStyle name="Normal 4 8 19 6" xfId="34237" xr:uid="{00000000-0005-0000-0000-00000B5A0000}"/>
    <cellStyle name="Normal 4 8 2" xfId="17739" xr:uid="{00000000-0005-0000-0000-00000C5A0000}"/>
    <cellStyle name="Normal 4 8 2 10" xfId="17740" xr:uid="{00000000-0005-0000-0000-00000D5A0000}"/>
    <cellStyle name="Normal 4 8 2 11" xfId="17741" xr:uid="{00000000-0005-0000-0000-00000E5A0000}"/>
    <cellStyle name="Normal 4 8 2 12" xfId="17742" xr:uid="{00000000-0005-0000-0000-00000F5A0000}"/>
    <cellStyle name="Normal 4 8 2 13" xfId="17743" xr:uid="{00000000-0005-0000-0000-0000105A0000}"/>
    <cellStyle name="Normal 4 8 2 14" xfId="17744" xr:uid="{00000000-0005-0000-0000-0000115A0000}"/>
    <cellStyle name="Normal 4 8 2 15" xfId="17745" xr:uid="{00000000-0005-0000-0000-0000125A0000}"/>
    <cellStyle name="Normal 4 8 2 16" xfId="17746" xr:uid="{00000000-0005-0000-0000-0000135A0000}"/>
    <cellStyle name="Normal 4 8 2 17" xfId="17747" xr:uid="{00000000-0005-0000-0000-0000145A0000}"/>
    <cellStyle name="Normal 4 8 2 18" xfId="17748" xr:uid="{00000000-0005-0000-0000-0000155A0000}"/>
    <cellStyle name="Normal 4 8 2 19" xfId="17749" xr:uid="{00000000-0005-0000-0000-0000165A0000}"/>
    <cellStyle name="Normal 4 8 2 2" xfId="17750" xr:uid="{00000000-0005-0000-0000-0000175A0000}"/>
    <cellStyle name="Normal 4 8 2 2 2" xfId="17751" xr:uid="{00000000-0005-0000-0000-0000185A0000}"/>
    <cellStyle name="Normal 4 8 2 2 3" xfId="17752" xr:uid="{00000000-0005-0000-0000-0000195A0000}"/>
    <cellStyle name="Normal 4 8 2 2 4" xfId="17753" xr:uid="{00000000-0005-0000-0000-00001A5A0000}"/>
    <cellStyle name="Normal 4 8 2 2 5" xfId="17754" xr:uid="{00000000-0005-0000-0000-00001B5A0000}"/>
    <cellStyle name="Normal 4 8 2 2 6" xfId="17755" xr:uid="{00000000-0005-0000-0000-00001C5A0000}"/>
    <cellStyle name="Normal 4 8 2 2 7" xfId="17756" xr:uid="{00000000-0005-0000-0000-00001D5A0000}"/>
    <cellStyle name="Normal 4 8 2 20" xfId="17757" xr:uid="{00000000-0005-0000-0000-00001E5A0000}"/>
    <cellStyle name="Normal 4 8 2 21" xfId="17758" xr:uid="{00000000-0005-0000-0000-00001F5A0000}"/>
    <cellStyle name="Normal 4 8 2 22" xfId="34242" xr:uid="{00000000-0005-0000-0000-0000205A0000}"/>
    <cellStyle name="Normal 4 8 2 3" xfId="17759" xr:uid="{00000000-0005-0000-0000-0000215A0000}"/>
    <cellStyle name="Normal 4 8 2 4" xfId="17760" xr:uid="{00000000-0005-0000-0000-0000225A0000}"/>
    <cellStyle name="Normal 4 8 2 5" xfId="17761" xr:uid="{00000000-0005-0000-0000-0000235A0000}"/>
    <cellStyle name="Normal 4 8 2 6" xfId="17762" xr:uid="{00000000-0005-0000-0000-0000245A0000}"/>
    <cellStyle name="Normal 4 8 2 7" xfId="17763" xr:uid="{00000000-0005-0000-0000-0000255A0000}"/>
    <cellStyle name="Normal 4 8 2 8" xfId="17764" xr:uid="{00000000-0005-0000-0000-0000265A0000}"/>
    <cellStyle name="Normal 4 8 2 9" xfId="17765" xr:uid="{00000000-0005-0000-0000-0000275A0000}"/>
    <cellStyle name="Normal 4 8 20" xfId="17766" xr:uid="{00000000-0005-0000-0000-0000285A0000}"/>
    <cellStyle name="Normal 4 8 20 2" xfId="17767" xr:uid="{00000000-0005-0000-0000-0000295A0000}"/>
    <cellStyle name="Normal 4 8 20 2 2" xfId="34244" xr:uid="{00000000-0005-0000-0000-00002A5A0000}"/>
    <cellStyle name="Normal 4 8 20 3" xfId="17768" xr:uid="{00000000-0005-0000-0000-00002B5A0000}"/>
    <cellStyle name="Normal 4 8 20 3 2" xfId="34245" xr:uid="{00000000-0005-0000-0000-00002C5A0000}"/>
    <cellStyle name="Normal 4 8 20 4" xfId="17769" xr:uid="{00000000-0005-0000-0000-00002D5A0000}"/>
    <cellStyle name="Normal 4 8 20 4 2" xfId="34246" xr:uid="{00000000-0005-0000-0000-00002E5A0000}"/>
    <cellStyle name="Normal 4 8 20 5" xfId="17770" xr:uid="{00000000-0005-0000-0000-00002F5A0000}"/>
    <cellStyle name="Normal 4 8 20 5 2" xfId="34247" xr:uid="{00000000-0005-0000-0000-0000305A0000}"/>
    <cellStyle name="Normal 4 8 20 6" xfId="34243" xr:uid="{00000000-0005-0000-0000-0000315A0000}"/>
    <cellStyle name="Normal 4 8 21" xfId="17771" xr:uid="{00000000-0005-0000-0000-0000325A0000}"/>
    <cellStyle name="Normal 4 8 21 2" xfId="34248" xr:uid="{00000000-0005-0000-0000-0000335A0000}"/>
    <cellStyle name="Normal 4 8 22" xfId="17772" xr:uid="{00000000-0005-0000-0000-0000345A0000}"/>
    <cellStyle name="Normal 4 8 22 2" xfId="34249" xr:uid="{00000000-0005-0000-0000-0000355A0000}"/>
    <cellStyle name="Normal 4 8 23" xfId="17773" xr:uid="{00000000-0005-0000-0000-0000365A0000}"/>
    <cellStyle name="Normal 4 8 23 2" xfId="34250" xr:uid="{00000000-0005-0000-0000-0000375A0000}"/>
    <cellStyle name="Normal 4 8 24" xfId="17774" xr:uid="{00000000-0005-0000-0000-0000385A0000}"/>
    <cellStyle name="Normal 4 8 24 2" xfId="34251" xr:uid="{00000000-0005-0000-0000-0000395A0000}"/>
    <cellStyle name="Normal 4 8 25" xfId="17775" xr:uid="{00000000-0005-0000-0000-00003A5A0000}"/>
    <cellStyle name="Normal 4 8 25 2" xfId="34252" xr:uid="{00000000-0005-0000-0000-00003B5A0000}"/>
    <cellStyle name="Normal 4 8 26" xfId="40716" xr:uid="{00000000-0005-0000-0000-00003C5A0000}"/>
    <cellStyle name="Normal 4 8 3" xfId="17776" xr:uid="{00000000-0005-0000-0000-00003D5A0000}"/>
    <cellStyle name="Normal 4 8 3 10" xfId="17777" xr:uid="{00000000-0005-0000-0000-00003E5A0000}"/>
    <cellStyle name="Normal 4 8 3 11" xfId="17778" xr:uid="{00000000-0005-0000-0000-00003F5A0000}"/>
    <cellStyle name="Normal 4 8 3 12" xfId="17779" xr:uid="{00000000-0005-0000-0000-0000405A0000}"/>
    <cellStyle name="Normal 4 8 3 13" xfId="17780" xr:uid="{00000000-0005-0000-0000-0000415A0000}"/>
    <cellStyle name="Normal 4 8 3 14" xfId="17781" xr:uid="{00000000-0005-0000-0000-0000425A0000}"/>
    <cellStyle name="Normal 4 8 3 15" xfId="17782" xr:uid="{00000000-0005-0000-0000-0000435A0000}"/>
    <cellStyle name="Normal 4 8 3 16" xfId="17783" xr:uid="{00000000-0005-0000-0000-0000445A0000}"/>
    <cellStyle name="Normal 4 8 3 2" xfId="17784" xr:uid="{00000000-0005-0000-0000-0000455A0000}"/>
    <cellStyle name="Normal 4 8 3 3" xfId="17785" xr:uid="{00000000-0005-0000-0000-0000465A0000}"/>
    <cellStyle name="Normal 4 8 3 4" xfId="17786" xr:uid="{00000000-0005-0000-0000-0000475A0000}"/>
    <cellStyle name="Normal 4 8 3 5" xfId="17787" xr:uid="{00000000-0005-0000-0000-0000485A0000}"/>
    <cellStyle name="Normal 4 8 3 6" xfId="17788" xr:uid="{00000000-0005-0000-0000-0000495A0000}"/>
    <cellStyle name="Normal 4 8 3 7" xfId="17789" xr:uid="{00000000-0005-0000-0000-00004A5A0000}"/>
    <cellStyle name="Normal 4 8 3 8" xfId="17790" xr:uid="{00000000-0005-0000-0000-00004B5A0000}"/>
    <cellStyle name="Normal 4 8 3 9" xfId="17791" xr:uid="{00000000-0005-0000-0000-00004C5A0000}"/>
    <cellStyle name="Normal 4 8 4" xfId="17792" xr:uid="{00000000-0005-0000-0000-00004D5A0000}"/>
    <cellStyle name="Normal 4 8 4 10" xfId="17793" xr:uid="{00000000-0005-0000-0000-00004E5A0000}"/>
    <cellStyle name="Normal 4 8 4 10 2" xfId="17794" xr:uid="{00000000-0005-0000-0000-00004F5A0000}"/>
    <cellStyle name="Normal 4 8 4 10 2 2" xfId="34255" xr:uid="{00000000-0005-0000-0000-0000505A0000}"/>
    <cellStyle name="Normal 4 8 4 10 3" xfId="17795" xr:uid="{00000000-0005-0000-0000-0000515A0000}"/>
    <cellStyle name="Normal 4 8 4 10 3 2" xfId="34256" xr:uid="{00000000-0005-0000-0000-0000525A0000}"/>
    <cellStyle name="Normal 4 8 4 10 4" xfId="17796" xr:uid="{00000000-0005-0000-0000-0000535A0000}"/>
    <cellStyle name="Normal 4 8 4 10 4 2" xfId="34257" xr:uid="{00000000-0005-0000-0000-0000545A0000}"/>
    <cellStyle name="Normal 4 8 4 10 5" xfId="17797" xr:uid="{00000000-0005-0000-0000-0000555A0000}"/>
    <cellStyle name="Normal 4 8 4 10 5 2" xfId="34258" xr:uid="{00000000-0005-0000-0000-0000565A0000}"/>
    <cellStyle name="Normal 4 8 4 10 6" xfId="34254" xr:uid="{00000000-0005-0000-0000-0000575A0000}"/>
    <cellStyle name="Normal 4 8 4 11" xfId="17798" xr:uid="{00000000-0005-0000-0000-0000585A0000}"/>
    <cellStyle name="Normal 4 8 4 11 2" xfId="17799" xr:uid="{00000000-0005-0000-0000-0000595A0000}"/>
    <cellStyle name="Normal 4 8 4 11 2 2" xfId="34260" xr:uid="{00000000-0005-0000-0000-00005A5A0000}"/>
    <cellStyle name="Normal 4 8 4 11 3" xfId="17800" xr:uid="{00000000-0005-0000-0000-00005B5A0000}"/>
    <cellStyle name="Normal 4 8 4 11 3 2" xfId="34261" xr:uid="{00000000-0005-0000-0000-00005C5A0000}"/>
    <cellStyle name="Normal 4 8 4 11 4" xfId="17801" xr:uid="{00000000-0005-0000-0000-00005D5A0000}"/>
    <cellStyle name="Normal 4 8 4 11 4 2" xfId="34262" xr:uid="{00000000-0005-0000-0000-00005E5A0000}"/>
    <cellStyle name="Normal 4 8 4 11 5" xfId="17802" xr:uid="{00000000-0005-0000-0000-00005F5A0000}"/>
    <cellStyle name="Normal 4 8 4 11 5 2" xfId="34263" xr:uid="{00000000-0005-0000-0000-0000605A0000}"/>
    <cellStyle name="Normal 4 8 4 11 6" xfId="34259" xr:uid="{00000000-0005-0000-0000-0000615A0000}"/>
    <cellStyle name="Normal 4 8 4 12" xfId="17803" xr:uid="{00000000-0005-0000-0000-0000625A0000}"/>
    <cellStyle name="Normal 4 8 4 12 2" xfId="17804" xr:uid="{00000000-0005-0000-0000-0000635A0000}"/>
    <cellStyle name="Normal 4 8 4 12 2 2" xfId="34265" xr:uid="{00000000-0005-0000-0000-0000645A0000}"/>
    <cellStyle name="Normal 4 8 4 12 3" xfId="17805" xr:uid="{00000000-0005-0000-0000-0000655A0000}"/>
    <cellStyle name="Normal 4 8 4 12 3 2" xfId="34266" xr:uid="{00000000-0005-0000-0000-0000665A0000}"/>
    <cellStyle name="Normal 4 8 4 12 4" xfId="17806" xr:uid="{00000000-0005-0000-0000-0000675A0000}"/>
    <cellStyle name="Normal 4 8 4 12 4 2" xfId="34267" xr:uid="{00000000-0005-0000-0000-0000685A0000}"/>
    <cellStyle name="Normal 4 8 4 12 5" xfId="17807" xr:uid="{00000000-0005-0000-0000-0000695A0000}"/>
    <cellStyle name="Normal 4 8 4 12 5 2" xfId="34268" xr:uid="{00000000-0005-0000-0000-00006A5A0000}"/>
    <cellStyle name="Normal 4 8 4 12 6" xfId="34264" xr:uid="{00000000-0005-0000-0000-00006B5A0000}"/>
    <cellStyle name="Normal 4 8 4 13" xfId="17808" xr:uid="{00000000-0005-0000-0000-00006C5A0000}"/>
    <cellStyle name="Normal 4 8 4 13 2" xfId="17809" xr:uid="{00000000-0005-0000-0000-00006D5A0000}"/>
    <cellStyle name="Normal 4 8 4 13 2 2" xfId="34270" xr:uid="{00000000-0005-0000-0000-00006E5A0000}"/>
    <cellStyle name="Normal 4 8 4 13 3" xfId="17810" xr:uid="{00000000-0005-0000-0000-00006F5A0000}"/>
    <cellStyle name="Normal 4 8 4 13 3 2" xfId="34271" xr:uid="{00000000-0005-0000-0000-0000705A0000}"/>
    <cellStyle name="Normal 4 8 4 13 4" xfId="17811" xr:uid="{00000000-0005-0000-0000-0000715A0000}"/>
    <cellStyle name="Normal 4 8 4 13 4 2" xfId="34272" xr:uid="{00000000-0005-0000-0000-0000725A0000}"/>
    <cellStyle name="Normal 4 8 4 13 5" xfId="17812" xr:uid="{00000000-0005-0000-0000-0000735A0000}"/>
    <cellStyle name="Normal 4 8 4 13 5 2" xfId="34273" xr:uid="{00000000-0005-0000-0000-0000745A0000}"/>
    <cellStyle name="Normal 4 8 4 13 6" xfId="34269" xr:uid="{00000000-0005-0000-0000-0000755A0000}"/>
    <cellStyle name="Normal 4 8 4 14" xfId="17813" xr:uid="{00000000-0005-0000-0000-0000765A0000}"/>
    <cellStyle name="Normal 4 8 4 14 2" xfId="17814" xr:uid="{00000000-0005-0000-0000-0000775A0000}"/>
    <cellStyle name="Normal 4 8 4 14 2 2" xfId="34275" xr:uid="{00000000-0005-0000-0000-0000785A0000}"/>
    <cellStyle name="Normal 4 8 4 14 3" xfId="17815" xr:uid="{00000000-0005-0000-0000-0000795A0000}"/>
    <cellStyle name="Normal 4 8 4 14 3 2" xfId="34276" xr:uid="{00000000-0005-0000-0000-00007A5A0000}"/>
    <cellStyle name="Normal 4 8 4 14 4" xfId="17816" xr:uid="{00000000-0005-0000-0000-00007B5A0000}"/>
    <cellStyle name="Normal 4 8 4 14 4 2" xfId="34277" xr:uid="{00000000-0005-0000-0000-00007C5A0000}"/>
    <cellStyle name="Normal 4 8 4 14 5" xfId="17817" xr:uid="{00000000-0005-0000-0000-00007D5A0000}"/>
    <cellStyle name="Normal 4 8 4 14 5 2" xfId="34278" xr:uid="{00000000-0005-0000-0000-00007E5A0000}"/>
    <cellStyle name="Normal 4 8 4 14 6" xfId="34274" xr:uid="{00000000-0005-0000-0000-00007F5A0000}"/>
    <cellStyle name="Normal 4 8 4 15" xfId="17818" xr:uid="{00000000-0005-0000-0000-0000805A0000}"/>
    <cellStyle name="Normal 4 8 4 15 2" xfId="17819" xr:uid="{00000000-0005-0000-0000-0000815A0000}"/>
    <cellStyle name="Normal 4 8 4 15 2 2" xfId="34280" xr:uid="{00000000-0005-0000-0000-0000825A0000}"/>
    <cellStyle name="Normal 4 8 4 15 3" xfId="17820" xr:uid="{00000000-0005-0000-0000-0000835A0000}"/>
    <cellStyle name="Normal 4 8 4 15 3 2" xfId="34281" xr:uid="{00000000-0005-0000-0000-0000845A0000}"/>
    <cellStyle name="Normal 4 8 4 15 4" xfId="17821" xr:uid="{00000000-0005-0000-0000-0000855A0000}"/>
    <cellStyle name="Normal 4 8 4 15 4 2" xfId="34282" xr:uid="{00000000-0005-0000-0000-0000865A0000}"/>
    <cellStyle name="Normal 4 8 4 15 5" xfId="17822" xr:uid="{00000000-0005-0000-0000-0000875A0000}"/>
    <cellStyle name="Normal 4 8 4 15 5 2" xfId="34283" xr:uid="{00000000-0005-0000-0000-0000885A0000}"/>
    <cellStyle name="Normal 4 8 4 15 6" xfId="34279" xr:uid="{00000000-0005-0000-0000-0000895A0000}"/>
    <cellStyle name="Normal 4 8 4 16" xfId="17823" xr:uid="{00000000-0005-0000-0000-00008A5A0000}"/>
    <cellStyle name="Normal 4 8 4 16 2" xfId="17824" xr:uid="{00000000-0005-0000-0000-00008B5A0000}"/>
    <cellStyle name="Normal 4 8 4 16 2 2" xfId="34285" xr:uid="{00000000-0005-0000-0000-00008C5A0000}"/>
    <cellStyle name="Normal 4 8 4 16 3" xfId="17825" xr:uid="{00000000-0005-0000-0000-00008D5A0000}"/>
    <cellStyle name="Normal 4 8 4 16 3 2" xfId="34286" xr:uid="{00000000-0005-0000-0000-00008E5A0000}"/>
    <cellStyle name="Normal 4 8 4 16 4" xfId="17826" xr:uid="{00000000-0005-0000-0000-00008F5A0000}"/>
    <cellStyle name="Normal 4 8 4 16 4 2" xfId="34287" xr:uid="{00000000-0005-0000-0000-0000905A0000}"/>
    <cellStyle name="Normal 4 8 4 16 5" xfId="17827" xr:uid="{00000000-0005-0000-0000-0000915A0000}"/>
    <cellStyle name="Normal 4 8 4 16 5 2" xfId="34288" xr:uid="{00000000-0005-0000-0000-0000925A0000}"/>
    <cellStyle name="Normal 4 8 4 16 6" xfId="34284" xr:uid="{00000000-0005-0000-0000-0000935A0000}"/>
    <cellStyle name="Normal 4 8 4 17" xfId="17828" xr:uid="{00000000-0005-0000-0000-0000945A0000}"/>
    <cellStyle name="Normal 4 8 4 17 2" xfId="34289" xr:uid="{00000000-0005-0000-0000-0000955A0000}"/>
    <cellStyle name="Normal 4 8 4 18" xfId="17829" xr:uid="{00000000-0005-0000-0000-0000965A0000}"/>
    <cellStyle name="Normal 4 8 4 18 2" xfId="34290" xr:uid="{00000000-0005-0000-0000-0000975A0000}"/>
    <cellStyle name="Normal 4 8 4 19" xfId="17830" xr:uid="{00000000-0005-0000-0000-0000985A0000}"/>
    <cellStyle name="Normal 4 8 4 19 2" xfId="34291" xr:uid="{00000000-0005-0000-0000-0000995A0000}"/>
    <cellStyle name="Normal 4 8 4 2" xfId="17831" xr:uid="{00000000-0005-0000-0000-00009A5A0000}"/>
    <cellStyle name="Normal 4 8 4 20" xfId="17832" xr:uid="{00000000-0005-0000-0000-00009B5A0000}"/>
    <cellStyle name="Normal 4 8 4 20 2" xfId="34292" xr:uid="{00000000-0005-0000-0000-00009C5A0000}"/>
    <cellStyle name="Normal 4 8 4 21" xfId="34253" xr:uid="{00000000-0005-0000-0000-00009D5A0000}"/>
    <cellStyle name="Normal 4 8 4 3" xfId="17833" xr:uid="{00000000-0005-0000-0000-00009E5A0000}"/>
    <cellStyle name="Normal 4 8 4 3 2" xfId="17834" xr:uid="{00000000-0005-0000-0000-00009F5A0000}"/>
    <cellStyle name="Normal 4 8 4 3 2 2" xfId="34294" xr:uid="{00000000-0005-0000-0000-0000A05A0000}"/>
    <cellStyle name="Normal 4 8 4 3 3" xfId="17835" xr:uid="{00000000-0005-0000-0000-0000A15A0000}"/>
    <cellStyle name="Normal 4 8 4 3 3 2" xfId="34295" xr:uid="{00000000-0005-0000-0000-0000A25A0000}"/>
    <cellStyle name="Normal 4 8 4 3 4" xfId="17836" xr:uid="{00000000-0005-0000-0000-0000A35A0000}"/>
    <cellStyle name="Normal 4 8 4 3 4 2" xfId="34296" xr:uid="{00000000-0005-0000-0000-0000A45A0000}"/>
    <cellStyle name="Normal 4 8 4 3 5" xfId="17837" xr:uid="{00000000-0005-0000-0000-0000A55A0000}"/>
    <cellStyle name="Normal 4 8 4 3 5 2" xfId="34297" xr:uid="{00000000-0005-0000-0000-0000A65A0000}"/>
    <cellStyle name="Normal 4 8 4 3 6" xfId="34293" xr:uid="{00000000-0005-0000-0000-0000A75A0000}"/>
    <cellStyle name="Normal 4 8 4 4" xfId="17838" xr:uid="{00000000-0005-0000-0000-0000A85A0000}"/>
    <cellStyle name="Normal 4 8 4 4 2" xfId="17839" xr:uid="{00000000-0005-0000-0000-0000A95A0000}"/>
    <cellStyle name="Normal 4 8 4 4 2 2" xfId="34299" xr:uid="{00000000-0005-0000-0000-0000AA5A0000}"/>
    <cellStyle name="Normal 4 8 4 4 3" xfId="17840" xr:uid="{00000000-0005-0000-0000-0000AB5A0000}"/>
    <cellStyle name="Normal 4 8 4 4 3 2" xfId="34300" xr:uid="{00000000-0005-0000-0000-0000AC5A0000}"/>
    <cellStyle name="Normal 4 8 4 4 4" xfId="17841" xr:uid="{00000000-0005-0000-0000-0000AD5A0000}"/>
    <cellStyle name="Normal 4 8 4 4 4 2" xfId="34301" xr:uid="{00000000-0005-0000-0000-0000AE5A0000}"/>
    <cellStyle name="Normal 4 8 4 4 5" xfId="17842" xr:uid="{00000000-0005-0000-0000-0000AF5A0000}"/>
    <cellStyle name="Normal 4 8 4 4 5 2" xfId="34302" xr:uid="{00000000-0005-0000-0000-0000B05A0000}"/>
    <cellStyle name="Normal 4 8 4 4 6" xfId="34298" xr:uid="{00000000-0005-0000-0000-0000B15A0000}"/>
    <cellStyle name="Normal 4 8 4 5" xfId="17843" xr:uid="{00000000-0005-0000-0000-0000B25A0000}"/>
    <cellStyle name="Normal 4 8 4 5 2" xfId="17844" xr:uid="{00000000-0005-0000-0000-0000B35A0000}"/>
    <cellStyle name="Normal 4 8 4 5 2 2" xfId="34304" xr:uid="{00000000-0005-0000-0000-0000B45A0000}"/>
    <cellStyle name="Normal 4 8 4 5 3" xfId="17845" xr:uid="{00000000-0005-0000-0000-0000B55A0000}"/>
    <cellStyle name="Normal 4 8 4 5 3 2" xfId="34305" xr:uid="{00000000-0005-0000-0000-0000B65A0000}"/>
    <cellStyle name="Normal 4 8 4 5 4" xfId="17846" xr:uid="{00000000-0005-0000-0000-0000B75A0000}"/>
    <cellStyle name="Normal 4 8 4 5 4 2" xfId="34306" xr:uid="{00000000-0005-0000-0000-0000B85A0000}"/>
    <cellStyle name="Normal 4 8 4 5 5" xfId="17847" xr:uid="{00000000-0005-0000-0000-0000B95A0000}"/>
    <cellStyle name="Normal 4 8 4 5 5 2" xfId="34307" xr:uid="{00000000-0005-0000-0000-0000BA5A0000}"/>
    <cellStyle name="Normal 4 8 4 5 6" xfId="34303" xr:uid="{00000000-0005-0000-0000-0000BB5A0000}"/>
    <cellStyle name="Normal 4 8 4 6" xfId="17848" xr:uid="{00000000-0005-0000-0000-0000BC5A0000}"/>
    <cellStyle name="Normal 4 8 4 6 2" xfId="17849" xr:uid="{00000000-0005-0000-0000-0000BD5A0000}"/>
    <cellStyle name="Normal 4 8 4 6 2 2" xfId="34309" xr:uid="{00000000-0005-0000-0000-0000BE5A0000}"/>
    <cellStyle name="Normal 4 8 4 6 3" xfId="17850" xr:uid="{00000000-0005-0000-0000-0000BF5A0000}"/>
    <cellStyle name="Normal 4 8 4 6 3 2" xfId="34310" xr:uid="{00000000-0005-0000-0000-0000C05A0000}"/>
    <cellStyle name="Normal 4 8 4 6 4" xfId="17851" xr:uid="{00000000-0005-0000-0000-0000C15A0000}"/>
    <cellStyle name="Normal 4 8 4 6 4 2" xfId="34311" xr:uid="{00000000-0005-0000-0000-0000C25A0000}"/>
    <cellStyle name="Normal 4 8 4 6 5" xfId="17852" xr:uid="{00000000-0005-0000-0000-0000C35A0000}"/>
    <cellStyle name="Normal 4 8 4 6 5 2" xfId="34312" xr:uid="{00000000-0005-0000-0000-0000C45A0000}"/>
    <cellStyle name="Normal 4 8 4 6 6" xfId="34308" xr:uid="{00000000-0005-0000-0000-0000C55A0000}"/>
    <cellStyle name="Normal 4 8 4 7" xfId="17853" xr:uid="{00000000-0005-0000-0000-0000C65A0000}"/>
    <cellStyle name="Normal 4 8 4 7 2" xfId="17854" xr:uid="{00000000-0005-0000-0000-0000C75A0000}"/>
    <cellStyle name="Normal 4 8 4 7 2 2" xfId="34314" xr:uid="{00000000-0005-0000-0000-0000C85A0000}"/>
    <cellStyle name="Normal 4 8 4 7 3" xfId="17855" xr:uid="{00000000-0005-0000-0000-0000C95A0000}"/>
    <cellStyle name="Normal 4 8 4 7 3 2" xfId="34315" xr:uid="{00000000-0005-0000-0000-0000CA5A0000}"/>
    <cellStyle name="Normal 4 8 4 7 4" xfId="17856" xr:uid="{00000000-0005-0000-0000-0000CB5A0000}"/>
    <cellStyle name="Normal 4 8 4 7 4 2" xfId="34316" xr:uid="{00000000-0005-0000-0000-0000CC5A0000}"/>
    <cellStyle name="Normal 4 8 4 7 5" xfId="17857" xr:uid="{00000000-0005-0000-0000-0000CD5A0000}"/>
    <cellStyle name="Normal 4 8 4 7 5 2" xfId="34317" xr:uid="{00000000-0005-0000-0000-0000CE5A0000}"/>
    <cellStyle name="Normal 4 8 4 7 6" xfId="34313" xr:uid="{00000000-0005-0000-0000-0000CF5A0000}"/>
    <cellStyle name="Normal 4 8 4 8" xfId="17858" xr:uid="{00000000-0005-0000-0000-0000D05A0000}"/>
    <cellStyle name="Normal 4 8 4 8 2" xfId="17859" xr:uid="{00000000-0005-0000-0000-0000D15A0000}"/>
    <cellStyle name="Normal 4 8 4 8 2 2" xfId="34319" xr:uid="{00000000-0005-0000-0000-0000D25A0000}"/>
    <cellStyle name="Normal 4 8 4 8 3" xfId="17860" xr:uid="{00000000-0005-0000-0000-0000D35A0000}"/>
    <cellStyle name="Normal 4 8 4 8 3 2" xfId="34320" xr:uid="{00000000-0005-0000-0000-0000D45A0000}"/>
    <cellStyle name="Normal 4 8 4 8 4" xfId="17861" xr:uid="{00000000-0005-0000-0000-0000D55A0000}"/>
    <cellStyle name="Normal 4 8 4 8 4 2" xfId="34321" xr:uid="{00000000-0005-0000-0000-0000D65A0000}"/>
    <cellStyle name="Normal 4 8 4 8 5" xfId="17862" xr:uid="{00000000-0005-0000-0000-0000D75A0000}"/>
    <cellStyle name="Normal 4 8 4 8 5 2" xfId="34322" xr:uid="{00000000-0005-0000-0000-0000D85A0000}"/>
    <cellStyle name="Normal 4 8 4 8 6" xfId="34318" xr:uid="{00000000-0005-0000-0000-0000D95A0000}"/>
    <cellStyle name="Normal 4 8 4 9" xfId="17863" xr:uid="{00000000-0005-0000-0000-0000DA5A0000}"/>
    <cellStyle name="Normal 4 8 4 9 2" xfId="17864" xr:uid="{00000000-0005-0000-0000-0000DB5A0000}"/>
    <cellStyle name="Normal 4 8 4 9 2 2" xfId="34324" xr:uid="{00000000-0005-0000-0000-0000DC5A0000}"/>
    <cellStyle name="Normal 4 8 4 9 3" xfId="17865" xr:uid="{00000000-0005-0000-0000-0000DD5A0000}"/>
    <cellStyle name="Normal 4 8 4 9 3 2" xfId="34325" xr:uid="{00000000-0005-0000-0000-0000DE5A0000}"/>
    <cellStyle name="Normal 4 8 4 9 4" xfId="17866" xr:uid="{00000000-0005-0000-0000-0000DF5A0000}"/>
    <cellStyle name="Normal 4 8 4 9 4 2" xfId="34326" xr:uid="{00000000-0005-0000-0000-0000E05A0000}"/>
    <cellStyle name="Normal 4 8 4 9 5" xfId="17867" xr:uid="{00000000-0005-0000-0000-0000E15A0000}"/>
    <cellStyle name="Normal 4 8 4 9 5 2" xfId="34327" xr:uid="{00000000-0005-0000-0000-0000E25A0000}"/>
    <cellStyle name="Normal 4 8 4 9 6" xfId="34323" xr:uid="{00000000-0005-0000-0000-0000E35A0000}"/>
    <cellStyle name="Normal 4 8 5" xfId="17868" xr:uid="{00000000-0005-0000-0000-0000E45A0000}"/>
    <cellStyle name="Normal 4 8 5 2" xfId="17869" xr:uid="{00000000-0005-0000-0000-0000E55A0000}"/>
    <cellStyle name="Normal 4 8 5 3" xfId="17870" xr:uid="{00000000-0005-0000-0000-0000E65A0000}"/>
    <cellStyle name="Normal 4 8 5 3 2" xfId="34329" xr:uid="{00000000-0005-0000-0000-0000E75A0000}"/>
    <cellStyle name="Normal 4 8 5 4" xfId="17871" xr:uid="{00000000-0005-0000-0000-0000E85A0000}"/>
    <cellStyle name="Normal 4 8 5 4 2" xfId="34330" xr:uid="{00000000-0005-0000-0000-0000E95A0000}"/>
    <cellStyle name="Normal 4 8 5 5" xfId="17872" xr:uid="{00000000-0005-0000-0000-0000EA5A0000}"/>
    <cellStyle name="Normal 4 8 5 5 2" xfId="34331" xr:uid="{00000000-0005-0000-0000-0000EB5A0000}"/>
    <cellStyle name="Normal 4 8 5 6" xfId="17873" xr:uid="{00000000-0005-0000-0000-0000EC5A0000}"/>
    <cellStyle name="Normal 4 8 5 6 2" xfId="34332" xr:uid="{00000000-0005-0000-0000-0000ED5A0000}"/>
    <cellStyle name="Normal 4 8 5 7" xfId="34328" xr:uid="{00000000-0005-0000-0000-0000EE5A0000}"/>
    <cellStyle name="Normal 4 8 6" xfId="17874" xr:uid="{00000000-0005-0000-0000-0000EF5A0000}"/>
    <cellStyle name="Normal 4 8 6 2" xfId="17875" xr:uid="{00000000-0005-0000-0000-0000F05A0000}"/>
    <cellStyle name="Normal 4 8 6 3" xfId="17876" xr:uid="{00000000-0005-0000-0000-0000F15A0000}"/>
    <cellStyle name="Normal 4 8 6 3 2" xfId="34334" xr:uid="{00000000-0005-0000-0000-0000F25A0000}"/>
    <cellStyle name="Normal 4 8 6 4" xfId="17877" xr:uid="{00000000-0005-0000-0000-0000F35A0000}"/>
    <cellStyle name="Normal 4 8 6 4 2" xfId="34335" xr:uid="{00000000-0005-0000-0000-0000F45A0000}"/>
    <cellStyle name="Normal 4 8 6 5" xfId="17878" xr:uid="{00000000-0005-0000-0000-0000F55A0000}"/>
    <cellStyle name="Normal 4 8 6 5 2" xfId="34336" xr:uid="{00000000-0005-0000-0000-0000F65A0000}"/>
    <cellStyle name="Normal 4 8 6 6" xfId="17879" xr:uid="{00000000-0005-0000-0000-0000F75A0000}"/>
    <cellStyle name="Normal 4 8 6 6 2" xfId="34337" xr:uid="{00000000-0005-0000-0000-0000F85A0000}"/>
    <cellStyle name="Normal 4 8 6 7" xfId="34333" xr:uid="{00000000-0005-0000-0000-0000F95A0000}"/>
    <cellStyle name="Normal 4 8 7" xfId="17880" xr:uid="{00000000-0005-0000-0000-0000FA5A0000}"/>
    <cellStyle name="Normal 4 8 7 2" xfId="17881" xr:uid="{00000000-0005-0000-0000-0000FB5A0000}"/>
    <cellStyle name="Normal 4 8 7 2 2" xfId="34339" xr:uid="{00000000-0005-0000-0000-0000FC5A0000}"/>
    <cellStyle name="Normal 4 8 7 3" xfId="17882" xr:uid="{00000000-0005-0000-0000-0000FD5A0000}"/>
    <cellStyle name="Normal 4 8 7 3 2" xfId="34340" xr:uid="{00000000-0005-0000-0000-0000FE5A0000}"/>
    <cellStyle name="Normal 4 8 7 4" xfId="17883" xr:uid="{00000000-0005-0000-0000-0000FF5A0000}"/>
    <cellStyle name="Normal 4 8 7 4 2" xfId="34341" xr:uid="{00000000-0005-0000-0000-0000005B0000}"/>
    <cellStyle name="Normal 4 8 7 5" xfId="17884" xr:uid="{00000000-0005-0000-0000-0000015B0000}"/>
    <cellStyle name="Normal 4 8 7 5 2" xfId="34342" xr:uid="{00000000-0005-0000-0000-0000025B0000}"/>
    <cellStyle name="Normal 4 8 7 6" xfId="34338" xr:uid="{00000000-0005-0000-0000-0000035B0000}"/>
    <cellStyle name="Normal 4 8 8" xfId="17885" xr:uid="{00000000-0005-0000-0000-0000045B0000}"/>
    <cellStyle name="Normal 4 8 8 2" xfId="17886" xr:uid="{00000000-0005-0000-0000-0000055B0000}"/>
    <cellStyle name="Normal 4 8 8 2 2" xfId="34344" xr:uid="{00000000-0005-0000-0000-0000065B0000}"/>
    <cellStyle name="Normal 4 8 8 3" xfId="17887" xr:uid="{00000000-0005-0000-0000-0000075B0000}"/>
    <cellStyle name="Normal 4 8 8 3 2" xfId="34345" xr:uid="{00000000-0005-0000-0000-0000085B0000}"/>
    <cellStyle name="Normal 4 8 8 4" xfId="17888" xr:uid="{00000000-0005-0000-0000-0000095B0000}"/>
    <cellStyle name="Normal 4 8 8 4 2" xfId="34346" xr:uid="{00000000-0005-0000-0000-00000A5B0000}"/>
    <cellStyle name="Normal 4 8 8 5" xfId="17889" xr:uid="{00000000-0005-0000-0000-00000B5B0000}"/>
    <cellStyle name="Normal 4 8 8 5 2" xfId="34347" xr:uid="{00000000-0005-0000-0000-00000C5B0000}"/>
    <cellStyle name="Normal 4 8 8 6" xfId="34343" xr:uid="{00000000-0005-0000-0000-00000D5B0000}"/>
    <cellStyle name="Normal 4 8 9" xfId="17890" xr:uid="{00000000-0005-0000-0000-00000E5B0000}"/>
    <cellStyle name="Normal 4 8 9 2" xfId="17891" xr:uid="{00000000-0005-0000-0000-00000F5B0000}"/>
    <cellStyle name="Normal 4 8 9 2 2" xfId="34349" xr:uid="{00000000-0005-0000-0000-0000105B0000}"/>
    <cellStyle name="Normal 4 8 9 3" xfId="17892" xr:uid="{00000000-0005-0000-0000-0000115B0000}"/>
    <cellStyle name="Normal 4 8 9 3 2" xfId="34350" xr:uid="{00000000-0005-0000-0000-0000125B0000}"/>
    <cellStyle name="Normal 4 8 9 4" xfId="17893" xr:uid="{00000000-0005-0000-0000-0000135B0000}"/>
    <cellStyle name="Normal 4 8 9 4 2" xfId="34351" xr:uid="{00000000-0005-0000-0000-0000145B0000}"/>
    <cellStyle name="Normal 4 8 9 5" xfId="17894" xr:uid="{00000000-0005-0000-0000-0000155B0000}"/>
    <cellStyle name="Normal 4 8 9 5 2" xfId="34352" xr:uid="{00000000-0005-0000-0000-0000165B0000}"/>
    <cellStyle name="Normal 4 8 9 6" xfId="34348" xr:uid="{00000000-0005-0000-0000-0000175B0000}"/>
    <cellStyle name="Normal 4 9" xfId="17895" xr:uid="{00000000-0005-0000-0000-0000185B0000}"/>
    <cellStyle name="Normal 4 9 2" xfId="17896" xr:uid="{00000000-0005-0000-0000-0000195B0000}"/>
    <cellStyle name="Normal 4 9 2 2" xfId="17897" xr:uid="{00000000-0005-0000-0000-00001A5B0000}"/>
    <cellStyle name="Normal 4 9 2 3" xfId="17898" xr:uid="{00000000-0005-0000-0000-00001B5B0000}"/>
    <cellStyle name="Normal 4 9 2 4" xfId="17899" xr:uid="{00000000-0005-0000-0000-00001C5B0000}"/>
    <cellStyle name="Normal 4 9 2 5" xfId="17900" xr:uid="{00000000-0005-0000-0000-00001D5B0000}"/>
    <cellStyle name="Normal 4 9 2 6" xfId="17901" xr:uid="{00000000-0005-0000-0000-00001E5B0000}"/>
    <cellStyle name="Normal 4 9 2 7" xfId="17902" xr:uid="{00000000-0005-0000-0000-00001F5B0000}"/>
    <cellStyle name="Normal 4 9 3" xfId="17903" xr:uid="{00000000-0005-0000-0000-0000205B0000}"/>
    <cellStyle name="Normal 4 9 4" xfId="17904" xr:uid="{00000000-0005-0000-0000-0000215B0000}"/>
    <cellStyle name="Normal 4 9 5" xfId="17905" xr:uid="{00000000-0005-0000-0000-0000225B0000}"/>
    <cellStyle name="Normal 4 9 6" xfId="17906" xr:uid="{00000000-0005-0000-0000-0000235B0000}"/>
    <cellStyle name="Normal 4 9 7" xfId="17907" xr:uid="{00000000-0005-0000-0000-0000245B0000}"/>
    <cellStyle name="Normal 4 9 8" xfId="17908" xr:uid="{00000000-0005-0000-0000-0000255B0000}"/>
    <cellStyle name="Normal 4 9 9" xfId="40717" xr:uid="{00000000-0005-0000-0000-0000265B0000}"/>
    <cellStyle name="Normal 40" xfId="41058" xr:uid="{00000000-0005-0000-0000-0000275B0000}"/>
    <cellStyle name="Normal 41" xfId="41060" xr:uid="{00000000-0005-0000-0000-0000285B0000}"/>
    <cellStyle name="Normal 42" xfId="41072" xr:uid="{C42E86D5-1A9D-4F4D-8E19-9DF8D7341771}"/>
    <cellStyle name="Normal 42 2" xfId="41075" xr:uid="{8E24F5F4-916C-4172-9DF3-6887A2D3AADF}"/>
    <cellStyle name="Normal 46" xfId="41066" xr:uid="{00000000-0005-0000-0000-0000295B0000}"/>
    <cellStyle name="Normal 5" xfId="17909" xr:uid="{00000000-0005-0000-0000-00002A5B0000}"/>
    <cellStyle name="Normal 5 10" xfId="17910" xr:uid="{00000000-0005-0000-0000-00002B5B0000}"/>
    <cellStyle name="Normal 5 10 2" xfId="40719" xr:uid="{00000000-0005-0000-0000-00002C5B0000}"/>
    <cellStyle name="Normal 5 11" xfId="17911" xr:uid="{00000000-0005-0000-0000-00002D5B0000}"/>
    <cellStyle name="Normal 5 11 2" xfId="40720" xr:uid="{00000000-0005-0000-0000-00002E5B0000}"/>
    <cellStyle name="Normal 5 12" xfId="17912" xr:uid="{00000000-0005-0000-0000-00002F5B0000}"/>
    <cellStyle name="Normal 5 12 2" xfId="40721" xr:uid="{00000000-0005-0000-0000-0000305B0000}"/>
    <cellStyle name="Normal 5 13" xfId="17913" xr:uid="{00000000-0005-0000-0000-0000315B0000}"/>
    <cellStyle name="Normal 5 13 2" xfId="40722" xr:uid="{00000000-0005-0000-0000-0000325B0000}"/>
    <cellStyle name="Normal 5 14" xfId="17914" xr:uid="{00000000-0005-0000-0000-0000335B0000}"/>
    <cellStyle name="Normal 5 14 2" xfId="40723" xr:uid="{00000000-0005-0000-0000-0000345B0000}"/>
    <cellStyle name="Normal 5 15" xfId="17915" xr:uid="{00000000-0005-0000-0000-0000355B0000}"/>
    <cellStyle name="Normal 5 15 2" xfId="40724" xr:uid="{00000000-0005-0000-0000-0000365B0000}"/>
    <cellStyle name="Normal 5 16" xfId="17916" xr:uid="{00000000-0005-0000-0000-0000375B0000}"/>
    <cellStyle name="Normal 5 16 2" xfId="40725" xr:uid="{00000000-0005-0000-0000-0000385B0000}"/>
    <cellStyle name="Normal 5 17" xfId="17917" xr:uid="{00000000-0005-0000-0000-0000395B0000}"/>
    <cellStyle name="Normal 5 17 2" xfId="40726" xr:uid="{00000000-0005-0000-0000-00003A5B0000}"/>
    <cellStyle name="Normal 5 18" xfId="17918" xr:uid="{00000000-0005-0000-0000-00003B5B0000}"/>
    <cellStyle name="Normal 5 18 2" xfId="40727" xr:uid="{00000000-0005-0000-0000-00003C5B0000}"/>
    <cellStyle name="Normal 5 19" xfId="17919" xr:uid="{00000000-0005-0000-0000-00003D5B0000}"/>
    <cellStyle name="Normal 5 19 10" xfId="17920" xr:uid="{00000000-0005-0000-0000-00003E5B0000}"/>
    <cellStyle name="Normal 5 19 10 2" xfId="17921" xr:uid="{00000000-0005-0000-0000-00003F5B0000}"/>
    <cellStyle name="Normal 5 19 10 2 2" xfId="34354" xr:uid="{00000000-0005-0000-0000-0000405B0000}"/>
    <cellStyle name="Normal 5 19 10 3" xfId="17922" xr:uid="{00000000-0005-0000-0000-0000415B0000}"/>
    <cellStyle name="Normal 5 19 10 3 2" xfId="34355" xr:uid="{00000000-0005-0000-0000-0000425B0000}"/>
    <cellStyle name="Normal 5 19 10 4" xfId="17923" xr:uid="{00000000-0005-0000-0000-0000435B0000}"/>
    <cellStyle name="Normal 5 19 10 4 2" xfId="34356" xr:uid="{00000000-0005-0000-0000-0000445B0000}"/>
    <cellStyle name="Normal 5 19 10 5" xfId="17924" xr:uid="{00000000-0005-0000-0000-0000455B0000}"/>
    <cellStyle name="Normal 5 19 10 5 2" xfId="34357" xr:uid="{00000000-0005-0000-0000-0000465B0000}"/>
    <cellStyle name="Normal 5 19 10 6" xfId="34353" xr:uid="{00000000-0005-0000-0000-0000475B0000}"/>
    <cellStyle name="Normal 5 19 11" xfId="17925" xr:uid="{00000000-0005-0000-0000-0000485B0000}"/>
    <cellStyle name="Normal 5 19 11 2" xfId="17926" xr:uid="{00000000-0005-0000-0000-0000495B0000}"/>
    <cellStyle name="Normal 5 19 11 2 2" xfId="34359" xr:uid="{00000000-0005-0000-0000-00004A5B0000}"/>
    <cellStyle name="Normal 5 19 11 3" xfId="17927" xr:uid="{00000000-0005-0000-0000-00004B5B0000}"/>
    <cellStyle name="Normal 5 19 11 3 2" xfId="34360" xr:uid="{00000000-0005-0000-0000-00004C5B0000}"/>
    <cellStyle name="Normal 5 19 11 4" xfId="17928" xr:uid="{00000000-0005-0000-0000-00004D5B0000}"/>
    <cellStyle name="Normal 5 19 11 4 2" xfId="34361" xr:uid="{00000000-0005-0000-0000-00004E5B0000}"/>
    <cellStyle name="Normal 5 19 11 5" xfId="17929" xr:uid="{00000000-0005-0000-0000-00004F5B0000}"/>
    <cellStyle name="Normal 5 19 11 5 2" xfId="34362" xr:uid="{00000000-0005-0000-0000-0000505B0000}"/>
    <cellStyle name="Normal 5 19 11 6" xfId="34358" xr:uid="{00000000-0005-0000-0000-0000515B0000}"/>
    <cellStyle name="Normal 5 19 12" xfId="17930" xr:uid="{00000000-0005-0000-0000-0000525B0000}"/>
    <cellStyle name="Normal 5 19 12 2" xfId="17931" xr:uid="{00000000-0005-0000-0000-0000535B0000}"/>
    <cellStyle name="Normal 5 19 12 2 2" xfId="34364" xr:uid="{00000000-0005-0000-0000-0000545B0000}"/>
    <cellStyle name="Normal 5 19 12 3" xfId="17932" xr:uid="{00000000-0005-0000-0000-0000555B0000}"/>
    <cellStyle name="Normal 5 19 12 3 2" xfId="34365" xr:uid="{00000000-0005-0000-0000-0000565B0000}"/>
    <cellStyle name="Normal 5 19 12 4" xfId="17933" xr:uid="{00000000-0005-0000-0000-0000575B0000}"/>
    <cellStyle name="Normal 5 19 12 4 2" xfId="34366" xr:uid="{00000000-0005-0000-0000-0000585B0000}"/>
    <cellStyle name="Normal 5 19 12 5" xfId="17934" xr:uid="{00000000-0005-0000-0000-0000595B0000}"/>
    <cellStyle name="Normal 5 19 12 5 2" xfId="34367" xr:uid="{00000000-0005-0000-0000-00005A5B0000}"/>
    <cellStyle name="Normal 5 19 12 6" xfId="34363" xr:uid="{00000000-0005-0000-0000-00005B5B0000}"/>
    <cellStyle name="Normal 5 19 13" xfId="17935" xr:uid="{00000000-0005-0000-0000-00005C5B0000}"/>
    <cellStyle name="Normal 5 19 13 2" xfId="17936" xr:uid="{00000000-0005-0000-0000-00005D5B0000}"/>
    <cellStyle name="Normal 5 19 13 2 2" xfId="34369" xr:uid="{00000000-0005-0000-0000-00005E5B0000}"/>
    <cellStyle name="Normal 5 19 13 3" xfId="17937" xr:uid="{00000000-0005-0000-0000-00005F5B0000}"/>
    <cellStyle name="Normal 5 19 13 3 2" xfId="34370" xr:uid="{00000000-0005-0000-0000-0000605B0000}"/>
    <cellStyle name="Normal 5 19 13 4" xfId="17938" xr:uid="{00000000-0005-0000-0000-0000615B0000}"/>
    <cellStyle name="Normal 5 19 13 4 2" xfId="34371" xr:uid="{00000000-0005-0000-0000-0000625B0000}"/>
    <cellStyle name="Normal 5 19 13 5" xfId="17939" xr:uid="{00000000-0005-0000-0000-0000635B0000}"/>
    <cellStyle name="Normal 5 19 13 5 2" xfId="34372" xr:uid="{00000000-0005-0000-0000-0000645B0000}"/>
    <cellStyle name="Normal 5 19 13 6" xfId="34368" xr:uid="{00000000-0005-0000-0000-0000655B0000}"/>
    <cellStyle name="Normal 5 19 14" xfId="17940" xr:uid="{00000000-0005-0000-0000-0000665B0000}"/>
    <cellStyle name="Normal 5 19 14 2" xfId="17941" xr:uid="{00000000-0005-0000-0000-0000675B0000}"/>
    <cellStyle name="Normal 5 19 14 2 2" xfId="34374" xr:uid="{00000000-0005-0000-0000-0000685B0000}"/>
    <cellStyle name="Normal 5 19 14 3" xfId="17942" xr:uid="{00000000-0005-0000-0000-0000695B0000}"/>
    <cellStyle name="Normal 5 19 14 3 2" xfId="34375" xr:uid="{00000000-0005-0000-0000-00006A5B0000}"/>
    <cellStyle name="Normal 5 19 14 4" xfId="17943" xr:uid="{00000000-0005-0000-0000-00006B5B0000}"/>
    <cellStyle name="Normal 5 19 14 4 2" xfId="34376" xr:uid="{00000000-0005-0000-0000-00006C5B0000}"/>
    <cellStyle name="Normal 5 19 14 5" xfId="17944" xr:uid="{00000000-0005-0000-0000-00006D5B0000}"/>
    <cellStyle name="Normal 5 19 14 5 2" xfId="34377" xr:uid="{00000000-0005-0000-0000-00006E5B0000}"/>
    <cellStyle name="Normal 5 19 14 6" xfId="34373" xr:uid="{00000000-0005-0000-0000-00006F5B0000}"/>
    <cellStyle name="Normal 5 19 15" xfId="17945" xr:uid="{00000000-0005-0000-0000-0000705B0000}"/>
    <cellStyle name="Normal 5 19 15 2" xfId="17946" xr:uid="{00000000-0005-0000-0000-0000715B0000}"/>
    <cellStyle name="Normal 5 19 15 2 2" xfId="34379" xr:uid="{00000000-0005-0000-0000-0000725B0000}"/>
    <cellStyle name="Normal 5 19 15 3" xfId="17947" xr:uid="{00000000-0005-0000-0000-0000735B0000}"/>
    <cellStyle name="Normal 5 19 15 3 2" xfId="34380" xr:uid="{00000000-0005-0000-0000-0000745B0000}"/>
    <cellStyle name="Normal 5 19 15 4" xfId="17948" xr:uid="{00000000-0005-0000-0000-0000755B0000}"/>
    <cellStyle name="Normal 5 19 15 4 2" xfId="34381" xr:uid="{00000000-0005-0000-0000-0000765B0000}"/>
    <cellStyle name="Normal 5 19 15 5" xfId="17949" xr:uid="{00000000-0005-0000-0000-0000775B0000}"/>
    <cellStyle name="Normal 5 19 15 5 2" xfId="34382" xr:uid="{00000000-0005-0000-0000-0000785B0000}"/>
    <cellStyle name="Normal 5 19 15 6" xfId="34378" xr:uid="{00000000-0005-0000-0000-0000795B0000}"/>
    <cellStyle name="Normal 5 19 16" xfId="17950" xr:uid="{00000000-0005-0000-0000-00007A5B0000}"/>
    <cellStyle name="Normal 5 19 16 2" xfId="17951" xr:uid="{00000000-0005-0000-0000-00007B5B0000}"/>
    <cellStyle name="Normal 5 19 16 2 2" xfId="34384" xr:uid="{00000000-0005-0000-0000-00007C5B0000}"/>
    <cellStyle name="Normal 5 19 16 3" xfId="17952" xr:uid="{00000000-0005-0000-0000-00007D5B0000}"/>
    <cellStyle name="Normal 5 19 16 3 2" xfId="34385" xr:uid="{00000000-0005-0000-0000-00007E5B0000}"/>
    <cellStyle name="Normal 5 19 16 4" xfId="17953" xr:uid="{00000000-0005-0000-0000-00007F5B0000}"/>
    <cellStyle name="Normal 5 19 16 4 2" xfId="34386" xr:uid="{00000000-0005-0000-0000-0000805B0000}"/>
    <cellStyle name="Normal 5 19 16 5" xfId="17954" xr:uid="{00000000-0005-0000-0000-0000815B0000}"/>
    <cellStyle name="Normal 5 19 16 5 2" xfId="34387" xr:uid="{00000000-0005-0000-0000-0000825B0000}"/>
    <cellStyle name="Normal 5 19 16 6" xfId="34383" xr:uid="{00000000-0005-0000-0000-0000835B0000}"/>
    <cellStyle name="Normal 5 19 17" xfId="17955" xr:uid="{00000000-0005-0000-0000-0000845B0000}"/>
    <cellStyle name="Normal 5 19 17 2" xfId="34388" xr:uid="{00000000-0005-0000-0000-0000855B0000}"/>
    <cellStyle name="Normal 5 19 18" xfId="17956" xr:uid="{00000000-0005-0000-0000-0000865B0000}"/>
    <cellStyle name="Normal 5 19 18 2" xfId="34389" xr:uid="{00000000-0005-0000-0000-0000875B0000}"/>
    <cellStyle name="Normal 5 19 19" xfId="17957" xr:uid="{00000000-0005-0000-0000-0000885B0000}"/>
    <cellStyle name="Normal 5 19 19 2" xfId="34390" xr:uid="{00000000-0005-0000-0000-0000895B0000}"/>
    <cellStyle name="Normal 5 19 2" xfId="17958" xr:uid="{00000000-0005-0000-0000-00008A5B0000}"/>
    <cellStyle name="Normal 5 19 2 2" xfId="17959" xr:uid="{00000000-0005-0000-0000-00008B5B0000}"/>
    <cellStyle name="Normal 5 19 2 3" xfId="17960" xr:uid="{00000000-0005-0000-0000-00008C5B0000}"/>
    <cellStyle name="Normal 5 19 2 3 2" xfId="34392" xr:uid="{00000000-0005-0000-0000-00008D5B0000}"/>
    <cellStyle name="Normal 5 19 2 4" xfId="17961" xr:uid="{00000000-0005-0000-0000-00008E5B0000}"/>
    <cellStyle name="Normal 5 19 2 4 2" xfId="34393" xr:uid="{00000000-0005-0000-0000-00008F5B0000}"/>
    <cellStyle name="Normal 5 19 2 5" xfId="17962" xr:uid="{00000000-0005-0000-0000-0000905B0000}"/>
    <cellStyle name="Normal 5 19 2 5 2" xfId="34394" xr:uid="{00000000-0005-0000-0000-0000915B0000}"/>
    <cellStyle name="Normal 5 19 2 6" xfId="17963" xr:uid="{00000000-0005-0000-0000-0000925B0000}"/>
    <cellStyle name="Normal 5 19 2 6 2" xfId="34395" xr:uid="{00000000-0005-0000-0000-0000935B0000}"/>
    <cellStyle name="Normal 5 19 2 7" xfId="34391" xr:uid="{00000000-0005-0000-0000-0000945B0000}"/>
    <cellStyle name="Normal 5 19 20" xfId="17964" xr:uid="{00000000-0005-0000-0000-0000955B0000}"/>
    <cellStyle name="Normal 5 19 20 2" xfId="34396" xr:uid="{00000000-0005-0000-0000-0000965B0000}"/>
    <cellStyle name="Normal 5 19 21" xfId="17965" xr:uid="{00000000-0005-0000-0000-0000975B0000}"/>
    <cellStyle name="Normal 5 19 21 2" xfId="34397" xr:uid="{00000000-0005-0000-0000-0000985B0000}"/>
    <cellStyle name="Normal 5 19 3" xfId="17966" xr:uid="{00000000-0005-0000-0000-0000995B0000}"/>
    <cellStyle name="Normal 5 19 3 2" xfId="17967" xr:uid="{00000000-0005-0000-0000-00009A5B0000}"/>
    <cellStyle name="Normal 5 19 3 2 2" xfId="17968" xr:uid="{00000000-0005-0000-0000-00009B5B0000}"/>
    <cellStyle name="Normal 5 19 3 2 2 2" xfId="34400" xr:uid="{00000000-0005-0000-0000-00009C5B0000}"/>
    <cellStyle name="Normal 5 19 3 2 3" xfId="17969" xr:uid="{00000000-0005-0000-0000-00009D5B0000}"/>
    <cellStyle name="Normal 5 19 3 2 3 2" xfId="34401" xr:uid="{00000000-0005-0000-0000-00009E5B0000}"/>
    <cellStyle name="Normal 5 19 3 2 4" xfId="17970" xr:uid="{00000000-0005-0000-0000-00009F5B0000}"/>
    <cellStyle name="Normal 5 19 3 2 4 2" xfId="34402" xr:uid="{00000000-0005-0000-0000-0000A05B0000}"/>
    <cellStyle name="Normal 5 19 3 2 5" xfId="17971" xr:uid="{00000000-0005-0000-0000-0000A15B0000}"/>
    <cellStyle name="Normal 5 19 3 2 5 2" xfId="34403" xr:uid="{00000000-0005-0000-0000-0000A25B0000}"/>
    <cellStyle name="Normal 5 19 3 2 6" xfId="34399" xr:uid="{00000000-0005-0000-0000-0000A35B0000}"/>
    <cellStyle name="Normal 5 19 3 3" xfId="17972" xr:uid="{00000000-0005-0000-0000-0000A45B0000}"/>
    <cellStyle name="Normal 5 19 3 3 2" xfId="34404" xr:uid="{00000000-0005-0000-0000-0000A55B0000}"/>
    <cellStyle name="Normal 5 19 3 4" xfId="17973" xr:uid="{00000000-0005-0000-0000-0000A65B0000}"/>
    <cellStyle name="Normal 5 19 3 4 2" xfId="34405" xr:uid="{00000000-0005-0000-0000-0000A75B0000}"/>
    <cellStyle name="Normal 5 19 3 5" xfId="17974" xr:uid="{00000000-0005-0000-0000-0000A85B0000}"/>
    <cellStyle name="Normal 5 19 3 5 2" xfId="34406" xr:uid="{00000000-0005-0000-0000-0000A95B0000}"/>
    <cellStyle name="Normal 5 19 3 6" xfId="17975" xr:uid="{00000000-0005-0000-0000-0000AA5B0000}"/>
    <cellStyle name="Normal 5 19 3 6 2" xfId="34407" xr:uid="{00000000-0005-0000-0000-0000AB5B0000}"/>
    <cellStyle name="Normal 5 19 3 7" xfId="34398" xr:uid="{00000000-0005-0000-0000-0000AC5B0000}"/>
    <cellStyle name="Normal 5 19 4" xfId="17976" xr:uid="{00000000-0005-0000-0000-0000AD5B0000}"/>
    <cellStyle name="Normal 5 19 4 2" xfId="17977" xr:uid="{00000000-0005-0000-0000-0000AE5B0000}"/>
    <cellStyle name="Normal 5 19 4 2 2" xfId="17978" xr:uid="{00000000-0005-0000-0000-0000AF5B0000}"/>
    <cellStyle name="Normal 5 19 4 2 2 2" xfId="34410" xr:uid="{00000000-0005-0000-0000-0000B05B0000}"/>
    <cellStyle name="Normal 5 19 4 2 3" xfId="17979" xr:uid="{00000000-0005-0000-0000-0000B15B0000}"/>
    <cellStyle name="Normal 5 19 4 2 3 2" xfId="34411" xr:uid="{00000000-0005-0000-0000-0000B25B0000}"/>
    <cellStyle name="Normal 5 19 4 2 4" xfId="17980" xr:uid="{00000000-0005-0000-0000-0000B35B0000}"/>
    <cellStyle name="Normal 5 19 4 2 4 2" xfId="34412" xr:uid="{00000000-0005-0000-0000-0000B45B0000}"/>
    <cellStyle name="Normal 5 19 4 2 5" xfId="17981" xr:uid="{00000000-0005-0000-0000-0000B55B0000}"/>
    <cellStyle name="Normal 5 19 4 2 5 2" xfId="34413" xr:uid="{00000000-0005-0000-0000-0000B65B0000}"/>
    <cellStyle name="Normal 5 19 4 2 6" xfId="34409" xr:uid="{00000000-0005-0000-0000-0000B75B0000}"/>
    <cellStyle name="Normal 5 19 4 3" xfId="17982" xr:uid="{00000000-0005-0000-0000-0000B85B0000}"/>
    <cellStyle name="Normal 5 19 4 3 2" xfId="34414" xr:uid="{00000000-0005-0000-0000-0000B95B0000}"/>
    <cellStyle name="Normal 5 19 4 4" xfId="17983" xr:uid="{00000000-0005-0000-0000-0000BA5B0000}"/>
    <cellStyle name="Normal 5 19 4 4 2" xfId="34415" xr:uid="{00000000-0005-0000-0000-0000BB5B0000}"/>
    <cellStyle name="Normal 5 19 4 5" xfId="17984" xr:uid="{00000000-0005-0000-0000-0000BC5B0000}"/>
    <cellStyle name="Normal 5 19 4 5 2" xfId="34416" xr:uid="{00000000-0005-0000-0000-0000BD5B0000}"/>
    <cellStyle name="Normal 5 19 4 6" xfId="17985" xr:uid="{00000000-0005-0000-0000-0000BE5B0000}"/>
    <cellStyle name="Normal 5 19 4 6 2" xfId="34417" xr:uid="{00000000-0005-0000-0000-0000BF5B0000}"/>
    <cellStyle name="Normal 5 19 4 7" xfId="34408" xr:uid="{00000000-0005-0000-0000-0000C05B0000}"/>
    <cellStyle name="Normal 5 19 5" xfId="17986" xr:uid="{00000000-0005-0000-0000-0000C15B0000}"/>
    <cellStyle name="Normal 5 19 5 2" xfId="17987" xr:uid="{00000000-0005-0000-0000-0000C25B0000}"/>
    <cellStyle name="Normal 5 19 5 2 2" xfId="17988" xr:uid="{00000000-0005-0000-0000-0000C35B0000}"/>
    <cellStyle name="Normal 5 19 5 2 2 2" xfId="34419" xr:uid="{00000000-0005-0000-0000-0000C45B0000}"/>
    <cellStyle name="Normal 5 19 5 2 3" xfId="17989" xr:uid="{00000000-0005-0000-0000-0000C55B0000}"/>
    <cellStyle name="Normal 5 19 5 2 3 2" xfId="34420" xr:uid="{00000000-0005-0000-0000-0000C65B0000}"/>
    <cellStyle name="Normal 5 19 5 2 4" xfId="17990" xr:uid="{00000000-0005-0000-0000-0000C75B0000}"/>
    <cellStyle name="Normal 5 19 5 2 4 2" xfId="34421" xr:uid="{00000000-0005-0000-0000-0000C85B0000}"/>
    <cellStyle name="Normal 5 19 5 2 5" xfId="17991" xr:uid="{00000000-0005-0000-0000-0000C95B0000}"/>
    <cellStyle name="Normal 5 19 5 2 5 2" xfId="34422" xr:uid="{00000000-0005-0000-0000-0000CA5B0000}"/>
    <cellStyle name="Normal 5 19 5 2 6" xfId="34418" xr:uid="{00000000-0005-0000-0000-0000CB5B0000}"/>
    <cellStyle name="Normal 5 19 6" xfId="17992" xr:uid="{00000000-0005-0000-0000-0000CC5B0000}"/>
    <cellStyle name="Normal 5 19 6 2" xfId="17993" xr:uid="{00000000-0005-0000-0000-0000CD5B0000}"/>
    <cellStyle name="Normal 5 19 6 2 2" xfId="34424" xr:uid="{00000000-0005-0000-0000-0000CE5B0000}"/>
    <cellStyle name="Normal 5 19 6 3" xfId="17994" xr:uid="{00000000-0005-0000-0000-0000CF5B0000}"/>
    <cellStyle name="Normal 5 19 6 3 2" xfId="34425" xr:uid="{00000000-0005-0000-0000-0000D05B0000}"/>
    <cellStyle name="Normal 5 19 6 4" xfId="17995" xr:uid="{00000000-0005-0000-0000-0000D15B0000}"/>
    <cellStyle name="Normal 5 19 6 4 2" xfId="34426" xr:uid="{00000000-0005-0000-0000-0000D25B0000}"/>
    <cellStyle name="Normal 5 19 6 5" xfId="17996" xr:uid="{00000000-0005-0000-0000-0000D35B0000}"/>
    <cellStyle name="Normal 5 19 6 5 2" xfId="34427" xr:uid="{00000000-0005-0000-0000-0000D45B0000}"/>
    <cellStyle name="Normal 5 19 6 6" xfId="34423" xr:uid="{00000000-0005-0000-0000-0000D55B0000}"/>
    <cellStyle name="Normal 5 19 7" xfId="17997" xr:uid="{00000000-0005-0000-0000-0000D65B0000}"/>
    <cellStyle name="Normal 5 19 7 2" xfId="17998" xr:uid="{00000000-0005-0000-0000-0000D75B0000}"/>
    <cellStyle name="Normal 5 19 7 2 2" xfId="34429" xr:uid="{00000000-0005-0000-0000-0000D85B0000}"/>
    <cellStyle name="Normal 5 19 7 3" xfId="17999" xr:uid="{00000000-0005-0000-0000-0000D95B0000}"/>
    <cellStyle name="Normal 5 19 7 3 2" xfId="34430" xr:uid="{00000000-0005-0000-0000-0000DA5B0000}"/>
    <cellStyle name="Normal 5 19 7 4" xfId="18000" xr:uid="{00000000-0005-0000-0000-0000DB5B0000}"/>
    <cellStyle name="Normal 5 19 7 4 2" xfId="34431" xr:uid="{00000000-0005-0000-0000-0000DC5B0000}"/>
    <cellStyle name="Normal 5 19 7 5" xfId="18001" xr:uid="{00000000-0005-0000-0000-0000DD5B0000}"/>
    <cellStyle name="Normal 5 19 7 5 2" xfId="34432" xr:uid="{00000000-0005-0000-0000-0000DE5B0000}"/>
    <cellStyle name="Normal 5 19 7 6" xfId="34428" xr:uid="{00000000-0005-0000-0000-0000DF5B0000}"/>
    <cellStyle name="Normal 5 19 8" xfId="18002" xr:uid="{00000000-0005-0000-0000-0000E05B0000}"/>
    <cellStyle name="Normal 5 19 8 2" xfId="18003" xr:uid="{00000000-0005-0000-0000-0000E15B0000}"/>
    <cellStyle name="Normal 5 19 8 2 2" xfId="34434" xr:uid="{00000000-0005-0000-0000-0000E25B0000}"/>
    <cellStyle name="Normal 5 19 8 3" xfId="18004" xr:uid="{00000000-0005-0000-0000-0000E35B0000}"/>
    <cellStyle name="Normal 5 19 8 3 2" xfId="34435" xr:uid="{00000000-0005-0000-0000-0000E45B0000}"/>
    <cellStyle name="Normal 5 19 8 4" xfId="18005" xr:uid="{00000000-0005-0000-0000-0000E55B0000}"/>
    <cellStyle name="Normal 5 19 8 4 2" xfId="34436" xr:uid="{00000000-0005-0000-0000-0000E65B0000}"/>
    <cellStyle name="Normal 5 19 8 5" xfId="18006" xr:uid="{00000000-0005-0000-0000-0000E75B0000}"/>
    <cellStyle name="Normal 5 19 8 5 2" xfId="34437" xr:uid="{00000000-0005-0000-0000-0000E85B0000}"/>
    <cellStyle name="Normal 5 19 8 6" xfId="34433" xr:uid="{00000000-0005-0000-0000-0000E95B0000}"/>
    <cellStyle name="Normal 5 19 9" xfId="18007" xr:uid="{00000000-0005-0000-0000-0000EA5B0000}"/>
    <cellStyle name="Normal 5 19 9 2" xfId="18008" xr:uid="{00000000-0005-0000-0000-0000EB5B0000}"/>
    <cellStyle name="Normal 5 19 9 2 2" xfId="34439" xr:uid="{00000000-0005-0000-0000-0000EC5B0000}"/>
    <cellStyle name="Normal 5 19 9 3" xfId="18009" xr:uid="{00000000-0005-0000-0000-0000ED5B0000}"/>
    <cellStyle name="Normal 5 19 9 3 2" xfId="34440" xr:uid="{00000000-0005-0000-0000-0000EE5B0000}"/>
    <cellStyle name="Normal 5 19 9 4" xfId="18010" xr:uid="{00000000-0005-0000-0000-0000EF5B0000}"/>
    <cellStyle name="Normal 5 19 9 4 2" xfId="34441" xr:uid="{00000000-0005-0000-0000-0000F05B0000}"/>
    <cellStyle name="Normal 5 19 9 5" xfId="18011" xr:uid="{00000000-0005-0000-0000-0000F15B0000}"/>
    <cellStyle name="Normal 5 19 9 5 2" xfId="34442" xr:uid="{00000000-0005-0000-0000-0000F25B0000}"/>
    <cellStyle name="Normal 5 19 9 6" xfId="34438" xr:uid="{00000000-0005-0000-0000-0000F35B0000}"/>
    <cellStyle name="Normal 5 2" xfId="18012" xr:uid="{00000000-0005-0000-0000-0000F45B0000}"/>
    <cellStyle name="Normal 5 2 10" xfId="18013" xr:uid="{00000000-0005-0000-0000-0000F55B0000}"/>
    <cellStyle name="Normal 5 2 10 2" xfId="18014" xr:uid="{00000000-0005-0000-0000-0000F65B0000}"/>
    <cellStyle name="Normal 5 2 10 3" xfId="18015" xr:uid="{00000000-0005-0000-0000-0000F75B0000}"/>
    <cellStyle name="Normal 5 2 10 3 2" xfId="34444" xr:uid="{00000000-0005-0000-0000-0000F85B0000}"/>
    <cellStyle name="Normal 5 2 10 4" xfId="18016" xr:uid="{00000000-0005-0000-0000-0000F95B0000}"/>
    <cellStyle name="Normal 5 2 10 4 2" xfId="34445" xr:uid="{00000000-0005-0000-0000-0000FA5B0000}"/>
    <cellStyle name="Normal 5 2 10 5" xfId="18017" xr:uid="{00000000-0005-0000-0000-0000FB5B0000}"/>
    <cellStyle name="Normal 5 2 10 5 2" xfId="34446" xr:uid="{00000000-0005-0000-0000-0000FC5B0000}"/>
    <cellStyle name="Normal 5 2 10 6" xfId="18018" xr:uid="{00000000-0005-0000-0000-0000FD5B0000}"/>
    <cellStyle name="Normal 5 2 10 6 2" xfId="34447" xr:uid="{00000000-0005-0000-0000-0000FE5B0000}"/>
    <cellStyle name="Normal 5 2 10 7" xfId="34443" xr:uid="{00000000-0005-0000-0000-0000FF5B0000}"/>
    <cellStyle name="Normal 5 2 11" xfId="18019" xr:uid="{00000000-0005-0000-0000-0000005C0000}"/>
    <cellStyle name="Normal 5 2 11 2" xfId="18020" xr:uid="{00000000-0005-0000-0000-0000015C0000}"/>
    <cellStyle name="Normal 5 2 11 2 2" xfId="34449" xr:uid="{00000000-0005-0000-0000-0000025C0000}"/>
    <cellStyle name="Normal 5 2 11 3" xfId="18021" xr:uid="{00000000-0005-0000-0000-0000035C0000}"/>
    <cellStyle name="Normal 5 2 11 3 2" xfId="34450" xr:uid="{00000000-0005-0000-0000-0000045C0000}"/>
    <cellStyle name="Normal 5 2 11 4" xfId="18022" xr:uid="{00000000-0005-0000-0000-0000055C0000}"/>
    <cellStyle name="Normal 5 2 11 4 2" xfId="34451" xr:uid="{00000000-0005-0000-0000-0000065C0000}"/>
    <cellStyle name="Normal 5 2 11 5" xfId="18023" xr:uid="{00000000-0005-0000-0000-0000075C0000}"/>
    <cellStyle name="Normal 5 2 11 5 2" xfId="34452" xr:uid="{00000000-0005-0000-0000-0000085C0000}"/>
    <cellStyle name="Normal 5 2 11 6" xfId="34448" xr:uid="{00000000-0005-0000-0000-0000095C0000}"/>
    <cellStyle name="Normal 5 2 12" xfId="18024" xr:uid="{00000000-0005-0000-0000-00000A5C0000}"/>
    <cellStyle name="Normal 5 2 12 2" xfId="18025" xr:uid="{00000000-0005-0000-0000-00000B5C0000}"/>
    <cellStyle name="Normal 5 2 12 2 2" xfId="34454" xr:uid="{00000000-0005-0000-0000-00000C5C0000}"/>
    <cellStyle name="Normal 5 2 12 3" xfId="18026" xr:uid="{00000000-0005-0000-0000-00000D5C0000}"/>
    <cellStyle name="Normal 5 2 12 3 2" xfId="34455" xr:uid="{00000000-0005-0000-0000-00000E5C0000}"/>
    <cellStyle name="Normal 5 2 12 4" xfId="18027" xr:uid="{00000000-0005-0000-0000-00000F5C0000}"/>
    <cellStyle name="Normal 5 2 12 4 2" xfId="34456" xr:uid="{00000000-0005-0000-0000-0000105C0000}"/>
    <cellStyle name="Normal 5 2 12 5" xfId="18028" xr:uid="{00000000-0005-0000-0000-0000115C0000}"/>
    <cellStyle name="Normal 5 2 12 5 2" xfId="34457" xr:uid="{00000000-0005-0000-0000-0000125C0000}"/>
    <cellStyle name="Normal 5 2 12 6" xfId="34453" xr:uid="{00000000-0005-0000-0000-0000135C0000}"/>
    <cellStyle name="Normal 5 2 13" xfId="18029" xr:uid="{00000000-0005-0000-0000-0000145C0000}"/>
    <cellStyle name="Normal 5 2 13 2" xfId="18030" xr:uid="{00000000-0005-0000-0000-0000155C0000}"/>
    <cellStyle name="Normal 5 2 13 2 2" xfId="34459" xr:uid="{00000000-0005-0000-0000-0000165C0000}"/>
    <cellStyle name="Normal 5 2 13 3" xfId="18031" xr:uid="{00000000-0005-0000-0000-0000175C0000}"/>
    <cellStyle name="Normal 5 2 13 3 2" xfId="34460" xr:uid="{00000000-0005-0000-0000-0000185C0000}"/>
    <cellStyle name="Normal 5 2 13 4" xfId="18032" xr:uid="{00000000-0005-0000-0000-0000195C0000}"/>
    <cellStyle name="Normal 5 2 13 4 2" xfId="34461" xr:uid="{00000000-0005-0000-0000-00001A5C0000}"/>
    <cellStyle name="Normal 5 2 13 5" xfId="18033" xr:uid="{00000000-0005-0000-0000-00001B5C0000}"/>
    <cellStyle name="Normal 5 2 13 5 2" xfId="34462" xr:uid="{00000000-0005-0000-0000-00001C5C0000}"/>
    <cellStyle name="Normal 5 2 13 6" xfId="34458" xr:uid="{00000000-0005-0000-0000-00001D5C0000}"/>
    <cellStyle name="Normal 5 2 14" xfId="18034" xr:uid="{00000000-0005-0000-0000-00001E5C0000}"/>
    <cellStyle name="Normal 5 2 14 2" xfId="18035" xr:uid="{00000000-0005-0000-0000-00001F5C0000}"/>
    <cellStyle name="Normal 5 2 14 2 2" xfId="34464" xr:uid="{00000000-0005-0000-0000-0000205C0000}"/>
    <cellStyle name="Normal 5 2 14 3" xfId="18036" xr:uid="{00000000-0005-0000-0000-0000215C0000}"/>
    <cellStyle name="Normal 5 2 14 3 2" xfId="34465" xr:uid="{00000000-0005-0000-0000-0000225C0000}"/>
    <cellStyle name="Normal 5 2 14 4" xfId="18037" xr:uid="{00000000-0005-0000-0000-0000235C0000}"/>
    <cellStyle name="Normal 5 2 14 4 2" xfId="34466" xr:uid="{00000000-0005-0000-0000-0000245C0000}"/>
    <cellStyle name="Normal 5 2 14 5" xfId="18038" xr:uid="{00000000-0005-0000-0000-0000255C0000}"/>
    <cellStyle name="Normal 5 2 14 5 2" xfId="34467" xr:uid="{00000000-0005-0000-0000-0000265C0000}"/>
    <cellStyle name="Normal 5 2 14 6" xfId="34463" xr:uid="{00000000-0005-0000-0000-0000275C0000}"/>
    <cellStyle name="Normal 5 2 15" xfId="18039" xr:uid="{00000000-0005-0000-0000-0000285C0000}"/>
    <cellStyle name="Normal 5 2 15 2" xfId="18040" xr:uid="{00000000-0005-0000-0000-0000295C0000}"/>
    <cellStyle name="Normal 5 2 15 2 2" xfId="34469" xr:uid="{00000000-0005-0000-0000-00002A5C0000}"/>
    <cellStyle name="Normal 5 2 15 3" xfId="18041" xr:uid="{00000000-0005-0000-0000-00002B5C0000}"/>
    <cellStyle name="Normal 5 2 15 3 2" xfId="34470" xr:uid="{00000000-0005-0000-0000-00002C5C0000}"/>
    <cellStyle name="Normal 5 2 15 4" xfId="18042" xr:uid="{00000000-0005-0000-0000-00002D5C0000}"/>
    <cellStyle name="Normal 5 2 15 4 2" xfId="34471" xr:uid="{00000000-0005-0000-0000-00002E5C0000}"/>
    <cellStyle name="Normal 5 2 15 5" xfId="18043" xr:uid="{00000000-0005-0000-0000-00002F5C0000}"/>
    <cellStyle name="Normal 5 2 15 5 2" xfId="34472" xr:uid="{00000000-0005-0000-0000-0000305C0000}"/>
    <cellStyle name="Normal 5 2 15 6" xfId="34468" xr:uid="{00000000-0005-0000-0000-0000315C0000}"/>
    <cellStyle name="Normal 5 2 16" xfId="18044" xr:uid="{00000000-0005-0000-0000-0000325C0000}"/>
    <cellStyle name="Normal 5 2 16 2" xfId="18045" xr:uid="{00000000-0005-0000-0000-0000335C0000}"/>
    <cellStyle name="Normal 5 2 16 2 2" xfId="34474" xr:uid="{00000000-0005-0000-0000-0000345C0000}"/>
    <cellStyle name="Normal 5 2 16 3" xfId="18046" xr:uid="{00000000-0005-0000-0000-0000355C0000}"/>
    <cellStyle name="Normal 5 2 16 3 2" xfId="34475" xr:uid="{00000000-0005-0000-0000-0000365C0000}"/>
    <cellStyle name="Normal 5 2 16 4" xfId="18047" xr:uid="{00000000-0005-0000-0000-0000375C0000}"/>
    <cellStyle name="Normal 5 2 16 4 2" xfId="34476" xr:uid="{00000000-0005-0000-0000-0000385C0000}"/>
    <cellStyle name="Normal 5 2 16 5" xfId="18048" xr:uid="{00000000-0005-0000-0000-0000395C0000}"/>
    <cellStyle name="Normal 5 2 16 5 2" xfId="34477" xr:uid="{00000000-0005-0000-0000-00003A5C0000}"/>
    <cellStyle name="Normal 5 2 16 6" xfId="34473" xr:uid="{00000000-0005-0000-0000-00003B5C0000}"/>
    <cellStyle name="Normal 5 2 17" xfId="18049" xr:uid="{00000000-0005-0000-0000-00003C5C0000}"/>
    <cellStyle name="Normal 5 2 17 2" xfId="18050" xr:uid="{00000000-0005-0000-0000-00003D5C0000}"/>
    <cellStyle name="Normal 5 2 17 2 2" xfId="34479" xr:uid="{00000000-0005-0000-0000-00003E5C0000}"/>
    <cellStyle name="Normal 5 2 17 3" xfId="18051" xr:uid="{00000000-0005-0000-0000-00003F5C0000}"/>
    <cellStyle name="Normal 5 2 17 3 2" xfId="34480" xr:uid="{00000000-0005-0000-0000-0000405C0000}"/>
    <cellStyle name="Normal 5 2 17 4" xfId="18052" xr:uid="{00000000-0005-0000-0000-0000415C0000}"/>
    <cellStyle name="Normal 5 2 17 4 2" xfId="34481" xr:uid="{00000000-0005-0000-0000-0000425C0000}"/>
    <cellStyle name="Normal 5 2 17 5" xfId="18053" xr:uid="{00000000-0005-0000-0000-0000435C0000}"/>
    <cellStyle name="Normal 5 2 17 5 2" xfId="34482" xr:uid="{00000000-0005-0000-0000-0000445C0000}"/>
    <cellStyle name="Normal 5 2 17 6" xfId="34478" xr:uid="{00000000-0005-0000-0000-0000455C0000}"/>
    <cellStyle name="Normal 5 2 18" xfId="18054" xr:uid="{00000000-0005-0000-0000-0000465C0000}"/>
    <cellStyle name="Normal 5 2 18 2" xfId="18055" xr:uid="{00000000-0005-0000-0000-0000475C0000}"/>
    <cellStyle name="Normal 5 2 18 2 2" xfId="34484" xr:uid="{00000000-0005-0000-0000-0000485C0000}"/>
    <cellStyle name="Normal 5 2 18 3" xfId="18056" xr:uid="{00000000-0005-0000-0000-0000495C0000}"/>
    <cellStyle name="Normal 5 2 18 3 2" xfId="34485" xr:uid="{00000000-0005-0000-0000-00004A5C0000}"/>
    <cellStyle name="Normal 5 2 18 4" xfId="18057" xr:uid="{00000000-0005-0000-0000-00004B5C0000}"/>
    <cellStyle name="Normal 5 2 18 4 2" xfId="34486" xr:uid="{00000000-0005-0000-0000-00004C5C0000}"/>
    <cellStyle name="Normal 5 2 18 5" xfId="18058" xr:uid="{00000000-0005-0000-0000-00004D5C0000}"/>
    <cellStyle name="Normal 5 2 18 5 2" xfId="34487" xr:uid="{00000000-0005-0000-0000-00004E5C0000}"/>
    <cellStyle name="Normal 5 2 18 6" xfId="34483" xr:uid="{00000000-0005-0000-0000-00004F5C0000}"/>
    <cellStyle name="Normal 5 2 19" xfId="18059" xr:uid="{00000000-0005-0000-0000-0000505C0000}"/>
    <cellStyle name="Normal 5 2 19 2" xfId="18060" xr:uid="{00000000-0005-0000-0000-0000515C0000}"/>
    <cellStyle name="Normal 5 2 19 2 2" xfId="34489" xr:uid="{00000000-0005-0000-0000-0000525C0000}"/>
    <cellStyle name="Normal 5 2 19 3" xfId="18061" xr:uid="{00000000-0005-0000-0000-0000535C0000}"/>
    <cellStyle name="Normal 5 2 19 3 2" xfId="34490" xr:uid="{00000000-0005-0000-0000-0000545C0000}"/>
    <cellStyle name="Normal 5 2 19 4" xfId="18062" xr:uid="{00000000-0005-0000-0000-0000555C0000}"/>
    <cellStyle name="Normal 5 2 19 4 2" xfId="34491" xr:uid="{00000000-0005-0000-0000-0000565C0000}"/>
    <cellStyle name="Normal 5 2 19 5" xfId="18063" xr:uid="{00000000-0005-0000-0000-0000575C0000}"/>
    <cellStyle name="Normal 5 2 19 5 2" xfId="34492" xr:uid="{00000000-0005-0000-0000-0000585C0000}"/>
    <cellStyle name="Normal 5 2 19 6" xfId="34488" xr:uid="{00000000-0005-0000-0000-0000595C0000}"/>
    <cellStyle name="Normal 5 2 2" xfId="18064" xr:uid="{00000000-0005-0000-0000-00005A5C0000}"/>
    <cellStyle name="Normal 5 2 2 10" xfId="18065" xr:uid="{00000000-0005-0000-0000-00005B5C0000}"/>
    <cellStyle name="Normal 5 2 2 10 2" xfId="18066" xr:uid="{00000000-0005-0000-0000-00005C5C0000}"/>
    <cellStyle name="Normal 5 2 2 10 2 2" xfId="34495" xr:uid="{00000000-0005-0000-0000-00005D5C0000}"/>
    <cellStyle name="Normal 5 2 2 10 3" xfId="18067" xr:uid="{00000000-0005-0000-0000-00005E5C0000}"/>
    <cellStyle name="Normal 5 2 2 10 3 2" xfId="34496" xr:uid="{00000000-0005-0000-0000-00005F5C0000}"/>
    <cellStyle name="Normal 5 2 2 10 4" xfId="18068" xr:uid="{00000000-0005-0000-0000-0000605C0000}"/>
    <cellStyle name="Normal 5 2 2 10 4 2" xfId="34497" xr:uid="{00000000-0005-0000-0000-0000615C0000}"/>
    <cellStyle name="Normal 5 2 2 10 5" xfId="18069" xr:uid="{00000000-0005-0000-0000-0000625C0000}"/>
    <cellStyle name="Normal 5 2 2 10 5 2" xfId="34498" xr:uid="{00000000-0005-0000-0000-0000635C0000}"/>
    <cellStyle name="Normal 5 2 2 10 6" xfId="34494" xr:uid="{00000000-0005-0000-0000-0000645C0000}"/>
    <cellStyle name="Normal 5 2 2 11" xfId="18070" xr:uid="{00000000-0005-0000-0000-0000655C0000}"/>
    <cellStyle name="Normal 5 2 2 11 2" xfId="18071" xr:uid="{00000000-0005-0000-0000-0000665C0000}"/>
    <cellStyle name="Normal 5 2 2 11 2 2" xfId="34500" xr:uid="{00000000-0005-0000-0000-0000675C0000}"/>
    <cellStyle name="Normal 5 2 2 11 3" xfId="18072" xr:uid="{00000000-0005-0000-0000-0000685C0000}"/>
    <cellStyle name="Normal 5 2 2 11 3 2" xfId="34501" xr:uid="{00000000-0005-0000-0000-0000695C0000}"/>
    <cellStyle name="Normal 5 2 2 11 4" xfId="18073" xr:uid="{00000000-0005-0000-0000-00006A5C0000}"/>
    <cellStyle name="Normal 5 2 2 11 4 2" xfId="34502" xr:uid="{00000000-0005-0000-0000-00006B5C0000}"/>
    <cellStyle name="Normal 5 2 2 11 5" xfId="18074" xr:uid="{00000000-0005-0000-0000-00006C5C0000}"/>
    <cellStyle name="Normal 5 2 2 11 5 2" xfId="34503" xr:uid="{00000000-0005-0000-0000-00006D5C0000}"/>
    <cellStyle name="Normal 5 2 2 11 6" xfId="34499" xr:uid="{00000000-0005-0000-0000-00006E5C0000}"/>
    <cellStyle name="Normal 5 2 2 12" xfId="18075" xr:uid="{00000000-0005-0000-0000-00006F5C0000}"/>
    <cellStyle name="Normal 5 2 2 12 2" xfId="18076" xr:uid="{00000000-0005-0000-0000-0000705C0000}"/>
    <cellStyle name="Normal 5 2 2 12 2 2" xfId="34505" xr:uid="{00000000-0005-0000-0000-0000715C0000}"/>
    <cellStyle name="Normal 5 2 2 12 3" xfId="18077" xr:uid="{00000000-0005-0000-0000-0000725C0000}"/>
    <cellStyle name="Normal 5 2 2 12 3 2" xfId="34506" xr:uid="{00000000-0005-0000-0000-0000735C0000}"/>
    <cellStyle name="Normal 5 2 2 12 4" xfId="18078" xr:uid="{00000000-0005-0000-0000-0000745C0000}"/>
    <cellStyle name="Normal 5 2 2 12 4 2" xfId="34507" xr:uid="{00000000-0005-0000-0000-0000755C0000}"/>
    <cellStyle name="Normal 5 2 2 12 5" xfId="18079" xr:uid="{00000000-0005-0000-0000-0000765C0000}"/>
    <cellStyle name="Normal 5 2 2 12 5 2" xfId="34508" xr:uid="{00000000-0005-0000-0000-0000775C0000}"/>
    <cellStyle name="Normal 5 2 2 12 6" xfId="34504" xr:uid="{00000000-0005-0000-0000-0000785C0000}"/>
    <cellStyle name="Normal 5 2 2 13" xfId="18080" xr:uid="{00000000-0005-0000-0000-0000795C0000}"/>
    <cellStyle name="Normal 5 2 2 13 2" xfId="18081" xr:uid="{00000000-0005-0000-0000-00007A5C0000}"/>
    <cellStyle name="Normal 5 2 2 13 2 2" xfId="34510" xr:uid="{00000000-0005-0000-0000-00007B5C0000}"/>
    <cellStyle name="Normal 5 2 2 13 3" xfId="18082" xr:uid="{00000000-0005-0000-0000-00007C5C0000}"/>
    <cellStyle name="Normal 5 2 2 13 3 2" xfId="34511" xr:uid="{00000000-0005-0000-0000-00007D5C0000}"/>
    <cellStyle name="Normal 5 2 2 13 4" xfId="18083" xr:uid="{00000000-0005-0000-0000-00007E5C0000}"/>
    <cellStyle name="Normal 5 2 2 13 4 2" xfId="34512" xr:uid="{00000000-0005-0000-0000-00007F5C0000}"/>
    <cellStyle name="Normal 5 2 2 13 5" xfId="18084" xr:uid="{00000000-0005-0000-0000-0000805C0000}"/>
    <cellStyle name="Normal 5 2 2 13 5 2" xfId="34513" xr:uid="{00000000-0005-0000-0000-0000815C0000}"/>
    <cellStyle name="Normal 5 2 2 13 6" xfId="34509" xr:uid="{00000000-0005-0000-0000-0000825C0000}"/>
    <cellStyle name="Normal 5 2 2 14" xfId="18085" xr:uid="{00000000-0005-0000-0000-0000835C0000}"/>
    <cellStyle name="Normal 5 2 2 14 2" xfId="18086" xr:uid="{00000000-0005-0000-0000-0000845C0000}"/>
    <cellStyle name="Normal 5 2 2 14 2 2" xfId="34515" xr:uid="{00000000-0005-0000-0000-0000855C0000}"/>
    <cellStyle name="Normal 5 2 2 14 3" xfId="18087" xr:uid="{00000000-0005-0000-0000-0000865C0000}"/>
    <cellStyle name="Normal 5 2 2 14 3 2" xfId="34516" xr:uid="{00000000-0005-0000-0000-0000875C0000}"/>
    <cellStyle name="Normal 5 2 2 14 4" xfId="18088" xr:uid="{00000000-0005-0000-0000-0000885C0000}"/>
    <cellStyle name="Normal 5 2 2 14 4 2" xfId="34517" xr:uid="{00000000-0005-0000-0000-0000895C0000}"/>
    <cellStyle name="Normal 5 2 2 14 5" xfId="18089" xr:uid="{00000000-0005-0000-0000-00008A5C0000}"/>
    <cellStyle name="Normal 5 2 2 14 5 2" xfId="34518" xr:uid="{00000000-0005-0000-0000-00008B5C0000}"/>
    <cellStyle name="Normal 5 2 2 14 6" xfId="34514" xr:uid="{00000000-0005-0000-0000-00008C5C0000}"/>
    <cellStyle name="Normal 5 2 2 15" xfId="18090" xr:uid="{00000000-0005-0000-0000-00008D5C0000}"/>
    <cellStyle name="Normal 5 2 2 15 2" xfId="18091" xr:uid="{00000000-0005-0000-0000-00008E5C0000}"/>
    <cellStyle name="Normal 5 2 2 15 2 2" xfId="34520" xr:uid="{00000000-0005-0000-0000-00008F5C0000}"/>
    <cellStyle name="Normal 5 2 2 15 3" xfId="18092" xr:uid="{00000000-0005-0000-0000-0000905C0000}"/>
    <cellStyle name="Normal 5 2 2 15 3 2" xfId="34521" xr:uid="{00000000-0005-0000-0000-0000915C0000}"/>
    <cellStyle name="Normal 5 2 2 15 4" xfId="18093" xr:uid="{00000000-0005-0000-0000-0000925C0000}"/>
    <cellStyle name="Normal 5 2 2 15 4 2" xfId="34522" xr:uid="{00000000-0005-0000-0000-0000935C0000}"/>
    <cellStyle name="Normal 5 2 2 15 5" xfId="18094" xr:uid="{00000000-0005-0000-0000-0000945C0000}"/>
    <cellStyle name="Normal 5 2 2 15 5 2" xfId="34523" xr:uid="{00000000-0005-0000-0000-0000955C0000}"/>
    <cellStyle name="Normal 5 2 2 15 6" xfId="34519" xr:uid="{00000000-0005-0000-0000-0000965C0000}"/>
    <cellStyle name="Normal 5 2 2 16" xfId="18095" xr:uid="{00000000-0005-0000-0000-0000975C0000}"/>
    <cellStyle name="Normal 5 2 2 16 2" xfId="18096" xr:uid="{00000000-0005-0000-0000-0000985C0000}"/>
    <cellStyle name="Normal 5 2 2 16 2 2" xfId="34525" xr:uid="{00000000-0005-0000-0000-0000995C0000}"/>
    <cellStyle name="Normal 5 2 2 16 3" xfId="18097" xr:uid="{00000000-0005-0000-0000-00009A5C0000}"/>
    <cellStyle name="Normal 5 2 2 16 3 2" xfId="34526" xr:uid="{00000000-0005-0000-0000-00009B5C0000}"/>
    <cellStyle name="Normal 5 2 2 16 4" xfId="18098" xr:uid="{00000000-0005-0000-0000-00009C5C0000}"/>
    <cellStyle name="Normal 5 2 2 16 4 2" xfId="34527" xr:uid="{00000000-0005-0000-0000-00009D5C0000}"/>
    <cellStyle name="Normal 5 2 2 16 5" xfId="18099" xr:uid="{00000000-0005-0000-0000-00009E5C0000}"/>
    <cellStyle name="Normal 5 2 2 16 5 2" xfId="34528" xr:uid="{00000000-0005-0000-0000-00009F5C0000}"/>
    <cellStyle name="Normal 5 2 2 16 6" xfId="34524" xr:uid="{00000000-0005-0000-0000-0000A05C0000}"/>
    <cellStyle name="Normal 5 2 2 17" xfId="18100" xr:uid="{00000000-0005-0000-0000-0000A15C0000}"/>
    <cellStyle name="Normal 5 2 2 17 2" xfId="18101" xr:uid="{00000000-0005-0000-0000-0000A25C0000}"/>
    <cellStyle name="Normal 5 2 2 17 2 2" xfId="34530" xr:uid="{00000000-0005-0000-0000-0000A35C0000}"/>
    <cellStyle name="Normal 5 2 2 17 3" xfId="18102" xr:uid="{00000000-0005-0000-0000-0000A45C0000}"/>
    <cellStyle name="Normal 5 2 2 17 3 2" xfId="34531" xr:uid="{00000000-0005-0000-0000-0000A55C0000}"/>
    <cellStyle name="Normal 5 2 2 17 4" xfId="18103" xr:uid="{00000000-0005-0000-0000-0000A65C0000}"/>
    <cellStyle name="Normal 5 2 2 17 4 2" xfId="34532" xr:uid="{00000000-0005-0000-0000-0000A75C0000}"/>
    <cellStyle name="Normal 5 2 2 17 5" xfId="18104" xr:uid="{00000000-0005-0000-0000-0000A85C0000}"/>
    <cellStyle name="Normal 5 2 2 17 5 2" xfId="34533" xr:uid="{00000000-0005-0000-0000-0000A95C0000}"/>
    <cellStyle name="Normal 5 2 2 17 6" xfId="34529" xr:uid="{00000000-0005-0000-0000-0000AA5C0000}"/>
    <cellStyle name="Normal 5 2 2 18" xfId="18105" xr:uid="{00000000-0005-0000-0000-0000AB5C0000}"/>
    <cellStyle name="Normal 5 2 2 18 2" xfId="18106" xr:uid="{00000000-0005-0000-0000-0000AC5C0000}"/>
    <cellStyle name="Normal 5 2 2 18 2 2" xfId="34535" xr:uid="{00000000-0005-0000-0000-0000AD5C0000}"/>
    <cellStyle name="Normal 5 2 2 18 3" xfId="18107" xr:uid="{00000000-0005-0000-0000-0000AE5C0000}"/>
    <cellStyle name="Normal 5 2 2 18 3 2" xfId="34536" xr:uid="{00000000-0005-0000-0000-0000AF5C0000}"/>
    <cellStyle name="Normal 5 2 2 18 4" xfId="18108" xr:uid="{00000000-0005-0000-0000-0000B05C0000}"/>
    <cellStyle name="Normal 5 2 2 18 4 2" xfId="34537" xr:uid="{00000000-0005-0000-0000-0000B15C0000}"/>
    <cellStyle name="Normal 5 2 2 18 5" xfId="18109" xr:uid="{00000000-0005-0000-0000-0000B25C0000}"/>
    <cellStyle name="Normal 5 2 2 18 5 2" xfId="34538" xr:uid="{00000000-0005-0000-0000-0000B35C0000}"/>
    <cellStyle name="Normal 5 2 2 18 6" xfId="34534" xr:uid="{00000000-0005-0000-0000-0000B45C0000}"/>
    <cellStyle name="Normal 5 2 2 19" xfId="18110" xr:uid="{00000000-0005-0000-0000-0000B55C0000}"/>
    <cellStyle name="Normal 5 2 2 19 2" xfId="18111" xr:uid="{00000000-0005-0000-0000-0000B65C0000}"/>
    <cellStyle name="Normal 5 2 2 19 2 2" xfId="34540" xr:uid="{00000000-0005-0000-0000-0000B75C0000}"/>
    <cellStyle name="Normal 5 2 2 19 3" xfId="18112" xr:uid="{00000000-0005-0000-0000-0000B85C0000}"/>
    <cellStyle name="Normal 5 2 2 19 3 2" xfId="34541" xr:uid="{00000000-0005-0000-0000-0000B95C0000}"/>
    <cellStyle name="Normal 5 2 2 19 4" xfId="18113" xr:uid="{00000000-0005-0000-0000-0000BA5C0000}"/>
    <cellStyle name="Normal 5 2 2 19 4 2" xfId="34542" xr:uid="{00000000-0005-0000-0000-0000BB5C0000}"/>
    <cellStyle name="Normal 5 2 2 19 5" xfId="18114" xr:uid="{00000000-0005-0000-0000-0000BC5C0000}"/>
    <cellStyle name="Normal 5 2 2 19 5 2" xfId="34543" xr:uid="{00000000-0005-0000-0000-0000BD5C0000}"/>
    <cellStyle name="Normal 5 2 2 19 6" xfId="34539" xr:uid="{00000000-0005-0000-0000-0000BE5C0000}"/>
    <cellStyle name="Normal 5 2 2 2" xfId="18115" xr:uid="{00000000-0005-0000-0000-0000BF5C0000}"/>
    <cellStyle name="Normal 5 2 2 2 10" xfId="18116" xr:uid="{00000000-0005-0000-0000-0000C05C0000}"/>
    <cellStyle name="Normal 5 2 2 2 10 2" xfId="18117" xr:uid="{00000000-0005-0000-0000-0000C15C0000}"/>
    <cellStyle name="Normal 5 2 2 2 10 2 2" xfId="34546" xr:uid="{00000000-0005-0000-0000-0000C25C0000}"/>
    <cellStyle name="Normal 5 2 2 2 10 3" xfId="18118" xr:uid="{00000000-0005-0000-0000-0000C35C0000}"/>
    <cellStyle name="Normal 5 2 2 2 10 3 2" xfId="34547" xr:uid="{00000000-0005-0000-0000-0000C45C0000}"/>
    <cellStyle name="Normal 5 2 2 2 10 4" xfId="18119" xr:uid="{00000000-0005-0000-0000-0000C55C0000}"/>
    <cellStyle name="Normal 5 2 2 2 10 4 2" xfId="34548" xr:uid="{00000000-0005-0000-0000-0000C65C0000}"/>
    <cellStyle name="Normal 5 2 2 2 10 5" xfId="18120" xr:uid="{00000000-0005-0000-0000-0000C75C0000}"/>
    <cellStyle name="Normal 5 2 2 2 10 5 2" xfId="34549" xr:uid="{00000000-0005-0000-0000-0000C85C0000}"/>
    <cellStyle name="Normal 5 2 2 2 10 6" xfId="34545" xr:uid="{00000000-0005-0000-0000-0000C95C0000}"/>
    <cellStyle name="Normal 5 2 2 2 11" xfId="18121" xr:uid="{00000000-0005-0000-0000-0000CA5C0000}"/>
    <cellStyle name="Normal 5 2 2 2 11 2" xfId="18122" xr:uid="{00000000-0005-0000-0000-0000CB5C0000}"/>
    <cellStyle name="Normal 5 2 2 2 11 2 2" xfId="34551" xr:uid="{00000000-0005-0000-0000-0000CC5C0000}"/>
    <cellStyle name="Normal 5 2 2 2 11 3" xfId="18123" xr:uid="{00000000-0005-0000-0000-0000CD5C0000}"/>
    <cellStyle name="Normal 5 2 2 2 11 3 2" xfId="34552" xr:uid="{00000000-0005-0000-0000-0000CE5C0000}"/>
    <cellStyle name="Normal 5 2 2 2 11 4" xfId="18124" xr:uid="{00000000-0005-0000-0000-0000CF5C0000}"/>
    <cellStyle name="Normal 5 2 2 2 11 4 2" xfId="34553" xr:uid="{00000000-0005-0000-0000-0000D05C0000}"/>
    <cellStyle name="Normal 5 2 2 2 11 5" xfId="18125" xr:uid="{00000000-0005-0000-0000-0000D15C0000}"/>
    <cellStyle name="Normal 5 2 2 2 11 5 2" xfId="34554" xr:uid="{00000000-0005-0000-0000-0000D25C0000}"/>
    <cellStyle name="Normal 5 2 2 2 11 6" xfId="34550" xr:uid="{00000000-0005-0000-0000-0000D35C0000}"/>
    <cellStyle name="Normal 5 2 2 2 12" xfId="18126" xr:uid="{00000000-0005-0000-0000-0000D45C0000}"/>
    <cellStyle name="Normal 5 2 2 2 12 2" xfId="18127" xr:uid="{00000000-0005-0000-0000-0000D55C0000}"/>
    <cellStyle name="Normal 5 2 2 2 12 2 2" xfId="34556" xr:uid="{00000000-0005-0000-0000-0000D65C0000}"/>
    <cellStyle name="Normal 5 2 2 2 12 3" xfId="18128" xr:uid="{00000000-0005-0000-0000-0000D75C0000}"/>
    <cellStyle name="Normal 5 2 2 2 12 3 2" xfId="34557" xr:uid="{00000000-0005-0000-0000-0000D85C0000}"/>
    <cellStyle name="Normal 5 2 2 2 12 4" xfId="18129" xr:uid="{00000000-0005-0000-0000-0000D95C0000}"/>
    <cellStyle name="Normal 5 2 2 2 12 4 2" xfId="34558" xr:uid="{00000000-0005-0000-0000-0000DA5C0000}"/>
    <cellStyle name="Normal 5 2 2 2 12 5" xfId="18130" xr:uid="{00000000-0005-0000-0000-0000DB5C0000}"/>
    <cellStyle name="Normal 5 2 2 2 12 5 2" xfId="34559" xr:uid="{00000000-0005-0000-0000-0000DC5C0000}"/>
    <cellStyle name="Normal 5 2 2 2 12 6" xfId="34555" xr:uid="{00000000-0005-0000-0000-0000DD5C0000}"/>
    <cellStyle name="Normal 5 2 2 2 13" xfId="18131" xr:uid="{00000000-0005-0000-0000-0000DE5C0000}"/>
    <cellStyle name="Normal 5 2 2 2 13 2" xfId="18132" xr:uid="{00000000-0005-0000-0000-0000DF5C0000}"/>
    <cellStyle name="Normal 5 2 2 2 13 2 2" xfId="34561" xr:uid="{00000000-0005-0000-0000-0000E05C0000}"/>
    <cellStyle name="Normal 5 2 2 2 13 3" xfId="18133" xr:uid="{00000000-0005-0000-0000-0000E15C0000}"/>
    <cellStyle name="Normal 5 2 2 2 13 3 2" xfId="34562" xr:uid="{00000000-0005-0000-0000-0000E25C0000}"/>
    <cellStyle name="Normal 5 2 2 2 13 4" xfId="18134" xr:uid="{00000000-0005-0000-0000-0000E35C0000}"/>
    <cellStyle name="Normal 5 2 2 2 13 4 2" xfId="34563" xr:uid="{00000000-0005-0000-0000-0000E45C0000}"/>
    <cellStyle name="Normal 5 2 2 2 13 5" xfId="18135" xr:uid="{00000000-0005-0000-0000-0000E55C0000}"/>
    <cellStyle name="Normal 5 2 2 2 13 5 2" xfId="34564" xr:uid="{00000000-0005-0000-0000-0000E65C0000}"/>
    <cellStyle name="Normal 5 2 2 2 13 6" xfId="34560" xr:uid="{00000000-0005-0000-0000-0000E75C0000}"/>
    <cellStyle name="Normal 5 2 2 2 14" xfId="18136" xr:uid="{00000000-0005-0000-0000-0000E85C0000}"/>
    <cellStyle name="Normal 5 2 2 2 14 2" xfId="18137" xr:uid="{00000000-0005-0000-0000-0000E95C0000}"/>
    <cellStyle name="Normal 5 2 2 2 14 2 2" xfId="34566" xr:uid="{00000000-0005-0000-0000-0000EA5C0000}"/>
    <cellStyle name="Normal 5 2 2 2 14 3" xfId="18138" xr:uid="{00000000-0005-0000-0000-0000EB5C0000}"/>
    <cellStyle name="Normal 5 2 2 2 14 3 2" xfId="34567" xr:uid="{00000000-0005-0000-0000-0000EC5C0000}"/>
    <cellStyle name="Normal 5 2 2 2 14 4" xfId="18139" xr:uid="{00000000-0005-0000-0000-0000ED5C0000}"/>
    <cellStyle name="Normal 5 2 2 2 14 4 2" xfId="34568" xr:uid="{00000000-0005-0000-0000-0000EE5C0000}"/>
    <cellStyle name="Normal 5 2 2 2 14 5" xfId="18140" xr:uid="{00000000-0005-0000-0000-0000EF5C0000}"/>
    <cellStyle name="Normal 5 2 2 2 14 5 2" xfId="34569" xr:uid="{00000000-0005-0000-0000-0000F05C0000}"/>
    <cellStyle name="Normal 5 2 2 2 14 6" xfId="34565" xr:uid="{00000000-0005-0000-0000-0000F15C0000}"/>
    <cellStyle name="Normal 5 2 2 2 15" xfId="18141" xr:uid="{00000000-0005-0000-0000-0000F25C0000}"/>
    <cellStyle name="Normal 5 2 2 2 15 2" xfId="18142" xr:uid="{00000000-0005-0000-0000-0000F35C0000}"/>
    <cellStyle name="Normal 5 2 2 2 15 2 2" xfId="34571" xr:uid="{00000000-0005-0000-0000-0000F45C0000}"/>
    <cellStyle name="Normal 5 2 2 2 15 3" xfId="18143" xr:uid="{00000000-0005-0000-0000-0000F55C0000}"/>
    <cellStyle name="Normal 5 2 2 2 15 3 2" xfId="34572" xr:uid="{00000000-0005-0000-0000-0000F65C0000}"/>
    <cellStyle name="Normal 5 2 2 2 15 4" xfId="18144" xr:uid="{00000000-0005-0000-0000-0000F75C0000}"/>
    <cellStyle name="Normal 5 2 2 2 15 4 2" xfId="34573" xr:uid="{00000000-0005-0000-0000-0000F85C0000}"/>
    <cellStyle name="Normal 5 2 2 2 15 5" xfId="18145" xr:uid="{00000000-0005-0000-0000-0000F95C0000}"/>
    <cellStyle name="Normal 5 2 2 2 15 5 2" xfId="34574" xr:uid="{00000000-0005-0000-0000-0000FA5C0000}"/>
    <cellStyle name="Normal 5 2 2 2 15 6" xfId="34570" xr:uid="{00000000-0005-0000-0000-0000FB5C0000}"/>
    <cellStyle name="Normal 5 2 2 2 16" xfId="18146" xr:uid="{00000000-0005-0000-0000-0000FC5C0000}"/>
    <cellStyle name="Normal 5 2 2 2 16 2" xfId="18147" xr:uid="{00000000-0005-0000-0000-0000FD5C0000}"/>
    <cellStyle name="Normal 5 2 2 2 16 2 2" xfId="34576" xr:uid="{00000000-0005-0000-0000-0000FE5C0000}"/>
    <cellStyle name="Normal 5 2 2 2 16 3" xfId="18148" xr:uid="{00000000-0005-0000-0000-0000FF5C0000}"/>
    <cellStyle name="Normal 5 2 2 2 16 3 2" xfId="34577" xr:uid="{00000000-0005-0000-0000-0000005D0000}"/>
    <cellStyle name="Normal 5 2 2 2 16 4" xfId="18149" xr:uid="{00000000-0005-0000-0000-0000015D0000}"/>
    <cellStyle name="Normal 5 2 2 2 16 4 2" xfId="34578" xr:uid="{00000000-0005-0000-0000-0000025D0000}"/>
    <cellStyle name="Normal 5 2 2 2 16 5" xfId="18150" xr:uid="{00000000-0005-0000-0000-0000035D0000}"/>
    <cellStyle name="Normal 5 2 2 2 16 5 2" xfId="34579" xr:uid="{00000000-0005-0000-0000-0000045D0000}"/>
    <cellStyle name="Normal 5 2 2 2 16 6" xfId="34575" xr:uid="{00000000-0005-0000-0000-0000055D0000}"/>
    <cellStyle name="Normal 5 2 2 2 17" xfId="18151" xr:uid="{00000000-0005-0000-0000-0000065D0000}"/>
    <cellStyle name="Normal 5 2 2 2 17 2" xfId="34580" xr:uid="{00000000-0005-0000-0000-0000075D0000}"/>
    <cellStyle name="Normal 5 2 2 2 18" xfId="18152" xr:uid="{00000000-0005-0000-0000-0000085D0000}"/>
    <cellStyle name="Normal 5 2 2 2 18 2" xfId="34581" xr:uid="{00000000-0005-0000-0000-0000095D0000}"/>
    <cellStyle name="Normal 5 2 2 2 19" xfId="18153" xr:uid="{00000000-0005-0000-0000-00000A5D0000}"/>
    <cellStyle name="Normal 5 2 2 2 19 2" xfId="34582" xr:uid="{00000000-0005-0000-0000-00000B5D0000}"/>
    <cellStyle name="Normal 5 2 2 2 2" xfId="18154" xr:uid="{00000000-0005-0000-0000-00000C5D0000}"/>
    <cellStyle name="Normal 5 2 2 2 2 10" xfId="18155" xr:uid="{00000000-0005-0000-0000-00000D5D0000}"/>
    <cellStyle name="Normal 5 2 2 2 2 10 2" xfId="34584" xr:uid="{00000000-0005-0000-0000-00000E5D0000}"/>
    <cellStyle name="Normal 5 2 2 2 2 11" xfId="18156" xr:uid="{00000000-0005-0000-0000-00000F5D0000}"/>
    <cellStyle name="Normal 5 2 2 2 2 11 2" xfId="34585" xr:uid="{00000000-0005-0000-0000-0000105D0000}"/>
    <cellStyle name="Normal 5 2 2 2 2 12" xfId="34583" xr:uid="{00000000-0005-0000-0000-0000115D0000}"/>
    <cellStyle name="Normal 5 2 2 2 2 2" xfId="18157" xr:uid="{00000000-0005-0000-0000-0000125D0000}"/>
    <cellStyle name="Normal 5 2 2 2 2 2 2" xfId="18158" xr:uid="{00000000-0005-0000-0000-0000135D0000}"/>
    <cellStyle name="Normal 5 2 2 2 2 2 2 2" xfId="34587" xr:uid="{00000000-0005-0000-0000-0000145D0000}"/>
    <cellStyle name="Normal 5 2 2 2 2 2 3" xfId="18159" xr:uid="{00000000-0005-0000-0000-0000155D0000}"/>
    <cellStyle name="Normal 5 2 2 2 2 2 3 2" xfId="34588" xr:uid="{00000000-0005-0000-0000-0000165D0000}"/>
    <cellStyle name="Normal 5 2 2 2 2 2 4" xfId="18160" xr:uid="{00000000-0005-0000-0000-0000175D0000}"/>
    <cellStyle name="Normal 5 2 2 2 2 2 4 2" xfId="34589" xr:uid="{00000000-0005-0000-0000-0000185D0000}"/>
    <cellStyle name="Normal 5 2 2 2 2 2 5" xfId="18161" xr:uid="{00000000-0005-0000-0000-0000195D0000}"/>
    <cellStyle name="Normal 5 2 2 2 2 2 5 2" xfId="34590" xr:uid="{00000000-0005-0000-0000-00001A5D0000}"/>
    <cellStyle name="Normal 5 2 2 2 2 2 6" xfId="34586" xr:uid="{00000000-0005-0000-0000-00001B5D0000}"/>
    <cellStyle name="Normal 5 2 2 2 2 3" xfId="18162" xr:uid="{00000000-0005-0000-0000-00001C5D0000}"/>
    <cellStyle name="Normal 5 2 2 2 2 3 2" xfId="18163" xr:uid="{00000000-0005-0000-0000-00001D5D0000}"/>
    <cellStyle name="Normal 5 2 2 2 2 3 2 2" xfId="34592" xr:uid="{00000000-0005-0000-0000-00001E5D0000}"/>
    <cellStyle name="Normal 5 2 2 2 2 3 3" xfId="18164" xr:uid="{00000000-0005-0000-0000-00001F5D0000}"/>
    <cellStyle name="Normal 5 2 2 2 2 3 3 2" xfId="34593" xr:uid="{00000000-0005-0000-0000-0000205D0000}"/>
    <cellStyle name="Normal 5 2 2 2 2 3 4" xfId="18165" xr:uid="{00000000-0005-0000-0000-0000215D0000}"/>
    <cellStyle name="Normal 5 2 2 2 2 3 4 2" xfId="34594" xr:uid="{00000000-0005-0000-0000-0000225D0000}"/>
    <cellStyle name="Normal 5 2 2 2 2 3 5" xfId="18166" xr:uid="{00000000-0005-0000-0000-0000235D0000}"/>
    <cellStyle name="Normal 5 2 2 2 2 3 5 2" xfId="34595" xr:uid="{00000000-0005-0000-0000-0000245D0000}"/>
    <cellStyle name="Normal 5 2 2 2 2 3 6" xfId="34591" xr:uid="{00000000-0005-0000-0000-0000255D0000}"/>
    <cellStyle name="Normal 5 2 2 2 2 4" xfId="18167" xr:uid="{00000000-0005-0000-0000-0000265D0000}"/>
    <cellStyle name="Normal 5 2 2 2 2 4 2" xfId="18168" xr:uid="{00000000-0005-0000-0000-0000275D0000}"/>
    <cellStyle name="Normal 5 2 2 2 2 4 2 2" xfId="34597" xr:uid="{00000000-0005-0000-0000-0000285D0000}"/>
    <cellStyle name="Normal 5 2 2 2 2 4 3" xfId="18169" xr:uid="{00000000-0005-0000-0000-0000295D0000}"/>
    <cellStyle name="Normal 5 2 2 2 2 4 3 2" xfId="34598" xr:uid="{00000000-0005-0000-0000-00002A5D0000}"/>
    <cellStyle name="Normal 5 2 2 2 2 4 4" xfId="18170" xr:uid="{00000000-0005-0000-0000-00002B5D0000}"/>
    <cellStyle name="Normal 5 2 2 2 2 4 4 2" xfId="34599" xr:uid="{00000000-0005-0000-0000-00002C5D0000}"/>
    <cellStyle name="Normal 5 2 2 2 2 4 5" xfId="18171" xr:uid="{00000000-0005-0000-0000-00002D5D0000}"/>
    <cellStyle name="Normal 5 2 2 2 2 4 5 2" xfId="34600" xr:uid="{00000000-0005-0000-0000-00002E5D0000}"/>
    <cellStyle name="Normal 5 2 2 2 2 4 6" xfId="34596" xr:uid="{00000000-0005-0000-0000-00002F5D0000}"/>
    <cellStyle name="Normal 5 2 2 2 2 5" xfId="18172" xr:uid="{00000000-0005-0000-0000-0000305D0000}"/>
    <cellStyle name="Normal 5 2 2 2 2 5 2" xfId="18173" xr:uid="{00000000-0005-0000-0000-0000315D0000}"/>
    <cellStyle name="Normal 5 2 2 2 2 5 2 2" xfId="34602" xr:uid="{00000000-0005-0000-0000-0000325D0000}"/>
    <cellStyle name="Normal 5 2 2 2 2 5 3" xfId="18174" xr:uid="{00000000-0005-0000-0000-0000335D0000}"/>
    <cellStyle name="Normal 5 2 2 2 2 5 3 2" xfId="34603" xr:uid="{00000000-0005-0000-0000-0000345D0000}"/>
    <cellStyle name="Normal 5 2 2 2 2 5 4" xfId="18175" xr:uid="{00000000-0005-0000-0000-0000355D0000}"/>
    <cellStyle name="Normal 5 2 2 2 2 5 4 2" xfId="34604" xr:uid="{00000000-0005-0000-0000-0000365D0000}"/>
    <cellStyle name="Normal 5 2 2 2 2 5 5" xfId="18176" xr:uid="{00000000-0005-0000-0000-0000375D0000}"/>
    <cellStyle name="Normal 5 2 2 2 2 5 5 2" xfId="34605" xr:uid="{00000000-0005-0000-0000-0000385D0000}"/>
    <cellStyle name="Normal 5 2 2 2 2 5 6" xfId="34601" xr:uid="{00000000-0005-0000-0000-0000395D0000}"/>
    <cellStyle name="Normal 5 2 2 2 2 6" xfId="18177" xr:uid="{00000000-0005-0000-0000-00003A5D0000}"/>
    <cellStyle name="Normal 5 2 2 2 2 6 2" xfId="18178" xr:uid="{00000000-0005-0000-0000-00003B5D0000}"/>
    <cellStyle name="Normal 5 2 2 2 2 6 2 2" xfId="34607" xr:uid="{00000000-0005-0000-0000-00003C5D0000}"/>
    <cellStyle name="Normal 5 2 2 2 2 6 3" xfId="18179" xr:uid="{00000000-0005-0000-0000-00003D5D0000}"/>
    <cellStyle name="Normal 5 2 2 2 2 6 3 2" xfId="34608" xr:uid="{00000000-0005-0000-0000-00003E5D0000}"/>
    <cellStyle name="Normal 5 2 2 2 2 6 4" xfId="18180" xr:uid="{00000000-0005-0000-0000-00003F5D0000}"/>
    <cellStyle name="Normal 5 2 2 2 2 6 4 2" xfId="34609" xr:uid="{00000000-0005-0000-0000-0000405D0000}"/>
    <cellStyle name="Normal 5 2 2 2 2 6 5" xfId="18181" xr:uid="{00000000-0005-0000-0000-0000415D0000}"/>
    <cellStyle name="Normal 5 2 2 2 2 6 5 2" xfId="34610" xr:uid="{00000000-0005-0000-0000-0000425D0000}"/>
    <cellStyle name="Normal 5 2 2 2 2 6 6" xfId="34606" xr:uid="{00000000-0005-0000-0000-0000435D0000}"/>
    <cellStyle name="Normal 5 2 2 2 2 7" xfId="18182" xr:uid="{00000000-0005-0000-0000-0000445D0000}"/>
    <cellStyle name="Normal 5 2 2 2 2 7 2" xfId="18183" xr:uid="{00000000-0005-0000-0000-0000455D0000}"/>
    <cellStyle name="Normal 5 2 2 2 2 7 2 2" xfId="34612" xr:uid="{00000000-0005-0000-0000-0000465D0000}"/>
    <cellStyle name="Normal 5 2 2 2 2 7 3" xfId="18184" xr:uid="{00000000-0005-0000-0000-0000475D0000}"/>
    <cellStyle name="Normal 5 2 2 2 2 7 3 2" xfId="34613" xr:uid="{00000000-0005-0000-0000-0000485D0000}"/>
    <cellStyle name="Normal 5 2 2 2 2 7 4" xfId="18185" xr:uid="{00000000-0005-0000-0000-0000495D0000}"/>
    <cellStyle name="Normal 5 2 2 2 2 7 4 2" xfId="34614" xr:uid="{00000000-0005-0000-0000-00004A5D0000}"/>
    <cellStyle name="Normal 5 2 2 2 2 7 5" xfId="18186" xr:uid="{00000000-0005-0000-0000-00004B5D0000}"/>
    <cellStyle name="Normal 5 2 2 2 2 7 5 2" xfId="34615" xr:uid="{00000000-0005-0000-0000-00004C5D0000}"/>
    <cellStyle name="Normal 5 2 2 2 2 7 6" xfId="34611" xr:uid="{00000000-0005-0000-0000-00004D5D0000}"/>
    <cellStyle name="Normal 5 2 2 2 2 8" xfId="18187" xr:uid="{00000000-0005-0000-0000-00004E5D0000}"/>
    <cellStyle name="Normal 5 2 2 2 2 8 2" xfId="34616" xr:uid="{00000000-0005-0000-0000-00004F5D0000}"/>
    <cellStyle name="Normal 5 2 2 2 2 9" xfId="18188" xr:uid="{00000000-0005-0000-0000-0000505D0000}"/>
    <cellStyle name="Normal 5 2 2 2 2 9 2" xfId="34617" xr:uid="{00000000-0005-0000-0000-0000515D0000}"/>
    <cellStyle name="Normal 5 2 2 2 20" xfId="18189" xr:uid="{00000000-0005-0000-0000-0000525D0000}"/>
    <cellStyle name="Normal 5 2 2 2 20 2" xfId="34618" xr:uid="{00000000-0005-0000-0000-0000535D0000}"/>
    <cellStyle name="Normal 5 2 2 2 21" xfId="34544" xr:uid="{00000000-0005-0000-0000-0000545D0000}"/>
    <cellStyle name="Normal 5 2 2 2 3" xfId="18190" xr:uid="{00000000-0005-0000-0000-0000555D0000}"/>
    <cellStyle name="Normal 5 2 2 2 3 2" xfId="18191" xr:uid="{00000000-0005-0000-0000-0000565D0000}"/>
    <cellStyle name="Normal 5 2 2 2 3 2 2" xfId="18192" xr:uid="{00000000-0005-0000-0000-0000575D0000}"/>
    <cellStyle name="Normal 5 2 2 2 3 2 2 2" xfId="34621" xr:uid="{00000000-0005-0000-0000-0000585D0000}"/>
    <cellStyle name="Normal 5 2 2 2 3 2 3" xfId="18193" xr:uid="{00000000-0005-0000-0000-0000595D0000}"/>
    <cellStyle name="Normal 5 2 2 2 3 2 3 2" xfId="34622" xr:uid="{00000000-0005-0000-0000-00005A5D0000}"/>
    <cellStyle name="Normal 5 2 2 2 3 2 4" xfId="18194" xr:uid="{00000000-0005-0000-0000-00005B5D0000}"/>
    <cellStyle name="Normal 5 2 2 2 3 2 4 2" xfId="34623" xr:uid="{00000000-0005-0000-0000-00005C5D0000}"/>
    <cellStyle name="Normal 5 2 2 2 3 2 5" xfId="18195" xr:uid="{00000000-0005-0000-0000-00005D5D0000}"/>
    <cellStyle name="Normal 5 2 2 2 3 2 5 2" xfId="34624" xr:uid="{00000000-0005-0000-0000-00005E5D0000}"/>
    <cellStyle name="Normal 5 2 2 2 3 2 6" xfId="34620" xr:uid="{00000000-0005-0000-0000-00005F5D0000}"/>
    <cellStyle name="Normal 5 2 2 2 3 3" xfId="18196" xr:uid="{00000000-0005-0000-0000-0000605D0000}"/>
    <cellStyle name="Normal 5 2 2 2 3 3 2" xfId="34625" xr:uid="{00000000-0005-0000-0000-0000615D0000}"/>
    <cellStyle name="Normal 5 2 2 2 3 4" xfId="18197" xr:uid="{00000000-0005-0000-0000-0000625D0000}"/>
    <cellStyle name="Normal 5 2 2 2 3 4 2" xfId="34626" xr:uid="{00000000-0005-0000-0000-0000635D0000}"/>
    <cellStyle name="Normal 5 2 2 2 3 5" xfId="18198" xr:uid="{00000000-0005-0000-0000-0000645D0000}"/>
    <cellStyle name="Normal 5 2 2 2 3 5 2" xfId="34627" xr:uid="{00000000-0005-0000-0000-0000655D0000}"/>
    <cellStyle name="Normal 5 2 2 2 3 6" xfId="18199" xr:uid="{00000000-0005-0000-0000-0000665D0000}"/>
    <cellStyle name="Normal 5 2 2 2 3 6 2" xfId="34628" xr:uid="{00000000-0005-0000-0000-0000675D0000}"/>
    <cellStyle name="Normal 5 2 2 2 3 7" xfId="34619" xr:uid="{00000000-0005-0000-0000-0000685D0000}"/>
    <cellStyle name="Normal 5 2 2 2 4" xfId="18200" xr:uid="{00000000-0005-0000-0000-0000695D0000}"/>
    <cellStyle name="Normal 5 2 2 2 4 2" xfId="18201" xr:uid="{00000000-0005-0000-0000-00006A5D0000}"/>
    <cellStyle name="Normal 5 2 2 2 4 2 2" xfId="18202" xr:uid="{00000000-0005-0000-0000-00006B5D0000}"/>
    <cellStyle name="Normal 5 2 2 2 4 2 2 2" xfId="34631" xr:uid="{00000000-0005-0000-0000-00006C5D0000}"/>
    <cellStyle name="Normal 5 2 2 2 4 2 3" xfId="18203" xr:uid="{00000000-0005-0000-0000-00006D5D0000}"/>
    <cellStyle name="Normal 5 2 2 2 4 2 3 2" xfId="34632" xr:uid="{00000000-0005-0000-0000-00006E5D0000}"/>
    <cellStyle name="Normal 5 2 2 2 4 2 4" xfId="18204" xr:uid="{00000000-0005-0000-0000-00006F5D0000}"/>
    <cellStyle name="Normal 5 2 2 2 4 2 4 2" xfId="34633" xr:uid="{00000000-0005-0000-0000-0000705D0000}"/>
    <cellStyle name="Normal 5 2 2 2 4 2 5" xfId="18205" xr:uid="{00000000-0005-0000-0000-0000715D0000}"/>
    <cellStyle name="Normal 5 2 2 2 4 2 5 2" xfId="34634" xr:uid="{00000000-0005-0000-0000-0000725D0000}"/>
    <cellStyle name="Normal 5 2 2 2 4 2 6" xfId="34630" xr:uid="{00000000-0005-0000-0000-0000735D0000}"/>
    <cellStyle name="Normal 5 2 2 2 4 3" xfId="18206" xr:uid="{00000000-0005-0000-0000-0000745D0000}"/>
    <cellStyle name="Normal 5 2 2 2 4 3 2" xfId="34635" xr:uid="{00000000-0005-0000-0000-0000755D0000}"/>
    <cellStyle name="Normal 5 2 2 2 4 4" xfId="18207" xr:uid="{00000000-0005-0000-0000-0000765D0000}"/>
    <cellStyle name="Normal 5 2 2 2 4 4 2" xfId="34636" xr:uid="{00000000-0005-0000-0000-0000775D0000}"/>
    <cellStyle name="Normal 5 2 2 2 4 5" xfId="18208" xr:uid="{00000000-0005-0000-0000-0000785D0000}"/>
    <cellStyle name="Normal 5 2 2 2 4 5 2" xfId="34637" xr:uid="{00000000-0005-0000-0000-0000795D0000}"/>
    <cellStyle name="Normal 5 2 2 2 4 6" xfId="18209" xr:uid="{00000000-0005-0000-0000-00007A5D0000}"/>
    <cellStyle name="Normal 5 2 2 2 4 6 2" xfId="34638" xr:uid="{00000000-0005-0000-0000-00007B5D0000}"/>
    <cellStyle name="Normal 5 2 2 2 4 7" xfId="34629" xr:uid="{00000000-0005-0000-0000-00007C5D0000}"/>
    <cellStyle name="Normal 5 2 2 2 5" xfId="18210" xr:uid="{00000000-0005-0000-0000-00007D5D0000}"/>
    <cellStyle name="Normal 5 2 2 2 5 2" xfId="18211" xr:uid="{00000000-0005-0000-0000-00007E5D0000}"/>
    <cellStyle name="Normal 5 2 2 2 5 2 2" xfId="34640" xr:uid="{00000000-0005-0000-0000-00007F5D0000}"/>
    <cellStyle name="Normal 5 2 2 2 5 3" xfId="18212" xr:uid="{00000000-0005-0000-0000-0000805D0000}"/>
    <cellStyle name="Normal 5 2 2 2 5 3 2" xfId="34641" xr:uid="{00000000-0005-0000-0000-0000815D0000}"/>
    <cellStyle name="Normal 5 2 2 2 5 4" xfId="18213" xr:uid="{00000000-0005-0000-0000-0000825D0000}"/>
    <cellStyle name="Normal 5 2 2 2 5 4 2" xfId="34642" xr:uid="{00000000-0005-0000-0000-0000835D0000}"/>
    <cellStyle name="Normal 5 2 2 2 5 5" xfId="18214" xr:uid="{00000000-0005-0000-0000-0000845D0000}"/>
    <cellStyle name="Normal 5 2 2 2 5 5 2" xfId="34643" xr:uid="{00000000-0005-0000-0000-0000855D0000}"/>
    <cellStyle name="Normal 5 2 2 2 5 6" xfId="34639" xr:uid="{00000000-0005-0000-0000-0000865D0000}"/>
    <cellStyle name="Normal 5 2 2 2 6" xfId="18215" xr:uid="{00000000-0005-0000-0000-0000875D0000}"/>
    <cellStyle name="Normal 5 2 2 2 6 2" xfId="18216" xr:uid="{00000000-0005-0000-0000-0000885D0000}"/>
    <cellStyle name="Normal 5 2 2 2 6 2 2" xfId="34645" xr:uid="{00000000-0005-0000-0000-0000895D0000}"/>
    <cellStyle name="Normal 5 2 2 2 6 3" xfId="18217" xr:uid="{00000000-0005-0000-0000-00008A5D0000}"/>
    <cellStyle name="Normal 5 2 2 2 6 3 2" xfId="34646" xr:uid="{00000000-0005-0000-0000-00008B5D0000}"/>
    <cellStyle name="Normal 5 2 2 2 6 4" xfId="18218" xr:uid="{00000000-0005-0000-0000-00008C5D0000}"/>
    <cellStyle name="Normal 5 2 2 2 6 4 2" xfId="34647" xr:uid="{00000000-0005-0000-0000-00008D5D0000}"/>
    <cellStyle name="Normal 5 2 2 2 6 5" xfId="18219" xr:uid="{00000000-0005-0000-0000-00008E5D0000}"/>
    <cellStyle name="Normal 5 2 2 2 6 5 2" xfId="34648" xr:uid="{00000000-0005-0000-0000-00008F5D0000}"/>
    <cellStyle name="Normal 5 2 2 2 6 6" xfId="34644" xr:uid="{00000000-0005-0000-0000-0000905D0000}"/>
    <cellStyle name="Normal 5 2 2 2 7" xfId="18220" xr:uid="{00000000-0005-0000-0000-0000915D0000}"/>
    <cellStyle name="Normal 5 2 2 2 7 2" xfId="18221" xr:uid="{00000000-0005-0000-0000-0000925D0000}"/>
    <cellStyle name="Normal 5 2 2 2 7 2 2" xfId="34650" xr:uid="{00000000-0005-0000-0000-0000935D0000}"/>
    <cellStyle name="Normal 5 2 2 2 7 3" xfId="18222" xr:uid="{00000000-0005-0000-0000-0000945D0000}"/>
    <cellStyle name="Normal 5 2 2 2 7 3 2" xfId="34651" xr:uid="{00000000-0005-0000-0000-0000955D0000}"/>
    <cellStyle name="Normal 5 2 2 2 7 4" xfId="18223" xr:uid="{00000000-0005-0000-0000-0000965D0000}"/>
    <cellStyle name="Normal 5 2 2 2 7 4 2" xfId="34652" xr:uid="{00000000-0005-0000-0000-0000975D0000}"/>
    <cellStyle name="Normal 5 2 2 2 7 5" xfId="18224" xr:uid="{00000000-0005-0000-0000-0000985D0000}"/>
    <cellStyle name="Normal 5 2 2 2 7 5 2" xfId="34653" xr:uid="{00000000-0005-0000-0000-0000995D0000}"/>
    <cellStyle name="Normal 5 2 2 2 7 6" xfId="34649" xr:uid="{00000000-0005-0000-0000-00009A5D0000}"/>
    <cellStyle name="Normal 5 2 2 2 8" xfId="18225" xr:uid="{00000000-0005-0000-0000-00009B5D0000}"/>
    <cellStyle name="Normal 5 2 2 2 8 2" xfId="18226" xr:uid="{00000000-0005-0000-0000-00009C5D0000}"/>
    <cellStyle name="Normal 5 2 2 2 8 2 2" xfId="34655" xr:uid="{00000000-0005-0000-0000-00009D5D0000}"/>
    <cellStyle name="Normal 5 2 2 2 8 3" xfId="18227" xr:uid="{00000000-0005-0000-0000-00009E5D0000}"/>
    <cellStyle name="Normal 5 2 2 2 8 3 2" xfId="34656" xr:uid="{00000000-0005-0000-0000-00009F5D0000}"/>
    <cellStyle name="Normal 5 2 2 2 8 4" xfId="18228" xr:uid="{00000000-0005-0000-0000-0000A05D0000}"/>
    <cellStyle name="Normal 5 2 2 2 8 4 2" xfId="34657" xr:uid="{00000000-0005-0000-0000-0000A15D0000}"/>
    <cellStyle name="Normal 5 2 2 2 8 5" xfId="18229" xr:uid="{00000000-0005-0000-0000-0000A25D0000}"/>
    <cellStyle name="Normal 5 2 2 2 8 5 2" xfId="34658" xr:uid="{00000000-0005-0000-0000-0000A35D0000}"/>
    <cellStyle name="Normal 5 2 2 2 8 6" xfId="34654" xr:uid="{00000000-0005-0000-0000-0000A45D0000}"/>
    <cellStyle name="Normal 5 2 2 2 9" xfId="18230" xr:uid="{00000000-0005-0000-0000-0000A55D0000}"/>
    <cellStyle name="Normal 5 2 2 2 9 2" xfId="18231" xr:uid="{00000000-0005-0000-0000-0000A65D0000}"/>
    <cellStyle name="Normal 5 2 2 2 9 2 2" xfId="34660" xr:uid="{00000000-0005-0000-0000-0000A75D0000}"/>
    <cellStyle name="Normal 5 2 2 2 9 3" xfId="18232" xr:uid="{00000000-0005-0000-0000-0000A85D0000}"/>
    <cellStyle name="Normal 5 2 2 2 9 3 2" xfId="34661" xr:uid="{00000000-0005-0000-0000-0000A95D0000}"/>
    <cellStyle name="Normal 5 2 2 2 9 4" xfId="18233" xr:uid="{00000000-0005-0000-0000-0000AA5D0000}"/>
    <cellStyle name="Normal 5 2 2 2 9 4 2" xfId="34662" xr:uid="{00000000-0005-0000-0000-0000AB5D0000}"/>
    <cellStyle name="Normal 5 2 2 2 9 5" xfId="18234" xr:uid="{00000000-0005-0000-0000-0000AC5D0000}"/>
    <cellStyle name="Normal 5 2 2 2 9 5 2" xfId="34663" xr:uid="{00000000-0005-0000-0000-0000AD5D0000}"/>
    <cellStyle name="Normal 5 2 2 2 9 6" xfId="34659" xr:uid="{00000000-0005-0000-0000-0000AE5D0000}"/>
    <cellStyle name="Normal 5 2 2 20" xfId="18235" xr:uid="{00000000-0005-0000-0000-0000AF5D0000}"/>
    <cellStyle name="Normal 5 2 2 20 2" xfId="34664" xr:uid="{00000000-0005-0000-0000-0000B05D0000}"/>
    <cellStyle name="Normal 5 2 2 21" xfId="18236" xr:uid="{00000000-0005-0000-0000-0000B15D0000}"/>
    <cellStyle name="Normal 5 2 2 21 2" xfId="34665" xr:uid="{00000000-0005-0000-0000-0000B25D0000}"/>
    <cellStyle name="Normal 5 2 2 22" xfId="18237" xr:uid="{00000000-0005-0000-0000-0000B35D0000}"/>
    <cellStyle name="Normal 5 2 2 22 2" xfId="34666" xr:uid="{00000000-0005-0000-0000-0000B45D0000}"/>
    <cellStyle name="Normal 5 2 2 23" xfId="18238" xr:uid="{00000000-0005-0000-0000-0000B55D0000}"/>
    <cellStyle name="Normal 5 2 2 23 2" xfId="34667" xr:uid="{00000000-0005-0000-0000-0000B65D0000}"/>
    <cellStyle name="Normal 5 2 2 24" xfId="40728" xr:uid="{00000000-0005-0000-0000-0000B75D0000}"/>
    <cellStyle name="Normal 5 2 2 25" xfId="34493" xr:uid="{00000000-0005-0000-0000-0000B85D0000}"/>
    <cellStyle name="Normal 5 2 2 3" xfId="18239" xr:uid="{00000000-0005-0000-0000-0000B95D0000}"/>
    <cellStyle name="Normal 5 2 2 3 10" xfId="18240" xr:uid="{00000000-0005-0000-0000-0000BA5D0000}"/>
    <cellStyle name="Normal 5 2 2 3 10 2" xfId="18241" xr:uid="{00000000-0005-0000-0000-0000BB5D0000}"/>
    <cellStyle name="Normal 5 2 2 3 10 2 2" xfId="34670" xr:uid="{00000000-0005-0000-0000-0000BC5D0000}"/>
    <cellStyle name="Normal 5 2 2 3 10 3" xfId="18242" xr:uid="{00000000-0005-0000-0000-0000BD5D0000}"/>
    <cellStyle name="Normal 5 2 2 3 10 3 2" xfId="34671" xr:uid="{00000000-0005-0000-0000-0000BE5D0000}"/>
    <cellStyle name="Normal 5 2 2 3 10 4" xfId="18243" xr:uid="{00000000-0005-0000-0000-0000BF5D0000}"/>
    <cellStyle name="Normal 5 2 2 3 10 4 2" xfId="34672" xr:uid="{00000000-0005-0000-0000-0000C05D0000}"/>
    <cellStyle name="Normal 5 2 2 3 10 5" xfId="18244" xr:uid="{00000000-0005-0000-0000-0000C15D0000}"/>
    <cellStyle name="Normal 5 2 2 3 10 5 2" xfId="34673" xr:uid="{00000000-0005-0000-0000-0000C25D0000}"/>
    <cellStyle name="Normal 5 2 2 3 10 6" xfId="34669" xr:uid="{00000000-0005-0000-0000-0000C35D0000}"/>
    <cellStyle name="Normal 5 2 2 3 11" xfId="18245" xr:uid="{00000000-0005-0000-0000-0000C45D0000}"/>
    <cellStyle name="Normal 5 2 2 3 11 2" xfId="18246" xr:uid="{00000000-0005-0000-0000-0000C55D0000}"/>
    <cellStyle name="Normal 5 2 2 3 11 2 2" xfId="34675" xr:uid="{00000000-0005-0000-0000-0000C65D0000}"/>
    <cellStyle name="Normal 5 2 2 3 11 3" xfId="18247" xr:uid="{00000000-0005-0000-0000-0000C75D0000}"/>
    <cellStyle name="Normal 5 2 2 3 11 3 2" xfId="34676" xr:uid="{00000000-0005-0000-0000-0000C85D0000}"/>
    <cellStyle name="Normal 5 2 2 3 11 4" xfId="18248" xr:uid="{00000000-0005-0000-0000-0000C95D0000}"/>
    <cellStyle name="Normal 5 2 2 3 11 4 2" xfId="34677" xr:uid="{00000000-0005-0000-0000-0000CA5D0000}"/>
    <cellStyle name="Normal 5 2 2 3 11 5" xfId="18249" xr:uid="{00000000-0005-0000-0000-0000CB5D0000}"/>
    <cellStyle name="Normal 5 2 2 3 11 5 2" xfId="34678" xr:uid="{00000000-0005-0000-0000-0000CC5D0000}"/>
    <cellStyle name="Normal 5 2 2 3 11 6" xfId="34674" xr:uid="{00000000-0005-0000-0000-0000CD5D0000}"/>
    <cellStyle name="Normal 5 2 2 3 12" xfId="18250" xr:uid="{00000000-0005-0000-0000-0000CE5D0000}"/>
    <cellStyle name="Normal 5 2 2 3 12 2" xfId="18251" xr:uid="{00000000-0005-0000-0000-0000CF5D0000}"/>
    <cellStyle name="Normal 5 2 2 3 12 2 2" xfId="34680" xr:uid="{00000000-0005-0000-0000-0000D05D0000}"/>
    <cellStyle name="Normal 5 2 2 3 12 3" xfId="18252" xr:uid="{00000000-0005-0000-0000-0000D15D0000}"/>
    <cellStyle name="Normal 5 2 2 3 12 3 2" xfId="34681" xr:uid="{00000000-0005-0000-0000-0000D25D0000}"/>
    <cellStyle name="Normal 5 2 2 3 12 4" xfId="18253" xr:uid="{00000000-0005-0000-0000-0000D35D0000}"/>
    <cellStyle name="Normal 5 2 2 3 12 4 2" xfId="34682" xr:uid="{00000000-0005-0000-0000-0000D45D0000}"/>
    <cellStyle name="Normal 5 2 2 3 12 5" xfId="18254" xr:uid="{00000000-0005-0000-0000-0000D55D0000}"/>
    <cellStyle name="Normal 5 2 2 3 12 5 2" xfId="34683" xr:uid="{00000000-0005-0000-0000-0000D65D0000}"/>
    <cellStyle name="Normal 5 2 2 3 12 6" xfId="34679" xr:uid="{00000000-0005-0000-0000-0000D75D0000}"/>
    <cellStyle name="Normal 5 2 2 3 13" xfId="18255" xr:uid="{00000000-0005-0000-0000-0000D85D0000}"/>
    <cellStyle name="Normal 5 2 2 3 13 2" xfId="18256" xr:uid="{00000000-0005-0000-0000-0000D95D0000}"/>
    <cellStyle name="Normal 5 2 2 3 13 2 2" xfId="34685" xr:uid="{00000000-0005-0000-0000-0000DA5D0000}"/>
    <cellStyle name="Normal 5 2 2 3 13 3" xfId="18257" xr:uid="{00000000-0005-0000-0000-0000DB5D0000}"/>
    <cellStyle name="Normal 5 2 2 3 13 3 2" xfId="34686" xr:uid="{00000000-0005-0000-0000-0000DC5D0000}"/>
    <cellStyle name="Normal 5 2 2 3 13 4" xfId="18258" xr:uid="{00000000-0005-0000-0000-0000DD5D0000}"/>
    <cellStyle name="Normal 5 2 2 3 13 4 2" xfId="34687" xr:uid="{00000000-0005-0000-0000-0000DE5D0000}"/>
    <cellStyle name="Normal 5 2 2 3 13 5" xfId="18259" xr:uid="{00000000-0005-0000-0000-0000DF5D0000}"/>
    <cellStyle name="Normal 5 2 2 3 13 5 2" xfId="34688" xr:uid="{00000000-0005-0000-0000-0000E05D0000}"/>
    <cellStyle name="Normal 5 2 2 3 13 6" xfId="34684" xr:uid="{00000000-0005-0000-0000-0000E15D0000}"/>
    <cellStyle name="Normal 5 2 2 3 14" xfId="18260" xr:uid="{00000000-0005-0000-0000-0000E25D0000}"/>
    <cellStyle name="Normal 5 2 2 3 14 2" xfId="18261" xr:uid="{00000000-0005-0000-0000-0000E35D0000}"/>
    <cellStyle name="Normal 5 2 2 3 14 2 2" xfId="34690" xr:uid="{00000000-0005-0000-0000-0000E45D0000}"/>
    <cellStyle name="Normal 5 2 2 3 14 3" xfId="18262" xr:uid="{00000000-0005-0000-0000-0000E55D0000}"/>
    <cellStyle name="Normal 5 2 2 3 14 3 2" xfId="34691" xr:uid="{00000000-0005-0000-0000-0000E65D0000}"/>
    <cellStyle name="Normal 5 2 2 3 14 4" xfId="18263" xr:uid="{00000000-0005-0000-0000-0000E75D0000}"/>
    <cellStyle name="Normal 5 2 2 3 14 4 2" xfId="34692" xr:uid="{00000000-0005-0000-0000-0000E85D0000}"/>
    <cellStyle name="Normal 5 2 2 3 14 5" xfId="18264" xr:uid="{00000000-0005-0000-0000-0000E95D0000}"/>
    <cellStyle name="Normal 5 2 2 3 14 5 2" xfId="34693" xr:uid="{00000000-0005-0000-0000-0000EA5D0000}"/>
    <cellStyle name="Normal 5 2 2 3 14 6" xfId="34689" xr:uid="{00000000-0005-0000-0000-0000EB5D0000}"/>
    <cellStyle name="Normal 5 2 2 3 15" xfId="18265" xr:uid="{00000000-0005-0000-0000-0000EC5D0000}"/>
    <cellStyle name="Normal 5 2 2 3 15 2" xfId="18266" xr:uid="{00000000-0005-0000-0000-0000ED5D0000}"/>
    <cellStyle name="Normal 5 2 2 3 15 2 2" xfId="34695" xr:uid="{00000000-0005-0000-0000-0000EE5D0000}"/>
    <cellStyle name="Normal 5 2 2 3 15 3" xfId="18267" xr:uid="{00000000-0005-0000-0000-0000EF5D0000}"/>
    <cellStyle name="Normal 5 2 2 3 15 3 2" xfId="34696" xr:uid="{00000000-0005-0000-0000-0000F05D0000}"/>
    <cellStyle name="Normal 5 2 2 3 15 4" xfId="18268" xr:uid="{00000000-0005-0000-0000-0000F15D0000}"/>
    <cellStyle name="Normal 5 2 2 3 15 4 2" xfId="34697" xr:uid="{00000000-0005-0000-0000-0000F25D0000}"/>
    <cellStyle name="Normal 5 2 2 3 15 5" xfId="18269" xr:uid="{00000000-0005-0000-0000-0000F35D0000}"/>
    <cellStyle name="Normal 5 2 2 3 15 5 2" xfId="34698" xr:uid="{00000000-0005-0000-0000-0000F45D0000}"/>
    <cellStyle name="Normal 5 2 2 3 15 6" xfId="34694" xr:uid="{00000000-0005-0000-0000-0000F55D0000}"/>
    <cellStyle name="Normal 5 2 2 3 16" xfId="18270" xr:uid="{00000000-0005-0000-0000-0000F65D0000}"/>
    <cellStyle name="Normal 5 2 2 3 16 2" xfId="18271" xr:uid="{00000000-0005-0000-0000-0000F75D0000}"/>
    <cellStyle name="Normal 5 2 2 3 16 2 2" xfId="34700" xr:uid="{00000000-0005-0000-0000-0000F85D0000}"/>
    <cellStyle name="Normal 5 2 2 3 16 3" xfId="18272" xr:uid="{00000000-0005-0000-0000-0000F95D0000}"/>
    <cellStyle name="Normal 5 2 2 3 16 3 2" xfId="34701" xr:uid="{00000000-0005-0000-0000-0000FA5D0000}"/>
    <cellStyle name="Normal 5 2 2 3 16 4" xfId="18273" xr:uid="{00000000-0005-0000-0000-0000FB5D0000}"/>
    <cellStyle name="Normal 5 2 2 3 16 4 2" xfId="34702" xr:uid="{00000000-0005-0000-0000-0000FC5D0000}"/>
    <cellStyle name="Normal 5 2 2 3 16 5" xfId="18274" xr:uid="{00000000-0005-0000-0000-0000FD5D0000}"/>
    <cellStyle name="Normal 5 2 2 3 16 5 2" xfId="34703" xr:uid="{00000000-0005-0000-0000-0000FE5D0000}"/>
    <cellStyle name="Normal 5 2 2 3 16 6" xfId="34699" xr:uid="{00000000-0005-0000-0000-0000FF5D0000}"/>
    <cellStyle name="Normal 5 2 2 3 17" xfId="18275" xr:uid="{00000000-0005-0000-0000-0000005E0000}"/>
    <cellStyle name="Normal 5 2 2 3 17 2" xfId="34704" xr:uid="{00000000-0005-0000-0000-0000015E0000}"/>
    <cellStyle name="Normal 5 2 2 3 18" xfId="18276" xr:uid="{00000000-0005-0000-0000-0000025E0000}"/>
    <cellStyle name="Normal 5 2 2 3 18 2" xfId="34705" xr:uid="{00000000-0005-0000-0000-0000035E0000}"/>
    <cellStyle name="Normal 5 2 2 3 19" xfId="18277" xr:uid="{00000000-0005-0000-0000-0000045E0000}"/>
    <cellStyle name="Normal 5 2 2 3 19 2" xfId="34706" xr:uid="{00000000-0005-0000-0000-0000055E0000}"/>
    <cellStyle name="Normal 5 2 2 3 2" xfId="18278" xr:uid="{00000000-0005-0000-0000-0000065E0000}"/>
    <cellStyle name="Normal 5 2 2 3 2 10" xfId="18279" xr:uid="{00000000-0005-0000-0000-0000075E0000}"/>
    <cellStyle name="Normal 5 2 2 3 2 10 2" xfId="34708" xr:uid="{00000000-0005-0000-0000-0000085E0000}"/>
    <cellStyle name="Normal 5 2 2 3 2 11" xfId="18280" xr:uid="{00000000-0005-0000-0000-0000095E0000}"/>
    <cellStyle name="Normal 5 2 2 3 2 11 2" xfId="34709" xr:uid="{00000000-0005-0000-0000-00000A5E0000}"/>
    <cellStyle name="Normal 5 2 2 3 2 12" xfId="34707" xr:uid="{00000000-0005-0000-0000-00000B5E0000}"/>
    <cellStyle name="Normal 5 2 2 3 2 2" xfId="18281" xr:uid="{00000000-0005-0000-0000-00000C5E0000}"/>
    <cellStyle name="Normal 5 2 2 3 2 2 2" xfId="18282" xr:uid="{00000000-0005-0000-0000-00000D5E0000}"/>
    <cellStyle name="Normal 5 2 2 3 2 2 2 2" xfId="34711" xr:uid="{00000000-0005-0000-0000-00000E5E0000}"/>
    <cellStyle name="Normal 5 2 2 3 2 2 3" xfId="18283" xr:uid="{00000000-0005-0000-0000-00000F5E0000}"/>
    <cellStyle name="Normal 5 2 2 3 2 2 3 2" xfId="34712" xr:uid="{00000000-0005-0000-0000-0000105E0000}"/>
    <cellStyle name="Normal 5 2 2 3 2 2 4" xfId="18284" xr:uid="{00000000-0005-0000-0000-0000115E0000}"/>
    <cellStyle name="Normal 5 2 2 3 2 2 4 2" xfId="34713" xr:uid="{00000000-0005-0000-0000-0000125E0000}"/>
    <cellStyle name="Normal 5 2 2 3 2 2 5" xfId="18285" xr:uid="{00000000-0005-0000-0000-0000135E0000}"/>
    <cellStyle name="Normal 5 2 2 3 2 2 5 2" xfId="34714" xr:uid="{00000000-0005-0000-0000-0000145E0000}"/>
    <cellStyle name="Normal 5 2 2 3 2 2 6" xfId="34710" xr:uid="{00000000-0005-0000-0000-0000155E0000}"/>
    <cellStyle name="Normal 5 2 2 3 2 3" xfId="18286" xr:uid="{00000000-0005-0000-0000-0000165E0000}"/>
    <cellStyle name="Normal 5 2 2 3 2 3 2" xfId="18287" xr:uid="{00000000-0005-0000-0000-0000175E0000}"/>
    <cellStyle name="Normal 5 2 2 3 2 3 2 2" xfId="34716" xr:uid="{00000000-0005-0000-0000-0000185E0000}"/>
    <cellStyle name="Normal 5 2 2 3 2 3 3" xfId="18288" xr:uid="{00000000-0005-0000-0000-0000195E0000}"/>
    <cellStyle name="Normal 5 2 2 3 2 3 3 2" xfId="34717" xr:uid="{00000000-0005-0000-0000-00001A5E0000}"/>
    <cellStyle name="Normal 5 2 2 3 2 3 4" xfId="18289" xr:uid="{00000000-0005-0000-0000-00001B5E0000}"/>
    <cellStyle name="Normal 5 2 2 3 2 3 4 2" xfId="34718" xr:uid="{00000000-0005-0000-0000-00001C5E0000}"/>
    <cellStyle name="Normal 5 2 2 3 2 3 5" xfId="18290" xr:uid="{00000000-0005-0000-0000-00001D5E0000}"/>
    <cellStyle name="Normal 5 2 2 3 2 3 5 2" xfId="34719" xr:uid="{00000000-0005-0000-0000-00001E5E0000}"/>
    <cellStyle name="Normal 5 2 2 3 2 3 6" xfId="34715" xr:uid="{00000000-0005-0000-0000-00001F5E0000}"/>
    <cellStyle name="Normal 5 2 2 3 2 4" xfId="18291" xr:uid="{00000000-0005-0000-0000-0000205E0000}"/>
    <cellStyle name="Normal 5 2 2 3 2 4 2" xfId="18292" xr:uid="{00000000-0005-0000-0000-0000215E0000}"/>
    <cellStyle name="Normal 5 2 2 3 2 4 2 2" xfId="34721" xr:uid="{00000000-0005-0000-0000-0000225E0000}"/>
    <cellStyle name="Normal 5 2 2 3 2 4 3" xfId="18293" xr:uid="{00000000-0005-0000-0000-0000235E0000}"/>
    <cellStyle name="Normal 5 2 2 3 2 4 3 2" xfId="34722" xr:uid="{00000000-0005-0000-0000-0000245E0000}"/>
    <cellStyle name="Normal 5 2 2 3 2 4 4" xfId="18294" xr:uid="{00000000-0005-0000-0000-0000255E0000}"/>
    <cellStyle name="Normal 5 2 2 3 2 4 4 2" xfId="34723" xr:uid="{00000000-0005-0000-0000-0000265E0000}"/>
    <cellStyle name="Normal 5 2 2 3 2 4 5" xfId="18295" xr:uid="{00000000-0005-0000-0000-0000275E0000}"/>
    <cellStyle name="Normal 5 2 2 3 2 4 5 2" xfId="34724" xr:uid="{00000000-0005-0000-0000-0000285E0000}"/>
    <cellStyle name="Normal 5 2 2 3 2 4 6" xfId="34720" xr:uid="{00000000-0005-0000-0000-0000295E0000}"/>
    <cellStyle name="Normal 5 2 2 3 2 5" xfId="18296" xr:uid="{00000000-0005-0000-0000-00002A5E0000}"/>
    <cellStyle name="Normal 5 2 2 3 2 5 2" xfId="18297" xr:uid="{00000000-0005-0000-0000-00002B5E0000}"/>
    <cellStyle name="Normal 5 2 2 3 2 5 2 2" xfId="34726" xr:uid="{00000000-0005-0000-0000-00002C5E0000}"/>
    <cellStyle name="Normal 5 2 2 3 2 5 3" xfId="18298" xr:uid="{00000000-0005-0000-0000-00002D5E0000}"/>
    <cellStyle name="Normal 5 2 2 3 2 5 3 2" xfId="34727" xr:uid="{00000000-0005-0000-0000-00002E5E0000}"/>
    <cellStyle name="Normal 5 2 2 3 2 5 4" xfId="18299" xr:uid="{00000000-0005-0000-0000-00002F5E0000}"/>
    <cellStyle name="Normal 5 2 2 3 2 5 4 2" xfId="34728" xr:uid="{00000000-0005-0000-0000-0000305E0000}"/>
    <cellStyle name="Normal 5 2 2 3 2 5 5" xfId="18300" xr:uid="{00000000-0005-0000-0000-0000315E0000}"/>
    <cellStyle name="Normal 5 2 2 3 2 5 5 2" xfId="34729" xr:uid="{00000000-0005-0000-0000-0000325E0000}"/>
    <cellStyle name="Normal 5 2 2 3 2 5 6" xfId="34725" xr:uid="{00000000-0005-0000-0000-0000335E0000}"/>
    <cellStyle name="Normal 5 2 2 3 2 6" xfId="18301" xr:uid="{00000000-0005-0000-0000-0000345E0000}"/>
    <cellStyle name="Normal 5 2 2 3 2 6 2" xfId="18302" xr:uid="{00000000-0005-0000-0000-0000355E0000}"/>
    <cellStyle name="Normal 5 2 2 3 2 6 2 2" xfId="34731" xr:uid="{00000000-0005-0000-0000-0000365E0000}"/>
    <cellStyle name="Normal 5 2 2 3 2 6 3" xfId="18303" xr:uid="{00000000-0005-0000-0000-0000375E0000}"/>
    <cellStyle name="Normal 5 2 2 3 2 6 3 2" xfId="34732" xr:uid="{00000000-0005-0000-0000-0000385E0000}"/>
    <cellStyle name="Normal 5 2 2 3 2 6 4" xfId="18304" xr:uid="{00000000-0005-0000-0000-0000395E0000}"/>
    <cellStyle name="Normal 5 2 2 3 2 6 4 2" xfId="34733" xr:uid="{00000000-0005-0000-0000-00003A5E0000}"/>
    <cellStyle name="Normal 5 2 2 3 2 6 5" xfId="18305" xr:uid="{00000000-0005-0000-0000-00003B5E0000}"/>
    <cellStyle name="Normal 5 2 2 3 2 6 5 2" xfId="34734" xr:uid="{00000000-0005-0000-0000-00003C5E0000}"/>
    <cellStyle name="Normal 5 2 2 3 2 6 6" xfId="34730" xr:uid="{00000000-0005-0000-0000-00003D5E0000}"/>
    <cellStyle name="Normal 5 2 2 3 2 7" xfId="18306" xr:uid="{00000000-0005-0000-0000-00003E5E0000}"/>
    <cellStyle name="Normal 5 2 2 3 2 7 2" xfId="18307" xr:uid="{00000000-0005-0000-0000-00003F5E0000}"/>
    <cellStyle name="Normal 5 2 2 3 2 7 2 2" xfId="34736" xr:uid="{00000000-0005-0000-0000-0000405E0000}"/>
    <cellStyle name="Normal 5 2 2 3 2 7 3" xfId="18308" xr:uid="{00000000-0005-0000-0000-0000415E0000}"/>
    <cellStyle name="Normal 5 2 2 3 2 7 3 2" xfId="34737" xr:uid="{00000000-0005-0000-0000-0000425E0000}"/>
    <cellStyle name="Normal 5 2 2 3 2 7 4" xfId="18309" xr:uid="{00000000-0005-0000-0000-0000435E0000}"/>
    <cellStyle name="Normal 5 2 2 3 2 7 4 2" xfId="34738" xr:uid="{00000000-0005-0000-0000-0000445E0000}"/>
    <cellStyle name="Normal 5 2 2 3 2 7 5" xfId="18310" xr:uid="{00000000-0005-0000-0000-0000455E0000}"/>
    <cellStyle name="Normal 5 2 2 3 2 7 5 2" xfId="34739" xr:uid="{00000000-0005-0000-0000-0000465E0000}"/>
    <cellStyle name="Normal 5 2 2 3 2 7 6" xfId="34735" xr:uid="{00000000-0005-0000-0000-0000475E0000}"/>
    <cellStyle name="Normal 5 2 2 3 2 8" xfId="18311" xr:uid="{00000000-0005-0000-0000-0000485E0000}"/>
    <cellStyle name="Normal 5 2 2 3 2 8 2" xfId="34740" xr:uid="{00000000-0005-0000-0000-0000495E0000}"/>
    <cellStyle name="Normal 5 2 2 3 2 9" xfId="18312" xr:uid="{00000000-0005-0000-0000-00004A5E0000}"/>
    <cellStyle name="Normal 5 2 2 3 2 9 2" xfId="34741" xr:uid="{00000000-0005-0000-0000-00004B5E0000}"/>
    <cellStyle name="Normal 5 2 2 3 20" xfId="18313" xr:uid="{00000000-0005-0000-0000-00004C5E0000}"/>
    <cellStyle name="Normal 5 2 2 3 20 2" xfId="34742" xr:uid="{00000000-0005-0000-0000-00004D5E0000}"/>
    <cellStyle name="Normal 5 2 2 3 21" xfId="34668" xr:uid="{00000000-0005-0000-0000-00004E5E0000}"/>
    <cellStyle name="Normal 5 2 2 3 3" xfId="18314" xr:uid="{00000000-0005-0000-0000-00004F5E0000}"/>
    <cellStyle name="Normal 5 2 2 3 3 2" xfId="18315" xr:uid="{00000000-0005-0000-0000-0000505E0000}"/>
    <cellStyle name="Normal 5 2 2 3 3 2 2" xfId="18316" xr:uid="{00000000-0005-0000-0000-0000515E0000}"/>
    <cellStyle name="Normal 5 2 2 3 3 2 2 2" xfId="34745" xr:uid="{00000000-0005-0000-0000-0000525E0000}"/>
    <cellStyle name="Normal 5 2 2 3 3 2 3" xfId="18317" xr:uid="{00000000-0005-0000-0000-0000535E0000}"/>
    <cellStyle name="Normal 5 2 2 3 3 2 3 2" xfId="34746" xr:uid="{00000000-0005-0000-0000-0000545E0000}"/>
    <cellStyle name="Normal 5 2 2 3 3 2 4" xfId="18318" xr:uid="{00000000-0005-0000-0000-0000555E0000}"/>
    <cellStyle name="Normal 5 2 2 3 3 2 4 2" xfId="34747" xr:uid="{00000000-0005-0000-0000-0000565E0000}"/>
    <cellStyle name="Normal 5 2 2 3 3 2 5" xfId="18319" xr:uid="{00000000-0005-0000-0000-0000575E0000}"/>
    <cellStyle name="Normal 5 2 2 3 3 2 5 2" xfId="34748" xr:uid="{00000000-0005-0000-0000-0000585E0000}"/>
    <cellStyle name="Normal 5 2 2 3 3 2 6" xfId="34744" xr:uid="{00000000-0005-0000-0000-0000595E0000}"/>
    <cellStyle name="Normal 5 2 2 3 3 3" xfId="18320" xr:uid="{00000000-0005-0000-0000-00005A5E0000}"/>
    <cellStyle name="Normal 5 2 2 3 3 3 2" xfId="34749" xr:uid="{00000000-0005-0000-0000-00005B5E0000}"/>
    <cellStyle name="Normal 5 2 2 3 3 4" xfId="18321" xr:uid="{00000000-0005-0000-0000-00005C5E0000}"/>
    <cellStyle name="Normal 5 2 2 3 3 4 2" xfId="34750" xr:uid="{00000000-0005-0000-0000-00005D5E0000}"/>
    <cellStyle name="Normal 5 2 2 3 3 5" xfId="18322" xr:uid="{00000000-0005-0000-0000-00005E5E0000}"/>
    <cellStyle name="Normal 5 2 2 3 3 5 2" xfId="34751" xr:uid="{00000000-0005-0000-0000-00005F5E0000}"/>
    <cellStyle name="Normal 5 2 2 3 3 6" xfId="18323" xr:uid="{00000000-0005-0000-0000-0000605E0000}"/>
    <cellStyle name="Normal 5 2 2 3 3 6 2" xfId="34752" xr:uid="{00000000-0005-0000-0000-0000615E0000}"/>
    <cellStyle name="Normal 5 2 2 3 3 7" xfId="34743" xr:uid="{00000000-0005-0000-0000-0000625E0000}"/>
    <cellStyle name="Normal 5 2 2 3 4" xfId="18324" xr:uid="{00000000-0005-0000-0000-0000635E0000}"/>
    <cellStyle name="Normal 5 2 2 3 4 2" xfId="18325" xr:uid="{00000000-0005-0000-0000-0000645E0000}"/>
    <cellStyle name="Normal 5 2 2 3 4 2 2" xfId="18326" xr:uid="{00000000-0005-0000-0000-0000655E0000}"/>
    <cellStyle name="Normal 5 2 2 3 4 2 2 2" xfId="34755" xr:uid="{00000000-0005-0000-0000-0000665E0000}"/>
    <cellStyle name="Normal 5 2 2 3 4 2 3" xfId="18327" xr:uid="{00000000-0005-0000-0000-0000675E0000}"/>
    <cellStyle name="Normal 5 2 2 3 4 2 3 2" xfId="34756" xr:uid="{00000000-0005-0000-0000-0000685E0000}"/>
    <cellStyle name="Normal 5 2 2 3 4 2 4" xfId="18328" xr:uid="{00000000-0005-0000-0000-0000695E0000}"/>
    <cellStyle name="Normal 5 2 2 3 4 2 4 2" xfId="34757" xr:uid="{00000000-0005-0000-0000-00006A5E0000}"/>
    <cellStyle name="Normal 5 2 2 3 4 2 5" xfId="18329" xr:uid="{00000000-0005-0000-0000-00006B5E0000}"/>
    <cellStyle name="Normal 5 2 2 3 4 2 5 2" xfId="34758" xr:uid="{00000000-0005-0000-0000-00006C5E0000}"/>
    <cellStyle name="Normal 5 2 2 3 4 2 6" xfId="34754" xr:uid="{00000000-0005-0000-0000-00006D5E0000}"/>
    <cellStyle name="Normal 5 2 2 3 4 3" xfId="18330" xr:uid="{00000000-0005-0000-0000-00006E5E0000}"/>
    <cellStyle name="Normal 5 2 2 3 4 3 2" xfId="34759" xr:uid="{00000000-0005-0000-0000-00006F5E0000}"/>
    <cellStyle name="Normal 5 2 2 3 4 4" xfId="18331" xr:uid="{00000000-0005-0000-0000-0000705E0000}"/>
    <cellStyle name="Normal 5 2 2 3 4 4 2" xfId="34760" xr:uid="{00000000-0005-0000-0000-0000715E0000}"/>
    <cellStyle name="Normal 5 2 2 3 4 5" xfId="18332" xr:uid="{00000000-0005-0000-0000-0000725E0000}"/>
    <cellStyle name="Normal 5 2 2 3 4 5 2" xfId="34761" xr:uid="{00000000-0005-0000-0000-0000735E0000}"/>
    <cellStyle name="Normal 5 2 2 3 4 6" xfId="18333" xr:uid="{00000000-0005-0000-0000-0000745E0000}"/>
    <cellStyle name="Normal 5 2 2 3 4 6 2" xfId="34762" xr:uid="{00000000-0005-0000-0000-0000755E0000}"/>
    <cellStyle name="Normal 5 2 2 3 4 7" xfId="34753" xr:uid="{00000000-0005-0000-0000-0000765E0000}"/>
    <cellStyle name="Normal 5 2 2 3 5" xfId="18334" xr:uid="{00000000-0005-0000-0000-0000775E0000}"/>
    <cellStyle name="Normal 5 2 2 3 5 2" xfId="18335" xr:uid="{00000000-0005-0000-0000-0000785E0000}"/>
    <cellStyle name="Normal 5 2 2 3 5 2 2" xfId="34764" xr:uid="{00000000-0005-0000-0000-0000795E0000}"/>
    <cellStyle name="Normal 5 2 2 3 5 3" xfId="18336" xr:uid="{00000000-0005-0000-0000-00007A5E0000}"/>
    <cellStyle name="Normal 5 2 2 3 5 3 2" xfId="34765" xr:uid="{00000000-0005-0000-0000-00007B5E0000}"/>
    <cellStyle name="Normal 5 2 2 3 5 4" xfId="18337" xr:uid="{00000000-0005-0000-0000-00007C5E0000}"/>
    <cellStyle name="Normal 5 2 2 3 5 4 2" xfId="34766" xr:uid="{00000000-0005-0000-0000-00007D5E0000}"/>
    <cellStyle name="Normal 5 2 2 3 5 5" xfId="18338" xr:uid="{00000000-0005-0000-0000-00007E5E0000}"/>
    <cellStyle name="Normal 5 2 2 3 5 5 2" xfId="34767" xr:uid="{00000000-0005-0000-0000-00007F5E0000}"/>
    <cellStyle name="Normal 5 2 2 3 5 6" xfId="34763" xr:uid="{00000000-0005-0000-0000-0000805E0000}"/>
    <cellStyle name="Normal 5 2 2 3 6" xfId="18339" xr:uid="{00000000-0005-0000-0000-0000815E0000}"/>
    <cellStyle name="Normal 5 2 2 3 6 2" xfId="18340" xr:uid="{00000000-0005-0000-0000-0000825E0000}"/>
    <cellStyle name="Normal 5 2 2 3 6 2 2" xfId="34769" xr:uid="{00000000-0005-0000-0000-0000835E0000}"/>
    <cellStyle name="Normal 5 2 2 3 6 3" xfId="18341" xr:uid="{00000000-0005-0000-0000-0000845E0000}"/>
    <cellStyle name="Normal 5 2 2 3 6 3 2" xfId="34770" xr:uid="{00000000-0005-0000-0000-0000855E0000}"/>
    <cellStyle name="Normal 5 2 2 3 6 4" xfId="18342" xr:uid="{00000000-0005-0000-0000-0000865E0000}"/>
    <cellStyle name="Normal 5 2 2 3 6 4 2" xfId="34771" xr:uid="{00000000-0005-0000-0000-0000875E0000}"/>
    <cellStyle name="Normal 5 2 2 3 6 5" xfId="18343" xr:uid="{00000000-0005-0000-0000-0000885E0000}"/>
    <cellStyle name="Normal 5 2 2 3 6 5 2" xfId="34772" xr:uid="{00000000-0005-0000-0000-0000895E0000}"/>
    <cellStyle name="Normal 5 2 2 3 6 6" xfId="34768" xr:uid="{00000000-0005-0000-0000-00008A5E0000}"/>
    <cellStyle name="Normal 5 2 2 3 7" xfId="18344" xr:uid="{00000000-0005-0000-0000-00008B5E0000}"/>
    <cellStyle name="Normal 5 2 2 3 7 2" xfId="18345" xr:uid="{00000000-0005-0000-0000-00008C5E0000}"/>
    <cellStyle name="Normal 5 2 2 3 7 2 2" xfId="34774" xr:uid="{00000000-0005-0000-0000-00008D5E0000}"/>
    <cellStyle name="Normal 5 2 2 3 7 3" xfId="18346" xr:uid="{00000000-0005-0000-0000-00008E5E0000}"/>
    <cellStyle name="Normal 5 2 2 3 7 3 2" xfId="34775" xr:uid="{00000000-0005-0000-0000-00008F5E0000}"/>
    <cellStyle name="Normal 5 2 2 3 7 4" xfId="18347" xr:uid="{00000000-0005-0000-0000-0000905E0000}"/>
    <cellStyle name="Normal 5 2 2 3 7 4 2" xfId="34776" xr:uid="{00000000-0005-0000-0000-0000915E0000}"/>
    <cellStyle name="Normal 5 2 2 3 7 5" xfId="18348" xr:uid="{00000000-0005-0000-0000-0000925E0000}"/>
    <cellStyle name="Normal 5 2 2 3 7 5 2" xfId="34777" xr:uid="{00000000-0005-0000-0000-0000935E0000}"/>
    <cellStyle name="Normal 5 2 2 3 7 6" xfId="34773" xr:uid="{00000000-0005-0000-0000-0000945E0000}"/>
    <cellStyle name="Normal 5 2 2 3 8" xfId="18349" xr:uid="{00000000-0005-0000-0000-0000955E0000}"/>
    <cellStyle name="Normal 5 2 2 3 8 2" xfId="18350" xr:uid="{00000000-0005-0000-0000-0000965E0000}"/>
    <cellStyle name="Normal 5 2 2 3 8 2 2" xfId="34779" xr:uid="{00000000-0005-0000-0000-0000975E0000}"/>
    <cellStyle name="Normal 5 2 2 3 8 3" xfId="18351" xr:uid="{00000000-0005-0000-0000-0000985E0000}"/>
    <cellStyle name="Normal 5 2 2 3 8 3 2" xfId="34780" xr:uid="{00000000-0005-0000-0000-0000995E0000}"/>
    <cellStyle name="Normal 5 2 2 3 8 4" xfId="18352" xr:uid="{00000000-0005-0000-0000-00009A5E0000}"/>
    <cellStyle name="Normal 5 2 2 3 8 4 2" xfId="34781" xr:uid="{00000000-0005-0000-0000-00009B5E0000}"/>
    <cellStyle name="Normal 5 2 2 3 8 5" xfId="18353" xr:uid="{00000000-0005-0000-0000-00009C5E0000}"/>
    <cellStyle name="Normal 5 2 2 3 8 5 2" xfId="34782" xr:uid="{00000000-0005-0000-0000-00009D5E0000}"/>
    <cellStyle name="Normal 5 2 2 3 8 6" xfId="34778" xr:uid="{00000000-0005-0000-0000-00009E5E0000}"/>
    <cellStyle name="Normal 5 2 2 3 9" xfId="18354" xr:uid="{00000000-0005-0000-0000-00009F5E0000}"/>
    <cellStyle name="Normal 5 2 2 3 9 2" xfId="18355" xr:uid="{00000000-0005-0000-0000-0000A05E0000}"/>
    <cellStyle name="Normal 5 2 2 3 9 2 2" xfId="34784" xr:uid="{00000000-0005-0000-0000-0000A15E0000}"/>
    <cellStyle name="Normal 5 2 2 3 9 3" xfId="18356" xr:uid="{00000000-0005-0000-0000-0000A25E0000}"/>
    <cellStyle name="Normal 5 2 2 3 9 3 2" xfId="34785" xr:uid="{00000000-0005-0000-0000-0000A35E0000}"/>
    <cellStyle name="Normal 5 2 2 3 9 4" xfId="18357" xr:uid="{00000000-0005-0000-0000-0000A45E0000}"/>
    <cellStyle name="Normal 5 2 2 3 9 4 2" xfId="34786" xr:uid="{00000000-0005-0000-0000-0000A55E0000}"/>
    <cellStyle name="Normal 5 2 2 3 9 5" xfId="18358" xr:uid="{00000000-0005-0000-0000-0000A65E0000}"/>
    <cellStyle name="Normal 5 2 2 3 9 5 2" xfId="34787" xr:uid="{00000000-0005-0000-0000-0000A75E0000}"/>
    <cellStyle name="Normal 5 2 2 3 9 6" xfId="34783" xr:uid="{00000000-0005-0000-0000-0000A85E0000}"/>
    <cellStyle name="Normal 5 2 2 4" xfId="18359" xr:uid="{00000000-0005-0000-0000-0000A95E0000}"/>
    <cellStyle name="Normal 5 2 2 4 10" xfId="18360" xr:uid="{00000000-0005-0000-0000-0000AA5E0000}"/>
    <cellStyle name="Normal 5 2 2 4 10 2" xfId="18361" xr:uid="{00000000-0005-0000-0000-0000AB5E0000}"/>
    <cellStyle name="Normal 5 2 2 4 10 2 2" xfId="34790" xr:uid="{00000000-0005-0000-0000-0000AC5E0000}"/>
    <cellStyle name="Normal 5 2 2 4 10 3" xfId="18362" xr:uid="{00000000-0005-0000-0000-0000AD5E0000}"/>
    <cellStyle name="Normal 5 2 2 4 10 3 2" xfId="34791" xr:uid="{00000000-0005-0000-0000-0000AE5E0000}"/>
    <cellStyle name="Normal 5 2 2 4 10 4" xfId="18363" xr:uid="{00000000-0005-0000-0000-0000AF5E0000}"/>
    <cellStyle name="Normal 5 2 2 4 10 4 2" xfId="34792" xr:uid="{00000000-0005-0000-0000-0000B05E0000}"/>
    <cellStyle name="Normal 5 2 2 4 10 5" xfId="18364" xr:uid="{00000000-0005-0000-0000-0000B15E0000}"/>
    <cellStyle name="Normal 5 2 2 4 10 5 2" xfId="34793" xr:uid="{00000000-0005-0000-0000-0000B25E0000}"/>
    <cellStyle name="Normal 5 2 2 4 10 6" xfId="34789" xr:uid="{00000000-0005-0000-0000-0000B35E0000}"/>
    <cellStyle name="Normal 5 2 2 4 11" xfId="18365" xr:uid="{00000000-0005-0000-0000-0000B45E0000}"/>
    <cellStyle name="Normal 5 2 2 4 11 2" xfId="18366" xr:uid="{00000000-0005-0000-0000-0000B55E0000}"/>
    <cellStyle name="Normal 5 2 2 4 11 2 2" xfId="34795" xr:uid="{00000000-0005-0000-0000-0000B65E0000}"/>
    <cellStyle name="Normal 5 2 2 4 11 3" xfId="18367" xr:uid="{00000000-0005-0000-0000-0000B75E0000}"/>
    <cellStyle name="Normal 5 2 2 4 11 3 2" xfId="34796" xr:uid="{00000000-0005-0000-0000-0000B85E0000}"/>
    <cellStyle name="Normal 5 2 2 4 11 4" xfId="18368" xr:uid="{00000000-0005-0000-0000-0000B95E0000}"/>
    <cellStyle name="Normal 5 2 2 4 11 4 2" xfId="34797" xr:uid="{00000000-0005-0000-0000-0000BA5E0000}"/>
    <cellStyle name="Normal 5 2 2 4 11 5" xfId="18369" xr:uid="{00000000-0005-0000-0000-0000BB5E0000}"/>
    <cellStyle name="Normal 5 2 2 4 11 5 2" xfId="34798" xr:uid="{00000000-0005-0000-0000-0000BC5E0000}"/>
    <cellStyle name="Normal 5 2 2 4 11 6" xfId="34794" xr:uid="{00000000-0005-0000-0000-0000BD5E0000}"/>
    <cellStyle name="Normal 5 2 2 4 12" xfId="18370" xr:uid="{00000000-0005-0000-0000-0000BE5E0000}"/>
    <cellStyle name="Normal 5 2 2 4 12 2" xfId="18371" xr:uid="{00000000-0005-0000-0000-0000BF5E0000}"/>
    <cellStyle name="Normal 5 2 2 4 12 2 2" xfId="34800" xr:uid="{00000000-0005-0000-0000-0000C05E0000}"/>
    <cellStyle name="Normal 5 2 2 4 12 3" xfId="18372" xr:uid="{00000000-0005-0000-0000-0000C15E0000}"/>
    <cellStyle name="Normal 5 2 2 4 12 3 2" xfId="34801" xr:uid="{00000000-0005-0000-0000-0000C25E0000}"/>
    <cellStyle name="Normal 5 2 2 4 12 4" xfId="18373" xr:uid="{00000000-0005-0000-0000-0000C35E0000}"/>
    <cellStyle name="Normal 5 2 2 4 12 4 2" xfId="34802" xr:uid="{00000000-0005-0000-0000-0000C45E0000}"/>
    <cellStyle name="Normal 5 2 2 4 12 5" xfId="18374" xr:uid="{00000000-0005-0000-0000-0000C55E0000}"/>
    <cellStyle name="Normal 5 2 2 4 12 5 2" xfId="34803" xr:uid="{00000000-0005-0000-0000-0000C65E0000}"/>
    <cellStyle name="Normal 5 2 2 4 12 6" xfId="34799" xr:uid="{00000000-0005-0000-0000-0000C75E0000}"/>
    <cellStyle name="Normal 5 2 2 4 13" xfId="18375" xr:uid="{00000000-0005-0000-0000-0000C85E0000}"/>
    <cellStyle name="Normal 5 2 2 4 13 2" xfId="18376" xr:uid="{00000000-0005-0000-0000-0000C95E0000}"/>
    <cellStyle name="Normal 5 2 2 4 13 2 2" xfId="34805" xr:uid="{00000000-0005-0000-0000-0000CA5E0000}"/>
    <cellStyle name="Normal 5 2 2 4 13 3" xfId="18377" xr:uid="{00000000-0005-0000-0000-0000CB5E0000}"/>
    <cellStyle name="Normal 5 2 2 4 13 3 2" xfId="34806" xr:uid="{00000000-0005-0000-0000-0000CC5E0000}"/>
    <cellStyle name="Normal 5 2 2 4 13 4" xfId="18378" xr:uid="{00000000-0005-0000-0000-0000CD5E0000}"/>
    <cellStyle name="Normal 5 2 2 4 13 4 2" xfId="34807" xr:uid="{00000000-0005-0000-0000-0000CE5E0000}"/>
    <cellStyle name="Normal 5 2 2 4 13 5" xfId="18379" xr:uid="{00000000-0005-0000-0000-0000CF5E0000}"/>
    <cellStyle name="Normal 5 2 2 4 13 5 2" xfId="34808" xr:uid="{00000000-0005-0000-0000-0000D05E0000}"/>
    <cellStyle name="Normal 5 2 2 4 13 6" xfId="34804" xr:uid="{00000000-0005-0000-0000-0000D15E0000}"/>
    <cellStyle name="Normal 5 2 2 4 14" xfId="18380" xr:uid="{00000000-0005-0000-0000-0000D25E0000}"/>
    <cellStyle name="Normal 5 2 2 4 14 2" xfId="18381" xr:uid="{00000000-0005-0000-0000-0000D35E0000}"/>
    <cellStyle name="Normal 5 2 2 4 14 2 2" xfId="34810" xr:uid="{00000000-0005-0000-0000-0000D45E0000}"/>
    <cellStyle name="Normal 5 2 2 4 14 3" xfId="18382" xr:uid="{00000000-0005-0000-0000-0000D55E0000}"/>
    <cellStyle name="Normal 5 2 2 4 14 3 2" xfId="34811" xr:uid="{00000000-0005-0000-0000-0000D65E0000}"/>
    <cellStyle name="Normal 5 2 2 4 14 4" xfId="18383" xr:uid="{00000000-0005-0000-0000-0000D75E0000}"/>
    <cellStyle name="Normal 5 2 2 4 14 4 2" xfId="34812" xr:uid="{00000000-0005-0000-0000-0000D85E0000}"/>
    <cellStyle name="Normal 5 2 2 4 14 5" xfId="18384" xr:uid="{00000000-0005-0000-0000-0000D95E0000}"/>
    <cellStyle name="Normal 5 2 2 4 14 5 2" xfId="34813" xr:uid="{00000000-0005-0000-0000-0000DA5E0000}"/>
    <cellStyle name="Normal 5 2 2 4 14 6" xfId="34809" xr:uid="{00000000-0005-0000-0000-0000DB5E0000}"/>
    <cellStyle name="Normal 5 2 2 4 15" xfId="18385" xr:uid="{00000000-0005-0000-0000-0000DC5E0000}"/>
    <cellStyle name="Normal 5 2 2 4 15 2" xfId="18386" xr:uid="{00000000-0005-0000-0000-0000DD5E0000}"/>
    <cellStyle name="Normal 5 2 2 4 15 2 2" xfId="34815" xr:uid="{00000000-0005-0000-0000-0000DE5E0000}"/>
    <cellStyle name="Normal 5 2 2 4 15 3" xfId="18387" xr:uid="{00000000-0005-0000-0000-0000DF5E0000}"/>
    <cellStyle name="Normal 5 2 2 4 15 3 2" xfId="34816" xr:uid="{00000000-0005-0000-0000-0000E05E0000}"/>
    <cellStyle name="Normal 5 2 2 4 15 4" xfId="18388" xr:uid="{00000000-0005-0000-0000-0000E15E0000}"/>
    <cellStyle name="Normal 5 2 2 4 15 4 2" xfId="34817" xr:uid="{00000000-0005-0000-0000-0000E25E0000}"/>
    <cellStyle name="Normal 5 2 2 4 15 5" xfId="18389" xr:uid="{00000000-0005-0000-0000-0000E35E0000}"/>
    <cellStyle name="Normal 5 2 2 4 15 5 2" xfId="34818" xr:uid="{00000000-0005-0000-0000-0000E45E0000}"/>
    <cellStyle name="Normal 5 2 2 4 15 6" xfId="34814" xr:uid="{00000000-0005-0000-0000-0000E55E0000}"/>
    <cellStyle name="Normal 5 2 2 4 16" xfId="18390" xr:uid="{00000000-0005-0000-0000-0000E65E0000}"/>
    <cellStyle name="Normal 5 2 2 4 16 2" xfId="18391" xr:uid="{00000000-0005-0000-0000-0000E75E0000}"/>
    <cellStyle name="Normal 5 2 2 4 16 2 2" xfId="34820" xr:uid="{00000000-0005-0000-0000-0000E85E0000}"/>
    <cellStyle name="Normal 5 2 2 4 16 3" xfId="18392" xr:uid="{00000000-0005-0000-0000-0000E95E0000}"/>
    <cellStyle name="Normal 5 2 2 4 16 3 2" xfId="34821" xr:uid="{00000000-0005-0000-0000-0000EA5E0000}"/>
    <cellStyle name="Normal 5 2 2 4 16 4" xfId="18393" xr:uid="{00000000-0005-0000-0000-0000EB5E0000}"/>
    <cellStyle name="Normal 5 2 2 4 16 4 2" xfId="34822" xr:uid="{00000000-0005-0000-0000-0000EC5E0000}"/>
    <cellStyle name="Normal 5 2 2 4 16 5" xfId="18394" xr:uid="{00000000-0005-0000-0000-0000ED5E0000}"/>
    <cellStyle name="Normal 5 2 2 4 16 5 2" xfId="34823" xr:uid="{00000000-0005-0000-0000-0000EE5E0000}"/>
    <cellStyle name="Normal 5 2 2 4 16 6" xfId="34819" xr:uid="{00000000-0005-0000-0000-0000EF5E0000}"/>
    <cellStyle name="Normal 5 2 2 4 17" xfId="18395" xr:uid="{00000000-0005-0000-0000-0000F05E0000}"/>
    <cellStyle name="Normal 5 2 2 4 17 2" xfId="34824" xr:uid="{00000000-0005-0000-0000-0000F15E0000}"/>
    <cellStyle name="Normal 5 2 2 4 18" xfId="18396" xr:uid="{00000000-0005-0000-0000-0000F25E0000}"/>
    <cellStyle name="Normal 5 2 2 4 18 2" xfId="34825" xr:uid="{00000000-0005-0000-0000-0000F35E0000}"/>
    <cellStyle name="Normal 5 2 2 4 19" xfId="18397" xr:uid="{00000000-0005-0000-0000-0000F45E0000}"/>
    <cellStyle name="Normal 5 2 2 4 19 2" xfId="34826" xr:uid="{00000000-0005-0000-0000-0000F55E0000}"/>
    <cellStyle name="Normal 5 2 2 4 2" xfId="18398" xr:uid="{00000000-0005-0000-0000-0000F65E0000}"/>
    <cellStyle name="Normal 5 2 2 4 2 10" xfId="18399" xr:uid="{00000000-0005-0000-0000-0000F75E0000}"/>
    <cellStyle name="Normal 5 2 2 4 2 10 2" xfId="34828" xr:uid="{00000000-0005-0000-0000-0000F85E0000}"/>
    <cellStyle name="Normal 5 2 2 4 2 11" xfId="18400" xr:uid="{00000000-0005-0000-0000-0000F95E0000}"/>
    <cellStyle name="Normal 5 2 2 4 2 11 2" xfId="34829" xr:uid="{00000000-0005-0000-0000-0000FA5E0000}"/>
    <cellStyle name="Normal 5 2 2 4 2 12" xfId="34827" xr:uid="{00000000-0005-0000-0000-0000FB5E0000}"/>
    <cellStyle name="Normal 5 2 2 4 2 2" xfId="18401" xr:uid="{00000000-0005-0000-0000-0000FC5E0000}"/>
    <cellStyle name="Normal 5 2 2 4 2 2 2" xfId="18402" xr:uid="{00000000-0005-0000-0000-0000FD5E0000}"/>
    <cellStyle name="Normal 5 2 2 4 2 2 2 2" xfId="34831" xr:uid="{00000000-0005-0000-0000-0000FE5E0000}"/>
    <cellStyle name="Normal 5 2 2 4 2 2 3" xfId="18403" xr:uid="{00000000-0005-0000-0000-0000FF5E0000}"/>
    <cellStyle name="Normal 5 2 2 4 2 2 3 2" xfId="34832" xr:uid="{00000000-0005-0000-0000-0000005F0000}"/>
    <cellStyle name="Normal 5 2 2 4 2 2 4" xfId="18404" xr:uid="{00000000-0005-0000-0000-0000015F0000}"/>
    <cellStyle name="Normal 5 2 2 4 2 2 4 2" xfId="34833" xr:uid="{00000000-0005-0000-0000-0000025F0000}"/>
    <cellStyle name="Normal 5 2 2 4 2 2 5" xfId="18405" xr:uid="{00000000-0005-0000-0000-0000035F0000}"/>
    <cellStyle name="Normal 5 2 2 4 2 2 5 2" xfId="34834" xr:uid="{00000000-0005-0000-0000-0000045F0000}"/>
    <cellStyle name="Normal 5 2 2 4 2 2 6" xfId="34830" xr:uid="{00000000-0005-0000-0000-0000055F0000}"/>
    <cellStyle name="Normal 5 2 2 4 2 3" xfId="18406" xr:uid="{00000000-0005-0000-0000-0000065F0000}"/>
    <cellStyle name="Normal 5 2 2 4 2 3 2" xfId="18407" xr:uid="{00000000-0005-0000-0000-0000075F0000}"/>
    <cellStyle name="Normal 5 2 2 4 2 3 2 2" xfId="34836" xr:uid="{00000000-0005-0000-0000-0000085F0000}"/>
    <cellStyle name="Normal 5 2 2 4 2 3 3" xfId="18408" xr:uid="{00000000-0005-0000-0000-0000095F0000}"/>
    <cellStyle name="Normal 5 2 2 4 2 3 3 2" xfId="34837" xr:uid="{00000000-0005-0000-0000-00000A5F0000}"/>
    <cellStyle name="Normal 5 2 2 4 2 3 4" xfId="18409" xr:uid="{00000000-0005-0000-0000-00000B5F0000}"/>
    <cellStyle name="Normal 5 2 2 4 2 3 4 2" xfId="34838" xr:uid="{00000000-0005-0000-0000-00000C5F0000}"/>
    <cellStyle name="Normal 5 2 2 4 2 3 5" xfId="18410" xr:uid="{00000000-0005-0000-0000-00000D5F0000}"/>
    <cellStyle name="Normal 5 2 2 4 2 3 5 2" xfId="34839" xr:uid="{00000000-0005-0000-0000-00000E5F0000}"/>
    <cellStyle name="Normal 5 2 2 4 2 3 6" xfId="34835" xr:uid="{00000000-0005-0000-0000-00000F5F0000}"/>
    <cellStyle name="Normal 5 2 2 4 2 4" xfId="18411" xr:uid="{00000000-0005-0000-0000-0000105F0000}"/>
    <cellStyle name="Normal 5 2 2 4 2 4 2" xfId="18412" xr:uid="{00000000-0005-0000-0000-0000115F0000}"/>
    <cellStyle name="Normal 5 2 2 4 2 4 2 2" xfId="34841" xr:uid="{00000000-0005-0000-0000-0000125F0000}"/>
    <cellStyle name="Normal 5 2 2 4 2 4 3" xfId="18413" xr:uid="{00000000-0005-0000-0000-0000135F0000}"/>
    <cellStyle name="Normal 5 2 2 4 2 4 3 2" xfId="34842" xr:uid="{00000000-0005-0000-0000-0000145F0000}"/>
    <cellStyle name="Normal 5 2 2 4 2 4 4" xfId="18414" xr:uid="{00000000-0005-0000-0000-0000155F0000}"/>
    <cellStyle name="Normal 5 2 2 4 2 4 4 2" xfId="34843" xr:uid="{00000000-0005-0000-0000-0000165F0000}"/>
    <cellStyle name="Normal 5 2 2 4 2 4 5" xfId="18415" xr:uid="{00000000-0005-0000-0000-0000175F0000}"/>
    <cellStyle name="Normal 5 2 2 4 2 4 5 2" xfId="34844" xr:uid="{00000000-0005-0000-0000-0000185F0000}"/>
    <cellStyle name="Normal 5 2 2 4 2 4 6" xfId="34840" xr:uid="{00000000-0005-0000-0000-0000195F0000}"/>
    <cellStyle name="Normal 5 2 2 4 2 5" xfId="18416" xr:uid="{00000000-0005-0000-0000-00001A5F0000}"/>
    <cellStyle name="Normal 5 2 2 4 2 5 2" xfId="18417" xr:uid="{00000000-0005-0000-0000-00001B5F0000}"/>
    <cellStyle name="Normal 5 2 2 4 2 5 2 2" xfId="34846" xr:uid="{00000000-0005-0000-0000-00001C5F0000}"/>
    <cellStyle name="Normal 5 2 2 4 2 5 3" xfId="18418" xr:uid="{00000000-0005-0000-0000-00001D5F0000}"/>
    <cellStyle name="Normal 5 2 2 4 2 5 3 2" xfId="34847" xr:uid="{00000000-0005-0000-0000-00001E5F0000}"/>
    <cellStyle name="Normal 5 2 2 4 2 5 4" xfId="18419" xr:uid="{00000000-0005-0000-0000-00001F5F0000}"/>
    <cellStyle name="Normal 5 2 2 4 2 5 4 2" xfId="34848" xr:uid="{00000000-0005-0000-0000-0000205F0000}"/>
    <cellStyle name="Normal 5 2 2 4 2 5 5" xfId="18420" xr:uid="{00000000-0005-0000-0000-0000215F0000}"/>
    <cellStyle name="Normal 5 2 2 4 2 5 5 2" xfId="34849" xr:uid="{00000000-0005-0000-0000-0000225F0000}"/>
    <cellStyle name="Normal 5 2 2 4 2 5 6" xfId="34845" xr:uid="{00000000-0005-0000-0000-0000235F0000}"/>
    <cellStyle name="Normal 5 2 2 4 2 6" xfId="18421" xr:uid="{00000000-0005-0000-0000-0000245F0000}"/>
    <cellStyle name="Normal 5 2 2 4 2 6 2" xfId="18422" xr:uid="{00000000-0005-0000-0000-0000255F0000}"/>
    <cellStyle name="Normal 5 2 2 4 2 6 2 2" xfId="34851" xr:uid="{00000000-0005-0000-0000-0000265F0000}"/>
    <cellStyle name="Normal 5 2 2 4 2 6 3" xfId="18423" xr:uid="{00000000-0005-0000-0000-0000275F0000}"/>
    <cellStyle name="Normal 5 2 2 4 2 6 3 2" xfId="34852" xr:uid="{00000000-0005-0000-0000-0000285F0000}"/>
    <cellStyle name="Normal 5 2 2 4 2 6 4" xfId="18424" xr:uid="{00000000-0005-0000-0000-0000295F0000}"/>
    <cellStyle name="Normal 5 2 2 4 2 6 4 2" xfId="34853" xr:uid="{00000000-0005-0000-0000-00002A5F0000}"/>
    <cellStyle name="Normal 5 2 2 4 2 6 5" xfId="18425" xr:uid="{00000000-0005-0000-0000-00002B5F0000}"/>
    <cellStyle name="Normal 5 2 2 4 2 6 5 2" xfId="34854" xr:uid="{00000000-0005-0000-0000-00002C5F0000}"/>
    <cellStyle name="Normal 5 2 2 4 2 6 6" xfId="34850" xr:uid="{00000000-0005-0000-0000-00002D5F0000}"/>
    <cellStyle name="Normal 5 2 2 4 2 7" xfId="18426" xr:uid="{00000000-0005-0000-0000-00002E5F0000}"/>
    <cellStyle name="Normal 5 2 2 4 2 7 2" xfId="18427" xr:uid="{00000000-0005-0000-0000-00002F5F0000}"/>
    <cellStyle name="Normal 5 2 2 4 2 7 2 2" xfId="34856" xr:uid="{00000000-0005-0000-0000-0000305F0000}"/>
    <cellStyle name="Normal 5 2 2 4 2 7 3" xfId="18428" xr:uid="{00000000-0005-0000-0000-0000315F0000}"/>
    <cellStyle name="Normal 5 2 2 4 2 7 3 2" xfId="34857" xr:uid="{00000000-0005-0000-0000-0000325F0000}"/>
    <cellStyle name="Normal 5 2 2 4 2 7 4" xfId="18429" xr:uid="{00000000-0005-0000-0000-0000335F0000}"/>
    <cellStyle name="Normal 5 2 2 4 2 7 4 2" xfId="34858" xr:uid="{00000000-0005-0000-0000-0000345F0000}"/>
    <cellStyle name="Normal 5 2 2 4 2 7 5" xfId="18430" xr:uid="{00000000-0005-0000-0000-0000355F0000}"/>
    <cellStyle name="Normal 5 2 2 4 2 7 5 2" xfId="34859" xr:uid="{00000000-0005-0000-0000-0000365F0000}"/>
    <cellStyle name="Normal 5 2 2 4 2 7 6" xfId="34855" xr:uid="{00000000-0005-0000-0000-0000375F0000}"/>
    <cellStyle name="Normal 5 2 2 4 2 8" xfId="18431" xr:uid="{00000000-0005-0000-0000-0000385F0000}"/>
    <cellStyle name="Normal 5 2 2 4 2 8 2" xfId="34860" xr:uid="{00000000-0005-0000-0000-0000395F0000}"/>
    <cellStyle name="Normal 5 2 2 4 2 9" xfId="18432" xr:uid="{00000000-0005-0000-0000-00003A5F0000}"/>
    <cellStyle name="Normal 5 2 2 4 2 9 2" xfId="34861" xr:uid="{00000000-0005-0000-0000-00003B5F0000}"/>
    <cellStyle name="Normal 5 2 2 4 20" xfId="18433" xr:uid="{00000000-0005-0000-0000-00003C5F0000}"/>
    <cellStyle name="Normal 5 2 2 4 20 2" xfId="34862" xr:uid="{00000000-0005-0000-0000-00003D5F0000}"/>
    <cellStyle name="Normal 5 2 2 4 21" xfId="34788" xr:uid="{00000000-0005-0000-0000-00003E5F0000}"/>
    <cellStyle name="Normal 5 2 2 4 3" xfId="18434" xr:uid="{00000000-0005-0000-0000-00003F5F0000}"/>
    <cellStyle name="Normal 5 2 2 4 3 2" xfId="18435" xr:uid="{00000000-0005-0000-0000-0000405F0000}"/>
    <cellStyle name="Normal 5 2 2 4 3 2 2" xfId="18436" xr:uid="{00000000-0005-0000-0000-0000415F0000}"/>
    <cellStyle name="Normal 5 2 2 4 3 2 2 2" xfId="34865" xr:uid="{00000000-0005-0000-0000-0000425F0000}"/>
    <cellStyle name="Normal 5 2 2 4 3 2 3" xfId="18437" xr:uid="{00000000-0005-0000-0000-0000435F0000}"/>
    <cellStyle name="Normal 5 2 2 4 3 2 3 2" xfId="34866" xr:uid="{00000000-0005-0000-0000-0000445F0000}"/>
    <cellStyle name="Normal 5 2 2 4 3 2 4" xfId="18438" xr:uid="{00000000-0005-0000-0000-0000455F0000}"/>
    <cellStyle name="Normal 5 2 2 4 3 2 4 2" xfId="34867" xr:uid="{00000000-0005-0000-0000-0000465F0000}"/>
    <cellStyle name="Normal 5 2 2 4 3 2 5" xfId="18439" xr:uid="{00000000-0005-0000-0000-0000475F0000}"/>
    <cellStyle name="Normal 5 2 2 4 3 2 5 2" xfId="34868" xr:uid="{00000000-0005-0000-0000-0000485F0000}"/>
    <cellStyle name="Normal 5 2 2 4 3 2 6" xfId="34864" xr:uid="{00000000-0005-0000-0000-0000495F0000}"/>
    <cellStyle name="Normal 5 2 2 4 3 3" xfId="18440" xr:uid="{00000000-0005-0000-0000-00004A5F0000}"/>
    <cellStyle name="Normal 5 2 2 4 3 3 2" xfId="34869" xr:uid="{00000000-0005-0000-0000-00004B5F0000}"/>
    <cellStyle name="Normal 5 2 2 4 3 4" xfId="18441" xr:uid="{00000000-0005-0000-0000-00004C5F0000}"/>
    <cellStyle name="Normal 5 2 2 4 3 4 2" xfId="34870" xr:uid="{00000000-0005-0000-0000-00004D5F0000}"/>
    <cellStyle name="Normal 5 2 2 4 3 5" xfId="18442" xr:uid="{00000000-0005-0000-0000-00004E5F0000}"/>
    <cellStyle name="Normal 5 2 2 4 3 5 2" xfId="34871" xr:uid="{00000000-0005-0000-0000-00004F5F0000}"/>
    <cellStyle name="Normal 5 2 2 4 3 6" xfId="18443" xr:uid="{00000000-0005-0000-0000-0000505F0000}"/>
    <cellStyle name="Normal 5 2 2 4 3 6 2" xfId="34872" xr:uid="{00000000-0005-0000-0000-0000515F0000}"/>
    <cellStyle name="Normal 5 2 2 4 3 7" xfId="34863" xr:uid="{00000000-0005-0000-0000-0000525F0000}"/>
    <cellStyle name="Normal 5 2 2 4 4" xfId="18444" xr:uid="{00000000-0005-0000-0000-0000535F0000}"/>
    <cellStyle name="Normal 5 2 2 4 4 2" xfId="18445" xr:uid="{00000000-0005-0000-0000-0000545F0000}"/>
    <cellStyle name="Normal 5 2 2 4 4 2 2" xfId="18446" xr:uid="{00000000-0005-0000-0000-0000555F0000}"/>
    <cellStyle name="Normal 5 2 2 4 4 2 2 2" xfId="34875" xr:uid="{00000000-0005-0000-0000-0000565F0000}"/>
    <cellStyle name="Normal 5 2 2 4 4 2 3" xfId="18447" xr:uid="{00000000-0005-0000-0000-0000575F0000}"/>
    <cellStyle name="Normal 5 2 2 4 4 2 3 2" xfId="34876" xr:uid="{00000000-0005-0000-0000-0000585F0000}"/>
    <cellStyle name="Normal 5 2 2 4 4 2 4" xfId="18448" xr:uid="{00000000-0005-0000-0000-0000595F0000}"/>
    <cellStyle name="Normal 5 2 2 4 4 2 4 2" xfId="34877" xr:uid="{00000000-0005-0000-0000-00005A5F0000}"/>
    <cellStyle name="Normal 5 2 2 4 4 2 5" xfId="18449" xr:uid="{00000000-0005-0000-0000-00005B5F0000}"/>
    <cellStyle name="Normal 5 2 2 4 4 2 5 2" xfId="34878" xr:uid="{00000000-0005-0000-0000-00005C5F0000}"/>
    <cellStyle name="Normal 5 2 2 4 4 2 6" xfId="34874" xr:uid="{00000000-0005-0000-0000-00005D5F0000}"/>
    <cellStyle name="Normal 5 2 2 4 4 3" xfId="18450" xr:uid="{00000000-0005-0000-0000-00005E5F0000}"/>
    <cellStyle name="Normal 5 2 2 4 4 3 2" xfId="34879" xr:uid="{00000000-0005-0000-0000-00005F5F0000}"/>
    <cellStyle name="Normal 5 2 2 4 4 4" xfId="18451" xr:uid="{00000000-0005-0000-0000-0000605F0000}"/>
    <cellStyle name="Normal 5 2 2 4 4 4 2" xfId="34880" xr:uid="{00000000-0005-0000-0000-0000615F0000}"/>
    <cellStyle name="Normal 5 2 2 4 4 5" xfId="18452" xr:uid="{00000000-0005-0000-0000-0000625F0000}"/>
    <cellStyle name="Normal 5 2 2 4 4 5 2" xfId="34881" xr:uid="{00000000-0005-0000-0000-0000635F0000}"/>
    <cellStyle name="Normal 5 2 2 4 4 6" xfId="18453" xr:uid="{00000000-0005-0000-0000-0000645F0000}"/>
    <cellStyle name="Normal 5 2 2 4 4 6 2" xfId="34882" xr:uid="{00000000-0005-0000-0000-0000655F0000}"/>
    <cellStyle name="Normal 5 2 2 4 4 7" xfId="34873" xr:uid="{00000000-0005-0000-0000-0000665F0000}"/>
    <cellStyle name="Normal 5 2 2 4 5" xfId="18454" xr:uid="{00000000-0005-0000-0000-0000675F0000}"/>
    <cellStyle name="Normal 5 2 2 4 5 2" xfId="18455" xr:uid="{00000000-0005-0000-0000-0000685F0000}"/>
    <cellStyle name="Normal 5 2 2 4 5 2 2" xfId="34884" xr:uid="{00000000-0005-0000-0000-0000695F0000}"/>
    <cellStyle name="Normal 5 2 2 4 5 3" xfId="18456" xr:uid="{00000000-0005-0000-0000-00006A5F0000}"/>
    <cellStyle name="Normal 5 2 2 4 5 3 2" xfId="34885" xr:uid="{00000000-0005-0000-0000-00006B5F0000}"/>
    <cellStyle name="Normal 5 2 2 4 5 4" xfId="18457" xr:uid="{00000000-0005-0000-0000-00006C5F0000}"/>
    <cellStyle name="Normal 5 2 2 4 5 4 2" xfId="34886" xr:uid="{00000000-0005-0000-0000-00006D5F0000}"/>
    <cellStyle name="Normal 5 2 2 4 5 5" xfId="18458" xr:uid="{00000000-0005-0000-0000-00006E5F0000}"/>
    <cellStyle name="Normal 5 2 2 4 5 5 2" xfId="34887" xr:uid="{00000000-0005-0000-0000-00006F5F0000}"/>
    <cellStyle name="Normal 5 2 2 4 5 6" xfId="34883" xr:uid="{00000000-0005-0000-0000-0000705F0000}"/>
    <cellStyle name="Normal 5 2 2 4 6" xfId="18459" xr:uid="{00000000-0005-0000-0000-0000715F0000}"/>
    <cellStyle name="Normal 5 2 2 4 6 2" xfId="18460" xr:uid="{00000000-0005-0000-0000-0000725F0000}"/>
    <cellStyle name="Normal 5 2 2 4 6 2 2" xfId="34889" xr:uid="{00000000-0005-0000-0000-0000735F0000}"/>
    <cellStyle name="Normal 5 2 2 4 6 3" xfId="18461" xr:uid="{00000000-0005-0000-0000-0000745F0000}"/>
    <cellStyle name="Normal 5 2 2 4 6 3 2" xfId="34890" xr:uid="{00000000-0005-0000-0000-0000755F0000}"/>
    <cellStyle name="Normal 5 2 2 4 6 4" xfId="18462" xr:uid="{00000000-0005-0000-0000-0000765F0000}"/>
    <cellStyle name="Normal 5 2 2 4 6 4 2" xfId="34891" xr:uid="{00000000-0005-0000-0000-0000775F0000}"/>
    <cellStyle name="Normal 5 2 2 4 6 5" xfId="18463" xr:uid="{00000000-0005-0000-0000-0000785F0000}"/>
    <cellStyle name="Normal 5 2 2 4 6 5 2" xfId="34892" xr:uid="{00000000-0005-0000-0000-0000795F0000}"/>
    <cellStyle name="Normal 5 2 2 4 6 6" xfId="34888" xr:uid="{00000000-0005-0000-0000-00007A5F0000}"/>
    <cellStyle name="Normal 5 2 2 4 7" xfId="18464" xr:uid="{00000000-0005-0000-0000-00007B5F0000}"/>
    <cellStyle name="Normal 5 2 2 4 7 2" xfId="18465" xr:uid="{00000000-0005-0000-0000-00007C5F0000}"/>
    <cellStyle name="Normal 5 2 2 4 7 2 2" xfId="34894" xr:uid="{00000000-0005-0000-0000-00007D5F0000}"/>
    <cellStyle name="Normal 5 2 2 4 7 3" xfId="18466" xr:uid="{00000000-0005-0000-0000-00007E5F0000}"/>
    <cellStyle name="Normal 5 2 2 4 7 3 2" xfId="34895" xr:uid="{00000000-0005-0000-0000-00007F5F0000}"/>
    <cellStyle name="Normal 5 2 2 4 7 4" xfId="18467" xr:uid="{00000000-0005-0000-0000-0000805F0000}"/>
    <cellStyle name="Normal 5 2 2 4 7 4 2" xfId="34896" xr:uid="{00000000-0005-0000-0000-0000815F0000}"/>
    <cellStyle name="Normal 5 2 2 4 7 5" xfId="18468" xr:uid="{00000000-0005-0000-0000-0000825F0000}"/>
    <cellStyle name="Normal 5 2 2 4 7 5 2" xfId="34897" xr:uid="{00000000-0005-0000-0000-0000835F0000}"/>
    <cellStyle name="Normal 5 2 2 4 7 6" xfId="34893" xr:uid="{00000000-0005-0000-0000-0000845F0000}"/>
    <cellStyle name="Normal 5 2 2 4 8" xfId="18469" xr:uid="{00000000-0005-0000-0000-0000855F0000}"/>
    <cellStyle name="Normal 5 2 2 4 8 2" xfId="18470" xr:uid="{00000000-0005-0000-0000-0000865F0000}"/>
    <cellStyle name="Normal 5 2 2 4 8 2 2" xfId="34899" xr:uid="{00000000-0005-0000-0000-0000875F0000}"/>
    <cellStyle name="Normal 5 2 2 4 8 3" xfId="18471" xr:uid="{00000000-0005-0000-0000-0000885F0000}"/>
    <cellStyle name="Normal 5 2 2 4 8 3 2" xfId="34900" xr:uid="{00000000-0005-0000-0000-0000895F0000}"/>
    <cellStyle name="Normal 5 2 2 4 8 4" xfId="18472" xr:uid="{00000000-0005-0000-0000-00008A5F0000}"/>
    <cellStyle name="Normal 5 2 2 4 8 4 2" xfId="34901" xr:uid="{00000000-0005-0000-0000-00008B5F0000}"/>
    <cellStyle name="Normal 5 2 2 4 8 5" xfId="18473" xr:uid="{00000000-0005-0000-0000-00008C5F0000}"/>
    <cellStyle name="Normal 5 2 2 4 8 5 2" xfId="34902" xr:uid="{00000000-0005-0000-0000-00008D5F0000}"/>
    <cellStyle name="Normal 5 2 2 4 8 6" xfId="34898" xr:uid="{00000000-0005-0000-0000-00008E5F0000}"/>
    <cellStyle name="Normal 5 2 2 4 9" xfId="18474" xr:uid="{00000000-0005-0000-0000-00008F5F0000}"/>
    <cellStyle name="Normal 5 2 2 4 9 2" xfId="18475" xr:uid="{00000000-0005-0000-0000-0000905F0000}"/>
    <cellStyle name="Normal 5 2 2 4 9 2 2" xfId="34904" xr:uid="{00000000-0005-0000-0000-0000915F0000}"/>
    <cellStyle name="Normal 5 2 2 4 9 3" xfId="18476" xr:uid="{00000000-0005-0000-0000-0000925F0000}"/>
    <cellStyle name="Normal 5 2 2 4 9 3 2" xfId="34905" xr:uid="{00000000-0005-0000-0000-0000935F0000}"/>
    <cellStyle name="Normal 5 2 2 4 9 4" xfId="18477" xr:uid="{00000000-0005-0000-0000-0000945F0000}"/>
    <cellStyle name="Normal 5 2 2 4 9 4 2" xfId="34906" xr:uid="{00000000-0005-0000-0000-0000955F0000}"/>
    <cellStyle name="Normal 5 2 2 4 9 5" xfId="18478" xr:uid="{00000000-0005-0000-0000-0000965F0000}"/>
    <cellStyle name="Normal 5 2 2 4 9 5 2" xfId="34907" xr:uid="{00000000-0005-0000-0000-0000975F0000}"/>
    <cellStyle name="Normal 5 2 2 4 9 6" xfId="34903" xr:uid="{00000000-0005-0000-0000-0000985F0000}"/>
    <cellStyle name="Normal 5 2 2 5" xfId="18479" xr:uid="{00000000-0005-0000-0000-0000995F0000}"/>
    <cellStyle name="Normal 5 2 2 5 10" xfId="18480" xr:uid="{00000000-0005-0000-0000-00009A5F0000}"/>
    <cellStyle name="Normal 5 2 2 5 10 2" xfId="34909" xr:uid="{00000000-0005-0000-0000-00009B5F0000}"/>
    <cellStyle name="Normal 5 2 2 5 11" xfId="18481" xr:uid="{00000000-0005-0000-0000-00009C5F0000}"/>
    <cellStyle name="Normal 5 2 2 5 11 2" xfId="34910" xr:uid="{00000000-0005-0000-0000-00009D5F0000}"/>
    <cellStyle name="Normal 5 2 2 5 12" xfId="34908" xr:uid="{00000000-0005-0000-0000-00009E5F0000}"/>
    <cellStyle name="Normal 5 2 2 5 2" xfId="18482" xr:uid="{00000000-0005-0000-0000-00009F5F0000}"/>
    <cellStyle name="Normal 5 2 2 5 2 2" xfId="18483" xr:uid="{00000000-0005-0000-0000-0000A05F0000}"/>
    <cellStyle name="Normal 5 2 2 5 2 2 2" xfId="34912" xr:uid="{00000000-0005-0000-0000-0000A15F0000}"/>
    <cellStyle name="Normal 5 2 2 5 2 3" xfId="18484" xr:uid="{00000000-0005-0000-0000-0000A25F0000}"/>
    <cellStyle name="Normal 5 2 2 5 2 3 2" xfId="34913" xr:uid="{00000000-0005-0000-0000-0000A35F0000}"/>
    <cellStyle name="Normal 5 2 2 5 2 4" xfId="18485" xr:uid="{00000000-0005-0000-0000-0000A45F0000}"/>
    <cellStyle name="Normal 5 2 2 5 2 4 2" xfId="34914" xr:uid="{00000000-0005-0000-0000-0000A55F0000}"/>
    <cellStyle name="Normal 5 2 2 5 2 5" xfId="18486" xr:uid="{00000000-0005-0000-0000-0000A65F0000}"/>
    <cellStyle name="Normal 5 2 2 5 2 5 2" xfId="34915" xr:uid="{00000000-0005-0000-0000-0000A75F0000}"/>
    <cellStyle name="Normal 5 2 2 5 2 6" xfId="34911" xr:uid="{00000000-0005-0000-0000-0000A85F0000}"/>
    <cellStyle name="Normal 5 2 2 5 3" xfId="18487" xr:uid="{00000000-0005-0000-0000-0000A95F0000}"/>
    <cellStyle name="Normal 5 2 2 5 3 2" xfId="18488" xr:uid="{00000000-0005-0000-0000-0000AA5F0000}"/>
    <cellStyle name="Normal 5 2 2 5 3 2 2" xfId="34917" xr:uid="{00000000-0005-0000-0000-0000AB5F0000}"/>
    <cellStyle name="Normal 5 2 2 5 3 3" xfId="18489" xr:uid="{00000000-0005-0000-0000-0000AC5F0000}"/>
    <cellStyle name="Normal 5 2 2 5 3 3 2" xfId="34918" xr:uid="{00000000-0005-0000-0000-0000AD5F0000}"/>
    <cellStyle name="Normal 5 2 2 5 3 4" xfId="18490" xr:uid="{00000000-0005-0000-0000-0000AE5F0000}"/>
    <cellStyle name="Normal 5 2 2 5 3 4 2" xfId="34919" xr:uid="{00000000-0005-0000-0000-0000AF5F0000}"/>
    <cellStyle name="Normal 5 2 2 5 3 5" xfId="18491" xr:uid="{00000000-0005-0000-0000-0000B05F0000}"/>
    <cellStyle name="Normal 5 2 2 5 3 5 2" xfId="34920" xr:uid="{00000000-0005-0000-0000-0000B15F0000}"/>
    <cellStyle name="Normal 5 2 2 5 3 6" xfId="34916" xr:uid="{00000000-0005-0000-0000-0000B25F0000}"/>
    <cellStyle name="Normal 5 2 2 5 4" xfId="18492" xr:uid="{00000000-0005-0000-0000-0000B35F0000}"/>
    <cellStyle name="Normal 5 2 2 5 4 2" xfId="18493" xr:uid="{00000000-0005-0000-0000-0000B45F0000}"/>
    <cellStyle name="Normal 5 2 2 5 4 2 2" xfId="34922" xr:uid="{00000000-0005-0000-0000-0000B55F0000}"/>
    <cellStyle name="Normal 5 2 2 5 4 3" xfId="18494" xr:uid="{00000000-0005-0000-0000-0000B65F0000}"/>
    <cellStyle name="Normal 5 2 2 5 4 3 2" xfId="34923" xr:uid="{00000000-0005-0000-0000-0000B75F0000}"/>
    <cellStyle name="Normal 5 2 2 5 4 4" xfId="18495" xr:uid="{00000000-0005-0000-0000-0000B85F0000}"/>
    <cellStyle name="Normal 5 2 2 5 4 4 2" xfId="34924" xr:uid="{00000000-0005-0000-0000-0000B95F0000}"/>
    <cellStyle name="Normal 5 2 2 5 4 5" xfId="18496" xr:uid="{00000000-0005-0000-0000-0000BA5F0000}"/>
    <cellStyle name="Normal 5 2 2 5 4 5 2" xfId="34925" xr:uid="{00000000-0005-0000-0000-0000BB5F0000}"/>
    <cellStyle name="Normal 5 2 2 5 4 6" xfId="34921" xr:uid="{00000000-0005-0000-0000-0000BC5F0000}"/>
    <cellStyle name="Normal 5 2 2 5 5" xfId="18497" xr:uid="{00000000-0005-0000-0000-0000BD5F0000}"/>
    <cellStyle name="Normal 5 2 2 5 5 2" xfId="18498" xr:uid="{00000000-0005-0000-0000-0000BE5F0000}"/>
    <cellStyle name="Normal 5 2 2 5 5 2 2" xfId="34927" xr:uid="{00000000-0005-0000-0000-0000BF5F0000}"/>
    <cellStyle name="Normal 5 2 2 5 5 3" xfId="18499" xr:uid="{00000000-0005-0000-0000-0000C05F0000}"/>
    <cellStyle name="Normal 5 2 2 5 5 3 2" xfId="34928" xr:uid="{00000000-0005-0000-0000-0000C15F0000}"/>
    <cellStyle name="Normal 5 2 2 5 5 4" xfId="18500" xr:uid="{00000000-0005-0000-0000-0000C25F0000}"/>
    <cellStyle name="Normal 5 2 2 5 5 4 2" xfId="34929" xr:uid="{00000000-0005-0000-0000-0000C35F0000}"/>
    <cellStyle name="Normal 5 2 2 5 5 5" xfId="18501" xr:uid="{00000000-0005-0000-0000-0000C45F0000}"/>
    <cellStyle name="Normal 5 2 2 5 5 5 2" xfId="34930" xr:uid="{00000000-0005-0000-0000-0000C55F0000}"/>
    <cellStyle name="Normal 5 2 2 5 5 6" xfId="34926" xr:uid="{00000000-0005-0000-0000-0000C65F0000}"/>
    <cellStyle name="Normal 5 2 2 5 6" xfId="18502" xr:uid="{00000000-0005-0000-0000-0000C75F0000}"/>
    <cellStyle name="Normal 5 2 2 5 6 2" xfId="18503" xr:uid="{00000000-0005-0000-0000-0000C85F0000}"/>
    <cellStyle name="Normal 5 2 2 5 6 2 2" xfId="34932" xr:uid="{00000000-0005-0000-0000-0000C95F0000}"/>
    <cellStyle name="Normal 5 2 2 5 6 3" xfId="18504" xr:uid="{00000000-0005-0000-0000-0000CA5F0000}"/>
    <cellStyle name="Normal 5 2 2 5 6 3 2" xfId="34933" xr:uid="{00000000-0005-0000-0000-0000CB5F0000}"/>
    <cellStyle name="Normal 5 2 2 5 6 4" xfId="18505" xr:uid="{00000000-0005-0000-0000-0000CC5F0000}"/>
    <cellStyle name="Normal 5 2 2 5 6 4 2" xfId="34934" xr:uid="{00000000-0005-0000-0000-0000CD5F0000}"/>
    <cellStyle name="Normal 5 2 2 5 6 5" xfId="18506" xr:uid="{00000000-0005-0000-0000-0000CE5F0000}"/>
    <cellStyle name="Normal 5 2 2 5 6 5 2" xfId="34935" xr:uid="{00000000-0005-0000-0000-0000CF5F0000}"/>
    <cellStyle name="Normal 5 2 2 5 6 6" xfId="34931" xr:uid="{00000000-0005-0000-0000-0000D05F0000}"/>
    <cellStyle name="Normal 5 2 2 5 7" xfId="18507" xr:uid="{00000000-0005-0000-0000-0000D15F0000}"/>
    <cellStyle name="Normal 5 2 2 5 7 2" xfId="18508" xr:uid="{00000000-0005-0000-0000-0000D25F0000}"/>
    <cellStyle name="Normal 5 2 2 5 7 2 2" xfId="34937" xr:uid="{00000000-0005-0000-0000-0000D35F0000}"/>
    <cellStyle name="Normal 5 2 2 5 7 3" xfId="18509" xr:uid="{00000000-0005-0000-0000-0000D45F0000}"/>
    <cellStyle name="Normal 5 2 2 5 7 3 2" xfId="34938" xr:uid="{00000000-0005-0000-0000-0000D55F0000}"/>
    <cellStyle name="Normal 5 2 2 5 7 4" xfId="18510" xr:uid="{00000000-0005-0000-0000-0000D65F0000}"/>
    <cellStyle name="Normal 5 2 2 5 7 4 2" xfId="34939" xr:uid="{00000000-0005-0000-0000-0000D75F0000}"/>
    <cellStyle name="Normal 5 2 2 5 7 5" xfId="18511" xr:uid="{00000000-0005-0000-0000-0000D85F0000}"/>
    <cellStyle name="Normal 5 2 2 5 7 5 2" xfId="34940" xr:uid="{00000000-0005-0000-0000-0000D95F0000}"/>
    <cellStyle name="Normal 5 2 2 5 7 6" xfId="34936" xr:uid="{00000000-0005-0000-0000-0000DA5F0000}"/>
    <cellStyle name="Normal 5 2 2 5 8" xfId="18512" xr:uid="{00000000-0005-0000-0000-0000DB5F0000}"/>
    <cellStyle name="Normal 5 2 2 5 8 2" xfId="34941" xr:uid="{00000000-0005-0000-0000-0000DC5F0000}"/>
    <cellStyle name="Normal 5 2 2 5 9" xfId="18513" xr:uid="{00000000-0005-0000-0000-0000DD5F0000}"/>
    <cellStyle name="Normal 5 2 2 5 9 2" xfId="34942" xr:uid="{00000000-0005-0000-0000-0000DE5F0000}"/>
    <cellStyle name="Normal 5 2 2 6" xfId="18514" xr:uid="{00000000-0005-0000-0000-0000DF5F0000}"/>
    <cellStyle name="Normal 5 2 2 6 2" xfId="18515" xr:uid="{00000000-0005-0000-0000-0000E05F0000}"/>
    <cellStyle name="Normal 5 2 2 6 2 2" xfId="18516" xr:uid="{00000000-0005-0000-0000-0000E15F0000}"/>
    <cellStyle name="Normal 5 2 2 6 2 2 2" xfId="34945" xr:uid="{00000000-0005-0000-0000-0000E25F0000}"/>
    <cellStyle name="Normal 5 2 2 6 2 3" xfId="18517" xr:uid="{00000000-0005-0000-0000-0000E35F0000}"/>
    <cellStyle name="Normal 5 2 2 6 2 3 2" xfId="34946" xr:uid="{00000000-0005-0000-0000-0000E45F0000}"/>
    <cellStyle name="Normal 5 2 2 6 2 4" xfId="18518" xr:uid="{00000000-0005-0000-0000-0000E55F0000}"/>
    <cellStyle name="Normal 5 2 2 6 2 4 2" xfId="34947" xr:uid="{00000000-0005-0000-0000-0000E65F0000}"/>
    <cellStyle name="Normal 5 2 2 6 2 5" xfId="18519" xr:uid="{00000000-0005-0000-0000-0000E75F0000}"/>
    <cellStyle name="Normal 5 2 2 6 2 5 2" xfId="34948" xr:uid="{00000000-0005-0000-0000-0000E85F0000}"/>
    <cellStyle name="Normal 5 2 2 6 2 6" xfId="34944" xr:uid="{00000000-0005-0000-0000-0000E95F0000}"/>
    <cellStyle name="Normal 5 2 2 6 3" xfId="18520" xr:uid="{00000000-0005-0000-0000-0000EA5F0000}"/>
    <cellStyle name="Normal 5 2 2 6 3 2" xfId="34949" xr:uid="{00000000-0005-0000-0000-0000EB5F0000}"/>
    <cellStyle name="Normal 5 2 2 6 4" xfId="18521" xr:uid="{00000000-0005-0000-0000-0000EC5F0000}"/>
    <cellStyle name="Normal 5 2 2 6 4 2" xfId="34950" xr:uid="{00000000-0005-0000-0000-0000ED5F0000}"/>
    <cellStyle name="Normal 5 2 2 6 5" xfId="18522" xr:uid="{00000000-0005-0000-0000-0000EE5F0000}"/>
    <cellStyle name="Normal 5 2 2 6 5 2" xfId="34951" xr:uid="{00000000-0005-0000-0000-0000EF5F0000}"/>
    <cellStyle name="Normal 5 2 2 6 6" xfId="18523" xr:uid="{00000000-0005-0000-0000-0000F05F0000}"/>
    <cellStyle name="Normal 5 2 2 6 6 2" xfId="34952" xr:uid="{00000000-0005-0000-0000-0000F15F0000}"/>
    <cellStyle name="Normal 5 2 2 6 7" xfId="34943" xr:uid="{00000000-0005-0000-0000-0000F25F0000}"/>
    <cellStyle name="Normal 5 2 2 7" xfId="18524" xr:uid="{00000000-0005-0000-0000-0000F35F0000}"/>
    <cellStyle name="Normal 5 2 2 7 2" xfId="18525" xr:uid="{00000000-0005-0000-0000-0000F45F0000}"/>
    <cellStyle name="Normal 5 2 2 7 2 2" xfId="18526" xr:uid="{00000000-0005-0000-0000-0000F55F0000}"/>
    <cellStyle name="Normal 5 2 2 7 2 2 2" xfId="34955" xr:uid="{00000000-0005-0000-0000-0000F65F0000}"/>
    <cellStyle name="Normal 5 2 2 7 2 3" xfId="18527" xr:uid="{00000000-0005-0000-0000-0000F75F0000}"/>
    <cellStyle name="Normal 5 2 2 7 2 3 2" xfId="34956" xr:uid="{00000000-0005-0000-0000-0000F85F0000}"/>
    <cellStyle name="Normal 5 2 2 7 2 4" xfId="18528" xr:uid="{00000000-0005-0000-0000-0000F95F0000}"/>
    <cellStyle name="Normal 5 2 2 7 2 4 2" xfId="34957" xr:uid="{00000000-0005-0000-0000-0000FA5F0000}"/>
    <cellStyle name="Normal 5 2 2 7 2 5" xfId="18529" xr:uid="{00000000-0005-0000-0000-0000FB5F0000}"/>
    <cellStyle name="Normal 5 2 2 7 2 5 2" xfId="34958" xr:uid="{00000000-0005-0000-0000-0000FC5F0000}"/>
    <cellStyle name="Normal 5 2 2 7 2 6" xfId="34954" xr:uid="{00000000-0005-0000-0000-0000FD5F0000}"/>
    <cellStyle name="Normal 5 2 2 7 3" xfId="18530" xr:uid="{00000000-0005-0000-0000-0000FE5F0000}"/>
    <cellStyle name="Normal 5 2 2 7 3 2" xfId="34959" xr:uid="{00000000-0005-0000-0000-0000FF5F0000}"/>
    <cellStyle name="Normal 5 2 2 7 4" xfId="18531" xr:uid="{00000000-0005-0000-0000-000000600000}"/>
    <cellStyle name="Normal 5 2 2 7 4 2" xfId="34960" xr:uid="{00000000-0005-0000-0000-000001600000}"/>
    <cellStyle name="Normal 5 2 2 7 5" xfId="18532" xr:uid="{00000000-0005-0000-0000-000002600000}"/>
    <cellStyle name="Normal 5 2 2 7 5 2" xfId="34961" xr:uid="{00000000-0005-0000-0000-000003600000}"/>
    <cellStyle name="Normal 5 2 2 7 6" xfId="18533" xr:uid="{00000000-0005-0000-0000-000004600000}"/>
    <cellStyle name="Normal 5 2 2 7 6 2" xfId="34962" xr:uid="{00000000-0005-0000-0000-000005600000}"/>
    <cellStyle name="Normal 5 2 2 7 7" xfId="34953" xr:uid="{00000000-0005-0000-0000-000006600000}"/>
    <cellStyle name="Normal 5 2 2 8" xfId="18534" xr:uid="{00000000-0005-0000-0000-000007600000}"/>
    <cellStyle name="Normal 5 2 2 8 2" xfId="18535" xr:uid="{00000000-0005-0000-0000-000008600000}"/>
    <cellStyle name="Normal 5 2 2 8 2 2" xfId="34964" xr:uid="{00000000-0005-0000-0000-000009600000}"/>
    <cellStyle name="Normal 5 2 2 8 3" xfId="18536" xr:uid="{00000000-0005-0000-0000-00000A600000}"/>
    <cellStyle name="Normal 5 2 2 8 3 2" xfId="34965" xr:uid="{00000000-0005-0000-0000-00000B600000}"/>
    <cellStyle name="Normal 5 2 2 8 4" xfId="18537" xr:uid="{00000000-0005-0000-0000-00000C600000}"/>
    <cellStyle name="Normal 5 2 2 8 4 2" xfId="34966" xr:uid="{00000000-0005-0000-0000-00000D600000}"/>
    <cellStyle name="Normal 5 2 2 8 5" xfId="18538" xr:uid="{00000000-0005-0000-0000-00000E600000}"/>
    <cellStyle name="Normal 5 2 2 8 5 2" xfId="34967" xr:uid="{00000000-0005-0000-0000-00000F600000}"/>
    <cellStyle name="Normal 5 2 2 8 6" xfId="34963" xr:uid="{00000000-0005-0000-0000-000010600000}"/>
    <cellStyle name="Normal 5 2 2 9" xfId="18539" xr:uid="{00000000-0005-0000-0000-000011600000}"/>
    <cellStyle name="Normal 5 2 2 9 2" xfId="18540" xr:uid="{00000000-0005-0000-0000-000012600000}"/>
    <cellStyle name="Normal 5 2 2 9 2 2" xfId="34969" xr:uid="{00000000-0005-0000-0000-000013600000}"/>
    <cellStyle name="Normal 5 2 2 9 3" xfId="18541" xr:uid="{00000000-0005-0000-0000-000014600000}"/>
    <cellStyle name="Normal 5 2 2 9 3 2" xfId="34970" xr:uid="{00000000-0005-0000-0000-000015600000}"/>
    <cellStyle name="Normal 5 2 2 9 4" xfId="18542" xr:uid="{00000000-0005-0000-0000-000016600000}"/>
    <cellStyle name="Normal 5 2 2 9 4 2" xfId="34971" xr:uid="{00000000-0005-0000-0000-000017600000}"/>
    <cellStyle name="Normal 5 2 2 9 5" xfId="18543" xr:uid="{00000000-0005-0000-0000-000018600000}"/>
    <cellStyle name="Normal 5 2 2 9 5 2" xfId="34972" xr:uid="{00000000-0005-0000-0000-000019600000}"/>
    <cellStyle name="Normal 5 2 2 9 6" xfId="34968" xr:uid="{00000000-0005-0000-0000-00001A600000}"/>
    <cellStyle name="Normal 5 2 20" xfId="18544" xr:uid="{00000000-0005-0000-0000-00001B600000}"/>
    <cellStyle name="Normal 5 2 20 2" xfId="18545" xr:uid="{00000000-0005-0000-0000-00001C600000}"/>
    <cellStyle name="Normal 5 2 20 2 2" xfId="34974" xr:uid="{00000000-0005-0000-0000-00001D600000}"/>
    <cellStyle name="Normal 5 2 20 3" xfId="18546" xr:uid="{00000000-0005-0000-0000-00001E600000}"/>
    <cellStyle name="Normal 5 2 20 3 2" xfId="34975" xr:uid="{00000000-0005-0000-0000-00001F600000}"/>
    <cellStyle name="Normal 5 2 20 4" xfId="18547" xr:uid="{00000000-0005-0000-0000-000020600000}"/>
    <cellStyle name="Normal 5 2 20 4 2" xfId="34976" xr:uid="{00000000-0005-0000-0000-000021600000}"/>
    <cellStyle name="Normal 5 2 20 5" xfId="18548" xr:uid="{00000000-0005-0000-0000-000022600000}"/>
    <cellStyle name="Normal 5 2 20 5 2" xfId="34977" xr:uid="{00000000-0005-0000-0000-000023600000}"/>
    <cellStyle name="Normal 5 2 20 6" xfId="34973" xr:uid="{00000000-0005-0000-0000-000024600000}"/>
    <cellStyle name="Normal 5 2 21" xfId="18549" xr:uid="{00000000-0005-0000-0000-000025600000}"/>
    <cellStyle name="Normal 5 2 21 2" xfId="18550" xr:uid="{00000000-0005-0000-0000-000026600000}"/>
    <cellStyle name="Normal 5 2 21 2 2" xfId="34979" xr:uid="{00000000-0005-0000-0000-000027600000}"/>
    <cellStyle name="Normal 5 2 21 3" xfId="18551" xr:uid="{00000000-0005-0000-0000-000028600000}"/>
    <cellStyle name="Normal 5 2 21 3 2" xfId="34980" xr:uid="{00000000-0005-0000-0000-000029600000}"/>
    <cellStyle name="Normal 5 2 21 4" xfId="18552" xr:uid="{00000000-0005-0000-0000-00002A600000}"/>
    <cellStyle name="Normal 5 2 21 4 2" xfId="34981" xr:uid="{00000000-0005-0000-0000-00002B600000}"/>
    <cellStyle name="Normal 5 2 21 5" xfId="18553" xr:uid="{00000000-0005-0000-0000-00002C600000}"/>
    <cellStyle name="Normal 5 2 21 5 2" xfId="34982" xr:uid="{00000000-0005-0000-0000-00002D600000}"/>
    <cellStyle name="Normal 5 2 21 6" xfId="34978" xr:uid="{00000000-0005-0000-0000-00002E600000}"/>
    <cellStyle name="Normal 5 2 22" xfId="18554" xr:uid="{00000000-0005-0000-0000-00002F600000}"/>
    <cellStyle name="Normal 5 2 22 2" xfId="18555" xr:uid="{00000000-0005-0000-0000-000030600000}"/>
    <cellStyle name="Normal 5 2 22 2 2" xfId="34984" xr:uid="{00000000-0005-0000-0000-000031600000}"/>
    <cellStyle name="Normal 5 2 22 3" xfId="18556" xr:uid="{00000000-0005-0000-0000-000032600000}"/>
    <cellStyle name="Normal 5 2 22 3 2" xfId="34985" xr:uid="{00000000-0005-0000-0000-000033600000}"/>
    <cellStyle name="Normal 5 2 22 4" xfId="18557" xr:uid="{00000000-0005-0000-0000-000034600000}"/>
    <cellStyle name="Normal 5 2 22 4 2" xfId="34986" xr:uid="{00000000-0005-0000-0000-000035600000}"/>
    <cellStyle name="Normal 5 2 22 5" xfId="18558" xr:uid="{00000000-0005-0000-0000-000036600000}"/>
    <cellStyle name="Normal 5 2 22 5 2" xfId="34987" xr:uid="{00000000-0005-0000-0000-000037600000}"/>
    <cellStyle name="Normal 5 2 22 6" xfId="34983" xr:uid="{00000000-0005-0000-0000-000038600000}"/>
    <cellStyle name="Normal 5 2 23" xfId="18559" xr:uid="{00000000-0005-0000-0000-000039600000}"/>
    <cellStyle name="Normal 5 2 23 2" xfId="18560" xr:uid="{00000000-0005-0000-0000-00003A600000}"/>
    <cellStyle name="Normal 5 2 23 2 2" xfId="34989" xr:uid="{00000000-0005-0000-0000-00003B600000}"/>
    <cellStyle name="Normal 5 2 23 3" xfId="18561" xr:uid="{00000000-0005-0000-0000-00003C600000}"/>
    <cellStyle name="Normal 5 2 23 3 2" xfId="34990" xr:uid="{00000000-0005-0000-0000-00003D600000}"/>
    <cellStyle name="Normal 5 2 23 4" xfId="18562" xr:uid="{00000000-0005-0000-0000-00003E600000}"/>
    <cellStyle name="Normal 5 2 23 4 2" xfId="34991" xr:uid="{00000000-0005-0000-0000-00003F600000}"/>
    <cellStyle name="Normal 5 2 23 5" xfId="18563" xr:uid="{00000000-0005-0000-0000-000040600000}"/>
    <cellStyle name="Normal 5 2 23 5 2" xfId="34992" xr:uid="{00000000-0005-0000-0000-000041600000}"/>
    <cellStyle name="Normal 5 2 23 6" xfId="34988" xr:uid="{00000000-0005-0000-0000-000042600000}"/>
    <cellStyle name="Normal 5 2 24" xfId="18564" xr:uid="{00000000-0005-0000-0000-000043600000}"/>
    <cellStyle name="Normal 5 2 24 2" xfId="18565" xr:uid="{00000000-0005-0000-0000-000044600000}"/>
    <cellStyle name="Normal 5 2 24 2 2" xfId="34994" xr:uid="{00000000-0005-0000-0000-000045600000}"/>
    <cellStyle name="Normal 5 2 24 3" xfId="18566" xr:uid="{00000000-0005-0000-0000-000046600000}"/>
    <cellStyle name="Normal 5 2 24 3 2" xfId="34995" xr:uid="{00000000-0005-0000-0000-000047600000}"/>
    <cellStyle name="Normal 5 2 24 4" xfId="18567" xr:uid="{00000000-0005-0000-0000-000048600000}"/>
    <cellStyle name="Normal 5 2 24 4 2" xfId="34996" xr:uid="{00000000-0005-0000-0000-000049600000}"/>
    <cellStyle name="Normal 5 2 24 5" xfId="18568" xr:uid="{00000000-0005-0000-0000-00004A600000}"/>
    <cellStyle name="Normal 5 2 24 5 2" xfId="34997" xr:uid="{00000000-0005-0000-0000-00004B600000}"/>
    <cellStyle name="Normal 5 2 24 6" xfId="34993" xr:uid="{00000000-0005-0000-0000-00004C600000}"/>
    <cellStyle name="Normal 5 2 25" xfId="18569" xr:uid="{00000000-0005-0000-0000-00004D600000}"/>
    <cellStyle name="Normal 5 2 25 2" xfId="34998" xr:uid="{00000000-0005-0000-0000-00004E600000}"/>
    <cellStyle name="Normal 5 2 26" xfId="18570" xr:uid="{00000000-0005-0000-0000-00004F600000}"/>
    <cellStyle name="Normal 5 2 26 2" xfId="34999" xr:uid="{00000000-0005-0000-0000-000050600000}"/>
    <cellStyle name="Normal 5 2 27" xfId="18571" xr:uid="{00000000-0005-0000-0000-000051600000}"/>
    <cellStyle name="Normal 5 2 27 2" xfId="35000" xr:uid="{00000000-0005-0000-0000-000052600000}"/>
    <cellStyle name="Normal 5 2 28" xfId="18572" xr:uid="{00000000-0005-0000-0000-000053600000}"/>
    <cellStyle name="Normal 5 2 28 2" xfId="35001" xr:uid="{00000000-0005-0000-0000-000054600000}"/>
    <cellStyle name="Normal 5 2 29" xfId="18573" xr:uid="{00000000-0005-0000-0000-000055600000}"/>
    <cellStyle name="Normal 5 2 29 2" xfId="35002" xr:uid="{00000000-0005-0000-0000-000056600000}"/>
    <cellStyle name="Normal 5 2 3" xfId="18574" xr:uid="{00000000-0005-0000-0000-000057600000}"/>
    <cellStyle name="Normal 5 2 3 10" xfId="18575" xr:uid="{00000000-0005-0000-0000-000058600000}"/>
    <cellStyle name="Normal 5 2 3 10 2" xfId="18576" xr:uid="{00000000-0005-0000-0000-000059600000}"/>
    <cellStyle name="Normal 5 2 3 10 2 2" xfId="35005" xr:uid="{00000000-0005-0000-0000-00005A600000}"/>
    <cellStyle name="Normal 5 2 3 10 3" xfId="18577" xr:uid="{00000000-0005-0000-0000-00005B600000}"/>
    <cellStyle name="Normal 5 2 3 10 3 2" xfId="35006" xr:uid="{00000000-0005-0000-0000-00005C600000}"/>
    <cellStyle name="Normal 5 2 3 10 4" xfId="18578" xr:uid="{00000000-0005-0000-0000-00005D600000}"/>
    <cellStyle name="Normal 5 2 3 10 4 2" xfId="35007" xr:uid="{00000000-0005-0000-0000-00005E600000}"/>
    <cellStyle name="Normal 5 2 3 10 5" xfId="18579" xr:uid="{00000000-0005-0000-0000-00005F600000}"/>
    <cellStyle name="Normal 5 2 3 10 5 2" xfId="35008" xr:uid="{00000000-0005-0000-0000-000060600000}"/>
    <cellStyle name="Normal 5 2 3 10 6" xfId="35004" xr:uid="{00000000-0005-0000-0000-000061600000}"/>
    <cellStyle name="Normal 5 2 3 11" xfId="18580" xr:uid="{00000000-0005-0000-0000-000062600000}"/>
    <cellStyle name="Normal 5 2 3 11 2" xfId="18581" xr:uid="{00000000-0005-0000-0000-000063600000}"/>
    <cellStyle name="Normal 5 2 3 11 2 2" xfId="35010" xr:uid="{00000000-0005-0000-0000-000064600000}"/>
    <cellStyle name="Normal 5 2 3 11 3" xfId="18582" xr:uid="{00000000-0005-0000-0000-000065600000}"/>
    <cellStyle name="Normal 5 2 3 11 3 2" xfId="35011" xr:uid="{00000000-0005-0000-0000-000066600000}"/>
    <cellStyle name="Normal 5 2 3 11 4" xfId="18583" xr:uid="{00000000-0005-0000-0000-000067600000}"/>
    <cellStyle name="Normal 5 2 3 11 4 2" xfId="35012" xr:uid="{00000000-0005-0000-0000-000068600000}"/>
    <cellStyle name="Normal 5 2 3 11 5" xfId="18584" xr:uid="{00000000-0005-0000-0000-000069600000}"/>
    <cellStyle name="Normal 5 2 3 11 5 2" xfId="35013" xr:uid="{00000000-0005-0000-0000-00006A600000}"/>
    <cellStyle name="Normal 5 2 3 11 6" xfId="35009" xr:uid="{00000000-0005-0000-0000-00006B600000}"/>
    <cellStyle name="Normal 5 2 3 12" xfId="18585" xr:uid="{00000000-0005-0000-0000-00006C600000}"/>
    <cellStyle name="Normal 5 2 3 12 2" xfId="18586" xr:uid="{00000000-0005-0000-0000-00006D600000}"/>
    <cellStyle name="Normal 5 2 3 12 2 2" xfId="35015" xr:uid="{00000000-0005-0000-0000-00006E600000}"/>
    <cellStyle name="Normal 5 2 3 12 3" xfId="18587" xr:uid="{00000000-0005-0000-0000-00006F600000}"/>
    <cellStyle name="Normal 5 2 3 12 3 2" xfId="35016" xr:uid="{00000000-0005-0000-0000-000070600000}"/>
    <cellStyle name="Normal 5 2 3 12 4" xfId="18588" xr:uid="{00000000-0005-0000-0000-000071600000}"/>
    <cellStyle name="Normal 5 2 3 12 4 2" xfId="35017" xr:uid="{00000000-0005-0000-0000-000072600000}"/>
    <cellStyle name="Normal 5 2 3 12 5" xfId="18589" xr:uid="{00000000-0005-0000-0000-000073600000}"/>
    <cellStyle name="Normal 5 2 3 12 5 2" xfId="35018" xr:uid="{00000000-0005-0000-0000-000074600000}"/>
    <cellStyle name="Normal 5 2 3 12 6" xfId="35014" xr:uid="{00000000-0005-0000-0000-000075600000}"/>
    <cellStyle name="Normal 5 2 3 13" xfId="18590" xr:uid="{00000000-0005-0000-0000-000076600000}"/>
    <cellStyle name="Normal 5 2 3 13 2" xfId="18591" xr:uid="{00000000-0005-0000-0000-000077600000}"/>
    <cellStyle name="Normal 5 2 3 13 2 2" xfId="35020" xr:uid="{00000000-0005-0000-0000-000078600000}"/>
    <cellStyle name="Normal 5 2 3 13 3" xfId="18592" xr:uid="{00000000-0005-0000-0000-000079600000}"/>
    <cellStyle name="Normal 5 2 3 13 3 2" xfId="35021" xr:uid="{00000000-0005-0000-0000-00007A600000}"/>
    <cellStyle name="Normal 5 2 3 13 4" xfId="18593" xr:uid="{00000000-0005-0000-0000-00007B600000}"/>
    <cellStyle name="Normal 5 2 3 13 4 2" xfId="35022" xr:uid="{00000000-0005-0000-0000-00007C600000}"/>
    <cellStyle name="Normal 5 2 3 13 5" xfId="18594" xr:uid="{00000000-0005-0000-0000-00007D600000}"/>
    <cellStyle name="Normal 5 2 3 13 5 2" xfId="35023" xr:uid="{00000000-0005-0000-0000-00007E600000}"/>
    <cellStyle name="Normal 5 2 3 13 6" xfId="35019" xr:uid="{00000000-0005-0000-0000-00007F600000}"/>
    <cellStyle name="Normal 5 2 3 14" xfId="18595" xr:uid="{00000000-0005-0000-0000-000080600000}"/>
    <cellStyle name="Normal 5 2 3 14 2" xfId="18596" xr:uid="{00000000-0005-0000-0000-000081600000}"/>
    <cellStyle name="Normal 5 2 3 14 2 2" xfId="35025" xr:uid="{00000000-0005-0000-0000-000082600000}"/>
    <cellStyle name="Normal 5 2 3 14 3" xfId="18597" xr:uid="{00000000-0005-0000-0000-000083600000}"/>
    <cellStyle name="Normal 5 2 3 14 3 2" xfId="35026" xr:uid="{00000000-0005-0000-0000-000084600000}"/>
    <cellStyle name="Normal 5 2 3 14 4" xfId="18598" xr:uid="{00000000-0005-0000-0000-000085600000}"/>
    <cellStyle name="Normal 5 2 3 14 4 2" xfId="35027" xr:uid="{00000000-0005-0000-0000-000086600000}"/>
    <cellStyle name="Normal 5 2 3 14 5" xfId="18599" xr:uid="{00000000-0005-0000-0000-000087600000}"/>
    <cellStyle name="Normal 5 2 3 14 5 2" xfId="35028" xr:uid="{00000000-0005-0000-0000-000088600000}"/>
    <cellStyle name="Normal 5 2 3 14 6" xfId="35024" xr:uid="{00000000-0005-0000-0000-000089600000}"/>
    <cellStyle name="Normal 5 2 3 15" xfId="18600" xr:uid="{00000000-0005-0000-0000-00008A600000}"/>
    <cellStyle name="Normal 5 2 3 15 2" xfId="18601" xr:uid="{00000000-0005-0000-0000-00008B600000}"/>
    <cellStyle name="Normal 5 2 3 15 2 2" xfId="35030" xr:uid="{00000000-0005-0000-0000-00008C600000}"/>
    <cellStyle name="Normal 5 2 3 15 3" xfId="18602" xr:uid="{00000000-0005-0000-0000-00008D600000}"/>
    <cellStyle name="Normal 5 2 3 15 3 2" xfId="35031" xr:uid="{00000000-0005-0000-0000-00008E600000}"/>
    <cellStyle name="Normal 5 2 3 15 4" xfId="18603" xr:uid="{00000000-0005-0000-0000-00008F600000}"/>
    <cellStyle name="Normal 5 2 3 15 4 2" xfId="35032" xr:uid="{00000000-0005-0000-0000-000090600000}"/>
    <cellStyle name="Normal 5 2 3 15 5" xfId="18604" xr:uid="{00000000-0005-0000-0000-000091600000}"/>
    <cellStyle name="Normal 5 2 3 15 5 2" xfId="35033" xr:uid="{00000000-0005-0000-0000-000092600000}"/>
    <cellStyle name="Normal 5 2 3 15 6" xfId="35029" xr:uid="{00000000-0005-0000-0000-000093600000}"/>
    <cellStyle name="Normal 5 2 3 16" xfId="18605" xr:uid="{00000000-0005-0000-0000-000094600000}"/>
    <cellStyle name="Normal 5 2 3 16 2" xfId="18606" xr:uid="{00000000-0005-0000-0000-000095600000}"/>
    <cellStyle name="Normal 5 2 3 16 2 2" xfId="35035" xr:uid="{00000000-0005-0000-0000-000096600000}"/>
    <cellStyle name="Normal 5 2 3 16 3" xfId="18607" xr:uid="{00000000-0005-0000-0000-000097600000}"/>
    <cellStyle name="Normal 5 2 3 16 3 2" xfId="35036" xr:uid="{00000000-0005-0000-0000-000098600000}"/>
    <cellStyle name="Normal 5 2 3 16 4" xfId="18608" xr:uid="{00000000-0005-0000-0000-000099600000}"/>
    <cellStyle name="Normal 5 2 3 16 4 2" xfId="35037" xr:uid="{00000000-0005-0000-0000-00009A600000}"/>
    <cellStyle name="Normal 5 2 3 16 5" xfId="18609" xr:uid="{00000000-0005-0000-0000-00009B600000}"/>
    <cellStyle name="Normal 5 2 3 16 5 2" xfId="35038" xr:uid="{00000000-0005-0000-0000-00009C600000}"/>
    <cellStyle name="Normal 5 2 3 16 6" xfId="35034" xr:uid="{00000000-0005-0000-0000-00009D600000}"/>
    <cellStyle name="Normal 5 2 3 17" xfId="18610" xr:uid="{00000000-0005-0000-0000-00009E600000}"/>
    <cellStyle name="Normal 5 2 3 17 2" xfId="35039" xr:uid="{00000000-0005-0000-0000-00009F600000}"/>
    <cellStyle name="Normal 5 2 3 18" xfId="18611" xr:uid="{00000000-0005-0000-0000-0000A0600000}"/>
    <cellStyle name="Normal 5 2 3 18 2" xfId="35040" xr:uid="{00000000-0005-0000-0000-0000A1600000}"/>
    <cellStyle name="Normal 5 2 3 19" xfId="18612" xr:uid="{00000000-0005-0000-0000-0000A2600000}"/>
    <cellStyle name="Normal 5 2 3 19 2" xfId="35041" xr:uid="{00000000-0005-0000-0000-0000A3600000}"/>
    <cellStyle name="Normal 5 2 3 2" xfId="18613" xr:uid="{00000000-0005-0000-0000-0000A4600000}"/>
    <cellStyle name="Normal 5 2 3 2 10" xfId="18614" xr:uid="{00000000-0005-0000-0000-0000A5600000}"/>
    <cellStyle name="Normal 5 2 3 2 10 2" xfId="35043" xr:uid="{00000000-0005-0000-0000-0000A6600000}"/>
    <cellStyle name="Normal 5 2 3 2 11" xfId="18615" xr:uid="{00000000-0005-0000-0000-0000A7600000}"/>
    <cellStyle name="Normal 5 2 3 2 11 2" xfId="35044" xr:uid="{00000000-0005-0000-0000-0000A8600000}"/>
    <cellStyle name="Normal 5 2 3 2 12" xfId="35042" xr:uid="{00000000-0005-0000-0000-0000A9600000}"/>
    <cellStyle name="Normal 5 2 3 2 2" xfId="18616" xr:uid="{00000000-0005-0000-0000-0000AA600000}"/>
    <cellStyle name="Normal 5 2 3 2 2 2" xfId="18617" xr:uid="{00000000-0005-0000-0000-0000AB600000}"/>
    <cellStyle name="Normal 5 2 3 2 2 2 2" xfId="35046" xr:uid="{00000000-0005-0000-0000-0000AC600000}"/>
    <cellStyle name="Normal 5 2 3 2 2 3" xfId="18618" xr:uid="{00000000-0005-0000-0000-0000AD600000}"/>
    <cellStyle name="Normal 5 2 3 2 2 3 2" xfId="35047" xr:uid="{00000000-0005-0000-0000-0000AE600000}"/>
    <cellStyle name="Normal 5 2 3 2 2 4" xfId="18619" xr:uid="{00000000-0005-0000-0000-0000AF600000}"/>
    <cellStyle name="Normal 5 2 3 2 2 4 2" xfId="35048" xr:uid="{00000000-0005-0000-0000-0000B0600000}"/>
    <cellStyle name="Normal 5 2 3 2 2 5" xfId="18620" xr:uid="{00000000-0005-0000-0000-0000B1600000}"/>
    <cellStyle name="Normal 5 2 3 2 2 5 2" xfId="35049" xr:uid="{00000000-0005-0000-0000-0000B2600000}"/>
    <cellStyle name="Normal 5 2 3 2 2 6" xfId="35045" xr:uid="{00000000-0005-0000-0000-0000B3600000}"/>
    <cellStyle name="Normal 5 2 3 2 3" xfId="18621" xr:uid="{00000000-0005-0000-0000-0000B4600000}"/>
    <cellStyle name="Normal 5 2 3 2 3 2" xfId="18622" xr:uid="{00000000-0005-0000-0000-0000B5600000}"/>
    <cellStyle name="Normal 5 2 3 2 3 2 2" xfId="35051" xr:uid="{00000000-0005-0000-0000-0000B6600000}"/>
    <cellStyle name="Normal 5 2 3 2 3 3" xfId="18623" xr:uid="{00000000-0005-0000-0000-0000B7600000}"/>
    <cellStyle name="Normal 5 2 3 2 3 3 2" xfId="35052" xr:uid="{00000000-0005-0000-0000-0000B8600000}"/>
    <cellStyle name="Normal 5 2 3 2 3 4" xfId="18624" xr:uid="{00000000-0005-0000-0000-0000B9600000}"/>
    <cellStyle name="Normal 5 2 3 2 3 4 2" xfId="35053" xr:uid="{00000000-0005-0000-0000-0000BA600000}"/>
    <cellStyle name="Normal 5 2 3 2 3 5" xfId="18625" xr:uid="{00000000-0005-0000-0000-0000BB600000}"/>
    <cellStyle name="Normal 5 2 3 2 3 5 2" xfId="35054" xr:uid="{00000000-0005-0000-0000-0000BC600000}"/>
    <cellStyle name="Normal 5 2 3 2 3 6" xfId="35050" xr:uid="{00000000-0005-0000-0000-0000BD600000}"/>
    <cellStyle name="Normal 5 2 3 2 4" xfId="18626" xr:uid="{00000000-0005-0000-0000-0000BE600000}"/>
    <cellStyle name="Normal 5 2 3 2 4 2" xfId="18627" xr:uid="{00000000-0005-0000-0000-0000BF600000}"/>
    <cellStyle name="Normal 5 2 3 2 4 2 2" xfId="35056" xr:uid="{00000000-0005-0000-0000-0000C0600000}"/>
    <cellStyle name="Normal 5 2 3 2 4 3" xfId="18628" xr:uid="{00000000-0005-0000-0000-0000C1600000}"/>
    <cellStyle name="Normal 5 2 3 2 4 3 2" xfId="35057" xr:uid="{00000000-0005-0000-0000-0000C2600000}"/>
    <cellStyle name="Normal 5 2 3 2 4 4" xfId="18629" xr:uid="{00000000-0005-0000-0000-0000C3600000}"/>
    <cellStyle name="Normal 5 2 3 2 4 4 2" xfId="35058" xr:uid="{00000000-0005-0000-0000-0000C4600000}"/>
    <cellStyle name="Normal 5 2 3 2 4 5" xfId="18630" xr:uid="{00000000-0005-0000-0000-0000C5600000}"/>
    <cellStyle name="Normal 5 2 3 2 4 5 2" xfId="35059" xr:uid="{00000000-0005-0000-0000-0000C6600000}"/>
    <cellStyle name="Normal 5 2 3 2 4 6" xfId="35055" xr:uid="{00000000-0005-0000-0000-0000C7600000}"/>
    <cellStyle name="Normal 5 2 3 2 5" xfId="18631" xr:uid="{00000000-0005-0000-0000-0000C8600000}"/>
    <cellStyle name="Normal 5 2 3 2 5 2" xfId="18632" xr:uid="{00000000-0005-0000-0000-0000C9600000}"/>
    <cellStyle name="Normal 5 2 3 2 5 2 2" xfId="35061" xr:uid="{00000000-0005-0000-0000-0000CA600000}"/>
    <cellStyle name="Normal 5 2 3 2 5 3" xfId="18633" xr:uid="{00000000-0005-0000-0000-0000CB600000}"/>
    <cellStyle name="Normal 5 2 3 2 5 3 2" xfId="35062" xr:uid="{00000000-0005-0000-0000-0000CC600000}"/>
    <cellStyle name="Normal 5 2 3 2 5 4" xfId="18634" xr:uid="{00000000-0005-0000-0000-0000CD600000}"/>
    <cellStyle name="Normal 5 2 3 2 5 4 2" xfId="35063" xr:uid="{00000000-0005-0000-0000-0000CE600000}"/>
    <cellStyle name="Normal 5 2 3 2 5 5" xfId="18635" xr:uid="{00000000-0005-0000-0000-0000CF600000}"/>
    <cellStyle name="Normal 5 2 3 2 5 5 2" xfId="35064" xr:uid="{00000000-0005-0000-0000-0000D0600000}"/>
    <cellStyle name="Normal 5 2 3 2 5 6" xfId="35060" xr:uid="{00000000-0005-0000-0000-0000D1600000}"/>
    <cellStyle name="Normal 5 2 3 2 6" xfId="18636" xr:uid="{00000000-0005-0000-0000-0000D2600000}"/>
    <cellStyle name="Normal 5 2 3 2 6 2" xfId="18637" xr:uid="{00000000-0005-0000-0000-0000D3600000}"/>
    <cellStyle name="Normal 5 2 3 2 6 2 2" xfId="35066" xr:uid="{00000000-0005-0000-0000-0000D4600000}"/>
    <cellStyle name="Normal 5 2 3 2 6 3" xfId="18638" xr:uid="{00000000-0005-0000-0000-0000D5600000}"/>
    <cellStyle name="Normal 5 2 3 2 6 3 2" xfId="35067" xr:uid="{00000000-0005-0000-0000-0000D6600000}"/>
    <cellStyle name="Normal 5 2 3 2 6 4" xfId="18639" xr:uid="{00000000-0005-0000-0000-0000D7600000}"/>
    <cellStyle name="Normal 5 2 3 2 6 4 2" xfId="35068" xr:uid="{00000000-0005-0000-0000-0000D8600000}"/>
    <cellStyle name="Normal 5 2 3 2 6 5" xfId="18640" xr:uid="{00000000-0005-0000-0000-0000D9600000}"/>
    <cellStyle name="Normal 5 2 3 2 6 5 2" xfId="35069" xr:uid="{00000000-0005-0000-0000-0000DA600000}"/>
    <cellStyle name="Normal 5 2 3 2 6 6" xfId="35065" xr:uid="{00000000-0005-0000-0000-0000DB600000}"/>
    <cellStyle name="Normal 5 2 3 2 7" xfId="18641" xr:uid="{00000000-0005-0000-0000-0000DC600000}"/>
    <cellStyle name="Normal 5 2 3 2 7 2" xfId="18642" xr:uid="{00000000-0005-0000-0000-0000DD600000}"/>
    <cellStyle name="Normal 5 2 3 2 7 2 2" xfId="35071" xr:uid="{00000000-0005-0000-0000-0000DE600000}"/>
    <cellStyle name="Normal 5 2 3 2 7 3" xfId="18643" xr:uid="{00000000-0005-0000-0000-0000DF600000}"/>
    <cellStyle name="Normal 5 2 3 2 7 3 2" xfId="35072" xr:uid="{00000000-0005-0000-0000-0000E0600000}"/>
    <cellStyle name="Normal 5 2 3 2 7 4" xfId="18644" xr:uid="{00000000-0005-0000-0000-0000E1600000}"/>
    <cellStyle name="Normal 5 2 3 2 7 4 2" xfId="35073" xr:uid="{00000000-0005-0000-0000-0000E2600000}"/>
    <cellStyle name="Normal 5 2 3 2 7 5" xfId="18645" xr:uid="{00000000-0005-0000-0000-0000E3600000}"/>
    <cellStyle name="Normal 5 2 3 2 7 5 2" xfId="35074" xr:uid="{00000000-0005-0000-0000-0000E4600000}"/>
    <cellStyle name="Normal 5 2 3 2 7 6" xfId="35070" xr:uid="{00000000-0005-0000-0000-0000E5600000}"/>
    <cellStyle name="Normal 5 2 3 2 8" xfId="18646" xr:uid="{00000000-0005-0000-0000-0000E6600000}"/>
    <cellStyle name="Normal 5 2 3 2 8 2" xfId="35075" xr:uid="{00000000-0005-0000-0000-0000E7600000}"/>
    <cellStyle name="Normal 5 2 3 2 9" xfId="18647" xr:uid="{00000000-0005-0000-0000-0000E8600000}"/>
    <cellStyle name="Normal 5 2 3 2 9 2" xfId="35076" xr:uid="{00000000-0005-0000-0000-0000E9600000}"/>
    <cellStyle name="Normal 5 2 3 20" xfId="18648" xr:uid="{00000000-0005-0000-0000-0000EA600000}"/>
    <cellStyle name="Normal 5 2 3 20 2" xfId="35077" xr:uid="{00000000-0005-0000-0000-0000EB600000}"/>
    <cellStyle name="Normal 5 2 3 21" xfId="40729" xr:uid="{00000000-0005-0000-0000-0000EC600000}"/>
    <cellStyle name="Normal 5 2 3 22" xfId="35003" xr:uid="{00000000-0005-0000-0000-0000ED600000}"/>
    <cellStyle name="Normal 5 2 3 3" xfId="18649" xr:uid="{00000000-0005-0000-0000-0000EE600000}"/>
    <cellStyle name="Normal 5 2 3 3 2" xfId="18650" xr:uid="{00000000-0005-0000-0000-0000EF600000}"/>
    <cellStyle name="Normal 5 2 3 3 2 2" xfId="18651" xr:uid="{00000000-0005-0000-0000-0000F0600000}"/>
    <cellStyle name="Normal 5 2 3 3 2 2 2" xfId="35080" xr:uid="{00000000-0005-0000-0000-0000F1600000}"/>
    <cellStyle name="Normal 5 2 3 3 2 3" xfId="18652" xr:uid="{00000000-0005-0000-0000-0000F2600000}"/>
    <cellStyle name="Normal 5 2 3 3 2 3 2" xfId="35081" xr:uid="{00000000-0005-0000-0000-0000F3600000}"/>
    <cellStyle name="Normal 5 2 3 3 2 4" xfId="18653" xr:uid="{00000000-0005-0000-0000-0000F4600000}"/>
    <cellStyle name="Normal 5 2 3 3 2 4 2" xfId="35082" xr:uid="{00000000-0005-0000-0000-0000F5600000}"/>
    <cellStyle name="Normal 5 2 3 3 2 5" xfId="18654" xr:uid="{00000000-0005-0000-0000-0000F6600000}"/>
    <cellStyle name="Normal 5 2 3 3 2 5 2" xfId="35083" xr:uid="{00000000-0005-0000-0000-0000F7600000}"/>
    <cellStyle name="Normal 5 2 3 3 2 6" xfId="35079" xr:uid="{00000000-0005-0000-0000-0000F8600000}"/>
    <cellStyle name="Normal 5 2 3 3 3" xfId="18655" xr:uid="{00000000-0005-0000-0000-0000F9600000}"/>
    <cellStyle name="Normal 5 2 3 3 3 2" xfId="35084" xr:uid="{00000000-0005-0000-0000-0000FA600000}"/>
    <cellStyle name="Normal 5 2 3 3 4" xfId="18656" xr:uid="{00000000-0005-0000-0000-0000FB600000}"/>
    <cellStyle name="Normal 5 2 3 3 4 2" xfId="35085" xr:uid="{00000000-0005-0000-0000-0000FC600000}"/>
    <cellStyle name="Normal 5 2 3 3 5" xfId="18657" xr:uid="{00000000-0005-0000-0000-0000FD600000}"/>
    <cellStyle name="Normal 5 2 3 3 5 2" xfId="35086" xr:uid="{00000000-0005-0000-0000-0000FE600000}"/>
    <cellStyle name="Normal 5 2 3 3 6" xfId="18658" xr:uid="{00000000-0005-0000-0000-0000FF600000}"/>
    <cellStyle name="Normal 5 2 3 3 6 2" xfId="35087" xr:uid="{00000000-0005-0000-0000-000000610000}"/>
    <cellStyle name="Normal 5 2 3 3 7" xfId="35078" xr:uid="{00000000-0005-0000-0000-000001610000}"/>
    <cellStyle name="Normal 5 2 3 4" xfId="18659" xr:uid="{00000000-0005-0000-0000-000002610000}"/>
    <cellStyle name="Normal 5 2 3 4 2" xfId="18660" xr:uid="{00000000-0005-0000-0000-000003610000}"/>
    <cellStyle name="Normal 5 2 3 4 2 2" xfId="18661" xr:uid="{00000000-0005-0000-0000-000004610000}"/>
    <cellStyle name="Normal 5 2 3 4 2 2 2" xfId="35090" xr:uid="{00000000-0005-0000-0000-000005610000}"/>
    <cellStyle name="Normal 5 2 3 4 2 3" xfId="18662" xr:uid="{00000000-0005-0000-0000-000006610000}"/>
    <cellStyle name="Normal 5 2 3 4 2 3 2" xfId="35091" xr:uid="{00000000-0005-0000-0000-000007610000}"/>
    <cellStyle name="Normal 5 2 3 4 2 4" xfId="18663" xr:uid="{00000000-0005-0000-0000-000008610000}"/>
    <cellStyle name="Normal 5 2 3 4 2 4 2" xfId="35092" xr:uid="{00000000-0005-0000-0000-000009610000}"/>
    <cellStyle name="Normal 5 2 3 4 2 5" xfId="18664" xr:uid="{00000000-0005-0000-0000-00000A610000}"/>
    <cellStyle name="Normal 5 2 3 4 2 5 2" xfId="35093" xr:uid="{00000000-0005-0000-0000-00000B610000}"/>
    <cellStyle name="Normal 5 2 3 4 2 6" xfId="35089" xr:uid="{00000000-0005-0000-0000-00000C610000}"/>
    <cellStyle name="Normal 5 2 3 4 3" xfId="18665" xr:uid="{00000000-0005-0000-0000-00000D610000}"/>
    <cellStyle name="Normal 5 2 3 4 3 2" xfId="35094" xr:uid="{00000000-0005-0000-0000-00000E610000}"/>
    <cellStyle name="Normal 5 2 3 4 4" xfId="18666" xr:uid="{00000000-0005-0000-0000-00000F610000}"/>
    <cellStyle name="Normal 5 2 3 4 4 2" xfId="35095" xr:uid="{00000000-0005-0000-0000-000010610000}"/>
    <cellStyle name="Normal 5 2 3 4 5" xfId="18667" xr:uid="{00000000-0005-0000-0000-000011610000}"/>
    <cellStyle name="Normal 5 2 3 4 5 2" xfId="35096" xr:uid="{00000000-0005-0000-0000-000012610000}"/>
    <cellStyle name="Normal 5 2 3 4 6" xfId="18668" xr:uid="{00000000-0005-0000-0000-000013610000}"/>
    <cellStyle name="Normal 5 2 3 4 6 2" xfId="35097" xr:uid="{00000000-0005-0000-0000-000014610000}"/>
    <cellStyle name="Normal 5 2 3 4 7" xfId="35088" xr:uid="{00000000-0005-0000-0000-000015610000}"/>
    <cellStyle name="Normal 5 2 3 5" xfId="18669" xr:uid="{00000000-0005-0000-0000-000016610000}"/>
    <cellStyle name="Normal 5 2 3 5 2" xfId="18670" xr:uid="{00000000-0005-0000-0000-000017610000}"/>
    <cellStyle name="Normal 5 2 3 5 2 2" xfId="35099" xr:uid="{00000000-0005-0000-0000-000018610000}"/>
    <cellStyle name="Normal 5 2 3 5 3" xfId="18671" xr:uid="{00000000-0005-0000-0000-000019610000}"/>
    <cellStyle name="Normal 5 2 3 5 3 2" xfId="35100" xr:uid="{00000000-0005-0000-0000-00001A610000}"/>
    <cellStyle name="Normal 5 2 3 5 4" xfId="18672" xr:uid="{00000000-0005-0000-0000-00001B610000}"/>
    <cellStyle name="Normal 5 2 3 5 4 2" xfId="35101" xr:uid="{00000000-0005-0000-0000-00001C610000}"/>
    <cellStyle name="Normal 5 2 3 5 5" xfId="18673" xr:uid="{00000000-0005-0000-0000-00001D610000}"/>
    <cellStyle name="Normal 5 2 3 5 5 2" xfId="35102" xr:uid="{00000000-0005-0000-0000-00001E610000}"/>
    <cellStyle name="Normal 5 2 3 5 6" xfId="35098" xr:uid="{00000000-0005-0000-0000-00001F610000}"/>
    <cellStyle name="Normal 5 2 3 6" xfId="18674" xr:uid="{00000000-0005-0000-0000-000020610000}"/>
    <cellStyle name="Normal 5 2 3 6 2" xfId="18675" xr:uid="{00000000-0005-0000-0000-000021610000}"/>
    <cellStyle name="Normal 5 2 3 6 2 2" xfId="35104" xr:uid="{00000000-0005-0000-0000-000022610000}"/>
    <cellStyle name="Normal 5 2 3 6 3" xfId="18676" xr:uid="{00000000-0005-0000-0000-000023610000}"/>
    <cellStyle name="Normal 5 2 3 6 3 2" xfId="35105" xr:uid="{00000000-0005-0000-0000-000024610000}"/>
    <cellStyle name="Normal 5 2 3 6 4" xfId="18677" xr:uid="{00000000-0005-0000-0000-000025610000}"/>
    <cellStyle name="Normal 5 2 3 6 4 2" xfId="35106" xr:uid="{00000000-0005-0000-0000-000026610000}"/>
    <cellStyle name="Normal 5 2 3 6 5" xfId="18678" xr:uid="{00000000-0005-0000-0000-000027610000}"/>
    <cellStyle name="Normal 5 2 3 6 5 2" xfId="35107" xr:uid="{00000000-0005-0000-0000-000028610000}"/>
    <cellStyle name="Normal 5 2 3 6 6" xfId="35103" xr:uid="{00000000-0005-0000-0000-000029610000}"/>
    <cellStyle name="Normal 5 2 3 7" xfId="18679" xr:uid="{00000000-0005-0000-0000-00002A610000}"/>
    <cellStyle name="Normal 5 2 3 7 2" xfId="18680" xr:uid="{00000000-0005-0000-0000-00002B610000}"/>
    <cellStyle name="Normal 5 2 3 7 2 2" xfId="35109" xr:uid="{00000000-0005-0000-0000-00002C610000}"/>
    <cellStyle name="Normal 5 2 3 7 3" xfId="18681" xr:uid="{00000000-0005-0000-0000-00002D610000}"/>
    <cellStyle name="Normal 5 2 3 7 3 2" xfId="35110" xr:uid="{00000000-0005-0000-0000-00002E610000}"/>
    <cellStyle name="Normal 5 2 3 7 4" xfId="18682" xr:uid="{00000000-0005-0000-0000-00002F610000}"/>
    <cellStyle name="Normal 5 2 3 7 4 2" xfId="35111" xr:uid="{00000000-0005-0000-0000-000030610000}"/>
    <cellStyle name="Normal 5 2 3 7 5" xfId="18683" xr:uid="{00000000-0005-0000-0000-000031610000}"/>
    <cellStyle name="Normal 5 2 3 7 5 2" xfId="35112" xr:uid="{00000000-0005-0000-0000-000032610000}"/>
    <cellStyle name="Normal 5 2 3 7 6" xfId="35108" xr:uid="{00000000-0005-0000-0000-000033610000}"/>
    <cellStyle name="Normal 5 2 3 8" xfId="18684" xr:uid="{00000000-0005-0000-0000-000034610000}"/>
    <cellStyle name="Normal 5 2 3 8 2" xfId="18685" xr:uid="{00000000-0005-0000-0000-000035610000}"/>
    <cellStyle name="Normal 5 2 3 8 2 2" xfId="35114" xr:uid="{00000000-0005-0000-0000-000036610000}"/>
    <cellStyle name="Normal 5 2 3 8 3" xfId="18686" xr:uid="{00000000-0005-0000-0000-000037610000}"/>
    <cellStyle name="Normal 5 2 3 8 3 2" xfId="35115" xr:uid="{00000000-0005-0000-0000-000038610000}"/>
    <cellStyle name="Normal 5 2 3 8 4" xfId="18687" xr:uid="{00000000-0005-0000-0000-000039610000}"/>
    <cellStyle name="Normal 5 2 3 8 4 2" xfId="35116" xr:uid="{00000000-0005-0000-0000-00003A610000}"/>
    <cellStyle name="Normal 5 2 3 8 5" xfId="18688" xr:uid="{00000000-0005-0000-0000-00003B610000}"/>
    <cellStyle name="Normal 5 2 3 8 5 2" xfId="35117" xr:uid="{00000000-0005-0000-0000-00003C610000}"/>
    <cellStyle name="Normal 5 2 3 8 6" xfId="35113" xr:uid="{00000000-0005-0000-0000-00003D610000}"/>
    <cellStyle name="Normal 5 2 3 9" xfId="18689" xr:uid="{00000000-0005-0000-0000-00003E610000}"/>
    <cellStyle name="Normal 5 2 3 9 2" xfId="18690" xr:uid="{00000000-0005-0000-0000-00003F610000}"/>
    <cellStyle name="Normal 5 2 3 9 2 2" xfId="35119" xr:uid="{00000000-0005-0000-0000-000040610000}"/>
    <cellStyle name="Normal 5 2 3 9 3" xfId="18691" xr:uid="{00000000-0005-0000-0000-000041610000}"/>
    <cellStyle name="Normal 5 2 3 9 3 2" xfId="35120" xr:uid="{00000000-0005-0000-0000-000042610000}"/>
    <cellStyle name="Normal 5 2 3 9 4" xfId="18692" xr:uid="{00000000-0005-0000-0000-000043610000}"/>
    <cellStyle name="Normal 5 2 3 9 4 2" xfId="35121" xr:uid="{00000000-0005-0000-0000-000044610000}"/>
    <cellStyle name="Normal 5 2 3 9 5" xfId="18693" xr:uid="{00000000-0005-0000-0000-000045610000}"/>
    <cellStyle name="Normal 5 2 3 9 5 2" xfId="35122" xr:uid="{00000000-0005-0000-0000-000046610000}"/>
    <cellStyle name="Normal 5 2 3 9 6" xfId="35118" xr:uid="{00000000-0005-0000-0000-000047610000}"/>
    <cellStyle name="Normal 5 2 30" xfId="40718" xr:uid="{00000000-0005-0000-0000-000048610000}"/>
    <cellStyle name="Normal 5 2 4" xfId="18694" xr:uid="{00000000-0005-0000-0000-000049610000}"/>
    <cellStyle name="Normal 5 2 4 10" xfId="18695" xr:uid="{00000000-0005-0000-0000-00004A610000}"/>
    <cellStyle name="Normal 5 2 4 10 2" xfId="18696" xr:uid="{00000000-0005-0000-0000-00004B610000}"/>
    <cellStyle name="Normal 5 2 4 10 2 2" xfId="35125" xr:uid="{00000000-0005-0000-0000-00004C610000}"/>
    <cellStyle name="Normal 5 2 4 10 3" xfId="18697" xr:uid="{00000000-0005-0000-0000-00004D610000}"/>
    <cellStyle name="Normal 5 2 4 10 3 2" xfId="35126" xr:uid="{00000000-0005-0000-0000-00004E610000}"/>
    <cellStyle name="Normal 5 2 4 10 4" xfId="18698" xr:uid="{00000000-0005-0000-0000-00004F610000}"/>
    <cellStyle name="Normal 5 2 4 10 4 2" xfId="35127" xr:uid="{00000000-0005-0000-0000-000050610000}"/>
    <cellStyle name="Normal 5 2 4 10 5" xfId="18699" xr:uid="{00000000-0005-0000-0000-000051610000}"/>
    <cellStyle name="Normal 5 2 4 10 5 2" xfId="35128" xr:uid="{00000000-0005-0000-0000-000052610000}"/>
    <cellStyle name="Normal 5 2 4 10 6" xfId="35124" xr:uid="{00000000-0005-0000-0000-000053610000}"/>
    <cellStyle name="Normal 5 2 4 11" xfId="18700" xr:uid="{00000000-0005-0000-0000-000054610000}"/>
    <cellStyle name="Normal 5 2 4 11 2" xfId="18701" xr:uid="{00000000-0005-0000-0000-000055610000}"/>
    <cellStyle name="Normal 5 2 4 11 2 2" xfId="35130" xr:uid="{00000000-0005-0000-0000-000056610000}"/>
    <cellStyle name="Normal 5 2 4 11 3" xfId="18702" xr:uid="{00000000-0005-0000-0000-000057610000}"/>
    <cellStyle name="Normal 5 2 4 11 3 2" xfId="35131" xr:uid="{00000000-0005-0000-0000-000058610000}"/>
    <cellStyle name="Normal 5 2 4 11 4" xfId="18703" xr:uid="{00000000-0005-0000-0000-000059610000}"/>
    <cellStyle name="Normal 5 2 4 11 4 2" xfId="35132" xr:uid="{00000000-0005-0000-0000-00005A610000}"/>
    <cellStyle name="Normal 5 2 4 11 5" xfId="18704" xr:uid="{00000000-0005-0000-0000-00005B610000}"/>
    <cellStyle name="Normal 5 2 4 11 5 2" xfId="35133" xr:uid="{00000000-0005-0000-0000-00005C610000}"/>
    <cellStyle name="Normal 5 2 4 11 6" xfId="35129" xr:uid="{00000000-0005-0000-0000-00005D610000}"/>
    <cellStyle name="Normal 5 2 4 12" xfId="18705" xr:uid="{00000000-0005-0000-0000-00005E610000}"/>
    <cellStyle name="Normal 5 2 4 12 2" xfId="18706" xr:uid="{00000000-0005-0000-0000-00005F610000}"/>
    <cellStyle name="Normal 5 2 4 12 2 2" xfId="35135" xr:uid="{00000000-0005-0000-0000-000060610000}"/>
    <cellStyle name="Normal 5 2 4 12 3" xfId="18707" xr:uid="{00000000-0005-0000-0000-000061610000}"/>
    <cellStyle name="Normal 5 2 4 12 3 2" xfId="35136" xr:uid="{00000000-0005-0000-0000-000062610000}"/>
    <cellStyle name="Normal 5 2 4 12 4" xfId="18708" xr:uid="{00000000-0005-0000-0000-000063610000}"/>
    <cellStyle name="Normal 5 2 4 12 4 2" xfId="35137" xr:uid="{00000000-0005-0000-0000-000064610000}"/>
    <cellStyle name="Normal 5 2 4 12 5" xfId="18709" xr:uid="{00000000-0005-0000-0000-000065610000}"/>
    <cellStyle name="Normal 5 2 4 12 5 2" xfId="35138" xr:uid="{00000000-0005-0000-0000-000066610000}"/>
    <cellStyle name="Normal 5 2 4 12 6" xfId="35134" xr:uid="{00000000-0005-0000-0000-000067610000}"/>
    <cellStyle name="Normal 5 2 4 13" xfId="18710" xr:uid="{00000000-0005-0000-0000-000068610000}"/>
    <cellStyle name="Normal 5 2 4 13 2" xfId="18711" xr:uid="{00000000-0005-0000-0000-000069610000}"/>
    <cellStyle name="Normal 5 2 4 13 2 2" xfId="35140" xr:uid="{00000000-0005-0000-0000-00006A610000}"/>
    <cellStyle name="Normal 5 2 4 13 3" xfId="18712" xr:uid="{00000000-0005-0000-0000-00006B610000}"/>
    <cellStyle name="Normal 5 2 4 13 3 2" xfId="35141" xr:uid="{00000000-0005-0000-0000-00006C610000}"/>
    <cellStyle name="Normal 5 2 4 13 4" xfId="18713" xr:uid="{00000000-0005-0000-0000-00006D610000}"/>
    <cellStyle name="Normal 5 2 4 13 4 2" xfId="35142" xr:uid="{00000000-0005-0000-0000-00006E610000}"/>
    <cellStyle name="Normal 5 2 4 13 5" xfId="18714" xr:uid="{00000000-0005-0000-0000-00006F610000}"/>
    <cellStyle name="Normal 5 2 4 13 5 2" xfId="35143" xr:uid="{00000000-0005-0000-0000-000070610000}"/>
    <cellStyle name="Normal 5 2 4 13 6" xfId="35139" xr:uid="{00000000-0005-0000-0000-000071610000}"/>
    <cellStyle name="Normal 5 2 4 14" xfId="18715" xr:uid="{00000000-0005-0000-0000-000072610000}"/>
    <cellStyle name="Normal 5 2 4 14 2" xfId="18716" xr:uid="{00000000-0005-0000-0000-000073610000}"/>
    <cellStyle name="Normal 5 2 4 14 2 2" xfId="35145" xr:uid="{00000000-0005-0000-0000-000074610000}"/>
    <cellStyle name="Normal 5 2 4 14 3" xfId="18717" xr:uid="{00000000-0005-0000-0000-000075610000}"/>
    <cellStyle name="Normal 5 2 4 14 3 2" xfId="35146" xr:uid="{00000000-0005-0000-0000-000076610000}"/>
    <cellStyle name="Normal 5 2 4 14 4" xfId="18718" xr:uid="{00000000-0005-0000-0000-000077610000}"/>
    <cellStyle name="Normal 5 2 4 14 4 2" xfId="35147" xr:uid="{00000000-0005-0000-0000-000078610000}"/>
    <cellStyle name="Normal 5 2 4 14 5" xfId="18719" xr:uid="{00000000-0005-0000-0000-000079610000}"/>
    <cellStyle name="Normal 5 2 4 14 5 2" xfId="35148" xr:uid="{00000000-0005-0000-0000-00007A610000}"/>
    <cellStyle name="Normal 5 2 4 14 6" xfId="35144" xr:uid="{00000000-0005-0000-0000-00007B610000}"/>
    <cellStyle name="Normal 5 2 4 15" xfId="18720" xr:uid="{00000000-0005-0000-0000-00007C610000}"/>
    <cellStyle name="Normal 5 2 4 15 2" xfId="18721" xr:uid="{00000000-0005-0000-0000-00007D610000}"/>
    <cellStyle name="Normal 5 2 4 15 2 2" xfId="35150" xr:uid="{00000000-0005-0000-0000-00007E610000}"/>
    <cellStyle name="Normal 5 2 4 15 3" xfId="18722" xr:uid="{00000000-0005-0000-0000-00007F610000}"/>
    <cellStyle name="Normal 5 2 4 15 3 2" xfId="35151" xr:uid="{00000000-0005-0000-0000-000080610000}"/>
    <cellStyle name="Normal 5 2 4 15 4" xfId="18723" xr:uid="{00000000-0005-0000-0000-000081610000}"/>
    <cellStyle name="Normal 5 2 4 15 4 2" xfId="35152" xr:uid="{00000000-0005-0000-0000-000082610000}"/>
    <cellStyle name="Normal 5 2 4 15 5" xfId="18724" xr:uid="{00000000-0005-0000-0000-000083610000}"/>
    <cellStyle name="Normal 5 2 4 15 5 2" xfId="35153" xr:uid="{00000000-0005-0000-0000-000084610000}"/>
    <cellStyle name="Normal 5 2 4 15 6" xfId="35149" xr:uid="{00000000-0005-0000-0000-000085610000}"/>
    <cellStyle name="Normal 5 2 4 16" xfId="18725" xr:uid="{00000000-0005-0000-0000-000086610000}"/>
    <cellStyle name="Normal 5 2 4 16 2" xfId="18726" xr:uid="{00000000-0005-0000-0000-000087610000}"/>
    <cellStyle name="Normal 5 2 4 16 2 2" xfId="35155" xr:uid="{00000000-0005-0000-0000-000088610000}"/>
    <cellStyle name="Normal 5 2 4 16 3" xfId="18727" xr:uid="{00000000-0005-0000-0000-000089610000}"/>
    <cellStyle name="Normal 5 2 4 16 3 2" xfId="35156" xr:uid="{00000000-0005-0000-0000-00008A610000}"/>
    <cellStyle name="Normal 5 2 4 16 4" xfId="18728" xr:uid="{00000000-0005-0000-0000-00008B610000}"/>
    <cellStyle name="Normal 5 2 4 16 4 2" xfId="35157" xr:uid="{00000000-0005-0000-0000-00008C610000}"/>
    <cellStyle name="Normal 5 2 4 16 5" xfId="18729" xr:uid="{00000000-0005-0000-0000-00008D610000}"/>
    <cellStyle name="Normal 5 2 4 16 5 2" xfId="35158" xr:uid="{00000000-0005-0000-0000-00008E610000}"/>
    <cellStyle name="Normal 5 2 4 16 6" xfId="35154" xr:uid="{00000000-0005-0000-0000-00008F610000}"/>
    <cellStyle name="Normal 5 2 4 17" xfId="18730" xr:uid="{00000000-0005-0000-0000-000090610000}"/>
    <cellStyle name="Normal 5 2 4 17 2" xfId="35159" xr:uid="{00000000-0005-0000-0000-000091610000}"/>
    <cellStyle name="Normal 5 2 4 18" xfId="18731" xr:uid="{00000000-0005-0000-0000-000092610000}"/>
    <cellStyle name="Normal 5 2 4 18 2" xfId="35160" xr:uid="{00000000-0005-0000-0000-000093610000}"/>
    <cellStyle name="Normal 5 2 4 19" xfId="18732" xr:uid="{00000000-0005-0000-0000-000094610000}"/>
    <cellStyle name="Normal 5 2 4 19 2" xfId="35161" xr:uid="{00000000-0005-0000-0000-000095610000}"/>
    <cellStyle name="Normal 5 2 4 2" xfId="18733" xr:uid="{00000000-0005-0000-0000-000096610000}"/>
    <cellStyle name="Normal 5 2 4 2 10" xfId="18734" xr:uid="{00000000-0005-0000-0000-000097610000}"/>
    <cellStyle name="Normal 5 2 4 2 10 2" xfId="35163" xr:uid="{00000000-0005-0000-0000-000098610000}"/>
    <cellStyle name="Normal 5 2 4 2 11" xfId="18735" xr:uid="{00000000-0005-0000-0000-000099610000}"/>
    <cellStyle name="Normal 5 2 4 2 11 2" xfId="35164" xr:uid="{00000000-0005-0000-0000-00009A610000}"/>
    <cellStyle name="Normal 5 2 4 2 12" xfId="35162" xr:uid="{00000000-0005-0000-0000-00009B610000}"/>
    <cellStyle name="Normal 5 2 4 2 2" xfId="18736" xr:uid="{00000000-0005-0000-0000-00009C610000}"/>
    <cellStyle name="Normal 5 2 4 2 2 2" xfId="18737" xr:uid="{00000000-0005-0000-0000-00009D610000}"/>
    <cellStyle name="Normal 5 2 4 2 2 2 2" xfId="35166" xr:uid="{00000000-0005-0000-0000-00009E610000}"/>
    <cellStyle name="Normal 5 2 4 2 2 3" xfId="18738" xr:uid="{00000000-0005-0000-0000-00009F610000}"/>
    <cellStyle name="Normal 5 2 4 2 2 3 2" xfId="35167" xr:uid="{00000000-0005-0000-0000-0000A0610000}"/>
    <cellStyle name="Normal 5 2 4 2 2 4" xfId="18739" xr:uid="{00000000-0005-0000-0000-0000A1610000}"/>
    <cellStyle name="Normal 5 2 4 2 2 4 2" xfId="35168" xr:uid="{00000000-0005-0000-0000-0000A2610000}"/>
    <cellStyle name="Normal 5 2 4 2 2 5" xfId="18740" xr:uid="{00000000-0005-0000-0000-0000A3610000}"/>
    <cellStyle name="Normal 5 2 4 2 2 5 2" xfId="35169" xr:uid="{00000000-0005-0000-0000-0000A4610000}"/>
    <cellStyle name="Normal 5 2 4 2 2 6" xfId="35165" xr:uid="{00000000-0005-0000-0000-0000A5610000}"/>
    <cellStyle name="Normal 5 2 4 2 3" xfId="18741" xr:uid="{00000000-0005-0000-0000-0000A6610000}"/>
    <cellStyle name="Normal 5 2 4 2 3 2" xfId="18742" xr:uid="{00000000-0005-0000-0000-0000A7610000}"/>
    <cellStyle name="Normal 5 2 4 2 3 2 2" xfId="35171" xr:uid="{00000000-0005-0000-0000-0000A8610000}"/>
    <cellStyle name="Normal 5 2 4 2 3 3" xfId="18743" xr:uid="{00000000-0005-0000-0000-0000A9610000}"/>
    <cellStyle name="Normal 5 2 4 2 3 3 2" xfId="35172" xr:uid="{00000000-0005-0000-0000-0000AA610000}"/>
    <cellStyle name="Normal 5 2 4 2 3 4" xfId="18744" xr:uid="{00000000-0005-0000-0000-0000AB610000}"/>
    <cellStyle name="Normal 5 2 4 2 3 4 2" xfId="35173" xr:uid="{00000000-0005-0000-0000-0000AC610000}"/>
    <cellStyle name="Normal 5 2 4 2 3 5" xfId="18745" xr:uid="{00000000-0005-0000-0000-0000AD610000}"/>
    <cellStyle name="Normal 5 2 4 2 3 5 2" xfId="35174" xr:uid="{00000000-0005-0000-0000-0000AE610000}"/>
    <cellStyle name="Normal 5 2 4 2 3 6" xfId="35170" xr:uid="{00000000-0005-0000-0000-0000AF610000}"/>
    <cellStyle name="Normal 5 2 4 2 4" xfId="18746" xr:uid="{00000000-0005-0000-0000-0000B0610000}"/>
    <cellStyle name="Normal 5 2 4 2 4 2" xfId="18747" xr:uid="{00000000-0005-0000-0000-0000B1610000}"/>
    <cellStyle name="Normal 5 2 4 2 4 2 2" xfId="35176" xr:uid="{00000000-0005-0000-0000-0000B2610000}"/>
    <cellStyle name="Normal 5 2 4 2 4 3" xfId="18748" xr:uid="{00000000-0005-0000-0000-0000B3610000}"/>
    <cellStyle name="Normal 5 2 4 2 4 3 2" xfId="35177" xr:uid="{00000000-0005-0000-0000-0000B4610000}"/>
    <cellStyle name="Normal 5 2 4 2 4 4" xfId="18749" xr:uid="{00000000-0005-0000-0000-0000B5610000}"/>
    <cellStyle name="Normal 5 2 4 2 4 4 2" xfId="35178" xr:uid="{00000000-0005-0000-0000-0000B6610000}"/>
    <cellStyle name="Normal 5 2 4 2 4 5" xfId="18750" xr:uid="{00000000-0005-0000-0000-0000B7610000}"/>
    <cellStyle name="Normal 5 2 4 2 4 5 2" xfId="35179" xr:uid="{00000000-0005-0000-0000-0000B8610000}"/>
    <cellStyle name="Normal 5 2 4 2 4 6" xfId="35175" xr:uid="{00000000-0005-0000-0000-0000B9610000}"/>
    <cellStyle name="Normal 5 2 4 2 5" xfId="18751" xr:uid="{00000000-0005-0000-0000-0000BA610000}"/>
    <cellStyle name="Normal 5 2 4 2 5 2" xfId="18752" xr:uid="{00000000-0005-0000-0000-0000BB610000}"/>
    <cellStyle name="Normal 5 2 4 2 5 2 2" xfId="35181" xr:uid="{00000000-0005-0000-0000-0000BC610000}"/>
    <cellStyle name="Normal 5 2 4 2 5 3" xfId="18753" xr:uid="{00000000-0005-0000-0000-0000BD610000}"/>
    <cellStyle name="Normal 5 2 4 2 5 3 2" xfId="35182" xr:uid="{00000000-0005-0000-0000-0000BE610000}"/>
    <cellStyle name="Normal 5 2 4 2 5 4" xfId="18754" xr:uid="{00000000-0005-0000-0000-0000BF610000}"/>
    <cellStyle name="Normal 5 2 4 2 5 4 2" xfId="35183" xr:uid="{00000000-0005-0000-0000-0000C0610000}"/>
    <cellStyle name="Normal 5 2 4 2 5 5" xfId="18755" xr:uid="{00000000-0005-0000-0000-0000C1610000}"/>
    <cellStyle name="Normal 5 2 4 2 5 5 2" xfId="35184" xr:uid="{00000000-0005-0000-0000-0000C2610000}"/>
    <cellStyle name="Normal 5 2 4 2 5 6" xfId="35180" xr:uid="{00000000-0005-0000-0000-0000C3610000}"/>
    <cellStyle name="Normal 5 2 4 2 6" xfId="18756" xr:uid="{00000000-0005-0000-0000-0000C4610000}"/>
    <cellStyle name="Normal 5 2 4 2 6 2" xfId="18757" xr:uid="{00000000-0005-0000-0000-0000C5610000}"/>
    <cellStyle name="Normal 5 2 4 2 6 2 2" xfId="35186" xr:uid="{00000000-0005-0000-0000-0000C6610000}"/>
    <cellStyle name="Normal 5 2 4 2 6 3" xfId="18758" xr:uid="{00000000-0005-0000-0000-0000C7610000}"/>
    <cellStyle name="Normal 5 2 4 2 6 3 2" xfId="35187" xr:uid="{00000000-0005-0000-0000-0000C8610000}"/>
    <cellStyle name="Normal 5 2 4 2 6 4" xfId="18759" xr:uid="{00000000-0005-0000-0000-0000C9610000}"/>
    <cellStyle name="Normal 5 2 4 2 6 4 2" xfId="35188" xr:uid="{00000000-0005-0000-0000-0000CA610000}"/>
    <cellStyle name="Normal 5 2 4 2 6 5" xfId="18760" xr:uid="{00000000-0005-0000-0000-0000CB610000}"/>
    <cellStyle name="Normal 5 2 4 2 6 5 2" xfId="35189" xr:uid="{00000000-0005-0000-0000-0000CC610000}"/>
    <cellStyle name="Normal 5 2 4 2 6 6" xfId="35185" xr:uid="{00000000-0005-0000-0000-0000CD610000}"/>
    <cellStyle name="Normal 5 2 4 2 7" xfId="18761" xr:uid="{00000000-0005-0000-0000-0000CE610000}"/>
    <cellStyle name="Normal 5 2 4 2 7 2" xfId="18762" xr:uid="{00000000-0005-0000-0000-0000CF610000}"/>
    <cellStyle name="Normal 5 2 4 2 7 2 2" xfId="35191" xr:uid="{00000000-0005-0000-0000-0000D0610000}"/>
    <cellStyle name="Normal 5 2 4 2 7 3" xfId="18763" xr:uid="{00000000-0005-0000-0000-0000D1610000}"/>
    <cellStyle name="Normal 5 2 4 2 7 3 2" xfId="35192" xr:uid="{00000000-0005-0000-0000-0000D2610000}"/>
    <cellStyle name="Normal 5 2 4 2 7 4" xfId="18764" xr:uid="{00000000-0005-0000-0000-0000D3610000}"/>
    <cellStyle name="Normal 5 2 4 2 7 4 2" xfId="35193" xr:uid="{00000000-0005-0000-0000-0000D4610000}"/>
    <cellStyle name="Normal 5 2 4 2 7 5" xfId="18765" xr:uid="{00000000-0005-0000-0000-0000D5610000}"/>
    <cellStyle name="Normal 5 2 4 2 7 5 2" xfId="35194" xr:uid="{00000000-0005-0000-0000-0000D6610000}"/>
    <cellStyle name="Normal 5 2 4 2 7 6" xfId="35190" xr:uid="{00000000-0005-0000-0000-0000D7610000}"/>
    <cellStyle name="Normal 5 2 4 2 8" xfId="18766" xr:uid="{00000000-0005-0000-0000-0000D8610000}"/>
    <cellStyle name="Normal 5 2 4 2 8 2" xfId="35195" xr:uid="{00000000-0005-0000-0000-0000D9610000}"/>
    <cellStyle name="Normal 5 2 4 2 9" xfId="18767" xr:uid="{00000000-0005-0000-0000-0000DA610000}"/>
    <cellStyle name="Normal 5 2 4 2 9 2" xfId="35196" xr:uid="{00000000-0005-0000-0000-0000DB610000}"/>
    <cellStyle name="Normal 5 2 4 20" xfId="18768" xr:uid="{00000000-0005-0000-0000-0000DC610000}"/>
    <cellStyle name="Normal 5 2 4 20 2" xfId="35197" xr:uid="{00000000-0005-0000-0000-0000DD610000}"/>
    <cellStyle name="Normal 5 2 4 21" xfId="40730" xr:uid="{00000000-0005-0000-0000-0000DE610000}"/>
    <cellStyle name="Normal 5 2 4 22" xfId="35123" xr:uid="{00000000-0005-0000-0000-0000DF610000}"/>
    <cellStyle name="Normal 5 2 4 3" xfId="18769" xr:uid="{00000000-0005-0000-0000-0000E0610000}"/>
    <cellStyle name="Normal 5 2 4 3 2" xfId="18770" xr:uid="{00000000-0005-0000-0000-0000E1610000}"/>
    <cellStyle name="Normal 5 2 4 3 2 2" xfId="18771" xr:uid="{00000000-0005-0000-0000-0000E2610000}"/>
    <cellStyle name="Normal 5 2 4 3 2 2 2" xfId="35200" xr:uid="{00000000-0005-0000-0000-0000E3610000}"/>
    <cellStyle name="Normal 5 2 4 3 2 3" xfId="18772" xr:uid="{00000000-0005-0000-0000-0000E4610000}"/>
    <cellStyle name="Normal 5 2 4 3 2 3 2" xfId="35201" xr:uid="{00000000-0005-0000-0000-0000E5610000}"/>
    <cellStyle name="Normal 5 2 4 3 2 4" xfId="18773" xr:uid="{00000000-0005-0000-0000-0000E6610000}"/>
    <cellStyle name="Normal 5 2 4 3 2 4 2" xfId="35202" xr:uid="{00000000-0005-0000-0000-0000E7610000}"/>
    <cellStyle name="Normal 5 2 4 3 2 5" xfId="18774" xr:uid="{00000000-0005-0000-0000-0000E8610000}"/>
    <cellStyle name="Normal 5 2 4 3 2 5 2" xfId="35203" xr:uid="{00000000-0005-0000-0000-0000E9610000}"/>
    <cellStyle name="Normal 5 2 4 3 2 6" xfId="35199" xr:uid="{00000000-0005-0000-0000-0000EA610000}"/>
    <cellStyle name="Normal 5 2 4 3 3" xfId="18775" xr:uid="{00000000-0005-0000-0000-0000EB610000}"/>
    <cellStyle name="Normal 5 2 4 3 3 2" xfId="35204" xr:uid="{00000000-0005-0000-0000-0000EC610000}"/>
    <cellStyle name="Normal 5 2 4 3 4" xfId="18776" xr:uid="{00000000-0005-0000-0000-0000ED610000}"/>
    <cellStyle name="Normal 5 2 4 3 4 2" xfId="35205" xr:uid="{00000000-0005-0000-0000-0000EE610000}"/>
    <cellStyle name="Normal 5 2 4 3 5" xfId="18777" xr:uid="{00000000-0005-0000-0000-0000EF610000}"/>
    <cellStyle name="Normal 5 2 4 3 5 2" xfId="35206" xr:uid="{00000000-0005-0000-0000-0000F0610000}"/>
    <cellStyle name="Normal 5 2 4 3 6" xfId="18778" xr:uid="{00000000-0005-0000-0000-0000F1610000}"/>
    <cellStyle name="Normal 5 2 4 3 6 2" xfId="35207" xr:uid="{00000000-0005-0000-0000-0000F2610000}"/>
    <cellStyle name="Normal 5 2 4 3 7" xfId="35198" xr:uid="{00000000-0005-0000-0000-0000F3610000}"/>
    <cellStyle name="Normal 5 2 4 4" xfId="18779" xr:uid="{00000000-0005-0000-0000-0000F4610000}"/>
    <cellStyle name="Normal 5 2 4 4 2" xfId="18780" xr:uid="{00000000-0005-0000-0000-0000F5610000}"/>
    <cellStyle name="Normal 5 2 4 4 2 2" xfId="18781" xr:uid="{00000000-0005-0000-0000-0000F6610000}"/>
    <cellStyle name="Normal 5 2 4 4 2 2 2" xfId="35210" xr:uid="{00000000-0005-0000-0000-0000F7610000}"/>
    <cellStyle name="Normal 5 2 4 4 2 3" xfId="18782" xr:uid="{00000000-0005-0000-0000-0000F8610000}"/>
    <cellStyle name="Normal 5 2 4 4 2 3 2" xfId="35211" xr:uid="{00000000-0005-0000-0000-0000F9610000}"/>
    <cellStyle name="Normal 5 2 4 4 2 4" xfId="18783" xr:uid="{00000000-0005-0000-0000-0000FA610000}"/>
    <cellStyle name="Normal 5 2 4 4 2 4 2" xfId="35212" xr:uid="{00000000-0005-0000-0000-0000FB610000}"/>
    <cellStyle name="Normal 5 2 4 4 2 5" xfId="18784" xr:uid="{00000000-0005-0000-0000-0000FC610000}"/>
    <cellStyle name="Normal 5 2 4 4 2 5 2" xfId="35213" xr:uid="{00000000-0005-0000-0000-0000FD610000}"/>
    <cellStyle name="Normal 5 2 4 4 2 6" xfId="35209" xr:uid="{00000000-0005-0000-0000-0000FE610000}"/>
    <cellStyle name="Normal 5 2 4 4 3" xfId="18785" xr:uid="{00000000-0005-0000-0000-0000FF610000}"/>
    <cellStyle name="Normal 5 2 4 4 3 2" xfId="35214" xr:uid="{00000000-0005-0000-0000-000000620000}"/>
    <cellStyle name="Normal 5 2 4 4 4" xfId="18786" xr:uid="{00000000-0005-0000-0000-000001620000}"/>
    <cellStyle name="Normal 5 2 4 4 4 2" xfId="35215" xr:uid="{00000000-0005-0000-0000-000002620000}"/>
    <cellStyle name="Normal 5 2 4 4 5" xfId="18787" xr:uid="{00000000-0005-0000-0000-000003620000}"/>
    <cellStyle name="Normal 5 2 4 4 5 2" xfId="35216" xr:uid="{00000000-0005-0000-0000-000004620000}"/>
    <cellStyle name="Normal 5 2 4 4 6" xfId="18788" xr:uid="{00000000-0005-0000-0000-000005620000}"/>
    <cellStyle name="Normal 5 2 4 4 6 2" xfId="35217" xr:uid="{00000000-0005-0000-0000-000006620000}"/>
    <cellStyle name="Normal 5 2 4 4 7" xfId="35208" xr:uid="{00000000-0005-0000-0000-000007620000}"/>
    <cellStyle name="Normal 5 2 4 5" xfId="18789" xr:uid="{00000000-0005-0000-0000-000008620000}"/>
    <cellStyle name="Normal 5 2 4 5 2" xfId="18790" xr:uid="{00000000-0005-0000-0000-000009620000}"/>
    <cellStyle name="Normal 5 2 4 5 2 2" xfId="35219" xr:uid="{00000000-0005-0000-0000-00000A620000}"/>
    <cellStyle name="Normal 5 2 4 5 3" xfId="18791" xr:uid="{00000000-0005-0000-0000-00000B620000}"/>
    <cellStyle name="Normal 5 2 4 5 3 2" xfId="35220" xr:uid="{00000000-0005-0000-0000-00000C620000}"/>
    <cellStyle name="Normal 5 2 4 5 4" xfId="18792" xr:uid="{00000000-0005-0000-0000-00000D620000}"/>
    <cellStyle name="Normal 5 2 4 5 4 2" xfId="35221" xr:uid="{00000000-0005-0000-0000-00000E620000}"/>
    <cellStyle name="Normal 5 2 4 5 5" xfId="18793" xr:uid="{00000000-0005-0000-0000-00000F620000}"/>
    <cellStyle name="Normal 5 2 4 5 5 2" xfId="35222" xr:uid="{00000000-0005-0000-0000-000010620000}"/>
    <cellStyle name="Normal 5 2 4 5 6" xfId="35218" xr:uid="{00000000-0005-0000-0000-000011620000}"/>
    <cellStyle name="Normal 5 2 4 6" xfId="18794" xr:uid="{00000000-0005-0000-0000-000012620000}"/>
    <cellStyle name="Normal 5 2 4 6 2" xfId="18795" xr:uid="{00000000-0005-0000-0000-000013620000}"/>
    <cellStyle name="Normal 5 2 4 6 2 2" xfId="35224" xr:uid="{00000000-0005-0000-0000-000014620000}"/>
    <cellStyle name="Normal 5 2 4 6 3" xfId="18796" xr:uid="{00000000-0005-0000-0000-000015620000}"/>
    <cellStyle name="Normal 5 2 4 6 3 2" xfId="35225" xr:uid="{00000000-0005-0000-0000-000016620000}"/>
    <cellStyle name="Normal 5 2 4 6 4" xfId="18797" xr:uid="{00000000-0005-0000-0000-000017620000}"/>
    <cellStyle name="Normal 5 2 4 6 4 2" xfId="35226" xr:uid="{00000000-0005-0000-0000-000018620000}"/>
    <cellStyle name="Normal 5 2 4 6 5" xfId="18798" xr:uid="{00000000-0005-0000-0000-000019620000}"/>
    <cellStyle name="Normal 5 2 4 6 5 2" xfId="35227" xr:uid="{00000000-0005-0000-0000-00001A620000}"/>
    <cellStyle name="Normal 5 2 4 6 6" xfId="35223" xr:uid="{00000000-0005-0000-0000-00001B620000}"/>
    <cellStyle name="Normal 5 2 4 7" xfId="18799" xr:uid="{00000000-0005-0000-0000-00001C620000}"/>
    <cellStyle name="Normal 5 2 4 7 2" xfId="18800" xr:uid="{00000000-0005-0000-0000-00001D620000}"/>
    <cellStyle name="Normal 5 2 4 7 2 2" xfId="35229" xr:uid="{00000000-0005-0000-0000-00001E620000}"/>
    <cellStyle name="Normal 5 2 4 7 3" xfId="18801" xr:uid="{00000000-0005-0000-0000-00001F620000}"/>
    <cellStyle name="Normal 5 2 4 7 3 2" xfId="35230" xr:uid="{00000000-0005-0000-0000-000020620000}"/>
    <cellStyle name="Normal 5 2 4 7 4" xfId="18802" xr:uid="{00000000-0005-0000-0000-000021620000}"/>
    <cellStyle name="Normal 5 2 4 7 4 2" xfId="35231" xr:uid="{00000000-0005-0000-0000-000022620000}"/>
    <cellStyle name="Normal 5 2 4 7 5" xfId="18803" xr:uid="{00000000-0005-0000-0000-000023620000}"/>
    <cellStyle name="Normal 5 2 4 7 5 2" xfId="35232" xr:uid="{00000000-0005-0000-0000-000024620000}"/>
    <cellStyle name="Normal 5 2 4 7 6" xfId="35228" xr:uid="{00000000-0005-0000-0000-000025620000}"/>
    <cellStyle name="Normal 5 2 4 8" xfId="18804" xr:uid="{00000000-0005-0000-0000-000026620000}"/>
    <cellStyle name="Normal 5 2 4 8 2" xfId="18805" xr:uid="{00000000-0005-0000-0000-000027620000}"/>
    <cellStyle name="Normal 5 2 4 8 2 2" xfId="35234" xr:uid="{00000000-0005-0000-0000-000028620000}"/>
    <cellStyle name="Normal 5 2 4 8 3" xfId="18806" xr:uid="{00000000-0005-0000-0000-000029620000}"/>
    <cellStyle name="Normal 5 2 4 8 3 2" xfId="35235" xr:uid="{00000000-0005-0000-0000-00002A620000}"/>
    <cellStyle name="Normal 5 2 4 8 4" xfId="18807" xr:uid="{00000000-0005-0000-0000-00002B620000}"/>
    <cellStyle name="Normal 5 2 4 8 4 2" xfId="35236" xr:uid="{00000000-0005-0000-0000-00002C620000}"/>
    <cellStyle name="Normal 5 2 4 8 5" xfId="18808" xr:uid="{00000000-0005-0000-0000-00002D620000}"/>
    <cellStyle name="Normal 5 2 4 8 5 2" xfId="35237" xr:uid="{00000000-0005-0000-0000-00002E620000}"/>
    <cellStyle name="Normal 5 2 4 8 6" xfId="35233" xr:uid="{00000000-0005-0000-0000-00002F620000}"/>
    <cellStyle name="Normal 5 2 4 9" xfId="18809" xr:uid="{00000000-0005-0000-0000-000030620000}"/>
    <cellStyle name="Normal 5 2 4 9 2" xfId="18810" xr:uid="{00000000-0005-0000-0000-000031620000}"/>
    <cellStyle name="Normal 5 2 4 9 2 2" xfId="35239" xr:uid="{00000000-0005-0000-0000-000032620000}"/>
    <cellStyle name="Normal 5 2 4 9 3" xfId="18811" xr:uid="{00000000-0005-0000-0000-000033620000}"/>
    <cellStyle name="Normal 5 2 4 9 3 2" xfId="35240" xr:uid="{00000000-0005-0000-0000-000034620000}"/>
    <cellStyle name="Normal 5 2 4 9 4" xfId="18812" xr:uid="{00000000-0005-0000-0000-000035620000}"/>
    <cellStyle name="Normal 5 2 4 9 4 2" xfId="35241" xr:uid="{00000000-0005-0000-0000-000036620000}"/>
    <cellStyle name="Normal 5 2 4 9 5" xfId="18813" xr:uid="{00000000-0005-0000-0000-000037620000}"/>
    <cellStyle name="Normal 5 2 4 9 5 2" xfId="35242" xr:uid="{00000000-0005-0000-0000-000038620000}"/>
    <cellStyle name="Normal 5 2 4 9 6" xfId="35238" xr:uid="{00000000-0005-0000-0000-000039620000}"/>
    <cellStyle name="Normal 5 2 5" xfId="18814" xr:uid="{00000000-0005-0000-0000-00003A620000}"/>
    <cellStyle name="Normal 5 2 5 10" xfId="18815" xr:uid="{00000000-0005-0000-0000-00003B620000}"/>
    <cellStyle name="Normal 5 2 5 10 2" xfId="18816" xr:uid="{00000000-0005-0000-0000-00003C620000}"/>
    <cellStyle name="Normal 5 2 5 10 2 2" xfId="35245" xr:uid="{00000000-0005-0000-0000-00003D620000}"/>
    <cellStyle name="Normal 5 2 5 10 3" xfId="18817" xr:uid="{00000000-0005-0000-0000-00003E620000}"/>
    <cellStyle name="Normal 5 2 5 10 3 2" xfId="35246" xr:uid="{00000000-0005-0000-0000-00003F620000}"/>
    <cellStyle name="Normal 5 2 5 10 4" xfId="18818" xr:uid="{00000000-0005-0000-0000-000040620000}"/>
    <cellStyle name="Normal 5 2 5 10 4 2" xfId="35247" xr:uid="{00000000-0005-0000-0000-000041620000}"/>
    <cellStyle name="Normal 5 2 5 10 5" xfId="18819" xr:uid="{00000000-0005-0000-0000-000042620000}"/>
    <cellStyle name="Normal 5 2 5 10 5 2" xfId="35248" xr:uid="{00000000-0005-0000-0000-000043620000}"/>
    <cellStyle name="Normal 5 2 5 10 6" xfId="35244" xr:uid="{00000000-0005-0000-0000-000044620000}"/>
    <cellStyle name="Normal 5 2 5 11" xfId="18820" xr:uid="{00000000-0005-0000-0000-000045620000}"/>
    <cellStyle name="Normal 5 2 5 11 2" xfId="18821" xr:uid="{00000000-0005-0000-0000-000046620000}"/>
    <cellStyle name="Normal 5 2 5 11 2 2" xfId="35250" xr:uid="{00000000-0005-0000-0000-000047620000}"/>
    <cellStyle name="Normal 5 2 5 11 3" xfId="18822" xr:uid="{00000000-0005-0000-0000-000048620000}"/>
    <cellStyle name="Normal 5 2 5 11 3 2" xfId="35251" xr:uid="{00000000-0005-0000-0000-000049620000}"/>
    <cellStyle name="Normal 5 2 5 11 4" xfId="18823" xr:uid="{00000000-0005-0000-0000-00004A620000}"/>
    <cellStyle name="Normal 5 2 5 11 4 2" xfId="35252" xr:uid="{00000000-0005-0000-0000-00004B620000}"/>
    <cellStyle name="Normal 5 2 5 11 5" xfId="18824" xr:uid="{00000000-0005-0000-0000-00004C620000}"/>
    <cellStyle name="Normal 5 2 5 11 5 2" xfId="35253" xr:uid="{00000000-0005-0000-0000-00004D620000}"/>
    <cellStyle name="Normal 5 2 5 11 6" xfId="35249" xr:uid="{00000000-0005-0000-0000-00004E620000}"/>
    <cellStyle name="Normal 5 2 5 12" xfId="18825" xr:uid="{00000000-0005-0000-0000-00004F620000}"/>
    <cellStyle name="Normal 5 2 5 12 2" xfId="18826" xr:uid="{00000000-0005-0000-0000-000050620000}"/>
    <cellStyle name="Normal 5 2 5 12 2 2" xfId="35255" xr:uid="{00000000-0005-0000-0000-000051620000}"/>
    <cellStyle name="Normal 5 2 5 12 3" xfId="18827" xr:uid="{00000000-0005-0000-0000-000052620000}"/>
    <cellStyle name="Normal 5 2 5 12 3 2" xfId="35256" xr:uid="{00000000-0005-0000-0000-000053620000}"/>
    <cellStyle name="Normal 5 2 5 12 4" xfId="18828" xr:uid="{00000000-0005-0000-0000-000054620000}"/>
    <cellStyle name="Normal 5 2 5 12 4 2" xfId="35257" xr:uid="{00000000-0005-0000-0000-000055620000}"/>
    <cellStyle name="Normal 5 2 5 12 5" xfId="18829" xr:uid="{00000000-0005-0000-0000-000056620000}"/>
    <cellStyle name="Normal 5 2 5 12 5 2" xfId="35258" xr:uid="{00000000-0005-0000-0000-000057620000}"/>
    <cellStyle name="Normal 5 2 5 12 6" xfId="35254" xr:uid="{00000000-0005-0000-0000-000058620000}"/>
    <cellStyle name="Normal 5 2 5 13" xfId="18830" xr:uid="{00000000-0005-0000-0000-000059620000}"/>
    <cellStyle name="Normal 5 2 5 13 2" xfId="18831" xr:uid="{00000000-0005-0000-0000-00005A620000}"/>
    <cellStyle name="Normal 5 2 5 13 2 2" xfId="35260" xr:uid="{00000000-0005-0000-0000-00005B620000}"/>
    <cellStyle name="Normal 5 2 5 13 3" xfId="18832" xr:uid="{00000000-0005-0000-0000-00005C620000}"/>
    <cellStyle name="Normal 5 2 5 13 3 2" xfId="35261" xr:uid="{00000000-0005-0000-0000-00005D620000}"/>
    <cellStyle name="Normal 5 2 5 13 4" xfId="18833" xr:uid="{00000000-0005-0000-0000-00005E620000}"/>
    <cellStyle name="Normal 5 2 5 13 4 2" xfId="35262" xr:uid="{00000000-0005-0000-0000-00005F620000}"/>
    <cellStyle name="Normal 5 2 5 13 5" xfId="18834" xr:uid="{00000000-0005-0000-0000-000060620000}"/>
    <cellStyle name="Normal 5 2 5 13 5 2" xfId="35263" xr:uid="{00000000-0005-0000-0000-000061620000}"/>
    <cellStyle name="Normal 5 2 5 13 6" xfId="35259" xr:uid="{00000000-0005-0000-0000-000062620000}"/>
    <cellStyle name="Normal 5 2 5 14" xfId="18835" xr:uid="{00000000-0005-0000-0000-000063620000}"/>
    <cellStyle name="Normal 5 2 5 14 2" xfId="18836" xr:uid="{00000000-0005-0000-0000-000064620000}"/>
    <cellStyle name="Normal 5 2 5 14 2 2" xfId="35265" xr:uid="{00000000-0005-0000-0000-000065620000}"/>
    <cellStyle name="Normal 5 2 5 14 3" xfId="18837" xr:uid="{00000000-0005-0000-0000-000066620000}"/>
    <cellStyle name="Normal 5 2 5 14 3 2" xfId="35266" xr:uid="{00000000-0005-0000-0000-000067620000}"/>
    <cellStyle name="Normal 5 2 5 14 4" xfId="18838" xr:uid="{00000000-0005-0000-0000-000068620000}"/>
    <cellStyle name="Normal 5 2 5 14 4 2" xfId="35267" xr:uid="{00000000-0005-0000-0000-000069620000}"/>
    <cellStyle name="Normal 5 2 5 14 5" xfId="18839" xr:uid="{00000000-0005-0000-0000-00006A620000}"/>
    <cellStyle name="Normal 5 2 5 14 5 2" xfId="35268" xr:uid="{00000000-0005-0000-0000-00006B620000}"/>
    <cellStyle name="Normal 5 2 5 14 6" xfId="35264" xr:uid="{00000000-0005-0000-0000-00006C620000}"/>
    <cellStyle name="Normal 5 2 5 15" xfId="18840" xr:uid="{00000000-0005-0000-0000-00006D620000}"/>
    <cellStyle name="Normal 5 2 5 15 2" xfId="18841" xr:uid="{00000000-0005-0000-0000-00006E620000}"/>
    <cellStyle name="Normal 5 2 5 15 2 2" xfId="35270" xr:uid="{00000000-0005-0000-0000-00006F620000}"/>
    <cellStyle name="Normal 5 2 5 15 3" xfId="18842" xr:uid="{00000000-0005-0000-0000-000070620000}"/>
    <cellStyle name="Normal 5 2 5 15 3 2" xfId="35271" xr:uid="{00000000-0005-0000-0000-000071620000}"/>
    <cellStyle name="Normal 5 2 5 15 4" xfId="18843" xr:uid="{00000000-0005-0000-0000-000072620000}"/>
    <cellStyle name="Normal 5 2 5 15 4 2" xfId="35272" xr:uid="{00000000-0005-0000-0000-000073620000}"/>
    <cellStyle name="Normal 5 2 5 15 5" xfId="18844" xr:uid="{00000000-0005-0000-0000-000074620000}"/>
    <cellStyle name="Normal 5 2 5 15 5 2" xfId="35273" xr:uid="{00000000-0005-0000-0000-000075620000}"/>
    <cellStyle name="Normal 5 2 5 15 6" xfId="35269" xr:uid="{00000000-0005-0000-0000-000076620000}"/>
    <cellStyle name="Normal 5 2 5 16" xfId="18845" xr:uid="{00000000-0005-0000-0000-000077620000}"/>
    <cellStyle name="Normal 5 2 5 16 2" xfId="18846" xr:uid="{00000000-0005-0000-0000-000078620000}"/>
    <cellStyle name="Normal 5 2 5 16 2 2" xfId="35275" xr:uid="{00000000-0005-0000-0000-000079620000}"/>
    <cellStyle name="Normal 5 2 5 16 3" xfId="18847" xr:uid="{00000000-0005-0000-0000-00007A620000}"/>
    <cellStyle name="Normal 5 2 5 16 3 2" xfId="35276" xr:uid="{00000000-0005-0000-0000-00007B620000}"/>
    <cellStyle name="Normal 5 2 5 16 4" xfId="18848" xr:uid="{00000000-0005-0000-0000-00007C620000}"/>
    <cellStyle name="Normal 5 2 5 16 4 2" xfId="35277" xr:uid="{00000000-0005-0000-0000-00007D620000}"/>
    <cellStyle name="Normal 5 2 5 16 5" xfId="18849" xr:uid="{00000000-0005-0000-0000-00007E620000}"/>
    <cellStyle name="Normal 5 2 5 16 5 2" xfId="35278" xr:uid="{00000000-0005-0000-0000-00007F620000}"/>
    <cellStyle name="Normal 5 2 5 16 6" xfId="35274" xr:uid="{00000000-0005-0000-0000-000080620000}"/>
    <cellStyle name="Normal 5 2 5 17" xfId="18850" xr:uid="{00000000-0005-0000-0000-000081620000}"/>
    <cellStyle name="Normal 5 2 5 17 2" xfId="35279" xr:uid="{00000000-0005-0000-0000-000082620000}"/>
    <cellStyle name="Normal 5 2 5 18" xfId="18851" xr:uid="{00000000-0005-0000-0000-000083620000}"/>
    <cellStyle name="Normal 5 2 5 18 2" xfId="35280" xr:uid="{00000000-0005-0000-0000-000084620000}"/>
    <cellStyle name="Normal 5 2 5 19" xfId="18852" xr:uid="{00000000-0005-0000-0000-000085620000}"/>
    <cellStyle name="Normal 5 2 5 19 2" xfId="35281" xr:uid="{00000000-0005-0000-0000-000086620000}"/>
    <cellStyle name="Normal 5 2 5 2" xfId="18853" xr:uid="{00000000-0005-0000-0000-000087620000}"/>
    <cellStyle name="Normal 5 2 5 2 10" xfId="18854" xr:uid="{00000000-0005-0000-0000-000088620000}"/>
    <cellStyle name="Normal 5 2 5 2 10 2" xfId="35283" xr:uid="{00000000-0005-0000-0000-000089620000}"/>
    <cellStyle name="Normal 5 2 5 2 11" xfId="18855" xr:uid="{00000000-0005-0000-0000-00008A620000}"/>
    <cellStyle name="Normal 5 2 5 2 11 2" xfId="35284" xr:uid="{00000000-0005-0000-0000-00008B620000}"/>
    <cellStyle name="Normal 5 2 5 2 12" xfId="35282" xr:uid="{00000000-0005-0000-0000-00008C620000}"/>
    <cellStyle name="Normal 5 2 5 2 2" xfId="18856" xr:uid="{00000000-0005-0000-0000-00008D620000}"/>
    <cellStyle name="Normal 5 2 5 2 2 2" xfId="18857" xr:uid="{00000000-0005-0000-0000-00008E620000}"/>
    <cellStyle name="Normal 5 2 5 2 2 2 2" xfId="35286" xr:uid="{00000000-0005-0000-0000-00008F620000}"/>
    <cellStyle name="Normal 5 2 5 2 2 3" xfId="18858" xr:uid="{00000000-0005-0000-0000-000090620000}"/>
    <cellStyle name="Normal 5 2 5 2 2 3 2" xfId="35287" xr:uid="{00000000-0005-0000-0000-000091620000}"/>
    <cellStyle name="Normal 5 2 5 2 2 4" xfId="18859" xr:uid="{00000000-0005-0000-0000-000092620000}"/>
    <cellStyle name="Normal 5 2 5 2 2 4 2" xfId="35288" xr:uid="{00000000-0005-0000-0000-000093620000}"/>
    <cellStyle name="Normal 5 2 5 2 2 5" xfId="18860" xr:uid="{00000000-0005-0000-0000-000094620000}"/>
    <cellStyle name="Normal 5 2 5 2 2 5 2" xfId="35289" xr:uid="{00000000-0005-0000-0000-000095620000}"/>
    <cellStyle name="Normal 5 2 5 2 2 6" xfId="35285" xr:uid="{00000000-0005-0000-0000-000096620000}"/>
    <cellStyle name="Normal 5 2 5 2 3" xfId="18861" xr:uid="{00000000-0005-0000-0000-000097620000}"/>
    <cellStyle name="Normal 5 2 5 2 3 2" xfId="18862" xr:uid="{00000000-0005-0000-0000-000098620000}"/>
    <cellStyle name="Normal 5 2 5 2 3 2 2" xfId="35291" xr:uid="{00000000-0005-0000-0000-000099620000}"/>
    <cellStyle name="Normal 5 2 5 2 3 3" xfId="18863" xr:uid="{00000000-0005-0000-0000-00009A620000}"/>
    <cellStyle name="Normal 5 2 5 2 3 3 2" xfId="35292" xr:uid="{00000000-0005-0000-0000-00009B620000}"/>
    <cellStyle name="Normal 5 2 5 2 3 4" xfId="18864" xr:uid="{00000000-0005-0000-0000-00009C620000}"/>
    <cellStyle name="Normal 5 2 5 2 3 4 2" xfId="35293" xr:uid="{00000000-0005-0000-0000-00009D620000}"/>
    <cellStyle name="Normal 5 2 5 2 3 5" xfId="18865" xr:uid="{00000000-0005-0000-0000-00009E620000}"/>
    <cellStyle name="Normal 5 2 5 2 3 5 2" xfId="35294" xr:uid="{00000000-0005-0000-0000-00009F620000}"/>
    <cellStyle name="Normal 5 2 5 2 3 6" xfId="35290" xr:uid="{00000000-0005-0000-0000-0000A0620000}"/>
    <cellStyle name="Normal 5 2 5 2 4" xfId="18866" xr:uid="{00000000-0005-0000-0000-0000A1620000}"/>
    <cellStyle name="Normal 5 2 5 2 4 2" xfId="18867" xr:uid="{00000000-0005-0000-0000-0000A2620000}"/>
    <cellStyle name="Normal 5 2 5 2 4 2 2" xfId="35296" xr:uid="{00000000-0005-0000-0000-0000A3620000}"/>
    <cellStyle name="Normal 5 2 5 2 4 3" xfId="18868" xr:uid="{00000000-0005-0000-0000-0000A4620000}"/>
    <cellStyle name="Normal 5 2 5 2 4 3 2" xfId="35297" xr:uid="{00000000-0005-0000-0000-0000A5620000}"/>
    <cellStyle name="Normal 5 2 5 2 4 4" xfId="18869" xr:uid="{00000000-0005-0000-0000-0000A6620000}"/>
    <cellStyle name="Normal 5 2 5 2 4 4 2" xfId="35298" xr:uid="{00000000-0005-0000-0000-0000A7620000}"/>
    <cellStyle name="Normal 5 2 5 2 4 5" xfId="18870" xr:uid="{00000000-0005-0000-0000-0000A8620000}"/>
    <cellStyle name="Normal 5 2 5 2 4 5 2" xfId="35299" xr:uid="{00000000-0005-0000-0000-0000A9620000}"/>
    <cellStyle name="Normal 5 2 5 2 4 6" xfId="35295" xr:uid="{00000000-0005-0000-0000-0000AA620000}"/>
    <cellStyle name="Normal 5 2 5 2 5" xfId="18871" xr:uid="{00000000-0005-0000-0000-0000AB620000}"/>
    <cellStyle name="Normal 5 2 5 2 5 2" xfId="18872" xr:uid="{00000000-0005-0000-0000-0000AC620000}"/>
    <cellStyle name="Normal 5 2 5 2 5 2 2" xfId="35301" xr:uid="{00000000-0005-0000-0000-0000AD620000}"/>
    <cellStyle name="Normal 5 2 5 2 5 3" xfId="18873" xr:uid="{00000000-0005-0000-0000-0000AE620000}"/>
    <cellStyle name="Normal 5 2 5 2 5 3 2" xfId="35302" xr:uid="{00000000-0005-0000-0000-0000AF620000}"/>
    <cellStyle name="Normal 5 2 5 2 5 4" xfId="18874" xr:uid="{00000000-0005-0000-0000-0000B0620000}"/>
    <cellStyle name="Normal 5 2 5 2 5 4 2" xfId="35303" xr:uid="{00000000-0005-0000-0000-0000B1620000}"/>
    <cellStyle name="Normal 5 2 5 2 5 5" xfId="18875" xr:uid="{00000000-0005-0000-0000-0000B2620000}"/>
    <cellStyle name="Normal 5 2 5 2 5 5 2" xfId="35304" xr:uid="{00000000-0005-0000-0000-0000B3620000}"/>
    <cellStyle name="Normal 5 2 5 2 5 6" xfId="35300" xr:uid="{00000000-0005-0000-0000-0000B4620000}"/>
    <cellStyle name="Normal 5 2 5 2 6" xfId="18876" xr:uid="{00000000-0005-0000-0000-0000B5620000}"/>
    <cellStyle name="Normal 5 2 5 2 6 2" xfId="18877" xr:uid="{00000000-0005-0000-0000-0000B6620000}"/>
    <cellStyle name="Normal 5 2 5 2 6 2 2" xfId="35306" xr:uid="{00000000-0005-0000-0000-0000B7620000}"/>
    <cellStyle name="Normal 5 2 5 2 6 3" xfId="18878" xr:uid="{00000000-0005-0000-0000-0000B8620000}"/>
    <cellStyle name="Normal 5 2 5 2 6 3 2" xfId="35307" xr:uid="{00000000-0005-0000-0000-0000B9620000}"/>
    <cellStyle name="Normal 5 2 5 2 6 4" xfId="18879" xr:uid="{00000000-0005-0000-0000-0000BA620000}"/>
    <cellStyle name="Normal 5 2 5 2 6 4 2" xfId="35308" xr:uid="{00000000-0005-0000-0000-0000BB620000}"/>
    <cellStyle name="Normal 5 2 5 2 6 5" xfId="18880" xr:uid="{00000000-0005-0000-0000-0000BC620000}"/>
    <cellStyle name="Normal 5 2 5 2 6 5 2" xfId="35309" xr:uid="{00000000-0005-0000-0000-0000BD620000}"/>
    <cellStyle name="Normal 5 2 5 2 6 6" xfId="35305" xr:uid="{00000000-0005-0000-0000-0000BE620000}"/>
    <cellStyle name="Normal 5 2 5 2 7" xfId="18881" xr:uid="{00000000-0005-0000-0000-0000BF620000}"/>
    <cellStyle name="Normal 5 2 5 2 7 2" xfId="18882" xr:uid="{00000000-0005-0000-0000-0000C0620000}"/>
    <cellStyle name="Normal 5 2 5 2 7 2 2" xfId="35311" xr:uid="{00000000-0005-0000-0000-0000C1620000}"/>
    <cellStyle name="Normal 5 2 5 2 7 3" xfId="18883" xr:uid="{00000000-0005-0000-0000-0000C2620000}"/>
    <cellStyle name="Normal 5 2 5 2 7 3 2" xfId="35312" xr:uid="{00000000-0005-0000-0000-0000C3620000}"/>
    <cellStyle name="Normal 5 2 5 2 7 4" xfId="18884" xr:uid="{00000000-0005-0000-0000-0000C4620000}"/>
    <cellStyle name="Normal 5 2 5 2 7 4 2" xfId="35313" xr:uid="{00000000-0005-0000-0000-0000C5620000}"/>
    <cellStyle name="Normal 5 2 5 2 7 5" xfId="18885" xr:uid="{00000000-0005-0000-0000-0000C6620000}"/>
    <cellStyle name="Normal 5 2 5 2 7 5 2" xfId="35314" xr:uid="{00000000-0005-0000-0000-0000C7620000}"/>
    <cellStyle name="Normal 5 2 5 2 7 6" xfId="35310" xr:uid="{00000000-0005-0000-0000-0000C8620000}"/>
    <cellStyle name="Normal 5 2 5 2 8" xfId="18886" xr:uid="{00000000-0005-0000-0000-0000C9620000}"/>
    <cellStyle name="Normal 5 2 5 2 8 2" xfId="35315" xr:uid="{00000000-0005-0000-0000-0000CA620000}"/>
    <cellStyle name="Normal 5 2 5 2 9" xfId="18887" xr:uid="{00000000-0005-0000-0000-0000CB620000}"/>
    <cellStyle name="Normal 5 2 5 2 9 2" xfId="35316" xr:uid="{00000000-0005-0000-0000-0000CC620000}"/>
    <cellStyle name="Normal 5 2 5 20" xfId="18888" xr:uid="{00000000-0005-0000-0000-0000CD620000}"/>
    <cellStyle name="Normal 5 2 5 20 2" xfId="35317" xr:uid="{00000000-0005-0000-0000-0000CE620000}"/>
    <cellStyle name="Normal 5 2 5 21" xfId="35243" xr:uid="{00000000-0005-0000-0000-0000CF620000}"/>
    <cellStyle name="Normal 5 2 5 3" xfId="18889" xr:uid="{00000000-0005-0000-0000-0000D0620000}"/>
    <cellStyle name="Normal 5 2 5 3 2" xfId="18890" xr:uid="{00000000-0005-0000-0000-0000D1620000}"/>
    <cellStyle name="Normal 5 2 5 3 2 2" xfId="18891" xr:uid="{00000000-0005-0000-0000-0000D2620000}"/>
    <cellStyle name="Normal 5 2 5 3 2 2 2" xfId="35320" xr:uid="{00000000-0005-0000-0000-0000D3620000}"/>
    <cellStyle name="Normal 5 2 5 3 2 3" xfId="18892" xr:uid="{00000000-0005-0000-0000-0000D4620000}"/>
    <cellStyle name="Normal 5 2 5 3 2 3 2" xfId="35321" xr:uid="{00000000-0005-0000-0000-0000D5620000}"/>
    <cellStyle name="Normal 5 2 5 3 2 4" xfId="18893" xr:uid="{00000000-0005-0000-0000-0000D6620000}"/>
    <cellStyle name="Normal 5 2 5 3 2 4 2" xfId="35322" xr:uid="{00000000-0005-0000-0000-0000D7620000}"/>
    <cellStyle name="Normal 5 2 5 3 2 5" xfId="18894" xr:uid="{00000000-0005-0000-0000-0000D8620000}"/>
    <cellStyle name="Normal 5 2 5 3 2 5 2" xfId="35323" xr:uid="{00000000-0005-0000-0000-0000D9620000}"/>
    <cellStyle name="Normal 5 2 5 3 2 6" xfId="35319" xr:uid="{00000000-0005-0000-0000-0000DA620000}"/>
    <cellStyle name="Normal 5 2 5 3 3" xfId="18895" xr:uid="{00000000-0005-0000-0000-0000DB620000}"/>
    <cellStyle name="Normal 5 2 5 3 3 2" xfId="35324" xr:uid="{00000000-0005-0000-0000-0000DC620000}"/>
    <cellStyle name="Normal 5 2 5 3 4" xfId="18896" xr:uid="{00000000-0005-0000-0000-0000DD620000}"/>
    <cellStyle name="Normal 5 2 5 3 4 2" xfId="35325" xr:uid="{00000000-0005-0000-0000-0000DE620000}"/>
    <cellStyle name="Normal 5 2 5 3 5" xfId="18897" xr:uid="{00000000-0005-0000-0000-0000DF620000}"/>
    <cellStyle name="Normal 5 2 5 3 5 2" xfId="35326" xr:uid="{00000000-0005-0000-0000-0000E0620000}"/>
    <cellStyle name="Normal 5 2 5 3 6" xfId="18898" xr:uid="{00000000-0005-0000-0000-0000E1620000}"/>
    <cellStyle name="Normal 5 2 5 3 6 2" xfId="35327" xr:uid="{00000000-0005-0000-0000-0000E2620000}"/>
    <cellStyle name="Normal 5 2 5 3 7" xfId="35318" xr:uid="{00000000-0005-0000-0000-0000E3620000}"/>
    <cellStyle name="Normal 5 2 5 4" xfId="18899" xr:uid="{00000000-0005-0000-0000-0000E4620000}"/>
    <cellStyle name="Normal 5 2 5 4 2" xfId="18900" xr:uid="{00000000-0005-0000-0000-0000E5620000}"/>
    <cellStyle name="Normal 5 2 5 4 2 2" xfId="18901" xr:uid="{00000000-0005-0000-0000-0000E6620000}"/>
    <cellStyle name="Normal 5 2 5 4 2 2 2" xfId="35330" xr:uid="{00000000-0005-0000-0000-0000E7620000}"/>
    <cellStyle name="Normal 5 2 5 4 2 3" xfId="18902" xr:uid="{00000000-0005-0000-0000-0000E8620000}"/>
    <cellStyle name="Normal 5 2 5 4 2 3 2" xfId="35331" xr:uid="{00000000-0005-0000-0000-0000E9620000}"/>
    <cellStyle name="Normal 5 2 5 4 2 4" xfId="18903" xr:uid="{00000000-0005-0000-0000-0000EA620000}"/>
    <cellStyle name="Normal 5 2 5 4 2 4 2" xfId="35332" xr:uid="{00000000-0005-0000-0000-0000EB620000}"/>
    <cellStyle name="Normal 5 2 5 4 2 5" xfId="18904" xr:uid="{00000000-0005-0000-0000-0000EC620000}"/>
    <cellStyle name="Normal 5 2 5 4 2 5 2" xfId="35333" xr:uid="{00000000-0005-0000-0000-0000ED620000}"/>
    <cellStyle name="Normal 5 2 5 4 2 6" xfId="35329" xr:uid="{00000000-0005-0000-0000-0000EE620000}"/>
    <cellStyle name="Normal 5 2 5 4 3" xfId="18905" xr:uid="{00000000-0005-0000-0000-0000EF620000}"/>
    <cellStyle name="Normal 5 2 5 4 3 2" xfId="35334" xr:uid="{00000000-0005-0000-0000-0000F0620000}"/>
    <cellStyle name="Normal 5 2 5 4 4" xfId="18906" xr:uid="{00000000-0005-0000-0000-0000F1620000}"/>
    <cellStyle name="Normal 5 2 5 4 4 2" xfId="35335" xr:uid="{00000000-0005-0000-0000-0000F2620000}"/>
    <cellStyle name="Normal 5 2 5 4 5" xfId="18907" xr:uid="{00000000-0005-0000-0000-0000F3620000}"/>
    <cellStyle name="Normal 5 2 5 4 5 2" xfId="35336" xr:uid="{00000000-0005-0000-0000-0000F4620000}"/>
    <cellStyle name="Normal 5 2 5 4 6" xfId="18908" xr:uid="{00000000-0005-0000-0000-0000F5620000}"/>
    <cellStyle name="Normal 5 2 5 4 6 2" xfId="35337" xr:uid="{00000000-0005-0000-0000-0000F6620000}"/>
    <cellStyle name="Normal 5 2 5 4 7" xfId="35328" xr:uid="{00000000-0005-0000-0000-0000F7620000}"/>
    <cellStyle name="Normal 5 2 5 5" xfId="18909" xr:uid="{00000000-0005-0000-0000-0000F8620000}"/>
    <cellStyle name="Normal 5 2 5 5 2" xfId="18910" xr:uid="{00000000-0005-0000-0000-0000F9620000}"/>
    <cellStyle name="Normal 5 2 5 5 2 2" xfId="35339" xr:uid="{00000000-0005-0000-0000-0000FA620000}"/>
    <cellStyle name="Normal 5 2 5 5 3" xfId="18911" xr:uid="{00000000-0005-0000-0000-0000FB620000}"/>
    <cellStyle name="Normal 5 2 5 5 3 2" xfId="35340" xr:uid="{00000000-0005-0000-0000-0000FC620000}"/>
    <cellStyle name="Normal 5 2 5 5 4" xfId="18912" xr:uid="{00000000-0005-0000-0000-0000FD620000}"/>
    <cellStyle name="Normal 5 2 5 5 4 2" xfId="35341" xr:uid="{00000000-0005-0000-0000-0000FE620000}"/>
    <cellStyle name="Normal 5 2 5 5 5" xfId="18913" xr:uid="{00000000-0005-0000-0000-0000FF620000}"/>
    <cellStyle name="Normal 5 2 5 5 5 2" xfId="35342" xr:uid="{00000000-0005-0000-0000-000000630000}"/>
    <cellStyle name="Normal 5 2 5 5 6" xfId="35338" xr:uid="{00000000-0005-0000-0000-000001630000}"/>
    <cellStyle name="Normal 5 2 5 6" xfId="18914" xr:uid="{00000000-0005-0000-0000-000002630000}"/>
    <cellStyle name="Normal 5 2 5 6 2" xfId="18915" xr:uid="{00000000-0005-0000-0000-000003630000}"/>
    <cellStyle name="Normal 5 2 5 6 2 2" xfId="35344" xr:uid="{00000000-0005-0000-0000-000004630000}"/>
    <cellStyle name="Normal 5 2 5 6 3" xfId="18916" xr:uid="{00000000-0005-0000-0000-000005630000}"/>
    <cellStyle name="Normal 5 2 5 6 3 2" xfId="35345" xr:uid="{00000000-0005-0000-0000-000006630000}"/>
    <cellStyle name="Normal 5 2 5 6 4" xfId="18917" xr:uid="{00000000-0005-0000-0000-000007630000}"/>
    <cellStyle name="Normal 5 2 5 6 4 2" xfId="35346" xr:uid="{00000000-0005-0000-0000-000008630000}"/>
    <cellStyle name="Normal 5 2 5 6 5" xfId="18918" xr:uid="{00000000-0005-0000-0000-000009630000}"/>
    <cellStyle name="Normal 5 2 5 6 5 2" xfId="35347" xr:uid="{00000000-0005-0000-0000-00000A630000}"/>
    <cellStyle name="Normal 5 2 5 6 6" xfId="35343" xr:uid="{00000000-0005-0000-0000-00000B630000}"/>
    <cellStyle name="Normal 5 2 5 7" xfId="18919" xr:uid="{00000000-0005-0000-0000-00000C630000}"/>
    <cellStyle name="Normal 5 2 5 7 2" xfId="18920" xr:uid="{00000000-0005-0000-0000-00000D630000}"/>
    <cellStyle name="Normal 5 2 5 7 2 2" xfId="35349" xr:uid="{00000000-0005-0000-0000-00000E630000}"/>
    <cellStyle name="Normal 5 2 5 7 3" xfId="18921" xr:uid="{00000000-0005-0000-0000-00000F630000}"/>
    <cellStyle name="Normal 5 2 5 7 3 2" xfId="35350" xr:uid="{00000000-0005-0000-0000-000010630000}"/>
    <cellStyle name="Normal 5 2 5 7 4" xfId="18922" xr:uid="{00000000-0005-0000-0000-000011630000}"/>
    <cellStyle name="Normal 5 2 5 7 4 2" xfId="35351" xr:uid="{00000000-0005-0000-0000-000012630000}"/>
    <cellStyle name="Normal 5 2 5 7 5" xfId="18923" xr:uid="{00000000-0005-0000-0000-000013630000}"/>
    <cellStyle name="Normal 5 2 5 7 5 2" xfId="35352" xr:uid="{00000000-0005-0000-0000-000014630000}"/>
    <cellStyle name="Normal 5 2 5 7 6" xfId="35348" xr:uid="{00000000-0005-0000-0000-000015630000}"/>
    <cellStyle name="Normal 5 2 5 8" xfId="18924" xr:uid="{00000000-0005-0000-0000-000016630000}"/>
    <cellStyle name="Normal 5 2 5 8 2" xfId="18925" xr:uid="{00000000-0005-0000-0000-000017630000}"/>
    <cellStyle name="Normal 5 2 5 8 2 2" xfId="35354" xr:uid="{00000000-0005-0000-0000-000018630000}"/>
    <cellStyle name="Normal 5 2 5 8 3" xfId="18926" xr:uid="{00000000-0005-0000-0000-000019630000}"/>
    <cellStyle name="Normal 5 2 5 8 3 2" xfId="35355" xr:uid="{00000000-0005-0000-0000-00001A630000}"/>
    <cellStyle name="Normal 5 2 5 8 4" xfId="18927" xr:uid="{00000000-0005-0000-0000-00001B630000}"/>
    <cellStyle name="Normal 5 2 5 8 4 2" xfId="35356" xr:uid="{00000000-0005-0000-0000-00001C630000}"/>
    <cellStyle name="Normal 5 2 5 8 5" xfId="18928" xr:uid="{00000000-0005-0000-0000-00001D630000}"/>
    <cellStyle name="Normal 5 2 5 8 5 2" xfId="35357" xr:uid="{00000000-0005-0000-0000-00001E630000}"/>
    <cellStyle name="Normal 5 2 5 8 6" xfId="35353" xr:uid="{00000000-0005-0000-0000-00001F630000}"/>
    <cellStyle name="Normal 5 2 5 9" xfId="18929" xr:uid="{00000000-0005-0000-0000-000020630000}"/>
    <cellStyle name="Normal 5 2 5 9 2" xfId="18930" xr:uid="{00000000-0005-0000-0000-000021630000}"/>
    <cellStyle name="Normal 5 2 5 9 2 2" xfId="35359" xr:uid="{00000000-0005-0000-0000-000022630000}"/>
    <cellStyle name="Normal 5 2 5 9 3" xfId="18931" xr:uid="{00000000-0005-0000-0000-000023630000}"/>
    <cellStyle name="Normal 5 2 5 9 3 2" xfId="35360" xr:uid="{00000000-0005-0000-0000-000024630000}"/>
    <cellStyle name="Normal 5 2 5 9 4" xfId="18932" xr:uid="{00000000-0005-0000-0000-000025630000}"/>
    <cellStyle name="Normal 5 2 5 9 4 2" xfId="35361" xr:uid="{00000000-0005-0000-0000-000026630000}"/>
    <cellStyle name="Normal 5 2 5 9 5" xfId="18933" xr:uid="{00000000-0005-0000-0000-000027630000}"/>
    <cellStyle name="Normal 5 2 5 9 5 2" xfId="35362" xr:uid="{00000000-0005-0000-0000-000028630000}"/>
    <cellStyle name="Normal 5 2 5 9 6" xfId="35358" xr:uid="{00000000-0005-0000-0000-000029630000}"/>
    <cellStyle name="Normal 5 2 6" xfId="18934" xr:uid="{00000000-0005-0000-0000-00002A630000}"/>
    <cellStyle name="Normal 5 2 7" xfId="18935" xr:uid="{00000000-0005-0000-0000-00002B630000}"/>
    <cellStyle name="Normal 5 2 8" xfId="18936" xr:uid="{00000000-0005-0000-0000-00002C630000}"/>
    <cellStyle name="Normal 5 2 8 10" xfId="18937" xr:uid="{00000000-0005-0000-0000-00002D630000}"/>
    <cellStyle name="Normal 5 2 8 10 2" xfId="18938" xr:uid="{00000000-0005-0000-0000-00002E630000}"/>
    <cellStyle name="Normal 5 2 8 10 2 2" xfId="35365" xr:uid="{00000000-0005-0000-0000-00002F630000}"/>
    <cellStyle name="Normal 5 2 8 10 3" xfId="18939" xr:uid="{00000000-0005-0000-0000-000030630000}"/>
    <cellStyle name="Normal 5 2 8 10 3 2" xfId="35366" xr:uid="{00000000-0005-0000-0000-000031630000}"/>
    <cellStyle name="Normal 5 2 8 10 4" xfId="18940" xr:uid="{00000000-0005-0000-0000-000032630000}"/>
    <cellStyle name="Normal 5 2 8 10 4 2" xfId="35367" xr:uid="{00000000-0005-0000-0000-000033630000}"/>
    <cellStyle name="Normal 5 2 8 10 5" xfId="18941" xr:uid="{00000000-0005-0000-0000-000034630000}"/>
    <cellStyle name="Normal 5 2 8 10 5 2" xfId="35368" xr:uid="{00000000-0005-0000-0000-000035630000}"/>
    <cellStyle name="Normal 5 2 8 10 6" xfId="35364" xr:uid="{00000000-0005-0000-0000-000036630000}"/>
    <cellStyle name="Normal 5 2 8 11" xfId="18942" xr:uid="{00000000-0005-0000-0000-000037630000}"/>
    <cellStyle name="Normal 5 2 8 11 2" xfId="18943" xr:uid="{00000000-0005-0000-0000-000038630000}"/>
    <cellStyle name="Normal 5 2 8 11 2 2" xfId="35370" xr:uid="{00000000-0005-0000-0000-000039630000}"/>
    <cellStyle name="Normal 5 2 8 11 3" xfId="18944" xr:uid="{00000000-0005-0000-0000-00003A630000}"/>
    <cellStyle name="Normal 5 2 8 11 3 2" xfId="35371" xr:uid="{00000000-0005-0000-0000-00003B630000}"/>
    <cellStyle name="Normal 5 2 8 11 4" xfId="18945" xr:uid="{00000000-0005-0000-0000-00003C630000}"/>
    <cellStyle name="Normal 5 2 8 11 4 2" xfId="35372" xr:uid="{00000000-0005-0000-0000-00003D630000}"/>
    <cellStyle name="Normal 5 2 8 11 5" xfId="18946" xr:uid="{00000000-0005-0000-0000-00003E630000}"/>
    <cellStyle name="Normal 5 2 8 11 5 2" xfId="35373" xr:uid="{00000000-0005-0000-0000-00003F630000}"/>
    <cellStyle name="Normal 5 2 8 11 6" xfId="35369" xr:uid="{00000000-0005-0000-0000-000040630000}"/>
    <cellStyle name="Normal 5 2 8 12" xfId="18947" xr:uid="{00000000-0005-0000-0000-000041630000}"/>
    <cellStyle name="Normal 5 2 8 12 2" xfId="18948" xr:uid="{00000000-0005-0000-0000-000042630000}"/>
    <cellStyle name="Normal 5 2 8 12 2 2" xfId="35375" xr:uid="{00000000-0005-0000-0000-000043630000}"/>
    <cellStyle name="Normal 5 2 8 12 3" xfId="18949" xr:uid="{00000000-0005-0000-0000-000044630000}"/>
    <cellStyle name="Normal 5 2 8 12 3 2" xfId="35376" xr:uid="{00000000-0005-0000-0000-000045630000}"/>
    <cellStyle name="Normal 5 2 8 12 4" xfId="18950" xr:uid="{00000000-0005-0000-0000-000046630000}"/>
    <cellStyle name="Normal 5 2 8 12 4 2" xfId="35377" xr:uid="{00000000-0005-0000-0000-000047630000}"/>
    <cellStyle name="Normal 5 2 8 12 5" xfId="18951" xr:uid="{00000000-0005-0000-0000-000048630000}"/>
    <cellStyle name="Normal 5 2 8 12 5 2" xfId="35378" xr:uid="{00000000-0005-0000-0000-000049630000}"/>
    <cellStyle name="Normal 5 2 8 12 6" xfId="35374" xr:uid="{00000000-0005-0000-0000-00004A630000}"/>
    <cellStyle name="Normal 5 2 8 13" xfId="18952" xr:uid="{00000000-0005-0000-0000-00004B630000}"/>
    <cellStyle name="Normal 5 2 8 13 2" xfId="18953" xr:uid="{00000000-0005-0000-0000-00004C630000}"/>
    <cellStyle name="Normal 5 2 8 13 2 2" xfId="35380" xr:uid="{00000000-0005-0000-0000-00004D630000}"/>
    <cellStyle name="Normal 5 2 8 13 3" xfId="18954" xr:uid="{00000000-0005-0000-0000-00004E630000}"/>
    <cellStyle name="Normal 5 2 8 13 3 2" xfId="35381" xr:uid="{00000000-0005-0000-0000-00004F630000}"/>
    <cellStyle name="Normal 5 2 8 13 4" xfId="18955" xr:uid="{00000000-0005-0000-0000-000050630000}"/>
    <cellStyle name="Normal 5 2 8 13 4 2" xfId="35382" xr:uid="{00000000-0005-0000-0000-000051630000}"/>
    <cellStyle name="Normal 5 2 8 13 5" xfId="18956" xr:uid="{00000000-0005-0000-0000-000052630000}"/>
    <cellStyle name="Normal 5 2 8 13 5 2" xfId="35383" xr:uid="{00000000-0005-0000-0000-000053630000}"/>
    <cellStyle name="Normal 5 2 8 13 6" xfId="35379" xr:uid="{00000000-0005-0000-0000-000054630000}"/>
    <cellStyle name="Normal 5 2 8 14" xfId="18957" xr:uid="{00000000-0005-0000-0000-000055630000}"/>
    <cellStyle name="Normal 5 2 8 14 2" xfId="18958" xr:uid="{00000000-0005-0000-0000-000056630000}"/>
    <cellStyle name="Normal 5 2 8 14 2 2" xfId="35385" xr:uid="{00000000-0005-0000-0000-000057630000}"/>
    <cellStyle name="Normal 5 2 8 14 3" xfId="18959" xr:uid="{00000000-0005-0000-0000-000058630000}"/>
    <cellStyle name="Normal 5 2 8 14 3 2" xfId="35386" xr:uid="{00000000-0005-0000-0000-000059630000}"/>
    <cellStyle name="Normal 5 2 8 14 4" xfId="18960" xr:uid="{00000000-0005-0000-0000-00005A630000}"/>
    <cellStyle name="Normal 5 2 8 14 4 2" xfId="35387" xr:uid="{00000000-0005-0000-0000-00005B630000}"/>
    <cellStyle name="Normal 5 2 8 14 5" xfId="18961" xr:uid="{00000000-0005-0000-0000-00005C630000}"/>
    <cellStyle name="Normal 5 2 8 14 5 2" xfId="35388" xr:uid="{00000000-0005-0000-0000-00005D630000}"/>
    <cellStyle name="Normal 5 2 8 14 6" xfId="35384" xr:uid="{00000000-0005-0000-0000-00005E630000}"/>
    <cellStyle name="Normal 5 2 8 15" xfId="18962" xr:uid="{00000000-0005-0000-0000-00005F630000}"/>
    <cellStyle name="Normal 5 2 8 15 2" xfId="18963" xr:uid="{00000000-0005-0000-0000-000060630000}"/>
    <cellStyle name="Normal 5 2 8 15 2 2" xfId="35390" xr:uid="{00000000-0005-0000-0000-000061630000}"/>
    <cellStyle name="Normal 5 2 8 15 3" xfId="18964" xr:uid="{00000000-0005-0000-0000-000062630000}"/>
    <cellStyle name="Normal 5 2 8 15 3 2" xfId="35391" xr:uid="{00000000-0005-0000-0000-000063630000}"/>
    <cellStyle name="Normal 5 2 8 15 4" xfId="18965" xr:uid="{00000000-0005-0000-0000-000064630000}"/>
    <cellStyle name="Normal 5 2 8 15 4 2" xfId="35392" xr:uid="{00000000-0005-0000-0000-000065630000}"/>
    <cellStyle name="Normal 5 2 8 15 5" xfId="18966" xr:uid="{00000000-0005-0000-0000-000066630000}"/>
    <cellStyle name="Normal 5 2 8 15 5 2" xfId="35393" xr:uid="{00000000-0005-0000-0000-000067630000}"/>
    <cellStyle name="Normal 5 2 8 15 6" xfId="35389" xr:uid="{00000000-0005-0000-0000-000068630000}"/>
    <cellStyle name="Normal 5 2 8 16" xfId="18967" xr:uid="{00000000-0005-0000-0000-000069630000}"/>
    <cellStyle name="Normal 5 2 8 16 2" xfId="18968" xr:uid="{00000000-0005-0000-0000-00006A630000}"/>
    <cellStyle name="Normal 5 2 8 16 2 2" xfId="35395" xr:uid="{00000000-0005-0000-0000-00006B630000}"/>
    <cellStyle name="Normal 5 2 8 16 3" xfId="18969" xr:uid="{00000000-0005-0000-0000-00006C630000}"/>
    <cellStyle name="Normal 5 2 8 16 3 2" xfId="35396" xr:uid="{00000000-0005-0000-0000-00006D630000}"/>
    <cellStyle name="Normal 5 2 8 16 4" xfId="18970" xr:uid="{00000000-0005-0000-0000-00006E630000}"/>
    <cellStyle name="Normal 5 2 8 16 4 2" xfId="35397" xr:uid="{00000000-0005-0000-0000-00006F630000}"/>
    <cellStyle name="Normal 5 2 8 16 5" xfId="18971" xr:uid="{00000000-0005-0000-0000-000070630000}"/>
    <cellStyle name="Normal 5 2 8 16 5 2" xfId="35398" xr:uid="{00000000-0005-0000-0000-000071630000}"/>
    <cellStyle name="Normal 5 2 8 16 6" xfId="35394" xr:uid="{00000000-0005-0000-0000-000072630000}"/>
    <cellStyle name="Normal 5 2 8 17" xfId="18972" xr:uid="{00000000-0005-0000-0000-000073630000}"/>
    <cellStyle name="Normal 5 2 8 17 2" xfId="35399" xr:uid="{00000000-0005-0000-0000-000074630000}"/>
    <cellStyle name="Normal 5 2 8 18" xfId="18973" xr:uid="{00000000-0005-0000-0000-000075630000}"/>
    <cellStyle name="Normal 5 2 8 18 2" xfId="35400" xr:uid="{00000000-0005-0000-0000-000076630000}"/>
    <cellStyle name="Normal 5 2 8 19" xfId="18974" xr:uid="{00000000-0005-0000-0000-000077630000}"/>
    <cellStyle name="Normal 5 2 8 19 2" xfId="35401" xr:uid="{00000000-0005-0000-0000-000078630000}"/>
    <cellStyle name="Normal 5 2 8 2" xfId="18975" xr:uid="{00000000-0005-0000-0000-000079630000}"/>
    <cellStyle name="Normal 5 2 8 20" xfId="18976" xr:uid="{00000000-0005-0000-0000-00007A630000}"/>
    <cellStyle name="Normal 5 2 8 20 2" xfId="35402" xr:uid="{00000000-0005-0000-0000-00007B630000}"/>
    <cellStyle name="Normal 5 2 8 21" xfId="35363" xr:uid="{00000000-0005-0000-0000-00007C630000}"/>
    <cellStyle name="Normal 5 2 8 3" xfId="18977" xr:uid="{00000000-0005-0000-0000-00007D630000}"/>
    <cellStyle name="Normal 5 2 8 3 2" xfId="18978" xr:uid="{00000000-0005-0000-0000-00007E630000}"/>
    <cellStyle name="Normal 5 2 8 3 2 2" xfId="35404" xr:uid="{00000000-0005-0000-0000-00007F630000}"/>
    <cellStyle name="Normal 5 2 8 3 3" xfId="18979" xr:uid="{00000000-0005-0000-0000-000080630000}"/>
    <cellStyle name="Normal 5 2 8 3 3 2" xfId="35405" xr:uid="{00000000-0005-0000-0000-000081630000}"/>
    <cellStyle name="Normal 5 2 8 3 4" xfId="18980" xr:uid="{00000000-0005-0000-0000-000082630000}"/>
    <cellStyle name="Normal 5 2 8 3 4 2" xfId="35406" xr:uid="{00000000-0005-0000-0000-000083630000}"/>
    <cellStyle name="Normal 5 2 8 3 5" xfId="18981" xr:uid="{00000000-0005-0000-0000-000084630000}"/>
    <cellStyle name="Normal 5 2 8 3 5 2" xfId="35407" xr:uid="{00000000-0005-0000-0000-000085630000}"/>
    <cellStyle name="Normal 5 2 8 3 6" xfId="35403" xr:uid="{00000000-0005-0000-0000-000086630000}"/>
    <cellStyle name="Normal 5 2 8 4" xfId="18982" xr:uid="{00000000-0005-0000-0000-000087630000}"/>
    <cellStyle name="Normal 5 2 8 4 2" xfId="18983" xr:uid="{00000000-0005-0000-0000-000088630000}"/>
    <cellStyle name="Normal 5 2 8 4 2 2" xfId="35409" xr:uid="{00000000-0005-0000-0000-000089630000}"/>
    <cellStyle name="Normal 5 2 8 4 3" xfId="18984" xr:uid="{00000000-0005-0000-0000-00008A630000}"/>
    <cellStyle name="Normal 5 2 8 4 3 2" xfId="35410" xr:uid="{00000000-0005-0000-0000-00008B630000}"/>
    <cellStyle name="Normal 5 2 8 4 4" xfId="18985" xr:uid="{00000000-0005-0000-0000-00008C630000}"/>
    <cellStyle name="Normal 5 2 8 4 4 2" xfId="35411" xr:uid="{00000000-0005-0000-0000-00008D630000}"/>
    <cellStyle name="Normal 5 2 8 4 5" xfId="18986" xr:uid="{00000000-0005-0000-0000-00008E630000}"/>
    <cellStyle name="Normal 5 2 8 4 5 2" xfId="35412" xr:uid="{00000000-0005-0000-0000-00008F630000}"/>
    <cellStyle name="Normal 5 2 8 4 6" xfId="35408" xr:uid="{00000000-0005-0000-0000-000090630000}"/>
    <cellStyle name="Normal 5 2 8 5" xfId="18987" xr:uid="{00000000-0005-0000-0000-000091630000}"/>
    <cellStyle name="Normal 5 2 8 5 2" xfId="18988" xr:uid="{00000000-0005-0000-0000-000092630000}"/>
    <cellStyle name="Normal 5 2 8 5 2 2" xfId="35414" xr:uid="{00000000-0005-0000-0000-000093630000}"/>
    <cellStyle name="Normal 5 2 8 5 3" xfId="18989" xr:uid="{00000000-0005-0000-0000-000094630000}"/>
    <cellStyle name="Normal 5 2 8 5 3 2" xfId="35415" xr:uid="{00000000-0005-0000-0000-000095630000}"/>
    <cellStyle name="Normal 5 2 8 5 4" xfId="18990" xr:uid="{00000000-0005-0000-0000-000096630000}"/>
    <cellStyle name="Normal 5 2 8 5 4 2" xfId="35416" xr:uid="{00000000-0005-0000-0000-000097630000}"/>
    <cellStyle name="Normal 5 2 8 5 5" xfId="18991" xr:uid="{00000000-0005-0000-0000-000098630000}"/>
    <cellStyle name="Normal 5 2 8 5 5 2" xfId="35417" xr:uid="{00000000-0005-0000-0000-000099630000}"/>
    <cellStyle name="Normal 5 2 8 5 6" xfId="35413" xr:uid="{00000000-0005-0000-0000-00009A630000}"/>
    <cellStyle name="Normal 5 2 8 6" xfId="18992" xr:uid="{00000000-0005-0000-0000-00009B630000}"/>
    <cellStyle name="Normal 5 2 8 6 2" xfId="18993" xr:uid="{00000000-0005-0000-0000-00009C630000}"/>
    <cellStyle name="Normal 5 2 8 6 2 2" xfId="35419" xr:uid="{00000000-0005-0000-0000-00009D630000}"/>
    <cellStyle name="Normal 5 2 8 6 3" xfId="18994" xr:uid="{00000000-0005-0000-0000-00009E630000}"/>
    <cellStyle name="Normal 5 2 8 6 3 2" xfId="35420" xr:uid="{00000000-0005-0000-0000-00009F630000}"/>
    <cellStyle name="Normal 5 2 8 6 4" xfId="18995" xr:uid="{00000000-0005-0000-0000-0000A0630000}"/>
    <cellStyle name="Normal 5 2 8 6 4 2" xfId="35421" xr:uid="{00000000-0005-0000-0000-0000A1630000}"/>
    <cellStyle name="Normal 5 2 8 6 5" xfId="18996" xr:uid="{00000000-0005-0000-0000-0000A2630000}"/>
    <cellStyle name="Normal 5 2 8 6 5 2" xfId="35422" xr:uid="{00000000-0005-0000-0000-0000A3630000}"/>
    <cellStyle name="Normal 5 2 8 6 6" xfId="35418" xr:uid="{00000000-0005-0000-0000-0000A4630000}"/>
    <cellStyle name="Normal 5 2 8 7" xfId="18997" xr:uid="{00000000-0005-0000-0000-0000A5630000}"/>
    <cellStyle name="Normal 5 2 8 7 2" xfId="18998" xr:uid="{00000000-0005-0000-0000-0000A6630000}"/>
    <cellStyle name="Normal 5 2 8 7 2 2" xfId="35424" xr:uid="{00000000-0005-0000-0000-0000A7630000}"/>
    <cellStyle name="Normal 5 2 8 7 3" xfId="18999" xr:uid="{00000000-0005-0000-0000-0000A8630000}"/>
    <cellStyle name="Normal 5 2 8 7 3 2" xfId="35425" xr:uid="{00000000-0005-0000-0000-0000A9630000}"/>
    <cellStyle name="Normal 5 2 8 7 4" xfId="19000" xr:uid="{00000000-0005-0000-0000-0000AA630000}"/>
    <cellStyle name="Normal 5 2 8 7 4 2" xfId="35426" xr:uid="{00000000-0005-0000-0000-0000AB630000}"/>
    <cellStyle name="Normal 5 2 8 7 5" xfId="19001" xr:uid="{00000000-0005-0000-0000-0000AC630000}"/>
    <cellStyle name="Normal 5 2 8 7 5 2" xfId="35427" xr:uid="{00000000-0005-0000-0000-0000AD630000}"/>
    <cellStyle name="Normal 5 2 8 7 6" xfId="35423" xr:uid="{00000000-0005-0000-0000-0000AE630000}"/>
    <cellStyle name="Normal 5 2 8 8" xfId="19002" xr:uid="{00000000-0005-0000-0000-0000AF630000}"/>
    <cellStyle name="Normal 5 2 8 8 2" xfId="19003" xr:uid="{00000000-0005-0000-0000-0000B0630000}"/>
    <cellStyle name="Normal 5 2 8 8 2 2" xfId="35429" xr:uid="{00000000-0005-0000-0000-0000B1630000}"/>
    <cellStyle name="Normal 5 2 8 8 3" xfId="19004" xr:uid="{00000000-0005-0000-0000-0000B2630000}"/>
    <cellStyle name="Normal 5 2 8 8 3 2" xfId="35430" xr:uid="{00000000-0005-0000-0000-0000B3630000}"/>
    <cellStyle name="Normal 5 2 8 8 4" xfId="19005" xr:uid="{00000000-0005-0000-0000-0000B4630000}"/>
    <cellStyle name="Normal 5 2 8 8 4 2" xfId="35431" xr:uid="{00000000-0005-0000-0000-0000B5630000}"/>
    <cellStyle name="Normal 5 2 8 8 5" xfId="19006" xr:uid="{00000000-0005-0000-0000-0000B6630000}"/>
    <cellStyle name="Normal 5 2 8 8 5 2" xfId="35432" xr:uid="{00000000-0005-0000-0000-0000B7630000}"/>
    <cellStyle name="Normal 5 2 8 8 6" xfId="35428" xr:uid="{00000000-0005-0000-0000-0000B8630000}"/>
    <cellStyle name="Normal 5 2 8 9" xfId="19007" xr:uid="{00000000-0005-0000-0000-0000B9630000}"/>
    <cellStyle name="Normal 5 2 8 9 2" xfId="19008" xr:uid="{00000000-0005-0000-0000-0000BA630000}"/>
    <cellStyle name="Normal 5 2 8 9 2 2" xfId="35434" xr:uid="{00000000-0005-0000-0000-0000BB630000}"/>
    <cellStyle name="Normal 5 2 8 9 3" xfId="19009" xr:uid="{00000000-0005-0000-0000-0000BC630000}"/>
    <cellStyle name="Normal 5 2 8 9 3 2" xfId="35435" xr:uid="{00000000-0005-0000-0000-0000BD630000}"/>
    <cellStyle name="Normal 5 2 8 9 4" xfId="19010" xr:uid="{00000000-0005-0000-0000-0000BE630000}"/>
    <cellStyle name="Normal 5 2 8 9 4 2" xfId="35436" xr:uid="{00000000-0005-0000-0000-0000BF630000}"/>
    <cellStyle name="Normal 5 2 8 9 5" xfId="19011" xr:uid="{00000000-0005-0000-0000-0000C0630000}"/>
    <cellStyle name="Normal 5 2 8 9 5 2" xfId="35437" xr:uid="{00000000-0005-0000-0000-0000C1630000}"/>
    <cellStyle name="Normal 5 2 8 9 6" xfId="35433" xr:uid="{00000000-0005-0000-0000-0000C2630000}"/>
    <cellStyle name="Normal 5 2 9" xfId="19012" xr:uid="{00000000-0005-0000-0000-0000C3630000}"/>
    <cellStyle name="Normal 5 2 9 2" xfId="19013" xr:uid="{00000000-0005-0000-0000-0000C4630000}"/>
    <cellStyle name="Normal 5 2 9 3" xfId="19014" xr:uid="{00000000-0005-0000-0000-0000C5630000}"/>
    <cellStyle name="Normal 5 2 9 3 2" xfId="35439" xr:uid="{00000000-0005-0000-0000-0000C6630000}"/>
    <cellStyle name="Normal 5 2 9 4" xfId="19015" xr:uid="{00000000-0005-0000-0000-0000C7630000}"/>
    <cellStyle name="Normal 5 2 9 4 2" xfId="35440" xr:uid="{00000000-0005-0000-0000-0000C8630000}"/>
    <cellStyle name="Normal 5 2 9 5" xfId="19016" xr:uid="{00000000-0005-0000-0000-0000C9630000}"/>
    <cellStyle name="Normal 5 2 9 5 2" xfId="35441" xr:uid="{00000000-0005-0000-0000-0000CA630000}"/>
    <cellStyle name="Normal 5 2 9 6" xfId="19017" xr:uid="{00000000-0005-0000-0000-0000CB630000}"/>
    <cellStyle name="Normal 5 2 9 6 2" xfId="35442" xr:uid="{00000000-0005-0000-0000-0000CC630000}"/>
    <cellStyle name="Normal 5 2 9 7" xfId="35438" xr:uid="{00000000-0005-0000-0000-0000CD630000}"/>
    <cellStyle name="Normal 5 20" xfId="19018" xr:uid="{00000000-0005-0000-0000-0000CE630000}"/>
    <cellStyle name="Normal 5 20 10" xfId="19019" xr:uid="{00000000-0005-0000-0000-0000CF630000}"/>
    <cellStyle name="Normal 5 20 10 2" xfId="35443" xr:uid="{00000000-0005-0000-0000-0000D0630000}"/>
    <cellStyle name="Normal 5 20 2" xfId="19020" xr:uid="{00000000-0005-0000-0000-0000D1630000}"/>
    <cellStyle name="Normal 5 20 2 2" xfId="19021" xr:uid="{00000000-0005-0000-0000-0000D2630000}"/>
    <cellStyle name="Normal 5 20 2 2 2" xfId="35445" xr:uid="{00000000-0005-0000-0000-0000D3630000}"/>
    <cellStyle name="Normal 5 20 2 3" xfId="19022" xr:uid="{00000000-0005-0000-0000-0000D4630000}"/>
    <cellStyle name="Normal 5 20 2 3 2" xfId="35446" xr:uid="{00000000-0005-0000-0000-0000D5630000}"/>
    <cellStyle name="Normal 5 20 2 4" xfId="19023" xr:uid="{00000000-0005-0000-0000-0000D6630000}"/>
    <cellStyle name="Normal 5 20 2 4 2" xfId="35447" xr:uid="{00000000-0005-0000-0000-0000D7630000}"/>
    <cellStyle name="Normal 5 20 2 5" xfId="19024" xr:uid="{00000000-0005-0000-0000-0000D8630000}"/>
    <cellStyle name="Normal 5 20 2 5 2" xfId="35448" xr:uid="{00000000-0005-0000-0000-0000D9630000}"/>
    <cellStyle name="Normal 5 20 2 6" xfId="35444" xr:uid="{00000000-0005-0000-0000-0000DA630000}"/>
    <cellStyle name="Normal 5 20 3" xfId="19025" xr:uid="{00000000-0005-0000-0000-0000DB630000}"/>
    <cellStyle name="Normal 5 20 3 2" xfId="19026" xr:uid="{00000000-0005-0000-0000-0000DC630000}"/>
    <cellStyle name="Normal 5 20 3 2 2" xfId="35450" xr:uid="{00000000-0005-0000-0000-0000DD630000}"/>
    <cellStyle name="Normal 5 20 3 3" xfId="19027" xr:uid="{00000000-0005-0000-0000-0000DE630000}"/>
    <cellStyle name="Normal 5 20 3 3 2" xfId="35451" xr:uid="{00000000-0005-0000-0000-0000DF630000}"/>
    <cellStyle name="Normal 5 20 3 4" xfId="19028" xr:uid="{00000000-0005-0000-0000-0000E0630000}"/>
    <cellStyle name="Normal 5 20 3 4 2" xfId="35452" xr:uid="{00000000-0005-0000-0000-0000E1630000}"/>
    <cellStyle name="Normal 5 20 3 5" xfId="19029" xr:uid="{00000000-0005-0000-0000-0000E2630000}"/>
    <cellStyle name="Normal 5 20 3 5 2" xfId="35453" xr:uid="{00000000-0005-0000-0000-0000E3630000}"/>
    <cellStyle name="Normal 5 20 3 6" xfId="35449" xr:uid="{00000000-0005-0000-0000-0000E4630000}"/>
    <cellStyle name="Normal 5 20 4" xfId="19030" xr:uid="{00000000-0005-0000-0000-0000E5630000}"/>
    <cellStyle name="Normal 5 20 4 2" xfId="19031" xr:uid="{00000000-0005-0000-0000-0000E6630000}"/>
    <cellStyle name="Normal 5 20 4 2 2" xfId="35455" xr:uid="{00000000-0005-0000-0000-0000E7630000}"/>
    <cellStyle name="Normal 5 20 4 3" xfId="19032" xr:uid="{00000000-0005-0000-0000-0000E8630000}"/>
    <cellStyle name="Normal 5 20 4 3 2" xfId="35456" xr:uid="{00000000-0005-0000-0000-0000E9630000}"/>
    <cellStyle name="Normal 5 20 4 4" xfId="19033" xr:uid="{00000000-0005-0000-0000-0000EA630000}"/>
    <cellStyle name="Normal 5 20 4 4 2" xfId="35457" xr:uid="{00000000-0005-0000-0000-0000EB630000}"/>
    <cellStyle name="Normal 5 20 4 5" xfId="19034" xr:uid="{00000000-0005-0000-0000-0000EC630000}"/>
    <cellStyle name="Normal 5 20 4 5 2" xfId="35458" xr:uid="{00000000-0005-0000-0000-0000ED630000}"/>
    <cellStyle name="Normal 5 20 4 6" xfId="35454" xr:uid="{00000000-0005-0000-0000-0000EE630000}"/>
    <cellStyle name="Normal 5 20 5" xfId="19035" xr:uid="{00000000-0005-0000-0000-0000EF630000}"/>
    <cellStyle name="Normal 5 20 5 2" xfId="19036" xr:uid="{00000000-0005-0000-0000-0000F0630000}"/>
    <cellStyle name="Normal 5 20 5 2 2" xfId="35460" xr:uid="{00000000-0005-0000-0000-0000F1630000}"/>
    <cellStyle name="Normal 5 20 5 3" xfId="19037" xr:uid="{00000000-0005-0000-0000-0000F2630000}"/>
    <cellStyle name="Normal 5 20 5 3 2" xfId="35461" xr:uid="{00000000-0005-0000-0000-0000F3630000}"/>
    <cellStyle name="Normal 5 20 5 4" xfId="19038" xr:uid="{00000000-0005-0000-0000-0000F4630000}"/>
    <cellStyle name="Normal 5 20 5 4 2" xfId="35462" xr:uid="{00000000-0005-0000-0000-0000F5630000}"/>
    <cellStyle name="Normal 5 20 5 5" xfId="19039" xr:uid="{00000000-0005-0000-0000-0000F6630000}"/>
    <cellStyle name="Normal 5 20 5 5 2" xfId="35463" xr:uid="{00000000-0005-0000-0000-0000F7630000}"/>
    <cellStyle name="Normal 5 20 5 6" xfId="35459" xr:uid="{00000000-0005-0000-0000-0000F8630000}"/>
    <cellStyle name="Normal 5 20 6" xfId="19040" xr:uid="{00000000-0005-0000-0000-0000F9630000}"/>
    <cellStyle name="Normal 5 20 6 2" xfId="35464" xr:uid="{00000000-0005-0000-0000-0000FA630000}"/>
    <cellStyle name="Normal 5 20 7" xfId="19041" xr:uid="{00000000-0005-0000-0000-0000FB630000}"/>
    <cellStyle name="Normal 5 20 7 2" xfId="35465" xr:uid="{00000000-0005-0000-0000-0000FC630000}"/>
    <cellStyle name="Normal 5 20 8" xfId="19042" xr:uid="{00000000-0005-0000-0000-0000FD630000}"/>
    <cellStyle name="Normal 5 20 8 2" xfId="35466" xr:uid="{00000000-0005-0000-0000-0000FE630000}"/>
    <cellStyle name="Normal 5 20 9" xfId="19043" xr:uid="{00000000-0005-0000-0000-0000FF630000}"/>
    <cellStyle name="Normal 5 20 9 2" xfId="35467" xr:uid="{00000000-0005-0000-0000-000000640000}"/>
    <cellStyle name="Normal 5 21" xfId="19044" xr:uid="{00000000-0005-0000-0000-000001640000}"/>
    <cellStyle name="Normal 5 21 10" xfId="19045" xr:uid="{00000000-0005-0000-0000-000002640000}"/>
    <cellStyle name="Normal 5 21 10 2" xfId="35468" xr:uid="{00000000-0005-0000-0000-000003640000}"/>
    <cellStyle name="Normal 5 21 11" xfId="41019" xr:uid="{00000000-0005-0000-0000-000004640000}"/>
    <cellStyle name="Normal 5 21 2" xfId="19046" xr:uid="{00000000-0005-0000-0000-000005640000}"/>
    <cellStyle name="Normal 5 21 2 2" xfId="19047" xr:uid="{00000000-0005-0000-0000-000006640000}"/>
    <cellStyle name="Normal 5 21 2 2 2" xfId="35470" xr:uid="{00000000-0005-0000-0000-000007640000}"/>
    <cellStyle name="Normal 5 21 2 3" xfId="19048" xr:uid="{00000000-0005-0000-0000-000008640000}"/>
    <cellStyle name="Normal 5 21 2 3 2" xfId="35471" xr:uid="{00000000-0005-0000-0000-000009640000}"/>
    <cellStyle name="Normal 5 21 2 4" xfId="19049" xr:uid="{00000000-0005-0000-0000-00000A640000}"/>
    <cellStyle name="Normal 5 21 2 4 2" xfId="35472" xr:uid="{00000000-0005-0000-0000-00000B640000}"/>
    <cellStyle name="Normal 5 21 2 5" xfId="19050" xr:uid="{00000000-0005-0000-0000-00000C640000}"/>
    <cellStyle name="Normal 5 21 2 5 2" xfId="35473" xr:uid="{00000000-0005-0000-0000-00000D640000}"/>
    <cellStyle name="Normal 5 21 2 6" xfId="35469" xr:uid="{00000000-0005-0000-0000-00000E640000}"/>
    <cellStyle name="Normal 5 21 3" xfId="19051" xr:uid="{00000000-0005-0000-0000-00000F640000}"/>
    <cellStyle name="Normal 5 21 3 2" xfId="19052" xr:uid="{00000000-0005-0000-0000-000010640000}"/>
    <cellStyle name="Normal 5 21 3 2 2" xfId="35475" xr:uid="{00000000-0005-0000-0000-000011640000}"/>
    <cellStyle name="Normal 5 21 3 3" xfId="19053" xr:uid="{00000000-0005-0000-0000-000012640000}"/>
    <cellStyle name="Normal 5 21 3 3 2" xfId="35476" xr:uid="{00000000-0005-0000-0000-000013640000}"/>
    <cellStyle name="Normal 5 21 3 4" xfId="19054" xr:uid="{00000000-0005-0000-0000-000014640000}"/>
    <cellStyle name="Normal 5 21 3 4 2" xfId="35477" xr:uid="{00000000-0005-0000-0000-000015640000}"/>
    <cellStyle name="Normal 5 21 3 5" xfId="19055" xr:uid="{00000000-0005-0000-0000-000016640000}"/>
    <cellStyle name="Normal 5 21 3 5 2" xfId="35478" xr:uid="{00000000-0005-0000-0000-000017640000}"/>
    <cellStyle name="Normal 5 21 3 6" xfId="35474" xr:uid="{00000000-0005-0000-0000-000018640000}"/>
    <cellStyle name="Normal 5 21 4" xfId="19056" xr:uid="{00000000-0005-0000-0000-000019640000}"/>
    <cellStyle name="Normal 5 21 4 2" xfId="19057" xr:uid="{00000000-0005-0000-0000-00001A640000}"/>
    <cellStyle name="Normal 5 21 4 2 2" xfId="35480" xr:uid="{00000000-0005-0000-0000-00001B640000}"/>
    <cellStyle name="Normal 5 21 4 3" xfId="19058" xr:uid="{00000000-0005-0000-0000-00001C640000}"/>
    <cellStyle name="Normal 5 21 4 3 2" xfId="35481" xr:uid="{00000000-0005-0000-0000-00001D640000}"/>
    <cellStyle name="Normal 5 21 4 4" xfId="19059" xr:uid="{00000000-0005-0000-0000-00001E640000}"/>
    <cellStyle name="Normal 5 21 4 4 2" xfId="35482" xr:uid="{00000000-0005-0000-0000-00001F640000}"/>
    <cellStyle name="Normal 5 21 4 5" xfId="19060" xr:uid="{00000000-0005-0000-0000-000020640000}"/>
    <cellStyle name="Normal 5 21 4 5 2" xfId="35483" xr:uid="{00000000-0005-0000-0000-000021640000}"/>
    <cellStyle name="Normal 5 21 4 6" xfId="35479" xr:uid="{00000000-0005-0000-0000-000022640000}"/>
    <cellStyle name="Normal 5 21 5" xfId="19061" xr:uid="{00000000-0005-0000-0000-000023640000}"/>
    <cellStyle name="Normal 5 21 5 2" xfId="19062" xr:uid="{00000000-0005-0000-0000-000024640000}"/>
    <cellStyle name="Normal 5 21 5 2 2" xfId="35485" xr:uid="{00000000-0005-0000-0000-000025640000}"/>
    <cellStyle name="Normal 5 21 5 3" xfId="19063" xr:uid="{00000000-0005-0000-0000-000026640000}"/>
    <cellStyle name="Normal 5 21 5 3 2" xfId="35486" xr:uid="{00000000-0005-0000-0000-000027640000}"/>
    <cellStyle name="Normal 5 21 5 4" xfId="19064" xr:uid="{00000000-0005-0000-0000-000028640000}"/>
    <cellStyle name="Normal 5 21 5 4 2" xfId="35487" xr:uid="{00000000-0005-0000-0000-000029640000}"/>
    <cellStyle name="Normal 5 21 5 5" xfId="19065" xr:uid="{00000000-0005-0000-0000-00002A640000}"/>
    <cellStyle name="Normal 5 21 5 5 2" xfId="35488" xr:uid="{00000000-0005-0000-0000-00002B640000}"/>
    <cellStyle name="Normal 5 21 5 6" xfId="35484" xr:uid="{00000000-0005-0000-0000-00002C640000}"/>
    <cellStyle name="Normal 5 21 6" xfId="19066" xr:uid="{00000000-0005-0000-0000-00002D640000}"/>
    <cellStyle name="Normal 5 21 6 2" xfId="35489" xr:uid="{00000000-0005-0000-0000-00002E640000}"/>
    <cellStyle name="Normal 5 21 7" xfId="19067" xr:uid="{00000000-0005-0000-0000-00002F640000}"/>
    <cellStyle name="Normal 5 21 7 2" xfId="35490" xr:uid="{00000000-0005-0000-0000-000030640000}"/>
    <cellStyle name="Normal 5 21 8" xfId="19068" xr:uid="{00000000-0005-0000-0000-000031640000}"/>
    <cellStyle name="Normal 5 21 8 2" xfId="35491" xr:uid="{00000000-0005-0000-0000-000032640000}"/>
    <cellStyle name="Normal 5 21 9" xfId="19069" xr:uid="{00000000-0005-0000-0000-000033640000}"/>
    <cellStyle name="Normal 5 21 9 2" xfId="35492" xr:uid="{00000000-0005-0000-0000-000034640000}"/>
    <cellStyle name="Normal 5 22" xfId="19070" xr:uid="{00000000-0005-0000-0000-000035640000}"/>
    <cellStyle name="Normal 5 22 10" xfId="19071" xr:uid="{00000000-0005-0000-0000-000036640000}"/>
    <cellStyle name="Normal 5 22 10 2" xfId="35493" xr:uid="{00000000-0005-0000-0000-000037640000}"/>
    <cellStyle name="Normal 5 22 11" xfId="41014" xr:uid="{00000000-0005-0000-0000-000038640000}"/>
    <cellStyle name="Normal 5 22 2" xfId="19072" xr:uid="{00000000-0005-0000-0000-000039640000}"/>
    <cellStyle name="Normal 5 22 2 2" xfId="19073" xr:uid="{00000000-0005-0000-0000-00003A640000}"/>
    <cellStyle name="Normal 5 22 2 2 2" xfId="35495" xr:uid="{00000000-0005-0000-0000-00003B640000}"/>
    <cellStyle name="Normal 5 22 2 3" xfId="19074" xr:uid="{00000000-0005-0000-0000-00003C640000}"/>
    <cellStyle name="Normal 5 22 2 3 2" xfId="35496" xr:uid="{00000000-0005-0000-0000-00003D640000}"/>
    <cellStyle name="Normal 5 22 2 4" xfId="19075" xr:uid="{00000000-0005-0000-0000-00003E640000}"/>
    <cellStyle name="Normal 5 22 2 4 2" xfId="35497" xr:uid="{00000000-0005-0000-0000-00003F640000}"/>
    <cellStyle name="Normal 5 22 2 5" xfId="19076" xr:uid="{00000000-0005-0000-0000-000040640000}"/>
    <cellStyle name="Normal 5 22 2 5 2" xfId="35498" xr:uid="{00000000-0005-0000-0000-000041640000}"/>
    <cellStyle name="Normal 5 22 2 6" xfId="35494" xr:uid="{00000000-0005-0000-0000-000042640000}"/>
    <cellStyle name="Normal 5 22 3" xfId="19077" xr:uid="{00000000-0005-0000-0000-000043640000}"/>
    <cellStyle name="Normal 5 22 3 2" xfId="19078" xr:uid="{00000000-0005-0000-0000-000044640000}"/>
    <cellStyle name="Normal 5 22 3 2 2" xfId="35500" xr:uid="{00000000-0005-0000-0000-000045640000}"/>
    <cellStyle name="Normal 5 22 3 3" xfId="19079" xr:uid="{00000000-0005-0000-0000-000046640000}"/>
    <cellStyle name="Normal 5 22 3 3 2" xfId="35501" xr:uid="{00000000-0005-0000-0000-000047640000}"/>
    <cellStyle name="Normal 5 22 3 4" xfId="19080" xr:uid="{00000000-0005-0000-0000-000048640000}"/>
    <cellStyle name="Normal 5 22 3 4 2" xfId="35502" xr:uid="{00000000-0005-0000-0000-000049640000}"/>
    <cellStyle name="Normal 5 22 3 5" xfId="19081" xr:uid="{00000000-0005-0000-0000-00004A640000}"/>
    <cellStyle name="Normal 5 22 3 5 2" xfId="35503" xr:uid="{00000000-0005-0000-0000-00004B640000}"/>
    <cellStyle name="Normal 5 22 3 6" xfId="35499" xr:uid="{00000000-0005-0000-0000-00004C640000}"/>
    <cellStyle name="Normal 5 22 4" xfId="19082" xr:uid="{00000000-0005-0000-0000-00004D640000}"/>
    <cellStyle name="Normal 5 22 4 2" xfId="19083" xr:uid="{00000000-0005-0000-0000-00004E640000}"/>
    <cellStyle name="Normal 5 22 4 2 2" xfId="35505" xr:uid="{00000000-0005-0000-0000-00004F640000}"/>
    <cellStyle name="Normal 5 22 4 3" xfId="19084" xr:uid="{00000000-0005-0000-0000-000050640000}"/>
    <cellStyle name="Normal 5 22 4 3 2" xfId="35506" xr:uid="{00000000-0005-0000-0000-000051640000}"/>
    <cellStyle name="Normal 5 22 4 4" xfId="19085" xr:uid="{00000000-0005-0000-0000-000052640000}"/>
    <cellStyle name="Normal 5 22 4 4 2" xfId="35507" xr:uid="{00000000-0005-0000-0000-000053640000}"/>
    <cellStyle name="Normal 5 22 4 5" xfId="19086" xr:uid="{00000000-0005-0000-0000-000054640000}"/>
    <cellStyle name="Normal 5 22 4 5 2" xfId="35508" xr:uid="{00000000-0005-0000-0000-000055640000}"/>
    <cellStyle name="Normal 5 22 4 6" xfId="35504" xr:uid="{00000000-0005-0000-0000-000056640000}"/>
    <cellStyle name="Normal 5 22 5" xfId="19087" xr:uid="{00000000-0005-0000-0000-000057640000}"/>
    <cellStyle name="Normal 5 22 5 2" xfId="19088" xr:uid="{00000000-0005-0000-0000-000058640000}"/>
    <cellStyle name="Normal 5 22 5 2 2" xfId="35510" xr:uid="{00000000-0005-0000-0000-000059640000}"/>
    <cellStyle name="Normal 5 22 5 3" xfId="19089" xr:uid="{00000000-0005-0000-0000-00005A640000}"/>
    <cellStyle name="Normal 5 22 5 3 2" xfId="35511" xr:uid="{00000000-0005-0000-0000-00005B640000}"/>
    <cellStyle name="Normal 5 22 5 4" xfId="19090" xr:uid="{00000000-0005-0000-0000-00005C640000}"/>
    <cellStyle name="Normal 5 22 5 4 2" xfId="35512" xr:uid="{00000000-0005-0000-0000-00005D640000}"/>
    <cellStyle name="Normal 5 22 5 5" xfId="19091" xr:uid="{00000000-0005-0000-0000-00005E640000}"/>
    <cellStyle name="Normal 5 22 5 5 2" xfId="35513" xr:uid="{00000000-0005-0000-0000-00005F640000}"/>
    <cellStyle name="Normal 5 22 5 6" xfId="35509" xr:uid="{00000000-0005-0000-0000-000060640000}"/>
    <cellStyle name="Normal 5 22 6" xfId="19092" xr:uid="{00000000-0005-0000-0000-000061640000}"/>
    <cellStyle name="Normal 5 22 6 2" xfId="35514" xr:uid="{00000000-0005-0000-0000-000062640000}"/>
    <cellStyle name="Normal 5 22 7" xfId="19093" xr:uid="{00000000-0005-0000-0000-000063640000}"/>
    <cellStyle name="Normal 5 22 7 2" xfId="35515" xr:uid="{00000000-0005-0000-0000-000064640000}"/>
    <cellStyle name="Normal 5 22 8" xfId="19094" xr:uid="{00000000-0005-0000-0000-000065640000}"/>
    <cellStyle name="Normal 5 22 8 2" xfId="35516" xr:uid="{00000000-0005-0000-0000-000066640000}"/>
    <cellStyle name="Normal 5 22 9" xfId="19095" xr:uid="{00000000-0005-0000-0000-000067640000}"/>
    <cellStyle name="Normal 5 22 9 2" xfId="35517" xr:uid="{00000000-0005-0000-0000-000068640000}"/>
    <cellStyle name="Normal 5 23" xfId="19096" xr:uid="{00000000-0005-0000-0000-000069640000}"/>
    <cellStyle name="Normal 5 23 2" xfId="19097" xr:uid="{00000000-0005-0000-0000-00006A640000}"/>
    <cellStyle name="Normal 5 23 2 2" xfId="19098" xr:uid="{00000000-0005-0000-0000-00006B640000}"/>
    <cellStyle name="Normal 5 23 2 2 2" xfId="35519" xr:uid="{00000000-0005-0000-0000-00006C640000}"/>
    <cellStyle name="Normal 5 23 2 3" xfId="19099" xr:uid="{00000000-0005-0000-0000-00006D640000}"/>
    <cellStyle name="Normal 5 23 2 3 2" xfId="35520" xr:uid="{00000000-0005-0000-0000-00006E640000}"/>
    <cellStyle name="Normal 5 23 2 4" xfId="19100" xr:uid="{00000000-0005-0000-0000-00006F640000}"/>
    <cellStyle name="Normal 5 23 2 4 2" xfId="35521" xr:uid="{00000000-0005-0000-0000-000070640000}"/>
    <cellStyle name="Normal 5 23 2 5" xfId="19101" xr:uid="{00000000-0005-0000-0000-000071640000}"/>
    <cellStyle name="Normal 5 23 2 5 2" xfId="35522" xr:uid="{00000000-0005-0000-0000-000072640000}"/>
    <cellStyle name="Normal 5 23 2 6" xfId="35518" xr:uid="{00000000-0005-0000-0000-000073640000}"/>
    <cellStyle name="Normal 5 23 3" xfId="19102" xr:uid="{00000000-0005-0000-0000-000074640000}"/>
    <cellStyle name="Normal 5 23 3 2" xfId="35523" xr:uid="{00000000-0005-0000-0000-000075640000}"/>
    <cellStyle name="Normal 5 23 4" xfId="19103" xr:uid="{00000000-0005-0000-0000-000076640000}"/>
    <cellStyle name="Normal 5 23 4 2" xfId="35524" xr:uid="{00000000-0005-0000-0000-000077640000}"/>
    <cellStyle name="Normal 5 23 5" xfId="19104" xr:uid="{00000000-0005-0000-0000-000078640000}"/>
    <cellStyle name="Normal 5 23 5 2" xfId="35525" xr:uid="{00000000-0005-0000-0000-000079640000}"/>
    <cellStyle name="Normal 5 23 6" xfId="19105" xr:uid="{00000000-0005-0000-0000-00007A640000}"/>
    <cellStyle name="Normal 5 23 6 2" xfId="35526" xr:uid="{00000000-0005-0000-0000-00007B640000}"/>
    <cellStyle name="Normal 5 23 7" xfId="19106" xr:uid="{00000000-0005-0000-0000-00007C640000}"/>
    <cellStyle name="Normal 5 23 7 2" xfId="35527" xr:uid="{00000000-0005-0000-0000-00007D640000}"/>
    <cellStyle name="Normal 5 23 8" xfId="41038" xr:uid="{00000000-0005-0000-0000-00007E640000}"/>
    <cellStyle name="Normal 5 24" xfId="19107" xr:uid="{00000000-0005-0000-0000-00007F640000}"/>
    <cellStyle name="Normal 5 24 2" xfId="19108" xr:uid="{00000000-0005-0000-0000-000080640000}"/>
    <cellStyle name="Normal 5 24 2 2" xfId="19109" xr:uid="{00000000-0005-0000-0000-000081640000}"/>
    <cellStyle name="Normal 5 24 2 2 2" xfId="35529" xr:uid="{00000000-0005-0000-0000-000082640000}"/>
    <cellStyle name="Normal 5 24 2 3" xfId="19110" xr:uid="{00000000-0005-0000-0000-000083640000}"/>
    <cellStyle name="Normal 5 24 2 3 2" xfId="35530" xr:uid="{00000000-0005-0000-0000-000084640000}"/>
    <cellStyle name="Normal 5 24 2 4" xfId="19111" xr:uid="{00000000-0005-0000-0000-000085640000}"/>
    <cellStyle name="Normal 5 24 2 4 2" xfId="35531" xr:uid="{00000000-0005-0000-0000-000086640000}"/>
    <cellStyle name="Normal 5 24 2 5" xfId="19112" xr:uid="{00000000-0005-0000-0000-000087640000}"/>
    <cellStyle name="Normal 5 24 2 5 2" xfId="35532" xr:uid="{00000000-0005-0000-0000-000088640000}"/>
    <cellStyle name="Normal 5 24 2 6" xfId="35528" xr:uid="{00000000-0005-0000-0000-000089640000}"/>
    <cellStyle name="Normal 5 24 3" xfId="19113" xr:uid="{00000000-0005-0000-0000-00008A640000}"/>
    <cellStyle name="Normal 5 24 3 2" xfId="35533" xr:uid="{00000000-0005-0000-0000-00008B640000}"/>
    <cellStyle name="Normal 5 24 4" xfId="19114" xr:uid="{00000000-0005-0000-0000-00008C640000}"/>
    <cellStyle name="Normal 5 24 4 2" xfId="35534" xr:uid="{00000000-0005-0000-0000-00008D640000}"/>
    <cellStyle name="Normal 5 24 5" xfId="19115" xr:uid="{00000000-0005-0000-0000-00008E640000}"/>
    <cellStyle name="Normal 5 24 5 2" xfId="35535" xr:uid="{00000000-0005-0000-0000-00008F640000}"/>
    <cellStyle name="Normal 5 24 6" xfId="19116" xr:uid="{00000000-0005-0000-0000-000090640000}"/>
    <cellStyle name="Normal 5 24 6 2" xfId="35536" xr:uid="{00000000-0005-0000-0000-000091640000}"/>
    <cellStyle name="Normal 5 24 7" xfId="19117" xr:uid="{00000000-0005-0000-0000-000092640000}"/>
    <cellStyle name="Normal 5 24 7 2" xfId="35537" xr:uid="{00000000-0005-0000-0000-000093640000}"/>
    <cellStyle name="Normal 5 25" xfId="19118" xr:uid="{00000000-0005-0000-0000-000094640000}"/>
    <cellStyle name="Normal 5 25 2" xfId="19119" xr:uid="{00000000-0005-0000-0000-000095640000}"/>
    <cellStyle name="Normal 5 25 2 2" xfId="19120" xr:uid="{00000000-0005-0000-0000-000096640000}"/>
    <cellStyle name="Normal 5 25 2 2 2" xfId="35539" xr:uid="{00000000-0005-0000-0000-000097640000}"/>
    <cellStyle name="Normal 5 25 2 3" xfId="19121" xr:uid="{00000000-0005-0000-0000-000098640000}"/>
    <cellStyle name="Normal 5 25 2 3 2" xfId="35540" xr:uid="{00000000-0005-0000-0000-000099640000}"/>
    <cellStyle name="Normal 5 25 2 4" xfId="19122" xr:uid="{00000000-0005-0000-0000-00009A640000}"/>
    <cellStyle name="Normal 5 25 2 4 2" xfId="35541" xr:uid="{00000000-0005-0000-0000-00009B640000}"/>
    <cellStyle name="Normal 5 25 2 5" xfId="19123" xr:uid="{00000000-0005-0000-0000-00009C640000}"/>
    <cellStyle name="Normal 5 25 2 5 2" xfId="35542" xr:uid="{00000000-0005-0000-0000-00009D640000}"/>
    <cellStyle name="Normal 5 25 2 6" xfId="35538" xr:uid="{00000000-0005-0000-0000-00009E640000}"/>
    <cellStyle name="Normal 5 25 3" xfId="19124" xr:uid="{00000000-0005-0000-0000-00009F640000}"/>
    <cellStyle name="Normal 5 25 3 2" xfId="35543" xr:uid="{00000000-0005-0000-0000-0000A0640000}"/>
    <cellStyle name="Normal 5 25 4" xfId="19125" xr:uid="{00000000-0005-0000-0000-0000A1640000}"/>
    <cellStyle name="Normal 5 25 4 2" xfId="35544" xr:uid="{00000000-0005-0000-0000-0000A2640000}"/>
    <cellStyle name="Normal 5 25 5" xfId="19126" xr:uid="{00000000-0005-0000-0000-0000A3640000}"/>
    <cellStyle name="Normal 5 25 5 2" xfId="35545" xr:uid="{00000000-0005-0000-0000-0000A4640000}"/>
    <cellStyle name="Normal 5 25 6" xfId="19127" xr:uid="{00000000-0005-0000-0000-0000A5640000}"/>
    <cellStyle name="Normal 5 25 6 2" xfId="35546" xr:uid="{00000000-0005-0000-0000-0000A6640000}"/>
    <cellStyle name="Normal 5 25 7" xfId="19128" xr:uid="{00000000-0005-0000-0000-0000A7640000}"/>
    <cellStyle name="Normal 5 25 7 2" xfId="35547" xr:uid="{00000000-0005-0000-0000-0000A8640000}"/>
    <cellStyle name="Normal 5 26" xfId="19129" xr:uid="{00000000-0005-0000-0000-0000A9640000}"/>
    <cellStyle name="Normal 5 26 2" xfId="19130" xr:uid="{00000000-0005-0000-0000-0000AA640000}"/>
    <cellStyle name="Normal 5 26 2 2" xfId="35548" xr:uid="{00000000-0005-0000-0000-0000AB640000}"/>
    <cellStyle name="Normal 5 26 3" xfId="19131" xr:uid="{00000000-0005-0000-0000-0000AC640000}"/>
    <cellStyle name="Normal 5 26 3 2" xfId="35549" xr:uid="{00000000-0005-0000-0000-0000AD640000}"/>
    <cellStyle name="Normal 5 26 4" xfId="19132" xr:uid="{00000000-0005-0000-0000-0000AE640000}"/>
    <cellStyle name="Normal 5 26 4 2" xfId="35550" xr:uid="{00000000-0005-0000-0000-0000AF640000}"/>
    <cellStyle name="Normal 5 26 5" xfId="19133" xr:uid="{00000000-0005-0000-0000-0000B0640000}"/>
    <cellStyle name="Normal 5 26 5 2" xfId="35551" xr:uid="{00000000-0005-0000-0000-0000B1640000}"/>
    <cellStyle name="Normal 5 26 6" xfId="19134" xr:uid="{00000000-0005-0000-0000-0000B2640000}"/>
    <cellStyle name="Normal 5 26 6 2" xfId="35552" xr:uid="{00000000-0005-0000-0000-0000B3640000}"/>
    <cellStyle name="Normal 5 26 7" xfId="19135" xr:uid="{00000000-0005-0000-0000-0000B4640000}"/>
    <cellStyle name="Normal 5 26 7 2" xfId="35553" xr:uid="{00000000-0005-0000-0000-0000B5640000}"/>
    <cellStyle name="Normal 5 27" xfId="19136" xr:uid="{00000000-0005-0000-0000-0000B6640000}"/>
    <cellStyle name="Normal 5 27 2" xfId="19137" xr:uid="{00000000-0005-0000-0000-0000B7640000}"/>
    <cellStyle name="Normal 5 27 2 2" xfId="35554" xr:uid="{00000000-0005-0000-0000-0000B8640000}"/>
    <cellStyle name="Normal 5 27 3" xfId="19138" xr:uid="{00000000-0005-0000-0000-0000B9640000}"/>
    <cellStyle name="Normal 5 27 3 2" xfId="35555" xr:uid="{00000000-0005-0000-0000-0000BA640000}"/>
    <cellStyle name="Normal 5 27 4" xfId="19139" xr:uid="{00000000-0005-0000-0000-0000BB640000}"/>
    <cellStyle name="Normal 5 27 4 2" xfId="35556" xr:uid="{00000000-0005-0000-0000-0000BC640000}"/>
    <cellStyle name="Normal 5 27 5" xfId="19140" xr:uid="{00000000-0005-0000-0000-0000BD640000}"/>
    <cellStyle name="Normal 5 27 5 2" xfId="35557" xr:uid="{00000000-0005-0000-0000-0000BE640000}"/>
    <cellStyle name="Normal 5 27 6" xfId="19141" xr:uid="{00000000-0005-0000-0000-0000BF640000}"/>
    <cellStyle name="Normal 5 27 6 2" xfId="35558" xr:uid="{00000000-0005-0000-0000-0000C0640000}"/>
    <cellStyle name="Normal 5 27 7" xfId="19142" xr:uid="{00000000-0005-0000-0000-0000C1640000}"/>
    <cellStyle name="Normal 5 27 7 2" xfId="35559" xr:uid="{00000000-0005-0000-0000-0000C2640000}"/>
    <cellStyle name="Normal 5 28" xfId="19143" xr:uid="{00000000-0005-0000-0000-0000C3640000}"/>
    <cellStyle name="Normal 5 28 2" xfId="19144" xr:uid="{00000000-0005-0000-0000-0000C4640000}"/>
    <cellStyle name="Normal 5 28 2 2" xfId="35560" xr:uid="{00000000-0005-0000-0000-0000C5640000}"/>
    <cellStyle name="Normal 5 28 3" xfId="19145" xr:uid="{00000000-0005-0000-0000-0000C6640000}"/>
    <cellStyle name="Normal 5 28 3 2" xfId="35561" xr:uid="{00000000-0005-0000-0000-0000C7640000}"/>
    <cellStyle name="Normal 5 28 4" xfId="19146" xr:uid="{00000000-0005-0000-0000-0000C8640000}"/>
    <cellStyle name="Normal 5 28 4 2" xfId="35562" xr:uid="{00000000-0005-0000-0000-0000C9640000}"/>
    <cellStyle name="Normal 5 28 5" xfId="19147" xr:uid="{00000000-0005-0000-0000-0000CA640000}"/>
    <cellStyle name="Normal 5 28 5 2" xfId="35563" xr:uid="{00000000-0005-0000-0000-0000CB640000}"/>
    <cellStyle name="Normal 5 28 6" xfId="19148" xr:uid="{00000000-0005-0000-0000-0000CC640000}"/>
    <cellStyle name="Normal 5 28 6 2" xfId="35564" xr:uid="{00000000-0005-0000-0000-0000CD640000}"/>
    <cellStyle name="Normal 5 28 7" xfId="19149" xr:uid="{00000000-0005-0000-0000-0000CE640000}"/>
    <cellStyle name="Normal 5 28 7 2" xfId="35565" xr:uid="{00000000-0005-0000-0000-0000CF640000}"/>
    <cellStyle name="Normal 5 29" xfId="19150" xr:uid="{00000000-0005-0000-0000-0000D0640000}"/>
    <cellStyle name="Normal 5 29 2" xfId="19151" xr:uid="{00000000-0005-0000-0000-0000D1640000}"/>
    <cellStyle name="Normal 5 29 2 2" xfId="35566" xr:uid="{00000000-0005-0000-0000-0000D2640000}"/>
    <cellStyle name="Normal 5 29 3" xfId="19152" xr:uid="{00000000-0005-0000-0000-0000D3640000}"/>
    <cellStyle name="Normal 5 29 3 2" xfId="35567" xr:uid="{00000000-0005-0000-0000-0000D4640000}"/>
    <cellStyle name="Normal 5 29 4" xfId="19153" xr:uid="{00000000-0005-0000-0000-0000D5640000}"/>
    <cellStyle name="Normal 5 29 4 2" xfId="35568" xr:uid="{00000000-0005-0000-0000-0000D6640000}"/>
    <cellStyle name="Normal 5 29 5" xfId="19154" xr:uid="{00000000-0005-0000-0000-0000D7640000}"/>
    <cellStyle name="Normal 5 29 5 2" xfId="35569" xr:uid="{00000000-0005-0000-0000-0000D8640000}"/>
    <cellStyle name="Normal 5 29 6" xfId="19155" xr:uid="{00000000-0005-0000-0000-0000D9640000}"/>
    <cellStyle name="Normal 5 29 6 2" xfId="35570" xr:uid="{00000000-0005-0000-0000-0000DA640000}"/>
    <cellStyle name="Normal 5 29 7" xfId="19156" xr:uid="{00000000-0005-0000-0000-0000DB640000}"/>
    <cellStyle name="Normal 5 29 7 2" xfId="35571" xr:uid="{00000000-0005-0000-0000-0000DC640000}"/>
    <cellStyle name="Normal 5 3" xfId="19157" xr:uid="{00000000-0005-0000-0000-0000DD640000}"/>
    <cellStyle name="Normal 5 3 10" xfId="19158" xr:uid="{00000000-0005-0000-0000-0000DE640000}"/>
    <cellStyle name="Normal 5 3 10 2" xfId="19159" xr:uid="{00000000-0005-0000-0000-0000DF640000}"/>
    <cellStyle name="Normal 5 3 10 2 2" xfId="35573" xr:uid="{00000000-0005-0000-0000-0000E0640000}"/>
    <cellStyle name="Normal 5 3 10 3" xfId="19160" xr:uid="{00000000-0005-0000-0000-0000E1640000}"/>
    <cellStyle name="Normal 5 3 10 3 2" xfId="35574" xr:uid="{00000000-0005-0000-0000-0000E2640000}"/>
    <cellStyle name="Normal 5 3 10 4" xfId="19161" xr:uid="{00000000-0005-0000-0000-0000E3640000}"/>
    <cellStyle name="Normal 5 3 10 4 2" xfId="35575" xr:uid="{00000000-0005-0000-0000-0000E4640000}"/>
    <cellStyle name="Normal 5 3 10 5" xfId="19162" xr:uid="{00000000-0005-0000-0000-0000E5640000}"/>
    <cellStyle name="Normal 5 3 10 5 2" xfId="35576" xr:uid="{00000000-0005-0000-0000-0000E6640000}"/>
    <cellStyle name="Normal 5 3 10 6" xfId="35572" xr:uid="{00000000-0005-0000-0000-0000E7640000}"/>
    <cellStyle name="Normal 5 3 11" xfId="19163" xr:uid="{00000000-0005-0000-0000-0000E8640000}"/>
    <cellStyle name="Normal 5 3 11 2" xfId="19164" xr:uid="{00000000-0005-0000-0000-0000E9640000}"/>
    <cellStyle name="Normal 5 3 11 2 2" xfId="35578" xr:uid="{00000000-0005-0000-0000-0000EA640000}"/>
    <cellStyle name="Normal 5 3 11 3" xfId="19165" xr:uid="{00000000-0005-0000-0000-0000EB640000}"/>
    <cellStyle name="Normal 5 3 11 3 2" xfId="35579" xr:uid="{00000000-0005-0000-0000-0000EC640000}"/>
    <cellStyle name="Normal 5 3 11 4" xfId="19166" xr:uid="{00000000-0005-0000-0000-0000ED640000}"/>
    <cellStyle name="Normal 5 3 11 4 2" xfId="35580" xr:uid="{00000000-0005-0000-0000-0000EE640000}"/>
    <cellStyle name="Normal 5 3 11 5" xfId="19167" xr:uid="{00000000-0005-0000-0000-0000EF640000}"/>
    <cellStyle name="Normal 5 3 11 5 2" xfId="35581" xr:uid="{00000000-0005-0000-0000-0000F0640000}"/>
    <cellStyle name="Normal 5 3 11 6" xfId="35577" xr:uid="{00000000-0005-0000-0000-0000F1640000}"/>
    <cellStyle name="Normal 5 3 12" xfId="19168" xr:uid="{00000000-0005-0000-0000-0000F2640000}"/>
    <cellStyle name="Normal 5 3 12 2" xfId="19169" xr:uid="{00000000-0005-0000-0000-0000F3640000}"/>
    <cellStyle name="Normal 5 3 12 2 2" xfId="35583" xr:uid="{00000000-0005-0000-0000-0000F4640000}"/>
    <cellStyle name="Normal 5 3 12 3" xfId="19170" xr:uid="{00000000-0005-0000-0000-0000F5640000}"/>
    <cellStyle name="Normal 5 3 12 3 2" xfId="35584" xr:uid="{00000000-0005-0000-0000-0000F6640000}"/>
    <cellStyle name="Normal 5 3 12 4" xfId="19171" xr:uid="{00000000-0005-0000-0000-0000F7640000}"/>
    <cellStyle name="Normal 5 3 12 4 2" xfId="35585" xr:uid="{00000000-0005-0000-0000-0000F8640000}"/>
    <cellStyle name="Normal 5 3 12 5" xfId="19172" xr:uid="{00000000-0005-0000-0000-0000F9640000}"/>
    <cellStyle name="Normal 5 3 12 5 2" xfId="35586" xr:uid="{00000000-0005-0000-0000-0000FA640000}"/>
    <cellStyle name="Normal 5 3 12 6" xfId="35582" xr:uid="{00000000-0005-0000-0000-0000FB640000}"/>
    <cellStyle name="Normal 5 3 13" xfId="19173" xr:uid="{00000000-0005-0000-0000-0000FC640000}"/>
    <cellStyle name="Normal 5 3 13 2" xfId="19174" xr:uid="{00000000-0005-0000-0000-0000FD640000}"/>
    <cellStyle name="Normal 5 3 13 2 2" xfId="35588" xr:uid="{00000000-0005-0000-0000-0000FE640000}"/>
    <cellStyle name="Normal 5 3 13 3" xfId="19175" xr:uid="{00000000-0005-0000-0000-0000FF640000}"/>
    <cellStyle name="Normal 5 3 13 3 2" xfId="35589" xr:uid="{00000000-0005-0000-0000-000000650000}"/>
    <cellStyle name="Normal 5 3 13 4" xfId="19176" xr:uid="{00000000-0005-0000-0000-000001650000}"/>
    <cellStyle name="Normal 5 3 13 4 2" xfId="35590" xr:uid="{00000000-0005-0000-0000-000002650000}"/>
    <cellStyle name="Normal 5 3 13 5" xfId="19177" xr:uid="{00000000-0005-0000-0000-000003650000}"/>
    <cellStyle name="Normal 5 3 13 5 2" xfId="35591" xr:uid="{00000000-0005-0000-0000-000004650000}"/>
    <cellStyle name="Normal 5 3 13 6" xfId="35587" xr:uid="{00000000-0005-0000-0000-000005650000}"/>
    <cellStyle name="Normal 5 3 14" xfId="19178" xr:uid="{00000000-0005-0000-0000-000006650000}"/>
    <cellStyle name="Normal 5 3 14 2" xfId="19179" xr:uid="{00000000-0005-0000-0000-000007650000}"/>
    <cellStyle name="Normal 5 3 14 2 2" xfId="35593" xr:uid="{00000000-0005-0000-0000-000008650000}"/>
    <cellStyle name="Normal 5 3 14 3" xfId="19180" xr:uid="{00000000-0005-0000-0000-000009650000}"/>
    <cellStyle name="Normal 5 3 14 3 2" xfId="35594" xr:uid="{00000000-0005-0000-0000-00000A650000}"/>
    <cellStyle name="Normal 5 3 14 4" xfId="19181" xr:uid="{00000000-0005-0000-0000-00000B650000}"/>
    <cellStyle name="Normal 5 3 14 4 2" xfId="35595" xr:uid="{00000000-0005-0000-0000-00000C650000}"/>
    <cellStyle name="Normal 5 3 14 5" xfId="19182" xr:uid="{00000000-0005-0000-0000-00000D650000}"/>
    <cellStyle name="Normal 5 3 14 5 2" xfId="35596" xr:uid="{00000000-0005-0000-0000-00000E650000}"/>
    <cellStyle name="Normal 5 3 14 6" xfId="35592" xr:uid="{00000000-0005-0000-0000-00000F650000}"/>
    <cellStyle name="Normal 5 3 15" xfId="19183" xr:uid="{00000000-0005-0000-0000-000010650000}"/>
    <cellStyle name="Normal 5 3 15 2" xfId="19184" xr:uid="{00000000-0005-0000-0000-000011650000}"/>
    <cellStyle name="Normal 5 3 15 2 2" xfId="35598" xr:uid="{00000000-0005-0000-0000-000012650000}"/>
    <cellStyle name="Normal 5 3 15 3" xfId="19185" xr:uid="{00000000-0005-0000-0000-000013650000}"/>
    <cellStyle name="Normal 5 3 15 3 2" xfId="35599" xr:uid="{00000000-0005-0000-0000-000014650000}"/>
    <cellStyle name="Normal 5 3 15 4" xfId="19186" xr:uid="{00000000-0005-0000-0000-000015650000}"/>
    <cellStyle name="Normal 5 3 15 4 2" xfId="35600" xr:uid="{00000000-0005-0000-0000-000016650000}"/>
    <cellStyle name="Normal 5 3 15 5" xfId="19187" xr:uid="{00000000-0005-0000-0000-000017650000}"/>
    <cellStyle name="Normal 5 3 15 5 2" xfId="35601" xr:uid="{00000000-0005-0000-0000-000018650000}"/>
    <cellStyle name="Normal 5 3 15 6" xfId="35597" xr:uid="{00000000-0005-0000-0000-000019650000}"/>
    <cellStyle name="Normal 5 3 16" xfId="19188" xr:uid="{00000000-0005-0000-0000-00001A650000}"/>
    <cellStyle name="Normal 5 3 16 2" xfId="19189" xr:uid="{00000000-0005-0000-0000-00001B650000}"/>
    <cellStyle name="Normal 5 3 16 2 2" xfId="35603" xr:uid="{00000000-0005-0000-0000-00001C650000}"/>
    <cellStyle name="Normal 5 3 16 3" xfId="19190" xr:uid="{00000000-0005-0000-0000-00001D650000}"/>
    <cellStyle name="Normal 5 3 16 3 2" xfId="35604" xr:uid="{00000000-0005-0000-0000-00001E650000}"/>
    <cellStyle name="Normal 5 3 16 4" xfId="19191" xr:uid="{00000000-0005-0000-0000-00001F650000}"/>
    <cellStyle name="Normal 5 3 16 4 2" xfId="35605" xr:uid="{00000000-0005-0000-0000-000020650000}"/>
    <cellStyle name="Normal 5 3 16 5" xfId="19192" xr:uid="{00000000-0005-0000-0000-000021650000}"/>
    <cellStyle name="Normal 5 3 16 5 2" xfId="35606" xr:uid="{00000000-0005-0000-0000-000022650000}"/>
    <cellStyle name="Normal 5 3 16 6" xfId="35602" xr:uid="{00000000-0005-0000-0000-000023650000}"/>
    <cellStyle name="Normal 5 3 17" xfId="19193" xr:uid="{00000000-0005-0000-0000-000024650000}"/>
    <cellStyle name="Normal 5 3 17 2" xfId="19194" xr:uid="{00000000-0005-0000-0000-000025650000}"/>
    <cellStyle name="Normal 5 3 17 2 2" xfId="35608" xr:uid="{00000000-0005-0000-0000-000026650000}"/>
    <cellStyle name="Normal 5 3 17 3" xfId="19195" xr:uid="{00000000-0005-0000-0000-000027650000}"/>
    <cellStyle name="Normal 5 3 17 3 2" xfId="35609" xr:uid="{00000000-0005-0000-0000-000028650000}"/>
    <cellStyle name="Normal 5 3 17 4" xfId="19196" xr:uid="{00000000-0005-0000-0000-000029650000}"/>
    <cellStyle name="Normal 5 3 17 4 2" xfId="35610" xr:uid="{00000000-0005-0000-0000-00002A650000}"/>
    <cellStyle name="Normal 5 3 17 5" xfId="19197" xr:uid="{00000000-0005-0000-0000-00002B650000}"/>
    <cellStyle name="Normal 5 3 17 5 2" xfId="35611" xr:uid="{00000000-0005-0000-0000-00002C650000}"/>
    <cellStyle name="Normal 5 3 17 6" xfId="35607" xr:uid="{00000000-0005-0000-0000-00002D650000}"/>
    <cellStyle name="Normal 5 3 18" xfId="19198" xr:uid="{00000000-0005-0000-0000-00002E650000}"/>
    <cellStyle name="Normal 5 3 18 2" xfId="19199" xr:uid="{00000000-0005-0000-0000-00002F650000}"/>
    <cellStyle name="Normal 5 3 18 2 2" xfId="35613" xr:uid="{00000000-0005-0000-0000-000030650000}"/>
    <cellStyle name="Normal 5 3 18 3" xfId="19200" xr:uid="{00000000-0005-0000-0000-000031650000}"/>
    <cellStyle name="Normal 5 3 18 3 2" xfId="35614" xr:uid="{00000000-0005-0000-0000-000032650000}"/>
    <cellStyle name="Normal 5 3 18 4" xfId="19201" xr:uid="{00000000-0005-0000-0000-000033650000}"/>
    <cellStyle name="Normal 5 3 18 4 2" xfId="35615" xr:uid="{00000000-0005-0000-0000-000034650000}"/>
    <cellStyle name="Normal 5 3 18 5" xfId="19202" xr:uid="{00000000-0005-0000-0000-000035650000}"/>
    <cellStyle name="Normal 5 3 18 5 2" xfId="35616" xr:uid="{00000000-0005-0000-0000-000036650000}"/>
    <cellStyle name="Normal 5 3 18 6" xfId="35612" xr:uid="{00000000-0005-0000-0000-000037650000}"/>
    <cellStyle name="Normal 5 3 19" xfId="19203" xr:uid="{00000000-0005-0000-0000-000038650000}"/>
    <cellStyle name="Normal 5 3 19 2" xfId="19204" xr:uid="{00000000-0005-0000-0000-000039650000}"/>
    <cellStyle name="Normal 5 3 19 2 2" xfId="35618" xr:uid="{00000000-0005-0000-0000-00003A650000}"/>
    <cellStyle name="Normal 5 3 19 3" xfId="19205" xr:uid="{00000000-0005-0000-0000-00003B650000}"/>
    <cellStyle name="Normal 5 3 19 3 2" xfId="35619" xr:uid="{00000000-0005-0000-0000-00003C650000}"/>
    <cellStyle name="Normal 5 3 19 4" xfId="19206" xr:uid="{00000000-0005-0000-0000-00003D650000}"/>
    <cellStyle name="Normal 5 3 19 4 2" xfId="35620" xr:uid="{00000000-0005-0000-0000-00003E650000}"/>
    <cellStyle name="Normal 5 3 19 5" xfId="19207" xr:uid="{00000000-0005-0000-0000-00003F650000}"/>
    <cellStyle name="Normal 5 3 19 5 2" xfId="35621" xr:uid="{00000000-0005-0000-0000-000040650000}"/>
    <cellStyle name="Normal 5 3 19 6" xfId="35617" xr:uid="{00000000-0005-0000-0000-000041650000}"/>
    <cellStyle name="Normal 5 3 2" xfId="19208" xr:uid="{00000000-0005-0000-0000-000042650000}"/>
    <cellStyle name="Normal 5 3 2 10" xfId="19209" xr:uid="{00000000-0005-0000-0000-000043650000}"/>
    <cellStyle name="Normal 5 3 2 10 2" xfId="19210" xr:uid="{00000000-0005-0000-0000-000044650000}"/>
    <cellStyle name="Normal 5 3 2 10 2 2" xfId="35624" xr:uid="{00000000-0005-0000-0000-000045650000}"/>
    <cellStyle name="Normal 5 3 2 10 3" xfId="19211" xr:uid="{00000000-0005-0000-0000-000046650000}"/>
    <cellStyle name="Normal 5 3 2 10 3 2" xfId="35625" xr:uid="{00000000-0005-0000-0000-000047650000}"/>
    <cellStyle name="Normal 5 3 2 10 4" xfId="19212" xr:uid="{00000000-0005-0000-0000-000048650000}"/>
    <cellStyle name="Normal 5 3 2 10 4 2" xfId="35626" xr:uid="{00000000-0005-0000-0000-000049650000}"/>
    <cellStyle name="Normal 5 3 2 10 5" xfId="19213" xr:uid="{00000000-0005-0000-0000-00004A650000}"/>
    <cellStyle name="Normal 5 3 2 10 5 2" xfId="35627" xr:uid="{00000000-0005-0000-0000-00004B650000}"/>
    <cellStyle name="Normal 5 3 2 10 6" xfId="35623" xr:uid="{00000000-0005-0000-0000-00004C650000}"/>
    <cellStyle name="Normal 5 3 2 11" xfId="19214" xr:uid="{00000000-0005-0000-0000-00004D650000}"/>
    <cellStyle name="Normal 5 3 2 11 2" xfId="19215" xr:uid="{00000000-0005-0000-0000-00004E650000}"/>
    <cellStyle name="Normal 5 3 2 11 2 2" xfId="35629" xr:uid="{00000000-0005-0000-0000-00004F650000}"/>
    <cellStyle name="Normal 5 3 2 11 3" xfId="19216" xr:uid="{00000000-0005-0000-0000-000050650000}"/>
    <cellStyle name="Normal 5 3 2 11 3 2" xfId="35630" xr:uid="{00000000-0005-0000-0000-000051650000}"/>
    <cellStyle name="Normal 5 3 2 11 4" xfId="19217" xr:uid="{00000000-0005-0000-0000-000052650000}"/>
    <cellStyle name="Normal 5 3 2 11 4 2" xfId="35631" xr:uid="{00000000-0005-0000-0000-000053650000}"/>
    <cellStyle name="Normal 5 3 2 11 5" xfId="19218" xr:uid="{00000000-0005-0000-0000-000054650000}"/>
    <cellStyle name="Normal 5 3 2 11 5 2" xfId="35632" xr:uid="{00000000-0005-0000-0000-000055650000}"/>
    <cellStyle name="Normal 5 3 2 11 6" xfId="35628" xr:uid="{00000000-0005-0000-0000-000056650000}"/>
    <cellStyle name="Normal 5 3 2 12" xfId="19219" xr:uid="{00000000-0005-0000-0000-000057650000}"/>
    <cellStyle name="Normal 5 3 2 12 2" xfId="19220" xr:uid="{00000000-0005-0000-0000-000058650000}"/>
    <cellStyle name="Normal 5 3 2 12 2 2" xfId="35634" xr:uid="{00000000-0005-0000-0000-000059650000}"/>
    <cellStyle name="Normal 5 3 2 12 3" xfId="19221" xr:uid="{00000000-0005-0000-0000-00005A650000}"/>
    <cellStyle name="Normal 5 3 2 12 3 2" xfId="35635" xr:uid="{00000000-0005-0000-0000-00005B650000}"/>
    <cellStyle name="Normal 5 3 2 12 4" xfId="19222" xr:uid="{00000000-0005-0000-0000-00005C650000}"/>
    <cellStyle name="Normal 5 3 2 12 4 2" xfId="35636" xr:uid="{00000000-0005-0000-0000-00005D650000}"/>
    <cellStyle name="Normal 5 3 2 12 5" xfId="19223" xr:uid="{00000000-0005-0000-0000-00005E650000}"/>
    <cellStyle name="Normal 5 3 2 12 5 2" xfId="35637" xr:uid="{00000000-0005-0000-0000-00005F650000}"/>
    <cellStyle name="Normal 5 3 2 12 6" xfId="35633" xr:uid="{00000000-0005-0000-0000-000060650000}"/>
    <cellStyle name="Normal 5 3 2 13" xfId="19224" xr:uid="{00000000-0005-0000-0000-000061650000}"/>
    <cellStyle name="Normal 5 3 2 13 2" xfId="19225" xr:uid="{00000000-0005-0000-0000-000062650000}"/>
    <cellStyle name="Normal 5 3 2 13 2 2" xfId="35639" xr:uid="{00000000-0005-0000-0000-000063650000}"/>
    <cellStyle name="Normal 5 3 2 13 3" xfId="19226" xr:uid="{00000000-0005-0000-0000-000064650000}"/>
    <cellStyle name="Normal 5 3 2 13 3 2" xfId="35640" xr:uid="{00000000-0005-0000-0000-000065650000}"/>
    <cellStyle name="Normal 5 3 2 13 4" xfId="19227" xr:uid="{00000000-0005-0000-0000-000066650000}"/>
    <cellStyle name="Normal 5 3 2 13 4 2" xfId="35641" xr:uid="{00000000-0005-0000-0000-000067650000}"/>
    <cellStyle name="Normal 5 3 2 13 5" xfId="19228" xr:uid="{00000000-0005-0000-0000-000068650000}"/>
    <cellStyle name="Normal 5 3 2 13 5 2" xfId="35642" xr:uid="{00000000-0005-0000-0000-000069650000}"/>
    <cellStyle name="Normal 5 3 2 13 6" xfId="35638" xr:uid="{00000000-0005-0000-0000-00006A650000}"/>
    <cellStyle name="Normal 5 3 2 14" xfId="19229" xr:uid="{00000000-0005-0000-0000-00006B650000}"/>
    <cellStyle name="Normal 5 3 2 14 2" xfId="19230" xr:uid="{00000000-0005-0000-0000-00006C650000}"/>
    <cellStyle name="Normal 5 3 2 14 2 2" xfId="35644" xr:uid="{00000000-0005-0000-0000-00006D650000}"/>
    <cellStyle name="Normal 5 3 2 14 3" xfId="19231" xr:uid="{00000000-0005-0000-0000-00006E650000}"/>
    <cellStyle name="Normal 5 3 2 14 3 2" xfId="35645" xr:uid="{00000000-0005-0000-0000-00006F650000}"/>
    <cellStyle name="Normal 5 3 2 14 4" xfId="19232" xr:uid="{00000000-0005-0000-0000-000070650000}"/>
    <cellStyle name="Normal 5 3 2 14 4 2" xfId="35646" xr:uid="{00000000-0005-0000-0000-000071650000}"/>
    <cellStyle name="Normal 5 3 2 14 5" xfId="19233" xr:uid="{00000000-0005-0000-0000-000072650000}"/>
    <cellStyle name="Normal 5 3 2 14 5 2" xfId="35647" xr:uid="{00000000-0005-0000-0000-000073650000}"/>
    <cellStyle name="Normal 5 3 2 14 6" xfId="35643" xr:uid="{00000000-0005-0000-0000-000074650000}"/>
    <cellStyle name="Normal 5 3 2 15" xfId="19234" xr:uid="{00000000-0005-0000-0000-000075650000}"/>
    <cellStyle name="Normal 5 3 2 15 2" xfId="19235" xr:uid="{00000000-0005-0000-0000-000076650000}"/>
    <cellStyle name="Normal 5 3 2 15 2 2" xfId="35649" xr:uid="{00000000-0005-0000-0000-000077650000}"/>
    <cellStyle name="Normal 5 3 2 15 3" xfId="19236" xr:uid="{00000000-0005-0000-0000-000078650000}"/>
    <cellStyle name="Normal 5 3 2 15 3 2" xfId="35650" xr:uid="{00000000-0005-0000-0000-000079650000}"/>
    <cellStyle name="Normal 5 3 2 15 4" xfId="19237" xr:uid="{00000000-0005-0000-0000-00007A650000}"/>
    <cellStyle name="Normal 5 3 2 15 4 2" xfId="35651" xr:uid="{00000000-0005-0000-0000-00007B650000}"/>
    <cellStyle name="Normal 5 3 2 15 5" xfId="19238" xr:uid="{00000000-0005-0000-0000-00007C650000}"/>
    <cellStyle name="Normal 5 3 2 15 5 2" xfId="35652" xr:uid="{00000000-0005-0000-0000-00007D650000}"/>
    <cellStyle name="Normal 5 3 2 15 6" xfId="35648" xr:uid="{00000000-0005-0000-0000-00007E650000}"/>
    <cellStyle name="Normal 5 3 2 16" xfId="19239" xr:uid="{00000000-0005-0000-0000-00007F650000}"/>
    <cellStyle name="Normal 5 3 2 16 2" xfId="19240" xr:uid="{00000000-0005-0000-0000-000080650000}"/>
    <cellStyle name="Normal 5 3 2 16 2 2" xfId="35654" xr:uid="{00000000-0005-0000-0000-000081650000}"/>
    <cellStyle name="Normal 5 3 2 16 3" xfId="19241" xr:uid="{00000000-0005-0000-0000-000082650000}"/>
    <cellStyle name="Normal 5 3 2 16 3 2" xfId="35655" xr:uid="{00000000-0005-0000-0000-000083650000}"/>
    <cellStyle name="Normal 5 3 2 16 4" xfId="19242" xr:uid="{00000000-0005-0000-0000-000084650000}"/>
    <cellStyle name="Normal 5 3 2 16 4 2" xfId="35656" xr:uid="{00000000-0005-0000-0000-000085650000}"/>
    <cellStyle name="Normal 5 3 2 16 5" xfId="19243" xr:uid="{00000000-0005-0000-0000-000086650000}"/>
    <cellStyle name="Normal 5 3 2 16 5 2" xfId="35657" xr:uid="{00000000-0005-0000-0000-000087650000}"/>
    <cellStyle name="Normal 5 3 2 16 6" xfId="35653" xr:uid="{00000000-0005-0000-0000-000088650000}"/>
    <cellStyle name="Normal 5 3 2 17" xfId="19244" xr:uid="{00000000-0005-0000-0000-000089650000}"/>
    <cellStyle name="Normal 5 3 2 17 2" xfId="35658" xr:uid="{00000000-0005-0000-0000-00008A650000}"/>
    <cellStyle name="Normal 5 3 2 18" xfId="19245" xr:uid="{00000000-0005-0000-0000-00008B650000}"/>
    <cellStyle name="Normal 5 3 2 18 2" xfId="35659" xr:uid="{00000000-0005-0000-0000-00008C650000}"/>
    <cellStyle name="Normal 5 3 2 19" xfId="19246" xr:uid="{00000000-0005-0000-0000-00008D650000}"/>
    <cellStyle name="Normal 5 3 2 19 2" xfId="35660" xr:uid="{00000000-0005-0000-0000-00008E650000}"/>
    <cellStyle name="Normal 5 3 2 2" xfId="19247" xr:uid="{00000000-0005-0000-0000-00008F650000}"/>
    <cellStyle name="Normal 5 3 2 2 10" xfId="19248" xr:uid="{00000000-0005-0000-0000-000090650000}"/>
    <cellStyle name="Normal 5 3 2 2 10 2" xfId="35662" xr:uid="{00000000-0005-0000-0000-000091650000}"/>
    <cellStyle name="Normal 5 3 2 2 11" xfId="19249" xr:uid="{00000000-0005-0000-0000-000092650000}"/>
    <cellStyle name="Normal 5 3 2 2 11 2" xfId="35663" xr:uid="{00000000-0005-0000-0000-000093650000}"/>
    <cellStyle name="Normal 5 3 2 2 12" xfId="40733" xr:uid="{00000000-0005-0000-0000-000094650000}"/>
    <cellStyle name="Normal 5 3 2 2 13" xfId="35661" xr:uid="{00000000-0005-0000-0000-000095650000}"/>
    <cellStyle name="Normal 5 3 2 2 2" xfId="19250" xr:uid="{00000000-0005-0000-0000-000096650000}"/>
    <cellStyle name="Normal 5 3 2 2 2 2" xfId="19251" xr:uid="{00000000-0005-0000-0000-000097650000}"/>
    <cellStyle name="Normal 5 3 2 2 2 2 2" xfId="35665" xr:uid="{00000000-0005-0000-0000-000098650000}"/>
    <cellStyle name="Normal 5 3 2 2 2 3" xfId="19252" xr:uid="{00000000-0005-0000-0000-000099650000}"/>
    <cellStyle name="Normal 5 3 2 2 2 3 2" xfId="35666" xr:uid="{00000000-0005-0000-0000-00009A650000}"/>
    <cellStyle name="Normal 5 3 2 2 2 4" xfId="19253" xr:uid="{00000000-0005-0000-0000-00009B650000}"/>
    <cellStyle name="Normal 5 3 2 2 2 4 2" xfId="35667" xr:uid="{00000000-0005-0000-0000-00009C650000}"/>
    <cellStyle name="Normal 5 3 2 2 2 5" xfId="19254" xr:uid="{00000000-0005-0000-0000-00009D650000}"/>
    <cellStyle name="Normal 5 3 2 2 2 5 2" xfId="35668" xr:uid="{00000000-0005-0000-0000-00009E650000}"/>
    <cellStyle name="Normal 5 3 2 2 2 6" xfId="35664" xr:uid="{00000000-0005-0000-0000-00009F650000}"/>
    <cellStyle name="Normal 5 3 2 2 3" xfId="19255" xr:uid="{00000000-0005-0000-0000-0000A0650000}"/>
    <cellStyle name="Normal 5 3 2 2 3 2" xfId="19256" xr:uid="{00000000-0005-0000-0000-0000A1650000}"/>
    <cellStyle name="Normal 5 3 2 2 3 2 2" xfId="35670" xr:uid="{00000000-0005-0000-0000-0000A2650000}"/>
    <cellStyle name="Normal 5 3 2 2 3 3" xfId="19257" xr:uid="{00000000-0005-0000-0000-0000A3650000}"/>
    <cellStyle name="Normal 5 3 2 2 3 3 2" xfId="35671" xr:uid="{00000000-0005-0000-0000-0000A4650000}"/>
    <cellStyle name="Normal 5 3 2 2 3 4" xfId="19258" xr:uid="{00000000-0005-0000-0000-0000A5650000}"/>
    <cellStyle name="Normal 5 3 2 2 3 4 2" xfId="35672" xr:uid="{00000000-0005-0000-0000-0000A6650000}"/>
    <cellStyle name="Normal 5 3 2 2 3 5" xfId="19259" xr:uid="{00000000-0005-0000-0000-0000A7650000}"/>
    <cellStyle name="Normal 5 3 2 2 3 5 2" xfId="35673" xr:uid="{00000000-0005-0000-0000-0000A8650000}"/>
    <cellStyle name="Normal 5 3 2 2 3 6" xfId="35669" xr:uid="{00000000-0005-0000-0000-0000A9650000}"/>
    <cellStyle name="Normal 5 3 2 2 4" xfId="19260" xr:uid="{00000000-0005-0000-0000-0000AA650000}"/>
    <cellStyle name="Normal 5 3 2 2 4 2" xfId="19261" xr:uid="{00000000-0005-0000-0000-0000AB650000}"/>
    <cellStyle name="Normal 5 3 2 2 4 2 2" xfId="35675" xr:uid="{00000000-0005-0000-0000-0000AC650000}"/>
    <cellStyle name="Normal 5 3 2 2 4 3" xfId="19262" xr:uid="{00000000-0005-0000-0000-0000AD650000}"/>
    <cellStyle name="Normal 5 3 2 2 4 3 2" xfId="35676" xr:uid="{00000000-0005-0000-0000-0000AE650000}"/>
    <cellStyle name="Normal 5 3 2 2 4 4" xfId="19263" xr:uid="{00000000-0005-0000-0000-0000AF650000}"/>
    <cellStyle name="Normal 5 3 2 2 4 4 2" xfId="35677" xr:uid="{00000000-0005-0000-0000-0000B0650000}"/>
    <cellStyle name="Normal 5 3 2 2 4 5" xfId="19264" xr:uid="{00000000-0005-0000-0000-0000B1650000}"/>
    <cellStyle name="Normal 5 3 2 2 4 5 2" xfId="35678" xr:uid="{00000000-0005-0000-0000-0000B2650000}"/>
    <cellStyle name="Normal 5 3 2 2 4 6" xfId="35674" xr:uid="{00000000-0005-0000-0000-0000B3650000}"/>
    <cellStyle name="Normal 5 3 2 2 5" xfId="19265" xr:uid="{00000000-0005-0000-0000-0000B4650000}"/>
    <cellStyle name="Normal 5 3 2 2 5 2" xfId="19266" xr:uid="{00000000-0005-0000-0000-0000B5650000}"/>
    <cellStyle name="Normal 5 3 2 2 5 2 2" xfId="35680" xr:uid="{00000000-0005-0000-0000-0000B6650000}"/>
    <cellStyle name="Normal 5 3 2 2 5 3" xfId="19267" xr:uid="{00000000-0005-0000-0000-0000B7650000}"/>
    <cellStyle name="Normal 5 3 2 2 5 3 2" xfId="35681" xr:uid="{00000000-0005-0000-0000-0000B8650000}"/>
    <cellStyle name="Normal 5 3 2 2 5 4" xfId="19268" xr:uid="{00000000-0005-0000-0000-0000B9650000}"/>
    <cellStyle name="Normal 5 3 2 2 5 4 2" xfId="35682" xr:uid="{00000000-0005-0000-0000-0000BA650000}"/>
    <cellStyle name="Normal 5 3 2 2 5 5" xfId="19269" xr:uid="{00000000-0005-0000-0000-0000BB650000}"/>
    <cellStyle name="Normal 5 3 2 2 5 5 2" xfId="35683" xr:uid="{00000000-0005-0000-0000-0000BC650000}"/>
    <cellStyle name="Normal 5 3 2 2 5 6" xfId="35679" xr:uid="{00000000-0005-0000-0000-0000BD650000}"/>
    <cellStyle name="Normal 5 3 2 2 6" xfId="19270" xr:uid="{00000000-0005-0000-0000-0000BE650000}"/>
    <cellStyle name="Normal 5 3 2 2 6 2" xfId="19271" xr:uid="{00000000-0005-0000-0000-0000BF650000}"/>
    <cellStyle name="Normal 5 3 2 2 6 2 2" xfId="35685" xr:uid="{00000000-0005-0000-0000-0000C0650000}"/>
    <cellStyle name="Normal 5 3 2 2 6 3" xfId="19272" xr:uid="{00000000-0005-0000-0000-0000C1650000}"/>
    <cellStyle name="Normal 5 3 2 2 6 3 2" xfId="35686" xr:uid="{00000000-0005-0000-0000-0000C2650000}"/>
    <cellStyle name="Normal 5 3 2 2 6 4" xfId="19273" xr:uid="{00000000-0005-0000-0000-0000C3650000}"/>
    <cellStyle name="Normal 5 3 2 2 6 4 2" xfId="35687" xr:uid="{00000000-0005-0000-0000-0000C4650000}"/>
    <cellStyle name="Normal 5 3 2 2 6 5" xfId="19274" xr:uid="{00000000-0005-0000-0000-0000C5650000}"/>
    <cellStyle name="Normal 5 3 2 2 6 5 2" xfId="35688" xr:uid="{00000000-0005-0000-0000-0000C6650000}"/>
    <cellStyle name="Normal 5 3 2 2 6 6" xfId="35684" xr:uid="{00000000-0005-0000-0000-0000C7650000}"/>
    <cellStyle name="Normal 5 3 2 2 7" xfId="19275" xr:uid="{00000000-0005-0000-0000-0000C8650000}"/>
    <cellStyle name="Normal 5 3 2 2 7 2" xfId="19276" xr:uid="{00000000-0005-0000-0000-0000C9650000}"/>
    <cellStyle name="Normal 5 3 2 2 7 2 2" xfId="35690" xr:uid="{00000000-0005-0000-0000-0000CA650000}"/>
    <cellStyle name="Normal 5 3 2 2 7 3" xfId="19277" xr:uid="{00000000-0005-0000-0000-0000CB650000}"/>
    <cellStyle name="Normal 5 3 2 2 7 3 2" xfId="35691" xr:uid="{00000000-0005-0000-0000-0000CC650000}"/>
    <cellStyle name="Normal 5 3 2 2 7 4" xfId="19278" xr:uid="{00000000-0005-0000-0000-0000CD650000}"/>
    <cellStyle name="Normal 5 3 2 2 7 4 2" xfId="35692" xr:uid="{00000000-0005-0000-0000-0000CE650000}"/>
    <cellStyle name="Normal 5 3 2 2 7 5" xfId="19279" xr:uid="{00000000-0005-0000-0000-0000CF650000}"/>
    <cellStyle name="Normal 5 3 2 2 7 5 2" xfId="35693" xr:uid="{00000000-0005-0000-0000-0000D0650000}"/>
    <cellStyle name="Normal 5 3 2 2 7 6" xfId="35689" xr:uid="{00000000-0005-0000-0000-0000D1650000}"/>
    <cellStyle name="Normal 5 3 2 2 8" xfId="19280" xr:uid="{00000000-0005-0000-0000-0000D2650000}"/>
    <cellStyle name="Normal 5 3 2 2 8 2" xfId="35694" xr:uid="{00000000-0005-0000-0000-0000D3650000}"/>
    <cellStyle name="Normal 5 3 2 2 9" xfId="19281" xr:uid="{00000000-0005-0000-0000-0000D4650000}"/>
    <cellStyle name="Normal 5 3 2 2 9 2" xfId="35695" xr:uid="{00000000-0005-0000-0000-0000D5650000}"/>
    <cellStyle name="Normal 5 3 2 20" xfId="19282" xr:uid="{00000000-0005-0000-0000-0000D6650000}"/>
    <cellStyle name="Normal 5 3 2 20 2" xfId="35696" xr:uid="{00000000-0005-0000-0000-0000D7650000}"/>
    <cellStyle name="Normal 5 3 2 21" xfId="40732" xr:uid="{00000000-0005-0000-0000-0000D8650000}"/>
    <cellStyle name="Normal 5 3 2 22" xfId="35622" xr:uid="{00000000-0005-0000-0000-0000D9650000}"/>
    <cellStyle name="Normal 5 3 2 3" xfId="19283" xr:uid="{00000000-0005-0000-0000-0000DA650000}"/>
    <cellStyle name="Normal 5 3 2 3 2" xfId="19284" xr:uid="{00000000-0005-0000-0000-0000DB650000}"/>
    <cellStyle name="Normal 5 3 2 3 2 2" xfId="19285" xr:uid="{00000000-0005-0000-0000-0000DC650000}"/>
    <cellStyle name="Normal 5 3 2 3 2 2 2" xfId="35699" xr:uid="{00000000-0005-0000-0000-0000DD650000}"/>
    <cellStyle name="Normal 5 3 2 3 2 3" xfId="19286" xr:uid="{00000000-0005-0000-0000-0000DE650000}"/>
    <cellStyle name="Normal 5 3 2 3 2 3 2" xfId="35700" xr:uid="{00000000-0005-0000-0000-0000DF650000}"/>
    <cellStyle name="Normal 5 3 2 3 2 4" xfId="19287" xr:uid="{00000000-0005-0000-0000-0000E0650000}"/>
    <cellStyle name="Normal 5 3 2 3 2 4 2" xfId="35701" xr:uid="{00000000-0005-0000-0000-0000E1650000}"/>
    <cellStyle name="Normal 5 3 2 3 2 5" xfId="19288" xr:uid="{00000000-0005-0000-0000-0000E2650000}"/>
    <cellStyle name="Normal 5 3 2 3 2 5 2" xfId="35702" xr:uid="{00000000-0005-0000-0000-0000E3650000}"/>
    <cellStyle name="Normal 5 3 2 3 2 6" xfId="35698" xr:uid="{00000000-0005-0000-0000-0000E4650000}"/>
    <cellStyle name="Normal 5 3 2 3 3" xfId="19289" xr:uid="{00000000-0005-0000-0000-0000E5650000}"/>
    <cellStyle name="Normal 5 3 2 3 3 2" xfId="35703" xr:uid="{00000000-0005-0000-0000-0000E6650000}"/>
    <cellStyle name="Normal 5 3 2 3 4" xfId="19290" xr:uid="{00000000-0005-0000-0000-0000E7650000}"/>
    <cellStyle name="Normal 5 3 2 3 4 2" xfId="35704" xr:uid="{00000000-0005-0000-0000-0000E8650000}"/>
    <cellStyle name="Normal 5 3 2 3 5" xfId="19291" xr:uid="{00000000-0005-0000-0000-0000E9650000}"/>
    <cellStyle name="Normal 5 3 2 3 5 2" xfId="35705" xr:uid="{00000000-0005-0000-0000-0000EA650000}"/>
    <cellStyle name="Normal 5 3 2 3 6" xfId="19292" xr:uid="{00000000-0005-0000-0000-0000EB650000}"/>
    <cellStyle name="Normal 5 3 2 3 6 2" xfId="35706" xr:uid="{00000000-0005-0000-0000-0000EC650000}"/>
    <cellStyle name="Normal 5 3 2 3 7" xfId="35697" xr:uid="{00000000-0005-0000-0000-0000ED650000}"/>
    <cellStyle name="Normal 5 3 2 4" xfId="19293" xr:uid="{00000000-0005-0000-0000-0000EE650000}"/>
    <cellStyle name="Normal 5 3 2 4 2" xfId="19294" xr:uid="{00000000-0005-0000-0000-0000EF650000}"/>
    <cellStyle name="Normal 5 3 2 4 2 2" xfId="19295" xr:uid="{00000000-0005-0000-0000-0000F0650000}"/>
    <cellStyle name="Normal 5 3 2 4 2 2 2" xfId="35709" xr:uid="{00000000-0005-0000-0000-0000F1650000}"/>
    <cellStyle name="Normal 5 3 2 4 2 3" xfId="19296" xr:uid="{00000000-0005-0000-0000-0000F2650000}"/>
    <cellStyle name="Normal 5 3 2 4 2 3 2" xfId="35710" xr:uid="{00000000-0005-0000-0000-0000F3650000}"/>
    <cellStyle name="Normal 5 3 2 4 2 4" xfId="19297" xr:uid="{00000000-0005-0000-0000-0000F4650000}"/>
    <cellStyle name="Normal 5 3 2 4 2 4 2" xfId="35711" xr:uid="{00000000-0005-0000-0000-0000F5650000}"/>
    <cellStyle name="Normal 5 3 2 4 2 5" xfId="19298" xr:uid="{00000000-0005-0000-0000-0000F6650000}"/>
    <cellStyle name="Normal 5 3 2 4 2 5 2" xfId="35712" xr:uid="{00000000-0005-0000-0000-0000F7650000}"/>
    <cellStyle name="Normal 5 3 2 4 2 6" xfId="35708" xr:uid="{00000000-0005-0000-0000-0000F8650000}"/>
    <cellStyle name="Normal 5 3 2 4 3" xfId="19299" xr:uid="{00000000-0005-0000-0000-0000F9650000}"/>
    <cellStyle name="Normal 5 3 2 4 3 2" xfId="35713" xr:uid="{00000000-0005-0000-0000-0000FA650000}"/>
    <cellStyle name="Normal 5 3 2 4 4" xfId="19300" xr:uid="{00000000-0005-0000-0000-0000FB650000}"/>
    <cellStyle name="Normal 5 3 2 4 4 2" xfId="35714" xr:uid="{00000000-0005-0000-0000-0000FC650000}"/>
    <cellStyle name="Normal 5 3 2 4 5" xfId="19301" xr:uid="{00000000-0005-0000-0000-0000FD650000}"/>
    <cellStyle name="Normal 5 3 2 4 5 2" xfId="35715" xr:uid="{00000000-0005-0000-0000-0000FE650000}"/>
    <cellStyle name="Normal 5 3 2 4 6" xfId="19302" xr:uid="{00000000-0005-0000-0000-0000FF650000}"/>
    <cellStyle name="Normal 5 3 2 4 6 2" xfId="35716" xr:uid="{00000000-0005-0000-0000-000000660000}"/>
    <cellStyle name="Normal 5 3 2 4 7" xfId="35707" xr:uid="{00000000-0005-0000-0000-000001660000}"/>
    <cellStyle name="Normal 5 3 2 5" xfId="19303" xr:uid="{00000000-0005-0000-0000-000002660000}"/>
    <cellStyle name="Normal 5 3 2 5 2" xfId="19304" xr:uid="{00000000-0005-0000-0000-000003660000}"/>
    <cellStyle name="Normal 5 3 2 5 2 2" xfId="35718" xr:uid="{00000000-0005-0000-0000-000004660000}"/>
    <cellStyle name="Normal 5 3 2 5 3" xfId="19305" xr:uid="{00000000-0005-0000-0000-000005660000}"/>
    <cellStyle name="Normal 5 3 2 5 3 2" xfId="35719" xr:uid="{00000000-0005-0000-0000-000006660000}"/>
    <cellStyle name="Normal 5 3 2 5 4" xfId="19306" xr:uid="{00000000-0005-0000-0000-000007660000}"/>
    <cellStyle name="Normal 5 3 2 5 4 2" xfId="35720" xr:uid="{00000000-0005-0000-0000-000008660000}"/>
    <cellStyle name="Normal 5 3 2 5 5" xfId="19307" xr:uid="{00000000-0005-0000-0000-000009660000}"/>
    <cellStyle name="Normal 5 3 2 5 5 2" xfId="35721" xr:uid="{00000000-0005-0000-0000-00000A660000}"/>
    <cellStyle name="Normal 5 3 2 5 6" xfId="35717" xr:uid="{00000000-0005-0000-0000-00000B660000}"/>
    <cellStyle name="Normal 5 3 2 6" xfId="19308" xr:uid="{00000000-0005-0000-0000-00000C660000}"/>
    <cellStyle name="Normal 5 3 2 6 2" xfId="19309" xr:uid="{00000000-0005-0000-0000-00000D660000}"/>
    <cellStyle name="Normal 5 3 2 6 2 2" xfId="35723" xr:uid="{00000000-0005-0000-0000-00000E660000}"/>
    <cellStyle name="Normal 5 3 2 6 3" xfId="19310" xr:uid="{00000000-0005-0000-0000-00000F660000}"/>
    <cellStyle name="Normal 5 3 2 6 3 2" xfId="35724" xr:uid="{00000000-0005-0000-0000-000010660000}"/>
    <cellStyle name="Normal 5 3 2 6 4" xfId="19311" xr:uid="{00000000-0005-0000-0000-000011660000}"/>
    <cellStyle name="Normal 5 3 2 6 4 2" xfId="35725" xr:uid="{00000000-0005-0000-0000-000012660000}"/>
    <cellStyle name="Normal 5 3 2 6 5" xfId="19312" xr:uid="{00000000-0005-0000-0000-000013660000}"/>
    <cellStyle name="Normal 5 3 2 6 5 2" xfId="35726" xr:uid="{00000000-0005-0000-0000-000014660000}"/>
    <cellStyle name="Normal 5 3 2 6 6" xfId="35722" xr:uid="{00000000-0005-0000-0000-000015660000}"/>
    <cellStyle name="Normal 5 3 2 7" xfId="19313" xr:uid="{00000000-0005-0000-0000-000016660000}"/>
    <cellStyle name="Normal 5 3 2 7 2" xfId="19314" xr:uid="{00000000-0005-0000-0000-000017660000}"/>
    <cellStyle name="Normal 5 3 2 7 2 2" xfId="35728" xr:uid="{00000000-0005-0000-0000-000018660000}"/>
    <cellStyle name="Normal 5 3 2 7 3" xfId="19315" xr:uid="{00000000-0005-0000-0000-000019660000}"/>
    <cellStyle name="Normal 5 3 2 7 3 2" xfId="35729" xr:uid="{00000000-0005-0000-0000-00001A660000}"/>
    <cellStyle name="Normal 5 3 2 7 4" xfId="19316" xr:uid="{00000000-0005-0000-0000-00001B660000}"/>
    <cellStyle name="Normal 5 3 2 7 4 2" xfId="35730" xr:uid="{00000000-0005-0000-0000-00001C660000}"/>
    <cellStyle name="Normal 5 3 2 7 5" xfId="19317" xr:uid="{00000000-0005-0000-0000-00001D660000}"/>
    <cellStyle name="Normal 5 3 2 7 5 2" xfId="35731" xr:uid="{00000000-0005-0000-0000-00001E660000}"/>
    <cellStyle name="Normal 5 3 2 7 6" xfId="35727" xr:uid="{00000000-0005-0000-0000-00001F660000}"/>
    <cellStyle name="Normal 5 3 2 8" xfId="19318" xr:uid="{00000000-0005-0000-0000-000020660000}"/>
    <cellStyle name="Normal 5 3 2 8 2" xfId="19319" xr:uid="{00000000-0005-0000-0000-000021660000}"/>
    <cellStyle name="Normal 5 3 2 8 2 2" xfId="35733" xr:uid="{00000000-0005-0000-0000-000022660000}"/>
    <cellStyle name="Normal 5 3 2 8 3" xfId="19320" xr:uid="{00000000-0005-0000-0000-000023660000}"/>
    <cellStyle name="Normal 5 3 2 8 3 2" xfId="35734" xr:uid="{00000000-0005-0000-0000-000024660000}"/>
    <cellStyle name="Normal 5 3 2 8 4" xfId="19321" xr:uid="{00000000-0005-0000-0000-000025660000}"/>
    <cellStyle name="Normal 5 3 2 8 4 2" xfId="35735" xr:uid="{00000000-0005-0000-0000-000026660000}"/>
    <cellStyle name="Normal 5 3 2 8 5" xfId="19322" xr:uid="{00000000-0005-0000-0000-000027660000}"/>
    <cellStyle name="Normal 5 3 2 8 5 2" xfId="35736" xr:uid="{00000000-0005-0000-0000-000028660000}"/>
    <cellStyle name="Normal 5 3 2 8 6" xfId="35732" xr:uid="{00000000-0005-0000-0000-000029660000}"/>
    <cellStyle name="Normal 5 3 2 9" xfId="19323" xr:uid="{00000000-0005-0000-0000-00002A660000}"/>
    <cellStyle name="Normal 5 3 2 9 2" xfId="19324" xr:uid="{00000000-0005-0000-0000-00002B660000}"/>
    <cellStyle name="Normal 5 3 2 9 2 2" xfId="35738" xr:uid="{00000000-0005-0000-0000-00002C660000}"/>
    <cellStyle name="Normal 5 3 2 9 3" xfId="19325" xr:uid="{00000000-0005-0000-0000-00002D660000}"/>
    <cellStyle name="Normal 5 3 2 9 3 2" xfId="35739" xr:uid="{00000000-0005-0000-0000-00002E660000}"/>
    <cellStyle name="Normal 5 3 2 9 4" xfId="19326" xr:uid="{00000000-0005-0000-0000-00002F660000}"/>
    <cellStyle name="Normal 5 3 2 9 4 2" xfId="35740" xr:uid="{00000000-0005-0000-0000-000030660000}"/>
    <cellStyle name="Normal 5 3 2 9 5" xfId="19327" xr:uid="{00000000-0005-0000-0000-000031660000}"/>
    <cellStyle name="Normal 5 3 2 9 5 2" xfId="35741" xr:uid="{00000000-0005-0000-0000-000032660000}"/>
    <cellStyle name="Normal 5 3 2 9 6" xfId="35737" xr:uid="{00000000-0005-0000-0000-000033660000}"/>
    <cellStyle name="Normal 5 3 20" xfId="19328" xr:uid="{00000000-0005-0000-0000-000034660000}"/>
    <cellStyle name="Normal 5 3 20 2" xfId="19329" xr:uid="{00000000-0005-0000-0000-000035660000}"/>
    <cellStyle name="Normal 5 3 20 2 2" xfId="35743" xr:uid="{00000000-0005-0000-0000-000036660000}"/>
    <cellStyle name="Normal 5 3 20 3" xfId="19330" xr:uid="{00000000-0005-0000-0000-000037660000}"/>
    <cellStyle name="Normal 5 3 20 3 2" xfId="35744" xr:uid="{00000000-0005-0000-0000-000038660000}"/>
    <cellStyle name="Normal 5 3 20 4" xfId="19331" xr:uid="{00000000-0005-0000-0000-000039660000}"/>
    <cellStyle name="Normal 5 3 20 4 2" xfId="35745" xr:uid="{00000000-0005-0000-0000-00003A660000}"/>
    <cellStyle name="Normal 5 3 20 5" xfId="19332" xr:uid="{00000000-0005-0000-0000-00003B660000}"/>
    <cellStyle name="Normal 5 3 20 5 2" xfId="35746" xr:uid="{00000000-0005-0000-0000-00003C660000}"/>
    <cellStyle name="Normal 5 3 20 6" xfId="35742" xr:uid="{00000000-0005-0000-0000-00003D660000}"/>
    <cellStyle name="Normal 5 3 21" xfId="19333" xr:uid="{00000000-0005-0000-0000-00003E660000}"/>
    <cellStyle name="Normal 5 3 21 2" xfId="19334" xr:uid="{00000000-0005-0000-0000-00003F660000}"/>
    <cellStyle name="Normal 5 3 21 2 2" xfId="35748" xr:uid="{00000000-0005-0000-0000-000040660000}"/>
    <cellStyle name="Normal 5 3 21 3" xfId="19335" xr:uid="{00000000-0005-0000-0000-000041660000}"/>
    <cellStyle name="Normal 5 3 21 3 2" xfId="35749" xr:uid="{00000000-0005-0000-0000-000042660000}"/>
    <cellStyle name="Normal 5 3 21 4" xfId="19336" xr:uid="{00000000-0005-0000-0000-000043660000}"/>
    <cellStyle name="Normal 5 3 21 4 2" xfId="35750" xr:uid="{00000000-0005-0000-0000-000044660000}"/>
    <cellStyle name="Normal 5 3 21 5" xfId="19337" xr:uid="{00000000-0005-0000-0000-000045660000}"/>
    <cellStyle name="Normal 5 3 21 5 2" xfId="35751" xr:uid="{00000000-0005-0000-0000-000046660000}"/>
    <cellStyle name="Normal 5 3 21 6" xfId="35747" xr:uid="{00000000-0005-0000-0000-000047660000}"/>
    <cellStyle name="Normal 5 3 22" xfId="19338" xr:uid="{00000000-0005-0000-0000-000048660000}"/>
    <cellStyle name="Normal 5 3 22 2" xfId="19339" xr:uid="{00000000-0005-0000-0000-000049660000}"/>
    <cellStyle name="Normal 5 3 22 2 2" xfId="35753" xr:uid="{00000000-0005-0000-0000-00004A660000}"/>
    <cellStyle name="Normal 5 3 22 3" xfId="19340" xr:uid="{00000000-0005-0000-0000-00004B660000}"/>
    <cellStyle name="Normal 5 3 22 3 2" xfId="35754" xr:uid="{00000000-0005-0000-0000-00004C660000}"/>
    <cellStyle name="Normal 5 3 22 4" xfId="19341" xr:uid="{00000000-0005-0000-0000-00004D660000}"/>
    <cellStyle name="Normal 5 3 22 4 2" xfId="35755" xr:uid="{00000000-0005-0000-0000-00004E660000}"/>
    <cellStyle name="Normal 5 3 22 5" xfId="19342" xr:uid="{00000000-0005-0000-0000-00004F660000}"/>
    <cellStyle name="Normal 5 3 22 5 2" xfId="35756" xr:uid="{00000000-0005-0000-0000-000050660000}"/>
    <cellStyle name="Normal 5 3 22 6" xfId="35752" xr:uid="{00000000-0005-0000-0000-000051660000}"/>
    <cellStyle name="Normal 5 3 23" xfId="19343" xr:uid="{00000000-0005-0000-0000-000052660000}"/>
    <cellStyle name="Normal 5 3 23 2" xfId="19344" xr:uid="{00000000-0005-0000-0000-000053660000}"/>
    <cellStyle name="Normal 5 3 23 2 2" xfId="35758" xr:uid="{00000000-0005-0000-0000-000054660000}"/>
    <cellStyle name="Normal 5 3 23 3" xfId="19345" xr:uid="{00000000-0005-0000-0000-000055660000}"/>
    <cellStyle name="Normal 5 3 23 3 2" xfId="35759" xr:uid="{00000000-0005-0000-0000-000056660000}"/>
    <cellStyle name="Normal 5 3 23 4" xfId="19346" xr:uid="{00000000-0005-0000-0000-000057660000}"/>
    <cellStyle name="Normal 5 3 23 4 2" xfId="35760" xr:uid="{00000000-0005-0000-0000-000058660000}"/>
    <cellStyle name="Normal 5 3 23 5" xfId="19347" xr:uid="{00000000-0005-0000-0000-000059660000}"/>
    <cellStyle name="Normal 5 3 23 5 2" xfId="35761" xr:uid="{00000000-0005-0000-0000-00005A660000}"/>
    <cellStyle name="Normal 5 3 23 6" xfId="35757" xr:uid="{00000000-0005-0000-0000-00005B660000}"/>
    <cellStyle name="Normal 5 3 24" xfId="19348" xr:uid="{00000000-0005-0000-0000-00005C660000}"/>
    <cellStyle name="Normal 5 3 24 2" xfId="35762" xr:uid="{00000000-0005-0000-0000-00005D660000}"/>
    <cellStyle name="Normal 5 3 25" xfId="19349" xr:uid="{00000000-0005-0000-0000-00005E660000}"/>
    <cellStyle name="Normal 5 3 25 2" xfId="35763" xr:uid="{00000000-0005-0000-0000-00005F660000}"/>
    <cellStyle name="Normal 5 3 26" xfId="19350" xr:uid="{00000000-0005-0000-0000-000060660000}"/>
    <cellStyle name="Normal 5 3 26 2" xfId="35764" xr:uid="{00000000-0005-0000-0000-000061660000}"/>
    <cellStyle name="Normal 5 3 27" xfId="19351" xr:uid="{00000000-0005-0000-0000-000062660000}"/>
    <cellStyle name="Normal 5 3 27 2" xfId="35765" xr:uid="{00000000-0005-0000-0000-000063660000}"/>
    <cellStyle name="Normal 5 3 28" xfId="19352" xr:uid="{00000000-0005-0000-0000-000064660000}"/>
    <cellStyle name="Normal 5 3 28 2" xfId="35766" xr:uid="{00000000-0005-0000-0000-000065660000}"/>
    <cellStyle name="Normal 5 3 29" xfId="40731" xr:uid="{00000000-0005-0000-0000-000066660000}"/>
    <cellStyle name="Normal 5 3 3" xfId="19353" xr:uid="{00000000-0005-0000-0000-000067660000}"/>
    <cellStyle name="Normal 5 3 3 10" xfId="19354" xr:uid="{00000000-0005-0000-0000-000068660000}"/>
    <cellStyle name="Normal 5 3 3 10 2" xfId="19355" xr:uid="{00000000-0005-0000-0000-000069660000}"/>
    <cellStyle name="Normal 5 3 3 10 2 2" xfId="35769" xr:uid="{00000000-0005-0000-0000-00006A660000}"/>
    <cellStyle name="Normal 5 3 3 10 3" xfId="19356" xr:uid="{00000000-0005-0000-0000-00006B660000}"/>
    <cellStyle name="Normal 5 3 3 10 3 2" xfId="35770" xr:uid="{00000000-0005-0000-0000-00006C660000}"/>
    <cellStyle name="Normal 5 3 3 10 4" xfId="19357" xr:uid="{00000000-0005-0000-0000-00006D660000}"/>
    <cellStyle name="Normal 5 3 3 10 4 2" xfId="35771" xr:uid="{00000000-0005-0000-0000-00006E660000}"/>
    <cellStyle name="Normal 5 3 3 10 5" xfId="19358" xr:uid="{00000000-0005-0000-0000-00006F660000}"/>
    <cellStyle name="Normal 5 3 3 10 5 2" xfId="35772" xr:uid="{00000000-0005-0000-0000-000070660000}"/>
    <cellStyle name="Normal 5 3 3 10 6" xfId="35768" xr:uid="{00000000-0005-0000-0000-000071660000}"/>
    <cellStyle name="Normal 5 3 3 11" xfId="19359" xr:uid="{00000000-0005-0000-0000-000072660000}"/>
    <cellStyle name="Normal 5 3 3 11 2" xfId="19360" xr:uid="{00000000-0005-0000-0000-000073660000}"/>
    <cellStyle name="Normal 5 3 3 11 2 2" xfId="35774" xr:uid="{00000000-0005-0000-0000-000074660000}"/>
    <cellStyle name="Normal 5 3 3 11 3" xfId="19361" xr:uid="{00000000-0005-0000-0000-000075660000}"/>
    <cellStyle name="Normal 5 3 3 11 3 2" xfId="35775" xr:uid="{00000000-0005-0000-0000-000076660000}"/>
    <cellStyle name="Normal 5 3 3 11 4" xfId="19362" xr:uid="{00000000-0005-0000-0000-000077660000}"/>
    <cellStyle name="Normal 5 3 3 11 4 2" xfId="35776" xr:uid="{00000000-0005-0000-0000-000078660000}"/>
    <cellStyle name="Normal 5 3 3 11 5" xfId="19363" xr:uid="{00000000-0005-0000-0000-000079660000}"/>
    <cellStyle name="Normal 5 3 3 11 5 2" xfId="35777" xr:uid="{00000000-0005-0000-0000-00007A660000}"/>
    <cellStyle name="Normal 5 3 3 11 6" xfId="35773" xr:uid="{00000000-0005-0000-0000-00007B660000}"/>
    <cellStyle name="Normal 5 3 3 12" xfId="19364" xr:uid="{00000000-0005-0000-0000-00007C660000}"/>
    <cellStyle name="Normal 5 3 3 12 2" xfId="19365" xr:uid="{00000000-0005-0000-0000-00007D660000}"/>
    <cellStyle name="Normal 5 3 3 12 2 2" xfId="35779" xr:uid="{00000000-0005-0000-0000-00007E660000}"/>
    <cellStyle name="Normal 5 3 3 12 3" xfId="19366" xr:uid="{00000000-0005-0000-0000-00007F660000}"/>
    <cellStyle name="Normal 5 3 3 12 3 2" xfId="35780" xr:uid="{00000000-0005-0000-0000-000080660000}"/>
    <cellStyle name="Normal 5 3 3 12 4" xfId="19367" xr:uid="{00000000-0005-0000-0000-000081660000}"/>
    <cellStyle name="Normal 5 3 3 12 4 2" xfId="35781" xr:uid="{00000000-0005-0000-0000-000082660000}"/>
    <cellStyle name="Normal 5 3 3 12 5" xfId="19368" xr:uid="{00000000-0005-0000-0000-000083660000}"/>
    <cellStyle name="Normal 5 3 3 12 5 2" xfId="35782" xr:uid="{00000000-0005-0000-0000-000084660000}"/>
    <cellStyle name="Normal 5 3 3 12 6" xfId="35778" xr:uid="{00000000-0005-0000-0000-000085660000}"/>
    <cellStyle name="Normal 5 3 3 13" xfId="19369" xr:uid="{00000000-0005-0000-0000-000086660000}"/>
    <cellStyle name="Normal 5 3 3 13 2" xfId="19370" xr:uid="{00000000-0005-0000-0000-000087660000}"/>
    <cellStyle name="Normal 5 3 3 13 2 2" xfId="35784" xr:uid="{00000000-0005-0000-0000-000088660000}"/>
    <cellStyle name="Normal 5 3 3 13 3" xfId="19371" xr:uid="{00000000-0005-0000-0000-000089660000}"/>
    <cellStyle name="Normal 5 3 3 13 3 2" xfId="35785" xr:uid="{00000000-0005-0000-0000-00008A660000}"/>
    <cellStyle name="Normal 5 3 3 13 4" xfId="19372" xr:uid="{00000000-0005-0000-0000-00008B660000}"/>
    <cellStyle name="Normal 5 3 3 13 4 2" xfId="35786" xr:uid="{00000000-0005-0000-0000-00008C660000}"/>
    <cellStyle name="Normal 5 3 3 13 5" xfId="19373" xr:uid="{00000000-0005-0000-0000-00008D660000}"/>
    <cellStyle name="Normal 5 3 3 13 5 2" xfId="35787" xr:uid="{00000000-0005-0000-0000-00008E660000}"/>
    <cellStyle name="Normal 5 3 3 13 6" xfId="35783" xr:uid="{00000000-0005-0000-0000-00008F660000}"/>
    <cellStyle name="Normal 5 3 3 14" xfId="19374" xr:uid="{00000000-0005-0000-0000-000090660000}"/>
    <cellStyle name="Normal 5 3 3 14 2" xfId="19375" xr:uid="{00000000-0005-0000-0000-000091660000}"/>
    <cellStyle name="Normal 5 3 3 14 2 2" xfId="35789" xr:uid="{00000000-0005-0000-0000-000092660000}"/>
    <cellStyle name="Normal 5 3 3 14 3" xfId="19376" xr:uid="{00000000-0005-0000-0000-000093660000}"/>
    <cellStyle name="Normal 5 3 3 14 3 2" xfId="35790" xr:uid="{00000000-0005-0000-0000-000094660000}"/>
    <cellStyle name="Normal 5 3 3 14 4" xfId="19377" xr:uid="{00000000-0005-0000-0000-000095660000}"/>
    <cellStyle name="Normal 5 3 3 14 4 2" xfId="35791" xr:uid="{00000000-0005-0000-0000-000096660000}"/>
    <cellStyle name="Normal 5 3 3 14 5" xfId="19378" xr:uid="{00000000-0005-0000-0000-000097660000}"/>
    <cellStyle name="Normal 5 3 3 14 5 2" xfId="35792" xr:uid="{00000000-0005-0000-0000-000098660000}"/>
    <cellStyle name="Normal 5 3 3 14 6" xfId="35788" xr:uid="{00000000-0005-0000-0000-000099660000}"/>
    <cellStyle name="Normal 5 3 3 15" xfId="19379" xr:uid="{00000000-0005-0000-0000-00009A660000}"/>
    <cellStyle name="Normal 5 3 3 15 2" xfId="19380" xr:uid="{00000000-0005-0000-0000-00009B660000}"/>
    <cellStyle name="Normal 5 3 3 15 2 2" xfId="35794" xr:uid="{00000000-0005-0000-0000-00009C660000}"/>
    <cellStyle name="Normal 5 3 3 15 3" xfId="19381" xr:uid="{00000000-0005-0000-0000-00009D660000}"/>
    <cellStyle name="Normal 5 3 3 15 3 2" xfId="35795" xr:uid="{00000000-0005-0000-0000-00009E660000}"/>
    <cellStyle name="Normal 5 3 3 15 4" xfId="19382" xr:uid="{00000000-0005-0000-0000-00009F660000}"/>
    <cellStyle name="Normal 5 3 3 15 4 2" xfId="35796" xr:uid="{00000000-0005-0000-0000-0000A0660000}"/>
    <cellStyle name="Normal 5 3 3 15 5" xfId="19383" xr:uid="{00000000-0005-0000-0000-0000A1660000}"/>
    <cellStyle name="Normal 5 3 3 15 5 2" xfId="35797" xr:uid="{00000000-0005-0000-0000-0000A2660000}"/>
    <cellStyle name="Normal 5 3 3 15 6" xfId="35793" xr:uid="{00000000-0005-0000-0000-0000A3660000}"/>
    <cellStyle name="Normal 5 3 3 16" xfId="19384" xr:uid="{00000000-0005-0000-0000-0000A4660000}"/>
    <cellStyle name="Normal 5 3 3 16 2" xfId="19385" xr:uid="{00000000-0005-0000-0000-0000A5660000}"/>
    <cellStyle name="Normal 5 3 3 16 2 2" xfId="35799" xr:uid="{00000000-0005-0000-0000-0000A6660000}"/>
    <cellStyle name="Normal 5 3 3 16 3" xfId="19386" xr:uid="{00000000-0005-0000-0000-0000A7660000}"/>
    <cellStyle name="Normal 5 3 3 16 3 2" xfId="35800" xr:uid="{00000000-0005-0000-0000-0000A8660000}"/>
    <cellStyle name="Normal 5 3 3 16 4" xfId="19387" xr:uid="{00000000-0005-0000-0000-0000A9660000}"/>
    <cellStyle name="Normal 5 3 3 16 4 2" xfId="35801" xr:uid="{00000000-0005-0000-0000-0000AA660000}"/>
    <cellStyle name="Normal 5 3 3 16 5" xfId="19388" xr:uid="{00000000-0005-0000-0000-0000AB660000}"/>
    <cellStyle name="Normal 5 3 3 16 5 2" xfId="35802" xr:uid="{00000000-0005-0000-0000-0000AC660000}"/>
    <cellStyle name="Normal 5 3 3 16 6" xfId="35798" xr:uid="{00000000-0005-0000-0000-0000AD660000}"/>
    <cellStyle name="Normal 5 3 3 17" xfId="19389" xr:uid="{00000000-0005-0000-0000-0000AE660000}"/>
    <cellStyle name="Normal 5 3 3 17 2" xfId="35803" xr:uid="{00000000-0005-0000-0000-0000AF660000}"/>
    <cellStyle name="Normal 5 3 3 18" xfId="19390" xr:uid="{00000000-0005-0000-0000-0000B0660000}"/>
    <cellStyle name="Normal 5 3 3 18 2" xfId="35804" xr:uid="{00000000-0005-0000-0000-0000B1660000}"/>
    <cellStyle name="Normal 5 3 3 19" xfId="19391" xr:uid="{00000000-0005-0000-0000-0000B2660000}"/>
    <cellStyle name="Normal 5 3 3 19 2" xfId="35805" xr:uid="{00000000-0005-0000-0000-0000B3660000}"/>
    <cellStyle name="Normal 5 3 3 2" xfId="19392" xr:uid="{00000000-0005-0000-0000-0000B4660000}"/>
    <cellStyle name="Normal 5 3 3 2 10" xfId="19393" xr:uid="{00000000-0005-0000-0000-0000B5660000}"/>
    <cellStyle name="Normal 5 3 3 2 10 2" xfId="35807" xr:uid="{00000000-0005-0000-0000-0000B6660000}"/>
    <cellStyle name="Normal 5 3 3 2 11" xfId="19394" xr:uid="{00000000-0005-0000-0000-0000B7660000}"/>
    <cellStyle name="Normal 5 3 3 2 11 2" xfId="35808" xr:uid="{00000000-0005-0000-0000-0000B8660000}"/>
    <cellStyle name="Normal 5 3 3 2 12" xfId="35806" xr:uid="{00000000-0005-0000-0000-0000B9660000}"/>
    <cellStyle name="Normal 5 3 3 2 2" xfId="19395" xr:uid="{00000000-0005-0000-0000-0000BA660000}"/>
    <cellStyle name="Normal 5 3 3 2 2 2" xfId="19396" xr:uid="{00000000-0005-0000-0000-0000BB660000}"/>
    <cellStyle name="Normal 5 3 3 2 2 2 2" xfId="35810" xr:uid="{00000000-0005-0000-0000-0000BC660000}"/>
    <cellStyle name="Normal 5 3 3 2 2 3" xfId="19397" xr:uid="{00000000-0005-0000-0000-0000BD660000}"/>
    <cellStyle name="Normal 5 3 3 2 2 3 2" xfId="35811" xr:uid="{00000000-0005-0000-0000-0000BE660000}"/>
    <cellStyle name="Normal 5 3 3 2 2 4" xfId="19398" xr:uid="{00000000-0005-0000-0000-0000BF660000}"/>
    <cellStyle name="Normal 5 3 3 2 2 4 2" xfId="35812" xr:uid="{00000000-0005-0000-0000-0000C0660000}"/>
    <cellStyle name="Normal 5 3 3 2 2 5" xfId="19399" xr:uid="{00000000-0005-0000-0000-0000C1660000}"/>
    <cellStyle name="Normal 5 3 3 2 2 5 2" xfId="35813" xr:uid="{00000000-0005-0000-0000-0000C2660000}"/>
    <cellStyle name="Normal 5 3 3 2 2 6" xfId="35809" xr:uid="{00000000-0005-0000-0000-0000C3660000}"/>
    <cellStyle name="Normal 5 3 3 2 3" xfId="19400" xr:uid="{00000000-0005-0000-0000-0000C4660000}"/>
    <cellStyle name="Normal 5 3 3 2 3 2" xfId="19401" xr:uid="{00000000-0005-0000-0000-0000C5660000}"/>
    <cellStyle name="Normal 5 3 3 2 3 2 2" xfId="35815" xr:uid="{00000000-0005-0000-0000-0000C6660000}"/>
    <cellStyle name="Normal 5 3 3 2 3 3" xfId="19402" xr:uid="{00000000-0005-0000-0000-0000C7660000}"/>
    <cellStyle name="Normal 5 3 3 2 3 3 2" xfId="35816" xr:uid="{00000000-0005-0000-0000-0000C8660000}"/>
    <cellStyle name="Normal 5 3 3 2 3 4" xfId="19403" xr:uid="{00000000-0005-0000-0000-0000C9660000}"/>
    <cellStyle name="Normal 5 3 3 2 3 4 2" xfId="35817" xr:uid="{00000000-0005-0000-0000-0000CA660000}"/>
    <cellStyle name="Normal 5 3 3 2 3 5" xfId="19404" xr:uid="{00000000-0005-0000-0000-0000CB660000}"/>
    <cellStyle name="Normal 5 3 3 2 3 5 2" xfId="35818" xr:uid="{00000000-0005-0000-0000-0000CC660000}"/>
    <cellStyle name="Normal 5 3 3 2 3 6" xfId="35814" xr:uid="{00000000-0005-0000-0000-0000CD660000}"/>
    <cellStyle name="Normal 5 3 3 2 4" xfId="19405" xr:uid="{00000000-0005-0000-0000-0000CE660000}"/>
    <cellStyle name="Normal 5 3 3 2 4 2" xfId="19406" xr:uid="{00000000-0005-0000-0000-0000CF660000}"/>
    <cellStyle name="Normal 5 3 3 2 4 2 2" xfId="35820" xr:uid="{00000000-0005-0000-0000-0000D0660000}"/>
    <cellStyle name="Normal 5 3 3 2 4 3" xfId="19407" xr:uid="{00000000-0005-0000-0000-0000D1660000}"/>
    <cellStyle name="Normal 5 3 3 2 4 3 2" xfId="35821" xr:uid="{00000000-0005-0000-0000-0000D2660000}"/>
    <cellStyle name="Normal 5 3 3 2 4 4" xfId="19408" xr:uid="{00000000-0005-0000-0000-0000D3660000}"/>
    <cellStyle name="Normal 5 3 3 2 4 4 2" xfId="35822" xr:uid="{00000000-0005-0000-0000-0000D4660000}"/>
    <cellStyle name="Normal 5 3 3 2 4 5" xfId="19409" xr:uid="{00000000-0005-0000-0000-0000D5660000}"/>
    <cellStyle name="Normal 5 3 3 2 4 5 2" xfId="35823" xr:uid="{00000000-0005-0000-0000-0000D6660000}"/>
    <cellStyle name="Normal 5 3 3 2 4 6" xfId="35819" xr:uid="{00000000-0005-0000-0000-0000D7660000}"/>
    <cellStyle name="Normal 5 3 3 2 5" xfId="19410" xr:uid="{00000000-0005-0000-0000-0000D8660000}"/>
    <cellStyle name="Normal 5 3 3 2 5 2" xfId="19411" xr:uid="{00000000-0005-0000-0000-0000D9660000}"/>
    <cellStyle name="Normal 5 3 3 2 5 2 2" xfId="35825" xr:uid="{00000000-0005-0000-0000-0000DA660000}"/>
    <cellStyle name="Normal 5 3 3 2 5 3" xfId="19412" xr:uid="{00000000-0005-0000-0000-0000DB660000}"/>
    <cellStyle name="Normal 5 3 3 2 5 3 2" xfId="35826" xr:uid="{00000000-0005-0000-0000-0000DC660000}"/>
    <cellStyle name="Normal 5 3 3 2 5 4" xfId="19413" xr:uid="{00000000-0005-0000-0000-0000DD660000}"/>
    <cellStyle name="Normal 5 3 3 2 5 4 2" xfId="35827" xr:uid="{00000000-0005-0000-0000-0000DE660000}"/>
    <cellStyle name="Normal 5 3 3 2 5 5" xfId="19414" xr:uid="{00000000-0005-0000-0000-0000DF660000}"/>
    <cellStyle name="Normal 5 3 3 2 5 5 2" xfId="35828" xr:uid="{00000000-0005-0000-0000-0000E0660000}"/>
    <cellStyle name="Normal 5 3 3 2 5 6" xfId="35824" xr:uid="{00000000-0005-0000-0000-0000E1660000}"/>
    <cellStyle name="Normal 5 3 3 2 6" xfId="19415" xr:uid="{00000000-0005-0000-0000-0000E2660000}"/>
    <cellStyle name="Normal 5 3 3 2 6 2" xfId="19416" xr:uid="{00000000-0005-0000-0000-0000E3660000}"/>
    <cellStyle name="Normal 5 3 3 2 6 2 2" xfId="35830" xr:uid="{00000000-0005-0000-0000-0000E4660000}"/>
    <cellStyle name="Normal 5 3 3 2 6 3" xfId="19417" xr:uid="{00000000-0005-0000-0000-0000E5660000}"/>
    <cellStyle name="Normal 5 3 3 2 6 3 2" xfId="35831" xr:uid="{00000000-0005-0000-0000-0000E6660000}"/>
    <cellStyle name="Normal 5 3 3 2 6 4" xfId="19418" xr:uid="{00000000-0005-0000-0000-0000E7660000}"/>
    <cellStyle name="Normal 5 3 3 2 6 4 2" xfId="35832" xr:uid="{00000000-0005-0000-0000-0000E8660000}"/>
    <cellStyle name="Normal 5 3 3 2 6 5" xfId="19419" xr:uid="{00000000-0005-0000-0000-0000E9660000}"/>
    <cellStyle name="Normal 5 3 3 2 6 5 2" xfId="35833" xr:uid="{00000000-0005-0000-0000-0000EA660000}"/>
    <cellStyle name="Normal 5 3 3 2 6 6" xfId="35829" xr:uid="{00000000-0005-0000-0000-0000EB660000}"/>
    <cellStyle name="Normal 5 3 3 2 7" xfId="19420" xr:uid="{00000000-0005-0000-0000-0000EC660000}"/>
    <cellStyle name="Normal 5 3 3 2 7 2" xfId="19421" xr:uid="{00000000-0005-0000-0000-0000ED660000}"/>
    <cellStyle name="Normal 5 3 3 2 7 2 2" xfId="35835" xr:uid="{00000000-0005-0000-0000-0000EE660000}"/>
    <cellStyle name="Normal 5 3 3 2 7 3" xfId="19422" xr:uid="{00000000-0005-0000-0000-0000EF660000}"/>
    <cellStyle name="Normal 5 3 3 2 7 3 2" xfId="35836" xr:uid="{00000000-0005-0000-0000-0000F0660000}"/>
    <cellStyle name="Normal 5 3 3 2 7 4" xfId="19423" xr:uid="{00000000-0005-0000-0000-0000F1660000}"/>
    <cellStyle name="Normal 5 3 3 2 7 4 2" xfId="35837" xr:uid="{00000000-0005-0000-0000-0000F2660000}"/>
    <cellStyle name="Normal 5 3 3 2 7 5" xfId="19424" xr:uid="{00000000-0005-0000-0000-0000F3660000}"/>
    <cellStyle name="Normal 5 3 3 2 7 5 2" xfId="35838" xr:uid="{00000000-0005-0000-0000-0000F4660000}"/>
    <cellStyle name="Normal 5 3 3 2 7 6" xfId="35834" xr:uid="{00000000-0005-0000-0000-0000F5660000}"/>
    <cellStyle name="Normal 5 3 3 2 8" xfId="19425" xr:uid="{00000000-0005-0000-0000-0000F6660000}"/>
    <cellStyle name="Normal 5 3 3 2 8 2" xfId="35839" xr:uid="{00000000-0005-0000-0000-0000F7660000}"/>
    <cellStyle name="Normal 5 3 3 2 9" xfId="19426" xr:uid="{00000000-0005-0000-0000-0000F8660000}"/>
    <cellStyle name="Normal 5 3 3 2 9 2" xfId="35840" xr:uid="{00000000-0005-0000-0000-0000F9660000}"/>
    <cellStyle name="Normal 5 3 3 20" xfId="19427" xr:uid="{00000000-0005-0000-0000-0000FA660000}"/>
    <cellStyle name="Normal 5 3 3 20 2" xfId="35841" xr:uid="{00000000-0005-0000-0000-0000FB660000}"/>
    <cellStyle name="Normal 5 3 3 21" xfId="40734" xr:uid="{00000000-0005-0000-0000-0000FC660000}"/>
    <cellStyle name="Normal 5 3 3 22" xfId="35767" xr:uid="{00000000-0005-0000-0000-0000FD660000}"/>
    <cellStyle name="Normal 5 3 3 3" xfId="19428" xr:uid="{00000000-0005-0000-0000-0000FE660000}"/>
    <cellStyle name="Normal 5 3 3 3 2" xfId="19429" xr:uid="{00000000-0005-0000-0000-0000FF660000}"/>
    <cellStyle name="Normal 5 3 3 3 2 2" xfId="19430" xr:uid="{00000000-0005-0000-0000-000000670000}"/>
    <cellStyle name="Normal 5 3 3 3 2 2 2" xfId="35844" xr:uid="{00000000-0005-0000-0000-000001670000}"/>
    <cellStyle name="Normal 5 3 3 3 2 3" xfId="19431" xr:uid="{00000000-0005-0000-0000-000002670000}"/>
    <cellStyle name="Normal 5 3 3 3 2 3 2" xfId="35845" xr:uid="{00000000-0005-0000-0000-000003670000}"/>
    <cellStyle name="Normal 5 3 3 3 2 4" xfId="19432" xr:uid="{00000000-0005-0000-0000-000004670000}"/>
    <cellStyle name="Normal 5 3 3 3 2 4 2" xfId="35846" xr:uid="{00000000-0005-0000-0000-000005670000}"/>
    <cellStyle name="Normal 5 3 3 3 2 5" xfId="19433" xr:uid="{00000000-0005-0000-0000-000006670000}"/>
    <cellStyle name="Normal 5 3 3 3 2 5 2" xfId="35847" xr:uid="{00000000-0005-0000-0000-000007670000}"/>
    <cellStyle name="Normal 5 3 3 3 2 6" xfId="35843" xr:uid="{00000000-0005-0000-0000-000008670000}"/>
    <cellStyle name="Normal 5 3 3 3 3" xfId="19434" xr:uid="{00000000-0005-0000-0000-000009670000}"/>
    <cellStyle name="Normal 5 3 3 3 3 2" xfId="35848" xr:uid="{00000000-0005-0000-0000-00000A670000}"/>
    <cellStyle name="Normal 5 3 3 3 4" xfId="19435" xr:uid="{00000000-0005-0000-0000-00000B670000}"/>
    <cellStyle name="Normal 5 3 3 3 4 2" xfId="35849" xr:uid="{00000000-0005-0000-0000-00000C670000}"/>
    <cellStyle name="Normal 5 3 3 3 5" xfId="19436" xr:uid="{00000000-0005-0000-0000-00000D670000}"/>
    <cellStyle name="Normal 5 3 3 3 5 2" xfId="35850" xr:uid="{00000000-0005-0000-0000-00000E670000}"/>
    <cellStyle name="Normal 5 3 3 3 6" xfId="19437" xr:uid="{00000000-0005-0000-0000-00000F670000}"/>
    <cellStyle name="Normal 5 3 3 3 6 2" xfId="35851" xr:uid="{00000000-0005-0000-0000-000010670000}"/>
    <cellStyle name="Normal 5 3 3 3 7" xfId="35842" xr:uid="{00000000-0005-0000-0000-000011670000}"/>
    <cellStyle name="Normal 5 3 3 4" xfId="19438" xr:uid="{00000000-0005-0000-0000-000012670000}"/>
    <cellStyle name="Normal 5 3 3 4 2" xfId="19439" xr:uid="{00000000-0005-0000-0000-000013670000}"/>
    <cellStyle name="Normal 5 3 3 4 2 2" xfId="19440" xr:uid="{00000000-0005-0000-0000-000014670000}"/>
    <cellStyle name="Normal 5 3 3 4 2 2 2" xfId="35854" xr:uid="{00000000-0005-0000-0000-000015670000}"/>
    <cellStyle name="Normal 5 3 3 4 2 3" xfId="19441" xr:uid="{00000000-0005-0000-0000-000016670000}"/>
    <cellStyle name="Normal 5 3 3 4 2 3 2" xfId="35855" xr:uid="{00000000-0005-0000-0000-000017670000}"/>
    <cellStyle name="Normal 5 3 3 4 2 4" xfId="19442" xr:uid="{00000000-0005-0000-0000-000018670000}"/>
    <cellStyle name="Normal 5 3 3 4 2 4 2" xfId="35856" xr:uid="{00000000-0005-0000-0000-000019670000}"/>
    <cellStyle name="Normal 5 3 3 4 2 5" xfId="19443" xr:uid="{00000000-0005-0000-0000-00001A670000}"/>
    <cellStyle name="Normal 5 3 3 4 2 5 2" xfId="35857" xr:uid="{00000000-0005-0000-0000-00001B670000}"/>
    <cellStyle name="Normal 5 3 3 4 2 6" xfId="35853" xr:uid="{00000000-0005-0000-0000-00001C670000}"/>
    <cellStyle name="Normal 5 3 3 4 3" xfId="19444" xr:uid="{00000000-0005-0000-0000-00001D670000}"/>
    <cellStyle name="Normal 5 3 3 4 3 2" xfId="35858" xr:uid="{00000000-0005-0000-0000-00001E670000}"/>
    <cellStyle name="Normal 5 3 3 4 4" xfId="19445" xr:uid="{00000000-0005-0000-0000-00001F670000}"/>
    <cellStyle name="Normal 5 3 3 4 4 2" xfId="35859" xr:uid="{00000000-0005-0000-0000-000020670000}"/>
    <cellStyle name="Normal 5 3 3 4 5" xfId="19446" xr:uid="{00000000-0005-0000-0000-000021670000}"/>
    <cellStyle name="Normal 5 3 3 4 5 2" xfId="35860" xr:uid="{00000000-0005-0000-0000-000022670000}"/>
    <cellStyle name="Normal 5 3 3 4 6" xfId="19447" xr:uid="{00000000-0005-0000-0000-000023670000}"/>
    <cellStyle name="Normal 5 3 3 4 6 2" xfId="35861" xr:uid="{00000000-0005-0000-0000-000024670000}"/>
    <cellStyle name="Normal 5 3 3 4 7" xfId="35852" xr:uid="{00000000-0005-0000-0000-000025670000}"/>
    <cellStyle name="Normal 5 3 3 5" xfId="19448" xr:uid="{00000000-0005-0000-0000-000026670000}"/>
    <cellStyle name="Normal 5 3 3 5 2" xfId="19449" xr:uid="{00000000-0005-0000-0000-000027670000}"/>
    <cellStyle name="Normal 5 3 3 5 2 2" xfId="35863" xr:uid="{00000000-0005-0000-0000-000028670000}"/>
    <cellStyle name="Normal 5 3 3 5 3" xfId="19450" xr:uid="{00000000-0005-0000-0000-000029670000}"/>
    <cellStyle name="Normal 5 3 3 5 3 2" xfId="35864" xr:uid="{00000000-0005-0000-0000-00002A670000}"/>
    <cellStyle name="Normal 5 3 3 5 4" xfId="19451" xr:uid="{00000000-0005-0000-0000-00002B670000}"/>
    <cellStyle name="Normal 5 3 3 5 4 2" xfId="35865" xr:uid="{00000000-0005-0000-0000-00002C670000}"/>
    <cellStyle name="Normal 5 3 3 5 5" xfId="19452" xr:uid="{00000000-0005-0000-0000-00002D670000}"/>
    <cellStyle name="Normal 5 3 3 5 5 2" xfId="35866" xr:uid="{00000000-0005-0000-0000-00002E670000}"/>
    <cellStyle name="Normal 5 3 3 5 6" xfId="35862" xr:uid="{00000000-0005-0000-0000-00002F670000}"/>
    <cellStyle name="Normal 5 3 3 6" xfId="19453" xr:uid="{00000000-0005-0000-0000-000030670000}"/>
    <cellStyle name="Normal 5 3 3 6 2" xfId="19454" xr:uid="{00000000-0005-0000-0000-000031670000}"/>
    <cellStyle name="Normal 5 3 3 6 2 2" xfId="35868" xr:uid="{00000000-0005-0000-0000-000032670000}"/>
    <cellStyle name="Normal 5 3 3 6 3" xfId="19455" xr:uid="{00000000-0005-0000-0000-000033670000}"/>
    <cellStyle name="Normal 5 3 3 6 3 2" xfId="35869" xr:uid="{00000000-0005-0000-0000-000034670000}"/>
    <cellStyle name="Normal 5 3 3 6 4" xfId="19456" xr:uid="{00000000-0005-0000-0000-000035670000}"/>
    <cellStyle name="Normal 5 3 3 6 4 2" xfId="35870" xr:uid="{00000000-0005-0000-0000-000036670000}"/>
    <cellStyle name="Normal 5 3 3 6 5" xfId="19457" xr:uid="{00000000-0005-0000-0000-000037670000}"/>
    <cellStyle name="Normal 5 3 3 6 5 2" xfId="35871" xr:uid="{00000000-0005-0000-0000-000038670000}"/>
    <cellStyle name="Normal 5 3 3 6 6" xfId="35867" xr:uid="{00000000-0005-0000-0000-000039670000}"/>
    <cellStyle name="Normal 5 3 3 7" xfId="19458" xr:uid="{00000000-0005-0000-0000-00003A670000}"/>
    <cellStyle name="Normal 5 3 3 7 2" xfId="19459" xr:uid="{00000000-0005-0000-0000-00003B670000}"/>
    <cellStyle name="Normal 5 3 3 7 2 2" xfId="35873" xr:uid="{00000000-0005-0000-0000-00003C670000}"/>
    <cellStyle name="Normal 5 3 3 7 3" xfId="19460" xr:uid="{00000000-0005-0000-0000-00003D670000}"/>
    <cellStyle name="Normal 5 3 3 7 3 2" xfId="35874" xr:uid="{00000000-0005-0000-0000-00003E670000}"/>
    <cellStyle name="Normal 5 3 3 7 4" xfId="19461" xr:uid="{00000000-0005-0000-0000-00003F670000}"/>
    <cellStyle name="Normal 5 3 3 7 4 2" xfId="35875" xr:uid="{00000000-0005-0000-0000-000040670000}"/>
    <cellStyle name="Normal 5 3 3 7 5" xfId="19462" xr:uid="{00000000-0005-0000-0000-000041670000}"/>
    <cellStyle name="Normal 5 3 3 7 5 2" xfId="35876" xr:uid="{00000000-0005-0000-0000-000042670000}"/>
    <cellStyle name="Normal 5 3 3 7 6" xfId="35872" xr:uid="{00000000-0005-0000-0000-000043670000}"/>
    <cellStyle name="Normal 5 3 3 8" xfId="19463" xr:uid="{00000000-0005-0000-0000-000044670000}"/>
    <cellStyle name="Normal 5 3 3 8 2" xfId="19464" xr:uid="{00000000-0005-0000-0000-000045670000}"/>
    <cellStyle name="Normal 5 3 3 8 2 2" xfId="35878" xr:uid="{00000000-0005-0000-0000-000046670000}"/>
    <cellStyle name="Normal 5 3 3 8 3" xfId="19465" xr:uid="{00000000-0005-0000-0000-000047670000}"/>
    <cellStyle name="Normal 5 3 3 8 3 2" xfId="35879" xr:uid="{00000000-0005-0000-0000-000048670000}"/>
    <cellStyle name="Normal 5 3 3 8 4" xfId="19466" xr:uid="{00000000-0005-0000-0000-000049670000}"/>
    <cellStyle name="Normal 5 3 3 8 4 2" xfId="35880" xr:uid="{00000000-0005-0000-0000-00004A670000}"/>
    <cellStyle name="Normal 5 3 3 8 5" xfId="19467" xr:uid="{00000000-0005-0000-0000-00004B670000}"/>
    <cellStyle name="Normal 5 3 3 8 5 2" xfId="35881" xr:uid="{00000000-0005-0000-0000-00004C670000}"/>
    <cellStyle name="Normal 5 3 3 8 6" xfId="35877" xr:uid="{00000000-0005-0000-0000-00004D670000}"/>
    <cellStyle name="Normal 5 3 3 9" xfId="19468" xr:uid="{00000000-0005-0000-0000-00004E670000}"/>
    <cellStyle name="Normal 5 3 3 9 2" xfId="19469" xr:uid="{00000000-0005-0000-0000-00004F670000}"/>
    <cellStyle name="Normal 5 3 3 9 2 2" xfId="35883" xr:uid="{00000000-0005-0000-0000-000050670000}"/>
    <cellStyle name="Normal 5 3 3 9 3" xfId="19470" xr:uid="{00000000-0005-0000-0000-000051670000}"/>
    <cellStyle name="Normal 5 3 3 9 3 2" xfId="35884" xr:uid="{00000000-0005-0000-0000-000052670000}"/>
    <cellStyle name="Normal 5 3 3 9 4" xfId="19471" xr:uid="{00000000-0005-0000-0000-000053670000}"/>
    <cellStyle name="Normal 5 3 3 9 4 2" xfId="35885" xr:uid="{00000000-0005-0000-0000-000054670000}"/>
    <cellStyle name="Normal 5 3 3 9 5" xfId="19472" xr:uid="{00000000-0005-0000-0000-000055670000}"/>
    <cellStyle name="Normal 5 3 3 9 5 2" xfId="35886" xr:uid="{00000000-0005-0000-0000-000056670000}"/>
    <cellStyle name="Normal 5 3 3 9 6" xfId="35882" xr:uid="{00000000-0005-0000-0000-000057670000}"/>
    <cellStyle name="Normal 5 3 4" xfId="19473" xr:uid="{00000000-0005-0000-0000-000058670000}"/>
    <cellStyle name="Normal 5 3 4 10" xfId="19474" xr:uid="{00000000-0005-0000-0000-000059670000}"/>
    <cellStyle name="Normal 5 3 4 10 2" xfId="19475" xr:uid="{00000000-0005-0000-0000-00005A670000}"/>
    <cellStyle name="Normal 5 3 4 10 2 2" xfId="35889" xr:uid="{00000000-0005-0000-0000-00005B670000}"/>
    <cellStyle name="Normal 5 3 4 10 3" xfId="19476" xr:uid="{00000000-0005-0000-0000-00005C670000}"/>
    <cellStyle name="Normal 5 3 4 10 3 2" xfId="35890" xr:uid="{00000000-0005-0000-0000-00005D670000}"/>
    <cellStyle name="Normal 5 3 4 10 4" xfId="19477" xr:uid="{00000000-0005-0000-0000-00005E670000}"/>
    <cellStyle name="Normal 5 3 4 10 4 2" xfId="35891" xr:uid="{00000000-0005-0000-0000-00005F670000}"/>
    <cellStyle name="Normal 5 3 4 10 5" xfId="19478" xr:uid="{00000000-0005-0000-0000-000060670000}"/>
    <cellStyle name="Normal 5 3 4 10 5 2" xfId="35892" xr:uid="{00000000-0005-0000-0000-000061670000}"/>
    <cellStyle name="Normal 5 3 4 10 6" xfId="35888" xr:uid="{00000000-0005-0000-0000-000062670000}"/>
    <cellStyle name="Normal 5 3 4 11" xfId="19479" xr:uid="{00000000-0005-0000-0000-000063670000}"/>
    <cellStyle name="Normal 5 3 4 11 2" xfId="19480" xr:uid="{00000000-0005-0000-0000-000064670000}"/>
    <cellStyle name="Normal 5 3 4 11 2 2" xfId="35894" xr:uid="{00000000-0005-0000-0000-000065670000}"/>
    <cellStyle name="Normal 5 3 4 11 3" xfId="19481" xr:uid="{00000000-0005-0000-0000-000066670000}"/>
    <cellStyle name="Normal 5 3 4 11 3 2" xfId="35895" xr:uid="{00000000-0005-0000-0000-000067670000}"/>
    <cellStyle name="Normal 5 3 4 11 4" xfId="19482" xr:uid="{00000000-0005-0000-0000-000068670000}"/>
    <cellStyle name="Normal 5 3 4 11 4 2" xfId="35896" xr:uid="{00000000-0005-0000-0000-000069670000}"/>
    <cellStyle name="Normal 5 3 4 11 5" xfId="19483" xr:uid="{00000000-0005-0000-0000-00006A670000}"/>
    <cellStyle name="Normal 5 3 4 11 5 2" xfId="35897" xr:uid="{00000000-0005-0000-0000-00006B670000}"/>
    <cellStyle name="Normal 5 3 4 11 6" xfId="35893" xr:uid="{00000000-0005-0000-0000-00006C670000}"/>
    <cellStyle name="Normal 5 3 4 12" xfId="19484" xr:uid="{00000000-0005-0000-0000-00006D670000}"/>
    <cellStyle name="Normal 5 3 4 12 2" xfId="19485" xr:uid="{00000000-0005-0000-0000-00006E670000}"/>
    <cellStyle name="Normal 5 3 4 12 2 2" xfId="35899" xr:uid="{00000000-0005-0000-0000-00006F670000}"/>
    <cellStyle name="Normal 5 3 4 12 3" xfId="19486" xr:uid="{00000000-0005-0000-0000-000070670000}"/>
    <cellStyle name="Normal 5 3 4 12 3 2" xfId="35900" xr:uid="{00000000-0005-0000-0000-000071670000}"/>
    <cellStyle name="Normal 5 3 4 12 4" xfId="19487" xr:uid="{00000000-0005-0000-0000-000072670000}"/>
    <cellStyle name="Normal 5 3 4 12 4 2" xfId="35901" xr:uid="{00000000-0005-0000-0000-000073670000}"/>
    <cellStyle name="Normal 5 3 4 12 5" xfId="19488" xr:uid="{00000000-0005-0000-0000-000074670000}"/>
    <cellStyle name="Normal 5 3 4 12 5 2" xfId="35902" xr:uid="{00000000-0005-0000-0000-000075670000}"/>
    <cellStyle name="Normal 5 3 4 12 6" xfId="35898" xr:uid="{00000000-0005-0000-0000-000076670000}"/>
    <cellStyle name="Normal 5 3 4 13" xfId="19489" xr:uid="{00000000-0005-0000-0000-000077670000}"/>
    <cellStyle name="Normal 5 3 4 13 2" xfId="19490" xr:uid="{00000000-0005-0000-0000-000078670000}"/>
    <cellStyle name="Normal 5 3 4 13 2 2" xfId="35904" xr:uid="{00000000-0005-0000-0000-000079670000}"/>
    <cellStyle name="Normal 5 3 4 13 3" xfId="19491" xr:uid="{00000000-0005-0000-0000-00007A670000}"/>
    <cellStyle name="Normal 5 3 4 13 3 2" xfId="35905" xr:uid="{00000000-0005-0000-0000-00007B670000}"/>
    <cellStyle name="Normal 5 3 4 13 4" xfId="19492" xr:uid="{00000000-0005-0000-0000-00007C670000}"/>
    <cellStyle name="Normal 5 3 4 13 4 2" xfId="35906" xr:uid="{00000000-0005-0000-0000-00007D670000}"/>
    <cellStyle name="Normal 5 3 4 13 5" xfId="19493" xr:uid="{00000000-0005-0000-0000-00007E670000}"/>
    <cellStyle name="Normal 5 3 4 13 5 2" xfId="35907" xr:uid="{00000000-0005-0000-0000-00007F670000}"/>
    <cellStyle name="Normal 5 3 4 13 6" xfId="35903" xr:uid="{00000000-0005-0000-0000-000080670000}"/>
    <cellStyle name="Normal 5 3 4 14" xfId="19494" xr:uid="{00000000-0005-0000-0000-000081670000}"/>
    <cellStyle name="Normal 5 3 4 14 2" xfId="19495" xr:uid="{00000000-0005-0000-0000-000082670000}"/>
    <cellStyle name="Normal 5 3 4 14 2 2" xfId="35909" xr:uid="{00000000-0005-0000-0000-000083670000}"/>
    <cellStyle name="Normal 5 3 4 14 3" xfId="19496" xr:uid="{00000000-0005-0000-0000-000084670000}"/>
    <cellStyle name="Normal 5 3 4 14 3 2" xfId="35910" xr:uid="{00000000-0005-0000-0000-000085670000}"/>
    <cellStyle name="Normal 5 3 4 14 4" xfId="19497" xr:uid="{00000000-0005-0000-0000-000086670000}"/>
    <cellStyle name="Normal 5 3 4 14 4 2" xfId="35911" xr:uid="{00000000-0005-0000-0000-000087670000}"/>
    <cellStyle name="Normal 5 3 4 14 5" xfId="19498" xr:uid="{00000000-0005-0000-0000-000088670000}"/>
    <cellStyle name="Normal 5 3 4 14 5 2" xfId="35912" xr:uid="{00000000-0005-0000-0000-000089670000}"/>
    <cellStyle name="Normal 5 3 4 14 6" xfId="35908" xr:uid="{00000000-0005-0000-0000-00008A670000}"/>
    <cellStyle name="Normal 5 3 4 15" xfId="19499" xr:uid="{00000000-0005-0000-0000-00008B670000}"/>
    <cellStyle name="Normal 5 3 4 15 2" xfId="19500" xr:uid="{00000000-0005-0000-0000-00008C670000}"/>
    <cellStyle name="Normal 5 3 4 15 2 2" xfId="35914" xr:uid="{00000000-0005-0000-0000-00008D670000}"/>
    <cellStyle name="Normal 5 3 4 15 3" xfId="19501" xr:uid="{00000000-0005-0000-0000-00008E670000}"/>
    <cellStyle name="Normal 5 3 4 15 3 2" xfId="35915" xr:uid="{00000000-0005-0000-0000-00008F670000}"/>
    <cellStyle name="Normal 5 3 4 15 4" xfId="19502" xr:uid="{00000000-0005-0000-0000-000090670000}"/>
    <cellStyle name="Normal 5 3 4 15 4 2" xfId="35916" xr:uid="{00000000-0005-0000-0000-000091670000}"/>
    <cellStyle name="Normal 5 3 4 15 5" xfId="19503" xr:uid="{00000000-0005-0000-0000-000092670000}"/>
    <cellStyle name="Normal 5 3 4 15 5 2" xfId="35917" xr:uid="{00000000-0005-0000-0000-000093670000}"/>
    <cellStyle name="Normal 5 3 4 15 6" xfId="35913" xr:uid="{00000000-0005-0000-0000-000094670000}"/>
    <cellStyle name="Normal 5 3 4 16" xfId="19504" xr:uid="{00000000-0005-0000-0000-000095670000}"/>
    <cellStyle name="Normal 5 3 4 16 2" xfId="19505" xr:uid="{00000000-0005-0000-0000-000096670000}"/>
    <cellStyle name="Normal 5 3 4 16 2 2" xfId="35919" xr:uid="{00000000-0005-0000-0000-000097670000}"/>
    <cellStyle name="Normal 5 3 4 16 3" xfId="19506" xr:uid="{00000000-0005-0000-0000-000098670000}"/>
    <cellStyle name="Normal 5 3 4 16 3 2" xfId="35920" xr:uid="{00000000-0005-0000-0000-000099670000}"/>
    <cellStyle name="Normal 5 3 4 16 4" xfId="19507" xr:uid="{00000000-0005-0000-0000-00009A670000}"/>
    <cellStyle name="Normal 5 3 4 16 4 2" xfId="35921" xr:uid="{00000000-0005-0000-0000-00009B670000}"/>
    <cellStyle name="Normal 5 3 4 16 5" xfId="19508" xr:uid="{00000000-0005-0000-0000-00009C670000}"/>
    <cellStyle name="Normal 5 3 4 16 5 2" xfId="35922" xr:uid="{00000000-0005-0000-0000-00009D670000}"/>
    <cellStyle name="Normal 5 3 4 16 6" xfId="35918" xr:uid="{00000000-0005-0000-0000-00009E670000}"/>
    <cellStyle name="Normal 5 3 4 17" xfId="19509" xr:uid="{00000000-0005-0000-0000-00009F670000}"/>
    <cellStyle name="Normal 5 3 4 17 2" xfId="35923" xr:uid="{00000000-0005-0000-0000-0000A0670000}"/>
    <cellStyle name="Normal 5 3 4 18" xfId="19510" xr:uid="{00000000-0005-0000-0000-0000A1670000}"/>
    <cellStyle name="Normal 5 3 4 18 2" xfId="35924" xr:uid="{00000000-0005-0000-0000-0000A2670000}"/>
    <cellStyle name="Normal 5 3 4 19" xfId="19511" xr:uid="{00000000-0005-0000-0000-0000A3670000}"/>
    <cellStyle name="Normal 5 3 4 19 2" xfId="35925" xr:uid="{00000000-0005-0000-0000-0000A4670000}"/>
    <cellStyle name="Normal 5 3 4 2" xfId="19512" xr:uid="{00000000-0005-0000-0000-0000A5670000}"/>
    <cellStyle name="Normal 5 3 4 2 10" xfId="19513" xr:uid="{00000000-0005-0000-0000-0000A6670000}"/>
    <cellStyle name="Normal 5 3 4 2 10 2" xfId="35927" xr:uid="{00000000-0005-0000-0000-0000A7670000}"/>
    <cellStyle name="Normal 5 3 4 2 11" xfId="19514" xr:uid="{00000000-0005-0000-0000-0000A8670000}"/>
    <cellStyle name="Normal 5 3 4 2 11 2" xfId="35928" xr:uid="{00000000-0005-0000-0000-0000A9670000}"/>
    <cellStyle name="Normal 5 3 4 2 12" xfId="35926" xr:uid="{00000000-0005-0000-0000-0000AA670000}"/>
    <cellStyle name="Normal 5 3 4 2 2" xfId="19515" xr:uid="{00000000-0005-0000-0000-0000AB670000}"/>
    <cellStyle name="Normal 5 3 4 2 2 2" xfId="19516" xr:uid="{00000000-0005-0000-0000-0000AC670000}"/>
    <cellStyle name="Normal 5 3 4 2 2 2 2" xfId="35930" xr:uid="{00000000-0005-0000-0000-0000AD670000}"/>
    <cellStyle name="Normal 5 3 4 2 2 3" xfId="19517" xr:uid="{00000000-0005-0000-0000-0000AE670000}"/>
    <cellStyle name="Normal 5 3 4 2 2 3 2" xfId="35931" xr:uid="{00000000-0005-0000-0000-0000AF670000}"/>
    <cellStyle name="Normal 5 3 4 2 2 4" xfId="19518" xr:uid="{00000000-0005-0000-0000-0000B0670000}"/>
    <cellStyle name="Normal 5 3 4 2 2 4 2" xfId="35932" xr:uid="{00000000-0005-0000-0000-0000B1670000}"/>
    <cellStyle name="Normal 5 3 4 2 2 5" xfId="19519" xr:uid="{00000000-0005-0000-0000-0000B2670000}"/>
    <cellStyle name="Normal 5 3 4 2 2 5 2" xfId="35933" xr:uid="{00000000-0005-0000-0000-0000B3670000}"/>
    <cellStyle name="Normal 5 3 4 2 2 6" xfId="35929" xr:uid="{00000000-0005-0000-0000-0000B4670000}"/>
    <cellStyle name="Normal 5 3 4 2 3" xfId="19520" xr:uid="{00000000-0005-0000-0000-0000B5670000}"/>
    <cellStyle name="Normal 5 3 4 2 3 2" xfId="19521" xr:uid="{00000000-0005-0000-0000-0000B6670000}"/>
    <cellStyle name="Normal 5 3 4 2 3 2 2" xfId="35935" xr:uid="{00000000-0005-0000-0000-0000B7670000}"/>
    <cellStyle name="Normal 5 3 4 2 3 3" xfId="19522" xr:uid="{00000000-0005-0000-0000-0000B8670000}"/>
    <cellStyle name="Normal 5 3 4 2 3 3 2" xfId="35936" xr:uid="{00000000-0005-0000-0000-0000B9670000}"/>
    <cellStyle name="Normal 5 3 4 2 3 4" xfId="19523" xr:uid="{00000000-0005-0000-0000-0000BA670000}"/>
    <cellStyle name="Normal 5 3 4 2 3 4 2" xfId="35937" xr:uid="{00000000-0005-0000-0000-0000BB670000}"/>
    <cellStyle name="Normal 5 3 4 2 3 5" xfId="19524" xr:uid="{00000000-0005-0000-0000-0000BC670000}"/>
    <cellStyle name="Normal 5 3 4 2 3 5 2" xfId="35938" xr:uid="{00000000-0005-0000-0000-0000BD670000}"/>
    <cellStyle name="Normal 5 3 4 2 3 6" xfId="35934" xr:uid="{00000000-0005-0000-0000-0000BE670000}"/>
    <cellStyle name="Normal 5 3 4 2 4" xfId="19525" xr:uid="{00000000-0005-0000-0000-0000BF670000}"/>
    <cellStyle name="Normal 5 3 4 2 4 2" xfId="19526" xr:uid="{00000000-0005-0000-0000-0000C0670000}"/>
    <cellStyle name="Normal 5 3 4 2 4 2 2" xfId="35940" xr:uid="{00000000-0005-0000-0000-0000C1670000}"/>
    <cellStyle name="Normal 5 3 4 2 4 3" xfId="19527" xr:uid="{00000000-0005-0000-0000-0000C2670000}"/>
    <cellStyle name="Normal 5 3 4 2 4 3 2" xfId="35941" xr:uid="{00000000-0005-0000-0000-0000C3670000}"/>
    <cellStyle name="Normal 5 3 4 2 4 4" xfId="19528" xr:uid="{00000000-0005-0000-0000-0000C4670000}"/>
    <cellStyle name="Normal 5 3 4 2 4 4 2" xfId="35942" xr:uid="{00000000-0005-0000-0000-0000C5670000}"/>
    <cellStyle name="Normal 5 3 4 2 4 5" xfId="19529" xr:uid="{00000000-0005-0000-0000-0000C6670000}"/>
    <cellStyle name="Normal 5 3 4 2 4 5 2" xfId="35943" xr:uid="{00000000-0005-0000-0000-0000C7670000}"/>
    <cellStyle name="Normal 5 3 4 2 4 6" xfId="35939" xr:uid="{00000000-0005-0000-0000-0000C8670000}"/>
    <cellStyle name="Normal 5 3 4 2 5" xfId="19530" xr:uid="{00000000-0005-0000-0000-0000C9670000}"/>
    <cellStyle name="Normal 5 3 4 2 5 2" xfId="19531" xr:uid="{00000000-0005-0000-0000-0000CA670000}"/>
    <cellStyle name="Normal 5 3 4 2 5 2 2" xfId="35945" xr:uid="{00000000-0005-0000-0000-0000CB670000}"/>
    <cellStyle name="Normal 5 3 4 2 5 3" xfId="19532" xr:uid="{00000000-0005-0000-0000-0000CC670000}"/>
    <cellStyle name="Normal 5 3 4 2 5 3 2" xfId="35946" xr:uid="{00000000-0005-0000-0000-0000CD670000}"/>
    <cellStyle name="Normal 5 3 4 2 5 4" xfId="19533" xr:uid="{00000000-0005-0000-0000-0000CE670000}"/>
    <cellStyle name="Normal 5 3 4 2 5 4 2" xfId="35947" xr:uid="{00000000-0005-0000-0000-0000CF670000}"/>
    <cellStyle name="Normal 5 3 4 2 5 5" xfId="19534" xr:uid="{00000000-0005-0000-0000-0000D0670000}"/>
    <cellStyle name="Normal 5 3 4 2 5 5 2" xfId="35948" xr:uid="{00000000-0005-0000-0000-0000D1670000}"/>
    <cellStyle name="Normal 5 3 4 2 5 6" xfId="35944" xr:uid="{00000000-0005-0000-0000-0000D2670000}"/>
    <cellStyle name="Normal 5 3 4 2 6" xfId="19535" xr:uid="{00000000-0005-0000-0000-0000D3670000}"/>
    <cellStyle name="Normal 5 3 4 2 6 2" xfId="19536" xr:uid="{00000000-0005-0000-0000-0000D4670000}"/>
    <cellStyle name="Normal 5 3 4 2 6 2 2" xfId="35950" xr:uid="{00000000-0005-0000-0000-0000D5670000}"/>
    <cellStyle name="Normal 5 3 4 2 6 3" xfId="19537" xr:uid="{00000000-0005-0000-0000-0000D6670000}"/>
    <cellStyle name="Normal 5 3 4 2 6 3 2" xfId="35951" xr:uid="{00000000-0005-0000-0000-0000D7670000}"/>
    <cellStyle name="Normal 5 3 4 2 6 4" xfId="19538" xr:uid="{00000000-0005-0000-0000-0000D8670000}"/>
    <cellStyle name="Normal 5 3 4 2 6 4 2" xfId="35952" xr:uid="{00000000-0005-0000-0000-0000D9670000}"/>
    <cellStyle name="Normal 5 3 4 2 6 5" xfId="19539" xr:uid="{00000000-0005-0000-0000-0000DA670000}"/>
    <cellStyle name="Normal 5 3 4 2 6 5 2" xfId="35953" xr:uid="{00000000-0005-0000-0000-0000DB670000}"/>
    <cellStyle name="Normal 5 3 4 2 6 6" xfId="35949" xr:uid="{00000000-0005-0000-0000-0000DC670000}"/>
    <cellStyle name="Normal 5 3 4 2 7" xfId="19540" xr:uid="{00000000-0005-0000-0000-0000DD670000}"/>
    <cellStyle name="Normal 5 3 4 2 7 2" xfId="19541" xr:uid="{00000000-0005-0000-0000-0000DE670000}"/>
    <cellStyle name="Normal 5 3 4 2 7 2 2" xfId="35955" xr:uid="{00000000-0005-0000-0000-0000DF670000}"/>
    <cellStyle name="Normal 5 3 4 2 7 3" xfId="19542" xr:uid="{00000000-0005-0000-0000-0000E0670000}"/>
    <cellStyle name="Normal 5 3 4 2 7 3 2" xfId="35956" xr:uid="{00000000-0005-0000-0000-0000E1670000}"/>
    <cellStyle name="Normal 5 3 4 2 7 4" xfId="19543" xr:uid="{00000000-0005-0000-0000-0000E2670000}"/>
    <cellStyle name="Normal 5 3 4 2 7 4 2" xfId="35957" xr:uid="{00000000-0005-0000-0000-0000E3670000}"/>
    <cellStyle name="Normal 5 3 4 2 7 5" xfId="19544" xr:uid="{00000000-0005-0000-0000-0000E4670000}"/>
    <cellStyle name="Normal 5 3 4 2 7 5 2" xfId="35958" xr:uid="{00000000-0005-0000-0000-0000E5670000}"/>
    <cellStyle name="Normal 5 3 4 2 7 6" xfId="35954" xr:uid="{00000000-0005-0000-0000-0000E6670000}"/>
    <cellStyle name="Normal 5 3 4 2 8" xfId="19545" xr:uid="{00000000-0005-0000-0000-0000E7670000}"/>
    <cellStyle name="Normal 5 3 4 2 8 2" xfId="35959" xr:uid="{00000000-0005-0000-0000-0000E8670000}"/>
    <cellStyle name="Normal 5 3 4 2 9" xfId="19546" xr:uid="{00000000-0005-0000-0000-0000E9670000}"/>
    <cellStyle name="Normal 5 3 4 2 9 2" xfId="35960" xr:uid="{00000000-0005-0000-0000-0000EA670000}"/>
    <cellStyle name="Normal 5 3 4 20" xfId="19547" xr:uid="{00000000-0005-0000-0000-0000EB670000}"/>
    <cellStyle name="Normal 5 3 4 20 2" xfId="35961" xr:uid="{00000000-0005-0000-0000-0000EC670000}"/>
    <cellStyle name="Normal 5 3 4 21" xfId="40735" xr:uid="{00000000-0005-0000-0000-0000ED670000}"/>
    <cellStyle name="Normal 5 3 4 22" xfId="35887" xr:uid="{00000000-0005-0000-0000-0000EE670000}"/>
    <cellStyle name="Normal 5 3 4 3" xfId="19548" xr:uid="{00000000-0005-0000-0000-0000EF670000}"/>
    <cellStyle name="Normal 5 3 4 3 2" xfId="19549" xr:uid="{00000000-0005-0000-0000-0000F0670000}"/>
    <cellStyle name="Normal 5 3 4 3 2 2" xfId="19550" xr:uid="{00000000-0005-0000-0000-0000F1670000}"/>
    <cellStyle name="Normal 5 3 4 3 2 2 2" xfId="35964" xr:uid="{00000000-0005-0000-0000-0000F2670000}"/>
    <cellStyle name="Normal 5 3 4 3 2 3" xfId="19551" xr:uid="{00000000-0005-0000-0000-0000F3670000}"/>
    <cellStyle name="Normal 5 3 4 3 2 3 2" xfId="35965" xr:uid="{00000000-0005-0000-0000-0000F4670000}"/>
    <cellStyle name="Normal 5 3 4 3 2 4" xfId="19552" xr:uid="{00000000-0005-0000-0000-0000F5670000}"/>
    <cellStyle name="Normal 5 3 4 3 2 4 2" xfId="35966" xr:uid="{00000000-0005-0000-0000-0000F6670000}"/>
    <cellStyle name="Normal 5 3 4 3 2 5" xfId="19553" xr:uid="{00000000-0005-0000-0000-0000F7670000}"/>
    <cellStyle name="Normal 5 3 4 3 2 5 2" xfId="35967" xr:uid="{00000000-0005-0000-0000-0000F8670000}"/>
    <cellStyle name="Normal 5 3 4 3 2 6" xfId="35963" xr:uid="{00000000-0005-0000-0000-0000F9670000}"/>
    <cellStyle name="Normal 5 3 4 3 3" xfId="19554" xr:uid="{00000000-0005-0000-0000-0000FA670000}"/>
    <cellStyle name="Normal 5 3 4 3 3 2" xfId="35968" xr:uid="{00000000-0005-0000-0000-0000FB670000}"/>
    <cellStyle name="Normal 5 3 4 3 4" xfId="19555" xr:uid="{00000000-0005-0000-0000-0000FC670000}"/>
    <cellStyle name="Normal 5 3 4 3 4 2" xfId="35969" xr:uid="{00000000-0005-0000-0000-0000FD670000}"/>
    <cellStyle name="Normal 5 3 4 3 5" xfId="19556" xr:uid="{00000000-0005-0000-0000-0000FE670000}"/>
    <cellStyle name="Normal 5 3 4 3 5 2" xfId="35970" xr:uid="{00000000-0005-0000-0000-0000FF670000}"/>
    <cellStyle name="Normal 5 3 4 3 6" xfId="19557" xr:uid="{00000000-0005-0000-0000-000000680000}"/>
    <cellStyle name="Normal 5 3 4 3 6 2" xfId="35971" xr:uid="{00000000-0005-0000-0000-000001680000}"/>
    <cellStyle name="Normal 5 3 4 3 7" xfId="35962" xr:uid="{00000000-0005-0000-0000-000002680000}"/>
    <cellStyle name="Normal 5 3 4 4" xfId="19558" xr:uid="{00000000-0005-0000-0000-000003680000}"/>
    <cellStyle name="Normal 5 3 4 4 2" xfId="19559" xr:uid="{00000000-0005-0000-0000-000004680000}"/>
    <cellStyle name="Normal 5 3 4 4 2 2" xfId="19560" xr:uid="{00000000-0005-0000-0000-000005680000}"/>
    <cellStyle name="Normal 5 3 4 4 2 2 2" xfId="35974" xr:uid="{00000000-0005-0000-0000-000006680000}"/>
    <cellStyle name="Normal 5 3 4 4 2 3" xfId="19561" xr:uid="{00000000-0005-0000-0000-000007680000}"/>
    <cellStyle name="Normal 5 3 4 4 2 3 2" xfId="35975" xr:uid="{00000000-0005-0000-0000-000008680000}"/>
    <cellStyle name="Normal 5 3 4 4 2 4" xfId="19562" xr:uid="{00000000-0005-0000-0000-000009680000}"/>
    <cellStyle name="Normal 5 3 4 4 2 4 2" xfId="35976" xr:uid="{00000000-0005-0000-0000-00000A680000}"/>
    <cellStyle name="Normal 5 3 4 4 2 5" xfId="19563" xr:uid="{00000000-0005-0000-0000-00000B680000}"/>
    <cellStyle name="Normal 5 3 4 4 2 5 2" xfId="35977" xr:uid="{00000000-0005-0000-0000-00000C680000}"/>
    <cellStyle name="Normal 5 3 4 4 2 6" xfId="35973" xr:uid="{00000000-0005-0000-0000-00000D680000}"/>
    <cellStyle name="Normal 5 3 4 4 3" xfId="19564" xr:uid="{00000000-0005-0000-0000-00000E680000}"/>
    <cellStyle name="Normal 5 3 4 4 3 2" xfId="35978" xr:uid="{00000000-0005-0000-0000-00000F680000}"/>
    <cellStyle name="Normal 5 3 4 4 4" xfId="19565" xr:uid="{00000000-0005-0000-0000-000010680000}"/>
    <cellStyle name="Normal 5 3 4 4 4 2" xfId="35979" xr:uid="{00000000-0005-0000-0000-000011680000}"/>
    <cellStyle name="Normal 5 3 4 4 5" xfId="19566" xr:uid="{00000000-0005-0000-0000-000012680000}"/>
    <cellStyle name="Normal 5 3 4 4 5 2" xfId="35980" xr:uid="{00000000-0005-0000-0000-000013680000}"/>
    <cellStyle name="Normal 5 3 4 4 6" xfId="19567" xr:uid="{00000000-0005-0000-0000-000014680000}"/>
    <cellStyle name="Normal 5 3 4 4 6 2" xfId="35981" xr:uid="{00000000-0005-0000-0000-000015680000}"/>
    <cellStyle name="Normal 5 3 4 4 7" xfId="35972" xr:uid="{00000000-0005-0000-0000-000016680000}"/>
    <cellStyle name="Normal 5 3 4 5" xfId="19568" xr:uid="{00000000-0005-0000-0000-000017680000}"/>
    <cellStyle name="Normal 5 3 4 5 2" xfId="19569" xr:uid="{00000000-0005-0000-0000-000018680000}"/>
    <cellStyle name="Normal 5 3 4 5 2 2" xfId="35983" xr:uid="{00000000-0005-0000-0000-000019680000}"/>
    <cellStyle name="Normal 5 3 4 5 3" xfId="19570" xr:uid="{00000000-0005-0000-0000-00001A680000}"/>
    <cellStyle name="Normal 5 3 4 5 3 2" xfId="35984" xr:uid="{00000000-0005-0000-0000-00001B680000}"/>
    <cellStyle name="Normal 5 3 4 5 4" xfId="19571" xr:uid="{00000000-0005-0000-0000-00001C680000}"/>
    <cellStyle name="Normal 5 3 4 5 4 2" xfId="35985" xr:uid="{00000000-0005-0000-0000-00001D680000}"/>
    <cellStyle name="Normal 5 3 4 5 5" xfId="19572" xr:uid="{00000000-0005-0000-0000-00001E680000}"/>
    <cellStyle name="Normal 5 3 4 5 5 2" xfId="35986" xr:uid="{00000000-0005-0000-0000-00001F680000}"/>
    <cellStyle name="Normal 5 3 4 5 6" xfId="35982" xr:uid="{00000000-0005-0000-0000-000020680000}"/>
    <cellStyle name="Normal 5 3 4 6" xfId="19573" xr:uid="{00000000-0005-0000-0000-000021680000}"/>
    <cellStyle name="Normal 5 3 4 6 2" xfId="19574" xr:uid="{00000000-0005-0000-0000-000022680000}"/>
    <cellStyle name="Normal 5 3 4 6 2 2" xfId="35988" xr:uid="{00000000-0005-0000-0000-000023680000}"/>
    <cellStyle name="Normal 5 3 4 6 3" xfId="19575" xr:uid="{00000000-0005-0000-0000-000024680000}"/>
    <cellStyle name="Normal 5 3 4 6 3 2" xfId="35989" xr:uid="{00000000-0005-0000-0000-000025680000}"/>
    <cellStyle name="Normal 5 3 4 6 4" xfId="19576" xr:uid="{00000000-0005-0000-0000-000026680000}"/>
    <cellStyle name="Normal 5 3 4 6 4 2" xfId="35990" xr:uid="{00000000-0005-0000-0000-000027680000}"/>
    <cellStyle name="Normal 5 3 4 6 5" xfId="19577" xr:uid="{00000000-0005-0000-0000-000028680000}"/>
    <cellStyle name="Normal 5 3 4 6 5 2" xfId="35991" xr:uid="{00000000-0005-0000-0000-000029680000}"/>
    <cellStyle name="Normal 5 3 4 6 6" xfId="35987" xr:uid="{00000000-0005-0000-0000-00002A680000}"/>
    <cellStyle name="Normal 5 3 4 7" xfId="19578" xr:uid="{00000000-0005-0000-0000-00002B680000}"/>
    <cellStyle name="Normal 5 3 4 7 2" xfId="19579" xr:uid="{00000000-0005-0000-0000-00002C680000}"/>
    <cellStyle name="Normal 5 3 4 7 2 2" xfId="35993" xr:uid="{00000000-0005-0000-0000-00002D680000}"/>
    <cellStyle name="Normal 5 3 4 7 3" xfId="19580" xr:uid="{00000000-0005-0000-0000-00002E680000}"/>
    <cellStyle name="Normal 5 3 4 7 3 2" xfId="35994" xr:uid="{00000000-0005-0000-0000-00002F680000}"/>
    <cellStyle name="Normal 5 3 4 7 4" xfId="19581" xr:uid="{00000000-0005-0000-0000-000030680000}"/>
    <cellStyle name="Normal 5 3 4 7 4 2" xfId="35995" xr:uid="{00000000-0005-0000-0000-000031680000}"/>
    <cellStyle name="Normal 5 3 4 7 5" xfId="19582" xr:uid="{00000000-0005-0000-0000-000032680000}"/>
    <cellStyle name="Normal 5 3 4 7 5 2" xfId="35996" xr:uid="{00000000-0005-0000-0000-000033680000}"/>
    <cellStyle name="Normal 5 3 4 7 6" xfId="35992" xr:uid="{00000000-0005-0000-0000-000034680000}"/>
    <cellStyle name="Normal 5 3 4 8" xfId="19583" xr:uid="{00000000-0005-0000-0000-000035680000}"/>
    <cellStyle name="Normal 5 3 4 8 2" xfId="19584" xr:uid="{00000000-0005-0000-0000-000036680000}"/>
    <cellStyle name="Normal 5 3 4 8 2 2" xfId="35998" xr:uid="{00000000-0005-0000-0000-000037680000}"/>
    <cellStyle name="Normal 5 3 4 8 3" xfId="19585" xr:uid="{00000000-0005-0000-0000-000038680000}"/>
    <cellStyle name="Normal 5 3 4 8 3 2" xfId="35999" xr:uid="{00000000-0005-0000-0000-000039680000}"/>
    <cellStyle name="Normal 5 3 4 8 4" xfId="19586" xr:uid="{00000000-0005-0000-0000-00003A680000}"/>
    <cellStyle name="Normal 5 3 4 8 4 2" xfId="36000" xr:uid="{00000000-0005-0000-0000-00003B680000}"/>
    <cellStyle name="Normal 5 3 4 8 5" xfId="19587" xr:uid="{00000000-0005-0000-0000-00003C680000}"/>
    <cellStyle name="Normal 5 3 4 8 5 2" xfId="36001" xr:uid="{00000000-0005-0000-0000-00003D680000}"/>
    <cellStyle name="Normal 5 3 4 8 6" xfId="35997" xr:uid="{00000000-0005-0000-0000-00003E680000}"/>
    <cellStyle name="Normal 5 3 4 9" xfId="19588" xr:uid="{00000000-0005-0000-0000-00003F680000}"/>
    <cellStyle name="Normal 5 3 4 9 2" xfId="19589" xr:uid="{00000000-0005-0000-0000-000040680000}"/>
    <cellStyle name="Normal 5 3 4 9 2 2" xfId="36003" xr:uid="{00000000-0005-0000-0000-000041680000}"/>
    <cellStyle name="Normal 5 3 4 9 3" xfId="19590" xr:uid="{00000000-0005-0000-0000-000042680000}"/>
    <cellStyle name="Normal 5 3 4 9 3 2" xfId="36004" xr:uid="{00000000-0005-0000-0000-000043680000}"/>
    <cellStyle name="Normal 5 3 4 9 4" xfId="19591" xr:uid="{00000000-0005-0000-0000-000044680000}"/>
    <cellStyle name="Normal 5 3 4 9 4 2" xfId="36005" xr:uid="{00000000-0005-0000-0000-000045680000}"/>
    <cellStyle name="Normal 5 3 4 9 5" xfId="19592" xr:uid="{00000000-0005-0000-0000-000046680000}"/>
    <cellStyle name="Normal 5 3 4 9 5 2" xfId="36006" xr:uid="{00000000-0005-0000-0000-000047680000}"/>
    <cellStyle name="Normal 5 3 4 9 6" xfId="36002" xr:uid="{00000000-0005-0000-0000-000048680000}"/>
    <cellStyle name="Normal 5 3 5" xfId="19593" xr:uid="{00000000-0005-0000-0000-000049680000}"/>
    <cellStyle name="Normal 5 3 5 2" xfId="41020" xr:uid="{00000000-0005-0000-0000-00004A680000}"/>
    <cellStyle name="Normal 5 3 6" xfId="19594" xr:uid="{00000000-0005-0000-0000-00004B680000}"/>
    <cellStyle name="Normal 5 3 6 2" xfId="41013" xr:uid="{00000000-0005-0000-0000-00004C680000}"/>
    <cellStyle name="Normal 5 3 7" xfId="19595" xr:uid="{00000000-0005-0000-0000-00004D680000}"/>
    <cellStyle name="Normal 5 3 7 10" xfId="19596" xr:uid="{00000000-0005-0000-0000-00004E680000}"/>
    <cellStyle name="Normal 5 3 7 10 2" xfId="19597" xr:uid="{00000000-0005-0000-0000-00004F680000}"/>
    <cellStyle name="Normal 5 3 7 10 2 2" xfId="36009" xr:uid="{00000000-0005-0000-0000-000050680000}"/>
    <cellStyle name="Normal 5 3 7 10 3" xfId="19598" xr:uid="{00000000-0005-0000-0000-000051680000}"/>
    <cellStyle name="Normal 5 3 7 10 3 2" xfId="36010" xr:uid="{00000000-0005-0000-0000-000052680000}"/>
    <cellStyle name="Normal 5 3 7 10 4" xfId="19599" xr:uid="{00000000-0005-0000-0000-000053680000}"/>
    <cellStyle name="Normal 5 3 7 10 4 2" xfId="36011" xr:uid="{00000000-0005-0000-0000-000054680000}"/>
    <cellStyle name="Normal 5 3 7 10 5" xfId="19600" xr:uid="{00000000-0005-0000-0000-000055680000}"/>
    <cellStyle name="Normal 5 3 7 10 5 2" xfId="36012" xr:uid="{00000000-0005-0000-0000-000056680000}"/>
    <cellStyle name="Normal 5 3 7 10 6" xfId="36008" xr:uid="{00000000-0005-0000-0000-000057680000}"/>
    <cellStyle name="Normal 5 3 7 11" xfId="19601" xr:uid="{00000000-0005-0000-0000-000058680000}"/>
    <cellStyle name="Normal 5 3 7 11 2" xfId="19602" xr:uid="{00000000-0005-0000-0000-000059680000}"/>
    <cellStyle name="Normal 5 3 7 11 2 2" xfId="36014" xr:uid="{00000000-0005-0000-0000-00005A680000}"/>
    <cellStyle name="Normal 5 3 7 11 3" xfId="19603" xr:uid="{00000000-0005-0000-0000-00005B680000}"/>
    <cellStyle name="Normal 5 3 7 11 3 2" xfId="36015" xr:uid="{00000000-0005-0000-0000-00005C680000}"/>
    <cellStyle name="Normal 5 3 7 11 4" xfId="19604" xr:uid="{00000000-0005-0000-0000-00005D680000}"/>
    <cellStyle name="Normal 5 3 7 11 4 2" xfId="36016" xr:uid="{00000000-0005-0000-0000-00005E680000}"/>
    <cellStyle name="Normal 5 3 7 11 5" xfId="19605" xr:uid="{00000000-0005-0000-0000-00005F680000}"/>
    <cellStyle name="Normal 5 3 7 11 5 2" xfId="36017" xr:uid="{00000000-0005-0000-0000-000060680000}"/>
    <cellStyle name="Normal 5 3 7 11 6" xfId="36013" xr:uid="{00000000-0005-0000-0000-000061680000}"/>
    <cellStyle name="Normal 5 3 7 12" xfId="19606" xr:uid="{00000000-0005-0000-0000-000062680000}"/>
    <cellStyle name="Normal 5 3 7 12 2" xfId="19607" xr:uid="{00000000-0005-0000-0000-000063680000}"/>
    <cellStyle name="Normal 5 3 7 12 2 2" xfId="36019" xr:uid="{00000000-0005-0000-0000-000064680000}"/>
    <cellStyle name="Normal 5 3 7 12 3" xfId="19608" xr:uid="{00000000-0005-0000-0000-000065680000}"/>
    <cellStyle name="Normal 5 3 7 12 3 2" xfId="36020" xr:uid="{00000000-0005-0000-0000-000066680000}"/>
    <cellStyle name="Normal 5 3 7 12 4" xfId="19609" xr:uid="{00000000-0005-0000-0000-000067680000}"/>
    <cellStyle name="Normal 5 3 7 12 4 2" xfId="36021" xr:uid="{00000000-0005-0000-0000-000068680000}"/>
    <cellStyle name="Normal 5 3 7 12 5" xfId="19610" xr:uid="{00000000-0005-0000-0000-000069680000}"/>
    <cellStyle name="Normal 5 3 7 12 5 2" xfId="36022" xr:uid="{00000000-0005-0000-0000-00006A680000}"/>
    <cellStyle name="Normal 5 3 7 12 6" xfId="36018" xr:uid="{00000000-0005-0000-0000-00006B680000}"/>
    <cellStyle name="Normal 5 3 7 13" xfId="19611" xr:uid="{00000000-0005-0000-0000-00006C680000}"/>
    <cellStyle name="Normal 5 3 7 13 2" xfId="19612" xr:uid="{00000000-0005-0000-0000-00006D680000}"/>
    <cellStyle name="Normal 5 3 7 13 2 2" xfId="36024" xr:uid="{00000000-0005-0000-0000-00006E680000}"/>
    <cellStyle name="Normal 5 3 7 13 3" xfId="19613" xr:uid="{00000000-0005-0000-0000-00006F680000}"/>
    <cellStyle name="Normal 5 3 7 13 3 2" xfId="36025" xr:uid="{00000000-0005-0000-0000-000070680000}"/>
    <cellStyle name="Normal 5 3 7 13 4" xfId="19614" xr:uid="{00000000-0005-0000-0000-000071680000}"/>
    <cellStyle name="Normal 5 3 7 13 4 2" xfId="36026" xr:uid="{00000000-0005-0000-0000-000072680000}"/>
    <cellStyle name="Normal 5 3 7 13 5" xfId="19615" xr:uid="{00000000-0005-0000-0000-000073680000}"/>
    <cellStyle name="Normal 5 3 7 13 5 2" xfId="36027" xr:uid="{00000000-0005-0000-0000-000074680000}"/>
    <cellStyle name="Normal 5 3 7 13 6" xfId="36023" xr:uid="{00000000-0005-0000-0000-000075680000}"/>
    <cellStyle name="Normal 5 3 7 14" xfId="19616" xr:uid="{00000000-0005-0000-0000-000076680000}"/>
    <cellStyle name="Normal 5 3 7 14 2" xfId="19617" xr:uid="{00000000-0005-0000-0000-000077680000}"/>
    <cellStyle name="Normal 5 3 7 14 2 2" xfId="36029" xr:uid="{00000000-0005-0000-0000-000078680000}"/>
    <cellStyle name="Normal 5 3 7 14 3" xfId="19618" xr:uid="{00000000-0005-0000-0000-000079680000}"/>
    <cellStyle name="Normal 5 3 7 14 3 2" xfId="36030" xr:uid="{00000000-0005-0000-0000-00007A680000}"/>
    <cellStyle name="Normal 5 3 7 14 4" xfId="19619" xr:uid="{00000000-0005-0000-0000-00007B680000}"/>
    <cellStyle name="Normal 5 3 7 14 4 2" xfId="36031" xr:uid="{00000000-0005-0000-0000-00007C680000}"/>
    <cellStyle name="Normal 5 3 7 14 5" xfId="19620" xr:uid="{00000000-0005-0000-0000-00007D680000}"/>
    <cellStyle name="Normal 5 3 7 14 5 2" xfId="36032" xr:uid="{00000000-0005-0000-0000-00007E680000}"/>
    <cellStyle name="Normal 5 3 7 14 6" xfId="36028" xr:uid="{00000000-0005-0000-0000-00007F680000}"/>
    <cellStyle name="Normal 5 3 7 15" xfId="19621" xr:uid="{00000000-0005-0000-0000-000080680000}"/>
    <cellStyle name="Normal 5 3 7 15 2" xfId="19622" xr:uid="{00000000-0005-0000-0000-000081680000}"/>
    <cellStyle name="Normal 5 3 7 15 2 2" xfId="36034" xr:uid="{00000000-0005-0000-0000-000082680000}"/>
    <cellStyle name="Normal 5 3 7 15 3" xfId="19623" xr:uid="{00000000-0005-0000-0000-000083680000}"/>
    <cellStyle name="Normal 5 3 7 15 3 2" xfId="36035" xr:uid="{00000000-0005-0000-0000-000084680000}"/>
    <cellStyle name="Normal 5 3 7 15 4" xfId="19624" xr:uid="{00000000-0005-0000-0000-000085680000}"/>
    <cellStyle name="Normal 5 3 7 15 4 2" xfId="36036" xr:uid="{00000000-0005-0000-0000-000086680000}"/>
    <cellStyle name="Normal 5 3 7 15 5" xfId="19625" xr:uid="{00000000-0005-0000-0000-000087680000}"/>
    <cellStyle name="Normal 5 3 7 15 5 2" xfId="36037" xr:uid="{00000000-0005-0000-0000-000088680000}"/>
    <cellStyle name="Normal 5 3 7 15 6" xfId="36033" xr:uid="{00000000-0005-0000-0000-000089680000}"/>
    <cellStyle name="Normal 5 3 7 16" xfId="19626" xr:uid="{00000000-0005-0000-0000-00008A680000}"/>
    <cellStyle name="Normal 5 3 7 16 2" xfId="19627" xr:uid="{00000000-0005-0000-0000-00008B680000}"/>
    <cellStyle name="Normal 5 3 7 16 2 2" xfId="36039" xr:uid="{00000000-0005-0000-0000-00008C680000}"/>
    <cellStyle name="Normal 5 3 7 16 3" xfId="19628" xr:uid="{00000000-0005-0000-0000-00008D680000}"/>
    <cellStyle name="Normal 5 3 7 16 3 2" xfId="36040" xr:uid="{00000000-0005-0000-0000-00008E680000}"/>
    <cellStyle name="Normal 5 3 7 16 4" xfId="19629" xr:uid="{00000000-0005-0000-0000-00008F680000}"/>
    <cellStyle name="Normal 5 3 7 16 4 2" xfId="36041" xr:uid="{00000000-0005-0000-0000-000090680000}"/>
    <cellStyle name="Normal 5 3 7 16 5" xfId="19630" xr:uid="{00000000-0005-0000-0000-000091680000}"/>
    <cellStyle name="Normal 5 3 7 16 5 2" xfId="36042" xr:uid="{00000000-0005-0000-0000-000092680000}"/>
    <cellStyle name="Normal 5 3 7 16 6" xfId="36038" xr:uid="{00000000-0005-0000-0000-000093680000}"/>
    <cellStyle name="Normal 5 3 7 17" xfId="19631" xr:uid="{00000000-0005-0000-0000-000094680000}"/>
    <cellStyle name="Normal 5 3 7 17 2" xfId="36043" xr:uid="{00000000-0005-0000-0000-000095680000}"/>
    <cellStyle name="Normal 5 3 7 18" xfId="19632" xr:uid="{00000000-0005-0000-0000-000096680000}"/>
    <cellStyle name="Normal 5 3 7 18 2" xfId="36044" xr:uid="{00000000-0005-0000-0000-000097680000}"/>
    <cellStyle name="Normal 5 3 7 19" xfId="19633" xr:uid="{00000000-0005-0000-0000-000098680000}"/>
    <cellStyle name="Normal 5 3 7 19 2" xfId="36045" xr:uid="{00000000-0005-0000-0000-000099680000}"/>
    <cellStyle name="Normal 5 3 7 2" xfId="19634" xr:uid="{00000000-0005-0000-0000-00009A680000}"/>
    <cellStyle name="Normal 5 3 7 20" xfId="19635" xr:uid="{00000000-0005-0000-0000-00009B680000}"/>
    <cellStyle name="Normal 5 3 7 20 2" xfId="36046" xr:uid="{00000000-0005-0000-0000-00009C680000}"/>
    <cellStyle name="Normal 5 3 7 21" xfId="36007" xr:uid="{00000000-0005-0000-0000-00009D680000}"/>
    <cellStyle name="Normal 5 3 7 3" xfId="19636" xr:uid="{00000000-0005-0000-0000-00009E680000}"/>
    <cellStyle name="Normal 5 3 7 3 2" xfId="19637" xr:uid="{00000000-0005-0000-0000-00009F680000}"/>
    <cellStyle name="Normal 5 3 7 3 2 2" xfId="36048" xr:uid="{00000000-0005-0000-0000-0000A0680000}"/>
    <cellStyle name="Normal 5 3 7 3 3" xfId="19638" xr:uid="{00000000-0005-0000-0000-0000A1680000}"/>
    <cellStyle name="Normal 5 3 7 3 3 2" xfId="36049" xr:uid="{00000000-0005-0000-0000-0000A2680000}"/>
    <cellStyle name="Normal 5 3 7 3 4" xfId="19639" xr:uid="{00000000-0005-0000-0000-0000A3680000}"/>
    <cellStyle name="Normal 5 3 7 3 4 2" xfId="36050" xr:uid="{00000000-0005-0000-0000-0000A4680000}"/>
    <cellStyle name="Normal 5 3 7 3 5" xfId="19640" xr:uid="{00000000-0005-0000-0000-0000A5680000}"/>
    <cellStyle name="Normal 5 3 7 3 5 2" xfId="36051" xr:uid="{00000000-0005-0000-0000-0000A6680000}"/>
    <cellStyle name="Normal 5 3 7 3 6" xfId="36047" xr:uid="{00000000-0005-0000-0000-0000A7680000}"/>
    <cellStyle name="Normal 5 3 7 4" xfId="19641" xr:uid="{00000000-0005-0000-0000-0000A8680000}"/>
    <cellStyle name="Normal 5 3 7 4 2" xfId="19642" xr:uid="{00000000-0005-0000-0000-0000A9680000}"/>
    <cellStyle name="Normal 5 3 7 4 2 2" xfId="36053" xr:uid="{00000000-0005-0000-0000-0000AA680000}"/>
    <cellStyle name="Normal 5 3 7 4 3" xfId="19643" xr:uid="{00000000-0005-0000-0000-0000AB680000}"/>
    <cellStyle name="Normal 5 3 7 4 3 2" xfId="36054" xr:uid="{00000000-0005-0000-0000-0000AC680000}"/>
    <cellStyle name="Normal 5 3 7 4 4" xfId="19644" xr:uid="{00000000-0005-0000-0000-0000AD680000}"/>
    <cellStyle name="Normal 5 3 7 4 4 2" xfId="36055" xr:uid="{00000000-0005-0000-0000-0000AE680000}"/>
    <cellStyle name="Normal 5 3 7 4 5" xfId="19645" xr:uid="{00000000-0005-0000-0000-0000AF680000}"/>
    <cellStyle name="Normal 5 3 7 4 5 2" xfId="36056" xr:uid="{00000000-0005-0000-0000-0000B0680000}"/>
    <cellStyle name="Normal 5 3 7 4 6" xfId="36052" xr:uid="{00000000-0005-0000-0000-0000B1680000}"/>
    <cellStyle name="Normal 5 3 7 5" xfId="19646" xr:uid="{00000000-0005-0000-0000-0000B2680000}"/>
    <cellStyle name="Normal 5 3 7 5 2" xfId="19647" xr:uid="{00000000-0005-0000-0000-0000B3680000}"/>
    <cellStyle name="Normal 5 3 7 5 2 2" xfId="36058" xr:uid="{00000000-0005-0000-0000-0000B4680000}"/>
    <cellStyle name="Normal 5 3 7 5 3" xfId="19648" xr:uid="{00000000-0005-0000-0000-0000B5680000}"/>
    <cellStyle name="Normal 5 3 7 5 3 2" xfId="36059" xr:uid="{00000000-0005-0000-0000-0000B6680000}"/>
    <cellStyle name="Normal 5 3 7 5 4" xfId="19649" xr:uid="{00000000-0005-0000-0000-0000B7680000}"/>
    <cellStyle name="Normal 5 3 7 5 4 2" xfId="36060" xr:uid="{00000000-0005-0000-0000-0000B8680000}"/>
    <cellStyle name="Normal 5 3 7 5 5" xfId="19650" xr:uid="{00000000-0005-0000-0000-0000B9680000}"/>
    <cellStyle name="Normal 5 3 7 5 5 2" xfId="36061" xr:uid="{00000000-0005-0000-0000-0000BA680000}"/>
    <cellStyle name="Normal 5 3 7 5 6" xfId="36057" xr:uid="{00000000-0005-0000-0000-0000BB680000}"/>
    <cellStyle name="Normal 5 3 7 6" xfId="19651" xr:uid="{00000000-0005-0000-0000-0000BC680000}"/>
    <cellStyle name="Normal 5 3 7 6 2" xfId="19652" xr:uid="{00000000-0005-0000-0000-0000BD680000}"/>
    <cellStyle name="Normal 5 3 7 6 2 2" xfId="36063" xr:uid="{00000000-0005-0000-0000-0000BE680000}"/>
    <cellStyle name="Normal 5 3 7 6 3" xfId="19653" xr:uid="{00000000-0005-0000-0000-0000BF680000}"/>
    <cellStyle name="Normal 5 3 7 6 3 2" xfId="36064" xr:uid="{00000000-0005-0000-0000-0000C0680000}"/>
    <cellStyle name="Normal 5 3 7 6 4" xfId="19654" xr:uid="{00000000-0005-0000-0000-0000C1680000}"/>
    <cellStyle name="Normal 5 3 7 6 4 2" xfId="36065" xr:uid="{00000000-0005-0000-0000-0000C2680000}"/>
    <cellStyle name="Normal 5 3 7 6 5" xfId="19655" xr:uid="{00000000-0005-0000-0000-0000C3680000}"/>
    <cellStyle name="Normal 5 3 7 6 5 2" xfId="36066" xr:uid="{00000000-0005-0000-0000-0000C4680000}"/>
    <cellStyle name="Normal 5 3 7 6 6" xfId="36062" xr:uid="{00000000-0005-0000-0000-0000C5680000}"/>
    <cellStyle name="Normal 5 3 7 7" xfId="19656" xr:uid="{00000000-0005-0000-0000-0000C6680000}"/>
    <cellStyle name="Normal 5 3 7 7 2" xfId="19657" xr:uid="{00000000-0005-0000-0000-0000C7680000}"/>
    <cellStyle name="Normal 5 3 7 7 2 2" xfId="36068" xr:uid="{00000000-0005-0000-0000-0000C8680000}"/>
    <cellStyle name="Normal 5 3 7 7 3" xfId="19658" xr:uid="{00000000-0005-0000-0000-0000C9680000}"/>
    <cellStyle name="Normal 5 3 7 7 3 2" xfId="36069" xr:uid="{00000000-0005-0000-0000-0000CA680000}"/>
    <cellStyle name="Normal 5 3 7 7 4" xfId="19659" xr:uid="{00000000-0005-0000-0000-0000CB680000}"/>
    <cellStyle name="Normal 5 3 7 7 4 2" xfId="36070" xr:uid="{00000000-0005-0000-0000-0000CC680000}"/>
    <cellStyle name="Normal 5 3 7 7 5" xfId="19660" xr:uid="{00000000-0005-0000-0000-0000CD680000}"/>
    <cellStyle name="Normal 5 3 7 7 5 2" xfId="36071" xr:uid="{00000000-0005-0000-0000-0000CE680000}"/>
    <cellStyle name="Normal 5 3 7 7 6" xfId="36067" xr:uid="{00000000-0005-0000-0000-0000CF680000}"/>
    <cellStyle name="Normal 5 3 7 8" xfId="19661" xr:uid="{00000000-0005-0000-0000-0000D0680000}"/>
    <cellStyle name="Normal 5 3 7 8 2" xfId="19662" xr:uid="{00000000-0005-0000-0000-0000D1680000}"/>
    <cellStyle name="Normal 5 3 7 8 2 2" xfId="36073" xr:uid="{00000000-0005-0000-0000-0000D2680000}"/>
    <cellStyle name="Normal 5 3 7 8 3" xfId="19663" xr:uid="{00000000-0005-0000-0000-0000D3680000}"/>
    <cellStyle name="Normal 5 3 7 8 3 2" xfId="36074" xr:uid="{00000000-0005-0000-0000-0000D4680000}"/>
    <cellStyle name="Normal 5 3 7 8 4" xfId="19664" xr:uid="{00000000-0005-0000-0000-0000D5680000}"/>
    <cellStyle name="Normal 5 3 7 8 4 2" xfId="36075" xr:uid="{00000000-0005-0000-0000-0000D6680000}"/>
    <cellStyle name="Normal 5 3 7 8 5" xfId="19665" xr:uid="{00000000-0005-0000-0000-0000D7680000}"/>
    <cellStyle name="Normal 5 3 7 8 5 2" xfId="36076" xr:uid="{00000000-0005-0000-0000-0000D8680000}"/>
    <cellStyle name="Normal 5 3 7 8 6" xfId="36072" xr:uid="{00000000-0005-0000-0000-0000D9680000}"/>
    <cellStyle name="Normal 5 3 7 9" xfId="19666" xr:uid="{00000000-0005-0000-0000-0000DA680000}"/>
    <cellStyle name="Normal 5 3 7 9 2" xfId="19667" xr:uid="{00000000-0005-0000-0000-0000DB680000}"/>
    <cellStyle name="Normal 5 3 7 9 2 2" xfId="36078" xr:uid="{00000000-0005-0000-0000-0000DC680000}"/>
    <cellStyle name="Normal 5 3 7 9 3" xfId="19668" xr:uid="{00000000-0005-0000-0000-0000DD680000}"/>
    <cellStyle name="Normal 5 3 7 9 3 2" xfId="36079" xr:uid="{00000000-0005-0000-0000-0000DE680000}"/>
    <cellStyle name="Normal 5 3 7 9 4" xfId="19669" xr:uid="{00000000-0005-0000-0000-0000DF680000}"/>
    <cellStyle name="Normal 5 3 7 9 4 2" xfId="36080" xr:uid="{00000000-0005-0000-0000-0000E0680000}"/>
    <cellStyle name="Normal 5 3 7 9 5" xfId="19670" xr:uid="{00000000-0005-0000-0000-0000E1680000}"/>
    <cellStyle name="Normal 5 3 7 9 5 2" xfId="36081" xr:uid="{00000000-0005-0000-0000-0000E2680000}"/>
    <cellStyle name="Normal 5 3 7 9 6" xfId="36077" xr:uid="{00000000-0005-0000-0000-0000E3680000}"/>
    <cellStyle name="Normal 5 3 8" xfId="19671" xr:uid="{00000000-0005-0000-0000-0000E4680000}"/>
    <cellStyle name="Normal 5 3 8 2" xfId="19672" xr:uid="{00000000-0005-0000-0000-0000E5680000}"/>
    <cellStyle name="Normal 5 3 8 3" xfId="19673" xr:uid="{00000000-0005-0000-0000-0000E6680000}"/>
    <cellStyle name="Normal 5 3 8 3 2" xfId="36083" xr:uid="{00000000-0005-0000-0000-0000E7680000}"/>
    <cellStyle name="Normal 5 3 8 4" xfId="19674" xr:uid="{00000000-0005-0000-0000-0000E8680000}"/>
    <cellStyle name="Normal 5 3 8 4 2" xfId="36084" xr:uid="{00000000-0005-0000-0000-0000E9680000}"/>
    <cellStyle name="Normal 5 3 8 5" xfId="19675" xr:uid="{00000000-0005-0000-0000-0000EA680000}"/>
    <cellStyle name="Normal 5 3 8 5 2" xfId="36085" xr:uid="{00000000-0005-0000-0000-0000EB680000}"/>
    <cellStyle name="Normal 5 3 8 6" xfId="19676" xr:uid="{00000000-0005-0000-0000-0000EC680000}"/>
    <cellStyle name="Normal 5 3 8 6 2" xfId="36086" xr:uid="{00000000-0005-0000-0000-0000ED680000}"/>
    <cellStyle name="Normal 5 3 8 7" xfId="36082" xr:uid="{00000000-0005-0000-0000-0000EE680000}"/>
    <cellStyle name="Normal 5 3 9" xfId="19677" xr:uid="{00000000-0005-0000-0000-0000EF680000}"/>
    <cellStyle name="Normal 5 3 9 2" xfId="19678" xr:uid="{00000000-0005-0000-0000-0000F0680000}"/>
    <cellStyle name="Normal 5 3 9 3" xfId="19679" xr:uid="{00000000-0005-0000-0000-0000F1680000}"/>
    <cellStyle name="Normal 5 3 9 3 2" xfId="36088" xr:uid="{00000000-0005-0000-0000-0000F2680000}"/>
    <cellStyle name="Normal 5 3 9 4" xfId="19680" xr:uid="{00000000-0005-0000-0000-0000F3680000}"/>
    <cellStyle name="Normal 5 3 9 4 2" xfId="36089" xr:uid="{00000000-0005-0000-0000-0000F4680000}"/>
    <cellStyle name="Normal 5 3 9 5" xfId="19681" xr:uid="{00000000-0005-0000-0000-0000F5680000}"/>
    <cellStyle name="Normal 5 3 9 5 2" xfId="36090" xr:uid="{00000000-0005-0000-0000-0000F6680000}"/>
    <cellStyle name="Normal 5 3 9 6" xfId="19682" xr:uid="{00000000-0005-0000-0000-0000F7680000}"/>
    <cellStyle name="Normal 5 3 9 6 2" xfId="36091" xr:uid="{00000000-0005-0000-0000-0000F8680000}"/>
    <cellStyle name="Normal 5 3 9 7" xfId="36087" xr:uid="{00000000-0005-0000-0000-0000F9680000}"/>
    <cellStyle name="Normal 5 30" xfId="19683" xr:uid="{00000000-0005-0000-0000-0000FA680000}"/>
    <cellStyle name="Normal 5 30 2" xfId="19684" xr:uid="{00000000-0005-0000-0000-0000FB680000}"/>
    <cellStyle name="Normal 5 30 2 2" xfId="36092" xr:uid="{00000000-0005-0000-0000-0000FC680000}"/>
    <cellStyle name="Normal 5 30 3" xfId="19685" xr:uid="{00000000-0005-0000-0000-0000FD680000}"/>
    <cellStyle name="Normal 5 30 3 2" xfId="36093" xr:uid="{00000000-0005-0000-0000-0000FE680000}"/>
    <cellStyle name="Normal 5 30 4" xfId="19686" xr:uid="{00000000-0005-0000-0000-0000FF680000}"/>
    <cellStyle name="Normal 5 30 4 2" xfId="36094" xr:uid="{00000000-0005-0000-0000-000000690000}"/>
    <cellStyle name="Normal 5 30 5" xfId="19687" xr:uid="{00000000-0005-0000-0000-000001690000}"/>
    <cellStyle name="Normal 5 30 5 2" xfId="36095" xr:uid="{00000000-0005-0000-0000-000002690000}"/>
    <cellStyle name="Normal 5 30 6" xfId="19688" xr:uid="{00000000-0005-0000-0000-000003690000}"/>
    <cellStyle name="Normal 5 30 6 2" xfId="36096" xr:uid="{00000000-0005-0000-0000-000004690000}"/>
    <cellStyle name="Normal 5 30 7" xfId="19689" xr:uid="{00000000-0005-0000-0000-000005690000}"/>
    <cellStyle name="Normal 5 30 7 2" xfId="36097" xr:uid="{00000000-0005-0000-0000-000006690000}"/>
    <cellStyle name="Normal 5 31" xfId="19690" xr:uid="{00000000-0005-0000-0000-000007690000}"/>
    <cellStyle name="Normal 5 31 2" xfId="19691" xr:uid="{00000000-0005-0000-0000-000008690000}"/>
    <cellStyle name="Normal 5 31 2 2" xfId="36098" xr:uid="{00000000-0005-0000-0000-000009690000}"/>
    <cellStyle name="Normal 5 31 3" xfId="19692" xr:uid="{00000000-0005-0000-0000-00000A690000}"/>
    <cellStyle name="Normal 5 31 3 2" xfId="36099" xr:uid="{00000000-0005-0000-0000-00000B690000}"/>
    <cellStyle name="Normal 5 31 4" xfId="19693" xr:uid="{00000000-0005-0000-0000-00000C690000}"/>
    <cellStyle name="Normal 5 31 4 2" xfId="36100" xr:uid="{00000000-0005-0000-0000-00000D690000}"/>
    <cellStyle name="Normal 5 31 5" xfId="19694" xr:uid="{00000000-0005-0000-0000-00000E690000}"/>
    <cellStyle name="Normal 5 31 5 2" xfId="36101" xr:uid="{00000000-0005-0000-0000-00000F690000}"/>
    <cellStyle name="Normal 5 31 6" xfId="19695" xr:uid="{00000000-0005-0000-0000-000010690000}"/>
    <cellStyle name="Normal 5 31 6 2" xfId="36102" xr:uid="{00000000-0005-0000-0000-000011690000}"/>
    <cellStyle name="Normal 5 31 7" xfId="19696" xr:uid="{00000000-0005-0000-0000-000012690000}"/>
    <cellStyle name="Normal 5 31 7 2" xfId="36103" xr:uid="{00000000-0005-0000-0000-000013690000}"/>
    <cellStyle name="Normal 5 32" xfId="19697" xr:uid="{00000000-0005-0000-0000-000014690000}"/>
    <cellStyle name="Normal 5 32 2" xfId="19698" xr:uid="{00000000-0005-0000-0000-000015690000}"/>
    <cellStyle name="Normal 5 32 2 2" xfId="36104" xr:uid="{00000000-0005-0000-0000-000016690000}"/>
    <cellStyle name="Normal 5 32 3" xfId="19699" xr:uid="{00000000-0005-0000-0000-000017690000}"/>
    <cellStyle name="Normal 5 32 3 2" xfId="36105" xr:uid="{00000000-0005-0000-0000-000018690000}"/>
    <cellStyle name="Normal 5 32 4" xfId="19700" xr:uid="{00000000-0005-0000-0000-000019690000}"/>
    <cellStyle name="Normal 5 32 4 2" xfId="36106" xr:uid="{00000000-0005-0000-0000-00001A690000}"/>
    <cellStyle name="Normal 5 32 5" xfId="19701" xr:uid="{00000000-0005-0000-0000-00001B690000}"/>
    <cellStyle name="Normal 5 32 5 2" xfId="36107" xr:uid="{00000000-0005-0000-0000-00001C690000}"/>
    <cellStyle name="Normal 5 32 6" xfId="19702" xr:uid="{00000000-0005-0000-0000-00001D690000}"/>
    <cellStyle name="Normal 5 32 6 2" xfId="36108" xr:uid="{00000000-0005-0000-0000-00001E690000}"/>
    <cellStyle name="Normal 5 32 7" xfId="19703" xr:uid="{00000000-0005-0000-0000-00001F690000}"/>
    <cellStyle name="Normal 5 32 7 2" xfId="36109" xr:uid="{00000000-0005-0000-0000-000020690000}"/>
    <cellStyle name="Normal 5 33" xfId="19704" xr:uid="{00000000-0005-0000-0000-000021690000}"/>
    <cellStyle name="Normal 5 33 2" xfId="19705" xr:uid="{00000000-0005-0000-0000-000022690000}"/>
    <cellStyle name="Normal 5 33 2 2" xfId="36110" xr:uid="{00000000-0005-0000-0000-000023690000}"/>
    <cellStyle name="Normal 5 33 3" xfId="19706" xr:uid="{00000000-0005-0000-0000-000024690000}"/>
    <cellStyle name="Normal 5 33 3 2" xfId="36111" xr:uid="{00000000-0005-0000-0000-000025690000}"/>
    <cellStyle name="Normal 5 33 4" xfId="19707" xr:uid="{00000000-0005-0000-0000-000026690000}"/>
    <cellStyle name="Normal 5 33 4 2" xfId="36112" xr:uid="{00000000-0005-0000-0000-000027690000}"/>
    <cellStyle name="Normal 5 33 5" xfId="19708" xr:uid="{00000000-0005-0000-0000-000028690000}"/>
    <cellStyle name="Normal 5 33 5 2" xfId="36113" xr:uid="{00000000-0005-0000-0000-000029690000}"/>
    <cellStyle name="Normal 5 33 6" xfId="19709" xr:uid="{00000000-0005-0000-0000-00002A690000}"/>
    <cellStyle name="Normal 5 33 6 2" xfId="36114" xr:uid="{00000000-0005-0000-0000-00002B690000}"/>
    <cellStyle name="Normal 5 33 7" xfId="19710" xr:uid="{00000000-0005-0000-0000-00002C690000}"/>
    <cellStyle name="Normal 5 33 7 2" xfId="36115" xr:uid="{00000000-0005-0000-0000-00002D690000}"/>
    <cellStyle name="Normal 5 34" xfId="19711" xr:uid="{00000000-0005-0000-0000-00002E690000}"/>
    <cellStyle name="Normal 5 35" xfId="19712" xr:uid="{00000000-0005-0000-0000-00002F690000}"/>
    <cellStyle name="Normal 5 36" xfId="19713" xr:uid="{00000000-0005-0000-0000-000030690000}"/>
    <cellStyle name="Normal 5 37" xfId="19714" xr:uid="{00000000-0005-0000-0000-000031690000}"/>
    <cellStyle name="Normal 5 38" xfId="19715" xr:uid="{00000000-0005-0000-0000-000032690000}"/>
    <cellStyle name="Normal 5 39" xfId="19716" xr:uid="{00000000-0005-0000-0000-000033690000}"/>
    <cellStyle name="Normal 5 4" xfId="19717" xr:uid="{00000000-0005-0000-0000-000034690000}"/>
    <cellStyle name="Normal 5 4 10" xfId="19718" xr:uid="{00000000-0005-0000-0000-000035690000}"/>
    <cellStyle name="Normal 5 4 10 2" xfId="19719" xr:uid="{00000000-0005-0000-0000-000036690000}"/>
    <cellStyle name="Normal 5 4 10 2 2" xfId="36117" xr:uid="{00000000-0005-0000-0000-000037690000}"/>
    <cellStyle name="Normal 5 4 10 3" xfId="19720" xr:uid="{00000000-0005-0000-0000-000038690000}"/>
    <cellStyle name="Normal 5 4 10 3 2" xfId="36118" xr:uid="{00000000-0005-0000-0000-000039690000}"/>
    <cellStyle name="Normal 5 4 10 4" xfId="19721" xr:uid="{00000000-0005-0000-0000-00003A690000}"/>
    <cellStyle name="Normal 5 4 10 4 2" xfId="36119" xr:uid="{00000000-0005-0000-0000-00003B690000}"/>
    <cellStyle name="Normal 5 4 10 5" xfId="19722" xr:uid="{00000000-0005-0000-0000-00003C690000}"/>
    <cellStyle name="Normal 5 4 10 5 2" xfId="36120" xr:uid="{00000000-0005-0000-0000-00003D690000}"/>
    <cellStyle name="Normal 5 4 10 6" xfId="36116" xr:uid="{00000000-0005-0000-0000-00003E690000}"/>
    <cellStyle name="Normal 5 4 11" xfId="19723" xr:uid="{00000000-0005-0000-0000-00003F690000}"/>
    <cellStyle name="Normal 5 4 11 2" xfId="19724" xr:uid="{00000000-0005-0000-0000-000040690000}"/>
    <cellStyle name="Normal 5 4 11 2 2" xfId="36122" xr:uid="{00000000-0005-0000-0000-000041690000}"/>
    <cellStyle name="Normal 5 4 11 3" xfId="19725" xr:uid="{00000000-0005-0000-0000-000042690000}"/>
    <cellStyle name="Normal 5 4 11 3 2" xfId="36123" xr:uid="{00000000-0005-0000-0000-000043690000}"/>
    <cellStyle name="Normal 5 4 11 4" xfId="19726" xr:uid="{00000000-0005-0000-0000-000044690000}"/>
    <cellStyle name="Normal 5 4 11 4 2" xfId="36124" xr:uid="{00000000-0005-0000-0000-000045690000}"/>
    <cellStyle name="Normal 5 4 11 5" xfId="19727" xr:uid="{00000000-0005-0000-0000-000046690000}"/>
    <cellStyle name="Normal 5 4 11 5 2" xfId="36125" xr:uid="{00000000-0005-0000-0000-000047690000}"/>
    <cellStyle name="Normal 5 4 11 6" xfId="36121" xr:uid="{00000000-0005-0000-0000-000048690000}"/>
    <cellStyle name="Normal 5 4 12" xfId="19728" xr:uid="{00000000-0005-0000-0000-000049690000}"/>
    <cellStyle name="Normal 5 4 12 2" xfId="19729" xr:uid="{00000000-0005-0000-0000-00004A690000}"/>
    <cellStyle name="Normal 5 4 12 2 2" xfId="36127" xr:uid="{00000000-0005-0000-0000-00004B690000}"/>
    <cellStyle name="Normal 5 4 12 3" xfId="19730" xr:uid="{00000000-0005-0000-0000-00004C690000}"/>
    <cellStyle name="Normal 5 4 12 3 2" xfId="36128" xr:uid="{00000000-0005-0000-0000-00004D690000}"/>
    <cellStyle name="Normal 5 4 12 4" xfId="19731" xr:uid="{00000000-0005-0000-0000-00004E690000}"/>
    <cellStyle name="Normal 5 4 12 4 2" xfId="36129" xr:uid="{00000000-0005-0000-0000-00004F690000}"/>
    <cellStyle name="Normal 5 4 12 5" xfId="19732" xr:uid="{00000000-0005-0000-0000-000050690000}"/>
    <cellStyle name="Normal 5 4 12 5 2" xfId="36130" xr:uid="{00000000-0005-0000-0000-000051690000}"/>
    <cellStyle name="Normal 5 4 12 6" xfId="36126" xr:uid="{00000000-0005-0000-0000-000052690000}"/>
    <cellStyle name="Normal 5 4 13" xfId="19733" xr:uid="{00000000-0005-0000-0000-000053690000}"/>
    <cellStyle name="Normal 5 4 13 2" xfId="19734" xr:uid="{00000000-0005-0000-0000-000054690000}"/>
    <cellStyle name="Normal 5 4 13 2 2" xfId="36132" xr:uid="{00000000-0005-0000-0000-000055690000}"/>
    <cellStyle name="Normal 5 4 13 3" xfId="19735" xr:uid="{00000000-0005-0000-0000-000056690000}"/>
    <cellStyle name="Normal 5 4 13 3 2" xfId="36133" xr:uid="{00000000-0005-0000-0000-000057690000}"/>
    <cellStyle name="Normal 5 4 13 4" xfId="19736" xr:uid="{00000000-0005-0000-0000-000058690000}"/>
    <cellStyle name="Normal 5 4 13 4 2" xfId="36134" xr:uid="{00000000-0005-0000-0000-000059690000}"/>
    <cellStyle name="Normal 5 4 13 5" xfId="19737" xr:uid="{00000000-0005-0000-0000-00005A690000}"/>
    <cellStyle name="Normal 5 4 13 5 2" xfId="36135" xr:uid="{00000000-0005-0000-0000-00005B690000}"/>
    <cellStyle name="Normal 5 4 13 6" xfId="36131" xr:uid="{00000000-0005-0000-0000-00005C690000}"/>
    <cellStyle name="Normal 5 4 14" xfId="19738" xr:uid="{00000000-0005-0000-0000-00005D690000}"/>
    <cellStyle name="Normal 5 4 14 2" xfId="19739" xr:uid="{00000000-0005-0000-0000-00005E690000}"/>
    <cellStyle name="Normal 5 4 14 2 2" xfId="36137" xr:uid="{00000000-0005-0000-0000-00005F690000}"/>
    <cellStyle name="Normal 5 4 14 3" xfId="19740" xr:uid="{00000000-0005-0000-0000-000060690000}"/>
    <cellStyle name="Normal 5 4 14 3 2" xfId="36138" xr:uid="{00000000-0005-0000-0000-000061690000}"/>
    <cellStyle name="Normal 5 4 14 4" xfId="19741" xr:uid="{00000000-0005-0000-0000-000062690000}"/>
    <cellStyle name="Normal 5 4 14 4 2" xfId="36139" xr:uid="{00000000-0005-0000-0000-000063690000}"/>
    <cellStyle name="Normal 5 4 14 5" xfId="19742" xr:uid="{00000000-0005-0000-0000-000064690000}"/>
    <cellStyle name="Normal 5 4 14 5 2" xfId="36140" xr:uid="{00000000-0005-0000-0000-000065690000}"/>
    <cellStyle name="Normal 5 4 14 6" xfId="36136" xr:uid="{00000000-0005-0000-0000-000066690000}"/>
    <cellStyle name="Normal 5 4 15" xfId="19743" xr:uid="{00000000-0005-0000-0000-000067690000}"/>
    <cellStyle name="Normal 5 4 15 2" xfId="19744" xr:uid="{00000000-0005-0000-0000-000068690000}"/>
    <cellStyle name="Normal 5 4 15 2 2" xfId="36142" xr:uid="{00000000-0005-0000-0000-000069690000}"/>
    <cellStyle name="Normal 5 4 15 3" xfId="19745" xr:uid="{00000000-0005-0000-0000-00006A690000}"/>
    <cellStyle name="Normal 5 4 15 3 2" xfId="36143" xr:uid="{00000000-0005-0000-0000-00006B690000}"/>
    <cellStyle name="Normal 5 4 15 4" xfId="19746" xr:uid="{00000000-0005-0000-0000-00006C690000}"/>
    <cellStyle name="Normal 5 4 15 4 2" xfId="36144" xr:uid="{00000000-0005-0000-0000-00006D690000}"/>
    <cellStyle name="Normal 5 4 15 5" xfId="19747" xr:uid="{00000000-0005-0000-0000-00006E690000}"/>
    <cellStyle name="Normal 5 4 15 5 2" xfId="36145" xr:uid="{00000000-0005-0000-0000-00006F690000}"/>
    <cellStyle name="Normal 5 4 15 6" xfId="36141" xr:uid="{00000000-0005-0000-0000-000070690000}"/>
    <cellStyle name="Normal 5 4 16" xfId="19748" xr:uid="{00000000-0005-0000-0000-000071690000}"/>
    <cellStyle name="Normal 5 4 16 2" xfId="19749" xr:uid="{00000000-0005-0000-0000-000072690000}"/>
    <cellStyle name="Normal 5 4 16 2 2" xfId="36147" xr:uid="{00000000-0005-0000-0000-000073690000}"/>
    <cellStyle name="Normal 5 4 16 3" xfId="19750" xr:uid="{00000000-0005-0000-0000-000074690000}"/>
    <cellStyle name="Normal 5 4 16 3 2" xfId="36148" xr:uid="{00000000-0005-0000-0000-000075690000}"/>
    <cellStyle name="Normal 5 4 16 4" xfId="19751" xr:uid="{00000000-0005-0000-0000-000076690000}"/>
    <cellStyle name="Normal 5 4 16 4 2" xfId="36149" xr:uid="{00000000-0005-0000-0000-000077690000}"/>
    <cellStyle name="Normal 5 4 16 5" xfId="19752" xr:uid="{00000000-0005-0000-0000-000078690000}"/>
    <cellStyle name="Normal 5 4 16 5 2" xfId="36150" xr:uid="{00000000-0005-0000-0000-000079690000}"/>
    <cellStyle name="Normal 5 4 16 6" xfId="36146" xr:uid="{00000000-0005-0000-0000-00007A690000}"/>
    <cellStyle name="Normal 5 4 17" xfId="19753" xr:uid="{00000000-0005-0000-0000-00007B690000}"/>
    <cellStyle name="Normal 5 4 17 2" xfId="19754" xr:uid="{00000000-0005-0000-0000-00007C690000}"/>
    <cellStyle name="Normal 5 4 17 2 2" xfId="36152" xr:uid="{00000000-0005-0000-0000-00007D690000}"/>
    <cellStyle name="Normal 5 4 17 3" xfId="19755" xr:uid="{00000000-0005-0000-0000-00007E690000}"/>
    <cellStyle name="Normal 5 4 17 3 2" xfId="36153" xr:uid="{00000000-0005-0000-0000-00007F690000}"/>
    <cellStyle name="Normal 5 4 17 4" xfId="19756" xr:uid="{00000000-0005-0000-0000-000080690000}"/>
    <cellStyle name="Normal 5 4 17 4 2" xfId="36154" xr:uid="{00000000-0005-0000-0000-000081690000}"/>
    <cellStyle name="Normal 5 4 17 5" xfId="19757" xr:uid="{00000000-0005-0000-0000-000082690000}"/>
    <cellStyle name="Normal 5 4 17 5 2" xfId="36155" xr:uid="{00000000-0005-0000-0000-000083690000}"/>
    <cellStyle name="Normal 5 4 17 6" xfId="36151" xr:uid="{00000000-0005-0000-0000-000084690000}"/>
    <cellStyle name="Normal 5 4 18" xfId="19758" xr:uid="{00000000-0005-0000-0000-000085690000}"/>
    <cellStyle name="Normal 5 4 18 2" xfId="19759" xr:uid="{00000000-0005-0000-0000-000086690000}"/>
    <cellStyle name="Normal 5 4 18 2 2" xfId="36157" xr:uid="{00000000-0005-0000-0000-000087690000}"/>
    <cellStyle name="Normal 5 4 18 3" xfId="19760" xr:uid="{00000000-0005-0000-0000-000088690000}"/>
    <cellStyle name="Normal 5 4 18 3 2" xfId="36158" xr:uid="{00000000-0005-0000-0000-000089690000}"/>
    <cellStyle name="Normal 5 4 18 4" xfId="19761" xr:uid="{00000000-0005-0000-0000-00008A690000}"/>
    <cellStyle name="Normal 5 4 18 4 2" xfId="36159" xr:uid="{00000000-0005-0000-0000-00008B690000}"/>
    <cellStyle name="Normal 5 4 18 5" xfId="19762" xr:uid="{00000000-0005-0000-0000-00008C690000}"/>
    <cellStyle name="Normal 5 4 18 5 2" xfId="36160" xr:uid="{00000000-0005-0000-0000-00008D690000}"/>
    <cellStyle name="Normal 5 4 18 6" xfId="36156" xr:uid="{00000000-0005-0000-0000-00008E690000}"/>
    <cellStyle name="Normal 5 4 19" xfId="19763" xr:uid="{00000000-0005-0000-0000-00008F690000}"/>
    <cellStyle name="Normal 5 4 19 2" xfId="19764" xr:uid="{00000000-0005-0000-0000-000090690000}"/>
    <cellStyle name="Normal 5 4 19 2 2" xfId="36162" xr:uid="{00000000-0005-0000-0000-000091690000}"/>
    <cellStyle name="Normal 5 4 19 3" xfId="19765" xr:uid="{00000000-0005-0000-0000-000092690000}"/>
    <cellStyle name="Normal 5 4 19 3 2" xfId="36163" xr:uid="{00000000-0005-0000-0000-000093690000}"/>
    <cellStyle name="Normal 5 4 19 4" xfId="19766" xr:uid="{00000000-0005-0000-0000-000094690000}"/>
    <cellStyle name="Normal 5 4 19 4 2" xfId="36164" xr:uid="{00000000-0005-0000-0000-000095690000}"/>
    <cellStyle name="Normal 5 4 19 5" xfId="19767" xr:uid="{00000000-0005-0000-0000-000096690000}"/>
    <cellStyle name="Normal 5 4 19 5 2" xfId="36165" xr:uid="{00000000-0005-0000-0000-000097690000}"/>
    <cellStyle name="Normal 5 4 19 6" xfId="36161" xr:uid="{00000000-0005-0000-0000-000098690000}"/>
    <cellStyle name="Normal 5 4 2" xfId="19768" xr:uid="{00000000-0005-0000-0000-000099690000}"/>
    <cellStyle name="Normal 5 4 2 10" xfId="19769" xr:uid="{00000000-0005-0000-0000-00009A690000}"/>
    <cellStyle name="Normal 5 4 2 11" xfId="19770" xr:uid="{00000000-0005-0000-0000-00009B690000}"/>
    <cellStyle name="Normal 5 4 2 12" xfId="19771" xr:uid="{00000000-0005-0000-0000-00009C690000}"/>
    <cellStyle name="Normal 5 4 2 13" xfId="19772" xr:uid="{00000000-0005-0000-0000-00009D690000}"/>
    <cellStyle name="Normal 5 4 2 14" xfId="19773" xr:uid="{00000000-0005-0000-0000-00009E690000}"/>
    <cellStyle name="Normal 5 4 2 15" xfId="19774" xr:uid="{00000000-0005-0000-0000-00009F690000}"/>
    <cellStyle name="Normal 5 4 2 16" xfId="19775" xr:uid="{00000000-0005-0000-0000-0000A0690000}"/>
    <cellStyle name="Normal 5 4 2 17" xfId="19776" xr:uid="{00000000-0005-0000-0000-0000A1690000}"/>
    <cellStyle name="Normal 5 4 2 18" xfId="19777" xr:uid="{00000000-0005-0000-0000-0000A2690000}"/>
    <cellStyle name="Normal 5 4 2 19" xfId="19778" xr:uid="{00000000-0005-0000-0000-0000A3690000}"/>
    <cellStyle name="Normal 5 4 2 2" xfId="19779" xr:uid="{00000000-0005-0000-0000-0000A4690000}"/>
    <cellStyle name="Normal 5 4 2 2 2" xfId="19780" xr:uid="{00000000-0005-0000-0000-0000A5690000}"/>
    <cellStyle name="Normal 5 4 2 2 3" xfId="19781" xr:uid="{00000000-0005-0000-0000-0000A6690000}"/>
    <cellStyle name="Normal 5 4 2 2 4" xfId="19782" xr:uid="{00000000-0005-0000-0000-0000A7690000}"/>
    <cellStyle name="Normal 5 4 2 2 5" xfId="19783" xr:uid="{00000000-0005-0000-0000-0000A8690000}"/>
    <cellStyle name="Normal 5 4 2 2 6" xfId="19784" xr:uid="{00000000-0005-0000-0000-0000A9690000}"/>
    <cellStyle name="Normal 5 4 2 2 7" xfId="19785" xr:uid="{00000000-0005-0000-0000-0000AA690000}"/>
    <cellStyle name="Normal 5 4 2 20" xfId="19786" xr:uid="{00000000-0005-0000-0000-0000AB690000}"/>
    <cellStyle name="Normal 5 4 2 21" xfId="19787" xr:uid="{00000000-0005-0000-0000-0000AC690000}"/>
    <cellStyle name="Normal 5 4 2 22" xfId="40737" xr:uid="{00000000-0005-0000-0000-0000AD690000}"/>
    <cellStyle name="Normal 5 4 2 23" xfId="36166" xr:uid="{00000000-0005-0000-0000-0000AE690000}"/>
    <cellStyle name="Normal 5 4 2 3" xfId="19788" xr:uid="{00000000-0005-0000-0000-0000AF690000}"/>
    <cellStyle name="Normal 5 4 2 4" xfId="19789" xr:uid="{00000000-0005-0000-0000-0000B0690000}"/>
    <cellStyle name="Normal 5 4 2 5" xfId="19790" xr:uid="{00000000-0005-0000-0000-0000B1690000}"/>
    <cellStyle name="Normal 5 4 2 6" xfId="19791" xr:uid="{00000000-0005-0000-0000-0000B2690000}"/>
    <cellStyle name="Normal 5 4 2 7" xfId="19792" xr:uid="{00000000-0005-0000-0000-0000B3690000}"/>
    <cellStyle name="Normal 5 4 2 8" xfId="19793" xr:uid="{00000000-0005-0000-0000-0000B4690000}"/>
    <cellStyle name="Normal 5 4 2 9" xfId="19794" xr:uid="{00000000-0005-0000-0000-0000B5690000}"/>
    <cellStyle name="Normal 5 4 20" xfId="19795" xr:uid="{00000000-0005-0000-0000-0000B6690000}"/>
    <cellStyle name="Normal 5 4 20 2" xfId="19796" xr:uid="{00000000-0005-0000-0000-0000B7690000}"/>
    <cellStyle name="Normal 5 4 20 2 2" xfId="36168" xr:uid="{00000000-0005-0000-0000-0000B8690000}"/>
    <cellStyle name="Normal 5 4 20 3" xfId="19797" xr:uid="{00000000-0005-0000-0000-0000B9690000}"/>
    <cellStyle name="Normal 5 4 20 3 2" xfId="36169" xr:uid="{00000000-0005-0000-0000-0000BA690000}"/>
    <cellStyle name="Normal 5 4 20 4" xfId="19798" xr:uid="{00000000-0005-0000-0000-0000BB690000}"/>
    <cellStyle name="Normal 5 4 20 4 2" xfId="36170" xr:uid="{00000000-0005-0000-0000-0000BC690000}"/>
    <cellStyle name="Normal 5 4 20 5" xfId="19799" xr:uid="{00000000-0005-0000-0000-0000BD690000}"/>
    <cellStyle name="Normal 5 4 20 5 2" xfId="36171" xr:uid="{00000000-0005-0000-0000-0000BE690000}"/>
    <cellStyle name="Normal 5 4 20 6" xfId="36167" xr:uid="{00000000-0005-0000-0000-0000BF690000}"/>
    <cellStyle name="Normal 5 4 21" xfId="19800" xr:uid="{00000000-0005-0000-0000-0000C0690000}"/>
    <cellStyle name="Normal 5 4 21 2" xfId="36172" xr:uid="{00000000-0005-0000-0000-0000C1690000}"/>
    <cellStyle name="Normal 5 4 22" xfId="19801" xr:uid="{00000000-0005-0000-0000-0000C2690000}"/>
    <cellStyle name="Normal 5 4 22 2" xfId="36173" xr:uid="{00000000-0005-0000-0000-0000C3690000}"/>
    <cellStyle name="Normal 5 4 23" xfId="19802" xr:uid="{00000000-0005-0000-0000-0000C4690000}"/>
    <cellStyle name="Normal 5 4 23 2" xfId="36174" xr:uid="{00000000-0005-0000-0000-0000C5690000}"/>
    <cellStyle name="Normal 5 4 24" xfId="19803" xr:uid="{00000000-0005-0000-0000-0000C6690000}"/>
    <cellStyle name="Normal 5 4 24 2" xfId="36175" xr:uid="{00000000-0005-0000-0000-0000C7690000}"/>
    <cellStyle name="Normal 5 4 25" xfId="19804" xr:uid="{00000000-0005-0000-0000-0000C8690000}"/>
    <cellStyle name="Normal 5 4 25 2" xfId="36176" xr:uid="{00000000-0005-0000-0000-0000C9690000}"/>
    <cellStyle name="Normal 5 4 26" xfId="40736" xr:uid="{00000000-0005-0000-0000-0000CA690000}"/>
    <cellStyle name="Normal 5 4 3" xfId="19805" xr:uid="{00000000-0005-0000-0000-0000CB690000}"/>
    <cellStyle name="Normal 5 4 3 10" xfId="19806" xr:uid="{00000000-0005-0000-0000-0000CC690000}"/>
    <cellStyle name="Normal 5 4 3 11" xfId="19807" xr:uid="{00000000-0005-0000-0000-0000CD690000}"/>
    <cellStyle name="Normal 5 4 3 12" xfId="19808" xr:uid="{00000000-0005-0000-0000-0000CE690000}"/>
    <cellStyle name="Normal 5 4 3 13" xfId="19809" xr:uid="{00000000-0005-0000-0000-0000CF690000}"/>
    <cellStyle name="Normal 5 4 3 14" xfId="19810" xr:uid="{00000000-0005-0000-0000-0000D0690000}"/>
    <cellStyle name="Normal 5 4 3 15" xfId="19811" xr:uid="{00000000-0005-0000-0000-0000D1690000}"/>
    <cellStyle name="Normal 5 4 3 16" xfId="19812" xr:uid="{00000000-0005-0000-0000-0000D2690000}"/>
    <cellStyle name="Normal 5 4 3 17" xfId="40738" xr:uid="{00000000-0005-0000-0000-0000D3690000}"/>
    <cellStyle name="Normal 5 4 3 2" xfId="19813" xr:uid="{00000000-0005-0000-0000-0000D4690000}"/>
    <cellStyle name="Normal 5 4 3 3" xfId="19814" xr:uid="{00000000-0005-0000-0000-0000D5690000}"/>
    <cellStyle name="Normal 5 4 3 4" xfId="19815" xr:uid="{00000000-0005-0000-0000-0000D6690000}"/>
    <cellStyle name="Normal 5 4 3 5" xfId="19816" xr:uid="{00000000-0005-0000-0000-0000D7690000}"/>
    <cellStyle name="Normal 5 4 3 6" xfId="19817" xr:uid="{00000000-0005-0000-0000-0000D8690000}"/>
    <cellStyle name="Normal 5 4 3 7" xfId="19818" xr:uid="{00000000-0005-0000-0000-0000D9690000}"/>
    <cellStyle name="Normal 5 4 3 8" xfId="19819" xr:uid="{00000000-0005-0000-0000-0000DA690000}"/>
    <cellStyle name="Normal 5 4 3 9" xfId="19820" xr:uid="{00000000-0005-0000-0000-0000DB690000}"/>
    <cellStyle name="Normal 5 4 4" xfId="19821" xr:uid="{00000000-0005-0000-0000-0000DC690000}"/>
    <cellStyle name="Normal 5 4 4 10" xfId="19822" xr:uid="{00000000-0005-0000-0000-0000DD690000}"/>
    <cellStyle name="Normal 5 4 4 10 2" xfId="19823" xr:uid="{00000000-0005-0000-0000-0000DE690000}"/>
    <cellStyle name="Normal 5 4 4 10 2 2" xfId="36179" xr:uid="{00000000-0005-0000-0000-0000DF690000}"/>
    <cellStyle name="Normal 5 4 4 10 3" xfId="19824" xr:uid="{00000000-0005-0000-0000-0000E0690000}"/>
    <cellStyle name="Normal 5 4 4 10 3 2" xfId="36180" xr:uid="{00000000-0005-0000-0000-0000E1690000}"/>
    <cellStyle name="Normal 5 4 4 10 4" xfId="19825" xr:uid="{00000000-0005-0000-0000-0000E2690000}"/>
    <cellStyle name="Normal 5 4 4 10 4 2" xfId="36181" xr:uid="{00000000-0005-0000-0000-0000E3690000}"/>
    <cellStyle name="Normal 5 4 4 10 5" xfId="19826" xr:uid="{00000000-0005-0000-0000-0000E4690000}"/>
    <cellStyle name="Normal 5 4 4 10 5 2" xfId="36182" xr:uid="{00000000-0005-0000-0000-0000E5690000}"/>
    <cellStyle name="Normal 5 4 4 10 6" xfId="36178" xr:uid="{00000000-0005-0000-0000-0000E6690000}"/>
    <cellStyle name="Normal 5 4 4 11" xfId="19827" xr:uid="{00000000-0005-0000-0000-0000E7690000}"/>
    <cellStyle name="Normal 5 4 4 11 2" xfId="19828" xr:uid="{00000000-0005-0000-0000-0000E8690000}"/>
    <cellStyle name="Normal 5 4 4 11 2 2" xfId="36184" xr:uid="{00000000-0005-0000-0000-0000E9690000}"/>
    <cellStyle name="Normal 5 4 4 11 3" xfId="19829" xr:uid="{00000000-0005-0000-0000-0000EA690000}"/>
    <cellStyle name="Normal 5 4 4 11 3 2" xfId="36185" xr:uid="{00000000-0005-0000-0000-0000EB690000}"/>
    <cellStyle name="Normal 5 4 4 11 4" xfId="19830" xr:uid="{00000000-0005-0000-0000-0000EC690000}"/>
    <cellStyle name="Normal 5 4 4 11 4 2" xfId="36186" xr:uid="{00000000-0005-0000-0000-0000ED690000}"/>
    <cellStyle name="Normal 5 4 4 11 5" xfId="19831" xr:uid="{00000000-0005-0000-0000-0000EE690000}"/>
    <cellStyle name="Normal 5 4 4 11 5 2" xfId="36187" xr:uid="{00000000-0005-0000-0000-0000EF690000}"/>
    <cellStyle name="Normal 5 4 4 11 6" xfId="36183" xr:uid="{00000000-0005-0000-0000-0000F0690000}"/>
    <cellStyle name="Normal 5 4 4 12" xfId="19832" xr:uid="{00000000-0005-0000-0000-0000F1690000}"/>
    <cellStyle name="Normal 5 4 4 12 2" xfId="19833" xr:uid="{00000000-0005-0000-0000-0000F2690000}"/>
    <cellStyle name="Normal 5 4 4 12 2 2" xfId="36189" xr:uid="{00000000-0005-0000-0000-0000F3690000}"/>
    <cellStyle name="Normal 5 4 4 12 3" xfId="19834" xr:uid="{00000000-0005-0000-0000-0000F4690000}"/>
    <cellStyle name="Normal 5 4 4 12 3 2" xfId="36190" xr:uid="{00000000-0005-0000-0000-0000F5690000}"/>
    <cellStyle name="Normal 5 4 4 12 4" xfId="19835" xr:uid="{00000000-0005-0000-0000-0000F6690000}"/>
    <cellStyle name="Normal 5 4 4 12 4 2" xfId="36191" xr:uid="{00000000-0005-0000-0000-0000F7690000}"/>
    <cellStyle name="Normal 5 4 4 12 5" xfId="19836" xr:uid="{00000000-0005-0000-0000-0000F8690000}"/>
    <cellStyle name="Normal 5 4 4 12 5 2" xfId="36192" xr:uid="{00000000-0005-0000-0000-0000F9690000}"/>
    <cellStyle name="Normal 5 4 4 12 6" xfId="36188" xr:uid="{00000000-0005-0000-0000-0000FA690000}"/>
    <cellStyle name="Normal 5 4 4 13" xfId="19837" xr:uid="{00000000-0005-0000-0000-0000FB690000}"/>
    <cellStyle name="Normal 5 4 4 13 2" xfId="19838" xr:uid="{00000000-0005-0000-0000-0000FC690000}"/>
    <cellStyle name="Normal 5 4 4 13 2 2" xfId="36194" xr:uid="{00000000-0005-0000-0000-0000FD690000}"/>
    <cellStyle name="Normal 5 4 4 13 3" xfId="19839" xr:uid="{00000000-0005-0000-0000-0000FE690000}"/>
    <cellStyle name="Normal 5 4 4 13 3 2" xfId="36195" xr:uid="{00000000-0005-0000-0000-0000FF690000}"/>
    <cellStyle name="Normal 5 4 4 13 4" xfId="19840" xr:uid="{00000000-0005-0000-0000-0000006A0000}"/>
    <cellStyle name="Normal 5 4 4 13 4 2" xfId="36196" xr:uid="{00000000-0005-0000-0000-0000016A0000}"/>
    <cellStyle name="Normal 5 4 4 13 5" xfId="19841" xr:uid="{00000000-0005-0000-0000-0000026A0000}"/>
    <cellStyle name="Normal 5 4 4 13 5 2" xfId="36197" xr:uid="{00000000-0005-0000-0000-0000036A0000}"/>
    <cellStyle name="Normal 5 4 4 13 6" xfId="36193" xr:uid="{00000000-0005-0000-0000-0000046A0000}"/>
    <cellStyle name="Normal 5 4 4 14" xfId="19842" xr:uid="{00000000-0005-0000-0000-0000056A0000}"/>
    <cellStyle name="Normal 5 4 4 14 2" xfId="19843" xr:uid="{00000000-0005-0000-0000-0000066A0000}"/>
    <cellStyle name="Normal 5 4 4 14 2 2" xfId="36199" xr:uid="{00000000-0005-0000-0000-0000076A0000}"/>
    <cellStyle name="Normal 5 4 4 14 3" xfId="19844" xr:uid="{00000000-0005-0000-0000-0000086A0000}"/>
    <cellStyle name="Normal 5 4 4 14 3 2" xfId="36200" xr:uid="{00000000-0005-0000-0000-0000096A0000}"/>
    <cellStyle name="Normal 5 4 4 14 4" xfId="19845" xr:uid="{00000000-0005-0000-0000-00000A6A0000}"/>
    <cellStyle name="Normal 5 4 4 14 4 2" xfId="36201" xr:uid="{00000000-0005-0000-0000-00000B6A0000}"/>
    <cellStyle name="Normal 5 4 4 14 5" xfId="19846" xr:uid="{00000000-0005-0000-0000-00000C6A0000}"/>
    <cellStyle name="Normal 5 4 4 14 5 2" xfId="36202" xr:uid="{00000000-0005-0000-0000-00000D6A0000}"/>
    <cellStyle name="Normal 5 4 4 14 6" xfId="36198" xr:uid="{00000000-0005-0000-0000-00000E6A0000}"/>
    <cellStyle name="Normal 5 4 4 15" xfId="19847" xr:uid="{00000000-0005-0000-0000-00000F6A0000}"/>
    <cellStyle name="Normal 5 4 4 15 2" xfId="19848" xr:uid="{00000000-0005-0000-0000-0000106A0000}"/>
    <cellStyle name="Normal 5 4 4 15 2 2" xfId="36204" xr:uid="{00000000-0005-0000-0000-0000116A0000}"/>
    <cellStyle name="Normal 5 4 4 15 3" xfId="19849" xr:uid="{00000000-0005-0000-0000-0000126A0000}"/>
    <cellStyle name="Normal 5 4 4 15 3 2" xfId="36205" xr:uid="{00000000-0005-0000-0000-0000136A0000}"/>
    <cellStyle name="Normal 5 4 4 15 4" xfId="19850" xr:uid="{00000000-0005-0000-0000-0000146A0000}"/>
    <cellStyle name="Normal 5 4 4 15 4 2" xfId="36206" xr:uid="{00000000-0005-0000-0000-0000156A0000}"/>
    <cellStyle name="Normal 5 4 4 15 5" xfId="19851" xr:uid="{00000000-0005-0000-0000-0000166A0000}"/>
    <cellStyle name="Normal 5 4 4 15 5 2" xfId="36207" xr:uid="{00000000-0005-0000-0000-0000176A0000}"/>
    <cellStyle name="Normal 5 4 4 15 6" xfId="36203" xr:uid="{00000000-0005-0000-0000-0000186A0000}"/>
    <cellStyle name="Normal 5 4 4 16" xfId="19852" xr:uid="{00000000-0005-0000-0000-0000196A0000}"/>
    <cellStyle name="Normal 5 4 4 16 2" xfId="19853" xr:uid="{00000000-0005-0000-0000-00001A6A0000}"/>
    <cellStyle name="Normal 5 4 4 16 2 2" xfId="36209" xr:uid="{00000000-0005-0000-0000-00001B6A0000}"/>
    <cellStyle name="Normal 5 4 4 16 3" xfId="19854" xr:uid="{00000000-0005-0000-0000-00001C6A0000}"/>
    <cellStyle name="Normal 5 4 4 16 3 2" xfId="36210" xr:uid="{00000000-0005-0000-0000-00001D6A0000}"/>
    <cellStyle name="Normal 5 4 4 16 4" xfId="19855" xr:uid="{00000000-0005-0000-0000-00001E6A0000}"/>
    <cellStyle name="Normal 5 4 4 16 4 2" xfId="36211" xr:uid="{00000000-0005-0000-0000-00001F6A0000}"/>
    <cellStyle name="Normal 5 4 4 16 5" xfId="19856" xr:uid="{00000000-0005-0000-0000-0000206A0000}"/>
    <cellStyle name="Normal 5 4 4 16 5 2" xfId="36212" xr:uid="{00000000-0005-0000-0000-0000216A0000}"/>
    <cellStyle name="Normal 5 4 4 16 6" xfId="36208" xr:uid="{00000000-0005-0000-0000-0000226A0000}"/>
    <cellStyle name="Normal 5 4 4 17" xfId="19857" xr:uid="{00000000-0005-0000-0000-0000236A0000}"/>
    <cellStyle name="Normal 5 4 4 17 2" xfId="36213" xr:uid="{00000000-0005-0000-0000-0000246A0000}"/>
    <cellStyle name="Normal 5 4 4 18" xfId="19858" xr:uid="{00000000-0005-0000-0000-0000256A0000}"/>
    <cellStyle name="Normal 5 4 4 18 2" xfId="36214" xr:uid="{00000000-0005-0000-0000-0000266A0000}"/>
    <cellStyle name="Normal 5 4 4 19" xfId="19859" xr:uid="{00000000-0005-0000-0000-0000276A0000}"/>
    <cellStyle name="Normal 5 4 4 19 2" xfId="36215" xr:uid="{00000000-0005-0000-0000-0000286A0000}"/>
    <cellStyle name="Normal 5 4 4 2" xfId="19860" xr:uid="{00000000-0005-0000-0000-0000296A0000}"/>
    <cellStyle name="Normal 5 4 4 20" xfId="19861" xr:uid="{00000000-0005-0000-0000-00002A6A0000}"/>
    <cellStyle name="Normal 5 4 4 20 2" xfId="36216" xr:uid="{00000000-0005-0000-0000-00002B6A0000}"/>
    <cellStyle name="Normal 5 4 4 21" xfId="40739" xr:uid="{00000000-0005-0000-0000-00002C6A0000}"/>
    <cellStyle name="Normal 5 4 4 22" xfId="36177" xr:uid="{00000000-0005-0000-0000-00002D6A0000}"/>
    <cellStyle name="Normal 5 4 4 3" xfId="19862" xr:uid="{00000000-0005-0000-0000-00002E6A0000}"/>
    <cellStyle name="Normal 5 4 4 3 2" xfId="19863" xr:uid="{00000000-0005-0000-0000-00002F6A0000}"/>
    <cellStyle name="Normal 5 4 4 3 2 2" xfId="36218" xr:uid="{00000000-0005-0000-0000-0000306A0000}"/>
    <cellStyle name="Normal 5 4 4 3 3" xfId="19864" xr:uid="{00000000-0005-0000-0000-0000316A0000}"/>
    <cellStyle name="Normal 5 4 4 3 3 2" xfId="36219" xr:uid="{00000000-0005-0000-0000-0000326A0000}"/>
    <cellStyle name="Normal 5 4 4 3 4" xfId="19865" xr:uid="{00000000-0005-0000-0000-0000336A0000}"/>
    <cellStyle name="Normal 5 4 4 3 4 2" xfId="36220" xr:uid="{00000000-0005-0000-0000-0000346A0000}"/>
    <cellStyle name="Normal 5 4 4 3 5" xfId="19866" xr:uid="{00000000-0005-0000-0000-0000356A0000}"/>
    <cellStyle name="Normal 5 4 4 3 5 2" xfId="36221" xr:uid="{00000000-0005-0000-0000-0000366A0000}"/>
    <cellStyle name="Normal 5 4 4 3 6" xfId="36217" xr:uid="{00000000-0005-0000-0000-0000376A0000}"/>
    <cellStyle name="Normal 5 4 4 4" xfId="19867" xr:uid="{00000000-0005-0000-0000-0000386A0000}"/>
    <cellStyle name="Normal 5 4 4 4 2" xfId="19868" xr:uid="{00000000-0005-0000-0000-0000396A0000}"/>
    <cellStyle name="Normal 5 4 4 4 2 2" xfId="36223" xr:uid="{00000000-0005-0000-0000-00003A6A0000}"/>
    <cellStyle name="Normal 5 4 4 4 3" xfId="19869" xr:uid="{00000000-0005-0000-0000-00003B6A0000}"/>
    <cellStyle name="Normal 5 4 4 4 3 2" xfId="36224" xr:uid="{00000000-0005-0000-0000-00003C6A0000}"/>
    <cellStyle name="Normal 5 4 4 4 4" xfId="19870" xr:uid="{00000000-0005-0000-0000-00003D6A0000}"/>
    <cellStyle name="Normal 5 4 4 4 4 2" xfId="36225" xr:uid="{00000000-0005-0000-0000-00003E6A0000}"/>
    <cellStyle name="Normal 5 4 4 4 5" xfId="19871" xr:uid="{00000000-0005-0000-0000-00003F6A0000}"/>
    <cellStyle name="Normal 5 4 4 4 5 2" xfId="36226" xr:uid="{00000000-0005-0000-0000-0000406A0000}"/>
    <cellStyle name="Normal 5 4 4 4 6" xfId="36222" xr:uid="{00000000-0005-0000-0000-0000416A0000}"/>
    <cellStyle name="Normal 5 4 4 5" xfId="19872" xr:uid="{00000000-0005-0000-0000-0000426A0000}"/>
    <cellStyle name="Normal 5 4 4 5 2" xfId="19873" xr:uid="{00000000-0005-0000-0000-0000436A0000}"/>
    <cellStyle name="Normal 5 4 4 5 2 2" xfId="36228" xr:uid="{00000000-0005-0000-0000-0000446A0000}"/>
    <cellStyle name="Normal 5 4 4 5 3" xfId="19874" xr:uid="{00000000-0005-0000-0000-0000456A0000}"/>
    <cellStyle name="Normal 5 4 4 5 3 2" xfId="36229" xr:uid="{00000000-0005-0000-0000-0000466A0000}"/>
    <cellStyle name="Normal 5 4 4 5 4" xfId="19875" xr:uid="{00000000-0005-0000-0000-0000476A0000}"/>
    <cellStyle name="Normal 5 4 4 5 4 2" xfId="36230" xr:uid="{00000000-0005-0000-0000-0000486A0000}"/>
    <cellStyle name="Normal 5 4 4 5 5" xfId="19876" xr:uid="{00000000-0005-0000-0000-0000496A0000}"/>
    <cellStyle name="Normal 5 4 4 5 5 2" xfId="36231" xr:uid="{00000000-0005-0000-0000-00004A6A0000}"/>
    <cellStyle name="Normal 5 4 4 5 6" xfId="36227" xr:uid="{00000000-0005-0000-0000-00004B6A0000}"/>
    <cellStyle name="Normal 5 4 4 6" xfId="19877" xr:uid="{00000000-0005-0000-0000-00004C6A0000}"/>
    <cellStyle name="Normal 5 4 4 6 2" xfId="19878" xr:uid="{00000000-0005-0000-0000-00004D6A0000}"/>
    <cellStyle name="Normal 5 4 4 6 2 2" xfId="36233" xr:uid="{00000000-0005-0000-0000-00004E6A0000}"/>
    <cellStyle name="Normal 5 4 4 6 3" xfId="19879" xr:uid="{00000000-0005-0000-0000-00004F6A0000}"/>
    <cellStyle name="Normal 5 4 4 6 3 2" xfId="36234" xr:uid="{00000000-0005-0000-0000-0000506A0000}"/>
    <cellStyle name="Normal 5 4 4 6 4" xfId="19880" xr:uid="{00000000-0005-0000-0000-0000516A0000}"/>
    <cellStyle name="Normal 5 4 4 6 4 2" xfId="36235" xr:uid="{00000000-0005-0000-0000-0000526A0000}"/>
    <cellStyle name="Normal 5 4 4 6 5" xfId="19881" xr:uid="{00000000-0005-0000-0000-0000536A0000}"/>
    <cellStyle name="Normal 5 4 4 6 5 2" xfId="36236" xr:uid="{00000000-0005-0000-0000-0000546A0000}"/>
    <cellStyle name="Normal 5 4 4 6 6" xfId="36232" xr:uid="{00000000-0005-0000-0000-0000556A0000}"/>
    <cellStyle name="Normal 5 4 4 7" xfId="19882" xr:uid="{00000000-0005-0000-0000-0000566A0000}"/>
    <cellStyle name="Normal 5 4 4 7 2" xfId="19883" xr:uid="{00000000-0005-0000-0000-0000576A0000}"/>
    <cellStyle name="Normal 5 4 4 7 2 2" xfId="36238" xr:uid="{00000000-0005-0000-0000-0000586A0000}"/>
    <cellStyle name="Normal 5 4 4 7 3" xfId="19884" xr:uid="{00000000-0005-0000-0000-0000596A0000}"/>
    <cellStyle name="Normal 5 4 4 7 3 2" xfId="36239" xr:uid="{00000000-0005-0000-0000-00005A6A0000}"/>
    <cellStyle name="Normal 5 4 4 7 4" xfId="19885" xr:uid="{00000000-0005-0000-0000-00005B6A0000}"/>
    <cellStyle name="Normal 5 4 4 7 4 2" xfId="36240" xr:uid="{00000000-0005-0000-0000-00005C6A0000}"/>
    <cellStyle name="Normal 5 4 4 7 5" xfId="19886" xr:uid="{00000000-0005-0000-0000-00005D6A0000}"/>
    <cellStyle name="Normal 5 4 4 7 5 2" xfId="36241" xr:uid="{00000000-0005-0000-0000-00005E6A0000}"/>
    <cellStyle name="Normal 5 4 4 7 6" xfId="36237" xr:uid="{00000000-0005-0000-0000-00005F6A0000}"/>
    <cellStyle name="Normal 5 4 4 8" xfId="19887" xr:uid="{00000000-0005-0000-0000-0000606A0000}"/>
    <cellStyle name="Normal 5 4 4 8 2" xfId="19888" xr:uid="{00000000-0005-0000-0000-0000616A0000}"/>
    <cellStyle name="Normal 5 4 4 8 2 2" xfId="36243" xr:uid="{00000000-0005-0000-0000-0000626A0000}"/>
    <cellStyle name="Normal 5 4 4 8 3" xfId="19889" xr:uid="{00000000-0005-0000-0000-0000636A0000}"/>
    <cellStyle name="Normal 5 4 4 8 3 2" xfId="36244" xr:uid="{00000000-0005-0000-0000-0000646A0000}"/>
    <cellStyle name="Normal 5 4 4 8 4" xfId="19890" xr:uid="{00000000-0005-0000-0000-0000656A0000}"/>
    <cellStyle name="Normal 5 4 4 8 4 2" xfId="36245" xr:uid="{00000000-0005-0000-0000-0000666A0000}"/>
    <cellStyle name="Normal 5 4 4 8 5" xfId="19891" xr:uid="{00000000-0005-0000-0000-0000676A0000}"/>
    <cellStyle name="Normal 5 4 4 8 5 2" xfId="36246" xr:uid="{00000000-0005-0000-0000-0000686A0000}"/>
    <cellStyle name="Normal 5 4 4 8 6" xfId="36242" xr:uid="{00000000-0005-0000-0000-0000696A0000}"/>
    <cellStyle name="Normal 5 4 4 9" xfId="19892" xr:uid="{00000000-0005-0000-0000-00006A6A0000}"/>
    <cellStyle name="Normal 5 4 4 9 2" xfId="19893" xr:uid="{00000000-0005-0000-0000-00006B6A0000}"/>
    <cellStyle name="Normal 5 4 4 9 2 2" xfId="36248" xr:uid="{00000000-0005-0000-0000-00006C6A0000}"/>
    <cellStyle name="Normal 5 4 4 9 3" xfId="19894" xr:uid="{00000000-0005-0000-0000-00006D6A0000}"/>
    <cellStyle name="Normal 5 4 4 9 3 2" xfId="36249" xr:uid="{00000000-0005-0000-0000-00006E6A0000}"/>
    <cellStyle name="Normal 5 4 4 9 4" xfId="19895" xr:uid="{00000000-0005-0000-0000-00006F6A0000}"/>
    <cellStyle name="Normal 5 4 4 9 4 2" xfId="36250" xr:uid="{00000000-0005-0000-0000-0000706A0000}"/>
    <cellStyle name="Normal 5 4 4 9 5" xfId="19896" xr:uid="{00000000-0005-0000-0000-0000716A0000}"/>
    <cellStyle name="Normal 5 4 4 9 5 2" xfId="36251" xr:uid="{00000000-0005-0000-0000-0000726A0000}"/>
    <cellStyle name="Normal 5 4 4 9 6" xfId="36247" xr:uid="{00000000-0005-0000-0000-0000736A0000}"/>
    <cellStyle name="Normal 5 4 5" xfId="19897" xr:uid="{00000000-0005-0000-0000-0000746A0000}"/>
    <cellStyle name="Normal 5 4 5 2" xfId="19898" xr:uid="{00000000-0005-0000-0000-0000756A0000}"/>
    <cellStyle name="Normal 5 4 5 3" xfId="19899" xr:uid="{00000000-0005-0000-0000-0000766A0000}"/>
    <cellStyle name="Normal 5 4 5 3 2" xfId="36253" xr:uid="{00000000-0005-0000-0000-0000776A0000}"/>
    <cellStyle name="Normal 5 4 5 4" xfId="19900" xr:uid="{00000000-0005-0000-0000-0000786A0000}"/>
    <cellStyle name="Normal 5 4 5 4 2" xfId="36254" xr:uid="{00000000-0005-0000-0000-0000796A0000}"/>
    <cellStyle name="Normal 5 4 5 5" xfId="19901" xr:uid="{00000000-0005-0000-0000-00007A6A0000}"/>
    <cellStyle name="Normal 5 4 5 5 2" xfId="36255" xr:uid="{00000000-0005-0000-0000-00007B6A0000}"/>
    <cellStyle name="Normal 5 4 5 6" xfId="19902" xr:uid="{00000000-0005-0000-0000-00007C6A0000}"/>
    <cellStyle name="Normal 5 4 5 6 2" xfId="36256" xr:uid="{00000000-0005-0000-0000-00007D6A0000}"/>
    <cellStyle name="Normal 5 4 5 7" xfId="36252" xr:uid="{00000000-0005-0000-0000-00007E6A0000}"/>
    <cellStyle name="Normal 5 4 6" xfId="19903" xr:uid="{00000000-0005-0000-0000-00007F6A0000}"/>
    <cellStyle name="Normal 5 4 6 2" xfId="19904" xr:uid="{00000000-0005-0000-0000-0000806A0000}"/>
    <cellStyle name="Normal 5 4 6 3" xfId="19905" xr:uid="{00000000-0005-0000-0000-0000816A0000}"/>
    <cellStyle name="Normal 5 4 6 3 2" xfId="36258" xr:uid="{00000000-0005-0000-0000-0000826A0000}"/>
    <cellStyle name="Normal 5 4 6 4" xfId="19906" xr:uid="{00000000-0005-0000-0000-0000836A0000}"/>
    <cellStyle name="Normal 5 4 6 4 2" xfId="36259" xr:uid="{00000000-0005-0000-0000-0000846A0000}"/>
    <cellStyle name="Normal 5 4 6 5" xfId="19907" xr:uid="{00000000-0005-0000-0000-0000856A0000}"/>
    <cellStyle name="Normal 5 4 6 5 2" xfId="36260" xr:uid="{00000000-0005-0000-0000-0000866A0000}"/>
    <cellStyle name="Normal 5 4 6 6" xfId="19908" xr:uid="{00000000-0005-0000-0000-0000876A0000}"/>
    <cellStyle name="Normal 5 4 6 6 2" xfId="36261" xr:uid="{00000000-0005-0000-0000-0000886A0000}"/>
    <cellStyle name="Normal 5 4 6 7" xfId="36257" xr:uid="{00000000-0005-0000-0000-0000896A0000}"/>
    <cellStyle name="Normal 5 4 7" xfId="19909" xr:uid="{00000000-0005-0000-0000-00008A6A0000}"/>
    <cellStyle name="Normal 5 4 7 2" xfId="19910" xr:uid="{00000000-0005-0000-0000-00008B6A0000}"/>
    <cellStyle name="Normal 5 4 7 2 2" xfId="36263" xr:uid="{00000000-0005-0000-0000-00008C6A0000}"/>
    <cellStyle name="Normal 5 4 7 3" xfId="19911" xr:uid="{00000000-0005-0000-0000-00008D6A0000}"/>
    <cellStyle name="Normal 5 4 7 3 2" xfId="36264" xr:uid="{00000000-0005-0000-0000-00008E6A0000}"/>
    <cellStyle name="Normal 5 4 7 4" xfId="19912" xr:uid="{00000000-0005-0000-0000-00008F6A0000}"/>
    <cellStyle name="Normal 5 4 7 4 2" xfId="36265" xr:uid="{00000000-0005-0000-0000-0000906A0000}"/>
    <cellStyle name="Normal 5 4 7 5" xfId="19913" xr:uid="{00000000-0005-0000-0000-0000916A0000}"/>
    <cellStyle name="Normal 5 4 7 5 2" xfId="36266" xr:uid="{00000000-0005-0000-0000-0000926A0000}"/>
    <cellStyle name="Normal 5 4 7 6" xfId="36262" xr:uid="{00000000-0005-0000-0000-0000936A0000}"/>
    <cellStyle name="Normal 5 4 8" xfId="19914" xr:uid="{00000000-0005-0000-0000-0000946A0000}"/>
    <cellStyle name="Normal 5 4 8 2" xfId="19915" xr:uid="{00000000-0005-0000-0000-0000956A0000}"/>
    <cellStyle name="Normal 5 4 8 2 2" xfId="36268" xr:uid="{00000000-0005-0000-0000-0000966A0000}"/>
    <cellStyle name="Normal 5 4 8 3" xfId="19916" xr:uid="{00000000-0005-0000-0000-0000976A0000}"/>
    <cellStyle name="Normal 5 4 8 3 2" xfId="36269" xr:uid="{00000000-0005-0000-0000-0000986A0000}"/>
    <cellStyle name="Normal 5 4 8 4" xfId="19917" xr:uid="{00000000-0005-0000-0000-0000996A0000}"/>
    <cellStyle name="Normal 5 4 8 4 2" xfId="36270" xr:uid="{00000000-0005-0000-0000-00009A6A0000}"/>
    <cellStyle name="Normal 5 4 8 5" xfId="19918" xr:uid="{00000000-0005-0000-0000-00009B6A0000}"/>
    <cellStyle name="Normal 5 4 8 5 2" xfId="36271" xr:uid="{00000000-0005-0000-0000-00009C6A0000}"/>
    <cellStyle name="Normal 5 4 8 6" xfId="36267" xr:uid="{00000000-0005-0000-0000-00009D6A0000}"/>
    <cellStyle name="Normal 5 4 9" xfId="19919" xr:uid="{00000000-0005-0000-0000-00009E6A0000}"/>
    <cellStyle name="Normal 5 4 9 2" xfId="19920" xr:uid="{00000000-0005-0000-0000-00009F6A0000}"/>
    <cellStyle name="Normal 5 4 9 2 2" xfId="36273" xr:uid="{00000000-0005-0000-0000-0000A06A0000}"/>
    <cellStyle name="Normal 5 4 9 3" xfId="19921" xr:uid="{00000000-0005-0000-0000-0000A16A0000}"/>
    <cellStyle name="Normal 5 4 9 3 2" xfId="36274" xr:uid="{00000000-0005-0000-0000-0000A26A0000}"/>
    <cellStyle name="Normal 5 4 9 4" xfId="19922" xr:uid="{00000000-0005-0000-0000-0000A36A0000}"/>
    <cellStyle name="Normal 5 4 9 4 2" xfId="36275" xr:uid="{00000000-0005-0000-0000-0000A46A0000}"/>
    <cellStyle name="Normal 5 4 9 5" xfId="19923" xr:uid="{00000000-0005-0000-0000-0000A56A0000}"/>
    <cellStyle name="Normal 5 4 9 5 2" xfId="36276" xr:uid="{00000000-0005-0000-0000-0000A66A0000}"/>
    <cellStyle name="Normal 5 4 9 6" xfId="36272" xr:uid="{00000000-0005-0000-0000-0000A76A0000}"/>
    <cellStyle name="Normal 5 40" xfId="19924" xr:uid="{00000000-0005-0000-0000-0000A86A0000}"/>
    <cellStyle name="Normal 5 41" xfId="19925" xr:uid="{00000000-0005-0000-0000-0000A96A0000}"/>
    <cellStyle name="Normal 5 42" xfId="19926" xr:uid="{00000000-0005-0000-0000-0000AA6A0000}"/>
    <cellStyle name="Normal 5 43" xfId="19927" xr:uid="{00000000-0005-0000-0000-0000AB6A0000}"/>
    <cellStyle name="Normal 5 44" xfId="19928" xr:uid="{00000000-0005-0000-0000-0000AC6A0000}"/>
    <cellStyle name="Normal 5 45" xfId="19929" xr:uid="{00000000-0005-0000-0000-0000AD6A0000}"/>
    <cellStyle name="Normal 5 46" xfId="19930" xr:uid="{00000000-0005-0000-0000-0000AE6A0000}"/>
    <cellStyle name="Normal 5 47" xfId="19931" xr:uid="{00000000-0005-0000-0000-0000AF6A0000}"/>
    <cellStyle name="Normal 5 48" xfId="19932" xr:uid="{00000000-0005-0000-0000-0000B06A0000}"/>
    <cellStyle name="Normal 5 49" xfId="19933" xr:uid="{00000000-0005-0000-0000-0000B16A0000}"/>
    <cellStyle name="Normal 5 5" xfId="19934" xr:uid="{00000000-0005-0000-0000-0000B26A0000}"/>
    <cellStyle name="Normal 5 5 10" xfId="19935" xr:uid="{00000000-0005-0000-0000-0000B36A0000}"/>
    <cellStyle name="Normal 5 5 10 2" xfId="19936" xr:uid="{00000000-0005-0000-0000-0000B46A0000}"/>
    <cellStyle name="Normal 5 5 10 2 2" xfId="36278" xr:uid="{00000000-0005-0000-0000-0000B56A0000}"/>
    <cellStyle name="Normal 5 5 10 3" xfId="19937" xr:uid="{00000000-0005-0000-0000-0000B66A0000}"/>
    <cellStyle name="Normal 5 5 10 3 2" xfId="36279" xr:uid="{00000000-0005-0000-0000-0000B76A0000}"/>
    <cellStyle name="Normal 5 5 10 4" xfId="19938" xr:uid="{00000000-0005-0000-0000-0000B86A0000}"/>
    <cellStyle name="Normal 5 5 10 4 2" xfId="36280" xr:uid="{00000000-0005-0000-0000-0000B96A0000}"/>
    <cellStyle name="Normal 5 5 10 5" xfId="19939" xr:uid="{00000000-0005-0000-0000-0000BA6A0000}"/>
    <cellStyle name="Normal 5 5 10 5 2" xfId="36281" xr:uid="{00000000-0005-0000-0000-0000BB6A0000}"/>
    <cellStyle name="Normal 5 5 10 6" xfId="36277" xr:uid="{00000000-0005-0000-0000-0000BC6A0000}"/>
    <cellStyle name="Normal 5 5 11" xfId="19940" xr:uid="{00000000-0005-0000-0000-0000BD6A0000}"/>
    <cellStyle name="Normal 5 5 11 2" xfId="19941" xr:uid="{00000000-0005-0000-0000-0000BE6A0000}"/>
    <cellStyle name="Normal 5 5 11 2 2" xfId="36283" xr:uid="{00000000-0005-0000-0000-0000BF6A0000}"/>
    <cellStyle name="Normal 5 5 11 3" xfId="19942" xr:uid="{00000000-0005-0000-0000-0000C06A0000}"/>
    <cellStyle name="Normal 5 5 11 3 2" xfId="36284" xr:uid="{00000000-0005-0000-0000-0000C16A0000}"/>
    <cellStyle name="Normal 5 5 11 4" xfId="19943" xr:uid="{00000000-0005-0000-0000-0000C26A0000}"/>
    <cellStyle name="Normal 5 5 11 4 2" xfId="36285" xr:uid="{00000000-0005-0000-0000-0000C36A0000}"/>
    <cellStyle name="Normal 5 5 11 5" xfId="19944" xr:uid="{00000000-0005-0000-0000-0000C46A0000}"/>
    <cellStyle name="Normal 5 5 11 5 2" xfId="36286" xr:uid="{00000000-0005-0000-0000-0000C56A0000}"/>
    <cellStyle name="Normal 5 5 11 6" xfId="36282" xr:uid="{00000000-0005-0000-0000-0000C66A0000}"/>
    <cellStyle name="Normal 5 5 12" xfId="19945" xr:uid="{00000000-0005-0000-0000-0000C76A0000}"/>
    <cellStyle name="Normal 5 5 12 2" xfId="19946" xr:uid="{00000000-0005-0000-0000-0000C86A0000}"/>
    <cellStyle name="Normal 5 5 12 2 2" xfId="36288" xr:uid="{00000000-0005-0000-0000-0000C96A0000}"/>
    <cellStyle name="Normal 5 5 12 3" xfId="19947" xr:uid="{00000000-0005-0000-0000-0000CA6A0000}"/>
    <cellStyle name="Normal 5 5 12 3 2" xfId="36289" xr:uid="{00000000-0005-0000-0000-0000CB6A0000}"/>
    <cellStyle name="Normal 5 5 12 4" xfId="19948" xr:uid="{00000000-0005-0000-0000-0000CC6A0000}"/>
    <cellStyle name="Normal 5 5 12 4 2" xfId="36290" xr:uid="{00000000-0005-0000-0000-0000CD6A0000}"/>
    <cellStyle name="Normal 5 5 12 5" xfId="19949" xr:uid="{00000000-0005-0000-0000-0000CE6A0000}"/>
    <cellStyle name="Normal 5 5 12 5 2" xfId="36291" xr:uid="{00000000-0005-0000-0000-0000CF6A0000}"/>
    <cellStyle name="Normal 5 5 12 6" xfId="36287" xr:uid="{00000000-0005-0000-0000-0000D06A0000}"/>
    <cellStyle name="Normal 5 5 13" xfId="19950" xr:uid="{00000000-0005-0000-0000-0000D16A0000}"/>
    <cellStyle name="Normal 5 5 13 2" xfId="19951" xr:uid="{00000000-0005-0000-0000-0000D26A0000}"/>
    <cellStyle name="Normal 5 5 13 2 2" xfId="36293" xr:uid="{00000000-0005-0000-0000-0000D36A0000}"/>
    <cellStyle name="Normal 5 5 13 3" xfId="19952" xr:uid="{00000000-0005-0000-0000-0000D46A0000}"/>
    <cellStyle name="Normal 5 5 13 3 2" xfId="36294" xr:uid="{00000000-0005-0000-0000-0000D56A0000}"/>
    <cellStyle name="Normal 5 5 13 4" xfId="19953" xr:uid="{00000000-0005-0000-0000-0000D66A0000}"/>
    <cellStyle name="Normal 5 5 13 4 2" xfId="36295" xr:uid="{00000000-0005-0000-0000-0000D76A0000}"/>
    <cellStyle name="Normal 5 5 13 5" xfId="19954" xr:uid="{00000000-0005-0000-0000-0000D86A0000}"/>
    <cellStyle name="Normal 5 5 13 5 2" xfId="36296" xr:uid="{00000000-0005-0000-0000-0000D96A0000}"/>
    <cellStyle name="Normal 5 5 13 6" xfId="36292" xr:uid="{00000000-0005-0000-0000-0000DA6A0000}"/>
    <cellStyle name="Normal 5 5 14" xfId="19955" xr:uid="{00000000-0005-0000-0000-0000DB6A0000}"/>
    <cellStyle name="Normal 5 5 14 2" xfId="19956" xr:uid="{00000000-0005-0000-0000-0000DC6A0000}"/>
    <cellStyle name="Normal 5 5 14 2 2" xfId="36298" xr:uid="{00000000-0005-0000-0000-0000DD6A0000}"/>
    <cellStyle name="Normal 5 5 14 3" xfId="19957" xr:uid="{00000000-0005-0000-0000-0000DE6A0000}"/>
    <cellStyle name="Normal 5 5 14 3 2" xfId="36299" xr:uid="{00000000-0005-0000-0000-0000DF6A0000}"/>
    <cellStyle name="Normal 5 5 14 4" xfId="19958" xr:uid="{00000000-0005-0000-0000-0000E06A0000}"/>
    <cellStyle name="Normal 5 5 14 4 2" xfId="36300" xr:uid="{00000000-0005-0000-0000-0000E16A0000}"/>
    <cellStyle name="Normal 5 5 14 5" xfId="19959" xr:uid="{00000000-0005-0000-0000-0000E26A0000}"/>
    <cellStyle name="Normal 5 5 14 5 2" xfId="36301" xr:uid="{00000000-0005-0000-0000-0000E36A0000}"/>
    <cellStyle name="Normal 5 5 14 6" xfId="36297" xr:uid="{00000000-0005-0000-0000-0000E46A0000}"/>
    <cellStyle name="Normal 5 5 15" xfId="19960" xr:uid="{00000000-0005-0000-0000-0000E56A0000}"/>
    <cellStyle name="Normal 5 5 15 2" xfId="19961" xr:uid="{00000000-0005-0000-0000-0000E66A0000}"/>
    <cellStyle name="Normal 5 5 15 2 2" xfId="36303" xr:uid="{00000000-0005-0000-0000-0000E76A0000}"/>
    <cellStyle name="Normal 5 5 15 3" xfId="19962" xr:uid="{00000000-0005-0000-0000-0000E86A0000}"/>
    <cellStyle name="Normal 5 5 15 3 2" xfId="36304" xr:uid="{00000000-0005-0000-0000-0000E96A0000}"/>
    <cellStyle name="Normal 5 5 15 4" xfId="19963" xr:uid="{00000000-0005-0000-0000-0000EA6A0000}"/>
    <cellStyle name="Normal 5 5 15 4 2" xfId="36305" xr:uid="{00000000-0005-0000-0000-0000EB6A0000}"/>
    <cellStyle name="Normal 5 5 15 5" xfId="19964" xr:uid="{00000000-0005-0000-0000-0000EC6A0000}"/>
    <cellStyle name="Normal 5 5 15 5 2" xfId="36306" xr:uid="{00000000-0005-0000-0000-0000ED6A0000}"/>
    <cellStyle name="Normal 5 5 15 6" xfId="36302" xr:uid="{00000000-0005-0000-0000-0000EE6A0000}"/>
    <cellStyle name="Normal 5 5 16" xfId="19965" xr:uid="{00000000-0005-0000-0000-0000EF6A0000}"/>
    <cellStyle name="Normal 5 5 16 2" xfId="19966" xr:uid="{00000000-0005-0000-0000-0000F06A0000}"/>
    <cellStyle name="Normal 5 5 16 2 2" xfId="36308" xr:uid="{00000000-0005-0000-0000-0000F16A0000}"/>
    <cellStyle name="Normal 5 5 16 3" xfId="19967" xr:uid="{00000000-0005-0000-0000-0000F26A0000}"/>
    <cellStyle name="Normal 5 5 16 3 2" xfId="36309" xr:uid="{00000000-0005-0000-0000-0000F36A0000}"/>
    <cellStyle name="Normal 5 5 16 4" xfId="19968" xr:uid="{00000000-0005-0000-0000-0000F46A0000}"/>
    <cellStyle name="Normal 5 5 16 4 2" xfId="36310" xr:uid="{00000000-0005-0000-0000-0000F56A0000}"/>
    <cellStyle name="Normal 5 5 16 5" xfId="19969" xr:uid="{00000000-0005-0000-0000-0000F66A0000}"/>
    <cellStyle name="Normal 5 5 16 5 2" xfId="36311" xr:uid="{00000000-0005-0000-0000-0000F76A0000}"/>
    <cellStyle name="Normal 5 5 16 6" xfId="36307" xr:uid="{00000000-0005-0000-0000-0000F86A0000}"/>
    <cellStyle name="Normal 5 5 17" xfId="19970" xr:uid="{00000000-0005-0000-0000-0000F96A0000}"/>
    <cellStyle name="Normal 5 5 17 2" xfId="19971" xr:uid="{00000000-0005-0000-0000-0000FA6A0000}"/>
    <cellStyle name="Normal 5 5 17 2 2" xfId="36313" xr:uid="{00000000-0005-0000-0000-0000FB6A0000}"/>
    <cellStyle name="Normal 5 5 17 3" xfId="19972" xr:uid="{00000000-0005-0000-0000-0000FC6A0000}"/>
    <cellStyle name="Normal 5 5 17 3 2" xfId="36314" xr:uid="{00000000-0005-0000-0000-0000FD6A0000}"/>
    <cellStyle name="Normal 5 5 17 4" xfId="19973" xr:uid="{00000000-0005-0000-0000-0000FE6A0000}"/>
    <cellStyle name="Normal 5 5 17 4 2" xfId="36315" xr:uid="{00000000-0005-0000-0000-0000FF6A0000}"/>
    <cellStyle name="Normal 5 5 17 5" xfId="19974" xr:uid="{00000000-0005-0000-0000-0000006B0000}"/>
    <cellStyle name="Normal 5 5 17 5 2" xfId="36316" xr:uid="{00000000-0005-0000-0000-0000016B0000}"/>
    <cellStyle name="Normal 5 5 17 6" xfId="36312" xr:uid="{00000000-0005-0000-0000-0000026B0000}"/>
    <cellStyle name="Normal 5 5 18" xfId="19975" xr:uid="{00000000-0005-0000-0000-0000036B0000}"/>
    <cellStyle name="Normal 5 5 18 2" xfId="19976" xr:uid="{00000000-0005-0000-0000-0000046B0000}"/>
    <cellStyle name="Normal 5 5 18 2 2" xfId="36318" xr:uid="{00000000-0005-0000-0000-0000056B0000}"/>
    <cellStyle name="Normal 5 5 18 3" xfId="19977" xr:uid="{00000000-0005-0000-0000-0000066B0000}"/>
    <cellStyle name="Normal 5 5 18 3 2" xfId="36319" xr:uid="{00000000-0005-0000-0000-0000076B0000}"/>
    <cellStyle name="Normal 5 5 18 4" xfId="19978" xr:uid="{00000000-0005-0000-0000-0000086B0000}"/>
    <cellStyle name="Normal 5 5 18 4 2" xfId="36320" xr:uid="{00000000-0005-0000-0000-0000096B0000}"/>
    <cellStyle name="Normal 5 5 18 5" xfId="19979" xr:uid="{00000000-0005-0000-0000-00000A6B0000}"/>
    <cellStyle name="Normal 5 5 18 5 2" xfId="36321" xr:uid="{00000000-0005-0000-0000-00000B6B0000}"/>
    <cellStyle name="Normal 5 5 18 6" xfId="36317" xr:uid="{00000000-0005-0000-0000-00000C6B0000}"/>
    <cellStyle name="Normal 5 5 19" xfId="19980" xr:uid="{00000000-0005-0000-0000-00000D6B0000}"/>
    <cellStyle name="Normal 5 5 19 2" xfId="19981" xr:uid="{00000000-0005-0000-0000-00000E6B0000}"/>
    <cellStyle name="Normal 5 5 19 2 2" xfId="36323" xr:uid="{00000000-0005-0000-0000-00000F6B0000}"/>
    <cellStyle name="Normal 5 5 19 3" xfId="19982" xr:uid="{00000000-0005-0000-0000-0000106B0000}"/>
    <cellStyle name="Normal 5 5 19 3 2" xfId="36324" xr:uid="{00000000-0005-0000-0000-0000116B0000}"/>
    <cellStyle name="Normal 5 5 19 4" xfId="19983" xr:uid="{00000000-0005-0000-0000-0000126B0000}"/>
    <cellStyle name="Normal 5 5 19 4 2" xfId="36325" xr:uid="{00000000-0005-0000-0000-0000136B0000}"/>
    <cellStyle name="Normal 5 5 19 5" xfId="19984" xr:uid="{00000000-0005-0000-0000-0000146B0000}"/>
    <cellStyle name="Normal 5 5 19 5 2" xfId="36326" xr:uid="{00000000-0005-0000-0000-0000156B0000}"/>
    <cellStyle name="Normal 5 5 19 6" xfId="36322" xr:uid="{00000000-0005-0000-0000-0000166B0000}"/>
    <cellStyle name="Normal 5 5 2" xfId="19985" xr:uid="{00000000-0005-0000-0000-0000176B0000}"/>
    <cellStyle name="Normal 5 5 2 10" xfId="19986" xr:uid="{00000000-0005-0000-0000-0000186B0000}"/>
    <cellStyle name="Normal 5 5 2 11" xfId="19987" xr:uid="{00000000-0005-0000-0000-0000196B0000}"/>
    <cellStyle name="Normal 5 5 2 12" xfId="19988" xr:uid="{00000000-0005-0000-0000-00001A6B0000}"/>
    <cellStyle name="Normal 5 5 2 13" xfId="19989" xr:uid="{00000000-0005-0000-0000-00001B6B0000}"/>
    <cellStyle name="Normal 5 5 2 14" xfId="19990" xr:uid="{00000000-0005-0000-0000-00001C6B0000}"/>
    <cellStyle name="Normal 5 5 2 15" xfId="19991" xr:uid="{00000000-0005-0000-0000-00001D6B0000}"/>
    <cellStyle name="Normal 5 5 2 16" xfId="19992" xr:uid="{00000000-0005-0000-0000-00001E6B0000}"/>
    <cellStyle name="Normal 5 5 2 17" xfId="19993" xr:uid="{00000000-0005-0000-0000-00001F6B0000}"/>
    <cellStyle name="Normal 5 5 2 18" xfId="19994" xr:uid="{00000000-0005-0000-0000-0000206B0000}"/>
    <cellStyle name="Normal 5 5 2 19" xfId="19995" xr:uid="{00000000-0005-0000-0000-0000216B0000}"/>
    <cellStyle name="Normal 5 5 2 2" xfId="19996" xr:uid="{00000000-0005-0000-0000-0000226B0000}"/>
    <cellStyle name="Normal 5 5 2 2 2" xfId="19997" xr:uid="{00000000-0005-0000-0000-0000236B0000}"/>
    <cellStyle name="Normal 5 5 2 2 3" xfId="19998" xr:uid="{00000000-0005-0000-0000-0000246B0000}"/>
    <cellStyle name="Normal 5 5 2 2 4" xfId="19999" xr:uid="{00000000-0005-0000-0000-0000256B0000}"/>
    <cellStyle name="Normal 5 5 2 2 5" xfId="20000" xr:uid="{00000000-0005-0000-0000-0000266B0000}"/>
    <cellStyle name="Normal 5 5 2 2 6" xfId="20001" xr:uid="{00000000-0005-0000-0000-0000276B0000}"/>
    <cellStyle name="Normal 5 5 2 2 7" xfId="20002" xr:uid="{00000000-0005-0000-0000-0000286B0000}"/>
    <cellStyle name="Normal 5 5 2 20" xfId="20003" xr:uid="{00000000-0005-0000-0000-0000296B0000}"/>
    <cellStyle name="Normal 5 5 2 21" xfId="20004" xr:uid="{00000000-0005-0000-0000-00002A6B0000}"/>
    <cellStyle name="Normal 5 5 2 22" xfId="40741" xr:uid="{00000000-0005-0000-0000-00002B6B0000}"/>
    <cellStyle name="Normal 5 5 2 23" xfId="36327" xr:uid="{00000000-0005-0000-0000-00002C6B0000}"/>
    <cellStyle name="Normal 5 5 2 3" xfId="20005" xr:uid="{00000000-0005-0000-0000-00002D6B0000}"/>
    <cellStyle name="Normal 5 5 2 4" xfId="20006" xr:uid="{00000000-0005-0000-0000-00002E6B0000}"/>
    <cellStyle name="Normal 5 5 2 5" xfId="20007" xr:uid="{00000000-0005-0000-0000-00002F6B0000}"/>
    <cellStyle name="Normal 5 5 2 6" xfId="20008" xr:uid="{00000000-0005-0000-0000-0000306B0000}"/>
    <cellStyle name="Normal 5 5 2 7" xfId="20009" xr:uid="{00000000-0005-0000-0000-0000316B0000}"/>
    <cellStyle name="Normal 5 5 2 8" xfId="20010" xr:uid="{00000000-0005-0000-0000-0000326B0000}"/>
    <cellStyle name="Normal 5 5 2 9" xfId="20011" xr:uid="{00000000-0005-0000-0000-0000336B0000}"/>
    <cellStyle name="Normal 5 5 20" xfId="20012" xr:uid="{00000000-0005-0000-0000-0000346B0000}"/>
    <cellStyle name="Normal 5 5 20 2" xfId="20013" xr:uid="{00000000-0005-0000-0000-0000356B0000}"/>
    <cellStyle name="Normal 5 5 20 2 2" xfId="36329" xr:uid="{00000000-0005-0000-0000-0000366B0000}"/>
    <cellStyle name="Normal 5 5 20 3" xfId="20014" xr:uid="{00000000-0005-0000-0000-0000376B0000}"/>
    <cellStyle name="Normal 5 5 20 3 2" xfId="36330" xr:uid="{00000000-0005-0000-0000-0000386B0000}"/>
    <cellStyle name="Normal 5 5 20 4" xfId="20015" xr:uid="{00000000-0005-0000-0000-0000396B0000}"/>
    <cellStyle name="Normal 5 5 20 4 2" xfId="36331" xr:uid="{00000000-0005-0000-0000-00003A6B0000}"/>
    <cellStyle name="Normal 5 5 20 5" xfId="20016" xr:uid="{00000000-0005-0000-0000-00003B6B0000}"/>
    <cellStyle name="Normal 5 5 20 5 2" xfId="36332" xr:uid="{00000000-0005-0000-0000-00003C6B0000}"/>
    <cellStyle name="Normal 5 5 20 6" xfId="36328" xr:uid="{00000000-0005-0000-0000-00003D6B0000}"/>
    <cellStyle name="Normal 5 5 21" xfId="20017" xr:uid="{00000000-0005-0000-0000-00003E6B0000}"/>
    <cellStyle name="Normal 5 5 21 2" xfId="36333" xr:uid="{00000000-0005-0000-0000-00003F6B0000}"/>
    <cellStyle name="Normal 5 5 22" xfId="20018" xr:uid="{00000000-0005-0000-0000-0000406B0000}"/>
    <cellStyle name="Normal 5 5 22 2" xfId="36334" xr:uid="{00000000-0005-0000-0000-0000416B0000}"/>
    <cellStyle name="Normal 5 5 23" xfId="20019" xr:uid="{00000000-0005-0000-0000-0000426B0000}"/>
    <cellStyle name="Normal 5 5 23 2" xfId="36335" xr:uid="{00000000-0005-0000-0000-0000436B0000}"/>
    <cellStyle name="Normal 5 5 24" xfId="20020" xr:uid="{00000000-0005-0000-0000-0000446B0000}"/>
    <cellStyle name="Normal 5 5 24 2" xfId="36336" xr:uid="{00000000-0005-0000-0000-0000456B0000}"/>
    <cellStyle name="Normal 5 5 25" xfId="20021" xr:uid="{00000000-0005-0000-0000-0000466B0000}"/>
    <cellStyle name="Normal 5 5 25 2" xfId="36337" xr:uid="{00000000-0005-0000-0000-0000476B0000}"/>
    <cellStyle name="Normal 5 5 26" xfId="40740" xr:uid="{00000000-0005-0000-0000-0000486B0000}"/>
    <cellStyle name="Normal 5 5 3" xfId="20022" xr:uid="{00000000-0005-0000-0000-0000496B0000}"/>
    <cellStyle name="Normal 5 5 3 10" xfId="20023" xr:uid="{00000000-0005-0000-0000-00004A6B0000}"/>
    <cellStyle name="Normal 5 5 3 11" xfId="20024" xr:uid="{00000000-0005-0000-0000-00004B6B0000}"/>
    <cellStyle name="Normal 5 5 3 12" xfId="20025" xr:uid="{00000000-0005-0000-0000-00004C6B0000}"/>
    <cellStyle name="Normal 5 5 3 13" xfId="20026" xr:uid="{00000000-0005-0000-0000-00004D6B0000}"/>
    <cellStyle name="Normal 5 5 3 14" xfId="20027" xr:uid="{00000000-0005-0000-0000-00004E6B0000}"/>
    <cellStyle name="Normal 5 5 3 15" xfId="20028" xr:uid="{00000000-0005-0000-0000-00004F6B0000}"/>
    <cellStyle name="Normal 5 5 3 16" xfId="20029" xr:uid="{00000000-0005-0000-0000-0000506B0000}"/>
    <cellStyle name="Normal 5 5 3 17" xfId="40742" xr:uid="{00000000-0005-0000-0000-0000516B0000}"/>
    <cellStyle name="Normal 5 5 3 2" xfId="20030" xr:uid="{00000000-0005-0000-0000-0000526B0000}"/>
    <cellStyle name="Normal 5 5 3 3" xfId="20031" xr:uid="{00000000-0005-0000-0000-0000536B0000}"/>
    <cellStyle name="Normal 5 5 3 4" xfId="20032" xr:uid="{00000000-0005-0000-0000-0000546B0000}"/>
    <cellStyle name="Normal 5 5 3 5" xfId="20033" xr:uid="{00000000-0005-0000-0000-0000556B0000}"/>
    <cellStyle name="Normal 5 5 3 6" xfId="20034" xr:uid="{00000000-0005-0000-0000-0000566B0000}"/>
    <cellStyle name="Normal 5 5 3 7" xfId="20035" xr:uid="{00000000-0005-0000-0000-0000576B0000}"/>
    <cellStyle name="Normal 5 5 3 8" xfId="20036" xr:uid="{00000000-0005-0000-0000-0000586B0000}"/>
    <cellStyle name="Normal 5 5 3 9" xfId="20037" xr:uid="{00000000-0005-0000-0000-0000596B0000}"/>
    <cellStyle name="Normal 5 5 4" xfId="20038" xr:uid="{00000000-0005-0000-0000-00005A6B0000}"/>
    <cellStyle name="Normal 5 5 4 10" xfId="20039" xr:uid="{00000000-0005-0000-0000-00005B6B0000}"/>
    <cellStyle name="Normal 5 5 4 10 2" xfId="20040" xr:uid="{00000000-0005-0000-0000-00005C6B0000}"/>
    <cellStyle name="Normal 5 5 4 10 2 2" xfId="36340" xr:uid="{00000000-0005-0000-0000-00005D6B0000}"/>
    <cellStyle name="Normal 5 5 4 10 3" xfId="20041" xr:uid="{00000000-0005-0000-0000-00005E6B0000}"/>
    <cellStyle name="Normal 5 5 4 10 3 2" xfId="36341" xr:uid="{00000000-0005-0000-0000-00005F6B0000}"/>
    <cellStyle name="Normal 5 5 4 10 4" xfId="20042" xr:uid="{00000000-0005-0000-0000-0000606B0000}"/>
    <cellStyle name="Normal 5 5 4 10 4 2" xfId="36342" xr:uid="{00000000-0005-0000-0000-0000616B0000}"/>
    <cellStyle name="Normal 5 5 4 10 5" xfId="20043" xr:uid="{00000000-0005-0000-0000-0000626B0000}"/>
    <cellStyle name="Normal 5 5 4 10 5 2" xfId="36343" xr:uid="{00000000-0005-0000-0000-0000636B0000}"/>
    <cellStyle name="Normal 5 5 4 10 6" xfId="36339" xr:uid="{00000000-0005-0000-0000-0000646B0000}"/>
    <cellStyle name="Normal 5 5 4 11" xfId="20044" xr:uid="{00000000-0005-0000-0000-0000656B0000}"/>
    <cellStyle name="Normal 5 5 4 11 2" xfId="20045" xr:uid="{00000000-0005-0000-0000-0000666B0000}"/>
    <cellStyle name="Normal 5 5 4 11 2 2" xfId="36345" xr:uid="{00000000-0005-0000-0000-0000676B0000}"/>
    <cellStyle name="Normal 5 5 4 11 3" xfId="20046" xr:uid="{00000000-0005-0000-0000-0000686B0000}"/>
    <cellStyle name="Normal 5 5 4 11 3 2" xfId="36346" xr:uid="{00000000-0005-0000-0000-0000696B0000}"/>
    <cellStyle name="Normal 5 5 4 11 4" xfId="20047" xr:uid="{00000000-0005-0000-0000-00006A6B0000}"/>
    <cellStyle name="Normal 5 5 4 11 4 2" xfId="36347" xr:uid="{00000000-0005-0000-0000-00006B6B0000}"/>
    <cellStyle name="Normal 5 5 4 11 5" xfId="20048" xr:uid="{00000000-0005-0000-0000-00006C6B0000}"/>
    <cellStyle name="Normal 5 5 4 11 5 2" xfId="36348" xr:uid="{00000000-0005-0000-0000-00006D6B0000}"/>
    <cellStyle name="Normal 5 5 4 11 6" xfId="36344" xr:uid="{00000000-0005-0000-0000-00006E6B0000}"/>
    <cellStyle name="Normal 5 5 4 12" xfId="20049" xr:uid="{00000000-0005-0000-0000-00006F6B0000}"/>
    <cellStyle name="Normal 5 5 4 12 2" xfId="20050" xr:uid="{00000000-0005-0000-0000-0000706B0000}"/>
    <cellStyle name="Normal 5 5 4 12 2 2" xfId="36350" xr:uid="{00000000-0005-0000-0000-0000716B0000}"/>
    <cellStyle name="Normal 5 5 4 12 3" xfId="20051" xr:uid="{00000000-0005-0000-0000-0000726B0000}"/>
    <cellStyle name="Normal 5 5 4 12 3 2" xfId="36351" xr:uid="{00000000-0005-0000-0000-0000736B0000}"/>
    <cellStyle name="Normal 5 5 4 12 4" xfId="20052" xr:uid="{00000000-0005-0000-0000-0000746B0000}"/>
    <cellStyle name="Normal 5 5 4 12 4 2" xfId="36352" xr:uid="{00000000-0005-0000-0000-0000756B0000}"/>
    <cellStyle name="Normal 5 5 4 12 5" xfId="20053" xr:uid="{00000000-0005-0000-0000-0000766B0000}"/>
    <cellStyle name="Normal 5 5 4 12 5 2" xfId="36353" xr:uid="{00000000-0005-0000-0000-0000776B0000}"/>
    <cellStyle name="Normal 5 5 4 12 6" xfId="36349" xr:uid="{00000000-0005-0000-0000-0000786B0000}"/>
    <cellStyle name="Normal 5 5 4 13" xfId="20054" xr:uid="{00000000-0005-0000-0000-0000796B0000}"/>
    <cellStyle name="Normal 5 5 4 13 2" xfId="20055" xr:uid="{00000000-0005-0000-0000-00007A6B0000}"/>
    <cellStyle name="Normal 5 5 4 13 2 2" xfId="36355" xr:uid="{00000000-0005-0000-0000-00007B6B0000}"/>
    <cellStyle name="Normal 5 5 4 13 3" xfId="20056" xr:uid="{00000000-0005-0000-0000-00007C6B0000}"/>
    <cellStyle name="Normal 5 5 4 13 3 2" xfId="36356" xr:uid="{00000000-0005-0000-0000-00007D6B0000}"/>
    <cellStyle name="Normal 5 5 4 13 4" xfId="20057" xr:uid="{00000000-0005-0000-0000-00007E6B0000}"/>
    <cellStyle name="Normal 5 5 4 13 4 2" xfId="36357" xr:uid="{00000000-0005-0000-0000-00007F6B0000}"/>
    <cellStyle name="Normal 5 5 4 13 5" xfId="20058" xr:uid="{00000000-0005-0000-0000-0000806B0000}"/>
    <cellStyle name="Normal 5 5 4 13 5 2" xfId="36358" xr:uid="{00000000-0005-0000-0000-0000816B0000}"/>
    <cellStyle name="Normal 5 5 4 13 6" xfId="36354" xr:uid="{00000000-0005-0000-0000-0000826B0000}"/>
    <cellStyle name="Normal 5 5 4 14" xfId="20059" xr:uid="{00000000-0005-0000-0000-0000836B0000}"/>
    <cellStyle name="Normal 5 5 4 14 2" xfId="20060" xr:uid="{00000000-0005-0000-0000-0000846B0000}"/>
    <cellStyle name="Normal 5 5 4 14 2 2" xfId="36360" xr:uid="{00000000-0005-0000-0000-0000856B0000}"/>
    <cellStyle name="Normal 5 5 4 14 3" xfId="20061" xr:uid="{00000000-0005-0000-0000-0000866B0000}"/>
    <cellStyle name="Normal 5 5 4 14 3 2" xfId="36361" xr:uid="{00000000-0005-0000-0000-0000876B0000}"/>
    <cellStyle name="Normal 5 5 4 14 4" xfId="20062" xr:uid="{00000000-0005-0000-0000-0000886B0000}"/>
    <cellStyle name="Normal 5 5 4 14 4 2" xfId="36362" xr:uid="{00000000-0005-0000-0000-0000896B0000}"/>
    <cellStyle name="Normal 5 5 4 14 5" xfId="20063" xr:uid="{00000000-0005-0000-0000-00008A6B0000}"/>
    <cellStyle name="Normal 5 5 4 14 5 2" xfId="36363" xr:uid="{00000000-0005-0000-0000-00008B6B0000}"/>
    <cellStyle name="Normal 5 5 4 14 6" xfId="36359" xr:uid="{00000000-0005-0000-0000-00008C6B0000}"/>
    <cellStyle name="Normal 5 5 4 15" xfId="20064" xr:uid="{00000000-0005-0000-0000-00008D6B0000}"/>
    <cellStyle name="Normal 5 5 4 15 2" xfId="20065" xr:uid="{00000000-0005-0000-0000-00008E6B0000}"/>
    <cellStyle name="Normal 5 5 4 15 2 2" xfId="36365" xr:uid="{00000000-0005-0000-0000-00008F6B0000}"/>
    <cellStyle name="Normal 5 5 4 15 3" xfId="20066" xr:uid="{00000000-0005-0000-0000-0000906B0000}"/>
    <cellStyle name="Normal 5 5 4 15 3 2" xfId="36366" xr:uid="{00000000-0005-0000-0000-0000916B0000}"/>
    <cellStyle name="Normal 5 5 4 15 4" xfId="20067" xr:uid="{00000000-0005-0000-0000-0000926B0000}"/>
    <cellStyle name="Normal 5 5 4 15 4 2" xfId="36367" xr:uid="{00000000-0005-0000-0000-0000936B0000}"/>
    <cellStyle name="Normal 5 5 4 15 5" xfId="20068" xr:uid="{00000000-0005-0000-0000-0000946B0000}"/>
    <cellStyle name="Normal 5 5 4 15 5 2" xfId="36368" xr:uid="{00000000-0005-0000-0000-0000956B0000}"/>
    <cellStyle name="Normal 5 5 4 15 6" xfId="36364" xr:uid="{00000000-0005-0000-0000-0000966B0000}"/>
    <cellStyle name="Normal 5 5 4 16" xfId="20069" xr:uid="{00000000-0005-0000-0000-0000976B0000}"/>
    <cellStyle name="Normal 5 5 4 16 2" xfId="20070" xr:uid="{00000000-0005-0000-0000-0000986B0000}"/>
    <cellStyle name="Normal 5 5 4 16 2 2" xfId="36370" xr:uid="{00000000-0005-0000-0000-0000996B0000}"/>
    <cellStyle name="Normal 5 5 4 16 3" xfId="20071" xr:uid="{00000000-0005-0000-0000-00009A6B0000}"/>
    <cellStyle name="Normal 5 5 4 16 3 2" xfId="36371" xr:uid="{00000000-0005-0000-0000-00009B6B0000}"/>
    <cellStyle name="Normal 5 5 4 16 4" xfId="20072" xr:uid="{00000000-0005-0000-0000-00009C6B0000}"/>
    <cellStyle name="Normal 5 5 4 16 4 2" xfId="36372" xr:uid="{00000000-0005-0000-0000-00009D6B0000}"/>
    <cellStyle name="Normal 5 5 4 16 5" xfId="20073" xr:uid="{00000000-0005-0000-0000-00009E6B0000}"/>
    <cellStyle name="Normal 5 5 4 16 5 2" xfId="36373" xr:uid="{00000000-0005-0000-0000-00009F6B0000}"/>
    <cellStyle name="Normal 5 5 4 16 6" xfId="36369" xr:uid="{00000000-0005-0000-0000-0000A06B0000}"/>
    <cellStyle name="Normal 5 5 4 17" xfId="20074" xr:uid="{00000000-0005-0000-0000-0000A16B0000}"/>
    <cellStyle name="Normal 5 5 4 17 2" xfId="36374" xr:uid="{00000000-0005-0000-0000-0000A26B0000}"/>
    <cellStyle name="Normal 5 5 4 18" xfId="20075" xr:uid="{00000000-0005-0000-0000-0000A36B0000}"/>
    <cellStyle name="Normal 5 5 4 18 2" xfId="36375" xr:uid="{00000000-0005-0000-0000-0000A46B0000}"/>
    <cellStyle name="Normal 5 5 4 19" xfId="20076" xr:uid="{00000000-0005-0000-0000-0000A56B0000}"/>
    <cellStyle name="Normal 5 5 4 19 2" xfId="36376" xr:uid="{00000000-0005-0000-0000-0000A66B0000}"/>
    <cellStyle name="Normal 5 5 4 2" xfId="20077" xr:uid="{00000000-0005-0000-0000-0000A76B0000}"/>
    <cellStyle name="Normal 5 5 4 20" xfId="20078" xr:uid="{00000000-0005-0000-0000-0000A86B0000}"/>
    <cellStyle name="Normal 5 5 4 20 2" xfId="36377" xr:uid="{00000000-0005-0000-0000-0000A96B0000}"/>
    <cellStyle name="Normal 5 5 4 21" xfId="40743" xr:uid="{00000000-0005-0000-0000-0000AA6B0000}"/>
    <cellStyle name="Normal 5 5 4 22" xfId="36338" xr:uid="{00000000-0005-0000-0000-0000AB6B0000}"/>
    <cellStyle name="Normal 5 5 4 3" xfId="20079" xr:uid="{00000000-0005-0000-0000-0000AC6B0000}"/>
    <cellStyle name="Normal 5 5 4 3 2" xfId="20080" xr:uid="{00000000-0005-0000-0000-0000AD6B0000}"/>
    <cellStyle name="Normal 5 5 4 3 2 2" xfId="36379" xr:uid="{00000000-0005-0000-0000-0000AE6B0000}"/>
    <cellStyle name="Normal 5 5 4 3 3" xfId="20081" xr:uid="{00000000-0005-0000-0000-0000AF6B0000}"/>
    <cellStyle name="Normal 5 5 4 3 3 2" xfId="36380" xr:uid="{00000000-0005-0000-0000-0000B06B0000}"/>
    <cellStyle name="Normal 5 5 4 3 4" xfId="20082" xr:uid="{00000000-0005-0000-0000-0000B16B0000}"/>
    <cellStyle name="Normal 5 5 4 3 4 2" xfId="36381" xr:uid="{00000000-0005-0000-0000-0000B26B0000}"/>
    <cellStyle name="Normal 5 5 4 3 5" xfId="20083" xr:uid="{00000000-0005-0000-0000-0000B36B0000}"/>
    <cellStyle name="Normal 5 5 4 3 5 2" xfId="36382" xr:uid="{00000000-0005-0000-0000-0000B46B0000}"/>
    <cellStyle name="Normal 5 5 4 3 6" xfId="36378" xr:uid="{00000000-0005-0000-0000-0000B56B0000}"/>
    <cellStyle name="Normal 5 5 4 4" xfId="20084" xr:uid="{00000000-0005-0000-0000-0000B66B0000}"/>
    <cellStyle name="Normal 5 5 4 4 2" xfId="20085" xr:uid="{00000000-0005-0000-0000-0000B76B0000}"/>
    <cellStyle name="Normal 5 5 4 4 2 2" xfId="36384" xr:uid="{00000000-0005-0000-0000-0000B86B0000}"/>
    <cellStyle name="Normal 5 5 4 4 3" xfId="20086" xr:uid="{00000000-0005-0000-0000-0000B96B0000}"/>
    <cellStyle name="Normal 5 5 4 4 3 2" xfId="36385" xr:uid="{00000000-0005-0000-0000-0000BA6B0000}"/>
    <cellStyle name="Normal 5 5 4 4 4" xfId="20087" xr:uid="{00000000-0005-0000-0000-0000BB6B0000}"/>
    <cellStyle name="Normal 5 5 4 4 4 2" xfId="36386" xr:uid="{00000000-0005-0000-0000-0000BC6B0000}"/>
    <cellStyle name="Normal 5 5 4 4 5" xfId="20088" xr:uid="{00000000-0005-0000-0000-0000BD6B0000}"/>
    <cellStyle name="Normal 5 5 4 4 5 2" xfId="36387" xr:uid="{00000000-0005-0000-0000-0000BE6B0000}"/>
    <cellStyle name="Normal 5 5 4 4 6" xfId="36383" xr:uid="{00000000-0005-0000-0000-0000BF6B0000}"/>
    <cellStyle name="Normal 5 5 4 5" xfId="20089" xr:uid="{00000000-0005-0000-0000-0000C06B0000}"/>
    <cellStyle name="Normal 5 5 4 5 2" xfId="20090" xr:uid="{00000000-0005-0000-0000-0000C16B0000}"/>
    <cellStyle name="Normal 5 5 4 5 2 2" xfId="36389" xr:uid="{00000000-0005-0000-0000-0000C26B0000}"/>
    <cellStyle name="Normal 5 5 4 5 3" xfId="20091" xr:uid="{00000000-0005-0000-0000-0000C36B0000}"/>
    <cellStyle name="Normal 5 5 4 5 3 2" xfId="36390" xr:uid="{00000000-0005-0000-0000-0000C46B0000}"/>
    <cellStyle name="Normal 5 5 4 5 4" xfId="20092" xr:uid="{00000000-0005-0000-0000-0000C56B0000}"/>
    <cellStyle name="Normal 5 5 4 5 4 2" xfId="36391" xr:uid="{00000000-0005-0000-0000-0000C66B0000}"/>
    <cellStyle name="Normal 5 5 4 5 5" xfId="20093" xr:uid="{00000000-0005-0000-0000-0000C76B0000}"/>
    <cellStyle name="Normal 5 5 4 5 5 2" xfId="36392" xr:uid="{00000000-0005-0000-0000-0000C86B0000}"/>
    <cellStyle name="Normal 5 5 4 5 6" xfId="36388" xr:uid="{00000000-0005-0000-0000-0000C96B0000}"/>
    <cellStyle name="Normal 5 5 4 6" xfId="20094" xr:uid="{00000000-0005-0000-0000-0000CA6B0000}"/>
    <cellStyle name="Normal 5 5 4 6 2" xfId="20095" xr:uid="{00000000-0005-0000-0000-0000CB6B0000}"/>
    <cellStyle name="Normal 5 5 4 6 2 2" xfId="36394" xr:uid="{00000000-0005-0000-0000-0000CC6B0000}"/>
    <cellStyle name="Normal 5 5 4 6 3" xfId="20096" xr:uid="{00000000-0005-0000-0000-0000CD6B0000}"/>
    <cellStyle name="Normal 5 5 4 6 3 2" xfId="36395" xr:uid="{00000000-0005-0000-0000-0000CE6B0000}"/>
    <cellStyle name="Normal 5 5 4 6 4" xfId="20097" xr:uid="{00000000-0005-0000-0000-0000CF6B0000}"/>
    <cellStyle name="Normal 5 5 4 6 4 2" xfId="36396" xr:uid="{00000000-0005-0000-0000-0000D06B0000}"/>
    <cellStyle name="Normal 5 5 4 6 5" xfId="20098" xr:uid="{00000000-0005-0000-0000-0000D16B0000}"/>
    <cellStyle name="Normal 5 5 4 6 5 2" xfId="36397" xr:uid="{00000000-0005-0000-0000-0000D26B0000}"/>
    <cellStyle name="Normal 5 5 4 6 6" xfId="36393" xr:uid="{00000000-0005-0000-0000-0000D36B0000}"/>
    <cellStyle name="Normal 5 5 4 7" xfId="20099" xr:uid="{00000000-0005-0000-0000-0000D46B0000}"/>
    <cellStyle name="Normal 5 5 4 7 2" xfId="20100" xr:uid="{00000000-0005-0000-0000-0000D56B0000}"/>
    <cellStyle name="Normal 5 5 4 7 2 2" xfId="36399" xr:uid="{00000000-0005-0000-0000-0000D66B0000}"/>
    <cellStyle name="Normal 5 5 4 7 3" xfId="20101" xr:uid="{00000000-0005-0000-0000-0000D76B0000}"/>
    <cellStyle name="Normal 5 5 4 7 3 2" xfId="36400" xr:uid="{00000000-0005-0000-0000-0000D86B0000}"/>
    <cellStyle name="Normal 5 5 4 7 4" xfId="20102" xr:uid="{00000000-0005-0000-0000-0000D96B0000}"/>
    <cellStyle name="Normal 5 5 4 7 4 2" xfId="36401" xr:uid="{00000000-0005-0000-0000-0000DA6B0000}"/>
    <cellStyle name="Normal 5 5 4 7 5" xfId="20103" xr:uid="{00000000-0005-0000-0000-0000DB6B0000}"/>
    <cellStyle name="Normal 5 5 4 7 5 2" xfId="36402" xr:uid="{00000000-0005-0000-0000-0000DC6B0000}"/>
    <cellStyle name="Normal 5 5 4 7 6" xfId="36398" xr:uid="{00000000-0005-0000-0000-0000DD6B0000}"/>
    <cellStyle name="Normal 5 5 4 8" xfId="20104" xr:uid="{00000000-0005-0000-0000-0000DE6B0000}"/>
    <cellStyle name="Normal 5 5 4 8 2" xfId="20105" xr:uid="{00000000-0005-0000-0000-0000DF6B0000}"/>
    <cellStyle name="Normal 5 5 4 8 2 2" xfId="36404" xr:uid="{00000000-0005-0000-0000-0000E06B0000}"/>
    <cellStyle name="Normal 5 5 4 8 3" xfId="20106" xr:uid="{00000000-0005-0000-0000-0000E16B0000}"/>
    <cellStyle name="Normal 5 5 4 8 3 2" xfId="36405" xr:uid="{00000000-0005-0000-0000-0000E26B0000}"/>
    <cellStyle name="Normal 5 5 4 8 4" xfId="20107" xr:uid="{00000000-0005-0000-0000-0000E36B0000}"/>
    <cellStyle name="Normal 5 5 4 8 4 2" xfId="36406" xr:uid="{00000000-0005-0000-0000-0000E46B0000}"/>
    <cellStyle name="Normal 5 5 4 8 5" xfId="20108" xr:uid="{00000000-0005-0000-0000-0000E56B0000}"/>
    <cellStyle name="Normal 5 5 4 8 5 2" xfId="36407" xr:uid="{00000000-0005-0000-0000-0000E66B0000}"/>
    <cellStyle name="Normal 5 5 4 8 6" xfId="36403" xr:uid="{00000000-0005-0000-0000-0000E76B0000}"/>
    <cellStyle name="Normal 5 5 4 9" xfId="20109" xr:uid="{00000000-0005-0000-0000-0000E86B0000}"/>
    <cellStyle name="Normal 5 5 4 9 2" xfId="20110" xr:uid="{00000000-0005-0000-0000-0000E96B0000}"/>
    <cellStyle name="Normal 5 5 4 9 2 2" xfId="36409" xr:uid="{00000000-0005-0000-0000-0000EA6B0000}"/>
    <cellStyle name="Normal 5 5 4 9 3" xfId="20111" xr:uid="{00000000-0005-0000-0000-0000EB6B0000}"/>
    <cellStyle name="Normal 5 5 4 9 3 2" xfId="36410" xr:uid="{00000000-0005-0000-0000-0000EC6B0000}"/>
    <cellStyle name="Normal 5 5 4 9 4" xfId="20112" xr:uid="{00000000-0005-0000-0000-0000ED6B0000}"/>
    <cellStyle name="Normal 5 5 4 9 4 2" xfId="36411" xr:uid="{00000000-0005-0000-0000-0000EE6B0000}"/>
    <cellStyle name="Normal 5 5 4 9 5" xfId="20113" xr:uid="{00000000-0005-0000-0000-0000EF6B0000}"/>
    <cellStyle name="Normal 5 5 4 9 5 2" xfId="36412" xr:uid="{00000000-0005-0000-0000-0000F06B0000}"/>
    <cellStyle name="Normal 5 5 4 9 6" xfId="36408" xr:uid="{00000000-0005-0000-0000-0000F16B0000}"/>
    <cellStyle name="Normal 5 5 5" xfId="20114" xr:uid="{00000000-0005-0000-0000-0000F26B0000}"/>
    <cellStyle name="Normal 5 5 5 2" xfId="20115" xr:uid="{00000000-0005-0000-0000-0000F36B0000}"/>
    <cellStyle name="Normal 5 5 5 3" xfId="20116" xr:uid="{00000000-0005-0000-0000-0000F46B0000}"/>
    <cellStyle name="Normal 5 5 5 3 2" xfId="36414" xr:uid="{00000000-0005-0000-0000-0000F56B0000}"/>
    <cellStyle name="Normal 5 5 5 4" xfId="20117" xr:uid="{00000000-0005-0000-0000-0000F66B0000}"/>
    <cellStyle name="Normal 5 5 5 4 2" xfId="36415" xr:uid="{00000000-0005-0000-0000-0000F76B0000}"/>
    <cellStyle name="Normal 5 5 5 5" xfId="20118" xr:uid="{00000000-0005-0000-0000-0000F86B0000}"/>
    <cellStyle name="Normal 5 5 5 5 2" xfId="36416" xr:uid="{00000000-0005-0000-0000-0000F96B0000}"/>
    <cellStyle name="Normal 5 5 5 6" xfId="20119" xr:uid="{00000000-0005-0000-0000-0000FA6B0000}"/>
    <cellStyle name="Normal 5 5 5 6 2" xfId="36417" xr:uid="{00000000-0005-0000-0000-0000FB6B0000}"/>
    <cellStyle name="Normal 5 5 5 7" xfId="36413" xr:uid="{00000000-0005-0000-0000-0000FC6B0000}"/>
    <cellStyle name="Normal 5 5 6" xfId="20120" xr:uid="{00000000-0005-0000-0000-0000FD6B0000}"/>
    <cellStyle name="Normal 5 5 6 2" xfId="20121" xr:uid="{00000000-0005-0000-0000-0000FE6B0000}"/>
    <cellStyle name="Normal 5 5 6 3" xfId="20122" xr:uid="{00000000-0005-0000-0000-0000FF6B0000}"/>
    <cellStyle name="Normal 5 5 6 3 2" xfId="36419" xr:uid="{00000000-0005-0000-0000-0000006C0000}"/>
    <cellStyle name="Normal 5 5 6 4" xfId="20123" xr:uid="{00000000-0005-0000-0000-0000016C0000}"/>
    <cellStyle name="Normal 5 5 6 4 2" xfId="36420" xr:uid="{00000000-0005-0000-0000-0000026C0000}"/>
    <cellStyle name="Normal 5 5 6 5" xfId="20124" xr:uid="{00000000-0005-0000-0000-0000036C0000}"/>
    <cellStyle name="Normal 5 5 6 5 2" xfId="36421" xr:uid="{00000000-0005-0000-0000-0000046C0000}"/>
    <cellStyle name="Normal 5 5 6 6" xfId="20125" xr:uid="{00000000-0005-0000-0000-0000056C0000}"/>
    <cellStyle name="Normal 5 5 6 6 2" xfId="36422" xr:uid="{00000000-0005-0000-0000-0000066C0000}"/>
    <cellStyle name="Normal 5 5 6 7" xfId="36418" xr:uid="{00000000-0005-0000-0000-0000076C0000}"/>
    <cellStyle name="Normal 5 5 7" xfId="20126" xr:uid="{00000000-0005-0000-0000-0000086C0000}"/>
    <cellStyle name="Normal 5 5 7 2" xfId="20127" xr:uid="{00000000-0005-0000-0000-0000096C0000}"/>
    <cellStyle name="Normal 5 5 7 2 2" xfId="36424" xr:uid="{00000000-0005-0000-0000-00000A6C0000}"/>
    <cellStyle name="Normal 5 5 7 3" xfId="20128" xr:uid="{00000000-0005-0000-0000-00000B6C0000}"/>
    <cellStyle name="Normal 5 5 7 3 2" xfId="36425" xr:uid="{00000000-0005-0000-0000-00000C6C0000}"/>
    <cellStyle name="Normal 5 5 7 4" xfId="20129" xr:uid="{00000000-0005-0000-0000-00000D6C0000}"/>
    <cellStyle name="Normal 5 5 7 4 2" xfId="36426" xr:uid="{00000000-0005-0000-0000-00000E6C0000}"/>
    <cellStyle name="Normal 5 5 7 5" xfId="20130" xr:uid="{00000000-0005-0000-0000-00000F6C0000}"/>
    <cellStyle name="Normal 5 5 7 5 2" xfId="36427" xr:uid="{00000000-0005-0000-0000-0000106C0000}"/>
    <cellStyle name="Normal 5 5 7 6" xfId="36423" xr:uid="{00000000-0005-0000-0000-0000116C0000}"/>
    <cellStyle name="Normal 5 5 8" xfId="20131" xr:uid="{00000000-0005-0000-0000-0000126C0000}"/>
    <cellStyle name="Normal 5 5 8 2" xfId="20132" xr:uid="{00000000-0005-0000-0000-0000136C0000}"/>
    <cellStyle name="Normal 5 5 8 2 2" xfId="36429" xr:uid="{00000000-0005-0000-0000-0000146C0000}"/>
    <cellStyle name="Normal 5 5 8 3" xfId="20133" xr:uid="{00000000-0005-0000-0000-0000156C0000}"/>
    <cellStyle name="Normal 5 5 8 3 2" xfId="36430" xr:uid="{00000000-0005-0000-0000-0000166C0000}"/>
    <cellStyle name="Normal 5 5 8 4" xfId="20134" xr:uid="{00000000-0005-0000-0000-0000176C0000}"/>
    <cellStyle name="Normal 5 5 8 4 2" xfId="36431" xr:uid="{00000000-0005-0000-0000-0000186C0000}"/>
    <cellStyle name="Normal 5 5 8 5" xfId="20135" xr:uid="{00000000-0005-0000-0000-0000196C0000}"/>
    <cellStyle name="Normal 5 5 8 5 2" xfId="36432" xr:uid="{00000000-0005-0000-0000-00001A6C0000}"/>
    <cellStyle name="Normal 5 5 8 6" xfId="36428" xr:uid="{00000000-0005-0000-0000-00001B6C0000}"/>
    <cellStyle name="Normal 5 5 9" xfId="20136" xr:uid="{00000000-0005-0000-0000-00001C6C0000}"/>
    <cellStyle name="Normal 5 5 9 2" xfId="20137" xr:uid="{00000000-0005-0000-0000-00001D6C0000}"/>
    <cellStyle name="Normal 5 5 9 2 2" xfId="36434" xr:uid="{00000000-0005-0000-0000-00001E6C0000}"/>
    <cellStyle name="Normal 5 5 9 3" xfId="20138" xr:uid="{00000000-0005-0000-0000-00001F6C0000}"/>
    <cellStyle name="Normal 5 5 9 3 2" xfId="36435" xr:uid="{00000000-0005-0000-0000-0000206C0000}"/>
    <cellStyle name="Normal 5 5 9 4" xfId="20139" xr:uid="{00000000-0005-0000-0000-0000216C0000}"/>
    <cellStyle name="Normal 5 5 9 4 2" xfId="36436" xr:uid="{00000000-0005-0000-0000-0000226C0000}"/>
    <cellStyle name="Normal 5 5 9 5" xfId="20140" xr:uid="{00000000-0005-0000-0000-0000236C0000}"/>
    <cellStyle name="Normal 5 5 9 5 2" xfId="36437" xr:uid="{00000000-0005-0000-0000-0000246C0000}"/>
    <cellStyle name="Normal 5 5 9 6" xfId="36433" xr:uid="{00000000-0005-0000-0000-0000256C0000}"/>
    <cellStyle name="Normal 5 50" xfId="20141" xr:uid="{00000000-0005-0000-0000-0000266C0000}"/>
    <cellStyle name="Normal 5 51" xfId="20142" xr:uid="{00000000-0005-0000-0000-0000276C0000}"/>
    <cellStyle name="Normal 5 52" xfId="20143" xr:uid="{00000000-0005-0000-0000-0000286C0000}"/>
    <cellStyle name="Normal 5 52 2" xfId="36438" xr:uid="{00000000-0005-0000-0000-0000296C0000}"/>
    <cellStyle name="Normal 5 53" xfId="20144" xr:uid="{00000000-0005-0000-0000-00002A6C0000}"/>
    <cellStyle name="Normal 5 53 2" xfId="36439" xr:uid="{00000000-0005-0000-0000-00002B6C0000}"/>
    <cellStyle name="Normal 5 54" xfId="20145" xr:uid="{00000000-0005-0000-0000-00002C6C0000}"/>
    <cellStyle name="Normal 5 55" xfId="20146" xr:uid="{00000000-0005-0000-0000-00002D6C0000}"/>
    <cellStyle name="Normal 5 56" xfId="20147" xr:uid="{00000000-0005-0000-0000-00002E6C0000}"/>
    <cellStyle name="Normal 5 57" xfId="20148" xr:uid="{00000000-0005-0000-0000-00002F6C0000}"/>
    <cellStyle name="Normal 5 57 2" xfId="36440" xr:uid="{00000000-0005-0000-0000-0000306C0000}"/>
    <cellStyle name="Normal 5 58" xfId="20149" xr:uid="{00000000-0005-0000-0000-0000316C0000}"/>
    <cellStyle name="Normal 5 58 2" xfId="36441" xr:uid="{00000000-0005-0000-0000-0000326C0000}"/>
    <cellStyle name="Normal 5 59" xfId="20150" xr:uid="{00000000-0005-0000-0000-0000336C0000}"/>
    <cellStyle name="Normal 5 59 2" xfId="36442" xr:uid="{00000000-0005-0000-0000-0000346C0000}"/>
    <cellStyle name="Normal 5 6" xfId="20151" xr:uid="{00000000-0005-0000-0000-0000356C0000}"/>
    <cellStyle name="Normal 5 6 10" xfId="20152" xr:uid="{00000000-0005-0000-0000-0000366C0000}"/>
    <cellStyle name="Normal 5 6 10 2" xfId="20153" xr:uid="{00000000-0005-0000-0000-0000376C0000}"/>
    <cellStyle name="Normal 5 6 10 2 2" xfId="36444" xr:uid="{00000000-0005-0000-0000-0000386C0000}"/>
    <cellStyle name="Normal 5 6 10 3" xfId="20154" xr:uid="{00000000-0005-0000-0000-0000396C0000}"/>
    <cellStyle name="Normal 5 6 10 3 2" xfId="36445" xr:uid="{00000000-0005-0000-0000-00003A6C0000}"/>
    <cellStyle name="Normal 5 6 10 4" xfId="20155" xr:uid="{00000000-0005-0000-0000-00003B6C0000}"/>
    <cellStyle name="Normal 5 6 10 4 2" xfId="36446" xr:uid="{00000000-0005-0000-0000-00003C6C0000}"/>
    <cellStyle name="Normal 5 6 10 5" xfId="20156" xr:uid="{00000000-0005-0000-0000-00003D6C0000}"/>
    <cellStyle name="Normal 5 6 10 5 2" xfId="36447" xr:uid="{00000000-0005-0000-0000-00003E6C0000}"/>
    <cellStyle name="Normal 5 6 10 6" xfId="36443" xr:uid="{00000000-0005-0000-0000-00003F6C0000}"/>
    <cellStyle name="Normal 5 6 11" xfId="20157" xr:uid="{00000000-0005-0000-0000-0000406C0000}"/>
    <cellStyle name="Normal 5 6 11 2" xfId="20158" xr:uid="{00000000-0005-0000-0000-0000416C0000}"/>
    <cellStyle name="Normal 5 6 11 2 2" xfId="36449" xr:uid="{00000000-0005-0000-0000-0000426C0000}"/>
    <cellStyle name="Normal 5 6 11 3" xfId="20159" xr:uid="{00000000-0005-0000-0000-0000436C0000}"/>
    <cellStyle name="Normal 5 6 11 3 2" xfId="36450" xr:uid="{00000000-0005-0000-0000-0000446C0000}"/>
    <cellStyle name="Normal 5 6 11 4" xfId="20160" xr:uid="{00000000-0005-0000-0000-0000456C0000}"/>
    <cellStyle name="Normal 5 6 11 4 2" xfId="36451" xr:uid="{00000000-0005-0000-0000-0000466C0000}"/>
    <cellStyle name="Normal 5 6 11 5" xfId="20161" xr:uid="{00000000-0005-0000-0000-0000476C0000}"/>
    <cellStyle name="Normal 5 6 11 5 2" xfId="36452" xr:uid="{00000000-0005-0000-0000-0000486C0000}"/>
    <cellStyle name="Normal 5 6 11 6" xfId="36448" xr:uid="{00000000-0005-0000-0000-0000496C0000}"/>
    <cellStyle name="Normal 5 6 12" xfId="20162" xr:uid="{00000000-0005-0000-0000-00004A6C0000}"/>
    <cellStyle name="Normal 5 6 12 2" xfId="20163" xr:uid="{00000000-0005-0000-0000-00004B6C0000}"/>
    <cellStyle name="Normal 5 6 12 2 2" xfId="36454" xr:uid="{00000000-0005-0000-0000-00004C6C0000}"/>
    <cellStyle name="Normal 5 6 12 3" xfId="20164" xr:uid="{00000000-0005-0000-0000-00004D6C0000}"/>
    <cellStyle name="Normal 5 6 12 3 2" xfId="36455" xr:uid="{00000000-0005-0000-0000-00004E6C0000}"/>
    <cellStyle name="Normal 5 6 12 4" xfId="20165" xr:uid="{00000000-0005-0000-0000-00004F6C0000}"/>
    <cellStyle name="Normal 5 6 12 4 2" xfId="36456" xr:uid="{00000000-0005-0000-0000-0000506C0000}"/>
    <cellStyle name="Normal 5 6 12 5" xfId="20166" xr:uid="{00000000-0005-0000-0000-0000516C0000}"/>
    <cellStyle name="Normal 5 6 12 5 2" xfId="36457" xr:uid="{00000000-0005-0000-0000-0000526C0000}"/>
    <cellStyle name="Normal 5 6 12 6" xfId="36453" xr:uid="{00000000-0005-0000-0000-0000536C0000}"/>
    <cellStyle name="Normal 5 6 13" xfId="20167" xr:uid="{00000000-0005-0000-0000-0000546C0000}"/>
    <cellStyle name="Normal 5 6 13 2" xfId="20168" xr:uid="{00000000-0005-0000-0000-0000556C0000}"/>
    <cellStyle name="Normal 5 6 13 2 2" xfId="36459" xr:uid="{00000000-0005-0000-0000-0000566C0000}"/>
    <cellStyle name="Normal 5 6 13 3" xfId="20169" xr:uid="{00000000-0005-0000-0000-0000576C0000}"/>
    <cellStyle name="Normal 5 6 13 3 2" xfId="36460" xr:uid="{00000000-0005-0000-0000-0000586C0000}"/>
    <cellStyle name="Normal 5 6 13 4" xfId="20170" xr:uid="{00000000-0005-0000-0000-0000596C0000}"/>
    <cellStyle name="Normal 5 6 13 4 2" xfId="36461" xr:uid="{00000000-0005-0000-0000-00005A6C0000}"/>
    <cellStyle name="Normal 5 6 13 5" xfId="20171" xr:uid="{00000000-0005-0000-0000-00005B6C0000}"/>
    <cellStyle name="Normal 5 6 13 5 2" xfId="36462" xr:uid="{00000000-0005-0000-0000-00005C6C0000}"/>
    <cellStyle name="Normal 5 6 13 6" xfId="36458" xr:uid="{00000000-0005-0000-0000-00005D6C0000}"/>
    <cellStyle name="Normal 5 6 14" xfId="20172" xr:uid="{00000000-0005-0000-0000-00005E6C0000}"/>
    <cellStyle name="Normal 5 6 14 2" xfId="20173" xr:uid="{00000000-0005-0000-0000-00005F6C0000}"/>
    <cellStyle name="Normal 5 6 14 2 2" xfId="36464" xr:uid="{00000000-0005-0000-0000-0000606C0000}"/>
    <cellStyle name="Normal 5 6 14 3" xfId="20174" xr:uid="{00000000-0005-0000-0000-0000616C0000}"/>
    <cellStyle name="Normal 5 6 14 3 2" xfId="36465" xr:uid="{00000000-0005-0000-0000-0000626C0000}"/>
    <cellStyle name="Normal 5 6 14 4" xfId="20175" xr:uid="{00000000-0005-0000-0000-0000636C0000}"/>
    <cellStyle name="Normal 5 6 14 4 2" xfId="36466" xr:uid="{00000000-0005-0000-0000-0000646C0000}"/>
    <cellStyle name="Normal 5 6 14 5" xfId="20176" xr:uid="{00000000-0005-0000-0000-0000656C0000}"/>
    <cellStyle name="Normal 5 6 14 5 2" xfId="36467" xr:uid="{00000000-0005-0000-0000-0000666C0000}"/>
    <cellStyle name="Normal 5 6 14 6" xfId="36463" xr:uid="{00000000-0005-0000-0000-0000676C0000}"/>
    <cellStyle name="Normal 5 6 15" xfId="20177" xr:uid="{00000000-0005-0000-0000-0000686C0000}"/>
    <cellStyle name="Normal 5 6 15 2" xfId="20178" xr:uid="{00000000-0005-0000-0000-0000696C0000}"/>
    <cellStyle name="Normal 5 6 15 2 2" xfId="36469" xr:uid="{00000000-0005-0000-0000-00006A6C0000}"/>
    <cellStyle name="Normal 5 6 15 3" xfId="20179" xr:uid="{00000000-0005-0000-0000-00006B6C0000}"/>
    <cellStyle name="Normal 5 6 15 3 2" xfId="36470" xr:uid="{00000000-0005-0000-0000-00006C6C0000}"/>
    <cellStyle name="Normal 5 6 15 4" xfId="20180" xr:uid="{00000000-0005-0000-0000-00006D6C0000}"/>
    <cellStyle name="Normal 5 6 15 4 2" xfId="36471" xr:uid="{00000000-0005-0000-0000-00006E6C0000}"/>
    <cellStyle name="Normal 5 6 15 5" xfId="20181" xr:uid="{00000000-0005-0000-0000-00006F6C0000}"/>
    <cellStyle name="Normal 5 6 15 5 2" xfId="36472" xr:uid="{00000000-0005-0000-0000-0000706C0000}"/>
    <cellStyle name="Normal 5 6 15 6" xfId="36468" xr:uid="{00000000-0005-0000-0000-0000716C0000}"/>
    <cellStyle name="Normal 5 6 16" xfId="20182" xr:uid="{00000000-0005-0000-0000-0000726C0000}"/>
    <cellStyle name="Normal 5 6 16 2" xfId="20183" xr:uid="{00000000-0005-0000-0000-0000736C0000}"/>
    <cellStyle name="Normal 5 6 16 2 2" xfId="36474" xr:uid="{00000000-0005-0000-0000-0000746C0000}"/>
    <cellStyle name="Normal 5 6 16 3" xfId="20184" xr:uid="{00000000-0005-0000-0000-0000756C0000}"/>
    <cellStyle name="Normal 5 6 16 3 2" xfId="36475" xr:uid="{00000000-0005-0000-0000-0000766C0000}"/>
    <cellStyle name="Normal 5 6 16 4" xfId="20185" xr:uid="{00000000-0005-0000-0000-0000776C0000}"/>
    <cellStyle name="Normal 5 6 16 4 2" xfId="36476" xr:uid="{00000000-0005-0000-0000-0000786C0000}"/>
    <cellStyle name="Normal 5 6 16 5" xfId="20186" xr:uid="{00000000-0005-0000-0000-0000796C0000}"/>
    <cellStyle name="Normal 5 6 16 5 2" xfId="36477" xr:uid="{00000000-0005-0000-0000-00007A6C0000}"/>
    <cellStyle name="Normal 5 6 16 6" xfId="36473" xr:uid="{00000000-0005-0000-0000-00007B6C0000}"/>
    <cellStyle name="Normal 5 6 17" xfId="20187" xr:uid="{00000000-0005-0000-0000-00007C6C0000}"/>
    <cellStyle name="Normal 5 6 17 2" xfId="20188" xr:uid="{00000000-0005-0000-0000-00007D6C0000}"/>
    <cellStyle name="Normal 5 6 17 2 2" xfId="36479" xr:uid="{00000000-0005-0000-0000-00007E6C0000}"/>
    <cellStyle name="Normal 5 6 17 3" xfId="20189" xr:uid="{00000000-0005-0000-0000-00007F6C0000}"/>
    <cellStyle name="Normal 5 6 17 3 2" xfId="36480" xr:uid="{00000000-0005-0000-0000-0000806C0000}"/>
    <cellStyle name="Normal 5 6 17 4" xfId="20190" xr:uid="{00000000-0005-0000-0000-0000816C0000}"/>
    <cellStyle name="Normal 5 6 17 4 2" xfId="36481" xr:uid="{00000000-0005-0000-0000-0000826C0000}"/>
    <cellStyle name="Normal 5 6 17 5" xfId="20191" xr:uid="{00000000-0005-0000-0000-0000836C0000}"/>
    <cellStyle name="Normal 5 6 17 5 2" xfId="36482" xr:uid="{00000000-0005-0000-0000-0000846C0000}"/>
    <cellStyle name="Normal 5 6 17 6" xfId="36478" xr:uid="{00000000-0005-0000-0000-0000856C0000}"/>
    <cellStyle name="Normal 5 6 18" xfId="20192" xr:uid="{00000000-0005-0000-0000-0000866C0000}"/>
    <cellStyle name="Normal 5 6 18 2" xfId="20193" xr:uid="{00000000-0005-0000-0000-0000876C0000}"/>
    <cellStyle name="Normal 5 6 18 2 2" xfId="36484" xr:uid="{00000000-0005-0000-0000-0000886C0000}"/>
    <cellStyle name="Normal 5 6 18 3" xfId="20194" xr:uid="{00000000-0005-0000-0000-0000896C0000}"/>
    <cellStyle name="Normal 5 6 18 3 2" xfId="36485" xr:uid="{00000000-0005-0000-0000-00008A6C0000}"/>
    <cellStyle name="Normal 5 6 18 4" xfId="20195" xr:uid="{00000000-0005-0000-0000-00008B6C0000}"/>
    <cellStyle name="Normal 5 6 18 4 2" xfId="36486" xr:uid="{00000000-0005-0000-0000-00008C6C0000}"/>
    <cellStyle name="Normal 5 6 18 5" xfId="20196" xr:uid="{00000000-0005-0000-0000-00008D6C0000}"/>
    <cellStyle name="Normal 5 6 18 5 2" xfId="36487" xr:uid="{00000000-0005-0000-0000-00008E6C0000}"/>
    <cellStyle name="Normal 5 6 18 6" xfId="36483" xr:uid="{00000000-0005-0000-0000-00008F6C0000}"/>
    <cellStyle name="Normal 5 6 19" xfId="20197" xr:uid="{00000000-0005-0000-0000-0000906C0000}"/>
    <cellStyle name="Normal 5 6 19 2" xfId="20198" xr:uid="{00000000-0005-0000-0000-0000916C0000}"/>
    <cellStyle name="Normal 5 6 19 2 2" xfId="36489" xr:uid="{00000000-0005-0000-0000-0000926C0000}"/>
    <cellStyle name="Normal 5 6 19 3" xfId="20199" xr:uid="{00000000-0005-0000-0000-0000936C0000}"/>
    <cellStyle name="Normal 5 6 19 3 2" xfId="36490" xr:uid="{00000000-0005-0000-0000-0000946C0000}"/>
    <cellStyle name="Normal 5 6 19 4" xfId="20200" xr:uid="{00000000-0005-0000-0000-0000956C0000}"/>
    <cellStyle name="Normal 5 6 19 4 2" xfId="36491" xr:uid="{00000000-0005-0000-0000-0000966C0000}"/>
    <cellStyle name="Normal 5 6 19 5" xfId="20201" xr:uid="{00000000-0005-0000-0000-0000976C0000}"/>
    <cellStyle name="Normal 5 6 19 5 2" xfId="36492" xr:uid="{00000000-0005-0000-0000-0000986C0000}"/>
    <cellStyle name="Normal 5 6 19 6" xfId="36488" xr:uid="{00000000-0005-0000-0000-0000996C0000}"/>
    <cellStyle name="Normal 5 6 2" xfId="20202" xr:uid="{00000000-0005-0000-0000-00009A6C0000}"/>
    <cellStyle name="Normal 5 6 2 10" xfId="20203" xr:uid="{00000000-0005-0000-0000-00009B6C0000}"/>
    <cellStyle name="Normal 5 6 2 11" xfId="20204" xr:uid="{00000000-0005-0000-0000-00009C6C0000}"/>
    <cellStyle name="Normal 5 6 2 12" xfId="20205" xr:uid="{00000000-0005-0000-0000-00009D6C0000}"/>
    <cellStyle name="Normal 5 6 2 13" xfId="20206" xr:uid="{00000000-0005-0000-0000-00009E6C0000}"/>
    <cellStyle name="Normal 5 6 2 14" xfId="20207" xr:uid="{00000000-0005-0000-0000-00009F6C0000}"/>
    <cellStyle name="Normal 5 6 2 15" xfId="20208" xr:uid="{00000000-0005-0000-0000-0000A06C0000}"/>
    <cellStyle name="Normal 5 6 2 16" xfId="20209" xr:uid="{00000000-0005-0000-0000-0000A16C0000}"/>
    <cellStyle name="Normal 5 6 2 17" xfId="20210" xr:uid="{00000000-0005-0000-0000-0000A26C0000}"/>
    <cellStyle name="Normal 5 6 2 18" xfId="20211" xr:uid="{00000000-0005-0000-0000-0000A36C0000}"/>
    <cellStyle name="Normal 5 6 2 19" xfId="20212" xr:uid="{00000000-0005-0000-0000-0000A46C0000}"/>
    <cellStyle name="Normal 5 6 2 2" xfId="20213" xr:uid="{00000000-0005-0000-0000-0000A56C0000}"/>
    <cellStyle name="Normal 5 6 2 2 2" xfId="20214" xr:uid="{00000000-0005-0000-0000-0000A66C0000}"/>
    <cellStyle name="Normal 5 6 2 2 3" xfId="20215" xr:uid="{00000000-0005-0000-0000-0000A76C0000}"/>
    <cellStyle name="Normal 5 6 2 2 4" xfId="20216" xr:uid="{00000000-0005-0000-0000-0000A86C0000}"/>
    <cellStyle name="Normal 5 6 2 2 5" xfId="20217" xr:uid="{00000000-0005-0000-0000-0000A96C0000}"/>
    <cellStyle name="Normal 5 6 2 2 6" xfId="20218" xr:uid="{00000000-0005-0000-0000-0000AA6C0000}"/>
    <cellStyle name="Normal 5 6 2 2 7" xfId="20219" xr:uid="{00000000-0005-0000-0000-0000AB6C0000}"/>
    <cellStyle name="Normal 5 6 2 20" xfId="20220" xr:uid="{00000000-0005-0000-0000-0000AC6C0000}"/>
    <cellStyle name="Normal 5 6 2 21" xfId="20221" xr:uid="{00000000-0005-0000-0000-0000AD6C0000}"/>
    <cellStyle name="Normal 5 6 2 22" xfId="36493" xr:uid="{00000000-0005-0000-0000-0000AE6C0000}"/>
    <cellStyle name="Normal 5 6 2 3" xfId="20222" xr:uid="{00000000-0005-0000-0000-0000AF6C0000}"/>
    <cellStyle name="Normal 5 6 2 4" xfId="20223" xr:uid="{00000000-0005-0000-0000-0000B06C0000}"/>
    <cellStyle name="Normal 5 6 2 5" xfId="20224" xr:uid="{00000000-0005-0000-0000-0000B16C0000}"/>
    <cellStyle name="Normal 5 6 2 6" xfId="20225" xr:uid="{00000000-0005-0000-0000-0000B26C0000}"/>
    <cellStyle name="Normal 5 6 2 7" xfId="20226" xr:uid="{00000000-0005-0000-0000-0000B36C0000}"/>
    <cellStyle name="Normal 5 6 2 8" xfId="20227" xr:uid="{00000000-0005-0000-0000-0000B46C0000}"/>
    <cellStyle name="Normal 5 6 2 9" xfId="20228" xr:uid="{00000000-0005-0000-0000-0000B56C0000}"/>
    <cellStyle name="Normal 5 6 20" xfId="20229" xr:uid="{00000000-0005-0000-0000-0000B66C0000}"/>
    <cellStyle name="Normal 5 6 20 2" xfId="20230" xr:uid="{00000000-0005-0000-0000-0000B76C0000}"/>
    <cellStyle name="Normal 5 6 20 2 2" xfId="36495" xr:uid="{00000000-0005-0000-0000-0000B86C0000}"/>
    <cellStyle name="Normal 5 6 20 3" xfId="20231" xr:uid="{00000000-0005-0000-0000-0000B96C0000}"/>
    <cellStyle name="Normal 5 6 20 3 2" xfId="36496" xr:uid="{00000000-0005-0000-0000-0000BA6C0000}"/>
    <cellStyle name="Normal 5 6 20 4" xfId="20232" xr:uid="{00000000-0005-0000-0000-0000BB6C0000}"/>
    <cellStyle name="Normal 5 6 20 4 2" xfId="36497" xr:uid="{00000000-0005-0000-0000-0000BC6C0000}"/>
    <cellStyle name="Normal 5 6 20 5" xfId="20233" xr:uid="{00000000-0005-0000-0000-0000BD6C0000}"/>
    <cellStyle name="Normal 5 6 20 5 2" xfId="36498" xr:uid="{00000000-0005-0000-0000-0000BE6C0000}"/>
    <cellStyle name="Normal 5 6 20 6" xfId="36494" xr:uid="{00000000-0005-0000-0000-0000BF6C0000}"/>
    <cellStyle name="Normal 5 6 21" xfId="20234" xr:uid="{00000000-0005-0000-0000-0000C06C0000}"/>
    <cellStyle name="Normal 5 6 21 2" xfId="36499" xr:uid="{00000000-0005-0000-0000-0000C16C0000}"/>
    <cellStyle name="Normal 5 6 22" xfId="20235" xr:uid="{00000000-0005-0000-0000-0000C26C0000}"/>
    <cellStyle name="Normal 5 6 22 2" xfId="36500" xr:uid="{00000000-0005-0000-0000-0000C36C0000}"/>
    <cellStyle name="Normal 5 6 23" xfId="20236" xr:uid="{00000000-0005-0000-0000-0000C46C0000}"/>
    <cellStyle name="Normal 5 6 23 2" xfId="36501" xr:uid="{00000000-0005-0000-0000-0000C56C0000}"/>
    <cellStyle name="Normal 5 6 24" xfId="20237" xr:uid="{00000000-0005-0000-0000-0000C66C0000}"/>
    <cellStyle name="Normal 5 6 24 2" xfId="36502" xr:uid="{00000000-0005-0000-0000-0000C76C0000}"/>
    <cellStyle name="Normal 5 6 25" xfId="20238" xr:uid="{00000000-0005-0000-0000-0000C86C0000}"/>
    <cellStyle name="Normal 5 6 25 2" xfId="36503" xr:uid="{00000000-0005-0000-0000-0000C96C0000}"/>
    <cellStyle name="Normal 5 6 26" xfId="40744" xr:uid="{00000000-0005-0000-0000-0000CA6C0000}"/>
    <cellStyle name="Normal 5 6 3" xfId="20239" xr:uid="{00000000-0005-0000-0000-0000CB6C0000}"/>
    <cellStyle name="Normal 5 6 3 10" xfId="20240" xr:uid="{00000000-0005-0000-0000-0000CC6C0000}"/>
    <cellStyle name="Normal 5 6 3 11" xfId="20241" xr:uid="{00000000-0005-0000-0000-0000CD6C0000}"/>
    <cellStyle name="Normal 5 6 3 12" xfId="20242" xr:uid="{00000000-0005-0000-0000-0000CE6C0000}"/>
    <cellStyle name="Normal 5 6 3 13" xfId="20243" xr:uid="{00000000-0005-0000-0000-0000CF6C0000}"/>
    <cellStyle name="Normal 5 6 3 14" xfId="20244" xr:uid="{00000000-0005-0000-0000-0000D06C0000}"/>
    <cellStyle name="Normal 5 6 3 15" xfId="20245" xr:uid="{00000000-0005-0000-0000-0000D16C0000}"/>
    <cellStyle name="Normal 5 6 3 16" xfId="20246" xr:uid="{00000000-0005-0000-0000-0000D26C0000}"/>
    <cellStyle name="Normal 5 6 3 2" xfId="20247" xr:uid="{00000000-0005-0000-0000-0000D36C0000}"/>
    <cellStyle name="Normal 5 6 3 3" xfId="20248" xr:uid="{00000000-0005-0000-0000-0000D46C0000}"/>
    <cellStyle name="Normal 5 6 3 4" xfId="20249" xr:uid="{00000000-0005-0000-0000-0000D56C0000}"/>
    <cellStyle name="Normal 5 6 3 5" xfId="20250" xr:uid="{00000000-0005-0000-0000-0000D66C0000}"/>
    <cellStyle name="Normal 5 6 3 6" xfId="20251" xr:uid="{00000000-0005-0000-0000-0000D76C0000}"/>
    <cellStyle name="Normal 5 6 3 7" xfId="20252" xr:uid="{00000000-0005-0000-0000-0000D86C0000}"/>
    <cellStyle name="Normal 5 6 3 8" xfId="20253" xr:uid="{00000000-0005-0000-0000-0000D96C0000}"/>
    <cellStyle name="Normal 5 6 3 9" xfId="20254" xr:uid="{00000000-0005-0000-0000-0000DA6C0000}"/>
    <cellStyle name="Normal 5 6 4" xfId="20255" xr:uid="{00000000-0005-0000-0000-0000DB6C0000}"/>
    <cellStyle name="Normal 5 6 4 10" xfId="20256" xr:uid="{00000000-0005-0000-0000-0000DC6C0000}"/>
    <cellStyle name="Normal 5 6 4 10 2" xfId="20257" xr:uid="{00000000-0005-0000-0000-0000DD6C0000}"/>
    <cellStyle name="Normal 5 6 4 10 2 2" xfId="36506" xr:uid="{00000000-0005-0000-0000-0000DE6C0000}"/>
    <cellStyle name="Normal 5 6 4 10 3" xfId="20258" xr:uid="{00000000-0005-0000-0000-0000DF6C0000}"/>
    <cellStyle name="Normal 5 6 4 10 3 2" xfId="36507" xr:uid="{00000000-0005-0000-0000-0000E06C0000}"/>
    <cellStyle name="Normal 5 6 4 10 4" xfId="20259" xr:uid="{00000000-0005-0000-0000-0000E16C0000}"/>
    <cellStyle name="Normal 5 6 4 10 4 2" xfId="36508" xr:uid="{00000000-0005-0000-0000-0000E26C0000}"/>
    <cellStyle name="Normal 5 6 4 10 5" xfId="20260" xr:uid="{00000000-0005-0000-0000-0000E36C0000}"/>
    <cellStyle name="Normal 5 6 4 10 5 2" xfId="36509" xr:uid="{00000000-0005-0000-0000-0000E46C0000}"/>
    <cellStyle name="Normal 5 6 4 10 6" xfId="36505" xr:uid="{00000000-0005-0000-0000-0000E56C0000}"/>
    <cellStyle name="Normal 5 6 4 11" xfId="20261" xr:uid="{00000000-0005-0000-0000-0000E66C0000}"/>
    <cellStyle name="Normal 5 6 4 11 2" xfId="20262" xr:uid="{00000000-0005-0000-0000-0000E76C0000}"/>
    <cellStyle name="Normal 5 6 4 11 2 2" xfId="36511" xr:uid="{00000000-0005-0000-0000-0000E86C0000}"/>
    <cellStyle name="Normal 5 6 4 11 3" xfId="20263" xr:uid="{00000000-0005-0000-0000-0000E96C0000}"/>
    <cellStyle name="Normal 5 6 4 11 3 2" xfId="36512" xr:uid="{00000000-0005-0000-0000-0000EA6C0000}"/>
    <cellStyle name="Normal 5 6 4 11 4" xfId="20264" xr:uid="{00000000-0005-0000-0000-0000EB6C0000}"/>
    <cellStyle name="Normal 5 6 4 11 4 2" xfId="36513" xr:uid="{00000000-0005-0000-0000-0000EC6C0000}"/>
    <cellStyle name="Normal 5 6 4 11 5" xfId="20265" xr:uid="{00000000-0005-0000-0000-0000ED6C0000}"/>
    <cellStyle name="Normal 5 6 4 11 5 2" xfId="36514" xr:uid="{00000000-0005-0000-0000-0000EE6C0000}"/>
    <cellStyle name="Normal 5 6 4 11 6" xfId="36510" xr:uid="{00000000-0005-0000-0000-0000EF6C0000}"/>
    <cellStyle name="Normal 5 6 4 12" xfId="20266" xr:uid="{00000000-0005-0000-0000-0000F06C0000}"/>
    <cellStyle name="Normal 5 6 4 12 2" xfId="20267" xr:uid="{00000000-0005-0000-0000-0000F16C0000}"/>
    <cellStyle name="Normal 5 6 4 12 2 2" xfId="36516" xr:uid="{00000000-0005-0000-0000-0000F26C0000}"/>
    <cellStyle name="Normal 5 6 4 12 3" xfId="20268" xr:uid="{00000000-0005-0000-0000-0000F36C0000}"/>
    <cellStyle name="Normal 5 6 4 12 3 2" xfId="36517" xr:uid="{00000000-0005-0000-0000-0000F46C0000}"/>
    <cellStyle name="Normal 5 6 4 12 4" xfId="20269" xr:uid="{00000000-0005-0000-0000-0000F56C0000}"/>
    <cellStyle name="Normal 5 6 4 12 4 2" xfId="36518" xr:uid="{00000000-0005-0000-0000-0000F66C0000}"/>
    <cellStyle name="Normal 5 6 4 12 5" xfId="20270" xr:uid="{00000000-0005-0000-0000-0000F76C0000}"/>
    <cellStyle name="Normal 5 6 4 12 5 2" xfId="36519" xr:uid="{00000000-0005-0000-0000-0000F86C0000}"/>
    <cellStyle name="Normal 5 6 4 12 6" xfId="36515" xr:uid="{00000000-0005-0000-0000-0000F96C0000}"/>
    <cellStyle name="Normal 5 6 4 13" xfId="20271" xr:uid="{00000000-0005-0000-0000-0000FA6C0000}"/>
    <cellStyle name="Normal 5 6 4 13 2" xfId="20272" xr:uid="{00000000-0005-0000-0000-0000FB6C0000}"/>
    <cellStyle name="Normal 5 6 4 13 2 2" xfId="36521" xr:uid="{00000000-0005-0000-0000-0000FC6C0000}"/>
    <cellStyle name="Normal 5 6 4 13 3" xfId="20273" xr:uid="{00000000-0005-0000-0000-0000FD6C0000}"/>
    <cellStyle name="Normal 5 6 4 13 3 2" xfId="36522" xr:uid="{00000000-0005-0000-0000-0000FE6C0000}"/>
    <cellStyle name="Normal 5 6 4 13 4" xfId="20274" xr:uid="{00000000-0005-0000-0000-0000FF6C0000}"/>
    <cellStyle name="Normal 5 6 4 13 4 2" xfId="36523" xr:uid="{00000000-0005-0000-0000-0000006D0000}"/>
    <cellStyle name="Normal 5 6 4 13 5" xfId="20275" xr:uid="{00000000-0005-0000-0000-0000016D0000}"/>
    <cellStyle name="Normal 5 6 4 13 5 2" xfId="36524" xr:uid="{00000000-0005-0000-0000-0000026D0000}"/>
    <cellStyle name="Normal 5 6 4 13 6" xfId="36520" xr:uid="{00000000-0005-0000-0000-0000036D0000}"/>
    <cellStyle name="Normal 5 6 4 14" xfId="20276" xr:uid="{00000000-0005-0000-0000-0000046D0000}"/>
    <cellStyle name="Normal 5 6 4 14 2" xfId="20277" xr:uid="{00000000-0005-0000-0000-0000056D0000}"/>
    <cellStyle name="Normal 5 6 4 14 2 2" xfId="36526" xr:uid="{00000000-0005-0000-0000-0000066D0000}"/>
    <cellStyle name="Normal 5 6 4 14 3" xfId="20278" xr:uid="{00000000-0005-0000-0000-0000076D0000}"/>
    <cellStyle name="Normal 5 6 4 14 3 2" xfId="36527" xr:uid="{00000000-0005-0000-0000-0000086D0000}"/>
    <cellStyle name="Normal 5 6 4 14 4" xfId="20279" xr:uid="{00000000-0005-0000-0000-0000096D0000}"/>
    <cellStyle name="Normal 5 6 4 14 4 2" xfId="36528" xr:uid="{00000000-0005-0000-0000-00000A6D0000}"/>
    <cellStyle name="Normal 5 6 4 14 5" xfId="20280" xr:uid="{00000000-0005-0000-0000-00000B6D0000}"/>
    <cellStyle name="Normal 5 6 4 14 5 2" xfId="36529" xr:uid="{00000000-0005-0000-0000-00000C6D0000}"/>
    <cellStyle name="Normal 5 6 4 14 6" xfId="36525" xr:uid="{00000000-0005-0000-0000-00000D6D0000}"/>
    <cellStyle name="Normal 5 6 4 15" xfId="20281" xr:uid="{00000000-0005-0000-0000-00000E6D0000}"/>
    <cellStyle name="Normal 5 6 4 15 2" xfId="20282" xr:uid="{00000000-0005-0000-0000-00000F6D0000}"/>
    <cellStyle name="Normal 5 6 4 15 2 2" xfId="36531" xr:uid="{00000000-0005-0000-0000-0000106D0000}"/>
    <cellStyle name="Normal 5 6 4 15 3" xfId="20283" xr:uid="{00000000-0005-0000-0000-0000116D0000}"/>
    <cellStyle name="Normal 5 6 4 15 3 2" xfId="36532" xr:uid="{00000000-0005-0000-0000-0000126D0000}"/>
    <cellStyle name="Normal 5 6 4 15 4" xfId="20284" xr:uid="{00000000-0005-0000-0000-0000136D0000}"/>
    <cellStyle name="Normal 5 6 4 15 4 2" xfId="36533" xr:uid="{00000000-0005-0000-0000-0000146D0000}"/>
    <cellStyle name="Normal 5 6 4 15 5" xfId="20285" xr:uid="{00000000-0005-0000-0000-0000156D0000}"/>
    <cellStyle name="Normal 5 6 4 15 5 2" xfId="36534" xr:uid="{00000000-0005-0000-0000-0000166D0000}"/>
    <cellStyle name="Normal 5 6 4 15 6" xfId="36530" xr:uid="{00000000-0005-0000-0000-0000176D0000}"/>
    <cellStyle name="Normal 5 6 4 16" xfId="20286" xr:uid="{00000000-0005-0000-0000-0000186D0000}"/>
    <cellStyle name="Normal 5 6 4 16 2" xfId="20287" xr:uid="{00000000-0005-0000-0000-0000196D0000}"/>
    <cellStyle name="Normal 5 6 4 16 2 2" xfId="36536" xr:uid="{00000000-0005-0000-0000-00001A6D0000}"/>
    <cellStyle name="Normal 5 6 4 16 3" xfId="20288" xr:uid="{00000000-0005-0000-0000-00001B6D0000}"/>
    <cellStyle name="Normal 5 6 4 16 3 2" xfId="36537" xr:uid="{00000000-0005-0000-0000-00001C6D0000}"/>
    <cellStyle name="Normal 5 6 4 16 4" xfId="20289" xr:uid="{00000000-0005-0000-0000-00001D6D0000}"/>
    <cellStyle name="Normal 5 6 4 16 4 2" xfId="36538" xr:uid="{00000000-0005-0000-0000-00001E6D0000}"/>
    <cellStyle name="Normal 5 6 4 16 5" xfId="20290" xr:uid="{00000000-0005-0000-0000-00001F6D0000}"/>
    <cellStyle name="Normal 5 6 4 16 5 2" xfId="36539" xr:uid="{00000000-0005-0000-0000-0000206D0000}"/>
    <cellStyle name="Normal 5 6 4 16 6" xfId="36535" xr:uid="{00000000-0005-0000-0000-0000216D0000}"/>
    <cellStyle name="Normal 5 6 4 17" xfId="20291" xr:uid="{00000000-0005-0000-0000-0000226D0000}"/>
    <cellStyle name="Normal 5 6 4 17 2" xfId="36540" xr:uid="{00000000-0005-0000-0000-0000236D0000}"/>
    <cellStyle name="Normal 5 6 4 18" xfId="20292" xr:uid="{00000000-0005-0000-0000-0000246D0000}"/>
    <cellStyle name="Normal 5 6 4 18 2" xfId="36541" xr:uid="{00000000-0005-0000-0000-0000256D0000}"/>
    <cellStyle name="Normal 5 6 4 19" xfId="20293" xr:uid="{00000000-0005-0000-0000-0000266D0000}"/>
    <cellStyle name="Normal 5 6 4 19 2" xfId="36542" xr:uid="{00000000-0005-0000-0000-0000276D0000}"/>
    <cellStyle name="Normal 5 6 4 2" xfId="20294" xr:uid="{00000000-0005-0000-0000-0000286D0000}"/>
    <cellStyle name="Normal 5 6 4 20" xfId="20295" xr:uid="{00000000-0005-0000-0000-0000296D0000}"/>
    <cellStyle name="Normal 5 6 4 20 2" xfId="36543" xr:uid="{00000000-0005-0000-0000-00002A6D0000}"/>
    <cellStyle name="Normal 5 6 4 21" xfId="36504" xr:uid="{00000000-0005-0000-0000-00002B6D0000}"/>
    <cellStyle name="Normal 5 6 4 3" xfId="20296" xr:uid="{00000000-0005-0000-0000-00002C6D0000}"/>
    <cellStyle name="Normal 5 6 4 3 2" xfId="20297" xr:uid="{00000000-0005-0000-0000-00002D6D0000}"/>
    <cellStyle name="Normal 5 6 4 3 2 2" xfId="36545" xr:uid="{00000000-0005-0000-0000-00002E6D0000}"/>
    <cellStyle name="Normal 5 6 4 3 3" xfId="20298" xr:uid="{00000000-0005-0000-0000-00002F6D0000}"/>
    <cellStyle name="Normal 5 6 4 3 3 2" xfId="36546" xr:uid="{00000000-0005-0000-0000-0000306D0000}"/>
    <cellStyle name="Normal 5 6 4 3 4" xfId="20299" xr:uid="{00000000-0005-0000-0000-0000316D0000}"/>
    <cellStyle name="Normal 5 6 4 3 4 2" xfId="36547" xr:uid="{00000000-0005-0000-0000-0000326D0000}"/>
    <cellStyle name="Normal 5 6 4 3 5" xfId="20300" xr:uid="{00000000-0005-0000-0000-0000336D0000}"/>
    <cellStyle name="Normal 5 6 4 3 5 2" xfId="36548" xr:uid="{00000000-0005-0000-0000-0000346D0000}"/>
    <cellStyle name="Normal 5 6 4 3 6" xfId="36544" xr:uid="{00000000-0005-0000-0000-0000356D0000}"/>
    <cellStyle name="Normal 5 6 4 4" xfId="20301" xr:uid="{00000000-0005-0000-0000-0000366D0000}"/>
    <cellStyle name="Normal 5 6 4 4 2" xfId="20302" xr:uid="{00000000-0005-0000-0000-0000376D0000}"/>
    <cellStyle name="Normal 5 6 4 4 2 2" xfId="36550" xr:uid="{00000000-0005-0000-0000-0000386D0000}"/>
    <cellStyle name="Normal 5 6 4 4 3" xfId="20303" xr:uid="{00000000-0005-0000-0000-0000396D0000}"/>
    <cellStyle name="Normal 5 6 4 4 3 2" xfId="36551" xr:uid="{00000000-0005-0000-0000-00003A6D0000}"/>
    <cellStyle name="Normal 5 6 4 4 4" xfId="20304" xr:uid="{00000000-0005-0000-0000-00003B6D0000}"/>
    <cellStyle name="Normal 5 6 4 4 4 2" xfId="36552" xr:uid="{00000000-0005-0000-0000-00003C6D0000}"/>
    <cellStyle name="Normal 5 6 4 4 5" xfId="20305" xr:uid="{00000000-0005-0000-0000-00003D6D0000}"/>
    <cellStyle name="Normal 5 6 4 4 5 2" xfId="36553" xr:uid="{00000000-0005-0000-0000-00003E6D0000}"/>
    <cellStyle name="Normal 5 6 4 4 6" xfId="36549" xr:uid="{00000000-0005-0000-0000-00003F6D0000}"/>
    <cellStyle name="Normal 5 6 4 5" xfId="20306" xr:uid="{00000000-0005-0000-0000-0000406D0000}"/>
    <cellStyle name="Normal 5 6 4 5 2" xfId="20307" xr:uid="{00000000-0005-0000-0000-0000416D0000}"/>
    <cellStyle name="Normal 5 6 4 5 2 2" xfId="36555" xr:uid="{00000000-0005-0000-0000-0000426D0000}"/>
    <cellStyle name="Normal 5 6 4 5 3" xfId="20308" xr:uid="{00000000-0005-0000-0000-0000436D0000}"/>
    <cellStyle name="Normal 5 6 4 5 3 2" xfId="36556" xr:uid="{00000000-0005-0000-0000-0000446D0000}"/>
    <cellStyle name="Normal 5 6 4 5 4" xfId="20309" xr:uid="{00000000-0005-0000-0000-0000456D0000}"/>
    <cellStyle name="Normal 5 6 4 5 4 2" xfId="36557" xr:uid="{00000000-0005-0000-0000-0000466D0000}"/>
    <cellStyle name="Normal 5 6 4 5 5" xfId="20310" xr:uid="{00000000-0005-0000-0000-0000476D0000}"/>
    <cellStyle name="Normal 5 6 4 5 5 2" xfId="36558" xr:uid="{00000000-0005-0000-0000-0000486D0000}"/>
    <cellStyle name="Normal 5 6 4 5 6" xfId="36554" xr:uid="{00000000-0005-0000-0000-0000496D0000}"/>
    <cellStyle name="Normal 5 6 4 6" xfId="20311" xr:uid="{00000000-0005-0000-0000-00004A6D0000}"/>
    <cellStyle name="Normal 5 6 4 6 2" xfId="20312" xr:uid="{00000000-0005-0000-0000-00004B6D0000}"/>
    <cellStyle name="Normal 5 6 4 6 2 2" xfId="36560" xr:uid="{00000000-0005-0000-0000-00004C6D0000}"/>
    <cellStyle name="Normal 5 6 4 6 3" xfId="20313" xr:uid="{00000000-0005-0000-0000-00004D6D0000}"/>
    <cellStyle name="Normal 5 6 4 6 3 2" xfId="36561" xr:uid="{00000000-0005-0000-0000-00004E6D0000}"/>
    <cellStyle name="Normal 5 6 4 6 4" xfId="20314" xr:uid="{00000000-0005-0000-0000-00004F6D0000}"/>
    <cellStyle name="Normal 5 6 4 6 4 2" xfId="36562" xr:uid="{00000000-0005-0000-0000-0000506D0000}"/>
    <cellStyle name="Normal 5 6 4 6 5" xfId="20315" xr:uid="{00000000-0005-0000-0000-0000516D0000}"/>
    <cellStyle name="Normal 5 6 4 6 5 2" xfId="36563" xr:uid="{00000000-0005-0000-0000-0000526D0000}"/>
    <cellStyle name="Normal 5 6 4 6 6" xfId="36559" xr:uid="{00000000-0005-0000-0000-0000536D0000}"/>
    <cellStyle name="Normal 5 6 4 7" xfId="20316" xr:uid="{00000000-0005-0000-0000-0000546D0000}"/>
    <cellStyle name="Normal 5 6 4 7 2" xfId="20317" xr:uid="{00000000-0005-0000-0000-0000556D0000}"/>
    <cellStyle name="Normal 5 6 4 7 2 2" xfId="36565" xr:uid="{00000000-0005-0000-0000-0000566D0000}"/>
    <cellStyle name="Normal 5 6 4 7 3" xfId="20318" xr:uid="{00000000-0005-0000-0000-0000576D0000}"/>
    <cellStyle name="Normal 5 6 4 7 3 2" xfId="36566" xr:uid="{00000000-0005-0000-0000-0000586D0000}"/>
    <cellStyle name="Normal 5 6 4 7 4" xfId="20319" xr:uid="{00000000-0005-0000-0000-0000596D0000}"/>
    <cellStyle name="Normal 5 6 4 7 4 2" xfId="36567" xr:uid="{00000000-0005-0000-0000-00005A6D0000}"/>
    <cellStyle name="Normal 5 6 4 7 5" xfId="20320" xr:uid="{00000000-0005-0000-0000-00005B6D0000}"/>
    <cellStyle name="Normal 5 6 4 7 5 2" xfId="36568" xr:uid="{00000000-0005-0000-0000-00005C6D0000}"/>
    <cellStyle name="Normal 5 6 4 7 6" xfId="36564" xr:uid="{00000000-0005-0000-0000-00005D6D0000}"/>
    <cellStyle name="Normal 5 6 4 8" xfId="20321" xr:uid="{00000000-0005-0000-0000-00005E6D0000}"/>
    <cellStyle name="Normal 5 6 4 8 2" xfId="20322" xr:uid="{00000000-0005-0000-0000-00005F6D0000}"/>
    <cellStyle name="Normal 5 6 4 8 2 2" xfId="36570" xr:uid="{00000000-0005-0000-0000-0000606D0000}"/>
    <cellStyle name="Normal 5 6 4 8 3" xfId="20323" xr:uid="{00000000-0005-0000-0000-0000616D0000}"/>
    <cellStyle name="Normal 5 6 4 8 3 2" xfId="36571" xr:uid="{00000000-0005-0000-0000-0000626D0000}"/>
    <cellStyle name="Normal 5 6 4 8 4" xfId="20324" xr:uid="{00000000-0005-0000-0000-0000636D0000}"/>
    <cellStyle name="Normal 5 6 4 8 4 2" xfId="36572" xr:uid="{00000000-0005-0000-0000-0000646D0000}"/>
    <cellStyle name="Normal 5 6 4 8 5" xfId="20325" xr:uid="{00000000-0005-0000-0000-0000656D0000}"/>
    <cellStyle name="Normal 5 6 4 8 5 2" xfId="36573" xr:uid="{00000000-0005-0000-0000-0000666D0000}"/>
    <cellStyle name="Normal 5 6 4 8 6" xfId="36569" xr:uid="{00000000-0005-0000-0000-0000676D0000}"/>
    <cellStyle name="Normal 5 6 4 9" xfId="20326" xr:uid="{00000000-0005-0000-0000-0000686D0000}"/>
    <cellStyle name="Normal 5 6 4 9 2" xfId="20327" xr:uid="{00000000-0005-0000-0000-0000696D0000}"/>
    <cellStyle name="Normal 5 6 4 9 2 2" xfId="36575" xr:uid="{00000000-0005-0000-0000-00006A6D0000}"/>
    <cellStyle name="Normal 5 6 4 9 3" xfId="20328" xr:uid="{00000000-0005-0000-0000-00006B6D0000}"/>
    <cellStyle name="Normal 5 6 4 9 3 2" xfId="36576" xr:uid="{00000000-0005-0000-0000-00006C6D0000}"/>
    <cellStyle name="Normal 5 6 4 9 4" xfId="20329" xr:uid="{00000000-0005-0000-0000-00006D6D0000}"/>
    <cellStyle name="Normal 5 6 4 9 4 2" xfId="36577" xr:uid="{00000000-0005-0000-0000-00006E6D0000}"/>
    <cellStyle name="Normal 5 6 4 9 5" xfId="20330" xr:uid="{00000000-0005-0000-0000-00006F6D0000}"/>
    <cellStyle name="Normal 5 6 4 9 5 2" xfId="36578" xr:uid="{00000000-0005-0000-0000-0000706D0000}"/>
    <cellStyle name="Normal 5 6 4 9 6" xfId="36574" xr:uid="{00000000-0005-0000-0000-0000716D0000}"/>
    <cellStyle name="Normal 5 6 5" xfId="20331" xr:uid="{00000000-0005-0000-0000-0000726D0000}"/>
    <cellStyle name="Normal 5 6 5 2" xfId="20332" xr:uid="{00000000-0005-0000-0000-0000736D0000}"/>
    <cellStyle name="Normal 5 6 5 3" xfId="20333" xr:uid="{00000000-0005-0000-0000-0000746D0000}"/>
    <cellStyle name="Normal 5 6 5 3 2" xfId="36580" xr:uid="{00000000-0005-0000-0000-0000756D0000}"/>
    <cellStyle name="Normal 5 6 5 4" xfId="20334" xr:uid="{00000000-0005-0000-0000-0000766D0000}"/>
    <cellStyle name="Normal 5 6 5 4 2" xfId="36581" xr:uid="{00000000-0005-0000-0000-0000776D0000}"/>
    <cellStyle name="Normal 5 6 5 5" xfId="20335" xr:uid="{00000000-0005-0000-0000-0000786D0000}"/>
    <cellStyle name="Normal 5 6 5 5 2" xfId="36582" xr:uid="{00000000-0005-0000-0000-0000796D0000}"/>
    <cellStyle name="Normal 5 6 5 6" xfId="20336" xr:uid="{00000000-0005-0000-0000-00007A6D0000}"/>
    <cellStyle name="Normal 5 6 5 6 2" xfId="36583" xr:uid="{00000000-0005-0000-0000-00007B6D0000}"/>
    <cellStyle name="Normal 5 6 5 7" xfId="36579" xr:uid="{00000000-0005-0000-0000-00007C6D0000}"/>
    <cellStyle name="Normal 5 6 6" xfId="20337" xr:uid="{00000000-0005-0000-0000-00007D6D0000}"/>
    <cellStyle name="Normal 5 6 6 2" xfId="20338" xr:uid="{00000000-0005-0000-0000-00007E6D0000}"/>
    <cellStyle name="Normal 5 6 6 3" xfId="20339" xr:uid="{00000000-0005-0000-0000-00007F6D0000}"/>
    <cellStyle name="Normal 5 6 6 3 2" xfId="36585" xr:uid="{00000000-0005-0000-0000-0000806D0000}"/>
    <cellStyle name="Normal 5 6 6 4" xfId="20340" xr:uid="{00000000-0005-0000-0000-0000816D0000}"/>
    <cellStyle name="Normal 5 6 6 4 2" xfId="36586" xr:uid="{00000000-0005-0000-0000-0000826D0000}"/>
    <cellStyle name="Normal 5 6 6 5" xfId="20341" xr:uid="{00000000-0005-0000-0000-0000836D0000}"/>
    <cellStyle name="Normal 5 6 6 5 2" xfId="36587" xr:uid="{00000000-0005-0000-0000-0000846D0000}"/>
    <cellStyle name="Normal 5 6 6 6" xfId="20342" xr:uid="{00000000-0005-0000-0000-0000856D0000}"/>
    <cellStyle name="Normal 5 6 6 6 2" xfId="36588" xr:uid="{00000000-0005-0000-0000-0000866D0000}"/>
    <cellStyle name="Normal 5 6 6 7" xfId="36584" xr:uid="{00000000-0005-0000-0000-0000876D0000}"/>
    <cellStyle name="Normal 5 6 7" xfId="20343" xr:uid="{00000000-0005-0000-0000-0000886D0000}"/>
    <cellStyle name="Normal 5 6 7 2" xfId="20344" xr:uid="{00000000-0005-0000-0000-0000896D0000}"/>
    <cellStyle name="Normal 5 6 7 2 2" xfId="36590" xr:uid="{00000000-0005-0000-0000-00008A6D0000}"/>
    <cellStyle name="Normal 5 6 7 3" xfId="20345" xr:uid="{00000000-0005-0000-0000-00008B6D0000}"/>
    <cellStyle name="Normal 5 6 7 3 2" xfId="36591" xr:uid="{00000000-0005-0000-0000-00008C6D0000}"/>
    <cellStyle name="Normal 5 6 7 4" xfId="20346" xr:uid="{00000000-0005-0000-0000-00008D6D0000}"/>
    <cellStyle name="Normal 5 6 7 4 2" xfId="36592" xr:uid="{00000000-0005-0000-0000-00008E6D0000}"/>
    <cellStyle name="Normal 5 6 7 5" xfId="20347" xr:uid="{00000000-0005-0000-0000-00008F6D0000}"/>
    <cellStyle name="Normal 5 6 7 5 2" xfId="36593" xr:uid="{00000000-0005-0000-0000-0000906D0000}"/>
    <cellStyle name="Normal 5 6 7 6" xfId="36589" xr:uid="{00000000-0005-0000-0000-0000916D0000}"/>
    <cellStyle name="Normal 5 6 8" xfId="20348" xr:uid="{00000000-0005-0000-0000-0000926D0000}"/>
    <cellStyle name="Normal 5 6 8 2" xfId="20349" xr:uid="{00000000-0005-0000-0000-0000936D0000}"/>
    <cellStyle name="Normal 5 6 8 2 2" xfId="36595" xr:uid="{00000000-0005-0000-0000-0000946D0000}"/>
    <cellStyle name="Normal 5 6 8 3" xfId="20350" xr:uid="{00000000-0005-0000-0000-0000956D0000}"/>
    <cellStyle name="Normal 5 6 8 3 2" xfId="36596" xr:uid="{00000000-0005-0000-0000-0000966D0000}"/>
    <cellStyle name="Normal 5 6 8 4" xfId="20351" xr:uid="{00000000-0005-0000-0000-0000976D0000}"/>
    <cellStyle name="Normal 5 6 8 4 2" xfId="36597" xr:uid="{00000000-0005-0000-0000-0000986D0000}"/>
    <cellStyle name="Normal 5 6 8 5" xfId="20352" xr:uid="{00000000-0005-0000-0000-0000996D0000}"/>
    <cellStyle name="Normal 5 6 8 5 2" xfId="36598" xr:uid="{00000000-0005-0000-0000-00009A6D0000}"/>
    <cellStyle name="Normal 5 6 8 6" xfId="36594" xr:uid="{00000000-0005-0000-0000-00009B6D0000}"/>
    <cellStyle name="Normal 5 6 9" xfId="20353" xr:uid="{00000000-0005-0000-0000-00009C6D0000}"/>
    <cellStyle name="Normal 5 6 9 2" xfId="20354" xr:uid="{00000000-0005-0000-0000-00009D6D0000}"/>
    <cellStyle name="Normal 5 6 9 2 2" xfId="36600" xr:uid="{00000000-0005-0000-0000-00009E6D0000}"/>
    <cellStyle name="Normal 5 6 9 3" xfId="20355" xr:uid="{00000000-0005-0000-0000-00009F6D0000}"/>
    <cellStyle name="Normal 5 6 9 3 2" xfId="36601" xr:uid="{00000000-0005-0000-0000-0000A06D0000}"/>
    <cellStyle name="Normal 5 6 9 4" xfId="20356" xr:uid="{00000000-0005-0000-0000-0000A16D0000}"/>
    <cellStyle name="Normal 5 6 9 4 2" xfId="36602" xr:uid="{00000000-0005-0000-0000-0000A26D0000}"/>
    <cellStyle name="Normal 5 6 9 5" xfId="20357" xr:uid="{00000000-0005-0000-0000-0000A36D0000}"/>
    <cellStyle name="Normal 5 6 9 5 2" xfId="36603" xr:uid="{00000000-0005-0000-0000-0000A46D0000}"/>
    <cellStyle name="Normal 5 6 9 6" xfId="36599" xr:uid="{00000000-0005-0000-0000-0000A56D0000}"/>
    <cellStyle name="Normal 5 60" xfId="20358" xr:uid="{00000000-0005-0000-0000-0000A66D0000}"/>
    <cellStyle name="Normal 5 60 2" xfId="36604" xr:uid="{00000000-0005-0000-0000-0000A76D0000}"/>
    <cellStyle name="Normal 5 7" xfId="20359" xr:uid="{00000000-0005-0000-0000-0000A86D0000}"/>
    <cellStyle name="Normal 5 7 10" xfId="20360" xr:uid="{00000000-0005-0000-0000-0000A96D0000}"/>
    <cellStyle name="Normal 5 7 10 2" xfId="20361" xr:uid="{00000000-0005-0000-0000-0000AA6D0000}"/>
    <cellStyle name="Normal 5 7 10 2 2" xfId="36606" xr:uid="{00000000-0005-0000-0000-0000AB6D0000}"/>
    <cellStyle name="Normal 5 7 10 3" xfId="20362" xr:uid="{00000000-0005-0000-0000-0000AC6D0000}"/>
    <cellStyle name="Normal 5 7 10 3 2" xfId="36607" xr:uid="{00000000-0005-0000-0000-0000AD6D0000}"/>
    <cellStyle name="Normal 5 7 10 4" xfId="20363" xr:uid="{00000000-0005-0000-0000-0000AE6D0000}"/>
    <cellStyle name="Normal 5 7 10 4 2" xfId="36608" xr:uid="{00000000-0005-0000-0000-0000AF6D0000}"/>
    <cellStyle name="Normal 5 7 10 5" xfId="20364" xr:uid="{00000000-0005-0000-0000-0000B06D0000}"/>
    <cellStyle name="Normal 5 7 10 5 2" xfId="36609" xr:uid="{00000000-0005-0000-0000-0000B16D0000}"/>
    <cellStyle name="Normal 5 7 10 6" xfId="36605" xr:uid="{00000000-0005-0000-0000-0000B26D0000}"/>
    <cellStyle name="Normal 5 7 11" xfId="20365" xr:uid="{00000000-0005-0000-0000-0000B36D0000}"/>
    <cellStyle name="Normal 5 7 11 2" xfId="20366" xr:uid="{00000000-0005-0000-0000-0000B46D0000}"/>
    <cellStyle name="Normal 5 7 11 2 2" xfId="36611" xr:uid="{00000000-0005-0000-0000-0000B56D0000}"/>
    <cellStyle name="Normal 5 7 11 3" xfId="20367" xr:uid="{00000000-0005-0000-0000-0000B66D0000}"/>
    <cellStyle name="Normal 5 7 11 3 2" xfId="36612" xr:uid="{00000000-0005-0000-0000-0000B76D0000}"/>
    <cellStyle name="Normal 5 7 11 4" xfId="20368" xr:uid="{00000000-0005-0000-0000-0000B86D0000}"/>
    <cellStyle name="Normal 5 7 11 4 2" xfId="36613" xr:uid="{00000000-0005-0000-0000-0000B96D0000}"/>
    <cellStyle name="Normal 5 7 11 5" xfId="20369" xr:uid="{00000000-0005-0000-0000-0000BA6D0000}"/>
    <cellStyle name="Normal 5 7 11 5 2" xfId="36614" xr:uid="{00000000-0005-0000-0000-0000BB6D0000}"/>
    <cellStyle name="Normal 5 7 11 6" xfId="36610" xr:uid="{00000000-0005-0000-0000-0000BC6D0000}"/>
    <cellStyle name="Normal 5 7 12" xfId="20370" xr:uid="{00000000-0005-0000-0000-0000BD6D0000}"/>
    <cellStyle name="Normal 5 7 12 2" xfId="20371" xr:uid="{00000000-0005-0000-0000-0000BE6D0000}"/>
    <cellStyle name="Normal 5 7 12 2 2" xfId="36616" xr:uid="{00000000-0005-0000-0000-0000BF6D0000}"/>
    <cellStyle name="Normal 5 7 12 3" xfId="20372" xr:uid="{00000000-0005-0000-0000-0000C06D0000}"/>
    <cellStyle name="Normal 5 7 12 3 2" xfId="36617" xr:uid="{00000000-0005-0000-0000-0000C16D0000}"/>
    <cellStyle name="Normal 5 7 12 4" xfId="20373" xr:uid="{00000000-0005-0000-0000-0000C26D0000}"/>
    <cellStyle name="Normal 5 7 12 4 2" xfId="36618" xr:uid="{00000000-0005-0000-0000-0000C36D0000}"/>
    <cellStyle name="Normal 5 7 12 5" xfId="20374" xr:uid="{00000000-0005-0000-0000-0000C46D0000}"/>
    <cellStyle name="Normal 5 7 12 5 2" xfId="36619" xr:uid="{00000000-0005-0000-0000-0000C56D0000}"/>
    <cellStyle name="Normal 5 7 12 6" xfId="36615" xr:uid="{00000000-0005-0000-0000-0000C66D0000}"/>
    <cellStyle name="Normal 5 7 13" xfId="20375" xr:uid="{00000000-0005-0000-0000-0000C76D0000}"/>
    <cellStyle name="Normal 5 7 13 2" xfId="20376" xr:uid="{00000000-0005-0000-0000-0000C86D0000}"/>
    <cellStyle name="Normal 5 7 13 2 2" xfId="36621" xr:uid="{00000000-0005-0000-0000-0000C96D0000}"/>
    <cellStyle name="Normal 5 7 13 3" xfId="20377" xr:uid="{00000000-0005-0000-0000-0000CA6D0000}"/>
    <cellStyle name="Normal 5 7 13 3 2" xfId="36622" xr:uid="{00000000-0005-0000-0000-0000CB6D0000}"/>
    <cellStyle name="Normal 5 7 13 4" xfId="20378" xr:uid="{00000000-0005-0000-0000-0000CC6D0000}"/>
    <cellStyle name="Normal 5 7 13 4 2" xfId="36623" xr:uid="{00000000-0005-0000-0000-0000CD6D0000}"/>
    <cellStyle name="Normal 5 7 13 5" xfId="20379" xr:uid="{00000000-0005-0000-0000-0000CE6D0000}"/>
    <cellStyle name="Normal 5 7 13 5 2" xfId="36624" xr:uid="{00000000-0005-0000-0000-0000CF6D0000}"/>
    <cellStyle name="Normal 5 7 13 6" xfId="36620" xr:uid="{00000000-0005-0000-0000-0000D06D0000}"/>
    <cellStyle name="Normal 5 7 14" xfId="20380" xr:uid="{00000000-0005-0000-0000-0000D16D0000}"/>
    <cellStyle name="Normal 5 7 14 2" xfId="20381" xr:uid="{00000000-0005-0000-0000-0000D26D0000}"/>
    <cellStyle name="Normal 5 7 14 2 2" xfId="36626" xr:uid="{00000000-0005-0000-0000-0000D36D0000}"/>
    <cellStyle name="Normal 5 7 14 3" xfId="20382" xr:uid="{00000000-0005-0000-0000-0000D46D0000}"/>
    <cellStyle name="Normal 5 7 14 3 2" xfId="36627" xr:uid="{00000000-0005-0000-0000-0000D56D0000}"/>
    <cellStyle name="Normal 5 7 14 4" xfId="20383" xr:uid="{00000000-0005-0000-0000-0000D66D0000}"/>
    <cellStyle name="Normal 5 7 14 4 2" xfId="36628" xr:uid="{00000000-0005-0000-0000-0000D76D0000}"/>
    <cellStyle name="Normal 5 7 14 5" xfId="20384" xr:uid="{00000000-0005-0000-0000-0000D86D0000}"/>
    <cellStyle name="Normal 5 7 14 5 2" xfId="36629" xr:uid="{00000000-0005-0000-0000-0000D96D0000}"/>
    <cellStyle name="Normal 5 7 14 6" xfId="36625" xr:uid="{00000000-0005-0000-0000-0000DA6D0000}"/>
    <cellStyle name="Normal 5 7 15" xfId="20385" xr:uid="{00000000-0005-0000-0000-0000DB6D0000}"/>
    <cellStyle name="Normal 5 7 15 2" xfId="20386" xr:uid="{00000000-0005-0000-0000-0000DC6D0000}"/>
    <cellStyle name="Normal 5 7 15 2 2" xfId="36631" xr:uid="{00000000-0005-0000-0000-0000DD6D0000}"/>
    <cellStyle name="Normal 5 7 15 3" xfId="20387" xr:uid="{00000000-0005-0000-0000-0000DE6D0000}"/>
    <cellStyle name="Normal 5 7 15 3 2" xfId="36632" xr:uid="{00000000-0005-0000-0000-0000DF6D0000}"/>
    <cellStyle name="Normal 5 7 15 4" xfId="20388" xr:uid="{00000000-0005-0000-0000-0000E06D0000}"/>
    <cellStyle name="Normal 5 7 15 4 2" xfId="36633" xr:uid="{00000000-0005-0000-0000-0000E16D0000}"/>
    <cellStyle name="Normal 5 7 15 5" xfId="20389" xr:uid="{00000000-0005-0000-0000-0000E26D0000}"/>
    <cellStyle name="Normal 5 7 15 5 2" xfId="36634" xr:uid="{00000000-0005-0000-0000-0000E36D0000}"/>
    <cellStyle name="Normal 5 7 15 6" xfId="36630" xr:uid="{00000000-0005-0000-0000-0000E46D0000}"/>
    <cellStyle name="Normal 5 7 16" xfId="20390" xr:uid="{00000000-0005-0000-0000-0000E56D0000}"/>
    <cellStyle name="Normal 5 7 16 2" xfId="20391" xr:uid="{00000000-0005-0000-0000-0000E66D0000}"/>
    <cellStyle name="Normal 5 7 16 2 2" xfId="36636" xr:uid="{00000000-0005-0000-0000-0000E76D0000}"/>
    <cellStyle name="Normal 5 7 16 3" xfId="20392" xr:uid="{00000000-0005-0000-0000-0000E86D0000}"/>
    <cellStyle name="Normal 5 7 16 3 2" xfId="36637" xr:uid="{00000000-0005-0000-0000-0000E96D0000}"/>
    <cellStyle name="Normal 5 7 16 4" xfId="20393" xr:uid="{00000000-0005-0000-0000-0000EA6D0000}"/>
    <cellStyle name="Normal 5 7 16 4 2" xfId="36638" xr:uid="{00000000-0005-0000-0000-0000EB6D0000}"/>
    <cellStyle name="Normal 5 7 16 5" xfId="20394" xr:uid="{00000000-0005-0000-0000-0000EC6D0000}"/>
    <cellStyle name="Normal 5 7 16 5 2" xfId="36639" xr:uid="{00000000-0005-0000-0000-0000ED6D0000}"/>
    <cellStyle name="Normal 5 7 16 6" xfId="36635" xr:uid="{00000000-0005-0000-0000-0000EE6D0000}"/>
    <cellStyle name="Normal 5 7 17" xfId="20395" xr:uid="{00000000-0005-0000-0000-0000EF6D0000}"/>
    <cellStyle name="Normal 5 7 17 2" xfId="20396" xr:uid="{00000000-0005-0000-0000-0000F06D0000}"/>
    <cellStyle name="Normal 5 7 17 2 2" xfId="36641" xr:uid="{00000000-0005-0000-0000-0000F16D0000}"/>
    <cellStyle name="Normal 5 7 17 3" xfId="20397" xr:uid="{00000000-0005-0000-0000-0000F26D0000}"/>
    <cellStyle name="Normal 5 7 17 3 2" xfId="36642" xr:uid="{00000000-0005-0000-0000-0000F36D0000}"/>
    <cellStyle name="Normal 5 7 17 4" xfId="20398" xr:uid="{00000000-0005-0000-0000-0000F46D0000}"/>
    <cellStyle name="Normal 5 7 17 4 2" xfId="36643" xr:uid="{00000000-0005-0000-0000-0000F56D0000}"/>
    <cellStyle name="Normal 5 7 17 5" xfId="20399" xr:uid="{00000000-0005-0000-0000-0000F66D0000}"/>
    <cellStyle name="Normal 5 7 17 5 2" xfId="36644" xr:uid="{00000000-0005-0000-0000-0000F76D0000}"/>
    <cellStyle name="Normal 5 7 17 6" xfId="36640" xr:uid="{00000000-0005-0000-0000-0000F86D0000}"/>
    <cellStyle name="Normal 5 7 18" xfId="20400" xr:uid="{00000000-0005-0000-0000-0000F96D0000}"/>
    <cellStyle name="Normal 5 7 18 2" xfId="20401" xr:uid="{00000000-0005-0000-0000-0000FA6D0000}"/>
    <cellStyle name="Normal 5 7 18 2 2" xfId="36646" xr:uid="{00000000-0005-0000-0000-0000FB6D0000}"/>
    <cellStyle name="Normal 5 7 18 3" xfId="20402" xr:uid="{00000000-0005-0000-0000-0000FC6D0000}"/>
    <cellStyle name="Normal 5 7 18 3 2" xfId="36647" xr:uid="{00000000-0005-0000-0000-0000FD6D0000}"/>
    <cellStyle name="Normal 5 7 18 4" xfId="20403" xr:uid="{00000000-0005-0000-0000-0000FE6D0000}"/>
    <cellStyle name="Normal 5 7 18 4 2" xfId="36648" xr:uid="{00000000-0005-0000-0000-0000FF6D0000}"/>
    <cellStyle name="Normal 5 7 18 5" xfId="20404" xr:uid="{00000000-0005-0000-0000-0000006E0000}"/>
    <cellStyle name="Normal 5 7 18 5 2" xfId="36649" xr:uid="{00000000-0005-0000-0000-0000016E0000}"/>
    <cellStyle name="Normal 5 7 18 6" xfId="36645" xr:uid="{00000000-0005-0000-0000-0000026E0000}"/>
    <cellStyle name="Normal 5 7 19" xfId="20405" xr:uid="{00000000-0005-0000-0000-0000036E0000}"/>
    <cellStyle name="Normal 5 7 19 2" xfId="20406" xr:uid="{00000000-0005-0000-0000-0000046E0000}"/>
    <cellStyle name="Normal 5 7 19 2 2" xfId="36651" xr:uid="{00000000-0005-0000-0000-0000056E0000}"/>
    <cellStyle name="Normal 5 7 19 3" xfId="20407" xr:uid="{00000000-0005-0000-0000-0000066E0000}"/>
    <cellStyle name="Normal 5 7 19 3 2" xfId="36652" xr:uid="{00000000-0005-0000-0000-0000076E0000}"/>
    <cellStyle name="Normal 5 7 19 4" xfId="20408" xr:uid="{00000000-0005-0000-0000-0000086E0000}"/>
    <cellStyle name="Normal 5 7 19 4 2" xfId="36653" xr:uid="{00000000-0005-0000-0000-0000096E0000}"/>
    <cellStyle name="Normal 5 7 19 5" xfId="20409" xr:uid="{00000000-0005-0000-0000-00000A6E0000}"/>
    <cellStyle name="Normal 5 7 19 5 2" xfId="36654" xr:uid="{00000000-0005-0000-0000-00000B6E0000}"/>
    <cellStyle name="Normal 5 7 19 6" xfId="36650" xr:uid="{00000000-0005-0000-0000-00000C6E0000}"/>
    <cellStyle name="Normal 5 7 2" xfId="20410" xr:uid="{00000000-0005-0000-0000-00000D6E0000}"/>
    <cellStyle name="Normal 5 7 2 10" xfId="20411" xr:uid="{00000000-0005-0000-0000-00000E6E0000}"/>
    <cellStyle name="Normal 5 7 2 11" xfId="20412" xr:uid="{00000000-0005-0000-0000-00000F6E0000}"/>
    <cellStyle name="Normal 5 7 2 12" xfId="20413" xr:uid="{00000000-0005-0000-0000-0000106E0000}"/>
    <cellStyle name="Normal 5 7 2 13" xfId="20414" xr:uid="{00000000-0005-0000-0000-0000116E0000}"/>
    <cellStyle name="Normal 5 7 2 14" xfId="20415" xr:uid="{00000000-0005-0000-0000-0000126E0000}"/>
    <cellStyle name="Normal 5 7 2 15" xfId="20416" xr:uid="{00000000-0005-0000-0000-0000136E0000}"/>
    <cellStyle name="Normal 5 7 2 16" xfId="20417" xr:uid="{00000000-0005-0000-0000-0000146E0000}"/>
    <cellStyle name="Normal 5 7 2 17" xfId="20418" xr:uid="{00000000-0005-0000-0000-0000156E0000}"/>
    <cellStyle name="Normal 5 7 2 18" xfId="20419" xr:uid="{00000000-0005-0000-0000-0000166E0000}"/>
    <cellStyle name="Normal 5 7 2 19" xfId="20420" xr:uid="{00000000-0005-0000-0000-0000176E0000}"/>
    <cellStyle name="Normal 5 7 2 2" xfId="20421" xr:uid="{00000000-0005-0000-0000-0000186E0000}"/>
    <cellStyle name="Normal 5 7 2 2 2" xfId="20422" xr:uid="{00000000-0005-0000-0000-0000196E0000}"/>
    <cellStyle name="Normal 5 7 2 2 3" xfId="20423" xr:uid="{00000000-0005-0000-0000-00001A6E0000}"/>
    <cellStyle name="Normal 5 7 2 2 4" xfId="20424" xr:uid="{00000000-0005-0000-0000-00001B6E0000}"/>
    <cellStyle name="Normal 5 7 2 2 5" xfId="20425" xr:uid="{00000000-0005-0000-0000-00001C6E0000}"/>
    <cellStyle name="Normal 5 7 2 2 6" xfId="20426" xr:uid="{00000000-0005-0000-0000-00001D6E0000}"/>
    <cellStyle name="Normal 5 7 2 2 7" xfId="20427" xr:uid="{00000000-0005-0000-0000-00001E6E0000}"/>
    <cellStyle name="Normal 5 7 2 20" xfId="20428" xr:uid="{00000000-0005-0000-0000-00001F6E0000}"/>
    <cellStyle name="Normal 5 7 2 21" xfId="20429" xr:uid="{00000000-0005-0000-0000-0000206E0000}"/>
    <cellStyle name="Normal 5 7 2 22" xfId="36655" xr:uid="{00000000-0005-0000-0000-0000216E0000}"/>
    <cellStyle name="Normal 5 7 2 3" xfId="20430" xr:uid="{00000000-0005-0000-0000-0000226E0000}"/>
    <cellStyle name="Normal 5 7 2 4" xfId="20431" xr:uid="{00000000-0005-0000-0000-0000236E0000}"/>
    <cellStyle name="Normal 5 7 2 5" xfId="20432" xr:uid="{00000000-0005-0000-0000-0000246E0000}"/>
    <cellStyle name="Normal 5 7 2 6" xfId="20433" xr:uid="{00000000-0005-0000-0000-0000256E0000}"/>
    <cellStyle name="Normal 5 7 2 7" xfId="20434" xr:uid="{00000000-0005-0000-0000-0000266E0000}"/>
    <cellStyle name="Normal 5 7 2 8" xfId="20435" xr:uid="{00000000-0005-0000-0000-0000276E0000}"/>
    <cellStyle name="Normal 5 7 2 9" xfId="20436" xr:uid="{00000000-0005-0000-0000-0000286E0000}"/>
    <cellStyle name="Normal 5 7 20" xfId="20437" xr:uid="{00000000-0005-0000-0000-0000296E0000}"/>
    <cellStyle name="Normal 5 7 20 2" xfId="20438" xr:uid="{00000000-0005-0000-0000-00002A6E0000}"/>
    <cellStyle name="Normal 5 7 20 2 2" xfId="36657" xr:uid="{00000000-0005-0000-0000-00002B6E0000}"/>
    <cellStyle name="Normal 5 7 20 3" xfId="20439" xr:uid="{00000000-0005-0000-0000-00002C6E0000}"/>
    <cellStyle name="Normal 5 7 20 3 2" xfId="36658" xr:uid="{00000000-0005-0000-0000-00002D6E0000}"/>
    <cellStyle name="Normal 5 7 20 4" xfId="20440" xr:uid="{00000000-0005-0000-0000-00002E6E0000}"/>
    <cellStyle name="Normal 5 7 20 4 2" xfId="36659" xr:uid="{00000000-0005-0000-0000-00002F6E0000}"/>
    <cellStyle name="Normal 5 7 20 5" xfId="20441" xr:uid="{00000000-0005-0000-0000-0000306E0000}"/>
    <cellStyle name="Normal 5 7 20 5 2" xfId="36660" xr:uid="{00000000-0005-0000-0000-0000316E0000}"/>
    <cellStyle name="Normal 5 7 20 6" xfId="36656" xr:uid="{00000000-0005-0000-0000-0000326E0000}"/>
    <cellStyle name="Normal 5 7 21" xfId="20442" xr:uid="{00000000-0005-0000-0000-0000336E0000}"/>
    <cellStyle name="Normal 5 7 21 2" xfId="36661" xr:uid="{00000000-0005-0000-0000-0000346E0000}"/>
    <cellStyle name="Normal 5 7 22" xfId="20443" xr:uid="{00000000-0005-0000-0000-0000356E0000}"/>
    <cellStyle name="Normal 5 7 22 2" xfId="36662" xr:uid="{00000000-0005-0000-0000-0000366E0000}"/>
    <cellStyle name="Normal 5 7 23" xfId="20444" xr:uid="{00000000-0005-0000-0000-0000376E0000}"/>
    <cellStyle name="Normal 5 7 23 2" xfId="36663" xr:uid="{00000000-0005-0000-0000-0000386E0000}"/>
    <cellStyle name="Normal 5 7 24" xfId="20445" xr:uid="{00000000-0005-0000-0000-0000396E0000}"/>
    <cellStyle name="Normal 5 7 24 2" xfId="36664" xr:uid="{00000000-0005-0000-0000-00003A6E0000}"/>
    <cellStyle name="Normal 5 7 25" xfId="20446" xr:uid="{00000000-0005-0000-0000-00003B6E0000}"/>
    <cellStyle name="Normal 5 7 25 2" xfId="36665" xr:uid="{00000000-0005-0000-0000-00003C6E0000}"/>
    <cellStyle name="Normal 5 7 26" xfId="40745" xr:uid="{00000000-0005-0000-0000-00003D6E0000}"/>
    <cellStyle name="Normal 5 7 3" xfId="20447" xr:uid="{00000000-0005-0000-0000-00003E6E0000}"/>
    <cellStyle name="Normal 5 7 3 10" xfId="20448" xr:uid="{00000000-0005-0000-0000-00003F6E0000}"/>
    <cellStyle name="Normal 5 7 3 11" xfId="20449" xr:uid="{00000000-0005-0000-0000-0000406E0000}"/>
    <cellStyle name="Normal 5 7 3 12" xfId="20450" xr:uid="{00000000-0005-0000-0000-0000416E0000}"/>
    <cellStyle name="Normal 5 7 3 13" xfId="20451" xr:uid="{00000000-0005-0000-0000-0000426E0000}"/>
    <cellStyle name="Normal 5 7 3 14" xfId="20452" xr:uid="{00000000-0005-0000-0000-0000436E0000}"/>
    <cellStyle name="Normal 5 7 3 15" xfId="20453" xr:uid="{00000000-0005-0000-0000-0000446E0000}"/>
    <cellStyle name="Normal 5 7 3 16" xfId="20454" xr:uid="{00000000-0005-0000-0000-0000456E0000}"/>
    <cellStyle name="Normal 5 7 3 2" xfId="20455" xr:uid="{00000000-0005-0000-0000-0000466E0000}"/>
    <cellStyle name="Normal 5 7 3 3" xfId="20456" xr:uid="{00000000-0005-0000-0000-0000476E0000}"/>
    <cellStyle name="Normal 5 7 3 4" xfId="20457" xr:uid="{00000000-0005-0000-0000-0000486E0000}"/>
    <cellStyle name="Normal 5 7 3 5" xfId="20458" xr:uid="{00000000-0005-0000-0000-0000496E0000}"/>
    <cellStyle name="Normal 5 7 3 6" xfId="20459" xr:uid="{00000000-0005-0000-0000-00004A6E0000}"/>
    <cellStyle name="Normal 5 7 3 7" xfId="20460" xr:uid="{00000000-0005-0000-0000-00004B6E0000}"/>
    <cellStyle name="Normal 5 7 3 8" xfId="20461" xr:uid="{00000000-0005-0000-0000-00004C6E0000}"/>
    <cellStyle name="Normal 5 7 3 9" xfId="20462" xr:uid="{00000000-0005-0000-0000-00004D6E0000}"/>
    <cellStyle name="Normal 5 7 4" xfId="20463" xr:uid="{00000000-0005-0000-0000-00004E6E0000}"/>
    <cellStyle name="Normal 5 7 4 10" xfId="20464" xr:uid="{00000000-0005-0000-0000-00004F6E0000}"/>
    <cellStyle name="Normal 5 7 4 10 2" xfId="20465" xr:uid="{00000000-0005-0000-0000-0000506E0000}"/>
    <cellStyle name="Normal 5 7 4 10 2 2" xfId="36668" xr:uid="{00000000-0005-0000-0000-0000516E0000}"/>
    <cellStyle name="Normal 5 7 4 10 3" xfId="20466" xr:uid="{00000000-0005-0000-0000-0000526E0000}"/>
    <cellStyle name="Normal 5 7 4 10 3 2" xfId="36669" xr:uid="{00000000-0005-0000-0000-0000536E0000}"/>
    <cellStyle name="Normal 5 7 4 10 4" xfId="20467" xr:uid="{00000000-0005-0000-0000-0000546E0000}"/>
    <cellStyle name="Normal 5 7 4 10 4 2" xfId="36670" xr:uid="{00000000-0005-0000-0000-0000556E0000}"/>
    <cellStyle name="Normal 5 7 4 10 5" xfId="20468" xr:uid="{00000000-0005-0000-0000-0000566E0000}"/>
    <cellStyle name="Normal 5 7 4 10 5 2" xfId="36671" xr:uid="{00000000-0005-0000-0000-0000576E0000}"/>
    <cellStyle name="Normal 5 7 4 10 6" xfId="36667" xr:uid="{00000000-0005-0000-0000-0000586E0000}"/>
    <cellStyle name="Normal 5 7 4 11" xfId="20469" xr:uid="{00000000-0005-0000-0000-0000596E0000}"/>
    <cellStyle name="Normal 5 7 4 11 2" xfId="20470" xr:uid="{00000000-0005-0000-0000-00005A6E0000}"/>
    <cellStyle name="Normal 5 7 4 11 2 2" xfId="36673" xr:uid="{00000000-0005-0000-0000-00005B6E0000}"/>
    <cellStyle name="Normal 5 7 4 11 3" xfId="20471" xr:uid="{00000000-0005-0000-0000-00005C6E0000}"/>
    <cellStyle name="Normal 5 7 4 11 3 2" xfId="36674" xr:uid="{00000000-0005-0000-0000-00005D6E0000}"/>
    <cellStyle name="Normal 5 7 4 11 4" xfId="20472" xr:uid="{00000000-0005-0000-0000-00005E6E0000}"/>
    <cellStyle name="Normal 5 7 4 11 4 2" xfId="36675" xr:uid="{00000000-0005-0000-0000-00005F6E0000}"/>
    <cellStyle name="Normal 5 7 4 11 5" xfId="20473" xr:uid="{00000000-0005-0000-0000-0000606E0000}"/>
    <cellStyle name="Normal 5 7 4 11 5 2" xfId="36676" xr:uid="{00000000-0005-0000-0000-0000616E0000}"/>
    <cellStyle name="Normal 5 7 4 11 6" xfId="36672" xr:uid="{00000000-0005-0000-0000-0000626E0000}"/>
    <cellStyle name="Normal 5 7 4 12" xfId="20474" xr:uid="{00000000-0005-0000-0000-0000636E0000}"/>
    <cellStyle name="Normal 5 7 4 12 2" xfId="20475" xr:uid="{00000000-0005-0000-0000-0000646E0000}"/>
    <cellStyle name="Normal 5 7 4 12 2 2" xfId="36678" xr:uid="{00000000-0005-0000-0000-0000656E0000}"/>
    <cellStyle name="Normal 5 7 4 12 3" xfId="20476" xr:uid="{00000000-0005-0000-0000-0000666E0000}"/>
    <cellStyle name="Normal 5 7 4 12 3 2" xfId="36679" xr:uid="{00000000-0005-0000-0000-0000676E0000}"/>
    <cellStyle name="Normal 5 7 4 12 4" xfId="20477" xr:uid="{00000000-0005-0000-0000-0000686E0000}"/>
    <cellStyle name="Normal 5 7 4 12 4 2" xfId="36680" xr:uid="{00000000-0005-0000-0000-0000696E0000}"/>
    <cellStyle name="Normal 5 7 4 12 5" xfId="20478" xr:uid="{00000000-0005-0000-0000-00006A6E0000}"/>
    <cellStyle name="Normal 5 7 4 12 5 2" xfId="36681" xr:uid="{00000000-0005-0000-0000-00006B6E0000}"/>
    <cellStyle name="Normal 5 7 4 12 6" xfId="36677" xr:uid="{00000000-0005-0000-0000-00006C6E0000}"/>
    <cellStyle name="Normal 5 7 4 13" xfId="20479" xr:uid="{00000000-0005-0000-0000-00006D6E0000}"/>
    <cellStyle name="Normal 5 7 4 13 2" xfId="20480" xr:uid="{00000000-0005-0000-0000-00006E6E0000}"/>
    <cellStyle name="Normal 5 7 4 13 2 2" xfId="36683" xr:uid="{00000000-0005-0000-0000-00006F6E0000}"/>
    <cellStyle name="Normal 5 7 4 13 3" xfId="20481" xr:uid="{00000000-0005-0000-0000-0000706E0000}"/>
    <cellStyle name="Normal 5 7 4 13 3 2" xfId="36684" xr:uid="{00000000-0005-0000-0000-0000716E0000}"/>
    <cellStyle name="Normal 5 7 4 13 4" xfId="20482" xr:uid="{00000000-0005-0000-0000-0000726E0000}"/>
    <cellStyle name="Normal 5 7 4 13 4 2" xfId="36685" xr:uid="{00000000-0005-0000-0000-0000736E0000}"/>
    <cellStyle name="Normal 5 7 4 13 5" xfId="20483" xr:uid="{00000000-0005-0000-0000-0000746E0000}"/>
    <cellStyle name="Normal 5 7 4 13 5 2" xfId="36686" xr:uid="{00000000-0005-0000-0000-0000756E0000}"/>
    <cellStyle name="Normal 5 7 4 13 6" xfId="36682" xr:uid="{00000000-0005-0000-0000-0000766E0000}"/>
    <cellStyle name="Normal 5 7 4 14" xfId="20484" xr:uid="{00000000-0005-0000-0000-0000776E0000}"/>
    <cellStyle name="Normal 5 7 4 14 2" xfId="20485" xr:uid="{00000000-0005-0000-0000-0000786E0000}"/>
    <cellStyle name="Normal 5 7 4 14 2 2" xfId="36688" xr:uid="{00000000-0005-0000-0000-0000796E0000}"/>
    <cellStyle name="Normal 5 7 4 14 3" xfId="20486" xr:uid="{00000000-0005-0000-0000-00007A6E0000}"/>
    <cellStyle name="Normal 5 7 4 14 3 2" xfId="36689" xr:uid="{00000000-0005-0000-0000-00007B6E0000}"/>
    <cellStyle name="Normal 5 7 4 14 4" xfId="20487" xr:uid="{00000000-0005-0000-0000-00007C6E0000}"/>
    <cellStyle name="Normal 5 7 4 14 4 2" xfId="36690" xr:uid="{00000000-0005-0000-0000-00007D6E0000}"/>
    <cellStyle name="Normal 5 7 4 14 5" xfId="20488" xr:uid="{00000000-0005-0000-0000-00007E6E0000}"/>
    <cellStyle name="Normal 5 7 4 14 5 2" xfId="36691" xr:uid="{00000000-0005-0000-0000-00007F6E0000}"/>
    <cellStyle name="Normal 5 7 4 14 6" xfId="36687" xr:uid="{00000000-0005-0000-0000-0000806E0000}"/>
    <cellStyle name="Normal 5 7 4 15" xfId="20489" xr:uid="{00000000-0005-0000-0000-0000816E0000}"/>
    <cellStyle name="Normal 5 7 4 15 2" xfId="20490" xr:uid="{00000000-0005-0000-0000-0000826E0000}"/>
    <cellStyle name="Normal 5 7 4 15 2 2" xfId="36693" xr:uid="{00000000-0005-0000-0000-0000836E0000}"/>
    <cellStyle name="Normal 5 7 4 15 3" xfId="20491" xr:uid="{00000000-0005-0000-0000-0000846E0000}"/>
    <cellStyle name="Normal 5 7 4 15 3 2" xfId="36694" xr:uid="{00000000-0005-0000-0000-0000856E0000}"/>
    <cellStyle name="Normal 5 7 4 15 4" xfId="20492" xr:uid="{00000000-0005-0000-0000-0000866E0000}"/>
    <cellStyle name="Normal 5 7 4 15 4 2" xfId="36695" xr:uid="{00000000-0005-0000-0000-0000876E0000}"/>
    <cellStyle name="Normal 5 7 4 15 5" xfId="20493" xr:uid="{00000000-0005-0000-0000-0000886E0000}"/>
    <cellStyle name="Normal 5 7 4 15 5 2" xfId="36696" xr:uid="{00000000-0005-0000-0000-0000896E0000}"/>
    <cellStyle name="Normal 5 7 4 15 6" xfId="36692" xr:uid="{00000000-0005-0000-0000-00008A6E0000}"/>
    <cellStyle name="Normal 5 7 4 16" xfId="20494" xr:uid="{00000000-0005-0000-0000-00008B6E0000}"/>
    <cellStyle name="Normal 5 7 4 16 2" xfId="20495" xr:uid="{00000000-0005-0000-0000-00008C6E0000}"/>
    <cellStyle name="Normal 5 7 4 16 2 2" xfId="36698" xr:uid="{00000000-0005-0000-0000-00008D6E0000}"/>
    <cellStyle name="Normal 5 7 4 16 3" xfId="20496" xr:uid="{00000000-0005-0000-0000-00008E6E0000}"/>
    <cellStyle name="Normal 5 7 4 16 3 2" xfId="36699" xr:uid="{00000000-0005-0000-0000-00008F6E0000}"/>
    <cellStyle name="Normal 5 7 4 16 4" xfId="20497" xr:uid="{00000000-0005-0000-0000-0000906E0000}"/>
    <cellStyle name="Normal 5 7 4 16 4 2" xfId="36700" xr:uid="{00000000-0005-0000-0000-0000916E0000}"/>
    <cellStyle name="Normal 5 7 4 16 5" xfId="20498" xr:uid="{00000000-0005-0000-0000-0000926E0000}"/>
    <cellStyle name="Normal 5 7 4 16 5 2" xfId="36701" xr:uid="{00000000-0005-0000-0000-0000936E0000}"/>
    <cellStyle name="Normal 5 7 4 16 6" xfId="36697" xr:uid="{00000000-0005-0000-0000-0000946E0000}"/>
    <cellStyle name="Normal 5 7 4 17" xfId="20499" xr:uid="{00000000-0005-0000-0000-0000956E0000}"/>
    <cellStyle name="Normal 5 7 4 17 2" xfId="36702" xr:uid="{00000000-0005-0000-0000-0000966E0000}"/>
    <cellStyle name="Normal 5 7 4 18" xfId="20500" xr:uid="{00000000-0005-0000-0000-0000976E0000}"/>
    <cellStyle name="Normal 5 7 4 18 2" xfId="36703" xr:uid="{00000000-0005-0000-0000-0000986E0000}"/>
    <cellStyle name="Normal 5 7 4 19" xfId="20501" xr:uid="{00000000-0005-0000-0000-0000996E0000}"/>
    <cellStyle name="Normal 5 7 4 19 2" xfId="36704" xr:uid="{00000000-0005-0000-0000-00009A6E0000}"/>
    <cellStyle name="Normal 5 7 4 2" xfId="20502" xr:uid="{00000000-0005-0000-0000-00009B6E0000}"/>
    <cellStyle name="Normal 5 7 4 20" xfId="20503" xr:uid="{00000000-0005-0000-0000-00009C6E0000}"/>
    <cellStyle name="Normal 5 7 4 20 2" xfId="36705" xr:uid="{00000000-0005-0000-0000-00009D6E0000}"/>
    <cellStyle name="Normal 5 7 4 21" xfId="36666" xr:uid="{00000000-0005-0000-0000-00009E6E0000}"/>
    <cellStyle name="Normal 5 7 4 3" xfId="20504" xr:uid="{00000000-0005-0000-0000-00009F6E0000}"/>
    <cellStyle name="Normal 5 7 4 3 2" xfId="20505" xr:uid="{00000000-0005-0000-0000-0000A06E0000}"/>
    <cellStyle name="Normal 5 7 4 3 2 2" xfId="36707" xr:uid="{00000000-0005-0000-0000-0000A16E0000}"/>
    <cellStyle name="Normal 5 7 4 3 3" xfId="20506" xr:uid="{00000000-0005-0000-0000-0000A26E0000}"/>
    <cellStyle name="Normal 5 7 4 3 3 2" xfId="36708" xr:uid="{00000000-0005-0000-0000-0000A36E0000}"/>
    <cellStyle name="Normal 5 7 4 3 4" xfId="20507" xr:uid="{00000000-0005-0000-0000-0000A46E0000}"/>
    <cellStyle name="Normal 5 7 4 3 4 2" xfId="36709" xr:uid="{00000000-0005-0000-0000-0000A56E0000}"/>
    <cellStyle name="Normal 5 7 4 3 5" xfId="20508" xr:uid="{00000000-0005-0000-0000-0000A66E0000}"/>
    <cellStyle name="Normal 5 7 4 3 5 2" xfId="36710" xr:uid="{00000000-0005-0000-0000-0000A76E0000}"/>
    <cellStyle name="Normal 5 7 4 3 6" xfId="36706" xr:uid="{00000000-0005-0000-0000-0000A86E0000}"/>
    <cellStyle name="Normal 5 7 4 4" xfId="20509" xr:uid="{00000000-0005-0000-0000-0000A96E0000}"/>
    <cellStyle name="Normal 5 7 4 4 2" xfId="20510" xr:uid="{00000000-0005-0000-0000-0000AA6E0000}"/>
    <cellStyle name="Normal 5 7 4 4 2 2" xfId="36712" xr:uid="{00000000-0005-0000-0000-0000AB6E0000}"/>
    <cellStyle name="Normal 5 7 4 4 3" xfId="20511" xr:uid="{00000000-0005-0000-0000-0000AC6E0000}"/>
    <cellStyle name="Normal 5 7 4 4 3 2" xfId="36713" xr:uid="{00000000-0005-0000-0000-0000AD6E0000}"/>
    <cellStyle name="Normal 5 7 4 4 4" xfId="20512" xr:uid="{00000000-0005-0000-0000-0000AE6E0000}"/>
    <cellStyle name="Normal 5 7 4 4 4 2" xfId="36714" xr:uid="{00000000-0005-0000-0000-0000AF6E0000}"/>
    <cellStyle name="Normal 5 7 4 4 5" xfId="20513" xr:uid="{00000000-0005-0000-0000-0000B06E0000}"/>
    <cellStyle name="Normal 5 7 4 4 5 2" xfId="36715" xr:uid="{00000000-0005-0000-0000-0000B16E0000}"/>
    <cellStyle name="Normal 5 7 4 4 6" xfId="36711" xr:uid="{00000000-0005-0000-0000-0000B26E0000}"/>
    <cellStyle name="Normal 5 7 4 5" xfId="20514" xr:uid="{00000000-0005-0000-0000-0000B36E0000}"/>
    <cellStyle name="Normal 5 7 4 5 2" xfId="20515" xr:uid="{00000000-0005-0000-0000-0000B46E0000}"/>
    <cellStyle name="Normal 5 7 4 5 2 2" xfId="36717" xr:uid="{00000000-0005-0000-0000-0000B56E0000}"/>
    <cellStyle name="Normal 5 7 4 5 3" xfId="20516" xr:uid="{00000000-0005-0000-0000-0000B66E0000}"/>
    <cellStyle name="Normal 5 7 4 5 3 2" xfId="36718" xr:uid="{00000000-0005-0000-0000-0000B76E0000}"/>
    <cellStyle name="Normal 5 7 4 5 4" xfId="20517" xr:uid="{00000000-0005-0000-0000-0000B86E0000}"/>
    <cellStyle name="Normal 5 7 4 5 4 2" xfId="36719" xr:uid="{00000000-0005-0000-0000-0000B96E0000}"/>
    <cellStyle name="Normal 5 7 4 5 5" xfId="20518" xr:uid="{00000000-0005-0000-0000-0000BA6E0000}"/>
    <cellStyle name="Normal 5 7 4 5 5 2" xfId="36720" xr:uid="{00000000-0005-0000-0000-0000BB6E0000}"/>
    <cellStyle name="Normal 5 7 4 5 6" xfId="36716" xr:uid="{00000000-0005-0000-0000-0000BC6E0000}"/>
    <cellStyle name="Normal 5 7 4 6" xfId="20519" xr:uid="{00000000-0005-0000-0000-0000BD6E0000}"/>
    <cellStyle name="Normal 5 7 4 6 2" xfId="20520" xr:uid="{00000000-0005-0000-0000-0000BE6E0000}"/>
    <cellStyle name="Normal 5 7 4 6 2 2" xfId="36722" xr:uid="{00000000-0005-0000-0000-0000BF6E0000}"/>
    <cellStyle name="Normal 5 7 4 6 3" xfId="20521" xr:uid="{00000000-0005-0000-0000-0000C06E0000}"/>
    <cellStyle name="Normal 5 7 4 6 3 2" xfId="36723" xr:uid="{00000000-0005-0000-0000-0000C16E0000}"/>
    <cellStyle name="Normal 5 7 4 6 4" xfId="20522" xr:uid="{00000000-0005-0000-0000-0000C26E0000}"/>
    <cellStyle name="Normal 5 7 4 6 4 2" xfId="36724" xr:uid="{00000000-0005-0000-0000-0000C36E0000}"/>
    <cellStyle name="Normal 5 7 4 6 5" xfId="20523" xr:uid="{00000000-0005-0000-0000-0000C46E0000}"/>
    <cellStyle name="Normal 5 7 4 6 5 2" xfId="36725" xr:uid="{00000000-0005-0000-0000-0000C56E0000}"/>
    <cellStyle name="Normal 5 7 4 6 6" xfId="36721" xr:uid="{00000000-0005-0000-0000-0000C66E0000}"/>
    <cellStyle name="Normal 5 7 4 7" xfId="20524" xr:uid="{00000000-0005-0000-0000-0000C76E0000}"/>
    <cellStyle name="Normal 5 7 4 7 2" xfId="20525" xr:uid="{00000000-0005-0000-0000-0000C86E0000}"/>
    <cellStyle name="Normal 5 7 4 7 2 2" xfId="36727" xr:uid="{00000000-0005-0000-0000-0000C96E0000}"/>
    <cellStyle name="Normal 5 7 4 7 3" xfId="20526" xr:uid="{00000000-0005-0000-0000-0000CA6E0000}"/>
    <cellStyle name="Normal 5 7 4 7 3 2" xfId="36728" xr:uid="{00000000-0005-0000-0000-0000CB6E0000}"/>
    <cellStyle name="Normal 5 7 4 7 4" xfId="20527" xr:uid="{00000000-0005-0000-0000-0000CC6E0000}"/>
    <cellStyle name="Normal 5 7 4 7 4 2" xfId="36729" xr:uid="{00000000-0005-0000-0000-0000CD6E0000}"/>
    <cellStyle name="Normal 5 7 4 7 5" xfId="20528" xr:uid="{00000000-0005-0000-0000-0000CE6E0000}"/>
    <cellStyle name="Normal 5 7 4 7 5 2" xfId="36730" xr:uid="{00000000-0005-0000-0000-0000CF6E0000}"/>
    <cellStyle name="Normal 5 7 4 7 6" xfId="36726" xr:uid="{00000000-0005-0000-0000-0000D06E0000}"/>
    <cellStyle name="Normal 5 7 4 8" xfId="20529" xr:uid="{00000000-0005-0000-0000-0000D16E0000}"/>
    <cellStyle name="Normal 5 7 4 8 2" xfId="20530" xr:uid="{00000000-0005-0000-0000-0000D26E0000}"/>
    <cellStyle name="Normal 5 7 4 8 2 2" xfId="36732" xr:uid="{00000000-0005-0000-0000-0000D36E0000}"/>
    <cellStyle name="Normal 5 7 4 8 3" xfId="20531" xr:uid="{00000000-0005-0000-0000-0000D46E0000}"/>
    <cellStyle name="Normal 5 7 4 8 3 2" xfId="36733" xr:uid="{00000000-0005-0000-0000-0000D56E0000}"/>
    <cellStyle name="Normal 5 7 4 8 4" xfId="20532" xr:uid="{00000000-0005-0000-0000-0000D66E0000}"/>
    <cellStyle name="Normal 5 7 4 8 4 2" xfId="36734" xr:uid="{00000000-0005-0000-0000-0000D76E0000}"/>
    <cellStyle name="Normal 5 7 4 8 5" xfId="20533" xr:uid="{00000000-0005-0000-0000-0000D86E0000}"/>
    <cellStyle name="Normal 5 7 4 8 5 2" xfId="36735" xr:uid="{00000000-0005-0000-0000-0000D96E0000}"/>
    <cellStyle name="Normal 5 7 4 8 6" xfId="36731" xr:uid="{00000000-0005-0000-0000-0000DA6E0000}"/>
    <cellStyle name="Normal 5 7 4 9" xfId="20534" xr:uid="{00000000-0005-0000-0000-0000DB6E0000}"/>
    <cellStyle name="Normal 5 7 4 9 2" xfId="20535" xr:uid="{00000000-0005-0000-0000-0000DC6E0000}"/>
    <cellStyle name="Normal 5 7 4 9 2 2" xfId="36737" xr:uid="{00000000-0005-0000-0000-0000DD6E0000}"/>
    <cellStyle name="Normal 5 7 4 9 3" xfId="20536" xr:uid="{00000000-0005-0000-0000-0000DE6E0000}"/>
    <cellStyle name="Normal 5 7 4 9 3 2" xfId="36738" xr:uid="{00000000-0005-0000-0000-0000DF6E0000}"/>
    <cellStyle name="Normal 5 7 4 9 4" xfId="20537" xr:uid="{00000000-0005-0000-0000-0000E06E0000}"/>
    <cellStyle name="Normal 5 7 4 9 4 2" xfId="36739" xr:uid="{00000000-0005-0000-0000-0000E16E0000}"/>
    <cellStyle name="Normal 5 7 4 9 5" xfId="20538" xr:uid="{00000000-0005-0000-0000-0000E26E0000}"/>
    <cellStyle name="Normal 5 7 4 9 5 2" xfId="36740" xr:uid="{00000000-0005-0000-0000-0000E36E0000}"/>
    <cellStyle name="Normal 5 7 4 9 6" xfId="36736" xr:uid="{00000000-0005-0000-0000-0000E46E0000}"/>
    <cellStyle name="Normal 5 7 5" xfId="20539" xr:uid="{00000000-0005-0000-0000-0000E56E0000}"/>
    <cellStyle name="Normal 5 7 5 2" xfId="20540" xr:uid="{00000000-0005-0000-0000-0000E66E0000}"/>
    <cellStyle name="Normal 5 7 5 3" xfId="20541" xr:uid="{00000000-0005-0000-0000-0000E76E0000}"/>
    <cellStyle name="Normal 5 7 5 3 2" xfId="36742" xr:uid="{00000000-0005-0000-0000-0000E86E0000}"/>
    <cellStyle name="Normal 5 7 5 4" xfId="20542" xr:uid="{00000000-0005-0000-0000-0000E96E0000}"/>
    <cellStyle name="Normal 5 7 5 4 2" xfId="36743" xr:uid="{00000000-0005-0000-0000-0000EA6E0000}"/>
    <cellStyle name="Normal 5 7 5 5" xfId="20543" xr:uid="{00000000-0005-0000-0000-0000EB6E0000}"/>
    <cellStyle name="Normal 5 7 5 5 2" xfId="36744" xr:uid="{00000000-0005-0000-0000-0000EC6E0000}"/>
    <cellStyle name="Normal 5 7 5 6" xfId="20544" xr:uid="{00000000-0005-0000-0000-0000ED6E0000}"/>
    <cellStyle name="Normal 5 7 5 6 2" xfId="36745" xr:uid="{00000000-0005-0000-0000-0000EE6E0000}"/>
    <cellStyle name="Normal 5 7 5 7" xfId="36741" xr:uid="{00000000-0005-0000-0000-0000EF6E0000}"/>
    <cellStyle name="Normal 5 7 6" xfId="20545" xr:uid="{00000000-0005-0000-0000-0000F06E0000}"/>
    <cellStyle name="Normal 5 7 6 2" xfId="20546" xr:uid="{00000000-0005-0000-0000-0000F16E0000}"/>
    <cellStyle name="Normal 5 7 6 3" xfId="20547" xr:uid="{00000000-0005-0000-0000-0000F26E0000}"/>
    <cellStyle name="Normal 5 7 6 3 2" xfId="36747" xr:uid="{00000000-0005-0000-0000-0000F36E0000}"/>
    <cellStyle name="Normal 5 7 6 4" xfId="20548" xr:uid="{00000000-0005-0000-0000-0000F46E0000}"/>
    <cellStyle name="Normal 5 7 6 4 2" xfId="36748" xr:uid="{00000000-0005-0000-0000-0000F56E0000}"/>
    <cellStyle name="Normal 5 7 6 5" xfId="20549" xr:uid="{00000000-0005-0000-0000-0000F66E0000}"/>
    <cellStyle name="Normal 5 7 6 5 2" xfId="36749" xr:uid="{00000000-0005-0000-0000-0000F76E0000}"/>
    <cellStyle name="Normal 5 7 6 6" xfId="20550" xr:uid="{00000000-0005-0000-0000-0000F86E0000}"/>
    <cellStyle name="Normal 5 7 6 6 2" xfId="36750" xr:uid="{00000000-0005-0000-0000-0000F96E0000}"/>
    <cellStyle name="Normal 5 7 6 7" xfId="36746" xr:uid="{00000000-0005-0000-0000-0000FA6E0000}"/>
    <cellStyle name="Normal 5 7 7" xfId="20551" xr:uid="{00000000-0005-0000-0000-0000FB6E0000}"/>
    <cellStyle name="Normal 5 7 7 2" xfId="20552" xr:uid="{00000000-0005-0000-0000-0000FC6E0000}"/>
    <cellStyle name="Normal 5 7 7 2 2" xfId="36752" xr:uid="{00000000-0005-0000-0000-0000FD6E0000}"/>
    <cellStyle name="Normal 5 7 7 3" xfId="20553" xr:uid="{00000000-0005-0000-0000-0000FE6E0000}"/>
    <cellStyle name="Normal 5 7 7 3 2" xfId="36753" xr:uid="{00000000-0005-0000-0000-0000FF6E0000}"/>
    <cellStyle name="Normal 5 7 7 4" xfId="20554" xr:uid="{00000000-0005-0000-0000-0000006F0000}"/>
    <cellStyle name="Normal 5 7 7 4 2" xfId="36754" xr:uid="{00000000-0005-0000-0000-0000016F0000}"/>
    <cellStyle name="Normal 5 7 7 5" xfId="20555" xr:uid="{00000000-0005-0000-0000-0000026F0000}"/>
    <cellStyle name="Normal 5 7 7 5 2" xfId="36755" xr:uid="{00000000-0005-0000-0000-0000036F0000}"/>
    <cellStyle name="Normal 5 7 7 6" xfId="36751" xr:uid="{00000000-0005-0000-0000-0000046F0000}"/>
    <cellStyle name="Normal 5 7 8" xfId="20556" xr:uid="{00000000-0005-0000-0000-0000056F0000}"/>
    <cellStyle name="Normal 5 7 8 2" xfId="20557" xr:uid="{00000000-0005-0000-0000-0000066F0000}"/>
    <cellStyle name="Normal 5 7 8 2 2" xfId="36757" xr:uid="{00000000-0005-0000-0000-0000076F0000}"/>
    <cellStyle name="Normal 5 7 8 3" xfId="20558" xr:uid="{00000000-0005-0000-0000-0000086F0000}"/>
    <cellStyle name="Normal 5 7 8 3 2" xfId="36758" xr:uid="{00000000-0005-0000-0000-0000096F0000}"/>
    <cellStyle name="Normal 5 7 8 4" xfId="20559" xr:uid="{00000000-0005-0000-0000-00000A6F0000}"/>
    <cellStyle name="Normal 5 7 8 4 2" xfId="36759" xr:uid="{00000000-0005-0000-0000-00000B6F0000}"/>
    <cellStyle name="Normal 5 7 8 5" xfId="20560" xr:uid="{00000000-0005-0000-0000-00000C6F0000}"/>
    <cellStyle name="Normal 5 7 8 5 2" xfId="36760" xr:uid="{00000000-0005-0000-0000-00000D6F0000}"/>
    <cellStyle name="Normal 5 7 8 6" xfId="36756" xr:uid="{00000000-0005-0000-0000-00000E6F0000}"/>
    <cellStyle name="Normal 5 7 9" xfId="20561" xr:uid="{00000000-0005-0000-0000-00000F6F0000}"/>
    <cellStyle name="Normal 5 7 9 2" xfId="20562" xr:uid="{00000000-0005-0000-0000-0000106F0000}"/>
    <cellStyle name="Normal 5 7 9 2 2" xfId="36762" xr:uid="{00000000-0005-0000-0000-0000116F0000}"/>
    <cellStyle name="Normal 5 7 9 3" xfId="20563" xr:uid="{00000000-0005-0000-0000-0000126F0000}"/>
    <cellStyle name="Normal 5 7 9 3 2" xfId="36763" xr:uid="{00000000-0005-0000-0000-0000136F0000}"/>
    <cellStyle name="Normal 5 7 9 4" xfId="20564" xr:uid="{00000000-0005-0000-0000-0000146F0000}"/>
    <cellStyle name="Normal 5 7 9 4 2" xfId="36764" xr:uid="{00000000-0005-0000-0000-0000156F0000}"/>
    <cellStyle name="Normal 5 7 9 5" xfId="20565" xr:uid="{00000000-0005-0000-0000-0000166F0000}"/>
    <cellStyle name="Normal 5 7 9 5 2" xfId="36765" xr:uid="{00000000-0005-0000-0000-0000176F0000}"/>
    <cellStyle name="Normal 5 7 9 6" xfId="36761" xr:uid="{00000000-0005-0000-0000-0000186F0000}"/>
    <cellStyle name="Normal 5 8" xfId="20566" xr:uid="{00000000-0005-0000-0000-0000196F0000}"/>
    <cellStyle name="Normal 5 8 10" xfId="20567" xr:uid="{00000000-0005-0000-0000-00001A6F0000}"/>
    <cellStyle name="Normal 5 8 10 2" xfId="20568" xr:uid="{00000000-0005-0000-0000-00001B6F0000}"/>
    <cellStyle name="Normal 5 8 10 2 2" xfId="36767" xr:uid="{00000000-0005-0000-0000-00001C6F0000}"/>
    <cellStyle name="Normal 5 8 10 3" xfId="20569" xr:uid="{00000000-0005-0000-0000-00001D6F0000}"/>
    <cellStyle name="Normal 5 8 10 3 2" xfId="36768" xr:uid="{00000000-0005-0000-0000-00001E6F0000}"/>
    <cellStyle name="Normal 5 8 10 4" xfId="20570" xr:uid="{00000000-0005-0000-0000-00001F6F0000}"/>
    <cellStyle name="Normal 5 8 10 4 2" xfId="36769" xr:uid="{00000000-0005-0000-0000-0000206F0000}"/>
    <cellStyle name="Normal 5 8 10 5" xfId="20571" xr:uid="{00000000-0005-0000-0000-0000216F0000}"/>
    <cellStyle name="Normal 5 8 10 5 2" xfId="36770" xr:uid="{00000000-0005-0000-0000-0000226F0000}"/>
    <cellStyle name="Normal 5 8 10 6" xfId="36766" xr:uid="{00000000-0005-0000-0000-0000236F0000}"/>
    <cellStyle name="Normal 5 8 11" xfId="20572" xr:uid="{00000000-0005-0000-0000-0000246F0000}"/>
    <cellStyle name="Normal 5 8 11 2" xfId="20573" xr:uid="{00000000-0005-0000-0000-0000256F0000}"/>
    <cellStyle name="Normal 5 8 11 2 2" xfId="36772" xr:uid="{00000000-0005-0000-0000-0000266F0000}"/>
    <cellStyle name="Normal 5 8 11 3" xfId="20574" xr:uid="{00000000-0005-0000-0000-0000276F0000}"/>
    <cellStyle name="Normal 5 8 11 3 2" xfId="36773" xr:uid="{00000000-0005-0000-0000-0000286F0000}"/>
    <cellStyle name="Normal 5 8 11 4" xfId="20575" xr:uid="{00000000-0005-0000-0000-0000296F0000}"/>
    <cellStyle name="Normal 5 8 11 4 2" xfId="36774" xr:uid="{00000000-0005-0000-0000-00002A6F0000}"/>
    <cellStyle name="Normal 5 8 11 5" xfId="20576" xr:uid="{00000000-0005-0000-0000-00002B6F0000}"/>
    <cellStyle name="Normal 5 8 11 5 2" xfId="36775" xr:uid="{00000000-0005-0000-0000-00002C6F0000}"/>
    <cellStyle name="Normal 5 8 11 6" xfId="36771" xr:uid="{00000000-0005-0000-0000-00002D6F0000}"/>
    <cellStyle name="Normal 5 8 12" xfId="20577" xr:uid="{00000000-0005-0000-0000-00002E6F0000}"/>
    <cellStyle name="Normal 5 8 12 2" xfId="20578" xr:uid="{00000000-0005-0000-0000-00002F6F0000}"/>
    <cellStyle name="Normal 5 8 12 2 2" xfId="36777" xr:uid="{00000000-0005-0000-0000-0000306F0000}"/>
    <cellStyle name="Normal 5 8 12 3" xfId="20579" xr:uid="{00000000-0005-0000-0000-0000316F0000}"/>
    <cellStyle name="Normal 5 8 12 3 2" xfId="36778" xr:uid="{00000000-0005-0000-0000-0000326F0000}"/>
    <cellStyle name="Normal 5 8 12 4" xfId="20580" xr:uid="{00000000-0005-0000-0000-0000336F0000}"/>
    <cellStyle name="Normal 5 8 12 4 2" xfId="36779" xr:uid="{00000000-0005-0000-0000-0000346F0000}"/>
    <cellStyle name="Normal 5 8 12 5" xfId="20581" xr:uid="{00000000-0005-0000-0000-0000356F0000}"/>
    <cellStyle name="Normal 5 8 12 5 2" xfId="36780" xr:uid="{00000000-0005-0000-0000-0000366F0000}"/>
    <cellStyle name="Normal 5 8 12 6" xfId="36776" xr:uid="{00000000-0005-0000-0000-0000376F0000}"/>
    <cellStyle name="Normal 5 8 13" xfId="20582" xr:uid="{00000000-0005-0000-0000-0000386F0000}"/>
    <cellStyle name="Normal 5 8 13 2" xfId="20583" xr:uid="{00000000-0005-0000-0000-0000396F0000}"/>
    <cellStyle name="Normal 5 8 13 2 2" xfId="36782" xr:uid="{00000000-0005-0000-0000-00003A6F0000}"/>
    <cellStyle name="Normal 5 8 13 3" xfId="20584" xr:uid="{00000000-0005-0000-0000-00003B6F0000}"/>
    <cellStyle name="Normal 5 8 13 3 2" xfId="36783" xr:uid="{00000000-0005-0000-0000-00003C6F0000}"/>
    <cellStyle name="Normal 5 8 13 4" xfId="20585" xr:uid="{00000000-0005-0000-0000-00003D6F0000}"/>
    <cellStyle name="Normal 5 8 13 4 2" xfId="36784" xr:uid="{00000000-0005-0000-0000-00003E6F0000}"/>
    <cellStyle name="Normal 5 8 13 5" xfId="20586" xr:uid="{00000000-0005-0000-0000-00003F6F0000}"/>
    <cellStyle name="Normal 5 8 13 5 2" xfId="36785" xr:uid="{00000000-0005-0000-0000-0000406F0000}"/>
    <cellStyle name="Normal 5 8 13 6" xfId="36781" xr:uid="{00000000-0005-0000-0000-0000416F0000}"/>
    <cellStyle name="Normal 5 8 14" xfId="20587" xr:uid="{00000000-0005-0000-0000-0000426F0000}"/>
    <cellStyle name="Normal 5 8 14 2" xfId="20588" xr:uid="{00000000-0005-0000-0000-0000436F0000}"/>
    <cellStyle name="Normal 5 8 14 2 2" xfId="36787" xr:uid="{00000000-0005-0000-0000-0000446F0000}"/>
    <cellStyle name="Normal 5 8 14 3" xfId="20589" xr:uid="{00000000-0005-0000-0000-0000456F0000}"/>
    <cellStyle name="Normal 5 8 14 3 2" xfId="36788" xr:uid="{00000000-0005-0000-0000-0000466F0000}"/>
    <cellStyle name="Normal 5 8 14 4" xfId="20590" xr:uid="{00000000-0005-0000-0000-0000476F0000}"/>
    <cellStyle name="Normal 5 8 14 4 2" xfId="36789" xr:uid="{00000000-0005-0000-0000-0000486F0000}"/>
    <cellStyle name="Normal 5 8 14 5" xfId="20591" xr:uid="{00000000-0005-0000-0000-0000496F0000}"/>
    <cellStyle name="Normal 5 8 14 5 2" xfId="36790" xr:uid="{00000000-0005-0000-0000-00004A6F0000}"/>
    <cellStyle name="Normal 5 8 14 6" xfId="36786" xr:uid="{00000000-0005-0000-0000-00004B6F0000}"/>
    <cellStyle name="Normal 5 8 15" xfId="20592" xr:uid="{00000000-0005-0000-0000-00004C6F0000}"/>
    <cellStyle name="Normal 5 8 15 2" xfId="20593" xr:uid="{00000000-0005-0000-0000-00004D6F0000}"/>
    <cellStyle name="Normal 5 8 15 2 2" xfId="36792" xr:uid="{00000000-0005-0000-0000-00004E6F0000}"/>
    <cellStyle name="Normal 5 8 15 3" xfId="20594" xr:uid="{00000000-0005-0000-0000-00004F6F0000}"/>
    <cellStyle name="Normal 5 8 15 3 2" xfId="36793" xr:uid="{00000000-0005-0000-0000-0000506F0000}"/>
    <cellStyle name="Normal 5 8 15 4" xfId="20595" xr:uid="{00000000-0005-0000-0000-0000516F0000}"/>
    <cellStyle name="Normal 5 8 15 4 2" xfId="36794" xr:uid="{00000000-0005-0000-0000-0000526F0000}"/>
    <cellStyle name="Normal 5 8 15 5" xfId="20596" xr:uid="{00000000-0005-0000-0000-0000536F0000}"/>
    <cellStyle name="Normal 5 8 15 5 2" xfId="36795" xr:uid="{00000000-0005-0000-0000-0000546F0000}"/>
    <cellStyle name="Normal 5 8 15 6" xfId="36791" xr:uid="{00000000-0005-0000-0000-0000556F0000}"/>
    <cellStyle name="Normal 5 8 16" xfId="20597" xr:uid="{00000000-0005-0000-0000-0000566F0000}"/>
    <cellStyle name="Normal 5 8 16 2" xfId="20598" xr:uid="{00000000-0005-0000-0000-0000576F0000}"/>
    <cellStyle name="Normal 5 8 16 2 2" xfId="36797" xr:uid="{00000000-0005-0000-0000-0000586F0000}"/>
    <cellStyle name="Normal 5 8 16 3" xfId="20599" xr:uid="{00000000-0005-0000-0000-0000596F0000}"/>
    <cellStyle name="Normal 5 8 16 3 2" xfId="36798" xr:uid="{00000000-0005-0000-0000-00005A6F0000}"/>
    <cellStyle name="Normal 5 8 16 4" xfId="20600" xr:uid="{00000000-0005-0000-0000-00005B6F0000}"/>
    <cellStyle name="Normal 5 8 16 4 2" xfId="36799" xr:uid="{00000000-0005-0000-0000-00005C6F0000}"/>
    <cellStyle name="Normal 5 8 16 5" xfId="20601" xr:uid="{00000000-0005-0000-0000-00005D6F0000}"/>
    <cellStyle name="Normal 5 8 16 5 2" xfId="36800" xr:uid="{00000000-0005-0000-0000-00005E6F0000}"/>
    <cellStyle name="Normal 5 8 16 6" xfId="36796" xr:uid="{00000000-0005-0000-0000-00005F6F0000}"/>
    <cellStyle name="Normal 5 8 17" xfId="20602" xr:uid="{00000000-0005-0000-0000-0000606F0000}"/>
    <cellStyle name="Normal 5 8 17 2" xfId="20603" xr:uid="{00000000-0005-0000-0000-0000616F0000}"/>
    <cellStyle name="Normal 5 8 17 2 2" xfId="36802" xr:uid="{00000000-0005-0000-0000-0000626F0000}"/>
    <cellStyle name="Normal 5 8 17 3" xfId="20604" xr:uid="{00000000-0005-0000-0000-0000636F0000}"/>
    <cellStyle name="Normal 5 8 17 3 2" xfId="36803" xr:uid="{00000000-0005-0000-0000-0000646F0000}"/>
    <cellStyle name="Normal 5 8 17 4" xfId="20605" xr:uid="{00000000-0005-0000-0000-0000656F0000}"/>
    <cellStyle name="Normal 5 8 17 4 2" xfId="36804" xr:uid="{00000000-0005-0000-0000-0000666F0000}"/>
    <cellStyle name="Normal 5 8 17 5" xfId="20606" xr:uid="{00000000-0005-0000-0000-0000676F0000}"/>
    <cellStyle name="Normal 5 8 17 5 2" xfId="36805" xr:uid="{00000000-0005-0000-0000-0000686F0000}"/>
    <cellStyle name="Normal 5 8 17 6" xfId="36801" xr:uid="{00000000-0005-0000-0000-0000696F0000}"/>
    <cellStyle name="Normal 5 8 18" xfId="20607" xr:uid="{00000000-0005-0000-0000-00006A6F0000}"/>
    <cellStyle name="Normal 5 8 18 2" xfId="20608" xr:uid="{00000000-0005-0000-0000-00006B6F0000}"/>
    <cellStyle name="Normal 5 8 18 2 2" xfId="36807" xr:uid="{00000000-0005-0000-0000-00006C6F0000}"/>
    <cellStyle name="Normal 5 8 18 3" xfId="20609" xr:uid="{00000000-0005-0000-0000-00006D6F0000}"/>
    <cellStyle name="Normal 5 8 18 3 2" xfId="36808" xr:uid="{00000000-0005-0000-0000-00006E6F0000}"/>
    <cellStyle name="Normal 5 8 18 4" xfId="20610" xr:uid="{00000000-0005-0000-0000-00006F6F0000}"/>
    <cellStyle name="Normal 5 8 18 4 2" xfId="36809" xr:uid="{00000000-0005-0000-0000-0000706F0000}"/>
    <cellStyle name="Normal 5 8 18 5" xfId="20611" xr:uid="{00000000-0005-0000-0000-0000716F0000}"/>
    <cellStyle name="Normal 5 8 18 5 2" xfId="36810" xr:uid="{00000000-0005-0000-0000-0000726F0000}"/>
    <cellStyle name="Normal 5 8 18 6" xfId="36806" xr:uid="{00000000-0005-0000-0000-0000736F0000}"/>
    <cellStyle name="Normal 5 8 19" xfId="20612" xr:uid="{00000000-0005-0000-0000-0000746F0000}"/>
    <cellStyle name="Normal 5 8 19 2" xfId="20613" xr:uid="{00000000-0005-0000-0000-0000756F0000}"/>
    <cellStyle name="Normal 5 8 19 2 2" xfId="36812" xr:uid="{00000000-0005-0000-0000-0000766F0000}"/>
    <cellStyle name="Normal 5 8 19 3" xfId="20614" xr:uid="{00000000-0005-0000-0000-0000776F0000}"/>
    <cellStyle name="Normal 5 8 19 3 2" xfId="36813" xr:uid="{00000000-0005-0000-0000-0000786F0000}"/>
    <cellStyle name="Normal 5 8 19 4" xfId="20615" xr:uid="{00000000-0005-0000-0000-0000796F0000}"/>
    <cellStyle name="Normal 5 8 19 4 2" xfId="36814" xr:uid="{00000000-0005-0000-0000-00007A6F0000}"/>
    <cellStyle name="Normal 5 8 19 5" xfId="20616" xr:uid="{00000000-0005-0000-0000-00007B6F0000}"/>
    <cellStyle name="Normal 5 8 19 5 2" xfId="36815" xr:uid="{00000000-0005-0000-0000-00007C6F0000}"/>
    <cellStyle name="Normal 5 8 19 6" xfId="36811" xr:uid="{00000000-0005-0000-0000-00007D6F0000}"/>
    <cellStyle name="Normal 5 8 2" xfId="20617" xr:uid="{00000000-0005-0000-0000-00007E6F0000}"/>
    <cellStyle name="Normal 5 8 2 10" xfId="20618" xr:uid="{00000000-0005-0000-0000-00007F6F0000}"/>
    <cellStyle name="Normal 5 8 2 11" xfId="20619" xr:uid="{00000000-0005-0000-0000-0000806F0000}"/>
    <cellStyle name="Normal 5 8 2 12" xfId="20620" xr:uid="{00000000-0005-0000-0000-0000816F0000}"/>
    <cellStyle name="Normal 5 8 2 13" xfId="20621" xr:uid="{00000000-0005-0000-0000-0000826F0000}"/>
    <cellStyle name="Normal 5 8 2 14" xfId="20622" xr:uid="{00000000-0005-0000-0000-0000836F0000}"/>
    <cellStyle name="Normal 5 8 2 15" xfId="20623" xr:uid="{00000000-0005-0000-0000-0000846F0000}"/>
    <cellStyle name="Normal 5 8 2 16" xfId="20624" xr:uid="{00000000-0005-0000-0000-0000856F0000}"/>
    <cellStyle name="Normal 5 8 2 17" xfId="20625" xr:uid="{00000000-0005-0000-0000-0000866F0000}"/>
    <cellStyle name="Normal 5 8 2 18" xfId="20626" xr:uid="{00000000-0005-0000-0000-0000876F0000}"/>
    <cellStyle name="Normal 5 8 2 19" xfId="20627" xr:uid="{00000000-0005-0000-0000-0000886F0000}"/>
    <cellStyle name="Normal 5 8 2 2" xfId="20628" xr:uid="{00000000-0005-0000-0000-0000896F0000}"/>
    <cellStyle name="Normal 5 8 2 2 2" xfId="20629" xr:uid="{00000000-0005-0000-0000-00008A6F0000}"/>
    <cellStyle name="Normal 5 8 2 2 3" xfId="20630" xr:uid="{00000000-0005-0000-0000-00008B6F0000}"/>
    <cellStyle name="Normal 5 8 2 2 4" xfId="20631" xr:uid="{00000000-0005-0000-0000-00008C6F0000}"/>
    <cellStyle name="Normal 5 8 2 2 5" xfId="20632" xr:uid="{00000000-0005-0000-0000-00008D6F0000}"/>
    <cellStyle name="Normal 5 8 2 2 6" xfId="20633" xr:uid="{00000000-0005-0000-0000-00008E6F0000}"/>
    <cellStyle name="Normal 5 8 2 2 7" xfId="20634" xr:uid="{00000000-0005-0000-0000-00008F6F0000}"/>
    <cellStyle name="Normal 5 8 2 20" xfId="20635" xr:uid="{00000000-0005-0000-0000-0000906F0000}"/>
    <cellStyle name="Normal 5 8 2 21" xfId="20636" xr:uid="{00000000-0005-0000-0000-0000916F0000}"/>
    <cellStyle name="Normal 5 8 2 22" xfId="36816" xr:uid="{00000000-0005-0000-0000-0000926F0000}"/>
    <cellStyle name="Normal 5 8 2 3" xfId="20637" xr:uid="{00000000-0005-0000-0000-0000936F0000}"/>
    <cellStyle name="Normal 5 8 2 4" xfId="20638" xr:uid="{00000000-0005-0000-0000-0000946F0000}"/>
    <cellStyle name="Normal 5 8 2 5" xfId="20639" xr:uid="{00000000-0005-0000-0000-0000956F0000}"/>
    <cellStyle name="Normal 5 8 2 6" xfId="20640" xr:uid="{00000000-0005-0000-0000-0000966F0000}"/>
    <cellStyle name="Normal 5 8 2 7" xfId="20641" xr:uid="{00000000-0005-0000-0000-0000976F0000}"/>
    <cellStyle name="Normal 5 8 2 8" xfId="20642" xr:uid="{00000000-0005-0000-0000-0000986F0000}"/>
    <cellStyle name="Normal 5 8 2 9" xfId="20643" xr:uid="{00000000-0005-0000-0000-0000996F0000}"/>
    <cellStyle name="Normal 5 8 20" xfId="20644" xr:uid="{00000000-0005-0000-0000-00009A6F0000}"/>
    <cellStyle name="Normal 5 8 20 2" xfId="20645" xr:uid="{00000000-0005-0000-0000-00009B6F0000}"/>
    <cellStyle name="Normal 5 8 20 2 2" xfId="36818" xr:uid="{00000000-0005-0000-0000-00009C6F0000}"/>
    <cellStyle name="Normal 5 8 20 3" xfId="20646" xr:uid="{00000000-0005-0000-0000-00009D6F0000}"/>
    <cellStyle name="Normal 5 8 20 3 2" xfId="36819" xr:uid="{00000000-0005-0000-0000-00009E6F0000}"/>
    <cellStyle name="Normal 5 8 20 4" xfId="20647" xr:uid="{00000000-0005-0000-0000-00009F6F0000}"/>
    <cellStyle name="Normal 5 8 20 4 2" xfId="36820" xr:uid="{00000000-0005-0000-0000-0000A06F0000}"/>
    <cellStyle name="Normal 5 8 20 5" xfId="20648" xr:uid="{00000000-0005-0000-0000-0000A16F0000}"/>
    <cellStyle name="Normal 5 8 20 5 2" xfId="36821" xr:uid="{00000000-0005-0000-0000-0000A26F0000}"/>
    <cellStyle name="Normal 5 8 20 6" xfId="36817" xr:uid="{00000000-0005-0000-0000-0000A36F0000}"/>
    <cellStyle name="Normal 5 8 21" xfId="20649" xr:uid="{00000000-0005-0000-0000-0000A46F0000}"/>
    <cellStyle name="Normal 5 8 21 2" xfId="36822" xr:uid="{00000000-0005-0000-0000-0000A56F0000}"/>
    <cellStyle name="Normal 5 8 22" xfId="20650" xr:uid="{00000000-0005-0000-0000-0000A66F0000}"/>
    <cellStyle name="Normal 5 8 22 2" xfId="36823" xr:uid="{00000000-0005-0000-0000-0000A76F0000}"/>
    <cellStyle name="Normal 5 8 23" xfId="20651" xr:uid="{00000000-0005-0000-0000-0000A86F0000}"/>
    <cellStyle name="Normal 5 8 23 2" xfId="36824" xr:uid="{00000000-0005-0000-0000-0000A96F0000}"/>
    <cellStyle name="Normal 5 8 24" xfId="20652" xr:uid="{00000000-0005-0000-0000-0000AA6F0000}"/>
    <cellStyle name="Normal 5 8 24 2" xfId="36825" xr:uid="{00000000-0005-0000-0000-0000AB6F0000}"/>
    <cellStyle name="Normal 5 8 25" xfId="20653" xr:uid="{00000000-0005-0000-0000-0000AC6F0000}"/>
    <cellStyle name="Normal 5 8 25 2" xfId="36826" xr:uid="{00000000-0005-0000-0000-0000AD6F0000}"/>
    <cellStyle name="Normal 5 8 26" xfId="40746" xr:uid="{00000000-0005-0000-0000-0000AE6F0000}"/>
    <cellStyle name="Normal 5 8 3" xfId="20654" xr:uid="{00000000-0005-0000-0000-0000AF6F0000}"/>
    <cellStyle name="Normal 5 8 3 10" xfId="20655" xr:uid="{00000000-0005-0000-0000-0000B06F0000}"/>
    <cellStyle name="Normal 5 8 3 11" xfId="20656" xr:uid="{00000000-0005-0000-0000-0000B16F0000}"/>
    <cellStyle name="Normal 5 8 3 12" xfId="20657" xr:uid="{00000000-0005-0000-0000-0000B26F0000}"/>
    <cellStyle name="Normal 5 8 3 13" xfId="20658" xr:uid="{00000000-0005-0000-0000-0000B36F0000}"/>
    <cellStyle name="Normal 5 8 3 14" xfId="20659" xr:uid="{00000000-0005-0000-0000-0000B46F0000}"/>
    <cellStyle name="Normal 5 8 3 15" xfId="20660" xr:uid="{00000000-0005-0000-0000-0000B56F0000}"/>
    <cellStyle name="Normal 5 8 3 16" xfId="20661" xr:uid="{00000000-0005-0000-0000-0000B66F0000}"/>
    <cellStyle name="Normal 5 8 3 2" xfId="20662" xr:uid="{00000000-0005-0000-0000-0000B76F0000}"/>
    <cellStyle name="Normal 5 8 3 3" xfId="20663" xr:uid="{00000000-0005-0000-0000-0000B86F0000}"/>
    <cellStyle name="Normal 5 8 3 4" xfId="20664" xr:uid="{00000000-0005-0000-0000-0000B96F0000}"/>
    <cellStyle name="Normal 5 8 3 5" xfId="20665" xr:uid="{00000000-0005-0000-0000-0000BA6F0000}"/>
    <cellStyle name="Normal 5 8 3 6" xfId="20666" xr:uid="{00000000-0005-0000-0000-0000BB6F0000}"/>
    <cellStyle name="Normal 5 8 3 7" xfId="20667" xr:uid="{00000000-0005-0000-0000-0000BC6F0000}"/>
    <cellStyle name="Normal 5 8 3 8" xfId="20668" xr:uid="{00000000-0005-0000-0000-0000BD6F0000}"/>
    <cellStyle name="Normal 5 8 3 9" xfId="20669" xr:uid="{00000000-0005-0000-0000-0000BE6F0000}"/>
    <cellStyle name="Normal 5 8 4" xfId="20670" xr:uid="{00000000-0005-0000-0000-0000BF6F0000}"/>
    <cellStyle name="Normal 5 8 4 10" xfId="20671" xr:uid="{00000000-0005-0000-0000-0000C06F0000}"/>
    <cellStyle name="Normal 5 8 4 10 2" xfId="20672" xr:uid="{00000000-0005-0000-0000-0000C16F0000}"/>
    <cellStyle name="Normal 5 8 4 10 2 2" xfId="36829" xr:uid="{00000000-0005-0000-0000-0000C26F0000}"/>
    <cellStyle name="Normal 5 8 4 10 3" xfId="20673" xr:uid="{00000000-0005-0000-0000-0000C36F0000}"/>
    <cellStyle name="Normal 5 8 4 10 3 2" xfId="36830" xr:uid="{00000000-0005-0000-0000-0000C46F0000}"/>
    <cellStyle name="Normal 5 8 4 10 4" xfId="20674" xr:uid="{00000000-0005-0000-0000-0000C56F0000}"/>
    <cellStyle name="Normal 5 8 4 10 4 2" xfId="36831" xr:uid="{00000000-0005-0000-0000-0000C66F0000}"/>
    <cellStyle name="Normal 5 8 4 10 5" xfId="20675" xr:uid="{00000000-0005-0000-0000-0000C76F0000}"/>
    <cellStyle name="Normal 5 8 4 10 5 2" xfId="36832" xr:uid="{00000000-0005-0000-0000-0000C86F0000}"/>
    <cellStyle name="Normal 5 8 4 10 6" xfId="36828" xr:uid="{00000000-0005-0000-0000-0000C96F0000}"/>
    <cellStyle name="Normal 5 8 4 11" xfId="20676" xr:uid="{00000000-0005-0000-0000-0000CA6F0000}"/>
    <cellStyle name="Normal 5 8 4 11 2" xfId="20677" xr:uid="{00000000-0005-0000-0000-0000CB6F0000}"/>
    <cellStyle name="Normal 5 8 4 11 2 2" xfId="36834" xr:uid="{00000000-0005-0000-0000-0000CC6F0000}"/>
    <cellStyle name="Normal 5 8 4 11 3" xfId="20678" xr:uid="{00000000-0005-0000-0000-0000CD6F0000}"/>
    <cellStyle name="Normal 5 8 4 11 3 2" xfId="36835" xr:uid="{00000000-0005-0000-0000-0000CE6F0000}"/>
    <cellStyle name="Normal 5 8 4 11 4" xfId="20679" xr:uid="{00000000-0005-0000-0000-0000CF6F0000}"/>
    <cellStyle name="Normal 5 8 4 11 4 2" xfId="36836" xr:uid="{00000000-0005-0000-0000-0000D06F0000}"/>
    <cellStyle name="Normal 5 8 4 11 5" xfId="20680" xr:uid="{00000000-0005-0000-0000-0000D16F0000}"/>
    <cellStyle name="Normal 5 8 4 11 5 2" xfId="36837" xr:uid="{00000000-0005-0000-0000-0000D26F0000}"/>
    <cellStyle name="Normal 5 8 4 11 6" xfId="36833" xr:uid="{00000000-0005-0000-0000-0000D36F0000}"/>
    <cellStyle name="Normal 5 8 4 12" xfId="20681" xr:uid="{00000000-0005-0000-0000-0000D46F0000}"/>
    <cellStyle name="Normal 5 8 4 12 2" xfId="20682" xr:uid="{00000000-0005-0000-0000-0000D56F0000}"/>
    <cellStyle name="Normal 5 8 4 12 2 2" xfId="36839" xr:uid="{00000000-0005-0000-0000-0000D66F0000}"/>
    <cellStyle name="Normal 5 8 4 12 3" xfId="20683" xr:uid="{00000000-0005-0000-0000-0000D76F0000}"/>
    <cellStyle name="Normal 5 8 4 12 3 2" xfId="36840" xr:uid="{00000000-0005-0000-0000-0000D86F0000}"/>
    <cellStyle name="Normal 5 8 4 12 4" xfId="20684" xr:uid="{00000000-0005-0000-0000-0000D96F0000}"/>
    <cellStyle name="Normal 5 8 4 12 4 2" xfId="36841" xr:uid="{00000000-0005-0000-0000-0000DA6F0000}"/>
    <cellStyle name="Normal 5 8 4 12 5" xfId="20685" xr:uid="{00000000-0005-0000-0000-0000DB6F0000}"/>
    <cellStyle name="Normal 5 8 4 12 5 2" xfId="36842" xr:uid="{00000000-0005-0000-0000-0000DC6F0000}"/>
    <cellStyle name="Normal 5 8 4 12 6" xfId="36838" xr:uid="{00000000-0005-0000-0000-0000DD6F0000}"/>
    <cellStyle name="Normal 5 8 4 13" xfId="20686" xr:uid="{00000000-0005-0000-0000-0000DE6F0000}"/>
    <cellStyle name="Normal 5 8 4 13 2" xfId="20687" xr:uid="{00000000-0005-0000-0000-0000DF6F0000}"/>
    <cellStyle name="Normal 5 8 4 13 2 2" xfId="36844" xr:uid="{00000000-0005-0000-0000-0000E06F0000}"/>
    <cellStyle name="Normal 5 8 4 13 3" xfId="20688" xr:uid="{00000000-0005-0000-0000-0000E16F0000}"/>
    <cellStyle name="Normal 5 8 4 13 3 2" xfId="36845" xr:uid="{00000000-0005-0000-0000-0000E26F0000}"/>
    <cellStyle name="Normal 5 8 4 13 4" xfId="20689" xr:uid="{00000000-0005-0000-0000-0000E36F0000}"/>
    <cellStyle name="Normal 5 8 4 13 4 2" xfId="36846" xr:uid="{00000000-0005-0000-0000-0000E46F0000}"/>
    <cellStyle name="Normal 5 8 4 13 5" xfId="20690" xr:uid="{00000000-0005-0000-0000-0000E56F0000}"/>
    <cellStyle name="Normal 5 8 4 13 5 2" xfId="36847" xr:uid="{00000000-0005-0000-0000-0000E66F0000}"/>
    <cellStyle name="Normal 5 8 4 13 6" xfId="36843" xr:uid="{00000000-0005-0000-0000-0000E76F0000}"/>
    <cellStyle name="Normal 5 8 4 14" xfId="20691" xr:uid="{00000000-0005-0000-0000-0000E86F0000}"/>
    <cellStyle name="Normal 5 8 4 14 2" xfId="20692" xr:uid="{00000000-0005-0000-0000-0000E96F0000}"/>
    <cellStyle name="Normal 5 8 4 14 2 2" xfId="36849" xr:uid="{00000000-0005-0000-0000-0000EA6F0000}"/>
    <cellStyle name="Normal 5 8 4 14 3" xfId="20693" xr:uid="{00000000-0005-0000-0000-0000EB6F0000}"/>
    <cellStyle name="Normal 5 8 4 14 3 2" xfId="36850" xr:uid="{00000000-0005-0000-0000-0000EC6F0000}"/>
    <cellStyle name="Normal 5 8 4 14 4" xfId="20694" xr:uid="{00000000-0005-0000-0000-0000ED6F0000}"/>
    <cellStyle name="Normal 5 8 4 14 4 2" xfId="36851" xr:uid="{00000000-0005-0000-0000-0000EE6F0000}"/>
    <cellStyle name="Normal 5 8 4 14 5" xfId="20695" xr:uid="{00000000-0005-0000-0000-0000EF6F0000}"/>
    <cellStyle name="Normal 5 8 4 14 5 2" xfId="36852" xr:uid="{00000000-0005-0000-0000-0000F06F0000}"/>
    <cellStyle name="Normal 5 8 4 14 6" xfId="36848" xr:uid="{00000000-0005-0000-0000-0000F16F0000}"/>
    <cellStyle name="Normal 5 8 4 15" xfId="20696" xr:uid="{00000000-0005-0000-0000-0000F26F0000}"/>
    <cellStyle name="Normal 5 8 4 15 2" xfId="20697" xr:uid="{00000000-0005-0000-0000-0000F36F0000}"/>
    <cellStyle name="Normal 5 8 4 15 2 2" xfId="36854" xr:uid="{00000000-0005-0000-0000-0000F46F0000}"/>
    <cellStyle name="Normal 5 8 4 15 3" xfId="20698" xr:uid="{00000000-0005-0000-0000-0000F56F0000}"/>
    <cellStyle name="Normal 5 8 4 15 3 2" xfId="36855" xr:uid="{00000000-0005-0000-0000-0000F66F0000}"/>
    <cellStyle name="Normal 5 8 4 15 4" xfId="20699" xr:uid="{00000000-0005-0000-0000-0000F76F0000}"/>
    <cellStyle name="Normal 5 8 4 15 4 2" xfId="36856" xr:uid="{00000000-0005-0000-0000-0000F86F0000}"/>
    <cellStyle name="Normal 5 8 4 15 5" xfId="20700" xr:uid="{00000000-0005-0000-0000-0000F96F0000}"/>
    <cellStyle name="Normal 5 8 4 15 5 2" xfId="36857" xr:uid="{00000000-0005-0000-0000-0000FA6F0000}"/>
    <cellStyle name="Normal 5 8 4 15 6" xfId="36853" xr:uid="{00000000-0005-0000-0000-0000FB6F0000}"/>
    <cellStyle name="Normal 5 8 4 16" xfId="20701" xr:uid="{00000000-0005-0000-0000-0000FC6F0000}"/>
    <cellStyle name="Normal 5 8 4 16 2" xfId="20702" xr:uid="{00000000-0005-0000-0000-0000FD6F0000}"/>
    <cellStyle name="Normal 5 8 4 16 2 2" xfId="36859" xr:uid="{00000000-0005-0000-0000-0000FE6F0000}"/>
    <cellStyle name="Normal 5 8 4 16 3" xfId="20703" xr:uid="{00000000-0005-0000-0000-0000FF6F0000}"/>
    <cellStyle name="Normal 5 8 4 16 3 2" xfId="36860" xr:uid="{00000000-0005-0000-0000-000000700000}"/>
    <cellStyle name="Normal 5 8 4 16 4" xfId="20704" xr:uid="{00000000-0005-0000-0000-000001700000}"/>
    <cellStyle name="Normal 5 8 4 16 4 2" xfId="36861" xr:uid="{00000000-0005-0000-0000-000002700000}"/>
    <cellStyle name="Normal 5 8 4 16 5" xfId="20705" xr:uid="{00000000-0005-0000-0000-000003700000}"/>
    <cellStyle name="Normal 5 8 4 16 5 2" xfId="36862" xr:uid="{00000000-0005-0000-0000-000004700000}"/>
    <cellStyle name="Normal 5 8 4 16 6" xfId="36858" xr:uid="{00000000-0005-0000-0000-000005700000}"/>
    <cellStyle name="Normal 5 8 4 17" xfId="20706" xr:uid="{00000000-0005-0000-0000-000006700000}"/>
    <cellStyle name="Normal 5 8 4 17 2" xfId="36863" xr:uid="{00000000-0005-0000-0000-000007700000}"/>
    <cellStyle name="Normal 5 8 4 18" xfId="20707" xr:uid="{00000000-0005-0000-0000-000008700000}"/>
    <cellStyle name="Normal 5 8 4 18 2" xfId="36864" xr:uid="{00000000-0005-0000-0000-000009700000}"/>
    <cellStyle name="Normal 5 8 4 19" xfId="20708" xr:uid="{00000000-0005-0000-0000-00000A700000}"/>
    <cellStyle name="Normal 5 8 4 19 2" xfId="36865" xr:uid="{00000000-0005-0000-0000-00000B700000}"/>
    <cellStyle name="Normal 5 8 4 2" xfId="20709" xr:uid="{00000000-0005-0000-0000-00000C700000}"/>
    <cellStyle name="Normal 5 8 4 20" xfId="20710" xr:uid="{00000000-0005-0000-0000-00000D700000}"/>
    <cellStyle name="Normal 5 8 4 20 2" xfId="36866" xr:uid="{00000000-0005-0000-0000-00000E700000}"/>
    <cellStyle name="Normal 5 8 4 21" xfId="36827" xr:uid="{00000000-0005-0000-0000-00000F700000}"/>
    <cellStyle name="Normal 5 8 4 3" xfId="20711" xr:uid="{00000000-0005-0000-0000-000010700000}"/>
    <cellStyle name="Normal 5 8 4 3 2" xfId="20712" xr:uid="{00000000-0005-0000-0000-000011700000}"/>
    <cellStyle name="Normal 5 8 4 3 2 2" xfId="36868" xr:uid="{00000000-0005-0000-0000-000012700000}"/>
    <cellStyle name="Normal 5 8 4 3 3" xfId="20713" xr:uid="{00000000-0005-0000-0000-000013700000}"/>
    <cellStyle name="Normal 5 8 4 3 3 2" xfId="36869" xr:uid="{00000000-0005-0000-0000-000014700000}"/>
    <cellStyle name="Normal 5 8 4 3 4" xfId="20714" xr:uid="{00000000-0005-0000-0000-000015700000}"/>
    <cellStyle name="Normal 5 8 4 3 4 2" xfId="36870" xr:uid="{00000000-0005-0000-0000-000016700000}"/>
    <cellStyle name="Normal 5 8 4 3 5" xfId="20715" xr:uid="{00000000-0005-0000-0000-000017700000}"/>
    <cellStyle name="Normal 5 8 4 3 5 2" xfId="36871" xr:uid="{00000000-0005-0000-0000-000018700000}"/>
    <cellStyle name="Normal 5 8 4 3 6" xfId="36867" xr:uid="{00000000-0005-0000-0000-000019700000}"/>
    <cellStyle name="Normal 5 8 4 4" xfId="20716" xr:uid="{00000000-0005-0000-0000-00001A700000}"/>
    <cellStyle name="Normal 5 8 4 4 2" xfId="20717" xr:uid="{00000000-0005-0000-0000-00001B700000}"/>
    <cellStyle name="Normal 5 8 4 4 2 2" xfId="36873" xr:uid="{00000000-0005-0000-0000-00001C700000}"/>
    <cellStyle name="Normal 5 8 4 4 3" xfId="20718" xr:uid="{00000000-0005-0000-0000-00001D700000}"/>
    <cellStyle name="Normal 5 8 4 4 3 2" xfId="36874" xr:uid="{00000000-0005-0000-0000-00001E700000}"/>
    <cellStyle name="Normal 5 8 4 4 4" xfId="20719" xr:uid="{00000000-0005-0000-0000-00001F700000}"/>
    <cellStyle name="Normal 5 8 4 4 4 2" xfId="36875" xr:uid="{00000000-0005-0000-0000-000020700000}"/>
    <cellStyle name="Normal 5 8 4 4 5" xfId="20720" xr:uid="{00000000-0005-0000-0000-000021700000}"/>
    <cellStyle name="Normal 5 8 4 4 5 2" xfId="36876" xr:uid="{00000000-0005-0000-0000-000022700000}"/>
    <cellStyle name="Normal 5 8 4 4 6" xfId="36872" xr:uid="{00000000-0005-0000-0000-000023700000}"/>
    <cellStyle name="Normal 5 8 4 5" xfId="20721" xr:uid="{00000000-0005-0000-0000-000024700000}"/>
    <cellStyle name="Normal 5 8 4 5 2" xfId="20722" xr:uid="{00000000-0005-0000-0000-000025700000}"/>
    <cellStyle name="Normal 5 8 4 5 2 2" xfId="36878" xr:uid="{00000000-0005-0000-0000-000026700000}"/>
    <cellStyle name="Normal 5 8 4 5 3" xfId="20723" xr:uid="{00000000-0005-0000-0000-000027700000}"/>
    <cellStyle name="Normal 5 8 4 5 3 2" xfId="36879" xr:uid="{00000000-0005-0000-0000-000028700000}"/>
    <cellStyle name="Normal 5 8 4 5 4" xfId="20724" xr:uid="{00000000-0005-0000-0000-000029700000}"/>
    <cellStyle name="Normal 5 8 4 5 4 2" xfId="36880" xr:uid="{00000000-0005-0000-0000-00002A700000}"/>
    <cellStyle name="Normal 5 8 4 5 5" xfId="20725" xr:uid="{00000000-0005-0000-0000-00002B700000}"/>
    <cellStyle name="Normal 5 8 4 5 5 2" xfId="36881" xr:uid="{00000000-0005-0000-0000-00002C700000}"/>
    <cellStyle name="Normal 5 8 4 5 6" xfId="36877" xr:uid="{00000000-0005-0000-0000-00002D700000}"/>
    <cellStyle name="Normal 5 8 4 6" xfId="20726" xr:uid="{00000000-0005-0000-0000-00002E700000}"/>
    <cellStyle name="Normal 5 8 4 6 2" xfId="20727" xr:uid="{00000000-0005-0000-0000-00002F700000}"/>
    <cellStyle name="Normal 5 8 4 6 2 2" xfId="36883" xr:uid="{00000000-0005-0000-0000-000030700000}"/>
    <cellStyle name="Normal 5 8 4 6 3" xfId="20728" xr:uid="{00000000-0005-0000-0000-000031700000}"/>
    <cellStyle name="Normal 5 8 4 6 3 2" xfId="36884" xr:uid="{00000000-0005-0000-0000-000032700000}"/>
    <cellStyle name="Normal 5 8 4 6 4" xfId="20729" xr:uid="{00000000-0005-0000-0000-000033700000}"/>
    <cellStyle name="Normal 5 8 4 6 4 2" xfId="36885" xr:uid="{00000000-0005-0000-0000-000034700000}"/>
    <cellStyle name="Normal 5 8 4 6 5" xfId="20730" xr:uid="{00000000-0005-0000-0000-000035700000}"/>
    <cellStyle name="Normal 5 8 4 6 5 2" xfId="36886" xr:uid="{00000000-0005-0000-0000-000036700000}"/>
    <cellStyle name="Normal 5 8 4 6 6" xfId="36882" xr:uid="{00000000-0005-0000-0000-000037700000}"/>
    <cellStyle name="Normal 5 8 4 7" xfId="20731" xr:uid="{00000000-0005-0000-0000-000038700000}"/>
    <cellStyle name="Normal 5 8 4 7 2" xfId="20732" xr:uid="{00000000-0005-0000-0000-000039700000}"/>
    <cellStyle name="Normal 5 8 4 7 2 2" xfId="36888" xr:uid="{00000000-0005-0000-0000-00003A700000}"/>
    <cellStyle name="Normal 5 8 4 7 3" xfId="20733" xr:uid="{00000000-0005-0000-0000-00003B700000}"/>
    <cellStyle name="Normal 5 8 4 7 3 2" xfId="36889" xr:uid="{00000000-0005-0000-0000-00003C700000}"/>
    <cellStyle name="Normal 5 8 4 7 4" xfId="20734" xr:uid="{00000000-0005-0000-0000-00003D700000}"/>
    <cellStyle name="Normal 5 8 4 7 4 2" xfId="36890" xr:uid="{00000000-0005-0000-0000-00003E700000}"/>
    <cellStyle name="Normal 5 8 4 7 5" xfId="20735" xr:uid="{00000000-0005-0000-0000-00003F700000}"/>
    <cellStyle name="Normal 5 8 4 7 5 2" xfId="36891" xr:uid="{00000000-0005-0000-0000-000040700000}"/>
    <cellStyle name="Normal 5 8 4 7 6" xfId="36887" xr:uid="{00000000-0005-0000-0000-000041700000}"/>
    <cellStyle name="Normal 5 8 4 8" xfId="20736" xr:uid="{00000000-0005-0000-0000-000042700000}"/>
    <cellStyle name="Normal 5 8 4 8 2" xfId="20737" xr:uid="{00000000-0005-0000-0000-000043700000}"/>
    <cellStyle name="Normal 5 8 4 8 2 2" xfId="36893" xr:uid="{00000000-0005-0000-0000-000044700000}"/>
    <cellStyle name="Normal 5 8 4 8 3" xfId="20738" xr:uid="{00000000-0005-0000-0000-000045700000}"/>
    <cellStyle name="Normal 5 8 4 8 3 2" xfId="36894" xr:uid="{00000000-0005-0000-0000-000046700000}"/>
    <cellStyle name="Normal 5 8 4 8 4" xfId="20739" xr:uid="{00000000-0005-0000-0000-000047700000}"/>
    <cellStyle name="Normal 5 8 4 8 4 2" xfId="36895" xr:uid="{00000000-0005-0000-0000-000048700000}"/>
    <cellStyle name="Normal 5 8 4 8 5" xfId="20740" xr:uid="{00000000-0005-0000-0000-000049700000}"/>
    <cellStyle name="Normal 5 8 4 8 5 2" xfId="36896" xr:uid="{00000000-0005-0000-0000-00004A700000}"/>
    <cellStyle name="Normal 5 8 4 8 6" xfId="36892" xr:uid="{00000000-0005-0000-0000-00004B700000}"/>
    <cellStyle name="Normal 5 8 4 9" xfId="20741" xr:uid="{00000000-0005-0000-0000-00004C700000}"/>
    <cellStyle name="Normal 5 8 4 9 2" xfId="20742" xr:uid="{00000000-0005-0000-0000-00004D700000}"/>
    <cellStyle name="Normal 5 8 4 9 2 2" xfId="36898" xr:uid="{00000000-0005-0000-0000-00004E700000}"/>
    <cellStyle name="Normal 5 8 4 9 3" xfId="20743" xr:uid="{00000000-0005-0000-0000-00004F700000}"/>
    <cellStyle name="Normal 5 8 4 9 3 2" xfId="36899" xr:uid="{00000000-0005-0000-0000-000050700000}"/>
    <cellStyle name="Normal 5 8 4 9 4" xfId="20744" xr:uid="{00000000-0005-0000-0000-000051700000}"/>
    <cellStyle name="Normal 5 8 4 9 4 2" xfId="36900" xr:uid="{00000000-0005-0000-0000-000052700000}"/>
    <cellStyle name="Normal 5 8 4 9 5" xfId="20745" xr:uid="{00000000-0005-0000-0000-000053700000}"/>
    <cellStyle name="Normal 5 8 4 9 5 2" xfId="36901" xr:uid="{00000000-0005-0000-0000-000054700000}"/>
    <cellStyle name="Normal 5 8 4 9 6" xfId="36897" xr:uid="{00000000-0005-0000-0000-000055700000}"/>
    <cellStyle name="Normal 5 8 5" xfId="20746" xr:uid="{00000000-0005-0000-0000-000056700000}"/>
    <cellStyle name="Normal 5 8 5 2" xfId="20747" xr:uid="{00000000-0005-0000-0000-000057700000}"/>
    <cellStyle name="Normal 5 8 5 3" xfId="20748" xr:uid="{00000000-0005-0000-0000-000058700000}"/>
    <cellStyle name="Normal 5 8 5 3 2" xfId="36903" xr:uid="{00000000-0005-0000-0000-000059700000}"/>
    <cellStyle name="Normal 5 8 5 4" xfId="20749" xr:uid="{00000000-0005-0000-0000-00005A700000}"/>
    <cellStyle name="Normal 5 8 5 4 2" xfId="36904" xr:uid="{00000000-0005-0000-0000-00005B700000}"/>
    <cellStyle name="Normal 5 8 5 5" xfId="20750" xr:uid="{00000000-0005-0000-0000-00005C700000}"/>
    <cellStyle name="Normal 5 8 5 5 2" xfId="36905" xr:uid="{00000000-0005-0000-0000-00005D700000}"/>
    <cellStyle name="Normal 5 8 5 6" xfId="20751" xr:uid="{00000000-0005-0000-0000-00005E700000}"/>
    <cellStyle name="Normal 5 8 5 6 2" xfId="36906" xr:uid="{00000000-0005-0000-0000-00005F700000}"/>
    <cellStyle name="Normal 5 8 5 7" xfId="36902" xr:uid="{00000000-0005-0000-0000-000060700000}"/>
    <cellStyle name="Normal 5 8 6" xfId="20752" xr:uid="{00000000-0005-0000-0000-000061700000}"/>
    <cellStyle name="Normal 5 8 6 2" xfId="20753" xr:uid="{00000000-0005-0000-0000-000062700000}"/>
    <cellStyle name="Normal 5 8 6 3" xfId="20754" xr:uid="{00000000-0005-0000-0000-000063700000}"/>
    <cellStyle name="Normal 5 8 6 3 2" xfId="36908" xr:uid="{00000000-0005-0000-0000-000064700000}"/>
    <cellStyle name="Normal 5 8 6 4" xfId="20755" xr:uid="{00000000-0005-0000-0000-000065700000}"/>
    <cellStyle name="Normal 5 8 6 4 2" xfId="36909" xr:uid="{00000000-0005-0000-0000-000066700000}"/>
    <cellStyle name="Normal 5 8 6 5" xfId="20756" xr:uid="{00000000-0005-0000-0000-000067700000}"/>
    <cellStyle name="Normal 5 8 6 5 2" xfId="36910" xr:uid="{00000000-0005-0000-0000-000068700000}"/>
    <cellStyle name="Normal 5 8 6 6" xfId="20757" xr:uid="{00000000-0005-0000-0000-000069700000}"/>
    <cellStyle name="Normal 5 8 6 6 2" xfId="36911" xr:uid="{00000000-0005-0000-0000-00006A700000}"/>
    <cellStyle name="Normal 5 8 6 7" xfId="36907" xr:uid="{00000000-0005-0000-0000-00006B700000}"/>
    <cellStyle name="Normal 5 8 7" xfId="20758" xr:uid="{00000000-0005-0000-0000-00006C700000}"/>
    <cellStyle name="Normal 5 8 7 2" xfId="20759" xr:uid="{00000000-0005-0000-0000-00006D700000}"/>
    <cellStyle name="Normal 5 8 7 2 2" xfId="36913" xr:uid="{00000000-0005-0000-0000-00006E700000}"/>
    <cellStyle name="Normal 5 8 7 3" xfId="20760" xr:uid="{00000000-0005-0000-0000-00006F700000}"/>
    <cellStyle name="Normal 5 8 7 3 2" xfId="36914" xr:uid="{00000000-0005-0000-0000-000070700000}"/>
    <cellStyle name="Normal 5 8 7 4" xfId="20761" xr:uid="{00000000-0005-0000-0000-000071700000}"/>
    <cellStyle name="Normal 5 8 7 4 2" xfId="36915" xr:uid="{00000000-0005-0000-0000-000072700000}"/>
    <cellStyle name="Normal 5 8 7 5" xfId="20762" xr:uid="{00000000-0005-0000-0000-000073700000}"/>
    <cellStyle name="Normal 5 8 7 5 2" xfId="36916" xr:uid="{00000000-0005-0000-0000-000074700000}"/>
    <cellStyle name="Normal 5 8 7 6" xfId="36912" xr:uid="{00000000-0005-0000-0000-000075700000}"/>
    <cellStyle name="Normal 5 8 8" xfId="20763" xr:uid="{00000000-0005-0000-0000-000076700000}"/>
    <cellStyle name="Normal 5 8 8 2" xfId="20764" xr:uid="{00000000-0005-0000-0000-000077700000}"/>
    <cellStyle name="Normal 5 8 8 2 2" xfId="36918" xr:uid="{00000000-0005-0000-0000-000078700000}"/>
    <cellStyle name="Normal 5 8 8 3" xfId="20765" xr:uid="{00000000-0005-0000-0000-000079700000}"/>
    <cellStyle name="Normal 5 8 8 3 2" xfId="36919" xr:uid="{00000000-0005-0000-0000-00007A700000}"/>
    <cellStyle name="Normal 5 8 8 4" xfId="20766" xr:uid="{00000000-0005-0000-0000-00007B700000}"/>
    <cellStyle name="Normal 5 8 8 4 2" xfId="36920" xr:uid="{00000000-0005-0000-0000-00007C700000}"/>
    <cellStyle name="Normal 5 8 8 5" xfId="20767" xr:uid="{00000000-0005-0000-0000-00007D700000}"/>
    <cellStyle name="Normal 5 8 8 5 2" xfId="36921" xr:uid="{00000000-0005-0000-0000-00007E700000}"/>
    <cellStyle name="Normal 5 8 8 6" xfId="36917" xr:uid="{00000000-0005-0000-0000-00007F700000}"/>
    <cellStyle name="Normal 5 8 9" xfId="20768" xr:uid="{00000000-0005-0000-0000-000080700000}"/>
    <cellStyle name="Normal 5 8 9 2" xfId="20769" xr:uid="{00000000-0005-0000-0000-000081700000}"/>
    <cellStyle name="Normal 5 8 9 2 2" xfId="36923" xr:uid="{00000000-0005-0000-0000-000082700000}"/>
    <cellStyle name="Normal 5 8 9 3" xfId="20770" xr:uid="{00000000-0005-0000-0000-000083700000}"/>
    <cellStyle name="Normal 5 8 9 3 2" xfId="36924" xr:uid="{00000000-0005-0000-0000-000084700000}"/>
    <cellStyle name="Normal 5 8 9 4" xfId="20771" xr:uid="{00000000-0005-0000-0000-000085700000}"/>
    <cellStyle name="Normal 5 8 9 4 2" xfId="36925" xr:uid="{00000000-0005-0000-0000-000086700000}"/>
    <cellStyle name="Normal 5 8 9 5" xfId="20772" xr:uid="{00000000-0005-0000-0000-000087700000}"/>
    <cellStyle name="Normal 5 8 9 5 2" xfId="36926" xr:uid="{00000000-0005-0000-0000-000088700000}"/>
    <cellStyle name="Normal 5 8 9 6" xfId="36922" xr:uid="{00000000-0005-0000-0000-000089700000}"/>
    <cellStyle name="Normal 5 9" xfId="20773" xr:uid="{00000000-0005-0000-0000-00008A700000}"/>
    <cellStyle name="Normal 5 9 10" xfId="20774" xr:uid="{00000000-0005-0000-0000-00008B700000}"/>
    <cellStyle name="Normal 5 9 11" xfId="20775" xr:uid="{00000000-0005-0000-0000-00008C700000}"/>
    <cellStyle name="Normal 5 9 12" xfId="20776" xr:uid="{00000000-0005-0000-0000-00008D700000}"/>
    <cellStyle name="Normal 5 9 13" xfId="20777" xr:uid="{00000000-0005-0000-0000-00008E700000}"/>
    <cellStyle name="Normal 5 9 14" xfId="20778" xr:uid="{00000000-0005-0000-0000-00008F700000}"/>
    <cellStyle name="Normal 5 9 15" xfId="20779" xr:uid="{00000000-0005-0000-0000-000090700000}"/>
    <cellStyle name="Normal 5 9 16" xfId="20780" xr:uid="{00000000-0005-0000-0000-000091700000}"/>
    <cellStyle name="Normal 5 9 17" xfId="20781" xr:uid="{00000000-0005-0000-0000-000092700000}"/>
    <cellStyle name="Normal 5 9 18" xfId="20782" xr:uid="{00000000-0005-0000-0000-000093700000}"/>
    <cellStyle name="Normal 5 9 19" xfId="20783" xr:uid="{00000000-0005-0000-0000-000094700000}"/>
    <cellStyle name="Normal 5 9 2" xfId="20784" xr:uid="{00000000-0005-0000-0000-000095700000}"/>
    <cellStyle name="Normal 5 9 2 2" xfId="20785" xr:uid="{00000000-0005-0000-0000-000096700000}"/>
    <cellStyle name="Normal 5 9 2 3" xfId="20786" xr:uid="{00000000-0005-0000-0000-000097700000}"/>
    <cellStyle name="Normal 5 9 2 4" xfId="20787" xr:uid="{00000000-0005-0000-0000-000098700000}"/>
    <cellStyle name="Normal 5 9 2 5" xfId="20788" xr:uid="{00000000-0005-0000-0000-000099700000}"/>
    <cellStyle name="Normal 5 9 2 6" xfId="20789" xr:uid="{00000000-0005-0000-0000-00009A700000}"/>
    <cellStyle name="Normal 5 9 2 7" xfId="20790" xr:uid="{00000000-0005-0000-0000-00009B700000}"/>
    <cellStyle name="Normal 5 9 20" xfId="20791" xr:uid="{00000000-0005-0000-0000-00009C700000}"/>
    <cellStyle name="Normal 5 9 21" xfId="20792" xr:uid="{00000000-0005-0000-0000-00009D700000}"/>
    <cellStyle name="Normal 5 9 22" xfId="20793" xr:uid="{00000000-0005-0000-0000-00009E700000}"/>
    <cellStyle name="Normal 5 9 23" xfId="20794" xr:uid="{00000000-0005-0000-0000-00009F700000}"/>
    <cellStyle name="Normal 5 9 24" xfId="40747" xr:uid="{00000000-0005-0000-0000-0000A0700000}"/>
    <cellStyle name="Normal 5 9 3" xfId="20795" xr:uid="{00000000-0005-0000-0000-0000A1700000}"/>
    <cellStyle name="Normal 5 9 4" xfId="20796" xr:uid="{00000000-0005-0000-0000-0000A2700000}"/>
    <cellStyle name="Normal 5 9 4 10" xfId="20797" xr:uid="{00000000-0005-0000-0000-0000A3700000}"/>
    <cellStyle name="Normal 5 9 4 10 2" xfId="36928" xr:uid="{00000000-0005-0000-0000-0000A4700000}"/>
    <cellStyle name="Normal 5 9 4 11" xfId="20798" xr:uid="{00000000-0005-0000-0000-0000A5700000}"/>
    <cellStyle name="Normal 5 9 4 11 2" xfId="36929" xr:uid="{00000000-0005-0000-0000-0000A6700000}"/>
    <cellStyle name="Normal 5 9 4 12" xfId="36927" xr:uid="{00000000-0005-0000-0000-0000A7700000}"/>
    <cellStyle name="Normal 5 9 4 2" xfId="20799" xr:uid="{00000000-0005-0000-0000-0000A8700000}"/>
    <cellStyle name="Normal 5 9 4 2 2" xfId="20800" xr:uid="{00000000-0005-0000-0000-0000A9700000}"/>
    <cellStyle name="Normal 5 9 4 2 2 2" xfId="36931" xr:uid="{00000000-0005-0000-0000-0000AA700000}"/>
    <cellStyle name="Normal 5 9 4 2 3" xfId="20801" xr:uid="{00000000-0005-0000-0000-0000AB700000}"/>
    <cellStyle name="Normal 5 9 4 2 3 2" xfId="36932" xr:uid="{00000000-0005-0000-0000-0000AC700000}"/>
    <cellStyle name="Normal 5 9 4 2 4" xfId="20802" xr:uid="{00000000-0005-0000-0000-0000AD700000}"/>
    <cellStyle name="Normal 5 9 4 2 4 2" xfId="36933" xr:uid="{00000000-0005-0000-0000-0000AE700000}"/>
    <cellStyle name="Normal 5 9 4 2 5" xfId="20803" xr:uid="{00000000-0005-0000-0000-0000AF700000}"/>
    <cellStyle name="Normal 5 9 4 2 5 2" xfId="36934" xr:uid="{00000000-0005-0000-0000-0000B0700000}"/>
    <cellStyle name="Normal 5 9 4 2 6" xfId="36930" xr:uid="{00000000-0005-0000-0000-0000B1700000}"/>
    <cellStyle name="Normal 5 9 4 3" xfId="20804" xr:uid="{00000000-0005-0000-0000-0000B2700000}"/>
    <cellStyle name="Normal 5 9 4 3 2" xfId="20805" xr:uid="{00000000-0005-0000-0000-0000B3700000}"/>
    <cellStyle name="Normal 5 9 4 3 2 2" xfId="36936" xr:uid="{00000000-0005-0000-0000-0000B4700000}"/>
    <cellStyle name="Normal 5 9 4 3 3" xfId="20806" xr:uid="{00000000-0005-0000-0000-0000B5700000}"/>
    <cellStyle name="Normal 5 9 4 3 3 2" xfId="36937" xr:uid="{00000000-0005-0000-0000-0000B6700000}"/>
    <cellStyle name="Normal 5 9 4 3 4" xfId="20807" xr:uid="{00000000-0005-0000-0000-0000B7700000}"/>
    <cellStyle name="Normal 5 9 4 3 4 2" xfId="36938" xr:uid="{00000000-0005-0000-0000-0000B8700000}"/>
    <cellStyle name="Normal 5 9 4 3 5" xfId="20808" xr:uid="{00000000-0005-0000-0000-0000B9700000}"/>
    <cellStyle name="Normal 5 9 4 3 5 2" xfId="36939" xr:uid="{00000000-0005-0000-0000-0000BA700000}"/>
    <cellStyle name="Normal 5 9 4 3 6" xfId="36935" xr:uid="{00000000-0005-0000-0000-0000BB700000}"/>
    <cellStyle name="Normal 5 9 4 4" xfId="20809" xr:uid="{00000000-0005-0000-0000-0000BC700000}"/>
    <cellStyle name="Normal 5 9 4 4 2" xfId="20810" xr:uid="{00000000-0005-0000-0000-0000BD700000}"/>
    <cellStyle name="Normal 5 9 4 4 2 2" xfId="36941" xr:uid="{00000000-0005-0000-0000-0000BE700000}"/>
    <cellStyle name="Normal 5 9 4 4 3" xfId="20811" xr:uid="{00000000-0005-0000-0000-0000BF700000}"/>
    <cellStyle name="Normal 5 9 4 4 3 2" xfId="36942" xr:uid="{00000000-0005-0000-0000-0000C0700000}"/>
    <cellStyle name="Normal 5 9 4 4 4" xfId="20812" xr:uid="{00000000-0005-0000-0000-0000C1700000}"/>
    <cellStyle name="Normal 5 9 4 4 4 2" xfId="36943" xr:uid="{00000000-0005-0000-0000-0000C2700000}"/>
    <cellStyle name="Normal 5 9 4 4 5" xfId="20813" xr:uid="{00000000-0005-0000-0000-0000C3700000}"/>
    <cellStyle name="Normal 5 9 4 4 5 2" xfId="36944" xr:uid="{00000000-0005-0000-0000-0000C4700000}"/>
    <cellStyle name="Normal 5 9 4 4 6" xfId="36940" xr:uid="{00000000-0005-0000-0000-0000C5700000}"/>
    <cellStyle name="Normal 5 9 4 5" xfId="20814" xr:uid="{00000000-0005-0000-0000-0000C6700000}"/>
    <cellStyle name="Normal 5 9 4 5 2" xfId="20815" xr:uid="{00000000-0005-0000-0000-0000C7700000}"/>
    <cellStyle name="Normal 5 9 4 5 2 2" xfId="36946" xr:uid="{00000000-0005-0000-0000-0000C8700000}"/>
    <cellStyle name="Normal 5 9 4 5 3" xfId="20816" xr:uid="{00000000-0005-0000-0000-0000C9700000}"/>
    <cellStyle name="Normal 5 9 4 5 3 2" xfId="36947" xr:uid="{00000000-0005-0000-0000-0000CA700000}"/>
    <cellStyle name="Normal 5 9 4 5 4" xfId="20817" xr:uid="{00000000-0005-0000-0000-0000CB700000}"/>
    <cellStyle name="Normal 5 9 4 5 4 2" xfId="36948" xr:uid="{00000000-0005-0000-0000-0000CC700000}"/>
    <cellStyle name="Normal 5 9 4 5 5" xfId="20818" xr:uid="{00000000-0005-0000-0000-0000CD700000}"/>
    <cellStyle name="Normal 5 9 4 5 5 2" xfId="36949" xr:uid="{00000000-0005-0000-0000-0000CE700000}"/>
    <cellStyle name="Normal 5 9 4 5 6" xfId="36945" xr:uid="{00000000-0005-0000-0000-0000CF700000}"/>
    <cellStyle name="Normal 5 9 4 6" xfId="20819" xr:uid="{00000000-0005-0000-0000-0000D0700000}"/>
    <cellStyle name="Normal 5 9 4 6 2" xfId="20820" xr:uid="{00000000-0005-0000-0000-0000D1700000}"/>
    <cellStyle name="Normal 5 9 4 6 2 2" xfId="36951" xr:uid="{00000000-0005-0000-0000-0000D2700000}"/>
    <cellStyle name="Normal 5 9 4 6 3" xfId="20821" xr:uid="{00000000-0005-0000-0000-0000D3700000}"/>
    <cellStyle name="Normal 5 9 4 6 3 2" xfId="36952" xr:uid="{00000000-0005-0000-0000-0000D4700000}"/>
    <cellStyle name="Normal 5 9 4 6 4" xfId="20822" xr:uid="{00000000-0005-0000-0000-0000D5700000}"/>
    <cellStyle name="Normal 5 9 4 6 4 2" xfId="36953" xr:uid="{00000000-0005-0000-0000-0000D6700000}"/>
    <cellStyle name="Normal 5 9 4 6 5" xfId="20823" xr:uid="{00000000-0005-0000-0000-0000D7700000}"/>
    <cellStyle name="Normal 5 9 4 6 5 2" xfId="36954" xr:uid="{00000000-0005-0000-0000-0000D8700000}"/>
    <cellStyle name="Normal 5 9 4 6 6" xfId="36950" xr:uid="{00000000-0005-0000-0000-0000D9700000}"/>
    <cellStyle name="Normal 5 9 4 7" xfId="20824" xr:uid="{00000000-0005-0000-0000-0000DA700000}"/>
    <cellStyle name="Normal 5 9 4 7 2" xfId="20825" xr:uid="{00000000-0005-0000-0000-0000DB700000}"/>
    <cellStyle name="Normal 5 9 4 7 2 2" xfId="36956" xr:uid="{00000000-0005-0000-0000-0000DC700000}"/>
    <cellStyle name="Normal 5 9 4 7 3" xfId="20826" xr:uid="{00000000-0005-0000-0000-0000DD700000}"/>
    <cellStyle name="Normal 5 9 4 7 3 2" xfId="36957" xr:uid="{00000000-0005-0000-0000-0000DE700000}"/>
    <cellStyle name="Normal 5 9 4 7 4" xfId="20827" xr:uid="{00000000-0005-0000-0000-0000DF700000}"/>
    <cellStyle name="Normal 5 9 4 7 4 2" xfId="36958" xr:uid="{00000000-0005-0000-0000-0000E0700000}"/>
    <cellStyle name="Normal 5 9 4 7 5" xfId="20828" xr:uid="{00000000-0005-0000-0000-0000E1700000}"/>
    <cellStyle name="Normal 5 9 4 7 5 2" xfId="36959" xr:uid="{00000000-0005-0000-0000-0000E2700000}"/>
    <cellStyle name="Normal 5 9 4 7 6" xfId="36955" xr:uid="{00000000-0005-0000-0000-0000E3700000}"/>
    <cellStyle name="Normal 5 9 4 8" xfId="20829" xr:uid="{00000000-0005-0000-0000-0000E4700000}"/>
    <cellStyle name="Normal 5 9 4 8 2" xfId="36960" xr:uid="{00000000-0005-0000-0000-0000E5700000}"/>
    <cellStyle name="Normal 5 9 4 9" xfId="20830" xr:uid="{00000000-0005-0000-0000-0000E6700000}"/>
    <cellStyle name="Normal 5 9 4 9 2" xfId="36961" xr:uid="{00000000-0005-0000-0000-0000E7700000}"/>
    <cellStyle name="Normal 5 9 5" xfId="20831" xr:uid="{00000000-0005-0000-0000-0000E8700000}"/>
    <cellStyle name="Normal 5 9 6" xfId="20832" xr:uid="{00000000-0005-0000-0000-0000E9700000}"/>
    <cellStyle name="Normal 5 9 7" xfId="20833" xr:uid="{00000000-0005-0000-0000-0000EA700000}"/>
    <cellStyle name="Normal 5 9 8" xfId="20834" xr:uid="{00000000-0005-0000-0000-0000EB700000}"/>
    <cellStyle name="Normal 5 9 9" xfId="20835" xr:uid="{00000000-0005-0000-0000-0000EC700000}"/>
    <cellStyle name="Normal 54" xfId="41061" xr:uid="{00000000-0005-0000-0000-0000ED700000}"/>
    <cellStyle name="Normal 6" xfId="20836" xr:uid="{00000000-0005-0000-0000-0000EE700000}"/>
    <cellStyle name="Normal 6 10" xfId="20837" xr:uid="{00000000-0005-0000-0000-0000EF700000}"/>
    <cellStyle name="Normal 6 10 2" xfId="40748" xr:uid="{00000000-0005-0000-0000-0000F0700000}"/>
    <cellStyle name="Normal 6 11" xfId="20838" xr:uid="{00000000-0005-0000-0000-0000F1700000}"/>
    <cellStyle name="Normal 6 11 2" xfId="40749" xr:uid="{00000000-0005-0000-0000-0000F2700000}"/>
    <cellStyle name="Normal 6 12" xfId="20839" xr:uid="{00000000-0005-0000-0000-0000F3700000}"/>
    <cellStyle name="Normal 6 12 2" xfId="40750" xr:uid="{00000000-0005-0000-0000-0000F4700000}"/>
    <cellStyle name="Normal 6 13" xfId="20840" xr:uid="{00000000-0005-0000-0000-0000F5700000}"/>
    <cellStyle name="Normal 6 13 10" xfId="20841" xr:uid="{00000000-0005-0000-0000-0000F6700000}"/>
    <cellStyle name="Normal 6 13 11" xfId="20842" xr:uid="{00000000-0005-0000-0000-0000F7700000}"/>
    <cellStyle name="Normal 6 13 12" xfId="20843" xr:uid="{00000000-0005-0000-0000-0000F8700000}"/>
    <cellStyle name="Normal 6 13 13" xfId="20844" xr:uid="{00000000-0005-0000-0000-0000F9700000}"/>
    <cellStyle name="Normal 6 13 14" xfId="20845" xr:uid="{00000000-0005-0000-0000-0000FA700000}"/>
    <cellStyle name="Normal 6 13 15" xfId="20846" xr:uid="{00000000-0005-0000-0000-0000FB700000}"/>
    <cellStyle name="Normal 6 13 16" xfId="20847" xr:uid="{00000000-0005-0000-0000-0000FC700000}"/>
    <cellStyle name="Normal 6 13 2" xfId="20848" xr:uid="{00000000-0005-0000-0000-0000FD700000}"/>
    <cellStyle name="Normal 6 13 3" xfId="20849" xr:uid="{00000000-0005-0000-0000-0000FE700000}"/>
    <cellStyle name="Normal 6 13 4" xfId="20850" xr:uid="{00000000-0005-0000-0000-0000FF700000}"/>
    <cellStyle name="Normal 6 13 5" xfId="20851" xr:uid="{00000000-0005-0000-0000-000000710000}"/>
    <cellStyle name="Normal 6 13 6" xfId="20852" xr:uid="{00000000-0005-0000-0000-000001710000}"/>
    <cellStyle name="Normal 6 13 7" xfId="20853" xr:uid="{00000000-0005-0000-0000-000002710000}"/>
    <cellStyle name="Normal 6 13 8" xfId="20854" xr:uid="{00000000-0005-0000-0000-000003710000}"/>
    <cellStyle name="Normal 6 13 9" xfId="20855" xr:uid="{00000000-0005-0000-0000-000004710000}"/>
    <cellStyle name="Normal 6 14" xfId="20856" xr:uid="{00000000-0005-0000-0000-000005710000}"/>
    <cellStyle name="Normal 6 14 2" xfId="20857" xr:uid="{00000000-0005-0000-0000-000006710000}"/>
    <cellStyle name="Normal 6 15" xfId="20858" xr:uid="{00000000-0005-0000-0000-000007710000}"/>
    <cellStyle name="Normal 6 15 2" xfId="20859" xr:uid="{00000000-0005-0000-0000-000008710000}"/>
    <cellStyle name="Normal 6 16" xfId="20860" xr:uid="{00000000-0005-0000-0000-000009710000}"/>
    <cellStyle name="Normal 6 16 2" xfId="20861" xr:uid="{00000000-0005-0000-0000-00000A710000}"/>
    <cellStyle name="Normal 6 17" xfId="20862" xr:uid="{00000000-0005-0000-0000-00000B710000}"/>
    <cellStyle name="Normal 6 18" xfId="20863" xr:uid="{00000000-0005-0000-0000-00000C710000}"/>
    <cellStyle name="Normal 6 19" xfId="20864" xr:uid="{00000000-0005-0000-0000-00000D710000}"/>
    <cellStyle name="Normal 6 2" xfId="20865" xr:uid="{00000000-0005-0000-0000-00000E710000}"/>
    <cellStyle name="Normal 6 2 10" xfId="20866" xr:uid="{00000000-0005-0000-0000-00000F710000}"/>
    <cellStyle name="Normal 6 2 11" xfId="20867" xr:uid="{00000000-0005-0000-0000-000010710000}"/>
    <cellStyle name="Normal 6 2 12" xfId="20868" xr:uid="{00000000-0005-0000-0000-000011710000}"/>
    <cellStyle name="Normal 6 2 13" xfId="20869" xr:uid="{00000000-0005-0000-0000-000012710000}"/>
    <cellStyle name="Normal 6 2 14" xfId="20870" xr:uid="{00000000-0005-0000-0000-000013710000}"/>
    <cellStyle name="Normal 6 2 15" xfId="20871" xr:uid="{00000000-0005-0000-0000-000014710000}"/>
    <cellStyle name="Normal 6 2 16" xfId="20872" xr:uid="{00000000-0005-0000-0000-000015710000}"/>
    <cellStyle name="Normal 6 2 17" xfId="20873" xr:uid="{00000000-0005-0000-0000-000016710000}"/>
    <cellStyle name="Normal 6 2 18" xfId="20874" xr:uid="{00000000-0005-0000-0000-000017710000}"/>
    <cellStyle name="Normal 6 2 19" xfId="20875" xr:uid="{00000000-0005-0000-0000-000018710000}"/>
    <cellStyle name="Normal 6 2 2" xfId="20876" xr:uid="{00000000-0005-0000-0000-000019710000}"/>
    <cellStyle name="Normal 6 2 2 10" xfId="20877" xr:uid="{00000000-0005-0000-0000-00001A710000}"/>
    <cellStyle name="Normal 6 2 2 11" xfId="20878" xr:uid="{00000000-0005-0000-0000-00001B710000}"/>
    <cellStyle name="Normal 6 2 2 12" xfId="20879" xr:uid="{00000000-0005-0000-0000-00001C710000}"/>
    <cellStyle name="Normal 6 2 2 13" xfId="20880" xr:uid="{00000000-0005-0000-0000-00001D710000}"/>
    <cellStyle name="Normal 6 2 2 14" xfId="20881" xr:uid="{00000000-0005-0000-0000-00001E710000}"/>
    <cellStyle name="Normal 6 2 2 15" xfId="20882" xr:uid="{00000000-0005-0000-0000-00001F710000}"/>
    <cellStyle name="Normal 6 2 2 16" xfId="20883" xr:uid="{00000000-0005-0000-0000-000020710000}"/>
    <cellStyle name="Normal 6 2 2 17" xfId="20884" xr:uid="{00000000-0005-0000-0000-000021710000}"/>
    <cellStyle name="Normal 6 2 2 18" xfId="20885" xr:uid="{00000000-0005-0000-0000-000022710000}"/>
    <cellStyle name="Normal 6 2 2 19" xfId="20886" xr:uid="{00000000-0005-0000-0000-000023710000}"/>
    <cellStyle name="Normal 6 2 2 2" xfId="20887" xr:uid="{00000000-0005-0000-0000-000024710000}"/>
    <cellStyle name="Normal 6 2 2 2 2" xfId="20888" xr:uid="{00000000-0005-0000-0000-000025710000}"/>
    <cellStyle name="Normal 6 2 2 2 3" xfId="20889" xr:uid="{00000000-0005-0000-0000-000026710000}"/>
    <cellStyle name="Normal 6 2 2 2 4" xfId="20890" xr:uid="{00000000-0005-0000-0000-000027710000}"/>
    <cellStyle name="Normal 6 2 2 2 5" xfId="20891" xr:uid="{00000000-0005-0000-0000-000028710000}"/>
    <cellStyle name="Normal 6 2 2 2 6" xfId="20892" xr:uid="{00000000-0005-0000-0000-000029710000}"/>
    <cellStyle name="Normal 6 2 2 2 7" xfId="20893" xr:uid="{00000000-0005-0000-0000-00002A710000}"/>
    <cellStyle name="Normal 6 2 2 20" xfId="20894" xr:uid="{00000000-0005-0000-0000-00002B710000}"/>
    <cellStyle name="Normal 6 2 2 21" xfId="20895" xr:uid="{00000000-0005-0000-0000-00002C710000}"/>
    <cellStyle name="Normal 6 2 2 22" xfId="40751" xr:uid="{00000000-0005-0000-0000-00002D710000}"/>
    <cellStyle name="Normal 6 2 2 3" xfId="20896" xr:uid="{00000000-0005-0000-0000-00002E710000}"/>
    <cellStyle name="Normal 6 2 2 4" xfId="20897" xr:uid="{00000000-0005-0000-0000-00002F710000}"/>
    <cellStyle name="Normal 6 2 2 5" xfId="20898" xr:uid="{00000000-0005-0000-0000-000030710000}"/>
    <cellStyle name="Normal 6 2 2 6" xfId="20899" xr:uid="{00000000-0005-0000-0000-000031710000}"/>
    <cellStyle name="Normal 6 2 2 7" xfId="20900" xr:uid="{00000000-0005-0000-0000-000032710000}"/>
    <cellStyle name="Normal 6 2 2 8" xfId="20901" xr:uid="{00000000-0005-0000-0000-000033710000}"/>
    <cellStyle name="Normal 6 2 2 9" xfId="20902" xr:uid="{00000000-0005-0000-0000-000034710000}"/>
    <cellStyle name="Normal 6 2 20" xfId="20903" xr:uid="{00000000-0005-0000-0000-000035710000}"/>
    <cellStyle name="Normal 6 2 21" xfId="20904" xr:uid="{00000000-0005-0000-0000-000036710000}"/>
    <cellStyle name="Normal 6 2 22" xfId="20905" xr:uid="{00000000-0005-0000-0000-000037710000}"/>
    <cellStyle name="Normal 6 2 23" xfId="20906" xr:uid="{00000000-0005-0000-0000-000038710000}"/>
    <cellStyle name="Normal 6 2 3" xfId="20907" xr:uid="{00000000-0005-0000-0000-000039710000}"/>
    <cellStyle name="Normal 6 2 3 2" xfId="40752" xr:uid="{00000000-0005-0000-0000-00003A710000}"/>
    <cellStyle name="Normal 6 2 4" xfId="20908" xr:uid="{00000000-0005-0000-0000-00003B710000}"/>
    <cellStyle name="Normal 6 2 4 2" xfId="40753" xr:uid="{00000000-0005-0000-0000-00003C710000}"/>
    <cellStyle name="Normal 6 2 5" xfId="20909" xr:uid="{00000000-0005-0000-0000-00003D710000}"/>
    <cellStyle name="Normal 6 2 5 2" xfId="20910" xr:uid="{00000000-0005-0000-0000-00003E710000}"/>
    <cellStyle name="Normal 6 2 6" xfId="20911" xr:uid="{00000000-0005-0000-0000-00003F710000}"/>
    <cellStyle name="Normal 6 2 6 2" xfId="20912" xr:uid="{00000000-0005-0000-0000-000040710000}"/>
    <cellStyle name="Normal 6 2 7" xfId="20913" xr:uid="{00000000-0005-0000-0000-000041710000}"/>
    <cellStyle name="Normal 6 2 7 2" xfId="20914" xr:uid="{00000000-0005-0000-0000-000042710000}"/>
    <cellStyle name="Normal 6 2 8" xfId="20915" xr:uid="{00000000-0005-0000-0000-000043710000}"/>
    <cellStyle name="Normal 6 2 8 2" xfId="20916" xr:uid="{00000000-0005-0000-0000-000044710000}"/>
    <cellStyle name="Normal 6 2 9" xfId="20917" xr:uid="{00000000-0005-0000-0000-000045710000}"/>
    <cellStyle name="Normal 6 20" xfId="20918" xr:uid="{00000000-0005-0000-0000-000046710000}"/>
    <cellStyle name="Normal 6 21" xfId="20919" xr:uid="{00000000-0005-0000-0000-000047710000}"/>
    <cellStyle name="Normal 6 22" xfId="20920" xr:uid="{00000000-0005-0000-0000-000048710000}"/>
    <cellStyle name="Normal 6 23" xfId="20921" xr:uid="{00000000-0005-0000-0000-000049710000}"/>
    <cellStyle name="Normal 6 24" xfId="20922" xr:uid="{00000000-0005-0000-0000-00004A710000}"/>
    <cellStyle name="Normal 6 25" xfId="20923" xr:uid="{00000000-0005-0000-0000-00004B710000}"/>
    <cellStyle name="Normal 6 26" xfId="20924" xr:uid="{00000000-0005-0000-0000-00004C710000}"/>
    <cellStyle name="Normal 6 27" xfId="20925" xr:uid="{00000000-0005-0000-0000-00004D710000}"/>
    <cellStyle name="Normal 6 28" xfId="20926" xr:uid="{00000000-0005-0000-0000-00004E710000}"/>
    <cellStyle name="Normal 6 29" xfId="20927" xr:uid="{00000000-0005-0000-0000-00004F710000}"/>
    <cellStyle name="Normal 6 3" xfId="20928" xr:uid="{00000000-0005-0000-0000-000050710000}"/>
    <cellStyle name="Normal 6 3 2" xfId="20929" xr:uid="{00000000-0005-0000-0000-000051710000}"/>
    <cellStyle name="Normal 6 3 2 2" xfId="20930" xr:uid="{00000000-0005-0000-0000-000052710000}"/>
    <cellStyle name="Normal 6 3 2 2 2" xfId="40756" xr:uid="{00000000-0005-0000-0000-000053710000}"/>
    <cellStyle name="Normal 6 3 2 3" xfId="20931" xr:uid="{00000000-0005-0000-0000-000054710000}"/>
    <cellStyle name="Normal 6 3 2 4" xfId="20932" xr:uid="{00000000-0005-0000-0000-000055710000}"/>
    <cellStyle name="Normal 6 3 2 5" xfId="20933" xr:uid="{00000000-0005-0000-0000-000056710000}"/>
    <cellStyle name="Normal 6 3 2 6" xfId="20934" xr:uid="{00000000-0005-0000-0000-000057710000}"/>
    <cellStyle name="Normal 6 3 2 7" xfId="20935" xr:uid="{00000000-0005-0000-0000-000058710000}"/>
    <cellStyle name="Normal 6 3 2 8" xfId="40755" xr:uid="{00000000-0005-0000-0000-000059710000}"/>
    <cellStyle name="Normal 6 3 3" xfId="20936" xr:uid="{00000000-0005-0000-0000-00005A710000}"/>
    <cellStyle name="Normal 6 3 3 2" xfId="40757" xr:uid="{00000000-0005-0000-0000-00005B710000}"/>
    <cellStyle name="Normal 6 3 4" xfId="20937" xr:uid="{00000000-0005-0000-0000-00005C710000}"/>
    <cellStyle name="Normal 6 3 4 2" xfId="40758" xr:uid="{00000000-0005-0000-0000-00005D710000}"/>
    <cellStyle name="Normal 6 3 5" xfId="20938" xr:uid="{00000000-0005-0000-0000-00005E710000}"/>
    <cellStyle name="Normal 6 3 5 2" xfId="41021" xr:uid="{00000000-0005-0000-0000-00005F710000}"/>
    <cellStyle name="Normal 6 3 6" xfId="20939" xr:uid="{00000000-0005-0000-0000-000060710000}"/>
    <cellStyle name="Normal 6 3 6 2" xfId="41012" xr:uid="{00000000-0005-0000-0000-000061710000}"/>
    <cellStyle name="Normal 6 3 7" xfId="20940" xr:uid="{00000000-0005-0000-0000-000062710000}"/>
    <cellStyle name="Normal 6 3 8" xfId="20941" xr:uid="{00000000-0005-0000-0000-000063710000}"/>
    <cellStyle name="Normal 6 3 9" xfId="40754" xr:uid="{00000000-0005-0000-0000-000064710000}"/>
    <cellStyle name="Normal 6 30" xfId="20942" xr:uid="{00000000-0005-0000-0000-000065710000}"/>
    <cellStyle name="Normal 6 31" xfId="20943" xr:uid="{00000000-0005-0000-0000-000066710000}"/>
    <cellStyle name="Normal 6 32" xfId="20944" xr:uid="{00000000-0005-0000-0000-000067710000}"/>
    <cellStyle name="Normal 6 33" xfId="20945" xr:uid="{00000000-0005-0000-0000-000068710000}"/>
    <cellStyle name="Normal 6 34" xfId="20946" xr:uid="{00000000-0005-0000-0000-000069710000}"/>
    <cellStyle name="Normal 6 35" xfId="20947" xr:uid="{00000000-0005-0000-0000-00006A710000}"/>
    <cellStyle name="Normal 6 4" xfId="20948" xr:uid="{00000000-0005-0000-0000-00006B710000}"/>
    <cellStyle name="Normal 6 4 10" xfId="20949" xr:uid="{00000000-0005-0000-0000-00006C710000}"/>
    <cellStyle name="Normal 6 4 11" xfId="20950" xr:uid="{00000000-0005-0000-0000-00006D710000}"/>
    <cellStyle name="Normal 6 4 12" xfId="20951" xr:uid="{00000000-0005-0000-0000-00006E710000}"/>
    <cellStyle name="Normal 6 4 13" xfId="20952" xr:uid="{00000000-0005-0000-0000-00006F710000}"/>
    <cellStyle name="Normal 6 4 14" xfId="20953" xr:uid="{00000000-0005-0000-0000-000070710000}"/>
    <cellStyle name="Normal 6 4 15" xfId="20954" xr:uid="{00000000-0005-0000-0000-000071710000}"/>
    <cellStyle name="Normal 6 4 16" xfId="20955" xr:uid="{00000000-0005-0000-0000-000072710000}"/>
    <cellStyle name="Normal 6 4 2" xfId="20956" xr:uid="{00000000-0005-0000-0000-000073710000}"/>
    <cellStyle name="Normal 6 4 2 10" xfId="20957" xr:uid="{00000000-0005-0000-0000-000074710000}"/>
    <cellStyle name="Normal 6 4 2 11" xfId="20958" xr:uid="{00000000-0005-0000-0000-000075710000}"/>
    <cellStyle name="Normal 6 4 2 12" xfId="20959" xr:uid="{00000000-0005-0000-0000-000076710000}"/>
    <cellStyle name="Normal 6 4 2 13" xfId="20960" xr:uid="{00000000-0005-0000-0000-000077710000}"/>
    <cellStyle name="Normal 6 4 2 14" xfId="20961" xr:uid="{00000000-0005-0000-0000-000078710000}"/>
    <cellStyle name="Normal 6 4 2 15" xfId="20962" xr:uid="{00000000-0005-0000-0000-000079710000}"/>
    <cellStyle name="Normal 6 4 2 16" xfId="20963" xr:uid="{00000000-0005-0000-0000-00007A710000}"/>
    <cellStyle name="Normal 6 4 2 17" xfId="40759" xr:uid="{00000000-0005-0000-0000-00007B710000}"/>
    <cellStyle name="Normal 6 4 2 2" xfId="20964" xr:uid="{00000000-0005-0000-0000-00007C710000}"/>
    <cellStyle name="Normal 6 4 2 3" xfId="20965" xr:uid="{00000000-0005-0000-0000-00007D710000}"/>
    <cellStyle name="Normal 6 4 2 4" xfId="20966" xr:uid="{00000000-0005-0000-0000-00007E710000}"/>
    <cellStyle name="Normal 6 4 2 5" xfId="20967" xr:uid="{00000000-0005-0000-0000-00007F710000}"/>
    <cellStyle name="Normal 6 4 2 6" xfId="20968" xr:uid="{00000000-0005-0000-0000-000080710000}"/>
    <cellStyle name="Normal 6 4 2 7" xfId="20969" xr:uid="{00000000-0005-0000-0000-000081710000}"/>
    <cellStyle name="Normal 6 4 2 8" xfId="20970" xr:uid="{00000000-0005-0000-0000-000082710000}"/>
    <cellStyle name="Normal 6 4 2 9" xfId="20971" xr:uid="{00000000-0005-0000-0000-000083710000}"/>
    <cellStyle name="Normal 6 4 3" xfId="20972" xr:uid="{00000000-0005-0000-0000-000084710000}"/>
    <cellStyle name="Normal 6 4 3 2" xfId="40760" xr:uid="{00000000-0005-0000-0000-000085710000}"/>
    <cellStyle name="Normal 6 4 4" xfId="20973" xr:uid="{00000000-0005-0000-0000-000086710000}"/>
    <cellStyle name="Normal 6 4 4 2" xfId="40761" xr:uid="{00000000-0005-0000-0000-000087710000}"/>
    <cellStyle name="Normal 6 4 5" xfId="20974" xr:uid="{00000000-0005-0000-0000-000088710000}"/>
    <cellStyle name="Normal 6 4 6" xfId="20975" xr:uid="{00000000-0005-0000-0000-000089710000}"/>
    <cellStyle name="Normal 6 4 7" xfId="20976" xr:uid="{00000000-0005-0000-0000-00008A710000}"/>
    <cellStyle name="Normal 6 4 8" xfId="20977" xr:uid="{00000000-0005-0000-0000-00008B710000}"/>
    <cellStyle name="Normal 6 4 9" xfId="20978" xr:uid="{00000000-0005-0000-0000-00008C710000}"/>
    <cellStyle name="Normal 6 5" xfId="20979" xr:uid="{00000000-0005-0000-0000-00008D710000}"/>
    <cellStyle name="Normal 6 5 2" xfId="40762" xr:uid="{00000000-0005-0000-0000-00008E710000}"/>
    <cellStyle name="Normal 6 6" xfId="20980" xr:uid="{00000000-0005-0000-0000-00008F710000}"/>
    <cellStyle name="Normal 6 6 2" xfId="40763" xr:uid="{00000000-0005-0000-0000-000090710000}"/>
    <cellStyle name="Normal 6 7" xfId="20981" xr:uid="{00000000-0005-0000-0000-000091710000}"/>
    <cellStyle name="Normal 6 7 2" xfId="40764" xr:uid="{00000000-0005-0000-0000-000092710000}"/>
    <cellStyle name="Normal 6 8" xfId="20982" xr:uid="{00000000-0005-0000-0000-000093710000}"/>
    <cellStyle name="Normal 6 8 2" xfId="40765" xr:uid="{00000000-0005-0000-0000-000094710000}"/>
    <cellStyle name="Normal 6 9" xfId="20983" xr:uid="{00000000-0005-0000-0000-000095710000}"/>
    <cellStyle name="Normal 6 9 2" xfId="40766" xr:uid="{00000000-0005-0000-0000-000096710000}"/>
    <cellStyle name="Normal 7" xfId="20984" xr:uid="{00000000-0005-0000-0000-000097710000}"/>
    <cellStyle name="Normal 7 10" xfId="20985" xr:uid="{00000000-0005-0000-0000-000098710000}"/>
    <cellStyle name="Normal 7 11" xfId="20986" xr:uid="{00000000-0005-0000-0000-000099710000}"/>
    <cellStyle name="Normal 7 12" xfId="20987" xr:uid="{00000000-0005-0000-0000-00009A710000}"/>
    <cellStyle name="Normal 7 13" xfId="20988" xr:uid="{00000000-0005-0000-0000-00009B710000}"/>
    <cellStyle name="Normal 7 2" xfId="20989" xr:uid="{00000000-0005-0000-0000-00009C710000}"/>
    <cellStyle name="Normal 7 2 10" xfId="20990" xr:uid="{00000000-0005-0000-0000-00009D710000}"/>
    <cellStyle name="Normal 7 2 10 2" xfId="20991" xr:uid="{00000000-0005-0000-0000-00009E710000}"/>
    <cellStyle name="Normal 7 2 10 2 2" xfId="36963" xr:uid="{00000000-0005-0000-0000-00009F710000}"/>
    <cellStyle name="Normal 7 2 10 3" xfId="20992" xr:uid="{00000000-0005-0000-0000-0000A0710000}"/>
    <cellStyle name="Normal 7 2 10 3 2" xfId="36964" xr:uid="{00000000-0005-0000-0000-0000A1710000}"/>
    <cellStyle name="Normal 7 2 10 4" xfId="20993" xr:uid="{00000000-0005-0000-0000-0000A2710000}"/>
    <cellStyle name="Normal 7 2 10 4 2" xfId="36965" xr:uid="{00000000-0005-0000-0000-0000A3710000}"/>
    <cellStyle name="Normal 7 2 10 5" xfId="20994" xr:uid="{00000000-0005-0000-0000-0000A4710000}"/>
    <cellStyle name="Normal 7 2 10 5 2" xfId="36966" xr:uid="{00000000-0005-0000-0000-0000A5710000}"/>
    <cellStyle name="Normal 7 2 10 6" xfId="36962" xr:uid="{00000000-0005-0000-0000-0000A6710000}"/>
    <cellStyle name="Normal 7 2 11" xfId="20995" xr:uid="{00000000-0005-0000-0000-0000A7710000}"/>
    <cellStyle name="Normal 7 2 11 2" xfId="20996" xr:uid="{00000000-0005-0000-0000-0000A8710000}"/>
    <cellStyle name="Normal 7 2 11 2 2" xfId="36968" xr:uid="{00000000-0005-0000-0000-0000A9710000}"/>
    <cellStyle name="Normal 7 2 11 3" xfId="20997" xr:uid="{00000000-0005-0000-0000-0000AA710000}"/>
    <cellStyle name="Normal 7 2 11 3 2" xfId="36969" xr:uid="{00000000-0005-0000-0000-0000AB710000}"/>
    <cellStyle name="Normal 7 2 11 4" xfId="20998" xr:uid="{00000000-0005-0000-0000-0000AC710000}"/>
    <cellStyle name="Normal 7 2 11 4 2" xfId="36970" xr:uid="{00000000-0005-0000-0000-0000AD710000}"/>
    <cellStyle name="Normal 7 2 11 5" xfId="20999" xr:uid="{00000000-0005-0000-0000-0000AE710000}"/>
    <cellStyle name="Normal 7 2 11 5 2" xfId="36971" xr:uid="{00000000-0005-0000-0000-0000AF710000}"/>
    <cellStyle name="Normal 7 2 11 6" xfId="36967" xr:uid="{00000000-0005-0000-0000-0000B0710000}"/>
    <cellStyle name="Normal 7 2 12" xfId="21000" xr:uid="{00000000-0005-0000-0000-0000B1710000}"/>
    <cellStyle name="Normal 7 2 12 2" xfId="21001" xr:uid="{00000000-0005-0000-0000-0000B2710000}"/>
    <cellStyle name="Normal 7 2 12 2 2" xfId="36973" xr:uid="{00000000-0005-0000-0000-0000B3710000}"/>
    <cellStyle name="Normal 7 2 12 3" xfId="21002" xr:uid="{00000000-0005-0000-0000-0000B4710000}"/>
    <cellStyle name="Normal 7 2 12 3 2" xfId="36974" xr:uid="{00000000-0005-0000-0000-0000B5710000}"/>
    <cellStyle name="Normal 7 2 12 4" xfId="21003" xr:uid="{00000000-0005-0000-0000-0000B6710000}"/>
    <cellStyle name="Normal 7 2 12 4 2" xfId="36975" xr:uid="{00000000-0005-0000-0000-0000B7710000}"/>
    <cellStyle name="Normal 7 2 12 5" xfId="21004" xr:uid="{00000000-0005-0000-0000-0000B8710000}"/>
    <cellStyle name="Normal 7 2 12 5 2" xfId="36976" xr:uid="{00000000-0005-0000-0000-0000B9710000}"/>
    <cellStyle name="Normal 7 2 12 6" xfId="36972" xr:uid="{00000000-0005-0000-0000-0000BA710000}"/>
    <cellStyle name="Normal 7 2 13" xfId="21005" xr:uid="{00000000-0005-0000-0000-0000BB710000}"/>
    <cellStyle name="Normal 7 2 13 2" xfId="21006" xr:uid="{00000000-0005-0000-0000-0000BC710000}"/>
    <cellStyle name="Normal 7 2 13 2 2" xfId="36978" xr:uid="{00000000-0005-0000-0000-0000BD710000}"/>
    <cellStyle name="Normal 7 2 13 3" xfId="21007" xr:uid="{00000000-0005-0000-0000-0000BE710000}"/>
    <cellStyle name="Normal 7 2 13 3 2" xfId="36979" xr:uid="{00000000-0005-0000-0000-0000BF710000}"/>
    <cellStyle name="Normal 7 2 13 4" xfId="21008" xr:uid="{00000000-0005-0000-0000-0000C0710000}"/>
    <cellStyle name="Normal 7 2 13 4 2" xfId="36980" xr:uid="{00000000-0005-0000-0000-0000C1710000}"/>
    <cellStyle name="Normal 7 2 13 5" xfId="21009" xr:uid="{00000000-0005-0000-0000-0000C2710000}"/>
    <cellStyle name="Normal 7 2 13 5 2" xfId="36981" xr:uid="{00000000-0005-0000-0000-0000C3710000}"/>
    <cellStyle name="Normal 7 2 13 6" xfId="36977" xr:uid="{00000000-0005-0000-0000-0000C4710000}"/>
    <cellStyle name="Normal 7 2 14" xfId="21010" xr:uid="{00000000-0005-0000-0000-0000C5710000}"/>
    <cellStyle name="Normal 7 2 14 2" xfId="21011" xr:uid="{00000000-0005-0000-0000-0000C6710000}"/>
    <cellStyle name="Normal 7 2 14 2 2" xfId="36983" xr:uid="{00000000-0005-0000-0000-0000C7710000}"/>
    <cellStyle name="Normal 7 2 14 3" xfId="21012" xr:uid="{00000000-0005-0000-0000-0000C8710000}"/>
    <cellStyle name="Normal 7 2 14 3 2" xfId="36984" xr:uid="{00000000-0005-0000-0000-0000C9710000}"/>
    <cellStyle name="Normal 7 2 14 4" xfId="21013" xr:uid="{00000000-0005-0000-0000-0000CA710000}"/>
    <cellStyle name="Normal 7 2 14 4 2" xfId="36985" xr:uid="{00000000-0005-0000-0000-0000CB710000}"/>
    <cellStyle name="Normal 7 2 14 5" xfId="21014" xr:uid="{00000000-0005-0000-0000-0000CC710000}"/>
    <cellStyle name="Normal 7 2 14 5 2" xfId="36986" xr:uid="{00000000-0005-0000-0000-0000CD710000}"/>
    <cellStyle name="Normal 7 2 14 6" xfId="36982" xr:uid="{00000000-0005-0000-0000-0000CE710000}"/>
    <cellStyle name="Normal 7 2 15" xfId="21015" xr:uid="{00000000-0005-0000-0000-0000CF710000}"/>
    <cellStyle name="Normal 7 2 15 2" xfId="21016" xr:uid="{00000000-0005-0000-0000-0000D0710000}"/>
    <cellStyle name="Normal 7 2 15 2 2" xfId="36988" xr:uid="{00000000-0005-0000-0000-0000D1710000}"/>
    <cellStyle name="Normal 7 2 15 3" xfId="21017" xr:uid="{00000000-0005-0000-0000-0000D2710000}"/>
    <cellStyle name="Normal 7 2 15 3 2" xfId="36989" xr:uid="{00000000-0005-0000-0000-0000D3710000}"/>
    <cellStyle name="Normal 7 2 15 4" xfId="21018" xr:uid="{00000000-0005-0000-0000-0000D4710000}"/>
    <cellStyle name="Normal 7 2 15 4 2" xfId="36990" xr:uid="{00000000-0005-0000-0000-0000D5710000}"/>
    <cellStyle name="Normal 7 2 15 5" xfId="21019" xr:uid="{00000000-0005-0000-0000-0000D6710000}"/>
    <cellStyle name="Normal 7 2 15 5 2" xfId="36991" xr:uid="{00000000-0005-0000-0000-0000D7710000}"/>
    <cellStyle name="Normal 7 2 15 6" xfId="36987" xr:uid="{00000000-0005-0000-0000-0000D8710000}"/>
    <cellStyle name="Normal 7 2 16" xfId="21020" xr:uid="{00000000-0005-0000-0000-0000D9710000}"/>
    <cellStyle name="Normal 7 2 16 2" xfId="21021" xr:uid="{00000000-0005-0000-0000-0000DA710000}"/>
    <cellStyle name="Normal 7 2 16 2 2" xfId="36993" xr:uid="{00000000-0005-0000-0000-0000DB710000}"/>
    <cellStyle name="Normal 7 2 16 3" xfId="21022" xr:uid="{00000000-0005-0000-0000-0000DC710000}"/>
    <cellStyle name="Normal 7 2 16 3 2" xfId="36994" xr:uid="{00000000-0005-0000-0000-0000DD710000}"/>
    <cellStyle name="Normal 7 2 16 4" xfId="21023" xr:uid="{00000000-0005-0000-0000-0000DE710000}"/>
    <cellStyle name="Normal 7 2 16 4 2" xfId="36995" xr:uid="{00000000-0005-0000-0000-0000DF710000}"/>
    <cellStyle name="Normal 7 2 16 5" xfId="21024" xr:uid="{00000000-0005-0000-0000-0000E0710000}"/>
    <cellStyle name="Normal 7 2 16 5 2" xfId="36996" xr:uid="{00000000-0005-0000-0000-0000E1710000}"/>
    <cellStyle name="Normal 7 2 16 6" xfId="36992" xr:uid="{00000000-0005-0000-0000-0000E2710000}"/>
    <cellStyle name="Normal 7 2 17" xfId="21025" xr:uid="{00000000-0005-0000-0000-0000E3710000}"/>
    <cellStyle name="Normal 7 2 17 2" xfId="21026" xr:uid="{00000000-0005-0000-0000-0000E4710000}"/>
    <cellStyle name="Normal 7 2 17 2 2" xfId="36998" xr:uid="{00000000-0005-0000-0000-0000E5710000}"/>
    <cellStyle name="Normal 7 2 17 3" xfId="21027" xr:uid="{00000000-0005-0000-0000-0000E6710000}"/>
    <cellStyle name="Normal 7 2 17 3 2" xfId="36999" xr:uid="{00000000-0005-0000-0000-0000E7710000}"/>
    <cellStyle name="Normal 7 2 17 4" xfId="21028" xr:uid="{00000000-0005-0000-0000-0000E8710000}"/>
    <cellStyle name="Normal 7 2 17 4 2" xfId="37000" xr:uid="{00000000-0005-0000-0000-0000E9710000}"/>
    <cellStyle name="Normal 7 2 17 5" xfId="21029" xr:uid="{00000000-0005-0000-0000-0000EA710000}"/>
    <cellStyle name="Normal 7 2 17 5 2" xfId="37001" xr:uid="{00000000-0005-0000-0000-0000EB710000}"/>
    <cellStyle name="Normal 7 2 17 6" xfId="36997" xr:uid="{00000000-0005-0000-0000-0000EC710000}"/>
    <cellStyle name="Normal 7 2 18" xfId="21030" xr:uid="{00000000-0005-0000-0000-0000ED710000}"/>
    <cellStyle name="Normal 7 2 18 2" xfId="21031" xr:uid="{00000000-0005-0000-0000-0000EE710000}"/>
    <cellStyle name="Normal 7 2 18 2 2" xfId="37003" xr:uid="{00000000-0005-0000-0000-0000EF710000}"/>
    <cellStyle name="Normal 7 2 18 3" xfId="21032" xr:uid="{00000000-0005-0000-0000-0000F0710000}"/>
    <cellStyle name="Normal 7 2 18 3 2" xfId="37004" xr:uid="{00000000-0005-0000-0000-0000F1710000}"/>
    <cellStyle name="Normal 7 2 18 4" xfId="21033" xr:uid="{00000000-0005-0000-0000-0000F2710000}"/>
    <cellStyle name="Normal 7 2 18 4 2" xfId="37005" xr:uid="{00000000-0005-0000-0000-0000F3710000}"/>
    <cellStyle name="Normal 7 2 18 5" xfId="21034" xr:uid="{00000000-0005-0000-0000-0000F4710000}"/>
    <cellStyle name="Normal 7 2 18 5 2" xfId="37006" xr:uid="{00000000-0005-0000-0000-0000F5710000}"/>
    <cellStyle name="Normal 7 2 18 6" xfId="37002" xr:uid="{00000000-0005-0000-0000-0000F6710000}"/>
    <cellStyle name="Normal 7 2 19" xfId="21035" xr:uid="{00000000-0005-0000-0000-0000F7710000}"/>
    <cellStyle name="Normal 7 2 19 2" xfId="37007" xr:uid="{00000000-0005-0000-0000-0000F8710000}"/>
    <cellStyle name="Normal 7 2 2" xfId="21036" xr:uid="{00000000-0005-0000-0000-0000F9710000}"/>
    <cellStyle name="Normal 7 2 2 2" xfId="21037" xr:uid="{00000000-0005-0000-0000-0000FA710000}"/>
    <cellStyle name="Normal 7 2 2 3" xfId="21038" xr:uid="{00000000-0005-0000-0000-0000FB710000}"/>
    <cellStyle name="Normal 7 2 2 4" xfId="21039" xr:uid="{00000000-0005-0000-0000-0000FC710000}"/>
    <cellStyle name="Normal 7 2 2 5" xfId="21040" xr:uid="{00000000-0005-0000-0000-0000FD710000}"/>
    <cellStyle name="Normal 7 2 2 6" xfId="21041" xr:uid="{00000000-0005-0000-0000-0000FE710000}"/>
    <cellStyle name="Normal 7 2 2 7" xfId="21042" xr:uid="{00000000-0005-0000-0000-0000FF710000}"/>
    <cellStyle name="Normal 7 2 2 8" xfId="37008" xr:uid="{00000000-0005-0000-0000-000000720000}"/>
    <cellStyle name="Normal 7 2 20" xfId="21043" xr:uid="{00000000-0005-0000-0000-000001720000}"/>
    <cellStyle name="Normal 7 2 20 2" xfId="37009" xr:uid="{00000000-0005-0000-0000-000002720000}"/>
    <cellStyle name="Normal 7 2 21" xfId="21044" xr:uid="{00000000-0005-0000-0000-000003720000}"/>
    <cellStyle name="Normal 7 2 21 2" xfId="37010" xr:uid="{00000000-0005-0000-0000-000004720000}"/>
    <cellStyle name="Normal 7 2 22" xfId="21045" xr:uid="{00000000-0005-0000-0000-000005720000}"/>
    <cellStyle name="Normal 7 2 22 2" xfId="37011" xr:uid="{00000000-0005-0000-0000-000006720000}"/>
    <cellStyle name="Normal 7 2 23" xfId="21046" xr:uid="{00000000-0005-0000-0000-000007720000}"/>
    <cellStyle name="Normal 7 2 23 2" xfId="37012" xr:uid="{00000000-0005-0000-0000-000008720000}"/>
    <cellStyle name="Normal 7 2 3" xfId="21047" xr:uid="{00000000-0005-0000-0000-000009720000}"/>
    <cellStyle name="Normal 7 2 4" xfId="21048" xr:uid="{00000000-0005-0000-0000-00000A720000}"/>
    <cellStyle name="Normal 7 2 4 10" xfId="21049" xr:uid="{00000000-0005-0000-0000-00000B720000}"/>
    <cellStyle name="Normal 7 2 4 10 2" xfId="37014" xr:uid="{00000000-0005-0000-0000-00000C720000}"/>
    <cellStyle name="Normal 7 2 4 11" xfId="21050" xr:uid="{00000000-0005-0000-0000-00000D720000}"/>
    <cellStyle name="Normal 7 2 4 11 2" xfId="37015" xr:uid="{00000000-0005-0000-0000-00000E720000}"/>
    <cellStyle name="Normal 7 2 4 12" xfId="40767" xr:uid="{00000000-0005-0000-0000-00000F720000}"/>
    <cellStyle name="Normal 7 2 4 13" xfId="37013" xr:uid="{00000000-0005-0000-0000-000010720000}"/>
    <cellStyle name="Normal 7 2 4 2" xfId="21051" xr:uid="{00000000-0005-0000-0000-000011720000}"/>
    <cellStyle name="Normal 7 2 4 2 2" xfId="21052" xr:uid="{00000000-0005-0000-0000-000012720000}"/>
    <cellStyle name="Normal 7 2 4 2 2 2" xfId="37017" xr:uid="{00000000-0005-0000-0000-000013720000}"/>
    <cellStyle name="Normal 7 2 4 2 3" xfId="21053" xr:uid="{00000000-0005-0000-0000-000014720000}"/>
    <cellStyle name="Normal 7 2 4 2 3 2" xfId="37018" xr:uid="{00000000-0005-0000-0000-000015720000}"/>
    <cellStyle name="Normal 7 2 4 2 4" xfId="21054" xr:uid="{00000000-0005-0000-0000-000016720000}"/>
    <cellStyle name="Normal 7 2 4 2 4 2" xfId="37019" xr:uid="{00000000-0005-0000-0000-000017720000}"/>
    <cellStyle name="Normal 7 2 4 2 5" xfId="21055" xr:uid="{00000000-0005-0000-0000-000018720000}"/>
    <cellStyle name="Normal 7 2 4 2 5 2" xfId="37020" xr:uid="{00000000-0005-0000-0000-000019720000}"/>
    <cellStyle name="Normal 7 2 4 2 6" xfId="37016" xr:uid="{00000000-0005-0000-0000-00001A720000}"/>
    <cellStyle name="Normal 7 2 4 3" xfId="21056" xr:uid="{00000000-0005-0000-0000-00001B720000}"/>
    <cellStyle name="Normal 7 2 4 3 2" xfId="21057" xr:uid="{00000000-0005-0000-0000-00001C720000}"/>
    <cellStyle name="Normal 7 2 4 3 2 2" xfId="37022" xr:uid="{00000000-0005-0000-0000-00001D720000}"/>
    <cellStyle name="Normal 7 2 4 3 3" xfId="21058" xr:uid="{00000000-0005-0000-0000-00001E720000}"/>
    <cellStyle name="Normal 7 2 4 3 3 2" xfId="37023" xr:uid="{00000000-0005-0000-0000-00001F720000}"/>
    <cellStyle name="Normal 7 2 4 3 4" xfId="21059" xr:uid="{00000000-0005-0000-0000-000020720000}"/>
    <cellStyle name="Normal 7 2 4 3 4 2" xfId="37024" xr:uid="{00000000-0005-0000-0000-000021720000}"/>
    <cellStyle name="Normal 7 2 4 3 5" xfId="21060" xr:uid="{00000000-0005-0000-0000-000022720000}"/>
    <cellStyle name="Normal 7 2 4 3 5 2" xfId="37025" xr:uid="{00000000-0005-0000-0000-000023720000}"/>
    <cellStyle name="Normal 7 2 4 3 6" xfId="37021" xr:uid="{00000000-0005-0000-0000-000024720000}"/>
    <cellStyle name="Normal 7 2 4 4" xfId="21061" xr:uid="{00000000-0005-0000-0000-000025720000}"/>
    <cellStyle name="Normal 7 2 4 4 2" xfId="21062" xr:uid="{00000000-0005-0000-0000-000026720000}"/>
    <cellStyle name="Normal 7 2 4 4 2 2" xfId="37027" xr:uid="{00000000-0005-0000-0000-000027720000}"/>
    <cellStyle name="Normal 7 2 4 4 3" xfId="21063" xr:uid="{00000000-0005-0000-0000-000028720000}"/>
    <cellStyle name="Normal 7 2 4 4 3 2" xfId="37028" xr:uid="{00000000-0005-0000-0000-000029720000}"/>
    <cellStyle name="Normal 7 2 4 4 4" xfId="21064" xr:uid="{00000000-0005-0000-0000-00002A720000}"/>
    <cellStyle name="Normal 7 2 4 4 4 2" xfId="37029" xr:uid="{00000000-0005-0000-0000-00002B720000}"/>
    <cellStyle name="Normal 7 2 4 4 5" xfId="21065" xr:uid="{00000000-0005-0000-0000-00002C720000}"/>
    <cellStyle name="Normal 7 2 4 4 5 2" xfId="37030" xr:uid="{00000000-0005-0000-0000-00002D720000}"/>
    <cellStyle name="Normal 7 2 4 4 6" xfId="37026" xr:uid="{00000000-0005-0000-0000-00002E720000}"/>
    <cellStyle name="Normal 7 2 4 5" xfId="21066" xr:uid="{00000000-0005-0000-0000-00002F720000}"/>
    <cellStyle name="Normal 7 2 4 5 2" xfId="21067" xr:uid="{00000000-0005-0000-0000-000030720000}"/>
    <cellStyle name="Normal 7 2 4 5 2 2" xfId="37032" xr:uid="{00000000-0005-0000-0000-000031720000}"/>
    <cellStyle name="Normal 7 2 4 5 3" xfId="21068" xr:uid="{00000000-0005-0000-0000-000032720000}"/>
    <cellStyle name="Normal 7 2 4 5 3 2" xfId="37033" xr:uid="{00000000-0005-0000-0000-000033720000}"/>
    <cellStyle name="Normal 7 2 4 5 4" xfId="21069" xr:uid="{00000000-0005-0000-0000-000034720000}"/>
    <cellStyle name="Normal 7 2 4 5 4 2" xfId="37034" xr:uid="{00000000-0005-0000-0000-000035720000}"/>
    <cellStyle name="Normal 7 2 4 5 5" xfId="21070" xr:uid="{00000000-0005-0000-0000-000036720000}"/>
    <cellStyle name="Normal 7 2 4 5 5 2" xfId="37035" xr:uid="{00000000-0005-0000-0000-000037720000}"/>
    <cellStyle name="Normal 7 2 4 5 6" xfId="37031" xr:uid="{00000000-0005-0000-0000-000038720000}"/>
    <cellStyle name="Normal 7 2 4 6" xfId="21071" xr:uid="{00000000-0005-0000-0000-000039720000}"/>
    <cellStyle name="Normal 7 2 4 6 2" xfId="21072" xr:uid="{00000000-0005-0000-0000-00003A720000}"/>
    <cellStyle name="Normal 7 2 4 6 2 2" xfId="37037" xr:uid="{00000000-0005-0000-0000-00003B720000}"/>
    <cellStyle name="Normal 7 2 4 6 3" xfId="21073" xr:uid="{00000000-0005-0000-0000-00003C720000}"/>
    <cellStyle name="Normal 7 2 4 6 3 2" xfId="37038" xr:uid="{00000000-0005-0000-0000-00003D720000}"/>
    <cellStyle name="Normal 7 2 4 6 4" xfId="21074" xr:uid="{00000000-0005-0000-0000-00003E720000}"/>
    <cellStyle name="Normal 7 2 4 6 4 2" xfId="37039" xr:uid="{00000000-0005-0000-0000-00003F720000}"/>
    <cellStyle name="Normal 7 2 4 6 5" xfId="21075" xr:uid="{00000000-0005-0000-0000-000040720000}"/>
    <cellStyle name="Normal 7 2 4 6 5 2" xfId="37040" xr:uid="{00000000-0005-0000-0000-000041720000}"/>
    <cellStyle name="Normal 7 2 4 6 6" xfId="37036" xr:uid="{00000000-0005-0000-0000-000042720000}"/>
    <cellStyle name="Normal 7 2 4 7" xfId="21076" xr:uid="{00000000-0005-0000-0000-000043720000}"/>
    <cellStyle name="Normal 7 2 4 7 2" xfId="21077" xr:uid="{00000000-0005-0000-0000-000044720000}"/>
    <cellStyle name="Normal 7 2 4 7 2 2" xfId="37042" xr:uid="{00000000-0005-0000-0000-000045720000}"/>
    <cellStyle name="Normal 7 2 4 7 3" xfId="21078" xr:uid="{00000000-0005-0000-0000-000046720000}"/>
    <cellStyle name="Normal 7 2 4 7 3 2" xfId="37043" xr:uid="{00000000-0005-0000-0000-000047720000}"/>
    <cellStyle name="Normal 7 2 4 7 4" xfId="21079" xr:uid="{00000000-0005-0000-0000-000048720000}"/>
    <cellStyle name="Normal 7 2 4 7 4 2" xfId="37044" xr:uid="{00000000-0005-0000-0000-000049720000}"/>
    <cellStyle name="Normal 7 2 4 7 5" xfId="21080" xr:uid="{00000000-0005-0000-0000-00004A720000}"/>
    <cellStyle name="Normal 7 2 4 7 5 2" xfId="37045" xr:uid="{00000000-0005-0000-0000-00004B720000}"/>
    <cellStyle name="Normal 7 2 4 7 6" xfId="37041" xr:uid="{00000000-0005-0000-0000-00004C720000}"/>
    <cellStyle name="Normal 7 2 4 8" xfId="21081" xr:uid="{00000000-0005-0000-0000-00004D720000}"/>
    <cellStyle name="Normal 7 2 4 8 2" xfId="37046" xr:uid="{00000000-0005-0000-0000-00004E720000}"/>
    <cellStyle name="Normal 7 2 4 9" xfId="21082" xr:uid="{00000000-0005-0000-0000-00004F720000}"/>
    <cellStyle name="Normal 7 2 4 9 2" xfId="37047" xr:uid="{00000000-0005-0000-0000-000050720000}"/>
    <cellStyle name="Normal 7 2 5" xfId="21083" xr:uid="{00000000-0005-0000-0000-000051720000}"/>
    <cellStyle name="Normal 7 2 5 2" xfId="21084" xr:uid="{00000000-0005-0000-0000-000052720000}"/>
    <cellStyle name="Normal 7 2 5 2 2" xfId="21085" xr:uid="{00000000-0005-0000-0000-000053720000}"/>
    <cellStyle name="Normal 7 2 5 2 2 2" xfId="37050" xr:uid="{00000000-0005-0000-0000-000054720000}"/>
    <cellStyle name="Normal 7 2 5 2 3" xfId="21086" xr:uid="{00000000-0005-0000-0000-000055720000}"/>
    <cellStyle name="Normal 7 2 5 2 3 2" xfId="37051" xr:uid="{00000000-0005-0000-0000-000056720000}"/>
    <cellStyle name="Normal 7 2 5 2 4" xfId="21087" xr:uid="{00000000-0005-0000-0000-000057720000}"/>
    <cellStyle name="Normal 7 2 5 2 4 2" xfId="37052" xr:uid="{00000000-0005-0000-0000-000058720000}"/>
    <cellStyle name="Normal 7 2 5 2 5" xfId="21088" xr:uid="{00000000-0005-0000-0000-000059720000}"/>
    <cellStyle name="Normal 7 2 5 2 5 2" xfId="37053" xr:uid="{00000000-0005-0000-0000-00005A720000}"/>
    <cellStyle name="Normal 7 2 5 2 6" xfId="37049" xr:uid="{00000000-0005-0000-0000-00005B720000}"/>
    <cellStyle name="Normal 7 2 5 3" xfId="21089" xr:uid="{00000000-0005-0000-0000-00005C720000}"/>
    <cellStyle name="Normal 7 2 5 3 2" xfId="37054" xr:uid="{00000000-0005-0000-0000-00005D720000}"/>
    <cellStyle name="Normal 7 2 5 4" xfId="21090" xr:uid="{00000000-0005-0000-0000-00005E720000}"/>
    <cellStyle name="Normal 7 2 5 4 2" xfId="37055" xr:uid="{00000000-0005-0000-0000-00005F720000}"/>
    <cellStyle name="Normal 7 2 5 5" xfId="21091" xr:uid="{00000000-0005-0000-0000-000060720000}"/>
    <cellStyle name="Normal 7 2 5 5 2" xfId="37056" xr:uid="{00000000-0005-0000-0000-000061720000}"/>
    <cellStyle name="Normal 7 2 5 6" xfId="21092" xr:uid="{00000000-0005-0000-0000-000062720000}"/>
    <cellStyle name="Normal 7 2 5 6 2" xfId="37057" xr:uid="{00000000-0005-0000-0000-000063720000}"/>
    <cellStyle name="Normal 7 2 5 7" xfId="37048" xr:uid="{00000000-0005-0000-0000-000064720000}"/>
    <cellStyle name="Normal 7 2 6" xfId="21093" xr:uid="{00000000-0005-0000-0000-000065720000}"/>
    <cellStyle name="Normal 7 2 6 2" xfId="21094" xr:uid="{00000000-0005-0000-0000-000066720000}"/>
    <cellStyle name="Normal 7 2 6 2 2" xfId="21095" xr:uid="{00000000-0005-0000-0000-000067720000}"/>
    <cellStyle name="Normal 7 2 6 2 2 2" xfId="37060" xr:uid="{00000000-0005-0000-0000-000068720000}"/>
    <cellStyle name="Normal 7 2 6 2 3" xfId="21096" xr:uid="{00000000-0005-0000-0000-000069720000}"/>
    <cellStyle name="Normal 7 2 6 2 3 2" xfId="37061" xr:uid="{00000000-0005-0000-0000-00006A720000}"/>
    <cellStyle name="Normal 7 2 6 2 4" xfId="21097" xr:uid="{00000000-0005-0000-0000-00006B720000}"/>
    <cellStyle name="Normal 7 2 6 2 4 2" xfId="37062" xr:uid="{00000000-0005-0000-0000-00006C720000}"/>
    <cellStyle name="Normal 7 2 6 2 5" xfId="21098" xr:uid="{00000000-0005-0000-0000-00006D720000}"/>
    <cellStyle name="Normal 7 2 6 2 5 2" xfId="37063" xr:uid="{00000000-0005-0000-0000-00006E720000}"/>
    <cellStyle name="Normal 7 2 6 2 6" xfId="37059" xr:uid="{00000000-0005-0000-0000-00006F720000}"/>
    <cellStyle name="Normal 7 2 6 3" xfId="21099" xr:uid="{00000000-0005-0000-0000-000070720000}"/>
    <cellStyle name="Normal 7 2 6 3 2" xfId="37064" xr:uid="{00000000-0005-0000-0000-000071720000}"/>
    <cellStyle name="Normal 7 2 6 4" xfId="21100" xr:uid="{00000000-0005-0000-0000-000072720000}"/>
    <cellStyle name="Normal 7 2 6 4 2" xfId="37065" xr:uid="{00000000-0005-0000-0000-000073720000}"/>
    <cellStyle name="Normal 7 2 6 5" xfId="21101" xr:uid="{00000000-0005-0000-0000-000074720000}"/>
    <cellStyle name="Normal 7 2 6 5 2" xfId="37066" xr:uid="{00000000-0005-0000-0000-000075720000}"/>
    <cellStyle name="Normal 7 2 6 6" xfId="21102" xr:uid="{00000000-0005-0000-0000-000076720000}"/>
    <cellStyle name="Normal 7 2 6 6 2" xfId="37067" xr:uid="{00000000-0005-0000-0000-000077720000}"/>
    <cellStyle name="Normal 7 2 6 7" xfId="37058" xr:uid="{00000000-0005-0000-0000-000078720000}"/>
    <cellStyle name="Normal 7 2 7" xfId="21103" xr:uid="{00000000-0005-0000-0000-000079720000}"/>
    <cellStyle name="Normal 7 2 7 2" xfId="21104" xr:uid="{00000000-0005-0000-0000-00007A720000}"/>
    <cellStyle name="Normal 7 2 7 2 2" xfId="37069" xr:uid="{00000000-0005-0000-0000-00007B720000}"/>
    <cellStyle name="Normal 7 2 7 3" xfId="21105" xr:uid="{00000000-0005-0000-0000-00007C720000}"/>
    <cellStyle name="Normal 7 2 7 3 2" xfId="37070" xr:uid="{00000000-0005-0000-0000-00007D720000}"/>
    <cellStyle name="Normal 7 2 7 4" xfId="21106" xr:uid="{00000000-0005-0000-0000-00007E720000}"/>
    <cellStyle name="Normal 7 2 7 4 2" xfId="37071" xr:uid="{00000000-0005-0000-0000-00007F720000}"/>
    <cellStyle name="Normal 7 2 7 5" xfId="21107" xr:uid="{00000000-0005-0000-0000-000080720000}"/>
    <cellStyle name="Normal 7 2 7 5 2" xfId="37072" xr:uid="{00000000-0005-0000-0000-000081720000}"/>
    <cellStyle name="Normal 7 2 7 6" xfId="37068" xr:uid="{00000000-0005-0000-0000-000082720000}"/>
    <cellStyle name="Normal 7 2 8" xfId="21108" xr:uid="{00000000-0005-0000-0000-000083720000}"/>
    <cellStyle name="Normal 7 2 8 2" xfId="21109" xr:uid="{00000000-0005-0000-0000-000084720000}"/>
    <cellStyle name="Normal 7 2 8 2 2" xfId="37074" xr:uid="{00000000-0005-0000-0000-000085720000}"/>
    <cellStyle name="Normal 7 2 8 3" xfId="21110" xr:uid="{00000000-0005-0000-0000-000086720000}"/>
    <cellStyle name="Normal 7 2 8 3 2" xfId="37075" xr:uid="{00000000-0005-0000-0000-000087720000}"/>
    <cellStyle name="Normal 7 2 8 4" xfId="21111" xr:uid="{00000000-0005-0000-0000-000088720000}"/>
    <cellStyle name="Normal 7 2 8 4 2" xfId="37076" xr:uid="{00000000-0005-0000-0000-000089720000}"/>
    <cellStyle name="Normal 7 2 8 5" xfId="21112" xr:uid="{00000000-0005-0000-0000-00008A720000}"/>
    <cellStyle name="Normal 7 2 8 5 2" xfId="37077" xr:uid="{00000000-0005-0000-0000-00008B720000}"/>
    <cellStyle name="Normal 7 2 8 6" xfId="37073" xr:uid="{00000000-0005-0000-0000-00008C720000}"/>
    <cellStyle name="Normal 7 2 9" xfId="21113" xr:uid="{00000000-0005-0000-0000-00008D720000}"/>
    <cellStyle name="Normal 7 2 9 2" xfId="21114" xr:uid="{00000000-0005-0000-0000-00008E720000}"/>
    <cellStyle name="Normal 7 2 9 2 2" xfId="37079" xr:uid="{00000000-0005-0000-0000-00008F720000}"/>
    <cellStyle name="Normal 7 2 9 3" xfId="21115" xr:uid="{00000000-0005-0000-0000-000090720000}"/>
    <cellStyle name="Normal 7 2 9 3 2" xfId="37080" xr:uid="{00000000-0005-0000-0000-000091720000}"/>
    <cellStyle name="Normal 7 2 9 4" xfId="21116" xr:uid="{00000000-0005-0000-0000-000092720000}"/>
    <cellStyle name="Normal 7 2 9 4 2" xfId="37081" xr:uid="{00000000-0005-0000-0000-000093720000}"/>
    <cellStyle name="Normal 7 2 9 5" xfId="21117" xr:uid="{00000000-0005-0000-0000-000094720000}"/>
    <cellStyle name="Normal 7 2 9 5 2" xfId="37082" xr:uid="{00000000-0005-0000-0000-000095720000}"/>
    <cellStyle name="Normal 7 2 9 6" xfId="37078" xr:uid="{00000000-0005-0000-0000-000096720000}"/>
    <cellStyle name="Normal 7 3" xfId="21118" xr:uid="{00000000-0005-0000-0000-000097720000}"/>
    <cellStyle name="Normal 7 3 10" xfId="21119" xr:uid="{00000000-0005-0000-0000-000098720000}"/>
    <cellStyle name="Normal 7 3 10 2" xfId="21120" xr:uid="{00000000-0005-0000-0000-000099720000}"/>
    <cellStyle name="Normal 7 3 10 2 2" xfId="37084" xr:uid="{00000000-0005-0000-0000-00009A720000}"/>
    <cellStyle name="Normal 7 3 10 3" xfId="21121" xr:uid="{00000000-0005-0000-0000-00009B720000}"/>
    <cellStyle name="Normal 7 3 10 3 2" xfId="37085" xr:uid="{00000000-0005-0000-0000-00009C720000}"/>
    <cellStyle name="Normal 7 3 10 4" xfId="21122" xr:uid="{00000000-0005-0000-0000-00009D720000}"/>
    <cellStyle name="Normal 7 3 10 4 2" xfId="37086" xr:uid="{00000000-0005-0000-0000-00009E720000}"/>
    <cellStyle name="Normal 7 3 10 5" xfId="21123" xr:uid="{00000000-0005-0000-0000-00009F720000}"/>
    <cellStyle name="Normal 7 3 10 5 2" xfId="37087" xr:uid="{00000000-0005-0000-0000-0000A0720000}"/>
    <cellStyle name="Normal 7 3 10 6" xfId="37083" xr:uid="{00000000-0005-0000-0000-0000A1720000}"/>
    <cellStyle name="Normal 7 3 11" xfId="21124" xr:uid="{00000000-0005-0000-0000-0000A2720000}"/>
    <cellStyle name="Normal 7 3 11 2" xfId="21125" xr:uid="{00000000-0005-0000-0000-0000A3720000}"/>
    <cellStyle name="Normal 7 3 11 2 2" xfId="37089" xr:uid="{00000000-0005-0000-0000-0000A4720000}"/>
    <cellStyle name="Normal 7 3 11 3" xfId="21126" xr:uid="{00000000-0005-0000-0000-0000A5720000}"/>
    <cellStyle name="Normal 7 3 11 3 2" xfId="37090" xr:uid="{00000000-0005-0000-0000-0000A6720000}"/>
    <cellStyle name="Normal 7 3 11 4" xfId="21127" xr:uid="{00000000-0005-0000-0000-0000A7720000}"/>
    <cellStyle name="Normal 7 3 11 4 2" xfId="37091" xr:uid="{00000000-0005-0000-0000-0000A8720000}"/>
    <cellStyle name="Normal 7 3 11 5" xfId="21128" xr:uid="{00000000-0005-0000-0000-0000A9720000}"/>
    <cellStyle name="Normal 7 3 11 5 2" xfId="37092" xr:uid="{00000000-0005-0000-0000-0000AA720000}"/>
    <cellStyle name="Normal 7 3 11 6" xfId="37088" xr:uid="{00000000-0005-0000-0000-0000AB720000}"/>
    <cellStyle name="Normal 7 3 12" xfId="21129" xr:uid="{00000000-0005-0000-0000-0000AC720000}"/>
    <cellStyle name="Normal 7 3 12 2" xfId="21130" xr:uid="{00000000-0005-0000-0000-0000AD720000}"/>
    <cellStyle name="Normal 7 3 12 2 2" xfId="37094" xr:uid="{00000000-0005-0000-0000-0000AE720000}"/>
    <cellStyle name="Normal 7 3 12 3" xfId="21131" xr:uid="{00000000-0005-0000-0000-0000AF720000}"/>
    <cellStyle name="Normal 7 3 12 3 2" xfId="37095" xr:uid="{00000000-0005-0000-0000-0000B0720000}"/>
    <cellStyle name="Normal 7 3 12 4" xfId="21132" xr:uid="{00000000-0005-0000-0000-0000B1720000}"/>
    <cellStyle name="Normal 7 3 12 4 2" xfId="37096" xr:uid="{00000000-0005-0000-0000-0000B2720000}"/>
    <cellStyle name="Normal 7 3 12 5" xfId="21133" xr:uid="{00000000-0005-0000-0000-0000B3720000}"/>
    <cellStyle name="Normal 7 3 12 5 2" xfId="37097" xr:uid="{00000000-0005-0000-0000-0000B4720000}"/>
    <cellStyle name="Normal 7 3 12 6" xfId="37093" xr:uid="{00000000-0005-0000-0000-0000B5720000}"/>
    <cellStyle name="Normal 7 3 13" xfId="21134" xr:uid="{00000000-0005-0000-0000-0000B6720000}"/>
    <cellStyle name="Normal 7 3 13 2" xfId="21135" xr:uid="{00000000-0005-0000-0000-0000B7720000}"/>
    <cellStyle name="Normal 7 3 13 2 2" xfId="37099" xr:uid="{00000000-0005-0000-0000-0000B8720000}"/>
    <cellStyle name="Normal 7 3 13 3" xfId="21136" xr:uid="{00000000-0005-0000-0000-0000B9720000}"/>
    <cellStyle name="Normal 7 3 13 3 2" xfId="37100" xr:uid="{00000000-0005-0000-0000-0000BA720000}"/>
    <cellStyle name="Normal 7 3 13 4" xfId="21137" xr:uid="{00000000-0005-0000-0000-0000BB720000}"/>
    <cellStyle name="Normal 7 3 13 4 2" xfId="37101" xr:uid="{00000000-0005-0000-0000-0000BC720000}"/>
    <cellStyle name="Normal 7 3 13 5" xfId="21138" xr:uid="{00000000-0005-0000-0000-0000BD720000}"/>
    <cellStyle name="Normal 7 3 13 5 2" xfId="37102" xr:uid="{00000000-0005-0000-0000-0000BE720000}"/>
    <cellStyle name="Normal 7 3 13 6" xfId="37098" xr:uid="{00000000-0005-0000-0000-0000BF720000}"/>
    <cellStyle name="Normal 7 3 14" xfId="21139" xr:uid="{00000000-0005-0000-0000-0000C0720000}"/>
    <cellStyle name="Normal 7 3 14 2" xfId="21140" xr:uid="{00000000-0005-0000-0000-0000C1720000}"/>
    <cellStyle name="Normal 7 3 14 2 2" xfId="37104" xr:uid="{00000000-0005-0000-0000-0000C2720000}"/>
    <cellStyle name="Normal 7 3 14 3" xfId="21141" xr:uid="{00000000-0005-0000-0000-0000C3720000}"/>
    <cellStyle name="Normal 7 3 14 3 2" xfId="37105" xr:uid="{00000000-0005-0000-0000-0000C4720000}"/>
    <cellStyle name="Normal 7 3 14 4" xfId="21142" xr:uid="{00000000-0005-0000-0000-0000C5720000}"/>
    <cellStyle name="Normal 7 3 14 4 2" xfId="37106" xr:uid="{00000000-0005-0000-0000-0000C6720000}"/>
    <cellStyle name="Normal 7 3 14 5" xfId="21143" xr:uid="{00000000-0005-0000-0000-0000C7720000}"/>
    <cellStyle name="Normal 7 3 14 5 2" xfId="37107" xr:uid="{00000000-0005-0000-0000-0000C8720000}"/>
    <cellStyle name="Normal 7 3 14 6" xfId="37103" xr:uid="{00000000-0005-0000-0000-0000C9720000}"/>
    <cellStyle name="Normal 7 3 15" xfId="21144" xr:uid="{00000000-0005-0000-0000-0000CA720000}"/>
    <cellStyle name="Normal 7 3 15 2" xfId="21145" xr:uid="{00000000-0005-0000-0000-0000CB720000}"/>
    <cellStyle name="Normal 7 3 15 2 2" xfId="37109" xr:uid="{00000000-0005-0000-0000-0000CC720000}"/>
    <cellStyle name="Normal 7 3 15 3" xfId="21146" xr:uid="{00000000-0005-0000-0000-0000CD720000}"/>
    <cellStyle name="Normal 7 3 15 3 2" xfId="37110" xr:uid="{00000000-0005-0000-0000-0000CE720000}"/>
    <cellStyle name="Normal 7 3 15 4" xfId="21147" xr:uid="{00000000-0005-0000-0000-0000CF720000}"/>
    <cellStyle name="Normal 7 3 15 4 2" xfId="37111" xr:uid="{00000000-0005-0000-0000-0000D0720000}"/>
    <cellStyle name="Normal 7 3 15 5" xfId="21148" xr:uid="{00000000-0005-0000-0000-0000D1720000}"/>
    <cellStyle name="Normal 7 3 15 5 2" xfId="37112" xr:uid="{00000000-0005-0000-0000-0000D2720000}"/>
    <cellStyle name="Normal 7 3 15 6" xfId="37108" xr:uid="{00000000-0005-0000-0000-0000D3720000}"/>
    <cellStyle name="Normal 7 3 16" xfId="21149" xr:uid="{00000000-0005-0000-0000-0000D4720000}"/>
    <cellStyle name="Normal 7 3 16 2" xfId="21150" xr:uid="{00000000-0005-0000-0000-0000D5720000}"/>
    <cellStyle name="Normal 7 3 16 2 2" xfId="37114" xr:uid="{00000000-0005-0000-0000-0000D6720000}"/>
    <cellStyle name="Normal 7 3 16 3" xfId="21151" xr:uid="{00000000-0005-0000-0000-0000D7720000}"/>
    <cellStyle name="Normal 7 3 16 3 2" xfId="37115" xr:uid="{00000000-0005-0000-0000-0000D8720000}"/>
    <cellStyle name="Normal 7 3 16 4" xfId="21152" xr:uid="{00000000-0005-0000-0000-0000D9720000}"/>
    <cellStyle name="Normal 7 3 16 4 2" xfId="37116" xr:uid="{00000000-0005-0000-0000-0000DA720000}"/>
    <cellStyle name="Normal 7 3 16 5" xfId="21153" xr:uid="{00000000-0005-0000-0000-0000DB720000}"/>
    <cellStyle name="Normal 7 3 16 5 2" xfId="37117" xr:uid="{00000000-0005-0000-0000-0000DC720000}"/>
    <cellStyle name="Normal 7 3 16 6" xfId="37113" xr:uid="{00000000-0005-0000-0000-0000DD720000}"/>
    <cellStyle name="Normal 7 3 17" xfId="21154" xr:uid="{00000000-0005-0000-0000-0000DE720000}"/>
    <cellStyle name="Normal 7 3 17 2" xfId="21155" xr:uid="{00000000-0005-0000-0000-0000DF720000}"/>
    <cellStyle name="Normal 7 3 17 2 2" xfId="37119" xr:uid="{00000000-0005-0000-0000-0000E0720000}"/>
    <cellStyle name="Normal 7 3 17 3" xfId="21156" xr:uid="{00000000-0005-0000-0000-0000E1720000}"/>
    <cellStyle name="Normal 7 3 17 3 2" xfId="37120" xr:uid="{00000000-0005-0000-0000-0000E2720000}"/>
    <cellStyle name="Normal 7 3 17 4" xfId="21157" xr:uid="{00000000-0005-0000-0000-0000E3720000}"/>
    <cellStyle name="Normal 7 3 17 4 2" xfId="37121" xr:uid="{00000000-0005-0000-0000-0000E4720000}"/>
    <cellStyle name="Normal 7 3 17 5" xfId="21158" xr:uid="{00000000-0005-0000-0000-0000E5720000}"/>
    <cellStyle name="Normal 7 3 17 5 2" xfId="37122" xr:uid="{00000000-0005-0000-0000-0000E6720000}"/>
    <cellStyle name="Normal 7 3 17 6" xfId="37118" xr:uid="{00000000-0005-0000-0000-0000E7720000}"/>
    <cellStyle name="Normal 7 3 18" xfId="21159" xr:uid="{00000000-0005-0000-0000-0000E8720000}"/>
    <cellStyle name="Normal 7 3 18 2" xfId="21160" xr:uid="{00000000-0005-0000-0000-0000E9720000}"/>
    <cellStyle name="Normal 7 3 18 2 2" xfId="37124" xr:uid="{00000000-0005-0000-0000-0000EA720000}"/>
    <cellStyle name="Normal 7 3 18 3" xfId="21161" xr:uid="{00000000-0005-0000-0000-0000EB720000}"/>
    <cellStyle name="Normal 7 3 18 3 2" xfId="37125" xr:uid="{00000000-0005-0000-0000-0000EC720000}"/>
    <cellStyle name="Normal 7 3 18 4" xfId="21162" xr:uid="{00000000-0005-0000-0000-0000ED720000}"/>
    <cellStyle name="Normal 7 3 18 4 2" xfId="37126" xr:uid="{00000000-0005-0000-0000-0000EE720000}"/>
    <cellStyle name="Normal 7 3 18 5" xfId="21163" xr:uid="{00000000-0005-0000-0000-0000EF720000}"/>
    <cellStyle name="Normal 7 3 18 5 2" xfId="37127" xr:uid="{00000000-0005-0000-0000-0000F0720000}"/>
    <cellStyle name="Normal 7 3 18 6" xfId="37123" xr:uid="{00000000-0005-0000-0000-0000F1720000}"/>
    <cellStyle name="Normal 7 3 19" xfId="21164" xr:uid="{00000000-0005-0000-0000-0000F2720000}"/>
    <cellStyle name="Normal 7 3 19 2" xfId="37128" xr:uid="{00000000-0005-0000-0000-0000F3720000}"/>
    <cellStyle name="Normal 7 3 2" xfId="21165" xr:uid="{00000000-0005-0000-0000-0000F4720000}"/>
    <cellStyle name="Normal 7 3 2 2" xfId="21166" xr:uid="{00000000-0005-0000-0000-0000F5720000}"/>
    <cellStyle name="Normal 7 3 2 3" xfId="21167" xr:uid="{00000000-0005-0000-0000-0000F6720000}"/>
    <cellStyle name="Normal 7 3 2 4" xfId="21168" xr:uid="{00000000-0005-0000-0000-0000F7720000}"/>
    <cellStyle name="Normal 7 3 2 5" xfId="21169" xr:uid="{00000000-0005-0000-0000-0000F8720000}"/>
    <cellStyle name="Normal 7 3 2 6" xfId="21170" xr:uid="{00000000-0005-0000-0000-0000F9720000}"/>
    <cellStyle name="Normal 7 3 2 7" xfId="21171" xr:uid="{00000000-0005-0000-0000-0000FA720000}"/>
    <cellStyle name="Normal 7 3 2 8" xfId="37129" xr:uid="{00000000-0005-0000-0000-0000FB720000}"/>
    <cellStyle name="Normal 7 3 20" xfId="21172" xr:uid="{00000000-0005-0000-0000-0000FC720000}"/>
    <cellStyle name="Normal 7 3 20 2" xfId="37130" xr:uid="{00000000-0005-0000-0000-0000FD720000}"/>
    <cellStyle name="Normal 7 3 21" xfId="21173" xr:uid="{00000000-0005-0000-0000-0000FE720000}"/>
    <cellStyle name="Normal 7 3 21 2" xfId="37131" xr:uid="{00000000-0005-0000-0000-0000FF720000}"/>
    <cellStyle name="Normal 7 3 22" xfId="21174" xr:uid="{00000000-0005-0000-0000-000000730000}"/>
    <cellStyle name="Normal 7 3 22 2" xfId="37132" xr:uid="{00000000-0005-0000-0000-000001730000}"/>
    <cellStyle name="Normal 7 3 23" xfId="21175" xr:uid="{00000000-0005-0000-0000-000002730000}"/>
    <cellStyle name="Normal 7 3 23 2" xfId="37133" xr:uid="{00000000-0005-0000-0000-000003730000}"/>
    <cellStyle name="Normal 7 3 3" xfId="21176" xr:uid="{00000000-0005-0000-0000-000004730000}"/>
    <cellStyle name="Normal 7 3 4" xfId="21177" xr:uid="{00000000-0005-0000-0000-000005730000}"/>
    <cellStyle name="Normal 7 3 4 10" xfId="21178" xr:uid="{00000000-0005-0000-0000-000006730000}"/>
    <cellStyle name="Normal 7 3 4 10 2" xfId="37135" xr:uid="{00000000-0005-0000-0000-000007730000}"/>
    <cellStyle name="Normal 7 3 4 11" xfId="21179" xr:uid="{00000000-0005-0000-0000-000008730000}"/>
    <cellStyle name="Normal 7 3 4 11 2" xfId="37136" xr:uid="{00000000-0005-0000-0000-000009730000}"/>
    <cellStyle name="Normal 7 3 4 12" xfId="37134" xr:uid="{00000000-0005-0000-0000-00000A730000}"/>
    <cellStyle name="Normal 7 3 4 2" xfId="21180" xr:uid="{00000000-0005-0000-0000-00000B730000}"/>
    <cellStyle name="Normal 7 3 4 2 2" xfId="21181" xr:uid="{00000000-0005-0000-0000-00000C730000}"/>
    <cellStyle name="Normal 7 3 4 2 2 2" xfId="37138" xr:uid="{00000000-0005-0000-0000-00000D730000}"/>
    <cellStyle name="Normal 7 3 4 2 3" xfId="21182" xr:uid="{00000000-0005-0000-0000-00000E730000}"/>
    <cellStyle name="Normal 7 3 4 2 3 2" xfId="37139" xr:uid="{00000000-0005-0000-0000-00000F730000}"/>
    <cellStyle name="Normal 7 3 4 2 4" xfId="21183" xr:uid="{00000000-0005-0000-0000-000010730000}"/>
    <cellStyle name="Normal 7 3 4 2 4 2" xfId="37140" xr:uid="{00000000-0005-0000-0000-000011730000}"/>
    <cellStyle name="Normal 7 3 4 2 5" xfId="21184" xr:uid="{00000000-0005-0000-0000-000012730000}"/>
    <cellStyle name="Normal 7 3 4 2 5 2" xfId="37141" xr:uid="{00000000-0005-0000-0000-000013730000}"/>
    <cellStyle name="Normal 7 3 4 2 6" xfId="37137" xr:uid="{00000000-0005-0000-0000-000014730000}"/>
    <cellStyle name="Normal 7 3 4 3" xfId="21185" xr:uid="{00000000-0005-0000-0000-000015730000}"/>
    <cellStyle name="Normal 7 3 4 3 2" xfId="21186" xr:uid="{00000000-0005-0000-0000-000016730000}"/>
    <cellStyle name="Normal 7 3 4 3 2 2" xfId="37143" xr:uid="{00000000-0005-0000-0000-000017730000}"/>
    <cellStyle name="Normal 7 3 4 3 3" xfId="21187" xr:uid="{00000000-0005-0000-0000-000018730000}"/>
    <cellStyle name="Normal 7 3 4 3 3 2" xfId="37144" xr:uid="{00000000-0005-0000-0000-000019730000}"/>
    <cellStyle name="Normal 7 3 4 3 4" xfId="21188" xr:uid="{00000000-0005-0000-0000-00001A730000}"/>
    <cellStyle name="Normal 7 3 4 3 4 2" xfId="37145" xr:uid="{00000000-0005-0000-0000-00001B730000}"/>
    <cellStyle name="Normal 7 3 4 3 5" xfId="21189" xr:uid="{00000000-0005-0000-0000-00001C730000}"/>
    <cellStyle name="Normal 7 3 4 3 5 2" xfId="37146" xr:uid="{00000000-0005-0000-0000-00001D730000}"/>
    <cellStyle name="Normal 7 3 4 3 6" xfId="37142" xr:uid="{00000000-0005-0000-0000-00001E730000}"/>
    <cellStyle name="Normal 7 3 4 4" xfId="21190" xr:uid="{00000000-0005-0000-0000-00001F730000}"/>
    <cellStyle name="Normal 7 3 4 4 2" xfId="21191" xr:uid="{00000000-0005-0000-0000-000020730000}"/>
    <cellStyle name="Normal 7 3 4 4 2 2" xfId="37148" xr:uid="{00000000-0005-0000-0000-000021730000}"/>
    <cellStyle name="Normal 7 3 4 4 3" xfId="21192" xr:uid="{00000000-0005-0000-0000-000022730000}"/>
    <cellStyle name="Normal 7 3 4 4 3 2" xfId="37149" xr:uid="{00000000-0005-0000-0000-000023730000}"/>
    <cellStyle name="Normal 7 3 4 4 4" xfId="21193" xr:uid="{00000000-0005-0000-0000-000024730000}"/>
    <cellStyle name="Normal 7 3 4 4 4 2" xfId="37150" xr:uid="{00000000-0005-0000-0000-000025730000}"/>
    <cellStyle name="Normal 7 3 4 4 5" xfId="21194" xr:uid="{00000000-0005-0000-0000-000026730000}"/>
    <cellStyle name="Normal 7 3 4 4 5 2" xfId="37151" xr:uid="{00000000-0005-0000-0000-000027730000}"/>
    <cellStyle name="Normal 7 3 4 4 6" xfId="37147" xr:uid="{00000000-0005-0000-0000-000028730000}"/>
    <cellStyle name="Normal 7 3 4 5" xfId="21195" xr:uid="{00000000-0005-0000-0000-000029730000}"/>
    <cellStyle name="Normal 7 3 4 5 2" xfId="21196" xr:uid="{00000000-0005-0000-0000-00002A730000}"/>
    <cellStyle name="Normal 7 3 4 5 2 2" xfId="37153" xr:uid="{00000000-0005-0000-0000-00002B730000}"/>
    <cellStyle name="Normal 7 3 4 5 3" xfId="21197" xr:uid="{00000000-0005-0000-0000-00002C730000}"/>
    <cellStyle name="Normal 7 3 4 5 3 2" xfId="37154" xr:uid="{00000000-0005-0000-0000-00002D730000}"/>
    <cellStyle name="Normal 7 3 4 5 4" xfId="21198" xr:uid="{00000000-0005-0000-0000-00002E730000}"/>
    <cellStyle name="Normal 7 3 4 5 4 2" xfId="37155" xr:uid="{00000000-0005-0000-0000-00002F730000}"/>
    <cellStyle name="Normal 7 3 4 5 5" xfId="21199" xr:uid="{00000000-0005-0000-0000-000030730000}"/>
    <cellStyle name="Normal 7 3 4 5 5 2" xfId="37156" xr:uid="{00000000-0005-0000-0000-000031730000}"/>
    <cellStyle name="Normal 7 3 4 5 6" xfId="37152" xr:uid="{00000000-0005-0000-0000-000032730000}"/>
    <cellStyle name="Normal 7 3 4 6" xfId="21200" xr:uid="{00000000-0005-0000-0000-000033730000}"/>
    <cellStyle name="Normal 7 3 4 6 2" xfId="21201" xr:uid="{00000000-0005-0000-0000-000034730000}"/>
    <cellStyle name="Normal 7 3 4 6 2 2" xfId="37158" xr:uid="{00000000-0005-0000-0000-000035730000}"/>
    <cellStyle name="Normal 7 3 4 6 3" xfId="21202" xr:uid="{00000000-0005-0000-0000-000036730000}"/>
    <cellStyle name="Normal 7 3 4 6 3 2" xfId="37159" xr:uid="{00000000-0005-0000-0000-000037730000}"/>
    <cellStyle name="Normal 7 3 4 6 4" xfId="21203" xr:uid="{00000000-0005-0000-0000-000038730000}"/>
    <cellStyle name="Normal 7 3 4 6 4 2" xfId="37160" xr:uid="{00000000-0005-0000-0000-000039730000}"/>
    <cellStyle name="Normal 7 3 4 6 5" xfId="21204" xr:uid="{00000000-0005-0000-0000-00003A730000}"/>
    <cellStyle name="Normal 7 3 4 6 5 2" xfId="37161" xr:uid="{00000000-0005-0000-0000-00003B730000}"/>
    <cellStyle name="Normal 7 3 4 6 6" xfId="37157" xr:uid="{00000000-0005-0000-0000-00003C730000}"/>
    <cellStyle name="Normal 7 3 4 7" xfId="21205" xr:uid="{00000000-0005-0000-0000-00003D730000}"/>
    <cellStyle name="Normal 7 3 4 7 2" xfId="21206" xr:uid="{00000000-0005-0000-0000-00003E730000}"/>
    <cellStyle name="Normal 7 3 4 7 2 2" xfId="37163" xr:uid="{00000000-0005-0000-0000-00003F730000}"/>
    <cellStyle name="Normal 7 3 4 7 3" xfId="21207" xr:uid="{00000000-0005-0000-0000-000040730000}"/>
    <cellStyle name="Normal 7 3 4 7 3 2" xfId="37164" xr:uid="{00000000-0005-0000-0000-000041730000}"/>
    <cellStyle name="Normal 7 3 4 7 4" xfId="21208" xr:uid="{00000000-0005-0000-0000-000042730000}"/>
    <cellStyle name="Normal 7 3 4 7 4 2" xfId="37165" xr:uid="{00000000-0005-0000-0000-000043730000}"/>
    <cellStyle name="Normal 7 3 4 7 5" xfId="21209" xr:uid="{00000000-0005-0000-0000-000044730000}"/>
    <cellStyle name="Normal 7 3 4 7 5 2" xfId="37166" xr:uid="{00000000-0005-0000-0000-000045730000}"/>
    <cellStyle name="Normal 7 3 4 7 6" xfId="37162" xr:uid="{00000000-0005-0000-0000-000046730000}"/>
    <cellStyle name="Normal 7 3 4 8" xfId="21210" xr:uid="{00000000-0005-0000-0000-000047730000}"/>
    <cellStyle name="Normal 7 3 4 8 2" xfId="37167" xr:uid="{00000000-0005-0000-0000-000048730000}"/>
    <cellStyle name="Normal 7 3 4 9" xfId="21211" xr:uid="{00000000-0005-0000-0000-000049730000}"/>
    <cellStyle name="Normal 7 3 4 9 2" xfId="37168" xr:uid="{00000000-0005-0000-0000-00004A730000}"/>
    <cellStyle name="Normal 7 3 5" xfId="21212" xr:uid="{00000000-0005-0000-0000-00004B730000}"/>
    <cellStyle name="Normal 7 3 5 2" xfId="21213" xr:uid="{00000000-0005-0000-0000-00004C730000}"/>
    <cellStyle name="Normal 7 3 5 2 2" xfId="21214" xr:uid="{00000000-0005-0000-0000-00004D730000}"/>
    <cellStyle name="Normal 7 3 5 2 2 2" xfId="37171" xr:uid="{00000000-0005-0000-0000-00004E730000}"/>
    <cellStyle name="Normal 7 3 5 2 3" xfId="21215" xr:uid="{00000000-0005-0000-0000-00004F730000}"/>
    <cellStyle name="Normal 7 3 5 2 3 2" xfId="37172" xr:uid="{00000000-0005-0000-0000-000050730000}"/>
    <cellStyle name="Normal 7 3 5 2 4" xfId="21216" xr:uid="{00000000-0005-0000-0000-000051730000}"/>
    <cellStyle name="Normal 7 3 5 2 4 2" xfId="37173" xr:uid="{00000000-0005-0000-0000-000052730000}"/>
    <cellStyle name="Normal 7 3 5 2 5" xfId="21217" xr:uid="{00000000-0005-0000-0000-000053730000}"/>
    <cellStyle name="Normal 7 3 5 2 5 2" xfId="37174" xr:uid="{00000000-0005-0000-0000-000054730000}"/>
    <cellStyle name="Normal 7 3 5 2 6" xfId="37170" xr:uid="{00000000-0005-0000-0000-000055730000}"/>
    <cellStyle name="Normal 7 3 5 3" xfId="21218" xr:uid="{00000000-0005-0000-0000-000056730000}"/>
    <cellStyle name="Normal 7 3 5 3 2" xfId="37175" xr:uid="{00000000-0005-0000-0000-000057730000}"/>
    <cellStyle name="Normal 7 3 5 4" xfId="21219" xr:uid="{00000000-0005-0000-0000-000058730000}"/>
    <cellStyle name="Normal 7 3 5 4 2" xfId="37176" xr:uid="{00000000-0005-0000-0000-000059730000}"/>
    <cellStyle name="Normal 7 3 5 5" xfId="21220" xr:uid="{00000000-0005-0000-0000-00005A730000}"/>
    <cellStyle name="Normal 7 3 5 5 2" xfId="37177" xr:uid="{00000000-0005-0000-0000-00005B730000}"/>
    <cellStyle name="Normal 7 3 5 6" xfId="21221" xr:uid="{00000000-0005-0000-0000-00005C730000}"/>
    <cellStyle name="Normal 7 3 5 6 2" xfId="37178" xr:uid="{00000000-0005-0000-0000-00005D730000}"/>
    <cellStyle name="Normal 7 3 5 7" xfId="37169" xr:uid="{00000000-0005-0000-0000-00005E730000}"/>
    <cellStyle name="Normal 7 3 6" xfId="21222" xr:uid="{00000000-0005-0000-0000-00005F730000}"/>
    <cellStyle name="Normal 7 3 6 2" xfId="21223" xr:uid="{00000000-0005-0000-0000-000060730000}"/>
    <cellStyle name="Normal 7 3 6 2 2" xfId="21224" xr:uid="{00000000-0005-0000-0000-000061730000}"/>
    <cellStyle name="Normal 7 3 6 2 2 2" xfId="37181" xr:uid="{00000000-0005-0000-0000-000062730000}"/>
    <cellStyle name="Normal 7 3 6 2 3" xfId="21225" xr:uid="{00000000-0005-0000-0000-000063730000}"/>
    <cellStyle name="Normal 7 3 6 2 3 2" xfId="37182" xr:uid="{00000000-0005-0000-0000-000064730000}"/>
    <cellStyle name="Normal 7 3 6 2 4" xfId="21226" xr:uid="{00000000-0005-0000-0000-000065730000}"/>
    <cellStyle name="Normal 7 3 6 2 4 2" xfId="37183" xr:uid="{00000000-0005-0000-0000-000066730000}"/>
    <cellStyle name="Normal 7 3 6 2 5" xfId="21227" xr:uid="{00000000-0005-0000-0000-000067730000}"/>
    <cellStyle name="Normal 7 3 6 2 5 2" xfId="37184" xr:uid="{00000000-0005-0000-0000-000068730000}"/>
    <cellStyle name="Normal 7 3 6 2 6" xfId="37180" xr:uid="{00000000-0005-0000-0000-000069730000}"/>
    <cellStyle name="Normal 7 3 6 3" xfId="21228" xr:uid="{00000000-0005-0000-0000-00006A730000}"/>
    <cellStyle name="Normal 7 3 6 3 2" xfId="37185" xr:uid="{00000000-0005-0000-0000-00006B730000}"/>
    <cellStyle name="Normal 7 3 6 4" xfId="21229" xr:uid="{00000000-0005-0000-0000-00006C730000}"/>
    <cellStyle name="Normal 7 3 6 4 2" xfId="37186" xr:uid="{00000000-0005-0000-0000-00006D730000}"/>
    <cellStyle name="Normal 7 3 6 5" xfId="21230" xr:uid="{00000000-0005-0000-0000-00006E730000}"/>
    <cellStyle name="Normal 7 3 6 5 2" xfId="37187" xr:uid="{00000000-0005-0000-0000-00006F730000}"/>
    <cellStyle name="Normal 7 3 6 6" xfId="21231" xr:uid="{00000000-0005-0000-0000-000070730000}"/>
    <cellStyle name="Normal 7 3 6 6 2" xfId="37188" xr:uid="{00000000-0005-0000-0000-000071730000}"/>
    <cellStyle name="Normal 7 3 6 7" xfId="37179" xr:uid="{00000000-0005-0000-0000-000072730000}"/>
    <cellStyle name="Normal 7 3 7" xfId="21232" xr:uid="{00000000-0005-0000-0000-000073730000}"/>
    <cellStyle name="Normal 7 3 7 2" xfId="21233" xr:uid="{00000000-0005-0000-0000-000074730000}"/>
    <cellStyle name="Normal 7 3 7 2 2" xfId="37190" xr:uid="{00000000-0005-0000-0000-000075730000}"/>
    <cellStyle name="Normal 7 3 7 3" xfId="21234" xr:uid="{00000000-0005-0000-0000-000076730000}"/>
    <cellStyle name="Normal 7 3 7 3 2" xfId="37191" xr:uid="{00000000-0005-0000-0000-000077730000}"/>
    <cellStyle name="Normal 7 3 7 4" xfId="21235" xr:uid="{00000000-0005-0000-0000-000078730000}"/>
    <cellStyle name="Normal 7 3 7 4 2" xfId="37192" xr:uid="{00000000-0005-0000-0000-000079730000}"/>
    <cellStyle name="Normal 7 3 7 5" xfId="21236" xr:uid="{00000000-0005-0000-0000-00007A730000}"/>
    <cellStyle name="Normal 7 3 7 5 2" xfId="37193" xr:uid="{00000000-0005-0000-0000-00007B730000}"/>
    <cellStyle name="Normal 7 3 7 6" xfId="37189" xr:uid="{00000000-0005-0000-0000-00007C730000}"/>
    <cellStyle name="Normal 7 3 8" xfId="21237" xr:uid="{00000000-0005-0000-0000-00007D730000}"/>
    <cellStyle name="Normal 7 3 8 2" xfId="21238" xr:uid="{00000000-0005-0000-0000-00007E730000}"/>
    <cellStyle name="Normal 7 3 8 2 2" xfId="37195" xr:uid="{00000000-0005-0000-0000-00007F730000}"/>
    <cellStyle name="Normal 7 3 8 3" xfId="21239" xr:uid="{00000000-0005-0000-0000-000080730000}"/>
    <cellStyle name="Normal 7 3 8 3 2" xfId="37196" xr:uid="{00000000-0005-0000-0000-000081730000}"/>
    <cellStyle name="Normal 7 3 8 4" xfId="21240" xr:uid="{00000000-0005-0000-0000-000082730000}"/>
    <cellStyle name="Normal 7 3 8 4 2" xfId="37197" xr:uid="{00000000-0005-0000-0000-000083730000}"/>
    <cellStyle name="Normal 7 3 8 5" xfId="21241" xr:uid="{00000000-0005-0000-0000-000084730000}"/>
    <cellStyle name="Normal 7 3 8 5 2" xfId="37198" xr:uid="{00000000-0005-0000-0000-000085730000}"/>
    <cellStyle name="Normal 7 3 8 6" xfId="37194" xr:uid="{00000000-0005-0000-0000-000086730000}"/>
    <cellStyle name="Normal 7 3 9" xfId="21242" xr:uid="{00000000-0005-0000-0000-000087730000}"/>
    <cellStyle name="Normal 7 3 9 2" xfId="21243" xr:uid="{00000000-0005-0000-0000-000088730000}"/>
    <cellStyle name="Normal 7 3 9 2 2" xfId="37200" xr:uid="{00000000-0005-0000-0000-000089730000}"/>
    <cellStyle name="Normal 7 3 9 3" xfId="21244" xr:uid="{00000000-0005-0000-0000-00008A730000}"/>
    <cellStyle name="Normal 7 3 9 3 2" xfId="37201" xr:uid="{00000000-0005-0000-0000-00008B730000}"/>
    <cellStyle name="Normal 7 3 9 4" xfId="21245" xr:uid="{00000000-0005-0000-0000-00008C730000}"/>
    <cellStyle name="Normal 7 3 9 4 2" xfId="37202" xr:uid="{00000000-0005-0000-0000-00008D730000}"/>
    <cellStyle name="Normal 7 3 9 5" xfId="21246" xr:uid="{00000000-0005-0000-0000-00008E730000}"/>
    <cellStyle name="Normal 7 3 9 5 2" xfId="37203" xr:uid="{00000000-0005-0000-0000-00008F730000}"/>
    <cellStyle name="Normal 7 3 9 6" xfId="37199" xr:uid="{00000000-0005-0000-0000-000090730000}"/>
    <cellStyle name="Normal 7 4" xfId="21247" xr:uid="{00000000-0005-0000-0000-000091730000}"/>
    <cellStyle name="Normal 7 5" xfId="21248" xr:uid="{00000000-0005-0000-0000-000092730000}"/>
    <cellStyle name="Normal 7 5 2" xfId="21249" xr:uid="{00000000-0005-0000-0000-000093730000}"/>
    <cellStyle name="Normal 7 5 3" xfId="21250" xr:uid="{00000000-0005-0000-0000-000094730000}"/>
    <cellStyle name="Normal 7 5 4" xfId="21251" xr:uid="{00000000-0005-0000-0000-000095730000}"/>
    <cellStyle name="Normal 7 5 5" xfId="21252" xr:uid="{00000000-0005-0000-0000-000096730000}"/>
    <cellStyle name="Normal 7 5 6" xfId="21253" xr:uid="{00000000-0005-0000-0000-000097730000}"/>
    <cellStyle name="Normal 7 5 7" xfId="21254" xr:uid="{00000000-0005-0000-0000-000098730000}"/>
    <cellStyle name="Normal 7 6" xfId="21255" xr:uid="{00000000-0005-0000-0000-000099730000}"/>
    <cellStyle name="Normal 7 7" xfId="21256" xr:uid="{00000000-0005-0000-0000-00009A730000}"/>
    <cellStyle name="Normal 7 8" xfId="21257" xr:uid="{00000000-0005-0000-0000-00009B730000}"/>
    <cellStyle name="Normal 7 9" xfId="21258" xr:uid="{00000000-0005-0000-0000-00009C730000}"/>
    <cellStyle name="Normal 8" xfId="21259" xr:uid="{00000000-0005-0000-0000-00009D730000}"/>
    <cellStyle name="Normal 8 10" xfId="21260" xr:uid="{00000000-0005-0000-0000-00009E730000}"/>
    <cellStyle name="Normal 8 10 2" xfId="40768" xr:uid="{00000000-0005-0000-0000-00009F730000}"/>
    <cellStyle name="Normal 8 11" xfId="21261" xr:uid="{00000000-0005-0000-0000-0000A0730000}"/>
    <cellStyle name="Normal 8 11 10" xfId="21262" xr:uid="{00000000-0005-0000-0000-0000A1730000}"/>
    <cellStyle name="Normal 8 11 10 2" xfId="21263" xr:uid="{00000000-0005-0000-0000-0000A2730000}"/>
    <cellStyle name="Normal 8 11 10 2 2" xfId="37206" xr:uid="{00000000-0005-0000-0000-0000A3730000}"/>
    <cellStyle name="Normal 8 11 10 3" xfId="21264" xr:uid="{00000000-0005-0000-0000-0000A4730000}"/>
    <cellStyle name="Normal 8 11 10 3 2" xfId="37207" xr:uid="{00000000-0005-0000-0000-0000A5730000}"/>
    <cellStyle name="Normal 8 11 10 4" xfId="21265" xr:uid="{00000000-0005-0000-0000-0000A6730000}"/>
    <cellStyle name="Normal 8 11 10 4 2" xfId="37208" xr:uid="{00000000-0005-0000-0000-0000A7730000}"/>
    <cellStyle name="Normal 8 11 10 5" xfId="21266" xr:uid="{00000000-0005-0000-0000-0000A8730000}"/>
    <cellStyle name="Normal 8 11 10 5 2" xfId="37209" xr:uid="{00000000-0005-0000-0000-0000A9730000}"/>
    <cellStyle name="Normal 8 11 10 6" xfId="37205" xr:uid="{00000000-0005-0000-0000-0000AA730000}"/>
    <cellStyle name="Normal 8 11 11" xfId="21267" xr:uid="{00000000-0005-0000-0000-0000AB730000}"/>
    <cellStyle name="Normal 8 11 11 2" xfId="21268" xr:uid="{00000000-0005-0000-0000-0000AC730000}"/>
    <cellStyle name="Normal 8 11 11 2 2" xfId="37211" xr:uid="{00000000-0005-0000-0000-0000AD730000}"/>
    <cellStyle name="Normal 8 11 11 3" xfId="21269" xr:uid="{00000000-0005-0000-0000-0000AE730000}"/>
    <cellStyle name="Normal 8 11 11 3 2" xfId="37212" xr:uid="{00000000-0005-0000-0000-0000AF730000}"/>
    <cellStyle name="Normal 8 11 11 4" xfId="21270" xr:uid="{00000000-0005-0000-0000-0000B0730000}"/>
    <cellStyle name="Normal 8 11 11 4 2" xfId="37213" xr:uid="{00000000-0005-0000-0000-0000B1730000}"/>
    <cellStyle name="Normal 8 11 11 5" xfId="21271" xr:uid="{00000000-0005-0000-0000-0000B2730000}"/>
    <cellStyle name="Normal 8 11 11 5 2" xfId="37214" xr:uid="{00000000-0005-0000-0000-0000B3730000}"/>
    <cellStyle name="Normal 8 11 11 6" xfId="37210" xr:uid="{00000000-0005-0000-0000-0000B4730000}"/>
    <cellStyle name="Normal 8 11 12" xfId="21272" xr:uid="{00000000-0005-0000-0000-0000B5730000}"/>
    <cellStyle name="Normal 8 11 12 2" xfId="21273" xr:uid="{00000000-0005-0000-0000-0000B6730000}"/>
    <cellStyle name="Normal 8 11 12 2 2" xfId="37216" xr:uid="{00000000-0005-0000-0000-0000B7730000}"/>
    <cellStyle name="Normal 8 11 12 3" xfId="21274" xr:uid="{00000000-0005-0000-0000-0000B8730000}"/>
    <cellStyle name="Normal 8 11 12 3 2" xfId="37217" xr:uid="{00000000-0005-0000-0000-0000B9730000}"/>
    <cellStyle name="Normal 8 11 12 4" xfId="21275" xr:uid="{00000000-0005-0000-0000-0000BA730000}"/>
    <cellStyle name="Normal 8 11 12 4 2" xfId="37218" xr:uid="{00000000-0005-0000-0000-0000BB730000}"/>
    <cellStyle name="Normal 8 11 12 5" xfId="21276" xr:uid="{00000000-0005-0000-0000-0000BC730000}"/>
    <cellStyle name="Normal 8 11 12 5 2" xfId="37219" xr:uid="{00000000-0005-0000-0000-0000BD730000}"/>
    <cellStyle name="Normal 8 11 12 6" xfId="37215" xr:uid="{00000000-0005-0000-0000-0000BE730000}"/>
    <cellStyle name="Normal 8 11 13" xfId="21277" xr:uid="{00000000-0005-0000-0000-0000BF730000}"/>
    <cellStyle name="Normal 8 11 13 2" xfId="21278" xr:uid="{00000000-0005-0000-0000-0000C0730000}"/>
    <cellStyle name="Normal 8 11 13 2 2" xfId="37221" xr:uid="{00000000-0005-0000-0000-0000C1730000}"/>
    <cellStyle name="Normal 8 11 13 3" xfId="21279" xr:uid="{00000000-0005-0000-0000-0000C2730000}"/>
    <cellStyle name="Normal 8 11 13 3 2" xfId="37222" xr:uid="{00000000-0005-0000-0000-0000C3730000}"/>
    <cellStyle name="Normal 8 11 13 4" xfId="21280" xr:uid="{00000000-0005-0000-0000-0000C4730000}"/>
    <cellStyle name="Normal 8 11 13 4 2" xfId="37223" xr:uid="{00000000-0005-0000-0000-0000C5730000}"/>
    <cellStyle name="Normal 8 11 13 5" xfId="21281" xr:uid="{00000000-0005-0000-0000-0000C6730000}"/>
    <cellStyle name="Normal 8 11 13 5 2" xfId="37224" xr:uid="{00000000-0005-0000-0000-0000C7730000}"/>
    <cellStyle name="Normal 8 11 13 6" xfId="37220" xr:uid="{00000000-0005-0000-0000-0000C8730000}"/>
    <cellStyle name="Normal 8 11 14" xfId="21282" xr:uid="{00000000-0005-0000-0000-0000C9730000}"/>
    <cellStyle name="Normal 8 11 14 2" xfId="21283" xr:uid="{00000000-0005-0000-0000-0000CA730000}"/>
    <cellStyle name="Normal 8 11 14 2 2" xfId="37226" xr:uid="{00000000-0005-0000-0000-0000CB730000}"/>
    <cellStyle name="Normal 8 11 14 3" xfId="21284" xr:uid="{00000000-0005-0000-0000-0000CC730000}"/>
    <cellStyle name="Normal 8 11 14 3 2" xfId="37227" xr:uid="{00000000-0005-0000-0000-0000CD730000}"/>
    <cellStyle name="Normal 8 11 14 4" xfId="21285" xr:uid="{00000000-0005-0000-0000-0000CE730000}"/>
    <cellStyle name="Normal 8 11 14 4 2" xfId="37228" xr:uid="{00000000-0005-0000-0000-0000CF730000}"/>
    <cellStyle name="Normal 8 11 14 5" xfId="21286" xr:uid="{00000000-0005-0000-0000-0000D0730000}"/>
    <cellStyle name="Normal 8 11 14 5 2" xfId="37229" xr:uid="{00000000-0005-0000-0000-0000D1730000}"/>
    <cellStyle name="Normal 8 11 14 6" xfId="37225" xr:uid="{00000000-0005-0000-0000-0000D2730000}"/>
    <cellStyle name="Normal 8 11 15" xfId="21287" xr:uid="{00000000-0005-0000-0000-0000D3730000}"/>
    <cellStyle name="Normal 8 11 15 2" xfId="21288" xr:uid="{00000000-0005-0000-0000-0000D4730000}"/>
    <cellStyle name="Normal 8 11 15 2 2" xfId="37231" xr:uid="{00000000-0005-0000-0000-0000D5730000}"/>
    <cellStyle name="Normal 8 11 15 3" xfId="21289" xr:uid="{00000000-0005-0000-0000-0000D6730000}"/>
    <cellStyle name="Normal 8 11 15 3 2" xfId="37232" xr:uid="{00000000-0005-0000-0000-0000D7730000}"/>
    <cellStyle name="Normal 8 11 15 4" xfId="21290" xr:uid="{00000000-0005-0000-0000-0000D8730000}"/>
    <cellStyle name="Normal 8 11 15 4 2" xfId="37233" xr:uid="{00000000-0005-0000-0000-0000D9730000}"/>
    <cellStyle name="Normal 8 11 15 5" xfId="21291" xr:uid="{00000000-0005-0000-0000-0000DA730000}"/>
    <cellStyle name="Normal 8 11 15 5 2" xfId="37234" xr:uid="{00000000-0005-0000-0000-0000DB730000}"/>
    <cellStyle name="Normal 8 11 15 6" xfId="37230" xr:uid="{00000000-0005-0000-0000-0000DC730000}"/>
    <cellStyle name="Normal 8 11 16" xfId="21292" xr:uid="{00000000-0005-0000-0000-0000DD730000}"/>
    <cellStyle name="Normal 8 11 16 2" xfId="21293" xr:uid="{00000000-0005-0000-0000-0000DE730000}"/>
    <cellStyle name="Normal 8 11 16 2 2" xfId="37236" xr:uid="{00000000-0005-0000-0000-0000DF730000}"/>
    <cellStyle name="Normal 8 11 16 3" xfId="21294" xr:uid="{00000000-0005-0000-0000-0000E0730000}"/>
    <cellStyle name="Normal 8 11 16 3 2" xfId="37237" xr:uid="{00000000-0005-0000-0000-0000E1730000}"/>
    <cellStyle name="Normal 8 11 16 4" xfId="21295" xr:uid="{00000000-0005-0000-0000-0000E2730000}"/>
    <cellStyle name="Normal 8 11 16 4 2" xfId="37238" xr:uid="{00000000-0005-0000-0000-0000E3730000}"/>
    <cellStyle name="Normal 8 11 16 5" xfId="21296" xr:uid="{00000000-0005-0000-0000-0000E4730000}"/>
    <cellStyle name="Normal 8 11 16 5 2" xfId="37239" xr:uid="{00000000-0005-0000-0000-0000E5730000}"/>
    <cellStyle name="Normal 8 11 16 6" xfId="37235" xr:uid="{00000000-0005-0000-0000-0000E6730000}"/>
    <cellStyle name="Normal 8 11 17" xfId="21297" xr:uid="{00000000-0005-0000-0000-0000E7730000}"/>
    <cellStyle name="Normal 8 11 18" xfId="21298" xr:uid="{00000000-0005-0000-0000-0000E8730000}"/>
    <cellStyle name="Normal 8 11 19" xfId="21299" xr:uid="{00000000-0005-0000-0000-0000E9730000}"/>
    <cellStyle name="Normal 8 11 2" xfId="21300" xr:uid="{00000000-0005-0000-0000-0000EA730000}"/>
    <cellStyle name="Normal 8 11 2 2" xfId="21301" xr:uid="{00000000-0005-0000-0000-0000EB730000}"/>
    <cellStyle name="Normal 8 11 2 3" xfId="21302" xr:uid="{00000000-0005-0000-0000-0000EC730000}"/>
    <cellStyle name="Normal 8 11 2 4" xfId="21303" xr:uid="{00000000-0005-0000-0000-0000ED730000}"/>
    <cellStyle name="Normal 8 11 2 5" xfId="21304" xr:uid="{00000000-0005-0000-0000-0000EE730000}"/>
    <cellStyle name="Normal 8 11 2 6" xfId="21305" xr:uid="{00000000-0005-0000-0000-0000EF730000}"/>
    <cellStyle name="Normal 8 11 2 7" xfId="21306" xr:uid="{00000000-0005-0000-0000-0000F0730000}"/>
    <cellStyle name="Normal 8 11 20" xfId="21307" xr:uid="{00000000-0005-0000-0000-0000F1730000}"/>
    <cellStyle name="Normal 8 11 21" xfId="21308" xr:uid="{00000000-0005-0000-0000-0000F2730000}"/>
    <cellStyle name="Normal 8 11 22" xfId="37204" xr:uid="{00000000-0005-0000-0000-0000F3730000}"/>
    <cellStyle name="Normal 8 11 3" xfId="21309" xr:uid="{00000000-0005-0000-0000-0000F4730000}"/>
    <cellStyle name="Normal 8 11 3 2" xfId="21310" xr:uid="{00000000-0005-0000-0000-0000F5730000}"/>
    <cellStyle name="Normal 8 11 3 2 2" xfId="37241" xr:uid="{00000000-0005-0000-0000-0000F6730000}"/>
    <cellStyle name="Normal 8 11 3 3" xfId="21311" xr:uid="{00000000-0005-0000-0000-0000F7730000}"/>
    <cellStyle name="Normal 8 11 3 3 2" xfId="37242" xr:uid="{00000000-0005-0000-0000-0000F8730000}"/>
    <cellStyle name="Normal 8 11 3 4" xfId="21312" xr:uid="{00000000-0005-0000-0000-0000F9730000}"/>
    <cellStyle name="Normal 8 11 3 4 2" xfId="37243" xr:uid="{00000000-0005-0000-0000-0000FA730000}"/>
    <cellStyle name="Normal 8 11 3 5" xfId="21313" xr:uid="{00000000-0005-0000-0000-0000FB730000}"/>
    <cellStyle name="Normal 8 11 3 5 2" xfId="37244" xr:uid="{00000000-0005-0000-0000-0000FC730000}"/>
    <cellStyle name="Normal 8 11 3 6" xfId="37240" xr:uid="{00000000-0005-0000-0000-0000FD730000}"/>
    <cellStyle name="Normal 8 11 4" xfId="21314" xr:uid="{00000000-0005-0000-0000-0000FE730000}"/>
    <cellStyle name="Normal 8 11 4 2" xfId="21315" xr:uid="{00000000-0005-0000-0000-0000FF730000}"/>
    <cellStyle name="Normal 8 11 4 2 2" xfId="37246" xr:uid="{00000000-0005-0000-0000-000000740000}"/>
    <cellStyle name="Normal 8 11 4 3" xfId="21316" xr:uid="{00000000-0005-0000-0000-000001740000}"/>
    <cellStyle name="Normal 8 11 4 3 2" xfId="37247" xr:uid="{00000000-0005-0000-0000-000002740000}"/>
    <cellStyle name="Normal 8 11 4 4" xfId="21317" xr:uid="{00000000-0005-0000-0000-000003740000}"/>
    <cellStyle name="Normal 8 11 4 4 2" xfId="37248" xr:uid="{00000000-0005-0000-0000-000004740000}"/>
    <cellStyle name="Normal 8 11 4 5" xfId="21318" xr:uid="{00000000-0005-0000-0000-000005740000}"/>
    <cellStyle name="Normal 8 11 4 5 2" xfId="37249" xr:uid="{00000000-0005-0000-0000-000006740000}"/>
    <cellStyle name="Normal 8 11 4 6" xfId="37245" xr:uid="{00000000-0005-0000-0000-000007740000}"/>
    <cellStyle name="Normal 8 11 5" xfId="21319" xr:uid="{00000000-0005-0000-0000-000008740000}"/>
    <cellStyle name="Normal 8 11 5 2" xfId="21320" xr:uid="{00000000-0005-0000-0000-000009740000}"/>
    <cellStyle name="Normal 8 11 5 2 2" xfId="37251" xr:uid="{00000000-0005-0000-0000-00000A740000}"/>
    <cellStyle name="Normal 8 11 5 3" xfId="21321" xr:uid="{00000000-0005-0000-0000-00000B740000}"/>
    <cellStyle name="Normal 8 11 5 3 2" xfId="37252" xr:uid="{00000000-0005-0000-0000-00000C740000}"/>
    <cellStyle name="Normal 8 11 5 4" xfId="21322" xr:uid="{00000000-0005-0000-0000-00000D740000}"/>
    <cellStyle name="Normal 8 11 5 4 2" xfId="37253" xr:uid="{00000000-0005-0000-0000-00000E740000}"/>
    <cellStyle name="Normal 8 11 5 5" xfId="21323" xr:uid="{00000000-0005-0000-0000-00000F740000}"/>
    <cellStyle name="Normal 8 11 5 5 2" xfId="37254" xr:uid="{00000000-0005-0000-0000-000010740000}"/>
    <cellStyle name="Normal 8 11 5 6" xfId="37250" xr:uid="{00000000-0005-0000-0000-000011740000}"/>
    <cellStyle name="Normal 8 11 6" xfId="21324" xr:uid="{00000000-0005-0000-0000-000012740000}"/>
    <cellStyle name="Normal 8 11 6 2" xfId="21325" xr:uid="{00000000-0005-0000-0000-000013740000}"/>
    <cellStyle name="Normal 8 11 6 2 2" xfId="37256" xr:uid="{00000000-0005-0000-0000-000014740000}"/>
    <cellStyle name="Normal 8 11 6 3" xfId="21326" xr:uid="{00000000-0005-0000-0000-000015740000}"/>
    <cellStyle name="Normal 8 11 6 3 2" xfId="37257" xr:uid="{00000000-0005-0000-0000-000016740000}"/>
    <cellStyle name="Normal 8 11 6 4" xfId="21327" xr:uid="{00000000-0005-0000-0000-000017740000}"/>
    <cellStyle name="Normal 8 11 6 4 2" xfId="37258" xr:uid="{00000000-0005-0000-0000-000018740000}"/>
    <cellStyle name="Normal 8 11 6 5" xfId="21328" xr:uid="{00000000-0005-0000-0000-000019740000}"/>
    <cellStyle name="Normal 8 11 6 5 2" xfId="37259" xr:uid="{00000000-0005-0000-0000-00001A740000}"/>
    <cellStyle name="Normal 8 11 6 6" xfId="37255" xr:uid="{00000000-0005-0000-0000-00001B740000}"/>
    <cellStyle name="Normal 8 11 7" xfId="21329" xr:uid="{00000000-0005-0000-0000-00001C740000}"/>
    <cellStyle name="Normal 8 11 7 2" xfId="21330" xr:uid="{00000000-0005-0000-0000-00001D740000}"/>
    <cellStyle name="Normal 8 11 7 2 2" xfId="37261" xr:uid="{00000000-0005-0000-0000-00001E740000}"/>
    <cellStyle name="Normal 8 11 7 3" xfId="21331" xr:uid="{00000000-0005-0000-0000-00001F740000}"/>
    <cellStyle name="Normal 8 11 7 3 2" xfId="37262" xr:uid="{00000000-0005-0000-0000-000020740000}"/>
    <cellStyle name="Normal 8 11 7 4" xfId="21332" xr:uid="{00000000-0005-0000-0000-000021740000}"/>
    <cellStyle name="Normal 8 11 7 4 2" xfId="37263" xr:uid="{00000000-0005-0000-0000-000022740000}"/>
    <cellStyle name="Normal 8 11 7 5" xfId="21333" xr:uid="{00000000-0005-0000-0000-000023740000}"/>
    <cellStyle name="Normal 8 11 7 5 2" xfId="37264" xr:uid="{00000000-0005-0000-0000-000024740000}"/>
    <cellStyle name="Normal 8 11 7 6" xfId="37260" xr:uid="{00000000-0005-0000-0000-000025740000}"/>
    <cellStyle name="Normal 8 11 8" xfId="21334" xr:uid="{00000000-0005-0000-0000-000026740000}"/>
    <cellStyle name="Normal 8 11 8 2" xfId="21335" xr:uid="{00000000-0005-0000-0000-000027740000}"/>
    <cellStyle name="Normal 8 11 8 2 2" xfId="37266" xr:uid="{00000000-0005-0000-0000-000028740000}"/>
    <cellStyle name="Normal 8 11 8 3" xfId="21336" xr:uid="{00000000-0005-0000-0000-000029740000}"/>
    <cellStyle name="Normal 8 11 8 3 2" xfId="37267" xr:uid="{00000000-0005-0000-0000-00002A740000}"/>
    <cellStyle name="Normal 8 11 8 4" xfId="21337" xr:uid="{00000000-0005-0000-0000-00002B740000}"/>
    <cellStyle name="Normal 8 11 8 4 2" xfId="37268" xr:uid="{00000000-0005-0000-0000-00002C740000}"/>
    <cellStyle name="Normal 8 11 8 5" xfId="21338" xr:uid="{00000000-0005-0000-0000-00002D740000}"/>
    <cellStyle name="Normal 8 11 8 5 2" xfId="37269" xr:uid="{00000000-0005-0000-0000-00002E740000}"/>
    <cellStyle name="Normal 8 11 8 6" xfId="37265" xr:uid="{00000000-0005-0000-0000-00002F740000}"/>
    <cellStyle name="Normal 8 11 9" xfId="21339" xr:uid="{00000000-0005-0000-0000-000030740000}"/>
    <cellStyle name="Normal 8 11 9 2" xfId="21340" xr:uid="{00000000-0005-0000-0000-000031740000}"/>
    <cellStyle name="Normal 8 11 9 2 2" xfId="37271" xr:uid="{00000000-0005-0000-0000-000032740000}"/>
    <cellStyle name="Normal 8 11 9 3" xfId="21341" xr:uid="{00000000-0005-0000-0000-000033740000}"/>
    <cellStyle name="Normal 8 11 9 3 2" xfId="37272" xr:uid="{00000000-0005-0000-0000-000034740000}"/>
    <cellStyle name="Normal 8 11 9 4" xfId="21342" xr:uid="{00000000-0005-0000-0000-000035740000}"/>
    <cellStyle name="Normal 8 11 9 4 2" xfId="37273" xr:uid="{00000000-0005-0000-0000-000036740000}"/>
    <cellStyle name="Normal 8 11 9 5" xfId="21343" xr:uid="{00000000-0005-0000-0000-000037740000}"/>
    <cellStyle name="Normal 8 11 9 5 2" xfId="37274" xr:uid="{00000000-0005-0000-0000-000038740000}"/>
    <cellStyle name="Normal 8 11 9 6" xfId="37270" xr:uid="{00000000-0005-0000-0000-000039740000}"/>
    <cellStyle name="Normal 8 12" xfId="21344" xr:uid="{00000000-0005-0000-0000-00003A740000}"/>
    <cellStyle name="Normal 8 12 2" xfId="21345" xr:uid="{00000000-0005-0000-0000-00003B740000}"/>
    <cellStyle name="Normal 8 13" xfId="21346" xr:uid="{00000000-0005-0000-0000-00003C740000}"/>
    <cellStyle name="Normal 8 13 2" xfId="21347" xr:uid="{00000000-0005-0000-0000-00003D740000}"/>
    <cellStyle name="Normal 8 14" xfId="21348" xr:uid="{00000000-0005-0000-0000-00003E740000}"/>
    <cellStyle name="Normal 8 14 2" xfId="21349" xr:uid="{00000000-0005-0000-0000-00003F740000}"/>
    <cellStyle name="Normal 8 15" xfId="21350" xr:uid="{00000000-0005-0000-0000-000040740000}"/>
    <cellStyle name="Normal 8 15 2" xfId="21351" xr:uid="{00000000-0005-0000-0000-000041740000}"/>
    <cellStyle name="Normal 8 15 2 2" xfId="21352" xr:uid="{00000000-0005-0000-0000-000042740000}"/>
    <cellStyle name="Normal 8 15 2 2 2" xfId="37277" xr:uid="{00000000-0005-0000-0000-000043740000}"/>
    <cellStyle name="Normal 8 15 2 3" xfId="21353" xr:uid="{00000000-0005-0000-0000-000044740000}"/>
    <cellStyle name="Normal 8 15 2 3 2" xfId="37278" xr:uid="{00000000-0005-0000-0000-000045740000}"/>
    <cellStyle name="Normal 8 15 2 4" xfId="21354" xr:uid="{00000000-0005-0000-0000-000046740000}"/>
    <cellStyle name="Normal 8 15 2 4 2" xfId="37279" xr:uid="{00000000-0005-0000-0000-000047740000}"/>
    <cellStyle name="Normal 8 15 2 5" xfId="21355" xr:uid="{00000000-0005-0000-0000-000048740000}"/>
    <cellStyle name="Normal 8 15 2 5 2" xfId="37280" xr:uid="{00000000-0005-0000-0000-000049740000}"/>
    <cellStyle name="Normal 8 15 2 6" xfId="37276" xr:uid="{00000000-0005-0000-0000-00004A740000}"/>
    <cellStyle name="Normal 8 15 3" xfId="21356" xr:uid="{00000000-0005-0000-0000-00004B740000}"/>
    <cellStyle name="Normal 8 15 3 2" xfId="37281" xr:uid="{00000000-0005-0000-0000-00004C740000}"/>
    <cellStyle name="Normal 8 15 4" xfId="21357" xr:uid="{00000000-0005-0000-0000-00004D740000}"/>
    <cellStyle name="Normal 8 15 4 2" xfId="37282" xr:uid="{00000000-0005-0000-0000-00004E740000}"/>
    <cellStyle name="Normal 8 15 5" xfId="21358" xr:uid="{00000000-0005-0000-0000-00004F740000}"/>
    <cellStyle name="Normal 8 15 5 2" xfId="37283" xr:uid="{00000000-0005-0000-0000-000050740000}"/>
    <cellStyle name="Normal 8 15 6" xfId="21359" xr:uid="{00000000-0005-0000-0000-000051740000}"/>
    <cellStyle name="Normal 8 15 6 2" xfId="37284" xr:uid="{00000000-0005-0000-0000-000052740000}"/>
    <cellStyle name="Normal 8 15 7" xfId="37275" xr:uid="{00000000-0005-0000-0000-000053740000}"/>
    <cellStyle name="Normal 8 16" xfId="21360" xr:uid="{00000000-0005-0000-0000-000054740000}"/>
    <cellStyle name="Normal 8 16 2" xfId="21361" xr:uid="{00000000-0005-0000-0000-000055740000}"/>
    <cellStyle name="Normal 8 16 2 2" xfId="21362" xr:uid="{00000000-0005-0000-0000-000056740000}"/>
    <cellStyle name="Normal 8 16 2 2 2" xfId="37287" xr:uid="{00000000-0005-0000-0000-000057740000}"/>
    <cellStyle name="Normal 8 16 2 3" xfId="21363" xr:uid="{00000000-0005-0000-0000-000058740000}"/>
    <cellStyle name="Normal 8 16 2 3 2" xfId="37288" xr:uid="{00000000-0005-0000-0000-000059740000}"/>
    <cellStyle name="Normal 8 16 2 4" xfId="21364" xr:uid="{00000000-0005-0000-0000-00005A740000}"/>
    <cellStyle name="Normal 8 16 2 4 2" xfId="37289" xr:uid="{00000000-0005-0000-0000-00005B740000}"/>
    <cellStyle name="Normal 8 16 2 5" xfId="21365" xr:uid="{00000000-0005-0000-0000-00005C740000}"/>
    <cellStyle name="Normal 8 16 2 5 2" xfId="37290" xr:uid="{00000000-0005-0000-0000-00005D740000}"/>
    <cellStyle name="Normal 8 16 2 6" xfId="37286" xr:uid="{00000000-0005-0000-0000-00005E740000}"/>
    <cellStyle name="Normal 8 16 3" xfId="21366" xr:uid="{00000000-0005-0000-0000-00005F740000}"/>
    <cellStyle name="Normal 8 16 3 2" xfId="37291" xr:uid="{00000000-0005-0000-0000-000060740000}"/>
    <cellStyle name="Normal 8 16 4" xfId="21367" xr:uid="{00000000-0005-0000-0000-000061740000}"/>
    <cellStyle name="Normal 8 16 4 2" xfId="37292" xr:uid="{00000000-0005-0000-0000-000062740000}"/>
    <cellStyle name="Normal 8 16 5" xfId="21368" xr:uid="{00000000-0005-0000-0000-000063740000}"/>
    <cellStyle name="Normal 8 16 5 2" xfId="37293" xr:uid="{00000000-0005-0000-0000-000064740000}"/>
    <cellStyle name="Normal 8 16 6" xfId="21369" xr:uid="{00000000-0005-0000-0000-000065740000}"/>
    <cellStyle name="Normal 8 16 6 2" xfId="37294" xr:uid="{00000000-0005-0000-0000-000066740000}"/>
    <cellStyle name="Normal 8 16 7" xfId="37285" xr:uid="{00000000-0005-0000-0000-000067740000}"/>
    <cellStyle name="Normal 8 17" xfId="21370" xr:uid="{00000000-0005-0000-0000-000068740000}"/>
    <cellStyle name="Normal 8 17 2" xfId="21371" xr:uid="{00000000-0005-0000-0000-000069740000}"/>
    <cellStyle name="Normal 8 17 2 2" xfId="21372" xr:uid="{00000000-0005-0000-0000-00006A740000}"/>
    <cellStyle name="Normal 8 17 2 2 2" xfId="37297" xr:uid="{00000000-0005-0000-0000-00006B740000}"/>
    <cellStyle name="Normal 8 17 2 3" xfId="21373" xr:uid="{00000000-0005-0000-0000-00006C740000}"/>
    <cellStyle name="Normal 8 17 2 3 2" xfId="37298" xr:uid="{00000000-0005-0000-0000-00006D740000}"/>
    <cellStyle name="Normal 8 17 2 4" xfId="21374" xr:uid="{00000000-0005-0000-0000-00006E740000}"/>
    <cellStyle name="Normal 8 17 2 4 2" xfId="37299" xr:uid="{00000000-0005-0000-0000-00006F740000}"/>
    <cellStyle name="Normal 8 17 2 5" xfId="21375" xr:uid="{00000000-0005-0000-0000-000070740000}"/>
    <cellStyle name="Normal 8 17 2 5 2" xfId="37300" xr:uid="{00000000-0005-0000-0000-000071740000}"/>
    <cellStyle name="Normal 8 17 2 6" xfId="37296" xr:uid="{00000000-0005-0000-0000-000072740000}"/>
    <cellStyle name="Normal 8 17 3" xfId="21376" xr:uid="{00000000-0005-0000-0000-000073740000}"/>
    <cellStyle name="Normal 8 17 3 2" xfId="37301" xr:uid="{00000000-0005-0000-0000-000074740000}"/>
    <cellStyle name="Normal 8 17 4" xfId="21377" xr:uid="{00000000-0005-0000-0000-000075740000}"/>
    <cellStyle name="Normal 8 17 4 2" xfId="37302" xr:uid="{00000000-0005-0000-0000-000076740000}"/>
    <cellStyle name="Normal 8 17 5" xfId="21378" xr:uid="{00000000-0005-0000-0000-000077740000}"/>
    <cellStyle name="Normal 8 17 5 2" xfId="37303" xr:uid="{00000000-0005-0000-0000-000078740000}"/>
    <cellStyle name="Normal 8 17 6" xfId="21379" xr:uid="{00000000-0005-0000-0000-000079740000}"/>
    <cellStyle name="Normal 8 17 6 2" xfId="37304" xr:uid="{00000000-0005-0000-0000-00007A740000}"/>
    <cellStyle name="Normal 8 17 7" xfId="37295" xr:uid="{00000000-0005-0000-0000-00007B740000}"/>
    <cellStyle name="Normal 8 18" xfId="21380" xr:uid="{00000000-0005-0000-0000-00007C740000}"/>
    <cellStyle name="Normal 8 18 2" xfId="21381" xr:uid="{00000000-0005-0000-0000-00007D740000}"/>
    <cellStyle name="Normal 8 18 2 2" xfId="37306" xr:uid="{00000000-0005-0000-0000-00007E740000}"/>
    <cellStyle name="Normal 8 18 3" xfId="21382" xr:uid="{00000000-0005-0000-0000-00007F740000}"/>
    <cellStyle name="Normal 8 18 3 2" xfId="37307" xr:uid="{00000000-0005-0000-0000-000080740000}"/>
    <cellStyle name="Normal 8 18 4" xfId="21383" xr:uid="{00000000-0005-0000-0000-000081740000}"/>
    <cellStyle name="Normal 8 18 4 2" xfId="37308" xr:uid="{00000000-0005-0000-0000-000082740000}"/>
    <cellStyle name="Normal 8 18 5" xfId="21384" xr:uid="{00000000-0005-0000-0000-000083740000}"/>
    <cellStyle name="Normal 8 18 5 2" xfId="37309" xr:uid="{00000000-0005-0000-0000-000084740000}"/>
    <cellStyle name="Normal 8 18 6" xfId="37305" xr:uid="{00000000-0005-0000-0000-000085740000}"/>
    <cellStyle name="Normal 8 19" xfId="21385" xr:uid="{00000000-0005-0000-0000-000086740000}"/>
    <cellStyle name="Normal 8 19 2" xfId="21386" xr:uid="{00000000-0005-0000-0000-000087740000}"/>
    <cellStyle name="Normal 8 19 2 2" xfId="37311" xr:uid="{00000000-0005-0000-0000-000088740000}"/>
    <cellStyle name="Normal 8 19 3" xfId="21387" xr:uid="{00000000-0005-0000-0000-000089740000}"/>
    <cellStyle name="Normal 8 19 3 2" xfId="37312" xr:uid="{00000000-0005-0000-0000-00008A740000}"/>
    <cellStyle name="Normal 8 19 4" xfId="21388" xr:uid="{00000000-0005-0000-0000-00008B740000}"/>
    <cellStyle name="Normal 8 19 4 2" xfId="37313" xr:uid="{00000000-0005-0000-0000-00008C740000}"/>
    <cellStyle name="Normal 8 19 5" xfId="21389" xr:uid="{00000000-0005-0000-0000-00008D740000}"/>
    <cellStyle name="Normal 8 19 5 2" xfId="37314" xr:uid="{00000000-0005-0000-0000-00008E740000}"/>
    <cellStyle name="Normal 8 19 6" xfId="37310" xr:uid="{00000000-0005-0000-0000-00008F740000}"/>
    <cellStyle name="Normal 8 2" xfId="21390" xr:uid="{00000000-0005-0000-0000-000090740000}"/>
    <cellStyle name="Normal 8 2 10" xfId="21391" xr:uid="{00000000-0005-0000-0000-000091740000}"/>
    <cellStyle name="Normal 8 2 11" xfId="21392" xr:uid="{00000000-0005-0000-0000-000092740000}"/>
    <cellStyle name="Normal 8 2 12" xfId="21393" xr:uid="{00000000-0005-0000-0000-000093740000}"/>
    <cellStyle name="Normal 8 2 13" xfId="21394" xr:uid="{00000000-0005-0000-0000-000094740000}"/>
    <cellStyle name="Normal 8 2 14" xfId="21395" xr:uid="{00000000-0005-0000-0000-000095740000}"/>
    <cellStyle name="Normal 8 2 15" xfId="21396" xr:uid="{00000000-0005-0000-0000-000096740000}"/>
    <cellStyle name="Normal 8 2 16" xfId="21397" xr:uid="{00000000-0005-0000-0000-000097740000}"/>
    <cellStyle name="Normal 8 2 2" xfId="21398" xr:uid="{00000000-0005-0000-0000-000098740000}"/>
    <cellStyle name="Normal 8 2 2 10" xfId="21399" xr:uid="{00000000-0005-0000-0000-000099740000}"/>
    <cellStyle name="Normal 8 2 2 11" xfId="21400" xr:uid="{00000000-0005-0000-0000-00009A740000}"/>
    <cellStyle name="Normal 8 2 2 12" xfId="21401" xr:uid="{00000000-0005-0000-0000-00009B740000}"/>
    <cellStyle name="Normal 8 2 2 13" xfId="21402" xr:uid="{00000000-0005-0000-0000-00009C740000}"/>
    <cellStyle name="Normal 8 2 2 14" xfId="21403" xr:uid="{00000000-0005-0000-0000-00009D740000}"/>
    <cellStyle name="Normal 8 2 2 15" xfId="21404" xr:uid="{00000000-0005-0000-0000-00009E740000}"/>
    <cellStyle name="Normal 8 2 2 16" xfId="21405" xr:uid="{00000000-0005-0000-0000-00009F740000}"/>
    <cellStyle name="Normal 8 2 2 17" xfId="40769" xr:uid="{00000000-0005-0000-0000-0000A0740000}"/>
    <cellStyle name="Normal 8 2 2 2" xfId="21406" xr:uid="{00000000-0005-0000-0000-0000A1740000}"/>
    <cellStyle name="Normal 8 2 2 3" xfId="21407" xr:uid="{00000000-0005-0000-0000-0000A2740000}"/>
    <cellStyle name="Normal 8 2 2 4" xfId="21408" xr:uid="{00000000-0005-0000-0000-0000A3740000}"/>
    <cellStyle name="Normal 8 2 2 5" xfId="21409" xr:uid="{00000000-0005-0000-0000-0000A4740000}"/>
    <cellStyle name="Normal 8 2 2 6" xfId="21410" xr:uid="{00000000-0005-0000-0000-0000A5740000}"/>
    <cellStyle name="Normal 8 2 2 7" xfId="21411" xr:uid="{00000000-0005-0000-0000-0000A6740000}"/>
    <cellStyle name="Normal 8 2 2 8" xfId="21412" xr:uid="{00000000-0005-0000-0000-0000A7740000}"/>
    <cellStyle name="Normal 8 2 2 9" xfId="21413" xr:uid="{00000000-0005-0000-0000-0000A8740000}"/>
    <cellStyle name="Normal 8 2 3" xfId="21414" xr:uid="{00000000-0005-0000-0000-0000A9740000}"/>
    <cellStyle name="Normal 8 2 3 2" xfId="21415" xr:uid="{00000000-0005-0000-0000-0000AA740000}"/>
    <cellStyle name="Normal 8 2 3 3" xfId="40770" xr:uid="{00000000-0005-0000-0000-0000AB740000}"/>
    <cellStyle name="Normal 8 2 4" xfId="21416" xr:uid="{00000000-0005-0000-0000-0000AC740000}"/>
    <cellStyle name="Normal 8 2 4 2" xfId="21417" xr:uid="{00000000-0005-0000-0000-0000AD740000}"/>
    <cellStyle name="Normal 8 2 4 3" xfId="40771" xr:uid="{00000000-0005-0000-0000-0000AE740000}"/>
    <cellStyle name="Normal 8 2 5" xfId="21418" xr:uid="{00000000-0005-0000-0000-0000AF740000}"/>
    <cellStyle name="Normal 8 2 5 2" xfId="21419" xr:uid="{00000000-0005-0000-0000-0000B0740000}"/>
    <cellStyle name="Normal 8 2 6" xfId="21420" xr:uid="{00000000-0005-0000-0000-0000B1740000}"/>
    <cellStyle name="Normal 8 2 6 2" xfId="21421" xr:uid="{00000000-0005-0000-0000-0000B2740000}"/>
    <cellStyle name="Normal 8 2 7" xfId="21422" xr:uid="{00000000-0005-0000-0000-0000B3740000}"/>
    <cellStyle name="Normal 8 2 8" xfId="21423" xr:uid="{00000000-0005-0000-0000-0000B4740000}"/>
    <cellStyle name="Normal 8 2 9" xfId="21424" xr:uid="{00000000-0005-0000-0000-0000B5740000}"/>
    <cellStyle name="Normal 8 20" xfId="21425" xr:uid="{00000000-0005-0000-0000-0000B6740000}"/>
    <cellStyle name="Normal 8 20 2" xfId="21426" xr:uid="{00000000-0005-0000-0000-0000B7740000}"/>
    <cellStyle name="Normal 8 20 2 2" xfId="37316" xr:uid="{00000000-0005-0000-0000-0000B8740000}"/>
    <cellStyle name="Normal 8 20 3" xfId="21427" xr:uid="{00000000-0005-0000-0000-0000B9740000}"/>
    <cellStyle name="Normal 8 20 3 2" xfId="37317" xr:uid="{00000000-0005-0000-0000-0000BA740000}"/>
    <cellStyle name="Normal 8 20 4" xfId="21428" xr:uid="{00000000-0005-0000-0000-0000BB740000}"/>
    <cellStyle name="Normal 8 20 4 2" xfId="37318" xr:uid="{00000000-0005-0000-0000-0000BC740000}"/>
    <cellStyle name="Normal 8 20 5" xfId="21429" xr:uid="{00000000-0005-0000-0000-0000BD740000}"/>
    <cellStyle name="Normal 8 20 5 2" xfId="37319" xr:uid="{00000000-0005-0000-0000-0000BE740000}"/>
    <cellStyle name="Normal 8 20 6" xfId="37315" xr:uid="{00000000-0005-0000-0000-0000BF740000}"/>
    <cellStyle name="Normal 8 21" xfId="21430" xr:uid="{00000000-0005-0000-0000-0000C0740000}"/>
    <cellStyle name="Normal 8 21 2" xfId="21431" xr:uid="{00000000-0005-0000-0000-0000C1740000}"/>
    <cellStyle name="Normal 8 21 2 2" xfId="37321" xr:uid="{00000000-0005-0000-0000-0000C2740000}"/>
    <cellStyle name="Normal 8 21 3" xfId="21432" xr:uid="{00000000-0005-0000-0000-0000C3740000}"/>
    <cellStyle name="Normal 8 21 3 2" xfId="37322" xr:uid="{00000000-0005-0000-0000-0000C4740000}"/>
    <cellStyle name="Normal 8 21 4" xfId="21433" xr:uid="{00000000-0005-0000-0000-0000C5740000}"/>
    <cellStyle name="Normal 8 21 4 2" xfId="37323" xr:uid="{00000000-0005-0000-0000-0000C6740000}"/>
    <cellStyle name="Normal 8 21 5" xfId="21434" xr:uid="{00000000-0005-0000-0000-0000C7740000}"/>
    <cellStyle name="Normal 8 21 5 2" xfId="37324" xr:uid="{00000000-0005-0000-0000-0000C8740000}"/>
    <cellStyle name="Normal 8 21 6" xfId="37320" xr:uid="{00000000-0005-0000-0000-0000C9740000}"/>
    <cellStyle name="Normal 8 22" xfId="21435" xr:uid="{00000000-0005-0000-0000-0000CA740000}"/>
    <cellStyle name="Normal 8 22 2" xfId="21436" xr:uid="{00000000-0005-0000-0000-0000CB740000}"/>
    <cellStyle name="Normal 8 22 2 2" xfId="37326" xr:uid="{00000000-0005-0000-0000-0000CC740000}"/>
    <cellStyle name="Normal 8 22 3" xfId="21437" xr:uid="{00000000-0005-0000-0000-0000CD740000}"/>
    <cellStyle name="Normal 8 22 3 2" xfId="37327" xr:uid="{00000000-0005-0000-0000-0000CE740000}"/>
    <cellStyle name="Normal 8 22 4" xfId="21438" xr:uid="{00000000-0005-0000-0000-0000CF740000}"/>
    <cellStyle name="Normal 8 22 4 2" xfId="37328" xr:uid="{00000000-0005-0000-0000-0000D0740000}"/>
    <cellStyle name="Normal 8 22 5" xfId="21439" xr:uid="{00000000-0005-0000-0000-0000D1740000}"/>
    <cellStyle name="Normal 8 22 5 2" xfId="37329" xr:uid="{00000000-0005-0000-0000-0000D2740000}"/>
    <cellStyle name="Normal 8 22 6" xfId="37325" xr:uid="{00000000-0005-0000-0000-0000D3740000}"/>
    <cellStyle name="Normal 8 23" xfId="21440" xr:uid="{00000000-0005-0000-0000-0000D4740000}"/>
    <cellStyle name="Normal 8 23 2" xfId="21441" xr:uid="{00000000-0005-0000-0000-0000D5740000}"/>
    <cellStyle name="Normal 8 23 2 2" xfId="37331" xr:uid="{00000000-0005-0000-0000-0000D6740000}"/>
    <cellStyle name="Normal 8 23 3" xfId="21442" xr:uid="{00000000-0005-0000-0000-0000D7740000}"/>
    <cellStyle name="Normal 8 23 3 2" xfId="37332" xr:uid="{00000000-0005-0000-0000-0000D8740000}"/>
    <cellStyle name="Normal 8 23 4" xfId="21443" xr:uid="{00000000-0005-0000-0000-0000D9740000}"/>
    <cellStyle name="Normal 8 23 4 2" xfId="37333" xr:uid="{00000000-0005-0000-0000-0000DA740000}"/>
    <cellStyle name="Normal 8 23 5" xfId="21444" xr:uid="{00000000-0005-0000-0000-0000DB740000}"/>
    <cellStyle name="Normal 8 23 5 2" xfId="37334" xr:uid="{00000000-0005-0000-0000-0000DC740000}"/>
    <cellStyle name="Normal 8 23 6" xfId="37330" xr:uid="{00000000-0005-0000-0000-0000DD740000}"/>
    <cellStyle name="Normal 8 24" xfId="21445" xr:uid="{00000000-0005-0000-0000-0000DE740000}"/>
    <cellStyle name="Normal 8 24 2" xfId="21446" xr:uid="{00000000-0005-0000-0000-0000DF740000}"/>
    <cellStyle name="Normal 8 24 2 2" xfId="37336" xr:uid="{00000000-0005-0000-0000-0000E0740000}"/>
    <cellStyle name="Normal 8 24 3" xfId="21447" xr:uid="{00000000-0005-0000-0000-0000E1740000}"/>
    <cellStyle name="Normal 8 24 3 2" xfId="37337" xr:uid="{00000000-0005-0000-0000-0000E2740000}"/>
    <cellStyle name="Normal 8 24 4" xfId="21448" xr:uid="{00000000-0005-0000-0000-0000E3740000}"/>
    <cellStyle name="Normal 8 24 4 2" xfId="37338" xr:uid="{00000000-0005-0000-0000-0000E4740000}"/>
    <cellStyle name="Normal 8 24 5" xfId="21449" xr:uid="{00000000-0005-0000-0000-0000E5740000}"/>
    <cellStyle name="Normal 8 24 5 2" xfId="37339" xr:uid="{00000000-0005-0000-0000-0000E6740000}"/>
    <cellStyle name="Normal 8 24 6" xfId="37335" xr:uid="{00000000-0005-0000-0000-0000E7740000}"/>
    <cellStyle name="Normal 8 25" xfId="21450" xr:uid="{00000000-0005-0000-0000-0000E8740000}"/>
    <cellStyle name="Normal 8 25 2" xfId="21451" xr:uid="{00000000-0005-0000-0000-0000E9740000}"/>
    <cellStyle name="Normal 8 25 2 2" xfId="37341" xr:uid="{00000000-0005-0000-0000-0000EA740000}"/>
    <cellStyle name="Normal 8 25 3" xfId="21452" xr:uid="{00000000-0005-0000-0000-0000EB740000}"/>
    <cellStyle name="Normal 8 25 3 2" xfId="37342" xr:uid="{00000000-0005-0000-0000-0000EC740000}"/>
    <cellStyle name="Normal 8 25 4" xfId="21453" xr:uid="{00000000-0005-0000-0000-0000ED740000}"/>
    <cellStyle name="Normal 8 25 4 2" xfId="37343" xr:uid="{00000000-0005-0000-0000-0000EE740000}"/>
    <cellStyle name="Normal 8 25 5" xfId="21454" xr:uid="{00000000-0005-0000-0000-0000EF740000}"/>
    <cellStyle name="Normal 8 25 5 2" xfId="37344" xr:uid="{00000000-0005-0000-0000-0000F0740000}"/>
    <cellStyle name="Normal 8 25 6" xfId="37340" xr:uid="{00000000-0005-0000-0000-0000F1740000}"/>
    <cellStyle name="Normal 8 26" xfId="21455" xr:uid="{00000000-0005-0000-0000-0000F2740000}"/>
    <cellStyle name="Normal 8 26 2" xfId="21456" xr:uid="{00000000-0005-0000-0000-0000F3740000}"/>
    <cellStyle name="Normal 8 26 2 2" xfId="37346" xr:uid="{00000000-0005-0000-0000-0000F4740000}"/>
    <cellStyle name="Normal 8 26 3" xfId="21457" xr:uid="{00000000-0005-0000-0000-0000F5740000}"/>
    <cellStyle name="Normal 8 26 3 2" xfId="37347" xr:uid="{00000000-0005-0000-0000-0000F6740000}"/>
    <cellStyle name="Normal 8 26 4" xfId="21458" xr:uid="{00000000-0005-0000-0000-0000F7740000}"/>
    <cellStyle name="Normal 8 26 4 2" xfId="37348" xr:uid="{00000000-0005-0000-0000-0000F8740000}"/>
    <cellStyle name="Normal 8 26 5" xfId="21459" xr:uid="{00000000-0005-0000-0000-0000F9740000}"/>
    <cellStyle name="Normal 8 26 5 2" xfId="37349" xr:uid="{00000000-0005-0000-0000-0000FA740000}"/>
    <cellStyle name="Normal 8 26 6" xfId="37345" xr:uid="{00000000-0005-0000-0000-0000FB740000}"/>
    <cellStyle name="Normal 8 27" xfId="21460" xr:uid="{00000000-0005-0000-0000-0000FC740000}"/>
    <cellStyle name="Normal 8 27 2" xfId="21461" xr:uid="{00000000-0005-0000-0000-0000FD740000}"/>
    <cellStyle name="Normal 8 27 2 2" xfId="37351" xr:uid="{00000000-0005-0000-0000-0000FE740000}"/>
    <cellStyle name="Normal 8 27 3" xfId="21462" xr:uid="{00000000-0005-0000-0000-0000FF740000}"/>
    <cellStyle name="Normal 8 27 3 2" xfId="37352" xr:uid="{00000000-0005-0000-0000-000000750000}"/>
    <cellStyle name="Normal 8 27 4" xfId="21463" xr:uid="{00000000-0005-0000-0000-000001750000}"/>
    <cellStyle name="Normal 8 27 4 2" xfId="37353" xr:uid="{00000000-0005-0000-0000-000002750000}"/>
    <cellStyle name="Normal 8 27 5" xfId="21464" xr:uid="{00000000-0005-0000-0000-000003750000}"/>
    <cellStyle name="Normal 8 27 5 2" xfId="37354" xr:uid="{00000000-0005-0000-0000-000004750000}"/>
    <cellStyle name="Normal 8 27 6" xfId="37350" xr:uid="{00000000-0005-0000-0000-000005750000}"/>
    <cellStyle name="Normal 8 28" xfId="21465" xr:uid="{00000000-0005-0000-0000-000006750000}"/>
    <cellStyle name="Normal 8 28 2" xfId="21466" xr:uid="{00000000-0005-0000-0000-000007750000}"/>
    <cellStyle name="Normal 8 28 2 2" xfId="37356" xr:uid="{00000000-0005-0000-0000-000008750000}"/>
    <cellStyle name="Normal 8 28 3" xfId="21467" xr:uid="{00000000-0005-0000-0000-000009750000}"/>
    <cellStyle name="Normal 8 28 3 2" xfId="37357" xr:uid="{00000000-0005-0000-0000-00000A750000}"/>
    <cellStyle name="Normal 8 28 4" xfId="21468" xr:uid="{00000000-0005-0000-0000-00000B750000}"/>
    <cellStyle name="Normal 8 28 4 2" xfId="37358" xr:uid="{00000000-0005-0000-0000-00000C750000}"/>
    <cellStyle name="Normal 8 28 5" xfId="21469" xr:uid="{00000000-0005-0000-0000-00000D750000}"/>
    <cellStyle name="Normal 8 28 5 2" xfId="37359" xr:uid="{00000000-0005-0000-0000-00000E750000}"/>
    <cellStyle name="Normal 8 28 6" xfId="37355" xr:uid="{00000000-0005-0000-0000-00000F750000}"/>
    <cellStyle name="Normal 8 29" xfId="21470" xr:uid="{00000000-0005-0000-0000-000010750000}"/>
    <cellStyle name="Normal 8 29 2" xfId="37360" xr:uid="{00000000-0005-0000-0000-000011750000}"/>
    <cellStyle name="Normal 8 3" xfId="21471" xr:uid="{00000000-0005-0000-0000-000012750000}"/>
    <cellStyle name="Normal 8 3 2" xfId="40773" xr:uid="{00000000-0005-0000-0000-000013750000}"/>
    <cellStyle name="Normal 8 3 3" xfId="40774" xr:uid="{00000000-0005-0000-0000-000014750000}"/>
    <cellStyle name="Normal 8 3 4" xfId="40775" xr:uid="{00000000-0005-0000-0000-000015750000}"/>
    <cellStyle name="Normal 8 3 5" xfId="40772" xr:uid="{00000000-0005-0000-0000-000016750000}"/>
    <cellStyle name="Normal 8 30" xfId="21472" xr:uid="{00000000-0005-0000-0000-000017750000}"/>
    <cellStyle name="Normal 8 30 2" xfId="37361" xr:uid="{00000000-0005-0000-0000-000018750000}"/>
    <cellStyle name="Normal 8 31" xfId="21473" xr:uid="{00000000-0005-0000-0000-000019750000}"/>
    <cellStyle name="Normal 8 31 2" xfId="37362" xr:uid="{00000000-0005-0000-0000-00001A750000}"/>
    <cellStyle name="Normal 8 32" xfId="21474" xr:uid="{00000000-0005-0000-0000-00001B750000}"/>
    <cellStyle name="Normal 8 32 2" xfId="37363" xr:uid="{00000000-0005-0000-0000-00001C750000}"/>
    <cellStyle name="Normal 8 33" xfId="21475" xr:uid="{00000000-0005-0000-0000-00001D750000}"/>
    <cellStyle name="Normal 8 33 2" xfId="37364" xr:uid="{00000000-0005-0000-0000-00001E750000}"/>
    <cellStyle name="Normal 8 4" xfId="21476" xr:uid="{00000000-0005-0000-0000-00001F750000}"/>
    <cellStyle name="Normal 8 4 2" xfId="40777" xr:uid="{00000000-0005-0000-0000-000020750000}"/>
    <cellStyle name="Normal 8 4 3" xfId="40778" xr:uid="{00000000-0005-0000-0000-000021750000}"/>
    <cellStyle name="Normal 8 4 4" xfId="40779" xr:uid="{00000000-0005-0000-0000-000022750000}"/>
    <cellStyle name="Normal 8 4 5" xfId="40776" xr:uid="{00000000-0005-0000-0000-000023750000}"/>
    <cellStyle name="Normal 8 5" xfId="21477" xr:uid="{00000000-0005-0000-0000-000024750000}"/>
    <cellStyle name="Normal 8 5 2" xfId="40780" xr:uid="{00000000-0005-0000-0000-000025750000}"/>
    <cellStyle name="Normal 8 6" xfId="21478" xr:uid="{00000000-0005-0000-0000-000026750000}"/>
    <cellStyle name="Normal 8 6 2" xfId="40781" xr:uid="{00000000-0005-0000-0000-000027750000}"/>
    <cellStyle name="Normal 8 7" xfId="21479" xr:uid="{00000000-0005-0000-0000-000028750000}"/>
    <cellStyle name="Normal 8 7 2" xfId="40782" xr:uid="{00000000-0005-0000-0000-000029750000}"/>
    <cellStyle name="Normal 8 8" xfId="21480" xr:uid="{00000000-0005-0000-0000-00002A750000}"/>
    <cellStyle name="Normal 8 8 2" xfId="40783" xr:uid="{00000000-0005-0000-0000-00002B750000}"/>
    <cellStyle name="Normal 8 9" xfId="21481" xr:uid="{00000000-0005-0000-0000-00002C750000}"/>
    <cellStyle name="Normal 8 9 2" xfId="40784" xr:uid="{00000000-0005-0000-0000-00002D750000}"/>
    <cellStyle name="Normal 9" xfId="21482" xr:uid="{00000000-0005-0000-0000-00002E750000}"/>
    <cellStyle name="Normal 9 10" xfId="21483" xr:uid="{00000000-0005-0000-0000-00002F750000}"/>
    <cellStyle name="Normal 9 10 2" xfId="21484" xr:uid="{00000000-0005-0000-0000-000030750000}"/>
    <cellStyle name="Normal 9 10 2 2" xfId="37366" xr:uid="{00000000-0005-0000-0000-000031750000}"/>
    <cellStyle name="Normal 9 10 3" xfId="21485" xr:uid="{00000000-0005-0000-0000-000032750000}"/>
    <cellStyle name="Normal 9 10 3 2" xfId="37367" xr:uid="{00000000-0005-0000-0000-000033750000}"/>
    <cellStyle name="Normal 9 10 4" xfId="21486" xr:uid="{00000000-0005-0000-0000-000034750000}"/>
    <cellStyle name="Normal 9 10 4 2" xfId="37368" xr:uid="{00000000-0005-0000-0000-000035750000}"/>
    <cellStyle name="Normal 9 10 5" xfId="21487" xr:uid="{00000000-0005-0000-0000-000036750000}"/>
    <cellStyle name="Normal 9 10 5 2" xfId="37369" xr:uid="{00000000-0005-0000-0000-000037750000}"/>
    <cellStyle name="Normal 9 10 6" xfId="37365" xr:uid="{00000000-0005-0000-0000-000038750000}"/>
    <cellStyle name="Normal 9 11" xfId="21488" xr:uid="{00000000-0005-0000-0000-000039750000}"/>
    <cellStyle name="Normal 9 11 2" xfId="21489" xr:uid="{00000000-0005-0000-0000-00003A750000}"/>
    <cellStyle name="Normal 9 11 2 2" xfId="37371" xr:uid="{00000000-0005-0000-0000-00003B750000}"/>
    <cellStyle name="Normal 9 11 3" xfId="21490" xr:uid="{00000000-0005-0000-0000-00003C750000}"/>
    <cellStyle name="Normal 9 11 3 2" xfId="37372" xr:uid="{00000000-0005-0000-0000-00003D750000}"/>
    <cellStyle name="Normal 9 11 4" xfId="21491" xr:uid="{00000000-0005-0000-0000-00003E750000}"/>
    <cellStyle name="Normal 9 11 4 2" xfId="37373" xr:uid="{00000000-0005-0000-0000-00003F750000}"/>
    <cellStyle name="Normal 9 11 5" xfId="21492" xr:uid="{00000000-0005-0000-0000-000040750000}"/>
    <cellStyle name="Normal 9 11 5 2" xfId="37374" xr:uid="{00000000-0005-0000-0000-000041750000}"/>
    <cellStyle name="Normal 9 11 6" xfId="37370" xr:uid="{00000000-0005-0000-0000-000042750000}"/>
    <cellStyle name="Normal 9 12" xfId="21493" xr:uid="{00000000-0005-0000-0000-000043750000}"/>
    <cellStyle name="Normal 9 12 2" xfId="21494" xr:uid="{00000000-0005-0000-0000-000044750000}"/>
    <cellStyle name="Normal 9 12 2 2" xfId="37376" xr:uid="{00000000-0005-0000-0000-000045750000}"/>
    <cellStyle name="Normal 9 12 3" xfId="21495" xr:uid="{00000000-0005-0000-0000-000046750000}"/>
    <cellStyle name="Normal 9 12 3 2" xfId="37377" xr:uid="{00000000-0005-0000-0000-000047750000}"/>
    <cellStyle name="Normal 9 12 4" xfId="21496" xr:uid="{00000000-0005-0000-0000-000048750000}"/>
    <cellStyle name="Normal 9 12 4 2" xfId="37378" xr:uid="{00000000-0005-0000-0000-000049750000}"/>
    <cellStyle name="Normal 9 12 5" xfId="21497" xr:uid="{00000000-0005-0000-0000-00004A750000}"/>
    <cellStyle name="Normal 9 12 5 2" xfId="37379" xr:uid="{00000000-0005-0000-0000-00004B750000}"/>
    <cellStyle name="Normal 9 12 6" xfId="37375" xr:uid="{00000000-0005-0000-0000-00004C750000}"/>
    <cellStyle name="Normal 9 13" xfId="21498" xr:uid="{00000000-0005-0000-0000-00004D750000}"/>
    <cellStyle name="Normal 9 13 2" xfId="21499" xr:uid="{00000000-0005-0000-0000-00004E750000}"/>
    <cellStyle name="Normal 9 13 2 2" xfId="37381" xr:uid="{00000000-0005-0000-0000-00004F750000}"/>
    <cellStyle name="Normal 9 13 3" xfId="21500" xr:uid="{00000000-0005-0000-0000-000050750000}"/>
    <cellStyle name="Normal 9 13 3 2" xfId="37382" xr:uid="{00000000-0005-0000-0000-000051750000}"/>
    <cellStyle name="Normal 9 13 4" xfId="21501" xr:uid="{00000000-0005-0000-0000-000052750000}"/>
    <cellStyle name="Normal 9 13 4 2" xfId="37383" xr:uid="{00000000-0005-0000-0000-000053750000}"/>
    <cellStyle name="Normal 9 13 5" xfId="21502" xr:uid="{00000000-0005-0000-0000-000054750000}"/>
    <cellStyle name="Normal 9 13 5 2" xfId="37384" xr:uid="{00000000-0005-0000-0000-000055750000}"/>
    <cellStyle name="Normal 9 13 6" xfId="37380" xr:uid="{00000000-0005-0000-0000-000056750000}"/>
    <cellStyle name="Normal 9 14" xfId="21503" xr:uid="{00000000-0005-0000-0000-000057750000}"/>
    <cellStyle name="Normal 9 14 2" xfId="21504" xr:uid="{00000000-0005-0000-0000-000058750000}"/>
    <cellStyle name="Normal 9 14 2 2" xfId="37386" xr:uid="{00000000-0005-0000-0000-000059750000}"/>
    <cellStyle name="Normal 9 14 3" xfId="21505" xr:uid="{00000000-0005-0000-0000-00005A750000}"/>
    <cellStyle name="Normal 9 14 3 2" xfId="37387" xr:uid="{00000000-0005-0000-0000-00005B750000}"/>
    <cellStyle name="Normal 9 14 4" xfId="21506" xr:uid="{00000000-0005-0000-0000-00005C750000}"/>
    <cellStyle name="Normal 9 14 4 2" xfId="37388" xr:uid="{00000000-0005-0000-0000-00005D750000}"/>
    <cellStyle name="Normal 9 14 5" xfId="21507" xr:uid="{00000000-0005-0000-0000-00005E750000}"/>
    <cellStyle name="Normal 9 14 5 2" xfId="37389" xr:uid="{00000000-0005-0000-0000-00005F750000}"/>
    <cellStyle name="Normal 9 14 6" xfId="37385" xr:uid="{00000000-0005-0000-0000-000060750000}"/>
    <cellStyle name="Normal 9 15" xfId="21508" xr:uid="{00000000-0005-0000-0000-000061750000}"/>
    <cellStyle name="Normal 9 15 2" xfId="21509" xr:uid="{00000000-0005-0000-0000-000062750000}"/>
    <cellStyle name="Normal 9 15 2 2" xfId="37391" xr:uid="{00000000-0005-0000-0000-000063750000}"/>
    <cellStyle name="Normal 9 15 3" xfId="21510" xr:uid="{00000000-0005-0000-0000-000064750000}"/>
    <cellStyle name="Normal 9 15 3 2" xfId="37392" xr:uid="{00000000-0005-0000-0000-000065750000}"/>
    <cellStyle name="Normal 9 15 4" xfId="21511" xr:uid="{00000000-0005-0000-0000-000066750000}"/>
    <cellStyle name="Normal 9 15 4 2" xfId="37393" xr:uid="{00000000-0005-0000-0000-000067750000}"/>
    <cellStyle name="Normal 9 15 5" xfId="21512" xr:uid="{00000000-0005-0000-0000-000068750000}"/>
    <cellStyle name="Normal 9 15 5 2" xfId="37394" xr:uid="{00000000-0005-0000-0000-000069750000}"/>
    <cellStyle name="Normal 9 15 6" xfId="37390" xr:uid="{00000000-0005-0000-0000-00006A750000}"/>
    <cellStyle name="Normal 9 16" xfId="21513" xr:uid="{00000000-0005-0000-0000-00006B750000}"/>
    <cellStyle name="Normal 9 16 2" xfId="21514" xr:uid="{00000000-0005-0000-0000-00006C750000}"/>
    <cellStyle name="Normal 9 16 2 2" xfId="37396" xr:uid="{00000000-0005-0000-0000-00006D750000}"/>
    <cellStyle name="Normal 9 16 3" xfId="21515" xr:uid="{00000000-0005-0000-0000-00006E750000}"/>
    <cellStyle name="Normal 9 16 3 2" xfId="37397" xr:uid="{00000000-0005-0000-0000-00006F750000}"/>
    <cellStyle name="Normal 9 16 4" xfId="21516" xr:uid="{00000000-0005-0000-0000-000070750000}"/>
    <cellStyle name="Normal 9 16 4 2" xfId="37398" xr:uid="{00000000-0005-0000-0000-000071750000}"/>
    <cellStyle name="Normal 9 16 5" xfId="21517" xr:uid="{00000000-0005-0000-0000-000072750000}"/>
    <cellStyle name="Normal 9 16 5 2" xfId="37399" xr:uid="{00000000-0005-0000-0000-000073750000}"/>
    <cellStyle name="Normal 9 16 6" xfId="37395" xr:uid="{00000000-0005-0000-0000-000074750000}"/>
    <cellStyle name="Normal 9 17" xfId="21518" xr:uid="{00000000-0005-0000-0000-000075750000}"/>
    <cellStyle name="Normal 9 17 2" xfId="21519" xr:uid="{00000000-0005-0000-0000-000076750000}"/>
    <cellStyle name="Normal 9 17 2 2" xfId="37401" xr:uid="{00000000-0005-0000-0000-000077750000}"/>
    <cellStyle name="Normal 9 17 3" xfId="21520" xr:uid="{00000000-0005-0000-0000-000078750000}"/>
    <cellStyle name="Normal 9 17 3 2" xfId="37402" xr:uid="{00000000-0005-0000-0000-000079750000}"/>
    <cellStyle name="Normal 9 17 4" xfId="21521" xr:uid="{00000000-0005-0000-0000-00007A750000}"/>
    <cellStyle name="Normal 9 17 4 2" xfId="37403" xr:uid="{00000000-0005-0000-0000-00007B750000}"/>
    <cellStyle name="Normal 9 17 5" xfId="21522" xr:uid="{00000000-0005-0000-0000-00007C750000}"/>
    <cellStyle name="Normal 9 17 5 2" xfId="37404" xr:uid="{00000000-0005-0000-0000-00007D750000}"/>
    <cellStyle name="Normal 9 17 6" xfId="37400" xr:uid="{00000000-0005-0000-0000-00007E750000}"/>
    <cellStyle name="Normal 9 18" xfId="21523" xr:uid="{00000000-0005-0000-0000-00007F750000}"/>
    <cellStyle name="Normal 9 18 2" xfId="21524" xr:uid="{00000000-0005-0000-0000-000080750000}"/>
    <cellStyle name="Normal 9 18 2 2" xfId="37406" xr:uid="{00000000-0005-0000-0000-000081750000}"/>
    <cellStyle name="Normal 9 18 3" xfId="21525" xr:uid="{00000000-0005-0000-0000-000082750000}"/>
    <cellStyle name="Normal 9 18 3 2" xfId="37407" xr:uid="{00000000-0005-0000-0000-000083750000}"/>
    <cellStyle name="Normal 9 18 4" xfId="21526" xr:uid="{00000000-0005-0000-0000-000084750000}"/>
    <cellStyle name="Normal 9 18 4 2" xfId="37408" xr:uid="{00000000-0005-0000-0000-000085750000}"/>
    <cellStyle name="Normal 9 18 5" xfId="21527" xr:uid="{00000000-0005-0000-0000-000086750000}"/>
    <cellStyle name="Normal 9 18 5 2" xfId="37409" xr:uid="{00000000-0005-0000-0000-000087750000}"/>
    <cellStyle name="Normal 9 18 6" xfId="37405" xr:uid="{00000000-0005-0000-0000-000088750000}"/>
    <cellStyle name="Normal 9 19" xfId="21528" xr:uid="{00000000-0005-0000-0000-000089750000}"/>
    <cellStyle name="Normal 9 19 2" xfId="21529" xr:uid="{00000000-0005-0000-0000-00008A750000}"/>
    <cellStyle name="Normal 9 19 2 2" xfId="37411" xr:uid="{00000000-0005-0000-0000-00008B750000}"/>
    <cellStyle name="Normal 9 19 3" xfId="21530" xr:uid="{00000000-0005-0000-0000-00008C750000}"/>
    <cellStyle name="Normal 9 19 3 2" xfId="37412" xr:uid="{00000000-0005-0000-0000-00008D750000}"/>
    <cellStyle name="Normal 9 19 4" xfId="21531" xr:uid="{00000000-0005-0000-0000-00008E750000}"/>
    <cellStyle name="Normal 9 19 4 2" xfId="37413" xr:uid="{00000000-0005-0000-0000-00008F750000}"/>
    <cellStyle name="Normal 9 19 5" xfId="21532" xr:uid="{00000000-0005-0000-0000-000090750000}"/>
    <cellStyle name="Normal 9 19 5 2" xfId="37414" xr:uid="{00000000-0005-0000-0000-000091750000}"/>
    <cellStyle name="Normal 9 19 6" xfId="37410" xr:uid="{00000000-0005-0000-0000-000092750000}"/>
    <cellStyle name="Normal 9 2" xfId="21533" xr:uid="{00000000-0005-0000-0000-000093750000}"/>
    <cellStyle name="Normal 9 2 10" xfId="21534" xr:uid="{00000000-0005-0000-0000-000094750000}"/>
    <cellStyle name="Normal 9 2 10 2" xfId="21535" xr:uid="{00000000-0005-0000-0000-000095750000}"/>
    <cellStyle name="Normal 9 2 10 2 2" xfId="37417" xr:uid="{00000000-0005-0000-0000-000096750000}"/>
    <cellStyle name="Normal 9 2 10 3" xfId="21536" xr:uid="{00000000-0005-0000-0000-000097750000}"/>
    <cellStyle name="Normal 9 2 10 3 2" xfId="37418" xr:uid="{00000000-0005-0000-0000-000098750000}"/>
    <cellStyle name="Normal 9 2 10 4" xfId="21537" xr:uid="{00000000-0005-0000-0000-000099750000}"/>
    <cellStyle name="Normal 9 2 10 4 2" xfId="37419" xr:uid="{00000000-0005-0000-0000-00009A750000}"/>
    <cellStyle name="Normal 9 2 10 5" xfId="21538" xr:uid="{00000000-0005-0000-0000-00009B750000}"/>
    <cellStyle name="Normal 9 2 10 5 2" xfId="37420" xr:uid="{00000000-0005-0000-0000-00009C750000}"/>
    <cellStyle name="Normal 9 2 10 6" xfId="37416" xr:uid="{00000000-0005-0000-0000-00009D750000}"/>
    <cellStyle name="Normal 9 2 11" xfId="21539" xr:uid="{00000000-0005-0000-0000-00009E750000}"/>
    <cellStyle name="Normal 9 2 11 2" xfId="21540" xr:uid="{00000000-0005-0000-0000-00009F750000}"/>
    <cellStyle name="Normal 9 2 11 2 2" xfId="37422" xr:uid="{00000000-0005-0000-0000-0000A0750000}"/>
    <cellStyle name="Normal 9 2 11 3" xfId="21541" xr:uid="{00000000-0005-0000-0000-0000A1750000}"/>
    <cellStyle name="Normal 9 2 11 3 2" xfId="37423" xr:uid="{00000000-0005-0000-0000-0000A2750000}"/>
    <cellStyle name="Normal 9 2 11 4" xfId="21542" xr:uid="{00000000-0005-0000-0000-0000A3750000}"/>
    <cellStyle name="Normal 9 2 11 4 2" xfId="37424" xr:uid="{00000000-0005-0000-0000-0000A4750000}"/>
    <cellStyle name="Normal 9 2 11 5" xfId="21543" xr:uid="{00000000-0005-0000-0000-0000A5750000}"/>
    <cellStyle name="Normal 9 2 11 5 2" xfId="37425" xr:uid="{00000000-0005-0000-0000-0000A6750000}"/>
    <cellStyle name="Normal 9 2 11 6" xfId="37421" xr:uid="{00000000-0005-0000-0000-0000A7750000}"/>
    <cellStyle name="Normal 9 2 12" xfId="21544" xr:uid="{00000000-0005-0000-0000-0000A8750000}"/>
    <cellStyle name="Normal 9 2 12 2" xfId="21545" xr:uid="{00000000-0005-0000-0000-0000A9750000}"/>
    <cellStyle name="Normal 9 2 12 2 2" xfId="37427" xr:uid="{00000000-0005-0000-0000-0000AA750000}"/>
    <cellStyle name="Normal 9 2 12 3" xfId="21546" xr:uid="{00000000-0005-0000-0000-0000AB750000}"/>
    <cellStyle name="Normal 9 2 12 3 2" xfId="37428" xr:uid="{00000000-0005-0000-0000-0000AC750000}"/>
    <cellStyle name="Normal 9 2 12 4" xfId="21547" xr:uid="{00000000-0005-0000-0000-0000AD750000}"/>
    <cellStyle name="Normal 9 2 12 4 2" xfId="37429" xr:uid="{00000000-0005-0000-0000-0000AE750000}"/>
    <cellStyle name="Normal 9 2 12 5" xfId="21548" xr:uid="{00000000-0005-0000-0000-0000AF750000}"/>
    <cellStyle name="Normal 9 2 12 5 2" xfId="37430" xr:uid="{00000000-0005-0000-0000-0000B0750000}"/>
    <cellStyle name="Normal 9 2 12 6" xfId="37426" xr:uid="{00000000-0005-0000-0000-0000B1750000}"/>
    <cellStyle name="Normal 9 2 13" xfId="21549" xr:uid="{00000000-0005-0000-0000-0000B2750000}"/>
    <cellStyle name="Normal 9 2 13 2" xfId="21550" xr:uid="{00000000-0005-0000-0000-0000B3750000}"/>
    <cellStyle name="Normal 9 2 13 2 2" xfId="37432" xr:uid="{00000000-0005-0000-0000-0000B4750000}"/>
    <cellStyle name="Normal 9 2 13 3" xfId="21551" xr:uid="{00000000-0005-0000-0000-0000B5750000}"/>
    <cellStyle name="Normal 9 2 13 3 2" xfId="37433" xr:uid="{00000000-0005-0000-0000-0000B6750000}"/>
    <cellStyle name="Normal 9 2 13 4" xfId="21552" xr:uid="{00000000-0005-0000-0000-0000B7750000}"/>
    <cellStyle name="Normal 9 2 13 4 2" xfId="37434" xr:uid="{00000000-0005-0000-0000-0000B8750000}"/>
    <cellStyle name="Normal 9 2 13 5" xfId="21553" xr:uid="{00000000-0005-0000-0000-0000B9750000}"/>
    <cellStyle name="Normal 9 2 13 5 2" xfId="37435" xr:uid="{00000000-0005-0000-0000-0000BA750000}"/>
    <cellStyle name="Normal 9 2 13 6" xfId="37431" xr:uid="{00000000-0005-0000-0000-0000BB750000}"/>
    <cellStyle name="Normal 9 2 14" xfId="21554" xr:uid="{00000000-0005-0000-0000-0000BC750000}"/>
    <cellStyle name="Normal 9 2 14 2" xfId="21555" xr:uid="{00000000-0005-0000-0000-0000BD750000}"/>
    <cellStyle name="Normal 9 2 14 2 2" xfId="37437" xr:uid="{00000000-0005-0000-0000-0000BE750000}"/>
    <cellStyle name="Normal 9 2 14 3" xfId="21556" xr:uid="{00000000-0005-0000-0000-0000BF750000}"/>
    <cellStyle name="Normal 9 2 14 3 2" xfId="37438" xr:uid="{00000000-0005-0000-0000-0000C0750000}"/>
    <cellStyle name="Normal 9 2 14 4" xfId="21557" xr:uid="{00000000-0005-0000-0000-0000C1750000}"/>
    <cellStyle name="Normal 9 2 14 4 2" xfId="37439" xr:uid="{00000000-0005-0000-0000-0000C2750000}"/>
    <cellStyle name="Normal 9 2 14 5" xfId="21558" xr:uid="{00000000-0005-0000-0000-0000C3750000}"/>
    <cellStyle name="Normal 9 2 14 5 2" xfId="37440" xr:uid="{00000000-0005-0000-0000-0000C4750000}"/>
    <cellStyle name="Normal 9 2 14 6" xfId="37436" xr:uid="{00000000-0005-0000-0000-0000C5750000}"/>
    <cellStyle name="Normal 9 2 15" xfId="21559" xr:uid="{00000000-0005-0000-0000-0000C6750000}"/>
    <cellStyle name="Normal 9 2 15 2" xfId="21560" xr:uid="{00000000-0005-0000-0000-0000C7750000}"/>
    <cellStyle name="Normal 9 2 15 2 2" xfId="37442" xr:uid="{00000000-0005-0000-0000-0000C8750000}"/>
    <cellStyle name="Normal 9 2 15 3" xfId="21561" xr:uid="{00000000-0005-0000-0000-0000C9750000}"/>
    <cellStyle name="Normal 9 2 15 3 2" xfId="37443" xr:uid="{00000000-0005-0000-0000-0000CA750000}"/>
    <cellStyle name="Normal 9 2 15 4" xfId="21562" xr:uid="{00000000-0005-0000-0000-0000CB750000}"/>
    <cellStyle name="Normal 9 2 15 4 2" xfId="37444" xr:uid="{00000000-0005-0000-0000-0000CC750000}"/>
    <cellStyle name="Normal 9 2 15 5" xfId="21563" xr:uid="{00000000-0005-0000-0000-0000CD750000}"/>
    <cellStyle name="Normal 9 2 15 5 2" xfId="37445" xr:uid="{00000000-0005-0000-0000-0000CE750000}"/>
    <cellStyle name="Normal 9 2 15 6" xfId="37441" xr:uid="{00000000-0005-0000-0000-0000CF750000}"/>
    <cellStyle name="Normal 9 2 16" xfId="21564" xr:uid="{00000000-0005-0000-0000-0000D0750000}"/>
    <cellStyle name="Normal 9 2 16 2" xfId="21565" xr:uid="{00000000-0005-0000-0000-0000D1750000}"/>
    <cellStyle name="Normal 9 2 16 2 2" xfId="37447" xr:uid="{00000000-0005-0000-0000-0000D2750000}"/>
    <cellStyle name="Normal 9 2 16 3" xfId="21566" xr:uid="{00000000-0005-0000-0000-0000D3750000}"/>
    <cellStyle name="Normal 9 2 16 3 2" xfId="37448" xr:uid="{00000000-0005-0000-0000-0000D4750000}"/>
    <cellStyle name="Normal 9 2 16 4" xfId="21567" xr:uid="{00000000-0005-0000-0000-0000D5750000}"/>
    <cellStyle name="Normal 9 2 16 4 2" xfId="37449" xr:uid="{00000000-0005-0000-0000-0000D6750000}"/>
    <cellStyle name="Normal 9 2 16 5" xfId="21568" xr:uid="{00000000-0005-0000-0000-0000D7750000}"/>
    <cellStyle name="Normal 9 2 16 5 2" xfId="37450" xr:uid="{00000000-0005-0000-0000-0000D8750000}"/>
    <cellStyle name="Normal 9 2 16 6" xfId="37446" xr:uid="{00000000-0005-0000-0000-0000D9750000}"/>
    <cellStyle name="Normal 9 2 17" xfId="21569" xr:uid="{00000000-0005-0000-0000-0000DA750000}"/>
    <cellStyle name="Normal 9 2 17 2" xfId="37451" xr:uid="{00000000-0005-0000-0000-0000DB750000}"/>
    <cellStyle name="Normal 9 2 18" xfId="21570" xr:uid="{00000000-0005-0000-0000-0000DC750000}"/>
    <cellStyle name="Normal 9 2 18 2" xfId="37452" xr:uid="{00000000-0005-0000-0000-0000DD750000}"/>
    <cellStyle name="Normal 9 2 19" xfId="21571" xr:uid="{00000000-0005-0000-0000-0000DE750000}"/>
    <cellStyle name="Normal 9 2 19 2" xfId="37453" xr:uid="{00000000-0005-0000-0000-0000DF750000}"/>
    <cellStyle name="Normal 9 2 2" xfId="21572" xr:uid="{00000000-0005-0000-0000-0000E0750000}"/>
    <cellStyle name="Normal 9 2 20" xfId="21573" xr:uid="{00000000-0005-0000-0000-0000E1750000}"/>
    <cellStyle name="Normal 9 2 20 2" xfId="37454" xr:uid="{00000000-0005-0000-0000-0000E2750000}"/>
    <cellStyle name="Normal 9 2 21" xfId="40785" xr:uid="{00000000-0005-0000-0000-0000E3750000}"/>
    <cellStyle name="Normal 9 2 22" xfId="37415" xr:uid="{00000000-0005-0000-0000-0000E4750000}"/>
    <cellStyle name="Normal 9 2 3" xfId="21574" xr:uid="{00000000-0005-0000-0000-0000E5750000}"/>
    <cellStyle name="Normal 9 2 3 2" xfId="21575" xr:uid="{00000000-0005-0000-0000-0000E6750000}"/>
    <cellStyle name="Normal 9 2 3 2 2" xfId="37456" xr:uid="{00000000-0005-0000-0000-0000E7750000}"/>
    <cellStyle name="Normal 9 2 3 3" xfId="21576" xr:uid="{00000000-0005-0000-0000-0000E8750000}"/>
    <cellStyle name="Normal 9 2 3 3 2" xfId="37457" xr:uid="{00000000-0005-0000-0000-0000E9750000}"/>
    <cellStyle name="Normal 9 2 3 4" xfId="21577" xr:uid="{00000000-0005-0000-0000-0000EA750000}"/>
    <cellStyle name="Normal 9 2 3 4 2" xfId="37458" xr:uid="{00000000-0005-0000-0000-0000EB750000}"/>
    <cellStyle name="Normal 9 2 3 5" xfId="21578" xr:uid="{00000000-0005-0000-0000-0000EC750000}"/>
    <cellStyle name="Normal 9 2 3 5 2" xfId="37459" xr:uid="{00000000-0005-0000-0000-0000ED750000}"/>
    <cellStyle name="Normal 9 2 3 6" xfId="37455" xr:uid="{00000000-0005-0000-0000-0000EE750000}"/>
    <cellStyle name="Normal 9 2 4" xfId="21579" xr:uid="{00000000-0005-0000-0000-0000EF750000}"/>
    <cellStyle name="Normal 9 2 4 2" xfId="21580" xr:uid="{00000000-0005-0000-0000-0000F0750000}"/>
    <cellStyle name="Normal 9 2 4 2 2" xfId="37461" xr:uid="{00000000-0005-0000-0000-0000F1750000}"/>
    <cellStyle name="Normal 9 2 4 3" xfId="21581" xr:uid="{00000000-0005-0000-0000-0000F2750000}"/>
    <cellStyle name="Normal 9 2 4 3 2" xfId="37462" xr:uid="{00000000-0005-0000-0000-0000F3750000}"/>
    <cellStyle name="Normal 9 2 4 4" xfId="21582" xr:uid="{00000000-0005-0000-0000-0000F4750000}"/>
    <cellStyle name="Normal 9 2 4 4 2" xfId="37463" xr:uid="{00000000-0005-0000-0000-0000F5750000}"/>
    <cellStyle name="Normal 9 2 4 5" xfId="21583" xr:uid="{00000000-0005-0000-0000-0000F6750000}"/>
    <cellStyle name="Normal 9 2 4 5 2" xfId="37464" xr:uid="{00000000-0005-0000-0000-0000F7750000}"/>
    <cellStyle name="Normal 9 2 4 6" xfId="37460" xr:uid="{00000000-0005-0000-0000-0000F8750000}"/>
    <cellStyle name="Normal 9 2 5" xfId="21584" xr:uid="{00000000-0005-0000-0000-0000F9750000}"/>
    <cellStyle name="Normal 9 2 5 2" xfId="21585" xr:uid="{00000000-0005-0000-0000-0000FA750000}"/>
    <cellStyle name="Normal 9 2 5 2 2" xfId="37466" xr:uid="{00000000-0005-0000-0000-0000FB750000}"/>
    <cellStyle name="Normal 9 2 5 3" xfId="21586" xr:uid="{00000000-0005-0000-0000-0000FC750000}"/>
    <cellStyle name="Normal 9 2 5 3 2" xfId="37467" xr:uid="{00000000-0005-0000-0000-0000FD750000}"/>
    <cellStyle name="Normal 9 2 5 4" xfId="21587" xr:uid="{00000000-0005-0000-0000-0000FE750000}"/>
    <cellStyle name="Normal 9 2 5 4 2" xfId="37468" xr:uid="{00000000-0005-0000-0000-0000FF750000}"/>
    <cellStyle name="Normal 9 2 5 5" xfId="21588" xr:uid="{00000000-0005-0000-0000-000000760000}"/>
    <cellStyle name="Normal 9 2 5 5 2" xfId="37469" xr:uid="{00000000-0005-0000-0000-000001760000}"/>
    <cellStyle name="Normal 9 2 5 6" xfId="37465" xr:uid="{00000000-0005-0000-0000-000002760000}"/>
    <cellStyle name="Normal 9 2 6" xfId="21589" xr:uid="{00000000-0005-0000-0000-000003760000}"/>
    <cellStyle name="Normal 9 2 6 2" xfId="21590" xr:uid="{00000000-0005-0000-0000-000004760000}"/>
    <cellStyle name="Normal 9 2 6 2 2" xfId="37471" xr:uid="{00000000-0005-0000-0000-000005760000}"/>
    <cellStyle name="Normal 9 2 6 3" xfId="21591" xr:uid="{00000000-0005-0000-0000-000006760000}"/>
    <cellStyle name="Normal 9 2 6 3 2" xfId="37472" xr:uid="{00000000-0005-0000-0000-000007760000}"/>
    <cellStyle name="Normal 9 2 6 4" xfId="21592" xr:uid="{00000000-0005-0000-0000-000008760000}"/>
    <cellStyle name="Normal 9 2 6 4 2" xfId="37473" xr:uid="{00000000-0005-0000-0000-000009760000}"/>
    <cellStyle name="Normal 9 2 6 5" xfId="21593" xr:uid="{00000000-0005-0000-0000-00000A760000}"/>
    <cellStyle name="Normal 9 2 6 5 2" xfId="37474" xr:uid="{00000000-0005-0000-0000-00000B760000}"/>
    <cellStyle name="Normal 9 2 6 6" xfId="37470" xr:uid="{00000000-0005-0000-0000-00000C760000}"/>
    <cellStyle name="Normal 9 2 7" xfId="21594" xr:uid="{00000000-0005-0000-0000-00000D760000}"/>
    <cellStyle name="Normal 9 2 7 2" xfId="21595" xr:uid="{00000000-0005-0000-0000-00000E760000}"/>
    <cellStyle name="Normal 9 2 7 2 2" xfId="37476" xr:uid="{00000000-0005-0000-0000-00000F760000}"/>
    <cellStyle name="Normal 9 2 7 3" xfId="21596" xr:uid="{00000000-0005-0000-0000-000010760000}"/>
    <cellStyle name="Normal 9 2 7 3 2" xfId="37477" xr:uid="{00000000-0005-0000-0000-000011760000}"/>
    <cellStyle name="Normal 9 2 7 4" xfId="21597" xr:uid="{00000000-0005-0000-0000-000012760000}"/>
    <cellStyle name="Normal 9 2 7 4 2" xfId="37478" xr:uid="{00000000-0005-0000-0000-000013760000}"/>
    <cellStyle name="Normal 9 2 7 5" xfId="21598" xr:uid="{00000000-0005-0000-0000-000014760000}"/>
    <cellStyle name="Normal 9 2 7 5 2" xfId="37479" xr:uid="{00000000-0005-0000-0000-000015760000}"/>
    <cellStyle name="Normal 9 2 7 6" xfId="37475" xr:uid="{00000000-0005-0000-0000-000016760000}"/>
    <cellStyle name="Normal 9 2 8" xfId="21599" xr:uid="{00000000-0005-0000-0000-000017760000}"/>
    <cellStyle name="Normal 9 2 8 2" xfId="21600" xr:uid="{00000000-0005-0000-0000-000018760000}"/>
    <cellStyle name="Normal 9 2 8 2 2" xfId="37481" xr:uid="{00000000-0005-0000-0000-000019760000}"/>
    <cellStyle name="Normal 9 2 8 3" xfId="21601" xr:uid="{00000000-0005-0000-0000-00001A760000}"/>
    <cellStyle name="Normal 9 2 8 3 2" xfId="37482" xr:uid="{00000000-0005-0000-0000-00001B760000}"/>
    <cellStyle name="Normal 9 2 8 4" xfId="21602" xr:uid="{00000000-0005-0000-0000-00001C760000}"/>
    <cellStyle name="Normal 9 2 8 4 2" xfId="37483" xr:uid="{00000000-0005-0000-0000-00001D760000}"/>
    <cellStyle name="Normal 9 2 8 5" xfId="21603" xr:uid="{00000000-0005-0000-0000-00001E760000}"/>
    <cellStyle name="Normal 9 2 8 5 2" xfId="37484" xr:uid="{00000000-0005-0000-0000-00001F760000}"/>
    <cellStyle name="Normal 9 2 8 6" xfId="37480" xr:uid="{00000000-0005-0000-0000-000020760000}"/>
    <cellStyle name="Normal 9 2 9" xfId="21604" xr:uid="{00000000-0005-0000-0000-000021760000}"/>
    <cellStyle name="Normal 9 2 9 2" xfId="21605" xr:uid="{00000000-0005-0000-0000-000022760000}"/>
    <cellStyle name="Normal 9 2 9 2 2" xfId="37486" xr:uid="{00000000-0005-0000-0000-000023760000}"/>
    <cellStyle name="Normal 9 2 9 3" xfId="21606" xr:uid="{00000000-0005-0000-0000-000024760000}"/>
    <cellStyle name="Normal 9 2 9 3 2" xfId="37487" xr:uid="{00000000-0005-0000-0000-000025760000}"/>
    <cellStyle name="Normal 9 2 9 4" xfId="21607" xr:uid="{00000000-0005-0000-0000-000026760000}"/>
    <cellStyle name="Normal 9 2 9 4 2" xfId="37488" xr:uid="{00000000-0005-0000-0000-000027760000}"/>
    <cellStyle name="Normal 9 2 9 5" xfId="21608" xr:uid="{00000000-0005-0000-0000-000028760000}"/>
    <cellStyle name="Normal 9 2 9 5 2" xfId="37489" xr:uid="{00000000-0005-0000-0000-000029760000}"/>
    <cellStyle name="Normal 9 2 9 6" xfId="37485" xr:uid="{00000000-0005-0000-0000-00002A760000}"/>
    <cellStyle name="Normal 9 20" xfId="21609" xr:uid="{00000000-0005-0000-0000-00002B760000}"/>
    <cellStyle name="Normal 9 20 2" xfId="37490" xr:uid="{00000000-0005-0000-0000-00002C760000}"/>
    <cellStyle name="Normal 9 21" xfId="21610" xr:uid="{00000000-0005-0000-0000-00002D760000}"/>
    <cellStyle name="Normal 9 21 2" xfId="37491" xr:uid="{00000000-0005-0000-0000-00002E760000}"/>
    <cellStyle name="Normal 9 22" xfId="21611" xr:uid="{00000000-0005-0000-0000-00002F760000}"/>
    <cellStyle name="Normal 9 22 2" xfId="37492" xr:uid="{00000000-0005-0000-0000-000030760000}"/>
    <cellStyle name="Normal 9 23" xfId="21612" xr:uid="{00000000-0005-0000-0000-000031760000}"/>
    <cellStyle name="Normal 9 23 2" xfId="37493" xr:uid="{00000000-0005-0000-0000-000032760000}"/>
    <cellStyle name="Normal 9 24" xfId="21613" xr:uid="{00000000-0005-0000-0000-000033760000}"/>
    <cellStyle name="Normal 9 24 2" xfId="37494" xr:uid="{00000000-0005-0000-0000-000034760000}"/>
    <cellStyle name="Normal 9 3" xfId="21614" xr:uid="{00000000-0005-0000-0000-000035760000}"/>
    <cellStyle name="Normal 9 3 2" xfId="21615" xr:uid="{00000000-0005-0000-0000-000036760000}"/>
    <cellStyle name="Normal 9 3 3" xfId="21616" xr:uid="{00000000-0005-0000-0000-000037760000}"/>
    <cellStyle name="Normal 9 3 3 2" xfId="37496" xr:uid="{00000000-0005-0000-0000-000038760000}"/>
    <cellStyle name="Normal 9 3 4" xfId="21617" xr:uid="{00000000-0005-0000-0000-000039760000}"/>
    <cellStyle name="Normal 9 3 4 2" xfId="37497" xr:uid="{00000000-0005-0000-0000-00003A760000}"/>
    <cellStyle name="Normal 9 3 5" xfId="21618" xr:uid="{00000000-0005-0000-0000-00003B760000}"/>
    <cellStyle name="Normal 9 3 5 2" xfId="37498" xr:uid="{00000000-0005-0000-0000-00003C760000}"/>
    <cellStyle name="Normal 9 3 6" xfId="21619" xr:uid="{00000000-0005-0000-0000-00003D760000}"/>
    <cellStyle name="Normal 9 3 6 2" xfId="37499" xr:uid="{00000000-0005-0000-0000-00003E760000}"/>
    <cellStyle name="Normal 9 3 7" xfId="40786" xr:uid="{00000000-0005-0000-0000-00003F760000}"/>
    <cellStyle name="Normal 9 3 8" xfId="37495" xr:uid="{00000000-0005-0000-0000-000040760000}"/>
    <cellStyle name="Normal 9 4" xfId="21620" xr:uid="{00000000-0005-0000-0000-000041760000}"/>
    <cellStyle name="Normal 9 4 2" xfId="21621" xr:uid="{00000000-0005-0000-0000-000042760000}"/>
    <cellStyle name="Normal 9 4 3" xfId="21622" xr:uid="{00000000-0005-0000-0000-000043760000}"/>
    <cellStyle name="Normal 9 4 3 2" xfId="37501" xr:uid="{00000000-0005-0000-0000-000044760000}"/>
    <cellStyle name="Normal 9 4 4" xfId="21623" xr:uid="{00000000-0005-0000-0000-000045760000}"/>
    <cellStyle name="Normal 9 4 4 2" xfId="37502" xr:uid="{00000000-0005-0000-0000-000046760000}"/>
    <cellStyle name="Normal 9 4 5" xfId="21624" xr:uid="{00000000-0005-0000-0000-000047760000}"/>
    <cellStyle name="Normal 9 4 5 2" xfId="37503" xr:uid="{00000000-0005-0000-0000-000048760000}"/>
    <cellStyle name="Normal 9 4 6" xfId="21625" xr:uid="{00000000-0005-0000-0000-000049760000}"/>
    <cellStyle name="Normal 9 4 6 2" xfId="37504" xr:uid="{00000000-0005-0000-0000-00004A760000}"/>
    <cellStyle name="Normal 9 4 7" xfId="40787" xr:uid="{00000000-0005-0000-0000-00004B760000}"/>
    <cellStyle name="Normal 9 4 8" xfId="37500" xr:uid="{00000000-0005-0000-0000-00004C760000}"/>
    <cellStyle name="Normal 9 5" xfId="21626" xr:uid="{00000000-0005-0000-0000-00004D760000}"/>
    <cellStyle name="Normal 9 5 2" xfId="21627" xr:uid="{00000000-0005-0000-0000-00004E760000}"/>
    <cellStyle name="Normal 9 5 3" xfId="21628" xr:uid="{00000000-0005-0000-0000-00004F760000}"/>
    <cellStyle name="Normal 9 5 3 2" xfId="37506" xr:uid="{00000000-0005-0000-0000-000050760000}"/>
    <cellStyle name="Normal 9 5 4" xfId="21629" xr:uid="{00000000-0005-0000-0000-000051760000}"/>
    <cellStyle name="Normal 9 5 4 2" xfId="37507" xr:uid="{00000000-0005-0000-0000-000052760000}"/>
    <cellStyle name="Normal 9 5 5" xfId="21630" xr:uid="{00000000-0005-0000-0000-000053760000}"/>
    <cellStyle name="Normal 9 5 5 2" xfId="37508" xr:uid="{00000000-0005-0000-0000-000054760000}"/>
    <cellStyle name="Normal 9 5 6" xfId="21631" xr:uid="{00000000-0005-0000-0000-000055760000}"/>
    <cellStyle name="Normal 9 5 6 2" xfId="37509" xr:uid="{00000000-0005-0000-0000-000056760000}"/>
    <cellStyle name="Normal 9 5 7" xfId="37505" xr:uid="{00000000-0005-0000-0000-000057760000}"/>
    <cellStyle name="Normal 9 6" xfId="21632" xr:uid="{00000000-0005-0000-0000-000058760000}"/>
    <cellStyle name="Normal 9 6 2" xfId="21633" xr:uid="{00000000-0005-0000-0000-000059760000}"/>
    <cellStyle name="Normal 9 6 2 2" xfId="37511" xr:uid="{00000000-0005-0000-0000-00005A760000}"/>
    <cellStyle name="Normal 9 6 3" xfId="21634" xr:uid="{00000000-0005-0000-0000-00005B760000}"/>
    <cellStyle name="Normal 9 6 3 2" xfId="37512" xr:uid="{00000000-0005-0000-0000-00005C760000}"/>
    <cellStyle name="Normal 9 6 4" xfId="21635" xr:uid="{00000000-0005-0000-0000-00005D760000}"/>
    <cellStyle name="Normal 9 6 4 2" xfId="37513" xr:uid="{00000000-0005-0000-0000-00005E760000}"/>
    <cellStyle name="Normal 9 6 5" xfId="21636" xr:uid="{00000000-0005-0000-0000-00005F760000}"/>
    <cellStyle name="Normal 9 6 5 2" xfId="37514" xr:uid="{00000000-0005-0000-0000-000060760000}"/>
    <cellStyle name="Normal 9 6 6" xfId="37510" xr:uid="{00000000-0005-0000-0000-000061760000}"/>
    <cellStyle name="Normal 9 7" xfId="21637" xr:uid="{00000000-0005-0000-0000-000062760000}"/>
    <cellStyle name="Normal 9 7 2" xfId="21638" xr:uid="{00000000-0005-0000-0000-000063760000}"/>
    <cellStyle name="Normal 9 7 2 2" xfId="37516" xr:uid="{00000000-0005-0000-0000-000064760000}"/>
    <cellStyle name="Normal 9 7 3" xfId="21639" xr:uid="{00000000-0005-0000-0000-000065760000}"/>
    <cellStyle name="Normal 9 7 3 2" xfId="37517" xr:uid="{00000000-0005-0000-0000-000066760000}"/>
    <cellStyle name="Normal 9 7 4" xfId="21640" xr:uid="{00000000-0005-0000-0000-000067760000}"/>
    <cellStyle name="Normal 9 7 4 2" xfId="37518" xr:uid="{00000000-0005-0000-0000-000068760000}"/>
    <cellStyle name="Normal 9 7 5" xfId="21641" xr:uid="{00000000-0005-0000-0000-000069760000}"/>
    <cellStyle name="Normal 9 7 5 2" xfId="37519" xr:uid="{00000000-0005-0000-0000-00006A760000}"/>
    <cellStyle name="Normal 9 7 6" xfId="37515" xr:uid="{00000000-0005-0000-0000-00006B760000}"/>
    <cellStyle name="Normal 9 8" xfId="21642" xr:uid="{00000000-0005-0000-0000-00006C760000}"/>
    <cellStyle name="Normal 9 8 2" xfId="21643" xr:uid="{00000000-0005-0000-0000-00006D760000}"/>
    <cellStyle name="Normal 9 8 2 2" xfId="37521" xr:uid="{00000000-0005-0000-0000-00006E760000}"/>
    <cellStyle name="Normal 9 8 3" xfId="21644" xr:uid="{00000000-0005-0000-0000-00006F760000}"/>
    <cellStyle name="Normal 9 8 3 2" xfId="37522" xr:uid="{00000000-0005-0000-0000-000070760000}"/>
    <cellStyle name="Normal 9 8 4" xfId="21645" xr:uid="{00000000-0005-0000-0000-000071760000}"/>
    <cellStyle name="Normal 9 8 4 2" xfId="37523" xr:uid="{00000000-0005-0000-0000-000072760000}"/>
    <cellStyle name="Normal 9 8 5" xfId="21646" xr:uid="{00000000-0005-0000-0000-000073760000}"/>
    <cellStyle name="Normal 9 8 5 2" xfId="37524" xr:uid="{00000000-0005-0000-0000-000074760000}"/>
    <cellStyle name="Normal 9 8 6" xfId="37520" xr:uid="{00000000-0005-0000-0000-000075760000}"/>
    <cellStyle name="Normal 9 9" xfId="21647" xr:uid="{00000000-0005-0000-0000-000076760000}"/>
    <cellStyle name="Normal 9 9 2" xfId="21648" xr:uid="{00000000-0005-0000-0000-000077760000}"/>
    <cellStyle name="Normal 9 9 2 2" xfId="37526" xr:uid="{00000000-0005-0000-0000-000078760000}"/>
    <cellStyle name="Normal 9 9 3" xfId="21649" xr:uid="{00000000-0005-0000-0000-000079760000}"/>
    <cellStyle name="Normal 9 9 3 2" xfId="37527" xr:uid="{00000000-0005-0000-0000-00007A760000}"/>
    <cellStyle name="Normal 9 9 4" xfId="21650" xr:uid="{00000000-0005-0000-0000-00007B760000}"/>
    <cellStyle name="Normal 9 9 4 2" xfId="37528" xr:uid="{00000000-0005-0000-0000-00007C760000}"/>
    <cellStyle name="Normal 9 9 5" xfId="21651" xr:uid="{00000000-0005-0000-0000-00007D760000}"/>
    <cellStyle name="Normal 9 9 5 2" xfId="37529" xr:uid="{00000000-0005-0000-0000-00007E760000}"/>
    <cellStyle name="Normal 9 9 6" xfId="37525" xr:uid="{00000000-0005-0000-0000-00007F760000}"/>
    <cellStyle name="Normal_Composições CEF - Emergencia" xfId="41062" xr:uid="{00000000-0005-0000-0000-000080760000}"/>
    <cellStyle name="Normal_Composições CEF - Emergencia 2" xfId="17" xr:uid="{00000000-0005-0000-0000-000081760000}"/>
    <cellStyle name="Normal_Composições CEF - Emergencia 7" xfId="18" xr:uid="{00000000-0005-0000-0000-000082760000}"/>
    <cellStyle name="Nota 10" xfId="21652" xr:uid="{00000000-0005-0000-0000-000083760000}"/>
    <cellStyle name="Nota 10 2" xfId="21653" xr:uid="{00000000-0005-0000-0000-000084760000}"/>
    <cellStyle name="Nota 10 2 2" xfId="40789" xr:uid="{00000000-0005-0000-0000-000085760000}"/>
    <cellStyle name="Nota 10 2 3" xfId="37530" xr:uid="{00000000-0005-0000-0000-000086760000}"/>
    <cellStyle name="Nota 10 3" xfId="21654" xr:uid="{00000000-0005-0000-0000-000087760000}"/>
    <cellStyle name="Nota 10 3 2" xfId="41022" xr:uid="{00000000-0005-0000-0000-000088760000}"/>
    <cellStyle name="Nota 10 3 3" xfId="37531" xr:uid="{00000000-0005-0000-0000-000089760000}"/>
    <cellStyle name="Nota 10 4" xfId="21655" xr:uid="{00000000-0005-0000-0000-00008A760000}"/>
    <cellStyle name="Nota 10 4 2" xfId="41011" xr:uid="{00000000-0005-0000-0000-00008B760000}"/>
    <cellStyle name="Nota 10 4 3" xfId="37532" xr:uid="{00000000-0005-0000-0000-00008C760000}"/>
    <cellStyle name="Nota 10 5" xfId="21656" xr:uid="{00000000-0005-0000-0000-00008D760000}"/>
    <cellStyle name="Nota 10 5 2" xfId="37533" xr:uid="{00000000-0005-0000-0000-00008E760000}"/>
    <cellStyle name="Nota 10 6" xfId="21657" xr:uid="{00000000-0005-0000-0000-00008F760000}"/>
    <cellStyle name="Nota 10 6 2" xfId="37534" xr:uid="{00000000-0005-0000-0000-000090760000}"/>
    <cellStyle name="Nota 10 7" xfId="21658" xr:uid="{00000000-0005-0000-0000-000091760000}"/>
    <cellStyle name="Nota 10 7 2" xfId="37535" xr:uid="{00000000-0005-0000-0000-000092760000}"/>
    <cellStyle name="Nota 10 8" xfId="29176" xr:uid="{00000000-0005-0000-0000-000093760000}"/>
    <cellStyle name="Nota 10 8 2" xfId="40788" xr:uid="{00000000-0005-0000-0000-000094760000}"/>
    <cellStyle name="Nota 100" xfId="21659" xr:uid="{00000000-0005-0000-0000-000095760000}"/>
    <cellStyle name="Nota 100 2" xfId="37536" xr:uid="{00000000-0005-0000-0000-000096760000}"/>
    <cellStyle name="Nota 101" xfId="21660" xr:uid="{00000000-0005-0000-0000-000097760000}"/>
    <cellStyle name="Nota 101 2" xfId="37537" xr:uid="{00000000-0005-0000-0000-000098760000}"/>
    <cellStyle name="Nota 102" xfId="21661" xr:uid="{00000000-0005-0000-0000-000099760000}"/>
    <cellStyle name="Nota 102 2" xfId="37538" xr:uid="{00000000-0005-0000-0000-00009A760000}"/>
    <cellStyle name="Nota 103" xfId="21662" xr:uid="{00000000-0005-0000-0000-00009B760000}"/>
    <cellStyle name="Nota 103 2" xfId="37539" xr:uid="{00000000-0005-0000-0000-00009C760000}"/>
    <cellStyle name="Nota 104" xfId="21663" xr:uid="{00000000-0005-0000-0000-00009D760000}"/>
    <cellStyle name="Nota 104 2" xfId="37540" xr:uid="{00000000-0005-0000-0000-00009E760000}"/>
    <cellStyle name="Nota 105" xfId="21664" xr:uid="{00000000-0005-0000-0000-00009F760000}"/>
    <cellStyle name="Nota 105 2" xfId="37541" xr:uid="{00000000-0005-0000-0000-0000A0760000}"/>
    <cellStyle name="Nota 106" xfId="21665" xr:uid="{00000000-0005-0000-0000-0000A1760000}"/>
    <cellStyle name="Nota 106 2" xfId="37542" xr:uid="{00000000-0005-0000-0000-0000A2760000}"/>
    <cellStyle name="Nota 107" xfId="21666" xr:uid="{00000000-0005-0000-0000-0000A3760000}"/>
    <cellStyle name="Nota 107 2" xfId="37543" xr:uid="{00000000-0005-0000-0000-0000A4760000}"/>
    <cellStyle name="Nota 108" xfId="21667" xr:uid="{00000000-0005-0000-0000-0000A5760000}"/>
    <cellStyle name="Nota 108 2" xfId="37544" xr:uid="{00000000-0005-0000-0000-0000A6760000}"/>
    <cellStyle name="Nota 109" xfId="21668" xr:uid="{00000000-0005-0000-0000-0000A7760000}"/>
    <cellStyle name="Nota 109 2" xfId="37545" xr:uid="{00000000-0005-0000-0000-0000A8760000}"/>
    <cellStyle name="Nota 11" xfId="21669" xr:uid="{00000000-0005-0000-0000-0000A9760000}"/>
    <cellStyle name="Nota 11 2" xfId="21670" xr:uid="{00000000-0005-0000-0000-0000AA760000}"/>
    <cellStyle name="Nota 11 2 2" xfId="40791" xr:uid="{00000000-0005-0000-0000-0000AB760000}"/>
    <cellStyle name="Nota 11 2 3" xfId="37546" xr:uid="{00000000-0005-0000-0000-0000AC760000}"/>
    <cellStyle name="Nota 11 3" xfId="21671" xr:uid="{00000000-0005-0000-0000-0000AD760000}"/>
    <cellStyle name="Nota 11 3 2" xfId="41023" xr:uid="{00000000-0005-0000-0000-0000AE760000}"/>
    <cellStyle name="Nota 11 3 3" xfId="37547" xr:uid="{00000000-0005-0000-0000-0000AF760000}"/>
    <cellStyle name="Nota 11 4" xfId="21672" xr:uid="{00000000-0005-0000-0000-0000B0760000}"/>
    <cellStyle name="Nota 11 4 2" xfId="41010" xr:uid="{00000000-0005-0000-0000-0000B1760000}"/>
    <cellStyle name="Nota 11 4 3" xfId="37548" xr:uid="{00000000-0005-0000-0000-0000B2760000}"/>
    <cellStyle name="Nota 11 5" xfId="21673" xr:uid="{00000000-0005-0000-0000-0000B3760000}"/>
    <cellStyle name="Nota 11 5 2" xfId="37549" xr:uid="{00000000-0005-0000-0000-0000B4760000}"/>
    <cellStyle name="Nota 11 6" xfId="21674" xr:uid="{00000000-0005-0000-0000-0000B5760000}"/>
    <cellStyle name="Nota 11 6 2" xfId="37550" xr:uid="{00000000-0005-0000-0000-0000B6760000}"/>
    <cellStyle name="Nota 11 7" xfId="21675" xr:uid="{00000000-0005-0000-0000-0000B7760000}"/>
    <cellStyle name="Nota 11 7 2" xfId="37551" xr:uid="{00000000-0005-0000-0000-0000B8760000}"/>
    <cellStyle name="Nota 11 8" xfId="29177" xr:uid="{00000000-0005-0000-0000-0000B9760000}"/>
    <cellStyle name="Nota 11 8 2" xfId="40790" xr:uid="{00000000-0005-0000-0000-0000BA760000}"/>
    <cellStyle name="Nota 110" xfId="21676" xr:uid="{00000000-0005-0000-0000-0000BB760000}"/>
    <cellStyle name="Nota 110 2" xfId="37552" xr:uid="{00000000-0005-0000-0000-0000BC760000}"/>
    <cellStyle name="Nota 111" xfId="21677" xr:uid="{00000000-0005-0000-0000-0000BD760000}"/>
    <cellStyle name="Nota 111 2" xfId="37553" xr:uid="{00000000-0005-0000-0000-0000BE760000}"/>
    <cellStyle name="Nota 112" xfId="21678" xr:uid="{00000000-0005-0000-0000-0000BF760000}"/>
    <cellStyle name="Nota 112 2" xfId="37554" xr:uid="{00000000-0005-0000-0000-0000C0760000}"/>
    <cellStyle name="Nota 113" xfId="21679" xr:uid="{00000000-0005-0000-0000-0000C1760000}"/>
    <cellStyle name="Nota 113 2" xfId="37555" xr:uid="{00000000-0005-0000-0000-0000C2760000}"/>
    <cellStyle name="Nota 114" xfId="21680" xr:uid="{00000000-0005-0000-0000-0000C3760000}"/>
    <cellStyle name="Nota 114 2" xfId="37556" xr:uid="{00000000-0005-0000-0000-0000C4760000}"/>
    <cellStyle name="Nota 115" xfId="21681" xr:uid="{00000000-0005-0000-0000-0000C5760000}"/>
    <cellStyle name="Nota 115 2" xfId="37557" xr:uid="{00000000-0005-0000-0000-0000C6760000}"/>
    <cellStyle name="Nota 116" xfId="21682" xr:uid="{00000000-0005-0000-0000-0000C7760000}"/>
    <cellStyle name="Nota 116 2" xfId="37558" xr:uid="{00000000-0005-0000-0000-0000C8760000}"/>
    <cellStyle name="Nota 117" xfId="21683" xr:uid="{00000000-0005-0000-0000-0000C9760000}"/>
    <cellStyle name="Nota 117 2" xfId="37559" xr:uid="{00000000-0005-0000-0000-0000CA760000}"/>
    <cellStyle name="Nota 118" xfId="21684" xr:uid="{00000000-0005-0000-0000-0000CB760000}"/>
    <cellStyle name="Nota 118 2" xfId="37560" xr:uid="{00000000-0005-0000-0000-0000CC760000}"/>
    <cellStyle name="Nota 119" xfId="21685" xr:uid="{00000000-0005-0000-0000-0000CD760000}"/>
    <cellStyle name="Nota 119 2" xfId="37561" xr:uid="{00000000-0005-0000-0000-0000CE760000}"/>
    <cellStyle name="Nota 12" xfId="21686" xr:uid="{00000000-0005-0000-0000-0000CF760000}"/>
    <cellStyle name="Nota 12 2" xfId="21687" xr:uid="{00000000-0005-0000-0000-0000D0760000}"/>
    <cellStyle name="Nota 12 2 2" xfId="40793" xr:uid="{00000000-0005-0000-0000-0000D1760000}"/>
    <cellStyle name="Nota 12 2 3" xfId="37562" xr:uid="{00000000-0005-0000-0000-0000D2760000}"/>
    <cellStyle name="Nota 12 3" xfId="21688" xr:uid="{00000000-0005-0000-0000-0000D3760000}"/>
    <cellStyle name="Nota 12 3 2" xfId="41024" xr:uid="{00000000-0005-0000-0000-0000D4760000}"/>
    <cellStyle name="Nota 12 3 3" xfId="37563" xr:uid="{00000000-0005-0000-0000-0000D5760000}"/>
    <cellStyle name="Nota 12 4" xfId="21689" xr:uid="{00000000-0005-0000-0000-0000D6760000}"/>
    <cellStyle name="Nota 12 4 2" xfId="41009" xr:uid="{00000000-0005-0000-0000-0000D7760000}"/>
    <cellStyle name="Nota 12 4 3" xfId="37564" xr:uid="{00000000-0005-0000-0000-0000D8760000}"/>
    <cellStyle name="Nota 12 5" xfId="21690" xr:uid="{00000000-0005-0000-0000-0000D9760000}"/>
    <cellStyle name="Nota 12 5 2" xfId="37565" xr:uid="{00000000-0005-0000-0000-0000DA760000}"/>
    <cellStyle name="Nota 12 6" xfId="21691" xr:uid="{00000000-0005-0000-0000-0000DB760000}"/>
    <cellStyle name="Nota 12 6 2" xfId="37566" xr:uid="{00000000-0005-0000-0000-0000DC760000}"/>
    <cellStyle name="Nota 12 7" xfId="21692" xr:uid="{00000000-0005-0000-0000-0000DD760000}"/>
    <cellStyle name="Nota 12 7 2" xfId="37567" xr:uid="{00000000-0005-0000-0000-0000DE760000}"/>
    <cellStyle name="Nota 12 8" xfId="29178" xr:uid="{00000000-0005-0000-0000-0000DF760000}"/>
    <cellStyle name="Nota 12 8 2" xfId="40792" xr:uid="{00000000-0005-0000-0000-0000E0760000}"/>
    <cellStyle name="Nota 120" xfId="21693" xr:uid="{00000000-0005-0000-0000-0000E1760000}"/>
    <cellStyle name="Nota 120 2" xfId="37568" xr:uid="{00000000-0005-0000-0000-0000E2760000}"/>
    <cellStyle name="Nota 121" xfId="21694" xr:uid="{00000000-0005-0000-0000-0000E3760000}"/>
    <cellStyle name="Nota 121 2" xfId="37569" xr:uid="{00000000-0005-0000-0000-0000E4760000}"/>
    <cellStyle name="Nota 122" xfId="21695" xr:uid="{00000000-0005-0000-0000-0000E5760000}"/>
    <cellStyle name="Nota 122 2" xfId="37570" xr:uid="{00000000-0005-0000-0000-0000E6760000}"/>
    <cellStyle name="Nota 123" xfId="21696" xr:uid="{00000000-0005-0000-0000-0000E7760000}"/>
    <cellStyle name="Nota 123 2" xfId="37571" xr:uid="{00000000-0005-0000-0000-0000E8760000}"/>
    <cellStyle name="Nota 124" xfId="21697" xr:uid="{00000000-0005-0000-0000-0000E9760000}"/>
    <cellStyle name="Nota 124 2" xfId="37572" xr:uid="{00000000-0005-0000-0000-0000EA760000}"/>
    <cellStyle name="Nota 125" xfId="21698" xr:uid="{00000000-0005-0000-0000-0000EB760000}"/>
    <cellStyle name="Nota 125 2" xfId="37573" xr:uid="{00000000-0005-0000-0000-0000EC760000}"/>
    <cellStyle name="Nota 126" xfId="21699" xr:uid="{00000000-0005-0000-0000-0000ED760000}"/>
    <cellStyle name="Nota 126 2" xfId="37574" xr:uid="{00000000-0005-0000-0000-0000EE760000}"/>
    <cellStyle name="Nota 127" xfId="21700" xr:uid="{00000000-0005-0000-0000-0000EF760000}"/>
    <cellStyle name="Nota 127 2" xfId="37575" xr:uid="{00000000-0005-0000-0000-0000F0760000}"/>
    <cellStyle name="Nota 128" xfId="21701" xr:uid="{00000000-0005-0000-0000-0000F1760000}"/>
    <cellStyle name="Nota 128 2" xfId="37576" xr:uid="{00000000-0005-0000-0000-0000F2760000}"/>
    <cellStyle name="Nota 129" xfId="21702" xr:uid="{00000000-0005-0000-0000-0000F3760000}"/>
    <cellStyle name="Nota 129 2" xfId="37577" xr:uid="{00000000-0005-0000-0000-0000F4760000}"/>
    <cellStyle name="Nota 13" xfId="21703" xr:uid="{00000000-0005-0000-0000-0000F5760000}"/>
    <cellStyle name="Nota 13 2" xfId="21704" xr:uid="{00000000-0005-0000-0000-0000F6760000}"/>
    <cellStyle name="Nota 13 2 2" xfId="40795" xr:uid="{00000000-0005-0000-0000-0000F7760000}"/>
    <cellStyle name="Nota 13 2 3" xfId="37578" xr:uid="{00000000-0005-0000-0000-0000F8760000}"/>
    <cellStyle name="Nota 13 3" xfId="21705" xr:uid="{00000000-0005-0000-0000-0000F9760000}"/>
    <cellStyle name="Nota 13 3 2" xfId="41025" xr:uid="{00000000-0005-0000-0000-0000FA760000}"/>
    <cellStyle name="Nota 13 3 3" xfId="37579" xr:uid="{00000000-0005-0000-0000-0000FB760000}"/>
    <cellStyle name="Nota 13 4" xfId="21706" xr:uid="{00000000-0005-0000-0000-0000FC760000}"/>
    <cellStyle name="Nota 13 4 2" xfId="41008" xr:uid="{00000000-0005-0000-0000-0000FD760000}"/>
    <cellStyle name="Nota 13 4 3" xfId="37580" xr:uid="{00000000-0005-0000-0000-0000FE760000}"/>
    <cellStyle name="Nota 13 5" xfId="21707" xr:uid="{00000000-0005-0000-0000-0000FF760000}"/>
    <cellStyle name="Nota 13 5 2" xfId="37581" xr:uid="{00000000-0005-0000-0000-000000770000}"/>
    <cellStyle name="Nota 13 6" xfId="21708" xr:uid="{00000000-0005-0000-0000-000001770000}"/>
    <cellStyle name="Nota 13 6 2" xfId="37582" xr:uid="{00000000-0005-0000-0000-000002770000}"/>
    <cellStyle name="Nota 13 7" xfId="21709" xr:uid="{00000000-0005-0000-0000-000003770000}"/>
    <cellStyle name="Nota 13 7 2" xfId="37583" xr:uid="{00000000-0005-0000-0000-000004770000}"/>
    <cellStyle name="Nota 13 8" xfId="29179" xr:uid="{00000000-0005-0000-0000-000005770000}"/>
    <cellStyle name="Nota 13 8 2" xfId="40794" xr:uid="{00000000-0005-0000-0000-000006770000}"/>
    <cellStyle name="Nota 130" xfId="21710" xr:uid="{00000000-0005-0000-0000-000007770000}"/>
    <cellStyle name="Nota 130 2" xfId="37584" xr:uid="{00000000-0005-0000-0000-000008770000}"/>
    <cellStyle name="Nota 131" xfId="21711" xr:uid="{00000000-0005-0000-0000-000009770000}"/>
    <cellStyle name="Nota 131 2" xfId="37585" xr:uid="{00000000-0005-0000-0000-00000A770000}"/>
    <cellStyle name="Nota 132" xfId="21712" xr:uid="{00000000-0005-0000-0000-00000B770000}"/>
    <cellStyle name="Nota 132 2" xfId="37586" xr:uid="{00000000-0005-0000-0000-00000C770000}"/>
    <cellStyle name="Nota 133" xfId="21713" xr:uid="{00000000-0005-0000-0000-00000D770000}"/>
    <cellStyle name="Nota 133 2" xfId="37587" xr:uid="{00000000-0005-0000-0000-00000E770000}"/>
    <cellStyle name="Nota 134" xfId="21714" xr:uid="{00000000-0005-0000-0000-00000F770000}"/>
    <cellStyle name="Nota 134 2" xfId="37588" xr:uid="{00000000-0005-0000-0000-000010770000}"/>
    <cellStyle name="Nota 135" xfId="21715" xr:uid="{00000000-0005-0000-0000-000011770000}"/>
    <cellStyle name="Nota 135 2" xfId="37589" xr:uid="{00000000-0005-0000-0000-000012770000}"/>
    <cellStyle name="Nota 136" xfId="21716" xr:uid="{00000000-0005-0000-0000-000013770000}"/>
    <cellStyle name="Nota 136 2" xfId="37590" xr:uid="{00000000-0005-0000-0000-000014770000}"/>
    <cellStyle name="Nota 137" xfId="21717" xr:uid="{00000000-0005-0000-0000-000015770000}"/>
    <cellStyle name="Nota 137 2" xfId="37591" xr:uid="{00000000-0005-0000-0000-000016770000}"/>
    <cellStyle name="Nota 138" xfId="21718" xr:uid="{00000000-0005-0000-0000-000017770000}"/>
    <cellStyle name="Nota 138 2" xfId="37592" xr:uid="{00000000-0005-0000-0000-000018770000}"/>
    <cellStyle name="Nota 139" xfId="21719" xr:uid="{00000000-0005-0000-0000-000019770000}"/>
    <cellStyle name="Nota 139 2" xfId="37593" xr:uid="{00000000-0005-0000-0000-00001A770000}"/>
    <cellStyle name="Nota 14" xfId="21720" xr:uid="{00000000-0005-0000-0000-00001B770000}"/>
    <cellStyle name="Nota 14 2" xfId="21721" xr:uid="{00000000-0005-0000-0000-00001C770000}"/>
    <cellStyle name="Nota 14 2 2" xfId="37594" xr:uid="{00000000-0005-0000-0000-00001D770000}"/>
    <cellStyle name="Nota 14 3" xfId="21722" xr:uid="{00000000-0005-0000-0000-00001E770000}"/>
    <cellStyle name="Nota 14 3 2" xfId="37595" xr:uid="{00000000-0005-0000-0000-00001F770000}"/>
    <cellStyle name="Nota 14 4" xfId="21723" xr:uid="{00000000-0005-0000-0000-000020770000}"/>
    <cellStyle name="Nota 14 4 2" xfId="37596" xr:uid="{00000000-0005-0000-0000-000021770000}"/>
    <cellStyle name="Nota 14 5" xfId="21724" xr:uid="{00000000-0005-0000-0000-000022770000}"/>
    <cellStyle name="Nota 14 5 2" xfId="37597" xr:uid="{00000000-0005-0000-0000-000023770000}"/>
    <cellStyle name="Nota 14 6" xfId="21725" xr:uid="{00000000-0005-0000-0000-000024770000}"/>
    <cellStyle name="Nota 14 6 2" xfId="37598" xr:uid="{00000000-0005-0000-0000-000025770000}"/>
    <cellStyle name="Nota 14 7" xfId="21726" xr:uid="{00000000-0005-0000-0000-000026770000}"/>
    <cellStyle name="Nota 14 7 2" xfId="37599" xr:uid="{00000000-0005-0000-0000-000027770000}"/>
    <cellStyle name="Nota 14 8" xfId="29180" xr:uid="{00000000-0005-0000-0000-000028770000}"/>
    <cellStyle name="Nota 14 8 2" xfId="40796" xr:uid="{00000000-0005-0000-0000-000029770000}"/>
    <cellStyle name="Nota 140" xfId="21727" xr:uid="{00000000-0005-0000-0000-00002A770000}"/>
    <cellStyle name="Nota 140 2" xfId="37600" xr:uid="{00000000-0005-0000-0000-00002B770000}"/>
    <cellStyle name="Nota 141" xfId="21728" xr:uid="{00000000-0005-0000-0000-00002C770000}"/>
    <cellStyle name="Nota 141 2" xfId="37601" xr:uid="{00000000-0005-0000-0000-00002D770000}"/>
    <cellStyle name="Nota 142" xfId="21729" xr:uid="{00000000-0005-0000-0000-00002E770000}"/>
    <cellStyle name="Nota 142 2" xfId="37602" xr:uid="{00000000-0005-0000-0000-00002F770000}"/>
    <cellStyle name="Nota 143" xfId="21730" xr:uid="{00000000-0005-0000-0000-000030770000}"/>
    <cellStyle name="Nota 143 2" xfId="37603" xr:uid="{00000000-0005-0000-0000-000031770000}"/>
    <cellStyle name="Nota 144" xfId="21731" xr:uid="{00000000-0005-0000-0000-000032770000}"/>
    <cellStyle name="Nota 144 2" xfId="37604" xr:uid="{00000000-0005-0000-0000-000033770000}"/>
    <cellStyle name="Nota 145" xfId="21732" xr:uid="{00000000-0005-0000-0000-000034770000}"/>
    <cellStyle name="Nota 145 2" xfId="37605" xr:uid="{00000000-0005-0000-0000-000035770000}"/>
    <cellStyle name="Nota 146" xfId="21733" xr:uid="{00000000-0005-0000-0000-000036770000}"/>
    <cellStyle name="Nota 146 2" xfId="37606" xr:uid="{00000000-0005-0000-0000-000037770000}"/>
    <cellStyle name="Nota 147" xfId="21734" xr:uid="{00000000-0005-0000-0000-000038770000}"/>
    <cellStyle name="Nota 147 2" xfId="37607" xr:uid="{00000000-0005-0000-0000-000039770000}"/>
    <cellStyle name="Nota 148" xfId="21735" xr:uid="{00000000-0005-0000-0000-00003A770000}"/>
    <cellStyle name="Nota 148 2" xfId="37608" xr:uid="{00000000-0005-0000-0000-00003B770000}"/>
    <cellStyle name="Nota 149" xfId="21736" xr:uid="{00000000-0005-0000-0000-00003C770000}"/>
    <cellStyle name="Nota 149 2" xfId="37609" xr:uid="{00000000-0005-0000-0000-00003D770000}"/>
    <cellStyle name="Nota 15" xfId="21737" xr:uid="{00000000-0005-0000-0000-00003E770000}"/>
    <cellStyle name="Nota 15 2" xfId="21738" xr:uid="{00000000-0005-0000-0000-00003F770000}"/>
    <cellStyle name="Nota 15 2 2" xfId="37610" xr:uid="{00000000-0005-0000-0000-000040770000}"/>
    <cellStyle name="Nota 15 3" xfId="21739" xr:uid="{00000000-0005-0000-0000-000041770000}"/>
    <cellStyle name="Nota 15 3 2" xfId="37611" xr:uid="{00000000-0005-0000-0000-000042770000}"/>
    <cellStyle name="Nota 15 4" xfId="21740" xr:uid="{00000000-0005-0000-0000-000043770000}"/>
    <cellStyle name="Nota 15 4 2" xfId="37612" xr:uid="{00000000-0005-0000-0000-000044770000}"/>
    <cellStyle name="Nota 15 5" xfId="21741" xr:uid="{00000000-0005-0000-0000-000045770000}"/>
    <cellStyle name="Nota 15 5 2" xfId="37613" xr:uid="{00000000-0005-0000-0000-000046770000}"/>
    <cellStyle name="Nota 15 6" xfId="21742" xr:uid="{00000000-0005-0000-0000-000047770000}"/>
    <cellStyle name="Nota 15 6 2" xfId="37614" xr:uid="{00000000-0005-0000-0000-000048770000}"/>
    <cellStyle name="Nota 15 7" xfId="21743" xr:uid="{00000000-0005-0000-0000-000049770000}"/>
    <cellStyle name="Nota 15 7 2" xfId="37615" xr:uid="{00000000-0005-0000-0000-00004A770000}"/>
    <cellStyle name="Nota 15 8" xfId="29181" xr:uid="{00000000-0005-0000-0000-00004B770000}"/>
    <cellStyle name="Nota 15 8 2" xfId="40797" xr:uid="{00000000-0005-0000-0000-00004C770000}"/>
    <cellStyle name="Nota 150" xfId="21744" xr:uid="{00000000-0005-0000-0000-00004D770000}"/>
    <cellStyle name="Nota 150 2" xfId="37616" xr:uid="{00000000-0005-0000-0000-00004E770000}"/>
    <cellStyle name="Nota 151" xfId="21745" xr:uid="{00000000-0005-0000-0000-00004F770000}"/>
    <cellStyle name="Nota 151 2" xfId="37617" xr:uid="{00000000-0005-0000-0000-000050770000}"/>
    <cellStyle name="Nota 152" xfId="21746" xr:uid="{00000000-0005-0000-0000-000051770000}"/>
    <cellStyle name="Nota 152 2" xfId="37618" xr:uid="{00000000-0005-0000-0000-000052770000}"/>
    <cellStyle name="Nota 153" xfId="21747" xr:uid="{00000000-0005-0000-0000-000053770000}"/>
    <cellStyle name="Nota 153 2" xfId="37619" xr:uid="{00000000-0005-0000-0000-000054770000}"/>
    <cellStyle name="Nota 154" xfId="21748" xr:uid="{00000000-0005-0000-0000-000055770000}"/>
    <cellStyle name="Nota 154 2" xfId="37620" xr:uid="{00000000-0005-0000-0000-000056770000}"/>
    <cellStyle name="Nota 155" xfId="21749" xr:uid="{00000000-0005-0000-0000-000057770000}"/>
    <cellStyle name="Nota 155 2" xfId="37621" xr:uid="{00000000-0005-0000-0000-000058770000}"/>
    <cellStyle name="Nota 156" xfId="21750" xr:uid="{00000000-0005-0000-0000-000059770000}"/>
    <cellStyle name="Nota 156 2" xfId="37622" xr:uid="{00000000-0005-0000-0000-00005A770000}"/>
    <cellStyle name="Nota 157" xfId="21751" xr:uid="{00000000-0005-0000-0000-00005B770000}"/>
    <cellStyle name="Nota 157 2" xfId="37623" xr:uid="{00000000-0005-0000-0000-00005C770000}"/>
    <cellStyle name="Nota 158" xfId="21752" xr:uid="{00000000-0005-0000-0000-00005D770000}"/>
    <cellStyle name="Nota 158 2" xfId="37624" xr:uid="{00000000-0005-0000-0000-00005E770000}"/>
    <cellStyle name="Nota 159" xfId="21753" xr:uid="{00000000-0005-0000-0000-00005F770000}"/>
    <cellStyle name="Nota 159 2" xfId="37625" xr:uid="{00000000-0005-0000-0000-000060770000}"/>
    <cellStyle name="Nota 16" xfId="21754" xr:uid="{00000000-0005-0000-0000-000061770000}"/>
    <cellStyle name="Nota 16 2" xfId="21755" xr:uid="{00000000-0005-0000-0000-000062770000}"/>
    <cellStyle name="Nota 16 2 2" xfId="37626" xr:uid="{00000000-0005-0000-0000-000063770000}"/>
    <cellStyle name="Nota 16 3" xfId="21756" xr:uid="{00000000-0005-0000-0000-000064770000}"/>
    <cellStyle name="Nota 16 3 2" xfId="37627" xr:uid="{00000000-0005-0000-0000-000065770000}"/>
    <cellStyle name="Nota 16 4" xfId="21757" xr:uid="{00000000-0005-0000-0000-000066770000}"/>
    <cellStyle name="Nota 16 4 2" xfId="37628" xr:uid="{00000000-0005-0000-0000-000067770000}"/>
    <cellStyle name="Nota 16 5" xfId="21758" xr:uid="{00000000-0005-0000-0000-000068770000}"/>
    <cellStyle name="Nota 16 5 2" xfId="37629" xr:uid="{00000000-0005-0000-0000-000069770000}"/>
    <cellStyle name="Nota 16 6" xfId="21759" xr:uid="{00000000-0005-0000-0000-00006A770000}"/>
    <cellStyle name="Nota 16 6 2" xfId="37630" xr:uid="{00000000-0005-0000-0000-00006B770000}"/>
    <cellStyle name="Nota 16 7" xfId="21760" xr:uid="{00000000-0005-0000-0000-00006C770000}"/>
    <cellStyle name="Nota 16 7 2" xfId="37631" xr:uid="{00000000-0005-0000-0000-00006D770000}"/>
    <cellStyle name="Nota 16 8" xfId="29182" xr:uid="{00000000-0005-0000-0000-00006E770000}"/>
    <cellStyle name="Nota 16 8 2" xfId="40798" xr:uid="{00000000-0005-0000-0000-00006F770000}"/>
    <cellStyle name="Nota 160" xfId="21761" xr:uid="{00000000-0005-0000-0000-000070770000}"/>
    <cellStyle name="Nota 160 2" xfId="37632" xr:uid="{00000000-0005-0000-0000-000071770000}"/>
    <cellStyle name="Nota 161" xfId="21762" xr:uid="{00000000-0005-0000-0000-000072770000}"/>
    <cellStyle name="Nota 161 2" xfId="37633" xr:uid="{00000000-0005-0000-0000-000073770000}"/>
    <cellStyle name="Nota 162" xfId="21763" xr:uid="{00000000-0005-0000-0000-000074770000}"/>
    <cellStyle name="Nota 162 2" xfId="37634" xr:uid="{00000000-0005-0000-0000-000075770000}"/>
    <cellStyle name="Nota 163" xfId="21764" xr:uid="{00000000-0005-0000-0000-000076770000}"/>
    <cellStyle name="Nota 163 2" xfId="37635" xr:uid="{00000000-0005-0000-0000-000077770000}"/>
    <cellStyle name="Nota 164" xfId="21765" xr:uid="{00000000-0005-0000-0000-000078770000}"/>
    <cellStyle name="Nota 164 2" xfId="37636" xr:uid="{00000000-0005-0000-0000-000079770000}"/>
    <cellStyle name="Nota 165" xfId="21766" xr:uid="{00000000-0005-0000-0000-00007A770000}"/>
    <cellStyle name="Nota 165 2" xfId="37637" xr:uid="{00000000-0005-0000-0000-00007B770000}"/>
    <cellStyle name="Nota 166" xfId="21767" xr:uid="{00000000-0005-0000-0000-00007C770000}"/>
    <cellStyle name="Nota 166 2" xfId="37638" xr:uid="{00000000-0005-0000-0000-00007D770000}"/>
    <cellStyle name="Nota 167" xfId="21768" xr:uid="{00000000-0005-0000-0000-00007E770000}"/>
    <cellStyle name="Nota 167 2" xfId="37639" xr:uid="{00000000-0005-0000-0000-00007F770000}"/>
    <cellStyle name="Nota 168" xfId="21769" xr:uid="{00000000-0005-0000-0000-000080770000}"/>
    <cellStyle name="Nota 168 2" xfId="37640" xr:uid="{00000000-0005-0000-0000-000081770000}"/>
    <cellStyle name="Nota 169" xfId="21770" xr:uid="{00000000-0005-0000-0000-000082770000}"/>
    <cellStyle name="Nota 169 2" xfId="37641" xr:uid="{00000000-0005-0000-0000-000083770000}"/>
    <cellStyle name="Nota 17" xfId="21771" xr:uid="{00000000-0005-0000-0000-000084770000}"/>
    <cellStyle name="Nota 17 2" xfId="21772" xr:uid="{00000000-0005-0000-0000-000085770000}"/>
    <cellStyle name="Nota 17 2 2" xfId="37642" xr:uid="{00000000-0005-0000-0000-000086770000}"/>
    <cellStyle name="Nota 17 3" xfId="21773" xr:uid="{00000000-0005-0000-0000-000087770000}"/>
    <cellStyle name="Nota 17 3 2" xfId="37643" xr:uid="{00000000-0005-0000-0000-000088770000}"/>
    <cellStyle name="Nota 17 4" xfId="21774" xr:uid="{00000000-0005-0000-0000-000089770000}"/>
    <cellStyle name="Nota 17 4 2" xfId="37644" xr:uid="{00000000-0005-0000-0000-00008A770000}"/>
    <cellStyle name="Nota 17 5" xfId="21775" xr:uid="{00000000-0005-0000-0000-00008B770000}"/>
    <cellStyle name="Nota 17 5 2" xfId="37645" xr:uid="{00000000-0005-0000-0000-00008C770000}"/>
    <cellStyle name="Nota 17 6" xfId="21776" xr:uid="{00000000-0005-0000-0000-00008D770000}"/>
    <cellStyle name="Nota 17 6 2" xfId="37646" xr:uid="{00000000-0005-0000-0000-00008E770000}"/>
    <cellStyle name="Nota 17 7" xfId="21777" xr:uid="{00000000-0005-0000-0000-00008F770000}"/>
    <cellStyle name="Nota 17 7 2" xfId="37647" xr:uid="{00000000-0005-0000-0000-000090770000}"/>
    <cellStyle name="Nota 17 8" xfId="29183" xr:uid="{00000000-0005-0000-0000-000091770000}"/>
    <cellStyle name="Nota 17 8 2" xfId="40799" xr:uid="{00000000-0005-0000-0000-000092770000}"/>
    <cellStyle name="Nota 170" xfId="21778" xr:uid="{00000000-0005-0000-0000-000093770000}"/>
    <cellStyle name="Nota 170 2" xfId="37648" xr:uid="{00000000-0005-0000-0000-000094770000}"/>
    <cellStyle name="Nota 171" xfId="21779" xr:uid="{00000000-0005-0000-0000-000095770000}"/>
    <cellStyle name="Nota 171 2" xfId="37649" xr:uid="{00000000-0005-0000-0000-000096770000}"/>
    <cellStyle name="Nota 172" xfId="21780" xr:uid="{00000000-0005-0000-0000-000097770000}"/>
    <cellStyle name="Nota 172 2" xfId="37650" xr:uid="{00000000-0005-0000-0000-000098770000}"/>
    <cellStyle name="Nota 173" xfId="21781" xr:uid="{00000000-0005-0000-0000-000099770000}"/>
    <cellStyle name="Nota 173 2" xfId="37651" xr:uid="{00000000-0005-0000-0000-00009A770000}"/>
    <cellStyle name="Nota 174" xfId="21782" xr:uid="{00000000-0005-0000-0000-00009B770000}"/>
    <cellStyle name="Nota 174 2" xfId="37652" xr:uid="{00000000-0005-0000-0000-00009C770000}"/>
    <cellStyle name="Nota 175" xfId="21783" xr:uid="{00000000-0005-0000-0000-00009D770000}"/>
    <cellStyle name="Nota 175 2" xfId="37653" xr:uid="{00000000-0005-0000-0000-00009E770000}"/>
    <cellStyle name="Nota 176" xfId="21784" xr:uid="{00000000-0005-0000-0000-00009F770000}"/>
    <cellStyle name="Nota 176 2" xfId="37654" xr:uid="{00000000-0005-0000-0000-0000A0770000}"/>
    <cellStyle name="Nota 177" xfId="21785" xr:uid="{00000000-0005-0000-0000-0000A1770000}"/>
    <cellStyle name="Nota 177 2" xfId="37655" xr:uid="{00000000-0005-0000-0000-0000A2770000}"/>
    <cellStyle name="Nota 178" xfId="21786" xr:uid="{00000000-0005-0000-0000-0000A3770000}"/>
    <cellStyle name="Nota 178 2" xfId="37656" xr:uid="{00000000-0005-0000-0000-0000A4770000}"/>
    <cellStyle name="Nota 179" xfId="21787" xr:uid="{00000000-0005-0000-0000-0000A5770000}"/>
    <cellStyle name="Nota 179 2" xfId="37657" xr:uid="{00000000-0005-0000-0000-0000A6770000}"/>
    <cellStyle name="Nota 18" xfId="21788" xr:uid="{00000000-0005-0000-0000-0000A7770000}"/>
    <cellStyle name="Nota 18 2" xfId="21789" xr:uid="{00000000-0005-0000-0000-0000A8770000}"/>
    <cellStyle name="Nota 18 2 2" xfId="37658" xr:uid="{00000000-0005-0000-0000-0000A9770000}"/>
    <cellStyle name="Nota 18 3" xfId="21790" xr:uid="{00000000-0005-0000-0000-0000AA770000}"/>
    <cellStyle name="Nota 18 3 2" xfId="37659" xr:uid="{00000000-0005-0000-0000-0000AB770000}"/>
    <cellStyle name="Nota 18 4" xfId="21791" xr:uid="{00000000-0005-0000-0000-0000AC770000}"/>
    <cellStyle name="Nota 18 4 2" xfId="37660" xr:uid="{00000000-0005-0000-0000-0000AD770000}"/>
    <cellStyle name="Nota 18 5" xfId="21792" xr:uid="{00000000-0005-0000-0000-0000AE770000}"/>
    <cellStyle name="Nota 18 5 2" xfId="37661" xr:uid="{00000000-0005-0000-0000-0000AF770000}"/>
    <cellStyle name="Nota 18 6" xfId="21793" xr:uid="{00000000-0005-0000-0000-0000B0770000}"/>
    <cellStyle name="Nota 18 6 2" xfId="37662" xr:uid="{00000000-0005-0000-0000-0000B1770000}"/>
    <cellStyle name="Nota 18 7" xfId="21794" xr:uid="{00000000-0005-0000-0000-0000B2770000}"/>
    <cellStyle name="Nota 18 7 2" xfId="37663" xr:uid="{00000000-0005-0000-0000-0000B3770000}"/>
    <cellStyle name="Nota 18 8" xfId="29184" xr:uid="{00000000-0005-0000-0000-0000B4770000}"/>
    <cellStyle name="Nota 18 8 2" xfId="40800" xr:uid="{00000000-0005-0000-0000-0000B5770000}"/>
    <cellStyle name="Nota 180" xfId="21795" xr:uid="{00000000-0005-0000-0000-0000B6770000}"/>
    <cellStyle name="Nota 180 2" xfId="37664" xr:uid="{00000000-0005-0000-0000-0000B7770000}"/>
    <cellStyle name="Nota 181" xfId="21796" xr:uid="{00000000-0005-0000-0000-0000B8770000}"/>
    <cellStyle name="Nota 181 2" xfId="37665" xr:uid="{00000000-0005-0000-0000-0000B9770000}"/>
    <cellStyle name="Nota 182" xfId="21797" xr:uid="{00000000-0005-0000-0000-0000BA770000}"/>
    <cellStyle name="Nota 182 2" xfId="37666" xr:uid="{00000000-0005-0000-0000-0000BB770000}"/>
    <cellStyle name="Nota 183" xfId="21798" xr:uid="{00000000-0005-0000-0000-0000BC770000}"/>
    <cellStyle name="Nota 183 2" xfId="37667" xr:uid="{00000000-0005-0000-0000-0000BD770000}"/>
    <cellStyle name="Nota 184" xfId="21799" xr:uid="{00000000-0005-0000-0000-0000BE770000}"/>
    <cellStyle name="Nota 184 2" xfId="37668" xr:uid="{00000000-0005-0000-0000-0000BF770000}"/>
    <cellStyle name="Nota 185" xfId="21800" xr:uid="{00000000-0005-0000-0000-0000C0770000}"/>
    <cellStyle name="Nota 185 2" xfId="37669" xr:uid="{00000000-0005-0000-0000-0000C1770000}"/>
    <cellStyle name="Nota 186" xfId="21801" xr:uid="{00000000-0005-0000-0000-0000C2770000}"/>
    <cellStyle name="Nota 186 2" xfId="37670" xr:uid="{00000000-0005-0000-0000-0000C3770000}"/>
    <cellStyle name="Nota 187" xfId="21802" xr:uid="{00000000-0005-0000-0000-0000C4770000}"/>
    <cellStyle name="Nota 187 2" xfId="37671" xr:uid="{00000000-0005-0000-0000-0000C5770000}"/>
    <cellStyle name="Nota 188" xfId="21803" xr:uid="{00000000-0005-0000-0000-0000C6770000}"/>
    <cellStyle name="Nota 188 2" xfId="37672" xr:uid="{00000000-0005-0000-0000-0000C7770000}"/>
    <cellStyle name="Nota 189" xfId="21804" xr:uid="{00000000-0005-0000-0000-0000C8770000}"/>
    <cellStyle name="Nota 189 2" xfId="37673" xr:uid="{00000000-0005-0000-0000-0000C9770000}"/>
    <cellStyle name="Nota 19" xfId="21805" xr:uid="{00000000-0005-0000-0000-0000CA770000}"/>
    <cellStyle name="Nota 19 2" xfId="21806" xr:uid="{00000000-0005-0000-0000-0000CB770000}"/>
    <cellStyle name="Nota 19 2 2" xfId="37674" xr:uid="{00000000-0005-0000-0000-0000CC770000}"/>
    <cellStyle name="Nota 19 3" xfId="21807" xr:uid="{00000000-0005-0000-0000-0000CD770000}"/>
    <cellStyle name="Nota 19 3 2" xfId="37675" xr:uid="{00000000-0005-0000-0000-0000CE770000}"/>
    <cellStyle name="Nota 19 4" xfId="21808" xr:uid="{00000000-0005-0000-0000-0000CF770000}"/>
    <cellStyle name="Nota 19 4 2" xfId="37676" xr:uid="{00000000-0005-0000-0000-0000D0770000}"/>
    <cellStyle name="Nota 19 5" xfId="21809" xr:uid="{00000000-0005-0000-0000-0000D1770000}"/>
    <cellStyle name="Nota 19 5 2" xfId="37677" xr:uid="{00000000-0005-0000-0000-0000D2770000}"/>
    <cellStyle name="Nota 19 6" xfId="21810" xr:uid="{00000000-0005-0000-0000-0000D3770000}"/>
    <cellStyle name="Nota 19 6 2" xfId="37678" xr:uid="{00000000-0005-0000-0000-0000D4770000}"/>
    <cellStyle name="Nota 19 7" xfId="21811" xr:uid="{00000000-0005-0000-0000-0000D5770000}"/>
    <cellStyle name="Nota 19 7 2" xfId="37679" xr:uid="{00000000-0005-0000-0000-0000D6770000}"/>
    <cellStyle name="Nota 19 8" xfId="29185" xr:uid="{00000000-0005-0000-0000-0000D7770000}"/>
    <cellStyle name="Nota 19 8 2" xfId="40801" xr:uid="{00000000-0005-0000-0000-0000D8770000}"/>
    <cellStyle name="Nota 190" xfId="21812" xr:uid="{00000000-0005-0000-0000-0000D9770000}"/>
    <cellStyle name="Nota 190 2" xfId="37680" xr:uid="{00000000-0005-0000-0000-0000DA770000}"/>
    <cellStyle name="Nota 191" xfId="21813" xr:uid="{00000000-0005-0000-0000-0000DB770000}"/>
    <cellStyle name="Nota 191 2" xfId="37681" xr:uid="{00000000-0005-0000-0000-0000DC770000}"/>
    <cellStyle name="Nota 192" xfId="21814" xr:uid="{00000000-0005-0000-0000-0000DD770000}"/>
    <cellStyle name="Nota 192 2" xfId="37682" xr:uid="{00000000-0005-0000-0000-0000DE770000}"/>
    <cellStyle name="Nota 193" xfId="21815" xr:uid="{00000000-0005-0000-0000-0000DF770000}"/>
    <cellStyle name="Nota 193 2" xfId="37683" xr:uid="{00000000-0005-0000-0000-0000E0770000}"/>
    <cellStyle name="Nota 194" xfId="21816" xr:uid="{00000000-0005-0000-0000-0000E1770000}"/>
    <cellStyle name="Nota 194 2" xfId="37684" xr:uid="{00000000-0005-0000-0000-0000E2770000}"/>
    <cellStyle name="Nota 195" xfId="21817" xr:uid="{00000000-0005-0000-0000-0000E3770000}"/>
    <cellStyle name="Nota 195 2" xfId="37685" xr:uid="{00000000-0005-0000-0000-0000E4770000}"/>
    <cellStyle name="Nota 196" xfId="21818" xr:uid="{00000000-0005-0000-0000-0000E5770000}"/>
    <cellStyle name="Nota 196 2" xfId="37686" xr:uid="{00000000-0005-0000-0000-0000E6770000}"/>
    <cellStyle name="Nota 197" xfId="21819" xr:uid="{00000000-0005-0000-0000-0000E7770000}"/>
    <cellStyle name="Nota 197 2" xfId="37687" xr:uid="{00000000-0005-0000-0000-0000E8770000}"/>
    <cellStyle name="Nota 198" xfId="21820" xr:uid="{00000000-0005-0000-0000-0000E9770000}"/>
    <cellStyle name="Nota 198 2" xfId="37688" xr:uid="{00000000-0005-0000-0000-0000EA770000}"/>
    <cellStyle name="Nota 199" xfId="21821" xr:uid="{00000000-0005-0000-0000-0000EB770000}"/>
    <cellStyle name="Nota 199 2" xfId="37689" xr:uid="{00000000-0005-0000-0000-0000EC770000}"/>
    <cellStyle name="Nota 2" xfId="21822" xr:uid="{00000000-0005-0000-0000-0000ED770000}"/>
    <cellStyle name="Nota 2 10" xfId="21823" xr:uid="{00000000-0005-0000-0000-0000EE770000}"/>
    <cellStyle name="Nota 2 10 2" xfId="29186" xr:uid="{00000000-0005-0000-0000-0000EF770000}"/>
    <cellStyle name="Nota 2 11" xfId="21824" xr:uid="{00000000-0005-0000-0000-0000F0770000}"/>
    <cellStyle name="Nota 2 11 2" xfId="29187" xr:uid="{00000000-0005-0000-0000-0000F1770000}"/>
    <cellStyle name="Nota 2 12" xfId="21825" xr:uid="{00000000-0005-0000-0000-0000F2770000}"/>
    <cellStyle name="Nota 2 12 2" xfId="29188" xr:uid="{00000000-0005-0000-0000-0000F3770000}"/>
    <cellStyle name="Nota 2 13" xfId="21826" xr:uid="{00000000-0005-0000-0000-0000F4770000}"/>
    <cellStyle name="Nota 2 13 2" xfId="29189" xr:uid="{00000000-0005-0000-0000-0000F5770000}"/>
    <cellStyle name="Nota 2 14" xfId="21827" xr:uid="{00000000-0005-0000-0000-0000F6770000}"/>
    <cellStyle name="Nota 2 14 2" xfId="29190" xr:uid="{00000000-0005-0000-0000-0000F7770000}"/>
    <cellStyle name="Nota 2 15" xfId="21828" xr:uid="{00000000-0005-0000-0000-0000F8770000}"/>
    <cellStyle name="Nota 2 15 2" xfId="29191" xr:uid="{00000000-0005-0000-0000-0000F9770000}"/>
    <cellStyle name="Nota 2 16" xfId="21829" xr:uid="{00000000-0005-0000-0000-0000FA770000}"/>
    <cellStyle name="Nota 2 16 2" xfId="29192" xr:uid="{00000000-0005-0000-0000-0000FB770000}"/>
    <cellStyle name="Nota 2 17" xfId="21830" xr:uid="{00000000-0005-0000-0000-0000FC770000}"/>
    <cellStyle name="Nota 2 17 2" xfId="29193" xr:uid="{00000000-0005-0000-0000-0000FD770000}"/>
    <cellStyle name="Nota 2 18" xfId="21831" xr:uid="{00000000-0005-0000-0000-0000FE770000}"/>
    <cellStyle name="Nota 2 18 2" xfId="29194" xr:uid="{00000000-0005-0000-0000-0000FF770000}"/>
    <cellStyle name="Nota 2 19" xfId="21832" xr:uid="{00000000-0005-0000-0000-000000780000}"/>
    <cellStyle name="Nota 2 19 2" xfId="29195" xr:uid="{00000000-0005-0000-0000-000001780000}"/>
    <cellStyle name="Nota 2 2" xfId="21833" xr:uid="{00000000-0005-0000-0000-000002780000}"/>
    <cellStyle name="Nota 2 2 10" xfId="21834" xr:uid="{00000000-0005-0000-0000-000003780000}"/>
    <cellStyle name="Nota 2 2 10 2" xfId="37690" xr:uid="{00000000-0005-0000-0000-000004780000}"/>
    <cellStyle name="Nota 2 2 11" xfId="21835" xr:uid="{00000000-0005-0000-0000-000005780000}"/>
    <cellStyle name="Nota 2 2 11 2" xfId="37691" xr:uid="{00000000-0005-0000-0000-000006780000}"/>
    <cellStyle name="Nota 2 2 12" xfId="21836" xr:uid="{00000000-0005-0000-0000-000007780000}"/>
    <cellStyle name="Nota 2 2 12 2" xfId="37692" xr:uid="{00000000-0005-0000-0000-000008780000}"/>
    <cellStyle name="Nota 2 2 13" xfId="21837" xr:uid="{00000000-0005-0000-0000-000009780000}"/>
    <cellStyle name="Nota 2 2 13 2" xfId="37693" xr:uid="{00000000-0005-0000-0000-00000A780000}"/>
    <cellStyle name="Nota 2 2 14" xfId="21838" xr:uid="{00000000-0005-0000-0000-00000B780000}"/>
    <cellStyle name="Nota 2 2 14 2" xfId="37694" xr:uid="{00000000-0005-0000-0000-00000C780000}"/>
    <cellStyle name="Nota 2 2 15" xfId="21839" xr:uid="{00000000-0005-0000-0000-00000D780000}"/>
    <cellStyle name="Nota 2 2 15 2" xfId="37695" xr:uid="{00000000-0005-0000-0000-00000E780000}"/>
    <cellStyle name="Nota 2 2 16" xfId="21840" xr:uid="{00000000-0005-0000-0000-00000F780000}"/>
    <cellStyle name="Nota 2 2 16 2" xfId="37696" xr:uid="{00000000-0005-0000-0000-000010780000}"/>
    <cellStyle name="Nota 2 2 17" xfId="21841" xr:uid="{00000000-0005-0000-0000-000011780000}"/>
    <cellStyle name="Nota 2 2 17 2" xfId="37697" xr:uid="{00000000-0005-0000-0000-000012780000}"/>
    <cellStyle name="Nota 2 2 18" xfId="21842" xr:uid="{00000000-0005-0000-0000-000013780000}"/>
    <cellStyle name="Nota 2 2 18 2" xfId="37698" xr:uid="{00000000-0005-0000-0000-000014780000}"/>
    <cellStyle name="Nota 2 2 19" xfId="21843" xr:uid="{00000000-0005-0000-0000-000015780000}"/>
    <cellStyle name="Nota 2 2 19 2" xfId="37699" xr:uid="{00000000-0005-0000-0000-000016780000}"/>
    <cellStyle name="Nota 2 2 2" xfId="21844" xr:uid="{00000000-0005-0000-0000-000017780000}"/>
    <cellStyle name="Nota 2 2 2 2" xfId="37700" xr:uid="{00000000-0005-0000-0000-000018780000}"/>
    <cellStyle name="Nota 2 2 20" xfId="21845" xr:uid="{00000000-0005-0000-0000-000019780000}"/>
    <cellStyle name="Nota 2 2 20 2" xfId="37701" xr:uid="{00000000-0005-0000-0000-00001A780000}"/>
    <cellStyle name="Nota 2 2 21" xfId="21846" xr:uid="{00000000-0005-0000-0000-00001B780000}"/>
    <cellStyle name="Nota 2 2 21 2" xfId="37702" xr:uid="{00000000-0005-0000-0000-00001C780000}"/>
    <cellStyle name="Nota 2 2 22" xfId="21847" xr:uid="{00000000-0005-0000-0000-00001D780000}"/>
    <cellStyle name="Nota 2 2 22 2" xfId="37703" xr:uid="{00000000-0005-0000-0000-00001E780000}"/>
    <cellStyle name="Nota 2 2 23" xfId="21848" xr:uid="{00000000-0005-0000-0000-00001F780000}"/>
    <cellStyle name="Nota 2 2 23 2" xfId="37704" xr:uid="{00000000-0005-0000-0000-000020780000}"/>
    <cellStyle name="Nota 2 2 24" xfId="21849" xr:uid="{00000000-0005-0000-0000-000021780000}"/>
    <cellStyle name="Nota 2 2 24 2" xfId="37705" xr:uid="{00000000-0005-0000-0000-000022780000}"/>
    <cellStyle name="Nota 2 2 25" xfId="21850" xr:uid="{00000000-0005-0000-0000-000023780000}"/>
    <cellStyle name="Nota 2 2 25 2" xfId="37706" xr:uid="{00000000-0005-0000-0000-000024780000}"/>
    <cellStyle name="Nota 2 2 26" xfId="21851" xr:uid="{00000000-0005-0000-0000-000025780000}"/>
    <cellStyle name="Nota 2 2 26 2" xfId="37707" xr:uid="{00000000-0005-0000-0000-000026780000}"/>
    <cellStyle name="Nota 2 2 27" xfId="21852" xr:uid="{00000000-0005-0000-0000-000027780000}"/>
    <cellStyle name="Nota 2 2 27 2" xfId="37708" xr:uid="{00000000-0005-0000-0000-000028780000}"/>
    <cellStyle name="Nota 2 2 28" xfId="29196" xr:uid="{00000000-0005-0000-0000-000029780000}"/>
    <cellStyle name="Nota 2 2 28 2" xfId="40802" xr:uid="{00000000-0005-0000-0000-00002A780000}"/>
    <cellStyle name="Nota 2 2 3" xfId="21853" xr:uid="{00000000-0005-0000-0000-00002B780000}"/>
    <cellStyle name="Nota 2 2 3 2" xfId="37709" xr:uid="{00000000-0005-0000-0000-00002C780000}"/>
    <cellStyle name="Nota 2 2 4" xfId="21854" xr:uid="{00000000-0005-0000-0000-00002D780000}"/>
    <cellStyle name="Nota 2 2 4 2" xfId="37710" xr:uid="{00000000-0005-0000-0000-00002E780000}"/>
    <cellStyle name="Nota 2 2 5" xfId="21855" xr:uid="{00000000-0005-0000-0000-00002F780000}"/>
    <cellStyle name="Nota 2 2 5 2" xfId="37711" xr:uid="{00000000-0005-0000-0000-000030780000}"/>
    <cellStyle name="Nota 2 2 6" xfId="21856" xr:uid="{00000000-0005-0000-0000-000031780000}"/>
    <cellStyle name="Nota 2 2 6 2" xfId="37712" xr:uid="{00000000-0005-0000-0000-000032780000}"/>
    <cellStyle name="Nota 2 2 7" xfId="21857" xr:uid="{00000000-0005-0000-0000-000033780000}"/>
    <cellStyle name="Nota 2 2 7 2" xfId="37713" xr:uid="{00000000-0005-0000-0000-000034780000}"/>
    <cellStyle name="Nota 2 2 8" xfId="21858" xr:uid="{00000000-0005-0000-0000-000035780000}"/>
    <cellStyle name="Nota 2 2 8 2" xfId="37714" xr:uid="{00000000-0005-0000-0000-000036780000}"/>
    <cellStyle name="Nota 2 2 9" xfId="21859" xr:uid="{00000000-0005-0000-0000-000037780000}"/>
    <cellStyle name="Nota 2 2 9 2" xfId="37715" xr:uid="{00000000-0005-0000-0000-000038780000}"/>
    <cellStyle name="Nota 2 20" xfId="21860" xr:uid="{00000000-0005-0000-0000-000039780000}"/>
    <cellStyle name="Nota 2 20 2" xfId="29197" xr:uid="{00000000-0005-0000-0000-00003A780000}"/>
    <cellStyle name="Nota 2 21" xfId="21861" xr:uid="{00000000-0005-0000-0000-00003B780000}"/>
    <cellStyle name="Nota 2 21 2" xfId="29198" xr:uid="{00000000-0005-0000-0000-00003C780000}"/>
    <cellStyle name="Nota 2 22" xfId="21862" xr:uid="{00000000-0005-0000-0000-00003D780000}"/>
    <cellStyle name="Nota 2 22 2" xfId="29199" xr:uid="{00000000-0005-0000-0000-00003E780000}"/>
    <cellStyle name="Nota 2 23" xfId="21863" xr:uid="{00000000-0005-0000-0000-00003F780000}"/>
    <cellStyle name="Nota 2 23 2" xfId="29200" xr:uid="{00000000-0005-0000-0000-000040780000}"/>
    <cellStyle name="Nota 2 24" xfId="21864" xr:uid="{00000000-0005-0000-0000-000041780000}"/>
    <cellStyle name="Nota 2 24 2" xfId="29201" xr:uid="{00000000-0005-0000-0000-000042780000}"/>
    <cellStyle name="Nota 2 25" xfId="21865" xr:uid="{00000000-0005-0000-0000-000043780000}"/>
    <cellStyle name="Nota 2 25 2" xfId="29202" xr:uid="{00000000-0005-0000-0000-000044780000}"/>
    <cellStyle name="Nota 2 26" xfId="21866" xr:uid="{00000000-0005-0000-0000-000045780000}"/>
    <cellStyle name="Nota 2 26 2" xfId="29203" xr:uid="{00000000-0005-0000-0000-000046780000}"/>
    <cellStyle name="Nota 2 27" xfId="21867" xr:uid="{00000000-0005-0000-0000-000047780000}"/>
    <cellStyle name="Nota 2 27 2" xfId="29204" xr:uid="{00000000-0005-0000-0000-000048780000}"/>
    <cellStyle name="Nota 2 28" xfId="21868" xr:uid="{00000000-0005-0000-0000-000049780000}"/>
    <cellStyle name="Nota 2 28 2" xfId="29205" xr:uid="{00000000-0005-0000-0000-00004A780000}"/>
    <cellStyle name="Nota 2 29" xfId="21869" xr:uid="{00000000-0005-0000-0000-00004B780000}"/>
    <cellStyle name="Nota 2 29 2" xfId="29206" xr:uid="{00000000-0005-0000-0000-00004C780000}"/>
    <cellStyle name="Nota 2 3" xfId="21870" xr:uid="{00000000-0005-0000-0000-00004D780000}"/>
    <cellStyle name="Nota 2 3 10" xfId="21871" xr:uid="{00000000-0005-0000-0000-00004E780000}"/>
    <cellStyle name="Nota 2 3 10 2" xfId="37716" xr:uid="{00000000-0005-0000-0000-00004F780000}"/>
    <cellStyle name="Nota 2 3 11" xfId="21872" xr:uid="{00000000-0005-0000-0000-000050780000}"/>
    <cellStyle name="Nota 2 3 11 2" xfId="37717" xr:uid="{00000000-0005-0000-0000-000051780000}"/>
    <cellStyle name="Nota 2 3 12" xfId="21873" xr:uid="{00000000-0005-0000-0000-000052780000}"/>
    <cellStyle name="Nota 2 3 12 2" xfId="37718" xr:uid="{00000000-0005-0000-0000-000053780000}"/>
    <cellStyle name="Nota 2 3 13" xfId="21874" xr:uid="{00000000-0005-0000-0000-000054780000}"/>
    <cellStyle name="Nota 2 3 13 2" xfId="37719" xr:uid="{00000000-0005-0000-0000-000055780000}"/>
    <cellStyle name="Nota 2 3 14" xfId="21875" xr:uid="{00000000-0005-0000-0000-000056780000}"/>
    <cellStyle name="Nota 2 3 14 2" xfId="37720" xr:uid="{00000000-0005-0000-0000-000057780000}"/>
    <cellStyle name="Nota 2 3 15" xfId="21876" xr:uid="{00000000-0005-0000-0000-000058780000}"/>
    <cellStyle name="Nota 2 3 15 2" xfId="37721" xr:uid="{00000000-0005-0000-0000-000059780000}"/>
    <cellStyle name="Nota 2 3 16" xfId="21877" xr:uid="{00000000-0005-0000-0000-00005A780000}"/>
    <cellStyle name="Nota 2 3 16 2" xfId="37722" xr:uid="{00000000-0005-0000-0000-00005B780000}"/>
    <cellStyle name="Nota 2 3 17" xfId="21878" xr:uid="{00000000-0005-0000-0000-00005C780000}"/>
    <cellStyle name="Nota 2 3 17 2" xfId="37723" xr:uid="{00000000-0005-0000-0000-00005D780000}"/>
    <cellStyle name="Nota 2 3 18" xfId="21879" xr:uid="{00000000-0005-0000-0000-00005E780000}"/>
    <cellStyle name="Nota 2 3 18 2" xfId="37724" xr:uid="{00000000-0005-0000-0000-00005F780000}"/>
    <cellStyle name="Nota 2 3 19" xfId="21880" xr:uid="{00000000-0005-0000-0000-000060780000}"/>
    <cellStyle name="Nota 2 3 19 2" xfId="37725" xr:uid="{00000000-0005-0000-0000-000061780000}"/>
    <cellStyle name="Nota 2 3 2" xfId="21881" xr:uid="{00000000-0005-0000-0000-000062780000}"/>
    <cellStyle name="Nota 2 3 2 2" xfId="37726" xr:uid="{00000000-0005-0000-0000-000063780000}"/>
    <cellStyle name="Nota 2 3 20" xfId="21882" xr:uid="{00000000-0005-0000-0000-000064780000}"/>
    <cellStyle name="Nota 2 3 20 2" xfId="37727" xr:uid="{00000000-0005-0000-0000-000065780000}"/>
    <cellStyle name="Nota 2 3 21" xfId="21883" xr:uid="{00000000-0005-0000-0000-000066780000}"/>
    <cellStyle name="Nota 2 3 21 2" xfId="37728" xr:uid="{00000000-0005-0000-0000-000067780000}"/>
    <cellStyle name="Nota 2 3 22" xfId="21884" xr:uid="{00000000-0005-0000-0000-000068780000}"/>
    <cellStyle name="Nota 2 3 22 2" xfId="37729" xr:uid="{00000000-0005-0000-0000-000069780000}"/>
    <cellStyle name="Nota 2 3 23" xfId="21885" xr:uid="{00000000-0005-0000-0000-00006A780000}"/>
    <cellStyle name="Nota 2 3 23 2" xfId="37730" xr:uid="{00000000-0005-0000-0000-00006B780000}"/>
    <cellStyle name="Nota 2 3 24" xfId="21886" xr:uid="{00000000-0005-0000-0000-00006C780000}"/>
    <cellStyle name="Nota 2 3 24 2" xfId="37731" xr:uid="{00000000-0005-0000-0000-00006D780000}"/>
    <cellStyle name="Nota 2 3 25" xfId="21887" xr:uid="{00000000-0005-0000-0000-00006E780000}"/>
    <cellStyle name="Nota 2 3 25 2" xfId="37732" xr:uid="{00000000-0005-0000-0000-00006F780000}"/>
    <cellStyle name="Nota 2 3 26" xfId="21888" xr:uid="{00000000-0005-0000-0000-000070780000}"/>
    <cellStyle name="Nota 2 3 26 2" xfId="37733" xr:uid="{00000000-0005-0000-0000-000071780000}"/>
    <cellStyle name="Nota 2 3 27" xfId="21889" xr:uid="{00000000-0005-0000-0000-000072780000}"/>
    <cellStyle name="Nota 2 3 27 2" xfId="37734" xr:uid="{00000000-0005-0000-0000-000073780000}"/>
    <cellStyle name="Nota 2 3 28" xfId="29207" xr:uid="{00000000-0005-0000-0000-000074780000}"/>
    <cellStyle name="Nota 2 3 28 2" xfId="40803" xr:uid="{00000000-0005-0000-0000-000075780000}"/>
    <cellStyle name="Nota 2 3 3" xfId="21890" xr:uid="{00000000-0005-0000-0000-000076780000}"/>
    <cellStyle name="Nota 2 3 3 2" xfId="37735" xr:uid="{00000000-0005-0000-0000-000077780000}"/>
    <cellStyle name="Nota 2 3 4" xfId="21891" xr:uid="{00000000-0005-0000-0000-000078780000}"/>
    <cellStyle name="Nota 2 3 4 2" xfId="37736" xr:uid="{00000000-0005-0000-0000-000079780000}"/>
    <cellStyle name="Nota 2 3 5" xfId="21892" xr:uid="{00000000-0005-0000-0000-00007A780000}"/>
    <cellStyle name="Nota 2 3 5 2" xfId="37737" xr:uid="{00000000-0005-0000-0000-00007B780000}"/>
    <cellStyle name="Nota 2 3 6" xfId="21893" xr:uid="{00000000-0005-0000-0000-00007C780000}"/>
    <cellStyle name="Nota 2 3 6 2" xfId="37738" xr:uid="{00000000-0005-0000-0000-00007D780000}"/>
    <cellStyle name="Nota 2 3 7" xfId="21894" xr:uid="{00000000-0005-0000-0000-00007E780000}"/>
    <cellStyle name="Nota 2 3 7 2" xfId="37739" xr:uid="{00000000-0005-0000-0000-00007F780000}"/>
    <cellStyle name="Nota 2 3 8" xfId="21895" xr:uid="{00000000-0005-0000-0000-000080780000}"/>
    <cellStyle name="Nota 2 3 8 2" xfId="37740" xr:uid="{00000000-0005-0000-0000-000081780000}"/>
    <cellStyle name="Nota 2 3 9" xfId="21896" xr:uid="{00000000-0005-0000-0000-000082780000}"/>
    <cellStyle name="Nota 2 3 9 2" xfId="37741" xr:uid="{00000000-0005-0000-0000-000083780000}"/>
    <cellStyle name="Nota 2 30" xfId="21897" xr:uid="{00000000-0005-0000-0000-000084780000}"/>
    <cellStyle name="Nota 2 30 2" xfId="29208" xr:uid="{00000000-0005-0000-0000-000085780000}"/>
    <cellStyle name="Nota 2 31" xfId="21898" xr:uid="{00000000-0005-0000-0000-000086780000}"/>
    <cellStyle name="Nota 2 31 10" xfId="21899" xr:uid="{00000000-0005-0000-0000-000087780000}"/>
    <cellStyle name="Nota 2 31 10 2" xfId="37743" xr:uid="{00000000-0005-0000-0000-000088780000}"/>
    <cellStyle name="Nota 2 31 11" xfId="21900" xr:uid="{00000000-0005-0000-0000-000089780000}"/>
    <cellStyle name="Nota 2 31 11 2" xfId="37744" xr:uid="{00000000-0005-0000-0000-00008A780000}"/>
    <cellStyle name="Nota 2 31 12" xfId="21901" xr:uid="{00000000-0005-0000-0000-00008B780000}"/>
    <cellStyle name="Nota 2 31 12 2" xfId="37745" xr:uid="{00000000-0005-0000-0000-00008C780000}"/>
    <cellStyle name="Nota 2 31 13" xfId="21902" xr:uid="{00000000-0005-0000-0000-00008D780000}"/>
    <cellStyle name="Nota 2 31 13 2" xfId="37746" xr:uid="{00000000-0005-0000-0000-00008E780000}"/>
    <cellStyle name="Nota 2 31 14" xfId="21903" xr:uid="{00000000-0005-0000-0000-00008F780000}"/>
    <cellStyle name="Nota 2 31 14 2" xfId="37747" xr:uid="{00000000-0005-0000-0000-000090780000}"/>
    <cellStyle name="Nota 2 31 15" xfId="21904" xr:uid="{00000000-0005-0000-0000-000091780000}"/>
    <cellStyle name="Nota 2 31 15 2" xfId="37748" xr:uid="{00000000-0005-0000-0000-000092780000}"/>
    <cellStyle name="Nota 2 31 16" xfId="21905" xr:uid="{00000000-0005-0000-0000-000093780000}"/>
    <cellStyle name="Nota 2 31 16 2" xfId="37749" xr:uid="{00000000-0005-0000-0000-000094780000}"/>
    <cellStyle name="Nota 2 31 17" xfId="21906" xr:uid="{00000000-0005-0000-0000-000095780000}"/>
    <cellStyle name="Nota 2 31 17 2" xfId="37750" xr:uid="{00000000-0005-0000-0000-000096780000}"/>
    <cellStyle name="Nota 2 31 18" xfId="21907" xr:uid="{00000000-0005-0000-0000-000097780000}"/>
    <cellStyle name="Nota 2 31 18 2" xfId="37751" xr:uid="{00000000-0005-0000-0000-000098780000}"/>
    <cellStyle name="Nota 2 31 19" xfId="21908" xr:uid="{00000000-0005-0000-0000-000099780000}"/>
    <cellStyle name="Nota 2 31 19 2" xfId="37752" xr:uid="{00000000-0005-0000-0000-00009A780000}"/>
    <cellStyle name="Nota 2 31 2" xfId="21909" xr:uid="{00000000-0005-0000-0000-00009B780000}"/>
    <cellStyle name="Nota 2 31 2 2" xfId="37753" xr:uid="{00000000-0005-0000-0000-00009C780000}"/>
    <cellStyle name="Nota 2 31 20" xfId="21910" xr:uid="{00000000-0005-0000-0000-00009D780000}"/>
    <cellStyle name="Nota 2 31 20 2" xfId="37754" xr:uid="{00000000-0005-0000-0000-00009E780000}"/>
    <cellStyle name="Nota 2 31 21" xfId="37742" xr:uid="{00000000-0005-0000-0000-00009F780000}"/>
    <cellStyle name="Nota 2 31 3" xfId="21911" xr:uid="{00000000-0005-0000-0000-0000A0780000}"/>
    <cellStyle name="Nota 2 31 3 2" xfId="37755" xr:uid="{00000000-0005-0000-0000-0000A1780000}"/>
    <cellStyle name="Nota 2 31 4" xfId="21912" xr:uid="{00000000-0005-0000-0000-0000A2780000}"/>
    <cellStyle name="Nota 2 31 4 2" xfId="37756" xr:uid="{00000000-0005-0000-0000-0000A3780000}"/>
    <cellStyle name="Nota 2 31 5" xfId="21913" xr:uid="{00000000-0005-0000-0000-0000A4780000}"/>
    <cellStyle name="Nota 2 31 5 2" xfId="37757" xr:uid="{00000000-0005-0000-0000-0000A5780000}"/>
    <cellStyle name="Nota 2 31 6" xfId="21914" xr:uid="{00000000-0005-0000-0000-0000A6780000}"/>
    <cellStyle name="Nota 2 31 6 2" xfId="37758" xr:uid="{00000000-0005-0000-0000-0000A7780000}"/>
    <cellStyle name="Nota 2 31 7" xfId="21915" xr:uid="{00000000-0005-0000-0000-0000A8780000}"/>
    <cellStyle name="Nota 2 31 7 2" xfId="37759" xr:uid="{00000000-0005-0000-0000-0000A9780000}"/>
    <cellStyle name="Nota 2 31 8" xfId="21916" xr:uid="{00000000-0005-0000-0000-0000AA780000}"/>
    <cellStyle name="Nota 2 31 8 2" xfId="37760" xr:uid="{00000000-0005-0000-0000-0000AB780000}"/>
    <cellStyle name="Nota 2 31 9" xfId="21917" xr:uid="{00000000-0005-0000-0000-0000AC780000}"/>
    <cellStyle name="Nota 2 31 9 2" xfId="37761" xr:uid="{00000000-0005-0000-0000-0000AD780000}"/>
    <cellStyle name="Nota 2 32" xfId="21918" xr:uid="{00000000-0005-0000-0000-0000AE780000}"/>
    <cellStyle name="Nota 2 32 10" xfId="21919" xr:uid="{00000000-0005-0000-0000-0000AF780000}"/>
    <cellStyle name="Nota 2 32 10 2" xfId="37763" xr:uid="{00000000-0005-0000-0000-0000B0780000}"/>
    <cellStyle name="Nota 2 32 11" xfId="21920" xr:uid="{00000000-0005-0000-0000-0000B1780000}"/>
    <cellStyle name="Nota 2 32 11 2" xfId="37764" xr:uid="{00000000-0005-0000-0000-0000B2780000}"/>
    <cellStyle name="Nota 2 32 12" xfId="21921" xr:uid="{00000000-0005-0000-0000-0000B3780000}"/>
    <cellStyle name="Nota 2 32 12 2" xfId="37765" xr:uid="{00000000-0005-0000-0000-0000B4780000}"/>
    <cellStyle name="Nota 2 32 13" xfId="21922" xr:uid="{00000000-0005-0000-0000-0000B5780000}"/>
    <cellStyle name="Nota 2 32 13 2" xfId="37766" xr:uid="{00000000-0005-0000-0000-0000B6780000}"/>
    <cellStyle name="Nota 2 32 14" xfId="21923" xr:uid="{00000000-0005-0000-0000-0000B7780000}"/>
    <cellStyle name="Nota 2 32 14 2" xfId="37767" xr:uid="{00000000-0005-0000-0000-0000B8780000}"/>
    <cellStyle name="Nota 2 32 15" xfId="21924" xr:uid="{00000000-0005-0000-0000-0000B9780000}"/>
    <cellStyle name="Nota 2 32 15 2" xfId="37768" xr:uid="{00000000-0005-0000-0000-0000BA780000}"/>
    <cellStyle name="Nota 2 32 16" xfId="21925" xr:uid="{00000000-0005-0000-0000-0000BB780000}"/>
    <cellStyle name="Nota 2 32 16 2" xfId="37769" xr:uid="{00000000-0005-0000-0000-0000BC780000}"/>
    <cellStyle name="Nota 2 32 17" xfId="21926" xr:uid="{00000000-0005-0000-0000-0000BD780000}"/>
    <cellStyle name="Nota 2 32 17 2" xfId="37770" xr:uid="{00000000-0005-0000-0000-0000BE780000}"/>
    <cellStyle name="Nota 2 32 18" xfId="21927" xr:uid="{00000000-0005-0000-0000-0000BF780000}"/>
    <cellStyle name="Nota 2 32 18 2" xfId="37771" xr:uid="{00000000-0005-0000-0000-0000C0780000}"/>
    <cellStyle name="Nota 2 32 19" xfId="21928" xr:uid="{00000000-0005-0000-0000-0000C1780000}"/>
    <cellStyle name="Nota 2 32 19 2" xfId="37772" xr:uid="{00000000-0005-0000-0000-0000C2780000}"/>
    <cellStyle name="Nota 2 32 2" xfId="21929" xr:uid="{00000000-0005-0000-0000-0000C3780000}"/>
    <cellStyle name="Nota 2 32 2 2" xfId="37773" xr:uid="{00000000-0005-0000-0000-0000C4780000}"/>
    <cellStyle name="Nota 2 32 20" xfId="21930" xr:uid="{00000000-0005-0000-0000-0000C5780000}"/>
    <cellStyle name="Nota 2 32 20 2" xfId="37774" xr:uid="{00000000-0005-0000-0000-0000C6780000}"/>
    <cellStyle name="Nota 2 32 21" xfId="37762" xr:uid="{00000000-0005-0000-0000-0000C7780000}"/>
    <cellStyle name="Nota 2 32 3" xfId="21931" xr:uid="{00000000-0005-0000-0000-0000C8780000}"/>
    <cellStyle name="Nota 2 32 3 2" xfId="37775" xr:uid="{00000000-0005-0000-0000-0000C9780000}"/>
    <cellStyle name="Nota 2 32 4" xfId="21932" xr:uid="{00000000-0005-0000-0000-0000CA780000}"/>
    <cellStyle name="Nota 2 32 4 2" xfId="37776" xr:uid="{00000000-0005-0000-0000-0000CB780000}"/>
    <cellStyle name="Nota 2 32 5" xfId="21933" xr:uid="{00000000-0005-0000-0000-0000CC780000}"/>
    <cellStyle name="Nota 2 32 5 2" xfId="37777" xr:uid="{00000000-0005-0000-0000-0000CD780000}"/>
    <cellStyle name="Nota 2 32 6" xfId="21934" xr:uid="{00000000-0005-0000-0000-0000CE780000}"/>
    <cellStyle name="Nota 2 32 6 2" xfId="37778" xr:uid="{00000000-0005-0000-0000-0000CF780000}"/>
    <cellStyle name="Nota 2 32 7" xfId="21935" xr:uid="{00000000-0005-0000-0000-0000D0780000}"/>
    <cellStyle name="Nota 2 32 7 2" xfId="37779" xr:uid="{00000000-0005-0000-0000-0000D1780000}"/>
    <cellStyle name="Nota 2 32 8" xfId="21936" xr:uid="{00000000-0005-0000-0000-0000D2780000}"/>
    <cellStyle name="Nota 2 32 8 2" xfId="37780" xr:uid="{00000000-0005-0000-0000-0000D3780000}"/>
    <cellStyle name="Nota 2 32 9" xfId="21937" xr:uid="{00000000-0005-0000-0000-0000D4780000}"/>
    <cellStyle name="Nota 2 32 9 2" xfId="37781" xr:uid="{00000000-0005-0000-0000-0000D5780000}"/>
    <cellStyle name="Nota 2 33" xfId="21938" xr:uid="{00000000-0005-0000-0000-0000D6780000}"/>
    <cellStyle name="Nota 2 33 10" xfId="21939" xr:uid="{00000000-0005-0000-0000-0000D7780000}"/>
    <cellStyle name="Nota 2 33 10 2" xfId="37783" xr:uid="{00000000-0005-0000-0000-0000D8780000}"/>
    <cellStyle name="Nota 2 33 11" xfId="21940" xr:uid="{00000000-0005-0000-0000-0000D9780000}"/>
    <cellStyle name="Nota 2 33 11 2" xfId="37784" xr:uid="{00000000-0005-0000-0000-0000DA780000}"/>
    <cellStyle name="Nota 2 33 12" xfId="21941" xr:uid="{00000000-0005-0000-0000-0000DB780000}"/>
    <cellStyle name="Nota 2 33 12 2" xfId="37785" xr:uid="{00000000-0005-0000-0000-0000DC780000}"/>
    <cellStyle name="Nota 2 33 13" xfId="21942" xr:uid="{00000000-0005-0000-0000-0000DD780000}"/>
    <cellStyle name="Nota 2 33 13 2" xfId="37786" xr:uid="{00000000-0005-0000-0000-0000DE780000}"/>
    <cellStyle name="Nota 2 33 14" xfId="21943" xr:uid="{00000000-0005-0000-0000-0000DF780000}"/>
    <cellStyle name="Nota 2 33 14 2" xfId="37787" xr:uid="{00000000-0005-0000-0000-0000E0780000}"/>
    <cellStyle name="Nota 2 33 15" xfId="21944" xr:uid="{00000000-0005-0000-0000-0000E1780000}"/>
    <cellStyle name="Nota 2 33 15 2" xfId="37788" xr:uid="{00000000-0005-0000-0000-0000E2780000}"/>
    <cellStyle name="Nota 2 33 16" xfId="21945" xr:uid="{00000000-0005-0000-0000-0000E3780000}"/>
    <cellStyle name="Nota 2 33 16 2" xfId="37789" xr:uid="{00000000-0005-0000-0000-0000E4780000}"/>
    <cellStyle name="Nota 2 33 17" xfId="21946" xr:uid="{00000000-0005-0000-0000-0000E5780000}"/>
    <cellStyle name="Nota 2 33 17 2" xfId="37790" xr:uid="{00000000-0005-0000-0000-0000E6780000}"/>
    <cellStyle name="Nota 2 33 18" xfId="21947" xr:uid="{00000000-0005-0000-0000-0000E7780000}"/>
    <cellStyle name="Nota 2 33 18 2" xfId="37791" xr:uid="{00000000-0005-0000-0000-0000E8780000}"/>
    <cellStyle name="Nota 2 33 19" xfId="21948" xr:uid="{00000000-0005-0000-0000-0000E9780000}"/>
    <cellStyle name="Nota 2 33 19 2" xfId="37792" xr:uid="{00000000-0005-0000-0000-0000EA780000}"/>
    <cellStyle name="Nota 2 33 2" xfId="21949" xr:uid="{00000000-0005-0000-0000-0000EB780000}"/>
    <cellStyle name="Nota 2 33 2 2" xfId="37793" xr:uid="{00000000-0005-0000-0000-0000EC780000}"/>
    <cellStyle name="Nota 2 33 20" xfId="21950" xr:uid="{00000000-0005-0000-0000-0000ED780000}"/>
    <cellStyle name="Nota 2 33 20 2" xfId="37794" xr:uid="{00000000-0005-0000-0000-0000EE780000}"/>
    <cellStyle name="Nota 2 33 21" xfId="37782" xr:uid="{00000000-0005-0000-0000-0000EF780000}"/>
    <cellStyle name="Nota 2 33 3" xfId="21951" xr:uid="{00000000-0005-0000-0000-0000F0780000}"/>
    <cellStyle name="Nota 2 33 3 2" xfId="37795" xr:uid="{00000000-0005-0000-0000-0000F1780000}"/>
    <cellStyle name="Nota 2 33 4" xfId="21952" xr:uid="{00000000-0005-0000-0000-0000F2780000}"/>
    <cellStyle name="Nota 2 33 4 2" xfId="37796" xr:uid="{00000000-0005-0000-0000-0000F3780000}"/>
    <cellStyle name="Nota 2 33 5" xfId="21953" xr:uid="{00000000-0005-0000-0000-0000F4780000}"/>
    <cellStyle name="Nota 2 33 5 2" xfId="37797" xr:uid="{00000000-0005-0000-0000-0000F5780000}"/>
    <cellStyle name="Nota 2 33 6" xfId="21954" xr:uid="{00000000-0005-0000-0000-0000F6780000}"/>
    <cellStyle name="Nota 2 33 6 2" xfId="37798" xr:uid="{00000000-0005-0000-0000-0000F7780000}"/>
    <cellStyle name="Nota 2 33 7" xfId="21955" xr:uid="{00000000-0005-0000-0000-0000F8780000}"/>
    <cellStyle name="Nota 2 33 7 2" xfId="37799" xr:uid="{00000000-0005-0000-0000-0000F9780000}"/>
    <cellStyle name="Nota 2 33 8" xfId="21956" xr:uid="{00000000-0005-0000-0000-0000FA780000}"/>
    <cellStyle name="Nota 2 33 8 2" xfId="37800" xr:uid="{00000000-0005-0000-0000-0000FB780000}"/>
    <cellStyle name="Nota 2 33 9" xfId="21957" xr:uid="{00000000-0005-0000-0000-0000FC780000}"/>
    <cellStyle name="Nota 2 33 9 2" xfId="37801" xr:uid="{00000000-0005-0000-0000-0000FD780000}"/>
    <cellStyle name="Nota 2 34" xfId="21958" xr:uid="{00000000-0005-0000-0000-0000FE780000}"/>
    <cellStyle name="Nota 2 34 10" xfId="21959" xr:uid="{00000000-0005-0000-0000-0000FF780000}"/>
    <cellStyle name="Nota 2 34 10 2" xfId="37803" xr:uid="{00000000-0005-0000-0000-000000790000}"/>
    <cellStyle name="Nota 2 34 11" xfId="21960" xr:uid="{00000000-0005-0000-0000-000001790000}"/>
    <cellStyle name="Nota 2 34 11 2" xfId="37804" xr:uid="{00000000-0005-0000-0000-000002790000}"/>
    <cellStyle name="Nota 2 34 12" xfId="21961" xr:uid="{00000000-0005-0000-0000-000003790000}"/>
    <cellStyle name="Nota 2 34 12 2" xfId="37805" xr:uid="{00000000-0005-0000-0000-000004790000}"/>
    <cellStyle name="Nota 2 34 13" xfId="21962" xr:uid="{00000000-0005-0000-0000-000005790000}"/>
    <cellStyle name="Nota 2 34 13 2" xfId="37806" xr:uid="{00000000-0005-0000-0000-000006790000}"/>
    <cellStyle name="Nota 2 34 14" xfId="21963" xr:uid="{00000000-0005-0000-0000-000007790000}"/>
    <cellStyle name="Nota 2 34 14 2" xfId="37807" xr:uid="{00000000-0005-0000-0000-000008790000}"/>
    <cellStyle name="Nota 2 34 15" xfId="21964" xr:uid="{00000000-0005-0000-0000-000009790000}"/>
    <cellStyle name="Nota 2 34 15 2" xfId="37808" xr:uid="{00000000-0005-0000-0000-00000A790000}"/>
    <cellStyle name="Nota 2 34 16" xfId="21965" xr:uid="{00000000-0005-0000-0000-00000B790000}"/>
    <cellStyle name="Nota 2 34 16 2" xfId="37809" xr:uid="{00000000-0005-0000-0000-00000C790000}"/>
    <cellStyle name="Nota 2 34 17" xfId="21966" xr:uid="{00000000-0005-0000-0000-00000D790000}"/>
    <cellStyle name="Nota 2 34 17 2" xfId="37810" xr:uid="{00000000-0005-0000-0000-00000E790000}"/>
    <cellStyle name="Nota 2 34 18" xfId="21967" xr:uid="{00000000-0005-0000-0000-00000F790000}"/>
    <cellStyle name="Nota 2 34 18 2" xfId="37811" xr:uid="{00000000-0005-0000-0000-000010790000}"/>
    <cellStyle name="Nota 2 34 19" xfId="21968" xr:uid="{00000000-0005-0000-0000-000011790000}"/>
    <cellStyle name="Nota 2 34 19 2" xfId="37812" xr:uid="{00000000-0005-0000-0000-000012790000}"/>
    <cellStyle name="Nota 2 34 2" xfId="21969" xr:uid="{00000000-0005-0000-0000-000013790000}"/>
    <cellStyle name="Nota 2 34 2 2" xfId="37813" xr:uid="{00000000-0005-0000-0000-000014790000}"/>
    <cellStyle name="Nota 2 34 20" xfId="21970" xr:uid="{00000000-0005-0000-0000-000015790000}"/>
    <cellStyle name="Nota 2 34 20 2" xfId="37814" xr:uid="{00000000-0005-0000-0000-000016790000}"/>
    <cellStyle name="Nota 2 34 21" xfId="37802" xr:uid="{00000000-0005-0000-0000-000017790000}"/>
    <cellStyle name="Nota 2 34 3" xfId="21971" xr:uid="{00000000-0005-0000-0000-000018790000}"/>
    <cellStyle name="Nota 2 34 3 2" xfId="37815" xr:uid="{00000000-0005-0000-0000-000019790000}"/>
    <cellStyle name="Nota 2 34 4" xfId="21972" xr:uid="{00000000-0005-0000-0000-00001A790000}"/>
    <cellStyle name="Nota 2 34 4 2" xfId="37816" xr:uid="{00000000-0005-0000-0000-00001B790000}"/>
    <cellStyle name="Nota 2 34 5" xfId="21973" xr:uid="{00000000-0005-0000-0000-00001C790000}"/>
    <cellStyle name="Nota 2 34 5 2" xfId="37817" xr:uid="{00000000-0005-0000-0000-00001D790000}"/>
    <cellStyle name="Nota 2 34 6" xfId="21974" xr:uid="{00000000-0005-0000-0000-00001E790000}"/>
    <cellStyle name="Nota 2 34 6 2" xfId="37818" xr:uid="{00000000-0005-0000-0000-00001F790000}"/>
    <cellStyle name="Nota 2 34 7" xfId="21975" xr:uid="{00000000-0005-0000-0000-000020790000}"/>
    <cellStyle name="Nota 2 34 7 2" xfId="37819" xr:uid="{00000000-0005-0000-0000-000021790000}"/>
    <cellStyle name="Nota 2 34 8" xfId="21976" xr:uid="{00000000-0005-0000-0000-000022790000}"/>
    <cellStyle name="Nota 2 34 8 2" xfId="37820" xr:uid="{00000000-0005-0000-0000-000023790000}"/>
    <cellStyle name="Nota 2 34 9" xfId="21977" xr:uid="{00000000-0005-0000-0000-000024790000}"/>
    <cellStyle name="Nota 2 34 9 2" xfId="37821" xr:uid="{00000000-0005-0000-0000-000025790000}"/>
    <cellStyle name="Nota 2 35" xfId="21978" xr:uid="{00000000-0005-0000-0000-000026790000}"/>
    <cellStyle name="Nota 2 35 2" xfId="37822" xr:uid="{00000000-0005-0000-0000-000027790000}"/>
    <cellStyle name="Nota 2 36" xfId="21979" xr:uid="{00000000-0005-0000-0000-000028790000}"/>
    <cellStyle name="Nota 2 36 2" xfId="37823" xr:uid="{00000000-0005-0000-0000-000029790000}"/>
    <cellStyle name="Nota 2 37" xfId="21980" xr:uid="{00000000-0005-0000-0000-00002A790000}"/>
    <cellStyle name="Nota 2 37 2" xfId="37824" xr:uid="{00000000-0005-0000-0000-00002B790000}"/>
    <cellStyle name="Nota 2 38" xfId="21981" xr:uid="{00000000-0005-0000-0000-00002C790000}"/>
    <cellStyle name="Nota 2 38 2" xfId="37825" xr:uid="{00000000-0005-0000-0000-00002D790000}"/>
    <cellStyle name="Nota 2 39" xfId="21982" xr:uid="{00000000-0005-0000-0000-00002E790000}"/>
    <cellStyle name="Nota 2 39 2" xfId="37826" xr:uid="{00000000-0005-0000-0000-00002F790000}"/>
    <cellStyle name="Nota 2 4" xfId="21983" xr:uid="{00000000-0005-0000-0000-000030790000}"/>
    <cellStyle name="Nota 2 4 2" xfId="29209" xr:uid="{00000000-0005-0000-0000-000031790000}"/>
    <cellStyle name="Nota 2 4 2 2" xfId="40804" xr:uid="{00000000-0005-0000-0000-000032790000}"/>
    <cellStyle name="Nota 2 40" xfId="21984" xr:uid="{00000000-0005-0000-0000-000033790000}"/>
    <cellStyle name="Nota 2 40 2" xfId="37827" xr:uid="{00000000-0005-0000-0000-000034790000}"/>
    <cellStyle name="Nota 2 41" xfId="21985" xr:uid="{00000000-0005-0000-0000-000035790000}"/>
    <cellStyle name="Nota 2 41 2" xfId="37828" xr:uid="{00000000-0005-0000-0000-000036790000}"/>
    <cellStyle name="Nota 2 42" xfId="21986" xr:uid="{00000000-0005-0000-0000-000037790000}"/>
    <cellStyle name="Nota 2 42 2" xfId="37829" xr:uid="{00000000-0005-0000-0000-000038790000}"/>
    <cellStyle name="Nota 2 43" xfId="21987" xr:uid="{00000000-0005-0000-0000-000039790000}"/>
    <cellStyle name="Nota 2 43 2" xfId="37830" xr:uid="{00000000-0005-0000-0000-00003A790000}"/>
    <cellStyle name="Nota 2 44" xfId="21988" xr:uid="{00000000-0005-0000-0000-00003B790000}"/>
    <cellStyle name="Nota 2 44 2" xfId="37831" xr:uid="{00000000-0005-0000-0000-00003C790000}"/>
    <cellStyle name="Nota 2 45" xfId="21989" xr:uid="{00000000-0005-0000-0000-00003D790000}"/>
    <cellStyle name="Nota 2 45 2" xfId="37832" xr:uid="{00000000-0005-0000-0000-00003E790000}"/>
    <cellStyle name="Nota 2 46" xfId="21990" xr:uid="{00000000-0005-0000-0000-00003F790000}"/>
    <cellStyle name="Nota 2 46 2" xfId="37833" xr:uid="{00000000-0005-0000-0000-000040790000}"/>
    <cellStyle name="Nota 2 47" xfId="21991" xr:uid="{00000000-0005-0000-0000-000041790000}"/>
    <cellStyle name="Nota 2 47 2" xfId="37834" xr:uid="{00000000-0005-0000-0000-000042790000}"/>
    <cellStyle name="Nota 2 48" xfId="21992" xr:uid="{00000000-0005-0000-0000-000043790000}"/>
    <cellStyle name="Nota 2 48 2" xfId="37835" xr:uid="{00000000-0005-0000-0000-000044790000}"/>
    <cellStyle name="Nota 2 49" xfId="29375" xr:uid="{00000000-0005-0000-0000-000045790000}"/>
    <cellStyle name="Nota 2 49 2" xfId="40455" xr:uid="{00000000-0005-0000-0000-000046790000}"/>
    <cellStyle name="Nota 2 5" xfId="21993" xr:uid="{00000000-0005-0000-0000-000047790000}"/>
    <cellStyle name="Nota 2 5 2" xfId="29210" xr:uid="{00000000-0005-0000-0000-000048790000}"/>
    <cellStyle name="Nota 2 5 2 2" xfId="40805" xr:uid="{00000000-0005-0000-0000-000049790000}"/>
    <cellStyle name="Nota 2 6" xfId="21994" xr:uid="{00000000-0005-0000-0000-00004A790000}"/>
    <cellStyle name="Nota 2 6 2" xfId="29211" xr:uid="{00000000-0005-0000-0000-00004B790000}"/>
    <cellStyle name="Nota 2 6 2 2" xfId="40806" xr:uid="{00000000-0005-0000-0000-00004C790000}"/>
    <cellStyle name="Nota 2 7" xfId="21995" xr:uid="{00000000-0005-0000-0000-00004D790000}"/>
    <cellStyle name="Nota 2 7 2" xfId="29212" xr:uid="{00000000-0005-0000-0000-00004E790000}"/>
    <cellStyle name="Nota 2 7 2 2" xfId="40807" xr:uid="{00000000-0005-0000-0000-00004F790000}"/>
    <cellStyle name="Nota 2 8" xfId="21996" xr:uid="{00000000-0005-0000-0000-000050790000}"/>
    <cellStyle name="Nota 2 8 2" xfId="29213" xr:uid="{00000000-0005-0000-0000-000051790000}"/>
    <cellStyle name="Nota 2 8 2 2" xfId="41039" xr:uid="{00000000-0005-0000-0000-000052790000}"/>
    <cellStyle name="Nota 2 9" xfId="21997" xr:uid="{00000000-0005-0000-0000-000053790000}"/>
    <cellStyle name="Nota 2 9 2" xfId="21998" xr:uid="{00000000-0005-0000-0000-000054790000}"/>
    <cellStyle name="Nota 2 9 2 2" xfId="29215" xr:uid="{00000000-0005-0000-0000-000055790000}"/>
    <cellStyle name="Nota 2 9 3" xfId="21999" xr:uid="{00000000-0005-0000-0000-000056790000}"/>
    <cellStyle name="Nota 2 9 3 2" xfId="29216" xr:uid="{00000000-0005-0000-0000-000057790000}"/>
    <cellStyle name="Nota 2 9 4" xfId="22000" xr:uid="{00000000-0005-0000-0000-000058790000}"/>
    <cellStyle name="Nota 2 9 4 2" xfId="29217" xr:uid="{00000000-0005-0000-0000-000059790000}"/>
    <cellStyle name="Nota 2 9 5" xfId="29214" xr:uid="{00000000-0005-0000-0000-00005A790000}"/>
    <cellStyle name="Nota 20" xfId="22001" xr:uid="{00000000-0005-0000-0000-00005B790000}"/>
    <cellStyle name="Nota 20 2" xfId="22002" xr:uid="{00000000-0005-0000-0000-00005C790000}"/>
    <cellStyle name="Nota 20 2 2" xfId="37836" xr:uid="{00000000-0005-0000-0000-00005D790000}"/>
    <cellStyle name="Nota 20 3" xfId="22003" xr:uid="{00000000-0005-0000-0000-00005E790000}"/>
    <cellStyle name="Nota 20 3 2" xfId="37837" xr:uid="{00000000-0005-0000-0000-00005F790000}"/>
    <cellStyle name="Nota 20 4" xfId="22004" xr:uid="{00000000-0005-0000-0000-000060790000}"/>
    <cellStyle name="Nota 20 4 2" xfId="37838" xr:uid="{00000000-0005-0000-0000-000061790000}"/>
    <cellStyle name="Nota 20 5" xfId="22005" xr:uid="{00000000-0005-0000-0000-000062790000}"/>
    <cellStyle name="Nota 20 5 2" xfId="37839" xr:uid="{00000000-0005-0000-0000-000063790000}"/>
    <cellStyle name="Nota 20 6" xfId="22006" xr:uid="{00000000-0005-0000-0000-000064790000}"/>
    <cellStyle name="Nota 20 6 2" xfId="37840" xr:uid="{00000000-0005-0000-0000-000065790000}"/>
    <cellStyle name="Nota 20 7" xfId="22007" xr:uid="{00000000-0005-0000-0000-000066790000}"/>
    <cellStyle name="Nota 20 7 2" xfId="37841" xr:uid="{00000000-0005-0000-0000-000067790000}"/>
    <cellStyle name="Nota 20 8" xfId="29218" xr:uid="{00000000-0005-0000-0000-000068790000}"/>
    <cellStyle name="Nota 20 8 2" xfId="40808" xr:uid="{00000000-0005-0000-0000-000069790000}"/>
    <cellStyle name="Nota 200" xfId="22008" xr:uid="{00000000-0005-0000-0000-00006A790000}"/>
    <cellStyle name="Nota 200 2" xfId="37842" xr:uid="{00000000-0005-0000-0000-00006B790000}"/>
    <cellStyle name="Nota 201" xfId="22009" xr:uid="{00000000-0005-0000-0000-00006C790000}"/>
    <cellStyle name="Nota 201 2" xfId="37843" xr:uid="{00000000-0005-0000-0000-00006D790000}"/>
    <cellStyle name="Nota 202" xfId="22010" xr:uid="{00000000-0005-0000-0000-00006E790000}"/>
    <cellStyle name="Nota 202 2" xfId="37844" xr:uid="{00000000-0005-0000-0000-00006F790000}"/>
    <cellStyle name="Nota 203" xfId="22011" xr:uid="{00000000-0005-0000-0000-000070790000}"/>
    <cellStyle name="Nota 203 2" xfId="37845" xr:uid="{00000000-0005-0000-0000-000071790000}"/>
    <cellStyle name="Nota 204" xfId="22012" xr:uid="{00000000-0005-0000-0000-000072790000}"/>
    <cellStyle name="Nota 204 2" xfId="37846" xr:uid="{00000000-0005-0000-0000-000073790000}"/>
    <cellStyle name="Nota 205" xfId="22013" xr:uid="{00000000-0005-0000-0000-000074790000}"/>
    <cellStyle name="Nota 205 2" xfId="37847" xr:uid="{00000000-0005-0000-0000-000075790000}"/>
    <cellStyle name="Nota 206" xfId="22014" xr:uid="{00000000-0005-0000-0000-000076790000}"/>
    <cellStyle name="Nota 206 2" xfId="37848" xr:uid="{00000000-0005-0000-0000-000077790000}"/>
    <cellStyle name="Nota 207" xfId="22015" xr:uid="{00000000-0005-0000-0000-000078790000}"/>
    <cellStyle name="Nota 207 2" xfId="37849" xr:uid="{00000000-0005-0000-0000-000079790000}"/>
    <cellStyle name="Nota 208" xfId="22016" xr:uid="{00000000-0005-0000-0000-00007A790000}"/>
    <cellStyle name="Nota 208 2" xfId="37850" xr:uid="{00000000-0005-0000-0000-00007B790000}"/>
    <cellStyle name="Nota 209" xfId="22017" xr:uid="{00000000-0005-0000-0000-00007C790000}"/>
    <cellStyle name="Nota 209 2" xfId="37851" xr:uid="{00000000-0005-0000-0000-00007D790000}"/>
    <cellStyle name="Nota 21" xfId="22018" xr:uid="{00000000-0005-0000-0000-00007E790000}"/>
    <cellStyle name="Nota 21 2" xfId="29219" xr:uid="{00000000-0005-0000-0000-00007F790000}"/>
    <cellStyle name="Nota 21 2 2" xfId="41026" xr:uid="{00000000-0005-0000-0000-000080790000}"/>
    <cellStyle name="Nota 21 3" xfId="41007" xr:uid="{00000000-0005-0000-0000-000081790000}"/>
    <cellStyle name="Nota 21 4" xfId="40809" xr:uid="{00000000-0005-0000-0000-000082790000}"/>
    <cellStyle name="Nota 210" xfId="40451" xr:uid="{00000000-0005-0000-0000-000083790000}"/>
    <cellStyle name="Nota 22" xfId="22019" xr:uid="{00000000-0005-0000-0000-000084790000}"/>
    <cellStyle name="Nota 22 2" xfId="29220" xr:uid="{00000000-0005-0000-0000-000085790000}"/>
    <cellStyle name="Nota 22 2 2" xfId="41027" xr:uid="{00000000-0005-0000-0000-000086790000}"/>
    <cellStyle name="Nota 22 3" xfId="41006" xr:uid="{00000000-0005-0000-0000-000087790000}"/>
    <cellStyle name="Nota 22 4" xfId="40810" xr:uid="{00000000-0005-0000-0000-000088790000}"/>
    <cellStyle name="Nota 23" xfId="22020" xr:uid="{00000000-0005-0000-0000-000089790000}"/>
    <cellStyle name="Nota 23 2" xfId="29221" xr:uid="{00000000-0005-0000-0000-00008A790000}"/>
    <cellStyle name="Nota 23 2 2" xfId="41028" xr:uid="{00000000-0005-0000-0000-00008B790000}"/>
    <cellStyle name="Nota 23 3" xfId="41005" xr:uid="{00000000-0005-0000-0000-00008C790000}"/>
    <cellStyle name="Nota 23 4" xfId="40811" xr:uid="{00000000-0005-0000-0000-00008D790000}"/>
    <cellStyle name="Nota 24" xfId="22021" xr:uid="{00000000-0005-0000-0000-00008E790000}"/>
    <cellStyle name="Nota 24 2" xfId="29222" xr:uid="{00000000-0005-0000-0000-00008F790000}"/>
    <cellStyle name="Nota 24 2 2" xfId="40956" xr:uid="{00000000-0005-0000-0000-000090790000}"/>
    <cellStyle name="Nota 25" xfId="22022" xr:uid="{00000000-0005-0000-0000-000091790000}"/>
    <cellStyle name="Nota 25 2" xfId="29223" xr:uid="{00000000-0005-0000-0000-000092790000}"/>
    <cellStyle name="Nota 25 2 2" xfId="40991" xr:uid="{00000000-0005-0000-0000-000093790000}"/>
    <cellStyle name="Nota 26" xfId="22023" xr:uid="{00000000-0005-0000-0000-000094790000}"/>
    <cellStyle name="Nota 26 2" xfId="22024" xr:uid="{00000000-0005-0000-0000-000095790000}"/>
    <cellStyle name="Nota 26 2 10" xfId="22025" xr:uid="{00000000-0005-0000-0000-000096790000}"/>
    <cellStyle name="Nota 26 2 10 2" xfId="37854" xr:uid="{00000000-0005-0000-0000-000097790000}"/>
    <cellStyle name="Nota 26 2 11" xfId="22026" xr:uid="{00000000-0005-0000-0000-000098790000}"/>
    <cellStyle name="Nota 26 2 11 2" xfId="37855" xr:uid="{00000000-0005-0000-0000-000099790000}"/>
    <cellStyle name="Nota 26 2 12" xfId="22027" xr:uid="{00000000-0005-0000-0000-00009A790000}"/>
    <cellStyle name="Nota 26 2 12 2" xfId="37856" xr:uid="{00000000-0005-0000-0000-00009B790000}"/>
    <cellStyle name="Nota 26 2 13" xfId="22028" xr:uid="{00000000-0005-0000-0000-00009C790000}"/>
    <cellStyle name="Nota 26 2 13 2" xfId="37857" xr:uid="{00000000-0005-0000-0000-00009D790000}"/>
    <cellStyle name="Nota 26 2 14" xfId="22029" xr:uid="{00000000-0005-0000-0000-00009E790000}"/>
    <cellStyle name="Nota 26 2 14 2" xfId="37858" xr:uid="{00000000-0005-0000-0000-00009F790000}"/>
    <cellStyle name="Nota 26 2 15" xfId="22030" xr:uid="{00000000-0005-0000-0000-0000A0790000}"/>
    <cellStyle name="Nota 26 2 15 2" xfId="37859" xr:uid="{00000000-0005-0000-0000-0000A1790000}"/>
    <cellStyle name="Nota 26 2 16" xfId="37853" xr:uid="{00000000-0005-0000-0000-0000A2790000}"/>
    <cellStyle name="Nota 26 2 2" xfId="22031" xr:uid="{00000000-0005-0000-0000-0000A3790000}"/>
    <cellStyle name="Nota 26 2 2 2" xfId="37860" xr:uid="{00000000-0005-0000-0000-0000A4790000}"/>
    <cellStyle name="Nota 26 2 3" xfId="22032" xr:uid="{00000000-0005-0000-0000-0000A5790000}"/>
    <cellStyle name="Nota 26 2 3 2" xfId="37861" xr:uid="{00000000-0005-0000-0000-0000A6790000}"/>
    <cellStyle name="Nota 26 2 4" xfId="22033" xr:uid="{00000000-0005-0000-0000-0000A7790000}"/>
    <cellStyle name="Nota 26 2 4 2" xfId="37862" xr:uid="{00000000-0005-0000-0000-0000A8790000}"/>
    <cellStyle name="Nota 26 2 5" xfId="22034" xr:uid="{00000000-0005-0000-0000-0000A9790000}"/>
    <cellStyle name="Nota 26 2 5 2" xfId="37863" xr:uid="{00000000-0005-0000-0000-0000AA790000}"/>
    <cellStyle name="Nota 26 2 6" xfId="22035" xr:uid="{00000000-0005-0000-0000-0000AB790000}"/>
    <cellStyle name="Nota 26 2 6 2" xfId="37864" xr:uid="{00000000-0005-0000-0000-0000AC790000}"/>
    <cellStyle name="Nota 26 2 7" xfId="22036" xr:uid="{00000000-0005-0000-0000-0000AD790000}"/>
    <cellStyle name="Nota 26 2 7 2" xfId="37865" xr:uid="{00000000-0005-0000-0000-0000AE790000}"/>
    <cellStyle name="Nota 26 2 8" xfId="22037" xr:uid="{00000000-0005-0000-0000-0000AF790000}"/>
    <cellStyle name="Nota 26 2 8 2" xfId="37866" xr:uid="{00000000-0005-0000-0000-0000B0790000}"/>
    <cellStyle name="Nota 26 2 9" xfId="22038" xr:uid="{00000000-0005-0000-0000-0000B1790000}"/>
    <cellStyle name="Nota 26 2 9 2" xfId="37867" xr:uid="{00000000-0005-0000-0000-0000B2790000}"/>
    <cellStyle name="Nota 26 3" xfId="22039" xr:uid="{00000000-0005-0000-0000-0000B3790000}"/>
    <cellStyle name="Nota 26 3 10" xfId="22040" xr:uid="{00000000-0005-0000-0000-0000B4790000}"/>
    <cellStyle name="Nota 26 3 10 2" xfId="37869" xr:uid="{00000000-0005-0000-0000-0000B5790000}"/>
    <cellStyle name="Nota 26 3 11" xfId="22041" xr:uid="{00000000-0005-0000-0000-0000B6790000}"/>
    <cellStyle name="Nota 26 3 11 2" xfId="37870" xr:uid="{00000000-0005-0000-0000-0000B7790000}"/>
    <cellStyle name="Nota 26 3 12" xfId="22042" xr:uid="{00000000-0005-0000-0000-0000B8790000}"/>
    <cellStyle name="Nota 26 3 12 2" xfId="37871" xr:uid="{00000000-0005-0000-0000-0000B9790000}"/>
    <cellStyle name="Nota 26 3 13" xfId="22043" xr:uid="{00000000-0005-0000-0000-0000BA790000}"/>
    <cellStyle name="Nota 26 3 13 2" xfId="37872" xr:uid="{00000000-0005-0000-0000-0000BB790000}"/>
    <cellStyle name="Nota 26 3 14" xfId="22044" xr:uid="{00000000-0005-0000-0000-0000BC790000}"/>
    <cellStyle name="Nota 26 3 14 2" xfId="37873" xr:uid="{00000000-0005-0000-0000-0000BD790000}"/>
    <cellStyle name="Nota 26 3 15" xfId="22045" xr:uid="{00000000-0005-0000-0000-0000BE790000}"/>
    <cellStyle name="Nota 26 3 15 2" xfId="37874" xr:uid="{00000000-0005-0000-0000-0000BF790000}"/>
    <cellStyle name="Nota 26 3 16" xfId="37868" xr:uid="{00000000-0005-0000-0000-0000C0790000}"/>
    <cellStyle name="Nota 26 3 2" xfId="22046" xr:uid="{00000000-0005-0000-0000-0000C1790000}"/>
    <cellStyle name="Nota 26 3 2 2" xfId="37875" xr:uid="{00000000-0005-0000-0000-0000C2790000}"/>
    <cellStyle name="Nota 26 3 3" xfId="22047" xr:uid="{00000000-0005-0000-0000-0000C3790000}"/>
    <cellStyle name="Nota 26 3 3 2" xfId="37876" xr:uid="{00000000-0005-0000-0000-0000C4790000}"/>
    <cellStyle name="Nota 26 3 4" xfId="22048" xr:uid="{00000000-0005-0000-0000-0000C5790000}"/>
    <cellStyle name="Nota 26 3 4 2" xfId="37877" xr:uid="{00000000-0005-0000-0000-0000C6790000}"/>
    <cellStyle name="Nota 26 3 5" xfId="22049" xr:uid="{00000000-0005-0000-0000-0000C7790000}"/>
    <cellStyle name="Nota 26 3 5 2" xfId="37878" xr:uid="{00000000-0005-0000-0000-0000C8790000}"/>
    <cellStyle name="Nota 26 3 6" xfId="22050" xr:uid="{00000000-0005-0000-0000-0000C9790000}"/>
    <cellStyle name="Nota 26 3 6 2" xfId="37879" xr:uid="{00000000-0005-0000-0000-0000CA790000}"/>
    <cellStyle name="Nota 26 3 7" xfId="22051" xr:uid="{00000000-0005-0000-0000-0000CB790000}"/>
    <cellStyle name="Nota 26 3 7 2" xfId="37880" xr:uid="{00000000-0005-0000-0000-0000CC790000}"/>
    <cellStyle name="Nota 26 3 8" xfId="22052" xr:uid="{00000000-0005-0000-0000-0000CD790000}"/>
    <cellStyle name="Nota 26 3 8 2" xfId="37881" xr:uid="{00000000-0005-0000-0000-0000CE790000}"/>
    <cellStyle name="Nota 26 3 9" xfId="22053" xr:uid="{00000000-0005-0000-0000-0000CF790000}"/>
    <cellStyle name="Nota 26 3 9 2" xfId="37882" xr:uid="{00000000-0005-0000-0000-0000D0790000}"/>
    <cellStyle name="Nota 26 4" xfId="22054" xr:uid="{00000000-0005-0000-0000-0000D1790000}"/>
    <cellStyle name="Nota 26 4 10" xfId="22055" xr:uid="{00000000-0005-0000-0000-0000D2790000}"/>
    <cellStyle name="Nota 26 4 10 2" xfId="37884" xr:uid="{00000000-0005-0000-0000-0000D3790000}"/>
    <cellStyle name="Nota 26 4 11" xfId="22056" xr:uid="{00000000-0005-0000-0000-0000D4790000}"/>
    <cellStyle name="Nota 26 4 11 2" xfId="37885" xr:uid="{00000000-0005-0000-0000-0000D5790000}"/>
    <cellStyle name="Nota 26 4 12" xfId="22057" xr:uid="{00000000-0005-0000-0000-0000D6790000}"/>
    <cellStyle name="Nota 26 4 12 2" xfId="37886" xr:uid="{00000000-0005-0000-0000-0000D7790000}"/>
    <cellStyle name="Nota 26 4 13" xfId="22058" xr:uid="{00000000-0005-0000-0000-0000D8790000}"/>
    <cellStyle name="Nota 26 4 13 2" xfId="37887" xr:uid="{00000000-0005-0000-0000-0000D9790000}"/>
    <cellStyle name="Nota 26 4 14" xfId="22059" xr:uid="{00000000-0005-0000-0000-0000DA790000}"/>
    <cellStyle name="Nota 26 4 14 2" xfId="37888" xr:uid="{00000000-0005-0000-0000-0000DB790000}"/>
    <cellStyle name="Nota 26 4 15" xfId="22060" xr:uid="{00000000-0005-0000-0000-0000DC790000}"/>
    <cellStyle name="Nota 26 4 15 2" xfId="37889" xr:uid="{00000000-0005-0000-0000-0000DD790000}"/>
    <cellStyle name="Nota 26 4 16" xfId="37883" xr:uid="{00000000-0005-0000-0000-0000DE790000}"/>
    <cellStyle name="Nota 26 4 2" xfId="22061" xr:uid="{00000000-0005-0000-0000-0000DF790000}"/>
    <cellStyle name="Nota 26 4 2 2" xfId="37890" xr:uid="{00000000-0005-0000-0000-0000E0790000}"/>
    <cellStyle name="Nota 26 4 3" xfId="22062" xr:uid="{00000000-0005-0000-0000-0000E1790000}"/>
    <cellStyle name="Nota 26 4 3 2" xfId="37891" xr:uid="{00000000-0005-0000-0000-0000E2790000}"/>
    <cellStyle name="Nota 26 4 4" xfId="22063" xr:uid="{00000000-0005-0000-0000-0000E3790000}"/>
    <cellStyle name="Nota 26 4 4 2" xfId="37892" xr:uid="{00000000-0005-0000-0000-0000E4790000}"/>
    <cellStyle name="Nota 26 4 5" xfId="22064" xr:uid="{00000000-0005-0000-0000-0000E5790000}"/>
    <cellStyle name="Nota 26 4 5 2" xfId="37893" xr:uid="{00000000-0005-0000-0000-0000E6790000}"/>
    <cellStyle name="Nota 26 4 6" xfId="22065" xr:uid="{00000000-0005-0000-0000-0000E7790000}"/>
    <cellStyle name="Nota 26 4 6 2" xfId="37894" xr:uid="{00000000-0005-0000-0000-0000E8790000}"/>
    <cellStyle name="Nota 26 4 7" xfId="22066" xr:uid="{00000000-0005-0000-0000-0000E9790000}"/>
    <cellStyle name="Nota 26 4 7 2" xfId="37895" xr:uid="{00000000-0005-0000-0000-0000EA790000}"/>
    <cellStyle name="Nota 26 4 8" xfId="22067" xr:uid="{00000000-0005-0000-0000-0000EB790000}"/>
    <cellStyle name="Nota 26 4 8 2" xfId="37896" xr:uid="{00000000-0005-0000-0000-0000EC790000}"/>
    <cellStyle name="Nota 26 4 9" xfId="22068" xr:uid="{00000000-0005-0000-0000-0000ED790000}"/>
    <cellStyle name="Nota 26 4 9 2" xfId="37897" xr:uid="{00000000-0005-0000-0000-0000EE790000}"/>
    <cellStyle name="Nota 26 5" xfId="22069" xr:uid="{00000000-0005-0000-0000-0000EF790000}"/>
    <cellStyle name="Nota 26 5 10" xfId="22070" xr:uid="{00000000-0005-0000-0000-0000F0790000}"/>
    <cellStyle name="Nota 26 5 10 2" xfId="37899" xr:uid="{00000000-0005-0000-0000-0000F1790000}"/>
    <cellStyle name="Nota 26 5 11" xfId="22071" xr:uid="{00000000-0005-0000-0000-0000F2790000}"/>
    <cellStyle name="Nota 26 5 11 2" xfId="37900" xr:uid="{00000000-0005-0000-0000-0000F3790000}"/>
    <cellStyle name="Nota 26 5 12" xfId="22072" xr:uid="{00000000-0005-0000-0000-0000F4790000}"/>
    <cellStyle name="Nota 26 5 12 2" xfId="37901" xr:uid="{00000000-0005-0000-0000-0000F5790000}"/>
    <cellStyle name="Nota 26 5 13" xfId="22073" xr:uid="{00000000-0005-0000-0000-0000F6790000}"/>
    <cellStyle name="Nota 26 5 13 2" xfId="37902" xr:uid="{00000000-0005-0000-0000-0000F7790000}"/>
    <cellStyle name="Nota 26 5 14" xfId="22074" xr:uid="{00000000-0005-0000-0000-0000F8790000}"/>
    <cellStyle name="Nota 26 5 14 2" xfId="37903" xr:uid="{00000000-0005-0000-0000-0000F9790000}"/>
    <cellStyle name="Nota 26 5 15" xfId="22075" xr:uid="{00000000-0005-0000-0000-0000FA790000}"/>
    <cellStyle name="Nota 26 5 15 2" xfId="37904" xr:uid="{00000000-0005-0000-0000-0000FB790000}"/>
    <cellStyle name="Nota 26 5 16" xfId="37898" xr:uid="{00000000-0005-0000-0000-0000FC790000}"/>
    <cellStyle name="Nota 26 5 2" xfId="22076" xr:uid="{00000000-0005-0000-0000-0000FD790000}"/>
    <cellStyle name="Nota 26 5 2 2" xfId="37905" xr:uid="{00000000-0005-0000-0000-0000FE790000}"/>
    <cellStyle name="Nota 26 5 3" xfId="22077" xr:uid="{00000000-0005-0000-0000-0000FF790000}"/>
    <cellStyle name="Nota 26 5 3 2" xfId="37906" xr:uid="{00000000-0005-0000-0000-0000007A0000}"/>
    <cellStyle name="Nota 26 5 4" xfId="22078" xr:uid="{00000000-0005-0000-0000-0000017A0000}"/>
    <cellStyle name="Nota 26 5 4 2" xfId="37907" xr:uid="{00000000-0005-0000-0000-0000027A0000}"/>
    <cellStyle name="Nota 26 5 5" xfId="22079" xr:uid="{00000000-0005-0000-0000-0000037A0000}"/>
    <cellStyle name="Nota 26 5 5 2" xfId="37908" xr:uid="{00000000-0005-0000-0000-0000047A0000}"/>
    <cellStyle name="Nota 26 5 6" xfId="22080" xr:uid="{00000000-0005-0000-0000-0000057A0000}"/>
    <cellStyle name="Nota 26 5 6 2" xfId="37909" xr:uid="{00000000-0005-0000-0000-0000067A0000}"/>
    <cellStyle name="Nota 26 5 7" xfId="22081" xr:uid="{00000000-0005-0000-0000-0000077A0000}"/>
    <cellStyle name="Nota 26 5 7 2" xfId="37910" xr:uid="{00000000-0005-0000-0000-0000087A0000}"/>
    <cellStyle name="Nota 26 5 8" xfId="22082" xr:uid="{00000000-0005-0000-0000-0000097A0000}"/>
    <cellStyle name="Nota 26 5 8 2" xfId="37911" xr:uid="{00000000-0005-0000-0000-00000A7A0000}"/>
    <cellStyle name="Nota 26 5 9" xfId="22083" xr:uid="{00000000-0005-0000-0000-00000B7A0000}"/>
    <cellStyle name="Nota 26 5 9 2" xfId="37912" xr:uid="{00000000-0005-0000-0000-00000C7A0000}"/>
    <cellStyle name="Nota 26 6" xfId="41001" xr:uid="{00000000-0005-0000-0000-00000D7A0000}"/>
    <cellStyle name="Nota 26 7" xfId="37852" xr:uid="{00000000-0005-0000-0000-00000E7A0000}"/>
    <cellStyle name="Nota 27" xfId="22084" xr:uid="{00000000-0005-0000-0000-00000F7A0000}"/>
    <cellStyle name="Nota 27 2" xfId="22085" xr:uid="{00000000-0005-0000-0000-0000107A0000}"/>
    <cellStyle name="Nota 27 2 10" xfId="22086" xr:uid="{00000000-0005-0000-0000-0000117A0000}"/>
    <cellStyle name="Nota 27 2 10 2" xfId="37915" xr:uid="{00000000-0005-0000-0000-0000127A0000}"/>
    <cellStyle name="Nota 27 2 11" xfId="22087" xr:uid="{00000000-0005-0000-0000-0000137A0000}"/>
    <cellStyle name="Nota 27 2 11 2" xfId="37916" xr:uid="{00000000-0005-0000-0000-0000147A0000}"/>
    <cellStyle name="Nota 27 2 12" xfId="22088" xr:uid="{00000000-0005-0000-0000-0000157A0000}"/>
    <cellStyle name="Nota 27 2 12 2" xfId="37917" xr:uid="{00000000-0005-0000-0000-0000167A0000}"/>
    <cellStyle name="Nota 27 2 13" xfId="22089" xr:uid="{00000000-0005-0000-0000-0000177A0000}"/>
    <cellStyle name="Nota 27 2 13 2" xfId="37918" xr:uid="{00000000-0005-0000-0000-0000187A0000}"/>
    <cellStyle name="Nota 27 2 14" xfId="22090" xr:uid="{00000000-0005-0000-0000-0000197A0000}"/>
    <cellStyle name="Nota 27 2 14 2" xfId="37919" xr:uid="{00000000-0005-0000-0000-00001A7A0000}"/>
    <cellStyle name="Nota 27 2 15" xfId="22091" xr:uid="{00000000-0005-0000-0000-00001B7A0000}"/>
    <cellStyle name="Nota 27 2 15 2" xfId="37920" xr:uid="{00000000-0005-0000-0000-00001C7A0000}"/>
    <cellStyle name="Nota 27 2 16" xfId="37914" xr:uid="{00000000-0005-0000-0000-00001D7A0000}"/>
    <cellStyle name="Nota 27 2 2" xfId="22092" xr:uid="{00000000-0005-0000-0000-00001E7A0000}"/>
    <cellStyle name="Nota 27 2 2 2" xfId="37921" xr:uid="{00000000-0005-0000-0000-00001F7A0000}"/>
    <cellStyle name="Nota 27 2 3" xfId="22093" xr:uid="{00000000-0005-0000-0000-0000207A0000}"/>
    <cellStyle name="Nota 27 2 3 2" xfId="37922" xr:uid="{00000000-0005-0000-0000-0000217A0000}"/>
    <cellStyle name="Nota 27 2 4" xfId="22094" xr:uid="{00000000-0005-0000-0000-0000227A0000}"/>
    <cellStyle name="Nota 27 2 4 2" xfId="37923" xr:uid="{00000000-0005-0000-0000-0000237A0000}"/>
    <cellStyle name="Nota 27 2 5" xfId="22095" xr:uid="{00000000-0005-0000-0000-0000247A0000}"/>
    <cellStyle name="Nota 27 2 5 2" xfId="37924" xr:uid="{00000000-0005-0000-0000-0000257A0000}"/>
    <cellStyle name="Nota 27 2 6" xfId="22096" xr:uid="{00000000-0005-0000-0000-0000267A0000}"/>
    <cellStyle name="Nota 27 2 6 2" xfId="37925" xr:uid="{00000000-0005-0000-0000-0000277A0000}"/>
    <cellStyle name="Nota 27 2 7" xfId="22097" xr:uid="{00000000-0005-0000-0000-0000287A0000}"/>
    <cellStyle name="Nota 27 2 7 2" xfId="37926" xr:uid="{00000000-0005-0000-0000-0000297A0000}"/>
    <cellStyle name="Nota 27 2 8" xfId="22098" xr:uid="{00000000-0005-0000-0000-00002A7A0000}"/>
    <cellStyle name="Nota 27 2 8 2" xfId="37927" xr:uid="{00000000-0005-0000-0000-00002B7A0000}"/>
    <cellStyle name="Nota 27 2 9" xfId="22099" xr:uid="{00000000-0005-0000-0000-00002C7A0000}"/>
    <cellStyle name="Nota 27 2 9 2" xfId="37928" xr:uid="{00000000-0005-0000-0000-00002D7A0000}"/>
    <cellStyle name="Nota 27 3" xfId="22100" xr:uid="{00000000-0005-0000-0000-00002E7A0000}"/>
    <cellStyle name="Nota 27 3 10" xfId="22101" xr:uid="{00000000-0005-0000-0000-00002F7A0000}"/>
    <cellStyle name="Nota 27 3 10 2" xfId="37930" xr:uid="{00000000-0005-0000-0000-0000307A0000}"/>
    <cellStyle name="Nota 27 3 11" xfId="22102" xr:uid="{00000000-0005-0000-0000-0000317A0000}"/>
    <cellStyle name="Nota 27 3 11 2" xfId="37931" xr:uid="{00000000-0005-0000-0000-0000327A0000}"/>
    <cellStyle name="Nota 27 3 12" xfId="22103" xr:uid="{00000000-0005-0000-0000-0000337A0000}"/>
    <cellStyle name="Nota 27 3 12 2" xfId="37932" xr:uid="{00000000-0005-0000-0000-0000347A0000}"/>
    <cellStyle name="Nota 27 3 13" xfId="22104" xr:uid="{00000000-0005-0000-0000-0000357A0000}"/>
    <cellStyle name="Nota 27 3 13 2" xfId="37933" xr:uid="{00000000-0005-0000-0000-0000367A0000}"/>
    <cellStyle name="Nota 27 3 14" xfId="22105" xr:uid="{00000000-0005-0000-0000-0000377A0000}"/>
    <cellStyle name="Nota 27 3 14 2" xfId="37934" xr:uid="{00000000-0005-0000-0000-0000387A0000}"/>
    <cellStyle name="Nota 27 3 15" xfId="22106" xr:uid="{00000000-0005-0000-0000-0000397A0000}"/>
    <cellStyle name="Nota 27 3 15 2" xfId="37935" xr:uid="{00000000-0005-0000-0000-00003A7A0000}"/>
    <cellStyle name="Nota 27 3 16" xfId="37929" xr:uid="{00000000-0005-0000-0000-00003B7A0000}"/>
    <cellStyle name="Nota 27 3 2" xfId="22107" xr:uid="{00000000-0005-0000-0000-00003C7A0000}"/>
    <cellStyle name="Nota 27 3 2 2" xfId="37936" xr:uid="{00000000-0005-0000-0000-00003D7A0000}"/>
    <cellStyle name="Nota 27 3 3" xfId="22108" xr:uid="{00000000-0005-0000-0000-00003E7A0000}"/>
    <cellStyle name="Nota 27 3 3 2" xfId="37937" xr:uid="{00000000-0005-0000-0000-00003F7A0000}"/>
    <cellStyle name="Nota 27 3 4" xfId="22109" xr:uid="{00000000-0005-0000-0000-0000407A0000}"/>
    <cellStyle name="Nota 27 3 4 2" xfId="37938" xr:uid="{00000000-0005-0000-0000-0000417A0000}"/>
    <cellStyle name="Nota 27 3 5" xfId="22110" xr:uid="{00000000-0005-0000-0000-0000427A0000}"/>
    <cellStyle name="Nota 27 3 5 2" xfId="37939" xr:uid="{00000000-0005-0000-0000-0000437A0000}"/>
    <cellStyle name="Nota 27 3 6" xfId="22111" xr:uid="{00000000-0005-0000-0000-0000447A0000}"/>
    <cellStyle name="Nota 27 3 6 2" xfId="37940" xr:uid="{00000000-0005-0000-0000-0000457A0000}"/>
    <cellStyle name="Nota 27 3 7" xfId="22112" xr:uid="{00000000-0005-0000-0000-0000467A0000}"/>
    <cellStyle name="Nota 27 3 7 2" xfId="37941" xr:uid="{00000000-0005-0000-0000-0000477A0000}"/>
    <cellStyle name="Nota 27 3 8" xfId="22113" xr:uid="{00000000-0005-0000-0000-0000487A0000}"/>
    <cellStyle name="Nota 27 3 8 2" xfId="37942" xr:uid="{00000000-0005-0000-0000-0000497A0000}"/>
    <cellStyle name="Nota 27 3 9" xfId="22114" xr:uid="{00000000-0005-0000-0000-00004A7A0000}"/>
    <cellStyle name="Nota 27 3 9 2" xfId="37943" xr:uid="{00000000-0005-0000-0000-00004B7A0000}"/>
    <cellStyle name="Nota 27 4" xfId="22115" xr:uid="{00000000-0005-0000-0000-00004C7A0000}"/>
    <cellStyle name="Nota 27 4 10" xfId="22116" xr:uid="{00000000-0005-0000-0000-00004D7A0000}"/>
    <cellStyle name="Nota 27 4 10 2" xfId="37945" xr:uid="{00000000-0005-0000-0000-00004E7A0000}"/>
    <cellStyle name="Nota 27 4 11" xfId="22117" xr:uid="{00000000-0005-0000-0000-00004F7A0000}"/>
    <cellStyle name="Nota 27 4 11 2" xfId="37946" xr:uid="{00000000-0005-0000-0000-0000507A0000}"/>
    <cellStyle name="Nota 27 4 12" xfId="22118" xr:uid="{00000000-0005-0000-0000-0000517A0000}"/>
    <cellStyle name="Nota 27 4 12 2" xfId="37947" xr:uid="{00000000-0005-0000-0000-0000527A0000}"/>
    <cellStyle name="Nota 27 4 13" xfId="22119" xr:uid="{00000000-0005-0000-0000-0000537A0000}"/>
    <cellStyle name="Nota 27 4 13 2" xfId="37948" xr:uid="{00000000-0005-0000-0000-0000547A0000}"/>
    <cellStyle name="Nota 27 4 14" xfId="22120" xr:uid="{00000000-0005-0000-0000-0000557A0000}"/>
    <cellStyle name="Nota 27 4 14 2" xfId="37949" xr:uid="{00000000-0005-0000-0000-0000567A0000}"/>
    <cellStyle name="Nota 27 4 15" xfId="22121" xr:uid="{00000000-0005-0000-0000-0000577A0000}"/>
    <cellStyle name="Nota 27 4 15 2" xfId="37950" xr:uid="{00000000-0005-0000-0000-0000587A0000}"/>
    <cellStyle name="Nota 27 4 16" xfId="37944" xr:uid="{00000000-0005-0000-0000-0000597A0000}"/>
    <cellStyle name="Nota 27 4 2" xfId="22122" xr:uid="{00000000-0005-0000-0000-00005A7A0000}"/>
    <cellStyle name="Nota 27 4 2 2" xfId="37951" xr:uid="{00000000-0005-0000-0000-00005B7A0000}"/>
    <cellStyle name="Nota 27 4 3" xfId="22123" xr:uid="{00000000-0005-0000-0000-00005C7A0000}"/>
    <cellStyle name="Nota 27 4 3 2" xfId="37952" xr:uid="{00000000-0005-0000-0000-00005D7A0000}"/>
    <cellStyle name="Nota 27 4 4" xfId="22124" xr:uid="{00000000-0005-0000-0000-00005E7A0000}"/>
    <cellStyle name="Nota 27 4 4 2" xfId="37953" xr:uid="{00000000-0005-0000-0000-00005F7A0000}"/>
    <cellStyle name="Nota 27 4 5" xfId="22125" xr:uid="{00000000-0005-0000-0000-0000607A0000}"/>
    <cellStyle name="Nota 27 4 5 2" xfId="37954" xr:uid="{00000000-0005-0000-0000-0000617A0000}"/>
    <cellStyle name="Nota 27 4 6" xfId="22126" xr:uid="{00000000-0005-0000-0000-0000627A0000}"/>
    <cellStyle name="Nota 27 4 6 2" xfId="37955" xr:uid="{00000000-0005-0000-0000-0000637A0000}"/>
    <cellStyle name="Nota 27 4 7" xfId="22127" xr:uid="{00000000-0005-0000-0000-0000647A0000}"/>
    <cellStyle name="Nota 27 4 7 2" xfId="37956" xr:uid="{00000000-0005-0000-0000-0000657A0000}"/>
    <cellStyle name="Nota 27 4 8" xfId="22128" xr:uid="{00000000-0005-0000-0000-0000667A0000}"/>
    <cellStyle name="Nota 27 4 8 2" xfId="37957" xr:uid="{00000000-0005-0000-0000-0000677A0000}"/>
    <cellStyle name="Nota 27 4 9" xfId="22129" xr:uid="{00000000-0005-0000-0000-0000687A0000}"/>
    <cellStyle name="Nota 27 4 9 2" xfId="37958" xr:uid="{00000000-0005-0000-0000-0000697A0000}"/>
    <cellStyle name="Nota 27 5" xfId="22130" xr:uid="{00000000-0005-0000-0000-00006A7A0000}"/>
    <cellStyle name="Nota 27 5 10" xfId="22131" xr:uid="{00000000-0005-0000-0000-00006B7A0000}"/>
    <cellStyle name="Nota 27 5 10 2" xfId="37960" xr:uid="{00000000-0005-0000-0000-00006C7A0000}"/>
    <cellStyle name="Nota 27 5 11" xfId="22132" xr:uid="{00000000-0005-0000-0000-00006D7A0000}"/>
    <cellStyle name="Nota 27 5 11 2" xfId="37961" xr:uid="{00000000-0005-0000-0000-00006E7A0000}"/>
    <cellStyle name="Nota 27 5 12" xfId="22133" xr:uid="{00000000-0005-0000-0000-00006F7A0000}"/>
    <cellStyle name="Nota 27 5 12 2" xfId="37962" xr:uid="{00000000-0005-0000-0000-0000707A0000}"/>
    <cellStyle name="Nota 27 5 13" xfId="22134" xr:uid="{00000000-0005-0000-0000-0000717A0000}"/>
    <cellStyle name="Nota 27 5 13 2" xfId="37963" xr:uid="{00000000-0005-0000-0000-0000727A0000}"/>
    <cellStyle name="Nota 27 5 14" xfId="22135" xr:uid="{00000000-0005-0000-0000-0000737A0000}"/>
    <cellStyle name="Nota 27 5 14 2" xfId="37964" xr:uid="{00000000-0005-0000-0000-0000747A0000}"/>
    <cellStyle name="Nota 27 5 15" xfId="22136" xr:uid="{00000000-0005-0000-0000-0000757A0000}"/>
    <cellStyle name="Nota 27 5 15 2" xfId="37965" xr:uid="{00000000-0005-0000-0000-0000767A0000}"/>
    <cellStyle name="Nota 27 5 16" xfId="37959" xr:uid="{00000000-0005-0000-0000-0000777A0000}"/>
    <cellStyle name="Nota 27 5 2" xfId="22137" xr:uid="{00000000-0005-0000-0000-0000787A0000}"/>
    <cellStyle name="Nota 27 5 2 2" xfId="37966" xr:uid="{00000000-0005-0000-0000-0000797A0000}"/>
    <cellStyle name="Nota 27 5 3" xfId="22138" xr:uid="{00000000-0005-0000-0000-00007A7A0000}"/>
    <cellStyle name="Nota 27 5 3 2" xfId="37967" xr:uid="{00000000-0005-0000-0000-00007B7A0000}"/>
    <cellStyle name="Nota 27 5 4" xfId="22139" xr:uid="{00000000-0005-0000-0000-00007C7A0000}"/>
    <cellStyle name="Nota 27 5 4 2" xfId="37968" xr:uid="{00000000-0005-0000-0000-00007D7A0000}"/>
    <cellStyle name="Nota 27 5 5" xfId="22140" xr:uid="{00000000-0005-0000-0000-00007E7A0000}"/>
    <cellStyle name="Nota 27 5 5 2" xfId="37969" xr:uid="{00000000-0005-0000-0000-00007F7A0000}"/>
    <cellStyle name="Nota 27 5 6" xfId="22141" xr:uid="{00000000-0005-0000-0000-0000807A0000}"/>
    <cellStyle name="Nota 27 5 6 2" xfId="37970" xr:uid="{00000000-0005-0000-0000-0000817A0000}"/>
    <cellStyle name="Nota 27 5 7" xfId="22142" xr:uid="{00000000-0005-0000-0000-0000827A0000}"/>
    <cellStyle name="Nota 27 5 7 2" xfId="37971" xr:uid="{00000000-0005-0000-0000-0000837A0000}"/>
    <cellStyle name="Nota 27 5 8" xfId="22143" xr:uid="{00000000-0005-0000-0000-0000847A0000}"/>
    <cellStyle name="Nota 27 5 8 2" xfId="37972" xr:uid="{00000000-0005-0000-0000-0000857A0000}"/>
    <cellStyle name="Nota 27 5 9" xfId="22144" xr:uid="{00000000-0005-0000-0000-0000867A0000}"/>
    <cellStyle name="Nota 27 5 9 2" xfId="37973" xr:uid="{00000000-0005-0000-0000-0000877A0000}"/>
    <cellStyle name="Nota 27 6" xfId="37913" xr:uid="{00000000-0005-0000-0000-0000887A0000}"/>
    <cellStyle name="Nota 28" xfId="22145" xr:uid="{00000000-0005-0000-0000-0000897A0000}"/>
    <cellStyle name="Nota 28 2" xfId="22146" xr:uid="{00000000-0005-0000-0000-00008A7A0000}"/>
    <cellStyle name="Nota 28 2 10" xfId="22147" xr:uid="{00000000-0005-0000-0000-00008B7A0000}"/>
    <cellStyle name="Nota 28 2 10 2" xfId="37976" xr:uid="{00000000-0005-0000-0000-00008C7A0000}"/>
    <cellStyle name="Nota 28 2 11" xfId="22148" xr:uid="{00000000-0005-0000-0000-00008D7A0000}"/>
    <cellStyle name="Nota 28 2 11 2" xfId="37977" xr:uid="{00000000-0005-0000-0000-00008E7A0000}"/>
    <cellStyle name="Nota 28 2 12" xfId="22149" xr:uid="{00000000-0005-0000-0000-00008F7A0000}"/>
    <cellStyle name="Nota 28 2 12 2" xfId="37978" xr:uid="{00000000-0005-0000-0000-0000907A0000}"/>
    <cellStyle name="Nota 28 2 13" xfId="22150" xr:uid="{00000000-0005-0000-0000-0000917A0000}"/>
    <cellStyle name="Nota 28 2 13 2" xfId="37979" xr:uid="{00000000-0005-0000-0000-0000927A0000}"/>
    <cellStyle name="Nota 28 2 14" xfId="22151" xr:uid="{00000000-0005-0000-0000-0000937A0000}"/>
    <cellStyle name="Nota 28 2 14 2" xfId="37980" xr:uid="{00000000-0005-0000-0000-0000947A0000}"/>
    <cellStyle name="Nota 28 2 15" xfId="22152" xr:uid="{00000000-0005-0000-0000-0000957A0000}"/>
    <cellStyle name="Nota 28 2 15 2" xfId="37981" xr:uid="{00000000-0005-0000-0000-0000967A0000}"/>
    <cellStyle name="Nota 28 2 16" xfId="37975" xr:uid="{00000000-0005-0000-0000-0000977A0000}"/>
    <cellStyle name="Nota 28 2 2" xfId="22153" xr:uid="{00000000-0005-0000-0000-0000987A0000}"/>
    <cellStyle name="Nota 28 2 2 2" xfId="37982" xr:uid="{00000000-0005-0000-0000-0000997A0000}"/>
    <cellStyle name="Nota 28 2 3" xfId="22154" xr:uid="{00000000-0005-0000-0000-00009A7A0000}"/>
    <cellStyle name="Nota 28 2 3 2" xfId="37983" xr:uid="{00000000-0005-0000-0000-00009B7A0000}"/>
    <cellStyle name="Nota 28 2 4" xfId="22155" xr:uid="{00000000-0005-0000-0000-00009C7A0000}"/>
    <cellStyle name="Nota 28 2 4 2" xfId="37984" xr:uid="{00000000-0005-0000-0000-00009D7A0000}"/>
    <cellStyle name="Nota 28 2 5" xfId="22156" xr:uid="{00000000-0005-0000-0000-00009E7A0000}"/>
    <cellStyle name="Nota 28 2 5 2" xfId="37985" xr:uid="{00000000-0005-0000-0000-00009F7A0000}"/>
    <cellStyle name="Nota 28 2 6" xfId="22157" xr:uid="{00000000-0005-0000-0000-0000A07A0000}"/>
    <cellStyle name="Nota 28 2 6 2" xfId="37986" xr:uid="{00000000-0005-0000-0000-0000A17A0000}"/>
    <cellStyle name="Nota 28 2 7" xfId="22158" xr:uid="{00000000-0005-0000-0000-0000A27A0000}"/>
    <cellStyle name="Nota 28 2 7 2" xfId="37987" xr:uid="{00000000-0005-0000-0000-0000A37A0000}"/>
    <cellStyle name="Nota 28 2 8" xfId="22159" xr:uid="{00000000-0005-0000-0000-0000A47A0000}"/>
    <cellStyle name="Nota 28 2 8 2" xfId="37988" xr:uid="{00000000-0005-0000-0000-0000A57A0000}"/>
    <cellStyle name="Nota 28 2 9" xfId="22160" xr:uid="{00000000-0005-0000-0000-0000A67A0000}"/>
    <cellStyle name="Nota 28 2 9 2" xfId="37989" xr:uid="{00000000-0005-0000-0000-0000A77A0000}"/>
    <cellStyle name="Nota 28 3" xfId="22161" xr:uid="{00000000-0005-0000-0000-0000A87A0000}"/>
    <cellStyle name="Nota 28 3 10" xfId="22162" xr:uid="{00000000-0005-0000-0000-0000A97A0000}"/>
    <cellStyle name="Nota 28 3 10 2" xfId="37991" xr:uid="{00000000-0005-0000-0000-0000AA7A0000}"/>
    <cellStyle name="Nota 28 3 11" xfId="22163" xr:uid="{00000000-0005-0000-0000-0000AB7A0000}"/>
    <cellStyle name="Nota 28 3 11 2" xfId="37992" xr:uid="{00000000-0005-0000-0000-0000AC7A0000}"/>
    <cellStyle name="Nota 28 3 12" xfId="22164" xr:uid="{00000000-0005-0000-0000-0000AD7A0000}"/>
    <cellStyle name="Nota 28 3 12 2" xfId="37993" xr:uid="{00000000-0005-0000-0000-0000AE7A0000}"/>
    <cellStyle name="Nota 28 3 13" xfId="22165" xr:uid="{00000000-0005-0000-0000-0000AF7A0000}"/>
    <cellStyle name="Nota 28 3 13 2" xfId="37994" xr:uid="{00000000-0005-0000-0000-0000B07A0000}"/>
    <cellStyle name="Nota 28 3 14" xfId="22166" xr:uid="{00000000-0005-0000-0000-0000B17A0000}"/>
    <cellStyle name="Nota 28 3 14 2" xfId="37995" xr:uid="{00000000-0005-0000-0000-0000B27A0000}"/>
    <cellStyle name="Nota 28 3 15" xfId="22167" xr:uid="{00000000-0005-0000-0000-0000B37A0000}"/>
    <cellStyle name="Nota 28 3 15 2" xfId="37996" xr:uid="{00000000-0005-0000-0000-0000B47A0000}"/>
    <cellStyle name="Nota 28 3 16" xfId="37990" xr:uid="{00000000-0005-0000-0000-0000B57A0000}"/>
    <cellStyle name="Nota 28 3 2" xfId="22168" xr:uid="{00000000-0005-0000-0000-0000B67A0000}"/>
    <cellStyle name="Nota 28 3 2 2" xfId="37997" xr:uid="{00000000-0005-0000-0000-0000B77A0000}"/>
    <cellStyle name="Nota 28 3 3" xfId="22169" xr:uid="{00000000-0005-0000-0000-0000B87A0000}"/>
    <cellStyle name="Nota 28 3 3 2" xfId="37998" xr:uid="{00000000-0005-0000-0000-0000B97A0000}"/>
    <cellStyle name="Nota 28 3 4" xfId="22170" xr:uid="{00000000-0005-0000-0000-0000BA7A0000}"/>
    <cellStyle name="Nota 28 3 4 2" xfId="37999" xr:uid="{00000000-0005-0000-0000-0000BB7A0000}"/>
    <cellStyle name="Nota 28 3 5" xfId="22171" xr:uid="{00000000-0005-0000-0000-0000BC7A0000}"/>
    <cellStyle name="Nota 28 3 5 2" xfId="38000" xr:uid="{00000000-0005-0000-0000-0000BD7A0000}"/>
    <cellStyle name="Nota 28 3 6" xfId="22172" xr:uid="{00000000-0005-0000-0000-0000BE7A0000}"/>
    <cellStyle name="Nota 28 3 6 2" xfId="38001" xr:uid="{00000000-0005-0000-0000-0000BF7A0000}"/>
    <cellStyle name="Nota 28 3 7" xfId="22173" xr:uid="{00000000-0005-0000-0000-0000C07A0000}"/>
    <cellStyle name="Nota 28 3 7 2" xfId="38002" xr:uid="{00000000-0005-0000-0000-0000C17A0000}"/>
    <cellStyle name="Nota 28 3 8" xfId="22174" xr:uid="{00000000-0005-0000-0000-0000C27A0000}"/>
    <cellStyle name="Nota 28 3 8 2" xfId="38003" xr:uid="{00000000-0005-0000-0000-0000C37A0000}"/>
    <cellStyle name="Nota 28 3 9" xfId="22175" xr:uid="{00000000-0005-0000-0000-0000C47A0000}"/>
    <cellStyle name="Nota 28 3 9 2" xfId="38004" xr:uid="{00000000-0005-0000-0000-0000C57A0000}"/>
    <cellStyle name="Nota 28 4" xfId="22176" xr:uid="{00000000-0005-0000-0000-0000C67A0000}"/>
    <cellStyle name="Nota 28 4 10" xfId="22177" xr:uid="{00000000-0005-0000-0000-0000C77A0000}"/>
    <cellStyle name="Nota 28 4 10 2" xfId="38006" xr:uid="{00000000-0005-0000-0000-0000C87A0000}"/>
    <cellStyle name="Nota 28 4 11" xfId="22178" xr:uid="{00000000-0005-0000-0000-0000C97A0000}"/>
    <cellStyle name="Nota 28 4 11 2" xfId="38007" xr:uid="{00000000-0005-0000-0000-0000CA7A0000}"/>
    <cellStyle name="Nota 28 4 12" xfId="22179" xr:uid="{00000000-0005-0000-0000-0000CB7A0000}"/>
    <cellStyle name="Nota 28 4 12 2" xfId="38008" xr:uid="{00000000-0005-0000-0000-0000CC7A0000}"/>
    <cellStyle name="Nota 28 4 13" xfId="22180" xr:uid="{00000000-0005-0000-0000-0000CD7A0000}"/>
    <cellStyle name="Nota 28 4 13 2" xfId="38009" xr:uid="{00000000-0005-0000-0000-0000CE7A0000}"/>
    <cellStyle name="Nota 28 4 14" xfId="22181" xr:uid="{00000000-0005-0000-0000-0000CF7A0000}"/>
    <cellStyle name="Nota 28 4 14 2" xfId="38010" xr:uid="{00000000-0005-0000-0000-0000D07A0000}"/>
    <cellStyle name="Nota 28 4 15" xfId="22182" xr:uid="{00000000-0005-0000-0000-0000D17A0000}"/>
    <cellStyle name="Nota 28 4 15 2" xfId="38011" xr:uid="{00000000-0005-0000-0000-0000D27A0000}"/>
    <cellStyle name="Nota 28 4 16" xfId="38005" xr:uid="{00000000-0005-0000-0000-0000D37A0000}"/>
    <cellStyle name="Nota 28 4 2" xfId="22183" xr:uid="{00000000-0005-0000-0000-0000D47A0000}"/>
    <cellStyle name="Nota 28 4 2 2" xfId="38012" xr:uid="{00000000-0005-0000-0000-0000D57A0000}"/>
    <cellStyle name="Nota 28 4 3" xfId="22184" xr:uid="{00000000-0005-0000-0000-0000D67A0000}"/>
    <cellStyle name="Nota 28 4 3 2" xfId="38013" xr:uid="{00000000-0005-0000-0000-0000D77A0000}"/>
    <cellStyle name="Nota 28 4 4" xfId="22185" xr:uid="{00000000-0005-0000-0000-0000D87A0000}"/>
    <cellStyle name="Nota 28 4 4 2" xfId="38014" xr:uid="{00000000-0005-0000-0000-0000D97A0000}"/>
    <cellStyle name="Nota 28 4 5" xfId="22186" xr:uid="{00000000-0005-0000-0000-0000DA7A0000}"/>
    <cellStyle name="Nota 28 4 5 2" xfId="38015" xr:uid="{00000000-0005-0000-0000-0000DB7A0000}"/>
    <cellStyle name="Nota 28 4 6" xfId="22187" xr:uid="{00000000-0005-0000-0000-0000DC7A0000}"/>
    <cellStyle name="Nota 28 4 6 2" xfId="38016" xr:uid="{00000000-0005-0000-0000-0000DD7A0000}"/>
    <cellStyle name="Nota 28 4 7" xfId="22188" xr:uid="{00000000-0005-0000-0000-0000DE7A0000}"/>
    <cellStyle name="Nota 28 4 7 2" xfId="38017" xr:uid="{00000000-0005-0000-0000-0000DF7A0000}"/>
    <cellStyle name="Nota 28 4 8" xfId="22189" xr:uid="{00000000-0005-0000-0000-0000E07A0000}"/>
    <cellStyle name="Nota 28 4 8 2" xfId="38018" xr:uid="{00000000-0005-0000-0000-0000E17A0000}"/>
    <cellStyle name="Nota 28 4 9" xfId="22190" xr:uid="{00000000-0005-0000-0000-0000E27A0000}"/>
    <cellStyle name="Nota 28 4 9 2" xfId="38019" xr:uid="{00000000-0005-0000-0000-0000E37A0000}"/>
    <cellStyle name="Nota 28 5" xfId="22191" xr:uid="{00000000-0005-0000-0000-0000E47A0000}"/>
    <cellStyle name="Nota 28 5 10" xfId="22192" xr:uid="{00000000-0005-0000-0000-0000E57A0000}"/>
    <cellStyle name="Nota 28 5 10 2" xfId="38021" xr:uid="{00000000-0005-0000-0000-0000E67A0000}"/>
    <cellStyle name="Nota 28 5 11" xfId="22193" xr:uid="{00000000-0005-0000-0000-0000E77A0000}"/>
    <cellStyle name="Nota 28 5 11 2" xfId="38022" xr:uid="{00000000-0005-0000-0000-0000E87A0000}"/>
    <cellStyle name="Nota 28 5 12" xfId="22194" xr:uid="{00000000-0005-0000-0000-0000E97A0000}"/>
    <cellStyle name="Nota 28 5 12 2" xfId="38023" xr:uid="{00000000-0005-0000-0000-0000EA7A0000}"/>
    <cellStyle name="Nota 28 5 13" xfId="22195" xr:uid="{00000000-0005-0000-0000-0000EB7A0000}"/>
    <cellStyle name="Nota 28 5 13 2" xfId="38024" xr:uid="{00000000-0005-0000-0000-0000EC7A0000}"/>
    <cellStyle name="Nota 28 5 14" xfId="22196" xr:uid="{00000000-0005-0000-0000-0000ED7A0000}"/>
    <cellStyle name="Nota 28 5 14 2" xfId="38025" xr:uid="{00000000-0005-0000-0000-0000EE7A0000}"/>
    <cellStyle name="Nota 28 5 15" xfId="22197" xr:uid="{00000000-0005-0000-0000-0000EF7A0000}"/>
    <cellStyle name="Nota 28 5 15 2" xfId="38026" xr:uid="{00000000-0005-0000-0000-0000F07A0000}"/>
    <cellStyle name="Nota 28 5 16" xfId="38020" xr:uid="{00000000-0005-0000-0000-0000F17A0000}"/>
    <cellStyle name="Nota 28 5 2" xfId="22198" xr:uid="{00000000-0005-0000-0000-0000F27A0000}"/>
    <cellStyle name="Nota 28 5 2 2" xfId="38027" xr:uid="{00000000-0005-0000-0000-0000F37A0000}"/>
    <cellStyle name="Nota 28 5 3" xfId="22199" xr:uid="{00000000-0005-0000-0000-0000F47A0000}"/>
    <cellStyle name="Nota 28 5 3 2" xfId="38028" xr:uid="{00000000-0005-0000-0000-0000F57A0000}"/>
    <cellStyle name="Nota 28 5 4" xfId="22200" xr:uid="{00000000-0005-0000-0000-0000F67A0000}"/>
    <cellStyle name="Nota 28 5 4 2" xfId="38029" xr:uid="{00000000-0005-0000-0000-0000F77A0000}"/>
    <cellStyle name="Nota 28 5 5" xfId="22201" xr:uid="{00000000-0005-0000-0000-0000F87A0000}"/>
    <cellStyle name="Nota 28 5 5 2" xfId="38030" xr:uid="{00000000-0005-0000-0000-0000F97A0000}"/>
    <cellStyle name="Nota 28 5 6" xfId="22202" xr:uid="{00000000-0005-0000-0000-0000FA7A0000}"/>
    <cellStyle name="Nota 28 5 6 2" xfId="38031" xr:uid="{00000000-0005-0000-0000-0000FB7A0000}"/>
    <cellStyle name="Nota 28 5 7" xfId="22203" xr:uid="{00000000-0005-0000-0000-0000FC7A0000}"/>
    <cellStyle name="Nota 28 5 7 2" xfId="38032" xr:uid="{00000000-0005-0000-0000-0000FD7A0000}"/>
    <cellStyle name="Nota 28 5 8" xfId="22204" xr:uid="{00000000-0005-0000-0000-0000FE7A0000}"/>
    <cellStyle name="Nota 28 5 8 2" xfId="38033" xr:uid="{00000000-0005-0000-0000-0000FF7A0000}"/>
    <cellStyle name="Nota 28 5 9" xfId="22205" xr:uid="{00000000-0005-0000-0000-0000007B0000}"/>
    <cellStyle name="Nota 28 5 9 2" xfId="38034" xr:uid="{00000000-0005-0000-0000-0000017B0000}"/>
    <cellStyle name="Nota 28 6" xfId="37974" xr:uid="{00000000-0005-0000-0000-0000027B0000}"/>
    <cellStyle name="Nota 29" xfId="22206" xr:uid="{00000000-0005-0000-0000-0000037B0000}"/>
    <cellStyle name="Nota 29 2" xfId="22207" xr:uid="{00000000-0005-0000-0000-0000047B0000}"/>
    <cellStyle name="Nota 29 2 10" xfId="22208" xr:uid="{00000000-0005-0000-0000-0000057B0000}"/>
    <cellStyle name="Nota 29 2 10 2" xfId="38037" xr:uid="{00000000-0005-0000-0000-0000067B0000}"/>
    <cellStyle name="Nota 29 2 11" xfId="22209" xr:uid="{00000000-0005-0000-0000-0000077B0000}"/>
    <cellStyle name="Nota 29 2 11 2" xfId="38038" xr:uid="{00000000-0005-0000-0000-0000087B0000}"/>
    <cellStyle name="Nota 29 2 12" xfId="22210" xr:uid="{00000000-0005-0000-0000-0000097B0000}"/>
    <cellStyle name="Nota 29 2 12 2" xfId="38039" xr:uid="{00000000-0005-0000-0000-00000A7B0000}"/>
    <cellStyle name="Nota 29 2 13" xfId="22211" xr:uid="{00000000-0005-0000-0000-00000B7B0000}"/>
    <cellStyle name="Nota 29 2 13 2" xfId="38040" xr:uid="{00000000-0005-0000-0000-00000C7B0000}"/>
    <cellStyle name="Nota 29 2 14" xfId="22212" xr:uid="{00000000-0005-0000-0000-00000D7B0000}"/>
    <cellStyle name="Nota 29 2 14 2" xfId="38041" xr:uid="{00000000-0005-0000-0000-00000E7B0000}"/>
    <cellStyle name="Nota 29 2 15" xfId="22213" xr:uid="{00000000-0005-0000-0000-00000F7B0000}"/>
    <cellStyle name="Nota 29 2 15 2" xfId="38042" xr:uid="{00000000-0005-0000-0000-0000107B0000}"/>
    <cellStyle name="Nota 29 2 16" xfId="38036" xr:uid="{00000000-0005-0000-0000-0000117B0000}"/>
    <cellStyle name="Nota 29 2 2" xfId="22214" xr:uid="{00000000-0005-0000-0000-0000127B0000}"/>
    <cellStyle name="Nota 29 2 2 2" xfId="38043" xr:uid="{00000000-0005-0000-0000-0000137B0000}"/>
    <cellStyle name="Nota 29 2 3" xfId="22215" xr:uid="{00000000-0005-0000-0000-0000147B0000}"/>
    <cellStyle name="Nota 29 2 3 2" xfId="38044" xr:uid="{00000000-0005-0000-0000-0000157B0000}"/>
    <cellStyle name="Nota 29 2 4" xfId="22216" xr:uid="{00000000-0005-0000-0000-0000167B0000}"/>
    <cellStyle name="Nota 29 2 4 2" xfId="38045" xr:uid="{00000000-0005-0000-0000-0000177B0000}"/>
    <cellStyle name="Nota 29 2 5" xfId="22217" xr:uid="{00000000-0005-0000-0000-0000187B0000}"/>
    <cellStyle name="Nota 29 2 5 2" xfId="38046" xr:uid="{00000000-0005-0000-0000-0000197B0000}"/>
    <cellStyle name="Nota 29 2 6" xfId="22218" xr:uid="{00000000-0005-0000-0000-00001A7B0000}"/>
    <cellStyle name="Nota 29 2 6 2" xfId="38047" xr:uid="{00000000-0005-0000-0000-00001B7B0000}"/>
    <cellStyle name="Nota 29 2 7" xfId="22219" xr:uid="{00000000-0005-0000-0000-00001C7B0000}"/>
    <cellStyle name="Nota 29 2 7 2" xfId="38048" xr:uid="{00000000-0005-0000-0000-00001D7B0000}"/>
    <cellStyle name="Nota 29 2 8" xfId="22220" xr:uid="{00000000-0005-0000-0000-00001E7B0000}"/>
    <cellStyle name="Nota 29 2 8 2" xfId="38049" xr:uid="{00000000-0005-0000-0000-00001F7B0000}"/>
    <cellStyle name="Nota 29 2 9" xfId="22221" xr:uid="{00000000-0005-0000-0000-0000207B0000}"/>
    <cellStyle name="Nota 29 2 9 2" xfId="38050" xr:uid="{00000000-0005-0000-0000-0000217B0000}"/>
    <cellStyle name="Nota 29 3" xfId="22222" xr:uid="{00000000-0005-0000-0000-0000227B0000}"/>
    <cellStyle name="Nota 29 3 10" xfId="22223" xr:uid="{00000000-0005-0000-0000-0000237B0000}"/>
    <cellStyle name="Nota 29 3 10 2" xfId="38052" xr:uid="{00000000-0005-0000-0000-0000247B0000}"/>
    <cellStyle name="Nota 29 3 11" xfId="22224" xr:uid="{00000000-0005-0000-0000-0000257B0000}"/>
    <cellStyle name="Nota 29 3 11 2" xfId="38053" xr:uid="{00000000-0005-0000-0000-0000267B0000}"/>
    <cellStyle name="Nota 29 3 12" xfId="22225" xr:uid="{00000000-0005-0000-0000-0000277B0000}"/>
    <cellStyle name="Nota 29 3 12 2" xfId="38054" xr:uid="{00000000-0005-0000-0000-0000287B0000}"/>
    <cellStyle name="Nota 29 3 13" xfId="22226" xr:uid="{00000000-0005-0000-0000-0000297B0000}"/>
    <cellStyle name="Nota 29 3 13 2" xfId="38055" xr:uid="{00000000-0005-0000-0000-00002A7B0000}"/>
    <cellStyle name="Nota 29 3 14" xfId="22227" xr:uid="{00000000-0005-0000-0000-00002B7B0000}"/>
    <cellStyle name="Nota 29 3 14 2" xfId="38056" xr:uid="{00000000-0005-0000-0000-00002C7B0000}"/>
    <cellStyle name="Nota 29 3 15" xfId="22228" xr:uid="{00000000-0005-0000-0000-00002D7B0000}"/>
    <cellStyle name="Nota 29 3 15 2" xfId="38057" xr:uid="{00000000-0005-0000-0000-00002E7B0000}"/>
    <cellStyle name="Nota 29 3 16" xfId="38051" xr:uid="{00000000-0005-0000-0000-00002F7B0000}"/>
    <cellStyle name="Nota 29 3 2" xfId="22229" xr:uid="{00000000-0005-0000-0000-0000307B0000}"/>
    <cellStyle name="Nota 29 3 2 2" xfId="38058" xr:uid="{00000000-0005-0000-0000-0000317B0000}"/>
    <cellStyle name="Nota 29 3 3" xfId="22230" xr:uid="{00000000-0005-0000-0000-0000327B0000}"/>
    <cellStyle name="Nota 29 3 3 2" xfId="38059" xr:uid="{00000000-0005-0000-0000-0000337B0000}"/>
    <cellStyle name="Nota 29 3 4" xfId="22231" xr:uid="{00000000-0005-0000-0000-0000347B0000}"/>
    <cellStyle name="Nota 29 3 4 2" xfId="38060" xr:uid="{00000000-0005-0000-0000-0000357B0000}"/>
    <cellStyle name="Nota 29 3 5" xfId="22232" xr:uid="{00000000-0005-0000-0000-0000367B0000}"/>
    <cellStyle name="Nota 29 3 5 2" xfId="38061" xr:uid="{00000000-0005-0000-0000-0000377B0000}"/>
    <cellStyle name="Nota 29 3 6" xfId="22233" xr:uid="{00000000-0005-0000-0000-0000387B0000}"/>
    <cellStyle name="Nota 29 3 6 2" xfId="38062" xr:uid="{00000000-0005-0000-0000-0000397B0000}"/>
    <cellStyle name="Nota 29 3 7" xfId="22234" xr:uid="{00000000-0005-0000-0000-00003A7B0000}"/>
    <cellStyle name="Nota 29 3 7 2" xfId="38063" xr:uid="{00000000-0005-0000-0000-00003B7B0000}"/>
    <cellStyle name="Nota 29 3 8" xfId="22235" xr:uid="{00000000-0005-0000-0000-00003C7B0000}"/>
    <cellStyle name="Nota 29 3 8 2" xfId="38064" xr:uid="{00000000-0005-0000-0000-00003D7B0000}"/>
    <cellStyle name="Nota 29 3 9" xfId="22236" xr:uid="{00000000-0005-0000-0000-00003E7B0000}"/>
    <cellStyle name="Nota 29 3 9 2" xfId="38065" xr:uid="{00000000-0005-0000-0000-00003F7B0000}"/>
    <cellStyle name="Nota 29 4" xfId="22237" xr:uid="{00000000-0005-0000-0000-0000407B0000}"/>
    <cellStyle name="Nota 29 4 10" xfId="22238" xr:uid="{00000000-0005-0000-0000-0000417B0000}"/>
    <cellStyle name="Nota 29 4 10 2" xfId="38067" xr:uid="{00000000-0005-0000-0000-0000427B0000}"/>
    <cellStyle name="Nota 29 4 11" xfId="22239" xr:uid="{00000000-0005-0000-0000-0000437B0000}"/>
    <cellStyle name="Nota 29 4 11 2" xfId="38068" xr:uid="{00000000-0005-0000-0000-0000447B0000}"/>
    <cellStyle name="Nota 29 4 12" xfId="22240" xr:uid="{00000000-0005-0000-0000-0000457B0000}"/>
    <cellStyle name="Nota 29 4 12 2" xfId="38069" xr:uid="{00000000-0005-0000-0000-0000467B0000}"/>
    <cellStyle name="Nota 29 4 13" xfId="22241" xr:uid="{00000000-0005-0000-0000-0000477B0000}"/>
    <cellStyle name="Nota 29 4 13 2" xfId="38070" xr:uid="{00000000-0005-0000-0000-0000487B0000}"/>
    <cellStyle name="Nota 29 4 14" xfId="22242" xr:uid="{00000000-0005-0000-0000-0000497B0000}"/>
    <cellStyle name="Nota 29 4 14 2" xfId="38071" xr:uid="{00000000-0005-0000-0000-00004A7B0000}"/>
    <cellStyle name="Nota 29 4 15" xfId="22243" xr:uid="{00000000-0005-0000-0000-00004B7B0000}"/>
    <cellStyle name="Nota 29 4 15 2" xfId="38072" xr:uid="{00000000-0005-0000-0000-00004C7B0000}"/>
    <cellStyle name="Nota 29 4 16" xfId="38066" xr:uid="{00000000-0005-0000-0000-00004D7B0000}"/>
    <cellStyle name="Nota 29 4 2" xfId="22244" xr:uid="{00000000-0005-0000-0000-00004E7B0000}"/>
    <cellStyle name="Nota 29 4 2 2" xfId="38073" xr:uid="{00000000-0005-0000-0000-00004F7B0000}"/>
    <cellStyle name="Nota 29 4 3" xfId="22245" xr:uid="{00000000-0005-0000-0000-0000507B0000}"/>
    <cellStyle name="Nota 29 4 3 2" xfId="38074" xr:uid="{00000000-0005-0000-0000-0000517B0000}"/>
    <cellStyle name="Nota 29 4 4" xfId="22246" xr:uid="{00000000-0005-0000-0000-0000527B0000}"/>
    <cellStyle name="Nota 29 4 4 2" xfId="38075" xr:uid="{00000000-0005-0000-0000-0000537B0000}"/>
    <cellStyle name="Nota 29 4 5" xfId="22247" xr:uid="{00000000-0005-0000-0000-0000547B0000}"/>
    <cellStyle name="Nota 29 4 5 2" xfId="38076" xr:uid="{00000000-0005-0000-0000-0000557B0000}"/>
    <cellStyle name="Nota 29 4 6" xfId="22248" xr:uid="{00000000-0005-0000-0000-0000567B0000}"/>
    <cellStyle name="Nota 29 4 6 2" xfId="38077" xr:uid="{00000000-0005-0000-0000-0000577B0000}"/>
    <cellStyle name="Nota 29 4 7" xfId="22249" xr:uid="{00000000-0005-0000-0000-0000587B0000}"/>
    <cellStyle name="Nota 29 4 7 2" xfId="38078" xr:uid="{00000000-0005-0000-0000-0000597B0000}"/>
    <cellStyle name="Nota 29 4 8" xfId="22250" xr:uid="{00000000-0005-0000-0000-00005A7B0000}"/>
    <cellStyle name="Nota 29 4 8 2" xfId="38079" xr:uid="{00000000-0005-0000-0000-00005B7B0000}"/>
    <cellStyle name="Nota 29 4 9" xfId="22251" xr:uid="{00000000-0005-0000-0000-00005C7B0000}"/>
    <cellStyle name="Nota 29 4 9 2" xfId="38080" xr:uid="{00000000-0005-0000-0000-00005D7B0000}"/>
    <cellStyle name="Nota 29 5" xfId="22252" xr:uid="{00000000-0005-0000-0000-00005E7B0000}"/>
    <cellStyle name="Nota 29 5 10" xfId="22253" xr:uid="{00000000-0005-0000-0000-00005F7B0000}"/>
    <cellStyle name="Nota 29 5 10 2" xfId="38082" xr:uid="{00000000-0005-0000-0000-0000607B0000}"/>
    <cellStyle name="Nota 29 5 11" xfId="22254" xr:uid="{00000000-0005-0000-0000-0000617B0000}"/>
    <cellStyle name="Nota 29 5 11 2" xfId="38083" xr:uid="{00000000-0005-0000-0000-0000627B0000}"/>
    <cellStyle name="Nota 29 5 12" xfId="22255" xr:uid="{00000000-0005-0000-0000-0000637B0000}"/>
    <cellStyle name="Nota 29 5 12 2" xfId="38084" xr:uid="{00000000-0005-0000-0000-0000647B0000}"/>
    <cellStyle name="Nota 29 5 13" xfId="22256" xr:uid="{00000000-0005-0000-0000-0000657B0000}"/>
    <cellStyle name="Nota 29 5 13 2" xfId="38085" xr:uid="{00000000-0005-0000-0000-0000667B0000}"/>
    <cellStyle name="Nota 29 5 14" xfId="22257" xr:uid="{00000000-0005-0000-0000-0000677B0000}"/>
    <cellStyle name="Nota 29 5 14 2" xfId="38086" xr:uid="{00000000-0005-0000-0000-0000687B0000}"/>
    <cellStyle name="Nota 29 5 15" xfId="22258" xr:uid="{00000000-0005-0000-0000-0000697B0000}"/>
    <cellStyle name="Nota 29 5 15 2" xfId="38087" xr:uid="{00000000-0005-0000-0000-00006A7B0000}"/>
    <cellStyle name="Nota 29 5 16" xfId="38081" xr:uid="{00000000-0005-0000-0000-00006B7B0000}"/>
    <cellStyle name="Nota 29 5 2" xfId="22259" xr:uid="{00000000-0005-0000-0000-00006C7B0000}"/>
    <cellStyle name="Nota 29 5 2 2" xfId="38088" xr:uid="{00000000-0005-0000-0000-00006D7B0000}"/>
    <cellStyle name="Nota 29 5 3" xfId="22260" xr:uid="{00000000-0005-0000-0000-00006E7B0000}"/>
    <cellStyle name="Nota 29 5 3 2" xfId="38089" xr:uid="{00000000-0005-0000-0000-00006F7B0000}"/>
    <cellStyle name="Nota 29 5 4" xfId="22261" xr:uid="{00000000-0005-0000-0000-0000707B0000}"/>
    <cellStyle name="Nota 29 5 4 2" xfId="38090" xr:uid="{00000000-0005-0000-0000-0000717B0000}"/>
    <cellStyle name="Nota 29 5 5" xfId="22262" xr:uid="{00000000-0005-0000-0000-0000727B0000}"/>
    <cellStyle name="Nota 29 5 5 2" xfId="38091" xr:uid="{00000000-0005-0000-0000-0000737B0000}"/>
    <cellStyle name="Nota 29 5 6" xfId="22263" xr:uid="{00000000-0005-0000-0000-0000747B0000}"/>
    <cellStyle name="Nota 29 5 6 2" xfId="38092" xr:uid="{00000000-0005-0000-0000-0000757B0000}"/>
    <cellStyle name="Nota 29 5 7" xfId="22264" xr:uid="{00000000-0005-0000-0000-0000767B0000}"/>
    <cellStyle name="Nota 29 5 7 2" xfId="38093" xr:uid="{00000000-0005-0000-0000-0000777B0000}"/>
    <cellStyle name="Nota 29 5 8" xfId="22265" xr:uid="{00000000-0005-0000-0000-0000787B0000}"/>
    <cellStyle name="Nota 29 5 8 2" xfId="38094" xr:uid="{00000000-0005-0000-0000-0000797B0000}"/>
    <cellStyle name="Nota 29 5 9" xfId="22266" xr:uid="{00000000-0005-0000-0000-00007A7B0000}"/>
    <cellStyle name="Nota 29 5 9 2" xfId="38095" xr:uid="{00000000-0005-0000-0000-00007B7B0000}"/>
    <cellStyle name="Nota 29 6" xfId="38035" xr:uid="{00000000-0005-0000-0000-00007C7B0000}"/>
    <cellStyle name="Nota 3" xfId="22267" xr:uid="{00000000-0005-0000-0000-00007D7B0000}"/>
    <cellStyle name="Nota 3 10" xfId="22268" xr:uid="{00000000-0005-0000-0000-00007E7B0000}"/>
    <cellStyle name="Nota 3 10 10" xfId="22269" xr:uid="{00000000-0005-0000-0000-00007F7B0000}"/>
    <cellStyle name="Nota 3 10 10 2" xfId="38097" xr:uid="{00000000-0005-0000-0000-0000807B0000}"/>
    <cellStyle name="Nota 3 10 11" xfId="22270" xr:uid="{00000000-0005-0000-0000-0000817B0000}"/>
    <cellStyle name="Nota 3 10 11 2" xfId="38098" xr:uid="{00000000-0005-0000-0000-0000827B0000}"/>
    <cellStyle name="Nota 3 10 12" xfId="22271" xr:uid="{00000000-0005-0000-0000-0000837B0000}"/>
    <cellStyle name="Nota 3 10 12 2" xfId="38099" xr:uid="{00000000-0005-0000-0000-0000847B0000}"/>
    <cellStyle name="Nota 3 10 13" xfId="22272" xr:uid="{00000000-0005-0000-0000-0000857B0000}"/>
    <cellStyle name="Nota 3 10 13 2" xfId="38100" xr:uid="{00000000-0005-0000-0000-0000867B0000}"/>
    <cellStyle name="Nota 3 10 14" xfId="22273" xr:uid="{00000000-0005-0000-0000-0000877B0000}"/>
    <cellStyle name="Nota 3 10 14 2" xfId="38101" xr:uid="{00000000-0005-0000-0000-0000887B0000}"/>
    <cellStyle name="Nota 3 10 15" xfId="22274" xr:uid="{00000000-0005-0000-0000-0000897B0000}"/>
    <cellStyle name="Nota 3 10 15 2" xfId="38102" xr:uid="{00000000-0005-0000-0000-00008A7B0000}"/>
    <cellStyle name="Nota 3 10 16" xfId="38096" xr:uid="{00000000-0005-0000-0000-00008B7B0000}"/>
    <cellStyle name="Nota 3 10 2" xfId="22275" xr:uid="{00000000-0005-0000-0000-00008C7B0000}"/>
    <cellStyle name="Nota 3 10 2 2" xfId="38103" xr:uid="{00000000-0005-0000-0000-00008D7B0000}"/>
    <cellStyle name="Nota 3 10 3" xfId="22276" xr:uid="{00000000-0005-0000-0000-00008E7B0000}"/>
    <cellStyle name="Nota 3 10 3 2" xfId="38104" xr:uid="{00000000-0005-0000-0000-00008F7B0000}"/>
    <cellStyle name="Nota 3 10 4" xfId="22277" xr:uid="{00000000-0005-0000-0000-0000907B0000}"/>
    <cellStyle name="Nota 3 10 4 2" xfId="38105" xr:uid="{00000000-0005-0000-0000-0000917B0000}"/>
    <cellStyle name="Nota 3 10 5" xfId="22278" xr:uid="{00000000-0005-0000-0000-0000927B0000}"/>
    <cellStyle name="Nota 3 10 5 2" xfId="38106" xr:uid="{00000000-0005-0000-0000-0000937B0000}"/>
    <cellStyle name="Nota 3 10 6" xfId="22279" xr:uid="{00000000-0005-0000-0000-0000947B0000}"/>
    <cellStyle name="Nota 3 10 6 2" xfId="38107" xr:uid="{00000000-0005-0000-0000-0000957B0000}"/>
    <cellStyle name="Nota 3 10 7" xfId="22280" xr:uid="{00000000-0005-0000-0000-0000967B0000}"/>
    <cellStyle name="Nota 3 10 7 2" xfId="38108" xr:uid="{00000000-0005-0000-0000-0000977B0000}"/>
    <cellStyle name="Nota 3 10 8" xfId="22281" xr:uid="{00000000-0005-0000-0000-0000987B0000}"/>
    <cellStyle name="Nota 3 10 8 2" xfId="38109" xr:uid="{00000000-0005-0000-0000-0000997B0000}"/>
    <cellStyle name="Nota 3 10 9" xfId="22282" xr:uid="{00000000-0005-0000-0000-00009A7B0000}"/>
    <cellStyle name="Nota 3 10 9 2" xfId="38110" xr:uid="{00000000-0005-0000-0000-00009B7B0000}"/>
    <cellStyle name="Nota 3 11" xfId="22283" xr:uid="{00000000-0005-0000-0000-00009C7B0000}"/>
    <cellStyle name="Nota 3 11 10" xfId="22284" xr:uid="{00000000-0005-0000-0000-00009D7B0000}"/>
    <cellStyle name="Nota 3 11 10 2" xfId="38112" xr:uid="{00000000-0005-0000-0000-00009E7B0000}"/>
    <cellStyle name="Nota 3 11 11" xfId="22285" xr:uid="{00000000-0005-0000-0000-00009F7B0000}"/>
    <cellStyle name="Nota 3 11 11 2" xfId="38113" xr:uid="{00000000-0005-0000-0000-0000A07B0000}"/>
    <cellStyle name="Nota 3 11 12" xfId="22286" xr:uid="{00000000-0005-0000-0000-0000A17B0000}"/>
    <cellStyle name="Nota 3 11 12 2" xfId="38114" xr:uid="{00000000-0005-0000-0000-0000A27B0000}"/>
    <cellStyle name="Nota 3 11 13" xfId="22287" xr:uid="{00000000-0005-0000-0000-0000A37B0000}"/>
    <cellStyle name="Nota 3 11 13 2" xfId="38115" xr:uid="{00000000-0005-0000-0000-0000A47B0000}"/>
    <cellStyle name="Nota 3 11 14" xfId="22288" xr:uid="{00000000-0005-0000-0000-0000A57B0000}"/>
    <cellStyle name="Nota 3 11 14 2" xfId="38116" xr:uid="{00000000-0005-0000-0000-0000A67B0000}"/>
    <cellStyle name="Nota 3 11 15" xfId="22289" xr:uid="{00000000-0005-0000-0000-0000A77B0000}"/>
    <cellStyle name="Nota 3 11 15 2" xfId="38117" xr:uid="{00000000-0005-0000-0000-0000A87B0000}"/>
    <cellStyle name="Nota 3 11 16" xfId="38111" xr:uid="{00000000-0005-0000-0000-0000A97B0000}"/>
    <cellStyle name="Nota 3 11 2" xfId="22290" xr:uid="{00000000-0005-0000-0000-0000AA7B0000}"/>
    <cellStyle name="Nota 3 11 2 2" xfId="38118" xr:uid="{00000000-0005-0000-0000-0000AB7B0000}"/>
    <cellStyle name="Nota 3 11 3" xfId="22291" xr:uid="{00000000-0005-0000-0000-0000AC7B0000}"/>
    <cellStyle name="Nota 3 11 3 2" xfId="38119" xr:uid="{00000000-0005-0000-0000-0000AD7B0000}"/>
    <cellStyle name="Nota 3 11 4" xfId="22292" xr:uid="{00000000-0005-0000-0000-0000AE7B0000}"/>
    <cellStyle name="Nota 3 11 4 2" xfId="38120" xr:uid="{00000000-0005-0000-0000-0000AF7B0000}"/>
    <cellStyle name="Nota 3 11 5" xfId="22293" xr:uid="{00000000-0005-0000-0000-0000B07B0000}"/>
    <cellStyle name="Nota 3 11 5 2" xfId="38121" xr:uid="{00000000-0005-0000-0000-0000B17B0000}"/>
    <cellStyle name="Nota 3 11 6" xfId="22294" xr:uid="{00000000-0005-0000-0000-0000B27B0000}"/>
    <cellStyle name="Nota 3 11 6 2" xfId="38122" xr:uid="{00000000-0005-0000-0000-0000B37B0000}"/>
    <cellStyle name="Nota 3 11 7" xfId="22295" xr:uid="{00000000-0005-0000-0000-0000B47B0000}"/>
    <cellStyle name="Nota 3 11 7 2" xfId="38123" xr:uid="{00000000-0005-0000-0000-0000B57B0000}"/>
    <cellStyle name="Nota 3 11 8" xfId="22296" xr:uid="{00000000-0005-0000-0000-0000B67B0000}"/>
    <cellStyle name="Nota 3 11 8 2" xfId="38124" xr:uid="{00000000-0005-0000-0000-0000B77B0000}"/>
    <cellStyle name="Nota 3 11 9" xfId="22297" xr:uid="{00000000-0005-0000-0000-0000B87B0000}"/>
    <cellStyle name="Nota 3 11 9 2" xfId="38125" xr:uid="{00000000-0005-0000-0000-0000B97B0000}"/>
    <cellStyle name="Nota 3 12" xfId="40812" xr:uid="{00000000-0005-0000-0000-0000BA7B0000}"/>
    <cellStyle name="Nota 3 2" xfId="22298" xr:uid="{00000000-0005-0000-0000-0000BB7B0000}"/>
    <cellStyle name="Nota 3 2 2" xfId="29224" xr:uid="{00000000-0005-0000-0000-0000BC7B0000}"/>
    <cellStyle name="Nota 3 2 2 2" xfId="40813" xr:uid="{00000000-0005-0000-0000-0000BD7B0000}"/>
    <cellStyle name="Nota 3 3" xfId="22299" xr:uid="{00000000-0005-0000-0000-0000BE7B0000}"/>
    <cellStyle name="Nota 3 3 2" xfId="29225" xr:uid="{00000000-0005-0000-0000-0000BF7B0000}"/>
    <cellStyle name="Nota 3 3 2 2" xfId="40814" xr:uid="{00000000-0005-0000-0000-0000C07B0000}"/>
    <cellStyle name="Nota 3 4" xfId="22300" xr:uid="{00000000-0005-0000-0000-0000C17B0000}"/>
    <cellStyle name="Nota 3 4 2" xfId="29226" xr:uid="{00000000-0005-0000-0000-0000C27B0000}"/>
    <cellStyle name="Nota 3 4 2 2" xfId="40815" xr:uid="{00000000-0005-0000-0000-0000C37B0000}"/>
    <cellStyle name="Nota 3 5" xfId="22301" xr:uid="{00000000-0005-0000-0000-0000C47B0000}"/>
    <cellStyle name="Nota 3 5 2" xfId="29227" xr:uid="{00000000-0005-0000-0000-0000C57B0000}"/>
    <cellStyle name="Nota 3 6" xfId="22302" xr:uid="{00000000-0005-0000-0000-0000C67B0000}"/>
    <cellStyle name="Nota 3 6 2" xfId="29228" xr:uid="{00000000-0005-0000-0000-0000C77B0000}"/>
    <cellStyle name="Nota 3 7" xfId="22303" xr:uid="{00000000-0005-0000-0000-0000C87B0000}"/>
    <cellStyle name="Nota 3 7 2" xfId="29229" xr:uid="{00000000-0005-0000-0000-0000C97B0000}"/>
    <cellStyle name="Nota 3 8" xfId="22304" xr:uid="{00000000-0005-0000-0000-0000CA7B0000}"/>
    <cellStyle name="Nota 3 8 10" xfId="22305" xr:uid="{00000000-0005-0000-0000-0000CB7B0000}"/>
    <cellStyle name="Nota 3 8 10 2" xfId="38127" xr:uid="{00000000-0005-0000-0000-0000CC7B0000}"/>
    <cellStyle name="Nota 3 8 11" xfId="22306" xr:uid="{00000000-0005-0000-0000-0000CD7B0000}"/>
    <cellStyle name="Nota 3 8 11 2" xfId="38128" xr:uid="{00000000-0005-0000-0000-0000CE7B0000}"/>
    <cellStyle name="Nota 3 8 12" xfId="22307" xr:uid="{00000000-0005-0000-0000-0000CF7B0000}"/>
    <cellStyle name="Nota 3 8 12 2" xfId="38129" xr:uid="{00000000-0005-0000-0000-0000D07B0000}"/>
    <cellStyle name="Nota 3 8 13" xfId="22308" xr:uid="{00000000-0005-0000-0000-0000D17B0000}"/>
    <cellStyle name="Nota 3 8 13 2" xfId="38130" xr:uid="{00000000-0005-0000-0000-0000D27B0000}"/>
    <cellStyle name="Nota 3 8 14" xfId="22309" xr:uid="{00000000-0005-0000-0000-0000D37B0000}"/>
    <cellStyle name="Nota 3 8 14 2" xfId="38131" xr:uid="{00000000-0005-0000-0000-0000D47B0000}"/>
    <cellStyle name="Nota 3 8 15" xfId="22310" xr:uid="{00000000-0005-0000-0000-0000D57B0000}"/>
    <cellStyle name="Nota 3 8 15 2" xfId="38132" xr:uid="{00000000-0005-0000-0000-0000D67B0000}"/>
    <cellStyle name="Nota 3 8 16" xfId="38126" xr:uid="{00000000-0005-0000-0000-0000D77B0000}"/>
    <cellStyle name="Nota 3 8 2" xfId="22311" xr:uid="{00000000-0005-0000-0000-0000D87B0000}"/>
    <cellStyle name="Nota 3 8 2 2" xfId="38133" xr:uid="{00000000-0005-0000-0000-0000D97B0000}"/>
    <cellStyle name="Nota 3 8 3" xfId="22312" xr:uid="{00000000-0005-0000-0000-0000DA7B0000}"/>
    <cellStyle name="Nota 3 8 3 2" xfId="38134" xr:uid="{00000000-0005-0000-0000-0000DB7B0000}"/>
    <cellStyle name="Nota 3 8 4" xfId="22313" xr:uid="{00000000-0005-0000-0000-0000DC7B0000}"/>
    <cellStyle name="Nota 3 8 4 2" xfId="38135" xr:uid="{00000000-0005-0000-0000-0000DD7B0000}"/>
    <cellStyle name="Nota 3 8 5" xfId="22314" xr:uid="{00000000-0005-0000-0000-0000DE7B0000}"/>
    <cellStyle name="Nota 3 8 5 2" xfId="38136" xr:uid="{00000000-0005-0000-0000-0000DF7B0000}"/>
    <cellStyle name="Nota 3 8 6" xfId="22315" xr:uid="{00000000-0005-0000-0000-0000E07B0000}"/>
    <cellStyle name="Nota 3 8 6 2" xfId="38137" xr:uid="{00000000-0005-0000-0000-0000E17B0000}"/>
    <cellStyle name="Nota 3 8 7" xfId="22316" xr:uid="{00000000-0005-0000-0000-0000E27B0000}"/>
    <cellStyle name="Nota 3 8 7 2" xfId="38138" xr:uid="{00000000-0005-0000-0000-0000E37B0000}"/>
    <cellStyle name="Nota 3 8 8" xfId="22317" xr:uid="{00000000-0005-0000-0000-0000E47B0000}"/>
    <cellStyle name="Nota 3 8 8 2" xfId="38139" xr:uid="{00000000-0005-0000-0000-0000E57B0000}"/>
    <cellStyle name="Nota 3 8 9" xfId="22318" xr:uid="{00000000-0005-0000-0000-0000E67B0000}"/>
    <cellStyle name="Nota 3 8 9 2" xfId="38140" xr:uid="{00000000-0005-0000-0000-0000E77B0000}"/>
    <cellStyle name="Nota 3 9" xfId="22319" xr:uid="{00000000-0005-0000-0000-0000E87B0000}"/>
    <cellStyle name="Nota 3 9 10" xfId="22320" xr:uid="{00000000-0005-0000-0000-0000E97B0000}"/>
    <cellStyle name="Nota 3 9 10 2" xfId="38142" xr:uid="{00000000-0005-0000-0000-0000EA7B0000}"/>
    <cellStyle name="Nota 3 9 11" xfId="22321" xr:uid="{00000000-0005-0000-0000-0000EB7B0000}"/>
    <cellStyle name="Nota 3 9 11 2" xfId="38143" xr:uid="{00000000-0005-0000-0000-0000EC7B0000}"/>
    <cellStyle name="Nota 3 9 12" xfId="22322" xr:uid="{00000000-0005-0000-0000-0000ED7B0000}"/>
    <cellStyle name="Nota 3 9 12 2" xfId="38144" xr:uid="{00000000-0005-0000-0000-0000EE7B0000}"/>
    <cellStyle name="Nota 3 9 13" xfId="22323" xr:uid="{00000000-0005-0000-0000-0000EF7B0000}"/>
    <cellStyle name="Nota 3 9 13 2" xfId="38145" xr:uid="{00000000-0005-0000-0000-0000F07B0000}"/>
    <cellStyle name="Nota 3 9 14" xfId="22324" xr:uid="{00000000-0005-0000-0000-0000F17B0000}"/>
    <cellStyle name="Nota 3 9 14 2" xfId="38146" xr:uid="{00000000-0005-0000-0000-0000F27B0000}"/>
    <cellStyle name="Nota 3 9 15" xfId="22325" xr:uid="{00000000-0005-0000-0000-0000F37B0000}"/>
    <cellStyle name="Nota 3 9 15 2" xfId="38147" xr:uid="{00000000-0005-0000-0000-0000F47B0000}"/>
    <cellStyle name="Nota 3 9 16" xfId="38141" xr:uid="{00000000-0005-0000-0000-0000F57B0000}"/>
    <cellStyle name="Nota 3 9 2" xfId="22326" xr:uid="{00000000-0005-0000-0000-0000F67B0000}"/>
    <cellStyle name="Nota 3 9 2 2" xfId="38148" xr:uid="{00000000-0005-0000-0000-0000F77B0000}"/>
    <cellStyle name="Nota 3 9 3" xfId="22327" xr:uid="{00000000-0005-0000-0000-0000F87B0000}"/>
    <cellStyle name="Nota 3 9 3 2" xfId="38149" xr:uid="{00000000-0005-0000-0000-0000F97B0000}"/>
    <cellStyle name="Nota 3 9 4" xfId="22328" xr:uid="{00000000-0005-0000-0000-0000FA7B0000}"/>
    <cellStyle name="Nota 3 9 4 2" xfId="38150" xr:uid="{00000000-0005-0000-0000-0000FB7B0000}"/>
    <cellStyle name="Nota 3 9 5" xfId="22329" xr:uid="{00000000-0005-0000-0000-0000FC7B0000}"/>
    <cellStyle name="Nota 3 9 5 2" xfId="38151" xr:uid="{00000000-0005-0000-0000-0000FD7B0000}"/>
    <cellStyle name="Nota 3 9 6" xfId="22330" xr:uid="{00000000-0005-0000-0000-0000FE7B0000}"/>
    <cellStyle name="Nota 3 9 6 2" xfId="38152" xr:uid="{00000000-0005-0000-0000-0000FF7B0000}"/>
    <cellStyle name="Nota 3 9 7" xfId="22331" xr:uid="{00000000-0005-0000-0000-0000007C0000}"/>
    <cellStyle name="Nota 3 9 7 2" xfId="38153" xr:uid="{00000000-0005-0000-0000-0000017C0000}"/>
    <cellStyle name="Nota 3 9 8" xfId="22332" xr:uid="{00000000-0005-0000-0000-0000027C0000}"/>
    <cellStyle name="Nota 3 9 8 2" xfId="38154" xr:uid="{00000000-0005-0000-0000-0000037C0000}"/>
    <cellStyle name="Nota 3 9 9" xfId="22333" xr:uid="{00000000-0005-0000-0000-0000047C0000}"/>
    <cellStyle name="Nota 3 9 9 2" xfId="38155" xr:uid="{00000000-0005-0000-0000-0000057C0000}"/>
    <cellStyle name="Nota 30" xfId="22334" xr:uid="{00000000-0005-0000-0000-0000067C0000}"/>
    <cellStyle name="Nota 30 2" xfId="38156" xr:uid="{00000000-0005-0000-0000-0000077C0000}"/>
    <cellStyle name="Nota 31" xfId="22335" xr:uid="{00000000-0005-0000-0000-0000087C0000}"/>
    <cellStyle name="Nota 31 2" xfId="38157" xr:uid="{00000000-0005-0000-0000-0000097C0000}"/>
    <cellStyle name="Nota 32" xfId="22336" xr:uid="{00000000-0005-0000-0000-00000A7C0000}"/>
    <cellStyle name="Nota 32 2" xfId="38158" xr:uid="{00000000-0005-0000-0000-00000B7C0000}"/>
    <cellStyle name="Nota 33" xfId="22337" xr:uid="{00000000-0005-0000-0000-00000C7C0000}"/>
    <cellStyle name="Nota 33 10" xfId="22338" xr:uid="{00000000-0005-0000-0000-00000D7C0000}"/>
    <cellStyle name="Nota 33 10 2" xfId="38160" xr:uid="{00000000-0005-0000-0000-00000E7C0000}"/>
    <cellStyle name="Nota 33 11" xfId="22339" xr:uid="{00000000-0005-0000-0000-00000F7C0000}"/>
    <cellStyle name="Nota 33 11 2" xfId="38161" xr:uid="{00000000-0005-0000-0000-0000107C0000}"/>
    <cellStyle name="Nota 33 12" xfId="22340" xr:uid="{00000000-0005-0000-0000-0000117C0000}"/>
    <cellStyle name="Nota 33 12 2" xfId="38162" xr:uid="{00000000-0005-0000-0000-0000127C0000}"/>
    <cellStyle name="Nota 33 13" xfId="22341" xr:uid="{00000000-0005-0000-0000-0000137C0000}"/>
    <cellStyle name="Nota 33 13 2" xfId="38163" xr:uid="{00000000-0005-0000-0000-0000147C0000}"/>
    <cellStyle name="Nota 33 14" xfId="22342" xr:uid="{00000000-0005-0000-0000-0000157C0000}"/>
    <cellStyle name="Nota 33 14 2" xfId="38164" xr:uid="{00000000-0005-0000-0000-0000167C0000}"/>
    <cellStyle name="Nota 33 15" xfId="22343" xr:uid="{00000000-0005-0000-0000-0000177C0000}"/>
    <cellStyle name="Nota 33 15 2" xfId="38165" xr:uid="{00000000-0005-0000-0000-0000187C0000}"/>
    <cellStyle name="Nota 33 16" xfId="38159" xr:uid="{00000000-0005-0000-0000-0000197C0000}"/>
    <cellStyle name="Nota 33 2" xfId="22344" xr:uid="{00000000-0005-0000-0000-00001A7C0000}"/>
    <cellStyle name="Nota 33 2 2" xfId="38166" xr:uid="{00000000-0005-0000-0000-00001B7C0000}"/>
    <cellStyle name="Nota 33 3" xfId="22345" xr:uid="{00000000-0005-0000-0000-00001C7C0000}"/>
    <cellStyle name="Nota 33 3 2" xfId="38167" xr:uid="{00000000-0005-0000-0000-00001D7C0000}"/>
    <cellStyle name="Nota 33 4" xfId="22346" xr:uid="{00000000-0005-0000-0000-00001E7C0000}"/>
    <cellStyle name="Nota 33 4 2" xfId="38168" xr:uid="{00000000-0005-0000-0000-00001F7C0000}"/>
    <cellStyle name="Nota 33 5" xfId="22347" xr:uid="{00000000-0005-0000-0000-0000207C0000}"/>
    <cellStyle name="Nota 33 5 2" xfId="38169" xr:uid="{00000000-0005-0000-0000-0000217C0000}"/>
    <cellStyle name="Nota 33 6" xfId="22348" xr:uid="{00000000-0005-0000-0000-0000227C0000}"/>
    <cellStyle name="Nota 33 6 2" xfId="38170" xr:uid="{00000000-0005-0000-0000-0000237C0000}"/>
    <cellStyle name="Nota 33 7" xfId="22349" xr:uid="{00000000-0005-0000-0000-0000247C0000}"/>
    <cellStyle name="Nota 33 7 2" xfId="38171" xr:uid="{00000000-0005-0000-0000-0000257C0000}"/>
    <cellStyle name="Nota 33 8" xfId="22350" xr:uid="{00000000-0005-0000-0000-0000267C0000}"/>
    <cellStyle name="Nota 33 8 2" xfId="38172" xr:uid="{00000000-0005-0000-0000-0000277C0000}"/>
    <cellStyle name="Nota 33 9" xfId="22351" xr:uid="{00000000-0005-0000-0000-0000287C0000}"/>
    <cellStyle name="Nota 33 9 2" xfId="38173" xr:uid="{00000000-0005-0000-0000-0000297C0000}"/>
    <cellStyle name="Nota 34" xfId="22352" xr:uid="{00000000-0005-0000-0000-00002A7C0000}"/>
    <cellStyle name="Nota 34 2" xfId="38174" xr:uid="{00000000-0005-0000-0000-00002B7C0000}"/>
    <cellStyle name="Nota 35" xfId="22353" xr:uid="{00000000-0005-0000-0000-00002C7C0000}"/>
    <cellStyle name="Nota 35 2" xfId="38175" xr:uid="{00000000-0005-0000-0000-00002D7C0000}"/>
    <cellStyle name="Nota 36" xfId="22354" xr:uid="{00000000-0005-0000-0000-00002E7C0000}"/>
    <cellStyle name="Nota 36 2" xfId="38176" xr:uid="{00000000-0005-0000-0000-00002F7C0000}"/>
    <cellStyle name="Nota 37" xfId="22355" xr:uid="{00000000-0005-0000-0000-0000307C0000}"/>
    <cellStyle name="Nota 37 2" xfId="38177" xr:uid="{00000000-0005-0000-0000-0000317C0000}"/>
    <cellStyle name="Nota 38" xfId="22356" xr:uid="{00000000-0005-0000-0000-0000327C0000}"/>
    <cellStyle name="Nota 38 2" xfId="38178" xr:uid="{00000000-0005-0000-0000-0000337C0000}"/>
    <cellStyle name="Nota 39" xfId="22357" xr:uid="{00000000-0005-0000-0000-0000347C0000}"/>
    <cellStyle name="Nota 39 2" xfId="38179" xr:uid="{00000000-0005-0000-0000-0000357C0000}"/>
    <cellStyle name="Nota 4" xfId="22358" xr:uid="{00000000-0005-0000-0000-0000367C0000}"/>
    <cellStyle name="Nota 4 10" xfId="22359" xr:uid="{00000000-0005-0000-0000-0000377C0000}"/>
    <cellStyle name="Nota 4 10 10" xfId="22360" xr:uid="{00000000-0005-0000-0000-0000387C0000}"/>
    <cellStyle name="Nota 4 10 10 2" xfId="38181" xr:uid="{00000000-0005-0000-0000-0000397C0000}"/>
    <cellStyle name="Nota 4 10 11" xfId="22361" xr:uid="{00000000-0005-0000-0000-00003A7C0000}"/>
    <cellStyle name="Nota 4 10 11 2" xfId="38182" xr:uid="{00000000-0005-0000-0000-00003B7C0000}"/>
    <cellStyle name="Nota 4 10 12" xfId="22362" xr:uid="{00000000-0005-0000-0000-00003C7C0000}"/>
    <cellStyle name="Nota 4 10 12 2" xfId="38183" xr:uid="{00000000-0005-0000-0000-00003D7C0000}"/>
    <cellStyle name="Nota 4 10 13" xfId="22363" xr:uid="{00000000-0005-0000-0000-00003E7C0000}"/>
    <cellStyle name="Nota 4 10 13 2" xfId="38184" xr:uid="{00000000-0005-0000-0000-00003F7C0000}"/>
    <cellStyle name="Nota 4 10 14" xfId="22364" xr:uid="{00000000-0005-0000-0000-0000407C0000}"/>
    <cellStyle name="Nota 4 10 14 2" xfId="38185" xr:uid="{00000000-0005-0000-0000-0000417C0000}"/>
    <cellStyle name="Nota 4 10 15" xfId="22365" xr:uid="{00000000-0005-0000-0000-0000427C0000}"/>
    <cellStyle name="Nota 4 10 15 2" xfId="38186" xr:uid="{00000000-0005-0000-0000-0000437C0000}"/>
    <cellStyle name="Nota 4 10 16" xfId="38180" xr:uid="{00000000-0005-0000-0000-0000447C0000}"/>
    <cellStyle name="Nota 4 10 2" xfId="22366" xr:uid="{00000000-0005-0000-0000-0000457C0000}"/>
    <cellStyle name="Nota 4 10 2 2" xfId="38187" xr:uid="{00000000-0005-0000-0000-0000467C0000}"/>
    <cellStyle name="Nota 4 10 3" xfId="22367" xr:uid="{00000000-0005-0000-0000-0000477C0000}"/>
    <cellStyle name="Nota 4 10 3 2" xfId="38188" xr:uid="{00000000-0005-0000-0000-0000487C0000}"/>
    <cellStyle name="Nota 4 10 4" xfId="22368" xr:uid="{00000000-0005-0000-0000-0000497C0000}"/>
    <cellStyle name="Nota 4 10 4 2" xfId="38189" xr:uid="{00000000-0005-0000-0000-00004A7C0000}"/>
    <cellStyle name="Nota 4 10 5" xfId="22369" xr:uid="{00000000-0005-0000-0000-00004B7C0000}"/>
    <cellStyle name="Nota 4 10 5 2" xfId="38190" xr:uid="{00000000-0005-0000-0000-00004C7C0000}"/>
    <cellStyle name="Nota 4 10 6" xfId="22370" xr:uid="{00000000-0005-0000-0000-00004D7C0000}"/>
    <cellStyle name="Nota 4 10 6 2" xfId="38191" xr:uid="{00000000-0005-0000-0000-00004E7C0000}"/>
    <cellStyle name="Nota 4 10 7" xfId="22371" xr:uid="{00000000-0005-0000-0000-00004F7C0000}"/>
    <cellStyle name="Nota 4 10 7 2" xfId="38192" xr:uid="{00000000-0005-0000-0000-0000507C0000}"/>
    <cellStyle name="Nota 4 10 8" xfId="22372" xr:uid="{00000000-0005-0000-0000-0000517C0000}"/>
    <cellStyle name="Nota 4 10 8 2" xfId="38193" xr:uid="{00000000-0005-0000-0000-0000527C0000}"/>
    <cellStyle name="Nota 4 10 9" xfId="22373" xr:uid="{00000000-0005-0000-0000-0000537C0000}"/>
    <cellStyle name="Nota 4 10 9 2" xfId="38194" xr:uid="{00000000-0005-0000-0000-0000547C0000}"/>
    <cellStyle name="Nota 4 11" xfId="22374" xr:uid="{00000000-0005-0000-0000-0000557C0000}"/>
    <cellStyle name="Nota 4 11 10" xfId="22375" xr:uid="{00000000-0005-0000-0000-0000567C0000}"/>
    <cellStyle name="Nota 4 11 10 2" xfId="38196" xr:uid="{00000000-0005-0000-0000-0000577C0000}"/>
    <cellStyle name="Nota 4 11 11" xfId="22376" xr:uid="{00000000-0005-0000-0000-0000587C0000}"/>
    <cellStyle name="Nota 4 11 11 2" xfId="38197" xr:uid="{00000000-0005-0000-0000-0000597C0000}"/>
    <cellStyle name="Nota 4 11 12" xfId="22377" xr:uid="{00000000-0005-0000-0000-00005A7C0000}"/>
    <cellStyle name="Nota 4 11 12 2" xfId="38198" xr:uid="{00000000-0005-0000-0000-00005B7C0000}"/>
    <cellStyle name="Nota 4 11 13" xfId="22378" xr:uid="{00000000-0005-0000-0000-00005C7C0000}"/>
    <cellStyle name="Nota 4 11 13 2" xfId="38199" xr:uid="{00000000-0005-0000-0000-00005D7C0000}"/>
    <cellStyle name="Nota 4 11 14" xfId="22379" xr:uid="{00000000-0005-0000-0000-00005E7C0000}"/>
    <cellStyle name="Nota 4 11 14 2" xfId="38200" xr:uid="{00000000-0005-0000-0000-00005F7C0000}"/>
    <cellStyle name="Nota 4 11 15" xfId="22380" xr:uid="{00000000-0005-0000-0000-0000607C0000}"/>
    <cellStyle name="Nota 4 11 15 2" xfId="38201" xr:uid="{00000000-0005-0000-0000-0000617C0000}"/>
    <cellStyle name="Nota 4 11 16" xfId="38195" xr:uid="{00000000-0005-0000-0000-0000627C0000}"/>
    <cellStyle name="Nota 4 11 2" xfId="22381" xr:uid="{00000000-0005-0000-0000-0000637C0000}"/>
    <cellStyle name="Nota 4 11 2 2" xfId="38202" xr:uid="{00000000-0005-0000-0000-0000647C0000}"/>
    <cellStyle name="Nota 4 11 3" xfId="22382" xr:uid="{00000000-0005-0000-0000-0000657C0000}"/>
    <cellStyle name="Nota 4 11 3 2" xfId="38203" xr:uid="{00000000-0005-0000-0000-0000667C0000}"/>
    <cellStyle name="Nota 4 11 4" xfId="22383" xr:uid="{00000000-0005-0000-0000-0000677C0000}"/>
    <cellStyle name="Nota 4 11 4 2" xfId="38204" xr:uid="{00000000-0005-0000-0000-0000687C0000}"/>
    <cellStyle name="Nota 4 11 5" xfId="22384" xr:uid="{00000000-0005-0000-0000-0000697C0000}"/>
    <cellStyle name="Nota 4 11 5 2" xfId="38205" xr:uid="{00000000-0005-0000-0000-00006A7C0000}"/>
    <cellStyle name="Nota 4 11 6" xfId="22385" xr:uid="{00000000-0005-0000-0000-00006B7C0000}"/>
    <cellStyle name="Nota 4 11 6 2" xfId="38206" xr:uid="{00000000-0005-0000-0000-00006C7C0000}"/>
    <cellStyle name="Nota 4 11 7" xfId="22386" xr:uid="{00000000-0005-0000-0000-00006D7C0000}"/>
    <cellStyle name="Nota 4 11 7 2" xfId="38207" xr:uid="{00000000-0005-0000-0000-00006E7C0000}"/>
    <cellStyle name="Nota 4 11 8" xfId="22387" xr:uid="{00000000-0005-0000-0000-00006F7C0000}"/>
    <cellStyle name="Nota 4 11 8 2" xfId="38208" xr:uid="{00000000-0005-0000-0000-0000707C0000}"/>
    <cellStyle name="Nota 4 11 9" xfId="22388" xr:uid="{00000000-0005-0000-0000-0000717C0000}"/>
    <cellStyle name="Nota 4 11 9 2" xfId="38209" xr:uid="{00000000-0005-0000-0000-0000727C0000}"/>
    <cellStyle name="Nota 4 12" xfId="40816" xr:uid="{00000000-0005-0000-0000-0000737C0000}"/>
    <cellStyle name="Nota 4 2" xfId="22389" xr:uid="{00000000-0005-0000-0000-0000747C0000}"/>
    <cellStyle name="Nota 4 2 2" xfId="29230" xr:uid="{00000000-0005-0000-0000-0000757C0000}"/>
    <cellStyle name="Nota 4 2 2 2" xfId="40817" xr:uid="{00000000-0005-0000-0000-0000767C0000}"/>
    <cellStyle name="Nota 4 3" xfId="22390" xr:uid="{00000000-0005-0000-0000-0000777C0000}"/>
    <cellStyle name="Nota 4 3 2" xfId="29231" xr:uid="{00000000-0005-0000-0000-0000787C0000}"/>
    <cellStyle name="Nota 4 3 2 2" xfId="40818" xr:uid="{00000000-0005-0000-0000-0000797C0000}"/>
    <cellStyle name="Nota 4 4" xfId="22391" xr:uid="{00000000-0005-0000-0000-00007A7C0000}"/>
    <cellStyle name="Nota 4 4 2" xfId="29232" xr:uid="{00000000-0005-0000-0000-00007B7C0000}"/>
    <cellStyle name="Nota 4 4 2 2" xfId="40819" xr:uid="{00000000-0005-0000-0000-00007C7C0000}"/>
    <cellStyle name="Nota 4 5" xfId="22392" xr:uid="{00000000-0005-0000-0000-00007D7C0000}"/>
    <cellStyle name="Nota 4 5 2" xfId="29233" xr:uid="{00000000-0005-0000-0000-00007E7C0000}"/>
    <cellStyle name="Nota 4 6" xfId="22393" xr:uid="{00000000-0005-0000-0000-00007F7C0000}"/>
    <cellStyle name="Nota 4 6 2" xfId="29234" xr:uid="{00000000-0005-0000-0000-0000807C0000}"/>
    <cellStyle name="Nota 4 7" xfId="22394" xr:uid="{00000000-0005-0000-0000-0000817C0000}"/>
    <cellStyle name="Nota 4 7 2" xfId="29235" xr:uid="{00000000-0005-0000-0000-0000827C0000}"/>
    <cellStyle name="Nota 4 8" xfId="22395" xr:uid="{00000000-0005-0000-0000-0000837C0000}"/>
    <cellStyle name="Nota 4 8 10" xfId="22396" xr:uid="{00000000-0005-0000-0000-0000847C0000}"/>
    <cellStyle name="Nota 4 8 10 2" xfId="38211" xr:uid="{00000000-0005-0000-0000-0000857C0000}"/>
    <cellStyle name="Nota 4 8 11" xfId="22397" xr:uid="{00000000-0005-0000-0000-0000867C0000}"/>
    <cellStyle name="Nota 4 8 11 2" xfId="38212" xr:uid="{00000000-0005-0000-0000-0000877C0000}"/>
    <cellStyle name="Nota 4 8 12" xfId="22398" xr:uid="{00000000-0005-0000-0000-0000887C0000}"/>
    <cellStyle name="Nota 4 8 12 2" xfId="38213" xr:uid="{00000000-0005-0000-0000-0000897C0000}"/>
    <cellStyle name="Nota 4 8 13" xfId="22399" xr:uid="{00000000-0005-0000-0000-00008A7C0000}"/>
    <cellStyle name="Nota 4 8 13 2" xfId="38214" xr:uid="{00000000-0005-0000-0000-00008B7C0000}"/>
    <cellStyle name="Nota 4 8 14" xfId="22400" xr:uid="{00000000-0005-0000-0000-00008C7C0000}"/>
    <cellStyle name="Nota 4 8 14 2" xfId="38215" xr:uid="{00000000-0005-0000-0000-00008D7C0000}"/>
    <cellStyle name="Nota 4 8 15" xfId="22401" xr:uid="{00000000-0005-0000-0000-00008E7C0000}"/>
    <cellStyle name="Nota 4 8 15 2" xfId="38216" xr:uid="{00000000-0005-0000-0000-00008F7C0000}"/>
    <cellStyle name="Nota 4 8 16" xfId="38210" xr:uid="{00000000-0005-0000-0000-0000907C0000}"/>
    <cellStyle name="Nota 4 8 2" xfId="22402" xr:uid="{00000000-0005-0000-0000-0000917C0000}"/>
    <cellStyle name="Nota 4 8 2 2" xfId="38217" xr:uid="{00000000-0005-0000-0000-0000927C0000}"/>
    <cellStyle name="Nota 4 8 3" xfId="22403" xr:uid="{00000000-0005-0000-0000-0000937C0000}"/>
    <cellStyle name="Nota 4 8 3 2" xfId="38218" xr:uid="{00000000-0005-0000-0000-0000947C0000}"/>
    <cellStyle name="Nota 4 8 4" xfId="22404" xr:uid="{00000000-0005-0000-0000-0000957C0000}"/>
    <cellStyle name="Nota 4 8 4 2" xfId="38219" xr:uid="{00000000-0005-0000-0000-0000967C0000}"/>
    <cellStyle name="Nota 4 8 5" xfId="22405" xr:uid="{00000000-0005-0000-0000-0000977C0000}"/>
    <cellStyle name="Nota 4 8 5 2" xfId="38220" xr:uid="{00000000-0005-0000-0000-0000987C0000}"/>
    <cellStyle name="Nota 4 8 6" xfId="22406" xr:uid="{00000000-0005-0000-0000-0000997C0000}"/>
    <cellStyle name="Nota 4 8 6 2" xfId="38221" xr:uid="{00000000-0005-0000-0000-00009A7C0000}"/>
    <cellStyle name="Nota 4 8 7" xfId="22407" xr:uid="{00000000-0005-0000-0000-00009B7C0000}"/>
    <cellStyle name="Nota 4 8 7 2" xfId="38222" xr:uid="{00000000-0005-0000-0000-00009C7C0000}"/>
    <cellStyle name="Nota 4 8 8" xfId="22408" xr:uid="{00000000-0005-0000-0000-00009D7C0000}"/>
    <cellStyle name="Nota 4 8 8 2" xfId="38223" xr:uid="{00000000-0005-0000-0000-00009E7C0000}"/>
    <cellStyle name="Nota 4 8 9" xfId="22409" xr:uid="{00000000-0005-0000-0000-00009F7C0000}"/>
    <cellStyle name="Nota 4 8 9 2" xfId="38224" xr:uid="{00000000-0005-0000-0000-0000A07C0000}"/>
    <cellStyle name="Nota 4 9" xfId="22410" xr:uid="{00000000-0005-0000-0000-0000A17C0000}"/>
    <cellStyle name="Nota 4 9 10" xfId="22411" xr:uid="{00000000-0005-0000-0000-0000A27C0000}"/>
    <cellStyle name="Nota 4 9 10 2" xfId="38226" xr:uid="{00000000-0005-0000-0000-0000A37C0000}"/>
    <cellStyle name="Nota 4 9 11" xfId="22412" xr:uid="{00000000-0005-0000-0000-0000A47C0000}"/>
    <cellStyle name="Nota 4 9 11 2" xfId="38227" xr:uid="{00000000-0005-0000-0000-0000A57C0000}"/>
    <cellStyle name="Nota 4 9 12" xfId="22413" xr:uid="{00000000-0005-0000-0000-0000A67C0000}"/>
    <cellStyle name="Nota 4 9 12 2" xfId="38228" xr:uid="{00000000-0005-0000-0000-0000A77C0000}"/>
    <cellStyle name="Nota 4 9 13" xfId="22414" xr:uid="{00000000-0005-0000-0000-0000A87C0000}"/>
    <cellStyle name="Nota 4 9 13 2" xfId="38229" xr:uid="{00000000-0005-0000-0000-0000A97C0000}"/>
    <cellStyle name="Nota 4 9 14" xfId="22415" xr:uid="{00000000-0005-0000-0000-0000AA7C0000}"/>
    <cellStyle name="Nota 4 9 14 2" xfId="38230" xr:uid="{00000000-0005-0000-0000-0000AB7C0000}"/>
    <cellStyle name="Nota 4 9 15" xfId="22416" xr:uid="{00000000-0005-0000-0000-0000AC7C0000}"/>
    <cellStyle name="Nota 4 9 15 2" xfId="38231" xr:uid="{00000000-0005-0000-0000-0000AD7C0000}"/>
    <cellStyle name="Nota 4 9 16" xfId="38225" xr:uid="{00000000-0005-0000-0000-0000AE7C0000}"/>
    <cellStyle name="Nota 4 9 2" xfId="22417" xr:uid="{00000000-0005-0000-0000-0000AF7C0000}"/>
    <cellStyle name="Nota 4 9 2 2" xfId="38232" xr:uid="{00000000-0005-0000-0000-0000B07C0000}"/>
    <cellStyle name="Nota 4 9 3" xfId="22418" xr:uid="{00000000-0005-0000-0000-0000B17C0000}"/>
    <cellStyle name="Nota 4 9 3 2" xfId="38233" xr:uid="{00000000-0005-0000-0000-0000B27C0000}"/>
    <cellStyle name="Nota 4 9 4" xfId="22419" xr:uid="{00000000-0005-0000-0000-0000B37C0000}"/>
    <cellStyle name="Nota 4 9 4 2" xfId="38234" xr:uid="{00000000-0005-0000-0000-0000B47C0000}"/>
    <cellStyle name="Nota 4 9 5" xfId="22420" xr:uid="{00000000-0005-0000-0000-0000B57C0000}"/>
    <cellStyle name="Nota 4 9 5 2" xfId="38235" xr:uid="{00000000-0005-0000-0000-0000B67C0000}"/>
    <cellStyle name="Nota 4 9 6" xfId="22421" xr:uid="{00000000-0005-0000-0000-0000B77C0000}"/>
    <cellStyle name="Nota 4 9 6 2" xfId="38236" xr:uid="{00000000-0005-0000-0000-0000B87C0000}"/>
    <cellStyle name="Nota 4 9 7" xfId="22422" xr:uid="{00000000-0005-0000-0000-0000B97C0000}"/>
    <cellStyle name="Nota 4 9 7 2" xfId="38237" xr:uid="{00000000-0005-0000-0000-0000BA7C0000}"/>
    <cellStyle name="Nota 4 9 8" xfId="22423" xr:uid="{00000000-0005-0000-0000-0000BB7C0000}"/>
    <cellStyle name="Nota 4 9 8 2" xfId="38238" xr:uid="{00000000-0005-0000-0000-0000BC7C0000}"/>
    <cellStyle name="Nota 4 9 9" xfId="22424" xr:uid="{00000000-0005-0000-0000-0000BD7C0000}"/>
    <cellStyle name="Nota 4 9 9 2" xfId="38239" xr:uid="{00000000-0005-0000-0000-0000BE7C0000}"/>
    <cellStyle name="Nota 40" xfId="22425" xr:uid="{00000000-0005-0000-0000-0000BF7C0000}"/>
    <cellStyle name="Nota 40 2" xfId="38240" xr:uid="{00000000-0005-0000-0000-0000C07C0000}"/>
    <cellStyle name="Nota 41" xfId="22426" xr:uid="{00000000-0005-0000-0000-0000C17C0000}"/>
    <cellStyle name="Nota 41 2" xfId="38241" xr:uid="{00000000-0005-0000-0000-0000C27C0000}"/>
    <cellStyle name="Nota 42" xfId="22427" xr:uid="{00000000-0005-0000-0000-0000C37C0000}"/>
    <cellStyle name="Nota 42 2" xfId="38242" xr:uid="{00000000-0005-0000-0000-0000C47C0000}"/>
    <cellStyle name="Nota 43" xfId="22428" xr:uid="{00000000-0005-0000-0000-0000C57C0000}"/>
    <cellStyle name="Nota 43 2" xfId="38243" xr:uid="{00000000-0005-0000-0000-0000C67C0000}"/>
    <cellStyle name="Nota 44" xfId="22429" xr:uid="{00000000-0005-0000-0000-0000C77C0000}"/>
    <cellStyle name="Nota 44 2" xfId="38244" xr:uid="{00000000-0005-0000-0000-0000C87C0000}"/>
    <cellStyle name="Nota 45" xfId="22430" xr:uid="{00000000-0005-0000-0000-0000C97C0000}"/>
    <cellStyle name="Nota 45 2" xfId="38245" xr:uid="{00000000-0005-0000-0000-0000CA7C0000}"/>
    <cellStyle name="Nota 46" xfId="22431" xr:uid="{00000000-0005-0000-0000-0000CB7C0000}"/>
    <cellStyle name="Nota 46 2" xfId="38246" xr:uid="{00000000-0005-0000-0000-0000CC7C0000}"/>
    <cellStyle name="Nota 47" xfId="22432" xr:uid="{00000000-0005-0000-0000-0000CD7C0000}"/>
    <cellStyle name="Nota 47 2" xfId="38247" xr:uid="{00000000-0005-0000-0000-0000CE7C0000}"/>
    <cellStyle name="Nota 48" xfId="22433" xr:uid="{00000000-0005-0000-0000-0000CF7C0000}"/>
    <cellStyle name="Nota 48 2" xfId="38248" xr:uid="{00000000-0005-0000-0000-0000D07C0000}"/>
    <cellStyle name="Nota 49" xfId="22434" xr:uid="{00000000-0005-0000-0000-0000D17C0000}"/>
    <cellStyle name="Nota 49 2" xfId="38249" xr:uid="{00000000-0005-0000-0000-0000D27C0000}"/>
    <cellStyle name="Nota 5" xfId="22435" xr:uid="{00000000-0005-0000-0000-0000D37C0000}"/>
    <cellStyle name="Nota 5 2" xfId="22436" xr:uid="{00000000-0005-0000-0000-0000D47C0000}"/>
    <cellStyle name="Nota 5 2 2" xfId="29237" xr:uid="{00000000-0005-0000-0000-0000D57C0000}"/>
    <cellStyle name="Nota 5 3" xfId="22437" xr:uid="{00000000-0005-0000-0000-0000D67C0000}"/>
    <cellStyle name="Nota 5 3 2" xfId="29238" xr:uid="{00000000-0005-0000-0000-0000D77C0000}"/>
    <cellStyle name="Nota 5 4" xfId="22438" xr:uid="{00000000-0005-0000-0000-0000D87C0000}"/>
    <cellStyle name="Nota 5 4 2" xfId="29239" xr:uid="{00000000-0005-0000-0000-0000D97C0000}"/>
    <cellStyle name="Nota 5 5" xfId="29236" xr:uid="{00000000-0005-0000-0000-0000DA7C0000}"/>
    <cellStyle name="Nota 5 5 2" xfId="40820" xr:uid="{00000000-0005-0000-0000-0000DB7C0000}"/>
    <cellStyle name="Nota 50" xfId="22439" xr:uid="{00000000-0005-0000-0000-0000DC7C0000}"/>
    <cellStyle name="Nota 50 2" xfId="38250" xr:uid="{00000000-0005-0000-0000-0000DD7C0000}"/>
    <cellStyle name="Nota 51" xfId="22440" xr:uid="{00000000-0005-0000-0000-0000DE7C0000}"/>
    <cellStyle name="Nota 51 2" xfId="38251" xr:uid="{00000000-0005-0000-0000-0000DF7C0000}"/>
    <cellStyle name="Nota 52" xfId="22441" xr:uid="{00000000-0005-0000-0000-0000E07C0000}"/>
    <cellStyle name="Nota 52 2" xfId="38252" xr:uid="{00000000-0005-0000-0000-0000E17C0000}"/>
    <cellStyle name="Nota 53" xfId="22442" xr:uid="{00000000-0005-0000-0000-0000E27C0000}"/>
    <cellStyle name="Nota 53 2" xfId="38253" xr:uid="{00000000-0005-0000-0000-0000E37C0000}"/>
    <cellStyle name="Nota 54" xfId="22443" xr:uid="{00000000-0005-0000-0000-0000E47C0000}"/>
    <cellStyle name="Nota 54 10" xfId="22444" xr:uid="{00000000-0005-0000-0000-0000E57C0000}"/>
    <cellStyle name="Nota 54 10 2" xfId="38255" xr:uid="{00000000-0005-0000-0000-0000E67C0000}"/>
    <cellStyle name="Nota 54 11" xfId="22445" xr:uid="{00000000-0005-0000-0000-0000E77C0000}"/>
    <cellStyle name="Nota 54 11 2" xfId="38256" xr:uid="{00000000-0005-0000-0000-0000E87C0000}"/>
    <cellStyle name="Nota 54 12" xfId="22446" xr:uid="{00000000-0005-0000-0000-0000E97C0000}"/>
    <cellStyle name="Nota 54 12 2" xfId="38257" xr:uid="{00000000-0005-0000-0000-0000EA7C0000}"/>
    <cellStyle name="Nota 54 13" xfId="22447" xr:uid="{00000000-0005-0000-0000-0000EB7C0000}"/>
    <cellStyle name="Nota 54 13 2" xfId="38258" xr:uid="{00000000-0005-0000-0000-0000EC7C0000}"/>
    <cellStyle name="Nota 54 14" xfId="22448" xr:uid="{00000000-0005-0000-0000-0000ED7C0000}"/>
    <cellStyle name="Nota 54 14 2" xfId="38259" xr:uid="{00000000-0005-0000-0000-0000EE7C0000}"/>
    <cellStyle name="Nota 54 15" xfId="22449" xr:uid="{00000000-0005-0000-0000-0000EF7C0000}"/>
    <cellStyle name="Nota 54 15 2" xfId="38260" xr:uid="{00000000-0005-0000-0000-0000F07C0000}"/>
    <cellStyle name="Nota 54 16" xfId="38254" xr:uid="{00000000-0005-0000-0000-0000F17C0000}"/>
    <cellStyle name="Nota 54 2" xfId="22450" xr:uid="{00000000-0005-0000-0000-0000F27C0000}"/>
    <cellStyle name="Nota 54 2 2" xfId="38261" xr:uid="{00000000-0005-0000-0000-0000F37C0000}"/>
    <cellStyle name="Nota 54 3" xfId="22451" xr:uid="{00000000-0005-0000-0000-0000F47C0000}"/>
    <cellStyle name="Nota 54 3 2" xfId="38262" xr:uid="{00000000-0005-0000-0000-0000F57C0000}"/>
    <cellStyle name="Nota 54 4" xfId="22452" xr:uid="{00000000-0005-0000-0000-0000F67C0000}"/>
    <cellStyle name="Nota 54 4 2" xfId="38263" xr:uid="{00000000-0005-0000-0000-0000F77C0000}"/>
    <cellStyle name="Nota 54 5" xfId="22453" xr:uid="{00000000-0005-0000-0000-0000F87C0000}"/>
    <cellStyle name="Nota 54 5 2" xfId="38264" xr:uid="{00000000-0005-0000-0000-0000F97C0000}"/>
    <cellStyle name="Nota 54 6" xfId="22454" xr:uid="{00000000-0005-0000-0000-0000FA7C0000}"/>
    <cellStyle name="Nota 54 6 2" xfId="38265" xr:uid="{00000000-0005-0000-0000-0000FB7C0000}"/>
    <cellStyle name="Nota 54 7" xfId="22455" xr:uid="{00000000-0005-0000-0000-0000FC7C0000}"/>
    <cellStyle name="Nota 54 7 2" xfId="38266" xr:uid="{00000000-0005-0000-0000-0000FD7C0000}"/>
    <cellStyle name="Nota 54 8" xfId="22456" xr:uid="{00000000-0005-0000-0000-0000FE7C0000}"/>
    <cellStyle name="Nota 54 8 2" xfId="38267" xr:uid="{00000000-0005-0000-0000-0000FF7C0000}"/>
    <cellStyle name="Nota 54 9" xfId="22457" xr:uid="{00000000-0005-0000-0000-0000007D0000}"/>
    <cellStyle name="Nota 54 9 2" xfId="38268" xr:uid="{00000000-0005-0000-0000-0000017D0000}"/>
    <cellStyle name="Nota 55" xfId="22458" xr:uid="{00000000-0005-0000-0000-0000027D0000}"/>
    <cellStyle name="Nota 55 10" xfId="22459" xr:uid="{00000000-0005-0000-0000-0000037D0000}"/>
    <cellStyle name="Nota 55 10 2" xfId="38270" xr:uid="{00000000-0005-0000-0000-0000047D0000}"/>
    <cellStyle name="Nota 55 11" xfId="22460" xr:uid="{00000000-0005-0000-0000-0000057D0000}"/>
    <cellStyle name="Nota 55 11 2" xfId="38271" xr:uid="{00000000-0005-0000-0000-0000067D0000}"/>
    <cellStyle name="Nota 55 12" xfId="22461" xr:uid="{00000000-0005-0000-0000-0000077D0000}"/>
    <cellStyle name="Nota 55 12 2" xfId="38272" xr:uid="{00000000-0005-0000-0000-0000087D0000}"/>
    <cellStyle name="Nota 55 13" xfId="22462" xr:uid="{00000000-0005-0000-0000-0000097D0000}"/>
    <cellStyle name="Nota 55 13 2" xfId="38273" xr:uid="{00000000-0005-0000-0000-00000A7D0000}"/>
    <cellStyle name="Nota 55 14" xfId="22463" xr:uid="{00000000-0005-0000-0000-00000B7D0000}"/>
    <cellStyle name="Nota 55 14 2" xfId="38274" xr:uid="{00000000-0005-0000-0000-00000C7D0000}"/>
    <cellStyle name="Nota 55 15" xfId="22464" xr:uid="{00000000-0005-0000-0000-00000D7D0000}"/>
    <cellStyle name="Nota 55 15 2" xfId="38275" xr:uid="{00000000-0005-0000-0000-00000E7D0000}"/>
    <cellStyle name="Nota 55 16" xfId="38269" xr:uid="{00000000-0005-0000-0000-00000F7D0000}"/>
    <cellStyle name="Nota 55 2" xfId="22465" xr:uid="{00000000-0005-0000-0000-0000107D0000}"/>
    <cellStyle name="Nota 55 2 2" xfId="38276" xr:uid="{00000000-0005-0000-0000-0000117D0000}"/>
    <cellStyle name="Nota 55 3" xfId="22466" xr:uid="{00000000-0005-0000-0000-0000127D0000}"/>
    <cellStyle name="Nota 55 3 2" xfId="38277" xr:uid="{00000000-0005-0000-0000-0000137D0000}"/>
    <cellStyle name="Nota 55 4" xfId="22467" xr:uid="{00000000-0005-0000-0000-0000147D0000}"/>
    <cellStyle name="Nota 55 4 2" xfId="38278" xr:uid="{00000000-0005-0000-0000-0000157D0000}"/>
    <cellStyle name="Nota 55 5" xfId="22468" xr:uid="{00000000-0005-0000-0000-0000167D0000}"/>
    <cellStyle name="Nota 55 5 2" xfId="38279" xr:uid="{00000000-0005-0000-0000-0000177D0000}"/>
    <cellStyle name="Nota 55 6" xfId="22469" xr:uid="{00000000-0005-0000-0000-0000187D0000}"/>
    <cellStyle name="Nota 55 6 2" xfId="38280" xr:uid="{00000000-0005-0000-0000-0000197D0000}"/>
    <cellStyle name="Nota 55 7" xfId="22470" xr:uid="{00000000-0005-0000-0000-00001A7D0000}"/>
    <cellStyle name="Nota 55 7 2" xfId="38281" xr:uid="{00000000-0005-0000-0000-00001B7D0000}"/>
    <cellStyle name="Nota 55 8" xfId="22471" xr:uid="{00000000-0005-0000-0000-00001C7D0000}"/>
    <cellStyle name="Nota 55 8 2" xfId="38282" xr:uid="{00000000-0005-0000-0000-00001D7D0000}"/>
    <cellStyle name="Nota 55 9" xfId="22472" xr:uid="{00000000-0005-0000-0000-00001E7D0000}"/>
    <cellStyle name="Nota 55 9 2" xfId="38283" xr:uid="{00000000-0005-0000-0000-00001F7D0000}"/>
    <cellStyle name="Nota 56" xfId="22473" xr:uid="{00000000-0005-0000-0000-0000207D0000}"/>
    <cellStyle name="Nota 56 10" xfId="22474" xr:uid="{00000000-0005-0000-0000-0000217D0000}"/>
    <cellStyle name="Nota 56 10 2" xfId="38285" xr:uid="{00000000-0005-0000-0000-0000227D0000}"/>
    <cellStyle name="Nota 56 11" xfId="22475" xr:uid="{00000000-0005-0000-0000-0000237D0000}"/>
    <cellStyle name="Nota 56 11 2" xfId="38286" xr:uid="{00000000-0005-0000-0000-0000247D0000}"/>
    <cellStyle name="Nota 56 12" xfId="22476" xr:uid="{00000000-0005-0000-0000-0000257D0000}"/>
    <cellStyle name="Nota 56 12 2" xfId="38287" xr:uid="{00000000-0005-0000-0000-0000267D0000}"/>
    <cellStyle name="Nota 56 13" xfId="22477" xr:uid="{00000000-0005-0000-0000-0000277D0000}"/>
    <cellStyle name="Nota 56 13 2" xfId="38288" xr:uid="{00000000-0005-0000-0000-0000287D0000}"/>
    <cellStyle name="Nota 56 14" xfId="22478" xr:uid="{00000000-0005-0000-0000-0000297D0000}"/>
    <cellStyle name="Nota 56 14 2" xfId="38289" xr:uid="{00000000-0005-0000-0000-00002A7D0000}"/>
    <cellStyle name="Nota 56 15" xfId="22479" xr:uid="{00000000-0005-0000-0000-00002B7D0000}"/>
    <cellStyle name="Nota 56 15 2" xfId="38290" xr:uid="{00000000-0005-0000-0000-00002C7D0000}"/>
    <cellStyle name="Nota 56 16" xfId="38284" xr:uid="{00000000-0005-0000-0000-00002D7D0000}"/>
    <cellStyle name="Nota 56 2" xfId="22480" xr:uid="{00000000-0005-0000-0000-00002E7D0000}"/>
    <cellStyle name="Nota 56 2 2" xfId="38291" xr:uid="{00000000-0005-0000-0000-00002F7D0000}"/>
    <cellStyle name="Nota 56 3" xfId="22481" xr:uid="{00000000-0005-0000-0000-0000307D0000}"/>
    <cellStyle name="Nota 56 3 2" xfId="38292" xr:uid="{00000000-0005-0000-0000-0000317D0000}"/>
    <cellStyle name="Nota 56 4" xfId="22482" xr:uid="{00000000-0005-0000-0000-0000327D0000}"/>
    <cellStyle name="Nota 56 4 2" xfId="38293" xr:uid="{00000000-0005-0000-0000-0000337D0000}"/>
    <cellStyle name="Nota 56 5" xfId="22483" xr:uid="{00000000-0005-0000-0000-0000347D0000}"/>
    <cellStyle name="Nota 56 5 2" xfId="38294" xr:uid="{00000000-0005-0000-0000-0000357D0000}"/>
    <cellStyle name="Nota 56 6" xfId="22484" xr:uid="{00000000-0005-0000-0000-0000367D0000}"/>
    <cellStyle name="Nota 56 6 2" xfId="38295" xr:uid="{00000000-0005-0000-0000-0000377D0000}"/>
    <cellStyle name="Nota 56 7" xfId="22485" xr:uid="{00000000-0005-0000-0000-0000387D0000}"/>
    <cellStyle name="Nota 56 7 2" xfId="38296" xr:uid="{00000000-0005-0000-0000-0000397D0000}"/>
    <cellStyle name="Nota 56 8" xfId="22486" xr:uid="{00000000-0005-0000-0000-00003A7D0000}"/>
    <cellStyle name="Nota 56 8 2" xfId="38297" xr:uid="{00000000-0005-0000-0000-00003B7D0000}"/>
    <cellStyle name="Nota 56 9" xfId="22487" xr:uid="{00000000-0005-0000-0000-00003C7D0000}"/>
    <cellStyle name="Nota 56 9 2" xfId="38298" xr:uid="{00000000-0005-0000-0000-00003D7D0000}"/>
    <cellStyle name="Nota 57" xfId="22488" xr:uid="{00000000-0005-0000-0000-00003E7D0000}"/>
    <cellStyle name="Nota 57 10" xfId="22489" xr:uid="{00000000-0005-0000-0000-00003F7D0000}"/>
    <cellStyle name="Nota 57 10 2" xfId="38300" xr:uid="{00000000-0005-0000-0000-0000407D0000}"/>
    <cellStyle name="Nota 57 11" xfId="22490" xr:uid="{00000000-0005-0000-0000-0000417D0000}"/>
    <cellStyle name="Nota 57 11 2" xfId="38301" xr:uid="{00000000-0005-0000-0000-0000427D0000}"/>
    <cellStyle name="Nota 57 12" xfId="22491" xr:uid="{00000000-0005-0000-0000-0000437D0000}"/>
    <cellStyle name="Nota 57 12 2" xfId="38302" xr:uid="{00000000-0005-0000-0000-0000447D0000}"/>
    <cellStyle name="Nota 57 13" xfId="22492" xr:uid="{00000000-0005-0000-0000-0000457D0000}"/>
    <cellStyle name="Nota 57 13 2" xfId="38303" xr:uid="{00000000-0005-0000-0000-0000467D0000}"/>
    <cellStyle name="Nota 57 14" xfId="22493" xr:uid="{00000000-0005-0000-0000-0000477D0000}"/>
    <cellStyle name="Nota 57 14 2" xfId="38304" xr:uid="{00000000-0005-0000-0000-0000487D0000}"/>
    <cellStyle name="Nota 57 15" xfId="22494" xr:uid="{00000000-0005-0000-0000-0000497D0000}"/>
    <cellStyle name="Nota 57 15 2" xfId="38305" xr:uid="{00000000-0005-0000-0000-00004A7D0000}"/>
    <cellStyle name="Nota 57 16" xfId="38299" xr:uid="{00000000-0005-0000-0000-00004B7D0000}"/>
    <cellStyle name="Nota 57 2" xfId="22495" xr:uid="{00000000-0005-0000-0000-00004C7D0000}"/>
    <cellStyle name="Nota 57 2 2" xfId="38306" xr:uid="{00000000-0005-0000-0000-00004D7D0000}"/>
    <cellStyle name="Nota 57 3" xfId="22496" xr:uid="{00000000-0005-0000-0000-00004E7D0000}"/>
    <cellStyle name="Nota 57 3 2" xfId="38307" xr:uid="{00000000-0005-0000-0000-00004F7D0000}"/>
    <cellStyle name="Nota 57 4" xfId="22497" xr:uid="{00000000-0005-0000-0000-0000507D0000}"/>
    <cellStyle name="Nota 57 4 2" xfId="38308" xr:uid="{00000000-0005-0000-0000-0000517D0000}"/>
    <cellStyle name="Nota 57 5" xfId="22498" xr:uid="{00000000-0005-0000-0000-0000527D0000}"/>
    <cellStyle name="Nota 57 5 2" xfId="38309" xr:uid="{00000000-0005-0000-0000-0000537D0000}"/>
    <cellStyle name="Nota 57 6" xfId="22499" xr:uid="{00000000-0005-0000-0000-0000547D0000}"/>
    <cellStyle name="Nota 57 6 2" xfId="38310" xr:uid="{00000000-0005-0000-0000-0000557D0000}"/>
    <cellStyle name="Nota 57 7" xfId="22500" xr:uid="{00000000-0005-0000-0000-0000567D0000}"/>
    <cellStyle name="Nota 57 7 2" xfId="38311" xr:uid="{00000000-0005-0000-0000-0000577D0000}"/>
    <cellStyle name="Nota 57 8" xfId="22501" xr:uid="{00000000-0005-0000-0000-0000587D0000}"/>
    <cellStyle name="Nota 57 8 2" xfId="38312" xr:uid="{00000000-0005-0000-0000-0000597D0000}"/>
    <cellStyle name="Nota 57 9" xfId="22502" xr:uid="{00000000-0005-0000-0000-00005A7D0000}"/>
    <cellStyle name="Nota 57 9 2" xfId="38313" xr:uid="{00000000-0005-0000-0000-00005B7D0000}"/>
    <cellStyle name="Nota 58" xfId="22503" xr:uid="{00000000-0005-0000-0000-00005C7D0000}"/>
    <cellStyle name="Nota 58 10" xfId="22504" xr:uid="{00000000-0005-0000-0000-00005D7D0000}"/>
    <cellStyle name="Nota 58 10 2" xfId="38315" xr:uid="{00000000-0005-0000-0000-00005E7D0000}"/>
    <cellStyle name="Nota 58 11" xfId="22505" xr:uid="{00000000-0005-0000-0000-00005F7D0000}"/>
    <cellStyle name="Nota 58 11 2" xfId="38316" xr:uid="{00000000-0005-0000-0000-0000607D0000}"/>
    <cellStyle name="Nota 58 12" xfId="22506" xr:uid="{00000000-0005-0000-0000-0000617D0000}"/>
    <cellStyle name="Nota 58 12 2" xfId="38317" xr:uid="{00000000-0005-0000-0000-0000627D0000}"/>
    <cellStyle name="Nota 58 13" xfId="22507" xr:uid="{00000000-0005-0000-0000-0000637D0000}"/>
    <cellStyle name="Nota 58 13 2" xfId="38318" xr:uid="{00000000-0005-0000-0000-0000647D0000}"/>
    <cellStyle name="Nota 58 14" xfId="22508" xr:uid="{00000000-0005-0000-0000-0000657D0000}"/>
    <cellStyle name="Nota 58 14 2" xfId="38319" xr:uid="{00000000-0005-0000-0000-0000667D0000}"/>
    <cellStyle name="Nota 58 15" xfId="22509" xr:uid="{00000000-0005-0000-0000-0000677D0000}"/>
    <cellStyle name="Nota 58 15 2" xfId="38320" xr:uid="{00000000-0005-0000-0000-0000687D0000}"/>
    <cellStyle name="Nota 58 16" xfId="38314" xr:uid="{00000000-0005-0000-0000-0000697D0000}"/>
    <cellStyle name="Nota 58 2" xfId="22510" xr:uid="{00000000-0005-0000-0000-00006A7D0000}"/>
    <cellStyle name="Nota 58 2 2" xfId="38321" xr:uid="{00000000-0005-0000-0000-00006B7D0000}"/>
    <cellStyle name="Nota 58 3" xfId="22511" xr:uid="{00000000-0005-0000-0000-00006C7D0000}"/>
    <cellStyle name="Nota 58 3 2" xfId="38322" xr:uid="{00000000-0005-0000-0000-00006D7D0000}"/>
    <cellStyle name="Nota 58 4" xfId="22512" xr:uid="{00000000-0005-0000-0000-00006E7D0000}"/>
    <cellStyle name="Nota 58 4 2" xfId="38323" xr:uid="{00000000-0005-0000-0000-00006F7D0000}"/>
    <cellStyle name="Nota 58 5" xfId="22513" xr:uid="{00000000-0005-0000-0000-0000707D0000}"/>
    <cellStyle name="Nota 58 5 2" xfId="38324" xr:uid="{00000000-0005-0000-0000-0000717D0000}"/>
    <cellStyle name="Nota 58 6" xfId="22514" xr:uid="{00000000-0005-0000-0000-0000727D0000}"/>
    <cellStyle name="Nota 58 6 2" xfId="38325" xr:uid="{00000000-0005-0000-0000-0000737D0000}"/>
    <cellStyle name="Nota 58 7" xfId="22515" xr:uid="{00000000-0005-0000-0000-0000747D0000}"/>
    <cellStyle name="Nota 58 7 2" xfId="38326" xr:uid="{00000000-0005-0000-0000-0000757D0000}"/>
    <cellStyle name="Nota 58 8" xfId="22516" xr:uid="{00000000-0005-0000-0000-0000767D0000}"/>
    <cellStyle name="Nota 58 8 2" xfId="38327" xr:uid="{00000000-0005-0000-0000-0000777D0000}"/>
    <cellStyle name="Nota 58 9" xfId="22517" xr:uid="{00000000-0005-0000-0000-0000787D0000}"/>
    <cellStyle name="Nota 58 9 2" xfId="38328" xr:uid="{00000000-0005-0000-0000-0000797D0000}"/>
    <cellStyle name="Nota 59" xfId="22518" xr:uid="{00000000-0005-0000-0000-00007A7D0000}"/>
    <cellStyle name="Nota 59 2" xfId="38329" xr:uid="{00000000-0005-0000-0000-00007B7D0000}"/>
    <cellStyle name="Nota 6" xfId="22519" xr:uid="{00000000-0005-0000-0000-00007C7D0000}"/>
    <cellStyle name="Nota 6 2" xfId="22520" xr:uid="{00000000-0005-0000-0000-00007D7D0000}"/>
    <cellStyle name="Nota 6 2 2" xfId="29241" xr:uid="{00000000-0005-0000-0000-00007E7D0000}"/>
    <cellStyle name="Nota 6 3" xfId="22521" xr:uid="{00000000-0005-0000-0000-00007F7D0000}"/>
    <cellStyle name="Nota 6 3 2" xfId="29242" xr:uid="{00000000-0005-0000-0000-0000807D0000}"/>
    <cellStyle name="Nota 6 4" xfId="22522" xr:uid="{00000000-0005-0000-0000-0000817D0000}"/>
    <cellStyle name="Nota 6 4 2" xfId="29243" xr:uid="{00000000-0005-0000-0000-0000827D0000}"/>
    <cellStyle name="Nota 6 5" xfId="29240" xr:uid="{00000000-0005-0000-0000-0000837D0000}"/>
    <cellStyle name="Nota 6 5 2" xfId="40821" xr:uid="{00000000-0005-0000-0000-0000847D0000}"/>
    <cellStyle name="Nota 60" xfId="22523" xr:uid="{00000000-0005-0000-0000-0000857D0000}"/>
    <cellStyle name="Nota 60 2" xfId="38330" xr:uid="{00000000-0005-0000-0000-0000867D0000}"/>
    <cellStyle name="Nota 61" xfId="22524" xr:uid="{00000000-0005-0000-0000-0000877D0000}"/>
    <cellStyle name="Nota 61 2" xfId="38331" xr:uid="{00000000-0005-0000-0000-0000887D0000}"/>
    <cellStyle name="Nota 62" xfId="22525" xr:uid="{00000000-0005-0000-0000-0000897D0000}"/>
    <cellStyle name="Nota 62 2" xfId="38332" xr:uid="{00000000-0005-0000-0000-00008A7D0000}"/>
    <cellStyle name="Nota 63" xfId="22526" xr:uid="{00000000-0005-0000-0000-00008B7D0000}"/>
    <cellStyle name="Nota 63 2" xfId="38333" xr:uid="{00000000-0005-0000-0000-00008C7D0000}"/>
    <cellStyle name="Nota 64" xfId="22527" xr:uid="{00000000-0005-0000-0000-00008D7D0000}"/>
    <cellStyle name="Nota 64 2" xfId="38334" xr:uid="{00000000-0005-0000-0000-00008E7D0000}"/>
    <cellStyle name="Nota 65" xfId="22528" xr:uid="{00000000-0005-0000-0000-00008F7D0000}"/>
    <cellStyle name="Nota 65 2" xfId="38335" xr:uid="{00000000-0005-0000-0000-0000907D0000}"/>
    <cellStyle name="Nota 66" xfId="22529" xr:uid="{00000000-0005-0000-0000-0000917D0000}"/>
    <cellStyle name="Nota 66 2" xfId="38336" xr:uid="{00000000-0005-0000-0000-0000927D0000}"/>
    <cellStyle name="Nota 67" xfId="22530" xr:uid="{00000000-0005-0000-0000-0000937D0000}"/>
    <cellStyle name="Nota 67 2" xfId="38337" xr:uid="{00000000-0005-0000-0000-0000947D0000}"/>
    <cellStyle name="Nota 68" xfId="22531" xr:uid="{00000000-0005-0000-0000-0000957D0000}"/>
    <cellStyle name="Nota 68 2" xfId="38338" xr:uid="{00000000-0005-0000-0000-0000967D0000}"/>
    <cellStyle name="Nota 69" xfId="22532" xr:uid="{00000000-0005-0000-0000-0000977D0000}"/>
    <cellStyle name="Nota 69 2" xfId="22533" xr:uid="{00000000-0005-0000-0000-0000987D0000}"/>
    <cellStyle name="Nota 69 2 2" xfId="38340" xr:uid="{00000000-0005-0000-0000-0000997D0000}"/>
    <cellStyle name="Nota 69 3" xfId="22534" xr:uid="{00000000-0005-0000-0000-00009A7D0000}"/>
    <cellStyle name="Nota 69 3 2" xfId="38341" xr:uid="{00000000-0005-0000-0000-00009B7D0000}"/>
    <cellStyle name="Nota 69 4" xfId="22535" xr:uid="{00000000-0005-0000-0000-00009C7D0000}"/>
    <cellStyle name="Nota 69 4 2" xfId="38342" xr:uid="{00000000-0005-0000-0000-00009D7D0000}"/>
    <cellStyle name="Nota 69 5" xfId="22536" xr:uid="{00000000-0005-0000-0000-00009E7D0000}"/>
    <cellStyle name="Nota 69 5 2" xfId="38343" xr:uid="{00000000-0005-0000-0000-00009F7D0000}"/>
    <cellStyle name="Nota 69 6" xfId="22537" xr:uid="{00000000-0005-0000-0000-0000A07D0000}"/>
    <cellStyle name="Nota 69 6 2" xfId="38344" xr:uid="{00000000-0005-0000-0000-0000A17D0000}"/>
    <cellStyle name="Nota 69 7" xfId="38339" xr:uid="{00000000-0005-0000-0000-0000A27D0000}"/>
    <cellStyle name="Nota 7" xfId="22538" xr:uid="{00000000-0005-0000-0000-0000A37D0000}"/>
    <cellStyle name="Nota 7 10" xfId="22539" xr:uid="{00000000-0005-0000-0000-0000A47D0000}"/>
    <cellStyle name="Nota 7 10 2" xfId="38345" xr:uid="{00000000-0005-0000-0000-0000A57D0000}"/>
    <cellStyle name="Nota 7 11" xfId="22540" xr:uid="{00000000-0005-0000-0000-0000A67D0000}"/>
    <cellStyle name="Nota 7 11 2" xfId="38346" xr:uid="{00000000-0005-0000-0000-0000A77D0000}"/>
    <cellStyle name="Nota 7 12" xfId="22541" xr:uid="{00000000-0005-0000-0000-0000A87D0000}"/>
    <cellStyle name="Nota 7 12 2" xfId="38347" xr:uid="{00000000-0005-0000-0000-0000A97D0000}"/>
    <cellStyle name="Nota 7 13" xfId="22542" xr:uid="{00000000-0005-0000-0000-0000AA7D0000}"/>
    <cellStyle name="Nota 7 13 2" xfId="38348" xr:uid="{00000000-0005-0000-0000-0000AB7D0000}"/>
    <cellStyle name="Nota 7 14" xfId="22543" xr:uid="{00000000-0005-0000-0000-0000AC7D0000}"/>
    <cellStyle name="Nota 7 14 2" xfId="38349" xr:uid="{00000000-0005-0000-0000-0000AD7D0000}"/>
    <cellStyle name="Nota 7 15" xfId="22544" xr:uid="{00000000-0005-0000-0000-0000AE7D0000}"/>
    <cellStyle name="Nota 7 15 2" xfId="38350" xr:uid="{00000000-0005-0000-0000-0000AF7D0000}"/>
    <cellStyle name="Nota 7 16" xfId="22545" xr:uid="{00000000-0005-0000-0000-0000B07D0000}"/>
    <cellStyle name="Nota 7 16 2" xfId="38351" xr:uid="{00000000-0005-0000-0000-0000B17D0000}"/>
    <cellStyle name="Nota 7 17" xfId="22546" xr:uid="{00000000-0005-0000-0000-0000B27D0000}"/>
    <cellStyle name="Nota 7 17 2" xfId="38352" xr:uid="{00000000-0005-0000-0000-0000B37D0000}"/>
    <cellStyle name="Nota 7 18" xfId="22547" xr:uid="{00000000-0005-0000-0000-0000B47D0000}"/>
    <cellStyle name="Nota 7 18 2" xfId="38353" xr:uid="{00000000-0005-0000-0000-0000B57D0000}"/>
    <cellStyle name="Nota 7 19" xfId="22548" xr:uid="{00000000-0005-0000-0000-0000B67D0000}"/>
    <cellStyle name="Nota 7 19 2" xfId="38354" xr:uid="{00000000-0005-0000-0000-0000B77D0000}"/>
    <cellStyle name="Nota 7 2" xfId="22549" xr:uid="{00000000-0005-0000-0000-0000B87D0000}"/>
    <cellStyle name="Nota 7 2 2" xfId="29245" xr:uid="{00000000-0005-0000-0000-0000B97D0000}"/>
    <cellStyle name="Nota 7 20" xfId="22550" xr:uid="{00000000-0005-0000-0000-0000BA7D0000}"/>
    <cellStyle name="Nota 7 20 2" xfId="38355" xr:uid="{00000000-0005-0000-0000-0000BB7D0000}"/>
    <cellStyle name="Nota 7 21" xfId="22551" xr:uid="{00000000-0005-0000-0000-0000BC7D0000}"/>
    <cellStyle name="Nota 7 21 2" xfId="38356" xr:uid="{00000000-0005-0000-0000-0000BD7D0000}"/>
    <cellStyle name="Nota 7 22" xfId="22552" xr:uid="{00000000-0005-0000-0000-0000BE7D0000}"/>
    <cellStyle name="Nota 7 22 2" xfId="38357" xr:uid="{00000000-0005-0000-0000-0000BF7D0000}"/>
    <cellStyle name="Nota 7 23" xfId="22553" xr:uid="{00000000-0005-0000-0000-0000C07D0000}"/>
    <cellStyle name="Nota 7 23 2" xfId="38358" xr:uid="{00000000-0005-0000-0000-0000C17D0000}"/>
    <cellStyle name="Nota 7 24" xfId="22554" xr:uid="{00000000-0005-0000-0000-0000C27D0000}"/>
    <cellStyle name="Nota 7 24 2" xfId="38359" xr:uid="{00000000-0005-0000-0000-0000C37D0000}"/>
    <cellStyle name="Nota 7 25" xfId="22555" xr:uid="{00000000-0005-0000-0000-0000C47D0000}"/>
    <cellStyle name="Nota 7 25 2" xfId="38360" xr:uid="{00000000-0005-0000-0000-0000C57D0000}"/>
    <cellStyle name="Nota 7 26" xfId="22556" xr:uid="{00000000-0005-0000-0000-0000C67D0000}"/>
    <cellStyle name="Nota 7 26 2" xfId="38361" xr:uid="{00000000-0005-0000-0000-0000C77D0000}"/>
    <cellStyle name="Nota 7 27" xfId="22557" xr:uid="{00000000-0005-0000-0000-0000C87D0000}"/>
    <cellStyle name="Nota 7 27 2" xfId="38362" xr:uid="{00000000-0005-0000-0000-0000C97D0000}"/>
    <cellStyle name="Nota 7 28" xfId="22558" xr:uid="{00000000-0005-0000-0000-0000CA7D0000}"/>
    <cellStyle name="Nota 7 28 2" xfId="38363" xr:uid="{00000000-0005-0000-0000-0000CB7D0000}"/>
    <cellStyle name="Nota 7 29" xfId="22559" xr:uid="{00000000-0005-0000-0000-0000CC7D0000}"/>
    <cellStyle name="Nota 7 29 2" xfId="38364" xr:uid="{00000000-0005-0000-0000-0000CD7D0000}"/>
    <cellStyle name="Nota 7 3" xfId="22560" xr:uid="{00000000-0005-0000-0000-0000CE7D0000}"/>
    <cellStyle name="Nota 7 3 2" xfId="29246" xr:uid="{00000000-0005-0000-0000-0000CF7D0000}"/>
    <cellStyle name="Nota 7 30" xfId="22561" xr:uid="{00000000-0005-0000-0000-0000D07D0000}"/>
    <cellStyle name="Nota 7 30 2" xfId="38365" xr:uid="{00000000-0005-0000-0000-0000D17D0000}"/>
    <cellStyle name="Nota 7 31" xfId="22562" xr:uid="{00000000-0005-0000-0000-0000D27D0000}"/>
    <cellStyle name="Nota 7 31 2" xfId="38366" xr:uid="{00000000-0005-0000-0000-0000D37D0000}"/>
    <cellStyle name="Nota 7 32" xfId="22563" xr:uid="{00000000-0005-0000-0000-0000D47D0000}"/>
    <cellStyle name="Nota 7 32 2" xfId="38367" xr:uid="{00000000-0005-0000-0000-0000D57D0000}"/>
    <cellStyle name="Nota 7 33" xfId="22564" xr:uid="{00000000-0005-0000-0000-0000D67D0000}"/>
    <cellStyle name="Nota 7 33 2" xfId="38368" xr:uid="{00000000-0005-0000-0000-0000D77D0000}"/>
    <cellStyle name="Nota 7 34" xfId="22565" xr:uid="{00000000-0005-0000-0000-0000D87D0000}"/>
    <cellStyle name="Nota 7 34 2" xfId="38369" xr:uid="{00000000-0005-0000-0000-0000D97D0000}"/>
    <cellStyle name="Nota 7 35" xfId="22566" xr:uid="{00000000-0005-0000-0000-0000DA7D0000}"/>
    <cellStyle name="Nota 7 35 2" xfId="38370" xr:uid="{00000000-0005-0000-0000-0000DB7D0000}"/>
    <cellStyle name="Nota 7 36" xfId="29244" xr:uid="{00000000-0005-0000-0000-0000DC7D0000}"/>
    <cellStyle name="Nota 7 36 2" xfId="40822" xr:uid="{00000000-0005-0000-0000-0000DD7D0000}"/>
    <cellStyle name="Nota 7 4" xfId="22567" xr:uid="{00000000-0005-0000-0000-0000DE7D0000}"/>
    <cellStyle name="Nota 7 4 2" xfId="29247" xr:uid="{00000000-0005-0000-0000-0000DF7D0000}"/>
    <cellStyle name="Nota 7 5" xfId="22568" xr:uid="{00000000-0005-0000-0000-0000E07D0000}"/>
    <cellStyle name="Nota 7 5 2" xfId="38371" xr:uid="{00000000-0005-0000-0000-0000E17D0000}"/>
    <cellStyle name="Nota 7 6" xfId="22569" xr:uid="{00000000-0005-0000-0000-0000E27D0000}"/>
    <cellStyle name="Nota 7 6 2" xfId="38372" xr:uid="{00000000-0005-0000-0000-0000E37D0000}"/>
    <cellStyle name="Nota 7 7" xfId="22570" xr:uid="{00000000-0005-0000-0000-0000E47D0000}"/>
    <cellStyle name="Nota 7 7 2" xfId="38373" xr:uid="{00000000-0005-0000-0000-0000E57D0000}"/>
    <cellStyle name="Nota 7 8" xfId="22571" xr:uid="{00000000-0005-0000-0000-0000E67D0000}"/>
    <cellStyle name="Nota 7 8 2" xfId="38374" xr:uid="{00000000-0005-0000-0000-0000E77D0000}"/>
    <cellStyle name="Nota 7 9" xfId="22572" xr:uid="{00000000-0005-0000-0000-0000E87D0000}"/>
    <cellStyle name="Nota 7 9 2" xfId="38375" xr:uid="{00000000-0005-0000-0000-0000E97D0000}"/>
    <cellStyle name="Nota 70" xfId="22573" xr:uid="{00000000-0005-0000-0000-0000EA7D0000}"/>
    <cellStyle name="Nota 70 2" xfId="22574" xr:uid="{00000000-0005-0000-0000-0000EB7D0000}"/>
    <cellStyle name="Nota 70 2 2" xfId="38377" xr:uid="{00000000-0005-0000-0000-0000EC7D0000}"/>
    <cellStyle name="Nota 70 3" xfId="22575" xr:uid="{00000000-0005-0000-0000-0000ED7D0000}"/>
    <cellStyle name="Nota 70 3 2" xfId="38378" xr:uid="{00000000-0005-0000-0000-0000EE7D0000}"/>
    <cellStyle name="Nota 70 4" xfId="22576" xr:uid="{00000000-0005-0000-0000-0000EF7D0000}"/>
    <cellStyle name="Nota 70 4 2" xfId="38379" xr:uid="{00000000-0005-0000-0000-0000F07D0000}"/>
    <cellStyle name="Nota 70 5" xfId="22577" xr:uid="{00000000-0005-0000-0000-0000F17D0000}"/>
    <cellStyle name="Nota 70 5 2" xfId="38380" xr:uid="{00000000-0005-0000-0000-0000F27D0000}"/>
    <cellStyle name="Nota 70 6" xfId="22578" xr:uid="{00000000-0005-0000-0000-0000F37D0000}"/>
    <cellStyle name="Nota 70 6 2" xfId="38381" xr:uid="{00000000-0005-0000-0000-0000F47D0000}"/>
    <cellStyle name="Nota 70 7" xfId="38376" xr:uid="{00000000-0005-0000-0000-0000F57D0000}"/>
    <cellStyle name="Nota 71" xfId="22579" xr:uid="{00000000-0005-0000-0000-0000F67D0000}"/>
    <cellStyle name="Nota 71 2" xfId="22580" xr:uid="{00000000-0005-0000-0000-0000F77D0000}"/>
    <cellStyle name="Nota 71 2 2" xfId="38383" xr:uid="{00000000-0005-0000-0000-0000F87D0000}"/>
    <cellStyle name="Nota 71 3" xfId="22581" xr:uid="{00000000-0005-0000-0000-0000F97D0000}"/>
    <cellStyle name="Nota 71 3 2" xfId="38384" xr:uid="{00000000-0005-0000-0000-0000FA7D0000}"/>
    <cellStyle name="Nota 71 4" xfId="22582" xr:uid="{00000000-0005-0000-0000-0000FB7D0000}"/>
    <cellStyle name="Nota 71 4 2" xfId="38385" xr:uid="{00000000-0005-0000-0000-0000FC7D0000}"/>
    <cellStyle name="Nota 71 5" xfId="22583" xr:uid="{00000000-0005-0000-0000-0000FD7D0000}"/>
    <cellStyle name="Nota 71 5 2" xfId="38386" xr:uid="{00000000-0005-0000-0000-0000FE7D0000}"/>
    <cellStyle name="Nota 71 6" xfId="22584" xr:uid="{00000000-0005-0000-0000-0000FF7D0000}"/>
    <cellStyle name="Nota 71 6 2" xfId="38387" xr:uid="{00000000-0005-0000-0000-0000007E0000}"/>
    <cellStyle name="Nota 71 7" xfId="38382" xr:uid="{00000000-0005-0000-0000-0000017E0000}"/>
    <cellStyle name="Nota 72" xfId="22585" xr:uid="{00000000-0005-0000-0000-0000027E0000}"/>
    <cellStyle name="Nota 72 2" xfId="22586" xr:uid="{00000000-0005-0000-0000-0000037E0000}"/>
    <cellStyle name="Nota 72 2 2" xfId="38389" xr:uid="{00000000-0005-0000-0000-0000047E0000}"/>
    <cellStyle name="Nota 72 3" xfId="22587" xr:uid="{00000000-0005-0000-0000-0000057E0000}"/>
    <cellStyle name="Nota 72 3 2" xfId="38390" xr:uid="{00000000-0005-0000-0000-0000067E0000}"/>
    <cellStyle name="Nota 72 4" xfId="22588" xr:uid="{00000000-0005-0000-0000-0000077E0000}"/>
    <cellStyle name="Nota 72 4 2" xfId="38391" xr:uid="{00000000-0005-0000-0000-0000087E0000}"/>
    <cellStyle name="Nota 72 5" xfId="22589" xr:uid="{00000000-0005-0000-0000-0000097E0000}"/>
    <cellStyle name="Nota 72 5 2" xfId="38392" xr:uid="{00000000-0005-0000-0000-00000A7E0000}"/>
    <cellStyle name="Nota 72 6" xfId="22590" xr:uid="{00000000-0005-0000-0000-00000B7E0000}"/>
    <cellStyle name="Nota 72 6 2" xfId="38393" xr:uid="{00000000-0005-0000-0000-00000C7E0000}"/>
    <cellStyle name="Nota 72 7" xfId="38388" xr:uid="{00000000-0005-0000-0000-00000D7E0000}"/>
    <cellStyle name="Nota 73" xfId="22591" xr:uid="{00000000-0005-0000-0000-00000E7E0000}"/>
    <cellStyle name="Nota 73 2" xfId="22592" xr:uid="{00000000-0005-0000-0000-00000F7E0000}"/>
    <cellStyle name="Nota 73 2 2" xfId="38395" xr:uid="{00000000-0005-0000-0000-0000107E0000}"/>
    <cellStyle name="Nota 73 3" xfId="22593" xr:uid="{00000000-0005-0000-0000-0000117E0000}"/>
    <cellStyle name="Nota 73 3 2" xfId="38396" xr:uid="{00000000-0005-0000-0000-0000127E0000}"/>
    <cellStyle name="Nota 73 4" xfId="22594" xr:uid="{00000000-0005-0000-0000-0000137E0000}"/>
    <cellStyle name="Nota 73 4 2" xfId="38397" xr:uid="{00000000-0005-0000-0000-0000147E0000}"/>
    <cellStyle name="Nota 73 5" xfId="22595" xr:uid="{00000000-0005-0000-0000-0000157E0000}"/>
    <cellStyle name="Nota 73 5 2" xfId="38398" xr:uid="{00000000-0005-0000-0000-0000167E0000}"/>
    <cellStyle name="Nota 73 6" xfId="22596" xr:uid="{00000000-0005-0000-0000-0000177E0000}"/>
    <cellStyle name="Nota 73 6 2" xfId="38399" xr:uid="{00000000-0005-0000-0000-0000187E0000}"/>
    <cellStyle name="Nota 73 7" xfId="38394" xr:uid="{00000000-0005-0000-0000-0000197E0000}"/>
    <cellStyle name="Nota 74" xfId="22597" xr:uid="{00000000-0005-0000-0000-00001A7E0000}"/>
    <cellStyle name="Nota 74 2" xfId="22598" xr:uid="{00000000-0005-0000-0000-00001B7E0000}"/>
    <cellStyle name="Nota 74 2 2" xfId="38401" xr:uid="{00000000-0005-0000-0000-00001C7E0000}"/>
    <cellStyle name="Nota 74 3" xfId="22599" xr:uid="{00000000-0005-0000-0000-00001D7E0000}"/>
    <cellStyle name="Nota 74 3 2" xfId="38402" xr:uid="{00000000-0005-0000-0000-00001E7E0000}"/>
    <cellStyle name="Nota 74 4" xfId="22600" xr:uid="{00000000-0005-0000-0000-00001F7E0000}"/>
    <cellStyle name="Nota 74 4 2" xfId="38403" xr:uid="{00000000-0005-0000-0000-0000207E0000}"/>
    <cellStyle name="Nota 74 5" xfId="22601" xr:uid="{00000000-0005-0000-0000-0000217E0000}"/>
    <cellStyle name="Nota 74 5 2" xfId="38404" xr:uid="{00000000-0005-0000-0000-0000227E0000}"/>
    <cellStyle name="Nota 74 6" xfId="22602" xr:uid="{00000000-0005-0000-0000-0000237E0000}"/>
    <cellStyle name="Nota 74 6 2" xfId="38405" xr:uid="{00000000-0005-0000-0000-0000247E0000}"/>
    <cellStyle name="Nota 74 7" xfId="38400" xr:uid="{00000000-0005-0000-0000-0000257E0000}"/>
    <cellStyle name="Nota 75" xfId="22603" xr:uid="{00000000-0005-0000-0000-0000267E0000}"/>
    <cellStyle name="Nota 75 2" xfId="22604" xr:uid="{00000000-0005-0000-0000-0000277E0000}"/>
    <cellStyle name="Nota 75 2 2" xfId="38407" xr:uid="{00000000-0005-0000-0000-0000287E0000}"/>
    <cellStyle name="Nota 75 3" xfId="22605" xr:uid="{00000000-0005-0000-0000-0000297E0000}"/>
    <cellStyle name="Nota 75 3 2" xfId="38408" xr:uid="{00000000-0005-0000-0000-00002A7E0000}"/>
    <cellStyle name="Nota 75 4" xfId="22606" xr:uid="{00000000-0005-0000-0000-00002B7E0000}"/>
    <cellStyle name="Nota 75 4 2" xfId="38409" xr:uid="{00000000-0005-0000-0000-00002C7E0000}"/>
    <cellStyle name="Nota 75 5" xfId="22607" xr:uid="{00000000-0005-0000-0000-00002D7E0000}"/>
    <cellStyle name="Nota 75 5 2" xfId="38410" xr:uid="{00000000-0005-0000-0000-00002E7E0000}"/>
    <cellStyle name="Nota 75 6" xfId="22608" xr:uid="{00000000-0005-0000-0000-00002F7E0000}"/>
    <cellStyle name="Nota 75 6 2" xfId="38411" xr:uid="{00000000-0005-0000-0000-0000307E0000}"/>
    <cellStyle name="Nota 75 7" xfId="38406" xr:uid="{00000000-0005-0000-0000-0000317E0000}"/>
    <cellStyle name="Nota 76" xfId="22609" xr:uid="{00000000-0005-0000-0000-0000327E0000}"/>
    <cellStyle name="Nota 76 2" xfId="22610" xr:uid="{00000000-0005-0000-0000-0000337E0000}"/>
    <cellStyle name="Nota 76 2 2" xfId="38413" xr:uid="{00000000-0005-0000-0000-0000347E0000}"/>
    <cellStyle name="Nota 76 3" xfId="22611" xr:uid="{00000000-0005-0000-0000-0000357E0000}"/>
    <cellStyle name="Nota 76 3 2" xfId="38414" xr:uid="{00000000-0005-0000-0000-0000367E0000}"/>
    <cellStyle name="Nota 76 4" xfId="22612" xr:uid="{00000000-0005-0000-0000-0000377E0000}"/>
    <cellStyle name="Nota 76 4 2" xfId="38415" xr:uid="{00000000-0005-0000-0000-0000387E0000}"/>
    <cellStyle name="Nota 76 5" xfId="22613" xr:uid="{00000000-0005-0000-0000-0000397E0000}"/>
    <cellStyle name="Nota 76 5 2" xfId="38416" xr:uid="{00000000-0005-0000-0000-00003A7E0000}"/>
    <cellStyle name="Nota 76 6" xfId="22614" xr:uid="{00000000-0005-0000-0000-00003B7E0000}"/>
    <cellStyle name="Nota 76 6 2" xfId="38417" xr:uid="{00000000-0005-0000-0000-00003C7E0000}"/>
    <cellStyle name="Nota 76 7" xfId="38412" xr:uid="{00000000-0005-0000-0000-00003D7E0000}"/>
    <cellStyle name="Nota 77" xfId="22615" xr:uid="{00000000-0005-0000-0000-00003E7E0000}"/>
    <cellStyle name="Nota 77 2" xfId="22616" xr:uid="{00000000-0005-0000-0000-00003F7E0000}"/>
    <cellStyle name="Nota 77 2 2" xfId="38419" xr:uid="{00000000-0005-0000-0000-0000407E0000}"/>
    <cellStyle name="Nota 77 3" xfId="22617" xr:uid="{00000000-0005-0000-0000-0000417E0000}"/>
    <cellStyle name="Nota 77 3 2" xfId="38420" xr:uid="{00000000-0005-0000-0000-0000427E0000}"/>
    <cellStyle name="Nota 77 4" xfId="22618" xr:uid="{00000000-0005-0000-0000-0000437E0000}"/>
    <cellStyle name="Nota 77 4 2" xfId="38421" xr:uid="{00000000-0005-0000-0000-0000447E0000}"/>
    <cellStyle name="Nota 77 5" xfId="22619" xr:uid="{00000000-0005-0000-0000-0000457E0000}"/>
    <cellStyle name="Nota 77 5 2" xfId="38422" xr:uid="{00000000-0005-0000-0000-0000467E0000}"/>
    <cellStyle name="Nota 77 6" xfId="22620" xr:uid="{00000000-0005-0000-0000-0000477E0000}"/>
    <cellStyle name="Nota 77 6 2" xfId="38423" xr:uid="{00000000-0005-0000-0000-0000487E0000}"/>
    <cellStyle name="Nota 77 7" xfId="38418" xr:uid="{00000000-0005-0000-0000-0000497E0000}"/>
    <cellStyle name="Nota 78" xfId="22621" xr:uid="{00000000-0005-0000-0000-00004A7E0000}"/>
    <cellStyle name="Nota 78 2" xfId="22622" xr:uid="{00000000-0005-0000-0000-00004B7E0000}"/>
    <cellStyle name="Nota 78 2 2" xfId="38425" xr:uid="{00000000-0005-0000-0000-00004C7E0000}"/>
    <cellStyle name="Nota 78 3" xfId="22623" xr:uid="{00000000-0005-0000-0000-00004D7E0000}"/>
    <cellStyle name="Nota 78 3 2" xfId="38426" xr:uid="{00000000-0005-0000-0000-00004E7E0000}"/>
    <cellStyle name="Nota 78 4" xfId="22624" xr:uid="{00000000-0005-0000-0000-00004F7E0000}"/>
    <cellStyle name="Nota 78 4 2" xfId="38427" xr:uid="{00000000-0005-0000-0000-0000507E0000}"/>
    <cellStyle name="Nota 78 5" xfId="22625" xr:uid="{00000000-0005-0000-0000-0000517E0000}"/>
    <cellStyle name="Nota 78 5 2" xfId="38428" xr:uid="{00000000-0005-0000-0000-0000527E0000}"/>
    <cellStyle name="Nota 78 6" xfId="22626" xr:uid="{00000000-0005-0000-0000-0000537E0000}"/>
    <cellStyle name="Nota 78 6 2" xfId="38429" xr:uid="{00000000-0005-0000-0000-0000547E0000}"/>
    <cellStyle name="Nota 78 7" xfId="38424" xr:uid="{00000000-0005-0000-0000-0000557E0000}"/>
    <cellStyle name="Nota 79" xfId="22627" xr:uid="{00000000-0005-0000-0000-0000567E0000}"/>
    <cellStyle name="Nota 79 2" xfId="22628" xr:uid="{00000000-0005-0000-0000-0000577E0000}"/>
    <cellStyle name="Nota 79 2 2" xfId="38431" xr:uid="{00000000-0005-0000-0000-0000587E0000}"/>
    <cellStyle name="Nota 79 3" xfId="22629" xr:uid="{00000000-0005-0000-0000-0000597E0000}"/>
    <cellStyle name="Nota 79 3 2" xfId="38432" xr:uid="{00000000-0005-0000-0000-00005A7E0000}"/>
    <cellStyle name="Nota 79 4" xfId="22630" xr:uid="{00000000-0005-0000-0000-00005B7E0000}"/>
    <cellStyle name="Nota 79 4 2" xfId="38433" xr:uid="{00000000-0005-0000-0000-00005C7E0000}"/>
    <cellStyle name="Nota 79 5" xfId="22631" xr:uid="{00000000-0005-0000-0000-00005D7E0000}"/>
    <cellStyle name="Nota 79 5 2" xfId="38434" xr:uid="{00000000-0005-0000-0000-00005E7E0000}"/>
    <cellStyle name="Nota 79 6" xfId="22632" xr:uid="{00000000-0005-0000-0000-00005F7E0000}"/>
    <cellStyle name="Nota 79 6 2" xfId="38435" xr:uid="{00000000-0005-0000-0000-0000607E0000}"/>
    <cellStyle name="Nota 79 7" xfId="38430" xr:uid="{00000000-0005-0000-0000-0000617E0000}"/>
    <cellStyle name="Nota 8" xfId="22633" xr:uid="{00000000-0005-0000-0000-0000627E0000}"/>
    <cellStyle name="Nota 8 10" xfId="22634" xr:uid="{00000000-0005-0000-0000-0000637E0000}"/>
    <cellStyle name="Nota 8 10 2" xfId="38436" xr:uid="{00000000-0005-0000-0000-0000647E0000}"/>
    <cellStyle name="Nota 8 11" xfId="22635" xr:uid="{00000000-0005-0000-0000-0000657E0000}"/>
    <cellStyle name="Nota 8 11 2" xfId="38437" xr:uid="{00000000-0005-0000-0000-0000667E0000}"/>
    <cellStyle name="Nota 8 12" xfId="22636" xr:uid="{00000000-0005-0000-0000-0000677E0000}"/>
    <cellStyle name="Nota 8 12 2" xfId="38438" xr:uid="{00000000-0005-0000-0000-0000687E0000}"/>
    <cellStyle name="Nota 8 13" xfId="22637" xr:uid="{00000000-0005-0000-0000-0000697E0000}"/>
    <cellStyle name="Nota 8 13 2" xfId="38439" xr:uid="{00000000-0005-0000-0000-00006A7E0000}"/>
    <cellStyle name="Nota 8 14" xfId="22638" xr:uid="{00000000-0005-0000-0000-00006B7E0000}"/>
    <cellStyle name="Nota 8 14 2" xfId="38440" xr:uid="{00000000-0005-0000-0000-00006C7E0000}"/>
    <cellStyle name="Nota 8 15" xfId="22639" xr:uid="{00000000-0005-0000-0000-00006D7E0000}"/>
    <cellStyle name="Nota 8 15 2" xfId="38441" xr:uid="{00000000-0005-0000-0000-00006E7E0000}"/>
    <cellStyle name="Nota 8 16" xfId="22640" xr:uid="{00000000-0005-0000-0000-00006F7E0000}"/>
    <cellStyle name="Nota 8 16 2" xfId="38442" xr:uid="{00000000-0005-0000-0000-0000707E0000}"/>
    <cellStyle name="Nota 8 17" xfId="22641" xr:uid="{00000000-0005-0000-0000-0000717E0000}"/>
    <cellStyle name="Nota 8 17 2" xfId="38443" xr:uid="{00000000-0005-0000-0000-0000727E0000}"/>
    <cellStyle name="Nota 8 18" xfId="22642" xr:uid="{00000000-0005-0000-0000-0000737E0000}"/>
    <cellStyle name="Nota 8 18 2" xfId="38444" xr:uid="{00000000-0005-0000-0000-0000747E0000}"/>
    <cellStyle name="Nota 8 19" xfId="22643" xr:uid="{00000000-0005-0000-0000-0000757E0000}"/>
    <cellStyle name="Nota 8 19 2" xfId="38445" xr:uid="{00000000-0005-0000-0000-0000767E0000}"/>
    <cellStyle name="Nota 8 2" xfId="22644" xr:uid="{00000000-0005-0000-0000-0000777E0000}"/>
    <cellStyle name="Nota 8 2 2" xfId="29249" xr:uid="{00000000-0005-0000-0000-0000787E0000}"/>
    <cellStyle name="Nota 8 20" xfId="22645" xr:uid="{00000000-0005-0000-0000-0000797E0000}"/>
    <cellStyle name="Nota 8 20 2" xfId="38446" xr:uid="{00000000-0005-0000-0000-00007A7E0000}"/>
    <cellStyle name="Nota 8 21" xfId="22646" xr:uid="{00000000-0005-0000-0000-00007B7E0000}"/>
    <cellStyle name="Nota 8 21 2" xfId="38447" xr:uid="{00000000-0005-0000-0000-00007C7E0000}"/>
    <cellStyle name="Nota 8 22" xfId="22647" xr:uid="{00000000-0005-0000-0000-00007D7E0000}"/>
    <cellStyle name="Nota 8 22 2" xfId="38448" xr:uid="{00000000-0005-0000-0000-00007E7E0000}"/>
    <cellStyle name="Nota 8 23" xfId="22648" xr:uid="{00000000-0005-0000-0000-00007F7E0000}"/>
    <cellStyle name="Nota 8 23 2" xfId="38449" xr:uid="{00000000-0005-0000-0000-0000807E0000}"/>
    <cellStyle name="Nota 8 24" xfId="22649" xr:uid="{00000000-0005-0000-0000-0000817E0000}"/>
    <cellStyle name="Nota 8 24 2" xfId="38450" xr:uid="{00000000-0005-0000-0000-0000827E0000}"/>
    <cellStyle name="Nota 8 25" xfId="22650" xr:uid="{00000000-0005-0000-0000-0000837E0000}"/>
    <cellStyle name="Nota 8 25 2" xfId="38451" xr:uid="{00000000-0005-0000-0000-0000847E0000}"/>
    <cellStyle name="Nota 8 26" xfId="22651" xr:uid="{00000000-0005-0000-0000-0000857E0000}"/>
    <cellStyle name="Nota 8 26 2" xfId="38452" xr:uid="{00000000-0005-0000-0000-0000867E0000}"/>
    <cellStyle name="Nota 8 27" xfId="22652" xr:uid="{00000000-0005-0000-0000-0000877E0000}"/>
    <cellStyle name="Nota 8 27 2" xfId="38453" xr:uid="{00000000-0005-0000-0000-0000887E0000}"/>
    <cellStyle name="Nota 8 28" xfId="22653" xr:uid="{00000000-0005-0000-0000-0000897E0000}"/>
    <cellStyle name="Nota 8 28 2" xfId="38454" xr:uid="{00000000-0005-0000-0000-00008A7E0000}"/>
    <cellStyle name="Nota 8 29" xfId="22654" xr:uid="{00000000-0005-0000-0000-00008B7E0000}"/>
    <cellStyle name="Nota 8 29 2" xfId="38455" xr:uid="{00000000-0005-0000-0000-00008C7E0000}"/>
    <cellStyle name="Nota 8 3" xfId="22655" xr:uid="{00000000-0005-0000-0000-00008D7E0000}"/>
    <cellStyle name="Nota 8 3 2" xfId="29250" xr:uid="{00000000-0005-0000-0000-00008E7E0000}"/>
    <cellStyle name="Nota 8 30" xfId="22656" xr:uid="{00000000-0005-0000-0000-00008F7E0000}"/>
    <cellStyle name="Nota 8 30 2" xfId="38456" xr:uid="{00000000-0005-0000-0000-0000907E0000}"/>
    <cellStyle name="Nota 8 31" xfId="22657" xr:uid="{00000000-0005-0000-0000-0000917E0000}"/>
    <cellStyle name="Nota 8 31 2" xfId="38457" xr:uid="{00000000-0005-0000-0000-0000927E0000}"/>
    <cellStyle name="Nota 8 32" xfId="22658" xr:uid="{00000000-0005-0000-0000-0000937E0000}"/>
    <cellStyle name="Nota 8 32 2" xfId="38458" xr:uid="{00000000-0005-0000-0000-0000947E0000}"/>
    <cellStyle name="Nota 8 33" xfId="22659" xr:uid="{00000000-0005-0000-0000-0000957E0000}"/>
    <cellStyle name="Nota 8 33 2" xfId="38459" xr:uid="{00000000-0005-0000-0000-0000967E0000}"/>
    <cellStyle name="Nota 8 34" xfId="22660" xr:uid="{00000000-0005-0000-0000-0000977E0000}"/>
    <cellStyle name="Nota 8 34 2" xfId="38460" xr:uid="{00000000-0005-0000-0000-0000987E0000}"/>
    <cellStyle name="Nota 8 35" xfId="22661" xr:uid="{00000000-0005-0000-0000-0000997E0000}"/>
    <cellStyle name="Nota 8 35 2" xfId="38461" xr:uid="{00000000-0005-0000-0000-00009A7E0000}"/>
    <cellStyle name="Nota 8 36" xfId="22662" xr:uid="{00000000-0005-0000-0000-00009B7E0000}"/>
    <cellStyle name="Nota 8 36 2" xfId="38462" xr:uid="{00000000-0005-0000-0000-00009C7E0000}"/>
    <cellStyle name="Nota 8 37" xfId="22663" xr:uid="{00000000-0005-0000-0000-00009D7E0000}"/>
    <cellStyle name="Nota 8 37 2" xfId="38463" xr:uid="{00000000-0005-0000-0000-00009E7E0000}"/>
    <cellStyle name="Nota 8 38" xfId="22664" xr:uid="{00000000-0005-0000-0000-00009F7E0000}"/>
    <cellStyle name="Nota 8 38 2" xfId="38464" xr:uid="{00000000-0005-0000-0000-0000A07E0000}"/>
    <cellStyle name="Nota 8 39" xfId="22665" xr:uid="{00000000-0005-0000-0000-0000A17E0000}"/>
    <cellStyle name="Nota 8 39 2" xfId="38465" xr:uid="{00000000-0005-0000-0000-0000A27E0000}"/>
    <cellStyle name="Nota 8 4" xfId="22666" xr:uid="{00000000-0005-0000-0000-0000A37E0000}"/>
    <cellStyle name="Nota 8 4 2" xfId="29251" xr:uid="{00000000-0005-0000-0000-0000A47E0000}"/>
    <cellStyle name="Nota 8 40" xfId="22667" xr:uid="{00000000-0005-0000-0000-0000A57E0000}"/>
    <cellStyle name="Nota 8 40 2" xfId="38466" xr:uid="{00000000-0005-0000-0000-0000A67E0000}"/>
    <cellStyle name="Nota 8 41" xfId="29248" xr:uid="{00000000-0005-0000-0000-0000A77E0000}"/>
    <cellStyle name="Nota 8 41 2" xfId="40823" xr:uid="{00000000-0005-0000-0000-0000A87E0000}"/>
    <cellStyle name="Nota 8 5" xfId="22668" xr:uid="{00000000-0005-0000-0000-0000A97E0000}"/>
    <cellStyle name="Nota 8 5 2" xfId="38467" xr:uid="{00000000-0005-0000-0000-0000AA7E0000}"/>
    <cellStyle name="Nota 8 6" xfId="22669" xr:uid="{00000000-0005-0000-0000-0000AB7E0000}"/>
    <cellStyle name="Nota 8 6 2" xfId="38468" xr:uid="{00000000-0005-0000-0000-0000AC7E0000}"/>
    <cellStyle name="Nota 8 7" xfId="22670" xr:uid="{00000000-0005-0000-0000-0000AD7E0000}"/>
    <cellStyle name="Nota 8 7 2" xfId="38469" xr:uid="{00000000-0005-0000-0000-0000AE7E0000}"/>
    <cellStyle name="Nota 8 8" xfId="22671" xr:uid="{00000000-0005-0000-0000-0000AF7E0000}"/>
    <cellStyle name="Nota 8 8 2" xfId="38470" xr:uid="{00000000-0005-0000-0000-0000B07E0000}"/>
    <cellStyle name="Nota 8 9" xfId="22672" xr:uid="{00000000-0005-0000-0000-0000B17E0000}"/>
    <cellStyle name="Nota 8 9 2" xfId="38471" xr:uid="{00000000-0005-0000-0000-0000B27E0000}"/>
    <cellStyle name="Nota 80" xfId="22673" xr:uid="{00000000-0005-0000-0000-0000B37E0000}"/>
    <cellStyle name="Nota 80 2" xfId="22674" xr:uid="{00000000-0005-0000-0000-0000B47E0000}"/>
    <cellStyle name="Nota 80 2 2" xfId="38473" xr:uid="{00000000-0005-0000-0000-0000B57E0000}"/>
    <cellStyle name="Nota 80 3" xfId="22675" xr:uid="{00000000-0005-0000-0000-0000B67E0000}"/>
    <cellStyle name="Nota 80 3 2" xfId="38474" xr:uid="{00000000-0005-0000-0000-0000B77E0000}"/>
    <cellStyle name="Nota 80 4" xfId="22676" xr:uid="{00000000-0005-0000-0000-0000B87E0000}"/>
    <cellStyle name="Nota 80 4 2" xfId="38475" xr:uid="{00000000-0005-0000-0000-0000B97E0000}"/>
    <cellStyle name="Nota 80 5" xfId="22677" xr:uid="{00000000-0005-0000-0000-0000BA7E0000}"/>
    <cellStyle name="Nota 80 5 2" xfId="38476" xr:uid="{00000000-0005-0000-0000-0000BB7E0000}"/>
    <cellStyle name="Nota 80 6" xfId="22678" xr:uid="{00000000-0005-0000-0000-0000BC7E0000}"/>
    <cellStyle name="Nota 80 6 2" xfId="38477" xr:uid="{00000000-0005-0000-0000-0000BD7E0000}"/>
    <cellStyle name="Nota 80 7" xfId="38472" xr:uid="{00000000-0005-0000-0000-0000BE7E0000}"/>
    <cellStyle name="Nota 81" xfId="22679" xr:uid="{00000000-0005-0000-0000-0000BF7E0000}"/>
    <cellStyle name="Nota 81 2" xfId="38478" xr:uid="{00000000-0005-0000-0000-0000C07E0000}"/>
    <cellStyle name="Nota 82" xfId="22680" xr:uid="{00000000-0005-0000-0000-0000C17E0000}"/>
    <cellStyle name="Nota 82 2" xfId="38479" xr:uid="{00000000-0005-0000-0000-0000C27E0000}"/>
    <cellStyle name="Nota 83" xfId="22681" xr:uid="{00000000-0005-0000-0000-0000C37E0000}"/>
    <cellStyle name="Nota 83 2" xfId="38480" xr:uid="{00000000-0005-0000-0000-0000C47E0000}"/>
    <cellStyle name="Nota 84" xfId="22682" xr:uid="{00000000-0005-0000-0000-0000C57E0000}"/>
    <cellStyle name="Nota 84 2" xfId="38481" xr:uid="{00000000-0005-0000-0000-0000C67E0000}"/>
    <cellStyle name="Nota 85" xfId="22683" xr:uid="{00000000-0005-0000-0000-0000C77E0000}"/>
    <cellStyle name="Nota 85 2" xfId="38482" xr:uid="{00000000-0005-0000-0000-0000C87E0000}"/>
    <cellStyle name="Nota 86" xfId="22684" xr:uid="{00000000-0005-0000-0000-0000C97E0000}"/>
    <cellStyle name="Nota 86 2" xfId="38483" xr:uid="{00000000-0005-0000-0000-0000CA7E0000}"/>
    <cellStyle name="Nota 87" xfId="22685" xr:uid="{00000000-0005-0000-0000-0000CB7E0000}"/>
    <cellStyle name="Nota 87 2" xfId="38484" xr:uid="{00000000-0005-0000-0000-0000CC7E0000}"/>
    <cellStyle name="Nota 88" xfId="22686" xr:uid="{00000000-0005-0000-0000-0000CD7E0000}"/>
    <cellStyle name="Nota 88 2" xfId="38485" xr:uid="{00000000-0005-0000-0000-0000CE7E0000}"/>
    <cellStyle name="Nota 89" xfId="22687" xr:uid="{00000000-0005-0000-0000-0000CF7E0000}"/>
    <cellStyle name="Nota 89 2" xfId="38486" xr:uid="{00000000-0005-0000-0000-0000D07E0000}"/>
    <cellStyle name="Nota 9" xfId="22688" xr:uid="{00000000-0005-0000-0000-0000D17E0000}"/>
    <cellStyle name="Nota 9 10" xfId="22689" xr:uid="{00000000-0005-0000-0000-0000D27E0000}"/>
    <cellStyle name="Nota 9 10 2" xfId="38487" xr:uid="{00000000-0005-0000-0000-0000D37E0000}"/>
    <cellStyle name="Nota 9 11" xfId="22690" xr:uid="{00000000-0005-0000-0000-0000D47E0000}"/>
    <cellStyle name="Nota 9 11 2" xfId="38488" xr:uid="{00000000-0005-0000-0000-0000D57E0000}"/>
    <cellStyle name="Nota 9 12" xfId="22691" xr:uid="{00000000-0005-0000-0000-0000D67E0000}"/>
    <cellStyle name="Nota 9 12 2" xfId="38489" xr:uid="{00000000-0005-0000-0000-0000D77E0000}"/>
    <cellStyle name="Nota 9 13" xfId="22692" xr:uid="{00000000-0005-0000-0000-0000D87E0000}"/>
    <cellStyle name="Nota 9 13 2" xfId="38490" xr:uid="{00000000-0005-0000-0000-0000D97E0000}"/>
    <cellStyle name="Nota 9 14" xfId="22693" xr:uid="{00000000-0005-0000-0000-0000DA7E0000}"/>
    <cellStyle name="Nota 9 14 2" xfId="38491" xr:uid="{00000000-0005-0000-0000-0000DB7E0000}"/>
    <cellStyle name="Nota 9 15" xfId="22694" xr:uid="{00000000-0005-0000-0000-0000DC7E0000}"/>
    <cellStyle name="Nota 9 15 2" xfId="38492" xr:uid="{00000000-0005-0000-0000-0000DD7E0000}"/>
    <cellStyle name="Nota 9 16" xfId="22695" xr:uid="{00000000-0005-0000-0000-0000DE7E0000}"/>
    <cellStyle name="Nota 9 16 2" xfId="38493" xr:uid="{00000000-0005-0000-0000-0000DF7E0000}"/>
    <cellStyle name="Nota 9 17" xfId="22696" xr:uid="{00000000-0005-0000-0000-0000E07E0000}"/>
    <cellStyle name="Nota 9 17 2" xfId="38494" xr:uid="{00000000-0005-0000-0000-0000E17E0000}"/>
    <cellStyle name="Nota 9 18" xfId="22697" xr:uid="{00000000-0005-0000-0000-0000E27E0000}"/>
    <cellStyle name="Nota 9 18 2" xfId="38495" xr:uid="{00000000-0005-0000-0000-0000E37E0000}"/>
    <cellStyle name="Nota 9 19" xfId="22698" xr:uid="{00000000-0005-0000-0000-0000E47E0000}"/>
    <cellStyle name="Nota 9 19 2" xfId="38496" xr:uid="{00000000-0005-0000-0000-0000E57E0000}"/>
    <cellStyle name="Nota 9 2" xfId="22699" xr:uid="{00000000-0005-0000-0000-0000E67E0000}"/>
    <cellStyle name="Nota 9 2 2" xfId="38497" xr:uid="{00000000-0005-0000-0000-0000E77E0000}"/>
    <cellStyle name="Nota 9 20" xfId="22700" xr:uid="{00000000-0005-0000-0000-0000E87E0000}"/>
    <cellStyle name="Nota 9 20 2" xfId="38498" xr:uid="{00000000-0005-0000-0000-0000E97E0000}"/>
    <cellStyle name="Nota 9 21" xfId="22701" xr:uid="{00000000-0005-0000-0000-0000EA7E0000}"/>
    <cellStyle name="Nota 9 21 2" xfId="38499" xr:uid="{00000000-0005-0000-0000-0000EB7E0000}"/>
    <cellStyle name="Nota 9 22" xfId="22702" xr:uid="{00000000-0005-0000-0000-0000EC7E0000}"/>
    <cellStyle name="Nota 9 22 2" xfId="38500" xr:uid="{00000000-0005-0000-0000-0000ED7E0000}"/>
    <cellStyle name="Nota 9 23" xfId="22703" xr:uid="{00000000-0005-0000-0000-0000EE7E0000}"/>
    <cellStyle name="Nota 9 23 2" xfId="38501" xr:uid="{00000000-0005-0000-0000-0000EF7E0000}"/>
    <cellStyle name="Nota 9 24" xfId="22704" xr:uid="{00000000-0005-0000-0000-0000F07E0000}"/>
    <cellStyle name="Nota 9 24 2" xfId="38502" xr:uid="{00000000-0005-0000-0000-0000F17E0000}"/>
    <cellStyle name="Nota 9 25" xfId="22705" xr:uid="{00000000-0005-0000-0000-0000F27E0000}"/>
    <cellStyle name="Nota 9 25 2" xfId="38503" xr:uid="{00000000-0005-0000-0000-0000F37E0000}"/>
    <cellStyle name="Nota 9 26" xfId="22706" xr:uid="{00000000-0005-0000-0000-0000F47E0000}"/>
    <cellStyle name="Nota 9 26 2" xfId="38504" xr:uid="{00000000-0005-0000-0000-0000F57E0000}"/>
    <cellStyle name="Nota 9 27" xfId="22707" xr:uid="{00000000-0005-0000-0000-0000F67E0000}"/>
    <cellStyle name="Nota 9 27 2" xfId="38505" xr:uid="{00000000-0005-0000-0000-0000F77E0000}"/>
    <cellStyle name="Nota 9 28" xfId="22708" xr:uid="{00000000-0005-0000-0000-0000F87E0000}"/>
    <cellStyle name="Nota 9 28 2" xfId="38506" xr:uid="{00000000-0005-0000-0000-0000F97E0000}"/>
    <cellStyle name="Nota 9 29" xfId="22709" xr:uid="{00000000-0005-0000-0000-0000FA7E0000}"/>
    <cellStyle name="Nota 9 29 2" xfId="38507" xr:uid="{00000000-0005-0000-0000-0000FB7E0000}"/>
    <cellStyle name="Nota 9 3" xfId="22710" xr:uid="{00000000-0005-0000-0000-0000FC7E0000}"/>
    <cellStyle name="Nota 9 3 2" xfId="38508" xr:uid="{00000000-0005-0000-0000-0000FD7E0000}"/>
    <cellStyle name="Nota 9 30" xfId="22711" xr:uid="{00000000-0005-0000-0000-0000FE7E0000}"/>
    <cellStyle name="Nota 9 30 2" xfId="38509" xr:uid="{00000000-0005-0000-0000-0000FF7E0000}"/>
    <cellStyle name="Nota 9 31" xfId="22712" xr:uid="{00000000-0005-0000-0000-0000007F0000}"/>
    <cellStyle name="Nota 9 31 2" xfId="38510" xr:uid="{00000000-0005-0000-0000-0000017F0000}"/>
    <cellStyle name="Nota 9 32" xfId="22713" xr:uid="{00000000-0005-0000-0000-0000027F0000}"/>
    <cellStyle name="Nota 9 32 2" xfId="38511" xr:uid="{00000000-0005-0000-0000-0000037F0000}"/>
    <cellStyle name="Nota 9 33" xfId="22714" xr:uid="{00000000-0005-0000-0000-0000047F0000}"/>
    <cellStyle name="Nota 9 33 2" xfId="38512" xr:uid="{00000000-0005-0000-0000-0000057F0000}"/>
    <cellStyle name="Nota 9 34" xfId="22715" xr:uid="{00000000-0005-0000-0000-0000067F0000}"/>
    <cellStyle name="Nota 9 34 2" xfId="38513" xr:uid="{00000000-0005-0000-0000-0000077F0000}"/>
    <cellStyle name="Nota 9 35" xfId="22716" xr:uid="{00000000-0005-0000-0000-0000087F0000}"/>
    <cellStyle name="Nota 9 35 2" xfId="38514" xr:uid="{00000000-0005-0000-0000-0000097F0000}"/>
    <cellStyle name="Nota 9 36" xfId="22717" xr:uid="{00000000-0005-0000-0000-00000A7F0000}"/>
    <cellStyle name="Nota 9 36 2" xfId="38515" xr:uid="{00000000-0005-0000-0000-00000B7F0000}"/>
    <cellStyle name="Nota 9 37" xfId="22718" xr:uid="{00000000-0005-0000-0000-00000C7F0000}"/>
    <cellStyle name="Nota 9 37 2" xfId="38516" xr:uid="{00000000-0005-0000-0000-00000D7F0000}"/>
    <cellStyle name="Nota 9 38" xfId="29252" xr:uid="{00000000-0005-0000-0000-00000E7F0000}"/>
    <cellStyle name="Nota 9 38 2" xfId="40824" xr:uid="{00000000-0005-0000-0000-00000F7F0000}"/>
    <cellStyle name="Nota 9 4" xfId="22719" xr:uid="{00000000-0005-0000-0000-0000107F0000}"/>
    <cellStyle name="Nota 9 4 2" xfId="38517" xr:uid="{00000000-0005-0000-0000-0000117F0000}"/>
    <cellStyle name="Nota 9 5" xfId="22720" xr:uid="{00000000-0005-0000-0000-0000127F0000}"/>
    <cellStyle name="Nota 9 5 2" xfId="38518" xr:uid="{00000000-0005-0000-0000-0000137F0000}"/>
    <cellStyle name="Nota 9 6" xfId="22721" xr:uid="{00000000-0005-0000-0000-0000147F0000}"/>
    <cellStyle name="Nota 9 6 2" xfId="38519" xr:uid="{00000000-0005-0000-0000-0000157F0000}"/>
    <cellStyle name="Nota 9 7" xfId="22722" xr:uid="{00000000-0005-0000-0000-0000167F0000}"/>
    <cellStyle name="Nota 9 7 2" xfId="38520" xr:uid="{00000000-0005-0000-0000-0000177F0000}"/>
    <cellStyle name="Nota 9 8" xfId="22723" xr:uid="{00000000-0005-0000-0000-0000187F0000}"/>
    <cellStyle name="Nota 9 8 2" xfId="38521" xr:uid="{00000000-0005-0000-0000-0000197F0000}"/>
    <cellStyle name="Nota 9 9" xfId="22724" xr:uid="{00000000-0005-0000-0000-00001A7F0000}"/>
    <cellStyle name="Nota 9 9 2" xfId="38522" xr:uid="{00000000-0005-0000-0000-00001B7F0000}"/>
    <cellStyle name="Nota 90" xfId="22725" xr:uid="{00000000-0005-0000-0000-00001C7F0000}"/>
    <cellStyle name="Nota 90 2" xfId="38523" xr:uid="{00000000-0005-0000-0000-00001D7F0000}"/>
    <cellStyle name="Nota 91" xfId="22726" xr:uid="{00000000-0005-0000-0000-00001E7F0000}"/>
    <cellStyle name="Nota 91 2" xfId="38524" xr:uid="{00000000-0005-0000-0000-00001F7F0000}"/>
    <cellStyle name="Nota 92" xfId="22727" xr:uid="{00000000-0005-0000-0000-0000207F0000}"/>
    <cellStyle name="Nota 92 2" xfId="38525" xr:uid="{00000000-0005-0000-0000-0000217F0000}"/>
    <cellStyle name="Nota 93" xfId="22728" xr:uid="{00000000-0005-0000-0000-0000227F0000}"/>
    <cellStyle name="Nota 93 2" xfId="38526" xr:uid="{00000000-0005-0000-0000-0000237F0000}"/>
    <cellStyle name="Nota 94" xfId="22729" xr:uid="{00000000-0005-0000-0000-0000247F0000}"/>
    <cellStyle name="Nota 94 2" xfId="38527" xr:uid="{00000000-0005-0000-0000-0000257F0000}"/>
    <cellStyle name="Nota 95" xfId="22730" xr:uid="{00000000-0005-0000-0000-0000267F0000}"/>
    <cellStyle name="Nota 95 2" xfId="38528" xr:uid="{00000000-0005-0000-0000-0000277F0000}"/>
    <cellStyle name="Nota 96" xfId="22731" xr:uid="{00000000-0005-0000-0000-0000287F0000}"/>
    <cellStyle name="Nota 96 2" xfId="38529" xr:uid="{00000000-0005-0000-0000-0000297F0000}"/>
    <cellStyle name="Nota 97" xfId="22732" xr:uid="{00000000-0005-0000-0000-00002A7F0000}"/>
    <cellStyle name="Nota 97 2" xfId="38530" xr:uid="{00000000-0005-0000-0000-00002B7F0000}"/>
    <cellStyle name="Nota 98" xfId="22733" xr:uid="{00000000-0005-0000-0000-00002C7F0000}"/>
    <cellStyle name="Nota 98 2" xfId="38531" xr:uid="{00000000-0005-0000-0000-00002D7F0000}"/>
    <cellStyle name="Nota 99" xfId="22734" xr:uid="{00000000-0005-0000-0000-00002E7F0000}"/>
    <cellStyle name="Nota 99 2" xfId="38532" xr:uid="{00000000-0005-0000-0000-00002F7F0000}"/>
    <cellStyle name="Percentual" xfId="22735" xr:uid="{00000000-0005-0000-0000-0000307F0000}"/>
    <cellStyle name="Ponto" xfId="22736" xr:uid="{00000000-0005-0000-0000-0000317F0000}"/>
    <cellStyle name="Porcentagem" xfId="19" builtinId="5"/>
    <cellStyle name="Porcentagem 10" xfId="22737" xr:uid="{00000000-0005-0000-0000-0000337F0000}"/>
    <cellStyle name="Porcentagem 10 2" xfId="22738" xr:uid="{00000000-0005-0000-0000-0000347F0000}"/>
    <cellStyle name="Porcentagem 11" xfId="22739" xr:uid="{00000000-0005-0000-0000-0000357F0000}"/>
    <cellStyle name="Porcentagem 12" xfId="22740" xr:uid="{00000000-0005-0000-0000-0000367F0000}"/>
    <cellStyle name="Porcentagem 13" xfId="22741" xr:uid="{00000000-0005-0000-0000-0000377F0000}"/>
    <cellStyle name="Porcentagem 14" xfId="22742" xr:uid="{00000000-0005-0000-0000-0000387F0000}"/>
    <cellStyle name="Porcentagem 15" xfId="22743" xr:uid="{00000000-0005-0000-0000-0000397F0000}"/>
    <cellStyle name="Porcentagem 16" xfId="22744" xr:uid="{00000000-0005-0000-0000-00003A7F0000}"/>
    <cellStyle name="Porcentagem 17" xfId="22745" xr:uid="{00000000-0005-0000-0000-00003B7F0000}"/>
    <cellStyle name="Porcentagem 17 2" xfId="38533" xr:uid="{00000000-0005-0000-0000-00003C7F0000}"/>
    <cellStyle name="Porcentagem 18" xfId="22746" xr:uid="{00000000-0005-0000-0000-00003D7F0000}"/>
    <cellStyle name="Porcentagem 18 10" xfId="22747" xr:uid="{00000000-0005-0000-0000-00003E7F0000}"/>
    <cellStyle name="Porcentagem 18 2" xfId="22748" xr:uid="{00000000-0005-0000-0000-00003F7F0000}"/>
    <cellStyle name="Porcentagem 18 3" xfId="22749" xr:uid="{00000000-0005-0000-0000-0000407F0000}"/>
    <cellStyle name="Porcentagem 18 4" xfId="22750" xr:uid="{00000000-0005-0000-0000-0000417F0000}"/>
    <cellStyle name="Porcentagem 18 5" xfId="22751" xr:uid="{00000000-0005-0000-0000-0000427F0000}"/>
    <cellStyle name="Porcentagem 18 6" xfId="22752" xr:uid="{00000000-0005-0000-0000-0000437F0000}"/>
    <cellStyle name="Porcentagem 18 7" xfId="22753" xr:uid="{00000000-0005-0000-0000-0000447F0000}"/>
    <cellStyle name="Porcentagem 18 8" xfId="22754" xr:uid="{00000000-0005-0000-0000-0000457F0000}"/>
    <cellStyle name="Porcentagem 18 9" xfId="22755" xr:uid="{00000000-0005-0000-0000-0000467F0000}"/>
    <cellStyle name="Porcentagem 19" xfId="29253" xr:uid="{00000000-0005-0000-0000-0000477F0000}"/>
    <cellStyle name="Porcentagem 2" xfId="20" xr:uid="{00000000-0005-0000-0000-0000487F0000}"/>
    <cellStyle name="Porcentagem 2 10" xfId="22756" xr:uid="{00000000-0005-0000-0000-0000497F0000}"/>
    <cellStyle name="Porcentagem 2 11" xfId="22757" xr:uid="{00000000-0005-0000-0000-00004A7F0000}"/>
    <cellStyle name="Porcentagem 2 12" xfId="22758" xr:uid="{00000000-0005-0000-0000-00004B7F0000}"/>
    <cellStyle name="Porcentagem 2 13" xfId="22759" xr:uid="{00000000-0005-0000-0000-00004C7F0000}"/>
    <cellStyle name="Porcentagem 2 14" xfId="22760" xr:uid="{00000000-0005-0000-0000-00004D7F0000}"/>
    <cellStyle name="Porcentagem 2 15" xfId="22761" xr:uid="{00000000-0005-0000-0000-00004E7F0000}"/>
    <cellStyle name="Porcentagem 2 16" xfId="22762" xr:uid="{00000000-0005-0000-0000-00004F7F0000}"/>
    <cellStyle name="Porcentagem 2 17" xfId="22763" xr:uid="{00000000-0005-0000-0000-0000507F0000}"/>
    <cellStyle name="Porcentagem 2 18" xfId="22764" xr:uid="{00000000-0005-0000-0000-0000517F0000}"/>
    <cellStyle name="Porcentagem 2 19" xfId="22765" xr:uid="{00000000-0005-0000-0000-0000527F0000}"/>
    <cellStyle name="Porcentagem 2 2" xfId="22766" xr:uid="{00000000-0005-0000-0000-0000537F0000}"/>
    <cellStyle name="Porcentagem 2 2 10" xfId="22767" xr:uid="{00000000-0005-0000-0000-0000547F0000}"/>
    <cellStyle name="Porcentagem 2 2 11" xfId="22768" xr:uid="{00000000-0005-0000-0000-0000557F0000}"/>
    <cellStyle name="Porcentagem 2 2 12" xfId="22769" xr:uid="{00000000-0005-0000-0000-0000567F0000}"/>
    <cellStyle name="Porcentagem 2 2 13" xfId="22770" xr:uid="{00000000-0005-0000-0000-0000577F0000}"/>
    <cellStyle name="Porcentagem 2 2 14" xfId="22771" xr:uid="{00000000-0005-0000-0000-0000587F0000}"/>
    <cellStyle name="Porcentagem 2 2 15" xfId="22772" xr:uid="{00000000-0005-0000-0000-0000597F0000}"/>
    <cellStyle name="Porcentagem 2 2 16" xfId="22773" xr:uid="{00000000-0005-0000-0000-00005A7F0000}"/>
    <cellStyle name="Porcentagem 2 2 17" xfId="22774" xr:uid="{00000000-0005-0000-0000-00005B7F0000}"/>
    <cellStyle name="Porcentagem 2 2 18" xfId="22775" xr:uid="{00000000-0005-0000-0000-00005C7F0000}"/>
    <cellStyle name="Porcentagem 2 2 19" xfId="22776" xr:uid="{00000000-0005-0000-0000-00005D7F0000}"/>
    <cellStyle name="Porcentagem 2 2 2" xfId="22777" xr:uid="{00000000-0005-0000-0000-00005E7F0000}"/>
    <cellStyle name="Porcentagem 2 2 20" xfId="22778" xr:uid="{00000000-0005-0000-0000-00005F7F0000}"/>
    <cellStyle name="Porcentagem 2 2 21" xfId="22779" xr:uid="{00000000-0005-0000-0000-0000607F0000}"/>
    <cellStyle name="Porcentagem 2 2 3" xfId="22780" xr:uid="{00000000-0005-0000-0000-0000617F0000}"/>
    <cellStyle name="Porcentagem 2 2 4" xfId="22781" xr:uid="{00000000-0005-0000-0000-0000627F0000}"/>
    <cellStyle name="Porcentagem 2 2 5" xfId="22782" xr:uid="{00000000-0005-0000-0000-0000637F0000}"/>
    <cellStyle name="Porcentagem 2 2 6" xfId="22783" xr:uid="{00000000-0005-0000-0000-0000647F0000}"/>
    <cellStyle name="Porcentagem 2 2 7" xfId="22784" xr:uid="{00000000-0005-0000-0000-0000657F0000}"/>
    <cellStyle name="Porcentagem 2 2 8" xfId="22785" xr:uid="{00000000-0005-0000-0000-0000667F0000}"/>
    <cellStyle name="Porcentagem 2 2 9" xfId="22786" xr:uid="{00000000-0005-0000-0000-0000677F0000}"/>
    <cellStyle name="Porcentagem 2 20" xfId="22787" xr:uid="{00000000-0005-0000-0000-0000687F0000}"/>
    <cellStyle name="Porcentagem 2 21" xfId="22788" xr:uid="{00000000-0005-0000-0000-0000697F0000}"/>
    <cellStyle name="Porcentagem 2 22" xfId="22789" xr:uid="{00000000-0005-0000-0000-00006A7F0000}"/>
    <cellStyle name="Porcentagem 2 23" xfId="22790" xr:uid="{00000000-0005-0000-0000-00006B7F0000}"/>
    <cellStyle name="Porcentagem 2 24" xfId="22791" xr:uid="{00000000-0005-0000-0000-00006C7F0000}"/>
    <cellStyle name="Porcentagem 2 25" xfId="22792" xr:uid="{00000000-0005-0000-0000-00006D7F0000}"/>
    <cellStyle name="Porcentagem 2 26" xfId="22793" xr:uid="{00000000-0005-0000-0000-00006E7F0000}"/>
    <cellStyle name="Porcentagem 2 26 2" xfId="22794" xr:uid="{00000000-0005-0000-0000-00006F7F0000}"/>
    <cellStyle name="Porcentagem 2 26 3" xfId="22795" xr:uid="{00000000-0005-0000-0000-0000707F0000}"/>
    <cellStyle name="Porcentagem 2 26 4" xfId="22796" xr:uid="{00000000-0005-0000-0000-0000717F0000}"/>
    <cellStyle name="Porcentagem 2 26 5" xfId="22797" xr:uid="{00000000-0005-0000-0000-0000727F0000}"/>
    <cellStyle name="Porcentagem 2 27" xfId="22798" xr:uid="{00000000-0005-0000-0000-0000737F0000}"/>
    <cellStyle name="Porcentagem 2 27 2" xfId="22799" xr:uid="{00000000-0005-0000-0000-0000747F0000}"/>
    <cellStyle name="Porcentagem 2 27 3" xfId="22800" xr:uid="{00000000-0005-0000-0000-0000757F0000}"/>
    <cellStyle name="Porcentagem 2 27 4" xfId="22801" xr:uid="{00000000-0005-0000-0000-0000767F0000}"/>
    <cellStyle name="Porcentagem 2 27 5" xfId="22802" xr:uid="{00000000-0005-0000-0000-0000777F0000}"/>
    <cellStyle name="Porcentagem 2 28" xfId="22803" xr:uid="{00000000-0005-0000-0000-0000787F0000}"/>
    <cellStyle name="Porcentagem 2 28 2" xfId="22804" xr:uid="{00000000-0005-0000-0000-0000797F0000}"/>
    <cellStyle name="Porcentagem 2 28 3" xfId="22805" xr:uid="{00000000-0005-0000-0000-00007A7F0000}"/>
    <cellStyle name="Porcentagem 2 28 4" xfId="22806" xr:uid="{00000000-0005-0000-0000-00007B7F0000}"/>
    <cellStyle name="Porcentagem 2 28 5" xfId="22807" xr:uid="{00000000-0005-0000-0000-00007C7F0000}"/>
    <cellStyle name="Porcentagem 2 29" xfId="22808" xr:uid="{00000000-0005-0000-0000-00007D7F0000}"/>
    <cellStyle name="Porcentagem 2 29 2" xfId="22809" xr:uid="{00000000-0005-0000-0000-00007E7F0000}"/>
    <cellStyle name="Porcentagem 2 29 3" xfId="22810" xr:uid="{00000000-0005-0000-0000-00007F7F0000}"/>
    <cellStyle name="Porcentagem 2 29 4" xfId="22811" xr:uid="{00000000-0005-0000-0000-0000807F0000}"/>
    <cellStyle name="Porcentagem 2 29 5" xfId="22812" xr:uid="{00000000-0005-0000-0000-0000817F0000}"/>
    <cellStyle name="Porcentagem 2 3" xfId="22813" xr:uid="{00000000-0005-0000-0000-0000827F0000}"/>
    <cellStyle name="Porcentagem 2 30" xfId="22814" xr:uid="{00000000-0005-0000-0000-0000837F0000}"/>
    <cellStyle name="Porcentagem 2 30 2" xfId="22815" xr:uid="{00000000-0005-0000-0000-0000847F0000}"/>
    <cellStyle name="Porcentagem 2 30 3" xfId="22816" xr:uid="{00000000-0005-0000-0000-0000857F0000}"/>
    <cellStyle name="Porcentagem 2 30 4" xfId="22817" xr:uid="{00000000-0005-0000-0000-0000867F0000}"/>
    <cellStyle name="Porcentagem 2 30 5" xfId="22818" xr:uid="{00000000-0005-0000-0000-0000877F0000}"/>
    <cellStyle name="Porcentagem 2 31" xfId="22819" xr:uid="{00000000-0005-0000-0000-0000887F0000}"/>
    <cellStyle name="Porcentagem 2 31 2" xfId="22820" xr:uid="{00000000-0005-0000-0000-0000897F0000}"/>
    <cellStyle name="Porcentagem 2 31 3" xfId="22821" xr:uid="{00000000-0005-0000-0000-00008A7F0000}"/>
    <cellStyle name="Porcentagem 2 31 4" xfId="22822" xr:uid="{00000000-0005-0000-0000-00008B7F0000}"/>
    <cellStyle name="Porcentagem 2 31 5" xfId="22823" xr:uid="{00000000-0005-0000-0000-00008C7F0000}"/>
    <cellStyle name="Porcentagem 2 32" xfId="22824" xr:uid="{00000000-0005-0000-0000-00008D7F0000}"/>
    <cellStyle name="Porcentagem 2 32 2" xfId="22825" xr:uid="{00000000-0005-0000-0000-00008E7F0000}"/>
    <cellStyle name="Porcentagem 2 32 3" xfId="22826" xr:uid="{00000000-0005-0000-0000-00008F7F0000}"/>
    <cellStyle name="Porcentagem 2 32 4" xfId="22827" xr:uid="{00000000-0005-0000-0000-0000907F0000}"/>
    <cellStyle name="Porcentagem 2 32 5" xfId="22828" xr:uid="{00000000-0005-0000-0000-0000917F0000}"/>
    <cellStyle name="Porcentagem 2 33" xfId="22829" xr:uid="{00000000-0005-0000-0000-0000927F0000}"/>
    <cellStyle name="Porcentagem 2 34" xfId="22830" xr:uid="{00000000-0005-0000-0000-0000937F0000}"/>
    <cellStyle name="Porcentagem 2 35" xfId="22831" xr:uid="{00000000-0005-0000-0000-0000947F0000}"/>
    <cellStyle name="Porcentagem 2 36" xfId="22832" xr:uid="{00000000-0005-0000-0000-0000957F0000}"/>
    <cellStyle name="Porcentagem 2 37" xfId="22833" xr:uid="{00000000-0005-0000-0000-0000967F0000}"/>
    <cellStyle name="Porcentagem 2 38" xfId="22834" xr:uid="{00000000-0005-0000-0000-0000977F0000}"/>
    <cellStyle name="Porcentagem 2 39" xfId="22835" xr:uid="{00000000-0005-0000-0000-0000987F0000}"/>
    <cellStyle name="Porcentagem 2 4" xfId="22836" xr:uid="{00000000-0005-0000-0000-0000997F0000}"/>
    <cellStyle name="Porcentagem 2 40" xfId="22837" xr:uid="{00000000-0005-0000-0000-00009A7F0000}"/>
    <cellStyle name="Porcentagem 2 41" xfId="22838" xr:uid="{00000000-0005-0000-0000-00009B7F0000}"/>
    <cellStyle name="Porcentagem 2 41 2" xfId="22839" xr:uid="{00000000-0005-0000-0000-00009C7F0000}"/>
    <cellStyle name="Porcentagem 2 42" xfId="22840" xr:uid="{00000000-0005-0000-0000-00009D7F0000}"/>
    <cellStyle name="Porcentagem 2 42 2" xfId="22841" xr:uid="{00000000-0005-0000-0000-00009E7F0000}"/>
    <cellStyle name="Porcentagem 2 43" xfId="22842" xr:uid="{00000000-0005-0000-0000-00009F7F0000}"/>
    <cellStyle name="Porcentagem 2 43 2" xfId="22843" xr:uid="{00000000-0005-0000-0000-0000A07F0000}"/>
    <cellStyle name="Porcentagem 2 44" xfId="22844" xr:uid="{00000000-0005-0000-0000-0000A17F0000}"/>
    <cellStyle name="Porcentagem 2 44 2" xfId="22845" xr:uid="{00000000-0005-0000-0000-0000A27F0000}"/>
    <cellStyle name="Porcentagem 2 45" xfId="22846" xr:uid="{00000000-0005-0000-0000-0000A37F0000}"/>
    <cellStyle name="Porcentagem 2 45 2" xfId="22847" xr:uid="{00000000-0005-0000-0000-0000A47F0000}"/>
    <cellStyle name="Porcentagem 2 46" xfId="22848" xr:uid="{00000000-0005-0000-0000-0000A57F0000}"/>
    <cellStyle name="Porcentagem 2 46 2" xfId="22849" xr:uid="{00000000-0005-0000-0000-0000A67F0000}"/>
    <cellStyle name="Porcentagem 2 47" xfId="22850" xr:uid="{00000000-0005-0000-0000-0000A77F0000}"/>
    <cellStyle name="Porcentagem 2 47 2" xfId="22851" xr:uid="{00000000-0005-0000-0000-0000A87F0000}"/>
    <cellStyle name="Porcentagem 2 48" xfId="22852" xr:uid="{00000000-0005-0000-0000-0000A97F0000}"/>
    <cellStyle name="Porcentagem 2 48 2" xfId="22853" xr:uid="{00000000-0005-0000-0000-0000AA7F0000}"/>
    <cellStyle name="Porcentagem 2 49" xfId="22854" xr:uid="{00000000-0005-0000-0000-0000AB7F0000}"/>
    <cellStyle name="Porcentagem 2 49 2" xfId="22855" xr:uid="{00000000-0005-0000-0000-0000AC7F0000}"/>
    <cellStyle name="Porcentagem 2 5" xfId="22856" xr:uid="{00000000-0005-0000-0000-0000AD7F0000}"/>
    <cellStyle name="Porcentagem 2 50" xfId="22857" xr:uid="{00000000-0005-0000-0000-0000AE7F0000}"/>
    <cellStyle name="Porcentagem 2 50 2" xfId="22858" xr:uid="{00000000-0005-0000-0000-0000AF7F0000}"/>
    <cellStyle name="Porcentagem 2 51" xfId="22859" xr:uid="{00000000-0005-0000-0000-0000B07F0000}"/>
    <cellStyle name="Porcentagem 2 51 2" xfId="22860" xr:uid="{00000000-0005-0000-0000-0000B17F0000}"/>
    <cellStyle name="Porcentagem 2 52" xfId="22861" xr:uid="{00000000-0005-0000-0000-0000B27F0000}"/>
    <cellStyle name="Porcentagem 2 52 2" xfId="22862" xr:uid="{00000000-0005-0000-0000-0000B37F0000}"/>
    <cellStyle name="Porcentagem 2 53" xfId="22863" xr:uid="{00000000-0005-0000-0000-0000B47F0000}"/>
    <cellStyle name="Porcentagem 2 53 2" xfId="22864" xr:uid="{00000000-0005-0000-0000-0000B57F0000}"/>
    <cellStyle name="Porcentagem 2 54" xfId="22865" xr:uid="{00000000-0005-0000-0000-0000B67F0000}"/>
    <cellStyle name="Porcentagem 2 54 2" xfId="22866" xr:uid="{00000000-0005-0000-0000-0000B77F0000}"/>
    <cellStyle name="Porcentagem 2 55" xfId="22867" xr:uid="{00000000-0005-0000-0000-0000B87F0000}"/>
    <cellStyle name="Porcentagem 2 55 2" xfId="22868" xr:uid="{00000000-0005-0000-0000-0000B97F0000}"/>
    <cellStyle name="Porcentagem 2 56" xfId="22869" xr:uid="{00000000-0005-0000-0000-0000BA7F0000}"/>
    <cellStyle name="Porcentagem 2 56 2" xfId="22870" xr:uid="{00000000-0005-0000-0000-0000BB7F0000}"/>
    <cellStyle name="Porcentagem 2 57" xfId="22871" xr:uid="{00000000-0005-0000-0000-0000BC7F0000}"/>
    <cellStyle name="Porcentagem 2 57 2" xfId="22872" xr:uid="{00000000-0005-0000-0000-0000BD7F0000}"/>
    <cellStyle name="Porcentagem 2 58" xfId="22873" xr:uid="{00000000-0005-0000-0000-0000BE7F0000}"/>
    <cellStyle name="Porcentagem 2 58 2" xfId="22874" xr:uid="{00000000-0005-0000-0000-0000BF7F0000}"/>
    <cellStyle name="Porcentagem 2 59" xfId="22875" xr:uid="{00000000-0005-0000-0000-0000C07F0000}"/>
    <cellStyle name="Porcentagem 2 6" xfId="22876" xr:uid="{00000000-0005-0000-0000-0000C17F0000}"/>
    <cellStyle name="Porcentagem 2 60" xfId="22877" xr:uid="{00000000-0005-0000-0000-0000C27F0000}"/>
    <cellStyle name="Porcentagem 2 61" xfId="22878" xr:uid="{00000000-0005-0000-0000-0000C37F0000}"/>
    <cellStyle name="Porcentagem 2 62" xfId="22879" xr:uid="{00000000-0005-0000-0000-0000C47F0000}"/>
    <cellStyle name="Porcentagem 2 63" xfId="22880" xr:uid="{00000000-0005-0000-0000-0000C57F0000}"/>
    <cellStyle name="Porcentagem 2 64" xfId="22881" xr:uid="{00000000-0005-0000-0000-0000C67F0000}"/>
    <cellStyle name="Porcentagem 2 65" xfId="22882" xr:uid="{00000000-0005-0000-0000-0000C77F0000}"/>
    <cellStyle name="Porcentagem 2 66" xfId="22883" xr:uid="{00000000-0005-0000-0000-0000C87F0000}"/>
    <cellStyle name="Porcentagem 2 67" xfId="22884" xr:uid="{00000000-0005-0000-0000-0000C97F0000}"/>
    <cellStyle name="Porcentagem 2 68" xfId="22885" xr:uid="{00000000-0005-0000-0000-0000CA7F0000}"/>
    <cellStyle name="Porcentagem 2 69" xfId="22886" xr:uid="{00000000-0005-0000-0000-0000CB7F0000}"/>
    <cellStyle name="Porcentagem 2 7" xfId="22887" xr:uid="{00000000-0005-0000-0000-0000CC7F0000}"/>
    <cellStyle name="Porcentagem 2 70" xfId="22888" xr:uid="{00000000-0005-0000-0000-0000CD7F0000}"/>
    <cellStyle name="Porcentagem 2 71" xfId="22889" xr:uid="{00000000-0005-0000-0000-0000CE7F0000}"/>
    <cellStyle name="Porcentagem 2 72" xfId="22890" xr:uid="{00000000-0005-0000-0000-0000CF7F0000}"/>
    <cellStyle name="Porcentagem 2 73" xfId="22891" xr:uid="{00000000-0005-0000-0000-0000D07F0000}"/>
    <cellStyle name="Porcentagem 2 74" xfId="22892" xr:uid="{00000000-0005-0000-0000-0000D17F0000}"/>
    <cellStyle name="Porcentagem 2 75" xfId="22893" xr:uid="{00000000-0005-0000-0000-0000D27F0000}"/>
    <cellStyle name="Porcentagem 2 76" xfId="22894" xr:uid="{00000000-0005-0000-0000-0000D37F0000}"/>
    <cellStyle name="Porcentagem 2 77" xfId="22895" xr:uid="{00000000-0005-0000-0000-0000D47F0000}"/>
    <cellStyle name="Porcentagem 2 78" xfId="22896" xr:uid="{00000000-0005-0000-0000-0000D57F0000}"/>
    <cellStyle name="Porcentagem 2 79" xfId="22897" xr:uid="{00000000-0005-0000-0000-0000D67F0000}"/>
    <cellStyle name="Porcentagem 2 8" xfId="22898" xr:uid="{00000000-0005-0000-0000-0000D77F0000}"/>
    <cellStyle name="Porcentagem 2 9" xfId="22899" xr:uid="{00000000-0005-0000-0000-0000D87F0000}"/>
    <cellStyle name="Porcentagem 20" xfId="29358" xr:uid="{00000000-0005-0000-0000-0000D97F0000}"/>
    <cellStyle name="Porcentagem 3" xfId="22900" xr:uid="{00000000-0005-0000-0000-0000DA7F0000}"/>
    <cellStyle name="Porcentagem 3 10" xfId="22901" xr:uid="{00000000-0005-0000-0000-0000DB7F0000}"/>
    <cellStyle name="Porcentagem 3 10 2" xfId="41048" xr:uid="{00000000-0005-0000-0000-0000DC7F0000}"/>
    <cellStyle name="Porcentagem 3 11" xfId="22902" xr:uid="{00000000-0005-0000-0000-0000DD7F0000}"/>
    <cellStyle name="Porcentagem 3 11 2" xfId="22903" xr:uid="{00000000-0005-0000-0000-0000DE7F0000}"/>
    <cellStyle name="Porcentagem 3 12" xfId="22904" xr:uid="{00000000-0005-0000-0000-0000DF7F0000}"/>
    <cellStyle name="Porcentagem 3 12 2" xfId="41049" xr:uid="{00000000-0005-0000-0000-0000E07F0000}"/>
    <cellStyle name="Porcentagem 3 13" xfId="22905" xr:uid="{00000000-0005-0000-0000-0000E17F0000}"/>
    <cellStyle name="Porcentagem 3 13 2" xfId="41051" xr:uid="{00000000-0005-0000-0000-0000E27F0000}"/>
    <cellStyle name="Porcentagem 3 14" xfId="22906" xr:uid="{00000000-0005-0000-0000-0000E37F0000}"/>
    <cellStyle name="Porcentagem 3 14 2" xfId="41047" xr:uid="{00000000-0005-0000-0000-0000E47F0000}"/>
    <cellStyle name="Porcentagem 3 15" xfId="22907" xr:uid="{00000000-0005-0000-0000-0000E57F0000}"/>
    <cellStyle name="Porcentagem 3 15 2" xfId="41052" xr:uid="{00000000-0005-0000-0000-0000E67F0000}"/>
    <cellStyle name="Porcentagem 3 16" xfId="22908" xr:uid="{00000000-0005-0000-0000-0000E77F0000}"/>
    <cellStyle name="Porcentagem 3 17" xfId="22909" xr:uid="{00000000-0005-0000-0000-0000E87F0000}"/>
    <cellStyle name="Porcentagem 3 18" xfId="22910" xr:uid="{00000000-0005-0000-0000-0000E97F0000}"/>
    <cellStyle name="Porcentagem 3 19" xfId="22911" xr:uid="{00000000-0005-0000-0000-0000EA7F0000}"/>
    <cellStyle name="Porcentagem 3 2" xfId="22912" xr:uid="{00000000-0005-0000-0000-0000EB7F0000}"/>
    <cellStyle name="Porcentagem 3 2 10" xfId="22913" xr:uid="{00000000-0005-0000-0000-0000EC7F0000}"/>
    <cellStyle name="Porcentagem 3 2 2" xfId="22914" xr:uid="{00000000-0005-0000-0000-0000ED7F0000}"/>
    <cellStyle name="Porcentagem 3 2 2 2" xfId="22915" xr:uid="{00000000-0005-0000-0000-0000EE7F0000}"/>
    <cellStyle name="Porcentagem 3 2 2 3" xfId="22916" xr:uid="{00000000-0005-0000-0000-0000EF7F0000}"/>
    <cellStyle name="Porcentagem 3 2 2 4" xfId="22917" xr:uid="{00000000-0005-0000-0000-0000F07F0000}"/>
    <cellStyle name="Porcentagem 3 2 2 5" xfId="22918" xr:uid="{00000000-0005-0000-0000-0000F17F0000}"/>
    <cellStyle name="Porcentagem 3 2 2 6" xfId="22919" xr:uid="{00000000-0005-0000-0000-0000F27F0000}"/>
    <cellStyle name="Porcentagem 3 2 2 7" xfId="22920" xr:uid="{00000000-0005-0000-0000-0000F37F0000}"/>
    <cellStyle name="Porcentagem 3 2 3" xfId="22921" xr:uid="{00000000-0005-0000-0000-0000F47F0000}"/>
    <cellStyle name="Porcentagem 3 2 4" xfId="22922" xr:uid="{00000000-0005-0000-0000-0000F57F0000}"/>
    <cellStyle name="Porcentagem 3 2 5" xfId="22923" xr:uid="{00000000-0005-0000-0000-0000F67F0000}"/>
    <cellStyle name="Porcentagem 3 2 6" xfId="22924" xr:uid="{00000000-0005-0000-0000-0000F77F0000}"/>
    <cellStyle name="Porcentagem 3 2 7" xfId="22925" xr:uid="{00000000-0005-0000-0000-0000F87F0000}"/>
    <cellStyle name="Porcentagem 3 2 8" xfId="22926" xr:uid="{00000000-0005-0000-0000-0000F97F0000}"/>
    <cellStyle name="Porcentagem 3 2 9" xfId="22927" xr:uid="{00000000-0005-0000-0000-0000FA7F0000}"/>
    <cellStyle name="Porcentagem 3 20" xfId="22928" xr:uid="{00000000-0005-0000-0000-0000FB7F0000}"/>
    <cellStyle name="Porcentagem 3 21" xfId="22929" xr:uid="{00000000-0005-0000-0000-0000FC7F0000}"/>
    <cellStyle name="Porcentagem 3 22" xfId="22930" xr:uid="{00000000-0005-0000-0000-0000FD7F0000}"/>
    <cellStyle name="Porcentagem 3 3" xfId="22931" xr:uid="{00000000-0005-0000-0000-0000FE7F0000}"/>
    <cellStyle name="Porcentagem 3 3 2" xfId="22932" xr:uid="{00000000-0005-0000-0000-0000FF7F0000}"/>
    <cellStyle name="Porcentagem 3 3 3" xfId="22933" xr:uid="{00000000-0005-0000-0000-000000800000}"/>
    <cellStyle name="Porcentagem 3 4" xfId="22934" xr:uid="{00000000-0005-0000-0000-000001800000}"/>
    <cellStyle name="Porcentagem 3 4 10" xfId="22935" xr:uid="{00000000-0005-0000-0000-000002800000}"/>
    <cellStyle name="Porcentagem 3 4 11" xfId="22936" xr:uid="{00000000-0005-0000-0000-000003800000}"/>
    <cellStyle name="Porcentagem 3 4 12" xfId="22937" xr:uid="{00000000-0005-0000-0000-000004800000}"/>
    <cellStyle name="Porcentagem 3 4 13" xfId="22938" xr:uid="{00000000-0005-0000-0000-000005800000}"/>
    <cellStyle name="Porcentagem 3 4 14" xfId="22939" xr:uid="{00000000-0005-0000-0000-000006800000}"/>
    <cellStyle name="Porcentagem 3 4 15" xfId="22940" xr:uid="{00000000-0005-0000-0000-000007800000}"/>
    <cellStyle name="Porcentagem 3 4 16" xfId="22941" xr:uid="{00000000-0005-0000-0000-000008800000}"/>
    <cellStyle name="Porcentagem 3 4 2" xfId="22942" xr:uid="{00000000-0005-0000-0000-000009800000}"/>
    <cellStyle name="Porcentagem 3 4 3" xfId="22943" xr:uid="{00000000-0005-0000-0000-00000A800000}"/>
    <cellStyle name="Porcentagem 3 4 3 2" xfId="22944" xr:uid="{00000000-0005-0000-0000-00000B800000}"/>
    <cellStyle name="Porcentagem 3 4 4" xfId="22945" xr:uid="{00000000-0005-0000-0000-00000C800000}"/>
    <cellStyle name="Porcentagem 3 4 4 2" xfId="22946" xr:uid="{00000000-0005-0000-0000-00000D800000}"/>
    <cellStyle name="Porcentagem 3 4 5" xfId="22947" xr:uid="{00000000-0005-0000-0000-00000E800000}"/>
    <cellStyle name="Porcentagem 3 4 6" xfId="22948" xr:uid="{00000000-0005-0000-0000-00000F800000}"/>
    <cellStyle name="Porcentagem 3 4 7" xfId="22949" xr:uid="{00000000-0005-0000-0000-000010800000}"/>
    <cellStyle name="Porcentagem 3 4 8" xfId="22950" xr:uid="{00000000-0005-0000-0000-000011800000}"/>
    <cellStyle name="Porcentagem 3 4 9" xfId="22951" xr:uid="{00000000-0005-0000-0000-000012800000}"/>
    <cellStyle name="Porcentagem 3 5" xfId="22952" xr:uid="{00000000-0005-0000-0000-000013800000}"/>
    <cellStyle name="Porcentagem 3 5 2" xfId="22953" xr:uid="{00000000-0005-0000-0000-000014800000}"/>
    <cellStyle name="Porcentagem 3 5 3" xfId="22954" xr:uid="{00000000-0005-0000-0000-000015800000}"/>
    <cellStyle name="Porcentagem 3 5 4" xfId="22955" xr:uid="{00000000-0005-0000-0000-000016800000}"/>
    <cellStyle name="Porcentagem 3 6" xfId="22956" xr:uid="{00000000-0005-0000-0000-000017800000}"/>
    <cellStyle name="Porcentagem 3 6 2" xfId="22957" xr:uid="{00000000-0005-0000-0000-000018800000}"/>
    <cellStyle name="Porcentagem 3 6 3" xfId="22958" xr:uid="{00000000-0005-0000-0000-000019800000}"/>
    <cellStyle name="Porcentagem 3 6 4" xfId="22959" xr:uid="{00000000-0005-0000-0000-00001A800000}"/>
    <cellStyle name="Porcentagem 3 7" xfId="22960" xr:uid="{00000000-0005-0000-0000-00001B800000}"/>
    <cellStyle name="Porcentagem 3 7 2" xfId="22961" xr:uid="{00000000-0005-0000-0000-00001C800000}"/>
    <cellStyle name="Porcentagem 3 7 3" xfId="22962" xr:uid="{00000000-0005-0000-0000-00001D800000}"/>
    <cellStyle name="Porcentagem 3 7 4" xfId="22963" xr:uid="{00000000-0005-0000-0000-00001E800000}"/>
    <cellStyle name="Porcentagem 3 8" xfId="22964" xr:uid="{00000000-0005-0000-0000-00001F800000}"/>
    <cellStyle name="Porcentagem 3 9" xfId="22965" xr:uid="{00000000-0005-0000-0000-000020800000}"/>
    <cellStyle name="Porcentagem 3 9 2" xfId="41050" xr:uid="{00000000-0005-0000-0000-000021800000}"/>
    <cellStyle name="Porcentagem 4" xfId="22966" xr:uid="{00000000-0005-0000-0000-000022800000}"/>
    <cellStyle name="Porcentagem 4 10" xfId="22967" xr:uid="{00000000-0005-0000-0000-000023800000}"/>
    <cellStyle name="Porcentagem 4 11" xfId="22968" xr:uid="{00000000-0005-0000-0000-000024800000}"/>
    <cellStyle name="Porcentagem 4 12" xfId="22969" xr:uid="{00000000-0005-0000-0000-000025800000}"/>
    <cellStyle name="Porcentagem 4 13" xfId="22970" xr:uid="{00000000-0005-0000-0000-000026800000}"/>
    <cellStyle name="Porcentagem 4 14" xfId="22971" xr:uid="{00000000-0005-0000-0000-000027800000}"/>
    <cellStyle name="Porcentagem 4 15" xfId="22972" xr:uid="{00000000-0005-0000-0000-000028800000}"/>
    <cellStyle name="Porcentagem 4 16" xfId="22973" xr:uid="{00000000-0005-0000-0000-000029800000}"/>
    <cellStyle name="Porcentagem 4 17" xfId="22974" xr:uid="{00000000-0005-0000-0000-00002A800000}"/>
    <cellStyle name="Porcentagem 4 18" xfId="22975" xr:uid="{00000000-0005-0000-0000-00002B800000}"/>
    <cellStyle name="Porcentagem 4 19" xfId="22976" xr:uid="{00000000-0005-0000-0000-00002C800000}"/>
    <cellStyle name="Porcentagem 4 2" xfId="22977" xr:uid="{00000000-0005-0000-0000-00002D800000}"/>
    <cellStyle name="Porcentagem 4 2 2" xfId="22978" xr:uid="{00000000-0005-0000-0000-00002E800000}"/>
    <cellStyle name="Porcentagem 4 2 2 2" xfId="40825" xr:uid="{00000000-0005-0000-0000-00002F800000}"/>
    <cellStyle name="Porcentagem 4 2 3" xfId="22979" xr:uid="{00000000-0005-0000-0000-000030800000}"/>
    <cellStyle name="Porcentagem 4 2 3 2" xfId="41041" xr:uid="{00000000-0005-0000-0000-000031800000}"/>
    <cellStyle name="Porcentagem 4 2 4" xfId="22980" xr:uid="{00000000-0005-0000-0000-000032800000}"/>
    <cellStyle name="Porcentagem 4 2 5" xfId="22981" xr:uid="{00000000-0005-0000-0000-000033800000}"/>
    <cellStyle name="Porcentagem 4 2 6" xfId="22982" xr:uid="{00000000-0005-0000-0000-000034800000}"/>
    <cellStyle name="Porcentagem 4 2 7" xfId="22983" xr:uid="{00000000-0005-0000-0000-000035800000}"/>
    <cellStyle name="Porcentagem 4 20" xfId="22984" xr:uid="{00000000-0005-0000-0000-000036800000}"/>
    <cellStyle name="Porcentagem 4 21" xfId="22985" xr:uid="{00000000-0005-0000-0000-000037800000}"/>
    <cellStyle name="Porcentagem 4 22" xfId="22986" xr:uid="{00000000-0005-0000-0000-000038800000}"/>
    <cellStyle name="Porcentagem 4 23" xfId="22987" xr:uid="{00000000-0005-0000-0000-000039800000}"/>
    <cellStyle name="Porcentagem 4 24" xfId="22988" xr:uid="{00000000-0005-0000-0000-00003A800000}"/>
    <cellStyle name="Porcentagem 4 25" xfId="22989" xr:uid="{00000000-0005-0000-0000-00003B800000}"/>
    <cellStyle name="Porcentagem 4 26" xfId="22990" xr:uid="{00000000-0005-0000-0000-00003C800000}"/>
    <cellStyle name="Porcentagem 4 27" xfId="22991" xr:uid="{00000000-0005-0000-0000-00003D800000}"/>
    <cellStyle name="Porcentagem 4 28" xfId="22992" xr:uid="{00000000-0005-0000-0000-00003E800000}"/>
    <cellStyle name="Porcentagem 4 29" xfId="22993" xr:uid="{00000000-0005-0000-0000-00003F800000}"/>
    <cellStyle name="Porcentagem 4 3" xfId="22994" xr:uid="{00000000-0005-0000-0000-000040800000}"/>
    <cellStyle name="Porcentagem 4 30" xfId="22995" xr:uid="{00000000-0005-0000-0000-000041800000}"/>
    <cellStyle name="Porcentagem 4 31" xfId="22996" xr:uid="{00000000-0005-0000-0000-000042800000}"/>
    <cellStyle name="Porcentagem 4 32" xfId="22997" xr:uid="{00000000-0005-0000-0000-000043800000}"/>
    <cellStyle name="Porcentagem 4 33" xfId="22998" xr:uid="{00000000-0005-0000-0000-000044800000}"/>
    <cellStyle name="Porcentagem 4 34" xfId="22999" xr:uid="{00000000-0005-0000-0000-000045800000}"/>
    <cellStyle name="Porcentagem 4 35" xfId="23000" xr:uid="{00000000-0005-0000-0000-000046800000}"/>
    <cellStyle name="Porcentagem 4 36" xfId="23001" xr:uid="{00000000-0005-0000-0000-000047800000}"/>
    <cellStyle name="Porcentagem 4 37" xfId="23002" xr:uid="{00000000-0005-0000-0000-000048800000}"/>
    <cellStyle name="Porcentagem 4 38" xfId="23003" xr:uid="{00000000-0005-0000-0000-000049800000}"/>
    <cellStyle name="Porcentagem 4 39" xfId="23004" xr:uid="{00000000-0005-0000-0000-00004A800000}"/>
    <cellStyle name="Porcentagem 4 4" xfId="23005" xr:uid="{00000000-0005-0000-0000-00004B800000}"/>
    <cellStyle name="Porcentagem 4 40" xfId="23006" xr:uid="{00000000-0005-0000-0000-00004C800000}"/>
    <cellStyle name="Porcentagem 4 41" xfId="23007" xr:uid="{00000000-0005-0000-0000-00004D800000}"/>
    <cellStyle name="Porcentagem 4 42" xfId="23008" xr:uid="{00000000-0005-0000-0000-00004E800000}"/>
    <cellStyle name="Porcentagem 4 43" xfId="23009" xr:uid="{00000000-0005-0000-0000-00004F800000}"/>
    <cellStyle name="Porcentagem 4 5" xfId="23010" xr:uid="{00000000-0005-0000-0000-000050800000}"/>
    <cellStyle name="Porcentagem 4 5 2" xfId="41029" xr:uid="{00000000-0005-0000-0000-000051800000}"/>
    <cellStyle name="Porcentagem 4 6" xfId="23011" xr:uid="{00000000-0005-0000-0000-000052800000}"/>
    <cellStyle name="Porcentagem 4 6 2" xfId="41004" xr:uid="{00000000-0005-0000-0000-000053800000}"/>
    <cellStyle name="Porcentagem 4 7" xfId="23012" xr:uid="{00000000-0005-0000-0000-000054800000}"/>
    <cellStyle name="Porcentagem 4 7 2" xfId="41040" xr:uid="{00000000-0005-0000-0000-000055800000}"/>
    <cellStyle name="Porcentagem 4 8" xfId="23013" xr:uid="{00000000-0005-0000-0000-000056800000}"/>
    <cellStyle name="Porcentagem 4 9" xfId="23014" xr:uid="{00000000-0005-0000-0000-000057800000}"/>
    <cellStyle name="Porcentagem 5" xfId="23015" xr:uid="{00000000-0005-0000-0000-000058800000}"/>
    <cellStyle name="Porcentagem 5 10" xfId="23016" xr:uid="{00000000-0005-0000-0000-000059800000}"/>
    <cellStyle name="Porcentagem 5 11" xfId="23017" xr:uid="{00000000-0005-0000-0000-00005A800000}"/>
    <cellStyle name="Porcentagem 5 12" xfId="23018" xr:uid="{00000000-0005-0000-0000-00005B800000}"/>
    <cellStyle name="Porcentagem 5 13" xfId="23019" xr:uid="{00000000-0005-0000-0000-00005C800000}"/>
    <cellStyle name="Porcentagem 5 14" xfId="23020" xr:uid="{00000000-0005-0000-0000-00005D800000}"/>
    <cellStyle name="Porcentagem 5 15" xfId="23021" xr:uid="{00000000-0005-0000-0000-00005E800000}"/>
    <cellStyle name="Porcentagem 5 16" xfId="23022" xr:uid="{00000000-0005-0000-0000-00005F800000}"/>
    <cellStyle name="Porcentagem 5 17" xfId="23023" xr:uid="{00000000-0005-0000-0000-000060800000}"/>
    <cellStyle name="Porcentagem 5 18" xfId="23024" xr:uid="{00000000-0005-0000-0000-000061800000}"/>
    <cellStyle name="Porcentagem 5 19" xfId="23025" xr:uid="{00000000-0005-0000-0000-000062800000}"/>
    <cellStyle name="Porcentagem 5 2" xfId="23026" xr:uid="{00000000-0005-0000-0000-000063800000}"/>
    <cellStyle name="Porcentagem 5 2 10" xfId="23027" xr:uid="{00000000-0005-0000-0000-000064800000}"/>
    <cellStyle name="Porcentagem 5 2 11" xfId="23028" xr:uid="{00000000-0005-0000-0000-000065800000}"/>
    <cellStyle name="Porcentagem 5 2 12" xfId="23029" xr:uid="{00000000-0005-0000-0000-000066800000}"/>
    <cellStyle name="Porcentagem 5 2 13" xfId="23030" xr:uid="{00000000-0005-0000-0000-000067800000}"/>
    <cellStyle name="Porcentagem 5 2 14" xfId="23031" xr:uid="{00000000-0005-0000-0000-000068800000}"/>
    <cellStyle name="Porcentagem 5 2 15" xfId="23032" xr:uid="{00000000-0005-0000-0000-000069800000}"/>
    <cellStyle name="Porcentagem 5 2 16" xfId="23033" xr:uid="{00000000-0005-0000-0000-00006A800000}"/>
    <cellStyle name="Porcentagem 5 2 2" xfId="23034" xr:uid="{00000000-0005-0000-0000-00006B800000}"/>
    <cellStyle name="Porcentagem 5 2 3" xfId="23035" xr:uid="{00000000-0005-0000-0000-00006C800000}"/>
    <cellStyle name="Porcentagem 5 2 4" xfId="23036" xr:uid="{00000000-0005-0000-0000-00006D800000}"/>
    <cellStyle name="Porcentagem 5 2 5" xfId="23037" xr:uid="{00000000-0005-0000-0000-00006E800000}"/>
    <cellStyle name="Porcentagem 5 2 6" xfId="23038" xr:uid="{00000000-0005-0000-0000-00006F800000}"/>
    <cellStyle name="Porcentagem 5 2 7" xfId="23039" xr:uid="{00000000-0005-0000-0000-000070800000}"/>
    <cellStyle name="Porcentagem 5 2 8" xfId="23040" xr:uid="{00000000-0005-0000-0000-000071800000}"/>
    <cellStyle name="Porcentagem 5 2 9" xfId="23041" xr:uid="{00000000-0005-0000-0000-000072800000}"/>
    <cellStyle name="Porcentagem 5 20" xfId="23042" xr:uid="{00000000-0005-0000-0000-000073800000}"/>
    <cellStyle name="Porcentagem 5 21" xfId="23043" xr:uid="{00000000-0005-0000-0000-000074800000}"/>
    <cellStyle name="Porcentagem 5 22" xfId="23044" xr:uid="{00000000-0005-0000-0000-000075800000}"/>
    <cellStyle name="Porcentagem 5 23" xfId="23045" xr:uid="{00000000-0005-0000-0000-000076800000}"/>
    <cellStyle name="Porcentagem 5 24" xfId="23046" xr:uid="{00000000-0005-0000-0000-000077800000}"/>
    <cellStyle name="Porcentagem 5 3" xfId="23047" xr:uid="{00000000-0005-0000-0000-000078800000}"/>
    <cellStyle name="Porcentagem 5 3 2" xfId="23048" xr:uid="{00000000-0005-0000-0000-000079800000}"/>
    <cellStyle name="Porcentagem 5 4" xfId="23049" xr:uid="{00000000-0005-0000-0000-00007A800000}"/>
    <cellStyle name="Porcentagem 5 4 2" xfId="23050" xr:uid="{00000000-0005-0000-0000-00007B800000}"/>
    <cellStyle name="Porcentagem 5 5" xfId="23051" xr:uid="{00000000-0005-0000-0000-00007C800000}"/>
    <cellStyle name="Porcentagem 5 5 2" xfId="23052" xr:uid="{00000000-0005-0000-0000-00007D800000}"/>
    <cellStyle name="Porcentagem 5 6" xfId="23053" xr:uid="{00000000-0005-0000-0000-00007E800000}"/>
    <cellStyle name="Porcentagem 5 7" xfId="23054" xr:uid="{00000000-0005-0000-0000-00007F800000}"/>
    <cellStyle name="Porcentagem 5 8" xfId="23055" xr:uid="{00000000-0005-0000-0000-000080800000}"/>
    <cellStyle name="Porcentagem 5 9" xfId="23056" xr:uid="{00000000-0005-0000-0000-000081800000}"/>
    <cellStyle name="Porcentagem 6" xfId="23057" xr:uid="{00000000-0005-0000-0000-000082800000}"/>
    <cellStyle name="Porcentagem 6 2" xfId="23058" xr:uid="{00000000-0005-0000-0000-000083800000}"/>
    <cellStyle name="Porcentagem 6 3" xfId="23059" xr:uid="{00000000-0005-0000-0000-000084800000}"/>
    <cellStyle name="Porcentagem 7" xfId="23060" xr:uid="{00000000-0005-0000-0000-000085800000}"/>
    <cellStyle name="Porcentagem 7 2" xfId="23061" xr:uid="{00000000-0005-0000-0000-000086800000}"/>
    <cellStyle name="Porcentagem 7 3" xfId="23062" xr:uid="{00000000-0005-0000-0000-000087800000}"/>
    <cellStyle name="Porcentagem 8" xfId="23063" xr:uid="{00000000-0005-0000-0000-000088800000}"/>
    <cellStyle name="Porcentagem 8 2" xfId="23064" xr:uid="{00000000-0005-0000-0000-000089800000}"/>
    <cellStyle name="Porcentagem 8 3" xfId="23065" xr:uid="{00000000-0005-0000-0000-00008A800000}"/>
    <cellStyle name="Porcentagem 9" xfId="23066" xr:uid="{00000000-0005-0000-0000-00008B800000}"/>
    <cellStyle name="Porcentagem 9 2" xfId="23067" xr:uid="{00000000-0005-0000-0000-00008C800000}"/>
    <cellStyle name="Porcentagem 9 3" xfId="23068" xr:uid="{00000000-0005-0000-0000-00008D800000}"/>
    <cellStyle name="Saída 10" xfId="23069" xr:uid="{00000000-0005-0000-0000-00008E800000}"/>
    <cellStyle name="Saída 10 2" xfId="29254" xr:uid="{00000000-0005-0000-0000-00008F800000}"/>
    <cellStyle name="Saída 10 2 2" xfId="40827" xr:uid="{00000000-0005-0000-0000-000090800000}"/>
    <cellStyle name="Saída 10 3" xfId="40826" xr:uid="{00000000-0005-0000-0000-000091800000}"/>
    <cellStyle name="Saída 100" xfId="23070" xr:uid="{00000000-0005-0000-0000-000092800000}"/>
    <cellStyle name="Saída 100 2" xfId="38534" xr:uid="{00000000-0005-0000-0000-000093800000}"/>
    <cellStyle name="Saída 101" xfId="23071" xr:uid="{00000000-0005-0000-0000-000094800000}"/>
    <cellStyle name="Saída 101 2" xfId="38535" xr:uid="{00000000-0005-0000-0000-000095800000}"/>
    <cellStyle name="Saída 102" xfId="23072" xr:uid="{00000000-0005-0000-0000-000096800000}"/>
    <cellStyle name="Saída 102 2" xfId="38536" xr:uid="{00000000-0005-0000-0000-000097800000}"/>
    <cellStyle name="Saída 103" xfId="23073" xr:uid="{00000000-0005-0000-0000-000098800000}"/>
    <cellStyle name="Saída 103 2" xfId="38537" xr:uid="{00000000-0005-0000-0000-000099800000}"/>
    <cellStyle name="Saída 104" xfId="23074" xr:uid="{00000000-0005-0000-0000-00009A800000}"/>
    <cellStyle name="Saída 104 2" xfId="38538" xr:uid="{00000000-0005-0000-0000-00009B800000}"/>
    <cellStyle name="Saída 105" xfId="23075" xr:uid="{00000000-0005-0000-0000-00009C800000}"/>
    <cellStyle name="Saída 105 2" xfId="38539" xr:uid="{00000000-0005-0000-0000-00009D800000}"/>
    <cellStyle name="Saída 106" xfId="23076" xr:uid="{00000000-0005-0000-0000-00009E800000}"/>
    <cellStyle name="Saída 106 2" xfId="38540" xr:uid="{00000000-0005-0000-0000-00009F800000}"/>
    <cellStyle name="Saída 107" xfId="23077" xr:uid="{00000000-0005-0000-0000-0000A0800000}"/>
    <cellStyle name="Saída 107 2" xfId="38541" xr:uid="{00000000-0005-0000-0000-0000A1800000}"/>
    <cellStyle name="Saída 108" xfId="23078" xr:uid="{00000000-0005-0000-0000-0000A2800000}"/>
    <cellStyle name="Saída 108 2" xfId="38542" xr:uid="{00000000-0005-0000-0000-0000A3800000}"/>
    <cellStyle name="Saída 109" xfId="23079" xr:uid="{00000000-0005-0000-0000-0000A4800000}"/>
    <cellStyle name="Saída 109 2" xfId="38543" xr:uid="{00000000-0005-0000-0000-0000A5800000}"/>
    <cellStyle name="Saída 11" xfId="23080" xr:uid="{00000000-0005-0000-0000-0000A6800000}"/>
    <cellStyle name="Saída 11 2" xfId="29255" xr:uid="{00000000-0005-0000-0000-0000A7800000}"/>
    <cellStyle name="Saída 11 2 2" xfId="40829" xr:uid="{00000000-0005-0000-0000-0000A8800000}"/>
    <cellStyle name="Saída 11 3" xfId="40828" xr:uid="{00000000-0005-0000-0000-0000A9800000}"/>
    <cellStyle name="Saída 110" xfId="23081" xr:uid="{00000000-0005-0000-0000-0000AA800000}"/>
    <cellStyle name="Saída 110 2" xfId="38544" xr:uid="{00000000-0005-0000-0000-0000AB800000}"/>
    <cellStyle name="Saída 111" xfId="23082" xr:uid="{00000000-0005-0000-0000-0000AC800000}"/>
    <cellStyle name="Saída 111 2" xfId="38545" xr:uid="{00000000-0005-0000-0000-0000AD800000}"/>
    <cellStyle name="Saída 112" xfId="23083" xr:uid="{00000000-0005-0000-0000-0000AE800000}"/>
    <cellStyle name="Saída 112 2" xfId="38546" xr:uid="{00000000-0005-0000-0000-0000AF800000}"/>
    <cellStyle name="Saída 113" xfId="23084" xr:uid="{00000000-0005-0000-0000-0000B0800000}"/>
    <cellStyle name="Saída 113 2" xfId="38547" xr:uid="{00000000-0005-0000-0000-0000B1800000}"/>
    <cellStyle name="Saída 114" xfId="23085" xr:uid="{00000000-0005-0000-0000-0000B2800000}"/>
    <cellStyle name="Saída 114 2" xfId="38548" xr:uid="{00000000-0005-0000-0000-0000B3800000}"/>
    <cellStyle name="Saída 115" xfId="23086" xr:uid="{00000000-0005-0000-0000-0000B4800000}"/>
    <cellStyle name="Saída 115 2" xfId="38549" xr:uid="{00000000-0005-0000-0000-0000B5800000}"/>
    <cellStyle name="Saída 116" xfId="23087" xr:uid="{00000000-0005-0000-0000-0000B6800000}"/>
    <cellStyle name="Saída 116 2" xfId="38550" xr:uid="{00000000-0005-0000-0000-0000B7800000}"/>
    <cellStyle name="Saída 117" xfId="23088" xr:uid="{00000000-0005-0000-0000-0000B8800000}"/>
    <cellStyle name="Saída 117 2" xfId="38551" xr:uid="{00000000-0005-0000-0000-0000B9800000}"/>
    <cellStyle name="Saída 118" xfId="23089" xr:uid="{00000000-0005-0000-0000-0000BA800000}"/>
    <cellStyle name="Saída 118 2" xfId="38552" xr:uid="{00000000-0005-0000-0000-0000BB800000}"/>
    <cellStyle name="Saída 119" xfId="23090" xr:uid="{00000000-0005-0000-0000-0000BC800000}"/>
    <cellStyle name="Saída 119 2" xfId="38553" xr:uid="{00000000-0005-0000-0000-0000BD800000}"/>
    <cellStyle name="Saída 12" xfId="23091" xr:uid="{00000000-0005-0000-0000-0000BE800000}"/>
    <cellStyle name="Saída 12 2" xfId="29256" xr:uid="{00000000-0005-0000-0000-0000BF800000}"/>
    <cellStyle name="Saída 12 2 2" xfId="40831" xr:uid="{00000000-0005-0000-0000-0000C0800000}"/>
    <cellStyle name="Saída 12 3" xfId="40830" xr:uid="{00000000-0005-0000-0000-0000C1800000}"/>
    <cellStyle name="Saída 120" xfId="23092" xr:uid="{00000000-0005-0000-0000-0000C2800000}"/>
    <cellStyle name="Saída 120 2" xfId="38554" xr:uid="{00000000-0005-0000-0000-0000C3800000}"/>
    <cellStyle name="Saída 121" xfId="23093" xr:uid="{00000000-0005-0000-0000-0000C4800000}"/>
    <cellStyle name="Saída 121 2" xfId="38555" xr:uid="{00000000-0005-0000-0000-0000C5800000}"/>
    <cellStyle name="Saída 122" xfId="23094" xr:uid="{00000000-0005-0000-0000-0000C6800000}"/>
    <cellStyle name="Saída 122 2" xfId="38556" xr:uid="{00000000-0005-0000-0000-0000C7800000}"/>
    <cellStyle name="Saída 123" xfId="23095" xr:uid="{00000000-0005-0000-0000-0000C8800000}"/>
    <cellStyle name="Saída 123 2" xfId="38557" xr:uid="{00000000-0005-0000-0000-0000C9800000}"/>
    <cellStyle name="Saída 124" xfId="23096" xr:uid="{00000000-0005-0000-0000-0000CA800000}"/>
    <cellStyle name="Saída 124 2" xfId="38558" xr:uid="{00000000-0005-0000-0000-0000CB800000}"/>
    <cellStyle name="Saída 125" xfId="23097" xr:uid="{00000000-0005-0000-0000-0000CC800000}"/>
    <cellStyle name="Saída 125 2" xfId="38559" xr:uid="{00000000-0005-0000-0000-0000CD800000}"/>
    <cellStyle name="Saída 126" xfId="23098" xr:uid="{00000000-0005-0000-0000-0000CE800000}"/>
    <cellStyle name="Saída 126 2" xfId="38560" xr:uid="{00000000-0005-0000-0000-0000CF800000}"/>
    <cellStyle name="Saída 127" xfId="23099" xr:uid="{00000000-0005-0000-0000-0000D0800000}"/>
    <cellStyle name="Saída 127 2" xfId="38561" xr:uid="{00000000-0005-0000-0000-0000D1800000}"/>
    <cellStyle name="Saída 128" xfId="23100" xr:uid="{00000000-0005-0000-0000-0000D2800000}"/>
    <cellStyle name="Saída 128 2" xfId="38562" xr:uid="{00000000-0005-0000-0000-0000D3800000}"/>
    <cellStyle name="Saída 129" xfId="23101" xr:uid="{00000000-0005-0000-0000-0000D4800000}"/>
    <cellStyle name="Saída 129 2" xfId="38563" xr:uid="{00000000-0005-0000-0000-0000D5800000}"/>
    <cellStyle name="Saída 13" xfId="23102" xr:uid="{00000000-0005-0000-0000-0000D6800000}"/>
    <cellStyle name="Saída 13 2" xfId="29257" xr:uid="{00000000-0005-0000-0000-0000D7800000}"/>
    <cellStyle name="Saída 13 2 2" xfId="40833" xr:uid="{00000000-0005-0000-0000-0000D8800000}"/>
    <cellStyle name="Saída 13 3" xfId="40832" xr:uid="{00000000-0005-0000-0000-0000D9800000}"/>
    <cellStyle name="Saída 130" xfId="23103" xr:uid="{00000000-0005-0000-0000-0000DA800000}"/>
    <cellStyle name="Saída 130 2" xfId="38564" xr:uid="{00000000-0005-0000-0000-0000DB800000}"/>
    <cellStyle name="Saída 131" xfId="23104" xr:uid="{00000000-0005-0000-0000-0000DC800000}"/>
    <cellStyle name="Saída 131 2" xfId="38565" xr:uid="{00000000-0005-0000-0000-0000DD800000}"/>
    <cellStyle name="Saída 132" xfId="23105" xr:uid="{00000000-0005-0000-0000-0000DE800000}"/>
    <cellStyle name="Saída 132 2" xfId="38566" xr:uid="{00000000-0005-0000-0000-0000DF800000}"/>
    <cellStyle name="Saída 133" xfId="23106" xr:uid="{00000000-0005-0000-0000-0000E0800000}"/>
    <cellStyle name="Saída 133 2" xfId="38567" xr:uid="{00000000-0005-0000-0000-0000E1800000}"/>
    <cellStyle name="Saída 134" xfId="23107" xr:uid="{00000000-0005-0000-0000-0000E2800000}"/>
    <cellStyle name="Saída 134 2" xfId="38568" xr:uid="{00000000-0005-0000-0000-0000E3800000}"/>
    <cellStyle name="Saída 135" xfId="23108" xr:uid="{00000000-0005-0000-0000-0000E4800000}"/>
    <cellStyle name="Saída 135 2" xfId="38569" xr:uid="{00000000-0005-0000-0000-0000E5800000}"/>
    <cellStyle name="Saída 136" xfId="23109" xr:uid="{00000000-0005-0000-0000-0000E6800000}"/>
    <cellStyle name="Saída 136 2" xfId="38570" xr:uid="{00000000-0005-0000-0000-0000E7800000}"/>
    <cellStyle name="Saída 137" xfId="23110" xr:uid="{00000000-0005-0000-0000-0000E8800000}"/>
    <cellStyle name="Saída 137 2" xfId="38571" xr:uid="{00000000-0005-0000-0000-0000E9800000}"/>
    <cellStyle name="Saída 138" xfId="23111" xr:uid="{00000000-0005-0000-0000-0000EA800000}"/>
    <cellStyle name="Saída 138 2" xfId="38572" xr:uid="{00000000-0005-0000-0000-0000EB800000}"/>
    <cellStyle name="Saída 139" xfId="23112" xr:uid="{00000000-0005-0000-0000-0000EC800000}"/>
    <cellStyle name="Saída 139 2" xfId="38573" xr:uid="{00000000-0005-0000-0000-0000ED800000}"/>
    <cellStyle name="Saída 14" xfId="23113" xr:uid="{00000000-0005-0000-0000-0000EE800000}"/>
    <cellStyle name="Saída 14 2" xfId="29258" xr:uid="{00000000-0005-0000-0000-0000EF800000}"/>
    <cellStyle name="Saída 14 2 2" xfId="40834" xr:uid="{00000000-0005-0000-0000-0000F0800000}"/>
    <cellStyle name="Saída 140" xfId="23114" xr:uid="{00000000-0005-0000-0000-0000F1800000}"/>
    <cellStyle name="Saída 140 2" xfId="38574" xr:uid="{00000000-0005-0000-0000-0000F2800000}"/>
    <cellStyle name="Saída 141" xfId="23115" xr:uid="{00000000-0005-0000-0000-0000F3800000}"/>
    <cellStyle name="Saída 141 2" xfId="38575" xr:uid="{00000000-0005-0000-0000-0000F4800000}"/>
    <cellStyle name="Saída 142" xfId="23116" xr:uid="{00000000-0005-0000-0000-0000F5800000}"/>
    <cellStyle name="Saída 142 2" xfId="38576" xr:uid="{00000000-0005-0000-0000-0000F6800000}"/>
    <cellStyle name="Saída 143" xfId="23117" xr:uid="{00000000-0005-0000-0000-0000F7800000}"/>
    <cellStyle name="Saída 143 2" xfId="38577" xr:uid="{00000000-0005-0000-0000-0000F8800000}"/>
    <cellStyle name="Saída 144" xfId="23118" xr:uid="{00000000-0005-0000-0000-0000F9800000}"/>
    <cellStyle name="Saída 144 2" xfId="38578" xr:uid="{00000000-0005-0000-0000-0000FA800000}"/>
    <cellStyle name="Saída 145" xfId="23119" xr:uid="{00000000-0005-0000-0000-0000FB800000}"/>
    <cellStyle name="Saída 145 2" xfId="38579" xr:uid="{00000000-0005-0000-0000-0000FC800000}"/>
    <cellStyle name="Saída 146" xfId="23120" xr:uid="{00000000-0005-0000-0000-0000FD800000}"/>
    <cellStyle name="Saída 146 2" xfId="38580" xr:uid="{00000000-0005-0000-0000-0000FE800000}"/>
    <cellStyle name="Saída 147" xfId="23121" xr:uid="{00000000-0005-0000-0000-0000FF800000}"/>
    <cellStyle name="Saída 147 2" xfId="38581" xr:uid="{00000000-0005-0000-0000-000000810000}"/>
    <cellStyle name="Saída 148" xfId="23122" xr:uid="{00000000-0005-0000-0000-000001810000}"/>
    <cellStyle name="Saída 148 2" xfId="38582" xr:uid="{00000000-0005-0000-0000-000002810000}"/>
    <cellStyle name="Saída 149" xfId="23123" xr:uid="{00000000-0005-0000-0000-000003810000}"/>
    <cellStyle name="Saída 149 2" xfId="38583" xr:uid="{00000000-0005-0000-0000-000004810000}"/>
    <cellStyle name="Saída 15" xfId="23124" xr:uid="{00000000-0005-0000-0000-000005810000}"/>
    <cellStyle name="Saída 15 2" xfId="23125" xr:uid="{00000000-0005-0000-0000-000006810000}"/>
    <cellStyle name="Saída 15 2 2" xfId="38584" xr:uid="{00000000-0005-0000-0000-000007810000}"/>
    <cellStyle name="Saída 15 3" xfId="23126" xr:uid="{00000000-0005-0000-0000-000008810000}"/>
    <cellStyle name="Saída 15 3 2" xfId="38585" xr:uid="{00000000-0005-0000-0000-000009810000}"/>
    <cellStyle name="Saída 15 4" xfId="29259" xr:uid="{00000000-0005-0000-0000-00000A810000}"/>
    <cellStyle name="Saída 15 4 2" xfId="40835" xr:uid="{00000000-0005-0000-0000-00000B810000}"/>
    <cellStyle name="Saída 150" xfId="23127" xr:uid="{00000000-0005-0000-0000-00000C810000}"/>
    <cellStyle name="Saída 150 2" xfId="38586" xr:uid="{00000000-0005-0000-0000-00000D810000}"/>
    <cellStyle name="Saída 151" xfId="23128" xr:uid="{00000000-0005-0000-0000-00000E810000}"/>
    <cellStyle name="Saída 151 2" xfId="38587" xr:uid="{00000000-0005-0000-0000-00000F810000}"/>
    <cellStyle name="Saída 152" xfId="23129" xr:uid="{00000000-0005-0000-0000-000010810000}"/>
    <cellStyle name="Saída 152 2" xfId="38588" xr:uid="{00000000-0005-0000-0000-000011810000}"/>
    <cellStyle name="Saída 153" xfId="23130" xr:uid="{00000000-0005-0000-0000-000012810000}"/>
    <cellStyle name="Saída 153 2" xfId="38589" xr:uid="{00000000-0005-0000-0000-000013810000}"/>
    <cellStyle name="Saída 154" xfId="23131" xr:uid="{00000000-0005-0000-0000-000014810000}"/>
    <cellStyle name="Saída 154 2" xfId="38590" xr:uid="{00000000-0005-0000-0000-000015810000}"/>
    <cellStyle name="Saída 155" xfId="23132" xr:uid="{00000000-0005-0000-0000-000016810000}"/>
    <cellStyle name="Saída 155 2" xfId="38591" xr:uid="{00000000-0005-0000-0000-000017810000}"/>
    <cellStyle name="Saída 156" xfId="23133" xr:uid="{00000000-0005-0000-0000-000018810000}"/>
    <cellStyle name="Saída 156 2" xfId="38592" xr:uid="{00000000-0005-0000-0000-000019810000}"/>
    <cellStyle name="Saída 157" xfId="23134" xr:uid="{00000000-0005-0000-0000-00001A810000}"/>
    <cellStyle name="Saída 157 2" xfId="38593" xr:uid="{00000000-0005-0000-0000-00001B810000}"/>
    <cellStyle name="Saída 158" xfId="23135" xr:uid="{00000000-0005-0000-0000-00001C810000}"/>
    <cellStyle name="Saída 158 2" xfId="38594" xr:uid="{00000000-0005-0000-0000-00001D810000}"/>
    <cellStyle name="Saída 159" xfId="23136" xr:uid="{00000000-0005-0000-0000-00001E810000}"/>
    <cellStyle name="Saída 159 2" xfId="38595" xr:uid="{00000000-0005-0000-0000-00001F810000}"/>
    <cellStyle name="Saída 16" xfId="23137" xr:uid="{00000000-0005-0000-0000-000020810000}"/>
    <cellStyle name="Saída 16 2" xfId="23138" xr:uid="{00000000-0005-0000-0000-000021810000}"/>
    <cellStyle name="Saída 16 2 2" xfId="38596" xr:uid="{00000000-0005-0000-0000-000022810000}"/>
    <cellStyle name="Saída 16 3" xfId="23139" xr:uid="{00000000-0005-0000-0000-000023810000}"/>
    <cellStyle name="Saída 16 3 2" xfId="38597" xr:uid="{00000000-0005-0000-0000-000024810000}"/>
    <cellStyle name="Saída 16 4" xfId="29260" xr:uid="{00000000-0005-0000-0000-000025810000}"/>
    <cellStyle name="Saída 16 4 2" xfId="40836" xr:uid="{00000000-0005-0000-0000-000026810000}"/>
    <cellStyle name="Saída 160" xfId="23140" xr:uid="{00000000-0005-0000-0000-000027810000}"/>
    <cellStyle name="Saída 160 2" xfId="38598" xr:uid="{00000000-0005-0000-0000-000028810000}"/>
    <cellStyle name="Saída 161" xfId="23141" xr:uid="{00000000-0005-0000-0000-000029810000}"/>
    <cellStyle name="Saída 161 2" xfId="38599" xr:uid="{00000000-0005-0000-0000-00002A810000}"/>
    <cellStyle name="Saída 162" xfId="23142" xr:uid="{00000000-0005-0000-0000-00002B810000}"/>
    <cellStyle name="Saída 162 2" xfId="38600" xr:uid="{00000000-0005-0000-0000-00002C810000}"/>
    <cellStyle name="Saída 163" xfId="23143" xr:uid="{00000000-0005-0000-0000-00002D810000}"/>
    <cellStyle name="Saída 163 2" xfId="38601" xr:uid="{00000000-0005-0000-0000-00002E810000}"/>
    <cellStyle name="Saída 164" xfId="23144" xr:uid="{00000000-0005-0000-0000-00002F810000}"/>
    <cellStyle name="Saída 164 2" xfId="38602" xr:uid="{00000000-0005-0000-0000-000030810000}"/>
    <cellStyle name="Saída 165" xfId="23145" xr:uid="{00000000-0005-0000-0000-000031810000}"/>
    <cellStyle name="Saída 165 2" xfId="38603" xr:uid="{00000000-0005-0000-0000-000032810000}"/>
    <cellStyle name="Saída 166" xfId="23146" xr:uid="{00000000-0005-0000-0000-000033810000}"/>
    <cellStyle name="Saída 166 2" xfId="38604" xr:uid="{00000000-0005-0000-0000-000034810000}"/>
    <cellStyle name="Saída 167" xfId="23147" xr:uid="{00000000-0005-0000-0000-000035810000}"/>
    <cellStyle name="Saída 167 2" xfId="38605" xr:uid="{00000000-0005-0000-0000-000036810000}"/>
    <cellStyle name="Saída 168" xfId="23148" xr:uid="{00000000-0005-0000-0000-000037810000}"/>
    <cellStyle name="Saída 168 2" xfId="38606" xr:uid="{00000000-0005-0000-0000-000038810000}"/>
    <cellStyle name="Saída 169" xfId="23149" xr:uid="{00000000-0005-0000-0000-000039810000}"/>
    <cellStyle name="Saída 169 2" xfId="38607" xr:uid="{00000000-0005-0000-0000-00003A810000}"/>
    <cellStyle name="Saída 17" xfId="23150" xr:uid="{00000000-0005-0000-0000-00003B810000}"/>
    <cellStyle name="Saída 17 2" xfId="23151" xr:uid="{00000000-0005-0000-0000-00003C810000}"/>
    <cellStyle name="Saída 17 2 2" xfId="38608" xr:uid="{00000000-0005-0000-0000-00003D810000}"/>
    <cellStyle name="Saída 17 3" xfId="23152" xr:uid="{00000000-0005-0000-0000-00003E810000}"/>
    <cellStyle name="Saída 17 3 2" xfId="38609" xr:uid="{00000000-0005-0000-0000-00003F810000}"/>
    <cellStyle name="Saída 17 4" xfId="29261" xr:uid="{00000000-0005-0000-0000-000040810000}"/>
    <cellStyle name="Saída 17 4 2" xfId="40837" xr:uid="{00000000-0005-0000-0000-000041810000}"/>
    <cellStyle name="Saída 170" xfId="23153" xr:uid="{00000000-0005-0000-0000-000042810000}"/>
    <cellStyle name="Saída 170 2" xfId="38610" xr:uid="{00000000-0005-0000-0000-000043810000}"/>
    <cellStyle name="Saída 171" xfId="23154" xr:uid="{00000000-0005-0000-0000-000044810000}"/>
    <cellStyle name="Saída 171 2" xfId="38611" xr:uid="{00000000-0005-0000-0000-000045810000}"/>
    <cellStyle name="Saída 172" xfId="23155" xr:uid="{00000000-0005-0000-0000-000046810000}"/>
    <cellStyle name="Saída 172 2" xfId="38612" xr:uid="{00000000-0005-0000-0000-000047810000}"/>
    <cellStyle name="Saída 173" xfId="23156" xr:uid="{00000000-0005-0000-0000-000048810000}"/>
    <cellStyle name="Saída 173 2" xfId="38613" xr:uid="{00000000-0005-0000-0000-000049810000}"/>
    <cellStyle name="Saída 174" xfId="23157" xr:uid="{00000000-0005-0000-0000-00004A810000}"/>
    <cellStyle name="Saída 174 2" xfId="38614" xr:uid="{00000000-0005-0000-0000-00004B810000}"/>
    <cellStyle name="Saída 175" xfId="23158" xr:uid="{00000000-0005-0000-0000-00004C810000}"/>
    <cellStyle name="Saída 175 2" xfId="38615" xr:uid="{00000000-0005-0000-0000-00004D810000}"/>
    <cellStyle name="Saída 176" xfId="23159" xr:uid="{00000000-0005-0000-0000-00004E810000}"/>
    <cellStyle name="Saída 176 2" xfId="38616" xr:uid="{00000000-0005-0000-0000-00004F810000}"/>
    <cellStyle name="Saída 177" xfId="23160" xr:uid="{00000000-0005-0000-0000-000050810000}"/>
    <cellStyle name="Saída 177 2" xfId="38617" xr:uid="{00000000-0005-0000-0000-000051810000}"/>
    <cellStyle name="Saída 178" xfId="23161" xr:uid="{00000000-0005-0000-0000-000052810000}"/>
    <cellStyle name="Saída 178 2" xfId="38618" xr:uid="{00000000-0005-0000-0000-000053810000}"/>
    <cellStyle name="Saída 179" xfId="23162" xr:uid="{00000000-0005-0000-0000-000054810000}"/>
    <cellStyle name="Saída 179 2" xfId="38619" xr:uid="{00000000-0005-0000-0000-000055810000}"/>
    <cellStyle name="Saída 18" xfId="23163" xr:uid="{00000000-0005-0000-0000-000056810000}"/>
    <cellStyle name="Saída 18 2" xfId="23164" xr:uid="{00000000-0005-0000-0000-000057810000}"/>
    <cellStyle name="Saída 18 2 2" xfId="38620" xr:uid="{00000000-0005-0000-0000-000058810000}"/>
    <cellStyle name="Saída 18 3" xfId="23165" xr:uid="{00000000-0005-0000-0000-000059810000}"/>
    <cellStyle name="Saída 18 3 2" xfId="38621" xr:uid="{00000000-0005-0000-0000-00005A810000}"/>
    <cellStyle name="Saída 18 4" xfId="29262" xr:uid="{00000000-0005-0000-0000-00005B810000}"/>
    <cellStyle name="Saída 18 4 2" xfId="40838" xr:uid="{00000000-0005-0000-0000-00005C810000}"/>
    <cellStyle name="Saída 180" xfId="23166" xr:uid="{00000000-0005-0000-0000-00005D810000}"/>
    <cellStyle name="Saída 180 2" xfId="38622" xr:uid="{00000000-0005-0000-0000-00005E810000}"/>
    <cellStyle name="Saída 181" xfId="23167" xr:uid="{00000000-0005-0000-0000-00005F810000}"/>
    <cellStyle name="Saída 181 2" xfId="38623" xr:uid="{00000000-0005-0000-0000-000060810000}"/>
    <cellStyle name="Saída 182" xfId="23168" xr:uid="{00000000-0005-0000-0000-000061810000}"/>
    <cellStyle name="Saída 182 2" xfId="38624" xr:uid="{00000000-0005-0000-0000-000062810000}"/>
    <cellStyle name="Saída 183" xfId="23169" xr:uid="{00000000-0005-0000-0000-000063810000}"/>
    <cellStyle name="Saída 183 2" xfId="38625" xr:uid="{00000000-0005-0000-0000-000064810000}"/>
    <cellStyle name="Saída 184" xfId="23170" xr:uid="{00000000-0005-0000-0000-000065810000}"/>
    <cellStyle name="Saída 184 2" xfId="38626" xr:uid="{00000000-0005-0000-0000-000066810000}"/>
    <cellStyle name="Saída 185" xfId="23171" xr:uid="{00000000-0005-0000-0000-000067810000}"/>
    <cellStyle name="Saída 185 2" xfId="38627" xr:uid="{00000000-0005-0000-0000-000068810000}"/>
    <cellStyle name="Saída 186" xfId="23172" xr:uid="{00000000-0005-0000-0000-000069810000}"/>
    <cellStyle name="Saída 186 2" xfId="38628" xr:uid="{00000000-0005-0000-0000-00006A810000}"/>
    <cellStyle name="Saída 187" xfId="23173" xr:uid="{00000000-0005-0000-0000-00006B810000}"/>
    <cellStyle name="Saída 187 2" xfId="38629" xr:uid="{00000000-0005-0000-0000-00006C810000}"/>
    <cellStyle name="Saída 188" xfId="23174" xr:uid="{00000000-0005-0000-0000-00006D810000}"/>
    <cellStyle name="Saída 188 2" xfId="38630" xr:uid="{00000000-0005-0000-0000-00006E810000}"/>
    <cellStyle name="Saída 189" xfId="23175" xr:uid="{00000000-0005-0000-0000-00006F810000}"/>
    <cellStyle name="Saída 189 2" xfId="38631" xr:uid="{00000000-0005-0000-0000-000070810000}"/>
    <cellStyle name="Saída 19" xfId="23176" xr:uid="{00000000-0005-0000-0000-000071810000}"/>
    <cellStyle name="Saída 19 2" xfId="23177" xr:uid="{00000000-0005-0000-0000-000072810000}"/>
    <cellStyle name="Saída 19 2 2" xfId="38632" xr:uid="{00000000-0005-0000-0000-000073810000}"/>
    <cellStyle name="Saída 19 3" xfId="23178" xr:uid="{00000000-0005-0000-0000-000074810000}"/>
    <cellStyle name="Saída 19 3 2" xfId="38633" xr:uid="{00000000-0005-0000-0000-000075810000}"/>
    <cellStyle name="Saída 19 4" xfId="29263" xr:uid="{00000000-0005-0000-0000-000076810000}"/>
    <cellStyle name="Saída 19 4 2" xfId="40839" xr:uid="{00000000-0005-0000-0000-000077810000}"/>
    <cellStyle name="Saída 190" xfId="23179" xr:uid="{00000000-0005-0000-0000-000078810000}"/>
    <cellStyle name="Saída 190 2" xfId="38634" xr:uid="{00000000-0005-0000-0000-000079810000}"/>
    <cellStyle name="Saída 191" xfId="40452" xr:uid="{00000000-0005-0000-0000-00007A810000}"/>
    <cellStyle name="Saída 2" xfId="23180" xr:uid="{00000000-0005-0000-0000-00007B810000}"/>
    <cellStyle name="Saída 2 10" xfId="23181" xr:uid="{00000000-0005-0000-0000-00007C810000}"/>
    <cellStyle name="Saída 2 10 2" xfId="23182" xr:uid="{00000000-0005-0000-0000-00007D810000}"/>
    <cellStyle name="Saída 2 10 2 2" xfId="38636" xr:uid="{00000000-0005-0000-0000-00007E810000}"/>
    <cellStyle name="Saída 2 10 3" xfId="23183" xr:uid="{00000000-0005-0000-0000-00007F810000}"/>
    <cellStyle name="Saída 2 10 3 2" xfId="38637" xr:uid="{00000000-0005-0000-0000-000080810000}"/>
    <cellStyle name="Saída 2 10 4" xfId="23184" xr:uid="{00000000-0005-0000-0000-000081810000}"/>
    <cellStyle name="Saída 2 10 4 2" xfId="38638" xr:uid="{00000000-0005-0000-0000-000082810000}"/>
    <cellStyle name="Saída 2 10 5" xfId="23185" xr:uid="{00000000-0005-0000-0000-000083810000}"/>
    <cellStyle name="Saída 2 10 5 2" xfId="38639" xr:uid="{00000000-0005-0000-0000-000084810000}"/>
    <cellStyle name="Saída 2 10 6" xfId="23186" xr:uid="{00000000-0005-0000-0000-000085810000}"/>
    <cellStyle name="Saída 2 10 6 2" xfId="38640" xr:uid="{00000000-0005-0000-0000-000086810000}"/>
    <cellStyle name="Saída 2 10 7" xfId="23187" xr:uid="{00000000-0005-0000-0000-000087810000}"/>
    <cellStyle name="Saída 2 10 7 2" xfId="38641" xr:uid="{00000000-0005-0000-0000-000088810000}"/>
    <cellStyle name="Saída 2 10 8" xfId="38635" xr:uid="{00000000-0005-0000-0000-000089810000}"/>
    <cellStyle name="Saída 2 11" xfId="23188" xr:uid="{00000000-0005-0000-0000-00008A810000}"/>
    <cellStyle name="Saída 2 11 2" xfId="23189" xr:uid="{00000000-0005-0000-0000-00008B810000}"/>
    <cellStyle name="Saída 2 11 2 2" xfId="38643" xr:uid="{00000000-0005-0000-0000-00008C810000}"/>
    <cellStyle name="Saída 2 11 3" xfId="23190" xr:uid="{00000000-0005-0000-0000-00008D810000}"/>
    <cellStyle name="Saída 2 11 3 2" xfId="38644" xr:uid="{00000000-0005-0000-0000-00008E810000}"/>
    <cellStyle name="Saída 2 11 4" xfId="23191" xr:uid="{00000000-0005-0000-0000-00008F810000}"/>
    <cellStyle name="Saída 2 11 4 2" xfId="38645" xr:uid="{00000000-0005-0000-0000-000090810000}"/>
    <cellStyle name="Saída 2 11 5" xfId="23192" xr:uid="{00000000-0005-0000-0000-000091810000}"/>
    <cellStyle name="Saída 2 11 5 2" xfId="38646" xr:uid="{00000000-0005-0000-0000-000092810000}"/>
    <cellStyle name="Saída 2 11 6" xfId="23193" xr:uid="{00000000-0005-0000-0000-000093810000}"/>
    <cellStyle name="Saída 2 11 6 2" xfId="38647" xr:uid="{00000000-0005-0000-0000-000094810000}"/>
    <cellStyle name="Saída 2 11 7" xfId="23194" xr:uid="{00000000-0005-0000-0000-000095810000}"/>
    <cellStyle name="Saída 2 11 7 2" xfId="38648" xr:uid="{00000000-0005-0000-0000-000096810000}"/>
    <cellStyle name="Saída 2 11 8" xfId="38642" xr:uid="{00000000-0005-0000-0000-000097810000}"/>
    <cellStyle name="Saída 2 12" xfId="23195" xr:uid="{00000000-0005-0000-0000-000098810000}"/>
    <cellStyle name="Saída 2 12 2" xfId="38649" xr:uid="{00000000-0005-0000-0000-000099810000}"/>
    <cellStyle name="Saída 2 13" xfId="23196" xr:uid="{00000000-0005-0000-0000-00009A810000}"/>
    <cellStyle name="Saída 2 13 2" xfId="38650" xr:uid="{00000000-0005-0000-0000-00009B810000}"/>
    <cellStyle name="Saída 2 14" xfId="23197" xr:uid="{00000000-0005-0000-0000-00009C810000}"/>
    <cellStyle name="Saída 2 14 2" xfId="38651" xr:uid="{00000000-0005-0000-0000-00009D810000}"/>
    <cellStyle name="Saída 2 15" xfId="23198" xr:uid="{00000000-0005-0000-0000-00009E810000}"/>
    <cellStyle name="Saída 2 15 2" xfId="38652" xr:uid="{00000000-0005-0000-0000-00009F810000}"/>
    <cellStyle name="Saída 2 16" xfId="23199" xr:uid="{00000000-0005-0000-0000-0000A0810000}"/>
    <cellStyle name="Saída 2 16 2" xfId="38653" xr:uid="{00000000-0005-0000-0000-0000A1810000}"/>
    <cellStyle name="Saída 2 17" xfId="23200" xr:uid="{00000000-0005-0000-0000-0000A2810000}"/>
    <cellStyle name="Saída 2 17 2" xfId="38654" xr:uid="{00000000-0005-0000-0000-0000A3810000}"/>
    <cellStyle name="Saída 2 18" xfId="23201" xr:uid="{00000000-0005-0000-0000-0000A4810000}"/>
    <cellStyle name="Saída 2 18 2" xfId="38655" xr:uid="{00000000-0005-0000-0000-0000A5810000}"/>
    <cellStyle name="Saída 2 19" xfId="23202" xr:uid="{00000000-0005-0000-0000-0000A6810000}"/>
    <cellStyle name="Saída 2 19 2" xfId="38656" xr:uid="{00000000-0005-0000-0000-0000A7810000}"/>
    <cellStyle name="Saída 2 2" xfId="23203" xr:uid="{00000000-0005-0000-0000-0000A8810000}"/>
    <cellStyle name="Saída 2 2 2" xfId="29264" xr:uid="{00000000-0005-0000-0000-0000A9810000}"/>
    <cellStyle name="Saída 2 2 2 2" xfId="40840" xr:uid="{00000000-0005-0000-0000-0000AA810000}"/>
    <cellStyle name="Saída 2 20" xfId="23204" xr:uid="{00000000-0005-0000-0000-0000AB810000}"/>
    <cellStyle name="Saída 2 20 2" xfId="38657" xr:uid="{00000000-0005-0000-0000-0000AC810000}"/>
    <cellStyle name="Saída 2 21" xfId="23205" xr:uid="{00000000-0005-0000-0000-0000AD810000}"/>
    <cellStyle name="Saída 2 21 2" xfId="38658" xr:uid="{00000000-0005-0000-0000-0000AE810000}"/>
    <cellStyle name="Saída 2 22" xfId="23206" xr:uid="{00000000-0005-0000-0000-0000AF810000}"/>
    <cellStyle name="Saída 2 22 2" xfId="38659" xr:uid="{00000000-0005-0000-0000-0000B0810000}"/>
    <cellStyle name="Saída 2 23" xfId="23207" xr:uid="{00000000-0005-0000-0000-0000B1810000}"/>
    <cellStyle name="Saída 2 23 2" xfId="38660" xr:uid="{00000000-0005-0000-0000-0000B2810000}"/>
    <cellStyle name="Saída 2 24" xfId="23208" xr:uid="{00000000-0005-0000-0000-0000B3810000}"/>
    <cellStyle name="Saída 2 24 2" xfId="38661" xr:uid="{00000000-0005-0000-0000-0000B4810000}"/>
    <cellStyle name="Saída 2 25" xfId="23209" xr:uid="{00000000-0005-0000-0000-0000B5810000}"/>
    <cellStyle name="Saída 2 25 2" xfId="38662" xr:uid="{00000000-0005-0000-0000-0000B6810000}"/>
    <cellStyle name="Saída 2 26" xfId="23210" xr:uid="{00000000-0005-0000-0000-0000B7810000}"/>
    <cellStyle name="Saída 2 26 2" xfId="38663" xr:uid="{00000000-0005-0000-0000-0000B8810000}"/>
    <cellStyle name="Saída 2 27" xfId="23211" xr:uid="{00000000-0005-0000-0000-0000B9810000}"/>
    <cellStyle name="Saída 2 27 2" xfId="38664" xr:uid="{00000000-0005-0000-0000-0000BA810000}"/>
    <cellStyle name="Saída 2 28" xfId="23212" xr:uid="{00000000-0005-0000-0000-0000BB810000}"/>
    <cellStyle name="Saída 2 28 2" xfId="38665" xr:uid="{00000000-0005-0000-0000-0000BC810000}"/>
    <cellStyle name="Saída 2 29" xfId="23213" xr:uid="{00000000-0005-0000-0000-0000BD810000}"/>
    <cellStyle name="Saída 2 29 2" xfId="38666" xr:uid="{00000000-0005-0000-0000-0000BE810000}"/>
    <cellStyle name="Saída 2 3" xfId="23214" xr:uid="{00000000-0005-0000-0000-0000BF810000}"/>
    <cellStyle name="Saída 2 3 2" xfId="29265" xr:uid="{00000000-0005-0000-0000-0000C0810000}"/>
    <cellStyle name="Saída 2 3 2 2" xfId="40841" xr:uid="{00000000-0005-0000-0000-0000C1810000}"/>
    <cellStyle name="Saída 2 30" xfId="23215" xr:uid="{00000000-0005-0000-0000-0000C2810000}"/>
    <cellStyle name="Saída 2 30 2" xfId="38667" xr:uid="{00000000-0005-0000-0000-0000C3810000}"/>
    <cellStyle name="Saída 2 31" xfId="23216" xr:uid="{00000000-0005-0000-0000-0000C4810000}"/>
    <cellStyle name="Saída 2 31 2" xfId="38668" xr:uid="{00000000-0005-0000-0000-0000C5810000}"/>
    <cellStyle name="Saída 2 32" xfId="23217" xr:uid="{00000000-0005-0000-0000-0000C6810000}"/>
    <cellStyle name="Saída 2 32 2" xfId="38669" xr:uid="{00000000-0005-0000-0000-0000C7810000}"/>
    <cellStyle name="Saída 2 33" xfId="23218" xr:uid="{00000000-0005-0000-0000-0000C8810000}"/>
    <cellStyle name="Saída 2 33 2" xfId="38670" xr:uid="{00000000-0005-0000-0000-0000C9810000}"/>
    <cellStyle name="Saída 2 34" xfId="23219" xr:uid="{00000000-0005-0000-0000-0000CA810000}"/>
    <cellStyle name="Saída 2 34 2" xfId="38671" xr:uid="{00000000-0005-0000-0000-0000CB810000}"/>
    <cellStyle name="Saída 2 35" xfId="23220" xr:uid="{00000000-0005-0000-0000-0000CC810000}"/>
    <cellStyle name="Saída 2 35 2" xfId="38672" xr:uid="{00000000-0005-0000-0000-0000CD810000}"/>
    <cellStyle name="Saída 2 36" xfId="29376" xr:uid="{00000000-0005-0000-0000-0000CE810000}"/>
    <cellStyle name="Saída 2 36 2" xfId="40456" xr:uid="{00000000-0005-0000-0000-0000CF810000}"/>
    <cellStyle name="Saída 2 4" xfId="23221" xr:uid="{00000000-0005-0000-0000-0000D0810000}"/>
    <cellStyle name="Saída 2 4 2" xfId="29266" xr:uid="{00000000-0005-0000-0000-0000D1810000}"/>
    <cellStyle name="Saída 2 4 2 2" xfId="40842" xr:uid="{00000000-0005-0000-0000-0000D2810000}"/>
    <cellStyle name="Saída 2 5" xfId="23222" xr:uid="{00000000-0005-0000-0000-0000D3810000}"/>
    <cellStyle name="Saída 2 5 2" xfId="29267" xr:uid="{00000000-0005-0000-0000-0000D4810000}"/>
    <cellStyle name="Saída 2 5 2 2" xfId="40843" xr:uid="{00000000-0005-0000-0000-0000D5810000}"/>
    <cellStyle name="Saída 2 6" xfId="23223" xr:uid="{00000000-0005-0000-0000-0000D6810000}"/>
    <cellStyle name="Saída 2 6 2" xfId="29268" xr:uid="{00000000-0005-0000-0000-0000D7810000}"/>
    <cellStyle name="Saída 2 6 2 2" xfId="40844" xr:uid="{00000000-0005-0000-0000-0000D8810000}"/>
    <cellStyle name="Saída 2 7" xfId="23224" xr:uid="{00000000-0005-0000-0000-0000D9810000}"/>
    <cellStyle name="Saída 2 7 2" xfId="29269" xr:uid="{00000000-0005-0000-0000-0000DA810000}"/>
    <cellStyle name="Saída 2 7 2 2" xfId="40845" xr:uid="{00000000-0005-0000-0000-0000DB810000}"/>
    <cellStyle name="Saída 2 8" xfId="23225" xr:uid="{00000000-0005-0000-0000-0000DC810000}"/>
    <cellStyle name="Saída 2 8 2" xfId="23226" xr:uid="{00000000-0005-0000-0000-0000DD810000}"/>
    <cellStyle name="Saída 2 8 2 2" xfId="38674" xr:uid="{00000000-0005-0000-0000-0000DE810000}"/>
    <cellStyle name="Saída 2 8 3" xfId="23227" xr:uid="{00000000-0005-0000-0000-0000DF810000}"/>
    <cellStyle name="Saída 2 8 3 2" xfId="38675" xr:uid="{00000000-0005-0000-0000-0000E0810000}"/>
    <cellStyle name="Saída 2 8 4" xfId="23228" xr:uid="{00000000-0005-0000-0000-0000E1810000}"/>
    <cellStyle name="Saída 2 8 4 2" xfId="38676" xr:uid="{00000000-0005-0000-0000-0000E2810000}"/>
    <cellStyle name="Saída 2 8 5" xfId="23229" xr:uid="{00000000-0005-0000-0000-0000E3810000}"/>
    <cellStyle name="Saída 2 8 5 2" xfId="38677" xr:uid="{00000000-0005-0000-0000-0000E4810000}"/>
    <cellStyle name="Saída 2 8 6" xfId="23230" xr:uid="{00000000-0005-0000-0000-0000E5810000}"/>
    <cellStyle name="Saída 2 8 6 2" xfId="38678" xr:uid="{00000000-0005-0000-0000-0000E6810000}"/>
    <cellStyle name="Saída 2 8 7" xfId="23231" xr:uid="{00000000-0005-0000-0000-0000E7810000}"/>
    <cellStyle name="Saída 2 8 7 2" xfId="38679" xr:uid="{00000000-0005-0000-0000-0000E8810000}"/>
    <cellStyle name="Saída 2 8 8" xfId="41042" xr:uid="{00000000-0005-0000-0000-0000E9810000}"/>
    <cellStyle name="Saída 2 8 9" xfId="38673" xr:uid="{00000000-0005-0000-0000-0000EA810000}"/>
    <cellStyle name="Saída 2 9" xfId="23232" xr:uid="{00000000-0005-0000-0000-0000EB810000}"/>
    <cellStyle name="Saída 2 9 2" xfId="23233" xr:uid="{00000000-0005-0000-0000-0000EC810000}"/>
    <cellStyle name="Saída 2 9 2 2" xfId="38681" xr:uid="{00000000-0005-0000-0000-0000ED810000}"/>
    <cellStyle name="Saída 2 9 3" xfId="23234" xr:uid="{00000000-0005-0000-0000-0000EE810000}"/>
    <cellStyle name="Saída 2 9 3 2" xfId="38682" xr:uid="{00000000-0005-0000-0000-0000EF810000}"/>
    <cellStyle name="Saída 2 9 4" xfId="23235" xr:uid="{00000000-0005-0000-0000-0000F0810000}"/>
    <cellStyle name="Saída 2 9 4 2" xfId="38683" xr:uid="{00000000-0005-0000-0000-0000F1810000}"/>
    <cellStyle name="Saída 2 9 5" xfId="23236" xr:uid="{00000000-0005-0000-0000-0000F2810000}"/>
    <cellStyle name="Saída 2 9 5 2" xfId="38684" xr:uid="{00000000-0005-0000-0000-0000F3810000}"/>
    <cellStyle name="Saída 2 9 6" xfId="23237" xr:uid="{00000000-0005-0000-0000-0000F4810000}"/>
    <cellStyle name="Saída 2 9 6 2" xfId="38685" xr:uid="{00000000-0005-0000-0000-0000F5810000}"/>
    <cellStyle name="Saída 2 9 7" xfId="23238" xr:uid="{00000000-0005-0000-0000-0000F6810000}"/>
    <cellStyle name="Saída 2 9 7 2" xfId="38686" xr:uid="{00000000-0005-0000-0000-0000F7810000}"/>
    <cellStyle name="Saída 2 9 8" xfId="38680" xr:uid="{00000000-0005-0000-0000-0000F8810000}"/>
    <cellStyle name="Saída 20" xfId="23239" xr:uid="{00000000-0005-0000-0000-0000F9810000}"/>
    <cellStyle name="Saída 20 2" xfId="23240" xr:uid="{00000000-0005-0000-0000-0000FA810000}"/>
    <cellStyle name="Saída 20 2 2" xfId="38687" xr:uid="{00000000-0005-0000-0000-0000FB810000}"/>
    <cellStyle name="Saída 20 3" xfId="23241" xr:uid="{00000000-0005-0000-0000-0000FC810000}"/>
    <cellStyle name="Saída 20 3 2" xfId="38688" xr:uid="{00000000-0005-0000-0000-0000FD810000}"/>
    <cellStyle name="Saída 20 4" xfId="29270" xr:uid="{00000000-0005-0000-0000-0000FE810000}"/>
    <cellStyle name="Saída 20 4 2" xfId="40846" xr:uid="{00000000-0005-0000-0000-0000FF810000}"/>
    <cellStyle name="Saída 21" xfId="23242" xr:uid="{00000000-0005-0000-0000-000000820000}"/>
    <cellStyle name="Saída 21 2" xfId="29271" xr:uid="{00000000-0005-0000-0000-000001820000}"/>
    <cellStyle name="Saída 21 2 2" xfId="40847" xr:uid="{00000000-0005-0000-0000-000002820000}"/>
    <cellStyle name="Saída 22" xfId="23243" xr:uid="{00000000-0005-0000-0000-000003820000}"/>
    <cellStyle name="Saída 22 2" xfId="29272" xr:uid="{00000000-0005-0000-0000-000004820000}"/>
    <cellStyle name="Saída 22 2 2" xfId="40848" xr:uid="{00000000-0005-0000-0000-000005820000}"/>
    <cellStyle name="Saída 23" xfId="23244" xr:uid="{00000000-0005-0000-0000-000006820000}"/>
    <cellStyle name="Saída 23 2" xfId="29273" xr:uid="{00000000-0005-0000-0000-000007820000}"/>
    <cellStyle name="Saída 23 2 2" xfId="40849" xr:uid="{00000000-0005-0000-0000-000008820000}"/>
    <cellStyle name="Saída 24" xfId="23245" xr:uid="{00000000-0005-0000-0000-000009820000}"/>
    <cellStyle name="Saída 24 2" xfId="29274" xr:uid="{00000000-0005-0000-0000-00000A820000}"/>
    <cellStyle name="Saída 24 2 2" xfId="40957" xr:uid="{00000000-0005-0000-0000-00000B820000}"/>
    <cellStyle name="Saída 25" xfId="23246" xr:uid="{00000000-0005-0000-0000-00000C820000}"/>
    <cellStyle name="Saída 25 2" xfId="29275" xr:uid="{00000000-0005-0000-0000-00000D820000}"/>
    <cellStyle name="Saída 25 2 2" xfId="40992" xr:uid="{00000000-0005-0000-0000-00000E820000}"/>
    <cellStyle name="Saída 26" xfId="23247" xr:uid="{00000000-0005-0000-0000-00000F820000}"/>
    <cellStyle name="Saída 26 10" xfId="23248" xr:uid="{00000000-0005-0000-0000-000010820000}"/>
    <cellStyle name="Saída 26 10 2" xfId="38690" xr:uid="{00000000-0005-0000-0000-000011820000}"/>
    <cellStyle name="Saída 26 11" xfId="23249" xr:uid="{00000000-0005-0000-0000-000012820000}"/>
    <cellStyle name="Saída 26 11 2" xfId="38691" xr:uid="{00000000-0005-0000-0000-000013820000}"/>
    <cellStyle name="Saída 26 12" xfId="23250" xr:uid="{00000000-0005-0000-0000-000014820000}"/>
    <cellStyle name="Saída 26 12 2" xfId="38692" xr:uid="{00000000-0005-0000-0000-000015820000}"/>
    <cellStyle name="Saída 26 13" xfId="23251" xr:uid="{00000000-0005-0000-0000-000016820000}"/>
    <cellStyle name="Saída 26 13 2" xfId="38693" xr:uid="{00000000-0005-0000-0000-000017820000}"/>
    <cellStyle name="Saída 26 14" xfId="23252" xr:uid="{00000000-0005-0000-0000-000018820000}"/>
    <cellStyle name="Saída 26 14 2" xfId="38694" xr:uid="{00000000-0005-0000-0000-000019820000}"/>
    <cellStyle name="Saída 26 15" xfId="23253" xr:uid="{00000000-0005-0000-0000-00001A820000}"/>
    <cellStyle name="Saída 26 15 2" xfId="38695" xr:uid="{00000000-0005-0000-0000-00001B820000}"/>
    <cellStyle name="Saída 26 16" xfId="23254" xr:uid="{00000000-0005-0000-0000-00001C820000}"/>
    <cellStyle name="Saída 26 16 2" xfId="38696" xr:uid="{00000000-0005-0000-0000-00001D820000}"/>
    <cellStyle name="Saída 26 17" xfId="41002" xr:uid="{00000000-0005-0000-0000-00001E820000}"/>
    <cellStyle name="Saída 26 18" xfId="38689" xr:uid="{00000000-0005-0000-0000-00001F820000}"/>
    <cellStyle name="Saída 26 2" xfId="23255" xr:uid="{00000000-0005-0000-0000-000020820000}"/>
    <cellStyle name="Saída 26 2 2" xfId="38697" xr:uid="{00000000-0005-0000-0000-000021820000}"/>
    <cellStyle name="Saída 26 3" xfId="23256" xr:uid="{00000000-0005-0000-0000-000022820000}"/>
    <cellStyle name="Saída 26 3 2" xfId="38698" xr:uid="{00000000-0005-0000-0000-000023820000}"/>
    <cellStyle name="Saída 26 4" xfId="23257" xr:uid="{00000000-0005-0000-0000-000024820000}"/>
    <cellStyle name="Saída 26 4 2" xfId="38699" xr:uid="{00000000-0005-0000-0000-000025820000}"/>
    <cellStyle name="Saída 26 5" xfId="23258" xr:uid="{00000000-0005-0000-0000-000026820000}"/>
    <cellStyle name="Saída 26 5 2" xfId="38700" xr:uid="{00000000-0005-0000-0000-000027820000}"/>
    <cellStyle name="Saída 26 6" xfId="23259" xr:uid="{00000000-0005-0000-0000-000028820000}"/>
    <cellStyle name="Saída 26 6 2" xfId="38701" xr:uid="{00000000-0005-0000-0000-000029820000}"/>
    <cellStyle name="Saída 26 7" xfId="23260" xr:uid="{00000000-0005-0000-0000-00002A820000}"/>
    <cellStyle name="Saída 26 7 2" xfId="38702" xr:uid="{00000000-0005-0000-0000-00002B820000}"/>
    <cellStyle name="Saída 26 8" xfId="23261" xr:uid="{00000000-0005-0000-0000-00002C820000}"/>
    <cellStyle name="Saída 26 8 2" xfId="38703" xr:uid="{00000000-0005-0000-0000-00002D820000}"/>
    <cellStyle name="Saída 26 9" xfId="23262" xr:uid="{00000000-0005-0000-0000-00002E820000}"/>
    <cellStyle name="Saída 26 9 2" xfId="38704" xr:uid="{00000000-0005-0000-0000-00002F820000}"/>
    <cellStyle name="Saída 27" xfId="23263" xr:uid="{00000000-0005-0000-0000-000030820000}"/>
    <cellStyle name="Saída 27 10" xfId="23264" xr:uid="{00000000-0005-0000-0000-000031820000}"/>
    <cellStyle name="Saída 27 10 2" xfId="38706" xr:uid="{00000000-0005-0000-0000-000032820000}"/>
    <cellStyle name="Saída 27 11" xfId="23265" xr:uid="{00000000-0005-0000-0000-000033820000}"/>
    <cellStyle name="Saída 27 11 2" xfId="38707" xr:uid="{00000000-0005-0000-0000-000034820000}"/>
    <cellStyle name="Saída 27 12" xfId="23266" xr:uid="{00000000-0005-0000-0000-000035820000}"/>
    <cellStyle name="Saída 27 12 2" xfId="38708" xr:uid="{00000000-0005-0000-0000-000036820000}"/>
    <cellStyle name="Saída 27 13" xfId="23267" xr:uid="{00000000-0005-0000-0000-000037820000}"/>
    <cellStyle name="Saída 27 13 2" xfId="38709" xr:uid="{00000000-0005-0000-0000-000038820000}"/>
    <cellStyle name="Saída 27 14" xfId="23268" xr:uid="{00000000-0005-0000-0000-000039820000}"/>
    <cellStyle name="Saída 27 14 2" xfId="38710" xr:uid="{00000000-0005-0000-0000-00003A820000}"/>
    <cellStyle name="Saída 27 15" xfId="23269" xr:uid="{00000000-0005-0000-0000-00003B820000}"/>
    <cellStyle name="Saída 27 15 2" xfId="38711" xr:uid="{00000000-0005-0000-0000-00003C820000}"/>
    <cellStyle name="Saída 27 16" xfId="23270" xr:uid="{00000000-0005-0000-0000-00003D820000}"/>
    <cellStyle name="Saída 27 16 2" xfId="38712" xr:uid="{00000000-0005-0000-0000-00003E820000}"/>
    <cellStyle name="Saída 27 17" xfId="38705" xr:uid="{00000000-0005-0000-0000-00003F820000}"/>
    <cellStyle name="Saída 27 2" xfId="23271" xr:uid="{00000000-0005-0000-0000-000040820000}"/>
    <cellStyle name="Saída 27 2 2" xfId="38713" xr:uid="{00000000-0005-0000-0000-000041820000}"/>
    <cellStyle name="Saída 27 3" xfId="23272" xr:uid="{00000000-0005-0000-0000-000042820000}"/>
    <cellStyle name="Saída 27 3 2" xfId="38714" xr:uid="{00000000-0005-0000-0000-000043820000}"/>
    <cellStyle name="Saída 27 4" xfId="23273" xr:uid="{00000000-0005-0000-0000-000044820000}"/>
    <cellStyle name="Saída 27 4 2" xfId="38715" xr:uid="{00000000-0005-0000-0000-000045820000}"/>
    <cellStyle name="Saída 27 5" xfId="23274" xr:uid="{00000000-0005-0000-0000-000046820000}"/>
    <cellStyle name="Saída 27 5 2" xfId="38716" xr:uid="{00000000-0005-0000-0000-000047820000}"/>
    <cellStyle name="Saída 27 6" xfId="23275" xr:uid="{00000000-0005-0000-0000-000048820000}"/>
    <cellStyle name="Saída 27 6 2" xfId="38717" xr:uid="{00000000-0005-0000-0000-000049820000}"/>
    <cellStyle name="Saída 27 7" xfId="23276" xr:uid="{00000000-0005-0000-0000-00004A820000}"/>
    <cellStyle name="Saída 27 7 2" xfId="38718" xr:uid="{00000000-0005-0000-0000-00004B820000}"/>
    <cellStyle name="Saída 27 8" xfId="23277" xr:uid="{00000000-0005-0000-0000-00004C820000}"/>
    <cellStyle name="Saída 27 8 2" xfId="38719" xr:uid="{00000000-0005-0000-0000-00004D820000}"/>
    <cellStyle name="Saída 27 9" xfId="23278" xr:uid="{00000000-0005-0000-0000-00004E820000}"/>
    <cellStyle name="Saída 27 9 2" xfId="38720" xr:uid="{00000000-0005-0000-0000-00004F820000}"/>
    <cellStyle name="Saída 28" xfId="23279" xr:uid="{00000000-0005-0000-0000-000050820000}"/>
    <cellStyle name="Saída 28 10" xfId="23280" xr:uid="{00000000-0005-0000-0000-000051820000}"/>
    <cellStyle name="Saída 28 10 2" xfId="38722" xr:uid="{00000000-0005-0000-0000-000052820000}"/>
    <cellStyle name="Saída 28 11" xfId="23281" xr:uid="{00000000-0005-0000-0000-000053820000}"/>
    <cellStyle name="Saída 28 11 2" xfId="38723" xr:uid="{00000000-0005-0000-0000-000054820000}"/>
    <cellStyle name="Saída 28 12" xfId="23282" xr:uid="{00000000-0005-0000-0000-000055820000}"/>
    <cellStyle name="Saída 28 12 2" xfId="38724" xr:uid="{00000000-0005-0000-0000-000056820000}"/>
    <cellStyle name="Saída 28 13" xfId="23283" xr:uid="{00000000-0005-0000-0000-000057820000}"/>
    <cellStyle name="Saída 28 13 2" xfId="38725" xr:uid="{00000000-0005-0000-0000-000058820000}"/>
    <cellStyle name="Saída 28 14" xfId="23284" xr:uid="{00000000-0005-0000-0000-000059820000}"/>
    <cellStyle name="Saída 28 14 2" xfId="38726" xr:uid="{00000000-0005-0000-0000-00005A820000}"/>
    <cellStyle name="Saída 28 15" xfId="23285" xr:uid="{00000000-0005-0000-0000-00005B820000}"/>
    <cellStyle name="Saída 28 15 2" xfId="38727" xr:uid="{00000000-0005-0000-0000-00005C820000}"/>
    <cellStyle name="Saída 28 16" xfId="23286" xr:uid="{00000000-0005-0000-0000-00005D820000}"/>
    <cellStyle name="Saída 28 16 2" xfId="38728" xr:uid="{00000000-0005-0000-0000-00005E820000}"/>
    <cellStyle name="Saída 28 17" xfId="38721" xr:uid="{00000000-0005-0000-0000-00005F820000}"/>
    <cellStyle name="Saída 28 2" xfId="23287" xr:uid="{00000000-0005-0000-0000-000060820000}"/>
    <cellStyle name="Saída 28 2 2" xfId="38729" xr:uid="{00000000-0005-0000-0000-000061820000}"/>
    <cellStyle name="Saída 28 3" xfId="23288" xr:uid="{00000000-0005-0000-0000-000062820000}"/>
    <cellStyle name="Saída 28 3 2" xfId="38730" xr:uid="{00000000-0005-0000-0000-000063820000}"/>
    <cellStyle name="Saída 28 4" xfId="23289" xr:uid="{00000000-0005-0000-0000-000064820000}"/>
    <cellStyle name="Saída 28 4 2" xfId="38731" xr:uid="{00000000-0005-0000-0000-000065820000}"/>
    <cellStyle name="Saída 28 5" xfId="23290" xr:uid="{00000000-0005-0000-0000-000066820000}"/>
    <cellStyle name="Saída 28 5 2" xfId="38732" xr:uid="{00000000-0005-0000-0000-000067820000}"/>
    <cellStyle name="Saída 28 6" xfId="23291" xr:uid="{00000000-0005-0000-0000-000068820000}"/>
    <cellStyle name="Saída 28 6 2" xfId="38733" xr:uid="{00000000-0005-0000-0000-000069820000}"/>
    <cellStyle name="Saída 28 7" xfId="23292" xr:uid="{00000000-0005-0000-0000-00006A820000}"/>
    <cellStyle name="Saída 28 7 2" xfId="38734" xr:uid="{00000000-0005-0000-0000-00006B820000}"/>
    <cellStyle name="Saída 28 8" xfId="23293" xr:uid="{00000000-0005-0000-0000-00006C820000}"/>
    <cellStyle name="Saída 28 8 2" xfId="38735" xr:uid="{00000000-0005-0000-0000-00006D820000}"/>
    <cellStyle name="Saída 28 9" xfId="23294" xr:uid="{00000000-0005-0000-0000-00006E820000}"/>
    <cellStyle name="Saída 28 9 2" xfId="38736" xr:uid="{00000000-0005-0000-0000-00006F820000}"/>
    <cellStyle name="Saída 29" xfId="23295" xr:uid="{00000000-0005-0000-0000-000070820000}"/>
    <cellStyle name="Saída 29 10" xfId="23296" xr:uid="{00000000-0005-0000-0000-000071820000}"/>
    <cellStyle name="Saída 29 10 2" xfId="38738" xr:uid="{00000000-0005-0000-0000-000072820000}"/>
    <cellStyle name="Saída 29 11" xfId="23297" xr:uid="{00000000-0005-0000-0000-000073820000}"/>
    <cellStyle name="Saída 29 11 2" xfId="38739" xr:uid="{00000000-0005-0000-0000-000074820000}"/>
    <cellStyle name="Saída 29 12" xfId="23298" xr:uid="{00000000-0005-0000-0000-000075820000}"/>
    <cellStyle name="Saída 29 12 2" xfId="38740" xr:uid="{00000000-0005-0000-0000-000076820000}"/>
    <cellStyle name="Saída 29 13" xfId="23299" xr:uid="{00000000-0005-0000-0000-000077820000}"/>
    <cellStyle name="Saída 29 13 2" xfId="38741" xr:uid="{00000000-0005-0000-0000-000078820000}"/>
    <cellStyle name="Saída 29 14" xfId="23300" xr:uid="{00000000-0005-0000-0000-000079820000}"/>
    <cellStyle name="Saída 29 14 2" xfId="38742" xr:uid="{00000000-0005-0000-0000-00007A820000}"/>
    <cellStyle name="Saída 29 15" xfId="23301" xr:uid="{00000000-0005-0000-0000-00007B820000}"/>
    <cellStyle name="Saída 29 15 2" xfId="38743" xr:uid="{00000000-0005-0000-0000-00007C820000}"/>
    <cellStyle name="Saída 29 16" xfId="23302" xr:uid="{00000000-0005-0000-0000-00007D820000}"/>
    <cellStyle name="Saída 29 16 2" xfId="38744" xr:uid="{00000000-0005-0000-0000-00007E820000}"/>
    <cellStyle name="Saída 29 17" xfId="38737" xr:uid="{00000000-0005-0000-0000-00007F820000}"/>
    <cellStyle name="Saída 29 2" xfId="23303" xr:uid="{00000000-0005-0000-0000-000080820000}"/>
    <cellStyle name="Saída 29 2 2" xfId="38745" xr:uid="{00000000-0005-0000-0000-000081820000}"/>
    <cellStyle name="Saída 29 3" xfId="23304" xr:uid="{00000000-0005-0000-0000-000082820000}"/>
    <cellStyle name="Saída 29 3 2" xfId="38746" xr:uid="{00000000-0005-0000-0000-000083820000}"/>
    <cellStyle name="Saída 29 4" xfId="23305" xr:uid="{00000000-0005-0000-0000-000084820000}"/>
    <cellStyle name="Saída 29 4 2" xfId="38747" xr:uid="{00000000-0005-0000-0000-000085820000}"/>
    <cellStyle name="Saída 29 5" xfId="23306" xr:uid="{00000000-0005-0000-0000-000086820000}"/>
    <cellStyle name="Saída 29 5 2" xfId="38748" xr:uid="{00000000-0005-0000-0000-000087820000}"/>
    <cellStyle name="Saída 29 6" xfId="23307" xr:uid="{00000000-0005-0000-0000-000088820000}"/>
    <cellStyle name="Saída 29 6 2" xfId="38749" xr:uid="{00000000-0005-0000-0000-000089820000}"/>
    <cellStyle name="Saída 29 7" xfId="23308" xr:uid="{00000000-0005-0000-0000-00008A820000}"/>
    <cellStyle name="Saída 29 7 2" xfId="38750" xr:uid="{00000000-0005-0000-0000-00008B820000}"/>
    <cellStyle name="Saída 29 8" xfId="23309" xr:uid="{00000000-0005-0000-0000-00008C820000}"/>
    <cellStyle name="Saída 29 8 2" xfId="38751" xr:uid="{00000000-0005-0000-0000-00008D820000}"/>
    <cellStyle name="Saída 29 9" xfId="23310" xr:uid="{00000000-0005-0000-0000-00008E820000}"/>
    <cellStyle name="Saída 29 9 2" xfId="38752" xr:uid="{00000000-0005-0000-0000-00008F820000}"/>
    <cellStyle name="Saída 3" xfId="23311" xr:uid="{00000000-0005-0000-0000-000090820000}"/>
    <cellStyle name="Saída 3 10" xfId="23312" xr:uid="{00000000-0005-0000-0000-000091820000}"/>
    <cellStyle name="Saída 3 10 2" xfId="38753" xr:uid="{00000000-0005-0000-0000-000092820000}"/>
    <cellStyle name="Saída 3 11" xfId="23313" xr:uid="{00000000-0005-0000-0000-000093820000}"/>
    <cellStyle name="Saída 3 11 2" xfId="38754" xr:uid="{00000000-0005-0000-0000-000094820000}"/>
    <cellStyle name="Saída 3 12" xfId="40850" xr:uid="{00000000-0005-0000-0000-000095820000}"/>
    <cellStyle name="Saída 3 2" xfId="23314" xr:uid="{00000000-0005-0000-0000-000096820000}"/>
    <cellStyle name="Saída 3 2 2" xfId="29276" xr:uid="{00000000-0005-0000-0000-000097820000}"/>
    <cellStyle name="Saída 3 2 2 2" xfId="40851" xr:uid="{00000000-0005-0000-0000-000098820000}"/>
    <cellStyle name="Saída 3 3" xfId="23315" xr:uid="{00000000-0005-0000-0000-000099820000}"/>
    <cellStyle name="Saída 3 3 2" xfId="29277" xr:uid="{00000000-0005-0000-0000-00009A820000}"/>
    <cellStyle name="Saída 3 3 2 2" xfId="40852" xr:uid="{00000000-0005-0000-0000-00009B820000}"/>
    <cellStyle name="Saída 3 4" xfId="23316" xr:uid="{00000000-0005-0000-0000-00009C820000}"/>
    <cellStyle name="Saída 3 4 2" xfId="29278" xr:uid="{00000000-0005-0000-0000-00009D820000}"/>
    <cellStyle name="Saída 3 4 2 2" xfId="40853" xr:uid="{00000000-0005-0000-0000-00009E820000}"/>
    <cellStyle name="Saída 3 5" xfId="23317" xr:uid="{00000000-0005-0000-0000-00009F820000}"/>
    <cellStyle name="Saída 3 5 2" xfId="29279" xr:uid="{00000000-0005-0000-0000-0000A0820000}"/>
    <cellStyle name="Saída 3 6" xfId="23318" xr:uid="{00000000-0005-0000-0000-0000A1820000}"/>
    <cellStyle name="Saída 3 6 2" xfId="29280" xr:uid="{00000000-0005-0000-0000-0000A2820000}"/>
    <cellStyle name="Saída 3 7" xfId="23319" xr:uid="{00000000-0005-0000-0000-0000A3820000}"/>
    <cellStyle name="Saída 3 7 2" xfId="29281" xr:uid="{00000000-0005-0000-0000-0000A4820000}"/>
    <cellStyle name="Saída 3 8" xfId="23320" xr:uid="{00000000-0005-0000-0000-0000A5820000}"/>
    <cellStyle name="Saída 3 8 2" xfId="38755" xr:uid="{00000000-0005-0000-0000-0000A6820000}"/>
    <cellStyle name="Saída 3 9" xfId="23321" xr:uid="{00000000-0005-0000-0000-0000A7820000}"/>
    <cellStyle name="Saída 3 9 2" xfId="38756" xr:uid="{00000000-0005-0000-0000-0000A8820000}"/>
    <cellStyle name="Saída 30" xfId="23322" xr:uid="{00000000-0005-0000-0000-0000A9820000}"/>
    <cellStyle name="Saída 30 2" xfId="38757" xr:uid="{00000000-0005-0000-0000-0000AA820000}"/>
    <cellStyle name="Saída 31" xfId="23323" xr:uid="{00000000-0005-0000-0000-0000AB820000}"/>
    <cellStyle name="Saída 31 2" xfId="38758" xr:uid="{00000000-0005-0000-0000-0000AC820000}"/>
    <cellStyle name="Saída 32" xfId="23324" xr:uid="{00000000-0005-0000-0000-0000AD820000}"/>
    <cellStyle name="Saída 32 2" xfId="38759" xr:uid="{00000000-0005-0000-0000-0000AE820000}"/>
    <cellStyle name="Saída 33" xfId="23325" xr:uid="{00000000-0005-0000-0000-0000AF820000}"/>
    <cellStyle name="Saída 33 2" xfId="38760" xr:uid="{00000000-0005-0000-0000-0000B0820000}"/>
    <cellStyle name="Saída 34" xfId="23326" xr:uid="{00000000-0005-0000-0000-0000B1820000}"/>
    <cellStyle name="Saída 34 2" xfId="38761" xr:uid="{00000000-0005-0000-0000-0000B2820000}"/>
    <cellStyle name="Saída 35" xfId="23327" xr:uid="{00000000-0005-0000-0000-0000B3820000}"/>
    <cellStyle name="Saída 35 2" xfId="38762" xr:uid="{00000000-0005-0000-0000-0000B4820000}"/>
    <cellStyle name="Saída 36" xfId="23328" xr:uid="{00000000-0005-0000-0000-0000B5820000}"/>
    <cellStyle name="Saída 36 2" xfId="38763" xr:uid="{00000000-0005-0000-0000-0000B6820000}"/>
    <cellStyle name="Saída 37" xfId="23329" xr:uid="{00000000-0005-0000-0000-0000B7820000}"/>
    <cellStyle name="Saída 37 2" xfId="38764" xr:uid="{00000000-0005-0000-0000-0000B8820000}"/>
    <cellStyle name="Saída 38" xfId="23330" xr:uid="{00000000-0005-0000-0000-0000B9820000}"/>
    <cellStyle name="Saída 38 2" xfId="38765" xr:uid="{00000000-0005-0000-0000-0000BA820000}"/>
    <cellStyle name="Saída 39" xfId="23331" xr:uid="{00000000-0005-0000-0000-0000BB820000}"/>
    <cellStyle name="Saída 39 2" xfId="38766" xr:uid="{00000000-0005-0000-0000-0000BC820000}"/>
    <cellStyle name="Saída 4" xfId="23332" xr:uid="{00000000-0005-0000-0000-0000BD820000}"/>
    <cellStyle name="Saída 4 10" xfId="23333" xr:uid="{00000000-0005-0000-0000-0000BE820000}"/>
    <cellStyle name="Saída 4 10 2" xfId="38767" xr:uid="{00000000-0005-0000-0000-0000BF820000}"/>
    <cellStyle name="Saída 4 11" xfId="23334" xr:uid="{00000000-0005-0000-0000-0000C0820000}"/>
    <cellStyle name="Saída 4 11 2" xfId="38768" xr:uid="{00000000-0005-0000-0000-0000C1820000}"/>
    <cellStyle name="Saída 4 12" xfId="40854" xr:uid="{00000000-0005-0000-0000-0000C2820000}"/>
    <cellStyle name="Saída 4 2" xfId="23335" xr:uid="{00000000-0005-0000-0000-0000C3820000}"/>
    <cellStyle name="Saída 4 2 2" xfId="29282" xr:uid="{00000000-0005-0000-0000-0000C4820000}"/>
    <cellStyle name="Saída 4 2 2 2" xfId="40855" xr:uid="{00000000-0005-0000-0000-0000C5820000}"/>
    <cellStyle name="Saída 4 3" xfId="23336" xr:uid="{00000000-0005-0000-0000-0000C6820000}"/>
    <cellStyle name="Saída 4 3 2" xfId="29283" xr:uid="{00000000-0005-0000-0000-0000C7820000}"/>
    <cellStyle name="Saída 4 3 2 2" xfId="40856" xr:uid="{00000000-0005-0000-0000-0000C8820000}"/>
    <cellStyle name="Saída 4 4" xfId="23337" xr:uid="{00000000-0005-0000-0000-0000C9820000}"/>
    <cellStyle name="Saída 4 4 2" xfId="29284" xr:uid="{00000000-0005-0000-0000-0000CA820000}"/>
    <cellStyle name="Saída 4 4 2 2" xfId="40857" xr:uid="{00000000-0005-0000-0000-0000CB820000}"/>
    <cellStyle name="Saída 4 5" xfId="23338" xr:uid="{00000000-0005-0000-0000-0000CC820000}"/>
    <cellStyle name="Saída 4 5 2" xfId="29285" xr:uid="{00000000-0005-0000-0000-0000CD820000}"/>
    <cellStyle name="Saída 4 6" xfId="23339" xr:uid="{00000000-0005-0000-0000-0000CE820000}"/>
    <cellStyle name="Saída 4 6 2" xfId="29286" xr:uid="{00000000-0005-0000-0000-0000CF820000}"/>
    <cellStyle name="Saída 4 7" xfId="23340" xr:uid="{00000000-0005-0000-0000-0000D0820000}"/>
    <cellStyle name="Saída 4 7 2" xfId="29287" xr:uid="{00000000-0005-0000-0000-0000D1820000}"/>
    <cellStyle name="Saída 4 8" xfId="23341" xr:uid="{00000000-0005-0000-0000-0000D2820000}"/>
    <cellStyle name="Saída 4 8 2" xfId="38769" xr:uid="{00000000-0005-0000-0000-0000D3820000}"/>
    <cellStyle name="Saída 4 9" xfId="23342" xr:uid="{00000000-0005-0000-0000-0000D4820000}"/>
    <cellStyle name="Saída 4 9 2" xfId="38770" xr:uid="{00000000-0005-0000-0000-0000D5820000}"/>
    <cellStyle name="Saída 40" xfId="23343" xr:uid="{00000000-0005-0000-0000-0000D6820000}"/>
    <cellStyle name="Saída 40 2" xfId="38771" xr:uid="{00000000-0005-0000-0000-0000D7820000}"/>
    <cellStyle name="Saída 41" xfId="23344" xr:uid="{00000000-0005-0000-0000-0000D8820000}"/>
    <cellStyle name="Saída 41 2" xfId="38772" xr:uid="{00000000-0005-0000-0000-0000D9820000}"/>
    <cellStyle name="Saída 42" xfId="23345" xr:uid="{00000000-0005-0000-0000-0000DA820000}"/>
    <cellStyle name="Saída 42 2" xfId="38773" xr:uid="{00000000-0005-0000-0000-0000DB820000}"/>
    <cellStyle name="Saída 43" xfId="23346" xr:uid="{00000000-0005-0000-0000-0000DC820000}"/>
    <cellStyle name="Saída 43 2" xfId="38774" xr:uid="{00000000-0005-0000-0000-0000DD820000}"/>
    <cellStyle name="Saída 44" xfId="23347" xr:uid="{00000000-0005-0000-0000-0000DE820000}"/>
    <cellStyle name="Saída 44 2" xfId="38775" xr:uid="{00000000-0005-0000-0000-0000DF820000}"/>
    <cellStyle name="Saída 45" xfId="23348" xr:uid="{00000000-0005-0000-0000-0000E0820000}"/>
    <cellStyle name="Saída 45 2" xfId="38776" xr:uid="{00000000-0005-0000-0000-0000E1820000}"/>
    <cellStyle name="Saída 46" xfId="23349" xr:uid="{00000000-0005-0000-0000-0000E2820000}"/>
    <cellStyle name="Saída 46 2" xfId="38777" xr:uid="{00000000-0005-0000-0000-0000E3820000}"/>
    <cellStyle name="Saída 47" xfId="23350" xr:uid="{00000000-0005-0000-0000-0000E4820000}"/>
    <cellStyle name="Saída 47 2" xfId="38778" xr:uid="{00000000-0005-0000-0000-0000E5820000}"/>
    <cellStyle name="Saída 48" xfId="23351" xr:uid="{00000000-0005-0000-0000-0000E6820000}"/>
    <cellStyle name="Saída 48 2" xfId="38779" xr:uid="{00000000-0005-0000-0000-0000E7820000}"/>
    <cellStyle name="Saída 49" xfId="23352" xr:uid="{00000000-0005-0000-0000-0000E8820000}"/>
    <cellStyle name="Saída 49 2" xfId="38780" xr:uid="{00000000-0005-0000-0000-0000E9820000}"/>
    <cellStyle name="Saída 5" xfId="23353" xr:uid="{00000000-0005-0000-0000-0000EA820000}"/>
    <cellStyle name="Saída 5 2" xfId="23354" xr:uid="{00000000-0005-0000-0000-0000EB820000}"/>
    <cellStyle name="Saída 5 2 2" xfId="29289" xr:uid="{00000000-0005-0000-0000-0000EC820000}"/>
    <cellStyle name="Saída 5 3" xfId="23355" xr:uid="{00000000-0005-0000-0000-0000ED820000}"/>
    <cellStyle name="Saída 5 3 2" xfId="29290" xr:uid="{00000000-0005-0000-0000-0000EE820000}"/>
    <cellStyle name="Saída 5 4" xfId="23356" xr:uid="{00000000-0005-0000-0000-0000EF820000}"/>
    <cellStyle name="Saída 5 4 2" xfId="29291" xr:uid="{00000000-0005-0000-0000-0000F0820000}"/>
    <cellStyle name="Saída 5 5" xfId="29288" xr:uid="{00000000-0005-0000-0000-0000F1820000}"/>
    <cellStyle name="Saída 5 5 2" xfId="40858" xr:uid="{00000000-0005-0000-0000-0000F2820000}"/>
    <cellStyle name="Saída 50" xfId="23357" xr:uid="{00000000-0005-0000-0000-0000F3820000}"/>
    <cellStyle name="Saída 50 2" xfId="38781" xr:uid="{00000000-0005-0000-0000-0000F4820000}"/>
    <cellStyle name="Saída 51" xfId="23358" xr:uid="{00000000-0005-0000-0000-0000F5820000}"/>
    <cellStyle name="Saída 51 2" xfId="38782" xr:uid="{00000000-0005-0000-0000-0000F6820000}"/>
    <cellStyle name="Saída 52" xfId="23359" xr:uid="{00000000-0005-0000-0000-0000F7820000}"/>
    <cellStyle name="Saída 52 2" xfId="38783" xr:uid="{00000000-0005-0000-0000-0000F8820000}"/>
    <cellStyle name="Saída 53" xfId="23360" xr:uid="{00000000-0005-0000-0000-0000F9820000}"/>
    <cellStyle name="Saída 53 2" xfId="38784" xr:uid="{00000000-0005-0000-0000-0000FA820000}"/>
    <cellStyle name="Saída 54" xfId="23361" xr:uid="{00000000-0005-0000-0000-0000FB820000}"/>
    <cellStyle name="Saída 54 2" xfId="38785" xr:uid="{00000000-0005-0000-0000-0000FC820000}"/>
    <cellStyle name="Saída 55" xfId="23362" xr:uid="{00000000-0005-0000-0000-0000FD820000}"/>
    <cellStyle name="Saída 55 2" xfId="38786" xr:uid="{00000000-0005-0000-0000-0000FE820000}"/>
    <cellStyle name="Saída 56" xfId="23363" xr:uid="{00000000-0005-0000-0000-0000FF820000}"/>
    <cellStyle name="Saída 56 2" xfId="38787" xr:uid="{00000000-0005-0000-0000-000000830000}"/>
    <cellStyle name="Saída 57" xfId="23364" xr:uid="{00000000-0005-0000-0000-000001830000}"/>
    <cellStyle name="Saída 57 2" xfId="38788" xr:uid="{00000000-0005-0000-0000-000002830000}"/>
    <cellStyle name="Saída 58" xfId="23365" xr:uid="{00000000-0005-0000-0000-000003830000}"/>
    <cellStyle name="Saída 58 2" xfId="38789" xr:uid="{00000000-0005-0000-0000-000004830000}"/>
    <cellStyle name="Saída 59" xfId="23366" xr:uid="{00000000-0005-0000-0000-000005830000}"/>
    <cellStyle name="Saída 59 2" xfId="38790" xr:uid="{00000000-0005-0000-0000-000006830000}"/>
    <cellStyle name="Saída 6" xfId="23367" xr:uid="{00000000-0005-0000-0000-000007830000}"/>
    <cellStyle name="Saída 6 2" xfId="23368" xr:uid="{00000000-0005-0000-0000-000008830000}"/>
    <cellStyle name="Saída 6 2 2" xfId="29293" xr:uid="{00000000-0005-0000-0000-000009830000}"/>
    <cellStyle name="Saída 6 3" xfId="23369" xr:uid="{00000000-0005-0000-0000-00000A830000}"/>
    <cellStyle name="Saída 6 3 2" xfId="29294" xr:uid="{00000000-0005-0000-0000-00000B830000}"/>
    <cellStyle name="Saída 6 4" xfId="23370" xr:uid="{00000000-0005-0000-0000-00000C830000}"/>
    <cellStyle name="Saída 6 4 2" xfId="29295" xr:uid="{00000000-0005-0000-0000-00000D830000}"/>
    <cellStyle name="Saída 6 5" xfId="29292" xr:uid="{00000000-0005-0000-0000-00000E830000}"/>
    <cellStyle name="Saída 6 5 2" xfId="40859" xr:uid="{00000000-0005-0000-0000-00000F830000}"/>
    <cellStyle name="Saída 60" xfId="23371" xr:uid="{00000000-0005-0000-0000-000010830000}"/>
    <cellStyle name="Saída 60 2" xfId="38791" xr:uid="{00000000-0005-0000-0000-000011830000}"/>
    <cellStyle name="Saída 61" xfId="23372" xr:uid="{00000000-0005-0000-0000-000012830000}"/>
    <cellStyle name="Saída 61 2" xfId="38792" xr:uid="{00000000-0005-0000-0000-000013830000}"/>
    <cellStyle name="Saída 62" xfId="23373" xr:uid="{00000000-0005-0000-0000-000014830000}"/>
    <cellStyle name="Saída 62 2" xfId="38793" xr:uid="{00000000-0005-0000-0000-000015830000}"/>
    <cellStyle name="Saída 63" xfId="23374" xr:uid="{00000000-0005-0000-0000-000016830000}"/>
    <cellStyle name="Saída 63 2" xfId="38794" xr:uid="{00000000-0005-0000-0000-000017830000}"/>
    <cellStyle name="Saída 64" xfId="23375" xr:uid="{00000000-0005-0000-0000-000018830000}"/>
    <cellStyle name="Saída 64 2" xfId="38795" xr:uid="{00000000-0005-0000-0000-000019830000}"/>
    <cellStyle name="Saída 65" xfId="23376" xr:uid="{00000000-0005-0000-0000-00001A830000}"/>
    <cellStyle name="Saída 65 2" xfId="38796" xr:uid="{00000000-0005-0000-0000-00001B830000}"/>
    <cellStyle name="Saída 66" xfId="23377" xr:uid="{00000000-0005-0000-0000-00001C830000}"/>
    <cellStyle name="Saída 66 2" xfId="38797" xr:uid="{00000000-0005-0000-0000-00001D830000}"/>
    <cellStyle name="Saída 67" xfId="23378" xr:uid="{00000000-0005-0000-0000-00001E830000}"/>
    <cellStyle name="Saída 67 2" xfId="38798" xr:uid="{00000000-0005-0000-0000-00001F830000}"/>
    <cellStyle name="Saída 68" xfId="23379" xr:uid="{00000000-0005-0000-0000-000020830000}"/>
    <cellStyle name="Saída 68 2" xfId="38799" xr:uid="{00000000-0005-0000-0000-000021830000}"/>
    <cellStyle name="Saída 69" xfId="23380" xr:uid="{00000000-0005-0000-0000-000022830000}"/>
    <cellStyle name="Saída 69 2" xfId="38800" xr:uid="{00000000-0005-0000-0000-000023830000}"/>
    <cellStyle name="Saída 7" xfId="23381" xr:uid="{00000000-0005-0000-0000-000024830000}"/>
    <cellStyle name="Saída 7 2" xfId="23382" xr:uid="{00000000-0005-0000-0000-000025830000}"/>
    <cellStyle name="Saída 7 2 2" xfId="29297" xr:uid="{00000000-0005-0000-0000-000026830000}"/>
    <cellStyle name="Saída 7 3" xfId="23383" xr:uid="{00000000-0005-0000-0000-000027830000}"/>
    <cellStyle name="Saída 7 3 2" xfId="29298" xr:uid="{00000000-0005-0000-0000-000028830000}"/>
    <cellStyle name="Saída 7 4" xfId="23384" xr:uid="{00000000-0005-0000-0000-000029830000}"/>
    <cellStyle name="Saída 7 4 2" xfId="29299" xr:uid="{00000000-0005-0000-0000-00002A830000}"/>
    <cellStyle name="Saída 7 5" xfId="29296" xr:uid="{00000000-0005-0000-0000-00002B830000}"/>
    <cellStyle name="Saída 7 5 2" xfId="40860" xr:uid="{00000000-0005-0000-0000-00002C830000}"/>
    <cellStyle name="Saída 70" xfId="23385" xr:uid="{00000000-0005-0000-0000-00002D830000}"/>
    <cellStyle name="Saída 70 2" xfId="38801" xr:uid="{00000000-0005-0000-0000-00002E830000}"/>
    <cellStyle name="Saída 71" xfId="23386" xr:uid="{00000000-0005-0000-0000-00002F830000}"/>
    <cellStyle name="Saída 71 2" xfId="38802" xr:uid="{00000000-0005-0000-0000-000030830000}"/>
    <cellStyle name="Saída 72" xfId="23387" xr:uid="{00000000-0005-0000-0000-000031830000}"/>
    <cellStyle name="Saída 72 2" xfId="38803" xr:uid="{00000000-0005-0000-0000-000032830000}"/>
    <cellStyle name="Saída 73" xfId="23388" xr:uid="{00000000-0005-0000-0000-000033830000}"/>
    <cellStyle name="Saída 73 2" xfId="38804" xr:uid="{00000000-0005-0000-0000-000034830000}"/>
    <cellStyle name="Saída 74" xfId="23389" xr:uid="{00000000-0005-0000-0000-000035830000}"/>
    <cellStyle name="Saída 74 2" xfId="38805" xr:uid="{00000000-0005-0000-0000-000036830000}"/>
    <cellStyle name="Saída 75" xfId="23390" xr:uid="{00000000-0005-0000-0000-000037830000}"/>
    <cellStyle name="Saída 75 2" xfId="38806" xr:uid="{00000000-0005-0000-0000-000038830000}"/>
    <cellStyle name="Saída 76" xfId="23391" xr:uid="{00000000-0005-0000-0000-000039830000}"/>
    <cellStyle name="Saída 76 2" xfId="38807" xr:uid="{00000000-0005-0000-0000-00003A830000}"/>
    <cellStyle name="Saída 77" xfId="23392" xr:uid="{00000000-0005-0000-0000-00003B830000}"/>
    <cellStyle name="Saída 77 2" xfId="38808" xr:uid="{00000000-0005-0000-0000-00003C830000}"/>
    <cellStyle name="Saída 78" xfId="23393" xr:uid="{00000000-0005-0000-0000-00003D830000}"/>
    <cellStyle name="Saída 78 2" xfId="38809" xr:uid="{00000000-0005-0000-0000-00003E830000}"/>
    <cellStyle name="Saída 79" xfId="23394" xr:uid="{00000000-0005-0000-0000-00003F830000}"/>
    <cellStyle name="Saída 79 2" xfId="38810" xr:uid="{00000000-0005-0000-0000-000040830000}"/>
    <cellStyle name="Saída 8" xfId="23395" xr:uid="{00000000-0005-0000-0000-000041830000}"/>
    <cellStyle name="Saída 8 2" xfId="23396" xr:uid="{00000000-0005-0000-0000-000042830000}"/>
    <cellStyle name="Saída 8 2 2" xfId="29301" xr:uid="{00000000-0005-0000-0000-000043830000}"/>
    <cellStyle name="Saída 8 3" xfId="23397" xr:uid="{00000000-0005-0000-0000-000044830000}"/>
    <cellStyle name="Saída 8 3 2" xfId="29302" xr:uid="{00000000-0005-0000-0000-000045830000}"/>
    <cellStyle name="Saída 8 4" xfId="23398" xr:uid="{00000000-0005-0000-0000-000046830000}"/>
    <cellStyle name="Saída 8 4 2" xfId="29303" xr:uid="{00000000-0005-0000-0000-000047830000}"/>
    <cellStyle name="Saída 8 5" xfId="29300" xr:uid="{00000000-0005-0000-0000-000048830000}"/>
    <cellStyle name="Saída 8 5 2" xfId="40861" xr:uid="{00000000-0005-0000-0000-000049830000}"/>
    <cellStyle name="Saída 80" xfId="23399" xr:uid="{00000000-0005-0000-0000-00004A830000}"/>
    <cellStyle name="Saída 80 2" xfId="38811" xr:uid="{00000000-0005-0000-0000-00004B830000}"/>
    <cellStyle name="Saída 81" xfId="23400" xr:uid="{00000000-0005-0000-0000-00004C830000}"/>
    <cellStyle name="Saída 81 2" xfId="38812" xr:uid="{00000000-0005-0000-0000-00004D830000}"/>
    <cellStyle name="Saída 82" xfId="23401" xr:uid="{00000000-0005-0000-0000-00004E830000}"/>
    <cellStyle name="Saída 82 2" xfId="38813" xr:uid="{00000000-0005-0000-0000-00004F830000}"/>
    <cellStyle name="Saída 83" xfId="23402" xr:uid="{00000000-0005-0000-0000-000050830000}"/>
    <cellStyle name="Saída 83 2" xfId="38814" xr:uid="{00000000-0005-0000-0000-000051830000}"/>
    <cellStyle name="Saída 84" xfId="23403" xr:uid="{00000000-0005-0000-0000-000052830000}"/>
    <cellStyle name="Saída 84 2" xfId="38815" xr:uid="{00000000-0005-0000-0000-000053830000}"/>
    <cellStyle name="Saída 85" xfId="23404" xr:uid="{00000000-0005-0000-0000-000054830000}"/>
    <cellStyle name="Saída 85 2" xfId="38816" xr:uid="{00000000-0005-0000-0000-000055830000}"/>
    <cellStyle name="Saída 86" xfId="23405" xr:uid="{00000000-0005-0000-0000-000056830000}"/>
    <cellStyle name="Saída 86 2" xfId="38817" xr:uid="{00000000-0005-0000-0000-000057830000}"/>
    <cellStyle name="Saída 87" xfId="23406" xr:uid="{00000000-0005-0000-0000-000058830000}"/>
    <cellStyle name="Saída 87 2" xfId="38818" xr:uid="{00000000-0005-0000-0000-000059830000}"/>
    <cellStyle name="Saída 88" xfId="23407" xr:uid="{00000000-0005-0000-0000-00005A830000}"/>
    <cellStyle name="Saída 88 2" xfId="38819" xr:uid="{00000000-0005-0000-0000-00005B830000}"/>
    <cellStyle name="Saída 89" xfId="23408" xr:uid="{00000000-0005-0000-0000-00005C830000}"/>
    <cellStyle name="Saída 89 2" xfId="38820" xr:uid="{00000000-0005-0000-0000-00005D830000}"/>
    <cellStyle name="Saída 9" xfId="23409" xr:uid="{00000000-0005-0000-0000-00005E830000}"/>
    <cellStyle name="Saída 9 2" xfId="29304" xr:uid="{00000000-0005-0000-0000-00005F830000}"/>
    <cellStyle name="Saída 9 2 2" xfId="40862" xr:uid="{00000000-0005-0000-0000-000060830000}"/>
    <cellStyle name="Saída 90" xfId="23410" xr:uid="{00000000-0005-0000-0000-000061830000}"/>
    <cellStyle name="Saída 90 2" xfId="38821" xr:uid="{00000000-0005-0000-0000-000062830000}"/>
    <cellStyle name="Saída 91" xfId="23411" xr:uid="{00000000-0005-0000-0000-000063830000}"/>
    <cellStyle name="Saída 91 2" xfId="38822" xr:uid="{00000000-0005-0000-0000-000064830000}"/>
    <cellStyle name="Saída 92" xfId="23412" xr:uid="{00000000-0005-0000-0000-000065830000}"/>
    <cellStyle name="Saída 92 2" xfId="38823" xr:uid="{00000000-0005-0000-0000-000066830000}"/>
    <cellStyle name="Saída 93" xfId="23413" xr:uid="{00000000-0005-0000-0000-000067830000}"/>
    <cellStyle name="Saída 93 2" xfId="38824" xr:uid="{00000000-0005-0000-0000-000068830000}"/>
    <cellStyle name="Saída 94" xfId="23414" xr:uid="{00000000-0005-0000-0000-000069830000}"/>
    <cellStyle name="Saída 94 2" xfId="38825" xr:uid="{00000000-0005-0000-0000-00006A830000}"/>
    <cellStyle name="Saída 95" xfId="23415" xr:uid="{00000000-0005-0000-0000-00006B830000}"/>
    <cellStyle name="Saída 95 2" xfId="38826" xr:uid="{00000000-0005-0000-0000-00006C830000}"/>
    <cellStyle name="Saída 96" xfId="23416" xr:uid="{00000000-0005-0000-0000-00006D830000}"/>
    <cellStyle name="Saída 96 2" xfId="38827" xr:uid="{00000000-0005-0000-0000-00006E830000}"/>
    <cellStyle name="Saída 97" xfId="23417" xr:uid="{00000000-0005-0000-0000-00006F830000}"/>
    <cellStyle name="Saída 97 2" xfId="38828" xr:uid="{00000000-0005-0000-0000-000070830000}"/>
    <cellStyle name="Saída 98" xfId="23418" xr:uid="{00000000-0005-0000-0000-000071830000}"/>
    <cellStyle name="Saída 98 2" xfId="38829" xr:uid="{00000000-0005-0000-0000-000072830000}"/>
    <cellStyle name="Saída 99" xfId="23419" xr:uid="{00000000-0005-0000-0000-000073830000}"/>
    <cellStyle name="Saída 99 2" xfId="38830" xr:uid="{00000000-0005-0000-0000-000074830000}"/>
    <cellStyle name="Separador de milhares 10" xfId="23420" xr:uid="{00000000-0005-0000-0000-000075830000}"/>
    <cellStyle name="Separador de milhares 10 2" xfId="23421" xr:uid="{00000000-0005-0000-0000-000076830000}"/>
    <cellStyle name="Separador de milhares 10 2 2" xfId="23422" xr:uid="{00000000-0005-0000-0000-000077830000}"/>
    <cellStyle name="Separador de milhares 10 2 3" xfId="23423" xr:uid="{00000000-0005-0000-0000-000078830000}"/>
    <cellStyle name="Separador de milhares 10 2 4" xfId="23424" xr:uid="{00000000-0005-0000-0000-000079830000}"/>
    <cellStyle name="Separador de milhares 10 2 5" xfId="23425" xr:uid="{00000000-0005-0000-0000-00007A830000}"/>
    <cellStyle name="Separador de milhares 10 2 6" xfId="23426" xr:uid="{00000000-0005-0000-0000-00007B830000}"/>
    <cellStyle name="Separador de milhares 10 2 7" xfId="23427" xr:uid="{00000000-0005-0000-0000-00007C830000}"/>
    <cellStyle name="Separador de milhares 10 3" xfId="23428" xr:uid="{00000000-0005-0000-0000-00007D830000}"/>
    <cellStyle name="Separador de milhares 10 4" xfId="23429" xr:uid="{00000000-0005-0000-0000-00007E830000}"/>
    <cellStyle name="Separador de milhares 10 5" xfId="23430" xr:uid="{00000000-0005-0000-0000-00007F830000}"/>
    <cellStyle name="Separador de milhares 10 6" xfId="23431" xr:uid="{00000000-0005-0000-0000-000080830000}"/>
    <cellStyle name="Separador de milhares 11" xfId="23432" xr:uid="{00000000-0005-0000-0000-000081830000}"/>
    <cellStyle name="Separador de milhares 11 2" xfId="23433" xr:uid="{00000000-0005-0000-0000-000082830000}"/>
    <cellStyle name="Separador de milhares 11 3" xfId="23434" xr:uid="{00000000-0005-0000-0000-000083830000}"/>
    <cellStyle name="Separador de milhares 12" xfId="23435" xr:uid="{00000000-0005-0000-0000-000084830000}"/>
    <cellStyle name="Separador de milhares 13" xfId="23436" xr:uid="{00000000-0005-0000-0000-000085830000}"/>
    <cellStyle name="Separador de milhares 14" xfId="23437" xr:uid="{00000000-0005-0000-0000-000086830000}"/>
    <cellStyle name="Separador de milhares 15" xfId="23438" xr:uid="{00000000-0005-0000-0000-000087830000}"/>
    <cellStyle name="Separador de milhares 16" xfId="23439" xr:uid="{00000000-0005-0000-0000-000088830000}"/>
    <cellStyle name="Separador de milhares 17" xfId="23440" xr:uid="{00000000-0005-0000-0000-000089830000}"/>
    <cellStyle name="Separador de milhares 18" xfId="23441" xr:uid="{00000000-0005-0000-0000-00008A830000}"/>
    <cellStyle name="Separador de milhares 19" xfId="23442" xr:uid="{00000000-0005-0000-0000-00008B830000}"/>
    <cellStyle name="Separador de milhares 2" xfId="22" xr:uid="{00000000-0005-0000-0000-00008C830000}"/>
    <cellStyle name="Separador de milhares 2 10" xfId="23443" xr:uid="{00000000-0005-0000-0000-00008D830000}"/>
    <cellStyle name="Separador de milhares 2 10 10" xfId="23444" xr:uid="{00000000-0005-0000-0000-00008E830000}"/>
    <cellStyle name="Separador de milhares 2 10 11" xfId="23445" xr:uid="{00000000-0005-0000-0000-00008F830000}"/>
    <cellStyle name="Separador de milhares 2 10 2" xfId="23446" xr:uid="{00000000-0005-0000-0000-000090830000}"/>
    <cellStyle name="Separador de milhares 2 10 2 2" xfId="23447" xr:uid="{00000000-0005-0000-0000-000091830000}"/>
    <cellStyle name="Separador de milhares 2 10 2 3" xfId="23448" xr:uid="{00000000-0005-0000-0000-000092830000}"/>
    <cellStyle name="Separador de milhares 2 10 2 4" xfId="23449" xr:uid="{00000000-0005-0000-0000-000093830000}"/>
    <cellStyle name="Separador de milhares 2 10 2 5" xfId="23450" xr:uid="{00000000-0005-0000-0000-000094830000}"/>
    <cellStyle name="Separador de milhares 2 10 2 6" xfId="23451" xr:uid="{00000000-0005-0000-0000-000095830000}"/>
    <cellStyle name="Separador de milhares 2 10 2 7" xfId="23452" xr:uid="{00000000-0005-0000-0000-000096830000}"/>
    <cellStyle name="Separador de milhares 2 10 3" xfId="23453" xr:uid="{00000000-0005-0000-0000-000097830000}"/>
    <cellStyle name="Separador de milhares 2 10 4" xfId="23454" xr:uid="{00000000-0005-0000-0000-000098830000}"/>
    <cellStyle name="Separador de milhares 2 10 5" xfId="23455" xr:uid="{00000000-0005-0000-0000-000099830000}"/>
    <cellStyle name="Separador de milhares 2 10 6" xfId="23456" xr:uid="{00000000-0005-0000-0000-00009A830000}"/>
    <cellStyle name="Separador de milhares 2 10 7" xfId="23457" xr:uid="{00000000-0005-0000-0000-00009B830000}"/>
    <cellStyle name="Separador de milhares 2 10 8" xfId="23458" xr:uid="{00000000-0005-0000-0000-00009C830000}"/>
    <cellStyle name="Separador de milhares 2 10 9" xfId="23459" xr:uid="{00000000-0005-0000-0000-00009D830000}"/>
    <cellStyle name="Separador de milhares 2 100" xfId="23460" xr:uid="{00000000-0005-0000-0000-00009E830000}"/>
    <cellStyle name="Separador de milhares 2 100 2" xfId="23461" xr:uid="{00000000-0005-0000-0000-00009F830000}"/>
    <cellStyle name="Separador de milhares 2 101" xfId="23462" xr:uid="{00000000-0005-0000-0000-0000A0830000}"/>
    <cellStyle name="Separador de milhares 2 101 2" xfId="23463" xr:uid="{00000000-0005-0000-0000-0000A1830000}"/>
    <cellStyle name="Separador de milhares 2 102" xfId="23464" xr:uid="{00000000-0005-0000-0000-0000A2830000}"/>
    <cellStyle name="Separador de milhares 2 102 2" xfId="23465" xr:uid="{00000000-0005-0000-0000-0000A3830000}"/>
    <cellStyle name="Separador de milhares 2 103" xfId="23466" xr:uid="{00000000-0005-0000-0000-0000A4830000}"/>
    <cellStyle name="Separador de milhares 2 103 2" xfId="23467" xr:uid="{00000000-0005-0000-0000-0000A5830000}"/>
    <cellStyle name="Separador de milhares 2 104" xfId="23468" xr:uid="{00000000-0005-0000-0000-0000A6830000}"/>
    <cellStyle name="Separador de milhares 2 104 2" xfId="23469" xr:uid="{00000000-0005-0000-0000-0000A7830000}"/>
    <cellStyle name="Separador de milhares 2 105" xfId="23470" xr:uid="{00000000-0005-0000-0000-0000A8830000}"/>
    <cellStyle name="Separador de milhares 2 105 2" xfId="23471" xr:uid="{00000000-0005-0000-0000-0000A9830000}"/>
    <cellStyle name="Separador de milhares 2 106" xfId="23472" xr:uid="{00000000-0005-0000-0000-0000AA830000}"/>
    <cellStyle name="Separador de milhares 2 106 2" xfId="23473" xr:uid="{00000000-0005-0000-0000-0000AB830000}"/>
    <cellStyle name="Separador de milhares 2 107" xfId="23474" xr:uid="{00000000-0005-0000-0000-0000AC830000}"/>
    <cellStyle name="Separador de milhares 2 107 2" xfId="23475" xr:uid="{00000000-0005-0000-0000-0000AD830000}"/>
    <cellStyle name="Separador de milhares 2 108" xfId="23476" xr:uid="{00000000-0005-0000-0000-0000AE830000}"/>
    <cellStyle name="Separador de milhares 2 108 2" xfId="23477" xr:uid="{00000000-0005-0000-0000-0000AF830000}"/>
    <cellStyle name="Separador de milhares 2 109" xfId="23478" xr:uid="{00000000-0005-0000-0000-0000B0830000}"/>
    <cellStyle name="Separador de milhares 2 109 2" xfId="23479" xr:uid="{00000000-0005-0000-0000-0000B1830000}"/>
    <cellStyle name="Separador de milhares 2 11" xfId="23480" xr:uid="{00000000-0005-0000-0000-0000B2830000}"/>
    <cellStyle name="Separador de milhares 2 11 10" xfId="23481" xr:uid="{00000000-0005-0000-0000-0000B3830000}"/>
    <cellStyle name="Separador de milhares 2 11 11" xfId="23482" xr:uid="{00000000-0005-0000-0000-0000B4830000}"/>
    <cellStyle name="Separador de milhares 2 11 2" xfId="23483" xr:uid="{00000000-0005-0000-0000-0000B5830000}"/>
    <cellStyle name="Separador de milhares 2 11 2 2" xfId="23484" xr:uid="{00000000-0005-0000-0000-0000B6830000}"/>
    <cellStyle name="Separador de milhares 2 11 2 3" xfId="23485" xr:uid="{00000000-0005-0000-0000-0000B7830000}"/>
    <cellStyle name="Separador de milhares 2 11 2 4" xfId="23486" xr:uid="{00000000-0005-0000-0000-0000B8830000}"/>
    <cellStyle name="Separador de milhares 2 11 2 5" xfId="23487" xr:uid="{00000000-0005-0000-0000-0000B9830000}"/>
    <cellStyle name="Separador de milhares 2 11 2 6" xfId="23488" xr:uid="{00000000-0005-0000-0000-0000BA830000}"/>
    <cellStyle name="Separador de milhares 2 11 2 7" xfId="23489" xr:uid="{00000000-0005-0000-0000-0000BB830000}"/>
    <cellStyle name="Separador de milhares 2 11 3" xfId="23490" xr:uid="{00000000-0005-0000-0000-0000BC830000}"/>
    <cellStyle name="Separador de milhares 2 11 4" xfId="23491" xr:uid="{00000000-0005-0000-0000-0000BD830000}"/>
    <cellStyle name="Separador de milhares 2 11 5" xfId="23492" xr:uid="{00000000-0005-0000-0000-0000BE830000}"/>
    <cellStyle name="Separador de milhares 2 11 6" xfId="23493" xr:uid="{00000000-0005-0000-0000-0000BF830000}"/>
    <cellStyle name="Separador de milhares 2 11 7" xfId="23494" xr:uid="{00000000-0005-0000-0000-0000C0830000}"/>
    <cellStyle name="Separador de milhares 2 11 8" xfId="23495" xr:uid="{00000000-0005-0000-0000-0000C1830000}"/>
    <cellStyle name="Separador de milhares 2 11 9" xfId="23496" xr:uid="{00000000-0005-0000-0000-0000C2830000}"/>
    <cellStyle name="Separador de milhares 2 110" xfId="23497" xr:uid="{00000000-0005-0000-0000-0000C3830000}"/>
    <cellStyle name="Separador de milhares 2 110 2" xfId="23498" xr:uid="{00000000-0005-0000-0000-0000C4830000}"/>
    <cellStyle name="Separador de milhares 2 111" xfId="23499" xr:uid="{00000000-0005-0000-0000-0000C5830000}"/>
    <cellStyle name="Separador de milhares 2 112" xfId="23500" xr:uid="{00000000-0005-0000-0000-0000C6830000}"/>
    <cellStyle name="Separador de milhares 2 113" xfId="23501" xr:uid="{00000000-0005-0000-0000-0000C7830000}"/>
    <cellStyle name="Separador de milhares 2 114" xfId="23502" xr:uid="{00000000-0005-0000-0000-0000C8830000}"/>
    <cellStyle name="Separador de milhares 2 115" xfId="23503" xr:uid="{00000000-0005-0000-0000-0000C9830000}"/>
    <cellStyle name="Separador de milhares 2 116" xfId="23504" xr:uid="{00000000-0005-0000-0000-0000CA830000}"/>
    <cellStyle name="Separador de milhares 2 117" xfId="23505" xr:uid="{00000000-0005-0000-0000-0000CB830000}"/>
    <cellStyle name="Separador de milhares 2 118" xfId="23506" xr:uid="{00000000-0005-0000-0000-0000CC830000}"/>
    <cellStyle name="Separador de milhares 2 119" xfId="23507" xr:uid="{00000000-0005-0000-0000-0000CD830000}"/>
    <cellStyle name="Separador de milhares 2 12" xfId="23508" xr:uid="{00000000-0005-0000-0000-0000CE830000}"/>
    <cellStyle name="Separador de milhares 2 12 10" xfId="23509" xr:uid="{00000000-0005-0000-0000-0000CF830000}"/>
    <cellStyle name="Separador de milhares 2 12 11" xfId="23510" xr:uid="{00000000-0005-0000-0000-0000D0830000}"/>
    <cellStyle name="Separador de milhares 2 12 2" xfId="23511" xr:uid="{00000000-0005-0000-0000-0000D1830000}"/>
    <cellStyle name="Separador de milhares 2 12 2 2" xfId="23512" xr:uid="{00000000-0005-0000-0000-0000D2830000}"/>
    <cellStyle name="Separador de milhares 2 12 2 3" xfId="23513" xr:uid="{00000000-0005-0000-0000-0000D3830000}"/>
    <cellStyle name="Separador de milhares 2 12 2 4" xfId="23514" xr:uid="{00000000-0005-0000-0000-0000D4830000}"/>
    <cellStyle name="Separador de milhares 2 12 2 5" xfId="23515" xr:uid="{00000000-0005-0000-0000-0000D5830000}"/>
    <cellStyle name="Separador de milhares 2 12 2 6" xfId="23516" xr:uid="{00000000-0005-0000-0000-0000D6830000}"/>
    <cellStyle name="Separador de milhares 2 12 2 7" xfId="23517" xr:uid="{00000000-0005-0000-0000-0000D7830000}"/>
    <cellStyle name="Separador de milhares 2 12 3" xfId="23518" xr:uid="{00000000-0005-0000-0000-0000D8830000}"/>
    <cellStyle name="Separador de milhares 2 12 4" xfId="23519" xr:uid="{00000000-0005-0000-0000-0000D9830000}"/>
    <cellStyle name="Separador de milhares 2 12 5" xfId="23520" xr:uid="{00000000-0005-0000-0000-0000DA830000}"/>
    <cellStyle name="Separador de milhares 2 12 6" xfId="23521" xr:uid="{00000000-0005-0000-0000-0000DB830000}"/>
    <cellStyle name="Separador de milhares 2 12 7" xfId="23522" xr:uid="{00000000-0005-0000-0000-0000DC830000}"/>
    <cellStyle name="Separador de milhares 2 12 8" xfId="23523" xr:uid="{00000000-0005-0000-0000-0000DD830000}"/>
    <cellStyle name="Separador de milhares 2 12 9" xfId="23524" xr:uid="{00000000-0005-0000-0000-0000DE830000}"/>
    <cellStyle name="Separador de milhares 2 120" xfId="23525" xr:uid="{00000000-0005-0000-0000-0000DF830000}"/>
    <cellStyle name="Separador de milhares 2 121" xfId="23526" xr:uid="{00000000-0005-0000-0000-0000E0830000}"/>
    <cellStyle name="Separador de milhares 2 122" xfId="23527" xr:uid="{00000000-0005-0000-0000-0000E1830000}"/>
    <cellStyle name="Separador de milhares 2 123" xfId="23528" xr:uid="{00000000-0005-0000-0000-0000E2830000}"/>
    <cellStyle name="Separador de milhares 2 124" xfId="23529" xr:uid="{00000000-0005-0000-0000-0000E3830000}"/>
    <cellStyle name="Separador de milhares 2 125" xfId="23530" xr:uid="{00000000-0005-0000-0000-0000E4830000}"/>
    <cellStyle name="Separador de milhares 2 126" xfId="23531" xr:uid="{00000000-0005-0000-0000-0000E5830000}"/>
    <cellStyle name="Separador de milhares 2 127" xfId="23532" xr:uid="{00000000-0005-0000-0000-0000E6830000}"/>
    <cellStyle name="Separador de milhares 2 128" xfId="23533" xr:uid="{00000000-0005-0000-0000-0000E7830000}"/>
    <cellStyle name="Separador de milhares 2 129" xfId="23534" xr:uid="{00000000-0005-0000-0000-0000E8830000}"/>
    <cellStyle name="Separador de milhares 2 13" xfId="23535" xr:uid="{00000000-0005-0000-0000-0000E9830000}"/>
    <cellStyle name="Separador de milhares 2 13 10" xfId="23536" xr:uid="{00000000-0005-0000-0000-0000EA830000}"/>
    <cellStyle name="Separador de milhares 2 13 11" xfId="23537" xr:uid="{00000000-0005-0000-0000-0000EB830000}"/>
    <cellStyle name="Separador de milhares 2 13 12" xfId="23538" xr:uid="{00000000-0005-0000-0000-0000EC830000}"/>
    <cellStyle name="Separador de milhares 2 13 13" xfId="23539" xr:uid="{00000000-0005-0000-0000-0000ED830000}"/>
    <cellStyle name="Separador de milhares 2 13 14" xfId="23540" xr:uid="{00000000-0005-0000-0000-0000EE830000}"/>
    <cellStyle name="Separador de milhares 2 13 15" xfId="23541" xr:uid="{00000000-0005-0000-0000-0000EF830000}"/>
    <cellStyle name="Separador de milhares 2 13 16" xfId="23542" xr:uid="{00000000-0005-0000-0000-0000F0830000}"/>
    <cellStyle name="Separador de milhares 2 13 17" xfId="23543" xr:uid="{00000000-0005-0000-0000-0000F1830000}"/>
    <cellStyle name="Separador de milhares 2 13 18" xfId="23544" xr:uid="{00000000-0005-0000-0000-0000F2830000}"/>
    <cellStyle name="Separador de milhares 2 13 19" xfId="23545" xr:uid="{00000000-0005-0000-0000-0000F3830000}"/>
    <cellStyle name="Separador de milhares 2 13 2" xfId="23546" xr:uid="{00000000-0005-0000-0000-0000F4830000}"/>
    <cellStyle name="Separador de milhares 2 13 20" xfId="23547" xr:uid="{00000000-0005-0000-0000-0000F5830000}"/>
    <cellStyle name="Separador de milhares 2 13 3" xfId="23548" xr:uid="{00000000-0005-0000-0000-0000F6830000}"/>
    <cellStyle name="Separador de milhares 2 13 4" xfId="23549" xr:uid="{00000000-0005-0000-0000-0000F7830000}"/>
    <cellStyle name="Separador de milhares 2 13 5" xfId="23550" xr:uid="{00000000-0005-0000-0000-0000F8830000}"/>
    <cellStyle name="Separador de milhares 2 13 6" xfId="23551" xr:uid="{00000000-0005-0000-0000-0000F9830000}"/>
    <cellStyle name="Separador de milhares 2 13 7" xfId="23552" xr:uid="{00000000-0005-0000-0000-0000FA830000}"/>
    <cellStyle name="Separador de milhares 2 13 8" xfId="23553" xr:uid="{00000000-0005-0000-0000-0000FB830000}"/>
    <cellStyle name="Separador de milhares 2 13 9" xfId="23554" xr:uid="{00000000-0005-0000-0000-0000FC830000}"/>
    <cellStyle name="Separador de milhares 2 130" xfId="23555" xr:uid="{00000000-0005-0000-0000-0000FD830000}"/>
    <cellStyle name="Separador de milhares 2 131" xfId="23556" xr:uid="{00000000-0005-0000-0000-0000FE830000}"/>
    <cellStyle name="Separador de milhares 2 132" xfId="23557" xr:uid="{00000000-0005-0000-0000-0000FF830000}"/>
    <cellStyle name="Separador de milhares 2 133" xfId="23558" xr:uid="{00000000-0005-0000-0000-000000840000}"/>
    <cellStyle name="Separador de milhares 2 134" xfId="23559" xr:uid="{00000000-0005-0000-0000-000001840000}"/>
    <cellStyle name="Separador de milhares 2 135" xfId="23560" xr:uid="{00000000-0005-0000-0000-000002840000}"/>
    <cellStyle name="Separador de milhares 2 136" xfId="23561" xr:uid="{00000000-0005-0000-0000-000003840000}"/>
    <cellStyle name="Separador de milhares 2 137" xfId="23562" xr:uid="{00000000-0005-0000-0000-000004840000}"/>
    <cellStyle name="Separador de milhares 2 138" xfId="23563" xr:uid="{00000000-0005-0000-0000-000005840000}"/>
    <cellStyle name="Separador de milhares 2 139" xfId="23564" xr:uid="{00000000-0005-0000-0000-000006840000}"/>
    <cellStyle name="Separador de milhares 2 14" xfId="23565" xr:uid="{00000000-0005-0000-0000-000007840000}"/>
    <cellStyle name="Separador de milhares 2 14 2" xfId="23566" xr:uid="{00000000-0005-0000-0000-000008840000}"/>
    <cellStyle name="Separador de milhares 2 14 3" xfId="23567" xr:uid="{00000000-0005-0000-0000-000009840000}"/>
    <cellStyle name="Separador de milhares 2 140" xfId="23568" xr:uid="{00000000-0005-0000-0000-00000A840000}"/>
    <cellStyle name="Separador de milhares 2 141" xfId="23569" xr:uid="{00000000-0005-0000-0000-00000B840000}"/>
    <cellStyle name="Separador de milhares 2 142" xfId="23570" xr:uid="{00000000-0005-0000-0000-00000C840000}"/>
    <cellStyle name="Separador de milhares 2 143" xfId="23571" xr:uid="{00000000-0005-0000-0000-00000D840000}"/>
    <cellStyle name="Separador de milhares 2 144" xfId="23572" xr:uid="{00000000-0005-0000-0000-00000E840000}"/>
    <cellStyle name="Separador de milhares 2 145" xfId="23573" xr:uid="{00000000-0005-0000-0000-00000F840000}"/>
    <cellStyle name="Separador de milhares 2 146" xfId="23574" xr:uid="{00000000-0005-0000-0000-000010840000}"/>
    <cellStyle name="Separador de milhares 2 147" xfId="23575" xr:uid="{00000000-0005-0000-0000-000011840000}"/>
    <cellStyle name="Separador de milhares 2 148" xfId="23576" xr:uid="{00000000-0005-0000-0000-000012840000}"/>
    <cellStyle name="Separador de milhares 2 149" xfId="23577" xr:uid="{00000000-0005-0000-0000-000013840000}"/>
    <cellStyle name="Separador de milhares 2 15" xfId="23578" xr:uid="{00000000-0005-0000-0000-000014840000}"/>
    <cellStyle name="Separador de milhares 2 15 2" xfId="23579" xr:uid="{00000000-0005-0000-0000-000015840000}"/>
    <cellStyle name="Separador de milhares 2 15 3" xfId="23580" xr:uid="{00000000-0005-0000-0000-000016840000}"/>
    <cellStyle name="Separador de milhares 2 150" xfId="23581" xr:uid="{00000000-0005-0000-0000-000017840000}"/>
    <cellStyle name="Separador de milhares 2 151" xfId="23582" xr:uid="{00000000-0005-0000-0000-000018840000}"/>
    <cellStyle name="Separador de milhares 2 152" xfId="23583" xr:uid="{00000000-0005-0000-0000-000019840000}"/>
    <cellStyle name="Separador de milhares 2 153" xfId="23584" xr:uid="{00000000-0005-0000-0000-00001A840000}"/>
    <cellStyle name="Separador de milhares 2 154" xfId="23585" xr:uid="{00000000-0005-0000-0000-00001B840000}"/>
    <cellStyle name="Separador de milhares 2 155" xfId="23586" xr:uid="{00000000-0005-0000-0000-00001C840000}"/>
    <cellStyle name="Separador de milhares 2 156" xfId="23587" xr:uid="{00000000-0005-0000-0000-00001D840000}"/>
    <cellStyle name="Separador de milhares 2 157" xfId="23588" xr:uid="{00000000-0005-0000-0000-00001E840000}"/>
    <cellStyle name="Separador de milhares 2 158" xfId="23589" xr:uid="{00000000-0005-0000-0000-00001F840000}"/>
    <cellStyle name="Separador de milhares 2 159" xfId="23590" xr:uid="{00000000-0005-0000-0000-000020840000}"/>
    <cellStyle name="Separador de milhares 2 16" xfId="23591" xr:uid="{00000000-0005-0000-0000-000021840000}"/>
    <cellStyle name="Separador de milhares 2 16 2" xfId="23592" xr:uid="{00000000-0005-0000-0000-000022840000}"/>
    <cellStyle name="Separador de milhares 2 16 3" xfId="23593" xr:uid="{00000000-0005-0000-0000-000023840000}"/>
    <cellStyle name="Separador de milhares 2 160" xfId="23594" xr:uid="{00000000-0005-0000-0000-000024840000}"/>
    <cellStyle name="Separador de milhares 2 161" xfId="23595" xr:uid="{00000000-0005-0000-0000-000025840000}"/>
    <cellStyle name="Separador de milhares 2 162" xfId="23596" xr:uid="{00000000-0005-0000-0000-000026840000}"/>
    <cellStyle name="Separador de milhares 2 163" xfId="23597" xr:uid="{00000000-0005-0000-0000-000027840000}"/>
    <cellStyle name="Separador de milhares 2 164" xfId="23598" xr:uid="{00000000-0005-0000-0000-000028840000}"/>
    <cellStyle name="Separador de milhares 2 165" xfId="23599" xr:uid="{00000000-0005-0000-0000-000029840000}"/>
    <cellStyle name="Separador de milhares 2 166" xfId="23600" xr:uid="{00000000-0005-0000-0000-00002A840000}"/>
    <cellStyle name="Separador de milhares 2 167" xfId="23601" xr:uid="{00000000-0005-0000-0000-00002B840000}"/>
    <cellStyle name="Separador de milhares 2 168" xfId="23602" xr:uid="{00000000-0005-0000-0000-00002C840000}"/>
    <cellStyle name="Separador de milhares 2 169" xfId="23603" xr:uid="{00000000-0005-0000-0000-00002D840000}"/>
    <cellStyle name="Separador de milhares 2 17" xfId="23604" xr:uid="{00000000-0005-0000-0000-00002E840000}"/>
    <cellStyle name="Separador de milhares 2 17 2" xfId="23605" xr:uid="{00000000-0005-0000-0000-00002F840000}"/>
    <cellStyle name="Separador de milhares 2 17 3" xfId="23606" xr:uid="{00000000-0005-0000-0000-000030840000}"/>
    <cellStyle name="Separador de milhares 2 170" xfId="23607" xr:uid="{00000000-0005-0000-0000-000031840000}"/>
    <cellStyle name="Separador de milhares 2 171" xfId="23608" xr:uid="{00000000-0005-0000-0000-000032840000}"/>
    <cellStyle name="Separador de milhares 2 172" xfId="23609" xr:uid="{00000000-0005-0000-0000-000033840000}"/>
    <cellStyle name="Separador de milhares 2 173" xfId="23610" xr:uid="{00000000-0005-0000-0000-000034840000}"/>
    <cellStyle name="Separador de milhares 2 174" xfId="23611" xr:uid="{00000000-0005-0000-0000-000035840000}"/>
    <cellStyle name="Separador de milhares 2 175" xfId="23612" xr:uid="{00000000-0005-0000-0000-000036840000}"/>
    <cellStyle name="Separador de milhares 2 176" xfId="23613" xr:uid="{00000000-0005-0000-0000-000037840000}"/>
    <cellStyle name="Separador de milhares 2 177" xfId="23614" xr:uid="{00000000-0005-0000-0000-000038840000}"/>
    <cellStyle name="Separador de milhares 2 178" xfId="23615" xr:uid="{00000000-0005-0000-0000-000039840000}"/>
    <cellStyle name="Separador de milhares 2 179" xfId="23616" xr:uid="{00000000-0005-0000-0000-00003A840000}"/>
    <cellStyle name="Separador de milhares 2 18" xfId="23617" xr:uid="{00000000-0005-0000-0000-00003B840000}"/>
    <cellStyle name="Separador de milhares 2 18 2" xfId="23618" xr:uid="{00000000-0005-0000-0000-00003C840000}"/>
    <cellStyle name="Separador de milhares 2 18 3" xfId="23619" xr:uid="{00000000-0005-0000-0000-00003D840000}"/>
    <cellStyle name="Separador de milhares 2 180" xfId="23620" xr:uid="{00000000-0005-0000-0000-00003E840000}"/>
    <cellStyle name="Separador de milhares 2 181" xfId="23621" xr:uid="{00000000-0005-0000-0000-00003F840000}"/>
    <cellStyle name="Separador de milhares 2 182" xfId="23622" xr:uid="{00000000-0005-0000-0000-000040840000}"/>
    <cellStyle name="Separador de milhares 2 183" xfId="23623" xr:uid="{00000000-0005-0000-0000-000041840000}"/>
    <cellStyle name="Separador de milhares 2 184" xfId="23624" xr:uid="{00000000-0005-0000-0000-000042840000}"/>
    <cellStyle name="Separador de milhares 2 185" xfId="23625" xr:uid="{00000000-0005-0000-0000-000043840000}"/>
    <cellStyle name="Separador de milhares 2 186" xfId="23626" xr:uid="{00000000-0005-0000-0000-000044840000}"/>
    <cellStyle name="Separador de milhares 2 187" xfId="23627" xr:uid="{00000000-0005-0000-0000-000045840000}"/>
    <cellStyle name="Separador de milhares 2 188" xfId="23628" xr:uid="{00000000-0005-0000-0000-000046840000}"/>
    <cellStyle name="Separador de milhares 2 189" xfId="23629" xr:uid="{00000000-0005-0000-0000-000047840000}"/>
    <cellStyle name="Separador de milhares 2 19" xfId="23630" xr:uid="{00000000-0005-0000-0000-000048840000}"/>
    <cellStyle name="Separador de milhares 2 19 2" xfId="23631" xr:uid="{00000000-0005-0000-0000-000049840000}"/>
    <cellStyle name="Separador de milhares 2 19 3" xfId="23632" xr:uid="{00000000-0005-0000-0000-00004A840000}"/>
    <cellStyle name="Separador de milhares 2 190" xfId="23633" xr:uid="{00000000-0005-0000-0000-00004B840000}"/>
    <cellStyle name="Separador de milhares 2 191" xfId="23634" xr:uid="{00000000-0005-0000-0000-00004C840000}"/>
    <cellStyle name="Separador de milhares 2 192" xfId="23635" xr:uid="{00000000-0005-0000-0000-00004D840000}"/>
    <cellStyle name="Separador de milhares 2 193" xfId="23636" xr:uid="{00000000-0005-0000-0000-00004E840000}"/>
    <cellStyle name="Separador de milhares 2 194" xfId="23637" xr:uid="{00000000-0005-0000-0000-00004F840000}"/>
    <cellStyle name="Separador de milhares 2 195" xfId="23638" xr:uid="{00000000-0005-0000-0000-000050840000}"/>
    <cellStyle name="Separador de milhares 2 196" xfId="23639" xr:uid="{00000000-0005-0000-0000-000051840000}"/>
    <cellStyle name="Separador de milhares 2 197" xfId="23640" xr:uid="{00000000-0005-0000-0000-000052840000}"/>
    <cellStyle name="Separador de milhares 2 198" xfId="23641" xr:uid="{00000000-0005-0000-0000-000053840000}"/>
    <cellStyle name="Separador de milhares 2 199" xfId="23642" xr:uid="{00000000-0005-0000-0000-000054840000}"/>
    <cellStyle name="Separador de milhares 2 2" xfId="23643" xr:uid="{00000000-0005-0000-0000-000055840000}"/>
    <cellStyle name="Separador de milhares 2 2 10" xfId="23644" xr:uid="{00000000-0005-0000-0000-000056840000}"/>
    <cellStyle name="Separador de milhares 2 2 10 2" xfId="23645" xr:uid="{00000000-0005-0000-0000-000057840000}"/>
    <cellStyle name="Separador de milhares 2 2 11" xfId="23646" xr:uid="{00000000-0005-0000-0000-000058840000}"/>
    <cellStyle name="Separador de milhares 2 2 11 2" xfId="23647" xr:uid="{00000000-0005-0000-0000-000059840000}"/>
    <cellStyle name="Separador de milhares 2 2 12" xfId="23648" xr:uid="{00000000-0005-0000-0000-00005A840000}"/>
    <cellStyle name="Separador de milhares 2 2 12 2" xfId="23649" xr:uid="{00000000-0005-0000-0000-00005B840000}"/>
    <cellStyle name="Separador de milhares 2 2 13" xfId="23650" xr:uid="{00000000-0005-0000-0000-00005C840000}"/>
    <cellStyle name="Separador de milhares 2 2 13 2" xfId="23651" xr:uid="{00000000-0005-0000-0000-00005D840000}"/>
    <cellStyle name="Separador de milhares 2 2 14" xfId="23652" xr:uid="{00000000-0005-0000-0000-00005E840000}"/>
    <cellStyle name="Separador de milhares 2 2 15" xfId="23653" xr:uid="{00000000-0005-0000-0000-00005F840000}"/>
    <cellStyle name="Separador de milhares 2 2 16" xfId="23654" xr:uid="{00000000-0005-0000-0000-000060840000}"/>
    <cellStyle name="Separador de milhares 2 2 17" xfId="23655" xr:uid="{00000000-0005-0000-0000-000061840000}"/>
    <cellStyle name="Separador de milhares 2 2 18" xfId="23656" xr:uid="{00000000-0005-0000-0000-000062840000}"/>
    <cellStyle name="Separador de milhares 2 2 19" xfId="23657" xr:uid="{00000000-0005-0000-0000-000063840000}"/>
    <cellStyle name="Separador de milhares 2 2 2" xfId="23658" xr:uid="{00000000-0005-0000-0000-000064840000}"/>
    <cellStyle name="Separador de milhares 2 2 2 10" xfId="23659" xr:uid="{00000000-0005-0000-0000-000065840000}"/>
    <cellStyle name="Separador de milhares 2 2 2 11" xfId="23660" xr:uid="{00000000-0005-0000-0000-000066840000}"/>
    <cellStyle name="Separador de milhares 2 2 2 12" xfId="23661" xr:uid="{00000000-0005-0000-0000-000067840000}"/>
    <cellStyle name="Separador de milhares 2 2 2 13" xfId="23662" xr:uid="{00000000-0005-0000-0000-000068840000}"/>
    <cellStyle name="Separador de milhares 2 2 2 14" xfId="23663" xr:uid="{00000000-0005-0000-0000-000069840000}"/>
    <cellStyle name="Separador de milhares 2 2 2 15" xfId="23664" xr:uid="{00000000-0005-0000-0000-00006A840000}"/>
    <cellStyle name="Separador de milhares 2 2 2 16" xfId="23665" xr:uid="{00000000-0005-0000-0000-00006B840000}"/>
    <cellStyle name="Separador de milhares 2 2 2 17" xfId="23666" xr:uid="{00000000-0005-0000-0000-00006C840000}"/>
    <cellStyle name="Separador de milhares 2 2 2 18" xfId="23667" xr:uid="{00000000-0005-0000-0000-00006D840000}"/>
    <cellStyle name="Separador de milhares 2 2 2 19" xfId="23668" xr:uid="{00000000-0005-0000-0000-00006E840000}"/>
    <cellStyle name="Separador de milhares 2 2 2 2" xfId="23669" xr:uid="{00000000-0005-0000-0000-00006F840000}"/>
    <cellStyle name="Separador de milhares 2 2 2 2 2" xfId="23670" xr:uid="{00000000-0005-0000-0000-000070840000}"/>
    <cellStyle name="Separador de milhares 2 2 2 2 3" xfId="23671" xr:uid="{00000000-0005-0000-0000-000071840000}"/>
    <cellStyle name="Separador de milhares 2 2 2 2 4" xfId="23672" xr:uid="{00000000-0005-0000-0000-000072840000}"/>
    <cellStyle name="Separador de milhares 2 2 2 2 5" xfId="23673" xr:uid="{00000000-0005-0000-0000-000073840000}"/>
    <cellStyle name="Separador de milhares 2 2 2 2 6" xfId="23674" xr:uid="{00000000-0005-0000-0000-000074840000}"/>
    <cellStyle name="Separador de milhares 2 2 2 2 7" xfId="23675" xr:uid="{00000000-0005-0000-0000-000075840000}"/>
    <cellStyle name="Separador de milhares 2 2 2 20" xfId="23676" xr:uid="{00000000-0005-0000-0000-000076840000}"/>
    <cellStyle name="Separador de milhares 2 2 2 21" xfId="23677" xr:uid="{00000000-0005-0000-0000-000077840000}"/>
    <cellStyle name="Separador de milhares 2 2 2 22" xfId="23678" xr:uid="{00000000-0005-0000-0000-000078840000}"/>
    <cellStyle name="Separador de milhares 2 2 2 23" xfId="23679" xr:uid="{00000000-0005-0000-0000-000079840000}"/>
    <cellStyle name="Separador de milhares 2 2 2 3" xfId="23680" xr:uid="{00000000-0005-0000-0000-00007A840000}"/>
    <cellStyle name="Separador de milhares 2 2 2 4" xfId="23681" xr:uid="{00000000-0005-0000-0000-00007B840000}"/>
    <cellStyle name="Separador de milhares 2 2 2 5" xfId="23682" xr:uid="{00000000-0005-0000-0000-00007C840000}"/>
    <cellStyle name="Separador de milhares 2 2 2 6" xfId="23683" xr:uid="{00000000-0005-0000-0000-00007D840000}"/>
    <cellStyle name="Separador de milhares 2 2 2 7" xfId="23684" xr:uid="{00000000-0005-0000-0000-00007E840000}"/>
    <cellStyle name="Separador de milhares 2 2 2 8" xfId="23685" xr:uid="{00000000-0005-0000-0000-00007F840000}"/>
    <cellStyle name="Separador de milhares 2 2 2 9" xfId="23686" xr:uid="{00000000-0005-0000-0000-000080840000}"/>
    <cellStyle name="Separador de milhares 2 2 20" xfId="23687" xr:uid="{00000000-0005-0000-0000-000081840000}"/>
    <cellStyle name="Separador de milhares 2 2 21" xfId="23688" xr:uid="{00000000-0005-0000-0000-000082840000}"/>
    <cellStyle name="Separador de milhares 2 2 22" xfId="23689" xr:uid="{00000000-0005-0000-0000-000083840000}"/>
    <cellStyle name="Separador de milhares 2 2 23" xfId="23690" xr:uid="{00000000-0005-0000-0000-000084840000}"/>
    <cellStyle name="Separador de milhares 2 2 3" xfId="23691" xr:uid="{00000000-0005-0000-0000-000085840000}"/>
    <cellStyle name="Separador de milhares 2 2 3 2" xfId="41043" xr:uid="{00000000-0005-0000-0000-000086840000}"/>
    <cellStyle name="Separador de milhares 2 2 4" xfId="23692" xr:uid="{00000000-0005-0000-0000-000087840000}"/>
    <cellStyle name="Separador de milhares 2 2 4 10" xfId="23693" xr:uid="{00000000-0005-0000-0000-000088840000}"/>
    <cellStyle name="Separador de milhares 2 2 4 11" xfId="23694" xr:uid="{00000000-0005-0000-0000-000089840000}"/>
    <cellStyle name="Separador de milhares 2 2 4 12" xfId="23695" xr:uid="{00000000-0005-0000-0000-00008A840000}"/>
    <cellStyle name="Separador de milhares 2 2 4 13" xfId="23696" xr:uid="{00000000-0005-0000-0000-00008B840000}"/>
    <cellStyle name="Separador de milhares 2 2 4 14" xfId="23697" xr:uid="{00000000-0005-0000-0000-00008C840000}"/>
    <cellStyle name="Separador de milhares 2 2 4 15" xfId="23698" xr:uid="{00000000-0005-0000-0000-00008D840000}"/>
    <cellStyle name="Separador de milhares 2 2 4 16" xfId="23699" xr:uid="{00000000-0005-0000-0000-00008E840000}"/>
    <cellStyle name="Separador de milhares 2 2 4 2" xfId="23700" xr:uid="{00000000-0005-0000-0000-00008F840000}"/>
    <cellStyle name="Separador de milhares 2 2 4 3" xfId="23701" xr:uid="{00000000-0005-0000-0000-000090840000}"/>
    <cellStyle name="Separador de milhares 2 2 4 4" xfId="23702" xr:uid="{00000000-0005-0000-0000-000091840000}"/>
    <cellStyle name="Separador de milhares 2 2 4 5" xfId="23703" xr:uid="{00000000-0005-0000-0000-000092840000}"/>
    <cellStyle name="Separador de milhares 2 2 4 6" xfId="23704" xr:uid="{00000000-0005-0000-0000-000093840000}"/>
    <cellStyle name="Separador de milhares 2 2 4 7" xfId="23705" xr:uid="{00000000-0005-0000-0000-000094840000}"/>
    <cellStyle name="Separador de milhares 2 2 4 8" xfId="23706" xr:uid="{00000000-0005-0000-0000-000095840000}"/>
    <cellStyle name="Separador de milhares 2 2 4 9" xfId="23707" xr:uid="{00000000-0005-0000-0000-000096840000}"/>
    <cellStyle name="Separador de milhares 2 2 5" xfId="23708" xr:uid="{00000000-0005-0000-0000-000097840000}"/>
    <cellStyle name="Separador de milhares 2 2 5 2" xfId="23709" xr:uid="{00000000-0005-0000-0000-000098840000}"/>
    <cellStyle name="Separador de milhares 2 2 6" xfId="23710" xr:uid="{00000000-0005-0000-0000-000099840000}"/>
    <cellStyle name="Separador de milhares 2 2 6 2" xfId="23711" xr:uid="{00000000-0005-0000-0000-00009A840000}"/>
    <cellStyle name="Separador de milhares 2 2 7" xfId="23712" xr:uid="{00000000-0005-0000-0000-00009B840000}"/>
    <cellStyle name="Separador de milhares 2 2 7 2" xfId="23713" xr:uid="{00000000-0005-0000-0000-00009C840000}"/>
    <cellStyle name="Separador de milhares 2 2 8" xfId="23714" xr:uid="{00000000-0005-0000-0000-00009D840000}"/>
    <cellStyle name="Separador de milhares 2 2 8 2" xfId="23715" xr:uid="{00000000-0005-0000-0000-00009E840000}"/>
    <cellStyle name="Separador de milhares 2 2 9" xfId="23716" xr:uid="{00000000-0005-0000-0000-00009F840000}"/>
    <cellStyle name="Separador de milhares 2 2 9 2" xfId="23717" xr:uid="{00000000-0005-0000-0000-0000A0840000}"/>
    <cellStyle name="Separador de milhares 2 20" xfId="23718" xr:uid="{00000000-0005-0000-0000-0000A1840000}"/>
    <cellStyle name="Separador de milhares 2 20 2" xfId="23719" xr:uid="{00000000-0005-0000-0000-0000A2840000}"/>
    <cellStyle name="Separador de milhares 2 20 3" xfId="23720" xr:uid="{00000000-0005-0000-0000-0000A3840000}"/>
    <cellStyle name="Separador de milhares 2 200" xfId="23721" xr:uid="{00000000-0005-0000-0000-0000A4840000}"/>
    <cellStyle name="Separador de milhares 2 201" xfId="23722" xr:uid="{00000000-0005-0000-0000-0000A5840000}"/>
    <cellStyle name="Separador de milhares 2 202" xfId="23723" xr:uid="{00000000-0005-0000-0000-0000A6840000}"/>
    <cellStyle name="Separador de milhares 2 203" xfId="23724" xr:uid="{00000000-0005-0000-0000-0000A7840000}"/>
    <cellStyle name="Separador de milhares 2 204" xfId="23725" xr:uid="{00000000-0005-0000-0000-0000A8840000}"/>
    <cellStyle name="Separador de milhares 2 205" xfId="23726" xr:uid="{00000000-0005-0000-0000-0000A9840000}"/>
    <cellStyle name="Separador de milhares 2 206" xfId="23727" xr:uid="{00000000-0005-0000-0000-0000AA840000}"/>
    <cellStyle name="Separador de milhares 2 207" xfId="23728" xr:uid="{00000000-0005-0000-0000-0000AB840000}"/>
    <cellStyle name="Separador de milhares 2 208" xfId="23729" xr:uid="{00000000-0005-0000-0000-0000AC840000}"/>
    <cellStyle name="Separador de milhares 2 209" xfId="23730" xr:uid="{00000000-0005-0000-0000-0000AD840000}"/>
    <cellStyle name="Separador de milhares 2 21" xfId="23731" xr:uid="{00000000-0005-0000-0000-0000AE840000}"/>
    <cellStyle name="Separador de milhares 2 21 2" xfId="23732" xr:uid="{00000000-0005-0000-0000-0000AF840000}"/>
    <cellStyle name="Separador de milhares 2 21 3" xfId="23733" xr:uid="{00000000-0005-0000-0000-0000B0840000}"/>
    <cellStyle name="Separador de milhares 2 210" xfId="23734" xr:uid="{00000000-0005-0000-0000-0000B1840000}"/>
    <cellStyle name="Separador de milhares 2 211" xfId="23735" xr:uid="{00000000-0005-0000-0000-0000B2840000}"/>
    <cellStyle name="Separador de milhares 2 212" xfId="23736" xr:uid="{00000000-0005-0000-0000-0000B3840000}"/>
    <cellStyle name="Separador de milhares 2 213" xfId="23737" xr:uid="{00000000-0005-0000-0000-0000B4840000}"/>
    <cellStyle name="Separador de milhares 2 214" xfId="23738" xr:uid="{00000000-0005-0000-0000-0000B5840000}"/>
    <cellStyle name="Separador de milhares 2 215" xfId="23739" xr:uid="{00000000-0005-0000-0000-0000B6840000}"/>
    <cellStyle name="Separador de milhares 2 22" xfId="23740" xr:uid="{00000000-0005-0000-0000-0000B7840000}"/>
    <cellStyle name="Separador de milhares 2 22 2" xfId="23741" xr:uid="{00000000-0005-0000-0000-0000B8840000}"/>
    <cellStyle name="Separador de milhares 2 22 3" xfId="23742" xr:uid="{00000000-0005-0000-0000-0000B9840000}"/>
    <cellStyle name="Separador de milhares 2 23" xfId="23743" xr:uid="{00000000-0005-0000-0000-0000BA840000}"/>
    <cellStyle name="Separador de milhares 2 24" xfId="23744" xr:uid="{00000000-0005-0000-0000-0000BB840000}"/>
    <cellStyle name="Separador de milhares 2 25" xfId="23745" xr:uid="{00000000-0005-0000-0000-0000BC840000}"/>
    <cellStyle name="Separador de milhares 2 26" xfId="23746" xr:uid="{00000000-0005-0000-0000-0000BD840000}"/>
    <cellStyle name="Separador de milhares 2 27" xfId="23747" xr:uid="{00000000-0005-0000-0000-0000BE840000}"/>
    <cellStyle name="Separador de milhares 2 28" xfId="23748" xr:uid="{00000000-0005-0000-0000-0000BF840000}"/>
    <cellStyle name="Separador de milhares 2 29" xfId="23749" xr:uid="{00000000-0005-0000-0000-0000C0840000}"/>
    <cellStyle name="Separador de milhares 2 3" xfId="23750" xr:uid="{00000000-0005-0000-0000-0000C1840000}"/>
    <cellStyle name="Separador de milhares 2 3 10" xfId="23751" xr:uid="{00000000-0005-0000-0000-0000C2840000}"/>
    <cellStyle name="Separador de milhares 2 3 11" xfId="23752" xr:uid="{00000000-0005-0000-0000-0000C3840000}"/>
    <cellStyle name="Separador de milhares 2 3 12" xfId="23753" xr:uid="{00000000-0005-0000-0000-0000C4840000}"/>
    <cellStyle name="Separador de milhares 2 3 13" xfId="23754" xr:uid="{00000000-0005-0000-0000-0000C5840000}"/>
    <cellStyle name="Separador de milhares 2 3 14" xfId="23755" xr:uid="{00000000-0005-0000-0000-0000C6840000}"/>
    <cellStyle name="Separador de milhares 2 3 15" xfId="23756" xr:uid="{00000000-0005-0000-0000-0000C7840000}"/>
    <cellStyle name="Separador de milhares 2 3 16" xfId="23757" xr:uid="{00000000-0005-0000-0000-0000C8840000}"/>
    <cellStyle name="Separador de milhares 2 3 17" xfId="23758" xr:uid="{00000000-0005-0000-0000-0000C9840000}"/>
    <cellStyle name="Separador de milhares 2 3 18" xfId="23759" xr:uid="{00000000-0005-0000-0000-0000CA840000}"/>
    <cellStyle name="Separador de milhares 2 3 19" xfId="23760" xr:uid="{00000000-0005-0000-0000-0000CB840000}"/>
    <cellStyle name="Separador de milhares 2 3 2" xfId="23761" xr:uid="{00000000-0005-0000-0000-0000CC840000}"/>
    <cellStyle name="Separador de milhares 2 3 20" xfId="23762" xr:uid="{00000000-0005-0000-0000-0000CD840000}"/>
    <cellStyle name="Separador de milhares 2 3 3" xfId="23763" xr:uid="{00000000-0005-0000-0000-0000CE840000}"/>
    <cellStyle name="Separador de milhares 2 3 4" xfId="23764" xr:uid="{00000000-0005-0000-0000-0000CF840000}"/>
    <cellStyle name="Separador de milhares 2 3 5" xfId="23765" xr:uid="{00000000-0005-0000-0000-0000D0840000}"/>
    <cellStyle name="Separador de milhares 2 3 6" xfId="23766" xr:uid="{00000000-0005-0000-0000-0000D1840000}"/>
    <cellStyle name="Separador de milhares 2 3 7" xfId="23767" xr:uid="{00000000-0005-0000-0000-0000D2840000}"/>
    <cellStyle name="Separador de milhares 2 3 8" xfId="23768" xr:uid="{00000000-0005-0000-0000-0000D3840000}"/>
    <cellStyle name="Separador de milhares 2 3 9" xfId="23769" xr:uid="{00000000-0005-0000-0000-0000D4840000}"/>
    <cellStyle name="Separador de milhares 2 30" xfId="23770" xr:uid="{00000000-0005-0000-0000-0000D5840000}"/>
    <cellStyle name="Separador de milhares 2 31" xfId="23771" xr:uid="{00000000-0005-0000-0000-0000D6840000}"/>
    <cellStyle name="Separador de milhares 2 32" xfId="23772" xr:uid="{00000000-0005-0000-0000-0000D7840000}"/>
    <cellStyle name="Separador de milhares 2 33" xfId="23773" xr:uid="{00000000-0005-0000-0000-0000D8840000}"/>
    <cellStyle name="Separador de milhares 2 33 2" xfId="23774" xr:uid="{00000000-0005-0000-0000-0000D9840000}"/>
    <cellStyle name="Separador de milhares 2 33 3" xfId="23775" xr:uid="{00000000-0005-0000-0000-0000DA840000}"/>
    <cellStyle name="Separador de milhares 2 33 4" xfId="23776" xr:uid="{00000000-0005-0000-0000-0000DB840000}"/>
    <cellStyle name="Separador de milhares 2 33 5" xfId="23777" xr:uid="{00000000-0005-0000-0000-0000DC840000}"/>
    <cellStyle name="Separador de milhares 2 33 6" xfId="23778" xr:uid="{00000000-0005-0000-0000-0000DD840000}"/>
    <cellStyle name="Separador de milhares 2 33 7" xfId="23779" xr:uid="{00000000-0005-0000-0000-0000DE840000}"/>
    <cellStyle name="Separador de milhares 2 34" xfId="23780" xr:uid="{00000000-0005-0000-0000-0000DF840000}"/>
    <cellStyle name="Separador de milhares 2 35" xfId="23781" xr:uid="{00000000-0005-0000-0000-0000E0840000}"/>
    <cellStyle name="Separador de milhares 2 36" xfId="23782" xr:uid="{00000000-0005-0000-0000-0000E1840000}"/>
    <cellStyle name="Separador de milhares 2 37" xfId="23783" xr:uid="{00000000-0005-0000-0000-0000E2840000}"/>
    <cellStyle name="Separador de milhares 2 37 10" xfId="23784" xr:uid="{00000000-0005-0000-0000-0000E3840000}"/>
    <cellStyle name="Separador de milhares 2 37 11" xfId="23785" xr:uid="{00000000-0005-0000-0000-0000E4840000}"/>
    <cellStyle name="Separador de milhares 2 37 12" xfId="23786" xr:uid="{00000000-0005-0000-0000-0000E5840000}"/>
    <cellStyle name="Separador de milhares 2 37 13" xfId="23787" xr:uid="{00000000-0005-0000-0000-0000E6840000}"/>
    <cellStyle name="Separador de milhares 2 37 14" xfId="23788" xr:uid="{00000000-0005-0000-0000-0000E7840000}"/>
    <cellStyle name="Separador de milhares 2 37 15" xfId="23789" xr:uid="{00000000-0005-0000-0000-0000E8840000}"/>
    <cellStyle name="Separador de milhares 2 37 16" xfId="23790" xr:uid="{00000000-0005-0000-0000-0000E9840000}"/>
    <cellStyle name="Separador de milhares 2 37 2" xfId="23791" xr:uid="{00000000-0005-0000-0000-0000EA840000}"/>
    <cellStyle name="Separador de milhares 2 37 3" xfId="23792" xr:uid="{00000000-0005-0000-0000-0000EB840000}"/>
    <cellStyle name="Separador de milhares 2 37 4" xfId="23793" xr:uid="{00000000-0005-0000-0000-0000EC840000}"/>
    <cellStyle name="Separador de milhares 2 37 5" xfId="23794" xr:uid="{00000000-0005-0000-0000-0000ED840000}"/>
    <cellStyle name="Separador de milhares 2 37 6" xfId="23795" xr:uid="{00000000-0005-0000-0000-0000EE840000}"/>
    <cellStyle name="Separador de milhares 2 37 7" xfId="23796" xr:uid="{00000000-0005-0000-0000-0000EF840000}"/>
    <cellStyle name="Separador de milhares 2 37 8" xfId="23797" xr:uid="{00000000-0005-0000-0000-0000F0840000}"/>
    <cellStyle name="Separador de milhares 2 37 9" xfId="23798" xr:uid="{00000000-0005-0000-0000-0000F1840000}"/>
    <cellStyle name="Separador de milhares 2 38" xfId="23799" xr:uid="{00000000-0005-0000-0000-0000F2840000}"/>
    <cellStyle name="Separador de milhares 2 39" xfId="23800" xr:uid="{00000000-0005-0000-0000-0000F3840000}"/>
    <cellStyle name="Separador de milhares 2 39 10" xfId="23801" xr:uid="{00000000-0005-0000-0000-0000F4840000}"/>
    <cellStyle name="Separador de milhares 2 39 10 2" xfId="23802" xr:uid="{00000000-0005-0000-0000-0000F5840000}"/>
    <cellStyle name="Separador de milhares 2 39 10 2 2" xfId="38833" xr:uid="{00000000-0005-0000-0000-0000F6840000}"/>
    <cellStyle name="Separador de milhares 2 39 10 3" xfId="23803" xr:uid="{00000000-0005-0000-0000-0000F7840000}"/>
    <cellStyle name="Separador de milhares 2 39 10 3 2" xfId="38834" xr:uid="{00000000-0005-0000-0000-0000F8840000}"/>
    <cellStyle name="Separador de milhares 2 39 10 4" xfId="23804" xr:uid="{00000000-0005-0000-0000-0000F9840000}"/>
    <cellStyle name="Separador de milhares 2 39 10 4 2" xfId="38835" xr:uid="{00000000-0005-0000-0000-0000FA840000}"/>
    <cellStyle name="Separador de milhares 2 39 10 5" xfId="23805" xr:uid="{00000000-0005-0000-0000-0000FB840000}"/>
    <cellStyle name="Separador de milhares 2 39 10 5 2" xfId="38836" xr:uid="{00000000-0005-0000-0000-0000FC840000}"/>
    <cellStyle name="Separador de milhares 2 39 10 6" xfId="38832" xr:uid="{00000000-0005-0000-0000-0000FD840000}"/>
    <cellStyle name="Separador de milhares 2 39 11" xfId="23806" xr:uid="{00000000-0005-0000-0000-0000FE840000}"/>
    <cellStyle name="Separador de milhares 2 39 11 2" xfId="23807" xr:uid="{00000000-0005-0000-0000-0000FF840000}"/>
    <cellStyle name="Separador de milhares 2 39 11 2 2" xfId="38838" xr:uid="{00000000-0005-0000-0000-000000850000}"/>
    <cellStyle name="Separador de milhares 2 39 11 3" xfId="23808" xr:uid="{00000000-0005-0000-0000-000001850000}"/>
    <cellStyle name="Separador de milhares 2 39 11 3 2" xfId="38839" xr:uid="{00000000-0005-0000-0000-000002850000}"/>
    <cellStyle name="Separador de milhares 2 39 11 4" xfId="23809" xr:uid="{00000000-0005-0000-0000-000003850000}"/>
    <cellStyle name="Separador de milhares 2 39 11 4 2" xfId="38840" xr:uid="{00000000-0005-0000-0000-000004850000}"/>
    <cellStyle name="Separador de milhares 2 39 11 5" xfId="23810" xr:uid="{00000000-0005-0000-0000-000005850000}"/>
    <cellStyle name="Separador de milhares 2 39 11 5 2" xfId="38841" xr:uid="{00000000-0005-0000-0000-000006850000}"/>
    <cellStyle name="Separador de milhares 2 39 11 6" xfId="38837" xr:uid="{00000000-0005-0000-0000-000007850000}"/>
    <cellStyle name="Separador de milhares 2 39 12" xfId="23811" xr:uid="{00000000-0005-0000-0000-000008850000}"/>
    <cellStyle name="Separador de milhares 2 39 12 2" xfId="23812" xr:uid="{00000000-0005-0000-0000-000009850000}"/>
    <cellStyle name="Separador de milhares 2 39 12 2 2" xfId="38843" xr:uid="{00000000-0005-0000-0000-00000A850000}"/>
    <cellStyle name="Separador de milhares 2 39 12 3" xfId="23813" xr:uid="{00000000-0005-0000-0000-00000B850000}"/>
    <cellStyle name="Separador de milhares 2 39 12 3 2" xfId="38844" xr:uid="{00000000-0005-0000-0000-00000C850000}"/>
    <cellStyle name="Separador de milhares 2 39 12 4" xfId="23814" xr:uid="{00000000-0005-0000-0000-00000D850000}"/>
    <cellStyle name="Separador de milhares 2 39 12 4 2" xfId="38845" xr:uid="{00000000-0005-0000-0000-00000E850000}"/>
    <cellStyle name="Separador de milhares 2 39 12 5" xfId="23815" xr:uid="{00000000-0005-0000-0000-00000F850000}"/>
    <cellStyle name="Separador de milhares 2 39 12 5 2" xfId="38846" xr:uid="{00000000-0005-0000-0000-000010850000}"/>
    <cellStyle name="Separador de milhares 2 39 12 6" xfId="38842" xr:uid="{00000000-0005-0000-0000-000011850000}"/>
    <cellStyle name="Separador de milhares 2 39 13" xfId="23816" xr:uid="{00000000-0005-0000-0000-000012850000}"/>
    <cellStyle name="Separador de milhares 2 39 13 2" xfId="23817" xr:uid="{00000000-0005-0000-0000-000013850000}"/>
    <cellStyle name="Separador de milhares 2 39 13 2 2" xfId="38848" xr:uid="{00000000-0005-0000-0000-000014850000}"/>
    <cellStyle name="Separador de milhares 2 39 13 3" xfId="23818" xr:uid="{00000000-0005-0000-0000-000015850000}"/>
    <cellStyle name="Separador de milhares 2 39 13 3 2" xfId="38849" xr:uid="{00000000-0005-0000-0000-000016850000}"/>
    <cellStyle name="Separador de milhares 2 39 13 4" xfId="23819" xr:uid="{00000000-0005-0000-0000-000017850000}"/>
    <cellStyle name="Separador de milhares 2 39 13 4 2" xfId="38850" xr:uid="{00000000-0005-0000-0000-000018850000}"/>
    <cellStyle name="Separador de milhares 2 39 13 5" xfId="23820" xr:uid="{00000000-0005-0000-0000-000019850000}"/>
    <cellStyle name="Separador de milhares 2 39 13 5 2" xfId="38851" xr:uid="{00000000-0005-0000-0000-00001A850000}"/>
    <cellStyle name="Separador de milhares 2 39 13 6" xfId="38847" xr:uid="{00000000-0005-0000-0000-00001B850000}"/>
    <cellStyle name="Separador de milhares 2 39 14" xfId="23821" xr:uid="{00000000-0005-0000-0000-00001C850000}"/>
    <cellStyle name="Separador de milhares 2 39 14 2" xfId="23822" xr:uid="{00000000-0005-0000-0000-00001D850000}"/>
    <cellStyle name="Separador de milhares 2 39 14 2 2" xfId="38853" xr:uid="{00000000-0005-0000-0000-00001E850000}"/>
    <cellStyle name="Separador de milhares 2 39 14 3" xfId="23823" xr:uid="{00000000-0005-0000-0000-00001F850000}"/>
    <cellStyle name="Separador de milhares 2 39 14 3 2" xfId="38854" xr:uid="{00000000-0005-0000-0000-000020850000}"/>
    <cellStyle name="Separador de milhares 2 39 14 4" xfId="23824" xr:uid="{00000000-0005-0000-0000-000021850000}"/>
    <cellStyle name="Separador de milhares 2 39 14 4 2" xfId="38855" xr:uid="{00000000-0005-0000-0000-000022850000}"/>
    <cellStyle name="Separador de milhares 2 39 14 5" xfId="23825" xr:uid="{00000000-0005-0000-0000-000023850000}"/>
    <cellStyle name="Separador de milhares 2 39 14 5 2" xfId="38856" xr:uid="{00000000-0005-0000-0000-000024850000}"/>
    <cellStyle name="Separador de milhares 2 39 14 6" xfId="38852" xr:uid="{00000000-0005-0000-0000-000025850000}"/>
    <cellStyle name="Separador de milhares 2 39 15" xfId="23826" xr:uid="{00000000-0005-0000-0000-000026850000}"/>
    <cellStyle name="Separador de milhares 2 39 15 2" xfId="23827" xr:uid="{00000000-0005-0000-0000-000027850000}"/>
    <cellStyle name="Separador de milhares 2 39 15 2 2" xfId="38858" xr:uid="{00000000-0005-0000-0000-000028850000}"/>
    <cellStyle name="Separador de milhares 2 39 15 3" xfId="23828" xr:uid="{00000000-0005-0000-0000-000029850000}"/>
    <cellStyle name="Separador de milhares 2 39 15 3 2" xfId="38859" xr:uid="{00000000-0005-0000-0000-00002A850000}"/>
    <cellStyle name="Separador de milhares 2 39 15 4" xfId="23829" xr:uid="{00000000-0005-0000-0000-00002B850000}"/>
    <cellStyle name="Separador de milhares 2 39 15 4 2" xfId="38860" xr:uid="{00000000-0005-0000-0000-00002C850000}"/>
    <cellStyle name="Separador de milhares 2 39 15 5" xfId="23830" xr:uid="{00000000-0005-0000-0000-00002D850000}"/>
    <cellStyle name="Separador de milhares 2 39 15 5 2" xfId="38861" xr:uid="{00000000-0005-0000-0000-00002E850000}"/>
    <cellStyle name="Separador de milhares 2 39 15 6" xfId="38857" xr:uid="{00000000-0005-0000-0000-00002F850000}"/>
    <cellStyle name="Separador de milhares 2 39 16" xfId="23831" xr:uid="{00000000-0005-0000-0000-000030850000}"/>
    <cellStyle name="Separador de milhares 2 39 16 2" xfId="23832" xr:uid="{00000000-0005-0000-0000-000031850000}"/>
    <cellStyle name="Separador de milhares 2 39 16 2 2" xfId="38863" xr:uid="{00000000-0005-0000-0000-000032850000}"/>
    <cellStyle name="Separador de milhares 2 39 16 3" xfId="23833" xr:uid="{00000000-0005-0000-0000-000033850000}"/>
    <cellStyle name="Separador de milhares 2 39 16 3 2" xfId="38864" xr:uid="{00000000-0005-0000-0000-000034850000}"/>
    <cellStyle name="Separador de milhares 2 39 16 4" xfId="23834" xr:uid="{00000000-0005-0000-0000-000035850000}"/>
    <cellStyle name="Separador de milhares 2 39 16 4 2" xfId="38865" xr:uid="{00000000-0005-0000-0000-000036850000}"/>
    <cellStyle name="Separador de milhares 2 39 16 5" xfId="23835" xr:uid="{00000000-0005-0000-0000-000037850000}"/>
    <cellStyle name="Separador de milhares 2 39 16 5 2" xfId="38866" xr:uid="{00000000-0005-0000-0000-000038850000}"/>
    <cellStyle name="Separador de milhares 2 39 16 6" xfId="38862" xr:uid="{00000000-0005-0000-0000-000039850000}"/>
    <cellStyle name="Separador de milhares 2 39 17" xfId="23836" xr:uid="{00000000-0005-0000-0000-00003A850000}"/>
    <cellStyle name="Separador de milhares 2 39 17 2" xfId="38867" xr:uid="{00000000-0005-0000-0000-00003B850000}"/>
    <cellStyle name="Separador de milhares 2 39 18" xfId="23837" xr:uid="{00000000-0005-0000-0000-00003C850000}"/>
    <cellStyle name="Separador de milhares 2 39 18 2" xfId="38868" xr:uid="{00000000-0005-0000-0000-00003D850000}"/>
    <cellStyle name="Separador de milhares 2 39 19" xfId="23838" xr:uid="{00000000-0005-0000-0000-00003E850000}"/>
    <cellStyle name="Separador de milhares 2 39 19 2" xfId="38869" xr:uid="{00000000-0005-0000-0000-00003F850000}"/>
    <cellStyle name="Separador de milhares 2 39 2" xfId="23839" xr:uid="{00000000-0005-0000-0000-000040850000}"/>
    <cellStyle name="Separador de milhares 2 39 2 10" xfId="23840" xr:uid="{00000000-0005-0000-0000-000041850000}"/>
    <cellStyle name="Separador de milhares 2 39 2 10 2" xfId="38871" xr:uid="{00000000-0005-0000-0000-000042850000}"/>
    <cellStyle name="Separador de milhares 2 39 2 11" xfId="23841" xr:uid="{00000000-0005-0000-0000-000043850000}"/>
    <cellStyle name="Separador de milhares 2 39 2 11 2" xfId="38872" xr:uid="{00000000-0005-0000-0000-000044850000}"/>
    <cellStyle name="Separador de milhares 2 39 2 12" xfId="38870" xr:uid="{00000000-0005-0000-0000-000045850000}"/>
    <cellStyle name="Separador de milhares 2 39 2 2" xfId="23842" xr:uid="{00000000-0005-0000-0000-000046850000}"/>
    <cellStyle name="Separador de milhares 2 39 2 2 2" xfId="23843" xr:uid="{00000000-0005-0000-0000-000047850000}"/>
    <cellStyle name="Separador de milhares 2 39 2 2 2 2" xfId="38874" xr:uid="{00000000-0005-0000-0000-000048850000}"/>
    <cellStyle name="Separador de milhares 2 39 2 2 3" xfId="23844" xr:uid="{00000000-0005-0000-0000-000049850000}"/>
    <cellStyle name="Separador de milhares 2 39 2 2 3 2" xfId="38875" xr:uid="{00000000-0005-0000-0000-00004A850000}"/>
    <cellStyle name="Separador de milhares 2 39 2 2 4" xfId="23845" xr:uid="{00000000-0005-0000-0000-00004B850000}"/>
    <cellStyle name="Separador de milhares 2 39 2 2 4 2" xfId="38876" xr:uid="{00000000-0005-0000-0000-00004C850000}"/>
    <cellStyle name="Separador de milhares 2 39 2 2 5" xfId="23846" xr:uid="{00000000-0005-0000-0000-00004D850000}"/>
    <cellStyle name="Separador de milhares 2 39 2 2 5 2" xfId="38877" xr:uid="{00000000-0005-0000-0000-00004E850000}"/>
    <cellStyle name="Separador de milhares 2 39 2 2 6" xfId="38873" xr:uid="{00000000-0005-0000-0000-00004F850000}"/>
    <cellStyle name="Separador de milhares 2 39 2 3" xfId="23847" xr:uid="{00000000-0005-0000-0000-000050850000}"/>
    <cellStyle name="Separador de milhares 2 39 2 3 2" xfId="23848" xr:uid="{00000000-0005-0000-0000-000051850000}"/>
    <cellStyle name="Separador de milhares 2 39 2 3 2 2" xfId="38879" xr:uid="{00000000-0005-0000-0000-000052850000}"/>
    <cellStyle name="Separador de milhares 2 39 2 3 3" xfId="23849" xr:uid="{00000000-0005-0000-0000-000053850000}"/>
    <cellStyle name="Separador de milhares 2 39 2 3 3 2" xfId="38880" xr:uid="{00000000-0005-0000-0000-000054850000}"/>
    <cellStyle name="Separador de milhares 2 39 2 3 4" xfId="23850" xr:uid="{00000000-0005-0000-0000-000055850000}"/>
    <cellStyle name="Separador de milhares 2 39 2 3 4 2" xfId="38881" xr:uid="{00000000-0005-0000-0000-000056850000}"/>
    <cellStyle name="Separador de milhares 2 39 2 3 5" xfId="23851" xr:uid="{00000000-0005-0000-0000-000057850000}"/>
    <cellStyle name="Separador de milhares 2 39 2 3 5 2" xfId="38882" xr:uid="{00000000-0005-0000-0000-000058850000}"/>
    <cellStyle name="Separador de milhares 2 39 2 3 6" xfId="38878" xr:uid="{00000000-0005-0000-0000-000059850000}"/>
    <cellStyle name="Separador de milhares 2 39 2 4" xfId="23852" xr:uid="{00000000-0005-0000-0000-00005A850000}"/>
    <cellStyle name="Separador de milhares 2 39 2 4 2" xfId="23853" xr:uid="{00000000-0005-0000-0000-00005B850000}"/>
    <cellStyle name="Separador de milhares 2 39 2 4 2 2" xfId="38884" xr:uid="{00000000-0005-0000-0000-00005C850000}"/>
    <cellStyle name="Separador de milhares 2 39 2 4 3" xfId="23854" xr:uid="{00000000-0005-0000-0000-00005D850000}"/>
    <cellStyle name="Separador de milhares 2 39 2 4 3 2" xfId="38885" xr:uid="{00000000-0005-0000-0000-00005E850000}"/>
    <cellStyle name="Separador de milhares 2 39 2 4 4" xfId="23855" xr:uid="{00000000-0005-0000-0000-00005F850000}"/>
    <cellStyle name="Separador de milhares 2 39 2 4 4 2" xfId="38886" xr:uid="{00000000-0005-0000-0000-000060850000}"/>
    <cellStyle name="Separador de milhares 2 39 2 4 5" xfId="23856" xr:uid="{00000000-0005-0000-0000-000061850000}"/>
    <cellStyle name="Separador de milhares 2 39 2 4 5 2" xfId="38887" xr:uid="{00000000-0005-0000-0000-000062850000}"/>
    <cellStyle name="Separador de milhares 2 39 2 4 6" xfId="38883" xr:uid="{00000000-0005-0000-0000-000063850000}"/>
    <cellStyle name="Separador de milhares 2 39 2 5" xfId="23857" xr:uid="{00000000-0005-0000-0000-000064850000}"/>
    <cellStyle name="Separador de milhares 2 39 2 5 2" xfId="23858" xr:uid="{00000000-0005-0000-0000-000065850000}"/>
    <cellStyle name="Separador de milhares 2 39 2 5 2 2" xfId="38889" xr:uid="{00000000-0005-0000-0000-000066850000}"/>
    <cellStyle name="Separador de milhares 2 39 2 5 3" xfId="23859" xr:uid="{00000000-0005-0000-0000-000067850000}"/>
    <cellStyle name="Separador de milhares 2 39 2 5 3 2" xfId="38890" xr:uid="{00000000-0005-0000-0000-000068850000}"/>
    <cellStyle name="Separador de milhares 2 39 2 5 4" xfId="23860" xr:uid="{00000000-0005-0000-0000-000069850000}"/>
    <cellStyle name="Separador de milhares 2 39 2 5 4 2" xfId="38891" xr:uid="{00000000-0005-0000-0000-00006A850000}"/>
    <cellStyle name="Separador de milhares 2 39 2 5 5" xfId="23861" xr:uid="{00000000-0005-0000-0000-00006B850000}"/>
    <cellStyle name="Separador de milhares 2 39 2 5 5 2" xfId="38892" xr:uid="{00000000-0005-0000-0000-00006C850000}"/>
    <cellStyle name="Separador de milhares 2 39 2 5 6" xfId="38888" xr:uid="{00000000-0005-0000-0000-00006D850000}"/>
    <cellStyle name="Separador de milhares 2 39 2 6" xfId="23862" xr:uid="{00000000-0005-0000-0000-00006E850000}"/>
    <cellStyle name="Separador de milhares 2 39 2 6 2" xfId="23863" xr:uid="{00000000-0005-0000-0000-00006F850000}"/>
    <cellStyle name="Separador de milhares 2 39 2 6 2 2" xfId="38894" xr:uid="{00000000-0005-0000-0000-000070850000}"/>
    <cellStyle name="Separador de milhares 2 39 2 6 3" xfId="23864" xr:uid="{00000000-0005-0000-0000-000071850000}"/>
    <cellStyle name="Separador de milhares 2 39 2 6 3 2" xfId="38895" xr:uid="{00000000-0005-0000-0000-000072850000}"/>
    <cellStyle name="Separador de milhares 2 39 2 6 4" xfId="23865" xr:uid="{00000000-0005-0000-0000-000073850000}"/>
    <cellStyle name="Separador de milhares 2 39 2 6 4 2" xfId="38896" xr:uid="{00000000-0005-0000-0000-000074850000}"/>
    <cellStyle name="Separador de milhares 2 39 2 6 5" xfId="23866" xr:uid="{00000000-0005-0000-0000-000075850000}"/>
    <cellStyle name="Separador de milhares 2 39 2 6 5 2" xfId="38897" xr:uid="{00000000-0005-0000-0000-000076850000}"/>
    <cellStyle name="Separador de milhares 2 39 2 6 6" xfId="38893" xr:uid="{00000000-0005-0000-0000-000077850000}"/>
    <cellStyle name="Separador de milhares 2 39 2 7" xfId="23867" xr:uid="{00000000-0005-0000-0000-000078850000}"/>
    <cellStyle name="Separador de milhares 2 39 2 7 2" xfId="23868" xr:uid="{00000000-0005-0000-0000-000079850000}"/>
    <cellStyle name="Separador de milhares 2 39 2 7 2 2" xfId="38899" xr:uid="{00000000-0005-0000-0000-00007A850000}"/>
    <cellStyle name="Separador de milhares 2 39 2 7 3" xfId="23869" xr:uid="{00000000-0005-0000-0000-00007B850000}"/>
    <cellStyle name="Separador de milhares 2 39 2 7 3 2" xfId="38900" xr:uid="{00000000-0005-0000-0000-00007C850000}"/>
    <cellStyle name="Separador de milhares 2 39 2 7 4" xfId="23870" xr:uid="{00000000-0005-0000-0000-00007D850000}"/>
    <cellStyle name="Separador de milhares 2 39 2 7 4 2" xfId="38901" xr:uid="{00000000-0005-0000-0000-00007E850000}"/>
    <cellStyle name="Separador de milhares 2 39 2 7 5" xfId="23871" xr:uid="{00000000-0005-0000-0000-00007F850000}"/>
    <cellStyle name="Separador de milhares 2 39 2 7 5 2" xfId="38902" xr:uid="{00000000-0005-0000-0000-000080850000}"/>
    <cellStyle name="Separador de milhares 2 39 2 7 6" xfId="38898" xr:uid="{00000000-0005-0000-0000-000081850000}"/>
    <cellStyle name="Separador de milhares 2 39 2 8" xfId="23872" xr:uid="{00000000-0005-0000-0000-000082850000}"/>
    <cellStyle name="Separador de milhares 2 39 2 8 2" xfId="38903" xr:uid="{00000000-0005-0000-0000-000083850000}"/>
    <cellStyle name="Separador de milhares 2 39 2 9" xfId="23873" xr:uid="{00000000-0005-0000-0000-000084850000}"/>
    <cellStyle name="Separador de milhares 2 39 2 9 2" xfId="38904" xr:uid="{00000000-0005-0000-0000-000085850000}"/>
    <cellStyle name="Separador de milhares 2 39 20" xfId="23874" xr:uid="{00000000-0005-0000-0000-000086850000}"/>
    <cellStyle name="Separador de milhares 2 39 20 2" xfId="38905" xr:uid="{00000000-0005-0000-0000-000087850000}"/>
    <cellStyle name="Separador de milhares 2 39 21" xfId="38831" xr:uid="{00000000-0005-0000-0000-000088850000}"/>
    <cellStyle name="Separador de milhares 2 39 3" xfId="23875" xr:uid="{00000000-0005-0000-0000-000089850000}"/>
    <cellStyle name="Separador de milhares 2 39 3 2" xfId="23876" xr:uid="{00000000-0005-0000-0000-00008A850000}"/>
    <cellStyle name="Separador de milhares 2 39 3 2 2" xfId="23877" xr:uid="{00000000-0005-0000-0000-00008B850000}"/>
    <cellStyle name="Separador de milhares 2 39 3 2 2 2" xfId="38908" xr:uid="{00000000-0005-0000-0000-00008C850000}"/>
    <cellStyle name="Separador de milhares 2 39 3 2 3" xfId="23878" xr:uid="{00000000-0005-0000-0000-00008D850000}"/>
    <cellStyle name="Separador de milhares 2 39 3 2 3 2" xfId="38909" xr:uid="{00000000-0005-0000-0000-00008E850000}"/>
    <cellStyle name="Separador de milhares 2 39 3 2 4" xfId="23879" xr:uid="{00000000-0005-0000-0000-00008F850000}"/>
    <cellStyle name="Separador de milhares 2 39 3 2 4 2" xfId="38910" xr:uid="{00000000-0005-0000-0000-000090850000}"/>
    <cellStyle name="Separador de milhares 2 39 3 2 5" xfId="23880" xr:uid="{00000000-0005-0000-0000-000091850000}"/>
    <cellStyle name="Separador de milhares 2 39 3 2 5 2" xfId="38911" xr:uid="{00000000-0005-0000-0000-000092850000}"/>
    <cellStyle name="Separador de milhares 2 39 3 2 6" xfId="38907" xr:uid="{00000000-0005-0000-0000-000093850000}"/>
    <cellStyle name="Separador de milhares 2 39 3 3" xfId="23881" xr:uid="{00000000-0005-0000-0000-000094850000}"/>
    <cellStyle name="Separador de milhares 2 39 3 3 2" xfId="38912" xr:uid="{00000000-0005-0000-0000-000095850000}"/>
    <cellStyle name="Separador de milhares 2 39 3 4" xfId="23882" xr:uid="{00000000-0005-0000-0000-000096850000}"/>
    <cellStyle name="Separador de milhares 2 39 3 4 2" xfId="38913" xr:uid="{00000000-0005-0000-0000-000097850000}"/>
    <cellStyle name="Separador de milhares 2 39 3 5" xfId="23883" xr:uid="{00000000-0005-0000-0000-000098850000}"/>
    <cellStyle name="Separador de milhares 2 39 3 5 2" xfId="38914" xr:uid="{00000000-0005-0000-0000-000099850000}"/>
    <cellStyle name="Separador de milhares 2 39 3 6" xfId="23884" xr:uid="{00000000-0005-0000-0000-00009A850000}"/>
    <cellStyle name="Separador de milhares 2 39 3 6 2" xfId="38915" xr:uid="{00000000-0005-0000-0000-00009B850000}"/>
    <cellStyle name="Separador de milhares 2 39 3 7" xfId="38906" xr:uid="{00000000-0005-0000-0000-00009C850000}"/>
    <cellStyle name="Separador de milhares 2 39 4" xfId="23885" xr:uid="{00000000-0005-0000-0000-00009D850000}"/>
    <cellStyle name="Separador de milhares 2 39 4 2" xfId="23886" xr:uid="{00000000-0005-0000-0000-00009E850000}"/>
    <cellStyle name="Separador de milhares 2 39 4 2 2" xfId="23887" xr:uid="{00000000-0005-0000-0000-00009F850000}"/>
    <cellStyle name="Separador de milhares 2 39 4 2 2 2" xfId="38918" xr:uid="{00000000-0005-0000-0000-0000A0850000}"/>
    <cellStyle name="Separador de milhares 2 39 4 2 3" xfId="23888" xr:uid="{00000000-0005-0000-0000-0000A1850000}"/>
    <cellStyle name="Separador de milhares 2 39 4 2 3 2" xfId="38919" xr:uid="{00000000-0005-0000-0000-0000A2850000}"/>
    <cellStyle name="Separador de milhares 2 39 4 2 4" xfId="23889" xr:uid="{00000000-0005-0000-0000-0000A3850000}"/>
    <cellStyle name="Separador de milhares 2 39 4 2 4 2" xfId="38920" xr:uid="{00000000-0005-0000-0000-0000A4850000}"/>
    <cellStyle name="Separador de milhares 2 39 4 2 5" xfId="23890" xr:uid="{00000000-0005-0000-0000-0000A5850000}"/>
    <cellStyle name="Separador de milhares 2 39 4 2 5 2" xfId="38921" xr:uid="{00000000-0005-0000-0000-0000A6850000}"/>
    <cellStyle name="Separador de milhares 2 39 4 2 6" xfId="38917" xr:uid="{00000000-0005-0000-0000-0000A7850000}"/>
    <cellStyle name="Separador de milhares 2 39 4 3" xfId="23891" xr:uid="{00000000-0005-0000-0000-0000A8850000}"/>
    <cellStyle name="Separador de milhares 2 39 4 3 2" xfId="38922" xr:uid="{00000000-0005-0000-0000-0000A9850000}"/>
    <cellStyle name="Separador de milhares 2 39 4 4" xfId="23892" xr:uid="{00000000-0005-0000-0000-0000AA850000}"/>
    <cellStyle name="Separador de milhares 2 39 4 4 2" xfId="38923" xr:uid="{00000000-0005-0000-0000-0000AB850000}"/>
    <cellStyle name="Separador de milhares 2 39 4 5" xfId="23893" xr:uid="{00000000-0005-0000-0000-0000AC850000}"/>
    <cellStyle name="Separador de milhares 2 39 4 5 2" xfId="38924" xr:uid="{00000000-0005-0000-0000-0000AD850000}"/>
    <cellStyle name="Separador de milhares 2 39 4 6" xfId="23894" xr:uid="{00000000-0005-0000-0000-0000AE850000}"/>
    <cellStyle name="Separador de milhares 2 39 4 6 2" xfId="38925" xr:uid="{00000000-0005-0000-0000-0000AF850000}"/>
    <cellStyle name="Separador de milhares 2 39 4 7" xfId="38916" xr:uid="{00000000-0005-0000-0000-0000B0850000}"/>
    <cellStyle name="Separador de milhares 2 39 5" xfId="23895" xr:uid="{00000000-0005-0000-0000-0000B1850000}"/>
    <cellStyle name="Separador de milhares 2 39 5 2" xfId="23896" xr:uid="{00000000-0005-0000-0000-0000B2850000}"/>
    <cellStyle name="Separador de milhares 2 39 5 2 2" xfId="38927" xr:uid="{00000000-0005-0000-0000-0000B3850000}"/>
    <cellStyle name="Separador de milhares 2 39 5 3" xfId="23897" xr:uid="{00000000-0005-0000-0000-0000B4850000}"/>
    <cellStyle name="Separador de milhares 2 39 5 3 2" xfId="38928" xr:uid="{00000000-0005-0000-0000-0000B5850000}"/>
    <cellStyle name="Separador de milhares 2 39 5 4" xfId="23898" xr:uid="{00000000-0005-0000-0000-0000B6850000}"/>
    <cellStyle name="Separador de milhares 2 39 5 4 2" xfId="38929" xr:uid="{00000000-0005-0000-0000-0000B7850000}"/>
    <cellStyle name="Separador de milhares 2 39 5 5" xfId="23899" xr:uid="{00000000-0005-0000-0000-0000B8850000}"/>
    <cellStyle name="Separador de milhares 2 39 5 5 2" xfId="38930" xr:uid="{00000000-0005-0000-0000-0000B9850000}"/>
    <cellStyle name="Separador de milhares 2 39 5 6" xfId="38926" xr:uid="{00000000-0005-0000-0000-0000BA850000}"/>
    <cellStyle name="Separador de milhares 2 39 6" xfId="23900" xr:uid="{00000000-0005-0000-0000-0000BB850000}"/>
    <cellStyle name="Separador de milhares 2 39 6 2" xfId="23901" xr:uid="{00000000-0005-0000-0000-0000BC850000}"/>
    <cellStyle name="Separador de milhares 2 39 6 2 2" xfId="38932" xr:uid="{00000000-0005-0000-0000-0000BD850000}"/>
    <cellStyle name="Separador de milhares 2 39 6 3" xfId="23902" xr:uid="{00000000-0005-0000-0000-0000BE850000}"/>
    <cellStyle name="Separador de milhares 2 39 6 3 2" xfId="38933" xr:uid="{00000000-0005-0000-0000-0000BF850000}"/>
    <cellStyle name="Separador de milhares 2 39 6 4" xfId="23903" xr:uid="{00000000-0005-0000-0000-0000C0850000}"/>
    <cellStyle name="Separador de milhares 2 39 6 4 2" xfId="38934" xr:uid="{00000000-0005-0000-0000-0000C1850000}"/>
    <cellStyle name="Separador de milhares 2 39 6 5" xfId="23904" xr:uid="{00000000-0005-0000-0000-0000C2850000}"/>
    <cellStyle name="Separador de milhares 2 39 6 5 2" xfId="38935" xr:uid="{00000000-0005-0000-0000-0000C3850000}"/>
    <cellStyle name="Separador de milhares 2 39 6 6" xfId="38931" xr:uid="{00000000-0005-0000-0000-0000C4850000}"/>
    <cellStyle name="Separador de milhares 2 39 7" xfId="23905" xr:uid="{00000000-0005-0000-0000-0000C5850000}"/>
    <cellStyle name="Separador de milhares 2 39 7 2" xfId="23906" xr:uid="{00000000-0005-0000-0000-0000C6850000}"/>
    <cellStyle name="Separador de milhares 2 39 7 2 2" xfId="38937" xr:uid="{00000000-0005-0000-0000-0000C7850000}"/>
    <cellStyle name="Separador de milhares 2 39 7 3" xfId="23907" xr:uid="{00000000-0005-0000-0000-0000C8850000}"/>
    <cellStyle name="Separador de milhares 2 39 7 3 2" xfId="38938" xr:uid="{00000000-0005-0000-0000-0000C9850000}"/>
    <cellStyle name="Separador de milhares 2 39 7 4" xfId="23908" xr:uid="{00000000-0005-0000-0000-0000CA850000}"/>
    <cellStyle name="Separador de milhares 2 39 7 4 2" xfId="38939" xr:uid="{00000000-0005-0000-0000-0000CB850000}"/>
    <cellStyle name="Separador de milhares 2 39 7 5" xfId="23909" xr:uid="{00000000-0005-0000-0000-0000CC850000}"/>
    <cellStyle name="Separador de milhares 2 39 7 5 2" xfId="38940" xr:uid="{00000000-0005-0000-0000-0000CD850000}"/>
    <cellStyle name="Separador de milhares 2 39 7 6" xfId="38936" xr:uid="{00000000-0005-0000-0000-0000CE850000}"/>
    <cellStyle name="Separador de milhares 2 39 8" xfId="23910" xr:uid="{00000000-0005-0000-0000-0000CF850000}"/>
    <cellStyle name="Separador de milhares 2 39 8 2" xfId="23911" xr:uid="{00000000-0005-0000-0000-0000D0850000}"/>
    <cellStyle name="Separador de milhares 2 39 8 2 2" xfId="38942" xr:uid="{00000000-0005-0000-0000-0000D1850000}"/>
    <cellStyle name="Separador de milhares 2 39 8 3" xfId="23912" xr:uid="{00000000-0005-0000-0000-0000D2850000}"/>
    <cellStyle name="Separador de milhares 2 39 8 3 2" xfId="38943" xr:uid="{00000000-0005-0000-0000-0000D3850000}"/>
    <cellStyle name="Separador de milhares 2 39 8 4" xfId="23913" xr:uid="{00000000-0005-0000-0000-0000D4850000}"/>
    <cellStyle name="Separador de milhares 2 39 8 4 2" xfId="38944" xr:uid="{00000000-0005-0000-0000-0000D5850000}"/>
    <cellStyle name="Separador de milhares 2 39 8 5" xfId="23914" xr:uid="{00000000-0005-0000-0000-0000D6850000}"/>
    <cellStyle name="Separador de milhares 2 39 8 5 2" xfId="38945" xr:uid="{00000000-0005-0000-0000-0000D7850000}"/>
    <cellStyle name="Separador de milhares 2 39 8 6" xfId="38941" xr:uid="{00000000-0005-0000-0000-0000D8850000}"/>
    <cellStyle name="Separador de milhares 2 39 9" xfId="23915" xr:uid="{00000000-0005-0000-0000-0000D9850000}"/>
    <cellStyle name="Separador de milhares 2 39 9 2" xfId="23916" xr:uid="{00000000-0005-0000-0000-0000DA850000}"/>
    <cellStyle name="Separador de milhares 2 39 9 2 2" xfId="38947" xr:uid="{00000000-0005-0000-0000-0000DB850000}"/>
    <cellStyle name="Separador de milhares 2 39 9 3" xfId="23917" xr:uid="{00000000-0005-0000-0000-0000DC850000}"/>
    <cellStyle name="Separador de milhares 2 39 9 3 2" xfId="38948" xr:uid="{00000000-0005-0000-0000-0000DD850000}"/>
    <cellStyle name="Separador de milhares 2 39 9 4" xfId="23918" xr:uid="{00000000-0005-0000-0000-0000DE850000}"/>
    <cellStyle name="Separador de milhares 2 39 9 4 2" xfId="38949" xr:uid="{00000000-0005-0000-0000-0000DF850000}"/>
    <cellStyle name="Separador de milhares 2 39 9 5" xfId="23919" xr:uid="{00000000-0005-0000-0000-0000E0850000}"/>
    <cellStyle name="Separador de milhares 2 39 9 5 2" xfId="38950" xr:uid="{00000000-0005-0000-0000-0000E1850000}"/>
    <cellStyle name="Separador de milhares 2 39 9 6" xfId="38946" xr:uid="{00000000-0005-0000-0000-0000E2850000}"/>
    <cellStyle name="Separador de milhares 2 4" xfId="23920" xr:uid="{00000000-0005-0000-0000-0000E3850000}"/>
    <cellStyle name="Separador de milhares 2 4 10" xfId="23921" xr:uid="{00000000-0005-0000-0000-0000E4850000}"/>
    <cellStyle name="Separador de milhares 2 4 11" xfId="23922" xr:uid="{00000000-0005-0000-0000-0000E5850000}"/>
    <cellStyle name="Separador de milhares 2 4 12" xfId="23923" xr:uid="{00000000-0005-0000-0000-0000E6850000}"/>
    <cellStyle name="Separador de milhares 2 4 13" xfId="23924" xr:uid="{00000000-0005-0000-0000-0000E7850000}"/>
    <cellStyle name="Separador de milhares 2 4 14" xfId="23925" xr:uid="{00000000-0005-0000-0000-0000E8850000}"/>
    <cellStyle name="Separador de milhares 2 4 15" xfId="23926" xr:uid="{00000000-0005-0000-0000-0000E9850000}"/>
    <cellStyle name="Separador de milhares 2 4 16" xfId="23927" xr:uid="{00000000-0005-0000-0000-0000EA850000}"/>
    <cellStyle name="Separador de milhares 2 4 17" xfId="23928" xr:uid="{00000000-0005-0000-0000-0000EB850000}"/>
    <cellStyle name="Separador de milhares 2 4 18" xfId="23929" xr:uid="{00000000-0005-0000-0000-0000EC850000}"/>
    <cellStyle name="Separador de milhares 2 4 19" xfId="23930" xr:uid="{00000000-0005-0000-0000-0000ED850000}"/>
    <cellStyle name="Separador de milhares 2 4 2" xfId="23931" xr:uid="{00000000-0005-0000-0000-0000EE850000}"/>
    <cellStyle name="Separador de milhares 2 4 2 2" xfId="23932" xr:uid="{00000000-0005-0000-0000-0000EF850000}"/>
    <cellStyle name="Separador de milhares 2 4 2 3" xfId="23933" xr:uid="{00000000-0005-0000-0000-0000F0850000}"/>
    <cellStyle name="Separador de milhares 2 4 2 4" xfId="23934" xr:uid="{00000000-0005-0000-0000-0000F1850000}"/>
    <cellStyle name="Separador de milhares 2 4 2 5" xfId="23935" xr:uid="{00000000-0005-0000-0000-0000F2850000}"/>
    <cellStyle name="Separador de milhares 2 4 2 6" xfId="23936" xr:uid="{00000000-0005-0000-0000-0000F3850000}"/>
    <cellStyle name="Separador de milhares 2 4 2 7" xfId="23937" xr:uid="{00000000-0005-0000-0000-0000F4850000}"/>
    <cellStyle name="Separador de milhares 2 4 20" xfId="23938" xr:uid="{00000000-0005-0000-0000-0000F5850000}"/>
    <cellStyle name="Separador de milhares 2 4 21" xfId="23939" xr:uid="{00000000-0005-0000-0000-0000F6850000}"/>
    <cellStyle name="Separador de milhares 2 4 22" xfId="23940" xr:uid="{00000000-0005-0000-0000-0000F7850000}"/>
    <cellStyle name="Separador de milhares 2 4 23" xfId="23941" xr:uid="{00000000-0005-0000-0000-0000F8850000}"/>
    <cellStyle name="Separador de milhares 2 4 24" xfId="23942" xr:uid="{00000000-0005-0000-0000-0000F9850000}"/>
    <cellStyle name="Separador de milhares 2 4 25" xfId="23943" xr:uid="{00000000-0005-0000-0000-0000FA850000}"/>
    <cellStyle name="Separador de milhares 2 4 3" xfId="23944" xr:uid="{00000000-0005-0000-0000-0000FB850000}"/>
    <cellStyle name="Separador de milhares 2 4 4" xfId="23945" xr:uid="{00000000-0005-0000-0000-0000FC850000}"/>
    <cellStyle name="Separador de milhares 2 4 5" xfId="23946" xr:uid="{00000000-0005-0000-0000-0000FD850000}"/>
    <cellStyle name="Separador de milhares 2 4 6" xfId="23947" xr:uid="{00000000-0005-0000-0000-0000FE850000}"/>
    <cellStyle name="Separador de milhares 2 4 7" xfId="23948" xr:uid="{00000000-0005-0000-0000-0000FF850000}"/>
    <cellStyle name="Separador de milhares 2 4 8" xfId="23949" xr:uid="{00000000-0005-0000-0000-000000860000}"/>
    <cellStyle name="Separador de milhares 2 4 9" xfId="23950" xr:uid="{00000000-0005-0000-0000-000001860000}"/>
    <cellStyle name="Separador de milhares 2 40" xfId="23951" xr:uid="{00000000-0005-0000-0000-000002860000}"/>
    <cellStyle name="Separador de milhares 2 40 10" xfId="23952" xr:uid="{00000000-0005-0000-0000-000003860000}"/>
    <cellStyle name="Separador de milhares 2 40 10 2" xfId="23953" xr:uid="{00000000-0005-0000-0000-000004860000}"/>
    <cellStyle name="Separador de milhares 2 40 10 2 2" xfId="38953" xr:uid="{00000000-0005-0000-0000-000005860000}"/>
    <cellStyle name="Separador de milhares 2 40 10 3" xfId="23954" xr:uid="{00000000-0005-0000-0000-000006860000}"/>
    <cellStyle name="Separador de milhares 2 40 10 3 2" xfId="38954" xr:uid="{00000000-0005-0000-0000-000007860000}"/>
    <cellStyle name="Separador de milhares 2 40 10 4" xfId="23955" xr:uid="{00000000-0005-0000-0000-000008860000}"/>
    <cellStyle name="Separador de milhares 2 40 10 4 2" xfId="38955" xr:uid="{00000000-0005-0000-0000-000009860000}"/>
    <cellStyle name="Separador de milhares 2 40 10 5" xfId="23956" xr:uid="{00000000-0005-0000-0000-00000A860000}"/>
    <cellStyle name="Separador de milhares 2 40 10 5 2" xfId="38956" xr:uid="{00000000-0005-0000-0000-00000B860000}"/>
    <cellStyle name="Separador de milhares 2 40 10 6" xfId="38952" xr:uid="{00000000-0005-0000-0000-00000C860000}"/>
    <cellStyle name="Separador de milhares 2 40 11" xfId="23957" xr:uid="{00000000-0005-0000-0000-00000D860000}"/>
    <cellStyle name="Separador de milhares 2 40 11 2" xfId="23958" xr:uid="{00000000-0005-0000-0000-00000E860000}"/>
    <cellStyle name="Separador de milhares 2 40 11 2 2" xfId="38958" xr:uid="{00000000-0005-0000-0000-00000F860000}"/>
    <cellStyle name="Separador de milhares 2 40 11 3" xfId="23959" xr:uid="{00000000-0005-0000-0000-000010860000}"/>
    <cellStyle name="Separador de milhares 2 40 11 3 2" xfId="38959" xr:uid="{00000000-0005-0000-0000-000011860000}"/>
    <cellStyle name="Separador de milhares 2 40 11 4" xfId="23960" xr:uid="{00000000-0005-0000-0000-000012860000}"/>
    <cellStyle name="Separador de milhares 2 40 11 4 2" xfId="38960" xr:uid="{00000000-0005-0000-0000-000013860000}"/>
    <cellStyle name="Separador de milhares 2 40 11 5" xfId="23961" xr:uid="{00000000-0005-0000-0000-000014860000}"/>
    <cellStyle name="Separador de milhares 2 40 11 5 2" xfId="38961" xr:uid="{00000000-0005-0000-0000-000015860000}"/>
    <cellStyle name="Separador de milhares 2 40 11 6" xfId="38957" xr:uid="{00000000-0005-0000-0000-000016860000}"/>
    <cellStyle name="Separador de milhares 2 40 12" xfId="23962" xr:uid="{00000000-0005-0000-0000-000017860000}"/>
    <cellStyle name="Separador de milhares 2 40 12 2" xfId="23963" xr:uid="{00000000-0005-0000-0000-000018860000}"/>
    <cellStyle name="Separador de milhares 2 40 12 2 2" xfId="38963" xr:uid="{00000000-0005-0000-0000-000019860000}"/>
    <cellStyle name="Separador de milhares 2 40 12 3" xfId="23964" xr:uid="{00000000-0005-0000-0000-00001A860000}"/>
    <cellStyle name="Separador de milhares 2 40 12 3 2" xfId="38964" xr:uid="{00000000-0005-0000-0000-00001B860000}"/>
    <cellStyle name="Separador de milhares 2 40 12 4" xfId="23965" xr:uid="{00000000-0005-0000-0000-00001C860000}"/>
    <cellStyle name="Separador de milhares 2 40 12 4 2" xfId="38965" xr:uid="{00000000-0005-0000-0000-00001D860000}"/>
    <cellStyle name="Separador de milhares 2 40 12 5" xfId="23966" xr:uid="{00000000-0005-0000-0000-00001E860000}"/>
    <cellStyle name="Separador de milhares 2 40 12 5 2" xfId="38966" xr:uid="{00000000-0005-0000-0000-00001F860000}"/>
    <cellStyle name="Separador de milhares 2 40 12 6" xfId="38962" xr:uid="{00000000-0005-0000-0000-000020860000}"/>
    <cellStyle name="Separador de milhares 2 40 13" xfId="23967" xr:uid="{00000000-0005-0000-0000-000021860000}"/>
    <cellStyle name="Separador de milhares 2 40 13 2" xfId="23968" xr:uid="{00000000-0005-0000-0000-000022860000}"/>
    <cellStyle name="Separador de milhares 2 40 13 2 2" xfId="38968" xr:uid="{00000000-0005-0000-0000-000023860000}"/>
    <cellStyle name="Separador de milhares 2 40 13 3" xfId="23969" xr:uid="{00000000-0005-0000-0000-000024860000}"/>
    <cellStyle name="Separador de milhares 2 40 13 3 2" xfId="38969" xr:uid="{00000000-0005-0000-0000-000025860000}"/>
    <cellStyle name="Separador de milhares 2 40 13 4" xfId="23970" xr:uid="{00000000-0005-0000-0000-000026860000}"/>
    <cellStyle name="Separador de milhares 2 40 13 4 2" xfId="38970" xr:uid="{00000000-0005-0000-0000-000027860000}"/>
    <cellStyle name="Separador de milhares 2 40 13 5" xfId="23971" xr:uid="{00000000-0005-0000-0000-000028860000}"/>
    <cellStyle name="Separador de milhares 2 40 13 5 2" xfId="38971" xr:uid="{00000000-0005-0000-0000-000029860000}"/>
    <cellStyle name="Separador de milhares 2 40 13 6" xfId="38967" xr:uid="{00000000-0005-0000-0000-00002A860000}"/>
    <cellStyle name="Separador de milhares 2 40 14" xfId="23972" xr:uid="{00000000-0005-0000-0000-00002B860000}"/>
    <cellStyle name="Separador de milhares 2 40 14 2" xfId="23973" xr:uid="{00000000-0005-0000-0000-00002C860000}"/>
    <cellStyle name="Separador de milhares 2 40 14 2 2" xfId="38973" xr:uid="{00000000-0005-0000-0000-00002D860000}"/>
    <cellStyle name="Separador de milhares 2 40 14 3" xfId="23974" xr:uid="{00000000-0005-0000-0000-00002E860000}"/>
    <cellStyle name="Separador de milhares 2 40 14 3 2" xfId="38974" xr:uid="{00000000-0005-0000-0000-00002F860000}"/>
    <cellStyle name="Separador de milhares 2 40 14 4" xfId="23975" xr:uid="{00000000-0005-0000-0000-000030860000}"/>
    <cellStyle name="Separador de milhares 2 40 14 4 2" xfId="38975" xr:uid="{00000000-0005-0000-0000-000031860000}"/>
    <cellStyle name="Separador de milhares 2 40 14 5" xfId="23976" xr:uid="{00000000-0005-0000-0000-000032860000}"/>
    <cellStyle name="Separador de milhares 2 40 14 5 2" xfId="38976" xr:uid="{00000000-0005-0000-0000-000033860000}"/>
    <cellStyle name="Separador de milhares 2 40 14 6" xfId="38972" xr:uid="{00000000-0005-0000-0000-000034860000}"/>
    <cellStyle name="Separador de milhares 2 40 15" xfId="23977" xr:uid="{00000000-0005-0000-0000-000035860000}"/>
    <cellStyle name="Separador de milhares 2 40 15 2" xfId="23978" xr:uid="{00000000-0005-0000-0000-000036860000}"/>
    <cellStyle name="Separador de milhares 2 40 15 2 2" xfId="38978" xr:uid="{00000000-0005-0000-0000-000037860000}"/>
    <cellStyle name="Separador de milhares 2 40 15 3" xfId="23979" xr:uid="{00000000-0005-0000-0000-000038860000}"/>
    <cellStyle name="Separador de milhares 2 40 15 3 2" xfId="38979" xr:uid="{00000000-0005-0000-0000-000039860000}"/>
    <cellStyle name="Separador de milhares 2 40 15 4" xfId="23980" xr:uid="{00000000-0005-0000-0000-00003A860000}"/>
    <cellStyle name="Separador de milhares 2 40 15 4 2" xfId="38980" xr:uid="{00000000-0005-0000-0000-00003B860000}"/>
    <cellStyle name="Separador de milhares 2 40 15 5" xfId="23981" xr:uid="{00000000-0005-0000-0000-00003C860000}"/>
    <cellStyle name="Separador de milhares 2 40 15 5 2" xfId="38981" xr:uid="{00000000-0005-0000-0000-00003D860000}"/>
    <cellStyle name="Separador de milhares 2 40 15 6" xfId="38977" xr:uid="{00000000-0005-0000-0000-00003E860000}"/>
    <cellStyle name="Separador de milhares 2 40 16" xfId="23982" xr:uid="{00000000-0005-0000-0000-00003F860000}"/>
    <cellStyle name="Separador de milhares 2 40 16 2" xfId="23983" xr:uid="{00000000-0005-0000-0000-000040860000}"/>
    <cellStyle name="Separador de milhares 2 40 16 2 2" xfId="38983" xr:uid="{00000000-0005-0000-0000-000041860000}"/>
    <cellStyle name="Separador de milhares 2 40 16 3" xfId="23984" xr:uid="{00000000-0005-0000-0000-000042860000}"/>
    <cellStyle name="Separador de milhares 2 40 16 3 2" xfId="38984" xr:uid="{00000000-0005-0000-0000-000043860000}"/>
    <cellStyle name="Separador de milhares 2 40 16 4" xfId="23985" xr:uid="{00000000-0005-0000-0000-000044860000}"/>
    <cellStyle name="Separador de milhares 2 40 16 4 2" xfId="38985" xr:uid="{00000000-0005-0000-0000-000045860000}"/>
    <cellStyle name="Separador de milhares 2 40 16 5" xfId="23986" xr:uid="{00000000-0005-0000-0000-000046860000}"/>
    <cellStyle name="Separador de milhares 2 40 16 5 2" xfId="38986" xr:uid="{00000000-0005-0000-0000-000047860000}"/>
    <cellStyle name="Separador de milhares 2 40 16 6" xfId="38982" xr:uid="{00000000-0005-0000-0000-000048860000}"/>
    <cellStyle name="Separador de milhares 2 40 17" xfId="23987" xr:uid="{00000000-0005-0000-0000-000049860000}"/>
    <cellStyle name="Separador de milhares 2 40 17 2" xfId="38987" xr:uid="{00000000-0005-0000-0000-00004A860000}"/>
    <cellStyle name="Separador de milhares 2 40 18" xfId="23988" xr:uid="{00000000-0005-0000-0000-00004B860000}"/>
    <cellStyle name="Separador de milhares 2 40 18 2" xfId="38988" xr:uid="{00000000-0005-0000-0000-00004C860000}"/>
    <cellStyle name="Separador de milhares 2 40 19" xfId="23989" xr:uid="{00000000-0005-0000-0000-00004D860000}"/>
    <cellStyle name="Separador de milhares 2 40 19 2" xfId="38989" xr:uid="{00000000-0005-0000-0000-00004E860000}"/>
    <cellStyle name="Separador de milhares 2 40 2" xfId="23990" xr:uid="{00000000-0005-0000-0000-00004F860000}"/>
    <cellStyle name="Separador de milhares 2 40 2 10" xfId="23991" xr:uid="{00000000-0005-0000-0000-000050860000}"/>
    <cellStyle name="Separador de milhares 2 40 2 10 2" xfId="38991" xr:uid="{00000000-0005-0000-0000-000051860000}"/>
    <cellStyle name="Separador de milhares 2 40 2 11" xfId="23992" xr:uid="{00000000-0005-0000-0000-000052860000}"/>
    <cellStyle name="Separador de milhares 2 40 2 11 2" xfId="38992" xr:uid="{00000000-0005-0000-0000-000053860000}"/>
    <cellStyle name="Separador de milhares 2 40 2 12" xfId="38990" xr:uid="{00000000-0005-0000-0000-000054860000}"/>
    <cellStyle name="Separador de milhares 2 40 2 2" xfId="23993" xr:uid="{00000000-0005-0000-0000-000055860000}"/>
    <cellStyle name="Separador de milhares 2 40 2 2 2" xfId="23994" xr:uid="{00000000-0005-0000-0000-000056860000}"/>
    <cellStyle name="Separador de milhares 2 40 2 2 2 2" xfId="38994" xr:uid="{00000000-0005-0000-0000-000057860000}"/>
    <cellStyle name="Separador de milhares 2 40 2 2 3" xfId="23995" xr:uid="{00000000-0005-0000-0000-000058860000}"/>
    <cellStyle name="Separador de milhares 2 40 2 2 3 2" xfId="38995" xr:uid="{00000000-0005-0000-0000-000059860000}"/>
    <cellStyle name="Separador de milhares 2 40 2 2 4" xfId="23996" xr:uid="{00000000-0005-0000-0000-00005A860000}"/>
    <cellStyle name="Separador de milhares 2 40 2 2 4 2" xfId="38996" xr:uid="{00000000-0005-0000-0000-00005B860000}"/>
    <cellStyle name="Separador de milhares 2 40 2 2 5" xfId="23997" xr:uid="{00000000-0005-0000-0000-00005C860000}"/>
    <cellStyle name="Separador de milhares 2 40 2 2 5 2" xfId="38997" xr:uid="{00000000-0005-0000-0000-00005D860000}"/>
    <cellStyle name="Separador de milhares 2 40 2 2 6" xfId="38993" xr:uid="{00000000-0005-0000-0000-00005E860000}"/>
    <cellStyle name="Separador de milhares 2 40 2 3" xfId="23998" xr:uid="{00000000-0005-0000-0000-00005F860000}"/>
    <cellStyle name="Separador de milhares 2 40 2 3 2" xfId="23999" xr:uid="{00000000-0005-0000-0000-000060860000}"/>
    <cellStyle name="Separador de milhares 2 40 2 3 2 2" xfId="38999" xr:uid="{00000000-0005-0000-0000-000061860000}"/>
    <cellStyle name="Separador de milhares 2 40 2 3 3" xfId="24000" xr:uid="{00000000-0005-0000-0000-000062860000}"/>
    <cellStyle name="Separador de milhares 2 40 2 3 3 2" xfId="39000" xr:uid="{00000000-0005-0000-0000-000063860000}"/>
    <cellStyle name="Separador de milhares 2 40 2 3 4" xfId="24001" xr:uid="{00000000-0005-0000-0000-000064860000}"/>
    <cellStyle name="Separador de milhares 2 40 2 3 4 2" xfId="39001" xr:uid="{00000000-0005-0000-0000-000065860000}"/>
    <cellStyle name="Separador de milhares 2 40 2 3 5" xfId="24002" xr:uid="{00000000-0005-0000-0000-000066860000}"/>
    <cellStyle name="Separador de milhares 2 40 2 3 5 2" xfId="39002" xr:uid="{00000000-0005-0000-0000-000067860000}"/>
    <cellStyle name="Separador de milhares 2 40 2 3 6" xfId="38998" xr:uid="{00000000-0005-0000-0000-000068860000}"/>
    <cellStyle name="Separador de milhares 2 40 2 4" xfId="24003" xr:uid="{00000000-0005-0000-0000-000069860000}"/>
    <cellStyle name="Separador de milhares 2 40 2 4 2" xfId="24004" xr:uid="{00000000-0005-0000-0000-00006A860000}"/>
    <cellStyle name="Separador de milhares 2 40 2 4 2 2" xfId="39004" xr:uid="{00000000-0005-0000-0000-00006B860000}"/>
    <cellStyle name="Separador de milhares 2 40 2 4 3" xfId="24005" xr:uid="{00000000-0005-0000-0000-00006C860000}"/>
    <cellStyle name="Separador de milhares 2 40 2 4 3 2" xfId="39005" xr:uid="{00000000-0005-0000-0000-00006D860000}"/>
    <cellStyle name="Separador de milhares 2 40 2 4 4" xfId="24006" xr:uid="{00000000-0005-0000-0000-00006E860000}"/>
    <cellStyle name="Separador de milhares 2 40 2 4 4 2" xfId="39006" xr:uid="{00000000-0005-0000-0000-00006F860000}"/>
    <cellStyle name="Separador de milhares 2 40 2 4 5" xfId="24007" xr:uid="{00000000-0005-0000-0000-000070860000}"/>
    <cellStyle name="Separador de milhares 2 40 2 4 5 2" xfId="39007" xr:uid="{00000000-0005-0000-0000-000071860000}"/>
    <cellStyle name="Separador de milhares 2 40 2 4 6" xfId="39003" xr:uid="{00000000-0005-0000-0000-000072860000}"/>
    <cellStyle name="Separador de milhares 2 40 2 5" xfId="24008" xr:uid="{00000000-0005-0000-0000-000073860000}"/>
    <cellStyle name="Separador de milhares 2 40 2 5 2" xfId="24009" xr:uid="{00000000-0005-0000-0000-000074860000}"/>
    <cellStyle name="Separador de milhares 2 40 2 5 2 2" xfId="39009" xr:uid="{00000000-0005-0000-0000-000075860000}"/>
    <cellStyle name="Separador de milhares 2 40 2 5 3" xfId="24010" xr:uid="{00000000-0005-0000-0000-000076860000}"/>
    <cellStyle name="Separador de milhares 2 40 2 5 3 2" xfId="39010" xr:uid="{00000000-0005-0000-0000-000077860000}"/>
    <cellStyle name="Separador de milhares 2 40 2 5 4" xfId="24011" xr:uid="{00000000-0005-0000-0000-000078860000}"/>
    <cellStyle name="Separador de milhares 2 40 2 5 4 2" xfId="39011" xr:uid="{00000000-0005-0000-0000-000079860000}"/>
    <cellStyle name="Separador de milhares 2 40 2 5 5" xfId="24012" xr:uid="{00000000-0005-0000-0000-00007A860000}"/>
    <cellStyle name="Separador de milhares 2 40 2 5 5 2" xfId="39012" xr:uid="{00000000-0005-0000-0000-00007B860000}"/>
    <cellStyle name="Separador de milhares 2 40 2 5 6" xfId="39008" xr:uid="{00000000-0005-0000-0000-00007C860000}"/>
    <cellStyle name="Separador de milhares 2 40 2 6" xfId="24013" xr:uid="{00000000-0005-0000-0000-00007D860000}"/>
    <cellStyle name="Separador de milhares 2 40 2 6 2" xfId="24014" xr:uid="{00000000-0005-0000-0000-00007E860000}"/>
    <cellStyle name="Separador de milhares 2 40 2 6 2 2" xfId="39014" xr:uid="{00000000-0005-0000-0000-00007F860000}"/>
    <cellStyle name="Separador de milhares 2 40 2 6 3" xfId="24015" xr:uid="{00000000-0005-0000-0000-000080860000}"/>
    <cellStyle name="Separador de milhares 2 40 2 6 3 2" xfId="39015" xr:uid="{00000000-0005-0000-0000-000081860000}"/>
    <cellStyle name="Separador de milhares 2 40 2 6 4" xfId="24016" xr:uid="{00000000-0005-0000-0000-000082860000}"/>
    <cellStyle name="Separador de milhares 2 40 2 6 4 2" xfId="39016" xr:uid="{00000000-0005-0000-0000-000083860000}"/>
    <cellStyle name="Separador de milhares 2 40 2 6 5" xfId="24017" xr:uid="{00000000-0005-0000-0000-000084860000}"/>
    <cellStyle name="Separador de milhares 2 40 2 6 5 2" xfId="39017" xr:uid="{00000000-0005-0000-0000-000085860000}"/>
    <cellStyle name="Separador de milhares 2 40 2 6 6" xfId="39013" xr:uid="{00000000-0005-0000-0000-000086860000}"/>
    <cellStyle name="Separador de milhares 2 40 2 7" xfId="24018" xr:uid="{00000000-0005-0000-0000-000087860000}"/>
    <cellStyle name="Separador de milhares 2 40 2 7 2" xfId="24019" xr:uid="{00000000-0005-0000-0000-000088860000}"/>
    <cellStyle name="Separador de milhares 2 40 2 7 2 2" xfId="39019" xr:uid="{00000000-0005-0000-0000-000089860000}"/>
    <cellStyle name="Separador de milhares 2 40 2 7 3" xfId="24020" xr:uid="{00000000-0005-0000-0000-00008A860000}"/>
    <cellStyle name="Separador de milhares 2 40 2 7 3 2" xfId="39020" xr:uid="{00000000-0005-0000-0000-00008B860000}"/>
    <cellStyle name="Separador de milhares 2 40 2 7 4" xfId="24021" xr:uid="{00000000-0005-0000-0000-00008C860000}"/>
    <cellStyle name="Separador de milhares 2 40 2 7 4 2" xfId="39021" xr:uid="{00000000-0005-0000-0000-00008D860000}"/>
    <cellStyle name="Separador de milhares 2 40 2 7 5" xfId="24022" xr:uid="{00000000-0005-0000-0000-00008E860000}"/>
    <cellStyle name="Separador de milhares 2 40 2 7 5 2" xfId="39022" xr:uid="{00000000-0005-0000-0000-00008F860000}"/>
    <cellStyle name="Separador de milhares 2 40 2 7 6" xfId="39018" xr:uid="{00000000-0005-0000-0000-000090860000}"/>
    <cellStyle name="Separador de milhares 2 40 2 8" xfId="24023" xr:uid="{00000000-0005-0000-0000-000091860000}"/>
    <cellStyle name="Separador de milhares 2 40 2 8 2" xfId="39023" xr:uid="{00000000-0005-0000-0000-000092860000}"/>
    <cellStyle name="Separador de milhares 2 40 2 9" xfId="24024" xr:uid="{00000000-0005-0000-0000-000093860000}"/>
    <cellStyle name="Separador de milhares 2 40 2 9 2" xfId="39024" xr:uid="{00000000-0005-0000-0000-000094860000}"/>
    <cellStyle name="Separador de milhares 2 40 20" xfId="24025" xr:uid="{00000000-0005-0000-0000-000095860000}"/>
    <cellStyle name="Separador de milhares 2 40 20 2" xfId="39025" xr:uid="{00000000-0005-0000-0000-000096860000}"/>
    <cellStyle name="Separador de milhares 2 40 21" xfId="38951" xr:uid="{00000000-0005-0000-0000-000097860000}"/>
    <cellStyle name="Separador de milhares 2 40 3" xfId="24026" xr:uid="{00000000-0005-0000-0000-000098860000}"/>
    <cellStyle name="Separador de milhares 2 40 3 2" xfId="24027" xr:uid="{00000000-0005-0000-0000-000099860000}"/>
    <cellStyle name="Separador de milhares 2 40 3 2 2" xfId="24028" xr:uid="{00000000-0005-0000-0000-00009A860000}"/>
    <cellStyle name="Separador de milhares 2 40 3 2 2 2" xfId="39028" xr:uid="{00000000-0005-0000-0000-00009B860000}"/>
    <cellStyle name="Separador de milhares 2 40 3 2 3" xfId="24029" xr:uid="{00000000-0005-0000-0000-00009C860000}"/>
    <cellStyle name="Separador de milhares 2 40 3 2 3 2" xfId="39029" xr:uid="{00000000-0005-0000-0000-00009D860000}"/>
    <cellStyle name="Separador de milhares 2 40 3 2 4" xfId="24030" xr:uid="{00000000-0005-0000-0000-00009E860000}"/>
    <cellStyle name="Separador de milhares 2 40 3 2 4 2" xfId="39030" xr:uid="{00000000-0005-0000-0000-00009F860000}"/>
    <cellStyle name="Separador de milhares 2 40 3 2 5" xfId="24031" xr:uid="{00000000-0005-0000-0000-0000A0860000}"/>
    <cellStyle name="Separador de milhares 2 40 3 2 5 2" xfId="39031" xr:uid="{00000000-0005-0000-0000-0000A1860000}"/>
    <cellStyle name="Separador de milhares 2 40 3 2 6" xfId="39027" xr:uid="{00000000-0005-0000-0000-0000A2860000}"/>
    <cellStyle name="Separador de milhares 2 40 3 3" xfId="24032" xr:uid="{00000000-0005-0000-0000-0000A3860000}"/>
    <cellStyle name="Separador de milhares 2 40 3 3 2" xfId="39032" xr:uid="{00000000-0005-0000-0000-0000A4860000}"/>
    <cellStyle name="Separador de milhares 2 40 3 4" xfId="24033" xr:uid="{00000000-0005-0000-0000-0000A5860000}"/>
    <cellStyle name="Separador de milhares 2 40 3 4 2" xfId="39033" xr:uid="{00000000-0005-0000-0000-0000A6860000}"/>
    <cellStyle name="Separador de milhares 2 40 3 5" xfId="24034" xr:uid="{00000000-0005-0000-0000-0000A7860000}"/>
    <cellStyle name="Separador de milhares 2 40 3 5 2" xfId="39034" xr:uid="{00000000-0005-0000-0000-0000A8860000}"/>
    <cellStyle name="Separador de milhares 2 40 3 6" xfId="24035" xr:uid="{00000000-0005-0000-0000-0000A9860000}"/>
    <cellStyle name="Separador de milhares 2 40 3 6 2" xfId="39035" xr:uid="{00000000-0005-0000-0000-0000AA860000}"/>
    <cellStyle name="Separador de milhares 2 40 3 7" xfId="39026" xr:uid="{00000000-0005-0000-0000-0000AB860000}"/>
    <cellStyle name="Separador de milhares 2 40 4" xfId="24036" xr:uid="{00000000-0005-0000-0000-0000AC860000}"/>
    <cellStyle name="Separador de milhares 2 40 4 2" xfId="24037" xr:uid="{00000000-0005-0000-0000-0000AD860000}"/>
    <cellStyle name="Separador de milhares 2 40 4 2 2" xfId="24038" xr:uid="{00000000-0005-0000-0000-0000AE860000}"/>
    <cellStyle name="Separador de milhares 2 40 4 2 2 2" xfId="39038" xr:uid="{00000000-0005-0000-0000-0000AF860000}"/>
    <cellStyle name="Separador de milhares 2 40 4 2 3" xfId="24039" xr:uid="{00000000-0005-0000-0000-0000B0860000}"/>
    <cellStyle name="Separador de milhares 2 40 4 2 3 2" xfId="39039" xr:uid="{00000000-0005-0000-0000-0000B1860000}"/>
    <cellStyle name="Separador de milhares 2 40 4 2 4" xfId="24040" xr:uid="{00000000-0005-0000-0000-0000B2860000}"/>
    <cellStyle name="Separador de milhares 2 40 4 2 4 2" xfId="39040" xr:uid="{00000000-0005-0000-0000-0000B3860000}"/>
    <cellStyle name="Separador de milhares 2 40 4 2 5" xfId="24041" xr:uid="{00000000-0005-0000-0000-0000B4860000}"/>
    <cellStyle name="Separador de milhares 2 40 4 2 5 2" xfId="39041" xr:uid="{00000000-0005-0000-0000-0000B5860000}"/>
    <cellStyle name="Separador de milhares 2 40 4 2 6" xfId="39037" xr:uid="{00000000-0005-0000-0000-0000B6860000}"/>
    <cellStyle name="Separador de milhares 2 40 4 3" xfId="24042" xr:uid="{00000000-0005-0000-0000-0000B7860000}"/>
    <cellStyle name="Separador de milhares 2 40 4 3 2" xfId="39042" xr:uid="{00000000-0005-0000-0000-0000B8860000}"/>
    <cellStyle name="Separador de milhares 2 40 4 4" xfId="24043" xr:uid="{00000000-0005-0000-0000-0000B9860000}"/>
    <cellStyle name="Separador de milhares 2 40 4 4 2" xfId="39043" xr:uid="{00000000-0005-0000-0000-0000BA860000}"/>
    <cellStyle name="Separador de milhares 2 40 4 5" xfId="24044" xr:uid="{00000000-0005-0000-0000-0000BB860000}"/>
    <cellStyle name="Separador de milhares 2 40 4 5 2" xfId="39044" xr:uid="{00000000-0005-0000-0000-0000BC860000}"/>
    <cellStyle name="Separador de milhares 2 40 4 6" xfId="24045" xr:uid="{00000000-0005-0000-0000-0000BD860000}"/>
    <cellStyle name="Separador de milhares 2 40 4 6 2" xfId="39045" xr:uid="{00000000-0005-0000-0000-0000BE860000}"/>
    <cellStyle name="Separador de milhares 2 40 4 7" xfId="39036" xr:uid="{00000000-0005-0000-0000-0000BF860000}"/>
    <cellStyle name="Separador de milhares 2 40 5" xfId="24046" xr:uid="{00000000-0005-0000-0000-0000C0860000}"/>
    <cellStyle name="Separador de milhares 2 40 5 2" xfId="24047" xr:uid="{00000000-0005-0000-0000-0000C1860000}"/>
    <cellStyle name="Separador de milhares 2 40 5 2 2" xfId="39047" xr:uid="{00000000-0005-0000-0000-0000C2860000}"/>
    <cellStyle name="Separador de milhares 2 40 5 3" xfId="24048" xr:uid="{00000000-0005-0000-0000-0000C3860000}"/>
    <cellStyle name="Separador de milhares 2 40 5 3 2" xfId="39048" xr:uid="{00000000-0005-0000-0000-0000C4860000}"/>
    <cellStyle name="Separador de milhares 2 40 5 4" xfId="24049" xr:uid="{00000000-0005-0000-0000-0000C5860000}"/>
    <cellStyle name="Separador de milhares 2 40 5 4 2" xfId="39049" xr:uid="{00000000-0005-0000-0000-0000C6860000}"/>
    <cellStyle name="Separador de milhares 2 40 5 5" xfId="24050" xr:uid="{00000000-0005-0000-0000-0000C7860000}"/>
    <cellStyle name="Separador de milhares 2 40 5 5 2" xfId="39050" xr:uid="{00000000-0005-0000-0000-0000C8860000}"/>
    <cellStyle name="Separador de milhares 2 40 5 6" xfId="39046" xr:uid="{00000000-0005-0000-0000-0000C9860000}"/>
    <cellStyle name="Separador de milhares 2 40 6" xfId="24051" xr:uid="{00000000-0005-0000-0000-0000CA860000}"/>
    <cellStyle name="Separador de milhares 2 40 6 2" xfId="24052" xr:uid="{00000000-0005-0000-0000-0000CB860000}"/>
    <cellStyle name="Separador de milhares 2 40 6 2 2" xfId="39052" xr:uid="{00000000-0005-0000-0000-0000CC860000}"/>
    <cellStyle name="Separador de milhares 2 40 6 3" xfId="24053" xr:uid="{00000000-0005-0000-0000-0000CD860000}"/>
    <cellStyle name="Separador de milhares 2 40 6 3 2" xfId="39053" xr:uid="{00000000-0005-0000-0000-0000CE860000}"/>
    <cellStyle name="Separador de milhares 2 40 6 4" xfId="24054" xr:uid="{00000000-0005-0000-0000-0000CF860000}"/>
    <cellStyle name="Separador de milhares 2 40 6 4 2" xfId="39054" xr:uid="{00000000-0005-0000-0000-0000D0860000}"/>
    <cellStyle name="Separador de milhares 2 40 6 5" xfId="24055" xr:uid="{00000000-0005-0000-0000-0000D1860000}"/>
    <cellStyle name="Separador de milhares 2 40 6 5 2" xfId="39055" xr:uid="{00000000-0005-0000-0000-0000D2860000}"/>
    <cellStyle name="Separador de milhares 2 40 6 6" xfId="39051" xr:uid="{00000000-0005-0000-0000-0000D3860000}"/>
    <cellStyle name="Separador de milhares 2 40 7" xfId="24056" xr:uid="{00000000-0005-0000-0000-0000D4860000}"/>
    <cellStyle name="Separador de milhares 2 40 7 2" xfId="24057" xr:uid="{00000000-0005-0000-0000-0000D5860000}"/>
    <cellStyle name="Separador de milhares 2 40 7 2 2" xfId="39057" xr:uid="{00000000-0005-0000-0000-0000D6860000}"/>
    <cellStyle name="Separador de milhares 2 40 7 3" xfId="24058" xr:uid="{00000000-0005-0000-0000-0000D7860000}"/>
    <cellStyle name="Separador de milhares 2 40 7 3 2" xfId="39058" xr:uid="{00000000-0005-0000-0000-0000D8860000}"/>
    <cellStyle name="Separador de milhares 2 40 7 4" xfId="24059" xr:uid="{00000000-0005-0000-0000-0000D9860000}"/>
    <cellStyle name="Separador de milhares 2 40 7 4 2" xfId="39059" xr:uid="{00000000-0005-0000-0000-0000DA860000}"/>
    <cellStyle name="Separador de milhares 2 40 7 5" xfId="24060" xr:uid="{00000000-0005-0000-0000-0000DB860000}"/>
    <cellStyle name="Separador de milhares 2 40 7 5 2" xfId="39060" xr:uid="{00000000-0005-0000-0000-0000DC860000}"/>
    <cellStyle name="Separador de milhares 2 40 7 6" xfId="39056" xr:uid="{00000000-0005-0000-0000-0000DD860000}"/>
    <cellStyle name="Separador de milhares 2 40 8" xfId="24061" xr:uid="{00000000-0005-0000-0000-0000DE860000}"/>
    <cellStyle name="Separador de milhares 2 40 8 2" xfId="24062" xr:uid="{00000000-0005-0000-0000-0000DF860000}"/>
    <cellStyle name="Separador de milhares 2 40 8 2 2" xfId="39062" xr:uid="{00000000-0005-0000-0000-0000E0860000}"/>
    <cellStyle name="Separador de milhares 2 40 8 3" xfId="24063" xr:uid="{00000000-0005-0000-0000-0000E1860000}"/>
    <cellStyle name="Separador de milhares 2 40 8 3 2" xfId="39063" xr:uid="{00000000-0005-0000-0000-0000E2860000}"/>
    <cellStyle name="Separador de milhares 2 40 8 4" xfId="24064" xr:uid="{00000000-0005-0000-0000-0000E3860000}"/>
    <cellStyle name="Separador de milhares 2 40 8 4 2" xfId="39064" xr:uid="{00000000-0005-0000-0000-0000E4860000}"/>
    <cellStyle name="Separador de milhares 2 40 8 5" xfId="24065" xr:uid="{00000000-0005-0000-0000-0000E5860000}"/>
    <cellStyle name="Separador de milhares 2 40 8 5 2" xfId="39065" xr:uid="{00000000-0005-0000-0000-0000E6860000}"/>
    <cellStyle name="Separador de milhares 2 40 8 6" xfId="39061" xr:uid="{00000000-0005-0000-0000-0000E7860000}"/>
    <cellStyle name="Separador de milhares 2 40 9" xfId="24066" xr:uid="{00000000-0005-0000-0000-0000E8860000}"/>
    <cellStyle name="Separador de milhares 2 40 9 2" xfId="24067" xr:uid="{00000000-0005-0000-0000-0000E9860000}"/>
    <cellStyle name="Separador de milhares 2 40 9 2 2" xfId="39067" xr:uid="{00000000-0005-0000-0000-0000EA860000}"/>
    <cellStyle name="Separador de milhares 2 40 9 3" xfId="24068" xr:uid="{00000000-0005-0000-0000-0000EB860000}"/>
    <cellStyle name="Separador de milhares 2 40 9 3 2" xfId="39068" xr:uid="{00000000-0005-0000-0000-0000EC860000}"/>
    <cellStyle name="Separador de milhares 2 40 9 4" xfId="24069" xr:uid="{00000000-0005-0000-0000-0000ED860000}"/>
    <cellStyle name="Separador de milhares 2 40 9 4 2" xfId="39069" xr:uid="{00000000-0005-0000-0000-0000EE860000}"/>
    <cellStyle name="Separador de milhares 2 40 9 5" xfId="24070" xr:uid="{00000000-0005-0000-0000-0000EF860000}"/>
    <cellStyle name="Separador de milhares 2 40 9 5 2" xfId="39070" xr:uid="{00000000-0005-0000-0000-0000F0860000}"/>
    <cellStyle name="Separador de milhares 2 40 9 6" xfId="39066" xr:uid="{00000000-0005-0000-0000-0000F1860000}"/>
    <cellStyle name="Separador de milhares 2 41" xfId="24071" xr:uid="{00000000-0005-0000-0000-0000F2860000}"/>
    <cellStyle name="Separador de milhares 2 42" xfId="24072" xr:uid="{00000000-0005-0000-0000-0000F3860000}"/>
    <cellStyle name="Separador de milhares 2 43" xfId="24073" xr:uid="{00000000-0005-0000-0000-0000F4860000}"/>
    <cellStyle name="Separador de milhares 2 44" xfId="24074" xr:uid="{00000000-0005-0000-0000-0000F5860000}"/>
    <cellStyle name="Separador de milhares 2 45" xfId="24075" xr:uid="{00000000-0005-0000-0000-0000F6860000}"/>
    <cellStyle name="Separador de milhares 2 46" xfId="24076" xr:uid="{00000000-0005-0000-0000-0000F7860000}"/>
    <cellStyle name="Separador de milhares 2 47" xfId="24077" xr:uid="{00000000-0005-0000-0000-0000F8860000}"/>
    <cellStyle name="Separador de milhares 2 48" xfId="24078" xr:uid="{00000000-0005-0000-0000-0000F9860000}"/>
    <cellStyle name="Separador de milhares 2 49" xfId="24079" xr:uid="{00000000-0005-0000-0000-0000FA860000}"/>
    <cellStyle name="Separador de milhares 2 5" xfId="24080" xr:uid="{00000000-0005-0000-0000-0000FB860000}"/>
    <cellStyle name="Separador de milhares 2 5 10" xfId="24081" xr:uid="{00000000-0005-0000-0000-0000FC860000}"/>
    <cellStyle name="Separador de milhares 2 5 11" xfId="24082" xr:uid="{00000000-0005-0000-0000-0000FD860000}"/>
    <cellStyle name="Separador de milhares 2 5 12" xfId="24083" xr:uid="{00000000-0005-0000-0000-0000FE860000}"/>
    <cellStyle name="Separador de milhares 2 5 13" xfId="24084" xr:uid="{00000000-0005-0000-0000-0000FF860000}"/>
    <cellStyle name="Separador de milhares 2 5 14" xfId="24085" xr:uid="{00000000-0005-0000-0000-000000870000}"/>
    <cellStyle name="Separador de milhares 2 5 15" xfId="24086" xr:uid="{00000000-0005-0000-0000-000001870000}"/>
    <cellStyle name="Separador de milhares 2 5 16" xfId="24087" xr:uid="{00000000-0005-0000-0000-000002870000}"/>
    <cellStyle name="Separador de milhares 2 5 17" xfId="24088" xr:uid="{00000000-0005-0000-0000-000003870000}"/>
    <cellStyle name="Separador de milhares 2 5 18" xfId="24089" xr:uid="{00000000-0005-0000-0000-000004870000}"/>
    <cellStyle name="Separador de milhares 2 5 19" xfId="24090" xr:uid="{00000000-0005-0000-0000-000005870000}"/>
    <cellStyle name="Separador de milhares 2 5 2" xfId="24091" xr:uid="{00000000-0005-0000-0000-000006870000}"/>
    <cellStyle name="Separador de milhares 2 5 2 2" xfId="24092" xr:uid="{00000000-0005-0000-0000-000007870000}"/>
    <cellStyle name="Separador de milhares 2 5 2 3" xfId="24093" xr:uid="{00000000-0005-0000-0000-000008870000}"/>
    <cellStyle name="Separador de milhares 2 5 2 4" xfId="24094" xr:uid="{00000000-0005-0000-0000-000009870000}"/>
    <cellStyle name="Separador de milhares 2 5 2 5" xfId="24095" xr:uid="{00000000-0005-0000-0000-00000A870000}"/>
    <cellStyle name="Separador de milhares 2 5 2 6" xfId="24096" xr:uid="{00000000-0005-0000-0000-00000B870000}"/>
    <cellStyle name="Separador de milhares 2 5 2 7" xfId="24097" xr:uid="{00000000-0005-0000-0000-00000C870000}"/>
    <cellStyle name="Separador de milhares 2 5 20" xfId="24098" xr:uid="{00000000-0005-0000-0000-00000D870000}"/>
    <cellStyle name="Separador de milhares 2 5 21" xfId="24099" xr:uid="{00000000-0005-0000-0000-00000E870000}"/>
    <cellStyle name="Separador de milhares 2 5 22" xfId="24100" xr:uid="{00000000-0005-0000-0000-00000F870000}"/>
    <cellStyle name="Separador de milhares 2 5 23" xfId="24101" xr:uid="{00000000-0005-0000-0000-000010870000}"/>
    <cellStyle name="Separador de milhares 2 5 24" xfId="24102" xr:uid="{00000000-0005-0000-0000-000011870000}"/>
    <cellStyle name="Separador de milhares 2 5 25" xfId="24103" xr:uid="{00000000-0005-0000-0000-000012870000}"/>
    <cellStyle name="Separador de milhares 2 5 26" xfId="24104" xr:uid="{00000000-0005-0000-0000-000013870000}"/>
    <cellStyle name="Separador de milhares 2 5 27" xfId="24105" xr:uid="{00000000-0005-0000-0000-000014870000}"/>
    <cellStyle name="Separador de milhares 2 5 3" xfId="24106" xr:uid="{00000000-0005-0000-0000-000015870000}"/>
    <cellStyle name="Separador de milhares 2 5 4" xfId="24107" xr:uid="{00000000-0005-0000-0000-000016870000}"/>
    <cellStyle name="Separador de milhares 2 5 5" xfId="24108" xr:uid="{00000000-0005-0000-0000-000017870000}"/>
    <cellStyle name="Separador de milhares 2 5 6" xfId="24109" xr:uid="{00000000-0005-0000-0000-000018870000}"/>
    <cellStyle name="Separador de milhares 2 5 7" xfId="24110" xr:uid="{00000000-0005-0000-0000-000019870000}"/>
    <cellStyle name="Separador de milhares 2 5 8" xfId="24111" xr:uid="{00000000-0005-0000-0000-00001A870000}"/>
    <cellStyle name="Separador de milhares 2 5 9" xfId="24112" xr:uid="{00000000-0005-0000-0000-00001B870000}"/>
    <cellStyle name="Separador de milhares 2 50" xfId="24113" xr:uid="{00000000-0005-0000-0000-00001C870000}"/>
    <cellStyle name="Separador de milhares 2 51" xfId="24114" xr:uid="{00000000-0005-0000-0000-00001D870000}"/>
    <cellStyle name="Separador de milhares 2 51 10" xfId="24115" xr:uid="{00000000-0005-0000-0000-00001E870000}"/>
    <cellStyle name="Separador de milhares 2 51 11" xfId="24116" xr:uid="{00000000-0005-0000-0000-00001F870000}"/>
    <cellStyle name="Separador de milhares 2 51 12" xfId="24117" xr:uid="{00000000-0005-0000-0000-000020870000}"/>
    <cellStyle name="Separador de milhares 2 51 13" xfId="24118" xr:uid="{00000000-0005-0000-0000-000021870000}"/>
    <cellStyle name="Separador de milhares 2 51 14" xfId="24119" xr:uid="{00000000-0005-0000-0000-000022870000}"/>
    <cellStyle name="Separador de milhares 2 51 15" xfId="24120" xr:uid="{00000000-0005-0000-0000-000023870000}"/>
    <cellStyle name="Separador de milhares 2 51 16" xfId="24121" xr:uid="{00000000-0005-0000-0000-000024870000}"/>
    <cellStyle name="Separador de milhares 2 51 2" xfId="24122" xr:uid="{00000000-0005-0000-0000-000025870000}"/>
    <cellStyle name="Separador de milhares 2 51 3" xfId="24123" xr:uid="{00000000-0005-0000-0000-000026870000}"/>
    <cellStyle name="Separador de milhares 2 51 4" xfId="24124" xr:uid="{00000000-0005-0000-0000-000027870000}"/>
    <cellStyle name="Separador de milhares 2 51 5" xfId="24125" xr:uid="{00000000-0005-0000-0000-000028870000}"/>
    <cellStyle name="Separador de milhares 2 51 6" xfId="24126" xr:uid="{00000000-0005-0000-0000-000029870000}"/>
    <cellStyle name="Separador de milhares 2 51 7" xfId="24127" xr:uid="{00000000-0005-0000-0000-00002A870000}"/>
    <cellStyle name="Separador de milhares 2 51 8" xfId="24128" xr:uid="{00000000-0005-0000-0000-00002B870000}"/>
    <cellStyle name="Separador de milhares 2 51 9" xfId="24129" xr:uid="{00000000-0005-0000-0000-00002C870000}"/>
    <cellStyle name="Separador de milhares 2 52" xfId="24130" xr:uid="{00000000-0005-0000-0000-00002D870000}"/>
    <cellStyle name="Separador de milhares 2 52 10" xfId="24131" xr:uid="{00000000-0005-0000-0000-00002E870000}"/>
    <cellStyle name="Separador de milhares 2 52 11" xfId="24132" xr:uid="{00000000-0005-0000-0000-00002F870000}"/>
    <cellStyle name="Separador de milhares 2 52 12" xfId="24133" xr:uid="{00000000-0005-0000-0000-000030870000}"/>
    <cellStyle name="Separador de milhares 2 52 13" xfId="24134" xr:uid="{00000000-0005-0000-0000-000031870000}"/>
    <cellStyle name="Separador de milhares 2 52 14" xfId="24135" xr:uid="{00000000-0005-0000-0000-000032870000}"/>
    <cellStyle name="Separador de milhares 2 52 15" xfId="24136" xr:uid="{00000000-0005-0000-0000-000033870000}"/>
    <cellStyle name="Separador de milhares 2 52 16" xfId="24137" xr:uid="{00000000-0005-0000-0000-000034870000}"/>
    <cellStyle name="Separador de milhares 2 52 2" xfId="24138" xr:uid="{00000000-0005-0000-0000-000035870000}"/>
    <cellStyle name="Separador de milhares 2 52 3" xfId="24139" xr:uid="{00000000-0005-0000-0000-000036870000}"/>
    <cellStyle name="Separador de milhares 2 52 4" xfId="24140" xr:uid="{00000000-0005-0000-0000-000037870000}"/>
    <cellStyle name="Separador de milhares 2 52 5" xfId="24141" xr:uid="{00000000-0005-0000-0000-000038870000}"/>
    <cellStyle name="Separador de milhares 2 52 6" xfId="24142" xr:uid="{00000000-0005-0000-0000-000039870000}"/>
    <cellStyle name="Separador de milhares 2 52 7" xfId="24143" xr:uid="{00000000-0005-0000-0000-00003A870000}"/>
    <cellStyle name="Separador de milhares 2 52 8" xfId="24144" xr:uid="{00000000-0005-0000-0000-00003B870000}"/>
    <cellStyle name="Separador de milhares 2 52 9" xfId="24145" xr:uid="{00000000-0005-0000-0000-00003C870000}"/>
    <cellStyle name="Separador de milhares 2 53" xfId="24146" xr:uid="{00000000-0005-0000-0000-00003D870000}"/>
    <cellStyle name="Separador de milhares 2 53 10" xfId="24147" xr:uid="{00000000-0005-0000-0000-00003E870000}"/>
    <cellStyle name="Separador de milhares 2 53 11" xfId="24148" xr:uid="{00000000-0005-0000-0000-00003F870000}"/>
    <cellStyle name="Separador de milhares 2 53 12" xfId="24149" xr:uid="{00000000-0005-0000-0000-000040870000}"/>
    <cellStyle name="Separador de milhares 2 53 13" xfId="24150" xr:uid="{00000000-0005-0000-0000-000041870000}"/>
    <cellStyle name="Separador de milhares 2 53 14" xfId="24151" xr:uid="{00000000-0005-0000-0000-000042870000}"/>
    <cellStyle name="Separador de milhares 2 53 15" xfId="24152" xr:uid="{00000000-0005-0000-0000-000043870000}"/>
    <cellStyle name="Separador de milhares 2 53 16" xfId="24153" xr:uid="{00000000-0005-0000-0000-000044870000}"/>
    <cellStyle name="Separador de milhares 2 53 2" xfId="24154" xr:uid="{00000000-0005-0000-0000-000045870000}"/>
    <cellStyle name="Separador de milhares 2 53 3" xfId="24155" xr:uid="{00000000-0005-0000-0000-000046870000}"/>
    <cellStyle name="Separador de milhares 2 53 4" xfId="24156" xr:uid="{00000000-0005-0000-0000-000047870000}"/>
    <cellStyle name="Separador de milhares 2 53 5" xfId="24157" xr:uid="{00000000-0005-0000-0000-000048870000}"/>
    <cellStyle name="Separador de milhares 2 53 6" xfId="24158" xr:uid="{00000000-0005-0000-0000-000049870000}"/>
    <cellStyle name="Separador de milhares 2 53 7" xfId="24159" xr:uid="{00000000-0005-0000-0000-00004A870000}"/>
    <cellStyle name="Separador de milhares 2 53 8" xfId="24160" xr:uid="{00000000-0005-0000-0000-00004B870000}"/>
    <cellStyle name="Separador de milhares 2 53 9" xfId="24161" xr:uid="{00000000-0005-0000-0000-00004C870000}"/>
    <cellStyle name="Separador de milhares 2 54" xfId="24162" xr:uid="{00000000-0005-0000-0000-00004D870000}"/>
    <cellStyle name="Separador de milhares 2 54 10" xfId="24163" xr:uid="{00000000-0005-0000-0000-00004E870000}"/>
    <cellStyle name="Separador de milhares 2 54 11" xfId="24164" xr:uid="{00000000-0005-0000-0000-00004F870000}"/>
    <cellStyle name="Separador de milhares 2 54 12" xfId="24165" xr:uid="{00000000-0005-0000-0000-000050870000}"/>
    <cellStyle name="Separador de milhares 2 54 13" xfId="24166" xr:uid="{00000000-0005-0000-0000-000051870000}"/>
    <cellStyle name="Separador de milhares 2 54 14" xfId="24167" xr:uid="{00000000-0005-0000-0000-000052870000}"/>
    <cellStyle name="Separador de milhares 2 54 15" xfId="24168" xr:uid="{00000000-0005-0000-0000-000053870000}"/>
    <cellStyle name="Separador de milhares 2 54 16" xfId="24169" xr:uid="{00000000-0005-0000-0000-000054870000}"/>
    <cellStyle name="Separador de milhares 2 54 2" xfId="24170" xr:uid="{00000000-0005-0000-0000-000055870000}"/>
    <cellStyle name="Separador de milhares 2 54 3" xfId="24171" xr:uid="{00000000-0005-0000-0000-000056870000}"/>
    <cellStyle name="Separador de milhares 2 54 4" xfId="24172" xr:uid="{00000000-0005-0000-0000-000057870000}"/>
    <cellStyle name="Separador de milhares 2 54 5" xfId="24173" xr:uid="{00000000-0005-0000-0000-000058870000}"/>
    <cellStyle name="Separador de milhares 2 54 6" xfId="24174" xr:uid="{00000000-0005-0000-0000-000059870000}"/>
    <cellStyle name="Separador de milhares 2 54 7" xfId="24175" xr:uid="{00000000-0005-0000-0000-00005A870000}"/>
    <cellStyle name="Separador de milhares 2 54 8" xfId="24176" xr:uid="{00000000-0005-0000-0000-00005B870000}"/>
    <cellStyle name="Separador de milhares 2 54 9" xfId="24177" xr:uid="{00000000-0005-0000-0000-00005C870000}"/>
    <cellStyle name="Separador de milhares 2 55" xfId="24178" xr:uid="{00000000-0005-0000-0000-00005D870000}"/>
    <cellStyle name="Separador de milhares 2 55 10" xfId="24179" xr:uid="{00000000-0005-0000-0000-00005E870000}"/>
    <cellStyle name="Separador de milhares 2 55 11" xfId="24180" xr:uid="{00000000-0005-0000-0000-00005F870000}"/>
    <cellStyle name="Separador de milhares 2 55 12" xfId="24181" xr:uid="{00000000-0005-0000-0000-000060870000}"/>
    <cellStyle name="Separador de milhares 2 55 13" xfId="24182" xr:uid="{00000000-0005-0000-0000-000061870000}"/>
    <cellStyle name="Separador de milhares 2 55 14" xfId="24183" xr:uid="{00000000-0005-0000-0000-000062870000}"/>
    <cellStyle name="Separador de milhares 2 55 15" xfId="24184" xr:uid="{00000000-0005-0000-0000-000063870000}"/>
    <cellStyle name="Separador de milhares 2 55 16" xfId="24185" xr:uid="{00000000-0005-0000-0000-000064870000}"/>
    <cellStyle name="Separador de milhares 2 55 2" xfId="24186" xr:uid="{00000000-0005-0000-0000-000065870000}"/>
    <cellStyle name="Separador de milhares 2 55 3" xfId="24187" xr:uid="{00000000-0005-0000-0000-000066870000}"/>
    <cellStyle name="Separador de milhares 2 55 4" xfId="24188" xr:uid="{00000000-0005-0000-0000-000067870000}"/>
    <cellStyle name="Separador de milhares 2 55 5" xfId="24189" xr:uid="{00000000-0005-0000-0000-000068870000}"/>
    <cellStyle name="Separador de milhares 2 55 6" xfId="24190" xr:uid="{00000000-0005-0000-0000-000069870000}"/>
    <cellStyle name="Separador de milhares 2 55 7" xfId="24191" xr:uid="{00000000-0005-0000-0000-00006A870000}"/>
    <cellStyle name="Separador de milhares 2 55 8" xfId="24192" xr:uid="{00000000-0005-0000-0000-00006B870000}"/>
    <cellStyle name="Separador de milhares 2 55 9" xfId="24193" xr:uid="{00000000-0005-0000-0000-00006C870000}"/>
    <cellStyle name="Separador de milhares 2 56" xfId="24194" xr:uid="{00000000-0005-0000-0000-00006D870000}"/>
    <cellStyle name="Separador de milhares 2 56 10" xfId="24195" xr:uid="{00000000-0005-0000-0000-00006E870000}"/>
    <cellStyle name="Separador de milhares 2 56 11" xfId="24196" xr:uid="{00000000-0005-0000-0000-00006F870000}"/>
    <cellStyle name="Separador de milhares 2 56 12" xfId="24197" xr:uid="{00000000-0005-0000-0000-000070870000}"/>
    <cellStyle name="Separador de milhares 2 56 13" xfId="24198" xr:uid="{00000000-0005-0000-0000-000071870000}"/>
    <cellStyle name="Separador de milhares 2 56 14" xfId="24199" xr:uid="{00000000-0005-0000-0000-000072870000}"/>
    <cellStyle name="Separador de milhares 2 56 15" xfId="24200" xr:uid="{00000000-0005-0000-0000-000073870000}"/>
    <cellStyle name="Separador de milhares 2 56 16" xfId="24201" xr:uid="{00000000-0005-0000-0000-000074870000}"/>
    <cellStyle name="Separador de milhares 2 56 2" xfId="24202" xr:uid="{00000000-0005-0000-0000-000075870000}"/>
    <cellStyle name="Separador de milhares 2 56 3" xfId="24203" xr:uid="{00000000-0005-0000-0000-000076870000}"/>
    <cellStyle name="Separador de milhares 2 56 4" xfId="24204" xr:uid="{00000000-0005-0000-0000-000077870000}"/>
    <cellStyle name="Separador de milhares 2 56 5" xfId="24205" xr:uid="{00000000-0005-0000-0000-000078870000}"/>
    <cellStyle name="Separador de milhares 2 56 6" xfId="24206" xr:uid="{00000000-0005-0000-0000-000079870000}"/>
    <cellStyle name="Separador de milhares 2 56 7" xfId="24207" xr:uid="{00000000-0005-0000-0000-00007A870000}"/>
    <cellStyle name="Separador de milhares 2 56 8" xfId="24208" xr:uid="{00000000-0005-0000-0000-00007B870000}"/>
    <cellStyle name="Separador de milhares 2 56 9" xfId="24209" xr:uid="{00000000-0005-0000-0000-00007C870000}"/>
    <cellStyle name="Separador de milhares 2 57" xfId="24210" xr:uid="{00000000-0005-0000-0000-00007D870000}"/>
    <cellStyle name="Separador de milhares 2 57 10" xfId="24211" xr:uid="{00000000-0005-0000-0000-00007E870000}"/>
    <cellStyle name="Separador de milhares 2 57 11" xfId="24212" xr:uid="{00000000-0005-0000-0000-00007F870000}"/>
    <cellStyle name="Separador de milhares 2 57 12" xfId="24213" xr:uid="{00000000-0005-0000-0000-000080870000}"/>
    <cellStyle name="Separador de milhares 2 57 13" xfId="24214" xr:uid="{00000000-0005-0000-0000-000081870000}"/>
    <cellStyle name="Separador de milhares 2 57 14" xfId="24215" xr:uid="{00000000-0005-0000-0000-000082870000}"/>
    <cellStyle name="Separador de milhares 2 57 15" xfId="24216" xr:uid="{00000000-0005-0000-0000-000083870000}"/>
    <cellStyle name="Separador de milhares 2 57 16" xfId="24217" xr:uid="{00000000-0005-0000-0000-000084870000}"/>
    <cellStyle name="Separador de milhares 2 57 2" xfId="24218" xr:uid="{00000000-0005-0000-0000-000085870000}"/>
    <cellStyle name="Separador de milhares 2 57 3" xfId="24219" xr:uid="{00000000-0005-0000-0000-000086870000}"/>
    <cellStyle name="Separador de milhares 2 57 4" xfId="24220" xr:uid="{00000000-0005-0000-0000-000087870000}"/>
    <cellStyle name="Separador de milhares 2 57 5" xfId="24221" xr:uid="{00000000-0005-0000-0000-000088870000}"/>
    <cellStyle name="Separador de milhares 2 57 6" xfId="24222" xr:uid="{00000000-0005-0000-0000-000089870000}"/>
    <cellStyle name="Separador de milhares 2 57 7" xfId="24223" xr:uid="{00000000-0005-0000-0000-00008A870000}"/>
    <cellStyle name="Separador de milhares 2 57 8" xfId="24224" xr:uid="{00000000-0005-0000-0000-00008B870000}"/>
    <cellStyle name="Separador de milhares 2 57 9" xfId="24225" xr:uid="{00000000-0005-0000-0000-00008C870000}"/>
    <cellStyle name="Separador de milhares 2 58" xfId="24226" xr:uid="{00000000-0005-0000-0000-00008D870000}"/>
    <cellStyle name="Separador de milhares 2 58 10" xfId="24227" xr:uid="{00000000-0005-0000-0000-00008E870000}"/>
    <cellStyle name="Separador de milhares 2 58 11" xfId="24228" xr:uid="{00000000-0005-0000-0000-00008F870000}"/>
    <cellStyle name="Separador de milhares 2 58 12" xfId="24229" xr:uid="{00000000-0005-0000-0000-000090870000}"/>
    <cellStyle name="Separador de milhares 2 58 13" xfId="24230" xr:uid="{00000000-0005-0000-0000-000091870000}"/>
    <cellStyle name="Separador de milhares 2 58 14" xfId="24231" xr:uid="{00000000-0005-0000-0000-000092870000}"/>
    <cellStyle name="Separador de milhares 2 58 15" xfId="24232" xr:uid="{00000000-0005-0000-0000-000093870000}"/>
    <cellStyle name="Separador de milhares 2 58 16" xfId="24233" xr:uid="{00000000-0005-0000-0000-000094870000}"/>
    <cellStyle name="Separador de milhares 2 58 2" xfId="24234" xr:uid="{00000000-0005-0000-0000-000095870000}"/>
    <cellStyle name="Separador de milhares 2 58 3" xfId="24235" xr:uid="{00000000-0005-0000-0000-000096870000}"/>
    <cellStyle name="Separador de milhares 2 58 4" xfId="24236" xr:uid="{00000000-0005-0000-0000-000097870000}"/>
    <cellStyle name="Separador de milhares 2 58 5" xfId="24237" xr:uid="{00000000-0005-0000-0000-000098870000}"/>
    <cellStyle name="Separador de milhares 2 58 6" xfId="24238" xr:uid="{00000000-0005-0000-0000-000099870000}"/>
    <cellStyle name="Separador de milhares 2 58 7" xfId="24239" xr:uid="{00000000-0005-0000-0000-00009A870000}"/>
    <cellStyle name="Separador de milhares 2 58 8" xfId="24240" xr:uid="{00000000-0005-0000-0000-00009B870000}"/>
    <cellStyle name="Separador de milhares 2 58 9" xfId="24241" xr:uid="{00000000-0005-0000-0000-00009C870000}"/>
    <cellStyle name="Separador de milhares 2 59" xfId="24242" xr:uid="{00000000-0005-0000-0000-00009D870000}"/>
    <cellStyle name="Separador de milhares 2 59 10" xfId="24243" xr:uid="{00000000-0005-0000-0000-00009E870000}"/>
    <cellStyle name="Separador de milhares 2 59 11" xfId="24244" xr:uid="{00000000-0005-0000-0000-00009F870000}"/>
    <cellStyle name="Separador de milhares 2 59 12" xfId="24245" xr:uid="{00000000-0005-0000-0000-0000A0870000}"/>
    <cellStyle name="Separador de milhares 2 59 13" xfId="24246" xr:uid="{00000000-0005-0000-0000-0000A1870000}"/>
    <cellStyle name="Separador de milhares 2 59 14" xfId="24247" xr:uid="{00000000-0005-0000-0000-0000A2870000}"/>
    <cellStyle name="Separador de milhares 2 59 15" xfId="24248" xr:uid="{00000000-0005-0000-0000-0000A3870000}"/>
    <cellStyle name="Separador de milhares 2 59 16" xfId="24249" xr:uid="{00000000-0005-0000-0000-0000A4870000}"/>
    <cellStyle name="Separador de milhares 2 59 2" xfId="24250" xr:uid="{00000000-0005-0000-0000-0000A5870000}"/>
    <cellStyle name="Separador de milhares 2 59 3" xfId="24251" xr:uid="{00000000-0005-0000-0000-0000A6870000}"/>
    <cellStyle name="Separador de milhares 2 59 4" xfId="24252" xr:uid="{00000000-0005-0000-0000-0000A7870000}"/>
    <cellStyle name="Separador de milhares 2 59 5" xfId="24253" xr:uid="{00000000-0005-0000-0000-0000A8870000}"/>
    <cellStyle name="Separador de milhares 2 59 6" xfId="24254" xr:uid="{00000000-0005-0000-0000-0000A9870000}"/>
    <cellStyle name="Separador de milhares 2 59 7" xfId="24255" xr:uid="{00000000-0005-0000-0000-0000AA870000}"/>
    <cellStyle name="Separador de milhares 2 59 8" xfId="24256" xr:uid="{00000000-0005-0000-0000-0000AB870000}"/>
    <cellStyle name="Separador de milhares 2 59 9" xfId="24257" xr:uid="{00000000-0005-0000-0000-0000AC870000}"/>
    <cellStyle name="Separador de milhares 2 6" xfId="24258" xr:uid="{00000000-0005-0000-0000-0000AD870000}"/>
    <cellStyle name="Separador de milhares 2 6 10" xfId="24259" xr:uid="{00000000-0005-0000-0000-0000AE870000}"/>
    <cellStyle name="Separador de milhares 2 6 11" xfId="24260" xr:uid="{00000000-0005-0000-0000-0000AF870000}"/>
    <cellStyle name="Separador de milhares 2 6 12" xfId="24261" xr:uid="{00000000-0005-0000-0000-0000B0870000}"/>
    <cellStyle name="Separador de milhares 2 6 13" xfId="24262" xr:uid="{00000000-0005-0000-0000-0000B1870000}"/>
    <cellStyle name="Separador de milhares 2 6 14" xfId="24263" xr:uid="{00000000-0005-0000-0000-0000B2870000}"/>
    <cellStyle name="Separador de milhares 2 6 15" xfId="24264" xr:uid="{00000000-0005-0000-0000-0000B3870000}"/>
    <cellStyle name="Separador de milhares 2 6 16" xfId="24265" xr:uid="{00000000-0005-0000-0000-0000B4870000}"/>
    <cellStyle name="Separador de milhares 2 6 17" xfId="24266" xr:uid="{00000000-0005-0000-0000-0000B5870000}"/>
    <cellStyle name="Separador de milhares 2 6 18" xfId="24267" xr:uid="{00000000-0005-0000-0000-0000B6870000}"/>
    <cellStyle name="Separador de milhares 2 6 19" xfId="24268" xr:uid="{00000000-0005-0000-0000-0000B7870000}"/>
    <cellStyle name="Separador de milhares 2 6 2" xfId="24269" xr:uid="{00000000-0005-0000-0000-0000B8870000}"/>
    <cellStyle name="Separador de milhares 2 6 2 2" xfId="24270" xr:uid="{00000000-0005-0000-0000-0000B9870000}"/>
    <cellStyle name="Separador de milhares 2 6 2 3" xfId="24271" xr:uid="{00000000-0005-0000-0000-0000BA870000}"/>
    <cellStyle name="Separador de milhares 2 6 2 4" xfId="24272" xr:uid="{00000000-0005-0000-0000-0000BB870000}"/>
    <cellStyle name="Separador de milhares 2 6 2 5" xfId="24273" xr:uid="{00000000-0005-0000-0000-0000BC870000}"/>
    <cellStyle name="Separador de milhares 2 6 2 6" xfId="24274" xr:uid="{00000000-0005-0000-0000-0000BD870000}"/>
    <cellStyle name="Separador de milhares 2 6 2 7" xfId="24275" xr:uid="{00000000-0005-0000-0000-0000BE870000}"/>
    <cellStyle name="Separador de milhares 2 6 20" xfId="24276" xr:uid="{00000000-0005-0000-0000-0000BF870000}"/>
    <cellStyle name="Separador de milhares 2 6 21" xfId="24277" xr:uid="{00000000-0005-0000-0000-0000C0870000}"/>
    <cellStyle name="Separador de milhares 2 6 22" xfId="24278" xr:uid="{00000000-0005-0000-0000-0000C1870000}"/>
    <cellStyle name="Separador de milhares 2 6 23" xfId="24279" xr:uid="{00000000-0005-0000-0000-0000C2870000}"/>
    <cellStyle name="Separador de milhares 2 6 24" xfId="24280" xr:uid="{00000000-0005-0000-0000-0000C3870000}"/>
    <cellStyle name="Separador de milhares 2 6 25" xfId="24281" xr:uid="{00000000-0005-0000-0000-0000C4870000}"/>
    <cellStyle name="Separador de milhares 2 6 3" xfId="24282" xr:uid="{00000000-0005-0000-0000-0000C5870000}"/>
    <cellStyle name="Separador de milhares 2 6 4" xfId="24283" xr:uid="{00000000-0005-0000-0000-0000C6870000}"/>
    <cellStyle name="Separador de milhares 2 6 5" xfId="24284" xr:uid="{00000000-0005-0000-0000-0000C7870000}"/>
    <cellStyle name="Separador de milhares 2 6 6" xfId="24285" xr:uid="{00000000-0005-0000-0000-0000C8870000}"/>
    <cellStyle name="Separador de milhares 2 6 7" xfId="24286" xr:uid="{00000000-0005-0000-0000-0000C9870000}"/>
    <cellStyle name="Separador de milhares 2 6 8" xfId="24287" xr:uid="{00000000-0005-0000-0000-0000CA870000}"/>
    <cellStyle name="Separador de milhares 2 6 9" xfId="24288" xr:uid="{00000000-0005-0000-0000-0000CB870000}"/>
    <cellStyle name="Separador de milhares 2 60" xfId="24289" xr:uid="{00000000-0005-0000-0000-0000CC870000}"/>
    <cellStyle name="Separador de milhares 2 61" xfId="24290" xr:uid="{00000000-0005-0000-0000-0000CD870000}"/>
    <cellStyle name="Separador de milhares 2 62" xfId="24291" xr:uid="{00000000-0005-0000-0000-0000CE870000}"/>
    <cellStyle name="Separador de milhares 2 63" xfId="24292" xr:uid="{00000000-0005-0000-0000-0000CF870000}"/>
    <cellStyle name="Separador de milhares 2 64" xfId="24293" xr:uid="{00000000-0005-0000-0000-0000D0870000}"/>
    <cellStyle name="Separador de milhares 2 65" xfId="24294" xr:uid="{00000000-0005-0000-0000-0000D1870000}"/>
    <cellStyle name="Separador de milhares 2 66" xfId="24295" xr:uid="{00000000-0005-0000-0000-0000D2870000}"/>
    <cellStyle name="Separador de milhares 2 67" xfId="24296" xr:uid="{00000000-0005-0000-0000-0000D3870000}"/>
    <cellStyle name="Separador de milhares 2 68" xfId="24297" xr:uid="{00000000-0005-0000-0000-0000D4870000}"/>
    <cellStyle name="Separador de milhares 2 69" xfId="24298" xr:uid="{00000000-0005-0000-0000-0000D5870000}"/>
    <cellStyle name="Separador de milhares 2 7" xfId="24299" xr:uid="{00000000-0005-0000-0000-0000D6870000}"/>
    <cellStyle name="Separador de milhares 2 7 10" xfId="24300" xr:uid="{00000000-0005-0000-0000-0000D7870000}"/>
    <cellStyle name="Separador de milhares 2 7 11" xfId="24301" xr:uid="{00000000-0005-0000-0000-0000D8870000}"/>
    <cellStyle name="Separador de milhares 2 7 12" xfId="24302" xr:uid="{00000000-0005-0000-0000-0000D9870000}"/>
    <cellStyle name="Separador de milhares 2 7 13" xfId="24303" xr:uid="{00000000-0005-0000-0000-0000DA870000}"/>
    <cellStyle name="Separador de milhares 2 7 14" xfId="24304" xr:uid="{00000000-0005-0000-0000-0000DB870000}"/>
    <cellStyle name="Separador de milhares 2 7 15" xfId="24305" xr:uid="{00000000-0005-0000-0000-0000DC870000}"/>
    <cellStyle name="Separador de milhares 2 7 16" xfId="24306" xr:uid="{00000000-0005-0000-0000-0000DD870000}"/>
    <cellStyle name="Separador de milhares 2 7 17" xfId="24307" xr:uid="{00000000-0005-0000-0000-0000DE870000}"/>
    <cellStyle name="Separador de milhares 2 7 18" xfId="24308" xr:uid="{00000000-0005-0000-0000-0000DF870000}"/>
    <cellStyle name="Separador de milhares 2 7 19" xfId="24309" xr:uid="{00000000-0005-0000-0000-0000E0870000}"/>
    <cellStyle name="Separador de milhares 2 7 2" xfId="24310" xr:uid="{00000000-0005-0000-0000-0000E1870000}"/>
    <cellStyle name="Separador de milhares 2 7 2 2" xfId="24311" xr:uid="{00000000-0005-0000-0000-0000E2870000}"/>
    <cellStyle name="Separador de milhares 2 7 2 3" xfId="24312" xr:uid="{00000000-0005-0000-0000-0000E3870000}"/>
    <cellStyle name="Separador de milhares 2 7 2 4" xfId="24313" xr:uid="{00000000-0005-0000-0000-0000E4870000}"/>
    <cellStyle name="Separador de milhares 2 7 2 5" xfId="24314" xr:uid="{00000000-0005-0000-0000-0000E5870000}"/>
    <cellStyle name="Separador de milhares 2 7 2 6" xfId="24315" xr:uid="{00000000-0005-0000-0000-0000E6870000}"/>
    <cellStyle name="Separador de milhares 2 7 2 7" xfId="24316" xr:uid="{00000000-0005-0000-0000-0000E7870000}"/>
    <cellStyle name="Separador de milhares 2 7 20" xfId="24317" xr:uid="{00000000-0005-0000-0000-0000E8870000}"/>
    <cellStyle name="Separador de milhares 2 7 21" xfId="24318" xr:uid="{00000000-0005-0000-0000-0000E9870000}"/>
    <cellStyle name="Separador de milhares 2 7 22" xfId="24319" xr:uid="{00000000-0005-0000-0000-0000EA870000}"/>
    <cellStyle name="Separador de milhares 2 7 23" xfId="24320" xr:uid="{00000000-0005-0000-0000-0000EB870000}"/>
    <cellStyle name="Separador de milhares 2 7 24" xfId="24321" xr:uid="{00000000-0005-0000-0000-0000EC870000}"/>
    <cellStyle name="Separador de milhares 2 7 25" xfId="24322" xr:uid="{00000000-0005-0000-0000-0000ED870000}"/>
    <cellStyle name="Separador de milhares 2 7 3" xfId="24323" xr:uid="{00000000-0005-0000-0000-0000EE870000}"/>
    <cellStyle name="Separador de milhares 2 7 4" xfId="24324" xr:uid="{00000000-0005-0000-0000-0000EF870000}"/>
    <cellStyle name="Separador de milhares 2 7 5" xfId="24325" xr:uid="{00000000-0005-0000-0000-0000F0870000}"/>
    <cellStyle name="Separador de milhares 2 7 6" xfId="24326" xr:uid="{00000000-0005-0000-0000-0000F1870000}"/>
    <cellStyle name="Separador de milhares 2 7 7" xfId="24327" xr:uid="{00000000-0005-0000-0000-0000F2870000}"/>
    <cellStyle name="Separador de milhares 2 7 8" xfId="24328" xr:uid="{00000000-0005-0000-0000-0000F3870000}"/>
    <cellStyle name="Separador de milhares 2 7 9" xfId="24329" xr:uid="{00000000-0005-0000-0000-0000F4870000}"/>
    <cellStyle name="Separador de milhares 2 70" xfId="24330" xr:uid="{00000000-0005-0000-0000-0000F5870000}"/>
    <cellStyle name="Separador de milhares 2 71" xfId="24331" xr:uid="{00000000-0005-0000-0000-0000F6870000}"/>
    <cellStyle name="Separador de milhares 2 72" xfId="24332" xr:uid="{00000000-0005-0000-0000-0000F7870000}"/>
    <cellStyle name="Separador de milhares 2 73" xfId="24333" xr:uid="{00000000-0005-0000-0000-0000F8870000}"/>
    <cellStyle name="Separador de milhares 2 74" xfId="24334" xr:uid="{00000000-0005-0000-0000-0000F9870000}"/>
    <cellStyle name="Separador de milhares 2 74 10" xfId="24335" xr:uid="{00000000-0005-0000-0000-0000FA870000}"/>
    <cellStyle name="Separador de milhares 2 74 11" xfId="24336" xr:uid="{00000000-0005-0000-0000-0000FB870000}"/>
    <cellStyle name="Separador de milhares 2 74 12" xfId="24337" xr:uid="{00000000-0005-0000-0000-0000FC870000}"/>
    <cellStyle name="Separador de milhares 2 74 13" xfId="24338" xr:uid="{00000000-0005-0000-0000-0000FD870000}"/>
    <cellStyle name="Separador de milhares 2 74 14" xfId="24339" xr:uid="{00000000-0005-0000-0000-0000FE870000}"/>
    <cellStyle name="Separador de milhares 2 74 15" xfId="24340" xr:uid="{00000000-0005-0000-0000-0000FF870000}"/>
    <cellStyle name="Separador de milhares 2 74 16" xfId="24341" xr:uid="{00000000-0005-0000-0000-000000880000}"/>
    <cellStyle name="Separador de milhares 2 74 2" xfId="24342" xr:uid="{00000000-0005-0000-0000-000001880000}"/>
    <cellStyle name="Separador de milhares 2 74 3" xfId="24343" xr:uid="{00000000-0005-0000-0000-000002880000}"/>
    <cellStyle name="Separador de milhares 2 74 4" xfId="24344" xr:uid="{00000000-0005-0000-0000-000003880000}"/>
    <cellStyle name="Separador de milhares 2 74 5" xfId="24345" xr:uid="{00000000-0005-0000-0000-000004880000}"/>
    <cellStyle name="Separador de milhares 2 74 6" xfId="24346" xr:uid="{00000000-0005-0000-0000-000005880000}"/>
    <cellStyle name="Separador de milhares 2 74 7" xfId="24347" xr:uid="{00000000-0005-0000-0000-000006880000}"/>
    <cellStyle name="Separador de milhares 2 74 8" xfId="24348" xr:uid="{00000000-0005-0000-0000-000007880000}"/>
    <cellStyle name="Separador de milhares 2 74 9" xfId="24349" xr:uid="{00000000-0005-0000-0000-000008880000}"/>
    <cellStyle name="Separador de milhares 2 75" xfId="24350" xr:uid="{00000000-0005-0000-0000-000009880000}"/>
    <cellStyle name="Separador de milhares 2 75 10" xfId="24351" xr:uid="{00000000-0005-0000-0000-00000A880000}"/>
    <cellStyle name="Separador de milhares 2 75 11" xfId="24352" xr:uid="{00000000-0005-0000-0000-00000B880000}"/>
    <cellStyle name="Separador de milhares 2 75 12" xfId="24353" xr:uid="{00000000-0005-0000-0000-00000C880000}"/>
    <cellStyle name="Separador de milhares 2 75 13" xfId="24354" xr:uid="{00000000-0005-0000-0000-00000D880000}"/>
    <cellStyle name="Separador de milhares 2 75 14" xfId="24355" xr:uid="{00000000-0005-0000-0000-00000E880000}"/>
    <cellStyle name="Separador de milhares 2 75 15" xfId="24356" xr:uid="{00000000-0005-0000-0000-00000F880000}"/>
    <cellStyle name="Separador de milhares 2 75 16" xfId="24357" xr:uid="{00000000-0005-0000-0000-000010880000}"/>
    <cellStyle name="Separador de milhares 2 75 2" xfId="24358" xr:uid="{00000000-0005-0000-0000-000011880000}"/>
    <cellStyle name="Separador de milhares 2 75 3" xfId="24359" xr:uid="{00000000-0005-0000-0000-000012880000}"/>
    <cellStyle name="Separador de milhares 2 75 4" xfId="24360" xr:uid="{00000000-0005-0000-0000-000013880000}"/>
    <cellStyle name="Separador de milhares 2 75 5" xfId="24361" xr:uid="{00000000-0005-0000-0000-000014880000}"/>
    <cellStyle name="Separador de milhares 2 75 6" xfId="24362" xr:uid="{00000000-0005-0000-0000-000015880000}"/>
    <cellStyle name="Separador de milhares 2 75 7" xfId="24363" xr:uid="{00000000-0005-0000-0000-000016880000}"/>
    <cellStyle name="Separador de milhares 2 75 8" xfId="24364" xr:uid="{00000000-0005-0000-0000-000017880000}"/>
    <cellStyle name="Separador de milhares 2 75 9" xfId="24365" xr:uid="{00000000-0005-0000-0000-000018880000}"/>
    <cellStyle name="Separador de milhares 2 76" xfId="24366" xr:uid="{00000000-0005-0000-0000-000019880000}"/>
    <cellStyle name="Separador de milhares 2 76 10" xfId="24367" xr:uid="{00000000-0005-0000-0000-00001A880000}"/>
    <cellStyle name="Separador de milhares 2 76 11" xfId="24368" xr:uid="{00000000-0005-0000-0000-00001B880000}"/>
    <cellStyle name="Separador de milhares 2 76 12" xfId="24369" xr:uid="{00000000-0005-0000-0000-00001C880000}"/>
    <cellStyle name="Separador de milhares 2 76 13" xfId="24370" xr:uid="{00000000-0005-0000-0000-00001D880000}"/>
    <cellStyle name="Separador de milhares 2 76 14" xfId="24371" xr:uid="{00000000-0005-0000-0000-00001E880000}"/>
    <cellStyle name="Separador de milhares 2 76 15" xfId="24372" xr:uid="{00000000-0005-0000-0000-00001F880000}"/>
    <cellStyle name="Separador de milhares 2 76 16" xfId="24373" xr:uid="{00000000-0005-0000-0000-000020880000}"/>
    <cellStyle name="Separador de milhares 2 76 2" xfId="24374" xr:uid="{00000000-0005-0000-0000-000021880000}"/>
    <cellStyle name="Separador de milhares 2 76 3" xfId="24375" xr:uid="{00000000-0005-0000-0000-000022880000}"/>
    <cellStyle name="Separador de milhares 2 76 4" xfId="24376" xr:uid="{00000000-0005-0000-0000-000023880000}"/>
    <cellStyle name="Separador de milhares 2 76 5" xfId="24377" xr:uid="{00000000-0005-0000-0000-000024880000}"/>
    <cellStyle name="Separador de milhares 2 76 6" xfId="24378" xr:uid="{00000000-0005-0000-0000-000025880000}"/>
    <cellStyle name="Separador de milhares 2 76 7" xfId="24379" xr:uid="{00000000-0005-0000-0000-000026880000}"/>
    <cellStyle name="Separador de milhares 2 76 8" xfId="24380" xr:uid="{00000000-0005-0000-0000-000027880000}"/>
    <cellStyle name="Separador de milhares 2 76 9" xfId="24381" xr:uid="{00000000-0005-0000-0000-000028880000}"/>
    <cellStyle name="Separador de milhares 2 77" xfId="24382" xr:uid="{00000000-0005-0000-0000-000029880000}"/>
    <cellStyle name="Separador de milhares 2 77 10" xfId="24383" xr:uid="{00000000-0005-0000-0000-00002A880000}"/>
    <cellStyle name="Separador de milhares 2 77 11" xfId="24384" xr:uid="{00000000-0005-0000-0000-00002B880000}"/>
    <cellStyle name="Separador de milhares 2 77 12" xfId="24385" xr:uid="{00000000-0005-0000-0000-00002C880000}"/>
    <cellStyle name="Separador de milhares 2 77 13" xfId="24386" xr:uid="{00000000-0005-0000-0000-00002D880000}"/>
    <cellStyle name="Separador de milhares 2 77 14" xfId="24387" xr:uid="{00000000-0005-0000-0000-00002E880000}"/>
    <cellStyle name="Separador de milhares 2 77 15" xfId="24388" xr:uid="{00000000-0005-0000-0000-00002F880000}"/>
    <cellStyle name="Separador de milhares 2 77 16" xfId="24389" xr:uid="{00000000-0005-0000-0000-000030880000}"/>
    <cellStyle name="Separador de milhares 2 77 2" xfId="24390" xr:uid="{00000000-0005-0000-0000-000031880000}"/>
    <cellStyle name="Separador de milhares 2 77 3" xfId="24391" xr:uid="{00000000-0005-0000-0000-000032880000}"/>
    <cellStyle name="Separador de milhares 2 77 4" xfId="24392" xr:uid="{00000000-0005-0000-0000-000033880000}"/>
    <cellStyle name="Separador de milhares 2 77 5" xfId="24393" xr:uid="{00000000-0005-0000-0000-000034880000}"/>
    <cellStyle name="Separador de milhares 2 77 6" xfId="24394" xr:uid="{00000000-0005-0000-0000-000035880000}"/>
    <cellStyle name="Separador de milhares 2 77 7" xfId="24395" xr:uid="{00000000-0005-0000-0000-000036880000}"/>
    <cellStyle name="Separador de milhares 2 77 8" xfId="24396" xr:uid="{00000000-0005-0000-0000-000037880000}"/>
    <cellStyle name="Separador de milhares 2 77 9" xfId="24397" xr:uid="{00000000-0005-0000-0000-000038880000}"/>
    <cellStyle name="Separador de milhares 2 78" xfId="24398" xr:uid="{00000000-0005-0000-0000-000039880000}"/>
    <cellStyle name="Separador de milhares 2 79" xfId="24399" xr:uid="{00000000-0005-0000-0000-00003A880000}"/>
    <cellStyle name="Separador de milhares 2 8" xfId="24400" xr:uid="{00000000-0005-0000-0000-00003B880000}"/>
    <cellStyle name="Separador de milhares 2 8 10" xfId="24401" xr:uid="{00000000-0005-0000-0000-00003C880000}"/>
    <cellStyle name="Separador de milhares 2 8 11" xfId="24402" xr:uid="{00000000-0005-0000-0000-00003D880000}"/>
    <cellStyle name="Separador de milhares 2 8 2" xfId="24403" xr:uid="{00000000-0005-0000-0000-00003E880000}"/>
    <cellStyle name="Separador de milhares 2 8 2 2" xfId="24404" xr:uid="{00000000-0005-0000-0000-00003F880000}"/>
    <cellStyle name="Separador de milhares 2 8 2 3" xfId="24405" xr:uid="{00000000-0005-0000-0000-000040880000}"/>
    <cellStyle name="Separador de milhares 2 8 2 4" xfId="24406" xr:uid="{00000000-0005-0000-0000-000041880000}"/>
    <cellStyle name="Separador de milhares 2 8 2 5" xfId="24407" xr:uid="{00000000-0005-0000-0000-000042880000}"/>
    <cellStyle name="Separador de milhares 2 8 2 6" xfId="24408" xr:uid="{00000000-0005-0000-0000-000043880000}"/>
    <cellStyle name="Separador de milhares 2 8 2 7" xfId="24409" xr:uid="{00000000-0005-0000-0000-000044880000}"/>
    <cellStyle name="Separador de milhares 2 8 3" xfId="24410" xr:uid="{00000000-0005-0000-0000-000045880000}"/>
    <cellStyle name="Separador de milhares 2 8 4" xfId="24411" xr:uid="{00000000-0005-0000-0000-000046880000}"/>
    <cellStyle name="Separador de milhares 2 8 5" xfId="24412" xr:uid="{00000000-0005-0000-0000-000047880000}"/>
    <cellStyle name="Separador de milhares 2 8 6" xfId="24413" xr:uid="{00000000-0005-0000-0000-000048880000}"/>
    <cellStyle name="Separador de milhares 2 8 7" xfId="24414" xr:uid="{00000000-0005-0000-0000-000049880000}"/>
    <cellStyle name="Separador de milhares 2 8 8" xfId="24415" xr:uid="{00000000-0005-0000-0000-00004A880000}"/>
    <cellStyle name="Separador de milhares 2 8 9" xfId="24416" xr:uid="{00000000-0005-0000-0000-00004B880000}"/>
    <cellStyle name="Separador de milhares 2 80" xfId="24417" xr:uid="{00000000-0005-0000-0000-00004C880000}"/>
    <cellStyle name="Separador de milhares 2 81" xfId="24418" xr:uid="{00000000-0005-0000-0000-00004D880000}"/>
    <cellStyle name="Separador de milhares 2 82" xfId="24419" xr:uid="{00000000-0005-0000-0000-00004E880000}"/>
    <cellStyle name="Separador de milhares 2 83" xfId="24420" xr:uid="{00000000-0005-0000-0000-00004F880000}"/>
    <cellStyle name="Separador de milhares 2 84" xfId="24421" xr:uid="{00000000-0005-0000-0000-000050880000}"/>
    <cellStyle name="Separador de milhares 2 85" xfId="24422" xr:uid="{00000000-0005-0000-0000-000051880000}"/>
    <cellStyle name="Separador de milhares 2 86" xfId="24423" xr:uid="{00000000-0005-0000-0000-000052880000}"/>
    <cellStyle name="Separador de milhares 2 87" xfId="24424" xr:uid="{00000000-0005-0000-0000-000053880000}"/>
    <cellStyle name="Separador de milhares 2 88" xfId="24425" xr:uid="{00000000-0005-0000-0000-000054880000}"/>
    <cellStyle name="Separador de milhares 2 89" xfId="24426" xr:uid="{00000000-0005-0000-0000-000055880000}"/>
    <cellStyle name="Separador de milhares 2 9" xfId="24427" xr:uid="{00000000-0005-0000-0000-000056880000}"/>
    <cellStyle name="Separador de milhares 2 9 10" xfId="24428" xr:uid="{00000000-0005-0000-0000-000057880000}"/>
    <cellStyle name="Separador de milhares 2 9 11" xfId="24429" xr:uid="{00000000-0005-0000-0000-000058880000}"/>
    <cellStyle name="Separador de milhares 2 9 2" xfId="24430" xr:uid="{00000000-0005-0000-0000-000059880000}"/>
    <cellStyle name="Separador de milhares 2 9 2 2" xfId="24431" xr:uid="{00000000-0005-0000-0000-00005A880000}"/>
    <cellStyle name="Separador de milhares 2 9 2 3" xfId="24432" xr:uid="{00000000-0005-0000-0000-00005B880000}"/>
    <cellStyle name="Separador de milhares 2 9 2 4" xfId="24433" xr:uid="{00000000-0005-0000-0000-00005C880000}"/>
    <cellStyle name="Separador de milhares 2 9 2 5" xfId="24434" xr:uid="{00000000-0005-0000-0000-00005D880000}"/>
    <cellStyle name="Separador de milhares 2 9 2 6" xfId="24435" xr:uid="{00000000-0005-0000-0000-00005E880000}"/>
    <cellStyle name="Separador de milhares 2 9 2 7" xfId="24436" xr:uid="{00000000-0005-0000-0000-00005F880000}"/>
    <cellStyle name="Separador de milhares 2 9 3" xfId="24437" xr:uid="{00000000-0005-0000-0000-000060880000}"/>
    <cellStyle name="Separador de milhares 2 9 4" xfId="24438" xr:uid="{00000000-0005-0000-0000-000061880000}"/>
    <cellStyle name="Separador de milhares 2 9 5" xfId="24439" xr:uid="{00000000-0005-0000-0000-000062880000}"/>
    <cellStyle name="Separador de milhares 2 9 6" xfId="24440" xr:uid="{00000000-0005-0000-0000-000063880000}"/>
    <cellStyle name="Separador de milhares 2 9 7" xfId="24441" xr:uid="{00000000-0005-0000-0000-000064880000}"/>
    <cellStyle name="Separador de milhares 2 9 8" xfId="24442" xr:uid="{00000000-0005-0000-0000-000065880000}"/>
    <cellStyle name="Separador de milhares 2 9 9" xfId="24443" xr:uid="{00000000-0005-0000-0000-000066880000}"/>
    <cellStyle name="Separador de milhares 2 90" xfId="24444" xr:uid="{00000000-0005-0000-0000-000067880000}"/>
    <cellStyle name="Separador de milhares 2 91" xfId="24445" xr:uid="{00000000-0005-0000-0000-000068880000}"/>
    <cellStyle name="Separador de milhares 2 92" xfId="24446" xr:uid="{00000000-0005-0000-0000-000069880000}"/>
    <cellStyle name="Separador de milhares 2 93" xfId="24447" xr:uid="{00000000-0005-0000-0000-00006A880000}"/>
    <cellStyle name="Separador de milhares 2 94" xfId="24448" xr:uid="{00000000-0005-0000-0000-00006B880000}"/>
    <cellStyle name="Separador de milhares 2 95" xfId="24449" xr:uid="{00000000-0005-0000-0000-00006C880000}"/>
    <cellStyle name="Separador de milhares 2 96" xfId="24450" xr:uid="{00000000-0005-0000-0000-00006D880000}"/>
    <cellStyle name="Separador de milhares 2 97" xfId="24451" xr:uid="{00000000-0005-0000-0000-00006E880000}"/>
    <cellStyle name="Separador de milhares 2 97 2" xfId="24452" xr:uid="{00000000-0005-0000-0000-00006F880000}"/>
    <cellStyle name="Separador de milhares 2 98" xfId="24453" xr:uid="{00000000-0005-0000-0000-000070880000}"/>
    <cellStyle name="Separador de milhares 2 98 2" xfId="24454" xr:uid="{00000000-0005-0000-0000-000071880000}"/>
    <cellStyle name="Separador de milhares 2 99" xfId="24455" xr:uid="{00000000-0005-0000-0000-000072880000}"/>
    <cellStyle name="Separador de milhares 2 99 2" xfId="24456" xr:uid="{00000000-0005-0000-0000-000073880000}"/>
    <cellStyle name="Separador de milhares 20" xfId="24457" xr:uid="{00000000-0005-0000-0000-000074880000}"/>
    <cellStyle name="Separador de milhares 21" xfId="24458" xr:uid="{00000000-0005-0000-0000-000075880000}"/>
    <cellStyle name="Separador de milhares 22" xfId="24459" xr:uid="{00000000-0005-0000-0000-000076880000}"/>
    <cellStyle name="Separador de milhares 23" xfId="29305" xr:uid="{00000000-0005-0000-0000-000077880000}"/>
    <cellStyle name="Separador de milhares 24" xfId="24460" xr:uid="{00000000-0005-0000-0000-000078880000}"/>
    <cellStyle name="Separador de milhares 25" xfId="24461" xr:uid="{00000000-0005-0000-0000-000079880000}"/>
    <cellStyle name="Separador de milhares 26" xfId="24462" xr:uid="{00000000-0005-0000-0000-00007A880000}"/>
    <cellStyle name="Separador de milhares 27" xfId="24463" xr:uid="{00000000-0005-0000-0000-00007B880000}"/>
    <cellStyle name="Separador de milhares 28" xfId="29357" xr:uid="{00000000-0005-0000-0000-00007C880000}"/>
    <cellStyle name="Separador de milhares 3" xfId="24464" xr:uid="{00000000-0005-0000-0000-00007D880000}"/>
    <cellStyle name="Separador de milhares 3 10" xfId="24465" xr:uid="{00000000-0005-0000-0000-00007E880000}"/>
    <cellStyle name="Separador de milhares 3 10 2" xfId="24466" xr:uid="{00000000-0005-0000-0000-00007F880000}"/>
    <cellStyle name="Separador de milhares 3 11" xfId="24467" xr:uid="{00000000-0005-0000-0000-000080880000}"/>
    <cellStyle name="Separador de milhares 3 11 2" xfId="24468" xr:uid="{00000000-0005-0000-0000-000081880000}"/>
    <cellStyle name="Separador de milhares 3 12" xfId="24469" xr:uid="{00000000-0005-0000-0000-000082880000}"/>
    <cellStyle name="Separador de milhares 3 12 2" xfId="24470" xr:uid="{00000000-0005-0000-0000-000083880000}"/>
    <cellStyle name="Separador de milhares 3 13" xfId="24471" xr:uid="{00000000-0005-0000-0000-000084880000}"/>
    <cellStyle name="Separador de milhares 3 13 2" xfId="24472" xr:uid="{00000000-0005-0000-0000-000085880000}"/>
    <cellStyle name="Separador de milhares 3 14" xfId="24473" xr:uid="{00000000-0005-0000-0000-000086880000}"/>
    <cellStyle name="Separador de milhares 3 14 2" xfId="24474" xr:uid="{00000000-0005-0000-0000-000087880000}"/>
    <cellStyle name="Separador de milhares 3 15" xfId="24475" xr:uid="{00000000-0005-0000-0000-000088880000}"/>
    <cellStyle name="Separador de milhares 3 15 2" xfId="24476" xr:uid="{00000000-0005-0000-0000-000089880000}"/>
    <cellStyle name="Separador de milhares 3 16" xfId="24477" xr:uid="{00000000-0005-0000-0000-00008A880000}"/>
    <cellStyle name="Separador de milhares 3 16 2" xfId="24478" xr:uid="{00000000-0005-0000-0000-00008B880000}"/>
    <cellStyle name="Separador de milhares 3 17" xfId="24479" xr:uid="{00000000-0005-0000-0000-00008C880000}"/>
    <cellStyle name="Separador de milhares 3 18" xfId="24480" xr:uid="{00000000-0005-0000-0000-00008D880000}"/>
    <cellStyle name="Separador de milhares 3 19" xfId="24481" xr:uid="{00000000-0005-0000-0000-00008E880000}"/>
    <cellStyle name="Separador de milhares 3 2" xfId="24482" xr:uid="{00000000-0005-0000-0000-00008F880000}"/>
    <cellStyle name="Separador de milhares 3 2 2" xfId="24483" xr:uid="{00000000-0005-0000-0000-000090880000}"/>
    <cellStyle name="Separador de milhares 3 2 3" xfId="24484" xr:uid="{00000000-0005-0000-0000-000091880000}"/>
    <cellStyle name="Separador de milhares 3 20" xfId="24485" xr:uid="{00000000-0005-0000-0000-000092880000}"/>
    <cellStyle name="Separador de milhares 3 21" xfId="24486" xr:uid="{00000000-0005-0000-0000-000093880000}"/>
    <cellStyle name="Separador de milhares 3 21 2" xfId="24487" xr:uid="{00000000-0005-0000-0000-000094880000}"/>
    <cellStyle name="Separador de milhares 3 22" xfId="24488" xr:uid="{00000000-0005-0000-0000-000095880000}"/>
    <cellStyle name="Separador de milhares 3 22 2" xfId="24489" xr:uid="{00000000-0005-0000-0000-000096880000}"/>
    <cellStyle name="Separador de milhares 3 23" xfId="24490" xr:uid="{00000000-0005-0000-0000-000097880000}"/>
    <cellStyle name="Separador de milhares 3 23 2" xfId="24491" xr:uid="{00000000-0005-0000-0000-000098880000}"/>
    <cellStyle name="Separador de milhares 3 24" xfId="24492" xr:uid="{00000000-0005-0000-0000-000099880000}"/>
    <cellStyle name="Separador de milhares 3 24 2" xfId="24493" xr:uid="{00000000-0005-0000-0000-00009A880000}"/>
    <cellStyle name="Separador de milhares 3 25" xfId="24494" xr:uid="{00000000-0005-0000-0000-00009B880000}"/>
    <cellStyle name="Separador de milhares 3 26" xfId="24495" xr:uid="{00000000-0005-0000-0000-00009C880000}"/>
    <cellStyle name="Separador de milhares 3 27" xfId="24496" xr:uid="{00000000-0005-0000-0000-00009D880000}"/>
    <cellStyle name="Separador de milhares 3 28" xfId="24497" xr:uid="{00000000-0005-0000-0000-00009E880000}"/>
    <cellStyle name="Separador de milhares 3 29" xfId="24498" xr:uid="{00000000-0005-0000-0000-00009F880000}"/>
    <cellStyle name="Separador de milhares 3 3" xfId="24499" xr:uid="{00000000-0005-0000-0000-0000A0880000}"/>
    <cellStyle name="Separador de milhares 3 3 2" xfId="24500" xr:uid="{00000000-0005-0000-0000-0000A1880000}"/>
    <cellStyle name="Separador de milhares 3 3 3" xfId="24501" xr:uid="{00000000-0005-0000-0000-0000A2880000}"/>
    <cellStyle name="Separador de milhares 3 3 4" xfId="24502" xr:uid="{00000000-0005-0000-0000-0000A3880000}"/>
    <cellStyle name="Separador de milhares 3 3 5" xfId="24503" xr:uid="{00000000-0005-0000-0000-0000A4880000}"/>
    <cellStyle name="Separador de milhares 3 3 6" xfId="24504" xr:uid="{00000000-0005-0000-0000-0000A5880000}"/>
    <cellStyle name="Separador de milhares 3 3 7" xfId="24505" xr:uid="{00000000-0005-0000-0000-0000A6880000}"/>
    <cellStyle name="Separador de milhares 3 30" xfId="24506" xr:uid="{00000000-0005-0000-0000-0000A7880000}"/>
    <cellStyle name="Separador de milhares 3 31" xfId="24507" xr:uid="{00000000-0005-0000-0000-0000A8880000}"/>
    <cellStyle name="Separador de milhares 3 32" xfId="24508" xr:uid="{00000000-0005-0000-0000-0000A9880000}"/>
    <cellStyle name="Separador de milhares 3 33" xfId="24509" xr:uid="{00000000-0005-0000-0000-0000AA880000}"/>
    <cellStyle name="Separador de milhares 3 34" xfId="24510" xr:uid="{00000000-0005-0000-0000-0000AB880000}"/>
    <cellStyle name="Separador de milhares 3 35" xfId="24511" xr:uid="{00000000-0005-0000-0000-0000AC880000}"/>
    <cellStyle name="Separador de milhares 3 36" xfId="24512" xr:uid="{00000000-0005-0000-0000-0000AD880000}"/>
    <cellStyle name="Separador de milhares 3 37" xfId="24513" xr:uid="{00000000-0005-0000-0000-0000AE880000}"/>
    <cellStyle name="Separador de milhares 3 4" xfId="24514" xr:uid="{00000000-0005-0000-0000-0000AF880000}"/>
    <cellStyle name="Separador de milhares 3 5" xfId="24515" xr:uid="{00000000-0005-0000-0000-0000B0880000}"/>
    <cellStyle name="Separador de milhares 3 6" xfId="24516" xr:uid="{00000000-0005-0000-0000-0000B1880000}"/>
    <cellStyle name="Separador de milhares 3 6 10" xfId="24517" xr:uid="{00000000-0005-0000-0000-0000B2880000}"/>
    <cellStyle name="Separador de milhares 3 6 10 2" xfId="24518" xr:uid="{00000000-0005-0000-0000-0000B3880000}"/>
    <cellStyle name="Separador de milhares 3 6 10 2 2" xfId="39073" xr:uid="{00000000-0005-0000-0000-0000B4880000}"/>
    <cellStyle name="Separador de milhares 3 6 10 3" xfId="24519" xr:uid="{00000000-0005-0000-0000-0000B5880000}"/>
    <cellStyle name="Separador de milhares 3 6 10 3 2" xfId="39074" xr:uid="{00000000-0005-0000-0000-0000B6880000}"/>
    <cellStyle name="Separador de milhares 3 6 10 4" xfId="24520" xr:uid="{00000000-0005-0000-0000-0000B7880000}"/>
    <cellStyle name="Separador de milhares 3 6 10 4 2" xfId="39075" xr:uid="{00000000-0005-0000-0000-0000B8880000}"/>
    <cellStyle name="Separador de milhares 3 6 10 5" xfId="24521" xr:uid="{00000000-0005-0000-0000-0000B9880000}"/>
    <cellStyle name="Separador de milhares 3 6 10 5 2" xfId="39076" xr:uid="{00000000-0005-0000-0000-0000BA880000}"/>
    <cellStyle name="Separador de milhares 3 6 10 6" xfId="39072" xr:uid="{00000000-0005-0000-0000-0000BB880000}"/>
    <cellStyle name="Separador de milhares 3 6 11" xfId="24522" xr:uid="{00000000-0005-0000-0000-0000BC880000}"/>
    <cellStyle name="Separador de milhares 3 6 11 2" xfId="24523" xr:uid="{00000000-0005-0000-0000-0000BD880000}"/>
    <cellStyle name="Separador de milhares 3 6 11 2 2" xfId="39078" xr:uid="{00000000-0005-0000-0000-0000BE880000}"/>
    <cellStyle name="Separador de milhares 3 6 11 3" xfId="24524" xr:uid="{00000000-0005-0000-0000-0000BF880000}"/>
    <cellStyle name="Separador de milhares 3 6 11 3 2" xfId="39079" xr:uid="{00000000-0005-0000-0000-0000C0880000}"/>
    <cellStyle name="Separador de milhares 3 6 11 4" xfId="24525" xr:uid="{00000000-0005-0000-0000-0000C1880000}"/>
    <cellStyle name="Separador de milhares 3 6 11 4 2" xfId="39080" xr:uid="{00000000-0005-0000-0000-0000C2880000}"/>
    <cellStyle name="Separador de milhares 3 6 11 5" xfId="24526" xr:uid="{00000000-0005-0000-0000-0000C3880000}"/>
    <cellStyle name="Separador de milhares 3 6 11 5 2" xfId="39081" xr:uid="{00000000-0005-0000-0000-0000C4880000}"/>
    <cellStyle name="Separador de milhares 3 6 11 6" xfId="39077" xr:uid="{00000000-0005-0000-0000-0000C5880000}"/>
    <cellStyle name="Separador de milhares 3 6 12" xfId="24527" xr:uid="{00000000-0005-0000-0000-0000C6880000}"/>
    <cellStyle name="Separador de milhares 3 6 12 2" xfId="24528" xr:uid="{00000000-0005-0000-0000-0000C7880000}"/>
    <cellStyle name="Separador de milhares 3 6 12 2 2" xfId="39083" xr:uid="{00000000-0005-0000-0000-0000C8880000}"/>
    <cellStyle name="Separador de milhares 3 6 12 3" xfId="24529" xr:uid="{00000000-0005-0000-0000-0000C9880000}"/>
    <cellStyle name="Separador de milhares 3 6 12 3 2" xfId="39084" xr:uid="{00000000-0005-0000-0000-0000CA880000}"/>
    <cellStyle name="Separador de milhares 3 6 12 4" xfId="24530" xr:uid="{00000000-0005-0000-0000-0000CB880000}"/>
    <cellStyle name="Separador de milhares 3 6 12 4 2" xfId="39085" xr:uid="{00000000-0005-0000-0000-0000CC880000}"/>
    <cellStyle name="Separador de milhares 3 6 12 5" xfId="24531" xr:uid="{00000000-0005-0000-0000-0000CD880000}"/>
    <cellStyle name="Separador de milhares 3 6 12 5 2" xfId="39086" xr:uid="{00000000-0005-0000-0000-0000CE880000}"/>
    <cellStyle name="Separador de milhares 3 6 12 6" xfId="39082" xr:uid="{00000000-0005-0000-0000-0000CF880000}"/>
    <cellStyle name="Separador de milhares 3 6 13" xfId="24532" xr:uid="{00000000-0005-0000-0000-0000D0880000}"/>
    <cellStyle name="Separador de milhares 3 6 13 2" xfId="24533" xr:uid="{00000000-0005-0000-0000-0000D1880000}"/>
    <cellStyle name="Separador de milhares 3 6 13 2 2" xfId="39088" xr:uid="{00000000-0005-0000-0000-0000D2880000}"/>
    <cellStyle name="Separador de milhares 3 6 13 3" xfId="24534" xr:uid="{00000000-0005-0000-0000-0000D3880000}"/>
    <cellStyle name="Separador de milhares 3 6 13 3 2" xfId="39089" xr:uid="{00000000-0005-0000-0000-0000D4880000}"/>
    <cellStyle name="Separador de milhares 3 6 13 4" xfId="24535" xr:uid="{00000000-0005-0000-0000-0000D5880000}"/>
    <cellStyle name="Separador de milhares 3 6 13 4 2" xfId="39090" xr:uid="{00000000-0005-0000-0000-0000D6880000}"/>
    <cellStyle name="Separador de milhares 3 6 13 5" xfId="24536" xr:uid="{00000000-0005-0000-0000-0000D7880000}"/>
    <cellStyle name="Separador de milhares 3 6 13 5 2" xfId="39091" xr:uid="{00000000-0005-0000-0000-0000D8880000}"/>
    <cellStyle name="Separador de milhares 3 6 13 6" xfId="39087" xr:uid="{00000000-0005-0000-0000-0000D9880000}"/>
    <cellStyle name="Separador de milhares 3 6 14" xfId="24537" xr:uid="{00000000-0005-0000-0000-0000DA880000}"/>
    <cellStyle name="Separador de milhares 3 6 14 2" xfId="24538" xr:uid="{00000000-0005-0000-0000-0000DB880000}"/>
    <cellStyle name="Separador de milhares 3 6 14 2 2" xfId="39093" xr:uid="{00000000-0005-0000-0000-0000DC880000}"/>
    <cellStyle name="Separador de milhares 3 6 14 3" xfId="24539" xr:uid="{00000000-0005-0000-0000-0000DD880000}"/>
    <cellStyle name="Separador de milhares 3 6 14 3 2" xfId="39094" xr:uid="{00000000-0005-0000-0000-0000DE880000}"/>
    <cellStyle name="Separador de milhares 3 6 14 4" xfId="24540" xr:uid="{00000000-0005-0000-0000-0000DF880000}"/>
    <cellStyle name="Separador de milhares 3 6 14 4 2" xfId="39095" xr:uid="{00000000-0005-0000-0000-0000E0880000}"/>
    <cellStyle name="Separador de milhares 3 6 14 5" xfId="24541" xr:uid="{00000000-0005-0000-0000-0000E1880000}"/>
    <cellStyle name="Separador de milhares 3 6 14 5 2" xfId="39096" xr:uid="{00000000-0005-0000-0000-0000E2880000}"/>
    <cellStyle name="Separador de milhares 3 6 14 6" xfId="39092" xr:uid="{00000000-0005-0000-0000-0000E3880000}"/>
    <cellStyle name="Separador de milhares 3 6 15" xfId="24542" xr:uid="{00000000-0005-0000-0000-0000E4880000}"/>
    <cellStyle name="Separador de milhares 3 6 15 2" xfId="24543" xr:uid="{00000000-0005-0000-0000-0000E5880000}"/>
    <cellStyle name="Separador de milhares 3 6 15 2 2" xfId="39098" xr:uid="{00000000-0005-0000-0000-0000E6880000}"/>
    <cellStyle name="Separador de milhares 3 6 15 3" xfId="24544" xr:uid="{00000000-0005-0000-0000-0000E7880000}"/>
    <cellStyle name="Separador de milhares 3 6 15 3 2" xfId="39099" xr:uid="{00000000-0005-0000-0000-0000E8880000}"/>
    <cellStyle name="Separador de milhares 3 6 15 4" xfId="24545" xr:uid="{00000000-0005-0000-0000-0000E9880000}"/>
    <cellStyle name="Separador de milhares 3 6 15 4 2" xfId="39100" xr:uid="{00000000-0005-0000-0000-0000EA880000}"/>
    <cellStyle name="Separador de milhares 3 6 15 5" xfId="24546" xr:uid="{00000000-0005-0000-0000-0000EB880000}"/>
    <cellStyle name="Separador de milhares 3 6 15 5 2" xfId="39101" xr:uid="{00000000-0005-0000-0000-0000EC880000}"/>
    <cellStyle name="Separador de milhares 3 6 15 6" xfId="39097" xr:uid="{00000000-0005-0000-0000-0000ED880000}"/>
    <cellStyle name="Separador de milhares 3 6 16" xfId="24547" xr:uid="{00000000-0005-0000-0000-0000EE880000}"/>
    <cellStyle name="Separador de milhares 3 6 16 2" xfId="24548" xr:uid="{00000000-0005-0000-0000-0000EF880000}"/>
    <cellStyle name="Separador de milhares 3 6 16 2 2" xfId="39103" xr:uid="{00000000-0005-0000-0000-0000F0880000}"/>
    <cellStyle name="Separador de milhares 3 6 16 3" xfId="24549" xr:uid="{00000000-0005-0000-0000-0000F1880000}"/>
    <cellStyle name="Separador de milhares 3 6 16 3 2" xfId="39104" xr:uid="{00000000-0005-0000-0000-0000F2880000}"/>
    <cellStyle name="Separador de milhares 3 6 16 4" xfId="24550" xr:uid="{00000000-0005-0000-0000-0000F3880000}"/>
    <cellStyle name="Separador de milhares 3 6 16 4 2" xfId="39105" xr:uid="{00000000-0005-0000-0000-0000F4880000}"/>
    <cellStyle name="Separador de milhares 3 6 16 5" xfId="24551" xr:uid="{00000000-0005-0000-0000-0000F5880000}"/>
    <cellStyle name="Separador de milhares 3 6 16 5 2" xfId="39106" xr:uid="{00000000-0005-0000-0000-0000F6880000}"/>
    <cellStyle name="Separador de milhares 3 6 16 6" xfId="39102" xr:uid="{00000000-0005-0000-0000-0000F7880000}"/>
    <cellStyle name="Separador de milhares 3 6 17" xfId="24552" xr:uid="{00000000-0005-0000-0000-0000F8880000}"/>
    <cellStyle name="Separador de milhares 3 6 17 2" xfId="39107" xr:uid="{00000000-0005-0000-0000-0000F9880000}"/>
    <cellStyle name="Separador de milhares 3 6 18" xfId="24553" xr:uid="{00000000-0005-0000-0000-0000FA880000}"/>
    <cellStyle name="Separador de milhares 3 6 18 2" xfId="39108" xr:uid="{00000000-0005-0000-0000-0000FB880000}"/>
    <cellStyle name="Separador de milhares 3 6 19" xfId="24554" xr:uid="{00000000-0005-0000-0000-0000FC880000}"/>
    <cellStyle name="Separador de milhares 3 6 19 2" xfId="39109" xr:uid="{00000000-0005-0000-0000-0000FD880000}"/>
    <cellStyle name="Separador de milhares 3 6 2" xfId="24555" xr:uid="{00000000-0005-0000-0000-0000FE880000}"/>
    <cellStyle name="Separador de milhares 3 6 2 10" xfId="24556" xr:uid="{00000000-0005-0000-0000-0000FF880000}"/>
    <cellStyle name="Separador de milhares 3 6 2 10 2" xfId="39111" xr:uid="{00000000-0005-0000-0000-000000890000}"/>
    <cellStyle name="Separador de milhares 3 6 2 11" xfId="24557" xr:uid="{00000000-0005-0000-0000-000001890000}"/>
    <cellStyle name="Separador de milhares 3 6 2 11 2" xfId="39112" xr:uid="{00000000-0005-0000-0000-000002890000}"/>
    <cellStyle name="Separador de milhares 3 6 2 12" xfId="39110" xr:uid="{00000000-0005-0000-0000-000003890000}"/>
    <cellStyle name="Separador de milhares 3 6 2 2" xfId="24558" xr:uid="{00000000-0005-0000-0000-000004890000}"/>
    <cellStyle name="Separador de milhares 3 6 2 2 2" xfId="24559" xr:uid="{00000000-0005-0000-0000-000005890000}"/>
    <cellStyle name="Separador de milhares 3 6 2 2 2 2" xfId="39114" xr:uid="{00000000-0005-0000-0000-000006890000}"/>
    <cellStyle name="Separador de milhares 3 6 2 2 3" xfId="24560" xr:uid="{00000000-0005-0000-0000-000007890000}"/>
    <cellStyle name="Separador de milhares 3 6 2 2 3 2" xfId="39115" xr:uid="{00000000-0005-0000-0000-000008890000}"/>
    <cellStyle name="Separador de milhares 3 6 2 2 4" xfId="24561" xr:uid="{00000000-0005-0000-0000-000009890000}"/>
    <cellStyle name="Separador de milhares 3 6 2 2 4 2" xfId="39116" xr:uid="{00000000-0005-0000-0000-00000A890000}"/>
    <cellStyle name="Separador de milhares 3 6 2 2 5" xfId="24562" xr:uid="{00000000-0005-0000-0000-00000B890000}"/>
    <cellStyle name="Separador de milhares 3 6 2 2 5 2" xfId="39117" xr:uid="{00000000-0005-0000-0000-00000C890000}"/>
    <cellStyle name="Separador de milhares 3 6 2 2 6" xfId="39113" xr:uid="{00000000-0005-0000-0000-00000D890000}"/>
    <cellStyle name="Separador de milhares 3 6 2 3" xfId="24563" xr:uid="{00000000-0005-0000-0000-00000E890000}"/>
    <cellStyle name="Separador de milhares 3 6 2 3 2" xfId="24564" xr:uid="{00000000-0005-0000-0000-00000F890000}"/>
    <cellStyle name="Separador de milhares 3 6 2 3 2 2" xfId="39119" xr:uid="{00000000-0005-0000-0000-000010890000}"/>
    <cellStyle name="Separador de milhares 3 6 2 3 3" xfId="24565" xr:uid="{00000000-0005-0000-0000-000011890000}"/>
    <cellStyle name="Separador de milhares 3 6 2 3 3 2" xfId="39120" xr:uid="{00000000-0005-0000-0000-000012890000}"/>
    <cellStyle name="Separador de milhares 3 6 2 3 4" xfId="24566" xr:uid="{00000000-0005-0000-0000-000013890000}"/>
    <cellStyle name="Separador de milhares 3 6 2 3 4 2" xfId="39121" xr:uid="{00000000-0005-0000-0000-000014890000}"/>
    <cellStyle name="Separador de milhares 3 6 2 3 5" xfId="24567" xr:uid="{00000000-0005-0000-0000-000015890000}"/>
    <cellStyle name="Separador de milhares 3 6 2 3 5 2" xfId="39122" xr:uid="{00000000-0005-0000-0000-000016890000}"/>
    <cellStyle name="Separador de milhares 3 6 2 3 6" xfId="39118" xr:uid="{00000000-0005-0000-0000-000017890000}"/>
    <cellStyle name="Separador de milhares 3 6 2 4" xfId="24568" xr:uid="{00000000-0005-0000-0000-000018890000}"/>
    <cellStyle name="Separador de milhares 3 6 2 4 2" xfId="24569" xr:uid="{00000000-0005-0000-0000-000019890000}"/>
    <cellStyle name="Separador de milhares 3 6 2 4 2 2" xfId="39124" xr:uid="{00000000-0005-0000-0000-00001A890000}"/>
    <cellStyle name="Separador de milhares 3 6 2 4 3" xfId="24570" xr:uid="{00000000-0005-0000-0000-00001B890000}"/>
    <cellStyle name="Separador de milhares 3 6 2 4 3 2" xfId="39125" xr:uid="{00000000-0005-0000-0000-00001C890000}"/>
    <cellStyle name="Separador de milhares 3 6 2 4 4" xfId="24571" xr:uid="{00000000-0005-0000-0000-00001D890000}"/>
    <cellStyle name="Separador de milhares 3 6 2 4 4 2" xfId="39126" xr:uid="{00000000-0005-0000-0000-00001E890000}"/>
    <cellStyle name="Separador de milhares 3 6 2 4 5" xfId="24572" xr:uid="{00000000-0005-0000-0000-00001F890000}"/>
    <cellStyle name="Separador de milhares 3 6 2 4 5 2" xfId="39127" xr:uid="{00000000-0005-0000-0000-000020890000}"/>
    <cellStyle name="Separador de milhares 3 6 2 4 6" xfId="39123" xr:uid="{00000000-0005-0000-0000-000021890000}"/>
    <cellStyle name="Separador de milhares 3 6 2 5" xfId="24573" xr:uid="{00000000-0005-0000-0000-000022890000}"/>
    <cellStyle name="Separador de milhares 3 6 2 5 2" xfId="24574" xr:uid="{00000000-0005-0000-0000-000023890000}"/>
    <cellStyle name="Separador de milhares 3 6 2 5 2 2" xfId="39129" xr:uid="{00000000-0005-0000-0000-000024890000}"/>
    <cellStyle name="Separador de milhares 3 6 2 5 3" xfId="24575" xr:uid="{00000000-0005-0000-0000-000025890000}"/>
    <cellStyle name="Separador de milhares 3 6 2 5 3 2" xfId="39130" xr:uid="{00000000-0005-0000-0000-000026890000}"/>
    <cellStyle name="Separador de milhares 3 6 2 5 4" xfId="24576" xr:uid="{00000000-0005-0000-0000-000027890000}"/>
    <cellStyle name="Separador de milhares 3 6 2 5 4 2" xfId="39131" xr:uid="{00000000-0005-0000-0000-000028890000}"/>
    <cellStyle name="Separador de milhares 3 6 2 5 5" xfId="24577" xr:uid="{00000000-0005-0000-0000-000029890000}"/>
    <cellStyle name="Separador de milhares 3 6 2 5 5 2" xfId="39132" xr:uid="{00000000-0005-0000-0000-00002A890000}"/>
    <cellStyle name="Separador de milhares 3 6 2 5 6" xfId="39128" xr:uid="{00000000-0005-0000-0000-00002B890000}"/>
    <cellStyle name="Separador de milhares 3 6 2 6" xfId="24578" xr:uid="{00000000-0005-0000-0000-00002C890000}"/>
    <cellStyle name="Separador de milhares 3 6 2 6 2" xfId="24579" xr:uid="{00000000-0005-0000-0000-00002D890000}"/>
    <cellStyle name="Separador de milhares 3 6 2 6 2 2" xfId="39134" xr:uid="{00000000-0005-0000-0000-00002E890000}"/>
    <cellStyle name="Separador de milhares 3 6 2 6 3" xfId="24580" xr:uid="{00000000-0005-0000-0000-00002F890000}"/>
    <cellStyle name="Separador de milhares 3 6 2 6 3 2" xfId="39135" xr:uid="{00000000-0005-0000-0000-000030890000}"/>
    <cellStyle name="Separador de milhares 3 6 2 6 4" xfId="24581" xr:uid="{00000000-0005-0000-0000-000031890000}"/>
    <cellStyle name="Separador de milhares 3 6 2 6 4 2" xfId="39136" xr:uid="{00000000-0005-0000-0000-000032890000}"/>
    <cellStyle name="Separador de milhares 3 6 2 6 5" xfId="24582" xr:uid="{00000000-0005-0000-0000-000033890000}"/>
    <cellStyle name="Separador de milhares 3 6 2 6 5 2" xfId="39137" xr:uid="{00000000-0005-0000-0000-000034890000}"/>
    <cellStyle name="Separador de milhares 3 6 2 6 6" xfId="39133" xr:uid="{00000000-0005-0000-0000-000035890000}"/>
    <cellStyle name="Separador de milhares 3 6 2 7" xfId="24583" xr:uid="{00000000-0005-0000-0000-000036890000}"/>
    <cellStyle name="Separador de milhares 3 6 2 7 2" xfId="24584" xr:uid="{00000000-0005-0000-0000-000037890000}"/>
    <cellStyle name="Separador de milhares 3 6 2 7 2 2" xfId="39139" xr:uid="{00000000-0005-0000-0000-000038890000}"/>
    <cellStyle name="Separador de milhares 3 6 2 7 3" xfId="24585" xr:uid="{00000000-0005-0000-0000-000039890000}"/>
    <cellStyle name="Separador de milhares 3 6 2 7 3 2" xfId="39140" xr:uid="{00000000-0005-0000-0000-00003A890000}"/>
    <cellStyle name="Separador de milhares 3 6 2 7 4" xfId="24586" xr:uid="{00000000-0005-0000-0000-00003B890000}"/>
    <cellStyle name="Separador de milhares 3 6 2 7 4 2" xfId="39141" xr:uid="{00000000-0005-0000-0000-00003C890000}"/>
    <cellStyle name="Separador de milhares 3 6 2 7 5" xfId="24587" xr:uid="{00000000-0005-0000-0000-00003D890000}"/>
    <cellStyle name="Separador de milhares 3 6 2 7 5 2" xfId="39142" xr:uid="{00000000-0005-0000-0000-00003E890000}"/>
    <cellStyle name="Separador de milhares 3 6 2 7 6" xfId="39138" xr:uid="{00000000-0005-0000-0000-00003F890000}"/>
    <cellStyle name="Separador de milhares 3 6 2 8" xfId="24588" xr:uid="{00000000-0005-0000-0000-000040890000}"/>
    <cellStyle name="Separador de milhares 3 6 2 8 2" xfId="39143" xr:uid="{00000000-0005-0000-0000-000041890000}"/>
    <cellStyle name="Separador de milhares 3 6 2 9" xfId="24589" xr:uid="{00000000-0005-0000-0000-000042890000}"/>
    <cellStyle name="Separador de milhares 3 6 2 9 2" xfId="39144" xr:uid="{00000000-0005-0000-0000-000043890000}"/>
    <cellStyle name="Separador de milhares 3 6 20" xfId="24590" xr:uid="{00000000-0005-0000-0000-000044890000}"/>
    <cellStyle name="Separador de milhares 3 6 20 2" xfId="39145" xr:uid="{00000000-0005-0000-0000-000045890000}"/>
    <cellStyle name="Separador de milhares 3 6 21" xfId="40999" xr:uid="{00000000-0005-0000-0000-000046890000}"/>
    <cellStyle name="Separador de milhares 3 6 22" xfId="39071" xr:uid="{00000000-0005-0000-0000-000047890000}"/>
    <cellStyle name="Separador de milhares 3 6 3" xfId="24591" xr:uid="{00000000-0005-0000-0000-000048890000}"/>
    <cellStyle name="Separador de milhares 3 6 3 2" xfId="24592" xr:uid="{00000000-0005-0000-0000-000049890000}"/>
    <cellStyle name="Separador de milhares 3 6 3 2 2" xfId="24593" xr:uid="{00000000-0005-0000-0000-00004A890000}"/>
    <cellStyle name="Separador de milhares 3 6 3 2 2 2" xfId="39148" xr:uid="{00000000-0005-0000-0000-00004B890000}"/>
    <cellStyle name="Separador de milhares 3 6 3 2 3" xfId="24594" xr:uid="{00000000-0005-0000-0000-00004C890000}"/>
    <cellStyle name="Separador de milhares 3 6 3 2 3 2" xfId="39149" xr:uid="{00000000-0005-0000-0000-00004D890000}"/>
    <cellStyle name="Separador de milhares 3 6 3 2 4" xfId="24595" xr:uid="{00000000-0005-0000-0000-00004E890000}"/>
    <cellStyle name="Separador de milhares 3 6 3 2 4 2" xfId="39150" xr:uid="{00000000-0005-0000-0000-00004F890000}"/>
    <cellStyle name="Separador de milhares 3 6 3 2 5" xfId="24596" xr:uid="{00000000-0005-0000-0000-000050890000}"/>
    <cellStyle name="Separador de milhares 3 6 3 2 5 2" xfId="39151" xr:uid="{00000000-0005-0000-0000-000051890000}"/>
    <cellStyle name="Separador de milhares 3 6 3 2 6" xfId="39147" xr:uid="{00000000-0005-0000-0000-000052890000}"/>
    <cellStyle name="Separador de milhares 3 6 3 3" xfId="24597" xr:uid="{00000000-0005-0000-0000-000053890000}"/>
    <cellStyle name="Separador de milhares 3 6 3 3 2" xfId="39152" xr:uid="{00000000-0005-0000-0000-000054890000}"/>
    <cellStyle name="Separador de milhares 3 6 3 4" xfId="24598" xr:uid="{00000000-0005-0000-0000-000055890000}"/>
    <cellStyle name="Separador de milhares 3 6 3 4 2" xfId="39153" xr:uid="{00000000-0005-0000-0000-000056890000}"/>
    <cellStyle name="Separador de milhares 3 6 3 5" xfId="24599" xr:uid="{00000000-0005-0000-0000-000057890000}"/>
    <cellStyle name="Separador de milhares 3 6 3 5 2" xfId="39154" xr:uid="{00000000-0005-0000-0000-000058890000}"/>
    <cellStyle name="Separador de milhares 3 6 3 6" xfId="24600" xr:uid="{00000000-0005-0000-0000-000059890000}"/>
    <cellStyle name="Separador de milhares 3 6 3 6 2" xfId="39155" xr:uid="{00000000-0005-0000-0000-00005A890000}"/>
    <cellStyle name="Separador de milhares 3 6 3 7" xfId="39146" xr:uid="{00000000-0005-0000-0000-00005B890000}"/>
    <cellStyle name="Separador de milhares 3 6 4" xfId="24601" xr:uid="{00000000-0005-0000-0000-00005C890000}"/>
    <cellStyle name="Separador de milhares 3 6 4 2" xfId="24602" xr:uid="{00000000-0005-0000-0000-00005D890000}"/>
    <cellStyle name="Separador de milhares 3 6 4 2 2" xfId="24603" xr:uid="{00000000-0005-0000-0000-00005E890000}"/>
    <cellStyle name="Separador de milhares 3 6 4 2 2 2" xfId="39158" xr:uid="{00000000-0005-0000-0000-00005F890000}"/>
    <cellStyle name="Separador de milhares 3 6 4 2 3" xfId="24604" xr:uid="{00000000-0005-0000-0000-000060890000}"/>
    <cellStyle name="Separador de milhares 3 6 4 2 3 2" xfId="39159" xr:uid="{00000000-0005-0000-0000-000061890000}"/>
    <cellStyle name="Separador de milhares 3 6 4 2 4" xfId="24605" xr:uid="{00000000-0005-0000-0000-000062890000}"/>
    <cellStyle name="Separador de milhares 3 6 4 2 4 2" xfId="39160" xr:uid="{00000000-0005-0000-0000-000063890000}"/>
    <cellStyle name="Separador de milhares 3 6 4 2 5" xfId="24606" xr:uid="{00000000-0005-0000-0000-000064890000}"/>
    <cellStyle name="Separador de milhares 3 6 4 2 5 2" xfId="39161" xr:uid="{00000000-0005-0000-0000-000065890000}"/>
    <cellStyle name="Separador de milhares 3 6 4 2 6" xfId="39157" xr:uid="{00000000-0005-0000-0000-000066890000}"/>
    <cellStyle name="Separador de milhares 3 6 4 3" xfId="24607" xr:uid="{00000000-0005-0000-0000-000067890000}"/>
    <cellStyle name="Separador de milhares 3 6 4 3 2" xfId="39162" xr:uid="{00000000-0005-0000-0000-000068890000}"/>
    <cellStyle name="Separador de milhares 3 6 4 4" xfId="24608" xr:uid="{00000000-0005-0000-0000-000069890000}"/>
    <cellStyle name="Separador de milhares 3 6 4 4 2" xfId="39163" xr:uid="{00000000-0005-0000-0000-00006A890000}"/>
    <cellStyle name="Separador de milhares 3 6 4 5" xfId="24609" xr:uid="{00000000-0005-0000-0000-00006B890000}"/>
    <cellStyle name="Separador de milhares 3 6 4 5 2" xfId="39164" xr:uid="{00000000-0005-0000-0000-00006C890000}"/>
    <cellStyle name="Separador de milhares 3 6 4 6" xfId="24610" xr:uid="{00000000-0005-0000-0000-00006D890000}"/>
    <cellStyle name="Separador de milhares 3 6 4 6 2" xfId="39165" xr:uid="{00000000-0005-0000-0000-00006E890000}"/>
    <cellStyle name="Separador de milhares 3 6 4 7" xfId="39156" xr:uid="{00000000-0005-0000-0000-00006F890000}"/>
    <cellStyle name="Separador de milhares 3 6 5" xfId="24611" xr:uid="{00000000-0005-0000-0000-000070890000}"/>
    <cellStyle name="Separador de milhares 3 6 5 2" xfId="24612" xr:uid="{00000000-0005-0000-0000-000071890000}"/>
    <cellStyle name="Separador de milhares 3 6 5 2 2" xfId="39167" xr:uid="{00000000-0005-0000-0000-000072890000}"/>
    <cellStyle name="Separador de milhares 3 6 5 3" xfId="24613" xr:uid="{00000000-0005-0000-0000-000073890000}"/>
    <cellStyle name="Separador de milhares 3 6 5 3 2" xfId="39168" xr:uid="{00000000-0005-0000-0000-000074890000}"/>
    <cellStyle name="Separador de milhares 3 6 5 4" xfId="24614" xr:uid="{00000000-0005-0000-0000-000075890000}"/>
    <cellStyle name="Separador de milhares 3 6 5 4 2" xfId="39169" xr:uid="{00000000-0005-0000-0000-000076890000}"/>
    <cellStyle name="Separador de milhares 3 6 5 5" xfId="24615" xr:uid="{00000000-0005-0000-0000-000077890000}"/>
    <cellStyle name="Separador de milhares 3 6 5 5 2" xfId="39170" xr:uid="{00000000-0005-0000-0000-000078890000}"/>
    <cellStyle name="Separador de milhares 3 6 5 6" xfId="39166" xr:uid="{00000000-0005-0000-0000-000079890000}"/>
    <cellStyle name="Separador de milhares 3 6 6" xfId="24616" xr:uid="{00000000-0005-0000-0000-00007A890000}"/>
    <cellStyle name="Separador de milhares 3 6 6 2" xfId="24617" xr:uid="{00000000-0005-0000-0000-00007B890000}"/>
    <cellStyle name="Separador de milhares 3 6 6 2 2" xfId="39172" xr:uid="{00000000-0005-0000-0000-00007C890000}"/>
    <cellStyle name="Separador de milhares 3 6 6 3" xfId="24618" xr:uid="{00000000-0005-0000-0000-00007D890000}"/>
    <cellStyle name="Separador de milhares 3 6 6 3 2" xfId="39173" xr:uid="{00000000-0005-0000-0000-00007E890000}"/>
    <cellStyle name="Separador de milhares 3 6 6 4" xfId="24619" xr:uid="{00000000-0005-0000-0000-00007F890000}"/>
    <cellStyle name="Separador de milhares 3 6 6 4 2" xfId="39174" xr:uid="{00000000-0005-0000-0000-000080890000}"/>
    <cellStyle name="Separador de milhares 3 6 6 5" xfId="24620" xr:uid="{00000000-0005-0000-0000-000081890000}"/>
    <cellStyle name="Separador de milhares 3 6 6 5 2" xfId="39175" xr:uid="{00000000-0005-0000-0000-000082890000}"/>
    <cellStyle name="Separador de milhares 3 6 6 6" xfId="39171" xr:uid="{00000000-0005-0000-0000-000083890000}"/>
    <cellStyle name="Separador de milhares 3 6 7" xfId="24621" xr:uid="{00000000-0005-0000-0000-000084890000}"/>
    <cellStyle name="Separador de milhares 3 6 7 2" xfId="24622" xr:uid="{00000000-0005-0000-0000-000085890000}"/>
    <cellStyle name="Separador de milhares 3 6 7 2 2" xfId="39177" xr:uid="{00000000-0005-0000-0000-000086890000}"/>
    <cellStyle name="Separador de milhares 3 6 7 3" xfId="24623" xr:uid="{00000000-0005-0000-0000-000087890000}"/>
    <cellStyle name="Separador de milhares 3 6 7 3 2" xfId="39178" xr:uid="{00000000-0005-0000-0000-000088890000}"/>
    <cellStyle name="Separador de milhares 3 6 7 4" xfId="24624" xr:uid="{00000000-0005-0000-0000-000089890000}"/>
    <cellStyle name="Separador de milhares 3 6 7 4 2" xfId="39179" xr:uid="{00000000-0005-0000-0000-00008A890000}"/>
    <cellStyle name="Separador de milhares 3 6 7 5" xfId="24625" xr:uid="{00000000-0005-0000-0000-00008B890000}"/>
    <cellStyle name="Separador de milhares 3 6 7 5 2" xfId="39180" xr:uid="{00000000-0005-0000-0000-00008C890000}"/>
    <cellStyle name="Separador de milhares 3 6 7 6" xfId="39176" xr:uid="{00000000-0005-0000-0000-00008D890000}"/>
    <cellStyle name="Separador de milhares 3 6 8" xfId="24626" xr:uid="{00000000-0005-0000-0000-00008E890000}"/>
    <cellStyle name="Separador de milhares 3 6 8 2" xfId="24627" xr:uid="{00000000-0005-0000-0000-00008F890000}"/>
    <cellStyle name="Separador de milhares 3 6 8 2 2" xfId="39182" xr:uid="{00000000-0005-0000-0000-000090890000}"/>
    <cellStyle name="Separador de milhares 3 6 8 3" xfId="24628" xr:uid="{00000000-0005-0000-0000-000091890000}"/>
    <cellStyle name="Separador de milhares 3 6 8 3 2" xfId="39183" xr:uid="{00000000-0005-0000-0000-000092890000}"/>
    <cellStyle name="Separador de milhares 3 6 8 4" xfId="24629" xr:uid="{00000000-0005-0000-0000-000093890000}"/>
    <cellStyle name="Separador de milhares 3 6 8 4 2" xfId="39184" xr:uid="{00000000-0005-0000-0000-000094890000}"/>
    <cellStyle name="Separador de milhares 3 6 8 5" xfId="24630" xr:uid="{00000000-0005-0000-0000-000095890000}"/>
    <cellStyle name="Separador de milhares 3 6 8 5 2" xfId="39185" xr:uid="{00000000-0005-0000-0000-000096890000}"/>
    <cellStyle name="Separador de milhares 3 6 8 6" xfId="39181" xr:uid="{00000000-0005-0000-0000-000097890000}"/>
    <cellStyle name="Separador de milhares 3 6 9" xfId="24631" xr:uid="{00000000-0005-0000-0000-000098890000}"/>
    <cellStyle name="Separador de milhares 3 6 9 2" xfId="24632" xr:uid="{00000000-0005-0000-0000-000099890000}"/>
    <cellStyle name="Separador de milhares 3 6 9 2 2" xfId="39187" xr:uid="{00000000-0005-0000-0000-00009A890000}"/>
    <cellStyle name="Separador de milhares 3 6 9 3" xfId="24633" xr:uid="{00000000-0005-0000-0000-00009B890000}"/>
    <cellStyle name="Separador de milhares 3 6 9 3 2" xfId="39188" xr:uid="{00000000-0005-0000-0000-00009C890000}"/>
    <cellStyle name="Separador de milhares 3 6 9 4" xfId="24634" xr:uid="{00000000-0005-0000-0000-00009D890000}"/>
    <cellStyle name="Separador de milhares 3 6 9 4 2" xfId="39189" xr:uid="{00000000-0005-0000-0000-00009E890000}"/>
    <cellStyle name="Separador de milhares 3 6 9 5" xfId="24635" xr:uid="{00000000-0005-0000-0000-00009F890000}"/>
    <cellStyle name="Separador de milhares 3 6 9 5 2" xfId="39190" xr:uid="{00000000-0005-0000-0000-0000A0890000}"/>
    <cellStyle name="Separador de milhares 3 6 9 6" xfId="39186" xr:uid="{00000000-0005-0000-0000-0000A1890000}"/>
    <cellStyle name="Separador de milhares 3 7" xfId="24636" xr:uid="{00000000-0005-0000-0000-0000A2890000}"/>
    <cellStyle name="Separador de milhares 3 7 10" xfId="24637" xr:uid="{00000000-0005-0000-0000-0000A3890000}"/>
    <cellStyle name="Separador de milhares 3 7 10 2" xfId="24638" xr:uid="{00000000-0005-0000-0000-0000A4890000}"/>
    <cellStyle name="Separador de milhares 3 7 10 2 2" xfId="39193" xr:uid="{00000000-0005-0000-0000-0000A5890000}"/>
    <cellStyle name="Separador de milhares 3 7 10 3" xfId="24639" xr:uid="{00000000-0005-0000-0000-0000A6890000}"/>
    <cellStyle name="Separador de milhares 3 7 10 3 2" xfId="39194" xr:uid="{00000000-0005-0000-0000-0000A7890000}"/>
    <cellStyle name="Separador de milhares 3 7 10 4" xfId="24640" xr:uid="{00000000-0005-0000-0000-0000A8890000}"/>
    <cellStyle name="Separador de milhares 3 7 10 4 2" xfId="39195" xr:uid="{00000000-0005-0000-0000-0000A9890000}"/>
    <cellStyle name="Separador de milhares 3 7 10 5" xfId="24641" xr:uid="{00000000-0005-0000-0000-0000AA890000}"/>
    <cellStyle name="Separador de milhares 3 7 10 5 2" xfId="39196" xr:uid="{00000000-0005-0000-0000-0000AB890000}"/>
    <cellStyle name="Separador de milhares 3 7 10 6" xfId="39192" xr:uid="{00000000-0005-0000-0000-0000AC890000}"/>
    <cellStyle name="Separador de milhares 3 7 11" xfId="24642" xr:uid="{00000000-0005-0000-0000-0000AD890000}"/>
    <cellStyle name="Separador de milhares 3 7 11 2" xfId="24643" xr:uid="{00000000-0005-0000-0000-0000AE890000}"/>
    <cellStyle name="Separador de milhares 3 7 11 2 2" xfId="39198" xr:uid="{00000000-0005-0000-0000-0000AF890000}"/>
    <cellStyle name="Separador de milhares 3 7 11 3" xfId="24644" xr:uid="{00000000-0005-0000-0000-0000B0890000}"/>
    <cellStyle name="Separador de milhares 3 7 11 3 2" xfId="39199" xr:uid="{00000000-0005-0000-0000-0000B1890000}"/>
    <cellStyle name="Separador de milhares 3 7 11 4" xfId="24645" xr:uid="{00000000-0005-0000-0000-0000B2890000}"/>
    <cellStyle name="Separador de milhares 3 7 11 4 2" xfId="39200" xr:uid="{00000000-0005-0000-0000-0000B3890000}"/>
    <cellStyle name="Separador de milhares 3 7 11 5" xfId="24646" xr:uid="{00000000-0005-0000-0000-0000B4890000}"/>
    <cellStyle name="Separador de milhares 3 7 11 5 2" xfId="39201" xr:uid="{00000000-0005-0000-0000-0000B5890000}"/>
    <cellStyle name="Separador de milhares 3 7 11 6" xfId="39197" xr:uid="{00000000-0005-0000-0000-0000B6890000}"/>
    <cellStyle name="Separador de milhares 3 7 12" xfId="24647" xr:uid="{00000000-0005-0000-0000-0000B7890000}"/>
    <cellStyle name="Separador de milhares 3 7 12 2" xfId="24648" xr:uid="{00000000-0005-0000-0000-0000B8890000}"/>
    <cellStyle name="Separador de milhares 3 7 12 2 2" xfId="39203" xr:uid="{00000000-0005-0000-0000-0000B9890000}"/>
    <cellStyle name="Separador de milhares 3 7 12 3" xfId="24649" xr:uid="{00000000-0005-0000-0000-0000BA890000}"/>
    <cellStyle name="Separador de milhares 3 7 12 3 2" xfId="39204" xr:uid="{00000000-0005-0000-0000-0000BB890000}"/>
    <cellStyle name="Separador de milhares 3 7 12 4" xfId="24650" xr:uid="{00000000-0005-0000-0000-0000BC890000}"/>
    <cellStyle name="Separador de milhares 3 7 12 4 2" xfId="39205" xr:uid="{00000000-0005-0000-0000-0000BD890000}"/>
    <cellStyle name="Separador de milhares 3 7 12 5" xfId="24651" xr:uid="{00000000-0005-0000-0000-0000BE890000}"/>
    <cellStyle name="Separador de milhares 3 7 12 5 2" xfId="39206" xr:uid="{00000000-0005-0000-0000-0000BF890000}"/>
    <cellStyle name="Separador de milhares 3 7 12 6" xfId="39202" xr:uid="{00000000-0005-0000-0000-0000C0890000}"/>
    <cellStyle name="Separador de milhares 3 7 13" xfId="24652" xr:uid="{00000000-0005-0000-0000-0000C1890000}"/>
    <cellStyle name="Separador de milhares 3 7 13 2" xfId="24653" xr:uid="{00000000-0005-0000-0000-0000C2890000}"/>
    <cellStyle name="Separador de milhares 3 7 13 2 2" xfId="39208" xr:uid="{00000000-0005-0000-0000-0000C3890000}"/>
    <cellStyle name="Separador de milhares 3 7 13 3" xfId="24654" xr:uid="{00000000-0005-0000-0000-0000C4890000}"/>
    <cellStyle name="Separador de milhares 3 7 13 3 2" xfId="39209" xr:uid="{00000000-0005-0000-0000-0000C5890000}"/>
    <cellStyle name="Separador de milhares 3 7 13 4" xfId="24655" xr:uid="{00000000-0005-0000-0000-0000C6890000}"/>
    <cellStyle name="Separador de milhares 3 7 13 4 2" xfId="39210" xr:uid="{00000000-0005-0000-0000-0000C7890000}"/>
    <cellStyle name="Separador de milhares 3 7 13 5" xfId="24656" xr:uid="{00000000-0005-0000-0000-0000C8890000}"/>
    <cellStyle name="Separador de milhares 3 7 13 5 2" xfId="39211" xr:uid="{00000000-0005-0000-0000-0000C9890000}"/>
    <cellStyle name="Separador de milhares 3 7 13 6" xfId="39207" xr:uid="{00000000-0005-0000-0000-0000CA890000}"/>
    <cellStyle name="Separador de milhares 3 7 14" xfId="24657" xr:uid="{00000000-0005-0000-0000-0000CB890000}"/>
    <cellStyle name="Separador de milhares 3 7 14 2" xfId="24658" xr:uid="{00000000-0005-0000-0000-0000CC890000}"/>
    <cellStyle name="Separador de milhares 3 7 14 2 2" xfId="39213" xr:uid="{00000000-0005-0000-0000-0000CD890000}"/>
    <cellStyle name="Separador de milhares 3 7 14 3" xfId="24659" xr:uid="{00000000-0005-0000-0000-0000CE890000}"/>
    <cellStyle name="Separador de milhares 3 7 14 3 2" xfId="39214" xr:uid="{00000000-0005-0000-0000-0000CF890000}"/>
    <cellStyle name="Separador de milhares 3 7 14 4" xfId="24660" xr:uid="{00000000-0005-0000-0000-0000D0890000}"/>
    <cellStyle name="Separador de milhares 3 7 14 4 2" xfId="39215" xr:uid="{00000000-0005-0000-0000-0000D1890000}"/>
    <cellStyle name="Separador de milhares 3 7 14 5" xfId="24661" xr:uid="{00000000-0005-0000-0000-0000D2890000}"/>
    <cellStyle name="Separador de milhares 3 7 14 5 2" xfId="39216" xr:uid="{00000000-0005-0000-0000-0000D3890000}"/>
    <cellStyle name="Separador de milhares 3 7 14 6" xfId="39212" xr:uid="{00000000-0005-0000-0000-0000D4890000}"/>
    <cellStyle name="Separador de milhares 3 7 15" xfId="24662" xr:uid="{00000000-0005-0000-0000-0000D5890000}"/>
    <cellStyle name="Separador de milhares 3 7 15 2" xfId="24663" xr:uid="{00000000-0005-0000-0000-0000D6890000}"/>
    <cellStyle name="Separador de milhares 3 7 15 2 2" xfId="39218" xr:uid="{00000000-0005-0000-0000-0000D7890000}"/>
    <cellStyle name="Separador de milhares 3 7 15 3" xfId="24664" xr:uid="{00000000-0005-0000-0000-0000D8890000}"/>
    <cellStyle name="Separador de milhares 3 7 15 3 2" xfId="39219" xr:uid="{00000000-0005-0000-0000-0000D9890000}"/>
    <cellStyle name="Separador de milhares 3 7 15 4" xfId="24665" xr:uid="{00000000-0005-0000-0000-0000DA890000}"/>
    <cellStyle name="Separador de milhares 3 7 15 4 2" xfId="39220" xr:uid="{00000000-0005-0000-0000-0000DB890000}"/>
    <cellStyle name="Separador de milhares 3 7 15 5" xfId="24666" xr:uid="{00000000-0005-0000-0000-0000DC890000}"/>
    <cellStyle name="Separador de milhares 3 7 15 5 2" xfId="39221" xr:uid="{00000000-0005-0000-0000-0000DD890000}"/>
    <cellStyle name="Separador de milhares 3 7 15 6" xfId="39217" xr:uid="{00000000-0005-0000-0000-0000DE890000}"/>
    <cellStyle name="Separador de milhares 3 7 16" xfId="24667" xr:uid="{00000000-0005-0000-0000-0000DF890000}"/>
    <cellStyle name="Separador de milhares 3 7 16 2" xfId="24668" xr:uid="{00000000-0005-0000-0000-0000E0890000}"/>
    <cellStyle name="Separador de milhares 3 7 16 2 2" xfId="39223" xr:uid="{00000000-0005-0000-0000-0000E1890000}"/>
    <cellStyle name="Separador de milhares 3 7 16 3" xfId="24669" xr:uid="{00000000-0005-0000-0000-0000E2890000}"/>
    <cellStyle name="Separador de milhares 3 7 16 3 2" xfId="39224" xr:uid="{00000000-0005-0000-0000-0000E3890000}"/>
    <cellStyle name="Separador de milhares 3 7 16 4" xfId="24670" xr:uid="{00000000-0005-0000-0000-0000E4890000}"/>
    <cellStyle name="Separador de milhares 3 7 16 4 2" xfId="39225" xr:uid="{00000000-0005-0000-0000-0000E5890000}"/>
    <cellStyle name="Separador de milhares 3 7 16 5" xfId="24671" xr:uid="{00000000-0005-0000-0000-0000E6890000}"/>
    <cellStyle name="Separador de milhares 3 7 16 5 2" xfId="39226" xr:uid="{00000000-0005-0000-0000-0000E7890000}"/>
    <cellStyle name="Separador de milhares 3 7 16 6" xfId="39222" xr:uid="{00000000-0005-0000-0000-0000E8890000}"/>
    <cellStyle name="Separador de milhares 3 7 17" xfId="24672" xr:uid="{00000000-0005-0000-0000-0000E9890000}"/>
    <cellStyle name="Separador de milhares 3 7 17 2" xfId="39227" xr:uid="{00000000-0005-0000-0000-0000EA890000}"/>
    <cellStyle name="Separador de milhares 3 7 18" xfId="24673" xr:uid="{00000000-0005-0000-0000-0000EB890000}"/>
    <cellStyle name="Separador de milhares 3 7 18 2" xfId="39228" xr:uid="{00000000-0005-0000-0000-0000EC890000}"/>
    <cellStyle name="Separador de milhares 3 7 19" xfId="24674" xr:uid="{00000000-0005-0000-0000-0000ED890000}"/>
    <cellStyle name="Separador de milhares 3 7 19 2" xfId="39229" xr:uid="{00000000-0005-0000-0000-0000EE890000}"/>
    <cellStyle name="Separador de milhares 3 7 2" xfId="24675" xr:uid="{00000000-0005-0000-0000-0000EF890000}"/>
    <cellStyle name="Separador de milhares 3 7 2 10" xfId="24676" xr:uid="{00000000-0005-0000-0000-0000F0890000}"/>
    <cellStyle name="Separador de milhares 3 7 2 10 2" xfId="39231" xr:uid="{00000000-0005-0000-0000-0000F1890000}"/>
    <cellStyle name="Separador de milhares 3 7 2 11" xfId="24677" xr:uid="{00000000-0005-0000-0000-0000F2890000}"/>
    <cellStyle name="Separador de milhares 3 7 2 11 2" xfId="39232" xr:uid="{00000000-0005-0000-0000-0000F3890000}"/>
    <cellStyle name="Separador de milhares 3 7 2 12" xfId="39230" xr:uid="{00000000-0005-0000-0000-0000F4890000}"/>
    <cellStyle name="Separador de milhares 3 7 2 2" xfId="24678" xr:uid="{00000000-0005-0000-0000-0000F5890000}"/>
    <cellStyle name="Separador de milhares 3 7 2 2 2" xfId="24679" xr:uid="{00000000-0005-0000-0000-0000F6890000}"/>
    <cellStyle name="Separador de milhares 3 7 2 2 2 2" xfId="39234" xr:uid="{00000000-0005-0000-0000-0000F7890000}"/>
    <cellStyle name="Separador de milhares 3 7 2 2 3" xfId="24680" xr:uid="{00000000-0005-0000-0000-0000F8890000}"/>
    <cellStyle name="Separador de milhares 3 7 2 2 3 2" xfId="39235" xr:uid="{00000000-0005-0000-0000-0000F9890000}"/>
    <cellStyle name="Separador de milhares 3 7 2 2 4" xfId="24681" xr:uid="{00000000-0005-0000-0000-0000FA890000}"/>
    <cellStyle name="Separador de milhares 3 7 2 2 4 2" xfId="39236" xr:uid="{00000000-0005-0000-0000-0000FB890000}"/>
    <cellStyle name="Separador de milhares 3 7 2 2 5" xfId="24682" xr:uid="{00000000-0005-0000-0000-0000FC890000}"/>
    <cellStyle name="Separador de milhares 3 7 2 2 5 2" xfId="39237" xr:uid="{00000000-0005-0000-0000-0000FD890000}"/>
    <cellStyle name="Separador de milhares 3 7 2 2 6" xfId="39233" xr:uid="{00000000-0005-0000-0000-0000FE890000}"/>
    <cellStyle name="Separador de milhares 3 7 2 3" xfId="24683" xr:uid="{00000000-0005-0000-0000-0000FF890000}"/>
    <cellStyle name="Separador de milhares 3 7 2 3 2" xfId="24684" xr:uid="{00000000-0005-0000-0000-0000008A0000}"/>
    <cellStyle name="Separador de milhares 3 7 2 3 2 2" xfId="39239" xr:uid="{00000000-0005-0000-0000-0000018A0000}"/>
    <cellStyle name="Separador de milhares 3 7 2 3 3" xfId="24685" xr:uid="{00000000-0005-0000-0000-0000028A0000}"/>
    <cellStyle name="Separador de milhares 3 7 2 3 3 2" xfId="39240" xr:uid="{00000000-0005-0000-0000-0000038A0000}"/>
    <cellStyle name="Separador de milhares 3 7 2 3 4" xfId="24686" xr:uid="{00000000-0005-0000-0000-0000048A0000}"/>
    <cellStyle name="Separador de milhares 3 7 2 3 4 2" xfId="39241" xr:uid="{00000000-0005-0000-0000-0000058A0000}"/>
    <cellStyle name="Separador de milhares 3 7 2 3 5" xfId="24687" xr:uid="{00000000-0005-0000-0000-0000068A0000}"/>
    <cellStyle name="Separador de milhares 3 7 2 3 5 2" xfId="39242" xr:uid="{00000000-0005-0000-0000-0000078A0000}"/>
    <cellStyle name="Separador de milhares 3 7 2 3 6" xfId="39238" xr:uid="{00000000-0005-0000-0000-0000088A0000}"/>
    <cellStyle name="Separador de milhares 3 7 2 4" xfId="24688" xr:uid="{00000000-0005-0000-0000-0000098A0000}"/>
    <cellStyle name="Separador de milhares 3 7 2 4 2" xfId="24689" xr:uid="{00000000-0005-0000-0000-00000A8A0000}"/>
    <cellStyle name="Separador de milhares 3 7 2 4 2 2" xfId="39244" xr:uid="{00000000-0005-0000-0000-00000B8A0000}"/>
    <cellStyle name="Separador de milhares 3 7 2 4 3" xfId="24690" xr:uid="{00000000-0005-0000-0000-00000C8A0000}"/>
    <cellStyle name="Separador de milhares 3 7 2 4 3 2" xfId="39245" xr:uid="{00000000-0005-0000-0000-00000D8A0000}"/>
    <cellStyle name="Separador de milhares 3 7 2 4 4" xfId="24691" xr:uid="{00000000-0005-0000-0000-00000E8A0000}"/>
    <cellStyle name="Separador de milhares 3 7 2 4 4 2" xfId="39246" xr:uid="{00000000-0005-0000-0000-00000F8A0000}"/>
    <cellStyle name="Separador de milhares 3 7 2 4 5" xfId="24692" xr:uid="{00000000-0005-0000-0000-0000108A0000}"/>
    <cellStyle name="Separador de milhares 3 7 2 4 5 2" xfId="39247" xr:uid="{00000000-0005-0000-0000-0000118A0000}"/>
    <cellStyle name="Separador de milhares 3 7 2 4 6" xfId="39243" xr:uid="{00000000-0005-0000-0000-0000128A0000}"/>
    <cellStyle name="Separador de milhares 3 7 2 5" xfId="24693" xr:uid="{00000000-0005-0000-0000-0000138A0000}"/>
    <cellStyle name="Separador de milhares 3 7 2 5 2" xfId="24694" xr:uid="{00000000-0005-0000-0000-0000148A0000}"/>
    <cellStyle name="Separador de milhares 3 7 2 5 2 2" xfId="39249" xr:uid="{00000000-0005-0000-0000-0000158A0000}"/>
    <cellStyle name="Separador de milhares 3 7 2 5 3" xfId="24695" xr:uid="{00000000-0005-0000-0000-0000168A0000}"/>
    <cellStyle name="Separador de milhares 3 7 2 5 3 2" xfId="39250" xr:uid="{00000000-0005-0000-0000-0000178A0000}"/>
    <cellStyle name="Separador de milhares 3 7 2 5 4" xfId="24696" xr:uid="{00000000-0005-0000-0000-0000188A0000}"/>
    <cellStyle name="Separador de milhares 3 7 2 5 4 2" xfId="39251" xr:uid="{00000000-0005-0000-0000-0000198A0000}"/>
    <cellStyle name="Separador de milhares 3 7 2 5 5" xfId="24697" xr:uid="{00000000-0005-0000-0000-00001A8A0000}"/>
    <cellStyle name="Separador de milhares 3 7 2 5 5 2" xfId="39252" xr:uid="{00000000-0005-0000-0000-00001B8A0000}"/>
    <cellStyle name="Separador de milhares 3 7 2 5 6" xfId="39248" xr:uid="{00000000-0005-0000-0000-00001C8A0000}"/>
    <cellStyle name="Separador de milhares 3 7 2 6" xfId="24698" xr:uid="{00000000-0005-0000-0000-00001D8A0000}"/>
    <cellStyle name="Separador de milhares 3 7 2 6 2" xfId="24699" xr:uid="{00000000-0005-0000-0000-00001E8A0000}"/>
    <cellStyle name="Separador de milhares 3 7 2 6 2 2" xfId="39254" xr:uid="{00000000-0005-0000-0000-00001F8A0000}"/>
    <cellStyle name="Separador de milhares 3 7 2 6 3" xfId="24700" xr:uid="{00000000-0005-0000-0000-0000208A0000}"/>
    <cellStyle name="Separador de milhares 3 7 2 6 3 2" xfId="39255" xr:uid="{00000000-0005-0000-0000-0000218A0000}"/>
    <cellStyle name="Separador de milhares 3 7 2 6 4" xfId="24701" xr:uid="{00000000-0005-0000-0000-0000228A0000}"/>
    <cellStyle name="Separador de milhares 3 7 2 6 4 2" xfId="39256" xr:uid="{00000000-0005-0000-0000-0000238A0000}"/>
    <cellStyle name="Separador de milhares 3 7 2 6 5" xfId="24702" xr:uid="{00000000-0005-0000-0000-0000248A0000}"/>
    <cellStyle name="Separador de milhares 3 7 2 6 5 2" xfId="39257" xr:uid="{00000000-0005-0000-0000-0000258A0000}"/>
    <cellStyle name="Separador de milhares 3 7 2 6 6" xfId="39253" xr:uid="{00000000-0005-0000-0000-0000268A0000}"/>
    <cellStyle name="Separador de milhares 3 7 2 7" xfId="24703" xr:uid="{00000000-0005-0000-0000-0000278A0000}"/>
    <cellStyle name="Separador de milhares 3 7 2 7 2" xfId="24704" xr:uid="{00000000-0005-0000-0000-0000288A0000}"/>
    <cellStyle name="Separador de milhares 3 7 2 7 2 2" xfId="39259" xr:uid="{00000000-0005-0000-0000-0000298A0000}"/>
    <cellStyle name="Separador de milhares 3 7 2 7 3" xfId="24705" xr:uid="{00000000-0005-0000-0000-00002A8A0000}"/>
    <cellStyle name="Separador de milhares 3 7 2 7 3 2" xfId="39260" xr:uid="{00000000-0005-0000-0000-00002B8A0000}"/>
    <cellStyle name="Separador de milhares 3 7 2 7 4" xfId="24706" xr:uid="{00000000-0005-0000-0000-00002C8A0000}"/>
    <cellStyle name="Separador de milhares 3 7 2 7 4 2" xfId="39261" xr:uid="{00000000-0005-0000-0000-00002D8A0000}"/>
    <cellStyle name="Separador de milhares 3 7 2 7 5" xfId="24707" xr:uid="{00000000-0005-0000-0000-00002E8A0000}"/>
    <cellStyle name="Separador de milhares 3 7 2 7 5 2" xfId="39262" xr:uid="{00000000-0005-0000-0000-00002F8A0000}"/>
    <cellStyle name="Separador de milhares 3 7 2 7 6" xfId="39258" xr:uid="{00000000-0005-0000-0000-0000308A0000}"/>
    <cellStyle name="Separador de milhares 3 7 2 8" xfId="24708" xr:uid="{00000000-0005-0000-0000-0000318A0000}"/>
    <cellStyle name="Separador de milhares 3 7 2 8 2" xfId="39263" xr:uid="{00000000-0005-0000-0000-0000328A0000}"/>
    <cellStyle name="Separador de milhares 3 7 2 9" xfId="24709" xr:uid="{00000000-0005-0000-0000-0000338A0000}"/>
    <cellStyle name="Separador de milhares 3 7 2 9 2" xfId="39264" xr:uid="{00000000-0005-0000-0000-0000348A0000}"/>
    <cellStyle name="Separador de milhares 3 7 20" xfId="24710" xr:uid="{00000000-0005-0000-0000-0000358A0000}"/>
    <cellStyle name="Separador de milhares 3 7 20 2" xfId="39265" xr:uid="{00000000-0005-0000-0000-0000368A0000}"/>
    <cellStyle name="Separador de milhares 3 7 21" xfId="41044" xr:uid="{00000000-0005-0000-0000-0000378A0000}"/>
    <cellStyle name="Separador de milhares 3 7 22" xfId="39191" xr:uid="{00000000-0005-0000-0000-0000388A0000}"/>
    <cellStyle name="Separador de milhares 3 7 3" xfId="24711" xr:uid="{00000000-0005-0000-0000-0000398A0000}"/>
    <cellStyle name="Separador de milhares 3 7 3 2" xfId="24712" xr:uid="{00000000-0005-0000-0000-00003A8A0000}"/>
    <cellStyle name="Separador de milhares 3 7 3 2 2" xfId="24713" xr:uid="{00000000-0005-0000-0000-00003B8A0000}"/>
    <cellStyle name="Separador de milhares 3 7 3 2 2 2" xfId="39268" xr:uid="{00000000-0005-0000-0000-00003C8A0000}"/>
    <cellStyle name="Separador de milhares 3 7 3 2 3" xfId="24714" xr:uid="{00000000-0005-0000-0000-00003D8A0000}"/>
    <cellStyle name="Separador de milhares 3 7 3 2 3 2" xfId="39269" xr:uid="{00000000-0005-0000-0000-00003E8A0000}"/>
    <cellStyle name="Separador de milhares 3 7 3 2 4" xfId="24715" xr:uid="{00000000-0005-0000-0000-00003F8A0000}"/>
    <cellStyle name="Separador de milhares 3 7 3 2 4 2" xfId="39270" xr:uid="{00000000-0005-0000-0000-0000408A0000}"/>
    <cellStyle name="Separador de milhares 3 7 3 2 5" xfId="24716" xr:uid="{00000000-0005-0000-0000-0000418A0000}"/>
    <cellStyle name="Separador de milhares 3 7 3 2 5 2" xfId="39271" xr:uid="{00000000-0005-0000-0000-0000428A0000}"/>
    <cellStyle name="Separador de milhares 3 7 3 2 6" xfId="39267" xr:uid="{00000000-0005-0000-0000-0000438A0000}"/>
    <cellStyle name="Separador de milhares 3 7 3 3" xfId="24717" xr:uid="{00000000-0005-0000-0000-0000448A0000}"/>
    <cellStyle name="Separador de milhares 3 7 3 3 2" xfId="39272" xr:uid="{00000000-0005-0000-0000-0000458A0000}"/>
    <cellStyle name="Separador de milhares 3 7 3 4" xfId="24718" xr:uid="{00000000-0005-0000-0000-0000468A0000}"/>
    <cellStyle name="Separador de milhares 3 7 3 4 2" xfId="39273" xr:uid="{00000000-0005-0000-0000-0000478A0000}"/>
    <cellStyle name="Separador de milhares 3 7 3 5" xfId="24719" xr:uid="{00000000-0005-0000-0000-0000488A0000}"/>
    <cellStyle name="Separador de milhares 3 7 3 5 2" xfId="39274" xr:uid="{00000000-0005-0000-0000-0000498A0000}"/>
    <cellStyle name="Separador de milhares 3 7 3 6" xfId="24720" xr:uid="{00000000-0005-0000-0000-00004A8A0000}"/>
    <cellStyle name="Separador de milhares 3 7 3 6 2" xfId="39275" xr:uid="{00000000-0005-0000-0000-00004B8A0000}"/>
    <cellStyle name="Separador de milhares 3 7 3 7" xfId="39266" xr:uid="{00000000-0005-0000-0000-00004C8A0000}"/>
    <cellStyle name="Separador de milhares 3 7 4" xfId="24721" xr:uid="{00000000-0005-0000-0000-00004D8A0000}"/>
    <cellStyle name="Separador de milhares 3 7 4 2" xfId="24722" xr:uid="{00000000-0005-0000-0000-00004E8A0000}"/>
    <cellStyle name="Separador de milhares 3 7 4 2 2" xfId="24723" xr:uid="{00000000-0005-0000-0000-00004F8A0000}"/>
    <cellStyle name="Separador de milhares 3 7 4 2 2 2" xfId="39278" xr:uid="{00000000-0005-0000-0000-0000508A0000}"/>
    <cellStyle name="Separador de milhares 3 7 4 2 3" xfId="24724" xr:uid="{00000000-0005-0000-0000-0000518A0000}"/>
    <cellStyle name="Separador de milhares 3 7 4 2 3 2" xfId="39279" xr:uid="{00000000-0005-0000-0000-0000528A0000}"/>
    <cellStyle name="Separador de milhares 3 7 4 2 4" xfId="24725" xr:uid="{00000000-0005-0000-0000-0000538A0000}"/>
    <cellStyle name="Separador de milhares 3 7 4 2 4 2" xfId="39280" xr:uid="{00000000-0005-0000-0000-0000548A0000}"/>
    <cellStyle name="Separador de milhares 3 7 4 2 5" xfId="24726" xr:uid="{00000000-0005-0000-0000-0000558A0000}"/>
    <cellStyle name="Separador de milhares 3 7 4 2 5 2" xfId="39281" xr:uid="{00000000-0005-0000-0000-0000568A0000}"/>
    <cellStyle name="Separador de milhares 3 7 4 2 6" xfId="39277" xr:uid="{00000000-0005-0000-0000-0000578A0000}"/>
    <cellStyle name="Separador de milhares 3 7 4 3" xfId="24727" xr:uid="{00000000-0005-0000-0000-0000588A0000}"/>
    <cellStyle name="Separador de milhares 3 7 4 3 2" xfId="39282" xr:uid="{00000000-0005-0000-0000-0000598A0000}"/>
    <cellStyle name="Separador de milhares 3 7 4 4" xfId="24728" xr:uid="{00000000-0005-0000-0000-00005A8A0000}"/>
    <cellStyle name="Separador de milhares 3 7 4 4 2" xfId="39283" xr:uid="{00000000-0005-0000-0000-00005B8A0000}"/>
    <cellStyle name="Separador de milhares 3 7 4 5" xfId="24729" xr:uid="{00000000-0005-0000-0000-00005C8A0000}"/>
    <cellStyle name="Separador de milhares 3 7 4 5 2" xfId="39284" xr:uid="{00000000-0005-0000-0000-00005D8A0000}"/>
    <cellStyle name="Separador de milhares 3 7 4 6" xfId="24730" xr:uid="{00000000-0005-0000-0000-00005E8A0000}"/>
    <cellStyle name="Separador de milhares 3 7 4 6 2" xfId="39285" xr:uid="{00000000-0005-0000-0000-00005F8A0000}"/>
    <cellStyle name="Separador de milhares 3 7 4 7" xfId="39276" xr:uid="{00000000-0005-0000-0000-0000608A0000}"/>
    <cellStyle name="Separador de milhares 3 7 5" xfId="24731" xr:uid="{00000000-0005-0000-0000-0000618A0000}"/>
    <cellStyle name="Separador de milhares 3 7 5 2" xfId="24732" xr:uid="{00000000-0005-0000-0000-0000628A0000}"/>
    <cellStyle name="Separador de milhares 3 7 5 2 2" xfId="39287" xr:uid="{00000000-0005-0000-0000-0000638A0000}"/>
    <cellStyle name="Separador de milhares 3 7 5 3" xfId="24733" xr:uid="{00000000-0005-0000-0000-0000648A0000}"/>
    <cellStyle name="Separador de milhares 3 7 5 3 2" xfId="39288" xr:uid="{00000000-0005-0000-0000-0000658A0000}"/>
    <cellStyle name="Separador de milhares 3 7 5 4" xfId="24734" xr:uid="{00000000-0005-0000-0000-0000668A0000}"/>
    <cellStyle name="Separador de milhares 3 7 5 4 2" xfId="39289" xr:uid="{00000000-0005-0000-0000-0000678A0000}"/>
    <cellStyle name="Separador de milhares 3 7 5 5" xfId="24735" xr:uid="{00000000-0005-0000-0000-0000688A0000}"/>
    <cellStyle name="Separador de milhares 3 7 5 5 2" xfId="39290" xr:uid="{00000000-0005-0000-0000-0000698A0000}"/>
    <cellStyle name="Separador de milhares 3 7 5 6" xfId="39286" xr:uid="{00000000-0005-0000-0000-00006A8A0000}"/>
    <cellStyle name="Separador de milhares 3 7 6" xfId="24736" xr:uid="{00000000-0005-0000-0000-00006B8A0000}"/>
    <cellStyle name="Separador de milhares 3 7 6 2" xfId="24737" xr:uid="{00000000-0005-0000-0000-00006C8A0000}"/>
    <cellStyle name="Separador de milhares 3 7 6 2 2" xfId="39292" xr:uid="{00000000-0005-0000-0000-00006D8A0000}"/>
    <cellStyle name="Separador de milhares 3 7 6 3" xfId="24738" xr:uid="{00000000-0005-0000-0000-00006E8A0000}"/>
    <cellStyle name="Separador de milhares 3 7 6 3 2" xfId="39293" xr:uid="{00000000-0005-0000-0000-00006F8A0000}"/>
    <cellStyle name="Separador de milhares 3 7 6 4" xfId="24739" xr:uid="{00000000-0005-0000-0000-0000708A0000}"/>
    <cellStyle name="Separador de milhares 3 7 6 4 2" xfId="39294" xr:uid="{00000000-0005-0000-0000-0000718A0000}"/>
    <cellStyle name="Separador de milhares 3 7 6 5" xfId="24740" xr:uid="{00000000-0005-0000-0000-0000728A0000}"/>
    <cellStyle name="Separador de milhares 3 7 6 5 2" xfId="39295" xr:uid="{00000000-0005-0000-0000-0000738A0000}"/>
    <cellStyle name="Separador de milhares 3 7 6 6" xfId="39291" xr:uid="{00000000-0005-0000-0000-0000748A0000}"/>
    <cellStyle name="Separador de milhares 3 7 7" xfId="24741" xr:uid="{00000000-0005-0000-0000-0000758A0000}"/>
    <cellStyle name="Separador de milhares 3 7 7 2" xfId="24742" xr:uid="{00000000-0005-0000-0000-0000768A0000}"/>
    <cellStyle name="Separador de milhares 3 7 7 2 2" xfId="39297" xr:uid="{00000000-0005-0000-0000-0000778A0000}"/>
    <cellStyle name="Separador de milhares 3 7 7 3" xfId="24743" xr:uid="{00000000-0005-0000-0000-0000788A0000}"/>
    <cellStyle name="Separador de milhares 3 7 7 3 2" xfId="39298" xr:uid="{00000000-0005-0000-0000-0000798A0000}"/>
    <cellStyle name="Separador de milhares 3 7 7 4" xfId="24744" xr:uid="{00000000-0005-0000-0000-00007A8A0000}"/>
    <cellStyle name="Separador de milhares 3 7 7 4 2" xfId="39299" xr:uid="{00000000-0005-0000-0000-00007B8A0000}"/>
    <cellStyle name="Separador de milhares 3 7 7 5" xfId="24745" xr:uid="{00000000-0005-0000-0000-00007C8A0000}"/>
    <cellStyle name="Separador de milhares 3 7 7 5 2" xfId="39300" xr:uid="{00000000-0005-0000-0000-00007D8A0000}"/>
    <cellStyle name="Separador de milhares 3 7 7 6" xfId="39296" xr:uid="{00000000-0005-0000-0000-00007E8A0000}"/>
    <cellStyle name="Separador de milhares 3 7 8" xfId="24746" xr:uid="{00000000-0005-0000-0000-00007F8A0000}"/>
    <cellStyle name="Separador de milhares 3 7 8 2" xfId="24747" xr:uid="{00000000-0005-0000-0000-0000808A0000}"/>
    <cellStyle name="Separador de milhares 3 7 8 2 2" xfId="39302" xr:uid="{00000000-0005-0000-0000-0000818A0000}"/>
    <cellStyle name="Separador de milhares 3 7 8 3" xfId="24748" xr:uid="{00000000-0005-0000-0000-0000828A0000}"/>
    <cellStyle name="Separador de milhares 3 7 8 3 2" xfId="39303" xr:uid="{00000000-0005-0000-0000-0000838A0000}"/>
    <cellStyle name="Separador de milhares 3 7 8 4" xfId="24749" xr:uid="{00000000-0005-0000-0000-0000848A0000}"/>
    <cellStyle name="Separador de milhares 3 7 8 4 2" xfId="39304" xr:uid="{00000000-0005-0000-0000-0000858A0000}"/>
    <cellStyle name="Separador de milhares 3 7 8 5" xfId="24750" xr:uid="{00000000-0005-0000-0000-0000868A0000}"/>
    <cellStyle name="Separador de milhares 3 7 8 5 2" xfId="39305" xr:uid="{00000000-0005-0000-0000-0000878A0000}"/>
    <cellStyle name="Separador de milhares 3 7 8 6" xfId="39301" xr:uid="{00000000-0005-0000-0000-0000888A0000}"/>
    <cellStyle name="Separador de milhares 3 7 9" xfId="24751" xr:uid="{00000000-0005-0000-0000-0000898A0000}"/>
    <cellStyle name="Separador de milhares 3 7 9 2" xfId="24752" xr:uid="{00000000-0005-0000-0000-00008A8A0000}"/>
    <cellStyle name="Separador de milhares 3 7 9 2 2" xfId="39307" xr:uid="{00000000-0005-0000-0000-00008B8A0000}"/>
    <cellStyle name="Separador de milhares 3 7 9 3" xfId="24753" xr:uid="{00000000-0005-0000-0000-00008C8A0000}"/>
    <cellStyle name="Separador de milhares 3 7 9 3 2" xfId="39308" xr:uid="{00000000-0005-0000-0000-00008D8A0000}"/>
    <cellStyle name="Separador de milhares 3 7 9 4" xfId="24754" xr:uid="{00000000-0005-0000-0000-00008E8A0000}"/>
    <cellStyle name="Separador de milhares 3 7 9 4 2" xfId="39309" xr:uid="{00000000-0005-0000-0000-00008F8A0000}"/>
    <cellStyle name="Separador de milhares 3 7 9 5" xfId="24755" xr:uid="{00000000-0005-0000-0000-0000908A0000}"/>
    <cellStyle name="Separador de milhares 3 7 9 5 2" xfId="39310" xr:uid="{00000000-0005-0000-0000-0000918A0000}"/>
    <cellStyle name="Separador de milhares 3 7 9 6" xfId="39306" xr:uid="{00000000-0005-0000-0000-0000928A0000}"/>
    <cellStyle name="Separador de milhares 3 8" xfId="24756" xr:uid="{00000000-0005-0000-0000-0000938A0000}"/>
    <cellStyle name="Separador de milhares 3 8 2" xfId="24757" xr:uid="{00000000-0005-0000-0000-0000948A0000}"/>
    <cellStyle name="Separador de milhares 3 9" xfId="24758" xr:uid="{00000000-0005-0000-0000-0000958A0000}"/>
    <cellStyle name="Separador de milhares 3 9 2" xfId="24759" xr:uid="{00000000-0005-0000-0000-0000968A0000}"/>
    <cellStyle name="Separador de milhares 30" xfId="24760" xr:uid="{00000000-0005-0000-0000-0000978A0000}"/>
    <cellStyle name="Separador de milhares 32" xfId="24761" xr:uid="{00000000-0005-0000-0000-0000988A0000}"/>
    <cellStyle name="Separador de milhares 32 2" xfId="24762" xr:uid="{00000000-0005-0000-0000-0000998A0000}"/>
    <cellStyle name="Separador de milhares 32 2 2" xfId="24763" xr:uid="{00000000-0005-0000-0000-00009A8A0000}"/>
    <cellStyle name="Separador de milhares 32 2 3" xfId="24764" xr:uid="{00000000-0005-0000-0000-00009B8A0000}"/>
    <cellStyle name="Separador de milhares 32 2 4" xfId="24765" xr:uid="{00000000-0005-0000-0000-00009C8A0000}"/>
    <cellStyle name="Separador de milhares 32 2 5" xfId="24766" xr:uid="{00000000-0005-0000-0000-00009D8A0000}"/>
    <cellStyle name="Separador de milhares 32 2 6" xfId="24767" xr:uid="{00000000-0005-0000-0000-00009E8A0000}"/>
    <cellStyle name="Separador de milhares 33" xfId="24768" xr:uid="{00000000-0005-0000-0000-00009F8A0000}"/>
    <cellStyle name="Separador de milhares 34" xfId="24769" xr:uid="{00000000-0005-0000-0000-0000A08A0000}"/>
    <cellStyle name="Separador de milhares 35" xfId="24770" xr:uid="{00000000-0005-0000-0000-0000A18A0000}"/>
    <cellStyle name="Separador de milhares 36" xfId="24771" xr:uid="{00000000-0005-0000-0000-0000A28A0000}"/>
    <cellStyle name="Separador de milhares 37" xfId="24772" xr:uid="{00000000-0005-0000-0000-0000A38A0000}"/>
    <cellStyle name="Separador de milhares 38" xfId="24773" xr:uid="{00000000-0005-0000-0000-0000A48A0000}"/>
    <cellStyle name="Separador de milhares 39" xfId="24774" xr:uid="{00000000-0005-0000-0000-0000A58A0000}"/>
    <cellStyle name="Separador de milhares 4" xfId="24775" xr:uid="{00000000-0005-0000-0000-0000A68A0000}"/>
    <cellStyle name="Separador de milhares 4 10" xfId="24776" xr:uid="{00000000-0005-0000-0000-0000A78A0000}"/>
    <cellStyle name="Separador de milhares 4 10 2" xfId="24777" xr:uid="{00000000-0005-0000-0000-0000A88A0000}"/>
    <cellStyle name="Separador de milhares 4 10 2 2" xfId="24778" xr:uid="{00000000-0005-0000-0000-0000A98A0000}"/>
    <cellStyle name="Separador de milhares 4 10 2 3" xfId="24779" xr:uid="{00000000-0005-0000-0000-0000AA8A0000}"/>
    <cellStyle name="Separador de milhares 4 10 2 4" xfId="24780" xr:uid="{00000000-0005-0000-0000-0000AB8A0000}"/>
    <cellStyle name="Separador de milhares 4 10 2 5" xfId="24781" xr:uid="{00000000-0005-0000-0000-0000AC8A0000}"/>
    <cellStyle name="Separador de milhares 4 10 2 6" xfId="24782" xr:uid="{00000000-0005-0000-0000-0000AD8A0000}"/>
    <cellStyle name="Separador de milhares 4 10 2 7" xfId="24783" xr:uid="{00000000-0005-0000-0000-0000AE8A0000}"/>
    <cellStyle name="Separador de milhares 4 10 2 8" xfId="39311" xr:uid="{00000000-0005-0000-0000-0000AF8A0000}"/>
    <cellStyle name="Separador de milhares 4 10 3" xfId="24784" xr:uid="{00000000-0005-0000-0000-0000B08A0000}"/>
    <cellStyle name="Separador de milhares 4 10 3 2" xfId="39312" xr:uid="{00000000-0005-0000-0000-0000B18A0000}"/>
    <cellStyle name="Separador de milhares 4 10 4" xfId="24785" xr:uid="{00000000-0005-0000-0000-0000B28A0000}"/>
    <cellStyle name="Separador de milhares 4 10 4 2" xfId="39313" xr:uid="{00000000-0005-0000-0000-0000B38A0000}"/>
    <cellStyle name="Separador de milhares 4 10 5" xfId="24786" xr:uid="{00000000-0005-0000-0000-0000B48A0000}"/>
    <cellStyle name="Separador de milhares 4 10 5 2" xfId="39314" xr:uid="{00000000-0005-0000-0000-0000B58A0000}"/>
    <cellStyle name="Separador de milhares 4 10 6" xfId="24787" xr:uid="{00000000-0005-0000-0000-0000B68A0000}"/>
    <cellStyle name="Separador de milhares 4 10 6 2" xfId="39315" xr:uid="{00000000-0005-0000-0000-0000B78A0000}"/>
    <cellStyle name="Separador de milhares 4 10 7" xfId="24788" xr:uid="{00000000-0005-0000-0000-0000B88A0000}"/>
    <cellStyle name="Separador de milhares 4 10 7 2" xfId="39316" xr:uid="{00000000-0005-0000-0000-0000B98A0000}"/>
    <cellStyle name="Separador de milhares 4 11" xfId="24789" xr:uid="{00000000-0005-0000-0000-0000BA8A0000}"/>
    <cellStyle name="Separador de milhares 4 11 2" xfId="24790" xr:uid="{00000000-0005-0000-0000-0000BB8A0000}"/>
    <cellStyle name="Separador de milhares 4 11 2 2" xfId="24791" xr:uid="{00000000-0005-0000-0000-0000BC8A0000}"/>
    <cellStyle name="Separador de milhares 4 11 2 3" xfId="24792" xr:uid="{00000000-0005-0000-0000-0000BD8A0000}"/>
    <cellStyle name="Separador de milhares 4 11 2 4" xfId="24793" xr:uid="{00000000-0005-0000-0000-0000BE8A0000}"/>
    <cellStyle name="Separador de milhares 4 11 2 5" xfId="24794" xr:uid="{00000000-0005-0000-0000-0000BF8A0000}"/>
    <cellStyle name="Separador de milhares 4 11 2 6" xfId="24795" xr:uid="{00000000-0005-0000-0000-0000C08A0000}"/>
    <cellStyle name="Separador de milhares 4 11 2 7" xfId="24796" xr:uid="{00000000-0005-0000-0000-0000C18A0000}"/>
    <cellStyle name="Separador de milhares 4 11 3" xfId="24797" xr:uid="{00000000-0005-0000-0000-0000C28A0000}"/>
    <cellStyle name="Separador de milhares 4 11 4" xfId="24798" xr:uid="{00000000-0005-0000-0000-0000C38A0000}"/>
    <cellStyle name="Separador de milhares 4 11 5" xfId="24799" xr:uid="{00000000-0005-0000-0000-0000C48A0000}"/>
    <cellStyle name="Separador de milhares 4 11 6" xfId="24800" xr:uid="{00000000-0005-0000-0000-0000C58A0000}"/>
    <cellStyle name="Separador de milhares 4 11 7" xfId="24801" xr:uid="{00000000-0005-0000-0000-0000C68A0000}"/>
    <cellStyle name="Separador de milhares 4 12" xfId="24802" xr:uid="{00000000-0005-0000-0000-0000C78A0000}"/>
    <cellStyle name="Separador de milhares 4 13" xfId="24803" xr:uid="{00000000-0005-0000-0000-0000C88A0000}"/>
    <cellStyle name="Separador de milhares 4 14" xfId="24804" xr:uid="{00000000-0005-0000-0000-0000C98A0000}"/>
    <cellStyle name="Separador de milhares 4 14 10" xfId="24805" xr:uid="{00000000-0005-0000-0000-0000CA8A0000}"/>
    <cellStyle name="Separador de milhares 4 14 11" xfId="24806" xr:uid="{00000000-0005-0000-0000-0000CB8A0000}"/>
    <cellStyle name="Separador de milhares 4 14 12" xfId="24807" xr:uid="{00000000-0005-0000-0000-0000CC8A0000}"/>
    <cellStyle name="Separador de milhares 4 14 13" xfId="24808" xr:uid="{00000000-0005-0000-0000-0000CD8A0000}"/>
    <cellStyle name="Separador de milhares 4 14 14" xfId="24809" xr:uid="{00000000-0005-0000-0000-0000CE8A0000}"/>
    <cellStyle name="Separador de milhares 4 14 15" xfId="24810" xr:uid="{00000000-0005-0000-0000-0000CF8A0000}"/>
    <cellStyle name="Separador de milhares 4 14 2" xfId="24811" xr:uid="{00000000-0005-0000-0000-0000D08A0000}"/>
    <cellStyle name="Separador de milhares 4 14 3" xfId="24812" xr:uid="{00000000-0005-0000-0000-0000D18A0000}"/>
    <cellStyle name="Separador de milhares 4 14 4" xfId="24813" xr:uid="{00000000-0005-0000-0000-0000D28A0000}"/>
    <cellStyle name="Separador de milhares 4 14 5" xfId="24814" xr:uid="{00000000-0005-0000-0000-0000D38A0000}"/>
    <cellStyle name="Separador de milhares 4 14 6" xfId="24815" xr:uid="{00000000-0005-0000-0000-0000D48A0000}"/>
    <cellStyle name="Separador de milhares 4 14 7" xfId="24816" xr:uid="{00000000-0005-0000-0000-0000D58A0000}"/>
    <cellStyle name="Separador de milhares 4 14 8" xfId="24817" xr:uid="{00000000-0005-0000-0000-0000D68A0000}"/>
    <cellStyle name="Separador de milhares 4 14 9" xfId="24818" xr:uid="{00000000-0005-0000-0000-0000D78A0000}"/>
    <cellStyle name="Separador de milhares 4 15" xfId="24819" xr:uid="{00000000-0005-0000-0000-0000D88A0000}"/>
    <cellStyle name="Separador de milhares 4 15 10" xfId="24820" xr:uid="{00000000-0005-0000-0000-0000D98A0000}"/>
    <cellStyle name="Separador de milhares 4 15 11" xfId="24821" xr:uid="{00000000-0005-0000-0000-0000DA8A0000}"/>
    <cellStyle name="Separador de milhares 4 15 12" xfId="24822" xr:uid="{00000000-0005-0000-0000-0000DB8A0000}"/>
    <cellStyle name="Separador de milhares 4 15 13" xfId="24823" xr:uid="{00000000-0005-0000-0000-0000DC8A0000}"/>
    <cellStyle name="Separador de milhares 4 15 14" xfId="24824" xr:uid="{00000000-0005-0000-0000-0000DD8A0000}"/>
    <cellStyle name="Separador de milhares 4 15 15" xfId="24825" xr:uid="{00000000-0005-0000-0000-0000DE8A0000}"/>
    <cellStyle name="Separador de milhares 4 15 2" xfId="24826" xr:uid="{00000000-0005-0000-0000-0000DF8A0000}"/>
    <cellStyle name="Separador de milhares 4 15 3" xfId="24827" xr:uid="{00000000-0005-0000-0000-0000E08A0000}"/>
    <cellStyle name="Separador de milhares 4 15 4" xfId="24828" xr:uid="{00000000-0005-0000-0000-0000E18A0000}"/>
    <cellStyle name="Separador de milhares 4 15 5" xfId="24829" xr:uid="{00000000-0005-0000-0000-0000E28A0000}"/>
    <cellStyle name="Separador de milhares 4 15 6" xfId="24830" xr:uid="{00000000-0005-0000-0000-0000E38A0000}"/>
    <cellStyle name="Separador de milhares 4 15 7" xfId="24831" xr:uid="{00000000-0005-0000-0000-0000E48A0000}"/>
    <cellStyle name="Separador de milhares 4 15 8" xfId="24832" xr:uid="{00000000-0005-0000-0000-0000E58A0000}"/>
    <cellStyle name="Separador de milhares 4 15 9" xfId="24833" xr:uid="{00000000-0005-0000-0000-0000E68A0000}"/>
    <cellStyle name="Separador de milhares 4 16" xfId="24834" xr:uid="{00000000-0005-0000-0000-0000E78A0000}"/>
    <cellStyle name="Separador de milhares 4 16 10" xfId="24835" xr:uid="{00000000-0005-0000-0000-0000E88A0000}"/>
    <cellStyle name="Separador de milhares 4 16 11" xfId="24836" xr:uid="{00000000-0005-0000-0000-0000E98A0000}"/>
    <cellStyle name="Separador de milhares 4 16 12" xfId="24837" xr:uid="{00000000-0005-0000-0000-0000EA8A0000}"/>
    <cellStyle name="Separador de milhares 4 16 13" xfId="24838" xr:uid="{00000000-0005-0000-0000-0000EB8A0000}"/>
    <cellStyle name="Separador de milhares 4 16 14" xfId="24839" xr:uid="{00000000-0005-0000-0000-0000EC8A0000}"/>
    <cellStyle name="Separador de milhares 4 16 15" xfId="24840" xr:uid="{00000000-0005-0000-0000-0000ED8A0000}"/>
    <cellStyle name="Separador de milhares 4 16 2" xfId="24841" xr:uid="{00000000-0005-0000-0000-0000EE8A0000}"/>
    <cellStyle name="Separador de milhares 4 16 3" xfId="24842" xr:uid="{00000000-0005-0000-0000-0000EF8A0000}"/>
    <cellStyle name="Separador de milhares 4 16 4" xfId="24843" xr:uid="{00000000-0005-0000-0000-0000F08A0000}"/>
    <cellStyle name="Separador de milhares 4 16 5" xfId="24844" xr:uid="{00000000-0005-0000-0000-0000F18A0000}"/>
    <cellStyle name="Separador de milhares 4 16 6" xfId="24845" xr:uid="{00000000-0005-0000-0000-0000F28A0000}"/>
    <cellStyle name="Separador de milhares 4 16 7" xfId="24846" xr:uid="{00000000-0005-0000-0000-0000F38A0000}"/>
    <cellStyle name="Separador de milhares 4 16 8" xfId="24847" xr:uid="{00000000-0005-0000-0000-0000F48A0000}"/>
    <cellStyle name="Separador de milhares 4 16 9" xfId="24848" xr:uid="{00000000-0005-0000-0000-0000F58A0000}"/>
    <cellStyle name="Separador de milhares 4 17" xfId="24849" xr:uid="{00000000-0005-0000-0000-0000F68A0000}"/>
    <cellStyle name="Separador de milhares 4 18" xfId="24850" xr:uid="{00000000-0005-0000-0000-0000F78A0000}"/>
    <cellStyle name="Separador de milhares 4 18 2" xfId="24851" xr:uid="{00000000-0005-0000-0000-0000F88A0000}"/>
    <cellStyle name="Separador de milhares 4 18 3" xfId="24852" xr:uid="{00000000-0005-0000-0000-0000F98A0000}"/>
    <cellStyle name="Separador de milhares 4 18 4" xfId="24853" xr:uid="{00000000-0005-0000-0000-0000FA8A0000}"/>
    <cellStyle name="Separador de milhares 4 18 5" xfId="24854" xr:uid="{00000000-0005-0000-0000-0000FB8A0000}"/>
    <cellStyle name="Separador de milhares 4 18 6" xfId="24855" xr:uid="{00000000-0005-0000-0000-0000FC8A0000}"/>
    <cellStyle name="Separador de milhares 4 18 7" xfId="24856" xr:uid="{00000000-0005-0000-0000-0000FD8A0000}"/>
    <cellStyle name="Separador de milhares 4 19" xfId="24857" xr:uid="{00000000-0005-0000-0000-0000FE8A0000}"/>
    <cellStyle name="Separador de milhares 4 19 2" xfId="24858" xr:uid="{00000000-0005-0000-0000-0000FF8A0000}"/>
    <cellStyle name="Separador de milhares 4 19 3" xfId="24859" xr:uid="{00000000-0005-0000-0000-0000008B0000}"/>
    <cellStyle name="Separador de milhares 4 19 4" xfId="24860" xr:uid="{00000000-0005-0000-0000-0000018B0000}"/>
    <cellStyle name="Separador de milhares 4 19 5" xfId="24861" xr:uid="{00000000-0005-0000-0000-0000028B0000}"/>
    <cellStyle name="Separador de milhares 4 19 6" xfId="24862" xr:uid="{00000000-0005-0000-0000-0000038B0000}"/>
    <cellStyle name="Separador de milhares 4 19 7" xfId="24863" xr:uid="{00000000-0005-0000-0000-0000048B0000}"/>
    <cellStyle name="Separador de milhares 4 2" xfId="24864" xr:uid="{00000000-0005-0000-0000-0000058B0000}"/>
    <cellStyle name="Separador de milhares 4 2 10" xfId="24865" xr:uid="{00000000-0005-0000-0000-0000068B0000}"/>
    <cellStyle name="Separador de milhares 4 2 10 2" xfId="24866" xr:uid="{00000000-0005-0000-0000-0000078B0000}"/>
    <cellStyle name="Separador de milhares 4 2 10 2 2" xfId="39318" xr:uid="{00000000-0005-0000-0000-0000088B0000}"/>
    <cellStyle name="Separador de milhares 4 2 10 3" xfId="24867" xr:uid="{00000000-0005-0000-0000-0000098B0000}"/>
    <cellStyle name="Separador de milhares 4 2 10 3 2" xfId="39319" xr:uid="{00000000-0005-0000-0000-00000A8B0000}"/>
    <cellStyle name="Separador de milhares 4 2 10 4" xfId="24868" xr:uid="{00000000-0005-0000-0000-00000B8B0000}"/>
    <cellStyle name="Separador de milhares 4 2 10 4 2" xfId="39320" xr:uid="{00000000-0005-0000-0000-00000C8B0000}"/>
    <cellStyle name="Separador de milhares 4 2 10 5" xfId="24869" xr:uid="{00000000-0005-0000-0000-00000D8B0000}"/>
    <cellStyle name="Separador de milhares 4 2 10 5 2" xfId="39321" xr:uid="{00000000-0005-0000-0000-00000E8B0000}"/>
    <cellStyle name="Separador de milhares 4 2 10 6" xfId="39317" xr:uid="{00000000-0005-0000-0000-00000F8B0000}"/>
    <cellStyle name="Separador de milhares 4 2 11" xfId="24870" xr:uid="{00000000-0005-0000-0000-0000108B0000}"/>
    <cellStyle name="Separador de milhares 4 2 11 2" xfId="24871" xr:uid="{00000000-0005-0000-0000-0000118B0000}"/>
    <cellStyle name="Separador de milhares 4 2 11 2 2" xfId="39323" xr:uid="{00000000-0005-0000-0000-0000128B0000}"/>
    <cellStyle name="Separador de milhares 4 2 11 3" xfId="24872" xr:uid="{00000000-0005-0000-0000-0000138B0000}"/>
    <cellStyle name="Separador de milhares 4 2 11 3 2" xfId="39324" xr:uid="{00000000-0005-0000-0000-0000148B0000}"/>
    <cellStyle name="Separador de milhares 4 2 11 4" xfId="24873" xr:uid="{00000000-0005-0000-0000-0000158B0000}"/>
    <cellStyle name="Separador de milhares 4 2 11 4 2" xfId="39325" xr:uid="{00000000-0005-0000-0000-0000168B0000}"/>
    <cellStyle name="Separador de milhares 4 2 11 5" xfId="24874" xr:uid="{00000000-0005-0000-0000-0000178B0000}"/>
    <cellStyle name="Separador de milhares 4 2 11 5 2" xfId="39326" xr:uid="{00000000-0005-0000-0000-0000188B0000}"/>
    <cellStyle name="Separador de milhares 4 2 11 6" xfId="39322" xr:uid="{00000000-0005-0000-0000-0000198B0000}"/>
    <cellStyle name="Separador de milhares 4 2 12" xfId="24875" xr:uid="{00000000-0005-0000-0000-00001A8B0000}"/>
    <cellStyle name="Separador de milhares 4 2 12 2" xfId="24876" xr:uid="{00000000-0005-0000-0000-00001B8B0000}"/>
    <cellStyle name="Separador de milhares 4 2 12 2 2" xfId="39328" xr:uid="{00000000-0005-0000-0000-00001C8B0000}"/>
    <cellStyle name="Separador de milhares 4 2 12 3" xfId="24877" xr:uid="{00000000-0005-0000-0000-00001D8B0000}"/>
    <cellStyle name="Separador de milhares 4 2 12 3 2" xfId="39329" xr:uid="{00000000-0005-0000-0000-00001E8B0000}"/>
    <cellStyle name="Separador de milhares 4 2 12 4" xfId="24878" xr:uid="{00000000-0005-0000-0000-00001F8B0000}"/>
    <cellStyle name="Separador de milhares 4 2 12 4 2" xfId="39330" xr:uid="{00000000-0005-0000-0000-0000208B0000}"/>
    <cellStyle name="Separador de milhares 4 2 12 5" xfId="24879" xr:uid="{00000000-0005-0000-0000-0000218B0000}"/>
    <cellStyle name="Separador de milhares 4 2 12 5 2" xfId="39331" xr:uid="{00000000-0005-0000-0000-0000228B0000}"/>
    <cellStyle name="Separador de milhares 4 2 12 6" xfId="39327" xr:uid="{00000000-0005-0000-0000-0000238B0000}"/>
    <cellStyle name="Separador de milhares 4 2 13" xfId="24880" xr:uid="{00000000-0005-0000-0000-0000248B0000}"/>
    <cellStyle name="Separador de milhares 4 2 13 2" xfId="24881" xr:uid="{00000000-0005-0000-0000-0000258B0000}"/>
    <cellStyle name="Separador de milhares 4 2 13 2 2" xfId="39333" xr:uid="{00000000-0005-0000-0000-0000268B0000}"/>
    <cellStyle name="Separador de milhares 4 2 13 3" xfId="24882" xr:uid="{00000000-0005-0000-0000-0000278B0000}"/>
    <cellStyle name="Separador de milhares 4 2 13 3 2" xfId="39334" xr:uid="{00000000-0005-0000-0000-0000288B0000}"/>
    <cellStyle name="Separador de milhares 4 2 13 4" xfId="24883" xr:uid="{00000000-0005-0000-0000-0000298B0000}"/>
    <cellStyle name="Separador de milhares 4 2 13 4 2" xfId="39335" xr:uid="{00000000-0005-0000-0000-00002A8B0000}"/>
    <cellStyle name="Separador de milhares 4 2 13 5" xfId="24884" xr:uid="{00000000-0005-0000-0000-00002B8B0000}"/>
    <cellStyle name="Separador de milhares 4 2 13 5 2" xfId="39336" xr:uid="{00000000-0005-0000-0000-00002C8B0000}"/>
    <cellStyle name="Separador de milhares 4 2 13 6" xfId="39332" xr:uid="{00000000-0005-0000-0000-00002D8B0000}"/>
    <cellStyle name="Separador de milhares 4 2 14" xfId="24885" xr:uid="{00000000-0005-0000-0000-00002E8B0000}"/>
    <cellStyle name="Separador de milhares 4 2 14 2" xfId="24886" xr:uid="{00000000-0005-0000-0000-00002F8B0000}"/>
    <cellStyle name="Separador de milhares 4 2 14 2 2" xfId="39338" xr:uid="{00000000-0005-0000-0000-0000308B0000}"/>
    <cellStyle name="Separador de milhares 4 2 14 3" xfId="24887" xr:uid="{00000000-0005-0000-0000-0000318B0000}"/>
    <cellStyle name="Separador de milhares 4 2 14 3 2" xfId="39339" xr:uid="{00000000-0005-0000-0000-0000328B0000}"/>
    <cellStyle name="Separador de milhares 4 2 14 4" xfId="24888" xr:uid="{00000000-0005-0000-0000-0000338B0000}"/>
    <cellStyle name="Separador de milhares 4 2 14 4 2" xfId="39340" xr:uid="{00000000-0005-0000-0000-0000348B0000}"/>
    <cellStyle name="Separador de milhares 4 2 14 5" xfId="24889" xr:uid="{00000000-0005-0000-0000-0000358B0000}"/>
    <cellStyle name="Separador de milhares 4 2 14 5 2" xfId="39341" xr:uid="{00000000-0005-0000-0000-0000368B0000}"/>
    <cellStyle name="Separador de milhares 4 2 14 6" xfId="39337" xr:uid="{00000000-0005-0000-0000-0000378B0000}"/>
    <cellStyle name="Separador de milhares 4 2 15" xfId="24890" xr:uid="{00000000-0005-0000-0000-0000388B0000}"/>
    <cellStyle name="Separador de milhares 4 2 15 2" xfId="24891" xr:uid="{00000000-0005-0000-0000-0000398B0000}"/>
    <cellStyle name="Separador de milhares 4 2 15 2 2" xfId="39343" xr:uid="{00000000-0005-0000-0000-00003A8B0000}"/>
    <cellStyle name="Separador de milhares 4 2 15 3" xfId="24892" xr:uid="{00000000-0005-0000-0000-00003B8B0000}"/>
    <cellStyle name="Separador de milhares 4 2 15 3 2" xfId="39344" xr:uid="{00000000-0005-0000-0000-00003C8B0000}"/>
    <cellStyle name="Separador de milhares 4 2 15 4" xfId="24893" xr:uid="{00000000-0005-0000-0000-00003D8B0000}"/>
    <cellStyle name="Separador de milhares 4 2 15 4 2" xfId="39345" xr:uid="{00000000-0005-0000-0000-00003E8B0000}"/>
    <cellStyle name="Separador de milhares 4 2 15 5" xfId="24894" xr:uid="{00000000-0005-0000-0000-00003F8B0000}"/>
    <cellStyle name="Separador de milhares 4 2 15 5 2" xfId="39346" xr:uid="{00000000-0005-0000-0000-0000408B0000}"/>
    <cellStyle name="Separador de milhares 4 2 15 6" xfId="39342" xr:uid="{00000000-0005-0000-0000-0000418B0000}"/>
    <cellStyle name="Separador de milhares 4 2 16" xfId="24895" xr:uid="{00000000-0005-0000-0000-0000428B0000}"/>
    <cellStyle name="Separador de milhares 4 2 16 2" xfId="24896" xr:uid="{00000000-0005-0000-0000-0000438B0000}"/>
    <cellStyle name="Separador de milhares 4 2 16 2 2" xfId="39348" xr:uid="{00000000-0005-0000-0000-0000448B0000}"/>
    <cellStyle name="Separador de milhares 4 2 16 3" xfId="24897" xr:uid="{00000000-0005-0000-0000-0000458B0000}"/>
    <cellStyle name="Separador de milhares 4 2 16 3 2" xfId="39349" xr:uid="{00000000-0005-0000-0000-0000468B0000}"/>
    <cellStyle name="Separador de milhares 4 2 16 4" xfId="24898" xr:uid="{00000000-0005-0000-0000-0000478B0000}"/>
    <cellStyle name="Separador de milhares 4 2 16 4 2" xfId="39350" xr:uid="{00000000-0005-0000-0000-0000488B0000}"/>
    <cellStyle name="Separador de milhares 4 2 16 5" xfId="24899" xr:uid="{00000000-0005-0000-0000-0000498B0000}"/>
    <cellStyle name="Separador de milhares 4 2 16 5 2" xfId="39351" xr:uid="{00000000-0005-0000-0000-00004A8B0000}"/>
    <cellStyle name="Separador de milhares 4 2 16 6" xfId="39347" xr:uid="{00000000-0005-0000-0000-00004B8B0000}"/>
    <cellStyle name="Separador de milhares 4 2 17" xfId="24900" xr:uid="{00000000-0005-0000-0000-00004C8B0000}"/>
    <cellStyle name="Separador de milhares 4 2 17 2" xfId="24901" xr:uid="{00000000-0005-0000-0000-00004D8B0000}"/>
    <cellStyle name="Separador de milhares 4 2 17 2 2" xfId="39353" xr:uid="{00000000-0005-0000-0000-00004E8B0000}"/>
    <cellStyle name="Separador de milhares 4 2 17 3" xfId="24902" xr:uid="{00000000-0005-0000-0000-00004F8B0000}"/>
    <cellStyle name="Separador de milhares 4 2 17 3 2" xfId="39354" xr:uid="{00000000-0005-0000-0000-0000508B0000}"/>
    <cellStyle name="Separador de milhares 4 2 17 4" xfId="24903" xr:uid="{00000000-0005-0000-0000-0000518B0000}"/>
    <cellStyle name="Separador de milhares 4 2 17 4 2" xfId="39355" xr:uid="{00000000-0005-0000-0000-0000528B0000}"/>
    <cellStyle name="Separador de milhares 4 2 17 5" xfId="24904" xr:uid="{00000000-0005-0000-0000-0000538B0000}"/>
    <cellStyle name="Separador de milhares 4 2 17 5 2" xfId="39356" xr:uid="{00000000-0005-0000-0000-0000548B0000}"/>
    <cellStyle name="Separador de milhares 4 2 17 6" xfId="39352" xr:uid="{00000000-0005-0000-0000-0000558B0000}"/>
    <cellStyle name="Separador de milhares 4 2 18" xfId="24905" xr:uid="{00000000-0005-0000-0000-0000568B0000}"/>
    <cellStyle name="Separador de milhares 4 2 18 2" xfId="24906" xr:uid="{00000000-0005-0000-0000-0000578B0000}"/>
    <cellStyle name="Separador de milhares 4 2 18 2 2" xfId="39358" xr:uid="{00000000-0005-0000-0000-0000588B0000}"/>
    <cellStyle name="Separador de milhares 4 2 18 3" xfId="24907" xr:uid="{00000000-0005-0000-0000-0000598B0000}"/>
    <cellStyle name="Separador de milhares 4 2 18 3 2" xfId="39359" xr:uid="{00000000-0005-0000-0000-00005A8B0000}"/>
    <cellStyle name="Separador de milhares 4 2 18 4" xfId="24908" xr:uid="{00000000-0005-0000-0000-00005B8B0000}"/>
    <cellStyle name="Separador de milhares 4 2 18 4 2" xfId="39360" xr:uid="{00000000-0005-0000-0000-00005C8B0000}"/>
    <cellStyle name="Separador de milhares 4 2 18 5" xfId="24909" xr:uid="{00000000-0005-0000-0000-00005D8B0000}"/>
    <cellStyle name="Separador de milhares 4 2 18 5 2" xfId="39361" xr:uid="{00000000-0005-0000-0000-00005E8B0000}"/>
    <cellStyle name="Separador de milhares 4 2 18 6" xfId="39357" xr:uid="{00000000-0005-0000-0000-00005F8B0000}"/>
    <cellStyle name="Separador de milhares 4 2 19" xfId="24910" xr:uid="{00000000-0005-0000-0000-0000608B0000}"/>
    <cellStyle name="Separador de milhares 4 2 19 2" xfId="24911" xr:uid="{00000000-0005-0000-0000-0000618B0000}"/>
    <cellStyle name="Separador de milhares 4 2 19 2 2" xfId="39363" xr:uid="{00000000-0005-0000-0000-0000628B0000}"/>
    <cellStyle name="Separador de milhares 4 2 19 3" xfId="24912" xr:uid="{00000000-0005-0000-0000-0000638B0000}"/>
    <cellStyle name="Separador de milhares 4 2 19 3 2" xfId="39364" xr:uid="{00000000-0005-0000-0000-0000648B0000}"/>
    <cellStyle name="Separador de milhares 4 2 19 4" xfId="24913" xr:uid="{00000000-0005-0000-0000-0000658B0000}"/>
    <cellStyle name="Separador de milhares 4 2 19 4 2" xfId="39365" xr:uid="{00000000-0005-0000-0000-0000668B0000}"/>
    <cellStyle name="Separador de milhares 4 2 19 5" xfId="24914" xr:uid="{00000000-0005-0000-0000-0000678B0000}"/>
    <cellStyle name="Separador de milhares 4 2 19 5 2" xfId="39366" xr:uid="{00000000-0005-0000-0000-0000688B0000}"/>
    <cellStyle name="Separador de milhares 4 2 19 6" xfId="39362" xr:uid="{00000000-0005-0000-0000-0000698B0000}"/>
    <cellStyle name="Separador de milhares 4 2 2" xfId="24915" xr:uid="{00000000-0005-0000-0000-00006A8B0000}"/>
    <cellStyle name="Separador de milhares 4 2 2 2" xfId="24916" xr:uid="{00000000-0005-0000-0000-00006B8B0000}"/>
    <cellStyle name="Separador de milhares 4 2 2 3" xfId="24917" xr:uid="{00000000-0005-0000-0000-00006C8B0000}"/>
    <cellStyle name="Separador de milhares 4 2 2 4" xfId="24918" xr:uid="{00000000-0005-0000-0000-00006D8B0000}"/>
    <cellStyle name="Separador de milhares 4 2 2 5" xfId="24919" xr:uid="{00000000-0005-0000-0000-00006E8B0000}"/>
    <cellStyle name="Separador de milhares 4 2 2 6" xfId="24920" xr:uid="{00000000-0005-0000-0000-00006F8B0000}"/>
    <cellStyle name="Separador de milhares 4 2 2 7" xfId="24921" xr:uid="{00000000-0005-0000-0000-0000708B0000}"/>
    <cellStyle name="Separador de milhares 4 2 2 8" xfId="39367" xr:uid="{00000000-0005-0000-0000-0000718B0000}"/>
    <cellStyle name="Separador de milhares 4 2 20" xfId="24922" xr:uid="{00000000-0005-0000-0000-0000728B0000}"/>
    <cellStyle name="Separador de milhares 4 2 20 2" xfId="24923" xr:uid="{00000000-0005-0000-0000-0000738B0000}"/>
    <cellStyle name="Separador de milhares 4 2 20 2 2" xfId="39369" xr:uid="{00000000-0005-0000-0000-0000748B0000}"/>
    <cellStyle name="Separador de milhares 4 2 20 3" xfId="24924" xr:uid="{00000000-0005-0000-0000-0000758B0000}"/>
    <cellStyle name="Separador de milhares 4 2 20 3 2" xfId="39370" xr:uid="{00000000-0005-0000-0000-0000768B0000}"/>
    <cellStyle name="Separador de milhares 4 2 20 4" xfId="24925" xr:uid="{00000000-0005-0000-0000-0000778B0000}"/>
    <cellStyle name="Separador de milhares 4 2 20 4 2" xfId="39371" xr:uid="{00000000-0005-0000-0000-0000788B0000}"/>
    <cellStyle name="Separador de milhares 4 2 20 5" xfId="24926" xr:uid="{00000000-0005-0000-0000-0000798B0000}"/>
    <cellStyle name="Separador de milhares 4 2 20 5 2" xfId="39372" xr:uid="{00000000-0005-0000-0000-00007A8B0000}"/>
    <cellStyle name="Separador de milhares 4 2 20 6" xfId="39368" xr:uid="{00000000-0005-0000-0000-00007B8B0000}"/>
    <cellStyle name="Separador de milhares 4 2 21" xfId="24927" xr:uid="{00000000-0005-0000-0000-00007C8B0000}"/>
    <cellStyle name="Separador de milhares 4 2 21 2" xfId="39373" xr:uid="{00000000-0005-0000-0000-00007D8B0000}"/>
    <cellStyle name="Separador de milhares 4 2 22" xfId="24928" xr:uid="{00000000-0005-0000-0000-00007E8B0000}"/>
    <cellStyle name="Separador de milhares 4 2 22 2" xfId="39374" xr:uid="{00000000-0005-0000-0000-00007F8B0000}"/>
    <cellStyle name="Separador de milhares 4 2 23" xfId="24929" xr:uid="{00000000-0005-0000-0000-0000808B0000}"/>
    <cellStyle name="Separador de milhares 4 2 23 2" xfId="39375" xr:uid="{00000000-0005-0000-0000-0000818B0000}"/>
    <cellStyle name="Separador de milhares 4 2 24" xfId="24930" xr:uid="{00000000-0005-0000-0000-0000828B0000}"/>
    <cellStyle name="Separador de milhares 4 2 24 2" xfId="39376" xr:uid="{00000000-0005-0000-0000-0000838B0000}"/>
    <cellStyle name="Separador de milhares 4 2 25" xfId="24931" xr:uid="{00000000-0005-0000-0000-0000848B0000}"/>
    <cellStyle name="Separador de milhares 4 2 25 2" xfId="39377" xr:uid="{00000000-0005-0000-0000-0000858B0000}"/>
    <cellStyle name="Separador de milhares 4 2 3" xfId="24932" xr:uid="{00000000-0005-0000-0000-0000868B0000}"/>
    <cellStyle name="Separador de milhares 4 2 3 2" xfId="24933" xr:uid="{00000000-0005-0000-0000-0000878B0000}"/>
    <cellStyle name="Separador de milhares 4 2 4" xfId="24934" xr:uid="{00000000-0005-0000-0000-0000888B0000}"/>
    <cellStyle name="Separador de milhares 4 2 4 2" xfId="24935" xr:uid="{00000000-0005-0000-0000-0000898B0000}"/>
    <cellStyle name="Separador de milhares 4 2 5" xfId="24936" xr:uid="{00000000-0005-0000-0000-00008A8B0000}"/>
    <cellStyle name="Separador de milhares 4 2 5 2" xfId="24937" xr:uid="{00000000-0005-0000-0000-00008B8B0000}"/>
    <cellStyle name="Separador de milhares 4 2 6" xfId="24938" xr:uid="{00000000-0005-0000-0000-00008C8B0000}"/>
    <cellStyle name="Separador de milhares 4 2 6 2" xfId="24939" xr:uid="{00000000-0005-0000-0000-00008D8B0000}"/>
    <cellStyle name="Separador de milhares 4 2 6 3" xfId="24940" xr:uid="{00000000-0005-0000-0000-00008E8B0000}"/>
    <cellStyle name="Separador de milhares 4 2 6 3 2" xfId="39379" xr:uid="{00000000-0005-0000-0000-00008F8B0000}"/>
    <cellStyle name="Separador de milhares 4 2 6 4" xfId="24941" xr:uid="{00000000-0005-0000-0000-0000908B0000}"/>
    <cellStyle name="Separador de milhares 4 2 6 4 2" xfId="39380" xr:uid="{00000000-0005-0000-0000-0000918B0000}"/>
    <cellStyle name="Separador de milhares 4 2 6 5" xfId="24942" xr:uid="{00000000-0005-0000-0000-0000928B0000}"/>
    <cellStyle name="Separador de milhares 4 2 6 5 2" xfId="39381" xr:uid="{00000000-0005-0000-0000-0000938B0000}"/>
    <cellStyle name="Separador de milhares 4 2 6 6" xfId="24943" xr:uid="{00000000-0005-0000-0000-0000948B0000}"/>
    <cellStyle name="Separador de milhares 4 2 6 6 2" xfId="39382" xr:uid="{00000000-0005-0000-0000-0000958B0000}"/>
    <cellStyle name="Separador de milhares 4 2 6 7" xfId="39378" xr:uid="{00000000-0005-0000-0000-0000968B0000}"/>
    <cellStyle name="Separador de milhares 4 2 7" xfId="24944" xr:uid="{00000000-0005-0000-0000-0000978B0000}"/>
    <cellStyle name="Separador de milhares 4 2 7 2" xfId="24945" xr:uid="{00000000-0005-0000-0000-0000988B0000}"/>
    <cellStyle name="Separador de milhares 4 2 7 2 2" xfId="24946" xr:uid="{00000000-0005-0000-0000-0000998B0000}"/>
    <cellStyle name="Separador de milhares 4 2 7 2 2 2" xfId="39385" xr:uid="{00000000-0005-0000-0000-00009A8B0000}"/>
    <cellStyle name="Separador de milhares 4 2 7 2 3" xfId="24947" xr:uid="{00000000-0005-0000-0000-00009B8B0000}"/>
    <cellStyle name="Separador de milhares 4 2 7 2 3 2" xfId="39386" xr:uid="{00000000-0005-0000-0000-00009C8B0000}"/>
    <cellStyle name="Separador de milhares 4 2 7 2 4" xfId="24948" xr:uid="{00000000-0005-0000-0000-00009D8B0000}"/>
    <cellStyle name="Separador de milhares 4 2 7 2 4 2" xfId="39387" xr:uid="{00000000-0005-0000-0000-00009E8B0000}"/>
    <cellStyle name="Separador de milhares 4 2 7 2 5" xfId="24949" xr:uid="{00000000-0005-0000-0000-00009F8B0000}"/>
    <cellStyle name="Separador de milhares 4 2 7 2 5 2" xfId="39388" xr:uid="{00000000-0005-0000-0000-0000A08B0000}"/>
    <cellStyle name="Separador de milhares 4 2 7 2 6" xfId="39384" xr:uid="{00000000-0005-0000-0000-0000A18B0000}"/>
    <cellStyle name="Separador de milhares 4 2 7 3" xfId="24950" xr:uid="{00000000-0005-0000-0000-0000A28B0000}"/>
    <cellStyle name="Separador de milhares 4 2 7 3 2" xfId="39389" xr:uid="{00000000-0005-0000-0000-0000A38B0000}"/>
    <cellStyle name="Separador de milhares 4 2 7 4" xfId="24951" xr:uid="{00000000-0005-0000-0000-0000A48B0000}"/>
    <cellStyle name="Separador de milhares 4 2 7 4 2" xfId="39390" xr:uid="{00000000-0005-0000-0000-0000A58B0000}"/>
    <cellStyle name="Separador de milhares 4 2 7 5" xfId="24952" xr:uid="{00000000-0005-0000-0000-0000A68B0000}"/>
    <cellStyle name="Separador de milhares 4 2 7 5 2" xfId="39391" xr:uid="{00000000-0005-0000-0000-0000A78B0000}"/>
    <cellStyle name="Separador de milhares 4 2 7 6" xfId="24953" xr:uid="{00000000-0005-0000-0000-0000A88B0000}"/>
    <cellStyle name="Separador de milhares 4 2 7 6 2" xfId="39392" xr:uid="{00000000-0005-0000-0000-0000A98B0000}"/>
    <cellStyle name="Separador de milhares 4 2 7 7" xfId="39383" xr:uid="{00000000-0005-0000-0000-0000AA8B0000}"/>
    <cellStyle name="Separador de milhares 4 2 8" xfId="24954" xr:uid="{00000000-0005-0000-0000-0000AB8B0000}"/>
    <cellStyle name="Separador de milhares 4 2 8 2" xfId="24955" xr:uid="{00000000-0005-0000-0000-0000AC8B0000}"/>
    <cellStyle name="Separador de milhares 4 2 8 2 2" xfId="24956" xr:uid="{00000000-0005-0000-0000-0000AD8B0000}"/>
    <cellStyle name="Separador de milhares 4 2 8 2 2 2" xfId="39395" xr:uid="{00000000-0005-0000-0000-0000AE8B0000}"/>
    <cellStyle name="Separador de milhares 4 2 8 2 3" xfId="24957" xr:uid="{00000000-0005-0000-0000-0000AF8B0000}"/>
    <cellStyle name="Separador de milhares 4 2 8 2 3 2" xfId="39396" xr:uid="{00000000-0005-0000-0000-0000B08B0000}"/>
    <cellStyle name="Separador de milhares 4 2 8 2 4" xfId="24958" xr:uid="{00000000-0005-0000-0000-0000B18B0000}"/>
    <cellStyle name="Separador de milhares 4 2 8 2 4 2" xfId="39397" xr:uid="{00000000-0005-0000-0000-0000B28B0000}"/>
    <cellStyle name="Separador de milhares 4 2 8 2 5" xfId="24959" xr:uid="{00000000-0005-0000-0000-0000B38B0000}"/>
    <cellStyle name="Separador de milhares 4 2 8 2 5 2" xfId="39398" xr:uid="{00000000-0005-0000-0000-0000B48B0000}"/>
    <cellStyle name="Separador de milhares 4 2 8 2 6" xfId="39394" xr:uid="{00000000-0005-0000-0000-0000B58B0000}"/>
    <cellStyle name="Separador de milhares 4 2 8 3" xfId="24960" xr:uid="{00000000-0005-0000-0000-0000B68B0000}"/>
    <cellStyle name="Separador de milhares 4 2 8 3 2" xfId="39399" xr:uid="{00000000-0005-0000-0000-0000B78B0000}"/>
    <cellStyle name="Separador de milhares 4 2 8 4" xfId="24961" xr:uid="{00000000-0005-0000-0000-0000B88B0000}"/>
    <cellStyle name="Separador de milhares 4 2 8 4 2" xfId="39400" xr:uid="{00000000-0005-0000-0000-0000B98B0000}"/>
    <cellStyle name="Separador de milhares 4 2 8 5" xfId="24962" xr:uid="{00000000-0005-0000-0000-0000BA8B0000}"/>
    <cellStyle name="Separador de milhares 4 2 8 5 2" xfId="39401" xr:uid="{00000000-0005-0000-0000-0000BB8B0000}"/>
    <cellStyle name="Separador de milhares 4 2 8 6" xfId="24963" xr:uid="{00000000-0005-0000-0000-0000BC8B0000}"/>
    <cellStyle name="Separador de milhares 4 2 8 6 2" xfId="39402" xr:uid="{00000000-0005-0000-0000-0000BD8B0000}"/>
    <cellStyle name="Separador de milhares 4 2 8 7" xfId="39393" xr:uid="{00000000-0005-0000-0000-0000BE8B0000}"/>
    <cellStyle name="Separador de milhares 4 2 9" xfId="24964" xr:uid="{00000000-0005-0000-0000-0000BF8B0000}"/>
    <cellStyle name="Separador de milhares 4 2 9 2" xfId="24965" xr:uid="{00000000-0005-0000-0000-0000C08B0000}"/>
    <cellStyle name="Separador de milhares 4 2 9 2 2" xfId="24966" xr:uid="{00000000-0005-0000-0000-0000C18B0000}"/>
    <cellStyle name="Separador de milhares 4 2 9 2 2 2" xfId="39404" xr:uid="{00000000-0005-0000-0000-0000C28B0000}"/>
    <cellStyle name="Separador de milhares 4 2 9 2 3" xfId="24967" xr:uid="{00000000-0005-0000-0000-0000C38B0000}"/>
    <cellStyle name="Separador de milhares 4 2 9 2 3 2" xfId="39405" xr:uid="{00000000-0005-0000-0000-0000C48B0000}"/>
    <cellStyle name="Separador de milhares 4 2 9 2 4" xfId="24968" xr:uid="{00000000-0005-0000-0000-0000C58B0000}"/>
    <cellStyle name="Separador de milhares 4 2 9 2 4 2" xfId="39406" xr:uid="{00000000-0005-0000-0000-0000C68B0000}"/>
    <cellStyle name="Separador de milhares 4 2 9 2 5" xfId="24969" xr:uid="{00000000-0005-0000-0000-0000C78B0000}"/>
    <cellStyle name="Separador de milhares 4 2 9 2 5 2" xfId="39407" xr:uid="{00000000-0005-0000-0000-0000C88B0000}"/>
    <cellStyle name="Separador de milhares 4 2 9 2 6" xfId="39403" xr:uid="{00000000-0005-0000-0000-0000C98B0000}"/>
    <cellStyle name="Separador de milhares 4 20" xfId="24970" xr:uid="{00000000-0005-0000-0000-0000CA8B0000}"/>
    <cellStyle name="Separador de milhares 4 20 2" xfId="24971" xr:uid="{00000000-0005-0000-0000-0000CB8B0000}"/>
    <cellStyle name="Separador de milhares 4 20 3" xfId="24972" xr:uid="{00000000-0005-0000-0000-0000CC8B0000}"/>
    <cellStyle name="Separador de milhares 4 20 4" xfId="24973" xr:uid="{00000000-0005-0000-0000-0000CD8B0000}"/>
    <cellStyle name="Separador de milhares 4 20 5" xfId="24974" xr:uid="{00000000-0005-0000-0000-0000CE8B0000}"/>
    <cellStyle name="Separador de milhares 4 20 6" xfId="24975" xr:uid="{00000000-0005-0000-0000-0000CF8B0000}"/>
    <cellStyle name="Separador de milhares 4 20 7" xfId="24976" xr:uid="{00000000-0005-0000-0000-0000D08B0000}"/>
    <cellStyle name="Separador de milhares 4 21" xfId="24977" xr:uid="{00000000-0005-0000-0000-0000D18B0000}"/>
    <cellStyle name="Separador de milhares 4 21 2" xfId="24978" xr:uid="{00000000-0005-0000-0000-0000D28B0000}"/>
    <cellStyle name="Separador de milhares 4 21 3" xfId="24979" xr:uid="{00000000-0005-0000-0000-0000D38B0000}"/>
    <cellStyle name="Separador de milhares 4 21 4" xfId="24980" xr:uid="{00000000-0005-0000-0000-0000D48B0000}"/>
    <cellStyle name="Separador de milhares 4 21 5" xfId="24981" xr:uid="{00000000-0005-0000-0000-0000D58B0000}"/>
    <cellStyle name="Separador de milhares 4 21 6" xfId="24982" xr:uid="{00000000-0005-0000-0000-0000D68B0000}"/>
    <cellStyle name="Separador de milhares 4 21 7" xfId="24983" xr:uid="{00000000-0005-0000-0000-0000D78B0000}"/>
    <cellStyle name="Separador de milhares 4 22" xfId="24984" xr:uid="{00000000-0005-0000-0000-0000D88B0000}"/>
    <cellStyle name="Separador de milhares 4 22 2" xfId="24985" xr:uid="{00000000-0005-0000-0000-0000D98B0000}"/>
    <cellStyle name="Separador de milhares 4 22 3" xfId="24986" xr:uid="{00000000-0005-0000-0000-0000DA8B0000}"/>
    <cellStyle name="Separador de milhares 4 22 4" xfId="24987" xr:uid="{00000000-0005-0000-0000-0000DB8B0000}"/>
    <cellStyle name="Separador de milhares 4 22 5" xfId="24988" xr:uid="{00000000-0005-0000-0000-0000DC8B0000}"/>
    <cellStyle name="Separador de milhares 4 22 6" xfId="24989" xr:uid="{00000000-0005-0000-0000-0000DD8B0000}"/>
    <cellStyle name="Separador de milhares 4 22 7" xfId="24990" xr:uid="{00000000-0005-0000-0000-0000DE8B0000}"/>
    <cellStyle name="Separador de milhares 4 23" xfId="24991" xr:uid="{00000000-0005-0000-0000-0000DF8B0000}"/>
    <cellStyle name="Separador de milhares 4 23 2" xfId="24992" xr:uid="{00000000-0005-0000-0000-0000E08B0000}"/>
    <cellStyle name="Separador de milhares 4 23 3" xfId="24993" xr:uid="{00000000-0005-0000-0000-0000E18B0000}"/>
    <cellStyle name="Separador de milhares 4 23 4" xfId="24994" xr:uid="{00000000-0005-0000-0000-0000E28B0000}"/>
    <cellStyle name="Separador de milhares 4 23 5" xfId="24995" xr:uid="{00000000-0005-0000-0000-0000E38B0000}"/>
    <cellStyle name="Separador de milhares 4 23 6" xfId="24996" xr:uid="{00000000-0005-0000-0000-0000E48B0000}"/>
    <cellStyle name="Separador de milhares 4 23 7" xfId="24997" xr:uid="{00000000-0005-0000-0000-0000E58B0000}"/>
    <cellStyle name="Separador de milhares 4 24" xfId="24998" xr:uid="{00000000-0005-0000-0000-0000E68B0000}"/>
    <cellStyle name="Separador de milhares 4 24 2" xfId="24999" xr:uid="{00000000-0005-0000-0000-0000E78B0000}"/>
    <cellStyle name="Separador de milhares 4 24 3" xfId="25000" xr:uid="{00000000-0005-0000-0000-0000E88B0000}"/>
    <cellStyle name="Separador de milhares 4 24 4" xfId="25001" xr:uid="{00000000-0005-0000-0000-0000E98B0000}"/>
    <cellStyle name="Separador de milhares 4 24 5" xfId="25002" xr:uid="{00000000-0005-0000-0000-0000EA8B0000}"/>
    <cellStyle name="Separador de milhares 4 24 6" xfId="25003" xr:uid="{00000000-0005-0000-0000-0000EB8B0000}"/>
    <cellStyle name="Separador de milhares 4 24 7" xfId="25004" xr:uid="{00000000-0005-0000-0000-0000EC8B0000}"/>
    <cellStyle name="Separador de milhares 4 25" xfId="25005" xr:uid="{00000000-0005-0000-0000-0000ED8B0000}"/>
    <cellStyle name="Separador de milhares 4 25 2" xfId="25006" xr:uid="{00000000-0005-0000-0000-0000EE8B0000}"/>
    <cellStyle name="Separador de milhares 4 25 3" xfId="25007" xr:uid="{00000000-0005-0000-0000-0000EF8B0000}"/>
    <cellStyle name="Separador de milhares 4 25 4" xfId="25008" xr:uid="{00000000-0005-0000-0000-0000F08B0000}"/>
    <cellStyle name="Separador de milhares 4 25 5" xfId="25009" xr:uid="{00000000-0005-0000-0000-0000F18B0000}"/>
    <cellStyle name="Separador de milhares 4 25 6" xfId="25010" xr:uid="{00000000-0005-0000-0000-0000F28B0000}"/>
    <cellStyle name="Separador de milhares 4 25 7" xfId="25011" xr:uid="{00000000-0005-0000-0000-0000F38B0000}"/>
    <cellStyle name="Separador de milhares 4 26" xfId="25012" xr:uid="{00000000-0005-0000-0000-0000F48B0000}"/>
    <cellStyle name="Separador de milhares 4 26 2" xfId="25013" xr:uid="{00000000-0005-0000-0000-0000F58B0000}"/>
    <cellStyle name="Separador de milhares 4 26 3" xfId="25014" xr:uid="{00000000-0005-0000-0000-0000F68B0000}"/>
    <cellStyle name="Separador de milhares 4 26 4" xfId="25015" xr:uid="{00000000-0005-0000-0000-0000F78B0000}"/>
    <cellStyle name="Separador de milhares 4 26 5" xfId="25016" xr:uid="{00000000-0005-0000-0000-0000F88B0000}"/>
    <cellStyle name="Separador de milhares 4 26 6" xfId="25017" xr:uid="{00000000-0005-0000-0000-0000F98B0000}"/>
    <cellStyle name="Separador de milhares 4 26 7" xfId="25018" xr:uid="{00000000-0005-0000-0000-0000FA8B0000}"/>
    <cellStyle name="Separador de milhares 4 27" xfId="25019" xr:uid="{00000000-0005-0000-0000-0000FB8B0000}"/>
    <cellStyle name="Separador de milhares 4 27 2" xfId="25020" xr:uid="{00000000-0005-0000-0000-0000FC8B0000}"/>
    <cellStyle name="Separador de milhares 4 27 3" xfId="25021" xr:uid="{00000000-0005-0000-0000-0000FD8B0000}"/>
    <cellStyle name="Separador de milhares 4 27 4" xfId="25022" xr:uid="{00000000-0005-0000-0000-0000FE8B0000}"/>
    <cellStyle name="Separador de milhares 4 27 5" xfId="25023" xr:uid="{00000000-0005-0000-0000-0000FF8B0000}"/>
    <cellStyle name="Separador de milhares 4 27 6" xfId="25024" xr:uid="{00000000-0005-0000-0000-0000008C0000}"/>
    <cellStyle name="Separador de milhares 4 27 7" xfId="25025" xr:uid="{00000000-0005-0000-0000-0000018C0000}"/>
    <cellStyle name="Separador de milhares 4 28" xfId="25026" xr:uid="{00000000-0005-0000-0000-0000028C0000}"/>
    <cellStyle name="Separador de milhares 4 28 2" xfId="25027" xr:uid="{00000000-0005-0000-0000-0000038C0000}"/>
    <cellStyle name="Separador de milhares 4 28 3" xfId="25028" xr:uid="{00000000-0005-0000-0000-0000048C0000}"/>
    <cellStyle name="Separador de milhares 4 28 4" xfId="25029" xr:uid="{00000000-0005-0000-0000-0000058C0000}"/>
    <cellStyle name="Separador de milhares 4 28 5" xfId="25030" xr:uid="{00000000-0005-0000-0000-0000068C0000}"/>
    <cellStyle name="Separador de milhares 4 28 6" xfId="25031" xr:uid="{00000000-0005-0000-0000-0000078C0000}"/>
    <cellStyle name="Separador de milhares 4 28 7" xfId="25032" xr:uid="{00000000-0005-0000-0000-0000088C0000}"/>
    <cellStyle name="Separador de milhares 4 29" xfId="25033" xr:uid="{00000000-0005-0000-0000-0000098C0000}"/>
    <cellStyle name="Separador de milhares 4 29 2" xfId="25034" xr:uid="{00000000-0005-0000-0000-00000A8C0000}"/>
    <cellStyle name="Separador de milhares 4 29 3" xfId="25035" xr:uid="{00000000-0005-0000-0000-00000B8C0000}"/>
    <cellStyle name="Separador de milhares 4 29 4" xfId="25036" xr:uid="{00000000-0005-0000-0000-00000C8C0000}"/>
    <cellStyle name="Separador de milhares 4 29 5" xfId="25037" xr:uid="{00000000-0005-0000-0000-00000D8C0000}"/>
    <cellStyle name="Separador de milhares 4 29 6" xfId="25038" xr:uid="{00000000-0005-0000-0000-00000E8C0000}"/>
    <cellStyle name="Separador de milhares 4 29 7" xfId="25039" xr:uid="{00000000-0005-0000-0000-00000F8C0000}"/>
    <cellStyle name="Separador de milhares 4 3" xfId="25040" xr:uid="{00000000-0005-0000-0000-0000108C0000}"/>
    <cellStyle name="Separador de milhares 4 3 10" xfId="25041" xr:uid="{00000000-0005-0000-0000-0000118C0000}"/>
    <cellStyle name="Separador de milhares 4 3 10 2" xfId="25042" xr:uid="{00000000-0005-0000-0000-0000128C0000}"/>
    <cellStyle name="Separador de milhares 4 3 10 2 2" xfId="39409" xr:uid="{00000000-0005-0000-0000-0000138C0000}"/>
    <cellStyle name="Separador de milhares 4 3 10 3" xfId="25043" xr:uid="{00000000-0005-0000-0000-0000148C0000}"/>
    <cellStyle name="Separador de milhares 4 3 10 3 2" xfId="39410" xr:uid="{00000000-0005-0000-0000-0000158C0000}"/>
    <cellStyle name="Separador de milhares 4 3 10 4" xfId="25044" xr:uid="{00000000-0005-0000-0000-0000168C0000}"/>
    <cellStyle name="Separador de milhares 4 3 10 4 2" xfId="39411" xr:uid="{00000000-0005-0000-0000-0000178C0000}"/>
    <cellStyle name="Separador de milhares 4 3 10 5" xfId="25045" xr:uid="{00000000-0005-0000-0000-0000188C0000}"/>
    <cellStyle name="Separador de milhares 4 3 10 5 2" xfId="39412" xr:uid="{00000000-0005-0000-0000-0000198C0000}"/>
    <cellStyle name="Separador de milhares 4 3 10 6" xfId="39408" xr:uid="{00000000-0005-0000-0000-00001A8C0000}"/>
    <cellStyle name="Separador de milhares 4 3 11" xfId="25046" xr:uid="{00000000-0005-0000-0000-00001B8C0000}"/>
    <cellStyle name="Separador de milhares 4 3 11 2" xfId="25047" xr:uid="{00000000-0005-0000-0000-00001C8C0000}"/>
    <cellStyle name="Separador de milhares 4 3 11 2 2" xfId="39414" xr:uid="{00000000-0005-0000-0000-00001D8C0000}"/>
    <cellStyle name="Separador de milhares 4 3 11 3" xfId="25048" xr:uid="{00000000-0005-0000-0000-00001E8C0000}"/>
    <cellStyle name="Separador de milhares 4 3 11 3 2" xfId="39415" xr:uid="{00000000-0005-0000-0000-00001F8C0000}"/>
    <cellStyle name="Separador de milhares 4 3 11 4" xfId="25049" xr:uid="{00000000-0005-0000-0000-0000208C0000}"/>
    <cellStyle name="Separador de milhares 4 3 11 4 2" xfId="39416" xr:uid="{00000000-0005-0000-0000-0000218C0000}"/>
    <cellStyle name="Separador de milhares 4 3 11 5" xfId="25050" xr:uid="{00000000-0005-0000-0000-0000228C0000}"/>
    <cellStyle name="Separador de milhares 4 3 11 5 2" xfId="39417" xr:uid="{00000000-0005-0000-0000-0000238C0000}"/>
    <cellStyle name="Separador de milhares 4 3 11 6" xfId="39413" xr:uid="{00000000-0005-0000-0000-0000248C0000}"/>
    <cellStyle name="Separador de milhares 4 3 12" xfId="25051" xr:uid="{00000000-0005-0000-0000-0000258C0000}"/>
    <cellStyle name="Separador de milhares 4 3 12 2" xfId="25052" xr:uid="{00000000-0005-0000-0000-0000268C0000}"/>
    <cellStyle name="Separador de milhares 4 3 12 2 2" xfId="39419" xr:uid="{00000000-0005-0000-0000-0000278C0000}"/>
    <cellStyle name="Separador de milhares 4 3 12 3" xfId="25053" xr:uid="{00000000-0005-0000-0000-0000288C0000}"/>
    <cellStyle name="Separador de milhares 4 3 12 3 2" xfId="39420" xr:uid="{00000000-0005-0000-0000-0000298C0000}"/>
    <cellStyle name="Separador de milhares 4 3 12 4" xfId="25054" xr:uid="{00000000-0005-0000-0000-00002A8C0000}"/>
    <cellStyle name="Separador de milhares 4 3 12 4 2" xfId="39421" xr:uid="{00000000-0005-0000-0000-00002B8C0000}"/>
    <cellStyle name="Separador de milhares 4 3 12 5" xfId="25055" xr:uid="{00000000-0005-0000-0000-00002C8C0000}"/>
    <cellStyle name="Separador de milhares 4 3 12 5 2" xfId="39422" xr:uid="{00000000-0005-0000-0000-00002D8C0000}"/>
    <cellStyle name="Separador de milhares 4 3 12 6" xfId="39418" xr:uid="{00000000-0005-0000-0000-00002E8C0000}"/>
    <cellStyle name="Separador de milhares 4 3 13" xfId="25056" xr:uid="{00000000-0005-0000-0000-00002F8C0000}"/>
    <cellStyle name="Separador de milhares 4 3 13 2" xfId="25057" xr:uid="{00000000-0005-0000-0000-0000308C0000}"/>
    <cellStyle name="Separador de milhares 4 3 13 2 2" xfId="39424" xr:uid="{00000000-0005-0000-0000-0000318C0000}"/>
    <cellStyle name="Separador de milhares 4 3 13 3" xfId="25058" xr:uid="{00000000-0005-0000-0000-0000328C0000}"/>
    <cellStyle name="Separador de milhares 4 3 13 3 2" xfId="39425" xr:uid="{00000000-0005-0000-0000-0000338C0000}"/>
    <cellStyle name="Separador de milhares 4 3 13 4" xfId="25059" xr:uid="{00000000-0005-0000-0000-0000348C0000}"/>
    <cellStyle name="Separador de milhares 4 3 13 4 2" xfId="39426" xr:uid="{00000000-0005-0000-0000-0000358C0000}"/>
    <cellStyle name="Separador de milhares 4 3 13 5" xfId="25060" xr:uid="{00000000-0005-0000-0000-0000368C0000}"/>
    <cellStyle name="Separador de milhares 4 3 13 5 2" xfId="39427" xr:uid="{00000000-0005-0000-0000-0000378C0000}"/>
    <cellStyle name="Separador de milhares 4 3 13 6" xfId="39423" xr:uid="{00000000-0005-0000-0000-0000388C0000}"/>
    <cellStyle name="Separador de milhares 4 3 14" xfId="25061" xr:uid="{00000000-0005-0000-0000-0000398C0000}"/>
    <cellStyle name="Separador de milhares 4 3 14 2" xfId="25062" xr:uid="{00000000-0005-0000-0000-00003A8C0000}"/>
    <cellStyle name="Separador de milhares 4 3 14 2 2" xfId="39429" xr:uid="{00000000-0005-0000-0000-00003B8C0000}"/>
    <cellStyle name="Separador de milhares 4 3 14 3" xfId="25063" xr:uid="{00000000-0005-0000-0000-00003C8C0000}"/>
    <cellStyle name="Separador de milhares 4 3 14 3 2" xfId="39430" xr:uid="{00000000-0005-0000-0000-00003D8C0000}"/>
    <cellStyle name="Separador de milhares 4 3 14 4" xfId="25064" xr:uid="{00000000-0005-0000-0000-00003E8C0000}"/>
    <cellStyle name="Separador de milhares 4 3 14 4 2" xfId="39431" xr:uid="{00000000-0005-0000-0000-00003F8C0000}"/>
    <cellStyle name="Separador de milhares 4 3 14 5" xfId="25065" xr:uid="{00000000-0005-0000-0000-0000408C0000}"/>
    <cellStyle name="Separador de milhares 4 3 14 5 2" xfId="39432" xr:uid="{00000000-0005-0000-0000-0000418C0000}"/>
    <cellStyle name="Separador de milhares 4 3 14 6" xfId="39428" xr:uid="{00000000-0005-0000-0000-0000428C0000}"/>
    <cellStyle name="Separador de milhares 4 3 15" xfId="25066" xr:uid="{00000000-0005-0000-0000-0000438C0000}"/>
    <cellStyle name="Separador de milhares 4 3 15 2" xfId="25067" xr:uid="{00000000-0005-0000-0000-0000448C0000}"/>
    <cellStyle name="Separador de milhares 4 3 15 2 2" xfId="39434" xr:uid="{00000000-0005-0000-0000-0000458C0000}"/>
    <cellStyle name="Separador de milhares 4 3 15 3" xfId="25068" xr:uid="{00000000-0005-0000-0000-0000468C0000}"/>
    <cellStyle name="Separador de milhares 4 3 15 3 2" xfId="39435" xr:uid="{00000000-0005-0000-0000-0000478C0000}"/>
    <cellStyle name="Separador de milhares 4 3 15 4" xfId="25069" xr:uid="{00000000-0005-0000-0000-0000488C0000}"/>
    <cellStyle name="Separador de milhares 4 3 15 4 2" xfId="39436" xr:uid="{00000000-0005-0000-0000-0000498C0000}"/>
    <cellStyle name="Separador de milhares 4 3 15 5" xfId="25070" xr:uid="{00000000-0005-0000-0000-00004A8C0000}"/>
    <cellStyle name="Separador de milhares 4 3 15 5 2" xfId="39437" xr:uid="{00000000-0005-0000-0000-00004B8C0000}"/>
    <cellStyle name="Separador de milhares 4 3 15 6" xfId="39433" xr:uid="{00000000-0005-0000-0000-00004C8C0000}"/>
    <cellStyle name="Separador de milhares 4 3 16" xfId="25071" xr:uid="{00000000-0005-0000-0000-00004D8C0000}"/>
    <cellStyle name="Separador de milhares 4 3 16 2" xfId="25072" xr:uid="{00000000-0005-0000-0000-00004E8C0000}"/>
    <cellStyle name="Separador de milhares 4 3 16 2 2" xfId="39439" xr:uid="{00000000-0005-0000-0000-00004F8C0000}"/>
    <cellStyle name="Separador de milhares 4 3 16 3" xfId="25073" xr:uid="{00000000-0005-0000-0000-0000508C0000}"/>
    <cellStyle name="Separador de milhares 4 3 16 3 2" xfId="39440" xr:uid="{00000000-0005-0000-0000-0000518C0000}"/>
    <cellStyle name="Separador de milhares 4 3 16 4" xfId="25074" xr:uid="{00000000-0005-0000-0000-0000528C0000}"/>
    <cellStyle name="Separador de milhares 4 3 16 4 2" xfId="39441" xr:uid="{00000000-0005-0000-0000-0000538C0000}"/>
    <cellStyle name="Separador de milhares 4 3 16 5" xfId="25075" xr:uid="{00000000-0005-0000-0000-0000548C0000}"/>
    <cellStyle name="Separador de milhares 4 3 16 5 2" xfId="39442" xr:uid="{00000000-0005-0000-0000-0000558C0000}"/>
    <cellStyle name="Separador de milhares 4 3 16 6" xfId="39438" xr:uid="{00000000-0005-0000-0000-0000568C0000}"/>
    <cellStyle name="Separador de milhares 4 3 17" xfId="25076" xr:uid="{00000000-0005-0000-0000-0000578C0000}"/>
    <cellStyle name="Separador de milhares 4 3 17 2" xfId="25077" xr:uid="{00000000-0005-0000-0000-0000588C0000}"/>
    <cellStyle name="Separador de milhares 4 3 17 2 2" xfId="39444" xr:uid="{00000000-0005-0000-0000-0000598C0000}"/>
    <cellStyle name="Separador de milhares 4 3 17 3" xfId="25078" xr:uid="{00000000-0005-0000-0000-00005A8C0000}"/>
    <cellStyle name="Separador de milhares 4 3 17 3 2" xfId="39445" xr:uid="{00000000-0005-0000-0000-00005B8C0000}"/>
    <cellStyle name="Separador de milhares 4 3 17 4" xfId="25079" xr:uid="{00000000-0005-0000-0000-00005C8C0000}"/>
    <cellStyle name="Separador de milhares 4 3 17 4 2" xfId="39446" xr:uid="{00000000-0005-0000-0000-00005D8C0000}"/>
    <cellStyle name="Separador de milhares 4 3 17 5" xfId="25080" xr:uid="{00000000-0005-0000-0000-00005E8C0000}"/>
    <cellStyle name="Separador de milhares 4 3 17 5 2" xfId="39447" xr:uid="{00000000-0005-0000-0000-00005F8C0000}"/>
    <cellStyle name="Separador de milhares 4 3 17 6" xfId="39443" xr:uid="{00000000-0005-0000-0000-0000608C0000}"/>
    <cellStyle name="Separador de milhares 4 3 18" xfId="25081" xr:uid="{00000000-0005-0000-0000-0000618C0000}"/>
    <cellStyle name="Separador de milhares 4 3 18 2" xfId="25082" xr:uid="{00000000-0005-0000-0000-0000628C0000}"/>
    <cellStyle name="Separador de milhares 4 3 18 2 2" xfId="39449" xr:uid="{00000000-0005-0000-0000-0000638C0000}"/>
    <cellStyle name="Separador de milhares 4 3 18 3" xfId="25083" xr:uid="{00000000-0005-0000-0000-0000648C0000}"/>
    <cellStyle name="Separador de milhares 4 3 18 3 2" xfId="39450" xr:uid="{00000000-0005-0000-0000-0000658C0000}"/>
    <cellStyle name="Separador de milhares 4 3 18 4" xfId="25084" xr:uid="{00000000-0005-0000-0000-0000668C0000}"/>
    <cellStyle name="Separador de milhares 4 3 18 4 2" xfId="39451" xr:uid="{00000000-0005-0000-0000-0000678C0000}"/>
    <cellStyle name="Separador de milhares 4 3 18 5" xfId="25085" xr:uid="{00000000-0005-0000-0000-0000688C0000}"/>
    <cellStyle name="Separador de milhares 4 3 18 5 2" xfId="39452" xr:uid="{00000000-0005-0000-0000-0000698C0000}"/>
    <cellStyle name="Separador de milhares 4 3 18 6" xfId="39448" xr:uid="{00000000-0005-0000-0000-00006A8C0000}"/>
    <cellStyle name="Separador de milhares 4 3 19" xfId="25086" xr:uid="{00000000-0005-0000-0000-00006B8C0000}"/>
    <cellStyle name="Separador de milhares 4 3 19 2" xfId="25087" xr:uid="{00000000-0005-0000-0000-00006C8C0000}"/>
    <cellStyle name="Separador de milhares 4 3 19 2 2" xfId="39454" xr:uid="{00000000-0005-0000-0000-00006D8C0000}"/>
    <cellStyle name="Separador de milhares 4 3 19 3" xfId="25088" xr:uid="{00000000-0005-0000-0000-00006E8C0000}"/>
    <cellStyle name="Separador de milhares 4 3 19 3 2" xfId="39455" xr:uid="{00000000-0005-0000-0000-00006F8C0000}"/>
    <cellStyle name="Separador de milhares 4 3 19 4" xfId="25089" xr:uid="{00000000-0005-0000-0000-0000708C0000}"/>
    <cellStyle name="Separador de milhares 4 3 19 4 2" xfId="39456" xr:uid="{00000000-0005-0000-0000-0000718C0000}"/>
    <cellStyle name="Separador de milhares 4 3 19 5" xfId="25090" xr:uid="{00000000-0005-0000-0000-0000728C0000}"/>
    <cellStyle name="Separador de milhares 4 3 19 5 2" xfId="39457" xr:uid="{00000000-0005-0000-0000-0000738C0000}"/>
    <cellStyle name="Separador de milhares 4 3 19 6" xfId="39453" xr:uid="{00000000-0005-0000-0000-0000748C0000}"/>
    <cellStyle name="Separador de milhares 4 3 2" xfId="25091" xr:uid="{00000000-0005-0000-0000-0000758C0000}"/>
    <cellStyle name="Separador de milhares 4 3 2 10" xfId="25092" xr:uid="{00000000-0005-0000-0000-0000768C0000}"/>
    <cellStyle name="Separador de milhares 4 3 2 10 2" xfId="25093" xr:uid="{00000000-0005-0000-0000-0000778C0000}"/>
    <cellStyle name="Separador de milhares 4 3 2 10 2 2" xfId="39460" xr:uid="{00000000-0005-0000-0000-0000788C0000}"/>
    <cellStyle name="Separador de milhares 4 3 2 10 3" xfId="25094" xr:uid="{00000000-0005-0000-0000-0000798C0000}"/>
    <cellStyle name="Separador de milhares 4 3 2 10 3 2" xfId="39461" xr:uid="{00000000-0005-0000-0000-00007A8C0000}"/>
    <cellStyle name="Separador de milhares 4 3 2 10 4" xfId="25095" xr:uid="{00000000-0005-0000-0000-00007B8C0000}"/>
    <cellStyle name="Separador de milhares 4 3 2 10 4 2" xfId="39462" xr:uid="{00000000-0005-0000-0000-00007C8C0000}"/>
    <cellStyle name="Separador de milhares 4 3 2 10 5" xfId="25096" xr:uid="{00000000-0005-0000-0000-00007D8C0000}"/>
    <cellStyle name="Separador de milhares 4 3 2 10 5 2" xfId="39463" xr:uid="{00000000-0005-0000-0000-00007E8C0000}"/>
    <cellStyle name="Separador de milhares 4 3 2 10 6" xfId="39459" xr:uid="{00000000-0005-0000-0000-00007F8C0000}"/>
    <cellStyle name="Separador de milhares 4 3 2 11" xfId="25097" xr:uid="{00000000-0005-0000-0000-0000808C0000}"/>
    <cellStyle name="Separador de milhares 4 3 2 11 2" xfId="25098" xr:uid="{00000000-0005-0000-0000-0000818C0000}"/>
    <cellStyle name="Separador de milhares 4 3 2 11 2 2" xfId="39465" xr:uid="{00000000-0005-0000-0000-0000828C0000}"/>
    <cellStyle name="Separador de milhares 4 3 2 11 3" xfId="25099" xr:uid="{00000000-0005-0000-0000-0000838C0000}"/>
    <cellStyle name="Separador de milhares 4 3 2 11 3 2" xfId="39466" xr:uid="{00000000-0005-0000-0000-0000848C0000}"/>
    <cellStyle name="Separador de milhares 4 3 2 11 4" xfId="25100" xr:uid="{00000000-0005-0000-0000-0000858C0000}"/>
    <cellStyle name="Separador de milhares 4 3 2 11 4 2" xfId="39467" xr:uid="{00000000-0005-0000-0000-0000868C0000}"/>
    <cellStyle name="Separador de milhares 4 3 2 11 5" xfId="25101" xr:uid="{00000000-0005-0000-0000-0000878C0000}"/>
    <cellStyle name="Separador de milhares 4 3 2 11 5 2" xfId="39468" xr:uid="{00000000-0005-0000-0000-0000888C0000}"/>
    <cellStyle name="Separador de milhares 4 3 2 11 6" xfId="39464" xr:uid="{00000000-0005-0000-0000-0000898C0000}"/>
    <cellStyle name="Separador de milhares 4 3 2 12" xfId="25102" xr:uid="{00000000-0005-0000-0000-00008A8C0000}"/>
    <cellStyle name="Separador de milhares 4 3 2 12 2" xfId="25103" xr:uid="{00000000-0005-0000-0000-00008B8C0000}"/>
    <cellStyle name="Separador de milhares 4 3 2 12 2 2" xfId="39470" xr:uid="{00000000-0005-0000-0000-00008C8C0000}"/>
    <cellStyle name="Separador de milhares 4 3 2 12 3" xfId="25104" xr:uid="{00000000-0005-0000-0000-00008D8C0000}"/>
    <cellStyle name="Separador de milhares 4 3 2 12 3 2" xfId="39471" xr:uid="{00000000-0005-0000-0000-00008E8C0000}"/>
    <cellStyle name="Separador de milhares 4 3 2 12 4" xfId="25105" xr:uid="{00000000-0005-0000-0000-00008F8C0000}"/>
    <cellStyle name="Separador de milhares 4 3 2 12 4 2" xfId="39472" xr:uid="{00000000-0005-0000-0000-0000908C0000}"/>
    <cellStyle name="Separador de milhares 4 3 2 12 5" xfId="25106" xr:uid="{00000000-0005-0000-0000-0000918C0000}"/>
    <cellStyle name="Separador de milhares 4 3 2 12 5 2" xfId="39473" xr:uid="{00000000-0005-0000-0000-0000928C0000}"/>
    <cellStyle name="Separador de milhares 4 3 2 12 6" xfId="39469" xr:uid="{00000000-0005-0000-0000-0000938C0000}"/>
    <cellStyle name="Separador de milhares 4 3 2 13" xfId="25107" xr:uid="{00000000-0005-0000-0000-0000948C0000}"/>
    <cellStyle name="Separador de milhares 4 3 2 13 2" xfId="25108" xr:uid="{00000000-0005-0000-0000-0000958C0000}"/>
    <cellStyle name="Separador de milhares 4 3 2 13 2 2" xfId="39475" xr:uid="{00000000-0005-0000-0000-0000968C0000}"/>
    <cellStyle name="Separador de milhares 4 3 2 13 3" xfId="25109" xr:uid="{00000000-0005-0000-0000-0000978C0000}"/>
    <cellStyle name="Separador de milhares 4 3 2 13 3 2" xfId="39476" xr:uid="{00000000-0005-0000-0000-0000988C0000}"/>
    <cellStyle name="Separador de milhares 4 3 2 13 4" xfId="25110" xr:uid="{00000000-0005-0000-0000-0000998C0000}"/>
    <cellStyle name="Separador de milhares 4 3 2 13 4 2" xfId="39477" xr:uid="{00000000-0005-0000-0000-00009A8C0000}"/>
    <cellStyle name="Separador de milhares 4 3 2 13 5" xfId="25111" xr:uid="{00000000-0005-0000-0000-00009B8C0000}"/>
    <cellStyle name="Separador de milhares 4 3 2 13 5 2" xfId="39478" xr:uid="{00000000-0005-0000-0000-00009C8C0000}"/>
    <cellStyle name="Separador de milhares 4 3 2 13 6" xfId="39474" xr:uid="{00000000-0005-0000-0000-00009D8C0000}"/>
    <cellStyle name="Separador de milhares 4 3 2 14" xfId="25112" xr:uid="{00000000-0005-0000-0000-00009E8C0000}"/>
    <cellStyle name="Separador de milhares 4 3 2 14 2" xfId="25113" xr:uid="{00000000-0005-0000-0000-00009F8C0000}"/>
    <cellStyle name="Separador de milhares 4 3 2 14 2 2" xfId="39480" xr:uid="{00000000-0005-0000-0000-0000A08C0000}"/>
    <cellStyle name="Separador de milhares 4 3 2 14 3" xfId="25114" xr:uid="{00000000-0005-0000-0000-0000A18C0000}"/>
    <cellStyle name="Separador de milhares 4 3 2 14 3 2" xfId="39481" xr:uid="{00000000-0005-0000-0000-0000A28C0000}"/>
    <cellStyle name="Separador de milhares 4 3 2 14 4" xfId="25115" xr:uid="{00000000-0005-0000-0000-0000A38C0000}"/>
    <cellStyle name="Separador de milhares 4 3 2 14 4 2" xfId="39482" xr:uid="{00000000-0005-0000-0000-0000A48C0000}"/>
    <cellStyle name="Separador de milhares 4 3 2 14 5" xfId="25116" xr:uid="{00000000-0005-0000-0000-0000A58C0000}"/>
    <cellStyle name="Separador de milhares 4 3 2 14 5 2" xfId="39483" xr:uid="{00000000-0005-0000-0000-0000A68C0000}"/>
    <cellStyle name="Separador de milhares 4 3 2 14 6" xfId="39479" xr:uid="{00000000-0005-0000-0000-0000A78C0000}"/>
    <cellStyle name="Separador de milhares 4 3 2 15" xfId="25117" xr:uid="{00000000-0005-0000-0000-0000A88C0000}"/>
    <cellStyle name="Separador de milhares 4 3 2 15 2" xfId="25118" xr:uid="{00000000-0005-0000-0000-0000A98C0000}"/>
    <cellStyle name="Separador de milhares 4 3 2 15 2 2" xfId="39485" xr:uid="{00000000-0005-0000-0000-0000AA8C0000}"/>
    <cellStyle name="Separador de milhares 4 3 2 15 3" xfId="25119" xr:uid="{00000000-0005-0000-0000-0000AB8C0000}"/>
    <cellStyle name="Separador de milhares 4 3 2 15 3 2" xfId="39486" xr:uid="{00000000-0005-0000-0000-0000AC8C0000}"/>
    <cellStyle name="Separador de milhares 4 3 2 15 4" xfId="25120" xr:uid="{00000000-0005-0000-0000-0000AD8C0000}"/>
    <cellStyle name="Separador de milhares 4 3 2 15 4 2" xfId="39487" xr:uid="{00000000-0005-0000-0000-0000AE8C0000}"/>
    <cellStyle name="Separador de milhares 4 3 2 15 5" xfId="25121" xr:uid="{00000000-0005-0000-0000-0000AF8C0000}"/>
    <cellStyle name="Separador de milhares 4 3 2 15 5 2" xfId="39488" xr:uid="{00000000-0005-0000-0000-0000B08C0000}"/>
    <cellStyle name="Separador de milhares 4 3 2 15 6" xfId="39484" xr:uid="{00000000-0005-0000-0000-0000B18C0000}"/>
    <cellStyle name="Separador de milhares 4 3 2 16" xfId="25122" xr:uid="{00000000-0005-0000-0000-0000B28C0000}"/>
    <cellStyle name="Separador de milhares 4 3 2 16 2" xfId="25123" xr:uid="{00000000-0005-0000-0000-0000B38C0000}"/>
    <cellStyle name="Separador de milhares 4 3 2 16 2 2" xfId="39490" xr:uid="{00000000-0005-0000-0000-0000B48C0000}"/>
    <cellStyle name="Separador de milhares 4 3 2 16 3" xfId="25124" xr:uid="{00000000-0005-0000-0000-0000B58C0000}"/>
    <cellStyle name="Separador de milhares 4 3 2 16 3 2" xfId="39491" xr:uid="{00000000-0005-0000-0000-0000B68C0000}"/>
    <cellStyle name="Separador de milhares 4 3 2 16 4" xfId="25125" xr:uid="{00000000-0005-0000-0000-0000B78C0000}"/>
    <cellStyle name="Separador de milhares 4 3 2 16 4 2" xfId="39492" xr:uid="{00000000-0005-0000-0000-0000B88C0000}"/>
    <cellStyle name="Separador de milhares 4 3 2 16 5" xfId="25126" xr:uid="{00000000-0005-0000-0000-0000B98C0000}"/>
    <cellStyle name="Separador de milhares 4 3 2 16 5 2" xfId="39493" xr:uid="{00000000-0005-0000-0000-0000BA8C0000}"/>
    <cellStyle name="Separador de milhares 4 3 2 16 6" xfId="39489" xr:uid="{00000000-0005-0000-0000-0000BB8C0000}"/>
    <cellStyle name="Separador de milhares 4 3 2 17" xfId="25127" xr:uid="{00000000-0005-0000-0000-0000BC8C0000}"/>
    <cellStyle name="Separador de milhares 4 3 2 17 2" xfId="39494" xr:uid="{00000000-0005-0000-0000-0000BD8C0000}"/>
    <cellStyle name="Separador de milhares 4 3 2 18" xfId="25128" xr:uid="{00000000-0005-0000-0000-0000BE8C0000}"/>
    <cellStyle name="Separador de milhares 4 3 2 18 2" xfId="39495" xr:uid="{00000000-0005-0000-0000-0000BF8C0000}"/>
    <cellStyle name="Separador de milhares 4 3 2 19" xfId="25129" xr:uid="{00000000-0005-0000-0000-0000C08C0000}"/>
    <cellStyle name="Separador de milhares 4 3 2 19 2" xfId="39496" xr:uid="{00000000-0005-0000-0000-0000C18C0000}"/>
    <cellStyle name="Separador de milhares 4 3 2 2" xfId="25130" xr:uid="{00000000-0005-0000-0000-0000C28C0000}"/>
    <cellStyle name="Separador de milhares 4 3 2 20" xfId="25131" xr:uid="{00000000-0005-0000-0000-0000C38C0000}"/>
    <cellStyle name="Separador de milhares 4 3 2 20 2" xfId="39497" xr:uid="{00000000-0005-0000-0000-0000C48C0000}"/>
    <cellStyle name="Separador de milhares 4 3 2 21" xfId="39458" xr:uid="{00000000-0005-0000-0000-0000C58C0000}"/>
    <cellStyle name="Separador de milhares 4 3 2 3" xfId="25132" xr:uid="{00000000-0005-0000-0000-0000C68C0000}"/>
    <cellStyle name="Separador de milhares 4 3 2 3 2" xfId="25133" xr:uid="{00000000-0005-0000-0000-0000C78C0000}"/>
    <cellStyle name="Separador de milhares 4 3 2 3 2 2" xfId="39499" xr:uid="{00000000-0005-0000-0000-0000C88C0000}"/>
    <cellStyle name="Separador de milhares 4 3 2 3 3" xfId="25134" xr:uid="{00000000-0005-0000-0000-0000C98C0000}"/>
    <cellStyle name="Separador de milhares 4 3 2 3 3 2" xfId="39500" xr:uid="{00000000-0005-0000-0000-0000CA8C0000}"/>
    <cellStyle name="Separador de milhares 4 3 2 3 4" xfId="25135" xr:uid="{00000000-0005-0000-0000-0000CB8C0000}"/>
    <cellStyle name="Separador de milhares 4 3 2 3 4 2" xfId="39501" xr:uid="{00000000-0005-0000-0000-0000CC8C0000}"/>
    <cellStyle name="Separador de milhares 4 3 2 3 5" xfId="25136" xr:uid="{00000000-0005-0000-0000-0000CD8C0000}"/>
    <cellStyle name="Separador de milhares 4 3 2 3 5 2" xfId="39502" xr:uid="{00000000-0005-0000-0000-0000CE8C0000}"/>
    <cellStyle name="Separador de milhares 4 3 2 3 6" xfId="39498" xr:uid="{00000000-0005-0000-0000-0000CF8C0000}"/>
    <cellStyle name="Separador de milhares 4 3 2 4" xfId="25137" xr:uid="{00000000-0005-0000-0000-0000D08C0000}"/>
    <cellStyle name="Separador de milhares 4 3 2 4 2" xfId="25138" xr:uid="{00000000-0005-0000-0000-0000D18C0000}"/>
    <cellStyle name="Separador de milhares 4 3 2 4 2 2" xfId="39504" xr:uid="{00000000-0005-0000-0000-0000D28C0000}"/>
    <cellStyle name="Separador de milhares 4 3 2 4 3" xfId="25139" xr:uid="{00000000-0005-0000-0000-0000D38C0000}"/>
    <cellStyle name="Separador de milhares 4 3 2 4 3 2" xfId="39505" xr:uid="{00000000-0005-0000-0000-0000D48C0000}"/>
    <cellStyle name="Separador de milhares 4 3 2 4 4" xfId="25140" xr:uid="{00000000-0005-0000-0000-0000D58C0000}"/>
    <cellStyle name="Separador de milhares 4 3 2 4 4 2" xfId="39506" xr:uid="{00000000-0005-0000-0000-0000D68C0000}"/>
    <cellStyle name="Separador de milhares 4 3 2 4 5" xfId="25141" xr:uid="{00000000-0005-0000-0000-0000D78C0000}"/>
    <cellStyle name="Separador de milhares 4 3 2 4 5 2" xfId="39507" xr:uid="{00000000-0005-0000-0000-0000D88C0000}"/>
    <cellStyle name="Separador de milhares 4 3 2 4 6" xfId="39503" xr:uid="{00000000-0005-0000-0000-0000D98C0000}"/>
    <cellStyle name="Separador de milhares 4 3 2 5" xfId="25142" xr:uid="{00000000-0005-0000-0000-0000DA8C0000}"/>
    <cellStyle name="Separador de milhares 4 3 2 5 2" xfId="25143" xr:uid="{00000000-0005-0000-0000-0000DB8C0000}"/>
    <cellStyle name="Separador de milhares 4 3 2 5 2 2" xfId="39509" xr:uid="{00000000-0005-0000-0000-0000DC8C0000}"/>
    <cellStyle name="Separador de milhares 4 3 2 5 3" xfId="25144" xr:uid="{00000000-0005-0000-0000-0000DD8C0000}"/>
    <cellStyle name="Separador de milhares 4 3 2 5 3 2" xfId="39510" xr:uid="{00000000-0005-0000-0000-0000DE8C0000}"/>
    <cellStyle name="Separador de milhares 4 3 2 5 4" xfId="25145" xr:uid="{00000000-0005-0000-0000-0000DF8C0000}"/>
    <cellStyle name="Separador de milhares 4 3 2 5 4 2" xfId="39511" xr:uid="{00000000-0005-0000-0000-0000E08C0000}"/>
    <cellStyle name="Separador de milhares 4 3 2 5 5" xfId="25146" xr:uid="{00000000-0005-0000-0000-0000E18C0000}"/>
    <cellStyle name="Separador de milhares 4 3 2 5 5 2" xfId="39512" xr:uid="{00000000-0005-0000-0000-0000E28C0000}"/>
    <cellStyle name="Separador de milhares 4 3 2 5 6" xfId="39508" xr:uid="{00000000-0005-0000-0000-0000E38C0000}"/>
    <cellStyle name="Separador de milhares 4 3 2 6" xfId="25147" xr:uid="{00000000-0005-0000-0000-0000E48C0000}"/>
    <cellStyle name="Separador de milhares 4 3 2 6 2" xfId="25148" xr:uid="{00000000-0005-0000-0000-0000E58C0000}"/>
    <cellStyle name="Separador de milhares 4 3 2 6 2 2" xfId="39514" xr:uid="{00000000-0005-0000-0000-0000E68C0000}"/>
    <cellStyle name="Separador de milhares 4 3 2 6 3" xfId="25149" xr:uid="{00000000-0005-0000-0000-0000E78C0000}"/>
    <cellStyle name="Separador de milhares 4 3 2 6 3 2" xfId="39515" xr:uid="{00000000-0005-0000-0000-0000E88C0000}"/>
    <cellStyle name="Separador de milhares 4 3 2 6 4" xfId="25150" xr:uid="{00000000-0005-0000-0000-0000E98C0000}"/>
    <cellStyle name="Separador de milhares 4 3 2 6 4 2" xfId="39516" xr:uid="{00000000-0005-0000-0000-0000EA8C0000}"/>
    <cellStyle name="Separador de milhares 4 3 2 6 5" xfId="25151" xr:uid="{00000000-0005-0000-0000-0000EB8C0000}"/>
    <cellStyle name="Separador de milhares 4 3 2 6 5 2" xfId="39517" xr:uid="{00000000-0005-0000-0000-0000EC8C0000}"/>
    <cellStyle name="Separador de milhares 4 3 2 6 6" xfId="39513" xr:uid="{00000000-0005-0000-0000-0000ED8C0000}"/>
    <cellStyle name="Separador de milhares 4 3 2 7" xfId="25152" xr:uid="{00000000-0005-0000-0000-0000EE8C0000}"/>
    <cellStyle name="Separador de milhares 4 3 2 7 2" xfId="25153" xr:uid="{00000000-0005-0000-0000-0000EF8C0000}"/>
    <cellStyle name="Separador de milhares 4 3 2 7 2 2" xfId="39519" xr:uid="{00000000-0005-0000-0000-0000F08C0000}"/>
    <cellStyle name="Separador de milhares 4 3 2 7 3" xfId="25154" xr:uid="{00000000-0005-0000-0000-0000F18C0000}"/>
    <cellStyle name="Separador de milhares 4 3 2 7 3 2" xfId="39520" xr:uid="{00000000-0005-0000-0000-0000F28C0000}"/>
    <cellStyle name="Separador de milhares 4 3 2 7 4" xfId="25155" xr:uid="{00000000-0005-0000-0000-0000F38C0000}"/>
    <cellStyle name="Separador de milhares 4 3 2 7 4 2" xfId="39521" xr:uid="{00000000-0005-0000-0000-0000F48C0000}"/>
    <cellStyle name="Separador de milhares 4 3 2 7 5" xfId="25156" xr:uid="{00000000-0005-0000-0000-0000F58C0000}"/>
    <cellStyle name="Separador de milhares 4 3 2 7 5 2" xfId="39522" xr:uid="{00000000-0005-0000-0000-0000F68C0000}"/>
    <cellStyle name="Separador de milhares 4 3 2 7 6" xfId="39518" xr:uid="{00000000-0005-0000-0000-0000F78C0000}"/>
    <cellStyle name="Separador de milhares 4 3 2 8" xfId="25157" xr:uid="{00000000-0005-0000-0000-0000F88C0000}"/>
    <cellStyle name="Separador de milhares 4 3 2 8 2" xfId="25158" xr:uid="{00000000-0005-0000-0000-0000F98C0000}"/>
    <cellStyle name="Separador de milhares 4 3 2 8 2 2" xfId="39524" xr:uid="{00000000-0005-0000-0000-0000FA8C0000}"/>
    <cellStyle name="Separador de milhares 4 3 2 8 3" xfId="25159" xr:uid="{00000000-0005-0000-0000-0000FB8C0000}"/>
    <cellStyle name="Separador de milhares 4 3 2 8 3 2" xfId="39525" xr:uid="{00000000-0005-0000-0000-0000FC8C0000}"/>
    <cellStyle name="Separador de milhares 4 3 2 8 4" xfId="25160" xr:uid="{00000000-0005-0000-0000-0000FD8C0000}"/>
    <cellStyle name="Separador de milhares 4 3 2 8 4 2" xfId="39526" xr:uid="{00000000-0005-0000-0000-0000FE8C0000}"/>
    <cellStyle name="Separador de milhares 4 3 2 8 5" xfId="25161" xr:uid="{00000000-0005-0000-0000-0000FF8C0000}"/>
    <cellStyle name="Separador de milhares 4 3 2 8 5 2" xfId="39527" xr:uid="{00000000-0005-0000-0000-0000008D0000}"/>
    <cellStyle name="Separador de milhares 4 3 2 8 6" xfId="39523" xr:uid="{00000000-0005-0000-0000-0000018D0000}"/>
    <cellStyle name="Separador de milhares 4 3 2 9" xfId="25162" xr:uid="{00000000-0005-0000-0000-0000028D0000}"/>
    <cellStyle name="Separador de milhares 4 3 2 9 2" xfId="25163" xr:uid="{00000000-0005-0000-0000-0000038D0000}"/>
    <cellStyle name="Separador de milhares 4 3 2 9 2 2" xfId="39529" xr:uid="{00000000-0005-0000-0000-0000048D0000}"/>
    <cellStyle name="Separador de milhares 4 3 2 9 3" xfId="25164" xr:uid="{00000000-0005-0000-0000-0000058D0000}"/>
    <cellStyle name="Separador de milhares 4 3 2 9 3 2" xfId="39530" xr:uid="{00000000-0005-0000-0000-0000068D0000}"/>
    <cellStyle name="Separador de milhares 4 3 2 9 4" xfId="25165" xr:uid="{00000000-0005-0000-0000-0000078D0000}"/>
    <cellStyle name="Separador de milhares 4 3 2 9 4 2" xfId="39531" xr:uid="{00000000-0005-0000-0000-0000088D0000}"/>
    <cellStyle name="Separador de milhares 4 3 2 9 5" xfId="25166" xr:uid="{00000000-0005-0000-0000-0000098D0000}"/>
    <cellStyle name="Separador de milhares 4 3 2 9 5 2" xfId="39532" xr:uid="{00000000-0005-0000-0000-00000A8D0000}"/>
    <cellStyle name="Separador de milhares 4 3 2 9 6" xfId="39528" xr:uid="{00000000-0005-0000-0000-00000B8D0000}"/>
    <cellStyle name="Separador de milhares 4 3 20" xfId="25167" xr:uid="{00000000-0005-0000-0000-00000C8D0000}"/>
    <cellStyle name="Separador de milhares 4 3 20 2" xfId="39533" xr:uid="{00000000-0005-0000-0000-00000D8D0000}"/>
    <cellStyle name="Separador de milhares 4 3 21" xfId="25168" xr:uid="{00000000-0005-0000-0000-00000E8D0000}"/>
    <cellStyle name="Separador de milhares 4 3 21 2" xfId="39534" xr:uid="{00000000-0005-0000-0000-00000F8D0000}"/>
    <cellStyle name="Separador de milhares 4 3 22" xfId="25169" xr:uid="{00000000-0005-0000-0000-0000108D0000}"/>
    <cellStyle name="Separador de milhares 4 3 22 2" xfId="39535" xr:uid="{00000000-0005-0000-0000-0000118D0000}"/>
    <cellStyle name="Separador de milhares 4 3 23" xfId="25170" xr:uid="{00000000-0005-0000-0000-0000128D0000}"/>
    <cellStyle name="Separador de milhares 4 3 23 2" xfId="39536" xr:uid="{00000000-0005-0000-0000-0000138D0000}"/>
    <cellStyle name="Separador de milhares 4 3 24" xfId="25171" xr:uid="{00000000-0005-0000-0000-0000148D0000}"/>
    <cellStyle name="Separador de milhares 4 3 24 2" xfId="39537" xr:uid="{00000000-0005-0000-0000-0000158D0000}"/>
    <cellStyle name="Separador de milhares 4 3 3" xfId="25172" xr:uid="{00000000-0005-0000-0000-0000168D0000}"/>
    <cellStyle name="Separador de milhares 4 3 3 2" xfId="25173" xr:uid="{00000000-0005-0000-0000-0000178D0000}"/>
    <cellStyle name="Separador de milhares 4 3 3 3" xfId="25174" xr:uid="{00000000-0005-0000-0000-0000188D0000}"/>
    <cellStyle name="Separador de milhares 4 3 3 3 2" xfId="39539" xr:uid="{00000000-0005-0000-0000-0000198D0000}"/>
    <cellStyle name="Separador de milhares 4 3 3 4" xfId="25175" xr:uid="{00000000-0005-0000-0000-00001A8D0000}"/>
    <cellStyle name="Separador de milhares 4 3 3 4 2" xfId="39540" xr:uid="{00000000-0005-0000-0000-00001B8D0000}"/>
    <cellStyle name="Separador de milhares 4 3 3 5" xfId="25176" xr:uid="{00000000-0005-0000-0000-00001C8D0000}"/>
    <cellStyle name="Separador de milhares 4 3 3 5 2" xfId="39541" xr:uid="{00000000-0005-0000-0000-00001D8D0000}"/>
    <cellStyle name="Separador de milhares 4 3 3 6" xfId="25177" xr:uid="{00000000-0005-0000-0000-00001E8D0000}"/>
    <cellStyle name="Separador de milhares 4 3 3 6 2" xfId="39542" xr:uid="{00000000-0005-0000-0000-00001F8D0000}"/>
    <cellStyle name="Separador de milhares 4 3 3 7" xfId="39538" xr:uid="{00000000-0005-0000-0000-0000208D0000}"/>
    <cellStyle name="Separador de milhares 4 3 4" xfId="25178" xr:uid="{00000000-0005-0000-0000-0000218D0000}"/>
    <cellStyle name="Separador de milhares 4 3 4 2" xfId="25179" xr:uid="{00000000-0005-0000-0000-0000228D0000}"/>
    <cellStyle name="Separador de milhares 4 3 4 3" xfId="25180" xr:uid="{00000000-0005-0000-0000-0000238D0000}"/>
    <cellStyle name="Separador de milhares 4 3 4 3 2" xfId="39544" xr:uid="{00000000-0005-0000-0000-0000248D0000}"/>
    <cellStyle name="Separador de milhares 4 3 4 4" xfId="25181" xr:uid="{00000000-0005-0000-0000-0000258D0000}"/>
    <cellStyle name="Separador de milhares 4 3 4 4 2" xfId="39545" xr:uid="{00000000-0005-0000-0000-0000268D0000}"/>
    <cellStyle name="Separador de milhares 4 3 4 5" xfId="25182" xr:uid="{00000000-0005-0000-0000-0000278D0000}"/>
    <cellStyle name="Separador de milhares 4 3 4 5 2" xfId="39546" xr:uid="{00000000-0005-0000-0000-0000288D0000}"/>
    <cellStyle name="Separador de milhares 4 3 4 6" xfId="25183" xr:uid="{00000000-0005-0000-0000-0000298D0000}"/>
    <cellStyle name="Separador de milhares 4 3 4 6 2" xfId="39547" xr:uid="{00000000-0005-0000-0000-00002A8D0000}"/>
    <cellStyle name="Separador de milhares 4 3 4 7" xfId="39543" xr:uid="{00000000-0005-0000-0000-00002B8D0000}"/>
    <cellStyle name="Separador de milhares 4 3 5" xfId="25184" xr:uid="{00000000-0005-0000-0000-00002C8D0000}"/>
    <cellStyle name="Separador de milhares 4 3 5 2" xfId="25185" xr:uid="{00000000-0005-0000-0000-00002D8D0000}"/>
    <cellStyle name="Separador de milhares 4 3 5 3" xfId="25186" xr:uid="{00000000-0005-0000-0000-00002E8D0000}"/>
    <cellStyle name="Separador de milhares 4 3 5 3 2" xfId="39549" xr:uid="{00000000-0005-0000-0000-00002F8D0000}"/>
    <cellStyle name="Separador de milhares 4 3 5 4" xfId="25187" xr:uid="{00000000-0005-0000-0000-0000308D0000}"/>
    <cellStyle name="Separador de milhares 4 3 5 4 2" xfId="39550" xr:uid="{00000000-0005-0000-0000-0000318D0000}"/>
    <cellStyle name="Separador de milhares 4 3 5 5" xfId="25188" xr:uid="{00000000-0005-0000-0000-0000328D0000}"/>
    <cellStyle name="Separador de milhares 4 3 5 5 2" xfId="39551" xr:uid="{00000000-0005-0000-0000-0000338D0000}"/>
    <cellStyle name="Separador de milhares 4 3 5 6" xfId="25189" xr:uid="{00000000-0005-0000-0000-0000348D0000}"/>
    <cellStyle name="Separador de milhares 4 3 5 6 2" xfId="39552" xr:uid="{00000000-0005-0000-0000-0000358D0000}"/>
    <cellStyle name="Separador de milhares 4 3 5 7" xfId="39548" xr:uid="{00000000-0005-0000-0000-0000368D0000}"/>
    <cellStyle name="Separador de milhares 4 3 6" xfId="25190" xr:uid="{00000000-0005-0000-0000-0000378D0000}"/>
    <cellStyle name="Separador de milhares 4 3 6 2" xfId="25191" xr:uid="{00000000-0005-0000-0000-0000388D0000}"/>
    <cellStyle name="Separador de milhares 4 3 6 2 2" xfId="39554" xr:uid="{00000000-0005-0000-0000-0000398D0000}"/>
    <cellStyle name="Separador de milhares 4 3 6 3" xfId="25192" xr:uid="{00000000-0005-0000-0000-00003A8D0000}"/>
    <cellStyle name="Separador de milhares 4 3 6 3 2" xfId="39555" xr:uid="{00000000-0005-0000-0000-00003B8D0000}"/>
    <cellStyle name="Separador de milhares 4 3 6 4" xfId="25193" xr:uid="{00000000-0005-0000-0000-00003C8D0000}"/>
    <cellStyle name="Separador de milhares 4 3 6 4 2" xfId="39556" xr:uid="{00000000-0005-0000-0000-00003D8D0000}"/>
    <cellStyle name="Separador de milhares 4 3 6 5" xfId="25194" xr:uid="{00000000-0005-0000-0000-00003E8D0000}"/>
    <cellStyle name="Separador de milhares 4 3 6 5 2" xfId="39557" xr:uid="{00000000-0005-0000-0000-00003F8D0000}"/>
    <cellStyle name="Separador de milhares 4 3 6 6" xfId="39553" xr:uid="{00000000-0005-0000-0000-0000408D0000}"/>
    <cellStyle name="Separador de milhares 4 3 7" xfId="25195" xr:uid="{00000000-0005-0000-0000-0000418D0000}"/>
    <cellStyle name="Separador de milhares 4 3 7 2" xfId="25196" xr:uid="{00000000-0005-0000-0000-0000428D0000}"/>
    <cellStyle name="Separador de milhares 4 3 7 2 2" xfId="39559" xr:uid="{00000000-0005-0000-0000-0000438D0000}"/>
    <cellStyle name="Separador de milhares 4 3 7 3" xfId="25197" xr:uid="{00000000-0005-0000-0000-0000448D0000}"/>
    <cellStyle name="Separador de milhares 4 3 7 3 2" xfId="39560" xr:uid="{00000000-0005-0000-0000-0000458D0000}"/>
    <cellStyle name="Separador de milhares 4 3 7 4" xfId="25198" xr:uid="{00000000-0005-0000-0000-0000468D0000}"/>
    <cellStyle name="Separador de milhares 4 3 7 4 2" xfId="39561" xr:uid="{00000000-0005-0000-0000-0000478D0000}"/>
    <cellStyle name="Separador de milhares 4 3 7 5" xfId="25199" xr:uid="{00000000-0005-0000-0000-0000488D0000}"/>
    <cellStyle name="Separador de milhares 4 3 7 5 2" xfId="39562" xr:uid="{00000000-0005-0000-0000-0000498D0000}"/>
    <cellStyle name="Separador de milhares 4 3 7 6" xfId="39558" xr:uid="{00000000-0005-0000-0000-00004A8D0000}"/>
    <cellStyle name="Separador de milhares 4 3 8" xfId="25200" xr:uid="{00000000-0005-0000-0000-00004B8D0000}"/>
    <cellStyle name="Separador de milhares 4 3 8 2" xfId="25201" xr:uid="{00000000-0005-0000-0000-00004C8D0000}"/>
    <cellStyle name="Separador de milhares 4 3 8 2 2" xfId="39564" xr:uid="{00000000-0005-0000-0000-00004D8D0000}"/>
    <cellStyle name="Separador de milhares 4 3 8 3" xfId="25202" xr:uid="{00000000-0005-0000-0000-00004E8D0000}"/>
    <cellStyle name="Separador de milhares 4 3 8 3 2" xfId="39565" xr:uid="{00000000-0005-0000-0000-00004F8D0000}"/>
    <cellStyle name="Separador de milhares 4 3 8 4" xfId="25203" xr:uid="{00000000-0005-0000-0000-0000508D0000}"/>
    <cellStyle name="Separador de milhares 4 3 8 4 2" xfId="39566" xr:uid="{00000000-0005-0000-0000-0000518D0000}"/>
    <cellStyle name="Separador de milhares 4 3 8 5" xfId="25204" xr:uid="{00000000-0005-0000-0000-0000528D0000}"/>
    <cellStyle name="Separador de milhares 4 3 8 5 2" xfId="39567" xr:uid="{00000000-0005-0000-0000-0000538D0000}"/>
    <cellStyle name="Separador de milhares 4 3 8 6" xfId="39563" xr:uid="{00000000-0005-0000-0000-0000548D0000}"/>
    <cellStyle name="Separador de milhares 4 3 9" xfId="25205" xr:uid="{00000000-0005-0000-0000-0000558D0000}"/>
    <cellStyle name="Separador de milhares 4 3 9 2" xfId="25206" xr:uid="{00000000-0005-0000-0000-0000568D0000}"/>
    <cellStyle name="Separador de milhares 4 3 9 2 2" xfId="39569" xr:uid="{00000000-0005-0000-0000-0000578D0000}"/>
    <cellStyle name="Separador de milhares 4 3 9 3" xfId="25207" xr:uid="{00000000-0005-0000-0000-0000588D0000}"/>
    <cellStyle name="Separador de milhares 4 3 9 3 2" xfId="39570" xr:uid="{00000000-0005-0000-0000-0000598D0000}"/>
    <cellStyle name="Separador de milhares 4 3 9 4" xfId="25208" xr:uid="{00000000-0005-0000-0000-00005A8D0000}"/>
    <cellStyle name="Separador de milhares 4 3 9 4 2" xfId="39571" xr:uid="{00000000-0005-0000-0000-00005B8D0000}"/>
    <cellStyle name="Separador de milhares 4 3 9 5" xfId="25209" xr:uid="{00000000-0005-0000-0000-00005C8D0000}"/>
    <cellStyle name="Separador de milhares 4 3 9 5 2" xfId="39572" xr:uid="{00000000-0005-0000-0000-00005D8D0000}"/>
    <cellStyle name="Separador de milhares 4 3 9 6" xfId="39568" xr:uid="{00000000-0005-0000-0000-00005E8D0000}"/>
    <cellStyle name="Separador de milhares 4 30" xfId="25210" xr:uid="{00000000-0005-0000-0000-00005F8D0000}"/>
    <cellStyle name="Separador de milhares 4 30 2" xfId="25211" xr:uid="{00000000-0005-0000-0000-0000608D0000}"/>
    <cellStyle name="Separador de milhares 4 30 3" xfId="25212" xr:uid="{00000000-0005-0000-0000-0000618D0000}"/>
    <cellStyle name="Separador de milhares 4 30 4" xfId="25213" xr:uid="{00000000-0005-0000-0000-0000628D0000}"/>
    <cellStyle name="Separador de milhares 4 30 5" xfId="25214" xr:uid="{00000000-0005-0000-0000-0000638D0000}"/>
    <cellStyle name="Separador de milhares 4 30 6" xfId="25215" xr:uid="{00000000-0005-0000-0000-0000648D0000}"/>
    <cellStyle name="Separador de milhares 4 30 7" xfId="25216" xr:uid="{00000000-0005-0000-0000-0000658D0000}"/>
    <cellStyle name="Separador de milhares 4 31" xfId="25217" xr:uid="{00000000-0005-0000-0000-0000668D0000}"/>
    <cellStyle name="Separador de milhares 4 31 2" xfId="25218" xr:uid="{00000000-0005-0000-0000-0000678D0000}"/>
    <cellStyle name="Separador de milhares 4 31 3" xfId="25219" xr:uid="{00000000-0005-0000-0000-0000688D0000}"/>
    <cellStyle name="Separador de milhares 4 31 4" xfId="25220" xr:uid="{00000000-0005-0000-0000-0000698D0000}"/>
    <cellStyle name="Separador de milhares 4 31 5" xfId="25221" xr:uid="{00000000-0005-0000-0000-00006A8D0000}"/>
    <cellStyle name="Separador de milhares 4 31 6" xfId="25222" xr:uid="{00000000-0005-0000-0000-00006B8D0000}"/>
    <cellStyle name="Separador de milhares 4 31 7" xfId="25223" xr:uid="{00000000-0005-0000-0000-00006C8D0000}"/>
    <cellStyle name="Separador de milhares 4 32" xfId="25224" xr:uid="{00000000-0005-0000-0000-00006D8D0000}"/>
    <cellStyle name="Separador de milhares 4 33" xfId="25225" xr:uid="{00000000-0005-0000-0000-00006E8D0000}"/>
    <cellStyle name="Separador de milhares 4 34" xfId="25226" xr:uid="{00000000-0005-0000-0000-00006F8D0000}"/>
    <cellStyle name="Separador de milhares 4 35" xfId="25227" xr:uid="{00000000-0005-0000-0000-0000708D0000}"/>
    <cellStyle name="Separador de milhares 4 36" xfId="25228" xr:uid="{00000000-0005-0000-0000-0000718D0000}"/>
    <cellStyle name="Separador de milhares 4 37" xfId="25229" xr:uid="{00000000-0005-0000-0000-0000728D0000}"/>
    <cellStyle name="Separador de milhares 4 38" xfId="25230" xr:uid="{00000000-0005-0000-0000-0000738D0000}"/>
    <cellStyle name="Separador de milhares 4 39" xfId="25231" xr:uid="{00000000-0005-0000-0000-0000748D0000}"/>
    <cellStyle name="Separador de milhares 4 4" xfId="25232" xr:uid="{00000000-0005-0000-0000-0000758D0000}"/>
    <cellStyle name="Separador de milhares 4 4 10" xfId="25233" xr:uid="{00000000-0005-0000-0000-0000768D0000}"/>
    <cellStyle name="Separador de milhares 4 4 11" xfId="25234" xr:uid="{00000000-0005-0000-0000-0000778D0000}"/>
    <cellStyle name="Separador de milhares 4 4 12" xfId="25235" xr:uid="{00000000-0005-0000-0000-0000788D0000}"/>
    <cellStyle name="Separador de milhares 4 4 13" xfId="25236" xr:uid="{00000000-0005-0000-0000-0000798D0000}"/>
    <cellStyle name="Separador de milhares 4 4 14" xfId="25237" xr:uid="{00000000-0005-0000-0000-00007A8D0000}"/>
    <cellStyle name="Separador de milhares 4 4 15" xfId="25238" xr:uid="{00000000-0005-0000-0000-00007B8D0000}"/>
    <cellStyle name="Separador de milhares 4 4 16" xfId="25239" xr:uid="{00000000-0005-0000-0000-00007C8D0000}"/>
    <cellStyle name="Separador de milhares 4 4 17" xfId="25240" xr:uid="{00000000-0005-0000-0000-00007D8D0000}"/>
    <cellStyle name="Separador de milhares 4 4 18" xfId="25241" xr:uid="{00000000-0005-0000-0000-00007E8D0000}"/>
    <cellStyle name="Separador de milhares 4 4 19" xfId="25242" xr:uid="{00000000-0005-0000-0000-00007F8D0000}"/>
    <cellStyle name="Separador de milhares 4 4 2" xfId="25243" xr:uid="{00000000-0005-0000-0000-0000808D0000}"/>
    <cellStyle name="Separador de milhares 4 4 2 10" xfId="25244" xr:uid="{00000000-0005-0000-0000-0000818D0000}"/>
    <cellStyle name="Separador de milhares 4 4 2 11" xfId="25245" xr:uid="{00000000-0005-0000-0000-0000828D0000}"/>
    <cellStyle name="Separador de milhares 4 4 2 12" xfId="25246" xr:uid="{00000000-0005-0000-0000-0000838D0000}"/>
    <cellStyle name="Separador de milhares 4 4 2 13" xfId="25247" xr:uid="{00000000-0005-0000-0000-0000848D0000}"/>
    <cellStyle name="Separador de milhares 4 4 2 14" xfId="25248" xr:uid="{00000000-0005-0000-0000-0000858D0000}"/>
    <cellStyle name="Separador de milhares 4 4 2 15" xfId="25249" xr:uid="{00000000-0005-0000-0000-0000868D0000}"/>
    <cellStyle name="Separador de milhares 4 4 2 16" xfId="25250" xr:uid="{00000000-0005-0000-0000-0000878D0000}"/>
    <cellStyle name="Separador de milhares 4 4 2 2" xfId="25251" xr:uid="{00000000-0005-0000-0000-0000888D0000}"/>
    <cellStyle name="Separador de milhares 4 4 2 3" xfId="25252" xr:uid="{00000000-0005-0000-0000-0000898D0000}"/>
    <cellStyle name="Separador de milhares 4 4 2 4" xfId="25253" xr:uid="{00000000-0005-0000-0000-00008A8D0000}"/>
    <cellStyle name="Separador de milhares 4 4 2 5" xfId="25254" xr:uid="{00000000-0005-0000-0000-00008B8D0000}"/>
    <cellStyle name="Separador de milhares 4 4 2 6" xfId="25255" xr:uid="{00000000-0005-0000-0000-00008C8D0000}"/>
    <cellStyle name="Separador de milhares 4 4 2 7" xfId="25256" xr:uid="{00000000-0005-0000-0000-00008D8D0000}"/>
    <cellStyle name="Separador de milhares 4 4 2 8" xfId="25257" xr:uid="{00000000-0005-0000-0000-00008E8D0000}"/>
    <cellStyle name="Separador de milhares 4 4 2 9" xfId="25258" xr:uid="{00000000-0005-0000-0000-00008F8D0000}"/>
    <cellStyle name="Separador de milhares 4 4 3" xfId="25259" xr:uid="{00000000-0005-0000-0000-0000908D0000}"/>
    <cellStyle name="Separador de milhares 4 4 4" xfId="25260" xr:uid="{00000000-0005-0000-0000-0000918D0000}"/>
    <cellStyle name="Separador de milhares 4 4 5" xfId="25261" xr:uid="{00000000-0005-0000-0000-0000928D0000}"/>
    <cellStyle name="Separador de milhares 4 4 6" xfId="25262" xr:uid="{00000000-0005-0000-0000-0000938D0000}"/>
    <cellStyle name="Separador de milhares 4 4 7" xfId="25263" xr:uid="{00000000-0005-0000-0000-0000948D0000}"/>
    <cellStyle name="Separador de milhares 4 4 8" xfId="25264" xr:uid="{00000000-0005-0000-0000-0000958D0000}"/>
    <cellStyle name="Separador de milhares 4 4 9" xfId="25265" xr:uid="{00000000-0005-0000-0000-0000968D0000}"/>
    <cellStyle name="Separador de milhares 4 40" xfId="25266" xr:uid="{00000000-0005-0000-0000-0000978D0000}"/>
    <cellStyle name="Separador de milhares 4 41" xfId="25267" xr:uid="{00000000-0005-0000-0000-0000988D0000}"/>
    <cellStyle name="Separador de milhares 4 42" xfId="25268" xr:uid="{00000000-0005-0000-0000-0000998D0000}"/>
    <cellStyle name="Separador de milhares 4 43" xfId="25269" xr:uid="{00000000-0005-0000-0000-00009A8D0000}"/>
    <cellStyle name="Separador de milhares 4 5" xfId="25270" xr:uid="{00000000-0005-0000-0000-00009B8D0000}"/>
    <cellStyle name="Separador de milhares 4 5 10" xfId="25271" xr:uid="{00000000-0005-0000-0000-00009C8D0000}"/>
    <cellStyle name="Separador de milhares 4 5 11" xfId="25272" xr:uid="{00000000-0005-0000-0000-00009D8D0000}"/>
    <cellStyle name="Separador de milhares 4 5 12" xfId="25273" xr:uid="{00000000-0005-0000-0000-00009E8D0000}"/>
    <cellStyle name="Separador de milhares 4 5 13" xfId="25274" xr:uid="{00000000-0005-0000-0000-00009F8D0000}"/>
    <cellStyle name="Separador de milhares 4 5 14" xfId="25275" xr:uid="{00000000-0005-0000-0000-0000A08D0000}"/>
    <cellStyle name="Separador de milhares 4 5 15" xfId="25276" xr:uid="{00000000-0005-0000-0000-0000A18D0000}"/>
    <cellStyle name="Separador de milhares 4 5 16" xfId="25277" xr:uid="{00000000-0005-0000-0000-0000A28D0000}"/>
    <cellStyle name="Separador de milhares 4 5 17" xfId="25278" xr:uid="{00000000-0005-0000-0000-0000A38D0000}"/>
    <cellStyle name="Separador de milhares 4 5 18" xfId="25279" xr:uid="{00000000-0005-0000-0000-0000A48D0000}"/>
    <cellStyle name="Separador de milhares 4 5 19" xfId="25280" xr:uid="{00000000-0005-0000-0000-0000A58D0000}"/>
    <cellStyle name="Separador de milhares 4 5 2" xfId="25281" xr:uid="{00000000-0005-0000-0000-0000A68D0000}"/>
    <cellStyle name="Separador de milhares 4 5 2 2" xfId="25282" xr:uid="{00000000-0005-0000-0000-0000A78D0000}"/>
    <cellStyle name="Separador de milhares 4 5 2 3" xfId="25283" xr:uid="{00000000-0005-0000-0000-0000A88D0000}"/>
    <cellStyle name="Separador de milhares 4 5 2 4" xfId="25284" xr:uid="{00000000-0005-0000-0000-0000A98D0000}"/>
    <cellStyle name="Separador de milhares 4 5 2 5" xfId="25285" xr:uid="{00000000-0005-0000-0000-0000AA8D0000}"/>
    <cellStyle name="Separador de milhares 4 5 2 6" xfId="25286" xr:uid="{00000000-0005-0000-0000-0000AB8D0000}"/>
    <cellStyle name="Separador de milhares 4 5 2 7" xfId="25287" xr:uid="{00000000-0005-0000-0000-0000AC8D0000}"/>
    <cellStyle name="Separador de milhares 4 5 20" xfId="25288" xr:uid="{00000000-0005-0000-0000-0000AD8D0000}"/>
    <cellStyle name="Separador de milhares 4 5 21" xfId="25289" xr:uid="{00000000-0005-0000-0000-0000AE8D0000}"/>
    <cellStyle name="Separador de milhares 4 5 22" xfId="25290" xr:uid="{00000000-0005-0000-0000-0000AF8D0000}"/>
    <cellStyle name="Separador de milhares 4 5 23" xfId="25291" xr:uid="{00000000-0005-0000-0000-0000B08D0000}"/>
    <cellStyle name="Separador de milhares 4 5 24" xfId="25292" xr:uid="{00000000-0005-0000-0000-0000B18D0000}"/>
    <cellStyle name="Separador de milhares 4 5 3" xfId="25293" xr:uid="{00000000-0005-0000-0000-0000B28D0000}"/>
    <cellStyle name="Separador de milhares 4 5 4" xfId="25294" xr:uid="{00000000-0005-0000-0000-0000B38D0000}"/>
    <cellStyle name="Separador de milhares 4 5 5" xfId="25295" xr:uid="{00000000-0005-0000-0000-0000B48D0000}"/>
    <cellStyle name="Separador de milhares 4 5 6" xfId="25296" xr:uid="{00000000-0005-0000-0000-0000B58D0000}"/>
    <cellStyle name="Separador de milhares 4 5 7" xfId="25297" xr:uid="{00000000-0005-0000-0000-0000B68D0000}"/>
    <cellStyle name="Separador de milhares 4 5 8" xfId="25298" xr:uid="{00000000-0005-0000-0000-0000B78D0000}"/>
    <cellStyle name="Separador de milhares 4 5 9" xfId="25299" xr:uid="{00000000-0005-0000-0000-0000B88D0000}"/>
    <cellStyle name="Separador de milhares 4 6" xfId="25300" xr:uid="{00000000-0005-0000-0000-0000B98D0000}"/>
    <cellStyle name="Separador de milhares 4 6 2" xfId="25301" xr:uid="{00000000-0005-0000-0000-0000BA8D0000}"/>
    <cellStyle name="Separador de milhares 4 6 2 2" xfId="25302" xr:uid="{00000000-0005-0000-0000-0000BB8D0000}"/>
    <cellStyle name="Separador de milhares 4 6 2 3" xfId="25303" xr:uid="{00000000-0005-0000-0000-0000BC8D0000}"/>
    <cellStyle name="Separador de milhares 4 6 2 4" xfId="25304" xr:uid="{00000000-0005-0000-0000-0000BD8D0000}"/>
    <cellStyle name="Separador de milhares 4 6 2 5" xfId="25305" xr:uid="{00000000-0005-0000-0000-0000BE8D0000}"/>
    <cellStyle name="Separador de milhares 4 6 2 6" xfId="25306" xr:uid="{00000000-0005-0000-0000-0000BF8D0000}"/>
    <cellStyle name="Separador de milhares 4 6 2 7" xfId="25307" xr:uid="{00000000-0005-0000-0000-0000C08D0000}"/>
    <cellStyle name="Separador de milhares 4 6 3" xfId="25308" xr:uid="{00000000-0005-0000-0000-0000C18D0000}"/>
    <cellStyle name="Separador de milhares 4 6 4" xfId="25309" xr:uid="{00000000-0005-0000-0000-0000C28D0000}"/>
    <cellStyle name="Separador de milhares 4 6 5" xfId="25310" xr:uid="{00000000-0005-0000-0000-0000C38D0000}"/>
    <cellStyle name="Separador de milhares 4 6 6" xfId="25311" xr:uid="{00000000-0005-0000-0000-0000C48D0000}"/>
    <cellStyle name="Separador de milhares 4 6 7" xfId="25312" xr:uid="{00000000-0005-0000-0000-0000C58D0000}"/>
    <cellStyle name="Separador de milhares 4 7" xfId="25313" xr:uid="{00000000-0005-0000-0000-0000C68D0000}"/>
    <cellStyle name="Separador de milhares 4 7 2" xfId="25314" xr:uid="{00000000-0005-0000-0000-0000C78D0000}"/>
    <cellStyle name="Separador de milhares 4 7 2 2" xfId="25315" xr:uid="{00000000-0005-0000-0000-0000C88D0000}"/>
    <cellStyle name="Separador de milhares 4 7 2 3" xfId="25316" xr:uid="{00000000-0005-0000-0000-0000C98D0000}"/>
    <cellStyle name="Separador de milhares 4 7 2 4" xfId="25317" xr:uid="{00000000-0005-0000-0000-0000CA8D0000}"/>
    <cellStyle name="Separador de milhares 4 7 2 5" xfId="25318" xr:uid="{00000000-0005-0000-0000-0000CB8D0000}"/>
    <cellStyle name="Separador de milhares 4 7 2 6" xfId="25319" xr:uid="{00000000-0005-0000-0000-0000CC8D0000}"/>
    <cellStyle name="Separador de milhares 4 7 2 7" xfId="25320" xr:uid="{00000000-0005-0000-0000-0000CD8D0000}"/>
    <cellStyle name="Separador de milhares 4 7 3" xfId="25321" xr:uid="{00000000-0005-0000-0000-0000CE8D0000}"/>
    <cellStyle name="Separador de milhares 4 7 4" xfId="25322" xr:uid="{00000000-0005-0000-0000-0000CF8D0000}"/>
    <cellStyle name="Separador de milhares 4 7 5" xfId="25323" xr:uid="{00000000-0005-0000-0000-0000D08D0000}"/>
    <cellStyle name="Separador de milhares 4 7 6" xfId="25324" xr:uid="{00000000-0005-0000-0000-0000D18D0000}"/>
    <cellStyle name="Separador de milhares 4 7 7" xfId="25325" xr:uid="{00000000-0005-0000-0000-0000D28D0000}"/>
    <cellStyle name="Separador de milhares 4 8" xfId="25326" xr:uid="{00000000-0005-0000-0000-0000D38D0000}"/>
    <cellStyle name="Separador de milhares 4 8 2" xfId="25327" xr:uid="{00000000-0005-0000-0000-0000D48D0000}"/>
    <cellStyle name="Separador de milhares 4 8 2 2" xfId="25328" xr:uid="{00000000-0005-0000-0000-0000D58D0000}"/>
    <cellStyle name="Separador de milhares 4 8 2 3" xfId="25329" xr:uid="{00000000-0005-0000-0000-0000D68D0000}"/>
    <cellStyle name="Separador de milhares 4 8 2 4" xfId="25330" xr:uid="{00000000-0005-0000-0000-0000D78D0000}"/>
    <cellStyle name="Separador de milhares 4 8 2 5" xfId="25331" xr:uid="{00000000-0005-0000-0000-0000D88D0000}"/>
    <cellStyle name="Separador de milhares 4 8 2 6" xfId="25332" xr:uid="{00000000-0005-0000-0000-0000D98D0000}"/>
    <cellStyle name="Separador de milhares 4 8 2 7" xfId="25333" xr:uid="{00000000-0005-0000-0000-0000DA8D0000}"/>
    <cellStyle name="Separador de milhares 4 8 3" xfId="25334" xr:uid="{00000000-0005-0000-0000-0000DB8D0000}"/>
    <cellStyle name="Separador de milhares 4 8 4" xfId="25335" xr:uid="{00000000-0005-0000-0000-0000DC8D0000}"/>
    <cellStyle name="Separador de milhares 4 8 5" xfId="25336" xr:uid="{00000000-0005-0000-0000-0000DD8D0000}"/>
    <cellStyle name="Separador de milhares 4 8 6" xfId="25337" xr:uid="{00000000-0005-0000-0000-0000DE8D0000}"/>
    <cellStyle name="Separador de milhares 4 8 7" xfId="25338" xr:uid="{00000000-0005-0000-0000-0000DF8D0000}"/>
    <cellStyle name="Separador de milhares 4 9" xfId="25339" xr:uid="{00000000-0005-0000-0000-0000E08D0000}"/>
    <cellStyle name="Separador de milhares 4 9 2" xfId="25340" xr:uid="{00000000-0005-0000-0000-0000E18D0000}"/>
    <cellStyle name="Separador de milhares 4 9 2 2" xfId="25341" xr:uid="{00000000-0005-0000-0000-0000E28D0000}"/>
    <cellStyle name="Separador de milhares 4 9 2 3" xfId="25342" xr:uid="{00000000-0005-0000-0000-0000E38D0000}"/>
    <cellStyle name="Separador de milhares 4 9 2 4" xfId="25343" xr:uid="{00000000-0005-0000-0000-0000E48D0000}"/>
    <cellStyle name="Separador de milhares 4 9 2 5" xfId="25344" xr:uid="{00000000-0005-0000-0000-0000E58D0000}"/>
    <cellStyle name="Separador de milhares 4 9 2 6" xfId="25345" xr:uid="{00000000-0005-0000-0000-0000E68D0000}"/>
    <cellStyle name="Separador de milhares 4 9 2 7" xfId="25346" xr:uid="{00000000-0005-0000-0000-0000E78D0000}"/>
    <cellStyle name="Separador de milhares 4 9 2 8" xfId="39573" xr:uid="{00000000-0005-0000-0000-0000E88D0000}"/>
    <cellStyle name="Separador de milhares 4 9 3" xfId="25347" xr:uid="{00000000-0005-0000-0000-0000E98D0000}"/>
    <cellStyle name="Separador de milhares 4 9 3 2" xfId="39574" xr:uid="{00000000-0005-0000-0000-0000EA8D0000}"/>
    <cellStyle name="Separador de milhares 4 9 4" xfId="25348" xr:uid="{00000000-0005-0000-0000-0000EB8D0000}"/>
    <cellStyle name="Separador de milhares 4 9 4 2" xfId="39575" xr:uid="{00000000-0005-0000-0000-0000EC8D0000}"/>
    <cellStyle name="Separador de milhares 4 9 5" xfId="25349" xr:uid="{00000000-0005-0000-0000-0000ED8D0000}"/>
    <cellStyle name="Separador de milhares 4 9 5 2" xfId="39576" xr:uid="{00000000-0005-0000-0000-0000EE8D0000}"/>
    <cellStyle name="Separador de milhares 4 9 6" xfId="25350" xr:uid="{00000000-0005-0000-0000-0000EF8D0000}"/>
    <cellStyle name="Separador de milhares 4 9 6 2" xfId="39577" xr:uid="{00000000-0005-0000-0000-0000F08D0000}"/>
    <cellStyle name="Separador de milhares 4 9 7" xfId="25351" xr:uid="{00000000-0005-0000-0000-0000F18D0000}"/>
    <cellStyle name="Separador de milhares 4 9 7 2" xfId="39578" xr:uid="{00000000-0005-0000-0000-0000F28D0000}"/>
    <cellStyle name="Separador de milhares 40" xfId="25352" xr:uid="{00000000-0005-0000-0000-0000F38D0000}"/>
    <cellStyle name="Separador de milhares 41" xfId="25353" xr:uid="{00000000-0005-0000-0000-0000F48D0000}"/>
    <cellStyle name="Separador de milhares 42" xfId="25354" xr:uid="{00000000-0005-0000-0000-0000F58D0000}"/>
    <cellStyle name="Separador de milhares 43" xfId="25355" xr:uid="{00000000-0005-0000-0000-0000F68D0000}"/>
    <cellStyle name="Separador de milhares 44" xfId="25356" xr:uid="{00000000-0005-0000-0000-0000F78D0000}"/>
    <cellStyle name="Separador de milhares 45" xfId="25357" xr:uid="{00000000-0005-0000-0000-0000F88D0000}"/>
    <cellStyle name="Separador de milhares 46" xfId="25358" xr:uid="{00000000-0005-0000-0000-0000F98D0000}"/>
    <cellStyle name="Separador de milhares 47" xfId="25359" xr:uid="{00000000-0005-0000-0000-0000FA8D0000}"/>
    <cellStyle name="Separador de milhares 47 2" xfId="25360" xr:uid="{00000000-0005-0000-0000-0000FB8D0000}"/>
    <cellStyle name="Separador de milhares 48" xfId="25361" xr:uid="{00000000-0005-0000-0000-0000FC8D0000}"/>
    <cellStyle name="Separador de milhares 49" xfId="25362" xr:uid="{00000000-0005-0000-0000-0000FD8D0000}"/>
    <cellStyle name="Separador de milhares 5" xfId="25363" xr:uid="{00000000-0005-0000-0000-0000FE8D0000}"/>
    <cellStyle name="Separador de milhares 5 10" xfId="25364" xr:uid="{00000000-0005-0000-0000-0000FF8D0000}"/>
    <cellStyle name="Separador de milhares 5 11" xfId="25365" xr:uid="{00000000-0005-0000-0000-0000008E0000}"/>
    <cellStyle name="Separador de milhares 5 12" xfId="25366" xr:uid="{00000000-0005-0000-0000-0000018E0000}"/>
    <cellStyle name="Separador de milhares 5 13" xfId="25367" xr:uid="{00000000-0005-0000-0000-0000028E0000}"/>
    <cellStyle name="Separador de milhares 5 14" xfId="25368" xr:uid="{00000000-0005-0000-0000-0000038E0000}"/>
    <cellStyle name="Separador de milhares 5 15" xfId="25369" xr:uid="{00000000-0005-0000-0000-0000048E0000}"/>
    <cellStyle name="Separador de milhares 5 16" xfId="25370" xr:uid="{00000000-0005-0000-0000-0000058E0000}"/>
    <cellStyle name="Separador de milhares 5 17" xfId="25371" xr:uid="{00000000-0005-0000-0000-0000068E0000}"/>
    <cellStyle name="Separador de milhares 5 18" xfId="25372" xr:uid="{00000000-0005-0000-0000-0000078E0000}"/>
    <cellStyle name="Separador de milhares 5 19" xfId="25373" xr:uid="{00000000-0005-0000-0000-0000088E0000}"/>
    <cellStyle name="Separador de milhares 5 2" xfId="25374" xr:uid="{00000000-0005-0000-0000-0000098E0000}"/>
    <cellStyle name="Separador de milhares 5 2 10" xfId="25375" xr:uid="{00000000-0005-0000-0000-00000A8E0000}"/>
    <cellStyle name="Separador de milhares 5 2 10 2" xfId="25376" xr:uid="{00000000-0005-0000-0000-00000B8E0000}"/>
    <cellStyle name="Separador de milhares 5 2 10 2 2" xfId="39580" xr:uid="{00000000-0005-0000-0000-00000C8E0000}"/>
    <cellStyle name="Separador de milhares 5 2 10 3" xfId="25377" xr:uid="{00000000-0005-0000-0000-00000D8E0000}"/>
    <cellStyle name="Separador de milhares 5 2 10 3 2" xfId="39581" xr:uid="{00000000-0005-0000-0000-00000E8E0000}"/>
    <cellStyle name="Separador de milhares 5 2 10 4" xfId="25378" xr:uid="{00000000-0005-0000-0000-00000F8E0000}"/>
    <cellStyle name="Separador de milhares 5 2 10 4 2" xfId="39582" xr:uid="{00000000-0005-0000-0000-0000108E0000}"/>
    <cellStyle name="Separador de milhares 5 2 10 5" xfId="25379" xr:uid="{00000000-0005-0000-0000-0000118E0000}"/>
    <cellStyle name="Separador de milhares 5 2 10 5 2" xfId="39583" xr:uid="{00000000-0005-0000-0000-0000128E0000}"/>
    <cellStyle name="Separador de milhares 5 2 10 6" xfId="39579" xr:uid="{00000000-0005-0000-0000-0000138E0000}"/>
    <cellStyle name="Separador de milhares 5 2 11" xfId="25380" xr:uid="{00000000-0005-0000-0000-0000148E0000}"/>
    <cellStyle name="Separador de milhares 5 2 11 2" xfId="25381" xr:uid="{00000000-0005-0000-0000-0000158E0000}"/>
    <cellStyle name="Separador de milhares 5 2 11 2 2" xfId="39585" xr:uid="{00000000-0005-0000-0000-0000168E0000}"/>
    <cellStyle name="Separador de milhares 5 2 11 3" xfId="25382" xr:uid="{00000000-0005-0000-0000-0000178E0000}"/>
    <cellStyle name="Separador de milhares 5 2 11 3 2" xfId="39586" xr:uid="{00000000-0005-0000-0000-0000188E0000}"/>
    <cellStyle name="Separador de milhares 5 2 11 4" xfId="25383" xr:uid="{00000000-0005-0000-0000-0000198E0000}"/>
    <cellStyle name="Separador de milhares 5 2 11 4 2" xfId="39587" xr:uid="{00000000-0005-0000-0000-00001A8E0000}"/>
    <cellStyle name="Separador de milhares 5 2 11 5" xfId="25384" xr:uid="{00000000-0005-0000-0000-00001B8E0000}"/>
    <cellStyle name="Separador de milhares 5 2 11 5 2" xfId="39588" xr:uid="{00000000-0005-0000-0000-00001C8E0000}"/>
    <cellStyle name="Separador de milhares 5 2 11 6" xfId="39584" xr:uid="{00000000-0005-0000-0000-00001D8E0000}"/>
    <cellStyle name="Separador de milhares 5 2 12" xfId="25385" xr:uid="{00000000-0005-0000-0000-00001E8E0000}"/>
    <cellStyle name="Separador de milhares 5 2 12 2" xfId="25386" xr:uid="{00000000-0005-0000-0000-00001F8E0000}"/>
    <cellStyle name="Separador de milhares 5 2 12 2 2" xfId="39590" xr:uid="{00000000-0005-0000-0000-0000208E0000}"/>
    <cellStyle name="Separador de milhares 5 2 12 3" xfId="25387" xr:uid="{00000000-0005-0000-0000-0000218E0000}"/>
    <cellStyle name="Separador de milhares 5 2 12 3 2" xfId="39591" xr:uid="{00000000-0005-0000-0000-0000228E0000}"/>
    <cellStyle name="Separador de milhares 5 2 12 4" xfId="25388" xr:uid="{00000000-0005-0000-0000-0000238E0000}"/>
    <cellStyle name="Separador de milhares 5 2 12 4 2" xfId="39592" xr:uid="{00000000-0005-0000-0000-0000248E0000}"/>
    <cellStyle name="Separador de milhares 5 2 12 5" xfId="25389" xr:uid="{00000000-0005-0000-0000-0000258E0000}"/>
    <cellStyle name="Separador de milhares 5 2 12 5 2" xfId="39593" xr:uid="{00000000-0005-0000-0000-0000268E0000}"/>
    <cellStyle name="Separador de milhares 5 2 12 6" xfId="39589" xr:uid="{00000000-0005-0000-0000-0000278E0000}"/>
    <cellStyle name="Separador de milhares 5 2 13" xfId="25390" xr:uid="{00000000-0005-0000-0000-0000288E0000}"/>
    <cellStyle name="Separador de milhares 5 2 13 2" xfId="25391" xr:uid="{00000000-0005-0000-0000-0000298E0000}"/>
    <cellStyle name="Separador de milhares 5 2 13 2 2" xfId="39595" xr:uid="{00000000-0005-0000-0000-00002A8E0000}"/>
    <cellStyle name="Separador de milhares 5 2 13 3" xfId="25392" xr:uid="{00000000-0005-0000-0000-00002B8E0000}"/>
    <cellStyle name="Separador de milhares 5 2 13 3 2" xfId="39596" xr:uid="{00000000-0005-0000-0000-00002C8E0000}"/>
    <cellStyle name="Separador de milhares 5 2 13 4" xfId="25393" xr:uid="{00000000-0005-0000-0000-00002D8E0000}"/>
    <cellStyle name="Separador de milhares 5 2 13 4 2" xfId="39597" xr:uid="{00000000-0005-0000-0000-00002E8E0000}"/>
    <cellStyle name="Separador de milhares 5 2 13 5" xfId="25394" xr:uid="{00000000-0005-0000-0000-00002F8E0000}"/>
    <cellStyle name="Separador de milhares 5 2 13 5 2" xfId="39598" xr:uid="{00000000-0005-0000-0000-0000308E0000}"/>
    <cellStyle name="Separador de milhares 5 2 13 6" xfId="39594" xr:uid="{00000000-0005-0000-0000-0000318E0000}"/>
    <cellStyle name="Separador de milhares 5 2 14" xfId="25395" xr:uid="{00000000-0005-0000-0000-0000328E0000}"/>
    <cellStyle name="Separador de milhares 5 2 14 2" xfId="25396" xr:uid="{00000000-0005-0000-0000-0000338E0000}"/>
    <cellStyle name="Separador de milhares 5 2 14 2 2" xfId="39600" xr:uid="{00000000-0005-0000-0000-0000348E0000}"/>
    <cellStyle name="Separador de milhares 5 2 14 3" xfId="25397" xr:uid="{00000000-0005-0000-0000-0000358E0000}"/>
    <cellStyle name="Separador de milhares 5 2 14 3 2" xfId="39601" xr:uid="{00000000-0005-0000-0000-0000368E0000}"/>
    <cellStyle name="Separador de milhares 5 2 14 4" xfId="25398" xr:uid="{00000000-0005-0000-0000-0000378E0000}"/>
    <cellStyle name="Separador de milhares 5 2 14 4 2" xfId="39602" xr:uid="{00000000-0005-0000-0000-0000388E0000}"/>
    <cellStyle name="Separador de milhares 5 2 14 5" xfId="25399" xr:uid="{00000000-0005-0000-0000-0000398E0000}"/>
    <cellStyle name="Separador de milhares 5 2 14 5 2" xfId="39603" xr:uid="{00000000-0005-0000-0000-00003A8E0000}"/>
    <cellStyle name="Separador de milhares 5 2 14 6" xfId="39599" xr:uid="{00000000-0005-0000-0000-00003B8E0000}"/>
    <cellStyle name="Separador de milhares 5 2 15" xfId="25400" xr:uid="{00000000-0005-0000-0000-00003C8E0000}"/>
    <cellStyle name="Separador de milhares 5 2 15 2" xfId="25401" xr:uid="{00000000-0005-0000-0000-00003D8E0000}"/>
    <cellStyle name="Separador de milhares 5 2 15 2 2" xfId="39605" xr:uid="{00000000-0005-0000-0000-00003E8E0000}"/>
    <cellStyle name="Separador de milhares 5 2 15 3" xfId="25402" xr:uid="{00000000-0005-0000-0000-00003F8E0000}"/>
    <cellStyle name="Separador de milhares 5 2 15 3 2" xfId="39606" xr:uid="{00000000-0005-0000-0000-0000408E0000}"/>
    <cellStyle name="Separador de milhares 5 2 15 4" xfId="25403" xr:uid="{00000000-0005-0000-0000-0000418E0000}"/>
    <cellStyle name="Separador de milhares 5 2 15 4 2" xfId="39607" xr:uid="{00000000-0005-0000-0000-0000428E0000}"/>
    <cellStyle name="Separador de milhares 5 2 15 5" xfId="25404" xr:uid="{00000000-0005-0000-0000-0000438E0000}"/>
    <cellStyle name="Separador de milhares 5 2 15 5 2" xfId="39608" xr:uid="{00000000-0005-0000-0000-0000448E0000}"/>
    <cellStyle name="Separador de milhares 5 2 15 6" xfId="39604" xr:uid="{00000000-0005-0000-0000-0000458E0000}"/>
    <cellStyle name="Separador de milhares 5 2 16" xfId="25405" xr:uid="{00000000-0005-0000-0000-0000468E0000}"/>
    <cellStyle name="Separador de milhares 5 2 16 2" xfId="25406" xr:uid="{00000000-0005-0000-0000-0000478E0000}"/>
    <cellStyle name="Separador de milhares 5 2 16 2 2" xfId="39610" xr:uid="{00000000-0005-0000-0000-0000488E0000}"/>
    <cellStyle name="Separador de milhares 5 2 16 3" xfId="25407" xr:uid="{00000000-0005-0000-0000-0000498E0000}"/>
    <cellStyle name="Separador de milhares 5 2 16 3 2" xfId="39611" xr:uid="{00000000-0005-0000-0000-00004A8E0000}"/>
    <cellStyle name="Separador de milhares 5 2 16 4" xfId="25408" xr:uid="{00000000-0005-0000-0000-00004B8E0000}"/>
    <cellStyle name="Separador de milhares 5 2 16 4 2" xfId="39612" xr:uid="{00000000-0005-0000-0000-00004C8E0000}"/>
    <cellStyle name="Separador de milhares 5 2 16 5" xfId="25409" xr:uid="{00000000-0005-0000-0000-00004D8E0000}"/>
    <cellStyle name="Separador de milhares 5 2 16 5 2" xfId="39613" xr:uid="{00000000-0005-0000-0000-00004E8E0000}"/>
    <cellStyle name="Separador de milhares 5 2 16 6" xfId="39609" xr:uid="{00000000-0005-0000-0000-00004F8E0000}"/>
    <cellStyle name="Separador de milhares 5 2 17" xfId="25410" xr:uid="{00000000-0005-0000-0000-0000508E0000}"/>
    <cellStyle name="Separador de milhares 5 2 17 2" xfId="39614" xr:uid="{00000000-0005-0000-0000-0000518E0000}"/>
    <cellStyle name="Separador de milhares 5 2 18" xfId="25411" xr:uid="{00000000-0005-0000-0000-0000528E0000}"/>
    <cellStyle name="Separador de milhares 5 2 18 2" xfId="39615" xr:uid="{00000000-0005-0000-0000-0000538E0000}"/>
    <cellStyle name="Separador de milhares 5 2 19" xfId="25412" xr:uid="{00000000-0005-0000-0000-0000548E0000}"/>
    <cellStyle name="Separador de milhares 5 2 19 2" xfId="39616" xr:uid="{00000000-0005-0000-0000-0000558E0000}"/>
    <cellStyle name="Separador de milhares 5 2 2" xfId="25413" xr:uid="{00000000-0005-0000-0000-0000568E0000}"/>
    <cellStyle name="Separador de milhares 5 2 2 10" xfId="25414" xr:uid="{00000000-0005-0000-0000-0000578E0000}"/>
    <cellStyle name="Separador de milhares 5 2 2 10 2" xfId="39618" xr:uid="{00000000-0005-0000-0000-0000588E0000}"/>
    <cellStyle name="Separador de milhares 5 2 2 11" xfId="25415" xr:uid="{00000000-0005-0000-0000-0000598E0000}"/>
    <cellStyle name="Separador de milhares 5 2 2 11 2" xfId="39619" xr:uid="{00000000-0005-0000-0000-00005A8E0000}"/>
    <cellStyle name="Separador de milhares 5 2 2 12" xfId="39617" xr:uid="{00000000-0005-0000-0000-00005B8E0000}"/>
    <cellStyle name="Separador de milhares 5 2 2 2" xfId="25416" xr:uid="{00000000-0005-0000-0000-00005C8E0000}"/>
    <cellStyle name="Separador de milhares 5 2 2 2 2" xfId="25417" xr:uid="{00000000-0005-0000-0000-00005D8E0000}"/>
    <cellStyle name="Separador de milhares 5 2 2 2 2 2" xfId="39621" xr:uid="{00000000-0005-0000-0000-00005E8E0000}"/>
    <cellStyle name="Separador de milhares 5 2 2 2 3" xfId="25418" xr:uid="{00000000-0005-0000-0000-00005F8E0000}"/>
    <cellStyle name="Separador de milhares 5 2 2 2 3 2" xfId="39622" xr:uid="{00000000-0005-0000-0000-0000608E0000}"/>
    <cellStyle name="Separador de milhares 5 2 2 2 4" xfId="25419" xr:uid="{00000000-0005-0000-0000-0000618E0000}"/>
    <cellStyle name="Separador de milhares 5 2 2 2 4 2" xfId="39623" xr:uid="{00000000-0005-0000-0000-0000628E0000}"/>
    <cellStyle name="Separador de milhares 5 2 2 2 5" xfId="25420" xr:uid="{00000000-0005-0000-0000-0000638E0000}"/>
    <cellStyle name="Separador de milhares 5 2 2 2 5 2" xfId="39624" xr:uid="{00000000-0005-0000-0000-0000648E0000}"/>
    <cellStyle name="Separador de milhares 5 2 2 2 6" xfId="39620" xr:uid="{00000000-0005-0000-0000-0000658E0000}"/>
    <cellStyle name="Separador de milhares 5 2 2 3" xfId="25421" xr:uid="{00000000-0005-0000-0000-0000668E0000}"/>
    <cellStyle name="Separador de milhares 5 2 2 3 2" xfId="25422" xr:uid="{00000000-0005-0000-0000-0000678E0000}"/>
    <cellStyle name="Separador de milhares 5 2 2 3 2 2" xfId="39626" xr:uid="{00000000-0005-0000-0000-0000688E0000}"/>
    <cellStyle name="Separador de milhares 5 2 2 3 3" xfId="25423" xr:uid="{00000000-0005-0000-0000-0000698E0000}"/>
    <cellStyle name="Separador de milhares 5 2 2 3 3 2" xfId="39627" xr:uid="{00000000-0005-0000-0000-00006A8E0000}"/>
    <cellStyle name="Separador de milhares 5 2 2 3 4" xfId="25424" xr:uid="{00000000-0005-0000-0000-00006B8E0000}"/>
    <cellStyle name="Separador de milhares 5 2 2 3 4 2" xfId="39628" xr:uid="{00000000-0005-0000-0000-00006C8E0000}"/>
    <cellStyle name="Separador de milhares 5 2 2 3 5" xfId="25425" xr:uid="{00000000-0005-0000-0000-00006D8E0000}"/>
    <cellStyle name="Separador de milhares 5 2 2 3 5 2" xfId="39629" xr:uid="{00000000-0005-0000-0000-00006E8E0000}"/>
    <cellStyle name="Separador de milhares 5 2 2 3 6" xfId="39625" xr:uid="{00000000-0005-0000-0000-00006F8E0000}"/>
    <cellStyle name="Separador de milhares 5 2 2 4" xfId="25426" xr:uid="{00000000-0005-0000-0000-0000708E0000}"/>
    <cellStyle name="Separador de milhares 5 2 2 4 2" xfId="25427" xr:uid="{00000000-0005-0000-0000-0000718E0000}"/>
    <cellStyle name="Separador de milhares 5 2 2 4 2 2" xfId="39631" xr:uid="{00000000-0005-0000-0000-0000728E0000}"/>
    <cellStyle name="Separador de milhares 5 2 2 4 3" xfId="25428" xr:uid="{00000000-0005-0000-0000-0000738E0000}"/>
    <cellStyle name="Separador de milhares 5 2 2 4 3 2" xfId="39632" xr:uid="{00000000-0005-0000-0000-0000748E0000}"/>
    <cellStyle name="Separador de milhares 5 2 2 4 4" xfId="25429" xr:uid="{00000000-0005-0000-0000-0000758E0000}"/>
    <cellStyle name="Separador de milhares 5 2 2 4 4 2" xfId="39633" xr:uid="{00000000-0005-0000-0000-0000768E0000}"/>
    <cellStyle name="Separador de milhares 5 2 2 4 5" xfId="25430" xr:uid="{00000000-0005-0000-0000-0000778E0000}"/>
    <cellStyle name="Separador de milhares 5 2 2 4 5 2" xfId="39634" xr:uid="{00000000-0005-0000-0000-0000788E0000}"/>
    <cellStyle name="Separador de milhares 5 2 2 4 6" xfId="39630" xr:uid="{00000000-0005-0000-0000-0000798E0000}"/>
    <cellStyle name="Separador de milhares 5 2 2 5" xfId="25431" xr:uid="{00000000-0005-0000-0000-00007A8E0000}"/>
    <cellStyle name="Separador de milhares 5 2 2 5 2" xfId="25432" xr:uid="{00000000-0005-0000-0000-00007B8E0000}"/>
    <cellStyle name="Separador de milhares 5 2 2 5 2 2" xfId="39636" xr:uid="{00000000-0005-0000-0000-00007C8E0000}"/>
    <cellStyle name="Separador de milhares 5 2 2 5 3" xfId="25433" xr:uid="{00000000-0005-0000-0000-00007D8E0000}"/>
    <cellStyle name="Separador de milhares 5 2 2 5 3 2" xfId="39637" xr:uid="{00000000-0005-0000-0000-00007E8E0000}"/>
    <cellStyle name="Separador de milhares 5 2 2 5 4" xfId="25434" xr:uid="{00000000-0005-0000-0000-00007F8E0000}"/>
    <cellStyle name="Separador de milhares 5 2 2 5 4 2" xfId="39638" xr:uid="{00000000-0005-0000-0000-0000808E0000}"/>
    <cellStyle name="Separador de milhares 5 2 2 5 5" xfId="25435" xr:uid="{00000000-0005-0000-0000-0000818E0000}"/>
    <cellStyle name="Separador de milhares 5 2 2 5 5 2" xfId="39639" xr:uid="{00000000-0005-0000-0000-0000828E0000}"/>
    <cellStyle name="Separador de milhares 5 2 2 5 6" xfId="39635" xr:uid="{00000000-0005-0000-0000-0000838E0000}"/>
    <cellStyle name="Separador de milhares 5 2 2 6" xfId="25436" xr:uid="{00000000-0005-0000-0000-0000848E0000}"/>
    <cellStyle name="Separador de milhares 5 2 2 6 2" xfId="25437" xr:uid="{00000000-0005-0000-0000-0000858E0000}"/>
    <cellStyle name="Separador de milhares 5 2 2 6 2 2" xfId="39641" xr:uid="{00000000-0005-0000-0000-0000868E0000}"/>
    <cellStyle name="Separador de milhares 5 2 2 6 3" xfId="25438" xr:uid="{00000000-0005-0000-0000-0000878E0000}"/>
    <cellStyle name="Separador de milhares 5 2 2 6 3 2" xfId="39642" xr:uid="{00000000-0005-0000-0000-0000888E0000}"/>
    <cellStyle name="Separador de milhares 5 2 2 6 4" xfId="25439" xr:uid="{00000000-0005-0000-0000-0000898E0000}"/>
    <cellStyle name="Separador de milhares 5 2 2 6 4 2" xfId="39643" xr:uid="{00000000-0005-0000-0000-00008A8E0000}"/>
    <cellStyle name="Separador de milhares 5 2 2 6 5" xfId="25440" xr:uid="{00000000-0005-0000-0000-00008B8E0000}"/>
    <cellStyle name="Separador de milhares 5 2 2 6 5 2" xfId="39644" xr:uid="{00000000-0005-0000-0000-00008C8E0000}"/>
    <cellStyle name="Separador de milhares 5 2 2 6 6" xfId="39640" xr:uid="{00000000-0005-0000-0000-00008D8E0000}"/>
    <cellStyle name="Separador de milhares 5 2 2 7" xfId="25441" xr:uid="{00000000-0005-0000-0000-00008E8E0000}"/>
    <cellStyle name="Separador de milhares 5 2 2 7 2" xfId="25442" xr:uid="{00000000-0005-0000-0000-00008F8E0000}"/>
    <cellStyle name="Separador de milhares 5 2 2 7 2 2" xfId="39646" xr:uid="{00000000-0005-0000-0000-0000908E0000}"/>
    <cellStyle name="Separador de milhares 5 2 2 7 3" xfId="25443" xr:uid="{00000000-0005-0000-0000-0000918E0000}"/>
    <cellStyle name="Separador de milhares 5 2 2 7 3 2" xfId="39647" xr:uid="{00000000-0005-0000-0000-0000928E0000}"/>
    <cellStyle name="Separador de milhares 5 2 2 7 4" xfId="25444" xr:uid="{00000000-0005-0000-0000-0000938E0000}"/>
    <cellStyle name="Separador de milhares 5 2 2 7 4 2" xfId="39648" xr:uid="{00000000-0005-0000-0000-0000948E0000}"/>
    <cellStyle name="Separador de milhares 5 2 2 7 5" xfId="25445" xr:uid="{00000000-0005-0000-0000-0000958E0000}"/>
    <cellStyle name="Separador de milhares 5 2 2 7 5 2" xfId="39649" xr:uid="{00000000-0005-0000-0000-0000968E0000}"/>
    <cellStyle name="Separador de milhares 5 2 2 7 6" xfId="39645" xr:uid="{00000000-0005-0000-0000-0000978E0000}"/>
    <cellStyle name="Separador de milhares 5 2 2 8" xfId="25446" xr:uid="{00000000-0005-0000-0000-0000988E0000}"/>
    <cellStyle name="Separador de milhares 5 2 2 8 2" xfId="39650" xr:uid="{00000000-0005-0000-0000-0000998E0000}"/>
    <cellStyle name="Separador de milhares 5 2 2 9" xfId="25447" xr:uid="{00000000-0005-0000-0000-00009A8E0000}"/>
    <cellStyle name="Separador de milhares 5 2 2 9 2" xfId="39651" xr:uid="{00000000-0005-0000-0000-00009B8E0000}"/>
    <cellStyle name="Separador de milhares 5 2 20" xfId="25448" xr:uid="{00000000-0005-0000-0000-00009C8E0000}"/>
    <cellStyle name="Separador de milhares 5 2 20 2" xfId="39652" xr:uid="{00000000-0005-0000-0000-00009D8E0000}"/>
    <cellStyle name="Separador de milhares 5 2 21" xfId="25449" xr:uid="{00000000-0005-0000-0000-00009E8E0000}"/>
    <cellStyle name="Separador de milhares 5 2 21 2" xfId="39653" xr:uid="{00000000-0005-0000-0000-00009F8E0000}"/>
    <cellStyle name="Separador de milhares 5 2 3" xfId="25450" xr:uid="{00000000-0005-0000-0000-0000A08E0000}"/>
    <cellStyle name="Separador de milhares 5 2 3 2" xfId="25451" xr:uid="{00000000-0005-0000-0000-0000A18E0000}"/>
    <cellStyle name="Separador de milhares 5 2 3 2 2" xfId="25452" xr:uid="{00000000-0005-0000-0000-0000A28E0000}"/>
    <cellStyle name="Separador de milhares 5 2 3 2 2 2" xfId="39656" xr:uid="{00000000-0005-0000-0000-0000A38E0000}"/>
    <cellStyle name="Separador de milhares 5 2 3 2 3" xfId="25453" xr:uid="{00000000-0005-0000-0000-0000A48E0000}"/>
    <cellStyle name="Separador de milhares 5 2 3 2 3 2" xfId="39657" xr:uid="{00000000-0005-0000-0000-0000A58E0000}"/>
    <cellStyle name="Separador de milhares 5 2 3 2 4" xfId="25454" xr:uid="{00000000-0005-0000-0000-0000A68E0000}"/>
    <cellStyle name="Separador de milhares 5 2 3 2 4 2" xfId="39658" xr:uid="{00000000-0005-0000-0000-0000A78E0000}"/>
    <cellStyle name="Separador de milhares 5 2 3 2 5" xfId="25455" xr:uid="{00000000-0005-0000-0000-0000A88E0000}"/>
    <cellStyle name="Separador de milhares 5 2 3 2 5 2" xfId="39659" xr:uid="{00000000-0005-0000-0000-0000A98E0000}"/>
    <cellStyle name="Separador de milhares 5 2 3 2 6" xfId="39655" xr:uid="{00000000-0005-0000-0000-0000AA8E0000}"/>
    <cellStyle name="Separador de milhares 5 2 3 3" xfId="25456" xr:uid="{00000000-0005-0000-0000-0000AB8E0000}"/>
    <cellStyle name="Separador de milhares 5 2 3 3 2" xfId="39660" xr:uid="{00000000-0005-0000-0000-0000AC8E0000}"/>
    <cellStyle name="Separador de milhares 5 2 3 4" xfId="25457" xr:uid="{00000000-0005-0000-0000-0000AD8E0000}"/>
    <cellStyle name="Separador de milhares 5 2 3 4 2" xfId="39661" xr:uid="{00000000-0005-0000-0000-0000AE8E0000}"/>
    <cellStyle name="Separador de milhares 5 2 3 5" xfId="25458" xr:uid="{00000000-0005-0000-0000-0000AF8E0000}"/>
    <cellStyle name="Separador de milhares 5 2 3 5 2" xfId="39662" xr:uid="{00000000-0005-0000-0000-0000B08E0000}"/>
    <cellStyle name="Separador de milhares 5 2 3 6" xfId="25459" xr:uid="{00000000-0005-0000-0000-0000B18E0000}"/>
    <cellStyle name="Separador de milhares 5 2 3 6 2" xfId="39663" xr:uid="{00000000-0005-0000-0000-0000B28E0000}"/>
    <cellStyle name="Separador de milhares 5 2 3 7" xfId="39654" xr:uid="{00000000-0005-0000-0000-0000B38E0000}"/>
    <cellStyle name="Separador de milhares 5 2 4" xfId="25460" xr:uid="{00000000-0005-0000-0000-0000B48E0000}"/>
    <cellStyle name="Separador de milhares 5 2 4 2" xfId="25461" xr:uid="{00000000-0005-0000-0000-0000B58E0000}"/>
    <cellStyle name="Separador de milhares 5 2 4 2 2" xfId="25462" xr:uid="{00000000-0005-0000-0000-0000B68E0000}"/>
    <cellStyle name="Separador de milhares 5 2 4 2 2 2" xfId="39666" xr:uid="{00000000-0005-0000-0000-0000B78E0000}"/>
    <cellStyle name="Separador de milhares 5 2 4 2 3" xfId="25463" xr:uid="{00000000-0005-0000-0000-0000B88E0000}"/>
    <cellStyle name="Separador de milhares 5 2 4 2 3 2" xfId="39667" xr:uid="{00000000-0005-0000-0000-0000B98E0000}"/>
    <cellStyle name="Separador de milhares 5 2 4 2 4" xfId="25464" xr:uid="{00000000-0005-0000-0000-0000BA8E0000}"/>
    <cellStyle name="Separador de milhares 5 2 4 2 4 2" xfId="39668" xr:uid="{00000000-0005-0000-0000-0000BB8E0000}"/>
    <cellStyle name="Separador de milhares 5 2 4 2 5" xfId="25465" xr:uid="{00000000-0005-0000-0000-0000BC8E0000}"/>
    <cellStyle name="Separador de milhares 5 2 4 2 5 2" xfId="39669" xr:uid="{00000000-0005-0000-0000-0000BD8E0000}"/>
    <cellStyle name="Separador de milhares 5 2 4 2 6" xfId="39665" xr:uid="{00000000-0005-0000-0000-0000BE8E0000}"/>
    <cellStyle name="Separador de milhares 5 2 4 3" xfId="25466" xr:uid="{00000000-0005-0000-0000-0000BF8E0000}"/>
    <cellStyle name="Separador de milhares 5 2 4 3 2" xfId="39670" xr:uid="{00000000-0005-0000-0000-0000C08E0000}"/>
    <cellStyle name="Separador de milhares 5 2 4 4" xfId="25467" xr:uid="{00000000-0005-0000-0000-0000C18E0000}"/>
    <cellStyle name="Separador de milhares 5 2 4 4 2" xfId="39671" xr:uid="{00000000-0005-0000-0000-0000C28E0000}"/>
    <cellStyle name="Separador de milhares 5 2 4 5" xfId="25468" xr:uid="{00000000-0005-0000-0000-0000C38E0000}"/>
    <cellStyle name="Separador de milhares 5 2 4 5 2" xfId="39672" xr:uid="{00000000-0005-0000-0000-0000C48E0000}"/>
    <cellStyle name="Separador de milhares 5 2 4 6" xfId="25469" xr:uid="{00000000-0005-0000-0000-0000C58E0000}"/>
    <cellStyle name="Separador de milhares 5 2 4 6 2" xfId="39673" xr:uid="{00000000-0005-0000-0000-0000C68E0000}"/>
    <cellStyle name="Separador de milhares 5 2 4 7" xfId="39664" xr:uid="{00000000-0005-0000-0000-0000C78E0000}"/>
    <cellStyle name="Separador de milhares 5 2 5" xfId="25470" xr:uid="{00000000-0005-0000-0000-0000C88E0000}"/>
    <cellStyle name="Separador de milhares 5 2 5 2" xfId="25471" xr:uid="{00000000-0005-0000-0000-0000C98E0000}"/>
    <cellStyle name="Separador de milhares 5 2 5 2 2" xfId="39675" xr:uid="{00000000-0005-0000-0000-0000CA8E0000}"/>
    <cellStyle name="Separador de milhares 5 2 5 3" xfId="25472" xr:uid="{00000000-0005-0000-0000-0000CB8E0000}"/>
    <cellStyle name="Separador de milhares 5 2 5 3 2" xfId="39676" xr:uid="{00000000-0005-0000-0000-0000CC8E0000}"/>
    <cellStyle name="Separador de milhares 5 2 5 4" xfId="25473" xr:uid="{00000000-0005-0000-0000-0000CD8E0000}"/>
    <cellStyle name="Separador de milhares 5 2 5 4 2" xfId="39677" xr:uid="{00000000-0005-0000-0000-0000CE8E0000}"/>
    <cellStyle name="Separador de milhares 5 2 5 5" xfId="25474" xr:uid="{00000000-0005-0000-0000-0000CF8E0000}"/>
    <cellStyle name="Separador de milhares 5 2 5 5 2" xfId="39678" xr:uid="{00000000-0005-0000-0000-0000D08E0000}"/>
    <cellStyle name="Separador de milhares 5 2 5 6" xfId="39674" xr:uid="{00000000-0005-0000-0000-0000D18E0000}"/>
    <cellStyle name="Separador de milhares 5 2 6" xfId="25475" xr:uid="{00000000-0005-0000-0000-0000D28E0000}"/>
    <cellStyle name="Separador de milhares 5 2 6 2" xfId="25476" xr:uid="{00000000-0005-0000-0000-0000D38E0000}"/>
    <cellStyle name="Separador de milhares 5 2 6 2 2" xfId="39680" xr:uid="{00000000-0005-0000-0000-0000D48E0000}"/>
    <cellStyle name="Separador de milhares 5 2 6 3" xfId="25477" xr:uid="{00000000-0005-0000-0000-0000D58E0000}"/>
    <cellStyle name="Separador de milhares 5 2 6 3 2" xfId="39681" xr:uid="{00000000-0005-0000-0000-0000D68E0000}"/>
    <cellStyle name="Separador de milhares 5 2 6 4" xfId="25478" xr:uid="{00000000-0005-0000-0000-0000D78E0000}"/>
    <cellStyle name="Separador de milhares 5 2 6 4 2" xfId="39682" xr:uid="{00000000-0005-0000-0000-0000D88E0000}"/>
    <cellStyle name="Separador de milhares 5 2 6 5" xfId="25479" xr:uid="{00000000-0005-0000-0000-0000D98E0000}"/>
    <cellStyle name="Separador de milhares 5 2 6 5 2" xfId="39683" xr:uid="{00000000-0005-0000-0000-0000DA8E0000}"/>
    <cellStyle name="Separador de milhares 5 2 6 6" xfId="39679" xr:uid="{00000000-0005-0000-0000-0000DB8E0000}"/>
    <cellStyle name="Separador de milhares 5 2 7" xfId="25480" xr:uid="{00000000-0005-0000-0000-0000DC8E0000}"/>
    <cellStyle name="Separador de milhares 5 2 7 2" xfId="25481" xr:uid="{00000000-0005-0000-0000-0000DD8E0000}"/>
    <cellStyle name="Separador de milhares 5 2 7 2 2" xfId="39685" xr:uid="{00000000-0005-0000-0000-0000DE8E0000}"/>
    <cellStyle name="Separador de milhares 5 2 7 3" xfId="25482" xr:uid="{00000000-0005-0000-0000-0000DF8E0000}"/>
    <cellStyle name="Separador de milhares 5 2 7 3 2" xfId="39686" xr:uid="{00000000-0005-0000-0000-0000E08E0000}"/>
    <cellStyle name="Separador de milhares 5 2 7 4" xfId="25483" xr:uid="{00000000-0005-0000-0000-0000E18E0000}"/>
    <cellStyle name="Separador de milhares 5 2 7 4 2" xfId="39687" xr:uid="{00000000-0005-0000-0000-0000E28E0000}"/>
    <cellStyle name="Separador de milhares 5 2 7 5" xfId="25484" xr:uid="{00000000-0005-0000-0000-0000E38E0000}"/>
    <cellStyle name="Separador de milhares 5 2 7 5 2" xfId="39688" xr:uid="{00000000-0005-0000-0000-0000E48E0000}"/>
    <cellStyle name="Separador de milhares 5 2 7 6" xfId="39684" xr:uid="{00000000-0005-0000-0000-0000E58E0000}"/>
    <cellStyle name="Separador de milhares 5 2 8" xfId="25485" xr:uid="{00000000-0005-0000-0000-0000E68E0000}"/>
    <cellStyle name="Separador de milhares 5 2 8 2" xfId="25486" xr:uid="{00000000-0005-0000-0000-0000E78E0000}"/>
    <cellStyle name="Separador de milhares 5 2 8 2 2" xfId="39690" xr:uid="{00000000-0005-0000-0000-0000E88E0000}"/>
    <cellStyle name="Separador de milhares 5 2 8 3" xfId="25487" xr:uid="{00000000-0005-0000-0000-0000E98E0000}"/>
    <cellStyle name="Separador de milhares 5 2 8 3 2" xfId="39691" xr:uid="{00000000-0005-0000-0000-0000EA8E0000}"/>
    <cellStyle name="Separador de milhares 5 2 8 4" xfId="25488" xr:uid="{00000000-0005-0000-0000-0000EB8E0000}"/>
    <cellStyle name="Separador de milhares 5 2 8 4 2" xfId="39692" xr:uid="{00000000-0005-0000-0000-0000EC8E0000}"/>
    <cellStyle name="Separador de milhares 5 2 8 5" xfId="25489" xr:uid="{00000000-0005-0000-0000-0000ED8E0000}"/>
    <cellStyle name="Separador de milhares 5 2 8 5 2" xfId="39693" xr:uid="{00000000-0005-0000-0000-0000EE8E0000}"/>
    <cellStyle name="Separador de milhares 5 2 8 6" xfId="39689" xr:uid="{00000000-0005-0000-0000-0000EF8E0000}"/>
    <cellStyle name="Separador de milhares 5 2 9" xfId="25490" xr:uid="{00000000-0005-0000-0000-0000F08E0000}"/>
    <cellStyle name="Separador de milhares 5 2 9 2" xfId="25491" xr:uid="{00000000-0005-0000-0000-0000F18E0000}"/>
    <cellStyle name="Separador de milhares 5 2 9 2 2" xfId="39695" xr:uid="{00000000-0005-0000-0000-0000F28E0000}"/>
    <cellStyle name="Separador de milhares 5 2 9 3" xfId="25492" xr:uid="{00000000-0005-0000-0000-0000F38E0000}"/>
    <cellStyle name="Separador de milhares 5 2 9 3 2" xfId="39696" xr:uid="{00000000-0005-0000-0000-0000F48E0000}"/>
    <cellStyle name="Separador de milhares 5 2 9 4" xfId="25493" xr:uid="{00000000-0005-0000-0000-0000F58E0000}"/>
    <cellStyle name="Separador de milhares 5 2 9 4 2" xfId="39697" xr:uid="{00000000-0005-0000-0000-0000F68E0000}"/>
    <cellStyle name="Separador de milhares 5 2 9 5" xfId="25494" xr:uid="{00000000-0005-0000-0000-0000F78E0000}"/>
    <cellStyle name="Separador de milhares 5 2 9 5 2" xfId="39698" xr:uid="{00000000-0005-0000-0000-0000F88E0000}"/>
    <cellStyle name="Separador de milhares 5 2 9 6" xfId="39694" xr:uid="{00000000-0005-0000-0000-0000F98E0000}"/>
    <cellStyle name="Separador de milhares 5 20" xfId="25495" xr:uid="{00000000-0005-0000-0000-0000FA8E0000}"/>
    <cellStyle name="Separador de milhares 5 21" xfId="25496" xr:uid="{00000000-0005-0000-0000-0000FB8E0000}"/>
    <cellStyle name="Separador de milhares 5 22" xfId="25497" xr:uid="{00000000-0005-0000-0000-0000FC8E0000}"/>
    <cellStyle name="Separador de milhares 5 23" xfId="25498" xr:uid="{00000000-0005-0000-0000-0000FD8E0000}"/>
    <cellStyle name="Separador de milhares 5 3" xfId="25499" xr:uid="{00000000-0005-0000-0000-0000FE8E0000}"/>
    <cellStyle name="Separador de milhares 5 3 10" xfId="25500" xr:uid="{00000000-0005-0000-0000-0000FF8E0000}"/>
    <cellStyle name="Separador de milhares 5 3 10 2" xfId="25501" xr:uid="{00000000-0005-0000-0000-0000008F0000}"/>
    <cellStyle name="Separador de milhares 5 3 10 2 2" xfId="39701" xr:uid="{00000000-0005-0000-0000-0000018F0000}"/>
    <cellStyle name="Separador de milhares 5 3 10 3" xfId="25502" xr:uid="{00000000-0005-0000-0000-0000028F0000}"/>
    <cellStyle name="Separador de milhares 5 3 10 3 2" xfId="39702" xr:uid="{00000000-0005-0000-0000-0000038F0000}"/>
    <cellStyle name="Separador de milhares 5 3 10 4" xfId="25503" xr:uid="{00000000-0005-0000-0000-0000048F0000}"/>
    <cellStyle name="Separador de milhares 5 3 10 4 2" xfId="39703" xr:uid="{00000000-0005-0000-0000-0000058F0000}"/>
    <cellStyle name="Separador de milhares 5 3 10 5" xfId="25504" xr:uid="{00000000-0005-0000-0000-0000068F0000}"/>
    <cellStyle name="Separador de milhares 5 3 10 5 2" xfId="39704" xr:uid="{00000000-0005-0000-0000-0000078F0000}"/>
    <cellStyle name="Separador de milhares 5 3 10 6" xfId="39700" xr:uid="{00000000-0005-0000-0000-0000088F0000}"/>
    <cellStyle name="Separador de milhares 5 3 11" xfId="25505" xr:uid="{00000000-0005-0000-0000-0000098F0000}"/>
    <cellStyle name="Separador de milhares 5 3 11 2" xfId="25506" xr:uid="{00000000-0005-0000-0000-00000A8F0000}"/>
    <cellStyle name="Separador de milhares 5 3 11 2 2" xfId="39706" xr:uid="{00000000-0005-0000-0000-00000B8F0000}"/>
    <cellStyle name="Separador de milhares 5 3 11 3" xfId="25507" xr:uid="{00000000-0005-0000-0000-00000C8F0000}"/>
    <cellStyle name="Separador de milhares 5 3 11 3 2" xfId="39707" xr:uid="{00000000-0005-0000-0000-00000D8F0000}"/>
    <cellStyle name="Separador de milhares 5 3 11 4" xfId="25508" xr:uid="{00000000-0005-0000-0000-00000E8F0000}"/>
    <cellStyle name="Separador de milhares 5 3 11 4 2" xfId="39708" xr:uid="{00000000-0005-0000-0000-00000F8F0000}"/>
    <cellStyle name="Separador de milhares 5 3 11 5" xfId="25509" xr:uid="{00000000-0005-0000-0000-0000108F0000}"/>
    <cellStyle name="Separador de milhares 5 3 11 5 2" xfId="39709" xr:uid="{00000000-0005-0000-0000-0000118F0000}"/>
    <cellStyle name="Separador de milhares 5 3 11 6" xfId="39705" xr:uid="{00000000-0005-0000-0000-0000128F0000}"/>
    <cellStyle name="Separador de milhares 5 3 12" xfId="25510" xr:uid="{00000000-0005-0000-0000-0000138F0000}"/>
    <cellStyle name="Separador de milhares 5 3 12 2" xfId="25511" xr:uid="{00000000-0005-0000-0000-0000148F0000}"/>
    <cellStyle name="Separador de milhares 5 3 12 2 2" xfId="39711" xr:uid="{00000000-0005-0000-0000-0000158F0000}"/>
    <cellStyle name="Separador de milhares 5 3 12 3" xfId="25512" xr:uid="{00000000-0005-0000-0000-0000168F0000}"/>
    <cellStyle name="Separador de milhares 5 3 12 3 2" xfId="39712" xr:uid="{00000000-0005-0000-0000-0000178F0000}"/>
    <cellStyle name="Separador de milhares 5 3 12 4" xfId="25513" xr:uid="{00000000-0005-0000-0000-0000188F0000}"/>
    <cellStyle name="Separador de milhares 5 3 12 4 2" xfId="39713" xr:uid="{00000000-0005-0000-0000-0000198F0000}"/>
    <cellStyle name="Separador de milhares 5 3 12 5" xfId="25514" xr:uid="{00000000-0005-0000-0000-00001A8F0000}"/>
    <cellStyle name="Separador de milhares 5 3 12 5 2" xfId="39714" xr:uid="{00000000-0005-0000-0000-00001B8F0000}"/>
    <cellStyle name="Separador de milhares 5 3 12 6" xfId="39710" xr:uid="{00000000-0005-0000-0000-00001C8F0000}"/>
    <cellStyle name="Separador de milhares 5 3 13" xfId="25515" xr:uid="{00000000-0005-0000-0000-00001D8F0000}"/>
    <cellStyle name="Separador de milhares 5 3 13 2" xfId="25516" xr:uid="{00000000-0005-0000-0000-00001E8F0000}"/>
    <cellStyle name="Separador de milhares 5 3 13 2 2" xfId="39716" xr:uid="{00000000-0005-0000-0000-00001F8F0000}"/>
    <cellStyle name="Separador de milhares 5 3 13 3" xfId="25517" xr:uid="{00000000-0005-0000-0000-0000208F0000}"/>
    <cellStyle name="Separador de milhares 5 3 13 3 2" xfId="39717" xr:uid="{00000000-0005-0000-0000-0000218F0000}"/>
    <cellStyle name="Separador de milhares 5 3 13 4" xfId="25518" xr:uid="{00000000-0005-0000-0000-0000228F0000}"/>
    <cellStyle name="Separador de milhares 5 3 13 4 2" xfId="39718" xr:uid="{00000000-0005-0000-0000-0000238F0000}"/>
    <cellStyle name="Separador de milhares 5 3 13 5" xfId="25519" xr:uid="{00000000-0005-0000-0000-0000248F0000}"/>
    <cellStyle name="Separador de milhares 5 3 13 5 2" xfId="39719" xr:uid="{00000000-0005-0000-0000-0000258F0000}"/>
    <cellStyle name="Separador de milhares 5 3 13 6" xfId="39715" xr:uid="{00000000-0005-0000-0000-0000268F0000}"/>
    <cellStyle name="Separador de milhares 5 3 14" xfId="25520" xr:uid="{00000000-0005-0000-0000-0000278F0000}"/>
    <cellStyle name="Separador de milhares 5 3 14 2" xfId="25521" xr:uid="{00000000-0005-0000-0000-0000288F0000}"/>
    <cellStyle name="Separador de milhares 5 3 14 2 2" xfId="39721" xr:uid="{00000000-0005-0000-0000-0000298F0000}"/>
    <cellStyle name="Separador de milhares 5 3 14 3" xfId="25522" xr:uid="{00000000-0005-0000-0000-00002A8F0000}"/>
    <cellStyle name="Separador de milhares 5 3 14 3 2" xfId="39722" xr:uid="{00000000-0005-0000-0000-00002B8F0000}"/>
    <cellStyle name="Separador de milhares 5 3 14 4" xfId="25523" xr:uid="{00000000-0005-0000-0000-00002C8F0000}"/>
    <cellStyle name="Separador de milhares 5 3 14 4 2" xfId="39723" xr:uid="{00000000-0005-0000-0000-00002D8F0000}"/>
    <cellStyle name="Separador de milhares 5 3 14 5" xfId="25524" xr:uid="{00000000-0005-0000-0000-00002E8F0000}"/>
    <cellStyle name="Separador de milhares 5 3 14 5 2" xfId="39724" xr:uid="{00000000-0005-0000-0000-00002F8F0000}"/>
    <cellStyle name="Separador de milhares 5 3 14 6" xfId="39720" xr:uid="{00000000-0005-0000-0000-0000308F0000}"/>
    <cellStyle name="Separador de milhares 5 3 15" xfId="25525" xr:uid="{00000000-0005-0000-0000-0000318F0000}"/>
    <cellStyle name="Separador de milhares 5 3 15 2" xfId="25526" xr:uid="{00000000-0005-0000-0000-0000328F0000}"/>
    <cellStyle name="Separador de milhares 5 3 15 2 2" xfId="39726" xr:uid="{00000000-0005-0000-0000-0000338F0000}"/>
    <cellStyle name="Separador de milhares 5 3 15 3" xfId="25527" xr:uid="{00000000-0005-0000-0000-0000348F0000}"/>
    <cellStyle name="Separador de milhares 5 3 15 3 2" xfId="39727" xr:uid="{00000000-0005-0000-0000-0000358F0000}"/>
    <cellStyle name="Separador de milhares 5 3 15 4" xfId="25528" xr:uid="{00000000-0005-0000-0000-0000368F0000}"/>
    <cellStyle name="Separador de milhares 5 3 15 4 2" xfId="39728" xr:uid="{00000000-0005-0000-0000-0000378F0000}"/>
    <cellStyle name="Separador de milhares 5 3 15 5" xfId="25529" xr:uid="{00000000-0005-0000-0000-0000388F0000}"/>
    <cellStyle name="Separador de milhares 5 3 15 5 2" xfId="39729" xr:uid="{00000000-0005-0000-0000-0000398F0000}"/>
    <cellStyle name="Separador de milhares 5 3 15 6" xfId="39725" xr:uid="{00000000-0005-0000-0000-00003A8F0000}"/>
    <cellStyle name="Separador de milhares 5 3 16" xfId="25530" xr:uid="{00000000-0005-0000-0000-00003B8F0000}"/>
    <cellStyle name="Separador de milhares 5 3 16 2" xfId="25531" xr:uid="{00000000-0005-0000-0000-00003C8F0000}"/>
    <cellStyle name="Separador de milhares 5 3 16 2 2" xfId="39731" xr:uid="{00000000-0005-0000-0000-00003D8F0000}"/>
    <cellStyle name="Separador de milhares 5 3 16 3" xfId="25532" xr:uid="{00000000-0005-0000-0000-00003E8F0000}"/>
    <cellStyle name="Separador de milhares 5 3 16 3 2" xfId="39732" xr:uid="{00000000-0005-0000-0000-00003F8F0000}"/>
    <cellStyle name="Separador de milhares 5 3 16 4" xfId="25533" xr:uid="{00000000-0005-0000-0000-0000408F0000}"/>
    <cellStyle name="Separador de milhares 5 3 16 4 2" xfId="39733" xr:uid="{00000000-0005-0000-0000-0000418F0000}"/>
    <cellStyle name="Separador de milhares 5 3 16 5" xfId="25534" xr:uid="{00000000-0005-0000-0000-0000428F0000}"/>
    <cellStyle name="Separador de milhares 5 3 16 5 2" xfId="39734" xr:uid="{00000000-0005-0000-0000-0000438F0000}"/>
    <cellStyle name="Separador de milhares 5 3 16 6" xfId="39730" xr:uid="{00000000-0005-0000-0000-0000448F0000}"/>
    <cellStyle name="Separador de milhares 5 3 17" xfId="25535" xr:uid="{00000000-0005-0000-0000-0000458F0000}"/>
    <cellStyle name="Separador de milhares 5 3 17 2" xfId="39735" xr:uid="{00000000-0005-0000-0000-0000468F0000}"/>
    <cellStyle name="Separador de milhares 5 3 18" xfId="25536" xr:uid="{00000000-0005-0000-0000-0000478F0000}"/>
    <cellStyle name="Separador de milhares 5 3 18 2" xfId="39736" xr:uid="{00000000-0005-0000-0000-0000488F0000}"/>
    <cellStyle name="Separador de milhares 5 3 19" xfId="25537" xr:uid="{00000000-0005-0000-0000-0000498F0000}"/>
    <cellStyle name="Separador de milhares 5 3 19 2" xfId="39737" xr:uid="{00000000-0005-0000-0000-00004A8F0000}"/>
    <cellStyle name="Separador de milhares 5 3 2" xfId="25538" xr:uid="{00000000-0005-0000-0000-00004B8F0000}"/>
    <cellStyle name="Separador de milhares 5 3 2 10" xfId="25539" xr:uid="{00000000-0005-0000-0000-00004C8F0000}"/>
    <cellStyle name="Separador de milhares 5 3 2 10 2" xfId="39739" xr:uid="{00000000-0005-0000-0000-00004D8F0000}"/>
    <cellStyle name="Separador de milhares 5 3 2 11" xfId="25540" xr:uid="{00000000-0005-0000-0000-00004E8F0000}"/>
    <cellStyle name="Separador de milhares 5 3 2 11 2" xfId="39740" xr:uid="{00000000-0005-0000-0000-00004F8F0000}"/>
    <cellStyle name="Separador de milhares 5 3 2 12" xfId="39738" xr:uid="{00000000-0005-0000-0000-0000508F0000}"/>
    <cellStyle name="Separador de milhares 5 3 2 2" xfId="25541" xr:uid="{00000000-0005-0000-0000-0000518F0000}"/>
    <cellStyle name="Separador de milhares 5 3 2 2 2" xfId="25542" xr:uid="{00000000-0005-0000-0000-0000528F0000}"/>
    <cellStyle name="Separador de milhares 5 3 2 2 2 2" xfId="39742" xr:uid="{00000000-0005-0000-0000-0000538F0000}"/>
    <cellStyle name="Separador de milhares 5 3 2 2 3" xfId="25543" xr:uid="{00000000-0005-0000-0000-0000548F0000}"/>
    <cellStyle name="Separador de milhares 5 3 2 2 3 2" xfId="39743" xr:uid="{00000000-0005-0000-0000-0000558F0000}"/>
    <cellStyle name="Separador de milhares 5 3 2 2 4" xfId="25544" xr:uid="{00000000-0005-0000-0000-0000568F0000}"/>
    <cellStyle name="Separador de milhares 5 3 2 2 4 2" xfId="39744" xr:uid="{00000000-0005-0000-0000-0000578F0000}"/>
    <cellStyle name="Separador de milhares 5 3 2 2 5" xfId="25545" xr:uid="{00000000-0005-0000-0000-0000588F0000}"/>
    <cellStyle name="Separador de milhares 5 3 2 2 5 2" xfId="39745" xr:uid="{00000000-0005-0000-0000-0000598F0000}"/>
    <cellStyle name="Separador de milhares 5 3 2 2 6" xfId="39741" xr:uid="{00000000-0005-0000-0000-00005A8F0000}"/>
    <cellStyle name="Separador de milhares 5 3 2 3" xfId="25546" xr:uid="{00000000-0005-0000-0000-00005B8F0000}"/>
    <cellStyle name="Separador de milhares 5 3 2 3 2" xfId="25547" xr:uid="{00000000-0005-0000-0000-00005C8F0000}"/>
    <cellStyle name="Separador de milhares 5 3 2 3 2 2" xfId="39747" xr:uid="{00000000-0005-0000-0000-00005D8F0000}"/>
    <cellStyle name="Separador de milhares 5 3 2 3 3" xfId="25548" xr:uid="{00000000-0005-0000-0000-00005E8F0000}"/>
    <cellStyle name="Separador de milhares 5 3 2 3 3 2" xfId="39748" xr:uid="{00000000-0005-0000-0000-00005F8F0000}"/>
    <cellStyle name="Separador de milhares 5 3 2 3 4" xfId="25549" xr:uid="{00000000-0005-0000-0000-0000608F0000}"/>
    <cellStyle name="Separador de milhares 5 3 2 3 4 2" xfId="39749" xr:uid="{00000000-0005-0000-0000-0000618F0000}"/>
    <cellStyle name="Separador de milhares 5 3 2 3 5" xfId="25550" xr:uid="{00000000-0005-0000-0000-0000628F0000}"/>
    <cellStyle name="Separador de milhares 5 3 2 3 5 2" xfId="39750" xr:uid="{00000000-0005-0000-0000-0000638F0000}"/>
    <cellStyle name="Separador de milhares 5 3 2 3 6" xfId="39746" xr:uid="{00000000-0005-0000-0000-0000648F0000}"/>
    <cellStyle name="Separador de milhares 5 3 2 4" xfId="25551" xr:uid="{00000000-0005-0000-0000-0000658F0000}"/>
    <cellStyle name="Separador de milhares 5 3 2 4 2" xfId="25552" xr:uid="{00000000-0005-0000-0000-0000668F0000}"/>
    <cellStyle name="Separador de milhares 5 3 2 4 2 2" xfId="39752" xr:uid="{00000000-0005-0000-0000-0000678F0000}"/>
    <cellStyle name="Separador de milhares 5 3 2 4 3" xfId="25553" xr:uid="{00000000-0005-0000-0000-0000688F0000}"/>
    <cellStyle name="Separador de milhares 5 3 2 4 3 2" xfId="39753" xr:uid="{00000000-0005-0000-0000-0000698F0000}"/>
    <cellStyle name="Separador de milhares 5 3 2 4 4" xfId="25554" xr:uid="{00000000-0005-0000-0000-00006A8F0000}"/>
    <cellStyle name="Separador de milhares 5 3 2 4 4 2" xfId="39754" xr:uid="{00000000-0005-0000-0000-00006B8F0000}"/>
    <cellStyle name="Separador de milhares 5 3 2 4 5" xfId="25555" xr:uid="{00000000-0005-0000-0000-00006C8F0000}"/>
    <cellStyle name="Separador de milhares 5 3 2 4 5 2" xfId="39755" xr:uid="{00000000-0005-0000-0000-00006D8F0000}"/>
    <cellStyle name="Separador de milhares 5 3 2 4 6" xfId="39751" xr:uid="{00000000-0005-0000-0000-00006E8F0000}"/>
    <cellStyle name="Separador de milhares 5 3 2 5" xfId="25556" xr:uid="{00000000-0005-0000-0000-00006F8F0000}"/>
    <cellStyle name="Separador de milhares 5 3 2 5 2" xfId="25557" xr:uid="{00000000-0005-0000-0000-0000708F0000}"/>
    <cellStyle name="Separador de milhares 5 3 2 5 2 2" xfId="39757" xr:uid="{00000000-0005-0000-0000-0000718F0000}"/>
    <cellStyle name="Separador de milhares 5 3 2 5 3" xfId="25558" xr:uid="{00000000-0005-0000-0000-0000728F0000}"/>
    <cellStyle name="Separador de milhares 5 3 2 5 3 2" xfId="39758" xr:uid="{00000000-0005-0000-0000-0000738F0000}"/>
    <cellStyle name="Separador de milhares 5 3 2 5 4" xfId="25559" xr:uid="{00000000-0005-0000-0000-0000748F0000}"/>
    <cellStyle name="Separador de milhares 5 3 2 5 4 2" xfId="39759" xr:uid="{00000000-0005-0000-0000-0000758F0000}"/>
    <cellStyle name="Separador de milhares 5 3 2 5 5" xfId="25560" xr:uid="{00000000-0005-0000-0000-0000768F0000}"/>
    <cellStyle name="Separador de milhares 5 3 2 5 5 2" xfId="39760" xr:uid="{00000000-0005-0000-0000-0000778F0000}"/>
    <cellStyle name="Separador de milhares 5 3 2 5 6" xfId="39756" xr:uid="{00000000-0005-0000-0000-0000788F0000}"/>
    <cellStyle name="Separador de milhares 5 3 2 6" xfId="25561" xr:uid="{00000000-0005-0000-0000-0000798F0000}"/>
    <cellStyle name="Separador de milhares 5 3 2 6 2" xfId="25562" xr:uid="{00000000-0005-0000-0000-00007A8F0000}"/>
    <cellStyle name="Separador de milhares 5 3 2 6 2 2" xfId="39762" xr:uid="{00000000-0005-0000-0000-00007B8F0000}"/>
    <cellStyle name="Separador de milhares 5 3 2 6 3" xfId="25563" xr:uid="{00000000-0005-0000-0000-00007C8F0000}"/>
    <cellStyle name="Separador de milhares 5 3 2 6 3 2" xfId="39763" xr:uid="{00000000-0005-0000-0000-00007D8F0000}"/>
    <cellStyle name="Separador de milhares 5 3 2 6 4" xfId="25564" xr:uid="{00000000-0005-0000-0000-00007E8F0000}"/>
    <cellStyle name="Separador de milhares 5 3 2 6 4 2" xfId="39764" xr:uid="{00000000-0005-0000-0000-00007F8F0000}"/>
    <cellStyle name="Separador de milhares 5 3 2 6 5" xfId="25565" xr:uid="{00000000-0005-0000-0000-0000808F0000}"/>
    <cellStyle name="Separador de milhares 5 3 2 6 5 2" xfId="39765" xr:uid="{00000000-0005-0000-0000-0000818F0000}"/>
    <cellStyle name="Separador de milhares 5 3 2 6 6" xfId="39761" xr:uid="{00000000-0005-0000-0000-0000828F0000}"/>
    <cellStyle name="Separador de milhares 5 3 2 7" xfId="25566" xr:uid="{00000000-0005-0000-0000-0000838F0000}"/>
    <cellStyle name="Separador de milhares 5 3 2 7 2" xfId="25567" xr:uid="{00000000-0005-0000-0000-0000848F0000}"/>
    <cellStyle name="Separador de milhares 5 3 2 7 2 2" xfId="39767" xr:uid="{00000000-0005-0000-0000-0000858F0000}"/>
    <cellStyle name="Separador de milhares 5 3 2 7 3" xfId="25568" xr:uid="{00000000-0005-0000-0000-0000868F0000}"/>
    <cellStyle name="Separador de milhares 5 3 2 7 3 2" xfId="39768" xr:uid="{00000000-0005-0000-0000-0000878F0000}"/>
    <cellStyle name="Separador de milhares 5 3 2 7 4" xfId="25569" xr:uid="{00000000-0005-0000-0000-0000888F0000}"/>
    <cellStyle name="Separador de milhares 5 3 2 7 4 2" xfId="39769" xr:uid="{00000000-0005-0000-0000-0000898F0000}"/>
    <cellStyle name="Separador de milhares 5 3 2 7 5" xfId="25570" xr:uid="{00000000-0005-0000-0000-00008A8F0000}"/>
    <cellStyle name="Separador de milhares 5 3 2 7 5 2" xfId="39770" xr:uid="{00000000-0005-0000-0000-00008B8F0000}"/>
    <cellStyle name="Separador de milhares 5 3 2 7 6" xfId="39766" xr:uid="{00000000-0005-0000-0000-00008C8F0000}"/>
    <cellStyle name="Separador de milhares 5 3 2 8" xfId="25571" xr:uid="{00000000-0005-0000-0000-00008D8F0000}"/>
    <cellStyle name="Separador de milhares 5 3 2 8 2" xfId="39771" xr:uid="{00000000-0005-0000-0000-00008E8F0000}"/>
    <cellStyle name="Separador de milhares 5 3 2 9" xfId="25572" xr:uid="{00000000-0005-0000-0000-00008F8F0000}"/>
    <cellStyle name="Separador de milhares 5 3 2 9 2" xfId="39772" xr:uid="{00000000-0005-0000-0000-0000908F0000}"/>
    <cellStyle name="Separador de milhares 5 3 20" xfId="25573" xr:uid="{00000000-0005-0000-0000-0000918F0000}"/>
    <cellStyle name="Separador de milhares 5 3 20 2" xfId="39773" xr:uid="{00000000-0005-0000-0000-0000928F0000}"/>
    <cellStyle name="Separador de milhares 5 3 21" xfId="39699" xr:uid="{00000000-0005-0000-0000-0000938F0000}"/>
    <cellStyle name="Separador de milhares 5 3 3" xfId="25574" xr:uid="{00000000-0005-0000-0000-0000948F0000}"/>
    <cellStyle name="Separador de milhares 5 3 3 2" xfId="25575" xr:uid="{00000000-0005-0000-0000-0000958F0000}"/>
    <cellStyle name="Separador de milhares 5 3 3 2 2" xfId="25576" xr:uid="{00000000-0005-0000-0000-0000968F0000}"/>
    <cellStyle name="Separador de milhares 5 3 3 2 2 2" xfId="39776" xr:uid="{00000000-0005-0000-0000-0000978F0000}"/>
    <cellStyle name="Separador de milhares 5 3 3 2 3" xfId="25577" xr:uid="{00000000-0005-0000-0000-0000988F0000}"/>
    <cellStyle name="Separador de milhares 5 3 3 2 3 2" xfId="39777" xr:uid="{00000000-0005-0000-0000-0000998F0000}"/>
    <cellStyle name="Separador de milhares 5 3 3 2 4" xfId="25578" xr:uid="{00000000-0005-0000-0000-00009A8F0000}"/>
    <cellStyle name="Separador de milhares 5 3 3 2 4 2" xfId="39778" xr:uid="{00000000-0005-0000-0000-00009B8F0000}"/>
    <cellStyle name="Separador de milhares 5 3 3 2 5" xfId="25579" xr:uid="{00000000-0005-0000-0000-00009C8F0000}"/>
    <cellStyle name="Separador de milhares 5 3 3 2 5 2" xfId="39779" xr:uid="{00000000-0005-0000-0000-00009D8F0000}"/>
    <cellStyle name="Separador de milhares 5 3 3 2 6" xfId="39775" xr:uid="{00000000-0005-0000-0000-00009E8F0000}"/>
    <cellStyle name="Separador de milhares 5 3 3 3" xfId="25580" xr:uid="{00000000-0005-0000-0000-00009F8F0000}"/>
    <cellStyle name="Separador de milhares 5 3 3 3 2" xfId="39780" xr:uid="{00000000-0005-0000-0000-0000A08F0000}"/>
    <cellStyle name="Separador de milhares 5 3 3 4" xfId="25581" xr:uid="{00000000-0005-0000-0000-0000A18F0000}"/>
    <cellStyle name="Separador de milhares 5 3 3 4 2" xfId="39781" xr:uid="{00000000-0005-0000-0000-0000A28F0000}"/>
    <cellStyle name="Separador de milhares 5 3 3 5" xfId="25582" xr:uid="{00000000-0005-0000-0000-0000A38F0000}"/>
    <cellStyle name="Separador de milhares 5 3 3 5 2" xfId="39782" xr:uid="{00000000-0005-0000-0000-0000A48F0000}"/>
    <cellStyle name="Separador de milhares 5 3 3 6" xfId="25583" xr:uid="{00000000-0005-0000-0000-0000A58F0000}"/>
    <cellStyle name="Separador de milhares 5 3 3 6 2" xfId="39783" xr:uid="{00000000-0005-0000-0000-0000A68F0000}"/>
    <cellStyle name="Separador de milhares 5 3 3 7" xfId="39774" xr:uid="{00000000-0005-0000-0000-0000A78F0000}"/>
    <cellStyle name="Separador de milhares 5 3 4" xfId="25584" xr:uid="{00000000-0005-0000-0000-0000A88F0000}"/>
    <cellStyle name="Separador de milhares 5 3 4 2" xfId="25585" xr:uid="{00000000-0005-0000-0000-0000A98F0000}"/>
    <cellStyle name="Separador de milhares 5 3 4 2 2" xfId="25586" xr:uid="{00000000-0005-0000-0000-0000AA8F0000}"/>
    <cellStyle name="Separador de milhares 5 3 4 2 2 2" xfId="39786" xr:uid="{00000000-0005-0000-0000-0000AB8F0000}"/>
    <cellStyle name="Separador de milhares 5 3 4 2 3" xfId="25587" xr:uid="{00000000-0005-0000-0000-0000AC8F0000}"/>
    <cellStyle name="Separador de milhares 5 3 4 2 3 2" xfId="39787" xr:uid="{00000000-0005-0000-0000-0000AD8F0000}"/>
    <cellStyle name="Separador de milhares 5 3 4 2 4" xfId="25588" xr:uid="{00000000-0005-0000-0000-0000AE8F0000}"/>
    <cellStyle name="Separador de milhares 5 3 4 2 4 2" xfId="39788" xr:uid="{00000000-0005-0000-0000-0000AF8F0000}"/>
    <cellStyle name="Separador de milhares 5 3 4 2 5" xfId="25589" xr:uid="{00000000-0005-0000-0000-0000B08F0000}"/>
    <cellStyle name="Separador de milhares 5 3 4 2 5 2" xfId="39789" xr:uid="{00000000-0005-0000-0000-0000B18F0000}"/>
    <cellStyle name="Separador de milhares 5 3 4 2 6" xfId="39785" xr:uid="{00000000-0005-0000-0000-0000B28F0000}"/>
    <cellStyle name="Separador de milhares 5 3 4 3" xfId="25590" xr:uid="{00000000-0005-0000-0000-0000B38F0000}"/>
    <cellStyle name="Separador de milhares 5 3 4 3 2" xfId="39790" xr:uid="{00000000-0005-0000-0000-0000B48F0000}"/>
    <cellStyle name="Separador de milhares 5 3 4 4" xfId="25591" xr:uid="{00000000-0005-0000-0000-0000B58F0000}"/>
    <cellStyle name="Separador de milhares 5 3 4 4 2" xfId="39791" xr:uid="{00000000-0005-0000-0000-0000B68F0000}"/>
    <cellStyle name="Separador de milhares 5 3 4 5" xfId="25592" xr:uid="{00000000-0005-0000-0000-0000B78F0000}"/>
    <cellStyle name="Separador de milhares 5 3 4 5 2" xfId="39792" xr:uid="{00000000-0005-0000-0000-0000B88F0000}"/>
    <cellStyle name="Separador de milhares 5 3 4 6" xfId="25593" xr:uid="{00000000-0005-0000-0000-0000B98F0000}"/>
    <cellStyle name="Separador de milhares 5 3 4 6 2" xfId="39793" xr:uid="{00000000-0005-0000-0000-0000BA8F0000}"/>
    <cellStyle name="Separador de milhares 5 3 4 7" xfId="39784" xr:uid="{00000000-0005-0000-0000-0000BB8F0000}"/>
    <cellStyle name="Separador de milhares 5 3 5" xfId="25594" xr:uid="{00000000-0005-0000-0000-0000BC8F0000}"/>
    <cellStyle name="Separador de milhares 5 3 5 2" xfId="25595" xr:uid="{00000000-0005-0000-0000-0000BD8F0000}"/>
    <cellStyle name="Separador de milhares 5 3 5 2 2" xfId="39795" xr:uid="{00000000-0005-0000-0000-0000BE8F0000}"/>
    <cellStyle name="Separador de milhares 5 3 5 3" xfId="25596" xr:uid="{00000000-0005-0000-0000-0000BF8F0000}"/>
    <cellStyle name="Separador de milhares 5 3 5 3 2" xfId="39796" xr:uid="{00000000-0005-0000-0000-0000C08F0000}"/>
    <cellStyle name="Separador de milhares 5 3 5 4" xfId="25597" xr:uid="{00000000-0005-0000-0000-0000C18F0000}"/>
    <cellStyle name="Separador de milhares 5 3 5 4 2" xfId="39797" xr:uid="{00000000-0005-0000-0000-0000C28F0000}"/>
    <cellStyle name="Separador de milhares 5 3 5 5" xfId="25598" xr:uid="{00000000-0005-0000-0000-0000C38F0000}"/>
    <cellStyle name="Separador de milhares 5 3 5 5 2" xfId="39798" xr:uid="{00000000-0005-0000-0000-0000C48F0000}"/>
    <cellStyle name="Separador de milhares 5 3 5 6" xfId="39794" xr:uid="{00000000-0005-0000-0000-0000C58F0000}"/>
    <cellStyle name="Separador de milhares 5 3 6" xfId="25599" xr:uid="{00000000-0005-0000-0000-0000C68F0000}"/>
    <cellStyle name="Separador de milhares 5 3 6 2" xfId="25600" xr:uid="{00000000-0005-0000-0000-0000C78F0000}"/>
    <cellStyle name="Separador de milhares 5 3 6 2 2" xfId="39800" xr:uid="{00000000-0005-0000-0000-0000C88F0000}"/>
    <cellStyle name="Separador de milhares 5 3 6 3" xfId="25601" xr:uid="{00000000-0005-0000-0000-0000C98F0000}"/>
    <cellStyle name="Separador de milhares 5 3 6 3 2" xfId="39801" xr:uid="{00000000-0005-0000-0000-0000CA8F0000}"/>
    <cellStyle name="Separador de milhares 5 3 6 4" xfId="25602" xr:uid="{00000000-0005-0000-0000-0000CB8F0000}"/>
    <cellStyle name="Separador de milhares 5 3 6 4 2" xfId="39802" xr:uid="{00000000-0005-0000-0000-0000CC8F0000}"/>
    <cellStyle name="Separador de milhares 5 3 6 5" xfId="25603" xr:uid="{00000000-0005-0000-0000-0000CD8F0000}"/>
    <cellStyle name="Separador de milhares 5 3 6 5 2" xfId="39803" xr:uid="{00000000-0005-0000-0000-0000CE8F0000}"/>
    <cellStyle name="Separador de milhares 5 3 6 6" xfId="39799" xr:uid="{00000000-0005-0000-0000-0000CF8F0000}"/>
    <cellStyle name="Separador de milhares 5 3 7" xfId="25604" xr:uid="{00000000-0005-0000-0000-0000D08F0000}"/>
    <cellStyle name="Separador de milhares 5 3 7 2" xfId="25605" xr:uid="{00000000-0005-0000-0000-0000D18F0000}"/>
    <cellStyle name="Separador de milhares 5 3 7 2 2" xfId="39805" xr:uid="{00000000-0005-0000-0000-0000D28F0000}"/>
    <cellStyle name="Separador de milhares 5 3 7 3" xfId="25606" xr:uid="{00000000-0005-0000-0000-0000D38F0000}"/>
    <cellStyle name="Separador de milhares 5 3 7 3 2" xfId="39806" xr:uid="{00000000-0005-0000-0000-0000D48F0000}"/>
    <cellStyle name="Separador de milhares 5 3 7 4" xfId="25607" xr:uid="{00000000-0005-0000-0000-0000D58F0000}"/>
    <cellStyle name="Separador de milhares 5 3 7 4 2" xfId="39807" xr:uid="{00000000-0005-0000-0000-0000D68F0000}"/>
    <cellStyle name="Separador de milhares 5 3 7 5" xfId="25608" xr:uid="{00000000-0005-0000-0000-0000D78F0000}"/>
    <cellStyle name="Separador de milhares 5 3 7 5 2" xfId="39808" xr:uid="{00000000-0005-0000-0000-0000D88F0000}"/>
    <cellStyle name="Separador de milhares 5 3 7 6" xfId="39804" xr:uid="{00000000-0005-0000-0000-0000D98F0000}"/>
    <cellStyle name="Separador de milhares 5 3 8" xfId="25609" xr:uid="{00000000-0005-0000-0000-0000DA8F0000}"/>
    <cellStyle name="Separador de milhares 5 3 8 2" xfId="25610" xr:uid="{00000000-0005-0000-0000-0000DB8F0000}"/>
    <cellStyle name="Separador de milhares 5 3 8 2 2" xfId="39810" xr:uid="{00000000-0005-0000-0000-0000DC8F0000}"/>
    <cellStyle name="Separador de milhares 5 3 8 3" xfId="25611" xr:uid="{00000000-0005-0000-0000-0000DD8F0000}"/>
    <cellStyle name="Separador de milhares 5 3 8 3 2" xfId="39811" xr:uid="{00000000-0005-0000-0000-0000DE8F0000}"/>
    <cellStyle name="Separador de milhares 5 3 8 4" xfId="25612" xr:uid="{00000000-0005-0000-0000-0000DF8F0000}"/>
    <cellStyle name="Separador de milhares 5 3 8 4 2" xfId="39812" xr:uid="{00000000-0005-0000-0000-0000E08F0000}"/>
    <cellStyle name="Separador de milhares 5 3 8 5" xfId="25613" xr:uid="{00000000-0005-0000-0000-0000E18F0000}"/>
    <cellStyle name="Separador de milhares 5 3 8 5 2" xfId="39813" xr:uid="{00000000-0005-0000-0000-0000E28F0000}"/>
    <cellStyle name="Separador de milhares 5 3 8 6" xfId="39809" xr:uid="{00000000-0005-0000-0000-0000E38F0000}"/>
    <cellStyle name="Separador de milhares 5 3 9" xfId="25614" xr:uid="{00000000-0005-0000-0000-0000E48F0000}"/>
    <cellStyle name="Separador de milhares 5 3 9 2" xfId="25615" xr:uid="{00000000-0005-0000-0000-0000E58F0000}"/>
    <cellStyle name="Separador de milhares 5 3 9 2 2" xfId="39815" xr:uid="{00000000-0005-0000-0000-0000E68F0000}"/>
    <cellStyle name="Separador de milhares 5 3 9 3" xfId="25616" xr:uid="{00000000-0005-0000-0000-0000E78F0000}"/>
    <cellStyle name="Separador de milhares 5 3 9 3 2" xfId="39816" xr:uid="{00000000-0005-0000-0000-0000E88F0000}"/>
    <cellStyle name="Separador de milhares 5 3 9 4" xfId="25617" xr:uid="{00000000-0005-0000-0000-0000E98F0000}"/>
    <cellStyle name="Separador de milhares 5 3 9 4 2" xfId="39817" xr:uid="{00000000-0005-0000-0000-0000EA8F0000}"/>
    <cellStyle name="Separador de milhares 5 3 9 5" xfId="25618" xr:uid="{00000000-0005-0000-0000-0000EB8F0000}"/>
    <cellStyle name="Separador de milhares 5 3 9 5 2" xfId="39818" xr:uid="{00000000-0005-0000-0000-0000EC8F0000}"/>
    <cellStyle name="Separador de milhares 5 3 9 6" xfId="39814" xr:uid="{00000000-0005-0000-0000-0000ED8F0000}"/>
    <cellStyle name="Separador de milhares 5 4" xfId="25619" xr:uid="{00000000-0005-0000-0000-0000EE8F0000}"/>
    <cellStyle name="Separador de milhares 5 4 2" xfId="25620" xr:uid="{00000000-0005-0000-0000-0000EF8F0000}"/>
    <cellStyle name="Separador de milhares 5 5" xfId="25621" xr:uid="{00000000-0005-0000-0000-0000F08F0000}"/>
    <cellStyle name="Separador de milhares 5 6" xfId="25622" xr:uid="{00000000-0005-0000-0000-0000F18F0000}"/>
    <cellStyle name="Separador de milhares 5 7" xfId="25623" xr:uid="{00000000-0005-0000-0000-0000F28F0000}"/>
    <cellStyle name="Separador de milhares 5 8" xfId="25624" xr:uid="{00000000-0005-0000-0000-0000F38F0000}"/>
    <cellStyle name="Separador de milhares 5 8 2" xfId="25625" xr:uid="{00000000-0005-0000-0000-0000F48F0000}"/>
    <cellStyle name="Separador de milhares 5 9" xfId="25626" xr:uid="{00000000-0005-0000-0000-0000F58F0000}"/>
    <cellStyle name="Separador de milhares 50" xfId="25627" xr:uid="{00000000-0005-0000-0000-0000F68F0000}"/>
    <cellStyle name="Separador de milhares 51" xfId="25628" xr:uid="{00000000-0005-0000-0000-0000F78F0000}"/>
    <cellStyle name="Separador de milhares 53" xfId="25629" xr:uid="{00000000-0005-0000-0000-0000F88F0000}"/>
    <cellStyle name="Separador de milhares 54" xfId="25630" xr:uid="{00000000-0005-0000-0000-0000F98F0000}"/>
    <cellStyle name="Separador de milhares 56" xfId="41046" xr:uid="{00000000-0005-0000-0000-0000FA8F0000}"/>
    <cellStyle name="Separador de milhares 6" xfId="25631" xr:uid="{00000000-0005-0000-0000-0000FB8F0000}"/>
    <cellStyle name="Separador de milhares 6 10" xfId="25632" xr:uid="{00000000-0005-0000-0000-0000FC8F0000}"/>
    <cellStyle name="Separador de milhares 6 10 2" xfId="25633" xr:uid="{00000000-0005-0000-0000-0000FD8F0000}"/>
    <cellStyle name="Separador de milhares 6 10 2 2" xfId="39820" xr:uid="{00000000-0005-0000-0000-0000FE8F0000}"/>
    <cellStyle name="Separador de milhares 6 10 3" xfId="25634" xr:uid="{00000000-0005-0000-0000-0000FF8F0000}"/>
    <cellStyle name="Separador de milhares 6 10 3 2" xfId="39821" xr:uid="{00000000-0005-0000-0000-000000900000}"/>
    <cellStyle name="Separador de milhares 6 10 4" xfId="25635" xr:uid="{00000000-0005-0000-0000-000001900000}"/>
    <cellStyle name="Separador de milhares 6 10 4 2" xfId="39822" xr:uid="{00000000-0005-0000-0000-000002900000}"/>
    <cellStyle name="Separador de milhares 6 10 5" xfId="25636" xr:uid="{00000000-0005-0000-0000-000003900000}"/>
    <cellStyle name="Separador de milhares 6 10 5 2" xfId="39823" xr:uid="{00000000-0005-0000-0000-000004900000}"/>
    <cellStyle name="Separador de milhares 6 10 6" xfId="39819" xr:uid="{00000000-0005-0000-0000-000005900000}"/>
    <cellStyle name="Separador de milhares 6 11" xfId="25637" xr:uid="{00000000-0005-0000-0000-000006900000}"/>
    <cellStyle name="Separador de milhares 6 11 2" xfId="25638" xr:uid="{00000000-0005-0000-0000-000007900000}"/>
    <cellStyle name="Separador de milhares 6 11 2 2" xfId="39825" xr:uid="{00000000-0005-0000-0000-000008900000}"/>
    <cellStyle name="Separador de milhares 6 11 3" xfId="25639" xr:uid="{00000000-0005-0000-0000-000009900000}"/>
    <cellStyle name="Separador de milhares 6 11 3 2" xfId="39826" xr:uid="{00000000-0005-0000-0000-00000A900000}"/>
    <cellStyle name="Separador de milhares 6 11 4" xfId="25640" xr:uid="{00000000-0005-0000-0000-00000B900000}"/>
    <cellStyle name="Separador de milhares 6 11 4 2" xfId="39827" xr:uid="{00000000-0005-0000-0000-00000C900000}"/>
    <cellStyle name="Separador de milhares 6 11 5" xfId="25641" xr:uid="{00000000-0005-0000-0000-00000D900000}"/>
    <cellStyle name="Separador de milhares 6 11 5 2" xfId="39828" xr:uid="{00000000-0005-0000-0000-00000E900000}"/>
    <cellStyle name="Separador de milhares 6 11 6" xfId="39824" xr:uid="{00000000-0005-0000-0000-00000F900000}"/>
    <cellStyle name="Separador de milhares 6 12" xfId="25642" xr:uid="{00000000-0005-0000-0000-000010900000}"/>
    <cellStyle name="Separador de milhares 6 12 2" xfId="25643" xr:uid="{00000000-0005-0000-0000-000011900000}"/>
    <cellStyle name="Separador de milhares 6 12 2 2" xfId="39830" xr:uid="{00000000-0005-0000-0000-000012900000}"/>
    <cellStyle name="Separador de milhares 6 12 3" xfId="25644" xr:uid="{00000000-0005-0000-0000-000013900000}"/>
    <cellStyle name="Separador de milhares 6 12 3 2" xfId="39831" xr:uid="{00000000-0005-0000-0000-000014900000}"/>
    <cellStyle name="Separador de milhares 6 12 4" xfId="25645" xr:uid="{00000000-0005-0000-0000-000015900000}"/>
    <cellStyle name="Separador de milhares 6 12 4 2" xfId="39832" xr:uid="{00000000-0005-0000-0000-000016900000}"/>
    <cellStyle name="Separador de milhares 6 12 5" xfId="25646" xr:uid="{00000000-0005-0000-0000-000017900000}"/>
    <cellStyle name="Separador de milhares 6 12 5 2" xfId="39833" xr:uid="{00000000-0005-0000-0000-000018900000}"/>
    <cellStyle name="Separador de milhares 6 12 6" xfId="39829" xr:uid="{00000000-0005-0000-0000-000019900000}"/>
    <cellStyle name="Separador de milhares 6 13" xfId="25647" xr:uid="{00000000-0005-0000-0000-00001A900000}"/>
    <cellStyle name="Separador de milhares 6 13 2" xfId="25648" xr:uid="{00000000-0005-0000-0000-00001B900000}"/>
    <cellStyle name="Separador de milhares 6 13 2 2" xfId="39835" xr:uid="{00000000-0005-0000-0000-00001C900000}"/>
    <cellStyle name="Separador de milhares 6 13 3" xfId="25649" xr:uid="{00000000-0005-0000-0000-00001D900000}"/>
    <cellStyle name="Separador de milhares 6 13 3 2" xfId="39836" xr:uid="{00000000-0005-0000-0000-00001E900000}"/>
    <cellStyle name="Separador de milhares 6 13 4" xfId="25650" xr:uid="{00000000-0005-0000-0000-00001F900000}"/>
    <cellStyle name="Separador de milhares 6 13 4 2" xfId="39837" xr:uid="{00000000-0005-0000-0000-000020900000}"/>
    <cellStyle name="Separador de milhares 6 13 5" xfId="25651" xr:uid="{00000000-0005-0000-0000-000021900000}"/>
    <cellStyle name="Separador de milhares 6 13 5 2" xfId="39838" xr:uid="{00000000-0005-0000-0000-000022900000}"/>
    <cellStyle name="Separador de milhares 6 13 6" xfId="39834" xr:uid="{00000000-0005-0000-0000-000023900000}"/>
    <cellStyle name="Separador de milhares 6 14" xfId="25652" xr:uid="{00000000-0005-0000-0000-000024900000}"/>
    <cellStyle name="Separador de milhares 6 14 2" xfId="25653" xr:uid="{00000000-0005-0000-0000-000025900000}"/>
    <cellStyle name="Separador de milhares 6 14 2 2" xfId="39840" xr:uid="{00000000-0005-0000-0000-000026900000}"/>
    <cellStyle name="Separador de milhares 6 14 3" xfId="25654" xr:uid="{00000000-0005-0000-0000-000027900000}"/>
    <cellStyle name="Separador de milhares 6 14 3 2" xfId="39841" xr:uid="{00000000-0005-0000-0000-000028900000}"/>
    <cellStyle name="Separador de milhares 6 14 4" xfId="25655" xr:uid="{00000000-0005-0000-0000-000029900000}"/>
    <cellStyle name="Separador de milhares 6 14 4 2" xfId="39842" xr:uid="{00000000-0005-0000-0000-00002A900000}"/>
    <cellStyle name="Separador de milhares 6 14 5" xfId="25656" xr:uid="{00000000-0005-0000-0000-00002B900000}"/>
    <cellStyle name="Separador de milhares 6 14 5 2" xfId="39843" xr:uid="{00000000-0005-0000-0000-00002C900000}"/>
    <cellStyle name="Separador de milhares 6 14 6" xfId="39839" xr:uid="{00000000-0005-0000-0000-00002D900000}"/>
    <cellStyle name="Separador de milhares 6 15" xfId="25657" xr:uid="{00000000-0005-0000-0000-00002E900000}"/>
    <cellStyle name="Separador de milhares 6 15 2" xfId="25658" xr:uid="{00000000-0005-0000-0000-00002F900000}"/>
    <cellStyle name="Separador de milhares 6 15 2 2" xfId="39845" xr:uid="{00000000-0005-0000-0000-000030900000}"/>
    <cellStyle name="Separador de milhares 6 15 3" xfId="25659" xr:uid="{00000000-0005-0000-0000-000031900000}"/>
    <cellStyle name="Separador de milhares 6 15 3 2" xfId="39846" xr:uid="{00000000-0005-0000-0000-000032900000}"/>
    <cellStyle name="Separador de milhares 6 15 4" xfId="25660" xr:uid="{00000000-0005-0000-0000-000033900000}"/>
    <cellStyle name="Separador de milhares 6 15 4 2" xfId="39847" xr:uid="{00000000-0005-0000-0000-000034900000}"/>
    <cellStyle name="Separador de milhares 6 15 5" xfId="25661" xr:uid="{00000000-0005-0000-0000-000035900000}"/>
    <cellStyle name="Separador de milhares 6 15 5 2" xfId="39848" xr:uid="{00000000-0005-0000-0000-000036900000}"/>
    <cellStyle name="Separador de milhares 6 15 6" xfId="39844" xr:uid="{00000000-0005-0000-0000-000037900000}"/>
    <cellStyle name="Separador de milhares 6 16" xfId="25662" xr:uid="{00000000-0005-0000-0000-000038900000}"/>
    <cellStyle name="Separador de milhares 6 16 2" xfId="25663" xr:uid="{00000000-0005-0000-0000-000039900000}"/>
    <cellStyle name="Separador de milhares 6 16 2 2" xfId="39850" xr:uid="{00000000-0005-0000-0000-00003A900000}"/>
    <cellStyle name="Separador de milhares 6 16 3" xfId="25664" xr:uid="{00000000-0005-0000-0000-00003B900000}"/>
    <cellStyle name="Separador de milhares 6 16 3 2" xfId="39851" xr:uid="{00000000-0005-0000-0000-00003C900000}"/>
    <cellStyle name="Separador de milhares 6 16 4" xfId="25665" xr:uid="{00000000-0005-0000-0000-00003D900000}"/>
    <cellStyle name="Separador de milhares 6 16 4 2" xfId="39852" xr:uid="{00000000-0005-0000-0000-00003E900000}"/>
    <cellStyle name="Separador de milhares 6 16 5" xfId="25666" xr:uid="{00000000-0005-0000-0000-00003F900000}"/>
    <cellStyle name="Separador de milhares 6 16 5 2" xfId="39853" xr:uid="{00000000-0005-0000-0000-000040900000}"/>
    <cellStyle name="Separador de milhares 6 16 6" xfId="39849" xr:uid="{00000000-0005-0000-0000-000041900000}"/>
    <cellStyle name="Separador de milhares 6 17" xfId="25667" xr:uid="{00000000-0005-0000-0000-000042900000}"/>
    <cellStyle name="Separador de milhares 6 17 2" xfId="25668" xr:uid="{00000000-0005-0000-0000-000043900000}"/>
    <cellStyle name="Separador de milhares 6 17 2 2" xfId="39855" xr:uid="{00000000-0005-0000-0000-000044900000}"/>
    <cellStyle name="Separador de milhares 6 17 3" xfId="25669" xr:uid="{00000000-0005-0000-0000-000045900000}"/>
    <cellStyle name="Separador de milhares 6 17 3 2" xfId="39856" xr:uid="{00000000-0005-0000-0000-000046900000}"/>
    <cellStyle name="Separador de milhares 6 17 4" xfId="25670" xr:uid="{00000000-0005-0000-0000-000047900000}"/>
    <cellStyle name="Separador de milhares 6 17 4 2" xfId="39857" xr:uid="{00000000-0005-0000-0000-000048900000}"/>
    <cellStyle name="Separador de milhares 6 17 5" xfId="25671" xr:uid="{00000000-0005-0000-0000-000049900000}"/>
    <cellStyle name="Separador de milhares 6 17 5 2" xfId="39858" xr:uid="{00000000-0005-0000-0000-00004A900000}"/>
    <cellStyle name="Separador de milhares 6 17 6" xfId="39854" xr:uid="{00000000-0005-0000-0000-00004B900000}"/>
    <cellStyle name="Separador de milhares 6 18" xfId="25672" xr:uid="{00000000-0005-0000-0000-00004C900000}"/>
    <cellStyle name="Separador de milhares 6 18 2" xfId="25673" xr:uid="{00000000-0005-0000-0000-00004D900000}"/>
    <cellStyle name="Separador de milhares 6 18 2 2" xfId="39860" xr:uid="{00000000-0005-0000-0000-00004E900000}"/>
    <cellStyle name="Separador de milhares 6 18 3" xfId="25674" xr:uid="{00000000-0005-0000-0000-00004F900000}"/>
    <cellStyle name="Separador de milhares 6 18 3 2" xfId="39861" xr:uid="{00000000-0005-0000-0000-000050900000}"/>
    <cellStyle name="Separador de milhares 6 18 4" xfId="25675" xr:uid="{00000000-0005-0000-0000-000051900000}"/>
    <cellStyle name="Separador de milhares 6 18 4 2" xfId="39862" xr:uid="{00000000-0005-0000-0000-000052900000}"/>
    <cellStyle name="Separador de milhares 6 18 5" xfId="25676" xr:uid="{00000000-0005-0000-0000-000053900000}"/>
    <cellStyle name="Separador de milhares 6 18 5 2" xfId="39863" xr:uid="{00000000-0005-0000-0000-000054900000}"/>
    <cellStyle name="Separador de milhares 6 18 6" xfId="39859" xr:uid="{00000000-0005-0000-0000-000055900000}"/>
    <cellStyle name="Separador de milhares 6 19" xfId="25677" xr:uid="{00000000-0005-0000-0000-000056900000}"/>
    <cellStyle name="Separador de milhares 6 19 2" xfId="25678" xr:uid="{00000000-0005-0000-0000-000057900000}"/>
    <cellStyle name="Separador de milhares 6 19 2 2" xfId="39865" xr:uid="{00000000-0005-0000-0000-000058900000}"/>
    <cellStyle name="Separador de milhares 6 19 3" xfId="25679" xr:uid="{00000000-0005-0000-0000-000059900000}"/>
    <cellStyle name="Separador de milhares 6 19 3 2" xfId="39866" xr:uid="{00000000-0005-0000-0000-00005A900000}"/>
    <cellStyle name="Separador de milhares 6 19 4" xfId="25680" xr:uid="{00000000-0005-0000-0000-00005B900000}"/>
    <cellStyle name="Separador de milhares 6 19 4 2" xfId="39867" xr:uid="{00000000-0005-0000-0000-00005C900000}"/>
    <cellStyle name="Separador de milhares 6 19 5" xfId="25681" xr:uid="{00000000-0005-0000-0000-00005D900000}"/>
    <cellStyle name="Separador de milhares 6 19 5 2" xfId="39868" xr:uid="{00000000-0005-0000-0000-00005E900000}"/>
    <cellStyle name="Separador de milhares 6 19 6" xfId="39864" xr:uid="{00000000-0005-0000-0000-00005F900000}"/>
    <cellStyle name="Separador de milhares 6 2" xfId="25682" xr:uid="{00000000-0005-0000-0000-000060900000}"/>
    <cellStyle name="Separador de milhares 6 2 10" xfId="25683" xr:uid="{00000000-0005-0000-0000-000061900000}"/>
    <cellStyle name="Separador de milhares 6 2 10 2" xfId="25684" xr:uid="{00000000-0005-0000-0000-000062900000}"/>
    <cellStyle name="Separador de milhares 6 2 10 2 2" xfId="39871" xr:uid="{00000000-0005-0000-0000-000063900000}"/>
    <cellStyle name="Separador de milhares 6 2 10 3" xfId="25685" xr:uid="{00000000-0005-0000-0000-000064900000}"/>
    <cellStyle name="Separador de milhares 6 2 10 3 2" xfId="39872" xr:uid="{00000000-0005-0000-0000-000065900000}"/>
    <cellStyle name="Separador de milhares 6 2 10 4" xfId="25686" xr:uid="{00000000-0005-0000-0000-000066900000}"/>
    <cellStyle name="Separador de milhares 6 2 10 4 2" xfId="39873" xr:uid="{00000000-0005-0000-0000-000067900000}"/>
    <cellStyle name="Separador de milhares 6 2 10 5" xfId="25687" xr:uid="{00000000-0005-0000-0000-000068900000}"/>
    <cellStyle name="Separador de milhares 6 2 10 5 2" xfId="39874" xr:uid="{00000000-0005-0000-0000-000069900000}"/>
    <cellStyle name="Separador de milhares 6 2 10 6" xfId="39870" xr:uid="{00000000-0005-0000-0000-00006A900000}"/>
    <cellStyle name="Separador de milhares 6 2 11" xfId="25688" xr:uid="{00000000-0005-0000-0000-00006B900000}"/>
    <cellStyle name="Separador de milhares 6 2 11 2" xfId="25689" xr:uid="{00000000-0005-0000-0000-00006C900000}"/>
    <cellStyle name="Separador de milhares 6 2 11 2 2" xfId="39876" xr:uid="{00000000-0005-0000-0000-00006D900000}"/>
    <cellStyle name="Separador de milhares 6 2 11 3" xfId="25690" xr:uid="{00000000-0005-0000-0000-00006E900000}"/>
    <cellStyle name="Separador de milhares 6 2 11 3 2" xfId="39877" xr:uid="{00000000-0005-0000-0000-00006F900000}"/>
    <cellStyle name="Separador de milhares 6 2 11 4" xfId="25691" xr:uid="{00000000-0005-0000-0000-000070900000}"/>
    <cellStyle name="Separador de milhares 6 2 11 4 2" xfId="39878" xr:uid="{00000000-0005-0000-0000-000071900000}"/>
    <cellStyle name="Separador de milhares 6 2 11 5" xfId="25692" xr:uid="{00000000-0005-0000-0000-000072900000}"/>
    <cellStyle name="Separador de milhares 6 2 11 5 2" xfId="39879" xr:uid="{00000000-0005-0000-0000-000073900000}"/>
    <cellStyle name="Separador de milhares 6 2 11 6" xfId="39875" xr:uid="{00000000-0005-0000-0000-000074900000}"/>
    <cellStyle name="Separador de milhares 6 2 12" xfId="25693" xr:uid="{00000000-0005-0000-0000-000075900000}"/>
    <cellStyle name="Separador de milhares 6 2 12 2" xfId="25694" xr:uid="{00000000-0005-0000-0000-000076900000}"/>
    <cellStyle name="Separador de milhares 6 2 12 2 2" xfId="39881" xr:uid="{00000000-0005-0000-0000-000077900000}"/>
    <cellStyle name="Separador de milhares 6 2 12 3" xfId="25695" xr:uid="{00000000-0005-0000-0000-000078900000}"/>
    <cellStyle name="Separador de milhares 6 2 12 3 2" xfId="39882" xr:uid="{00000000-0005-0000-0000-000079900000}"/>
    <cellStyle name="Separador de milhares 6 2 12 4" xfId="25696" xr:uid="{00000000-0005-0000-0000-00007A900000}"/>
    <cellStyle name="Separador de milhares 6 2 12 4 2" xfId="39883" xr:uid="{00000000-0005-0000-0000-00007B900000}"/>
    <cellStyle name="Separador de milhares 6 2 12 5" xfId="25697" xr:uid="{00000000-0005-0000-0000-00007C900000}"/>
    <cellStyle name="Separador de milhares 6 2 12 5 2" xfId="39884" xr:uid="{00000000-0005-0000-0000-00007D900000}"/>
    <cellStyle name="Separador de milhares 6 2 12 6" xfId="39880" xr:uid="{00000000-0005-0000-0000-00007E900000}"/>
    <cellStyle name="Separador de milhares 6 2 13" xfId="25698" xr:uid="{00000000-0005-0000-0000-00007F900000}"/>
    <cellStyle name="Separador de milhares 6 2 13 2" xfId="25699" xr:uid="{00000000-0005-0000-0000-000080900000}"/>
    <cellStyle name="Separador de milhares 6 2 13 2 2" xfId="39886" xr:uid="{00000000-0005-0000-0000-000081900000}"/>
    <cellStyle name="Separador de milhares 6 2 13 3" xfId="25700" xr:uid="{00000000-0005-0000-0000-000082900000}"/>
    <cellStyle name="Separador de milhares 6 2 13 3 2" xfId="39887" xr:uid="{00000000-0005-0000-0000-000083900000}"/>
    <cellStyle name="Separador de milhares 6 2 13 4" xfId="25701" xr:uid="{00000000-0005-0000-0000-000084900000}"/>
    <cellStyle name="Separador de milhares 6 2 13 4 2" xfId="39888" xr:uid="{00000000-0005-0000-0000-000085900000}"/>
    <cellStyle name="Separador de milhares 6 2 13 5" xfId="25702" xr:uid="{00000000-0005-0000-0000-000086900000}"/>
    <cellStyle name="Separador de milhares 6 2 13 5 2" xfId="39889" xr:uid="{00000000-0005-0000-0000-000087900000}"/>
    <cellStyle name="Separador de milhares 6 2 13 6" xfId="39885" xr:uid="{00000000-0005-0000-0000-000088900000}"/>
    <cellStyle name="Separador de milhares 6 2 14" xfId="25703" xr:uid="{00000000-0005-0000-0000-000089900000}"/>
    <cellStyle name="Separador de milhares 6 2 14 2" xfId="25704" xr:uid="{00000000-0005-0000-0000-00008A900000}"/>
    <cellStyle name="Separador de milhares 6 2 14 2 2" xfId="39891" xr:uid="{00000000-0005-0000-0000-00008B900000}"/>
    <cellStyle name="Separador de milhares 6 2 14 3" xfId="25705" xr:uid="{00000000-0005-0000-0000-00008C900000}"/>
    <cellStyle name="Separador de milhares 6 2 14 3 2" xfId="39892" xr:uid="{00000000-0005-0000-0000-00008D900000}"/>
    <cellStyle name="Separador de milhares 6 2 14 4" xfId="25706" xr:uid="{00000000-0005-0000-0000-00008E900000}"/>
    <cellStyle name="Separador de milhares 6 2 14 4 2" xfId="39893" xr:uid="{00000000-0005-0000-0000-00008F900000}"/>
    <cellStyle name="Separador de milhares 6 2 14 5" xfId="25707" xr:uid="{00000000-0005-0000-0000-000090900000}"/>
    <cellStyle name="Separador de milhares 6 2 14 5 2" xfId="39894" xr:uid="{00000000-0005-0000-0000-000091900000}"/>
    <cellStyle name="Separador de milhares 6 2 14 6" xfId="39890" xr:uid="{00000000-0005-0000-0000-000092900000}"/>
    <cellStyle name="Separador de milhares 6 2 15" xfId="25708" xr:uid="{00000000-0005-0000-0000-000093900000}"/>
    <cellStyle name="Separador de milhares 6 2 15 2" xfId="25709" xr:uid="{00000000-0005-0000-0000-000094900000}"/>
    <cellStyle name="Separador de milhares 6 2 15 2 2" xfId="39896" xr:uid="{00000000-0005-0000-0000-000095900000}"/>
    <cellStyle name="Separador de milhares 6 2 15 3" xfId="25710" xr:uid="{00000000-0005-0000-0000-000096900000}"/>
    <cellStyle name="Separador de milhares 6 2 15 3 2" xfId="39897" xr:uid="{00000000-0005-0000-0000-000097900000}"/>
    <cellStyle name="Separador de milhares 6 2 15 4" xfId="25711" xr:uid="{00000000-0005-0000-0000-000098900000}"/>
    <cellStyle name="Separador de milhares 6 2 15 4 2" xfId="39898" xr:uid="{00000000-0005-0000-0000-000099900000}"/>
    <cellStyle name="Separador de milhares 6 2 15 5" xfId="25712" xr:uid="{00000000-0005-0000-0000-00009A900000}"/>
    <cellStyle name="Separador de milhares 6 2 15 5 2" xfId="39899" xr:uid="{00000000-0005-0000-0000-00009B900000}"/>
    <cellStyle name="Separador de milhares 6 2 15 6" xfId="39895" xr:uid="{00000000-0005-0000-0000-00009C900000}"/>
    <cellStyle name="Separador de milhares 6 2 16" xfId="25713" xr:uid="{00000000-0005-0000-0000-00009D900000}"/>
    <cellStyle name="Separador de milhares 6 2 16 2" xfId="25714" xr:uid="{00000000-0005-0000-0000-00009E900000}"/>
    <cellStyle name="Separador de milhares 6 2 16 2 2" xfId="39901" xr:uid="{00000000-0005-0000-0000-00009F900000}"/>
    <cellStyle name="Separador de milhares 6 2 16 3" xfId="25715" xr:uid="{00000000-0005-0000-0000-0000A0900000}"/>
    <cellStyle name="Separador de milhares 6 2 16 3 2" xfId="39902" xr:uid="{00000000-0005-0000-0000-0000A1900000}"/>
    <cellStyle name="Separador de milhares 6 2 16 4" xfId="25716" xr:uid="{00000000-0005-0000-0000-0000A2900000}"/>
    <cellStyle name="Separador de milhares 6 2 16 4 2" xfId="39903" xr:uid="{00000000-0005-0000-0000-0000A3900000}"/>
    <cellStyle name="Separador de milhares 6 2 16 5" xfId="25717" xr:uid="{00000000-0005-0000-0000-0000A4900000}"/>
    <cellStyle name="Separador de milhares 6 2 16 5 2" xfId="39904" xr:uid="{00000000-0005-0000-0000-0000A5900000}"/>
    <cellStyle name="Separador de milhares 6 2 16 6" xfId="39900" xr:uid="{00000000-0005-0000-0000-0000A6900000}"/>
    <cellStyle name="Separador de milhares 6 2 17" xfId="25718" xr:uid="{00000000-0005-0000-0000-0000A7900000}"/>
    <cellStyle name="Separador de milhares 6 2 17 2" xfId="39905" xr:uid="{00000000-0005-0000-0000-0000A8900000}"/>
    <cellStyle name="Separador de milhares 6 2 18" xfId="25719" xr:uid="{00000000-0005-0000-0000-0000A9900000}"/>
    <cellStyle name="Separador de milhares 6 2 18 2" xfId="39906" xr:uid="{00000000-0005-0000-0000-0000AA900000}"/>
    <cellStyle name="Separador de milhares 6 2 19" xfId="25720" xr:uid="{00000000-0005-0000-0000-0000AB900000}"/>
    <cellStyle name="Separador de milhares 6 2 19 2" xfId="39907" xr:uid="{00000000-0005-0000-0000-0000AC900000}"/>
    <cellStyle name="Separador de milhares 6 2 2" xfId="25721" xr:uid="{00000000-0005-0000-0000-0000AD900000}"/>
    <cellStyle name="Separador de milhares 6 2 20" xfId="25722" xr:uid="{00000000-0005-0000-0000-0000AE900000}"/>
    <cellStyle name="Separador de milhares 6 2 20 2" xfId="39908" xr:uid="{00000000-0005-0000-0000-0000AF900000}"/>
    <cellStyle name="Separador de milhares 6 2 21" xfId="39869" xr:uid="{00000000-0005-0000-0000-0000B0900000}"/>
    <cellStyle name="Separador de milhares 6 2 3" xfId="25723" xr:uid="{00000000-0005-0000-0000-0000B1900000}"/>
    <cellStyle name="Separador de milhares 6 2 3 2" xfId="25724" xr:uid="{00000000-0005-0000-0000-0000B2900000}"/>
    <cellStyle name="Separador de milhares 6 2 3 2 2" xfId="39910" xr:uid="{00000000-0005-0000-0000-0000B3900000}"/>
    <cellStyle name="Separador de milhares 6 2 3 3" xfId="25725" xr:uid="{00000000-0005-0000-0000-0000B4900000}"/>
    <cellStyle name="Separador de milhares 6 2 3 3 2" xfId="39911" xr:uid="{00000000-0005-0000-0000-0000B5900000}"/>
    <cellStyle name="Separador de milhares 6 2 3 4" xfId="25726" xr:uid="{00000000-0005-0000-0000-0000B6900000}"/>
    <cellStyle name="Separador de milhares 6 2 3 4 2" xfId="39912" xr:uid="{00000000-0005-0000-0000-0000B7900000}"/>
    <cellStyle name="Separador de milhares 6 2 3 5" xfId="25727" xr:uid="{00000000-0005-0000-0000-0000B8900000}"/>
    <cellStyle name="Separador de milhares 6 2 3 5 2" xfId="39913" xr:uid="{00000000-0005-0000-0000-0000B9900000}"/>
    <cellStyle name="Separador de milhares 6 2 3 6" xfId="39909" xr:uid="{00000000-0005-0000-0000-0000BA900000}"/>
    <cellStyle name="Separador de milhares 6 2 4" xfId="25728" xr:uid="{00000000-0005-0000-0000-0000BB900000}"/>
    <cellStyle name="Separador de milhares 6 2 4 2" xfId="25729" xr:uid="{00000000-0005-0000-0000-0000BC900000}"/>
    <cellStyle name="Separador de milhares 6 2 4 2 2" xfId="39915" xr:uid="{00000000-0005-0000-0000-0000BD900000}"/>
    <cellStyle name="Separador de milhares 6 2 4 3" xfId="25730" xr:uid="{00000000-0005-0000-0000-0000BE900000}"/>
    <cellStyle name="Separador de milhares 6 2 4 3 2" xfId="39916" xr:uid="{00000000-0005-0000-0000-0000BF900000}"/>
    <cellStyle name="Separador de milhares 6 2 4 4" xfId="25731" xr:uid="{00000000-0005-0000-0000-0000C0900000}"/>
    <cellStyle name="Separador de milhares 6 2 4 4 2" xfId="39917" xr:uid="{00000000-0005-0000-0000-0000C1900000}"/>
    <cellStyle name="Separador de milhares 6 2 4 5" xfId="25732" xr:uid="{00000000-0005-0000-0000-0000C2900000}"/>
    <cellStyle name="Separador de milhares 6 2 4 5 2" xfId="39918" xr:uid="{00000000-0005-0000-0000-0000C3900000}"/>
    <cellStyle name="Separador de milhares 6 2 4 6" xfId="39914" xr:uid="{00000000-0005-0000-0000-0000C4900000}"/>
    <cellStyle name="Separador de milhares 6 2 5" xfId="25733" xr:uid="{00000000-0005-0000-0000-0000C5900000}"/>
    <cellStyle name="Separador de milhares 6 2 5 2" xfId="25734" xr:uid="{00000000-0005-0000-0000-0000C6900000}"/>
    <cellStyle name="Separador de milhares 6 2 5 2 2" xfId="39920" xr:uid="{00000000-0005-0000-0000-0000C7900000}"/>
    <cellStyle name="Separador de milhares 6 2 5 3" xfId="25735" xr:uid="{00000000-0005-0000-0000-0000C8900000}"/>
    <cellStyle name="Separador de milhares 6 2 5 3 2" xfId="39921" xr:uid="{00000000-0005-0000-0000-0000C9900000}"/>
    <cellStyle name="Separador de milhares 6 2 5 4" xfId="25736" xr:uid="{00000000-0005-0000-0000-0000CA900000}"/>
    <cellStyle name="Separador de milhares 6 2 5 4 2" xfId="39922" xr:uid="{00000000-0005-0000-0000-0000CB900000}"/>
    <cellStyle name="Separador de milhares 6 2 5 5" xfId="25737" xr:uid="{00000000-0005-0000-0000-0000CC900000}"/>
    <cellStyle name="Separador de milhares 6 2 5 5 2" xfId="39923" xr:uid="{00000000-0005-0000-0000-0000CD900000}"/>
    <cellStyle name="Separador de milhares 6 2 5 6" xfId="39919" xr:uid="{00000000-0005-0000-0000-0000CE900000}"/>
    <cellStyle name="Separador de milhares 6 2 6" xfId="25738" xr:uid="{00000000-0005-0000-0000-0000CF900000}"/>
    <cellStyle name="Separador de milhares 6 2 6 2" xfId="25739" xr:uid="{00000000-0005-0000-0000-0000D0900000}"/>
    <cellStyle name="Separador de milhares 6 2 6 2 2" xfId="39925" xr:uid="{00000000-0005-0000-0000-0000D1900000}"/>
    <cellStyle name="Separador de milhares 6 2 6 3" xfId="25740" xr:uid="{00000000-0005-0000-0000-0000D2900000}"/>
    <cellStyle name="Separador de milhares 6 2 6 3 2" xfId="39926" xr:uid="{00000000-0005-0000-0000-0000D3900000}"/>
    <cellStyle name="Separador de milhares 6 2 6 4" xfId="25741" xr:uid="{00000000-0005-0000-0000-0000D4900000}"/>
    <cellStyle name="Separador de milhares 6 2 6 4 2" xfId="39927" xr:uid="{00000000-0005-0000-0000-0000D5900000}"/>
    <cellStyle name="Separador de milhares 6 2 6 5" xfId="25742" xr:uid="{00000000-0005-0000-0000-0000D6900000}"/>
    <cellStyle name="Separador de milhares 6 2 6 5 2" xfId="39928" xr:uid="{00000000-0005-0000-0000-0000D7900000}"/>
    <cellStyle name="Separador de milhares 6 2 6 6" xfId="39924" xr:uid="{00000000-0005-0000-0000-0000D8900000}"/>
    <cellStyle name="Separador de milhares 6 2 7" xfId="25743" xr:uid="{00000000-0005-0000-0000-0000D9900000}"/>
    <cellStyle name="Separador de milhares 6 2 7 2" xfId="25744" xr:uid="{00000000-0005-0000-0000-0000DA900000}"/>
    <cellStyle name="Separador de milhares 6 2 7 2 2" xfId="39930" xr:uid="{00000000-0005-0000-0000-0000DB900000}"/>
    <cellStyle name="Separador de milhares 6 2 7 3" xfId="25745" xr:uid="{00000000-0005-0000-0000-0000DC900000}"/>
    <cellStyle name="Separador de milhares 6 2 7 3 2" xfId="39931" xr:uid="{00000000-0005-0000-0000-0000DD900000}"/>
    <cellStyle name="Separador de milhares 6 2 7 4" xfId="25746" xr:uid="{00000000-0005-0000-0000-0000DE900000}"/>
    <cellStyle name="Separador de milhares 6 2 7 4 2" xfId="39932" xr:uid="{00000000-0005-0000-0000-0000DF900000}"/>
    <cellStyle name="Separador de milhares 6 2 7 5" xfId="25747" xr:uid="{00000000-0005-0000-0000-0000E0900000}"/>
    <cellStyle name="Separador de milhares 6 2 7 5 2" xfId="39933" xr:uid="{00000000-0005-0000-0000-0000E1900000}"/>
    <cellStyle name="Separador de milhares 6 2 7 6" xfId="39929" xr:uid="{00000000-0005-0000-0000-0000E2900000}"/>
    <cellStyle name="Separador de milhares 6 2 8" xfId="25748" xr:uid="{00000000-0005-0000-0000-0000E3900000}"/>
    <cellStyle name="Separador de milhares 6 2 8 2" xfId="25749" xr:uid="{00000000-0005-0000-0000-0000E4900000}"/>
    <cellStyle name="Separador de milhares 6 2 8 2 2" xfId="39935" xr:uid="{00000000-0005-0000-0000-0000E5900000}"/>
    <cellStyle name="Separador de milhares 6 2 8 3" xfId="25750" xr:uid="{00000000-0005-0000-0000-0000E6900000}"/>
    <cellStyle name="Separador de milhares 6 2 8 3 2" xfId="39936" xr:uid="{00000000-0005-0000-0000-0000E7900000}"/>
    <cellStyle name="Separador de milhares 6 2 8 4" xfId="25751" xr:uid="{00000000-0005-0000-0000-0000E8900000}"/>
    <cellStyle name="Separador de milhares 6 2 8 4 2" xfId="39937" xr:uid="{00000000-0005-0000-0000-0000E9900000}"/>
    <cellStyle name="Separador de milhares 6 2 8 5" xfId="25752" xr:uid="{00000000-0005-0000-0000-0000EA900000}"/>
    <cellStyle name="Separador de milhares 6 2 8 5 2" xfId="39938" xr:uid="{00000000-0005-0000-0000-0000EB900000}"/>
    <cellStyle name="Separador de milhares 6 2 8 6" xfId="39934" xr:uid="{00000000-0005-0000-0000-0000EC900000}"/>
    <cellStyle name="Separador de milhares 6 2 9" xfId="25753" xr:uid="{00000000-0005-0000-0000-0000ED900000}"/>
    <cellStyle name="Separador de milhares 6 2 9 2" xfId="25754" xr:uid="{00000000-0005-0000-0000-0000EE900000}"/>
    <cellStyle name="Separador de milhares 6 2 9 2 2" xfId="39940" xr:uid="{00000000-0005-0000-0000-0000EF900000}"/>
    <cellStyle name="Separador de milhares 6 2 9 3" xfId="25755" xr:uid="{00000000-0005-0000-0000-0000F0900000}"/>
    <cellStyle name="Separador de milhares 6 2 9 3 2" xfId="39941" xr:uid="{00000000-0005-0000-0000-0000F1900000}"/>
    <cellStyle name="Separador de milhares 6 2 9 4" xfId="25756" xr:uid="{00000000-0005-0000-0000-0000F2900000}"/>
    <cellStyle name="Separador de milhares 6 2 9 4 2" xfId="39942" xr:uid="{00000000-0005-0000-0000-0000F3900000}"/>
    <cellStyle name="Separador de milhares 6 2 9 5" xfId="25757" xr:uid="{00000000-0005-0000-0000-0000F4900000}"/>
    <cellStyle name="Separador de milhares 6 2 9 5 2" xfId="39943" xr:uid="{00000000-0005-0000-0000-0000F5900000}"/>
    <cellStyle name="Separador de milhares 6 2 9 6" xfId="39939" xr:uid="{00000000-0005-0000-0000-0000F6900000}"/>
    <cellStyle name="Separador de milhares 6 20" xfId="25758" xr:uid="{00000000-0005-0000-0000-0000F7900000}"/>
    <cellStyle name="Separador de milhares 6 20 2" xfId="39944" xr:uid="{00000000-0005-0000-0000-0000F8900000}"/>
    <cellStyle name="Separador de milhares 6 21" xfId="25759" xr:uid="{00000000-0005-0000-0000-0000F9900000}"/>
    <cellStyle name="Separador de milhares 6 21 2" xfId="39945" xr:uid="{00000000-0005-0000-0000-0000FA900000}"/>
    <cellStyle name="Separador de milhares 6 22" xfId="25760" xr:uid="{00000000-0005-0000-0000-0000FB900000}"/>
    <cellStyle name="Separador de milhares 6 22 2" xfId="39946" xr:uid="{00000000-0005-0000-0000-0000FC900000}"/>
    <cellStyle name="Separador de milhares 6 23" xfId="25761" xr:uid="{00000000-0005-0000-0000-0000FD900000}"/>
    <cellStyle name="Separador de milhares 6 23 2" xfId="39947" xr:uid="{00000000-0005-0000-0000-0000FE900000}"/>
    <cellStyle name="Separador de milhares 6 24" xfId="25762" xr:uid="{00000000-0005-0000-0000-0000FF900000}"/>
    <cellStyle name="Separador de milhares 6 24 2" xfId="39948" xr:uid="{00000000-0005-0000-0000-000000910000}"/>
    <cellStyle name="Separador de milhares 6 3" xfId="25763" xr:uid="{00000000-0005-0000-0000-000001910000}"/>
    <cellStyle name="Separador de milhares 6 3 2" xfId="25764" xr:uid="{00000000-0005-0000-0000-000002910000}"/>
    <cellStyle name="Separador de milhares 6 3 3" xfId="25765" xr:uid="{00000000-0005-0000-0000-000003910000}"/>
    <cellStyle name="Separador de milhares 6 3 3 2" xfId="39950" xr:uid="{00000000-0005-0000-0000-000004910000}"/>
    <cellStyle name="Separador de milhares 6 3 4" xfId="25766" xr:uid="{00000000-0005-0000-0000-000005910000}"/>
    <cellStyle name="Separador de milhares 6 3 4 2" xfId="39951" xr:uid="{00000000-0005-0000-0000-000006910000}"/>
    <cellStyle name="Separador de milhares 6 3 5" xfId="25767" xr:uid="{00000000-0005-0000-0000-000007910000}"/>
    <cellStyle name="Separador de milhares 6 3 5 2" xfId="39952" xr:uid="{00000000-0005-0000-0000-000008910000}"/>
    <cellStyle name="Separador de milhares 6 3 6" xfId="25768" xr:uid="{00000000-0005-0000-0000-000009910000}"/>
    <cellStyle name="Separador de milhares 6 3 6 2" xfId="39953" xr:uid="{00000000-0005-0000-0000-00000A910000}"/>
    <cellStyle name="Separador de milhares 6 3 7" xfId="39949" xr:uid="{00000000-0005-0000-0000-00000B910000}"/>
    <cellStyle name="Separador de milhares 6 4" xfId="25769" xr:uid="{00000000-0005-0000-0000-00000C910000}"/>
    <cellStyle name="Separador de milhares 6 4 2" xfId="25770" xr:uid="{00000000-0005-0000-0000-00000D910000}"/>
    <cellStyle name="Separador de milhares 6 4 3" xfId="25771" xr:uid="{00000000-0005-0000-0000-00000E910000}"/>
    <cellStyle name="Separador de milhares 6 4 3 2" xfId="39955" xr:uid="{00000000-0005-0000-0000-00000F910000}"/>
    <cellStyle name="Separador de milhares 6 4 4" xfId="25772" xr:uid="{00000000-0005-0000-0000-000010910000}"/>
    <cellStyle name="Separador de milhares 6 4 4 2" xfId="39956" xr:uid="{00000000-0005-0000-0000-000011910000}"/>
    <cellStyle name="Separador de milhares 6 4 5" xfId="25773" xr:uid="{00000000-0005-0000-0000-000012910000}"/>
    <cellStyle name="Separador de milhares 6 4 5 2" xfId="39957" xr:uid="{00000000-0005-0000-0000-000013910000}"/>
    <cellStyle name="Separador de milhares 6 4 6" xfId="25774" xr:uid="{00000000-0005-0000-0000-000014910000}"/>
    <cellStyle name="Separador de milhares 6 4 6 2" xfId="39958" xr:uid="{00000000-0005-0000-0000-000015910000}"/>
    <cellStyle name="Separador de milhares 6 4 7" xfId="39954" xr:uid="{00000000-0005-0000-0000-000016910000}"/>
    <cellStyle name="Separador de milhares 6 5" xfId="25775" xr:uid="{00000000-0005-0000-0000-000017910000}"/>
    <cellStyle name="Separador de milhares 6 5 2" xfId="25776" xr:uid="{00000000-0005-0000-0000-000018910000}"/>
    <cellStyle name="Separador de milhares 6 5 3" xfId="25777" xr:uid="{00000000-0005-0000-0000-000019910000}"/>
    <cellStyle name="Separador de milhares 6 5 3 2" xfId="39960" xr:uid="{00000000-0005-0000-0000-00001A910000}"/>
    <cellStyle name="Separador de milhares 6 5 4" xfId="25778" xr:uid="{00000000-0005-0000-0000-00001B910000}"/>
    <cellStyle name="Separador de milhares 6 5 4 2" xfId="39961" xr:uid="{00000000-0005-0000-0000-00001C910000}"/>
    <cellStyle name="Separador de milhares 6 5 5" xfId="25779" xr:uid="{00000000-0005-0000-0000-00001D910000}"/>
    <cellStyle name="Separador de milhares 6 5 5 2" xfId="39962" xr:uid="{00000000-0005-0000-0000-00001E910000}"/>
    <cellStyle name="Separador de milhares 6 5 6" xfId="25780" xr:uid="{00000000-0005-0000-0000-00001F910000}"/>
    <cellStyle name="Separador de milhares 6 5 6 2" xfId="39963" xr:uid="{00000000-0005-0000-0000-000020910000}"/>
    <cellStyle name="Separador de milhares 6 5 7" xfId="39959" xr:uid="{00000000-0005-0000-0000-000021910000}"/>
    <cellStyle name="Separador de milhares 6 6" xfId="25781" xr:uid="{00000000-0005-0000-0000-000022910000}"/>
    <cellStyle name="Separador de milhares 6 6 2" xfId="25782" xr:uid="{00000000-0005-0000-0000-000023910000}"/>
    <cellStyle name="Separador de milhares 6 6 2 2" xfId="39965" xr:uid="{00000000-0005-0000-0000-000024910000}"/>
    <cellStyle name="Separador de milhares 6 6 3" xfId="25783" xr:uid="{00000000-0005-0000-0000-000025910000}"/>
    <cellStyle name="Separador de milhares 6 6 3 2" xfId="39966" xr:uid="{00000000-0005-0000-0000-000026910000}"/>
    <cellStyle name="Separador de milhares 6 6 4" xfId="25784" xr:uid="{00000000-0005-0000-0000-000027910000}"/>
    <cellStyle name="Separador de milhares 6 6 4 2" xfId="39967" xr:uid="{00000000-0005-0000-0000-000028910000}"/>
    <cellStyle name="Separador de milhares 6 6 5" xfId="25785" xr:uid="{00000000-0005-0000-0000-000029910000}"/>
    <cellStyle name="Separador de milhares 6 6 5 2" xfId="39968" xr:uid="{00000000-0005-0000-0000-00002A910000}"/>
    <cellStyle name="Separador de milhares 6 6 6" xfId="39964" xr:uid="{00000000-0005-0000-0000-00002B910000}"/>
    <cellStyle name="Separador de milhares 6 7" xfId="25786" xr:uid="{00000000-0005-0000-0000-00002C910000}"/>
    <cellStyle name="Separador de milhares 6 7 2" xfId="25787" xr:uid="{00000000-0005-0000-0000-00002D910000}"/>
    <cellStyle name="Separador de milhares 6 7 2 2" xfId="39970" xr:uid="{00000000-0005-0000-0000-00002E910000}"/>
    <cellStyle name="Separador de milhares 6 7 3" xfId="25788" xr:uid="{00000000-0005-0000-0000-00002F910000}"/>
    <cellStyle name="Separador de milhares 6 7 3 2" xfId="39971" xr:uid="{00000000-0005-0000-0000-000030910000}"/>
    <cellStyle name="Separador de milhares 6 7 4" xfId="25789" xr:uid="{00000000-0005-0000-0000-000031910000}"/>
    <cellStyle name="Separador de milhares 6 7 4 2" xfId="39972" xr:uid="{00000000-0005-0000-0000-000032910000}"/>
    <cellStyle name="Separador de milhares 6 7 5" xfId="25790" xr:uid="{00000000-0005-0000-0000-000033910000}"/>
    <cellStyle name="Separador de milhares 6 7 5 2" xfId="39973" xr:uid="{00000000-0005-0000-0000-000034910000}"/>
    <cellStyle name="Separador de milhares 6 7 6" xfId="39969" xr:uid="{00000000-0005-0000-0000-000035910000}"/>
    <cellStyle name="Separador de milhares 6 8" xfId="25791" xr:uid="{00000000-0005-0000-0000-000036910000}"/>
    <cellStyle name="Separador de milhares 6 8 2" xfId="25792" xr:uid="{00000000-0005-0000-0000-000037910000}"/>
    <cellStyle name="Separador de milhares 6 8 2 2" xfId="39975" xr:uid="{00000000-0005-0000-0000-000038910000}"/>
    <cellStyle name="Separador de milhares 6 8 3" xfId="25793" xr:uid="{00000000-0005-0000-0000-000039910000}"/>
    <cellStyle name="Separador de milhares 6 8 3 2" xfId="39976" xr:uid="{00000000-0005-0000-0000-00003A910000}"/>
    <cellStyle name="Separador de milhares 6 8 4" xfId="25794" xr:uid="{00000000-0005-0000-0000-00003B910000}"/>
    <cellStyle name="Separador de milhares 6 8 4 2" xfId="39977" xr:uid="{00000000-0005-0000-0000-00003C910000}"/>
    <cellStyle name="Separador de milhares 6 8 5" xfId="25795" xr:uid="{00000000-0005-0000-0000-00003D910000}"/>
    <cellStyle name="Separador de milhares 6 8 5 2" xfId="39978" xr:uid="{00000000-0005-0000-0000-00003E910000}"/>
    <cellStyle name="Separador de milhares 6 8 6" xfId="39974" xr:uid="{00000000-0005-0000-0000-00003F910000}"/>
    <cellStyle name="Separador de milhares 6 9" xfId="25796" xr:uid="{00000000-0005-0000-0000-000040910000}"/>
    <cellStyle name="Separador de milhares 6 9 2" xfId="25797" xr:uid="{00000000-0005-0000-0000-000041910000}"/>
    <cellStyle name="Separador de milhares 6 9 2 2" xfId="39980" xr:uid="{00000000-0005-0000-0000-000042910000}"/>
    <cellStyle name="Separador de milhares 6 9 3" xfId="25798" xr:uid="{00000000-0005-0000-0000-000043910000}"/>
    <cellStyle name="Separador de milhares 6 9 3 2" xfId="39981" xr:uid="{00000000-0005-0000-0000-000044910000}"/>
    <cellStyle name="Separador de milhares 6 9 4" xfId="25799" xr:uid="{00000000-0005-0000-0000-000045910000}"/>
    <cellStyle name="Separador de milhares 6 9 4 2" xfId="39982" xr:uid="{00000000-0005-0000-0000-000046910000}"/>
    <cellStyle name="Separador de milhares 6 9 5" xfId="25800" xr:uid="{00000000-0005-0000-0000-000047910000}"/>
    <cellStyle name="Separador de milhares 6 9 5 2" xfId="39983" xr:uid="{00000000-0005-0000-0000-000048910000}"/>
    <cellStyle name="Separador de milhares 6 9 6" xfId="39979" xr:uid="{00000000-0005-0000-0000-000049910000}"/>
    <cellStyle name="Separador de milhares 7" xfId="25801" xr:uid="{00000000-0005-0000-0000-00004A910000}"/>
    <cellStyle name="Separador de milhares 7 10" xfId="25802" xr:uid="{00000000-0005-0000-0000-00004B910000}"/>
    <cellStyle name="Separador de milhares 7 10 2" xfId="25803" xr:uid="{00000000-0005-0000-0000-00004C910000}"/>
    <cellStyle name="Separador de milhares 7 10 2 2" xfId="39986" xr:uid="{00000000-0005-0000-0000-00004D910000}"/>
    <cellStyle name="Separador de milhares 7 10 3" xfId="25804" xr:uid="{00000000-0005-0000-0000-00004E910000}"/>
    <cellStyle name="Separador de milhares 7 10 3 2" xfId="39987" xr:uid="{00000000-0005-0000-0000-00004F910000}"/>
    <cellStyle name="Separador de milhares 7 10 4" xfId="25805" xr:uid="{00000000-0005-0000-0000-000050910000}"/>
    <cellStyle name="Separador de milhares 7 10 4 2" xfId="39988" xr:uid="{00000000-0005-0000-0000-000051910000}"/>
    <cellStyle name="Separador de milhares 7 10 5" xfId="25806" xr:uid="{00000000-0005-0000-0000-000052910000}"/>
    <cellStyle name="Separador de milhares 7 10 5 2" xfId="39989" xr:uid="{00000000-0005-0000-0000-000053910000}"/>
    <cellStyle name="Separador de milhares 7 10 6" xfId="39985" xr:uid="{00000000-0005-0000-0000-000054910000}"/>
    <cellStyle name="Separador de milhares 7 11" xfId="25807" xr:uid="{00000000-0005-0000-0000-000055910000}"/>
    <cellStyle name="Separador de milhares 7 11 2" xfId="25808" xr:uid="{00000000-0005-0000-0000-000056910000}"/>
    <cellStyle name="Separador de milhares 7 11 2 2" xfId="39991" xr:uid="{00000000-0005-0000-0000-000057910000}"/>
    <cellStyle name="Separador de milhares 7 11 3" xfId="25809" xr:uid="{00000000-0005-0000-0000-000058910000}"/>
    <cellStyle name="Separador de milhares 7 11 3 2" xfId="39992" xr:uid="{00000000-0005-0000-0000-000059910000}"/>
    <cellStyle name="Separador de milhares 7 11 4" xfId="25810" xr:uid="{00000000-0005-0000-0000-00005A910000}"/>
    <cellStyle name="Separador de milhares 7 11 4 2" xfId="39993" xr:uid="{00000000-0005-0000-0000-00005B910000}"/>
    <cellStyle name="Separador de milhares 7 11 5" xfId="25811" xr:uid="{00000000-0005-0000-0000-00005C910000}"/>
    <cellStyle name="Separador de milhares 7 11 5 2" xfId="39994" xr:uid="{00000000-0005-0000-0000-00005D910000}"/>
    <cellStyle name="Separador de milhares 7 11 6" xfId="39990" xr:uid="{00000000-0005-0000-0000-00005E910000}"/>
    <cellStyle name="Separador de milhares 7 12" xfId="25812" xr:uid="{00000000-0005-0000-0000-00005F910000}"/>
    <cellStyle name="Separador de milhares 7 12 2" xfId="25813" xr:uid="{00000000-0005-0000-0000-000060910000}"/>
    <cellStyle name="Separador de milhares 7 12 2 2" xfId="39996" xr:uid="{00000000-0005-0000-0000-000061910000}"/>
    <cellStyle name="Separador de milhares 7 12 3" xfId="25814" xr:uid="{00000000-0005-0000-0000-000062910000}"/>
    <cellStyle name="Separador de milhares 7 12 3 2" xfId="39997" xr:uid="{00000000-0005-0000-0000-000063910000}"/>
    <cellStyle name="Separador de milhares 7 12 4" xfId="25815" xr:uid="{00000000-0005-0000-0000-000064910000}"/>
    <cellStyle name="Separador de milhares 7 12 4 2" xfId="39998" xr:uid="{00000000-0005-0000-0000-000065910000}"/>
    <cellStyle name="Separador de milhares 7 12 5" xfId="25816" xr:uid="{00000000-0005-0000-0000-000066910000}"/>
    <cellStyle name="Separador de milhares 7 12 5 2" xfId="39999" xr:uid="{00000000-0005-0000-0000-000067910000}"/>
    <cellStyle name="Separador de milhares 7 12 6" xfId="39995" xr:uid="{00000000-0005-0000-0000-000068910000}"/>
    <cellStyle name="Separador de milhares 7 13" xfId="25817" xr:uid="{00000000-0005-0000-0000-000069910000}"/>
    <cellStyle name="Separador de milhares 7 13 2" xfId="25818" xr:uid="{00000000-0005-0000-0000-00006A910000}"/>
    <cellStyle name="Separador de milhares 7 13 2 2" xfId="40001" xr:uid="{00000000-0005-0000-0000-00006B910000}"/>
    <cellStyle name="Separador de milhares 7 13 3" xfId="25819" xr:uid="{00000000-0005-0000-0000-00006C910000}"/>
    <cellStyle name="Separador de milhares 7 13 3 2" xfId="40002" xr:uid="{00000000-0005-0000-0000-00006D910000}"/>
    <cellStyle name="Separador de milhares 7 13 4" xfId="25820" xr:uid="{00000000-0005-0000-0000-00006E910000}"/>
    <cellStyle name="Separador de milhares 7 13 4 2" xfId="40003" xr:uid="{00000000-0005-0000-0000-00006F910000}"/>
    <cellStyle name="Separador de milhares 7 13 5" xfId="25821" xr:uid="{00000000-0005-0000-0000-000070910000}"/>
    <cellStyle name="Separador de milhares 7 13 5 2" xfId="40004" xr:uid="{00000000-0005-0000-0000-000071910000}"/>
    <cellStyle name="Separador de milhares 7 13 6" xfId="40000" xr:uid="{00000000-0005-0000-0000-000072910000}"/>
    <cellStyle name="Separador de milhares 7 14" xfId="25822" xr:uid="{00000000-0005-0000-0000-000073910000}"/>
    <cellStyle name="Separador de milhares 7 14 2" xfId="25823" xr:uid="{00000000-0005-0000-0000-000074910000}"/>
    <cellStyle name="Separador de milhares 7 14 2 2" xfId="40006" xr:uid="{00000000-0005-0000-0000-000075910000}"/>
    <cellStyle name="Separador de milhares 7 14 3" xfId="25824" xr:uid="{00000000-0005-0000-0000-000076910000}"/>
    <cellStyle name="Separador de milhares 7 14 3 2" xfId="40007" xr:uid="{00000000-0005-0000-0000-000077910000}"/>
    <cellStyle name="Separador de milhares 7 14 4" xfId="25825" xr:uid="{00000000-0005-0000-0000-000078910000}"/>
    <cellStyle name="Separador de milhares 7 14 4 2" xfId="40008" xr:uid="{00000000-0005-0000-0000-000079910000}"/>
    <cellStyle name="Separador de milhares 7 14 5" xfId="25826" xr:uid="{00000000-0005-0000-0000-00007A910000}"/>
    <cellStyle name="Separador de milhares 7 14 5 2" xfId="40009" xr:uid="{00000000-0005-0000-0000-00007B910000}"/>
    <cellStyle name="Separador de milhares 7 14 6" xfId="40005" xr:uid="{00000000-0005-0000-0000-00007C910000}"/>
    <cellStyle name="Separador de milhares 7 15" xfId="25827" xr:uid="{00000000-0005-0000-0000-00007D910000}"/>
    <cellStyle name="Separador de milhares 7 15 2" xfId="25828" xr:uid="{00000000-0005-0000-0000-00007E910000}"/>
    <cellStyle name="Separador de milhares 7 15 2 2" xfId="40011" xr:uid="{00000000-0005-0000-0000-00007F910000}"/>
    <cellStyle name="Separador de milhares 7 15 3" xfId="25829" xr:uid="{00000000-0005-0000-0000-000080910000}"/>
    <cellStyle name="Separador de milhares 7 15 3 2" xfId="40012" xr:uid="{00000000-0005-0000-0000-000081910000}"/>
    <cellStyle name="Separador de milhares 7 15 4" xfId="25830" xr:uid="{00000000-0005-0000-0000-000082910000}"/>
    <cellStyle name="Separador de milhares 7 15 4 2" xfId="40013" xr:uid="{00000000-0005-0000-0000-000083910000}"/>
    <cellStyle name="Separador de milhares 7 15 5" xfId="25831" xr:uid="{00000000-0005-0000-0000-000084910000}"/>
    <cellStyle name="Separador de milhares 7 15 5 2" xfId="40014" xr:uid="{00000000-0005-0000-0000-000085910000}"/>
    <cellStyle name="Separador de milhares 7 15 6" xfId="40010" xr:uid="{00000000-0005-0000-0000-000086910000}"/>
    <cellStyle name="Separador de milhares 7 16" xfId="25832" xr:uid="{00000000-0005-0000-0000-000087910000}"/>
    <cellStyle name="Separador de milhares 7 16 2" xfId="25833" xr:uid="{00000000-0005-0000-0000-000088910000}"/>
    <cellStyle name="Separador de milhares 7 16 2 2" xfId="40016" xr:uid="{00000000-0005-0000-0000-000089910000}"/>
    <cellStyle name="Separador de milhares 7 16 3" xfId="25834" xr:uid="{00000000-0005-0000-0000-00008A910000}"/>
    <cellStyle name="Separador de milhares 7 16 3 2" xfId="40017" xr:uid="{00000000-0005-0000-0000-00008B910000}"/>
    <cellStyle name="Separador de milhares 7 16 4" xfId="25835" xr:uid="{00000000-0005-0000-0000-00008C910000}"/>
    <cellStyle name="Separador de milhares 7 16 4 2" xfId="40018" xr:uid="{00000000-0005-0000-0000-00008D910000}"/>
    <cellStyle name="Separador de milhares 7 16 5" xfId="25836" xr:uid="{00000000-0005-0000-0000-00008E910000}"/>
    <cellStyle name="Separador de milhares 7 16 5 2" xfId="40019" xr:uid="{00000000-0005-0000-0000-00008F910000}"/>
    <cellStyle name="Separador de milhares 7 16 6" xfId="40015" xr:uid="{00000000-0005-0000-0000-000090910000}"/>
    <cellStyle name="Separador de milhares 7 17" xfId="25837" xr:uid="{00000000-0005-0000-0000-000091910000}"/>
    <cellStyle name="Separador de milhares 7 17 2" xfId="25838" xr:uid="{00000000-0005-0000-0000-000092910000}"/>
    <cellStyle name="Separador de milhares 7 17 2 2" xfId="40021" xr:uid="{00000000-0005-0000-0000-000093910000}"/>
    <cellStyle name="Separador de milhares 7 17 3" xfId="25839" xr:uid="{00000000-0005-0000-0000-000094910000}"/>
    <cellStyle name="Separador de milhares 7 17 3 2" xfId="40022" xr:uid="{00000000-0005-0000-0000-000095910000}"/>
    <cellStyle name="Separador de milhares 7 17 4" xfId="25840" xr:uid="{00000000-0005-0000-0000-000096910000}"/>
    <cellStyle name="Separador de milhares 7 17 4 2" xfId="40023" xr:uid="{00000000-0005-0000-0000-000097910000}"/>
    <cellStyle name="Separador de milhares 7 17 5" xfId="25841" xr:uid="{00000000-0005-0000-0000-000098910000}"/>
    <cellStyle name="Separador de milhares 7 17 5 2" xfId="40024" xr:uid="{00000000-0005-0000-0000-000099910000}"/>
    <cellStyle name="Separador de milhares 7 17 6" xfId="40020" xr:uid="{00000000-0005-0000-0000-00009A910000}"/>
    <cellStyle name="Separador de milhares 7 18" xfId="25842" xr:uid="{00000000-0005-0000-0000-00009B910000}"/>
    <cellStyle name="Separador de milhares 7 18 2" xfId="25843" xr:uid="{00000000-0005-0000-0000-00009C910000}"/>
    <cellStyle name="Separador de milhares 7 18 2 2" xfId="40026" xr:uid="{00000000-0005-0000-0000-00009D910000}"/>
    <cellStyle name="Separador de milhares 7 18 3" xfId="25844" xr:uid="{00000000-0005-0000-0000-00009E910000}"/>
    <cellStyle name="Separador de milhares 7 18 3 2" xfId="40027" xr:uid="{00000000-0005-0000-0000-00009F910000}"/>
    <cellStyle name="Separador de milhares 7 18 4" xfId="25845" xr:uid="{00000000-0005-0000-0000-0000A0910000}"/>
    <cellStyle name="Separador de milhares 7 18 4 2" xfId="40028" xr:uid="{00000000-0005-0000-0000-0000A1910000}"/>
    <cellStyle name="Separador de milhares 7 18 5" xfId="25846" xr:uid="{00000000-0005-0000-0000-0000A2910000}"/>
    <cellStyle name="Separador de milhares 7 18 5 2" xfId="40029" xr:uid="{00000000-0005-0000-0000-0000A3910000}"/>
    <cellStyle name="Separador de milhares 7 18 6" xfId="40025" xr:uid="{00000000-0005-0000-0000-0000A4910000}"/>
    <cellStyle name="Separador de milhares 7 19" xfId="25847" xr:uid="{00000000-0005-0000-0000-0000A5910000}"/>
    <cellStyle name="Separador de milhares 7 19 2" xfId="25848" xr:uid="{00000000-0005-0000-0000-0000A6910000}"/>
    <cellStyle name="Separador de milhares 7 19 2 2" xfId="40031" xr:uid="{00000000-0005-0000-0000-0000A7910000}"/>
    <cellStyle name="Separador de milhares 7 19 3" xfId="25849" xr:uid="{00000000-0005-0000-0000-0000A8910000}"/>
    <cellStyle name="Separador de milhares 7 19 3 2" xfId="40032" xr:uid="{00000000-0005-0000-0000-0000A9910000}"/>
    <cellStyle name="Separador de milhares 7 19 4" xfId="25850" xr:uid="{00000000-0005-0000-0000-0000AA910000}"/>
    <cellStyle name="Separador de milhares 7 19 4 2" xfId="40033" xr:uid="{00000000-0005-0000-0000-0000AB910000}"/>
    <cellStyle name="Separador de milhares 7 19 5" xfId="25851" xr:uid="{00000000-0005-0000-0000-0000AC910000}"/>
    <cellStyle name="Separador de milhares 7 19 5 2" xfId="40034" xr:uid="{00000000-0005-0000-0000-0000AD910000}"/>
    <cellStyle name="Separador de milhares 7 19 6" xfId="40030" xr:uid="{00000000-0005-0000-0000-0000AE910000}"/>
    <cellStyle name="Separador de milhares 7 2" xfId="25852" xr:uid="{00000000-0005-0000-0000-0000AF910000}"/>
    <cellStyle name="Separador de milhares 7 2 10" xfId="25853" xr:uid="{00000000-0005-0000-0000-0000B0910000}"/>
    <cellStyle name="Separador de milhares 7 2 10 2" xfId="25854" xr:uid="{00000000-0005-0000-0000-0000B1910000}"/>
    <cellStyle name="Separador de milhares 7 2 10 2 2" xfId="40037" xr:uid="{00000000-0005-0000-0000-0000B2910000}"/>
    <cellStyle name="Separador de milhares 7 2 10 3" xfId="25855" xr:uid="{00000000-0005-0000-0000-0000B3910000}"/>
    <cellStyle name="Separador de milhares 7 2 10 3 2" xfId="40038" xr:uid="{00000000-0005-0000-0000-0000B4910000}"/>
    <cellStyle name="Separador de milhares 7 2 10 4" xfId="25856" xr:uid="{00000000-0005-0000-0000-0000B5910000}"/>
    <cellStyle name="Separador de milhares 7 2 10 4 2" xfId="40039" xr:uid="{00000000-0005-0000-0000-0000B6910000}"/>
    <cellStyle name="Separador de milhares 7 2 10 5" xfId="25857" xr:uid="{00000000-0005-0000-0000-0000B7910000}"/>
    <cellStyle name="Separador de milhares 7 2 10 5 2" xfId="40040" xr:uid="{00000000-0005-0000-0000-0000B8910000}"/>
    <cellStyle name="Separador de milhares 7 2 10 6" xfId="40036" xr:uid="{00000000-0005-0000-0000-0000B9910000}"/>
    <cellStyle name="Separador de milhares 7 2 11" xfId="25858" xr:uid="{00000000-0005-0000-0000-0000BA910000}"/>
    <cellStyle name="Separador de milhares 7 2 11 2" xfId="25859" xr:uid="{00000000-0005-0000-0000-0000BB910000}"/>
    <cellStyle name="Separador de milhares 7 2 11 2 2" xfId="40042" xr:uid="{00000000-0005-0000-0000-0000BC910000}"/>
    <cellStyle name="Separador de milhares 7 2 11 3" xfId="25860" xr:uid="{00000000-0005-0000-0000-0000BD910000}"/>
    <cellStyle name="Separador de milhares 7 2 11 3 2" xfId="40043" xr:uid="{00000000-0005-0000-0000-0000BE910000}"/>
    <cellStyle name="Separador de milhares 7 2 11 4" xfId="25861" xr:uid="{00000000-0005-0000-0000-0000BF910000}"/>
    <cellStyle name="Separador de milhares 7 2 11 4 2" xfId="40044" xr:uid="{00000000-0005-0000-0000-0000C0910000}"/>
    <cellStyle name="Separador de milhares 7 2 11 5" xfId="25862" xr:uid="{00000000-0005-0000-0000-0000C1910000}"/>
    <cellStyle name="Separador de milhares 7 2 11 5 2" xfId="40045" xr:uid="{00000000-0005-0000-0000-0000C2910000}"/>
    <cellStyle name="Separador de milhares 7 2 11 6" xfId="40041" xr:uid="{00000000-0005-0000-0000-0000C3910000}"/>
    <cellStyle name="Separador de milhares 7 2 12" xfId="25863" xr:uid="{00000000-0005-0000-0000-0000C4910000}"/>
    <cellStyle name="Separador de milhares 7 2 12 2" xfId="25864" xr:uid="{00000000-0005-0000-0000-0000C5910000}"/>
    <cellStyle name="Separador de milhares 7 2 12 2 2" xfId="40047" xr:uid="{00000000-0005-0000-0000-0000C6910000}"/>
    <cellStyle name="Separador de milhares 7 2 12 3" xfId="25865" xr:uid="{00000000-0005-0000-0000-0000C7910000}"/>
    <cellStyle name="Separador de milhares 7 2 12 3 2" xfId="40048" xr:uid="{00000000-0005-0000-0000-0000C8910000}"/>
    <cellStyle name="Separador de milhares 7 2 12 4" xfId="25866" xr:uid="{00000000-0005-0000-0000-0000C9910000}"/>
    <cellStyle name="Separador de milhares 7 2 12 4 2" xfId="40049" xr:uid="{00000000-0005-0000-0000-0000CA910000}"/>
    <cellStyle name="Separador de milhares 7 2 12 5" xfId="25867" xr:uid="{00000000-0005-0000-0000-0000CB910000}"/>
    <cellStyle name="Separador de milhares 7 2 12 5 2" xfId="40050" xr:uid="{00000000-0005-0000-0000-0000CC910000}"/>
    <cellStyle name="Separador de milhares 7 2 12 6" xfId="40046" xr:uid="{00000000-0005-0000-0000-0000CD910000}"/>
    <cellStyle name="Separador de milhares 7 2 13" xfId="25868" xr:uid="{00000000-0005-0000-0000-0000CE910000}"/>
    <cellStyle name="Separador de milhares 7 2 13 2" xfId="25869" xr:uid="{00000000-0005-0000-0000-0000CF910000}"/>
    <cellStyle name="Separador de milhares 7 2 13 2 2" xfId="40052" xr:uid="{00000000-0005-0000-0000-0000D0910000}"/>
    <cellStyle name="Separador de milhares 7 2 13 3" xfId="25870" xr:uid="{00000000-0005-0000-0000-0000D1910000}"/>
    <cellStyle name="Separador de milhares 7 2 13 3 2" xfId="40053" xr:uid="{00000000-0005-0000-0000-0000D2910000}"/>
    <cellStyle name="Separador de milhares 7 2 13 4" xfId="25871" xr:uid="{00000000-0005-0000-0000-0000D3910000}"/>
    <cellStyle name="Separador de milhares 7 2 13 4 2" xfId="40054" xr:uid="{00000000-0005-0000-0000-0000D4910000}"/>
    <cellStyle name="Separador de milhares 7 2 13 5" xfId="25872" xr:uid="{00000000-0005-0000-0000-0000D5910000}"/>
    <cellStyle name="Separador de milhares 7 2 13 5 2" xfId="40055" xr:uid="{00000000-0005-0000-0000-0000D6910000}"/>
    <cellStyle name="Separador de milhares 7 2 13 6" xfId="40051" xr:uid="{00000000-0005-0000-0000-0000D7910000}"/>
    <cellStyle name="Separador de milhares 7 2 14" xfId="25873" xr:uid="{00000000-0005-0000-0000-0000D8910000}"/>
    <cellStyle name="Separador de milhares 7 2 14 2" xfId="25874" xr:uid="{00000000-0005-0000-0000-0000D9910000}"/>
    <cellStyle name="Separador de milhares 7 2 14 2 2" xfId="40057" xr:uid="{00000000-0005-0000-0000-0000DA910000}"/>
    <cellStyle name="Separador de milhares 7 2 14 3" xfId="25875" xr:uid="{00000000-0005-0000-0000-0000DB910000}"/>
    <cellStyle name="Separador de milhares 7 2 14 3 2" xfId="40058" xr:uid="{00000000-0005-0000-0000-0000DC910000}"/>
    <cellStyle name="Separador de milhares 7 2 14 4" xfId="25876" xr:uid="{00000000-0005-0000-0000-0000DD910000}"/>
    <cellStyle name="Separador de milhares 7 2 14 4 2" xfId="40059" xr:uid="{00000000-0005-0000-0000-0000DE910000}"/>
    <cellStyle name="Separador de milhares 7 2 14 5" xfId="25877" xr:uid="{00000000-0005-0000-0000-0000DF910000}"/>
    <cellStyle name="Separador de milhares 7 2 14 5 2" xfId="40060" xr:uid="{00000000-0005-0000-0000-0000E0910000}"/>
    <cellStyle name="Separador de milhares 7 2 14 6" xfId="40056" xr:uid="{00000000-0005-0000-0000-0000E1910000}"/>
    <cellStyle name="Separador de milhares 7 2 15" xfId="25878" xr:uid="{00000000-0005-0000-0000-0000E2910000}"/>
    <cellStyle name="Separador de milhares 7 2 15 2" xfId="25879" xr:uid="{00000000-0005-0000-0000-0000E3910000}"/>
    <cellStyle name="Separador de milhares 7 2 15 2 2" xfId="40062" xr:uid="{00000000-0005-0000-0000-0000E4910000}"/>
    <cellStyle name="Separador de milhares 7 2 15 3" xfId="25880" xr:uid="{00000000-0005-0000-0000-0000E5910000}"/>
    <cellStyle name="Separador de milhares 7 2 15 3 2" xfId="40063" xr:uid="{00000000-0005-0000-0000-0000E6910000}"/>
    <cellStyle name="Separador de milhares 7 2 15 4" xfId="25881" xr:uid="{00000000-0005-0000-0000-0000E7910000}"/>
    <cellStyle name="Separador de milhares 7 2 15 4 2" xfId="40064" xr:uid="{00000000-0005-0000-0000-0000E8910000}"/>
    <cellStyle name="Separador de milhares 7 2 15 5" xfId="25882" xr:uid="{00000000-0005-0000-0000-0000E9910000}"/>
    <cellStyle name="Separador de milhares 7 2 15 5 2" xfId="40065" xr:uid="{00000000-0005-0000-0000-0000EA910000}"/>
    <cellStyle name="Separador de milhares 7 2 15 6" xfId="40061" xr:uid="{00000000-0005-0000-0000-0000EB910000}"/>
    <cellStyle name="Separador de milhares 7 2 16" xfId="25883" xr:uid="{00000000-0005-0000-0000-0000EC910000}"/>
    <cellStyle name="Separador de milhares 7 2 16 2" xfId="25884" xr:uid="{00000000-0005-0000-0000-0000ED910000}"/>
    <cellStyle name="Separador de milhares 7 2 16 2 2" xfId="40067" xr:uid="{00000000-0005-0000-0000-0000EE910000}"/>
    <cellStyle name="Separador de milhares 7 2 16 3" xfId="25885" xr:uid="{00000000-0005-0000-0000-0000EF910000}"/>
    <cellStyle name="Separador de milhares 7 2 16 3 2" xfId="40068" xr:uid="{00000000-0005-0000-0000-0000F0910000}"/>
    <cellStyle name="Separador de milhares 7 2 16 4" xfId="25886" xr:uid="{00000000-0005-0000-0000-0000F1910000}"/>
    <cellStyle name="Separador de milhares 7 2 16 4 2" xfId="40069" xr:uid="{00000000-0005-0000-0000-0000F2910000}"/>
    <cellStyle name="Separador de milhares 7 2 16 5" xfId="25887" xr:uid="{00000000-0005-0000-0000-0000F3910000}"/>
    <cellStyle name="Separador de milhares 7 2 16 5 2" xfId="40070" xr:uid="{00000000-0005-0000-0000-0000F4910000}"/>
    <cellStyle name="Separador de milhares 7 2 16 6" xfId="40066" xr:uid="{00000000-0005-0000-0000-0000F5910000}"/>
    <cellStyle name="Separador de milhares 7 2 17" xfId="25888" xr:uid="{00000000-0005-0000-0000-0000F6910000}"/>
    <cellStyle name="Separador de milhares 7 2 17 2" xfId="40071" xr:uid="{00000000-0005-0000-0000-0000F7910000}"/>
    <cellStyle name="Separador de milhares 7 2 18" xfId="25889" xr:uid="{00000000-0005-0000-0000-0000F8910000}"/>
    <cellStyle name="Separador de milhares 7 2 18 2" xfId="40072" xr:uid="{00000000-0005-0000-0000-0000F9910000}"/>
    <cellStyle name="Separador de milhares 7 2 19" xfId="25890" xr:uid="{00000000-0005-0000-0000-0000FA910000}"/>
    <cellStyle name="Separador de milhares 7 2 19 2" xfId="40073" xr:uid="{00000000-0005-0000-0000-0000FB910000}"/>
    <cellStyle name="Separador de milhares 7 2 2" xfId="25891" xr:uid="{00000000-0005-0000-0000-0000FC910000}"/>
    <cellStyle name="Separador de milhares 7 2 20" xfId="25892" xr:uid="{00000000-0005-0000-0000-0000FD910000}"/>
    <cellStyle name="Separador de milhares 7 2 20 2" xfId="40074" xr:uid="{00000000-0005-0000-0000-0000FE910000}"/>
    <cellStyle name="Separador de milhares 7 2 21" xfId="40035" xr:uid="{00000000-0005-0000-0000-0000FF910000}"/>
    <cellStyle name="Separador de milhares 7 2 3" xfId="25893" xr:uid="{00000000-0005-0000-0000-000000920000}"/>
    <cellStyle name="Separador de milhares 7 2 3 2" xfId="25894" xr:uid="{00000000-0005-0000-0000-000001920000}"/>
    <cellStyle name="Separador de milhares 7 2 3 2 2" xfId="40076" xr:uid="{00000000-0005-0000-0000-000002920000}"/>
    <cellStyle name="Separador de milhares 7 2 3 3" xfId="25895" xr:uid="{00000000-0005-0000-0000-000003920000}"/>
    <cellStyle name="Separador de milhares 7 2 3 3 2" xfId="40077" xr:uid="{00000000-0005-0000-0000-000004920000}"/>
    <cellStyle name="Separador de milhares 7 2 3 4" xfId="25896" xr:uid="{00000000-0005-0000-0000-000005920000}"/>
    <cellStyle name="Separador de milhares 7 2 3 4 2" xfId="40078" xr:uid="{00000000-0005-0000-0000-000006920000}"/>
    <cellStyle name="Separador de milhares 7 2 3 5" xfId="25897" xr:uid="{00000000-0005-0000-0000-000007920000}"/>
    <cellStyle name="Separador de milhares 7 2 3 5 2" xfId="40079" xr:uid="{00000000-0005-0000-0000-000008920000}"/>
    <cellStyle name="Separador de milhares 7 2 3 6" xfId="40075" xr:uid="{00000000-0005-0000-0000-000009920000}"/>
    <cellStyle name="Separador de milhares 7 2 4" xfId="25898" xr:uid="{00000000-0005-0000-0000-00000A920000}"/>
    <cellStyle name="Separador de milhares 7 2 4 2" xfId="25899" xr:uid="{00000000-0005-0000-0000-00000B920000}"/>
    <cellStyle name="Separador de milhares 7 2 4 2 2" xfId="40081" xr:uid="{00000000-0005-0000-0000-00000C920000}"/>
    <cellStyle name="Separador de milhares 7 2 4 3" xfId="25900" xr:uid="{00000000-0005-0000-0000-00000D920000}"/>
    <cellStyle name="Separador de milhares 7 2 4 3 2" xfId="40082" xr:uid="{00000000-0005-0000-0000-00000E920000}"/>
    <cellStyle name="Separador de milhares 7 2 4 4" xfId="25901" xr:uid="{00000000-0005-0000-0000-00000F920000}"/>
    <cellStyle name="Separador de milhares 7 2 4 4 2" xfId="40083" xr:uid="{00000000-0005-0000-0000-000010920000}"/>
    <cellStyle name="Separador de milhares 7 2 4 5" xfId="25902" xr:uid="{00000000-0005-0000-0000-000011920000}"/>
    <cellStyle name="Separador de milhares 7 2 4 5 2" xfId="40084" xr:uid="{00000000-0005-0000-0000-000012920000}"/>
    <cellStyle name="Separador de milhares 7 2 4 6" xfId="40080" xr:uid="{00000000-0005-0000-0000-000013920000}"/>
    <cellStyle name="Separador de milhares 7 2 5" xfId="25903" xr:uid="{00000000-0005-0000-0000-000014920000}"/>
    <cellStyle name="Separador de milhares 7 2 5 2" xfId="25904" xr:uid="{00000000-0005-0000-0000-000015920000}"/>
    <cellStyle name="Separador de milhares 7 2 5 2 2" xfId="40086" xr:uid="{00000000-0005-0000-0000-000016920000}"/>
    <cellStyle name="Separador de milhares 7 2 5 3" xfId="25905" xr:uid="{00000000-0005-0000-0000-000017920000}"/>
    <cellStyle name="Separador de milhares 7 2 5 3 2" xfId="40087" xr:uid="{00000000-0005-0000-0000-000018920000}"/>
    <cellStyle name="Separador de milhares 7 2 5 4" xfId="25906" xr:uid="{00000000-0005-0000-0000-000019920000}"/>
    <cellStyle name="Separador de milhares 7 2 5 4 2" xfId="40088" xr:uid="{00000000-0005-0000-0000-00001A920000}"/>
    <cellStyle name="Separador de milhares 7 2 5 5" xfId="25907" xr:uid="{00000000-0005-0000-0000-00001B920000}"/>
    <cellStyle name="Separador de milhares 7 2 5 5 2" xfId="40089" xr:uid="{00000000-0005-0000-0000-00001C920000}"/>
    <cellStyle name="Separador de milhares 7 2 5 6" xfId="40085" xr:uid="{00000000-0005-0000-0000-00001D920000}"/>
    <cellStyle name="Separador de milhares 7 2 6" xfId="25908" xr:uid="{00000000-0005-0000-0000-00001E920000}"/>
    <cellStyle name="Separador de milhares 7 2 6 2" xfId="25909" xr:uid="{00000000-0005-0000-0000-00001F920000}"/>
    <cellStyle name="Separador de milhares 7 2 6 2 2" xfId="40091" xr:uid="{00000000-0005-0000-0000-000020920000}"/>
    <cellStyle name="Separador de milhares 7 2 6 3" xfId="25910" xr:uid="{00000000-0005-0000-0000-000021920000}"/>
    <cellStyle name="Separador de milhares 7 2 6 3 2" xfId="40092" xr:uid="{00000000-0005-0000-0000-000022920000}"/>
    <cellStyle name="Separador de milhares 7 2 6 4" xfId="25911" xr:uid="{00000000-0005-0000-0000-000023920000}"/>
    <cellStyle name="Separador de milhares 7 2 6 4 2" xfId="40093" xr:uid="{00000000-0005-0000-0000-000024920000}"/>
    <cellStyle name="Separador de milhares 7 2 6 5" xfId="25912" xr:uid="{00000000-0005-0000-0000-000025920000}"/>
    <cellStyle name="Separador de milhares 7 2 6 5 2" xfId="40094" xr:uid="{00000000-0005-0000-0000-000026920000}"/>
    <cellStyle name="Separador de milhares 7 2 6 6" xfId="40090" xr:uid="{00000000-0005-0000-0000-000027920000}"/>
    <cellStyle name="Separador de milhares 7 2 7" xfId="25913" xr:uid="{00000000-0005-0000-0000-000028920000}"/>
    <cellStyle name="Separador de milhares 7 2 7 2" xfId="25914" xr:uid="{00000000-0005-0000-0000-000029920000}"/>
    <cellStyle name="Separador de milhares 7 2 7 2 2" xfId="40096" xr:uid="{00000000-0005-0000-0000-00002A920000}"/>
    <cellStyle name="Separador de milhares 7 2 7 3" xfId="25915" xr:uid="{00000000-0005-0000-0000-00002B920000}"/>
    <cellStyle name="Separador de milhares 7 2 7 3 2" xfId="40097" xr:uid="{00000000-0005-0000-0000-00002C920000}"/>
    <cellStyle name="Separador de milhares 7 2 7 4" xfId="25916" xr:uid="{00000000-0005-0000-0000-00002D920000}"/>
    <cellStyle name="Separador de milhares 7 2 7 4 2" xfId="40098" xr:uid="{00000000-0005-0000-0000-00002E920000}"/>
    <cellStyle name="Separador de milhares 7 2 7 5" xfId="25917" xr:uid="{00000000-0005-0000-0000-00002F920000}"/>
    <cellStyle name="Separador de milhares 7 2 7 5 2" xfId="40099" xr:uid="{00000000-0005-0000-0000-000030920000}"/>
    <cellStyle name="Separador de milhares 7 2 7 6" xfId="40095" xr:uid="{00000000-0005-0000-0000-000031920000}"/>
    <cellStyle name="Separador de milhares 7 2 8" xfId="25918" xr:uid="{00000000-0005-0000-0000-000032920000}"/>
    <cellStyle name="Separador de milhares 7 2 8 2" xfId="25919" xr:uid="{00000000-0005-0000-0000-000033920000}"/>
    <cellStyle name="Separador de milhares 7 2 8 2 2" xfId="40101" xr:uid="{00000000-0005-0000-0000-000034920000}"/>
    <cellStyle name="Separador de milhares 7 2 8 3" xfId="25920" xr:uid="{00000000-0005-0000-0000-000035920000}"/>
    <cellStyle name="Separador de milhares 7 2 8 3 2" xfId="40102" xr:uid="{00000000-0005-0000-0000-000036920000}"/>
    <cellStyle name="Separador de milhares 7 2 8 4" xfId="25921" xr:uid="{00000000-0005-0000-0000-000037920000}"/>
    <cellStyle name="Separador de milhares 7 2 8 4 2" xfId="40103" xr:uid="{00000000-0005-0000-0000-000038920000}"/>
    <cellStyle name="Separador de milhares 7 2 8 5" xfId="25922" xr:uid="{00000000-0005-0000-0000-000039920000}"/>
    <cellStyle name="Separador de milhares 7 2 8 5 2" xfId="40104" xr:uid="{00000000-0005-0000-0000-00003A920000}"/>
    <cellStyle name="Separador de milhares 7 2 8 6" xfId="40100" xr:uid="{00000000-0005-0000-0000-00003B920000}"/>
    <cellStyle name="Separador de milhares 7 2 9" xfId="25923" xr:uid="{00000000-0005-0000-0000-00003C920000}"/>
    <cellStyle name="Separador de milhares 7 2 9 2" xfId="25924" xr:uid="{00000000-0005-0000-0000-00003D920000}"/>
    <cellStyle name="Separador de milhares 7 2 9 2 2" xfId="40106" xr:uid="{00000000-0005-0000-0000-00003E920000}"/>
    <cellStyle name="Separador de milhares 7 2 9 3" xfId="25925" xr:uid="{00000000-0005-0000-0000-00003F920000}"/>
    <cellStyle name="Separador de milhares 7 2 9 3 2" xfId="40107" xr:uid="{00000000-0005-0000-0000-000040920000}"/>
    <cellStyle name="Separador de milhares 7 2 9 4" xfId="25926" xr:uid="{00000000-0005-0000-0000-000041920000}"/>
    <cellStyle name="Separador de milhares 7 2 9 4 2" xfId="40108" xr:uid="{00000000-0005-0000-0000-000042920000}"/>
    <cellStyle name="Separador de milhares 7 2 9 5" xfId="25927" xr:uid="{00000000-0005-0000-0000-000043920000}"/>
    <cellStyle name="Separador de milhares 7 2 9 5 2" xfId="40109" xr:uid="{00000000-0005-0000-0000-000044920000}"/>
    <cellStyle name="Separador de milhares 7 2 9 6" xfId="40105" xr:uid="{00000000-0005-0000-0000-000045920000}"/>
    <cellStyle name="Separador de milhares 7 20" xfId="25928" xr:uid="{00000000-0005-0000-0000-000046920000}"/>
    <cellStyle name="Separador de milhares 7 20 2" xfId="40110" xr:uid="{00000000-0005-0000-0000-000047920000}"/>
    <cellStyle name="Separador de milhares 7 21" xfId="25929" xr:uid="{00000000-0005-0000-0000-000048920000}"/>
    <cellStyle name="Separador de milhares 7 21 2" xfId="40111" xr:uid="{00000000-0005-0000-0000-000049920000}"/>
    <cellStyle name="Separador de milhares 7 22" xfId="25930" xr:uid="{00000000-0005-0000-0000-00004A920000}"/>
    <cellStyle name="Separador de milhares 7 22 2" xfId="40112" xr:uid="{00000000-0005-0000-0000-00004B920000}"/>
    <cellStyle name="Separador de milhares 7 23" xfId="25931" xr:uid="{00000000-0005-0000-0000-00004C920000}"/>
    <cellStyle name="Separador de milhares 7 23 2" xfId="40113" xr:uid="{00000000-0005-0000-0000-00004D920000}"/>
    <cellStyle name="Separador de milhares 7 24" xfId="25932" xr:uid="{00000000-0005-0000-0000-00004E920000}"/>
    <cellStyle name="Separador de milhares 7 24 2" xfId="40114" xr:uid="{00000000-0005-0000-0000-00004F920000}"/>
    <cellStyle name="Separador de milhares 7 25" xfId="39984" xr:uid="{00000000-0005-0000-0000-000050920000}"/>
    <cellStyle name="Separador de milhares 7 3" xfId="25933" xr:uid="{00000000-0005-0000-0000-000051920000}"/>
    <cellStyle name="Separador de milhares 7 3 2" xfId="25934" xr:uid="{00000000-0005-0000-0000-000052920000}"/>
    <cellStyle name="Separador de milhares 7 3 3" xfId="25935" xr:uid="{00000000-0005-0000-0000-000053920000}"/>
    <cellStyle name="Separador de milhares 7 3 3 2" xfId="40116" xr:uid="{00000000-0005-0000-0000-000054920000}"/>
    <cellStyle name="Separador de milhares 7 3 4" xfId="25936" xr:uid="{00000000-0005-0000-0000-000055920000}"/>
    <cellStyle name="Separador de milhares 7 3 4 2" xfId="40117" xr:uid="{00000000-0005-0000-0000-000056920000}"/>
    <cellStyle name="Separador de milhares 7 3 5" xfId="25937" xr:uid="{00000000-0005-0000-0000-000057920000}"/>
    <cellStyle name="Separador de milhares 7 3 5 2" xfId="40118" xr:uid="{00000000-0005-0000-0000-000058920000}"/>
    <cellStyle name="Separador de milhares 7 3 6" xfId="25938" xr:uid="{00000000-0005-0000-0000-000059920000}"/>
    <cellStyle name="Separador de milhares 7 3 6 2" xfId="40119" xr:uid="{00000000-0005-0000-0000-00005A920000}"/>
    <cellStyle name="Separador de milhares 7 3 7" xfId="40115" xr:uid="{00000000-0005-0000-0000-00005B920000}"/>
    <cellStyle name="Separador de milhares 7 4" xfId="25939" xr:uid="{00000000-0005-0000-0000-00005C920000}"/>
    <cellStyle name="Separador de milhares 7 4 2" xfId="25940" xr:uid="{00000000-0005-0000-0000-00005D920000}"/>
    <cellStyle name="Separador de milhares 7 4 3" xfId="25941" xr:uid="{00000000-0005-0000-0000-00005E920000}"/>
    <cellStyle name="Separador de milhares 7 4 3 2" xfId="40121" xr:uid="{00000000-0005-0000-0000-00005F920000}"/>
    <cellStyle name="Separador de milhares 7 4 4" xfId="25942" xr:uid="{00000000-0005-0000-0000-000060920000}"/>
    <cellStyle name="Separador de milhares 7 4 4 2" xfId="40122" xr:uid="{00000000-0005-0000-0000-000061920000}"/>
    <cellStyle name="Separador de milhares 7 4 5" xfId="25943" xr:uid="{00000000-0005-0000-0000-000062920000}"/>
    <cellStyle name="Separador de milhares 7 4 5 2" xfId="40123" xr:uid="{00000000-0005-0000-0000-000063920000}"/>
    <cellStyle name="Separador de milhares 7 4 6" xfId="25944" xr:uid="{00000000-0005-0000-0000-000064920000}"/>
    <cellStyle name="Separador de milhares 7 4 6 2" xfId="40124" xr:uid="{00000000-0005-0000-0000-000065920000}"/>
    <cellStyle name="Separador de milhares 7 4 7" xfId="40120" xr:uid="{00000000-0005-0000-0000-000066920000}"/>
    <cellStyle name="Separador de milhares 7 5" xfId="25945" xr:uid="{00000000-0005-0000-0000-000067920000}"/>
    <cellStyle name="Separador de milhares 7 5 2" xfId="25946" xr:uid="{00000000-0005-0000-0000-000068920000}"/>
    <cellStyle name="Separador de milhares 7 5 3" xfId="25947" xr:uid="{00000000-0005-0000-0000-000069920000}"/>
    <cellStyle name="Separador de milhares 7 5 3 2" xfId="40126" xr:uid="{00000000-0005-0000-0000-00006A920000}"/>
    <cellStyle name="Separador de milhares 7 5 4" xfId="25948" xr:uid="{00000000-0005-0000-0000-00006B920000}"/>
    <cellStyle name="Separador de milhares 7 5 4 2" xfId="40127" xr:uid="{00000000-0005-0000-0000-00006C920000}"/>
    <cellStyle name="Separador de milhares 7 5 5" xfId="25949" xr:uid="{00000000-0005-0000-0000-00006D920000}"/>
    <cellStyle name="Separador de milhares 7 5 5 2" xfId="40128" xr:uid="{00000000-0005-0000-0000-00006E920000}"/>
    <cellStyle name="Separador de milhares 7 5 6" xfId="25950" xr:uid="{00000000-0005-0000-0000-00006F920000}"/>
    <cellStyle name="Separador de milhares 7 5 6 2" xfId="40129" xr:uid="{00000000-0005-0000-0000-000070920000}"/>
    <cellStyle name="Separador de milhares 7 5 7" xfId="40125" xr:uid="{00000000-0005-0000-0000-000071920000}"/>
    <cellStyle name="Separador de milhares 7 6" xfId="25951" xr:uid="{00000000-0005-0000-0000-000072920000}"/>
    <cellStyle name="Separador de milhares 7 6 2" xfId="25952" xr:uid="{00000000-0005-0000-0000-000073920000}"/>
    <cellStyle name="Separador de milhares 7 6 2 2" xfId="40131" xr:uid="{00000000-0005-0000-0000-000074920000}"/>
    <cellStyle name="Separador de milhares 7 6 3" xfId="25953" xr:uid="{00000000-0005-0000-0000-000075920000}"/>
    <cellStyle name="Separador de milhares 7 6 3 2" xfId="40132" xr:uid="{00000000-0005-0000-0000-000076920000}"/>
    <cellStyle name="Separador de milhares 7 6 4" xfId="25954" xr:uid="{00000000-0005-0000-0000-000077920000}"/>
    <cellStyle name="Separador de milhares 7 6 4 2" xfId="40133" xr:uid="{00000000-0005-0000-0000-000078920000}"/>
    <cellStyle name="Separador de milhares 7 6 5" xfId="25955" xr:uid="{00000000-0005-0000-0000-000079920000}"/>
    <cellStyle name="Separador de milhares 7 6 5 2" xfId="40134" xr:uid="{00000000-0005-0000-0000-00007A920000}"/>
    <cellStyle name="Separador de milhares 7 6 6" xfId="40130" xr:uid="{00000000-0005-0000-0000-00007B920000}"/>
    <cellStyle name="Separador de milhares 7 7" xfId="25956" xr:uid="{00000000-0005-0000-0000-00007C920000}"/>
    <cellStyle name="Separador de milhares 7 7 2" xfId="25957" xr:uid="{00000000-0005-0000-0000-00007D920000}"/>
    <cellStyle name="Separador de milhares 7 7 2 2" xfId="40136" xr:uid="{00000000-0005-0000-0000-00007E920000}"/>
    <cellStyle name="Separador de milhares 7 7 3" xfId="25958" xr:uid="{00000000-0005-0000-0000-00007F920000}"/>
    <cellStyle name="Separador de milhares 7 7 3 2" xfId="40137" xr:uid="{00000000-0005-0000-0000-000080920000}"/>
    <cellStyle name="Separador de milhares 7 7 4" xfId="25959" xr:uid="{00000000-0005-0000-0000-000081920000}"/>
    <cellStyle name="Separador de milhares 7 7 4 2" xfId="40138" xr:uid="{00000000-0005-0000-0000-000082920000}"/>
    <cellStyle name="Separador de milhares 7 7 5" xfId="25960" xr:uid="{00000000-0005-0000-0000-000083920000}"/>
    <cellStyle name="Separador de milhares 7 7 5 2" xfId="40139" xr:uid="{00000000-0005-0000-0000-000084920000}"/>
    <cellStyle name="Separador de milhares 7 7 6" xfId="40135" xr:uid="{00000000-0005-0000-0000-000085920000}"/>
    <cellStyle name="Separador de milhares 7 8" xfId="25961" xr:uid="{00000000-0005-0000-0000-000086920000}"/>
    <cellStyle name="Separador de milhares 7 8 2" xfId="25962" xr:uid="{00000000-0005-0000-0000-000087920000}"/>
    <cellStyle name="Separador de milhares 7 8 2 2" xfId="40141" xr:uid="{00000000-0005-0000-0000-000088920000}"/>
    <cellStyle name="Separador de milhares 7 8 3" xfId="25963" xr:uid="{00000000-0005-0000-0000-000089920000}"/>
    <cellStyle name="Separador de milhares 7 8 3 2" xfId="40142" xr:uid="{00000000-0005-0000-0000-00008A920000}"/>
    <cellStyle name="Separador de milhares 7 8 4" xfId="25964" xr:uid="{00000000-0005-0000-0000-00008B920000}"/>
    <cellStyle name="Separador de milhares 7 8 4 2" xfId="40143" xr:uid="{00000000-0005-0000-0000-00008C920000}"/>
    <cellStyle name="Separador de milhares 7 8 5" xfId="25965" xr:uid="{00000000-0005-0000-0000-00008D920000}"/>
    <cellStyle name="Separador de milhares 7 8 5 2" xfId="40144" xr:uid="{00000000-0005-0000-0000-00008E920000}"/>
    <cellStyle name="Separador de milhares 7 8 6" xfId="40140" xr:uid="{00000000-0005-0000-0000-00008F920000}"/>
    <cellStyle name="Separador de milhares 7 9" xfId="25966" xr:uid="{00000000-0005-0000-0000-000090920000}"/>
    <cellStyle name="Separador de milhares 7 9 2" xfId="25967" xr:uid="{00000000-0005-0000-0000-000091920000}"/>
    <cellStyle name="Separador de milhares 7 9 2 2" xfId="40146" xr:uid="{00000000-0005-0000-0000-000092920000}"/>
    <cellStyle name="Separador de milhares 7 9 3" xfId="25968" xr:uid="{00000000-0005-0000-0000-000093920000}"/>
    <cellStyle name="Separador de milhares 7 9 3 2" xfId="40147" xr:uid="{00000000-0005-0000-0000-000094920000}"/>
    <cellStyle name="Separador de milhares 7 9 4" xfId="25969" xr:uid="{00000000-0005-0000-0000-000095920000}"/>
    <cellStyle name="Separador de milhares 7 9 4 2" xfId="40148" xr:uid="{00000000-0005-0000-0000-000096920000}"/>
    <cellStyle name="Separador de milhares 7 9 5" xfId="25970" xr:uid="{00000000-0005-0000-0000-000097920000}"/>
    <cellStyle name="Separador de milhares 7 9 5 2" xfId="40149" xr:uid="{00000000-0005-0000-0000-000098920000}"/>
    <cellStyle name="Separador de milhares 7 9 6" xfId="40145" xr:uid="{00000000-0005-0000-0000-000099920000}"/>
    <cellStyle name="Separador de milhares 8" xfId="25971" xr:uid="{00000000-0005-0000-0000-00009A920000}"/>
    <cellStyle name="Separador de milhares 8 2" xfId="25972" xr:uid="{00000000-0005-0000-0000-00009B920000}"/>
    <cellStyle name="Separador de milhares 9" xfId="25973" xr:uid="{00000000-0005-0000-0000-00009C920000}"/>
    <cellStyle name="Separador de milhares 9 2" xfId="25974" xr:uid="{00000000-0005-0000-0000-00009D920000}"/>
    <cellStyle name="Separador de milhares 9 3" xfId="25975" xr:uid="{00000000-0005-0000-0000-00009E920000}"/>
    <cellStyle name="Texto de Aviso 10" xfId="25976" xr:uid="{00000000-0005-0000-0000-00009F920000}"/>
    <cellStyle name="Texto de Aviso 10 2" xfId="40863" xr:uid="{00000000-0005-0000-0000-0000A0920000}"/>
    <cellStyle name="Texto de Aviso 100" xfId="25977" xr:uid="{00000000-0005-0000-0000-0000A1920000}"/>
    <cellStyle name="Texto de Aviso 101" xfId="25978" xr:uid="{00000000-0005-0000-0000-0000A2920000}"/>
    <cellStyle name="Texto de Aviso 102" xfId="25979" xr:uid="{00000000-0005-0000-0000-0000A3920000}"/>
    <cellStyle name="Texto de Aviso 103" xfId="25980" xr:uid="{00000000-0005-0000-0000-0000A4920000}"/>
    <cellStyle name="Texto de Aviso 104" xfId="25981" xr:uid="{00000000-0005-0000-0000-0000A5920000}"/>
    <cellStyle name="Texto de Aviso 105" xfId="25982" xr:uid="{00000000-0005-0000-0000-0000A6920000}"/>
    <cellStyle name="Texto de Aviso 106" xfId="25983" xr:uid="{00000000-0005-0000-0000-0000A7920000}"/>
    <cellStyle name="Texto de Aviso 107" xfId="25984" xr:uid="{00000000-0005-0000-0000-0000A8920000}"/>
    <cellStyle name="Texto de Aviso 108" xfId="25985" xr:uid="{00000000-0005-0000-0000-0000A9920000}"/>
    <cellStyle name="Texto de Aviso 109" xfId="25986" xr:uid="{00000000-0005-0000-0000-0000AA920000}"/>
    <cellStyle name="Texto de Aviso 11" xfId="25987" xr:uid="{00000000-0005-0000-0000-0000AB920000}"/>
    <cellStyle name="Texto de Aviso 11 2" xfId="40864" xr:uid="{00000000-0005-0000-0000-0000AC920000}"/>
    <cellStyle name="Texto de Aviso 110" xfId="25988" xr:uid="{00000000-0005-0000-0000-0000AD920000}"/>
    <cellStyle name="Texto de Aviso 111" xfId="25989" xr:uid="{00000000-0005-0000-0000-0000AE920000}"/>
    <cellStyle name="Texto de Aviso 112" xfId="25990" xr:uid="{00000000-0005-0000-0000-0000AF920000}"/>
    <cellStyle name="Texto de Aviso 113" xfId="25991" xr:uid="{00000000-0005-0000-0000-0000B0920000}"/>
    <cellStyle name="Texto de Aviso 114" xfId="25992" xr:uid="{00000000-0005-0000-0000-0000B1920000}"/>
    <cellStyle name="Texto de Aviso 115" xfId="25993" xr:uid="{00000000-0005-0000-0000-0000B2920000}"/>
    <cellStyle name="Texto de Aviso 116" xfId="25994" xr:uid="{00000000-0005-0000-0000-0000B3920000}"/>
    <cellStyle name="Texto de Aviso 117" xfId="25995" xr:uid="{00000000-0005-0000-0000-0000B4920000}"/>
    <cellStyle name="Texto de Aviso 118" xfId="25996" xr:uid="{00000000-0005-0000-0000-0000B5920000}"/>
    <cellStyle name="Texto de Aviso 119" xfId="25997" xr:uid="{00000000-0005-0000-0000-0000B6920000}"/>
    <cellStyle name="Texto de Aviso 12" xfId="25998" xr:uid="{00000000-0005-0000-0000-0000B7920000}"/>
    <cellStyle name="Texto de Aviso 12 2" xfId="40865" xr:uid="{00000000-0005-0000-0000-0000B8920000}"/>
    <cellStyle name="Texto de Aviso 120" xfId="25999" xr:uid="{00000000-0005-0000-0000-0000B9920000}"/>
    <cellStyle name="Texto de Aviso 121" xfId="26000" xr:uid="{00000000-0005-0000-0000-0000BA920000}"/>
    <cellStyle name="Texto de Aviso 122" xfId="26001" xr:uid="{00000000-0005-0000-0000-0000BB920000}"/>
    <cellStyle name="Texto de Aviso 123" xfId="26002" xr:uid="{00000000-0005-0000-0000-0000BC920000}"/>
    <cellStyle name="Texto de Aviso 124" xfId="26003" xr:uid="{00000000-0005-0000-0000-0000BD920000}"/>
    <cellStyle name="Texto de Aviso 125" xfId="26004" xr:uid="{00000000-0005-0000-0000-0000BE920000}"/>
    <cellStyle name="Texto de Aviso 126" xfId="26005" xr:uid="{00000000-0005-0000-0000-0000BF920000}"/>
    <cellStyle name="Texto de Aviso 127" xfId="26006" xr:uid="{00000000-0005-0000-0000-0000C0920000}"/>
    <cellStyle name="Texto de Aviso 128" xfId="26007" xr:uid="{00000000-0005-0000-0000-0000C1920000}"/>
    <cellStyle name="Texto de Aviso 129" xfId="26008" xr:uid="{00000000-0005-0000-0000-0000C2920000}"/>
    <cellStyle name="Texto de Aviso 13" xfId="26009" xr:uid="{00000000-0005-0000-0000-0000C3920000}"/>
    <cellStyle name="Texto de Aviso 13 2" xfId="40866" xr:uid="{00000000-0005-0000-0000-0000C4920000}"/>
    <cellStyle name="Texto de Aviso 130" xfId="26010" xr:uid="{00000000-0005-0000-0000-0000C5920000}"/>
    <cellStyle name="Texto de Aviso 131" xfId="26011" xr:uid="{00000000-0005-0000-0000-0000C6920000}"/>
    <cellStyle name="Texto de Aviso 132" xfId="26012" xr:uid="{00000000-0005-0000-0000-0000C7920000}"/>
    <cellStyle name="Texto de Aviso 133" xfId="26013" xr:uid="{00000000-0005-0000-0000-0000C8920000}"/>
    <cellStyle name="Texto de Aviso 134" xfId="26014" xr:uid="{00000000-0005-0000-0000-0000C9920000}"/>
    <cellStyle name="Texto de Aviso 135" xfId="26015" xr:uid="{00000000-0005-0000-0000-0000CA920000}"/>
    <cellStyle name="Texto de Aviso 136" xfId="26016" xr:uid="{00000000-0005-0000-0000-0000CB920000}"/>
    <cellStyle name="Texto de Aviso 137" xfId="26017" xr:uid="{00000000-0005-0000-0000-0000CC920000}"/>
    <cellStyle name="Texto de Aviso 138" xfId="26018" xr:uid="{00000000-0005-0000-0000-0000CD920000}"/>
    <cellStyle name="Texto de Aviso 139" xfId="26019" xr:uid="{00000000-0005-0000-0000-0000CE920000}"/>
    <cellStyle name="Texto de Aviso 14" xfId="26020" xr:uid="{00000000-0005-0000-0000-0000CF920000}"/>
    <cellStyle name="Texto de Aviso 140" xfId="26021" xr:uid="{00000000-0005-0000-0000-0000D0920000}"/>
    <cellStyle name="Texto de Aviso 141" xfId="26022" xr:uid="{00000000-0005-0000-0000-0000D1920000}"/>
    <cellStyle name="Texto de Aviso 142" xfId="26023" xr:uid="{00000000-0005-0000-0000-0000D2920000}"/>
    <cellStyle name="Texto de Aviso 143" xfId="26024" xr:uid="{00000000-0005-0000-0000-0000D3920000}"/>
    <cellStyle name="Texto de Aviso 144" xfId="26025" xr:uid="{00000000-0005-0000-0000-0000D4920000}"/>
    <cellStyle name="Texto de Aviso 145" xfId="26026" xr:uid="{00000000-0005-0000-0000-0000D5920000}"/>
    <cellStyle name="Texto de Aviso 146" xfId="26027" xr:uid="{00000000-0005-0000-0000-0000D6920000}"/>
    <cellStyle name="Texto de Aviso 147" xfId="26028" xr:uid="{00000000-0005-0000-0000-0000D7920000}"/>
    <cellStyle name="Texto de Aviso 148" xfId="26029" xr:uid="{00000000-0005-0000-0000-0000D8920000}"/>
    <cellStyle name="Texto de Aviso 149" xfId="26030" xr:uid="{00000000-0005-0000-0000-0000D9920000}"/>
    <cellStyle name="Texto de Aviso 15" xfId="26031" xr:uid="{00000000-0005-0000-0000-0000DA920000}"/>
    <cellStyle name="Texto de Aviso 15 2" xfId="26032" xr:uid="{00000000-0005-0000-0000-0000DB920000}"/>
    <cellStyle name="Texto de Aviso 15 3" xfId="26033" xr:uid="{00000000-0005-0000-0000-0000DC920000}"/>
    <cellStyle name="Texto de Aviso 150" xfId="26034" xr:uid="{00000000-0005-0000-0000-0000DD920000}"/>
    <cellStyle name="Texto de Aviso 151" xfId="26035" xr:uid="{00000000-0005-0000-0000-0000DE920000}"/>
    <cellStyle name="Texto de Aviso 152" xfId="26036" xr:uid="{00000000-0005-0000-0000-0000DF920000}"/>
    <cellStyle name="Texto de Aviso 153" xfId="26037" xr:uid="{00000000-0005-0000-0000-0000E0920000}"/>
    <cellStyle name="Texto de Aviso 154" xfId="26038" xr:uid="{00000000-0005-0000-0000-0000E1920000}"/>
    <cellStyle name="Texto de Aviso 155" xfId="26039" xr:uid="{00000000-0005-0000-0000-0000E2920000}"/>
    <cellStyle name="Texto de Aviso 156" xfId="26040" xr:uid="{00000000-0005-0000-0000-0000E3920000}"/>
    <cellStyle name="Texto de Aviso 157" xfId="26041" xr:uid="{00000000-0005-0000-0000-0000E4920000}"/>
    <cellStyle name="Texto de Aviso 158" xfId="26042" xr:uid="{00000000-0005-0000-0000-0000E5920000}"/>
    <cellStyle name="Texto de Aviso 159" xfId="26043" xr:uid="{00000000-0005-0000-0000-0000E6920000}"/>
    <cellStyle name="Texto de Aviso 16" xfId="26044" xr:uid="{00000000-0005-0000-0000-0000E7920000}"/>
    <cellStyle name="Texto de Aviso 16 2" xfId="26045" xr:uid="{00000000-0005-0000-0000-0000E8920000}"/>
    <cellStyle name="Texto de Aviso 16 3" xfId="26046" xr:uid="{00000000-0005-0000-0000-0000E9920000}"/>
    <cellStyle name="Texto de Aviso 160" xfId="26047" xr:uid="{00000000-0005-0000-0000-0000EA920000}"/>
    <cellStyle name="Texto de Aviso 161" xfId="26048" xr:uid="{00000000-0005-0000-0000-0000EB920000}"/>
    <cellStyle name="Texto de Aviso 162" xfId="26049" xr:uid="{00000000-0005-0000-0000-0000EC920000}"/>
    <cellStyle name="Texto de Aviso 163" xfId="26050" xr:uid="{00000000-0005-0000-0000-0000ED920000}"/>
    <cellStyle name="Texto de Aviso 164" xfId="26051" xr:uid="{00000000-0005-0000-0000-0000EE920000}"/>
    <cellStyle name="Texto de Aviso 165" xfId="26052" xr:uid="{00000000-0005-0000-0000-0000EF920000}"/>
    <cellStyle name="Texto de Aviso 166" xfId="26053" xr:uid="{00000000-0005-0000-0000-0000F0920000}"/>
    <cellStyle name="Texto de Aviso 167" xfId="26054" xr:uid="{00000000-0005-0000-0000-0000F1920000}"/>
    <cellStyle name="Texto de Aviso 168" xfId="26055" xr:uid="{00000000-0005-0000-0000-0000F2920000}"/>
    <cellStyle name="Texto de Aviso 169" xfId="26056" xr:uid="{00000000-0005-0000-0000-0000F3920000}"/>
    <cellStyle name="Texto de Aviso 17" xfId="26057" xr:uid="{00000000-0005-0000-0000-0000F4920000}"/>
    <cellStyle name="Texto de Aviso 17 2" xfId="26058" xr:uid="{00000000-0005-0000-0000-0000F5920000}"/>
    <cellStyle name="Texto de Aviso 17 3" xfId="26059" xr:uid="{00000000-0005-0000-0000-0000F6920000}"/>
    <cellStyle name="Texto de Aviso 170" xfId="26060" xr:uid="{00000000-0005-0000-0000-0000F7920000}"/>
    <cellStyle name="Texto de Aviso 171" xfId="26061" xr:uid="{00000000-0005-0000-0000-0000F8920000}"/>
    <cellStyle name="Texto de Aviso 172" xfId="26062" xr:uid="{00000000-0005-0000-0000-0000F9920000}"/>
    <cellStyle name="Texto de Aviso 173" xfId="26063" xr:uid="{00000000-0005-0000-0000-0000FA920000}"/>
    <cellStyle name="Texto de Aviso 174" xfId="26064" xr:uid="{00000000-0005-0000-0000-0000FB920000}"/>
    <cellStyle name="Texto de Aviso 175" xfId="26065" xr:uid="{00000000-0005-0000-0000-0000FC920000}"/>
    <cellStyle name="Texto de Aviso 176" xfId="26066" xr:uid="{00000000-0005-0000-0000-0000FD920000}"/>
    <cellStyle name="Texto de Aviso 177" xfId="26067" xr:uid="{00000000-0005-0000-0000-0000FE920000}"/>
    <cellStyle name="Texto de Aviso 178" xfId="26068" xr:uid="{00000000-0005-0000-0000-0000FF920000}"/>
    <cellStyle name="Texto de Aviso 179" xfId="26069" xr:uid="{00000000-0005-0000-0000-000000930000}"/>
    <cellStyle name="Texto de Aviso 18" xfId="26070" xr:uid="{00000000-0005-0000-0000-000001930000}"/>
    <cellStyle name="Texto de Aviso 18 2" xfId="26071" xr:uid="{00000000-0005-0000-0000-000002930000}"/>
    <cellStyle name="Texto de Aviso 18 3" xfId="26072" xr:uid="{00000000-0005-0000-0000-000003930000}"/>
    <cellStyle name="Texto de Aviso 180" xfId="26073" xr:uid="{00000000-0005-0000-0000-000004930000}"/>
    <cellStyle name="Texto de Aviso 181" xfId="26074" xr:uid="{00000000-0005-0000-0000-000005930000}"/>
    <cellStyle name="Texto de Aviso 182" xfId="26075" xr:uid="{00000000-0005-0000-0000-000006930000}"/>
    <cellStyle name="Texto de Aviso 183" xfId="26076" xr:uid="{00000000-0005-0000-0000-000007930000}"/>
    <cellStyle name="Texto de Aviso 184" xfId="26077" xr:uid="{00000000-0005-0000-0000-000008930000}"/>
    <cellStyle name="Texto de Aviso 185" xfId="26078" xr:uid="{00000000-0005-0000-0000-000009930000}"/>
    <cellStyle name="Texto de Aviso 186" xfId="26079" xr:uid="{00000000-0005-0000-0000-00000A930000}"/>
    <cellStyle name="Texto de Aviso 187" xfId="26080" xr:uid="{00000000-0005-0000-0000-00000B930000}"/>
    <cellStyle name="Texto de Aviso 188" xfId="26081" xr:uid="{00000000-0005-0000-0000-00000C930000}"/>
    <cellStyle name="Texto de Aviso 189" xfId="26082" xr:uid="{00000000-0005-0000-0000-00000D930000}"/>
    <cellStyle name="Texto de Aviso 19" xfId="26083" xr:uid="{00000000-0005-0000-0000-00000E930000}"/>
    <cellStyle name="Texto de Aviso 19 2" xfId="26084" xr:uid="{00000000-0005-0000-0000-00000F930000}"/>
    <cellStyle name="Texto de Aviso 19 3" xfId="26085" xr:uid="{00000000-0005-0000-0000-000010930000}"/>
    <cellStyle name="Texto de Aviso 190" xfId="26086" xr:uid="{00000000-0005-0000-0000-000011930000}"/>
    <cellStyle name="Texto de Aviso 2" xfId="26087" xr:uid="{00000000-0005-0000-0000-000012930000}"/>
    <cellStyle name="Texto de Aviso 2 10" xfId="26088" xr:uid="{00000000-0005-0000-0000-000013930000}"/>
    <cellStyle name="Texto de Aviso 2 11" xfId="26089" xr:uid="{00000000-0005-0000-0000-000014930000}"/>
    <cellStyle name="Texto de Aviso 2 12" xfId="26090" xr:uid="{00000000-0005-0000-0000-000015930000}"/>
    <cellStyle name="Texto de Aviso 2 13" xfId="26091" xr:uid="{00000000-0005-0000-0000-000016930000}"/>
    <cellStyle name="Texto de Aviso 2 14" xfId="26092" xr:uid="{00000000-0005-0000-0000-000017930000}"/>
    <cellStyle name="Texto de Aviso 2 15" xfId="26093" xr:uid="{00000000-0005-0000-0000-000018930000}"/>
    <cellStyle name="Texto de Aviso 2 16" xfId="26094" xr:uid="{00000000-0005-0000-0000-000019930000}"/>
    <cellStyle name="Texto de Aviso 2 17" xfId="26095" xr:uid="{00000000-0005-0000-0000-00001A930000}"/>
    <cellStyle name="Texto de Aviso 2 18" xfId="26096" xr:uid="{00000000-0005-0000-0000-00001B930000}"/>
    <cellStyle name="Texto de Aviso 2 19" xfId="26097" xr:uid="{00000000-0005-0000-0000-00001C930000}"/>
    <cellStyle name="Texto de Aviso 2 2" xfId="26098" xr:uid="{00000000-0005-0000-0000-00001D930000}"/>
    <cellStyle name="Texto de Aviso 2 20" xfId="26099" xr:uid="{00000000-0005-0000-0000-00001E930000}"/>
    <cellStyle name="Texto de Aviso 2 21" xfId="26100" xr:uid="{00000000-0005-0000-0000-00001F930000}"/>
    <cellStyle name="Texto de Aviso 2 22" xfId="26101" xr:uid="{00000000-0005-0000-0000-000020930000}"/>
    <cellStyle name="Texto de Aviso 2 23" xfId="26102" xr:uid="{00000000-0005-0000-0000-000021930000}"/>
    <cellStyle name="Texto de Aviso 2 24" xfId="26103" xr:uid="{00000000-0005-0000-0000-000022930000}"/>
    <cellStyle name="Texto de Aviso 2 25" xfId="26104" xr:uid="{00000000-0005-0000-0000-000023930000}"/>
    <cellStyle name="Texto de Aviso 2 26" xfId="26105" xr:uid="{00000000-0005-0000-0000-000024930000}"/>
    <cellStyle name="Texto de Aviso 2 27" xfId="26106" xr:uid="{00000000-0005-0000-0000-000025930000}"/>
    <cellStyle name="Texto de Aviso 2 28" xfId="26107" xr:uid="{00000000-0005-0000-0000-000026930000}"/>
    <cellStyle name="Texto de Aviso 2 29" xfId="26108" xr:uid="{00000000-0005-0000-0000-000027930000}"/>
    <cellStyle name="Texto de Aviso 2 3" xfId="26109" xr:uid="{00000000-0005-0000-0000-000028930000}"/>
    <cellStyle name="Texto de Aviso 2 30" xfId="26110" xr:uid="{00000000-0005-0000-0000-000029930000}"/>
    <cellStyle name="Texto de Aviso 2 31" xfId="26111" xr:uid="{00000000-0005-0000-0000-00002A930000}"/>
    <cellStyle name="Texto de Aviso 2 32" xfId="26112" xr:uid="{00000000-0005-0000-0000-00002B930000}"/>
    <cellStyle name="Texto de Aviso 2 33" xfId="26113" xr:uid="{00000000-0005-0000-0000-00002C930000}"/>
    <cellStyle name="Texto de Aviso 2 34" xfId="26114" xr:uid="{00000000-0005-0000-0000-00002D930000}"/>
    <cellStyle name="Texto de Aviso 2 35" xfId="26115" xr:uid="{00000000-0005-0000-0000-00002E930000}"/>
    <cellStyle name="Texto de Aviso 2 4" xfId="26116" xr:uid="{00000000-0005-0000-0000-00002F930000}"/>
    <cellStyle name="Texto de Aviso 2 5" xfId="26117" xr:uid="{00000000-0005-0000-0000-000030930000}"/>
    <cellStyle name="Texto de Aviso 2 6" xfId="26118" xr:uid="{00000000-0005-0000-0000-000031930000}"/>
    <cellStyle name="Texto de Aviso 2 7" xfId="26119" xr:uid="{00000000-0005-0000-0000-000032930000}"/>
    <cellStyle name="Texto de Aviso 2 8" xfId="26120" xr:uid="{00000000-0005-0000-0000-000033930000}"/>
    <cellStyle name="Texto de Aviso 2 9" xfId="26121" xr:uid="{00000000-0005-0000-0000-000034930000}"/>
    <cellStyle name="Texto de Aviso 20" xfId="26122" xr:uid="{00000000-0005-0000-0000-000035930000}"/>
    <cellStyle name="Texto de Aviso 20 2" xfId="26123" xr:uid="{00000000-0005-0000-0000-000036930000}"/>
    <cellStyle name="Texto de Aviso 20 3" xfId="26124" xr:uid="{00000000-0005-0000-0000-000037930000}"/>
    <cellStyle name="Texto de Aviso 21" xfId="26125" xr:uid="{00000000-0005-0000-0000-000038930000}"/>
    <cellStyle name="Texto de Aviso 22" xfId="26126" xr:uid="{00000000-0005-0000-0000-000039930000}"/>
    <cellStyle name="Texto de Aviso 23" xfId="26127" xr:uid="{00000000-0005-0000-0000-00003A930000}"/>
    <cellStyle name="Texto de Aviso 24" xfId="26128" xr:uid="{00000000-0005-0000-0000-00003B930000}"/>
    <cellStyle name="Texto de Aviso 25" xfId="26129" xr:uid="{00000000-0005-0000-0000-00003C930000}"/>
    <cellStyle name="Texto de Aviso 26" xfId="26130" xr:uid="{00000000-0005-0000-0000-00003D930000}"/>
    <cellStyle name="Texto de Aviso 27" xfId="26131" xr:uid="{00000000-0005-0000-0000-00003E930000}"/>
    <cellStyle name="Texto de Aviso 28" xfId="26132" xr:uid="{00000000-0005-0000-0000-00003F930000}"/>
    <cellStyle name="Texto de Aviso 29" xfId="26133" xr:uid="{00000000-0005-0000-0000-000040930000}"/>
    <cellStyle name="Texto de Aviso 3" xfId="26134" xr:uid="{00000000-0005-0000-0000-000041930000}"/>
    <cellStyle name="Texto de Aviso 3 2" xfId="26135" xr:uid="{00000000-0005-0000-0000-000042930000}"/>
    <cellStyle name="Texto de Aviso 3 3" xfId="26136" xr:uid="{00000000-0005-0000-0000-000043930000}"/>
    <cellStyle name="Texto de Aviso 3 4" xfId="26137" xr:uid="{00000000-0005-0000-0000-000044930000}"/>
    <cellStyle name="Texto de Aviso 3 5" xfId="26138" xr:uid="{00000000-0005-0000-0000-000045930000}"/>
    <cellStyle name="Texto de Aviso 3 6" xfId="26139" xr:uid="{00000000-0005-0000-0000-000046930000}"/>
    <cellStyle name="Texto de Aviso 3 7" xfId="26140" xr:uid="{00000000-0005-0000-0000-000047930000}"/>
    <cellStyle name="Texto de Aviso 30" xfId="26141" xr:uid="{00000000-0005-0000-0000-000048930000}"/>
    <cellStyle name="Texto de Aviso 31" xfId="26142" xr:uid="{00000000-0005-0000-0000-000049930000}"/>
    <cellStyle name="Texto de Aviso 32" xfId="26143" xr:uid="{00000000-0005-0000-0000-00004A930000}"/>
    <cellStyle name="Texto de Aviso 33" xfId="26144" xr:uid="{00000000-0005-0000-0000-00004B930000}"/>
    <cellStyle name="Texto de Aviso 34" xfId="26145" xr:uid="{00000000-0005-0000-0000-00004C930000}"/>
    <cellStyle name="Texto de Aviso 35" xfId="26146" xr:uid="{00000000-0005-0000-0000-00004D930000}"/>
    <cellStyle name="Texto de Aviso 36" xfId="26147" xr:uid="{00000000-0005-0000-0000-00004E930000}"/>
    <cellStyle name="Texto de Aviso 37" xfId="26148" xr:uid="{00000000-0005-0000-0000-00004F930000}"/>
    <cellStyle name="Texto de Aviso 38" xfId="26149" xr:uid="{00000000-0005-0000-0000-000050930000}"/>
    <cellStyle name="Texto de Aviso 39" xfId="26150" xr:uid="{00000000-0005-0000-0000-000051930000}"/>
    <cellStyle name="Texto de Aviso 4" xfId="26151" xr:uid="{00000000-0005-0000-0000-000052930000}"/>
    <cellStyle name="Texto de Aviso 4 2" xfId="26152" xr:uid="{00000000-0005-0000-0000-000053930000}"/>
    <cellStyle name="Texto de Aviso 4 3" xfId="26153" xr:uid="{00000000-0005-0000-0000-000054930000}"/>
    <cellStyle name="Texto de Aviso 4 4" xfId="26154" xr:uid="{00000000-0005-0000-0000-000055930000}"/>
    <cellStyle name="Texto de Aviso 4 5" xfId="26155" xr:uid="{00000000-0005-0000-0000-000056930000}"/>
    <cellStyle name="Texto de Aviso 4 6" xfId="26156" xr:uid="{00000000-0005-0000-0000-000057930000}"/>
    <cellStyle name="Texto de Aviso 4 7" xfId="26157" xr:uid="{00000000-0005-0000-0000-000058930000}"/>
    <cellStyle name="Texto de Aviso 40" xfId="26158" xr:uid="{00000000-0005-0000-0000-000059930000}"/>
    <cellStyle name="Texto de Aviso 41" xfId="26159" xr:uid="{00000000-0005-0000-0000-00005A930000}"/>
    <cellStyle name="Texto de Aviso 42" xfId="26160" xr:uid="{00000000-0005-0000-0000-00005B930000}"/>
    <cellStyle name="Texto de Aviso 43" xfId="26161" xr:uid="{00000000-0005-0000-0000-00005C930000}"/>
    <cellStyle name="Texto de Aviso 44" xfId="26162" xr:uid="{00000000-0005-0000-0000-00005D930000}"/>
    <cellStyle name="Texto de Aviso 45" xfId="26163" xr:uid="{00000000-0005-0000-0000-00005E930000}"/>
    <cellStyle name="Texto de Aviso 46" xfId="26164" xr:uid="{00000000-0005-0000-0000-00005F930000}"/>
    <cellStyle name="Texto de Aviso 47" xfId="26165" xr:uid="{00000000-0005-0000-0000-000060930000}"/>
    <cellStyle name="Texto de Aviso 48" xfId="26166" xr:uid="{00000000-0005-0000-0000-000061930000}"/>
    <cellStyle name="Texto de Aviso 49" xfId="26167" xr:uid="{00000000-0005-0000-0000-000062930000}"/>
    <cellStyle name="Texto de Aviso 5" xfId="26168" xr:uid="{00000000-0005-0000-0000-000063930000}"/>
    <cellStyle name="Texto de Aviso 5 2" xfId="26169" xr:uid="{00000000-0005-0000-0000-000064930000}"/>
    <cellStyle name="Texto de Aviso 5 3" xfId="26170" xr:uid="{00000000-0005-0000-0000-000065930000}"/>
    <cellStyle name="Texto de Aviso 5 4" xfId="26171" xr:uid="{00000000-0005-0000-0000-000066930000}"/>
    <cellStyle name="Texto de Aviso 50" xfId="26172" xr:uid="{00000000-0005-0000-0000-000067930000}"/>
    <cellStyle name="Texto de Aviso 51" xfId="26173" xr:uid="{00000000-0005-0000-0000-000068930000}"/>
    <cellStyle name="Texto de Aviso 52" xfId="26174" xr:uid="{00000000-0005-0000-0000-000069930000}"/>
    <cellStyle name="Texto de Aviso 53" xfId="26175" xr:uid="{00000000-0005-0000-0000-00006A930000}"/>
    <cellStyle name="Texto de Aviso 54" xfId="26176" xr:uid="{00000000-0005-0000-0000-00006B930000}"/>
    <cellStyle name="Texto de Aviso 55" xfId="26177" xr:uid="{00000000-0005-0000-0000-00006C930000}"/>
    <cellStyle name="Texto de Aviso 56" xfId="26178" xr:uid="{00000000-0005-0000-0000-00006D930000}"/>
    <cellStyle name="Texto de Aviso 57" xfId="26179" xr:uid="{00000000-0005-0000-0000-00006E930000}"/>
    <cellStyle name="Texto de Aviso 58" xfId="26180" xr:uid="{00000000-0005-0000-0000-00006F930000}"/>
    <cellStyle name="Texto de Aviso 59" xfId="26181" xr:uid="{00000000-0005-0000-0000-000070930000}"/>
    <cellStyle name="Texto de Aviso 6" xfId="26182" xr:uid="{00000000-0005-0000-0000-000071930000}"/>
    <cellStyle name="Texto de Aviso 6 2" xfId="26183" xr:uid="{00000000-0005-0000-0000-000072930000}"/>
    <cellStyle name="Texto de Aviso 6 3" xfId="26184" xr:uid="{00000000-0005-0000-0000-000073930000}"/>
    <cellStyle name="Texto de Aviso 6 4" xfId="26185" xr:uid="{00000000-0005-0000-0000-000074930000}"/>
    <cellStyle name="Texto de Aviso 60" xfId="26186" xr:uid="{00000000-0005-0000-0000-000075930000}"/>
    <cellStyle name="Texto de Aviso 61" xfId="26187" xr:uid="{00000000-0005-0000-0000-000076930000}"/>
    <cellStyle name="Texto de Aviso 62" xfId="26188" xr:uid="{00000000-0005-0000-0000-000077930000}"/>
    <cellStyle name="Texto de Aviso 63" xfId="26189" xr:uid="{00000000-0005-0000-0000-000078930000}"/>
    <cellStyle name="Texto de Aviso 64" xfId="26190" xr:uid="{00000000-0005-0000-0000-000079930000}"/>
    <cellStyle name="Texto de Aviso 65" xfId="26191" xr:uid="{00000000-0005-0000-0000-00007A930000}"/>
    <cellStyle name="Texto de Aviso 66" xfId="26192" xr:uid="{00000000-0005-0000-0000-00007B930000}"/>
    <cellStyle name="Texto de Aviso 67" xfId="26193" xr:uid="{00000000-0005-0000-0000-00007C930000}"/>
    <cellStyle name="Texto de Aviso 68" xfId="26194" xr:uid="{00000000-0005-0000-0000-00007D930000}"/>
    <cellStyle name="Texto de Aviso 69" xfId="26195" xr:uid="{00000000-0005-0000-0000-00007E930000}"/>
    <cellStyle name="Texto de Aviso 7" xfId="26196" xr:uid="{00000000-0005-0000-0000-00007F930000}"/>
    <cellStyle name="Texto de Aviso 7 2" xfId="26197" xr:uid="{00000000-0005-0000-0000-000080930000}"/>
    <cellStyle name="Texto de Aviso 7 3" xfId="26198" xr:uid="{00000000-0005-0000-0000-000081930000}"/>
    <cellStyle name="Texto de Aviso 7 4" xfId="26199" xr:uid="{00000000-0005-0000-0000-000082930000}"/>
    <cellStyle name="Texto de Aviso 70" xfId="26200" xr:uid="{00000000-0005-0000-0000-000083930000}"/>
    <cellStyle name="Texto de Aviso 71" xfId="26201" xr:uid="{00000000-0005-0000-0000-000084930000}"/>
    <cellStyle name="Texto de Aviso 72" xfId="26202" xr:uid="{00000000-0005-0000-0000-000085930000}"/>
    <cellStyle name="Texto de Aviso 73" xfId="26203" xr:uid="{00000000-0005-0000-0000-000086930000}"/>
    <cellStyle name="Texto de Aviso 74" xfId="26204" xr:uid="{00000000-0005-0000-0000-000087930000}"/>
    <cellStyle name="Texto de Aviso 75" xfId="26205" xr:uid="{00000000-0005-0000-0000-000088930000}"/>
    <cellStyle name="Texto de Aviso 76" xfId="26206" xr:uid="{00000000-0005-0000-0000-000089930000}"/>
    <cellStyle name="Texto de Aviso 77" xfId="26207" xr:uid="{00000000-0005-0000-0000-00008A930000}"/>
    <cellStyle name="Texto de Aviso 78" xfId="26208" xr:uid="{00000000-0005-0000-0000-00008B930000}"/>
    <cellStyle name="Texto de Aviso 79" xfId="26209" xr:uid="{00000000-0005-0000-0000-00008C930000}"/>
    <cellStyle name="Texto de Aviso 8" xfId="26210" xr:uid="{00000000-0005-0000-0000-00008D930000}"/>
    <cellStyle name="Texto de Aviso 8 2" xfId="26211" xr:uid="{00000000-0005-0000-0000-00008E930000}"/>
    <cellStyle name="Texto de Aviso 8 3" xfId="26212" xr:uid="{00000000-0005-0000-0000-00008F930000}"/>
    <cellStyle name="Texto de Aviso 8 4" xfId="26213" xr:uid="{00000000-0005-0000-0000-000090930000}"/>
    <cellStyle name="Texto de Aviso 80" xfId="26214" xr:uid="{00000000-0005-0000-0000-000091930000}"/>
    <cellStyle name="Texto de Aviso 81" xfId="26215" xr:uid="{00000000-0005-0000-0000-000092930000}"/>
    <cellStyle name="Texto de Aviso 82" xfId="26216" xr:uid="{00000000-0005-0000-0000-000093930000}"/>
    <cellStyle name="Texto de Aviso 83" xfId="26217" xr:uid="{00000000-0005-0000-0000-000094930000}"/>
    <cellStyle name="Texto de Aviso 84" xfId="26218" xr:uid="{00000000-0005-0000-0000-000095930000}"/>
    <cellStyle name="Texto de Aviso 85" xfId="26219" xr:uid="{00000000-0005-0000-0000-000096930000}"/>
    <cellStyle name="Texto de Aviso 86" xfId="26220" xr:uid="{00000000-0005-0000-0000-000097930000}"/>
    <cellStyle name="Texto de Aviso 87" xfId="26221" xr:uid="{00000000-0005-0000-0000-000098930000}"/>
    <cellStyle name="Texto de Aviso 88" xfId="26222" xr:uid="{00000000-0005-0000-0000-000099930000}"/>
    <cellStyle name="Texto de Aviso 89" xfId="26223" xr:uid="{00000000-0005-0000-0000-00009A930000}"/>
    <cellStyle name="Texto de Aviso 9" xfId="26224" xr:uid="{00000000-0005-0000-0000-00009B930000}"/>
    <cellStyle name="Texto de Aviso 90" xfId="26225" xr:uid="{00000000-0005-0000-0000-00009C930000}"/>
    <cellStyle name="Texto de Aviso 91" xfId="26226" xr:uid="{00000000-0005-0000-0000-00009D930000}"/>
    <cellStyle name="Texto de Aviso 92" xfId="26227" xr:uid="{00000000-0005-0000-0000-00009E930000}"/>
    <cellStyle name="Texto de Aviso 93" xfId="26228" xr:uid="{00000000-0005-0000-0000-00009F930000}"/>
    <cellStyle name="Texto de Aviso 94" xfId="26229" xr:uid="{00000000-0005-0000-0000-0000A0930000}"/>
    <cellStyle name="Texto de Aviso 95" xfId="26230" xr:uid="{00000000-0005-0000-0000-0000A1930000}"/>
    <cellStyle name="Texto de Aviso 96" xfId="26231" xr:uid="{00000000-0005-0000-0000-0000A2930000}"/>
    <cellStyle name="Texto de Aviso 97" xfId="26232" xr:uid="{00000000-0005-0000-0000-0000A3930000}"/>
    <cellStyle name="Texto de Aviso 98" xfId="26233" xr:uid="{00000000-0005-0000-0000-0000A4930000}"/>
    <cellStyle name="Texto de Aviso 99" xfId="26234" xr:uid="{00000000-0005-0000-0000-0000A5930000}"/>
    <cellStyle name="Texto Explicativo 10" xfId="26235" xr:uid="{00000000-0005-0000-0000-0000A6930000}"/>
    <cellStyle name="Texto Explicativo 10 2" xfId="40867" xr:uid="{00000000-0005-0000-0000-0000A7930000}"/>
    <cellStyle name="Texto Explicativo 100" xfId="26236" xr:uid="{00000000-0005-0000-0000-0000A8930000}"/>
    <cellStyle name="Texto Explicativo 101" xfId="26237" xr:uid="{00000000-0005-0000-0000-0000A9930000}"/>
    <cellStyle name="Texto Explicativo 102" xfId="26238" xr:uid="{00000000-0005-0000-0000-0000AA930000}"/>
    <cellStyle name="Texto Explicativo 103" xfId="26239" xr:uid="{00000000-0005-0000-0000-0000AB930000}"/>
    <cellStyle name="Texto Explicativo 104" xfId="26240" xr:uid="{00000000-0005-0000-0000-0000AC930000}"/>
    <cellStyle name="Texto Explicativo 105" xfId="26241" xr:uid="{00000000-0005-0000-0000-0000AD930000}"/>
    <cellStyle name="Texto Explicativo 106" xfId="26242" xr:uid="{00000000-0005-0000-0000-0000AE930000}"/>
    <cellStyle name="Texto Explicativo 107" xfId="26243" xr:uid="{00000000-0005-0000-0000-0000AF930000}"/>
    <cellStyle name="Texto Explicativo 108" xfId="26244" xr:uid="{00000000-0005-0000-0000-0000B0930000}"/>
    <cellStyle name="Texto Explicativo 109" xfId="26245" xr:uid="{00000000-0005-0000-0000-0000B1930000}"/>
    <cellStyle name="Texto Explicativo 11" xfId="26246" xr:uid="{00000000-0005-0000-0000-0000B2930000}"/>
    <cellStyle name="Texto Explicativo 11 2" xfId="40868" xr:uid="{00000000-0005-0000-0000-0000B3930000}"/>
    <cellStyle name="Texto Explicativo 110" xfId="26247" xr:uid="{00000000-0005-0000-0000-0000B4930000}"/>
    <cellStyle name="Texto Explicativo 111" xfId="26248" xr:uid="{00000000-0005-0000-0000-0000B5930000}"/>
    <cellStyle name="Texto Explicativo 112" xfId="26249" xr:uid="{00000000-0005-0000-0000-0000B6930000}"/>
    <cellStyle name="Texto Explicativo 113" xfId="26250" xr:uid="{00000000-0005-0000-0000-0000B7930000}"/>
    <cellStyle name="Texto Explicativo 114" xfId="26251" xr:uid="{00000000-0005-0000-0000-0000B8930000}"/>
    <cellStyle name="Texto Explicativo 115" xfId="26252" xr:uid="{00000000-0005-0000-0000-0000B9930000}"/>
    <cellStyle name="Texto Explicativo 116" xfId="26253" xr:uid="{00000000-0005-0000-0000-0000BA930000}"/>
    <cellStyle name="Texto Explicativo 117" xfId="26254" xr:uid="{00000000-0005-0000-0000-0000BB930000}"/>
    <cellStyle name="Texto Explicativo 118" xfId="26255" xr:uid="{00000000-0005-0000-0000-0000BC930000}"/>
    <cellStyle name="Texto Explicativo 119" xfId="26256" xr:uid="{00000000-0005-0000-0000-0000BD930000}"/>
    <cellStyle name="Texto Explicativo 12" xfId="26257" xr:uid="{00000000-0005-0000-0000-0000BE930000}"/>
    <cellStyle name="Texto Explicativo 12 2" xfId="40869" xr:uid="{00000000-0005-0000-0000-0000BF930000}"/>
    <cellStyle name="Texto Explicativo 120" xfId="26258" xr:uid="{00000000-0005-0000-0000-0000C0930000}"/>
    <cellStyle name="Texto Explicativo 121" xfId="26259" xr:uid="{00000000-0005-0000-0000-0000C1930000}"/>
    <cellStyle name="Texto Explicativo 122" xfId="26260" xr:uid="{00000000-0005-0000-0000-0000C2930000}"/>
    <cellStyle name="Texto Explicativo 123" xfId="26261" xr:uid="{00000000-0005-0000-0000-0000C3930000}"/>
    <cellStyle name="Texto Explicativo 124" xfId="26262" xr:uid="{00000000-0005-0000-0000-0000C4930000}"/>
    <cellStyle name="Texto Explicativo 125" xfId="26263" xr:uid="{00000000-0005-0000-0000-0000C5930000}"/>
    <cellStyle name="Texto Explicativo 126" xfId="26264" xr:uid="{00000000-0005-0000-0000-0000C6930000}"/>
    <cellStyle name="Texto Explicativo 127" xfId="26265" xr:uid="{00000000-0005-0000-0000-0000C7930000}"/>
    <cellStyle name="Texto Explicativo 128" xfId="26266" xr:uid="{00000000-0005-0000-0000-0000C8930000}"/>
    <cellStyle name="Texto Explicativo 129" xfId="26267" xr:uid="{00000000-0005-0000-0000-0000C9930000}"/>
    <cellStyle name="Texto Explicativo 13" xfId="26268" xr:uid="{00000000-0005-0000-0000-0000CA930000}"/>
    <cellStyle name="Texto Explicativo 13 2" xfId="40870" xr:uid="{00000000-0005-0000-0000-0000CB930000}"/>
    <cellStyle name="Texto Explicativo 130" xfId="26269" xr:uid="{00000000-0005-0000-0000-0000CC930000}"/>
    <cellStyle name="Texto Explicativo 131" xfId="26270" xr:uid="{00000000-0005-0000-0000-0000CD930000}"/>
    <cellStyle name="Texto Explicativo 132" xfId="26271" xr:uid="{00000000-0005-0000-0000-0000CE930000}"/>
    <cellStyle name="Texto Explicativo 133" xfId="26272" xr:uid="{00000000-0005-0000-0000-0000CF930000}"/>
    <cellStyle name="Texto Explicativo 134" xfId="26273" xr:uid="{00000000-0005-0000-0000-0000D0930000}"/>
    <cellStyle name="Texto Explicativo 135" xfId="26274" xr:uid="{00000000-0005-0000-0000-0000D1930000}"/>
    <cellStyle name="Texto Explicativo 136" xfId="26275" xr:uid="{00000000-0005-0000-0000-0000D2930000}"/>
    <cellStyle name="Texto Explicativo 137" xfId="26276" xr:uid="{00000000-0005-0000-0000-0000D3930000}"/>
    <cellStyle name="Texto Explicativo 138" xfId="26277" xr:uid="{00000000-0005-0000-0000-0000D4930000}"/>
    <cellStyle name="Texto Explicativo 139" xfId="26278" xr:uid="{00000000-0005-0000-0000-0000D5930000}"/>
    <cellStyle name="Texto Explicativo 14" xfId="26279" xr:uid="{00000000-0005-0000-0000-0000D6930000}"/>
    <cellStyle name="Texto Explicativo 140" xfId="26280" xr:uid="{00000000-0005-0000-0000-0000D7930000}"/>
    <cellStyle name="Texto Explicativo 141" xfId="26281" xr:uid="{00000000-0005-0000-0000-0000D8930000}"/>
    <cellStyle name="Texto Explicativo 142" xfId="26282" xr:uid="{00000000-0005-0000-0000-0000D9930000}"/>
    <cellStyle name="Texto Explicativo 143" xfId="26283" xr:uid="{00000000-0005-0000-0000-0000DA930000}"/>
    <cellStyle name="Texto Explicativo 144" xfId="26284" xr:uid="{00000000-0005-0000-0000-0000DB930000}"/>
    <cellStyle name="Texto Explicativo 145" xfId="26285" xr:uid="{00000000-0005-0000-0000-0000DC930000}"/>
    <cellStyle name="Texto Explicativo 146" xfId="26286" xr:uid="{00000000-0005-0000-0000-0000DD930000}"/>
    <cellStyle name="Texto Explicativo 147" xfId="26287" xr:uid="{00000000-0005-0000-0000-0000DE930000}"/>
    <cellStyle name="Texto Explicativo 148" xfId="26288" xr:uid="{00000000-0005-0000-0000-0000DF930000}"/>
    <cellStyle name="Texto Explicativo 149" xfId="26289" xr:uid="{00000000-0005-0000-0000-0000E0930000}"/>
    <cellStyle name="Texto Explicativo 15" xfId="26290" xr:uid="{00000000-0005-0000-0000-0000E1930000}"/>
    <cellStyle name="Texto Explicativo 15 2" xfId="26291" xr:uid="{00000000-0005-0000-0000-0000E2930000}"/>
    <cellStyle name="Texto Explicativo 15 3" xfId="26292" xr:uid="{00000000-0005-0000-0000-0000E3930000}"/>
    <cellStyle name="Texto Explicativo 150" xfId="26293" xr:uid="{00000000-0005-0000-0000-0000E4930000}"/>
    <cellStyle name="Texto Explicativo 151" xfId="26294" xr:uid="{00000000-0005-0000-0000-0000E5930000}"/>
    <cellStyle name="Texto Explicativo 152" xfId="26295" xr:uid="{00000000-0005-0000-0000-0000E6930000}"/>
    <cellStyle name="Texto Explicativo 153" xfId="26296" xr:uid="{00000000-0005-0000-0000-0000E7930000}"/>
    <cellStyle name="Texto Explicativo 154" xfId="26297" xr:uid="{00000000-0005-0000-0000-0000E8930000}"/>
    <cellStyle name="Texto Explicativo 155" xfId="26298" xr:uid="{00000000-0005-0000-0000-0000E9930000}"/>
    <cellStyle name="Texto Explicativo 156" xfId="26299" xr:uid="{00000000-0005-0000-0000-0000EA930000}"/>
    <cellStyle name="Texto Explicativo 157" xfId="26300" xr:uid="{00000000-0005-0000-0000-0000EB930000}"/>
    <cellStyle name="Texto Explicativo 158" xfId="26301" xr:uid="{00000000-0005-0000-0000-0000EC930000}"/>
    <cellStyle name="Texto Explicativo 159" xfId="26302" xr:uid="{00000000-0005-0000-0000-0000ED930000}"/>
    <cellStyle name="Texto Explicativo 16" xfId="26303" xr:uid="{00000000-0005-0000-0000-0000EE930000}"/>
    <cellStyle name="Texto Explicativo 16 2" xfId="26304" xr:uid="{00000000-0005-0000-0000-0000EF930000}"/>
    <cellStyle name="Texto Explicativo 16 3" xfId="26305" xr:uid="{00000000-0005-0000-0000-0000F0930000}"/>
    <cellStyle name="Texto Explicativo 160" xfId="26306" xr:uid="{00000000-0005-0000-0000-0000F1930000}"/>
    <cellStyle name="Texto Explicativo 161" xfId="26307" xr:uid="{00000000-0005-0000-0000-0000F2930000}"/>
    <cellStyle name="Texto Explicativo 162" xfId="26308" xr:uid="{00000000-0005-0000-0000-0000F3930000}"/>
    <cellStyle name="Texto Explicativo 163" xfId="26309" xr:uid="{00000000-0005-0000-0000-0000F4930000}"/>
    <cellStyle name="Texto Explicativo 164" xfId="26310" xr:uid="{00000000-0005-0000-0000-0000F5930000}"/>
    <cellStyle name="Texto Explicativo 165" xfId="26311" xr:uid="{00000000-0005-0000-0000-0000F6930000}"/>
    <cellStyle name="Texto Explicativo 166" xfId="26312" xr:uid="{00000000-0005-0000-0000-0000F7930000}"/>
    <cellStyle name="Texto Explicativo 167" xfId="26313" xr:uid="{00000000-0005-0000-0000-0000F8930000}"/>
    <cellStyle name="Texto Explicativo 168" xfId="26314" xr:uid="{00000000-0005-0000-0000-0000F9930000}"/>
    <cellStyle name="Texto Explicativo 169" xfId="26315" xr:uid="{00000000-0005-0000-0000-0000FA930000}"/>
    <cellStyle name="Texto Explicativo 17" xfId="26316" xr:uid="{00000000-0005-0000-0000-0000FB930000}"/>
    <cellStyle name="Texto Explicativo 17 2" xfId="26317" xr:uid="{00000000-0005-0000-0000-0000FC930000}"/>
    <cellStyle name="Texto Explicativo 17 3" xfId="26318" xr:uid="{00000000-0005-0000-0000-0000FD930000}"/>
    <cellStyle name="Texto Explicativo 170" xfId="26319" xr:uid="{00000000-0005-0000-0000-0000FE930000}"/>
    <cellStyle name="Texto Explicativo 171" xfId="26320" xr:uid="{00000000-0005-0000-0000-0000FF930000}"/>
    <cellStyle name="Texto Explicativo 172" xfId="26321" xr:uid="{00000000-0005-0000-0000-000000940000}"/>
    <cellStyle name="Texto Explicativo 173" xfId="26322" xr:uid="{00000000-0005-0000-0000-000001940000}"/>
    <cellStyle name="Texto Explicativo 174" xfId="26323" xr:uid="{00000000-0005-0000-0000-000002940000}"/>
    <cellStyle name="Texto Explicativo 175" xfId="26324" xr:uid="{00000000-0005-0000-0000-000003940000}"/>
    <cellStyle name="Texto Explicativo 176" xfId="26325" xr:uid="{00000000-0005-0000-0000-000004940000}"/>
    <cellStyle name="Texto Explicativo 177" xfId="26326" xr:uid="{00000000-0005-0000-0000-000005940000}"/>
    <cellStyle name="Texto Explicativo 178" xfId="26327" xr:uid="{00000000-0005-0000-0000-000006940000}"/>
    <cellStyle name="Texto Explicativo 179" xfId="26328" xr:uid="{00000000-0005-0000-0000-000007940000}"/>
    <cellStyle name="Texto Explicativo 18" xfId="26329" xr:uid="{00000000-0005-0000-0000-000008940000}"/>
    <cellStyle name="Texto Explicativo 18 2" xfId="26330" xr:uid="{00000000-0005-0000-0000-000009940000}"/>
    <cellStyle name="Texto Explicativo 18 3" xfId="26331" xr:uid="{00000000-0005-0000-0000-00000A940000}"/>
    <cellStyle name="Texto Explicativo 180" xfId="26332" xr:uid="{00000000-0005-0000-0000-00000B940000}"/>
    <cellStyle name="Texto Explicativo 181" xfId="26333" xr:uid="{00000000-0005-0000-0000-00000C940000}"/>
    <cellStyle name="Texto Explicativo 182" xfId="26334" xr:uid="{00000000-0005-0000-0000-00000D940000}"/>
    <cellStyle name="Texto Explicativo 183" xfId="26335" xr:uid="{00000000-0005-0000-0000-00000E940000}"/>
    <cellStyle name="Texto Explicativo 184" xfId="26336" xr:uid="{00000000-0005-0000-0000-00000F940000}"/>
    <cellStyle name="Texto Explicativo 185" xfId="26337" xr:uid="{00000000-0005-0000-0000-000010940000}"/>
    <cellStyle name="Texto Explicativo 186" xfId="26338" xr:uid="{00000000-0005-0000-0000-000011940000}"/>
    <cellStyle name="Texto Explicativo 187" xfId="26339" xr:uid="{00000000-0005-0000-0000-000012940000}"/>
    <cellStyle name="Texto Explicativo 188" xfId="26340" xr:uid="{00000000-0005-0000-0000-000013940000}"/>
    <cellStyle name="Texto Explicativo 189" xfId="26341" xr:uid="{00000000-0005-0000-0000-000014940000}"/>
    <cellStyle name="Texto Explicativo 19" xfId="26342" xr:uid="{00000000-0005-0000-0000-000015940000}"/>
    <cellStyle name="Texto Explicativo 19 2" xfId="26343" xr:uid="{00000000-0005-0000-0000-000016940000}"/>
    <cellStyle name="Texto Explicativo 19 3" xfId="26344" xr:uid="{00000000-0005-0000-0000-000017940000}"/>
    <cellStyle name="Texto Explicativo 190" xfId="26345" xr:uid="{00000000-0005-0000-0000-000018940000}"/>
    <cellStyle name="Texto Explicativo 2" xfId="26346" xr:uid="{00000000-0005-0000-0000-000019940000}"/>
    <cellStyle name="Texto Explicativo 2 10" xfId="26347" xr:uid="{00000000-0005-0000-0000-00001A940000}"/>
    <cellStyle name="Texto Explicativo 2 11" xfId="26348" xr:uid="{00000000-0005-0000-0000-00001B940000}"/>
    <cellStyle name="Texto Explicativo 2 12" xfId="26349" xr:uid="{00000000-0005-0000-0000-00001C940000}"/>
    <cellStyle name="Texto Explicativo 2 13" xfId="26350" xr:uid="{00000000-0005-0000-0000-00001D940000}"/>
    <cellStyle name="Texto Explicativo 2 14" xfId="26351" xr:uid="{00000000-0005-0000-0000-00001E940000}"/>
    <cellStyle name="Texto Explicativo 2 15" xfId="26352" xr:uid="{00000000-0005-0000-0000-00001F940000}"/>
    <cellStyle name="Texto Explicativo 2 16" xfId="26353" xr:uid="{00000000-0005-0000-0000-000020940000}"/>
    <cellStyle name="Texto Explicativo 2 17" xfId="26354" xr:uid="{00000000-0005-0000-0000-000021940000}"/>
    <cellStyle name="Texto Explicativo 2 18" xfId="26355" xr:uid="{00000000-0005-0000-0000-000022940000}"/>
    <cellStyle name="Texto Explicativo 2 19" xfId="26356" xr:uid="{00000000-0005-0000-0000-000023940000}"/>
    <cellStyle name="Texto Explicativo 2 2" xfId="26357" xr:uid="{00000000-0005-0000-0000-000024940000}"/>
    <cellStyle name="Texto Explicativo 2 20" xfId="26358" xr:uid="{00000000-0005-0000-0000-000025940000}"/>
    <cellStyle name="Texto Explicativo 2 21" xfId="26359" xr:uid="{00000000-0005-0000-0000-000026940000}"/>
    <cellStyle name="Texto Explicativo 2 22" xfId="26360" xr:uid="{00000000-0005-0000-0000-000027940000}"/>
    <cellStyle name="Texto Explicativo 2 23" xfId="26361" xr:uid="{00000000-0005-0000-0000-000028940000}"/>
    <cellStyle name="Texto Explicativo 2 24" xfId="26362" xr:uid="{00000000-0005-0000-0000-000029940000}"/>
    <cellStyle name="Texto Explicativo 2 25" xfId="26363" xr:uid="{00000000-0005-0000-0000-00002A940000}"/>
    <cellStyle name="Texto Explicativo 2 26" xfId="26364" xr:uid="{00000000-0005-0000-0000-00002B940000}"/>
    <cellStyle name="Texto Explicativo 2 27" xfId="26365" xr:uid="{00000000-0005-0000-0000-00002C940000}"/>
    <cellStyle name="Texto Explicativo 2 28" xfId="26366" xr:uid="{00000000-0005-0000-0000-00002D940000}"/>
    <cellStyle name="Texto Explicativo 2 29" xfId="26367" xr:uid="{00000000-0005-0000-0000-00002E940000}"/>
    <cellStyle name="Texto Explicativo 2 3" xfId="26368" xr:uid="{00000000-0005-0000-0000-00002F940000}"/>
    <cellStyle name="Texto Explicativo 2 30" xfId="26369" xr:uid="{00000000-0005-0000-0000-000030940000}"/>
    <cellStyle name="Texto Explicativo 2 31" xfId="26370" xr:uid="{00000000-0005-0000-0000-000031940000}"/>
    <cellStyle name="Texto Explicativo 2 32" xfId="26371" xr:uid="{00000000-0005-0000-0000-000032940000}"/>
    <cellStyle name="Texto Explicativo 2 33" xfId="26372" xr:uid="{00000000-0005-0000-0000-000033940000}"/>
    <cellStyle name="Texto Explicativo 2 34" xfId="26373" xr:uid="{00000000-0005-0000-0000-000034940000}"/>
    <cellStyle name="Texto Explicativo 2 35" xfId="26374" xr:uid="{00000000-0005-0000-0000-000035940000}"/>
    <cellStyle name="Texto Explicativo 2 4" xfId="26375" xr:uid="{00000000-0005-0000-0000-000036940000}"/>
    <cellStyle name="Texto Explicativo 2 5" xfId="26376" xr:uid="{00000000-0005-0000-0000-000037940000}"/>
    <cellStyle name="Texto Explicativo 2 6" xfId="26377" xr:uid="{00000000-0005-0000-0000-000038940000}"/>
    <cellStyle name="Texto Explicativo 2 7" xfId="26378" xr:uid="{00000000-0005-0000-0000-000039940000}"/>
    <cellStyle name="Texto Explicativo 2 8" xfId="26379" xr:uid="{00000000-0005-0000-0000-00003A940000}"/>
    <cellStyle name="Texto Explicativo 2 9" xfId="26380" xr:uid="{00000000-0005-0000-0000-00003B940000}"/>
    <cellStyle name="Texto Explicativo 20" xfId="26381" xr:uid="{00000000-0005-0000-0000-00003C940000}"/>
    <cellStyle name="Texto Explicativo 20 2" xfId="26382" xr:uid="{00000000-0005-0000-0000-00003D940000}"/>
    <cellStyle name="Texto Explicativo 20 3" xfId="26383" xr:uid="{00000000-0005-0000-0000-00003E940000}"/>
    <cellStyle name="Texto Explicativo 21" xfId="26384" xr:uid="{00000000-0005-0000-0000-00003F940000}"/>
    <cellStyle name="Texto Explicativo 22" xfId="26385" xr:uid="{00000000-0005-0000-0000-000040940000}"/>
    <cellStyle name="Texto Explicativo 23" xfId="26386" xr:uid="{00000000-0005-0000-0000-000041940000}"/>
    <cellStyle name="Texto Explicativo 24" xfId="26387" xr:uid="{00000000-0005-0000-0000-000042940000}"/>
    <cellStyle name="Texto Explicativo 25" xfId="26388" xr:uid="{00000000-0005-0000-0000-000043940000}"/>
    <cellStyle name="Texto Explicativo 26" xfId="26389" xr:uid="{00000000-0005-0000-0000-000044940000}"/>
    <cellStyle name="Texto Explicativo 27" xfId="26390" xr:uid="{00000000-0005-0000-0000-000045940000}"/>
    <cellStyle name="Texto Explicativo 28" xfId="26391" xr:uid="{00000000-0005-0000-0000-000046940000}"/>
    <cellStyle name="Texto Explicativo 29" xfId="26392" xr:uid="{00000000-0005-0000-0000-000047940000}"/>
    <cellStyle name="Texto Explicativo 3" xfId="26393" xr:uid="{00000000-0005-0000-0000-000048940000}"/>
    <cellStyle name="Texto Explicativo 3 2" xfId="26394" xr:uid="{00000000-0005-0000-0000-000049940000}"/>
    <cellStyle name="Texto Explicativo 3 3" xfId="26395" xr:uid="{00000000-0005-0000-0000-00004A940000}"/>
    <cellStyle name="Texto Explicativo 3 4" xfId="26396" xr:uid="{00000000-0005-0000-0000-00004B940000}"/>
    <cellStyle name="Texto Explicativo 3 5" xfId="26397" xr:uid="{00000000-0005-0000-0000-00004C940000}"/>
    <cellStyle name="Texto Explicativo 3 6" xfId="26398" xr:uid="{00000000-0005-0000-0000-00004D940000}"/>
    <cellStyle name="Texto Explicativo 3 7" xfId="26399" xr:uid="{00000000-0005-0000-0000-00004E940000}"/>
    <cellStyle name="Texto Explicativo 30" xfId="26400" xr:uid="{00000000-0005-0000-0000-00004F940000}"/>
    <cellStyle name="Texto Explicativo 31" xfId="26401" xr:uid="{00000000-0005-0000-0000-000050940000}"/>
    <cellStyle name="Texto Explicativo 32" xfId="26402" xr:uid="{00000000-0005-0000-0000-000051940000}"/>
    <cellStyle name="Texto Explicativo 33" xfId="26403" xr:uid="{00000000-0005-0000-0000-000052940000}"/>
    <cellStyle name="Texto Explicativo 34" xfId="26404" xr:uid="{00000000-0005-0000-0000-000053940000}"/>
    <cellStyle name="Texto Explicativo 35" xfId="26405" xr:uid="{00000000-0005-0000-0000-000054940000}"/>
    <cellStyle name="Texto Explicativo 36" xfId="26406" xr:uid="{00000000-0005-0000-0000-000055940000}"/>
    <cellStyle name="Texto Explicativo 37" xfId="26407" xr:uid="{00000000-0005-0000-0000-000056940000}"/>
    <cellStyle name="Texto Explicativo 38" xfId="26408" xr:uid="{00000000-0005-0000-0000-000057940000}"/>
    <cellStyle name="Texto Explicativo 39" xfId="26409" xr:uid="{00000000-0005-0000-0000-000058940000}"/>
    <cellStyle name="Texto Explicativo 4" xfId="26410" xr:uid="{00000000-0005-0000-0000-000059940000}"/>
    <cellStyle name="Texto Explicativo 4 2" xfId="26411" xr:uid="{00000000-0005-0000-0000-00005A940000}"/>
    <cellStyle name="Texto Explicativo 4 3" xfId="26412" xr:uid="{00000000-0005-0000-0000-00005B940000}"/>
    <cellStyle name="Texto Explicativo 4 4" xfId="26413" xr:uid="{00000000-0005-0000-0000-00005C940000}"/>
    <cellStyle name="Texto Explicativo 4 5" xfId="26414" xr:uid="{00000000-0005-0000-0000-00005D940000}"/>
    <cellStyle name="Texto Explicativo 4 6" xfId="26415" xr:uid="{00000000-0005-0000-0000-00005E940000}"/>
    <cellStyle name="Texto Explicativo 4 7" xfId="26416" xr:uid="{00000000-0005-0000-0000-00005F940000}"/>
    <cellStyle name="Texto Explicativo 40" xfId="26417" xr:uid="{00000000-0005-0000-0000-000060940000}"/>
    <cellStyle name="Texto Explicativo 41" xfId="26418" xr:uid="{00000000-0005-0000-0000-000061940000}"/>
    <cellStyle name="Texto Explicativo 42" xfId="26419" xr:uid="{00000000-0005-0000-0000-000062940000}"/>
    <cellStyle name="Texto Explicativo 43" xfId="26420" xr:uid="{00000000-0005-0000-0000-000063940000}"/>
    <cellStyle name="Texto Explicativo 44" xfId="26421" xr:uid="{00000000-0005-0000-0000-000064940000}"/>
    <cellStyle name="Texto Explicativo 45" xfId="26422" xr:uid="{00000000-0005-0000-0000-000065940000}"/>
    <cellStyle name="Texto Explicativo 46" xfId="26423" xr:uid="{00000000-0005-0000-0000-000066940000}"/>
    <cellStyle name="Texto Explicativo 47" xfId="26424" xr:uid="{00000000-0005-0000-0000-000067940000}"/>
    <cellStyle name="Texto Explicativo 48" xfId="26425" xr:uid="{00000000-0005-0000-0000-000068940000}"/>
    <cellStyle name="Texto Explicativo 49" xfId="26426" xr:uid="{00000000-0005-0000-0000-000069940000}"/>
    <cellStyle name="Texto Explicativo 5" xfId="26427" xr:uid="{00000000-0005-0000-0000-00006A940000}"/>
    <cellStyle name="Texto Explicativo 5 2" xfId="26428" xr:uid="{00000000-0005-0000-0000-00006B940000}"/>
    <cellStyle name="Texto Explicativo 5 3" xfId="26429" xr:uid="{00000000-0005-0000-0000-00006C940000}"/>
    <cellStyle name="Texto Explicativo 5 4" xfId="26430" xr:uid="{00000000-0005-0000-0000-00006D940000}"/>
    <cellStyle name="Texto Explicativo 50" xfId="26431" xr:uid="{00000000-0005-0000-0000-00006E940000}"/>
    <cellStyle name="Texto Explicativo 51" xfId="26432" xr:uid="{00000000-0005-0000-0000-00006F940000}"/>
    <cellStyle name="Texto Explicativo 52" xfId="26433" xr:uid="{00000000-0005-0000-0000-000070940000}"/>
    <cellStyle name="Texto Explicativo 53" xfId="26434" xr:uid="{00000000-0005-0000-0000-000071940000}"/>
    <cellStyle name="Texto Explicativo 54" xfId="26435" xr:uid="{00000000-0005-0000-0000-000072940000}"/>
    <cellStyle name="Texto Explicativo 55" xfId="26436" xr:uid="{00000000-0005-0000-0000-000073940000}"/>
    <cellStyle name="Texto Explicativo 56" xfId="26437" xr:uid="{00000000-0005-0000-0000-000074940000}"/>
    <cellStyle name="Texto Explicativo 57" xfId="26438" xr:uid="{00000000-0005-0000-0000-000075940000}"/>
    <cellStyle name="Texto Explicativo 58" xfId="26439" xr:uid="{00000000-0005-0000-0000-000076940000}"/>
    <cellStyle name="Texto Explicativo 59" xfId="26440" xr:uid="{00000000-0005-0000-0000-000077940000}"/>
    <cellStyle name="Texto Explicativo 6" xfId="26441" xr:uid="{00000000-0005-0000-0000-000078940000}"/>
    <cellStyle name="Texto Explicativo 6 2" xfId="26442" xr:uid="{00000000-0005-0000-0000-000079940000}"/>
    <cellStyle name="Texto Explicativo 6 3" xfId="26443" xr:uid="{00000000-0005-0000-0000-00007A940000}"/>
    <cellStyle name="Texto Explicativo 6 4" xfId="26444" xr:uid="{00000000-0005-0000-0000-00007B940000}"/>
    <cellStyle name="Texto Explicativo 60" xfId="26445" xr:uid="{00000000-0005-0000-0000-00007C940000}"/>
    <cellStyle name="Texto Explicativo 61" xfId="26446" xr:uid="{00000000-0005-0000-0000-00007D940000}"/>
    <cellStyle name="Texto Explicativo 62" xfId="26447" xr:uid="{00000000-0005-0000-0000-00007E940000}"/>
    <cellStyle name="Texto Explicativo 63" xfId="26448" xr:uid="{00000000-0005-0000-0000-00007F940000}"/>
    <cellStyle name="Texto Explicativo 64" xfId="26449" xr:uid="{00000000-0005-0000-0000-000080940000}"/>
    <cellStyle name="Texto Explicativo 65" xfId="26450" xr:uid="{00000000-0005-0000-0000-000081940000}"/>
    <cellStyle name="Texto Explicativo 66" xfId="26451" xr:uid="{00000000-0005-0000-0000-000082940000}"/>
    <cellStyle name="Texto Explicativo 67" xfId="26452" xr:uid="{00000000-0005-0000-0000-000083940000}"/>
    <cellStyle name="Texto Explicativo 68" xfId="26453" xr:uid="{00000000-0005-0000-0000-000084940000}"/>
    <cellStyle name="Texto Explicativo 69" xfId="26454" xr:uid="{00000000-0005-0000-0000-000085940000}"/>
    <cellStyle name="Texto Explicativo 7" xfId="26455" xr:uid="{00000000-0005-0000-0000-000086940000}"/>
    <cellStyle name="Texto Explicativo 7 2" xfId="26456" xr:uid="{00000000-0005-0000-0000-000087940000}"/>
    <cellStyle name="Texto Explicativo 7 3" xfId="26457" xr:uid="{00000000-0005-0000-0000-000088940000}"/>
    <cellStyle name="Texto Explicativo 7 4" xfId="26458" xr:uid="{00000000-0005-0000-0000-000089940000}"/>
    <cellStyle name="Texto Explicativo 70" xfId="26459" xr:uid="{00000000-0005-0000-0000-00008A940000}"/>
    <cellStyle name="Texto Explicativo 71" xfId="26460" xr:uid="{00000000-0005-0000-0000-00008B940000}"/>
    <cellStyle name="Texto Explicativo 72" xfId="26461" xr:uid="{00000000-0005-0000-0000-00008C940000}"/>
    <cellStyle name="Texto Explicativo 73" xfId="26462" xr:uid="{00000000-0005-0000-0000-00008D940000}"/>
    <cellStyle name="Texto Explicativo 74" xfId="26463" xr:uid="{00000000-0005-0000-0000-00008E940000}"/>
    <cellStyle name="Texto Explicativo 75" xfId="26464" xr:uid="{00000000-0005-0000-0000-00008F940000}"/>
    <cellStyle name="Texto Explicativo 76" xfId="26465" xr:uid="{00000000-0005-0000-0000-000090940000}"/>
    <cellStyle name="Texto Explicativo 77" xfId="26466" xr:uid="{00000000-0005-0000-0000-000091940000}"/>
    <cellStyle name="Texto Explicativo 78" xfId="26467" xr:uid="{00000000-0005-0000-0000-000092940000}"/>
    <cellStyle name="Texto Explicativo 79" xfId="26468" xr:uid="{00000000-0005-0000-0000-000093940000}"/>
    <cellStyle name="Texto Explicativo 8" xfId="26469" xr:uid="{00000000-0005-0000-0000-000094940000}"/>
    <cellStyle name="Texto Explicativo 8 2" xfId="26470" xr:uid="{00000000-0005-0000-0000-000095940000}"/>
    <cellStyle name="Texto Explicativo 8 3" xfId="26471" xr:uid="{00000000-0005-0000-0000-000096940000}"/>
    <cellStyle name="Texto Explicativo 8 4" xfId="26472" xr:uid="{00000000-0005-0000-0000-000097940000}"/>
    <cellStyle name="Texto Explicativo 80" xfId="26473" xr:uid="{00000000-0005-0000-0000-000098940000}"/>
    <cellStyle name="Texto Explicativo 81" xfId="26474" xr:uid="{00000000-0005-0000-0000-000099940000}"/>
    <cellStyle name="Texto Explicativo 82" xfId="26475" xr:uid="{00000000-0005-0000-0000-00009A940000}"/>
    <cellStyle name="Texto Explicativo 83" xfId="26476" xr:uid="{00000000-0005-0000-0000-00009B940000}"/>
    <cellStyle name="Texto Explicativo 84" xfId="26477" xr:uid="{00000000-0005-0000-0000-00009C940000}"/>
    <cellStyle name="Texto Explicativo 85" xfId="26478" xr:uid="{00000000-0005-0000-0000-00009D940000}"/>
    <cellStyle name="Texto Explicativo 86" xfId="26479" xr:uid="{00000000-0005-0000-0000-00009E940000}"/>
    <cellStyle name="Texto Explicativo 87" xfId="26480" xr:uid="{00000000-0005-0000-0000-00009F940000}"/>
    <cellStyle name="Texto Explicativo 88" xfId="26481" xr:uid="{00000000-0005-0000-0000-0000A0940000}"/>
    <cellStyle name="Texto Explicativo 89" xfId="26482" xr:uid="{00000000-0005-0000-0000-0000A1940000}"/>
    <cellStyle name="Texto Explicativo 9" xfId="26483" xr:uid="{00000000-0005-0000-0000-0000A2940000}"/>
    <cellStyle name="Texto Explicativo 90" xfId="26484" xr:uid="{00000000-0005-0000-0000-0000A3940000}"/>
    <cellStyle name="Texto Explicativo 91" xfId="26485" xr:uid="{00000000-0005-0000-0000-0000A4940000}"/>
    <cellStyle name="Texto Explicativo 92" xfId="26486" xr:uid="{00000000-0005-0000-0000-0000A5940000}"/>
    <cellStyle name="Texto Explicativo 93" xfId="26487" xr:uid="{00000000-0005-0000-0000-0000A6940000}"/>
    <cellStyle name="Texto Explicativo 94" xfId="26488" xr:uid="{00000000-0005-0000-0000-0000A7940000}"/>
    <cellStyle name="Texto Explicativo 95" xfId="26489" xr:uid="{00000000-0005-0000-0000-0000A8940000}"/>
    <cellStyle name="Texto Explicativo 96" xfId="26490" xr:uid="{00000000-0005-0000-0000-0000A9940000}"/>
    <cellStyle name="Texto Explicativo 97" xfId="26491" xr:uid="{00000000-0005-0000-0000-0000AA940000}"/>
    <cellStyle name="Texto Explicativo 98" xfId="26492" xr:uid="{00000000-0005-0000-0000-0000AB940000}"/>
    <cellStyle name="Texto Explicativo 99" xfId="26493" xr:uid="{00000000-0005-0000-0000-0000AC940000}"/>
    <cellStyle name="Título 1 10" xfId="26494" xr:uid="{00000000-0005-0000-0000-0000AD940000}"/>
    <cellStyle name="Título 1 10 2" xfId="40871" xr:uid="{00000000-0005-0000-0000-0000AE940000}"/>
    <cellStyle name="Título 1 100" xfId="26495" xr:uid="{00000000-0005-0000-0000-0000AF940000}"/>
    <cellStyle name="Título 1 101" xfId="26496" xr:uid="{00000000-0005-0000-0000-0000B0940000}"/>
    <cellStyle name="Título 1 102" xfId="26497" xr:uid="{00000000-0005-0000-0000-0000B1940000}"/>
    <cellStyle name="Título 1 103" xfId="26498" xr:uid="{00000000-0005-0000-0000-0000B2940000}"/>
    <cellStyle name="Título 1 104" xfId="26499" xr:uid="{00000000-0005-0000-0000-0000B3940000}"/>
    <cellStyle name="Título 1 105" xfId="26500" xr:uid="{00000000-0005-0000-0000-0000B4940000}"/>
    <cellStyle name="Título 1 106" xfId="26501" xr:uid="{00000000-0005-0000-0000-0000B5940000}"/>
    <cellStyle name="Título 1 107" xfId="26502" xr:uid="{00000000-0005-0000-0000-0000B6940000}"/>
    <cellStyle name="Título 1 108" xfId="26503" xr:uid="{00000000-0005-0000-0000-0000B7940000}"/>
    <cellStyle name="Título 1 109" xfId="26504" xr:uid="{00000000-0005-0000-0000-0000B8940000}"/>
    <cellStyle name="Título 1 11" xfId="26505" xr:uid="{00000000-0005-0000-0000-0000B9940000}"/>
    <cellStyle name="Título 1 11 2" xfId="40872" xr:uid="{00000000-0005-0000-0000-0000BA940000}"/>
    <cellStyle name="Título 1 110" xfId="26506" xr:uid="{00000000-0005-0000-0000-0000BB940000}"/>
    <cellStyle name="Título 1 111" xfId="26507" xr:uid="{00000000-0005-0000-0000-0000BC940000}"/>
    <cellStyle name="Título 1 112" xfId="26508" xr:uid="{00000000-0005-0000-0000-0000BD940000}"/>
    <cellStyle name="Título 1 113" xfId="26509" xr:uid="{00000000-0005-0000-0000-0000BE940000}"/>
    <cellStyle name="Título 1 114" xfId="26510" xr:uid="{00000000-0005-0000-0000-0000BF940000}"/>
    <cellStyle name="Título 1 115" xfId="26511" xr:uid="{00000000-0005-0000-0000-0000C0940000}"/>
    <cellStyle name="Título 1 116" xfId="26512" xr:uid="{00000000-0005-0000-0000-0000C1940000}"/>
    <cellStyle name="Título 1 117" xfId="26513" xr:uid="{00000000-0005-0000-0000-0000C2940000}"/>
    <cellStyle name="Título 1 118" xfId="26514" xr:uid="{00000000-0005-0000-0000-0000C3940000}"/>
    <cellStyle name="Título 1 119" xfId="26515" xr:uid="{00000000-0005-0000-0000-0000C4940000}"/>
    <cellStyle name="Título 1 12" xfId="26516" xr:uid="{00000000-0005-0000-0000-0000C5940000}"/>
    <cellStyle name="Título 1 12 2" xfId="40873" xr:uid="{00000000-0005-0000-0000-0000C6940000}"/>
    <cellStyle name="Título 1 120" xfId="26517" xr:uid="{00000000-0005-0000-0000-0000C7940000}"/>
    <cellStyle name="Título 1 121" xfId="26518" xr:uid="{00000000-0005-0000-0000-0000C8940000}"/>
    <cellStyle name="Título 1 122" xfId="26519" xr:uid="{00000000-0005-0000-0000-0000C9940000}"/>
    <cellStyle name="Título 1 123" xfId="26520" xr:uid="{00000000-0005-0000-0000-0000CA940000}"/>
    <cellStyle name="Título 1 124" xfId="26521" xr:uid="{00000000-0005-0000-0000-0000CB940000}"/>
    <cellStyle name="Título 1 125" xfId="26522" xr:uid="{00000000-0005-0000-0000-0000CC940000}"/>
    <cellStyle name="Título 1 126" xfId="26523" xr:uid="{00000000-0005-0000-0000-0000CD940000}"/>
    <cellStyle name="Título 1 127" xfId="26524" xr:uid="{00000000-0005-0000-0000-0000CE940000}"/>
    <cellStyle name="Título 1 128" xfId="26525" xr:uid="{00000000-0005-0000-0000-0000CF940000}"/>
    <cellStyle name="Título 1 129" xfId="26526" xr:uid="{00000000-0005-0000-0000-0000D0940000}"/>
    <cellStyle name="Título 1 13" xfId="26527" xr:uid="{00000000-0005-0000-0000-0000D1940000}"/>
    <cellStyle name="Título 1 13 2" xfId="40874" xr:uid="{00000000-0005-0000-0000-0000D2940000}"/>
    <cellStyle name="Título 1 130" xfId="26528" xr:uid="{00000000-0005-0000-0000-0000D3940000}"/>
    <cellStyle name="Título 1 131" xfId="26529" xr:uid="{00000000-0005-0000-0000-0000D4940000}"/>
    <cellStyle name="Título 1 132" xfId="26530" xr:uid="{00000000-0005-0000-0000-0000D5940000}"/>
    <cellStyle name="Título 1 133" xfId="26531" xr:uid="{00000000-0005-0000-0000-0000D6940000}"/>
    <cellStyle name="Título 1 134" xfId="26532" xr:uid="{00000000-0005-0000-0000-0000D7940000}"/>
    <cellStyle name="Título 1 135" xfId="26533" xr:uid="{00000000-0005-0000-0000-0000D8940000}"/>
    <cellStyle name="Título 1 136" xfId="26534" xr:uid="{00000000-0005-0000-0000-0000D9940000}"/>
    <cellStyle name="Título 1 137" xfId="26535" xr:uid="{00000000-0005-0000-0000-0000DA940000}"/>
    <cellStyle name="Título 1 138" xfId="26536" xr:uid="{00000000-0005-0000-0000-0000DB940000}"/>
    <cellStyle name="Título 1 139" xfId="26537" xr:uid="{00000000-0005-0000-0000-0000DC940000}"/>
    <cellStyle name="Título 1 14" xfId="26538" xr:uid="{00000000-0005-0000-0000-0000DD940000}"/>
    <cellStyle name="Título 1 140" xfId="26539" xr:uid="{00000000-0005-0000-0000-0000DE940000}"/>
    <cellStyle name="Título 1 141" xfId="26540" xr:uid="{00000000-0005-0000-0000-0000DF940000}"/>
    <cellStyle name="Título 1 142" xfId="26541" xr:uid="{00000000-0005-0000-0000-0000E0940000}"/>
    <cellStyle name="Título 1 143" xfId="26542" xr:uid="{00000000-0005-0000-0000-0000E1940000}"/>
    <cellStyle name="Título 1 144" xfId="26543" xr:uid="{00000000-0005-0000-0000-0000E2940000}"/>
    <cellStyle name="Título 1 145" xfId="26544" xr:uid="{00000000-0005-0000-0000-0000E3940000}"/>
    <cellStyle name="Título 1 146" xfId="26545" xr:uid="{00000000-0005-0000-0000-0000E4940000}"/>
    <cellStyle name="Título 1 147" xfId="26546" xr:uid="{00000000-0005-0000-0000-0000E5940000}"/>
    <cellStyle name="Título 1 148" xfId="26547" xr:uid="{00000000-0005-0000-0000-0000E6940000}"/>
    <cellStyle name="Título 1 149" xfId="26548" xr:uid="{00000000-0005-0000-0000-0000E7940000}"/>
    <cellStyle name="Título 1 15" xfId="26549" xr:uid="{00000000-0005-0000-0000-0000E8940000}"/>
    <cellStyle name="Título 1 15 2" xfId="26550" xr:uid="{00000000-0005-0000-0000-0000E9940000}"/>
    <cellStyle name="Título 1 15 3" xfId="26551" xr:uid="{00000000-0005-0000-0000-0000EA940000}"/>
    <cellStyle name="Título 1 150" xfId="26552" xr:uid="{00000000-0005-0000-0000-0000EB940000}"/>
    <cellStyle name="Título 1 151" xfId="26553" xr:uid="{00000000-0005-0000-0000-0000EC940000}"/>
    <cellStyle name="Título 1 152" xfId="26554" xr:uid="{00000000-0005-0000-0000-0000ED940000}"/>
    <cellStyle name="Título 1 153" xfId="26555" xr:uid="{00000000-0005-0000-0000-0000EE940000}"/>
    <cellStyle name="Título 1 154" xfId="26556" xr:uid="{00000000-0005-0000-0000-0000EF940000}"/>
    <cellStyle name="Título 1 155" xfId="26557" xr:uid="{00000000-0005-0000-0000-0000F0940000}"/>
    <cellStyle name="Título 1 156" xfId="26558" xr:uid="{00000000-0005-0000-0000-0000F1940000}"/>
    <cellStyle name="Título 1 157" xfId="26559" xr:uid="{00000000-0005-0000-0000-0000F2940000}"/>
    <cellStyle name="Título 1 158" xfId="26560" xr:uid="{00000000-0005-0000-0000-0000F3940000}"/>
    <cellStyle name="Título 1 159" xfId="26561" xr:uid="{00000000-0005-0000-0000-0000F4940000}"/>
    <cellStyle name="Título 1 16" xfId="26562" xr:uid="{00000000-0005-0000-0000-0000F5940000}"/>
    <cellStyle name="Título 1 16 2" xfId="26563" xr:uid="{00000000-0005-0000-0000-0000F6940000}"/>
    <cellStyle name="Título 1 16 3" xfId="26564" xr:uid="{00000000-0005-0000-0000-0000F7940000}"/>
    <cellStyle name="Título 1 160" xfId="26565" xr:uid="{00000000-0005-0000-0000-0000F8940000}"/>
    <cellStyle name="Título 1 161" xfId="26566" xr:uid="{00000000-0005-0000-0000-0000F9940000}"/>
    <cellStyle name="Título 1 162" xfId="26567" xr:uid="{00000000-0005-0000-0000-0000FA940000}"/>
    <cellStyle name="Título 1 163" xfId="26568" xr:uid="{00000000-0005-0000-0000-0000FB940000}"/>
    <cellStyle name="Título 1 164" xfId="26569" xr:uid="{00000000-0005-0000-0000-0000FC940000}"/>
    <cellStyle name="Título 1 165" xfId="26570" xr:uid="{00000000-0005-0000-0000-0000FD940000}"/>
    <cellStyle name="Título 1 166" xfId="26571" xr:uid="{00000000-0005-0000-0000-0000FE940000}"/>
    <cellStyle name="Título 1 167" xfId="26572" xr:uid="{00000000-0005-0000-0000-0000FF940000}"/>
    <cellStyle name="Título 1 168" xfId="26573" xr:uid="{00000000-0005-0000-0000-000000950000}"/>
    <cellStyle name="Título 1 169" xfId="26574" xr:uid="{00000000-0005-0000-0000-000001950000}"/>
    <cellStyle name="Título 1 17" xfId="26575" xr:uid="{00000000-0005-0000-0000-000002950000}"/>
    <cellStyle name="Título 1 17 2" xfId="26576" xr:uid="{00000000-0005-0000-0000-000003950000}"/>
    <cellStyle name="Título 1 17 3" xfId="26577" xr:uid="{00000000-0005-0000-0000-000004950000}"/>
    <cellStyle name="Título 1 170" xfId="26578" xr:uid="{00000000-0005-0000-0000-000005950000}"/>
    <cellStyle name="Título 1 171" xfId="26579" xr:uid="{00000000-0005-0000-0000-000006950000}"/>
    <cellStyle name="Título 1 172" xfId="26580" xr:uid="{00000000-0005-0000-0000-000007950000}"/>
    <cellStyle name="Título 1 173" xfId="26581" xr:uid="{00000000-0005-0000-0000-000008950000}"/>
    <cellStyle name="Título 1 174" xfId="26582" xr:uid="{00000000-0005-0000-0000-000009950000}"/>
    <cellStyle name="Título 1 175" xfId="26583" xr:uid="{00000000-0005-0000-0000-00000A950000}"/>
    <cellStyle name="Título 1 176" xfId="26584" xr:uid="{00000000-0005-0000-0000-00000B950000}"/>
    <cellStyle name="Título 1 177" xfId="26585" xr:uid="{00000000-0005-0000-0000-00000C950000}"/>
    <cellStyle name="Título 1 178" xfId="26586" xr:uid="{00000000-0005-0000-0000-00000D950000}"/>
    <cellStyle name="Título 1 179" xfId="26587" xr:uid="{00000000-0005-0000-0000-00000E950000}"/>
    <cellStyle name="Título 1 18" xfId="26588" xr:uid="{00000000-0005-0000-0000-00000F950000}"/>
    <cellStyle name="Título 1 18 2" xfId="26589" xr:uid="{00000000-0005-0000-0000-000010950000}"/>
    <cellStyle name="Título 1 18 3" xfId="26590" xr:uid="{00000000-0005-0000-0000-000011950000}"/>
    <cellStyle name="Título 1 180" xfId="26591" xr:uid="{00000000-0005-0000-0000-000012950000}"/>
    <cellStyle name="Título 1 181" xfId="26592" xr:uid="{00000000-0005-0000-0000-000013950000}"/>
    <cellStyle name="Título 1 182" xfId="26593" xr:uid="{00000000-0005-0000-0000-000014950000}"/>
    <cellStyle name="Título 1 183" xfId="26594" xr:uid="{00000000-0005-0000-0000-000015950000}"/>
    <cellStyle name="Título 1 184" xfId="26595" xr:uid="{00000000-0005-0000-0000-000016950000}"/>
    <cellStyle name="Título 1 185" xfId="26596" xr:uid="{00000000-0005-0000-0000-000017950000}"/>
    <cellStyle name="Título 1 186" xfId="26597" xr:uid="{00000000-0005-0000-0000-000018950000}"/>
    <cellStyle name="Título 1 187" xfId="26598" xr:uid="{00000000-0005-0000-0000-000019950000}"/>
    <cellStyle name="Título 1 188" xfId="26599" xr:uid="{00000000-0005-0000-0000-00001A950000}"/>
    <cellStyle name="Título 1 189" xfId="26600" xr:uid="{00000000-0005-0000-0000-00001B950000}"/>
    <cellStyle name="Título 1 19" xfId="26601" xr:uid="{00000000-0005-0000-0000-00001C950000}"/>
    <cellStyle name="Título 1 19 2" xfId="26602" xr:uid="{00000000-0005-0000-0000-00001D950000}"/>
    <cellStyle name="Título 1 19 3" xfId="26603" xr:uid="{00000000-0005-0000-0000-00001E950000}"/>
    <cellStyle name="Título 1 190" xfId="26604" xr:uid="{00000000-0005-0000-0000-00001F950000}"/>
    <cellStyle name="Título 1 2" xfId="26605" xr:uid="{00000000-0005-0000-0000-000020950000}"/>
    <cellStyle name="Título 1 2 10" xfId="26606" xr:uid="{00000000-0005-0000-0000-000021950000}"/>
    <cellStyle name="Título 1 2 10 2" xfId="26607" xr:uid="{00000000-0005-0000-0000-000022950000}"/>
    <cellStyle name="Título 1 2 10 3" xfId="26608" xr:uid="{00000000-0005-0000-0000-000023950000}"/>
    <cellStyle name="Título 1 2 10 4" xfId="26609" xr:uid="{00000000-0005-0000-0000-000024950000}"/>
    <cellStyle name="Título 1 2 10 5" xfId="26610" xr:uid="{00000000-0005-0000-0000-000025950000}"/>
    <cellStyle name="Título 1 2 10 6" xfId="26611" xr:uid="{00000000-0005-0000-0000-000026950000}"/>
    <cellStyle name="Título 1 2 10 7" xfId="26612" xr:uid="{00000000-0005-0000-0000-000027950000}"/>
    <cellStyle name="Título 1 2 11" xfId="26613" xr:uid="{00000000-0005-0000-0000-000028950000}"/>
    <cellStyle name="Título 1 2 11 2" xfId="26614" xr:uid="{00000000-0005-0000-0000-000029950000}"/>
    <cellStyle name="Título 1 2 11 3" xfId="26615" xr:uid="{00000000-0005-0000-0000-00002A950000}"/>
    <cellStyle name="Título 1 2 11 4" xfId="26616" xr:uid="{00000000-0005-0000-0000-00002B950000}"/>
    <cellStyle name="Título 1 2 11 5" xfId="26617" xr:uid="{00000000-0005-0000-0000-00002C950000}"/>
    <cellStyle name="Título 1 2 11 6" xfId="26618" xr:uid="{00000000-0005-0000-0000-00002D950000}"/>
    <cellStyle name="Título 1 2 11 7" xfId="26619" xr:uid="{00000000-0005-0000-0000-00002E950000}"/>
    <cellStyle name="Título 1 2 12" xfId="26620" xr:uid="{00000000-0005-0000-0000-00002F950000}"/>
    <cellStyle name="Título 1 2 13" xfId="26621" xr:uid="{00000000-0005-0000-0000-000030950000}"/>
    <cellStyle name="Título 1 2 14" xfId="26622" xr:uid="{00000000-0005-0000-0000-000031950000}"/>
    <cellStyle name="Título 1 2 15" xfId="26623" xr:uid="{00000000-0005-0000-0000-000032950000}"/>
    <cellStyle name="Título 1 2 16" xfId="26624" xr:uid="{00000000-0005-0000-0000-000033950000}"/>
    <cellStyle name="Título 1 2 17" xfId="26625" xr:uid="{00000000-0005-0000-0000-000034950000}"/>
    <cellStyle name="Título 1 2 18" xfId="26626" xr:uid="{00000000-0005-0000-0000-000035950000}"/>
    <cellStyle name="Título 1 2 19" xfId="26627" xr:uid="{00000000-0005-0000-0000-000036950000}"/>
    <cellStyle name="Título 1 2 2" xfId="26628" xr:uid="{00000000-0005-0000-0000-000037950000}"/>
    <cellStyle name="Título 1 2 20" xfId="26629" xr:uid="{00000000-0005-0000-0000-000038950000}"/>
    <cellStyle name="Título 1 2 21" xfId="26630" xr:uid="{00000000-0005-0000-0000-000039950000}"/>
    <cellStyle name="Título 1 2 22" xfId="26631" xr:uid="{00000000-0005-0000-0000-00003A950000}"/>
    <cellStyle name="Título 1 2 23" xfId="26632" xr:uid="{00000000-0005-0000-0000-00003B950000}"/>
    <cellStyle name="Título 1 2 24" xfId="26633" xr:uid="{00000000-0005-0000-0000-00003C950000}"/>
    <cellStyle name="Título 1 2 25" xfId="26634" xr:uid="{00000000-0005-0000-0000-00003D950000}"/>
    <cellStyle name="Título 1 2 26" xfId="26635" xr:uid="{00000000-0005-0000-0000-00003E950000}"/>
    <cellStyle name="Título 1 2 27" xfId="26636" xr:uid="{00000000-0005-0000-0000-00003F950000}"/>
    <cellStyle name="Título 1 2 28" xfId="26637" xr:uid="{00000000-0005-0000-0000-000040950000}"/>
    <cellStyle name="Título 1 2 29" xfId="26638" xr:uid="{00000000-0005-0000-0000-000041950000}"/>
    <cellStyle name="Título 1 2 3" xfId="26639" xr:uid="{00000000-0005-0000-0000-000042950000}"/>
    <cellStyle name="Título 1 2 30" xfId="26640" xr:uid="{00000000-0005-0000-0000-000043950000}"/>
    <cellStyle name="Título 1 2 31" xfId="26641" xr:uid="{00000000-0005-0000-0000-000044950000}"/>
    <cellStyle name="Título 1 2 32" xfId="26642" xr:uid="{00000000-0005-0000-0000-000045950000}"/>
    <cellStyle name="Título 1 2 33" xfId="26643" xr:uid="{00000000-0005-0000-0000-000046950000}"/>
    <cellStyle name="Título 1 2 34" xfId="26644" xr:uid="{00000000-0005-0000-0000-000047950000}"/>
    <cellStyle name="Título 1 2 35" xfId="26645" xr:uid="{00000000-0005-0000-0000-000048950000}"/>
    <cellStyle name="Título 1 2 4" xfId="26646" xr:uid="{00000000-0005-0000-0000-000049950000}"/>
    <cellStyle name="Título 1 2 5" xfId="26647" xr:uid="{00000000-0005-0000-0000-00004A950000}"/>
    <cellStyle name="Título 1 2 6" xfId="26648" xr:uid="{00000000-0005-0000-0000-00004B950000}"/>
    <cellStyle name="Título 1 2 7" xfId="26649" xr:uid="{00000000-0005-0000-0000-00004C950000}"/>
    <cellStyle name="Título 1 2 8" xfId="26650" xr:uid="{00000000-0005-0000-0000-00004D950000}"/>
    <cellStyle name="Título 1 2 8 2" xfId="26651" xr:uid="{00000000-0005-0000-0000-00004E950000}"/>
    <cellStyle name="Título 1 2 8 3" xfId="26652" xr:uid="{00000000-0005-0000-0000-00004F950000}"/>
    <cellStyle name="Título 1 2 8 4" xfId="26653" xr:uid="{00000000-0005-0000-0000-000050950000}"/>
    <cellStyle name="Título 1 2 8 5" xfId="26654" xr:uid="{00000000-0005-0000-0000-000051950000}"/>
    <cellStyle name="Título 1 2 8 6" xfId="26655" xr:uid="{00000000-0005-0000-0000-000052950000}"/>
    <cellStyle name="Título 1 2 8 7" xfId="26656" xr:uid="{00000000-0005-0000-0000-000053950000}"/>
    <cellStyle name="Título 1 2 9" xfId="26657" xr:uid="{00000000-0005-0000-0000-000054950000}"/>
    <cellStyle name="Título 1 2 9 2" xfId="26658" xr:uid="{00000000-0005-0000-0000-000055950000}"/>
    <cellStyle name="Título 1 2 9 3" xfId="26659" xr:uid="{00000000-0005-0000-0000-000056950000}"/>
    <cellStyle name="Título 1 2 9 4" xfId="26660" xr:uid="{00000000-0005-0000-0000-000057950000}"/>
    <cellStyle name="Título 1 2 9 5" xfId="26661" xr:uid="{00000000-0005-0000-0000-000058950000}"/>
    <cellStyle name="Título 1 2 9 6" xfId="26662" xr:uid="{00000000-0005-0000-0000-000059950000}"/>
    <cellStyle name="Título 1 2 9 7" xfId="26663" xr:uid="{00000000-0005-0000-0000-00005A950000}"/>
    <cellStyle name="Título 1 20" xfId="26664" xr:uid="{00000000-0005-0000-0000-00005B950000}"/>
    <cellStyle name="Título 1 20 2" xfId="26665" xr:uid="{00000000-0005-0000-0000-00005C950000}"/>
    <cellStyle name="Título 1 20 3" xfId="26666" xr:uid="{00000000-0005-0000-0000-00005D950000}"/>
    <cellStyle name="Título 1 21" xfId="26667" xr:uid="{00000000-0005-0000-0000-00005E950000}"/>
    <cellStyle name="Título 1 22" xfId="26668" xr:uid="{00000000-0005-0000-0000-00005F950000}"/>
    <cellStyle name="Título 1 23" xfId="26669" xr:uid="{00000000-0005-0000-0000-000060950000}"/>
    <cellStyle name="Título 1 24" xfId="26670" xr:uid="{00000000-0005-0000-0000-000061950000}"/>
    <cellStyle name="Título 1 24 2" xfId="40959" xr:uid="{00000000-0005-0000-0000-000062950000}"/>
    <cellStyle name="Título 1 25" xfId="26671" xr:uid="{00000000-0005-0000-0000-000063950000}"/>
    <cellStyle name="Título 1 25 2" xfId="40994" xr:uid="{00000000-0005-0000-0000-000064950000}"/>
    <cellStyle name="Título 1 26" xfId="26672" xr:uid="{00000000-0005-0000-0000-000065950000}"/>
    <cellStyle name="Título 1 26 10" xfId="26673" xr:uid="{00000000-0005-0000-0000-000066950000}"/>
    <cellStyle name="Título 1 26 11" xfId="26674" xr:uid="{00000000-0005-0000-0000-000067950000}"/>
    <cellStyle name="Título 1 26 12" xfId="26675" xr:uid="{00000000-0005-0000-0000-000068950000}"/>
    <cellStyle name="Título 1 26 13" xfId="26676" xr:uid="{00000000-0005-0000-0000-000069950000}"/>
    <cellStyle name="Título 1 26 14" xfId="26677" xr:uid="{00000000-0005-0000-0000-00006A950000}"/>
    <cellStyle name="Título 1 26 15" xfId="26678" xr:uid="{00000000-0005-0000-0000-00006B950000}"/>
    <cellStyle name="Título 1 26 16" xfId="26679" xr:uid="{00000000-0005-0000-0000-00006C950000}"/>
    <cellStyle name="Título 1 26 2" xfId="26680" xr:uid="{00000000-0005-0000-0000-00006D950000}"/>
    <cellStyle name="Título 1 26 3" xfId="26681" xr:uid="{00000000-0005-0000-0000-00006E950000}"/>
    <cellStyle name="Título 1 26 4" xfId="26682" xr:uid="{00000000-0005-0000-0000-00006F950000}"/>
    <cellStyle name="Título 1 26 5" xfId="26683" xr:uid="{00000000-0005-0000-0000-000070950000}"/>
    <cellStyle name="Título 1 26 6" xfId="26684" xr:uid="{00000000-0005-0000-0000-000071950000}"/>
    <cellStyle name="Título 1 26 7" xfId="26685" xr:uid="{00000000-0005-0000-0000-000072950000}"/>
    <cellStyle name="Título 1 26 8" xfId="26686" xr:uid="{00000000-0005-0000-0000-000073950000}"/>
    <cellStyle name="Título 1 26 9" xfId="26687" xr:uid="{00000000-0005-0000-0000-000074950000}"/>
    <cellStyle name="Título 1 27" xfId="26688" xr:uid="{00000000-0005-0000-0000-000075950000}"/>
    <cellStyle name="Título 1 27 10" xfId="26689" xr:uid="{00000000-0005-0000-0000-000076950000}"/>
    <cellStyle name="Título 1 27 11" xfId="26690" xr:uid="{00000000-0005-0000-0000-000077950000}"/>
    <cellStyle name="Título 1 27 12" xfId="26691" xr:uid="{00000000-0005-0000-0000-000078950000}"/>
    <cellStyle name="Título 1 27 13" xfId="26692" xr:uid="{00000000-0005-0000-0000-000079950000}"/>
    <cellStyle name="Título 1 27 14" xfId="26693" xr:uid="{00000000-0005-0000-0000-00007A950000}"/>
    <cellStyle name="Título 1 27 15" xfId="26694" xr:uid="{00000000-0005-0000-0000-00007B950000}"/>
    <cellStyle name="Título 1 27 16" xfId="26695" xr:uid="{00000000-0005-0000-0000-00007C950000}"/>
    <cellStyle name="Título 1 27 2" xfId="26696" xr:uid="{00000000-0005-0000-0000-00007D950000}"/>
    <cellStyle name="Título 1 27 3" xfId="26697" xr:uid="{00000000-0005-0000-0000-00007E950000}"/>
    <cellStyle name="Título 1 27 4" xfId="26698" xr:uid="{00000000-0005-0000-0000-00007F950000}"/>
    <cellStyle name="Título 1 27 5" xfId="26699" xr:uid="{00000000-0005-0000-0000-000080950000}"/>
    <cellStyle name="Título 1 27 6" xfId="26700" xr:uid="{00000000-0005-0000-0000-000081950000}"/>
    <cellStyle name="Título 1 27 7" xfId="26701" xr:uid="{00000000-0005-0000-0000-000082950000}"/>
    <cellStyle name="Título 1 27 8" xfId="26702" xr:uid="{00000000-0005-0000-0000-000083950000}"/>
    <cellStyle name="Título 1 27 9" xfId="26703" xr:uid="{00000000-0005-0000-0000-000084950000}"/>
    <cellStyle name="Título 1 28" xfId="26704" xr:uid="{00000000-0005-0000-0000-000085950000}"/>
    <cellStyle name="Título 1 28 10" xfId="26705" xr:uid="{00000000-0005-0000-0000-000086950000}"/>
    <cellStyle name="Título 1 28 11" xfId="26706" xr:uid="{00000000-0005-0000-0000-000087950000}"/>
    <cellStyle name="Título 1 28 12" xfId="26707" xr:uid="{00000000-0005-0000-0000-000088950000}"/>
    <cellStyle name="Título 1 28 13" xfId="26708" xr:uid="{00000000-0005-0000-0000-000089950000}"/>
    <cellStyle name="Título 1 28 14" xfId="26709" xr:uid="{00000000-0005-0000-0000-00008A950000}"/>
    <cellStyle name="Título 1 28 15" xfId="26710" xr:uid="{00000000-0005-0000-0000-00008B950000}"/>
    <cellStyle name="Título 1 28 16" xfId="26711" xr:uid="{00000000-0005-0000-0000-00008C950000}"/>
    <cellStyle name="Título 1 28 2" xfId="26712" xr:uid="{00000000-0005-0000-0000-00008D950000}"/>
    <cellStyle name="Título 1 28 3" xfId="26713" xr:uid="{00000000-0005-0000-0000-00008E950000}"/>
    <cellStyle name="Título 1 28 4" xfId="26714" xr:uid="{00000000-0005-0000-0000-00008F950000}"/>
    <cellStyle name="Título 1 28 5" xfId="26715" xr:uid="{00000000-0005-0000-0000-000090950000}"/>
    <cellStyle name="Título 1 28 6" xfId="26716" xr:uid="{00000000-0005-0000-0000-000091950000}"/>
    <cellStyle name="Título 1 28 7" xfId="26717" xr:uid="{00000000-0005-0000-0000-000092950000}"/>
    <cellStyle name="Título 1 28 8" xfId="26718" xr:uid="{00000000-0005-0000-0000-000093950000}"/>
    <cellStyle name="Título 1 28 9" xfId="26719" xr:uid="{00000000-0005-0000-0000-000094950000}"/>
    <cellStyle name="Título 1 29" xfId="26720" xr:uid="{00000000-0005-0000-0000-000095950000}"/>
    <cellStyle name="Título 1 29 10" xfId="26721" xr:uid="{00000000-0005-0000-0000-000096950000}"/>
    <cellStyle name="Título 1 29 11" xfId="26722" xr:uid="{00000000-0005-0000-0000-000097950000}"/>
    <cellStyle name="Título 1 29 12" xfId="26723" xr:uid="{00000000-0005-0000-0000-000098950000}"/>
    <cellStyle name="Título 1 29 13" xfId="26724" xr:uid="{00000000-0005-0000-0000-000099950000}"/>
    <cellStyle name="Título 1 29 14" xfId="26725" xr:uid="{00000000-0005-0000-0000-00009A950000}"/>
    <cellStyle name="Título 1 29 15" xfId="26726" xr:uid="{00000000-0005-0000-0000-00009B950000}"/>
    <cellStyle name="Título 1 29 16" xfId="26727" xr:uid="{00000000-0005-0000-0000-00009C950000}"/>
    <cellStyle name="Título 1 29 2" xfId="26728" xr:uid="{00000000-0005-0000-0000-00009D950000}"/>
    <cellStyle name="Título 1 29 3" xfId="26729" xr:uid="{00000000-0005-0000-0000-00009E950000}"/>
    <cellStyle name="Título 1 29 4" xfId="26730" xr:uid="{00000000-0005-0000-0000-00009F950000}"/>
    <cellStyle name="Título 1 29 5" xfId="26731" xr:uid="{00000000-0005-0000-0000-0000A0950000}"/>
    <cellStyle name="Título 1 29 6" xfId="26732" xr:uid="{00000000-0005-0000-0000-0000A1950000}"/>
    <cellStyle name="Título 1 29 7" xfId="26733" xr:uid="{00000000-0005-0000-0000-0000A2950000}"/>
    <cellStyle name="Título 1 29 8" xfId="26734" xr:uid="{00000000-0005-0000-0000-0000A3950000}"/>
    <cellStyle name="Título 1 29 9" xfId="26735" xr:uid="{00000000-0005-0000-0000-0000A4950000}"/>
    <cellStyle name="Título 1 3" xfId="26736" xr:uid="{00000000-0005-0000-0000-0000A5950000}"/>
    <cellStyle name="Título 1 3 10" xfId="26737" xr:uid="{00000000-0005-0000-0000-0000A6950000}"/>
    <cellStyle name="Título 1 3 11" xfId="26738" xr:uid="{00000000-0005-0000-0000-0000A7950000}"/>
    <cellStyle name="Título 1 3 2" xfId="26739" xr:uid="{00000000-0005-0000-0000-0000A8950000}"/>
    <cellStyle name="Título 1 3 3" xfId="26740" xr:uid="{00000000-0005-0000-0000-0000A9950000}"/>
    <cellStyle name="Título 1 3 4" xfId="26741" xr:uid="{00000000-0005-0000-0000-0000AA950000}"/>
    <cellStyle name="Título 1 3 5" xfId="26742" xr:uid="{00000000-0005-0000-0000-0000AB950000}"/>
    <cellStyle name="Título 1 3 6" xfId="26743" xr:uid="{00000000-0005-0000-0000-0000AC950000}"/>
    <cellStyle name="Título 1 3 7" xfId="26744" xr:uid="{00000000-0005-0000-0000-0000AD950000}"/>
    <cellStyle name="Título 1 3 8" xfId="26745" xr:uid="{00000000-0005-0000-0000-0000AE950000}"/>
    <cellStyle name="Título 1 3 9" xfId="26746" xr:uid="{00000000-0005-0000-0000-0000AF950000}"/>
    <cellStyle name="Título 1 30" xfId="26747" xr:uid="{00000000-0005-0000-0000-0000B0950000}"/>
    <cellStyle name="Título 1 31" xfId="26748" xr:uid="{00000000-0005-0000-0000-0000B1950000}"/>
    <cellStyle name="Título 1 32" xfId="26749" xr:uid="{00000000-0005-0000-0000-0000B2950000}"/>
    <cellStyle name="Título 1 33" xfId="26750" xr:uid="{00000000-0005-0000-0000-0000B3950000}"/>
    <cellStyle name="Título 1 34" xfId="26751" xr:uid="{00000000-0005-0000-0000-0000B4950000}"/>
    <cellStyle name="Título 1 35" xfId="26752" xr:uid="{00000000-0005-0000-0000-0000B5950000}"/>
    <cellStyle name="Título 1 36" xfId="26753" xr:uid="{00000000-0005-0000-0000-0000B6950000}"/>
    <cellStyle name="Título 1 37" xfId="26754" xr:uid="{00000000-0005-0000-0000-0000B7950000}"/>
    <cellStyle name="Título 1 38" xfId="26755" xr:uid="{00000000-0005-0000-0000-0000B8950000}"/>
    <cellStyle name="Título 1 39" xfId="26756" xr:uid="{00000000-0005-0000-0000-0000B9950000}"/>
    <cellStyle name="Título 1 4" xfId="26757" xr:uid="{00000000-0005-0000-0000-0000BA950000}"/>
    <cellStyle name="Título 1 4 10" xfId="26758" xr:uid="{00000000-0005-0000-0000-0000BB950000}"/>
    <cellStyle name="Título 1 4 11" xfId="26759" xr:uid="{00000000-0005-0000-0000-0000BC950000}"/>
    <cellStyle name="Título 1 4 2" xfId="26760" xr:uid="{00000000-0005-0000-0000-0000BD950000}"/>
    <cellStyle name="Título 1 4 3" xfId="26761" xr:uid="{00000000-0005-0000-0000-0000BE950000}"/>
    <cellStyle name="Título 1 4 4" xfId="26762" xr:uid="{00000000-0005-0000-0000-0000BF950000}"/>
    <cellStyle name="Título 1 4 5" xfId="26763" xr:uid="{00000000-0005-0000-0000-0000C0950000}"/>
    <cellStyle name="Título 1 4 6" xfId="26764" xr:uid="{00000000-0005-0000-0000-0000C1950000}"/>
    <cellStyle name="Título 1 4 7" xfId="26765" xr:uid="{00000000-0005-0000-0000-0000C2950000}"/>
    <cellStyle name="Título 1 4 8" xfId="26766" xr:uid="{00000000-0005-0000-0000-0000C3950000}"/>
    <cellStyle name="Título 1 4 9" xfId="26767" xr:uid="{00000000-0005-0000-0000-0000C4950000}"/>
    <cellStyle name="Título 1 40" xfId="26768" xr:uid="{00000000-0005-0000-0000-0000C5950000}"/>
    <cellStyle name="Título 1 41" xfId="26769" xr:uid="{00000000-0005-0000-0000-0000C6950000}"/>
    <cellStyle name="Título 1 42" xfId="26770" xr:uid="{00000000-0005-0000-0000-0000C7950000}"/>
    <cellStyle name="Título 1 43" xfId="26771" xr:uid="{00000000-0005-0000-0000-0000C8950000}"/>
    <cellStyle name="Título 1 44" xfId="26772" xr:uid="{00000000-0005-0000-0000-0000C9950000}"/>
    <cellStyle name="Título 1 45" xfId="26773" xr:uid="{00000000-0005-0000-0000-0000CA950000}"/>
    <cellStyle name="Título 1 46" xfId="26774" xr:uid="{00000000-0005-0000-0000-0000CB950000}"/>
    <cellStyle name="Título 1 47" xfId="26775" xr:uid="{00000000-0005-0000-0000-0000CC950000}"/>
    <cellStyle name="Título 1 48" xfId="26776" xr:uid="{00000000-0005-0000-0000-0000CD950000}"/>
    <cellStyle name="Título 1 49" xfId="26777" xr:uid="{00000000-0005-0000-0000-0000CE950000}"/>
    <cellStyle name="Título 1 5" xfId="26778" xr:uid="{00000000-0005-0000-0000-0000CF950000}"/>
    <cellStyle name="Título 1 5 2" xfId="26779" xr:uid="{00000000-0005-0000-0000-0000D0950000}"/>
    <cellStyle name="Título 1 5 3" xfId="26780" xr:uid="{00000000-0005-0000-0000-0000D1950000}"/>
    <cellStyle name="Título 1 5 4" xfId="26781" xr:uid="{00000000-0005-0000-0000-0000D2950000}"/>
    <cellStyle name="Título 1 50" xfId="26782" xr:uid="{00000000-0005-0000-0000-0000D3950000}"/>
    <cellStyle name="Título 1 51" xfId="26783" xr:uid="{00000000-0005-0000-0000-0000D4950000}"/>
    <cellStyle name="Título 1 52" xfId="26784" xr:uid="{00000000-0005-0000-0000-0000D5950000}"/>
    <cellStyle name="Título 1 53" xfId="26785" xr:uid="{00000000-0005-0000-0000-0000D6950000}"/>
    <cellStyle name="Título 1 54" xfId="26786" xr:uid="{00000000-0005-0000-0000-0000D7950000}"/>
    <cellStyle name="Título 1 55" xfId="26787" xr:uid="{00000000-0005-0000-0000-0000D8950000}"/>
    <cellStyle name="Título 1 56" xfId="26788" xr:uid="{00000000-0005-0000-0000-0000D9950000}"/>
    <cellStyle name="Título 1 57" xfId="26789" xr:uid="{00000000-0005-0000-0000-0000DA950000}"/>
    <cellStyle name="Título 1 58" xfId="26790" xr:uid="{00000000-0005-0000-0000-0000DB950000}"/>
    <cellStyle name="Título 1 59" xfId="26791" xr:uid="{00000000-0005-0000-0000-0000DC950000}"/>
    <cellStyle name="Título 1 6" xfId="26792" xr:uid="{00000000-0005-0000-0000-0000DD950000}"/>
    <cellStyle name="Título 1 6 2" xfId="26793" xr:uid="{00000000-0005-0000-0000-0000DE950000}"/>
    <cellStyle name="Título 1 6 3" xfId="26794" xr:uid="{00000000-0005-0000-0000-0000DF950000}"/>
    <cellStyle name="Título 1 6 4" xfId="26795" xr:uid="{00000000-0005-0000-0000-0000E0950000}"/>
    <cellStyle name="Título 1 60" xfId="26796" xr:uid="{00000000-0005-0000-0000-0000E1950000}"/>
    <cellStyle name="Título 1 61" xfId="26797" xr:uid="{00000000-0005-0000-0000-0000E2950000}"/>
    <cellStyle name="Título 1 62" xfId="26798" xr:uid="{00000000-0005-0000-0000-0000E3950000}"/>
    <cellStyle name="Título 1 63" xfId="26799" xr:uid="{00000000-0005-0000-0000-0000E4950000}"/>
    <cellStyle name="Título 1 64" xfId="26800" xr:uid="{00000000-0005-0000-0000-0000E5950000}"/>
    <cellStyle name="Título 1 65" xfId="26801" xr:uid="{00000000-0005-0000-0000-0000E6950000}"/>
    <cellStyle name="Título 1 66" xfId="26802" xr:uid="{00000000-0005-0000-0000-0000E7950000}"/>
    <cellStyle name="Título 1 67" xfId="26803" xr:uid="{00000000-0005-0000-0000-0000E8950000}"/>
    <cellStyle name="Título 1 68" xfId="26804" xr:uid="{00000000-0005-0000-0000-0000E9950000}"/>
    <cellStyle name="Título 1 69" xfId="26805" xr:uid="{00000000-0005-0000-0000-0000EA950000}"/>
    <cellStyle name="Título 1 7" xfId="26806" xr:uid="{00000000-0005-0000-0000-0000EB950000}"/>
    <cellStyle name="Título 1 7 2" xfId="26807" xr:uid="{00000000-0005-0000-0000-0000EC950000}"/>
    <cellStyle name="Título 1 7 3" xfId="26808" xr:uid="{00000000-0005-0000-0000-0000ED950000}"/>
    <cellStyle name="Título 1 7 4" xfId="26809" xr:uid="{00000000-0005-0000-0000-0000EE950000}"/>
    <cellStyle name="Título 1 70" xfId="26810" xr:uid="{00000000-0005-0000-0000-0000EF950000}"/>
    <cellStyle name="Título 1 71" xfId="26811" xr:uid="{00000000-0005-0000-0000-0000F0950000}"/>
    <cellStyle name="Título 1 72" xfId="26812" xr:uid="{00000000-0005-0000-0000-0000F1950000}"/>
    <cellStyle name="Título 1 73" xfId="26813" xr:uid="{00000000-0005-0000-0000-0000F2950000}"/>
    <cellStyle name="Título 1 74" xfId="26814" xr:uid="{00000000-0005-0000-0000-0000F3950000}"/>
    <cellStyle name="Título 1 75" xfId="26815" xr:uid="{00000000-0005-0000-0000-0000F4950000}"/>
    <cellStyle name="Título 1 76" xfId="26816" xr:uid="{00000000-0005-0000-0000-0000F5950000}"/>
    <cellStyle name="Título 1 77" xfId="26817" xr:uid="{00000000-0005-0000-0000-0000F6950000}"/>
    <cellStyle name="Título 1 78" xfId="26818" xr:uid="{00000000-0005-0000-0000-0000F7950000}"/>
    <cellStyle name="Título 1 79" xfId="26819" xr:uid="{00000000-0005-0000-0000-0000F8950000}"/>
    <cellStyle name="Título 1 8" xfId="26820" xr:uid="{00000000-0005-0000-0000-0000F9950000}"/>
    <cellStyle name="Título 1 8 2" xfId="26821" xr:uid="{00000000-0005-0000-0000-0000FA950000}"/>
    <cellStyle name="Título 1 8 3" xfId="26822" xr:uid="{00000000-0005-0000-0000-0000FB950000}"/>
    <cellStyle name="Título 1 8 4" xfId="26823" xr:uid="{00000000-0005-0000-0000-0000FC950000}"/>
    <cellStyle name="Título 1 80" xfId="26824" xr:uid="{00000000-0005-0000-0000-0000FD950000}"/>
    <cellStyle name="Título 1 81" xfId="26825" xr:uid="{00000000-0005-0000-0000-0000FE950000}"/>
    <cellStyle name="Título 1 82" xfId="26826" xr:uid="{00000000-0005-0000-0000-0000FF950000}"/>
    <cellStyle name="Título 1 83" xfId="26827" xr:uid="{00000000-0005-0000-0000-000000960000}"/>
    <cellStyle name="Título 1 84" xfId="26828" xr:uid="{00000000-0005-0000-0000-000001960000}"/>
    <cellStyle name="Título 1 85" xfId="26829" xr:uid="{00000000-0005-0000-0000-000002960000}"/>
    <cellStyle name="Título 1 86" xfId="26830" xr:uid="{00000000-0005-0000-0000-000003960000}"/>
    <cellStyle name="Título 1 87" xfId="26831" xr:uid="{00000000-0005-0000-0000-000004960000}"/>
    <cellStyle name="Título 1 88" xfId="26832" xr:uid="{00000000-0005-0000-0000-000005960000}"/>
    <cellStyle name="Título 1 89" xfId="26833" xr:uid="{00000000-0005-0000-0000-000006960000}"/>
    <cellStyle name="Título 1 9" xfId="26834" xr:uid="{00000000-0005-0000-0000-000007960000}"/>
    <cellStyle name="Título 1 90" xfId="26835" xr:uid="{00000000-0005-0000-0000-000008960000}"/>
    <cellStyle name="Título 1 91" xfId="26836" xr:uid="{00000000-0005-0000-0000-000009960000}"/>
    <cellStyle name="Título 1 92" xfId="26837" xr:uid="{00000000-0005-0000-0000-00000A960000}"/>
    <cellStyle name="Título 1 93" xfId="26838" xr:uid="{00000000-0005-0000-0000-00000B960000}"/>
    <cellStyle name="Título 1 94" xfId="26839" xr:uid="{00000000-0005-0000-0000-00000C960000}"/>
    <cellStyle name="Título 1 95" xfId="26840" xr:uid="{00000000-0005-0000-0000-00000D960000}"/>
    <cellStyle name="Título 1 96" xfId="26841" xr:uid="{00000000-0005-0000-0000-00000E960000}"/>
    <cellStyle name="Título 1 97" xfId="26842" xr:uid="{00000000-0005-0000-0000-00000F960000}"/>
    <cellStyle name="Título 1 98" xfId="26843" xr:uid="{00000000-0005-0000-0000-000010960000}"/>
    <cellStyle name="Título 1 99" xfId="26844" xr:uid="{00000000-0005-0000-0000-000011960000}"/>
    <cellStyle name="Título 10" xfId="26845" xr:uid="{00000000-0005-0000-0000-000012960000}"/>
    <cellStyle name="Título 10 2" xfId="26846" xr:uid="{00000000-0005-0000-0000-000013960000}"/>
    <cellStyle name="Título 10 3" xfId="26847" xr:uid="{00000000-0005-0000-0000-000014960000}"/>
    <cellStyle name="Título 10 4" xfId="26848" xr:uid="{00000000-0005-0000-0000-000015960000}"/>
    <cellStyle name="Título 100" xfId="26849" xr:uid="{00000000-0005-0000-0000-000016960000}"/>
    <cellStyle name="Título 101" xfId="26850" xr:uid="{00000000-0005-0000-0000-000017960000}"/>
    <cellStyle name="Título 102" xfId="26851" xr:uid="{00000000-0005-0000-0000-000018960000}"/>
    <cellStyle name="Título 103" xfId="26852" xr:uid="{00000000-0005-0000-0000-000019960000}"/>
    <cellStyle name="Título 104" xfId="26853" xr:uid="{00000000-0005-0000-0000-00001A960000}"/>
    <cellStyle name="Título 105" xfId="26854" xr:uid="{00000000-0005-0000-0000-00001B960000}"/>
    <cellStyle name="Título 106" xfId="26855" xr:uid="{00000000-0005-0000-0000-00001C960000}"/>
    <cellStyle name="Título 107" xfId="26856" xr:uid="{00000000-0005-0000-0000-00001D960000}"/>
    <cellStyle name="Título 108" xfId="26857" xr:uid="{00000000-0005-0000-0000-00001E960000}"/>
    <cellStyle name="Título 109" xfId="26858" xr:uid="{00000000-0005-0000-0000-00001F960000}"/>
    <cellStyle name="Título 11" xfId="26859" xr:uid="{00000000-0005-0000-0000-000020960000}"/>
    <cellStyle name="Título 11 2" xfId="26860" xr:uid="{00000000-0005-0000-0000-000021960000}"/>
    <cellStyle name="Título 11 3" xfId="26861" xr:uid="{00000000-0005-0000-0000-000022960000}"/>
    <cellStyle name="Título 11 4" xfId="26862" xr:uid="{00000000-0005-0000-0000-000023960000}"/>
    <cellStyle name="Título 110" xfId="26863" xr:uid="{00000000-0005-0000-0000-000024960000}"/>
    <cellStyle name="Título 111" xfId="26864" xr:uid="{00000000-0005-0000-0000-000025960000}"/>
    <cellStyle name="Título 112" xfId="26865" xr:uid="{00000000-0005-0000-0000-000026960000}"/>
    <cellStyle name="Título 113" xfId="26866" xr:uid="{00000000-0005-0000-0000-000027960000}"/>
    <cellStyle name="Título 114" xfId="26867" xr:uid="{00000000-0005-0000-0000-000028960000}"/>
    <cellStyle name="Título 115" xfId="26868" xr:uid="{00000000-0005-0000-0000-000029960000}"/>
    <cellStyle name="Título 116" xfId="26869" xr:uid="{00000000-0005-0000-0000-00002A960000}"/>
    <cellStyle name="Título 117" xfId="26870" xr:uid="{00000000-0005-0000-0000-00002B960000}"/>
    <cellStyle name="Título 118" xfId="26871" xr:uid="{00000000-0005-0000-0000-00002C960000}"/>
    <cellStyle name="Título 119" xfId="26872" xr:uid="{00000000-0005-0000-0000-00002D960000}"/>
    <cellStyle name="Título 12" xfId="26873" xr:uid="{00000000-0005-0000-0000-00002E960000}"/>
    <cellStyle name="Título 120" xfId="26874" xr:uid="{00000000-0005-0000-0000-00002F960000}"/>
    <cellStyle name="Título 121" xfId="26875" xr:uid="{00000000-0005-0000-0000-000030960000}"/>
    <cellStyle name="Título 122" xfId="26876" xr:uid="{00000000-0005-0000-0000-000031960000}"/>
    <cellStyle name="Título 123" xfId="26877" xr:uid="{00000000-0005-0000-0000-000032960000}"/>
    <cellStyle name="Título 124" xfId="26878" xr:uid="{00000000-0005-0000-0000-000033960000}"/>
    <cellStyle name="Título 125" xfId="26879" xr:uid="{00000000-0005-0000-0000-000034960000}"/>
    <cellStyle name="Título 126" xfId="26880" xr:uid="{00000000-0005-0000-0000-000035960000}"/>
    <cellStyle name="Título 127" xfId="26881" xr:uid="{00000000-0005-0000-0000-000036960000}"/>
    <cellStyle name="Título 128" xfId="26882" xr:uid="{00000000-0005-0000-0000-000037960000}"/>
    <cellStyle name="Título 129" xfId="26883" xr:uid="{00000000-0005-0000-0000-000038960000}"/>
    <cellStyle name="Título 13" xfId="26884" xr:uid="{00000000-0005-0000-0000-000039960000}"/>
    <cellStyle name="Título 13 2" xfId="40875" xr:uid="{00000000-0005-0000-0000-00003A960000}"/>
    <cellStyle name="Título 130" xfId="26885" xr:uid="{00000000-0005-0000-0000-00003B960000}"/>
    <cellStyle name="Título 131" xfId="26886" xr:uid="{00000000-0005-0000-0000-00003C960000}"/>
    <cellStyle name="Título 132" xfId="26887" xr:uid="{00000000-0005-0000-0000-00003D960000}"/>
    <cellStyle name="Título 133" xfId="26888" xr:uid="{00000000-0005-0000-0000-00003E960000}"/>
    <cellStyle name="Título 134" xfId="26889" xr:uid="{00000000-0005-0000-0000-00003F960000}"/>
    <cellStyle name="Título 135" xfId="26890" xr:uid="{00000000-0005-0000-0000-000040960000}"/>
    <cellStyle name="Título 136" xfId="26891" xr:uid="{00000000-0005-0000-0000-000041960000}"/>
    <cellStyle name="Título 137" xfId="26892" xr:uid="{00000000-0005-0000-0000-000042960000}"/>
    <cellStyle name="Título 138" xfId="26893" xr:uid="{00000000-0005-0000-0000-000043960000}"/>
    <cellStyle name="Título 139" xfId="26894" xr:uid="{00000000-0005-0000-0000-000044960000}"/>
    <cellStyle name="Título 14" xfId="26895" xr:uid="{00000000-0005-0000-0000-000045960000}"/>
    <cellStyle name="Título 14 2" xfId="40876" xr:uid="{00000000-0005-0000-0000-000046960000}"/>
    <cellStyle name="Título 140" xfId="26896" xr:uid="{00000000-0005-0000-0000-000047960000}"/>
    <cellStyle name="Título 141" xfId="26897" xr:uid="{00000000-0005-0000-0000-000048960000}"/>
    <cellStyle name="Título 142" xfId="26898" xr:uid="{00000000-0005-0000-0000-000049960000}"/>
    <cellStyle name="Título 143" xfId="26899" xr:uid="{00000000-0005-0000-0000-00004A960000}"/>
    <cellStyle name="Título 144" xfId="26900" xr:uid="{00000000-0005-0000-0000-00004B960000}"/>
    <cellStyle name="Título 145" xfId="26901" xr:uid="{00000000-0005-0000-0000-00004C960000}"/>
    <cellStyle name="Título 146" xfId="26902" xr:uid="{00000000-0005-0000-0000-00004D960000}"/>
    <cellStyle name="Título 147" xfId="26903" xr:uid="{00000000-0005-0000-0000-00004E960000}"/>
    <cellStyle name="Título 148" xfId="26904" xr:uid="{00000000-0005-0000-0000-00004F960000}"/>
    <cellStyle name="Título 149" xfId="26905" xr:uid="{00000000-0005-0000-0000-000050960000}"/>
    <cellStyle name="Título 15" xfId="26906" xr:uid="{00000000-0005-0000-0000-000051960000}"/>
    <cellStyle name="Título 15 2" xfId="40877" xr:uid="{00000000-0005-0000-0000-000052960000}"/>
    <cellStyle name="Título 150" xfId="26907" xr:uid="{00000000-0005-0000-0000-000053960000}"/>
    <cellStyle name="Título 151" xfId="26908" xr:uid="{00000000-0005-0000-0000-000054960000}"/>
    <cellStyle name="Título 152" xfId="26909" xr:uid="{00000000-0005-0000-0000-000055960000}"/>
    <cellStyle name="Título 153" xfId="26910" xr:uid="{00000000-0005-0000-0000-000056960000}"/>
    <cellStyle name="Título 154" xfId="26911" xr:uid="{00000000-0005-0000-0000-000057960000}"/>
    <cellStyle name="Título 155" xfId="26912" xr:uid="{00000000-0005-0000-0000-000058960000}"/>
    <cellStyle name="Título 156" xfId="26913" xr:uid="{00000000-0005-0000-0000-000059960000}"/>
    <cellStyle name="Título 157" xfId="26914" xr:uid="{00000000-0005-0000-0000-00005A960000}"/>
    <cellStyle name="Título 158" xfId="26915" xr:uid="{00000000-0005-0000-0000-00005B960000}"/>
    <cellStyle name="Título 159" xfId="26916" xr:uid="{00000000-0005-0000-0000-00005C960000}"/>
    <cellStyle name="Título 16" xfId="26917" xr:uid="{00000000-0005-0000-0000-00005D960000}"/>
    <cellStyle name="Título 16 2" xfId="40878" xr:uid="{00000000-0005-0000-0000-00005E960000}"/>
    <cellStyle name="Título 160" xfId="26918" xr:uid="{00000000-0005-0000-0000-00005F960000}"/>
    <cellStyle name="Título 161" xfId="26919" xr:uid="{00000000-0005-0000-0000-000060960000}"/>
    <cellStyle name="Título 162" xfId="26920" xr:uid="{00000000-0005-0000-0000-000061960000}"/>
    <cellStyle name="Título 163" xfId="26921" xr:uid="{00000000-0005-0000-0000-000062960000}"/>
    <cellStyle name="Título 164" xfId="26922" xr:uid="{00000000-0005-0000-0000-000063960000}"/>
    <cellStyle name="Título 165" xfId="26923" xr:uid="{00000000-0005-0000-0000-000064960000}"/>
    <cellStyle name="Título 166" xfId="26924" xr:uid="{00000000-0005-0000-0000-000065960000}"/>
    <cellStyle name="Título 167" xfId="26925" xr:uid="{00000000-0005-0000-0000-000066960000}"/>
    <cellStyle name="Título 168" xfId="26926" xr:uid="{00000000-0005-0000-0000-000067960000}"/>
    <cellStyle name="Título 169" xfId="26927" xr:uid="{00000000-0005-0000-0000-000068960000}"/>
    <cellStyle name="Título 17" xfId="26928" xr:uid="{00000000-0005-0000-0000-000069960000}"/>
    <cellStyle name="Título 170" xfId="26929" xr:uid="{00000000-0005-0000-0000-00006A960000}"/>
    <cellStyle name="Título 171" xfId="26930" xr:uid="{00000000-0005-0000-0000-00006B960000}"/>
    <cellStyle name="Título 172" xfId="26931" xr:uid="{00000000-0005-0000-0000-00006C960000}"/>
    <cellStyle name="Título 173" xfId="26932" xr:uid="{00000000-0005-0000-0000-00006D960000}"/>
    <cellStyle name="Título 174" xfId="26933" xr:uid="{00000000-0005-0000-0000-00006E960000}"/>
    <cellStyle name="Título 175" xfId="26934" xr:uid="{00000000-0005-0000-0000-00006F960000}"/>
    <cellStyle name="Título 176" xfId="26935" xr:uid="{00000000-0005-0000-0000-000070960000}"/>
    <cellStyle name="Título 177" xfId="26936" xr:uid="{00000000-0005-0000-0000-000071960000}"/>
    <cellStyle name="Título 178" xfId="26937" xr:uid="{00000000-0005-0000-0000-000072960000}"/>
    <cellStyle name="Título 179" xfId="26938" xr:uid="{00000000-0005-0000-0000-000073960000}"/>
    <cellStyle name="Título 18" xfId="26939" xr:uid="{00000000-0005-0000-0000-000074960000}"/>
    <cellStyle name="Título 18 2" xfId="26940" xr:uid="{00000000-0005-0000-0000-000075960000}"/>
    <cellStyle name="Título 18 3" xfId="26941" xr:uid="{00000000-0005-0000-0000-000076960000}"/>
    <cellStyle name="Título 180" xfId="26942" xr:uid="{00000000-0005-0000-0000-000077960000}"/>
    <cellStyle name="Título 181" xfId="26943" xr:uid="{00000000-0005-0000-0000-000078960000}"/>
    <cellStyle name="Título 182" xfId="26944" xr:uid="{00000000-0005-0000-0000-000079960000}"/>
    <cellStyle name="Título 183" xfId="26945" xr:uid="{00000000-0005-0000-0000-00007A960000}"/>
    <cellStyle name="Título 184" xfId="26946" xr:uid="{00000000-0005-0000-0000-00007B960000}"/>
    <cellStyle name="Título 185" xfId="26947" xr:uid="{00000000-0005-0000-0000-00007C960000}"/>
    <cellStyle name="Título 186" xfId="26948" xr:uid="{00000000-0005-0000-0000-00007D960000}"/>
    <cellStyle name="Título 187" xfId="26949" xr:uid="{00000000-0005-0000-0000-00007E960000}"/>
    <cellStyle name="Título 188" xfId="26950" xr:uid="{00000000-0005-0000-0000-00007F960000}"/>
    <cellStyle name="Título 189" xfId="26951" xr:uid="{00000000-0005-0000-0000-000080960000}"/>
    <cellStyle name="Título 19" xfId="26952" xr:uid="{00000000-0005-0000-0000-000081960000}"/>
    <cellStyle name="Título 19 2" xfId="26953" xr:uid="{00000000-0005-0000-0000-000082960000}"/>
    <cellStyle name="Título 19 3" xfId="26954" xr:uid="{00000000-0005-0000-0000-000083960000}"/>
    <cellStyle name="Título 190" xfId="26955" xr:uid="{00000000-0005-0000-0000-000084960000}"/>
    <cellStyle name="Título 191" xfId="26956" xr:uid="{00000000-0005-0000-0000-000085960000}"/>
    <cellStyle name="Título 192" xfId="26957" xr:uid="{00000000-0005-0000-0000-000086960000}"/>
    <cellStyle name="Título 193" xfId="26958" xr:uid="{00000000-0005-0000-0000-000087960000}"/>
    <cellStyle name="Título 2 10" xfId="26959" xr:uid="{00000000-0005-0000-0000-000088960000}"/>
    <cellStyle name="Título 2 10 2" xfId="40879" xr:uid="{00000000-0005-0000-0000-000089960000}"/>
    <cellStyle name="Título 2 100" xfId="26960" xr:uid="{00000000-0005-0000-0000-00008A960000}"/>
    <cellStyle name="Título 2 101" xfId="26961" xr:uid="{00000000-0005-0000-0000-00008B960000}"/>
    <cellStyle name="Título 2 102" xfId="26962" xr:uid="{00000000-0005-0000-0000-00008C960000}"/>
    <cellStyle name="Título 2 103" xfId="26963" xr:uid="{00000000-0005-0000-0000-00008D960000}"/>
    <cellStyle name="Título 2 104" xfId="26964" xr:uid="{00000000-0005-0000-0000-00008E960000}"/>
    <cellStyle name="Título 2 105" xfId="26965" xr:uid="{00000000-0005-0000-0000-00008F960000}"/>
    <cellStyle name="Título 2 106" xfId="26966" xr:uid="{00000000-0005-0000-0000-000090960000}"/>
    <cellStyle name="Título 2 107" xfId="26967" xr:uid="{00000000-0005-0000-0000-000091960000}"/>
    <cellStyle name="Título 2 108" xfId="26968" xr:uid="{00000000-0005-0000-0000-000092960000}"/>
    <cellStyle name="Título 2 109" xfId="26969" xr:uid="{00000000-0005-0000-0000-000093960000}"/>
    <cellStyle name="Título 2 11" xfId="26970" xr:uid="{00000000-0005-0000-0000-000094960000}"/>
    <cellStyle name="Título 2 11 2" xfId="40880" xr:uid="{00000000-0005-0000-0000-000095960000}"/>
    <cellStyle name="Título 2 110" xfId="26971" xr:uid="{00000000-0005-0000-0000-000096960000}"/>
    <cellStyle name="Título 2 111" xfId="26972" xr:uid="{00000000-0005-0000-0000-000097960000}"/>
    <cellStyle name="Título 2 112" xfId="26973" xr:uid="{00000000-0005-0000-0000-000098960000}"/>
    <cellStyle name="Título 2 113" xfId="26974" xr:uid="{00000000-0005-0000-0000-000099960000}"/>
    <cellStyle name="Título 2 114" xfId="26975" xr:uid="{00000000-0005-0000-0000-00009A960000}"/>
    <cellStyle name="Título 2 115" xfId="26976" xr:uid="{00000000-0005-0000-0000-00009B960000}"/>
    <cellStyle name="Título 2 116" xfId="26977" xr:uid="{00000000-0005-0000-0000-00009C960000}"/>
    <cellStyle name="Título 2 117" xfId="26978" xr:uid="{00000000-0005-0000-0000-00009D960000}"/>
    <cellStyle name="Título 2 118" xfId="26979" xr:uid="{00000000-0005-0000-0000-00009E960000}"/>
    <cellStyle name="Título 2 119" xfId="26980" xr:uid="{00000000-0005-0000-0000-00009F960000}"/>
    <cellStyle name="Título 2 12" xfId="26981" xr:uid="{00000000-0005-0000-0000-0000A0960000}"/>
    <cellStyle name="Título 2 12 2" xfId="40881" xr:uid="{00000000-0005-0000-0000-0000A1960000}"/>
    <cellStyle name="Título 2 120" xfId="26982" xr:uid="{00000000-0005-0000-0000-0000A2960000}"/>
    <cellStyle name="Título 2 121" xfId="26983" xr:uid="{00000000-0005-0000-0000-0000A3960000}"/>
    <cellStyle name="Título 2 122" xfId="26984" xr:uid="{00000000-0005-0000-0000-0000A4960000}"/>
    <cellStyle name="Título 2 123" xfId="26985" xr:uid="{00000000-0005-0000-0000-0000A5960000}"/>
    <cellStyle name="Título 2 124" xfId="26986" xr:uid="{00000000-0005-0000-0000-0000A6960000}"/>
    <cellStyle name="Título 2 125" xfId="26987" xr:uid="{00000000-0005-0000-0000-0000A7960000}"/>
    <cellStyle name="Título 2 126" xfId="26988" xr:uid="{00000000-0005-0000-0000-0000A8960000}"/>
    <cellStyle name="Título 2 127" xfId="26989" xr:uid="{00000000-0005-0000-0000-0000A9960000}"/>
    <cellStyle name="Título 2 128" xfId="26990" xr:uid="{00000000-0005-0000-0000-0000AA960000}"/>
    <cellStyle name="Título 2 129" xfId="26991" xr:uid="{00000000-0005-0000-0000-0000AB960000}"/>
    <cellStyle name="Título 2 13" xfId="26992" xr:uid="{00000000-0005-0000-0000-0000AC960000}"/>
    <cellStyle name="Título 2 13 2" xfId="40882" xr:uid="{00000000-0005-0000-0000-0000AD960000}"/>
    <cellStyle name="Título 2 130" xfId="26993" xr:uid="{00000000-0005-0000-0000-0000AE960000}"/>
    <cellStyle name="Título 2 131" xfId="26994" xr:uid="{00000000-0005-0000-0000-0000AF960000}"/>
    <cellStyle name="Título 2 132" xfId="26995" xr:uid="{00000000-0005-0000-0000-0000B0960000}"/>
    <cellStyle name="Título 2 133" xfId="26996" xr:uid="{00000000-0005-0000-0000-0000B1960000}"/>
    <cellStyle name="Título 2 134" xfId="26997" xr:uid="{00000000-0005-0000-0000-0000B2960000}"/>
    <cellStyle name="Título 2 135" xfId="26998" xr:uid="{00000000-0005-0000-0000-0000B3960000}"/>
    <cellStyle name="Título 2 136" xfId="26999" xr:uid="{00000000-0005-0000-0000-0000B4960000}"/>
    <cellStyle name="Título 2 137" xfId="27000" xr:uid="{00000000-0005-0000-0000-0000B5960000}"/>
    <cellStyle name="Título 2 138" xfId="27001" xr:uid="{00000000-0005-0000-0000-0000B6960000}"/>
    <cellStyle name="Título 2 139" xfId="27002" xr:uid="{00000000-0005-0000-0000-0000B7960000}"/>
    <cellStyle name="Título 2 14" xfId="27003" xr:uid="{00000000-0005-0000-0000-0000B8960000}"/>
    <cellStyle name="Título 2 140" xfId="27004" xr:uid="{00000000-0005-0000-0000-0000B9960000}"/>
    <cellStyle name="Título 2 141" xfId="27005" xr:uid="{00000000-0005-0000-0000-0000BA960000}"/>
    <cellStyle name="Título 2 142" xfId="27006" xr:uid="{00000000-0005-0000-0000-0000BB960000}"/>
    <cellStyle name="Título 2 143" xfId="27007" xr:uid="{00000000-0005-0000-0000-0000BC960000}"/>
    <cellStyle name="Título 2 144" xfId="27008" xr:uid="{00000000-0005-0000-0000-0000BD960000}"/>
    <cellStyle name="Título 2 145" xfId="27009" xr:uid="{00000000-0005-0000-0000-0000BE960000}"/>
    <cellStyle name="Título 2 146" xfId="27010" xr:uid="{00000000-0005-0000-0000-0000BF960000}"/>
    <cellStyle name="Título 2 147" xfId="27011" xr:uid="{00000000-0005-0000-0000-0000C0960000}"/>
    <cellStyle name="Título 2 148" xfId="27012" xr:uid="{00000000-0005-0000-0000-0000C1960000}"/>
    <cellStyle name="Título 2 149" xfId="27013" xr:uid="{00000000-0005-0000-0000-0000C2960000}"/>
    <cellStyle name="Título 2 15" xfId="27014" xr:uid="{00000000-0005-0000-0000-0000C3960000}"/>
    <cellStyle name="Título 2 15 2" xfId="27015" xr:uid="{00000000-0005-0000-0000-0000C4960000}"/>
    <cellStyle name="Título 2 15 3" xfId="27016" xr:uid="{00000000-0005-0000-0000-0000C5960000}"/>
    <cellStyle name="Título 2 150" xfId="27017" xr:uid="{00000000-0005-0000-0000-0000C6960000}"/>
    <cellStyle name="Título 2 151" xfId="27018" xr:uid="{00000000-0005-0000-0000-0000C7960000}"/>
    <cellStyle name="Título 2 152" xfId="27019" xr:uid="{00000000-0005-0000-0000-0000C8960000}"/>
    <cellStyle name="Título 2 153" xfId="27020" xr:uid="{00000000-0005-0000-0000-0000C9960000}"/>
    <cellStyle name="Título 2 154" xfId="27021" xr:uid="{00000000-0005-0000-0000-0000CA960000}"/>
    <cellStyle name="Título 2 155" xfId="27022" xr:uid="{00000000-0005-0000-0000-0000CB960000}"/>
    <cellStyle name="Título 2 156" xfId="27023" xr:uid="{00000000-0005-0000-0000-0000CC960000}"/>
    <cellStyle name="Título 2 157" xfId="27024" xr:uid="{00000000-0005-0000-0000-0000CD960000}"/>
    <cellStyle name="Título 2 158" xfId="27025" xr:uid="{00000000-0005-0000-0000-0000CE960000}"/>
    <cellStyle name="Título 2 159" xfId="27026" xr:uid="{00000000-0005-0000-0000-0000CF960000}"/>
    <cellStyle name="Título 2 16" xfId="27027" xr:uid="{00000000-0005-0000-0000-0000D0960000}"/>
    <cellStyle name="Título 2 16 2" xfId="27028" xr:uid="{00000000-0005-0000-0000-0000D1960000}"/>
    <cellStyle name="Título 2 16 3" xfId="27029" xr:uid="{00000000-0005-0000-0000-0000D2960000}"/>
    <cellStyle name="Título 2 160" xfId="27030" xr:uid="{00000000-0005-0000-0000-0000D3960000}"/>
    <cellStyle name="Título 2 161" xfId="27031" xr:uid="{00000000-0005-0000-0000-0000D4960000}"/>
    <cellStyle name="Título 2 162" xfId="27032" xr:uid="{00000000-0005-0000-0000-0000D5960000}"/>
    <cellStyle name="Título 2 163" xfId="27033" xr:uid="{00000000-0005-0000-0000-0000D6960000}"/>
    <cellStyle name="Título 2 164" xfId="27034" xr:uid="{00000000-0005-0000-0000-0000D7960000}"/>
    <cellStyle name="Título 2 165" xfId="27035" xr:uid="{00000000-0005-0000-0000-0000D8960000}"/>
    <cellStyle name="Título 2 166" xfId="27036" xr:uid="{00000000-0005-0000-0000-0000D9960000}"/>
    <cellStyle name="Título 2 167" xfId="27037" xr:uid="{00000000-0005-0000-0000-0000DA960000}"/>
    <cellStyle name="Título 2 168" xfId="27038" xr:uid="{00000000-0005-0000-0000-0000DB960000}"/>
    <cellStyle name="Título 2 169" xfId="27039" xr:uid="{00000000-0005-0000-0000-0000DC960000}"/>
    <cellStyle name="Título 2 17" xfId="27040" xr:uid="{00000000-0005-0000-0000-0000DD960000}"/>
    <cellStyle name="Título 2 17 2" xfId="27041" xr:uid="{00000000-0005-0000-0000-0000DE960000}"/>
    <cellStyle name="Título 2 17 3" xfId="27042" xr:uid="{00000000-0005-0000-0000-0000DF960000}"/>
    <cellStyle name="Título 2 170" xfId="27043" xr:uid="{00000000-0005-0000-0000-0000E0960000}"/>
    <cellStyle name="Título 2 171" xfId="27044" xr:uid="{00000000-0005-0000-0000-0000E1960000}"/>
    <cellStyle name="Título 2 172" xfId="27045" xr:uid="{00000000-0005-0000-0000-0000E2960000}"/>
    <cellStyle name="Título 2 173" xfId="27046" xr:uid="{00000000-0005-0000-0000-0000E3960000}"/>
    <cellStyle name="Título 2 174" xfId="27047" xr:uid="{00000000-0005-0000-0000-0000E4960000}"/>
    <cellStyle name="Título 2 175" xfId="27048" xr:uid="{00000000-0005-0000-0000-0000E5960000}"/>
    <cellStyle name="Título 2 176" xfId="27049" xr:uid="{00000000-0005-0000-0000-0000E6960000}"/>
    <cellStyle name="Título 2 177" xfId="27050" xr:uid="{00000000-0005-0000-0000-0000E7960000}"/>
    <cellStyle name="Título 2 178" xfId="27051" xr:uid="{00000000-0005-0000-0000-0000E8960000}"/>
    <cellStyle name="Título 2 179" xfId="27052" xr:uid="{00000000-0005-0000-0000-0000E9960000}"/>
    <cellStyle name="Título 2 18" xfId="27053" xr:uid="{00000000-0005-0000-0000-0000EA960000}"/>
    <cellStyle name="Título 2 18 2" xfId="27054" xr:uid="{00000000-0005-0000-0000-0000EB960000}"/>
    <cellStyle name="Título 2 18 3" xfId="27055" xr:uid="{00000000-0005-0000-0000-0000EC960000}"/>
    <cellStyle name="Título 2 180" xfId="27056" xr:uid="{00000000-0005-0000-0000-0000ED960000}"/>
    <cellStyle name="Título 2 181" xfId="27057" xr:uid="{00000000-0005-0000-0000-0000EE960000}"/>
    <cellStyle name="Título 2 182" xfId="27058" xr:uid="{00000000-0005-0000-0000-0000EF960000}"/>
    <cellStyle name="Título 2 183" xfId="27059" xr:uid="{00000000-0005-0000-0000-0000F0960000}"/>
    <cellStyle name="Título 2 184" xfId="27060" xr:uid="{00000000-0005-0000-0000-0000F1960000}"/>
    <cellStyle name="Título 2 185" xfId="27061" xr:uid="{00000000-0005-0000-0000-0000F2960000}"/>
    <cellStyle name="Título 2 186" xfId="27062" xr:uid="{00000000-0005-0000-0000-0000F3960000}"/>
    <cellStyle name="Título 2 187" xfId="27063" xr:uid="{00000000-0005-0000-0000-0000F4960000}"/>
    <cellStyle name="Título 2 188" xfId="27064" xr:uid="{00000000-0005-0000-0000-0000F5960000}"/>
    <cellStyle name="Título 2 189" xfId="27065" xr:uid="{00000000-0005-0000-0000-0000F6960000}"/>
    <cellStyle name="Título 2 19" xfId="27066" xr:uid="{00000000-0005-0000-0000-0000F7960000}"/>
    <cellStyle name="Título 2 19 2" xfId="27067" xr:uid="{00000000-0005-0000-0000-0000F8960000}"/>
    <cellStyle name="Título 2 19 3" xfId="27068" xr:uid="{00000000-0005-0000-0000-0000F9960000}"/>
    <cellStyle name="Título 2 190" xfId="27069" xr:uid="{00000000-0005-0000-0000-0000FA960000}"/>
    <cellStyle name="Título 2 2" xfId="27070" xr:uid="{00000000-0005-0000-0000-0000FB960000}"/>
    <cellStyle name="Título 2 2 10" xfId="27071" xr:uid="{00000000-0005-0000-0000-0000FC960000}"/>
    <cellStyle name="Título 2 2 10 2" xfId="27072" xr:uid="{00000000-0005-0000-0000-0000FD960000}"/>
    <cellStyle name="Título 2 2 10 3" xfId="27073" xr:uid="{00000000-0005-0000-0000-0000FE960000}"/>
    <cellStyle name="Título 2 2 10 4" xfId="27074" xr:uid="{00000000-0005-0000-0000-0000FF960000}"/>
    <cellStyle name="Título 2 2 10 5" xfId="27075" xr:uid="{00000000-0005-0000-0000-000000970000}"/>
    <cellStyle name="Título 2 2 10 6" xfId="27076" xr:uid="{00000000-0005-0000-0000-000001970000}"/>
    <cellStyle name="Título 2 2 10 7" xfId="27077" xr:uid="{00000000-0005-0000-0000-000002970000}"/>
    <cellStyle name="Título 2 2 11" xfId="27078" xr:uid="{00000000-0005-0000-0000-000003970000}"/>
    <cellStyle name="Título 2 2 11 2" xfId="27079" xr:uid="{00000000-0005-0000-0000-000004970000}"/>
    <cellStyle name="Título 2 2 11 3" xfId="27080" xr:uid="{00000000-0005-0000-0000-000005970000}"/>
    <cellStyle name="Título 2 2 11 4" xfId="27081" xr:uid="{00000000-0005-0000-0000-000006970000}"/>
    <cellStyle name="Título 2 2 11 5" xfId="27082" xr:uid="{00000000-0005-0000-0000-000007970000}"/>
    <cellStyle name="Título 2 2 11 6" xfId="27083" xr:uid="{00000000-0005-0000-0000-000008970000}"/>
    <cellStyle name="Título 2 2 11 7" xfId="27084" xr:uid="{00000000-0005-0000-0000-000009970000}"/>
    <cellStyle name="Título 2 2 12" xfId="27085" xr:uid="{00000000-0005-0000-0000-00000A970000}"/>
    <cellStyle name="Título 2 2 13" xfId="27086" xr:uid="{00000000-0005-0000-0000-00000B970000}"/>
    <cellStyle name="Título 2 2 14" xfId="27087" xr:uid="{00000000-0005-0000-0000-00000C970000}"/>
    <cellStyle name="Título 2 2 15" xfId="27088" xr:uid="{00000000-0005-0000-0000-00000D970000}"/>
    <cellStyle name="Título 2 2 16" xfId="27089" xr:uid="{00000000-0005-0000-0000-00000E970000}"/>
    <cellStyle name="Título 2 2 17" xfId="27090" xr:uid="{00000000-0005-0000-0000-00000F970000}"/>
    <cellStyle name="Título 2 2 18" xfId="27091" xr:uid="{00000000-0005-0000-0000-000010970000}"/>
    <cellStyle name="Título 2 2 19" xfId="27092" xr:uid="{00000000-0005-0000-0000-000011970000}"/>
    <cellStyle name="Título 2 2 2" xfId="27093" xr:uid="{00000000-0005-0000-0000-000012970000}"/>
    <cellStyle name="Título 2 2 20" xfId="27094" xr:uid="{00000000-0005-0000-0000-000013970000}"/>
    <cellStyle name="Título 2 2 21" xfId="27095" xr:uid="{00000000-0005-0000-0000-000014970000}"/>
    <cellStyle name="Título 2 2 22" xfId="27096" xr:uid="{00000000-0005-0000-0000-000015970000}"/>
    <cellStyle name="Título 2 2 23" xfId="27097" xr:uid="{00000000-0005-0000-0000-000016970000}"/>
    <cellStyle name="Título 2 2 24" xfId="27098" xr:uid="{00000000-0005-0000-0000-000017970000}"/>
    <cellStyle name="Título 2 2 25" xfId="27099" xr:uid="{00000000-0005-0000-0000-000018970000}"/>
    <cellStyle name="Título 2 2 26" xfId="27100" xr:uid="{00000000-0005-0000-0000-000019970000}"/>
    <cellStyle name="Título 2 2 27" xfId="27101" xr:uid="{00000000-0005-0000-0000-00001A970000}"/>
    <cellStyle name="Título 2 2 28" xfId="27102" xr:uid="{00000000-0005-0000-0000-00001B970000}"/>
    <cellStyle name="Título 2 2 29" xfId="27103" xr:uid="{00000000-0005-0000-0000-00001C970000}"/>
    <cellStyle name="Título 2 2 3" xfId="27104" xr:uid="{00000000-0005-0000-0000-00001D970000}"/>
    <cellStyle name="Título 2 2 30" xfId="27105" xr:uid="{00000000-0005-0000-0000-00001E970000}"/>
    <cellStyle name="Título 2 2 31" xfId="27106" xr:uid="{00000000-0005-0000-0000-00001F970000}"/>
    <cellStyle name="Título 2 2 32" xfId="27107" xr:uid="{00000000-0005-0000-0000-000020970000}"/>
    <cellStyle name="Título 2 2 33" xfId="27108" xr:uid="{00000000-0005-0000-0000-000021970000}"/>
    <cellStyle name="Título 2 2 34" xfId="27109" xr:uid="{00000000-0005-0000-0000-000022970000}"/>
    <cellStyle name="Título 2 2 35" xfId="27110" xr:uid="{00000000-0005-0000-0000-000023970000}"/>
    <cellStyle name="Título 2 2 4" xfId="27111" xr:uid="{00000000-0005-0000-0000-000024970000}"/>
    <cellStyle name="Título 2 2 5" xfId="27112" xr:uid="{00000000-0005-0000-0000-000025970000}"/>
    <cellStyle name="Título 2 2 6" xfId="27113" xr:uid="{00000000-0005-0000-0000-000026970000}"/>
    <cellStyle name="Título 2 2 7" xfId="27114" xr:uid="{00000000-0005-0000-0000-000027970000}"/>
    <cellStyle name="Título 2 2 8" xfId="27115" xr:uid="{00000000-0005-0000-0000-000028970000}"/>
    <cellStyle name="Título 2 2 8 2" xfId="27116" xr:uid="{00000000-0005-0000-0000-000029970000}"/>
    <cellStyle name="Título 2 2 8 3" xfId="27117" xr:uid="{00000000-0005-0000-0000-00002A970000}"/>
    <cellStyle name="Título 2 2 8 4" xfId="27118" xr:uid="{00000000-0005-0000-0000-00002B970000}"/>
    <cellStyle name="Título 2 2 8 5" xfId="27119" xr:uid="{00000000-0005-0000-0000-00002C970000}"/>
    <cellStyle name="Título 2 2 8 6" xfId="27120" xr:uid="{00000000-0005-0000-0000-00002D970000}"/>
    <cellStyle name="Título 2 2 8 7" xfId="27121" xr:uid="{00000000-0005-0000-0000-00002E970000}"/>
    <cellStyle name="Título 2 2 9" xfId="27122" xr:uid="{00000000-0005-0000-0000-00002F970000}"/>
    <cellStyle name="Título 2 2 9 2" xfId="27123" xr:uid="{00000000-0005-0000-0000-000030970000}"/>
    <cellStyle name="Título 2 2 9 3" xfId="27124" xr:uid="{00000000-0005-0000-0000-000031970000}"/>
    <cellStyle name="Título 2 2 9 4" xfId="27125" xr:uid="{00000000-0005-0000-0000-000032970000}"/>
    <cellStyle name="Título 2 2 9 5" xfId="27126" xr:uid="{00000000-0005-0000-0000-000033970000}"/>
    <cellStyle name="Título 2 2 9 6" xfId="27127" xr:uid="{00000000-0005-0000-0000-000034970000}"/>
    <cellStyle name="Título 2 2 9 7" xfId="27128" xr:uid="{00000000-0005-0000-0000-000035970000}"/>
    <cellStyle name="Título 2 20" xfId="27129" xr:uid="{00000000-0005-0000-0000-000036970000}"/>
    <cellStyle name="Título 2 20 2" xfId="27130" xr:uid="{00000000-0005-0000-0000-000037970000}"/>
    <cellStyle name="Título 2 20 3" xfId="27131" xr:uid="{00000000-0005-0000-0000-000038970000}"/>
    <cellStyle name="Título 2 21" xfId="27132" xr:uid="{00000000-0005-0000-0000-000039970000}"/>
    <cellStyle name="Título 2 22" xfId="27133" xr:uid="{00000000-0005-0000-0000-00003A970000}"/>
    <cellStyle name="Título 2 23" xfId="27134" xr:uid="{00000000-0005-0000-0000-00003B970000}"/>
    <cellStyle name="Título 2 24" xfId="27135" xr:uid="{00000000-0005-0000-0000-00003C970000}"/>
    <cellStyle name="Título 2 24 2" xfId="40960" xr:uid="{00000000-0005-0000-0000-00003D970000}"/>
    <cellStyle name="Título 2 25" xfId="27136" xr:uid="{00000000-0005-0000-0000-00003E970000}"/>
    <cellStyle name="Título 2 25 2" xfId="40995" xr:uid="{00000000-0005-0000-0000-00003F970000}"/>
    <cellStyle name="Título 2 26" xfId="27137" xr:uid="{00000000-0005-0000-0000-000040970000}"/>
    <cellStyle name="Título 2 26 10" xfId="27138" xr:uid="{00000000-0005-0000-0000-000041970000}"/>
    <cellStyle name="Título 2 26 11" xfId="27139" xr:uid="{00000000-0005-0000-0000-000042970000}"/>
    <cellStyle name="Título 2 26 12" xfId="27140" xr:uid="{00000000-0005-0000-0000-000043970000}"/>
    <cellStyle name="Título 2 26 13" xfId="27141" xr:uid="{00000000-0005-0000-0000-000044970000}"/>
    <cellStyle name="Título 2 26 14" xfId="27142" xr:uid="{00000000-0005-0000-0000-000045970000}"/>
    <cellStyle name="Título 2 26 15" xfId="27143" xr:uid="{00000000-0005-0000-0000-000046970000}"/>
    <cellStyle name="Título 2 26 16" xfId="27144" xr:uid="{00000000-0005-0000-0000-000047970000}"/>
    <cellStyle name="Título 2 26 2" xfId="27145" xr:uid="{00000000-0005-0000-0000-000048970000}"/>
    <cellStyle name="Título 2 26 3" xfId="27146" xr:uid="{00000000-0005-0000-0000-000049970000}"/>
    <cellStyle name="Título 2 26 4" xfId="27147" xr:uid="{00000000-0005-0000-0000-00004A970000}"/>
    <cellStyle name="Título 2 26 5" xfId="27148" xr:uid="{00000000-0005-0000-0000-00004B970000}"/>
    <cellStyle name="Título 2 26 6" xfId="27149" xr:uid="{00000000-0005-0000-0000-00004C970000}"/>
    <cellStyle name="Título 2 26 7" xfId="27150" xr:uid="{00000000-0005-0000-0000-00004D970000}"/>
    <cellStyle name="Título 2 26 8" xfId="27151" xr:uid="{00000000-0005-0000-0000-00004E970000}"/>
    <cellStyle name="Título 2 26 9" xfId="27152" xr:uid="{00000000-0005-0000-0000-00004F970000}"/>
    <cellStyle name="Título 2 27" xfId="27153" xr:uid="{00000000-0005-0000-0000-000050970000}"/>
    <cellStyle name="Título 2 27 10" xfId="27154" xr:uid="{00000000-0005-0000-0000-000051970000}"/>
    <cellStyle name="Título 2 27 11" xfId="27155" xr:uid="{00000000-0005-0000-0000-000052970000}"/>
    <cellStyle name="Título 2 27 12" xfId="27156" xr:uid="{00000000-0005-0000-0000-000053970000}"/>
    <cellStyle name="Título 2 27 13" xfId="27157" xr:uid="{00000000-0005-0000-0000-000054970000}"/>
    <cellStyle name="Título 2 27 14" xfId="27158" xr:uid="{00000000-0005-0000-0000-000055970000}"/>
    <cellStyle name="Título 2 27 15" xfId="27159" xr:uid="{00000000-0005-0000-0000-000056970000}"/>
    <cellStyle name="Título 2 27 16" xfId="27160" xr:uid="{00000000-0005-0000-0000-000057970000}"/>
    <cellStyle name="Título 2 27 2" xfId="27161" xr:uid="{00000000-0005-0000-0000-000058970000}"/>
    <cellStyle name="Título 2 27 3" xfId="27162" xr:uid="{00000000-0005-0000-0000-000059970000}"/>
    <cellStyle name="Título 2 27 4" xfId="27163" xr:uid="{00000000-0005-0000-0000-00005A970000}"/>
    <cellStyle name="Título 2 27 5" xfId="27164" xr:uid="{00000000-0005-0000-0000-00005B970000}"/>
    <cellStyle name="Título 2 27 6" xfId="27165" xr:uid="{00000000-0005-0000-0000-00005C970000}"/>
    <cellStyle name="Título 2 27 7" xfId="27166" xr:uid="{00000000-0005-0000-0000-00005D970000}"/>
    <cellStyle name="Título 2 27 8" xfId="27167" xr:uid="{00000000-0005-0000-0000-00005E970000}"/>
    <cellStyle name="Título 2 27 9" xfId="27168" xr:uid="{00000000-0005-0000-0000-00005F970000}"/>
    <cellStyle name="Título 2 28" xfId="27169" xr:uid="{00000000-0005-0000-0000-000060970000}"/>
    <cellStyle name="Título 2 28 10" xfId="27170" xr:uid="{00000000-0005-0000-0000-000061970000}"/>
    <cellStyle name="Título 2 28 11" xfId="27171" xr:uid="{00000000-0005-0000-0000-000062970000}"/>
    <cellStyle name="Título 2 28 12" xfId="27172" xr:uid="{00000000-0005-0000-0000-000063970000}"/>
    <cellStyle name="Título 2 28 13" xfId="27173" xr:uid="{00000000-0005-0000-0000-000064970000}"/>
    <cellStyle name="Título 2 28 14" xfId="27174" xr:uid="{00000000-0005-0000-0000-000065970000}"/>
    <cellStyle name="Título 2 28 15" xfId="27175" xr:uid="{00000000-0005-0000-0000-000066970000}"/>
    <cellStyle name="Título 2 28 16" xfId="27176" xr:uid="{00000000-0005-0000-0000-000067970000}"/>
    <cellStyle name="Título 2 28 2" xfId="27177" xr:uid="{00000000-0005-0000-0000-000068970000}"/>
    <cellStyle name="Título 2 28 3" xfId="27178" xr:uid="{00000000-0005-0000-0000-000069970000}"/>
    <cellStyle name="Título 2 28 4" xfId="27179" xr:uid="{00000000-0005-0000-0000-00006A970000}"/>
    <cellStyle name="Título 2 28 5" xfId="27180" xr:uid="{00000000-0005-0000-0000-00006B970000}"/>
    <cellStyle name="Título 2 28 6" xfId="27181" xr:uid="{00000000-0005-0000-0000-00006C970000}"/>
    <cellStyle name="Título 2 28 7" xfId="27182" xr:uid="{00000000-0005-0000-0000-00006D970000}"/>
    <cellStyle name="Título 2 28 8" xfId="27183" xr:uid="{00000000-0005-0000-0000-00006E970000}"/>
    <cellStyle name="Título 2 28 9" xfId="27184" xr:uid="{00000000-0005-0000-0000-00006F970000}"/>
    <cellStyle name="Título 2 29" xfId="27185" xr:uid="{00000000-0005-0000-0000-000070970000}"/>
    <cellStyle name="Título 2 29 10" xfId="27186" xr:uid="{00000000-0005-0000-0000-000071970000}"/>
    <cellStyle name="Título 2 29 11" xfId="27187" xr:uid="{00000000-0005-0000-0000-000072970000}"/>
    <cellStyle name="Título 2 29 12" xfId="27188" xr:uid="{00000000-0005-0000-0000-000073970000}"/>
    <cellStyle name="Título 2 29 13" xfId="27189" xr:uid="{00000000-0005-0000-0000-000074970000}"/>
    <cellStyle name="Título 2 29 14" xfId="27190" xr:uid="{00000000-0005-0000-0000-000075970000}"/>
    <cellStyle name="Título 2 29 15" xfId="27191" xr:uid="{00000000-0005-0000-0000-000076970000}"/>
    <cellStyle name="Título 2 29 16" xfId="27192" xr:uid="{00000000-0005-0000-0000-000077970000}"/>
    <cellStyle name="Título 2 29 2" xfId="27193" xr:uid="{00000000-0005-0000-0000-000078970000}"/>
    <cellStyle name="Título 2 29 3" xfId="27194" xr:uid="{00000000-0005-0000-0000-000079970000}"/>
    <cellStyle name="Título 2 29 4" xfId="27195" xr:uid="{00000000-0005-0000-0000-00007A970000}"/>
    <cellStyle name="Título 2 29 5" xfId="27196" xr:uid="{00000000-0005-0000-0000-00007B970000}"/>
    <cellStyle name="Título 2 29 6" xfId="27197" xr:uid="{00000000-0005-0000-0000-00007C970000}"/>
    <cellStyle name="Título 2 29 7" xfId="27198" xr:uid="{00000000-0005-0000-0000-00007D970000}"/>
    <cellStyle name="Título 2 29 8" xfId="27199" xr:uid="{00000000-0005-0000-0000-00007E970000}"/>
    <cellStyle name="Título 2 29 9" xfId="27200" xr:uid="{00000000-0005-0000-0000-00007F970000}"/>
    <cellStyle name="Título 2 3" xfId="27201" xr:uid="{00000000-0005-0000-0000-000080970000}"/>
    <cellStyle name="Título 2 3 10" xfId="27202" xr:uid="{00000000-0005-0000-0000-000081970000}"/>
    <cellStyle name="Título 2 3 11" xfId="27203" xr:uid="{00000000-0005-0000-0000-000082970000}"/>
    <cellStyle name="Título 2 3 2" xfId="27204" xr:uid="{00000000-0005-0000-0000-000083970000}"/>
    <cellStyle name="Título 2 3 3" xfId="27205" xr:uid="{00000000-0005-0000-0000-000084970000}"/>
    <cellStyle name="Título 2 3 4" xfId="27206" xr:uid="{00000000-0005-0000-0000-000085970000}"/>
    <cellStyle name="Título 2 3 5" xfId="27207" xr:uid="{00000000-0005-0000-0000-000086970000}"/>
    <cellStyle name="Título 2 3 6" xfId="27208" xr:uid="{00000000-0005-0000-0000-000087970000}"/>
    <cellStyle name="Título 2 3 7" xfId="27209" xr:uid="{00000000-0005-0000-0000-000088970000}"/>
    <cellStyle name="Título 2 3 8" xfId="27210" xr:uid="{00000000-0005-0000-0000-000089970000}"/>
    <cellStyle name="Título 2 3 9" xfId="27211" xr:uid="{00000000-0005-0000-0000-00008A970000}"/>
    <cellStyle name="Título 2 30" xfId="27212" xr:uid="{00000000-0005-0000-0000-00008B970000}"/>
    <cellStyle name="Título 2 31" xfId="27213" xr:uid="{00000000-0005-0000-0000-00008C970000}"/>
    <cellStyle name="Título 2 32" xfId="27214" xr:uid="{00000000-0005-0000-0000-00008D970000}"/>
    <cellStyle name="Título 2 33" xfId="27215" xr:uid="{00000000-0005-0000-0000-00008E970000}"/>
    <cellStyle name="Título 2 34" xfId="27216" xr:uid="{00000000-0005-0000-0000-00008F970000}"/>
    <cellStyle name="Título 2 35" xfId="27217" xr:uid="{00000000-0005-0000-0000-000090970000}"/>
    <cellStyle name="Título 2 36" xfId="27218" xr:uid="{00000000-0005-0000-0000-000091970000}"/>
    <cellStyle name="Título 2 37" xfId="27219" xr:uid="{00000000-0005-0000-0000-000092970000}"/>
    <cellStyle name="Título 2 38" xfId="27220" xr:uid="{00000000-0005-0000-0000-000093970000}"/>
    <cellStyle name="Título 2 39" xfId="27221" xr:uid="{00000000-0005-0000-0000-000094970000}"/>
    <cellStyle name="Título 2 4" xfId="27222" xr:uid="{00000000-0005-0000-0000-000095970000}"/>
    <cellStyle name="Título 2 4 10" xfId="27223" xr:uid="{00000000-0005-0000-0000-000096970000}"/>
    <cellStyle name="Título 2 4 11" xfId="27224" xr:uid="{00000000-0005-0000-0000-000097970000}"/>
    <cellStyle name="Título 2 4 2" xfId="27225" xr:uid="{00000000-0005-0000-0000-000098970000}"/>
    <cellStyle name="Título 2 4 3" xfId="27226" xr:uid="{00000000-0005-0000-0000-000099970000}"/>
    <cellStyle name="Título 2 4 4" xfId="27227" xr:uid="{00000000-0005-0000-0000-00009A970000}"/>
    <cellStyle name="Título 2 4 5" xfId="27228" xr:uid="{00000000-0005-0000-0000-00009B970000}"/>
    <cellStyle name="Título 2 4 6" xfId="27229" xr:uid="{00000000-0005-0000-0000-00009C970000}"/>
    <cellStyle name="Título 2 4 7" xfId="27230" xr:uid="{00000000-0005-0000-0000-00009D970000}"/>
    <cellStyle name="Título 2 4 8" xfId="27231" xr:uid="{00000000-0005-0000-0000-00009E970000}"/>
    <cellStyle name="Título 2 4 9" xfId="27232" xr:uid="{00000000-0005-0000-0000-00009F970000}"/>
    <cellStyle name="Título 2 40" xfId="27233" xr:uid="{00000000-0005-0000-0000-0000A0970000}"/>
    <cellStyle name="Título 2 41" xfId="27234" xr:uid="{00000000-0005-0000-0000-0000A1970000}"/>
    <cellStyle name="Título 2 42" xfId="27235" xr:uid="{00000000-0005-0000-0000-0000A2970000}"/>
    <cellStyle name="Título 2 43" xfId="27236" xr:uid="{00000000-0005-0000-0000-0000A3970000}"/>
    <cellStyle name="Título 2 44" xfId="27237" xr:uid="{00000000-0005-0000-0000-0000A4970000}"/>
    <cellStyle name="Título 2 45" xfId="27238" xr:uid="{00000000-0005-0000-0000-0000A5970000}"/>
    <cellStyle name="Título 2 46" xfId="27239" xr:uid="{00000000-0005-0000-0000-0000A6970000}"/>
    <cellStyle name="Título 2 47" xfId="27240" xr:uid="{00000000-0005-0000-0000-0000A7970000}"/>
    <cellStyle name="Título 2 48" xfId="27241" xr:uid="{00000000-0005-0000-0000-0000A8970000}"/>
    <cellStyle name="Título 2 49" xfId="27242" xr:uid="{00000000-0005-0000-0000-0000A9970000}"/>
    <cellStyle name="Título 2 5" xfId="27243" xr:uid="{00000000-0005-0000-0000-0000AA970000}"/>
    <cellStyle name="Título 2 5 2" xfId="27244" xr:uid="{00000000-0005-0000-0000-0000AB970000}"/>
    <cellStyle name="Título 2 5 3" xfId="27245" xr:uid="{00000000-0005-0000-0000-0000AC970000}"/>
    <cellStyle name="Título 2 5 4" xfId="27246" xr:uid="{00000000-0005-0000-0000-0000AD970000}"/>
    <cellStyle name="Título 2 50" xfId="27247" xr:uid="{00000000-0005-0000-0000-0000AE970000}"/>
    <cellStyle name="Título 2 51" xfId="27248" xr:uid="{00000000-0005-0000-0000-0000AF970000}"/>
    <cellStyle name="Título 2 52" xfId="27249" xr:uid="{00000000-0005-0000-0000-0000B0970000}"/>
    <cellStyle name="Título 2 53" xfId="27250" xr:uid="{00000000-0005-0000-0000-0000B1970000}"/>
    <cellStyle name="Título 2 54" xfId="27251" xr:uid="{00000000-0005-0000-0000-0000B2970000}"/>
    <cellStyle name="Título 2 55" xfId="27252" xr:uid="{00000000-0005-0000-0000-0000B3970000}"/>
    <cellStyle name="Título 2 56" xfId="27253" xr:uid="{00000000-0005-0000-0000-0000B4970000}"/>
    <cellStyle name="Título 2 57" xfId="27254" xr:uid="{00000000-0005-0000-0000-0000B5970000}"/>
    <cellStyle name="Título 2 58" xfId="27255" xr:uid="{00000000-0005-0000-0000-0000B6970000}"/>
    <cellStyle name="Título 2 59" xfId="27256" xr:uid="{00000000-0005-0000-0000-0000B7970000}"/>
    <cellStyle name="Título 2 6" xfId="27257" xr:uid="{00000000-0005-0000-0000-0000B8970000}"/>
    <cellStyle name="Título 2 6 2" xfId="27258" xr:uid="{00000000-0005-0000-0000-0000B9970000}"/>
    <cellStyle name="Título 2 6 3" xfId="27259" xr:uid="{00000000-0005-0000-0000-0000BA970000}"/>
    <cellStyle name="Título 2 6 4" xfId="27260" xr:uid="{00000000-0005-0000-0000-0000BB970000}"/>
    <cellStyle name="Título 2 60" xfId="27261" xr:uid="{00000000-0005-0000-0000-0000BC970000}"/>
    <cellStyle name="Título 2 61" xfId="27262" xr:uid="{00000000-0005-0000-0000-0000BD970000}"/>
    <cellStyle name="Título 2 62" xfId="27263" xr:uid="{00000000-0005-0000-0000-0000BE970000}"/>
    <cellStyle name="Título 2 63" xfId="27264" xr:uid="{00000000-0005-0000-0000-0000BF970000}"/>
    <cellStyle name="Título 2 64" xfId="27265" xr:uid="{00000000-0005-0000-0000-0000C0970000}"/>
    <cellStyle name="Título 2 65" xfId="27266" xr:uid="{00000000-0005-0000-0000-0000C1970000}"/>
    <cellStyle name="Título 2 66" xfId="27267" xr:uid="{00000000-0005-0000-0000-0000C2970000}"/>
    <cellStyle name="Título 2 67" xfId="27268" xr:uid="{00000000-0005-0000-0000-0000C3970000}"/>
    <cellStyle name="Título 2 68" xfId="27269" xr:uid="{00000000-0005-0000-0000-0000C4970000}"/>
    <cellStyle name="Título 2 69" xfId="27270" xr:uid="{00000000-0005-0000-0000-0000C5970000}"/>
    <cellStyle name="Título 2 7" xfId="27271" xr:uid="{00000000-0005-0000-0000-0000C6970000}"/>
    <cellStyle name="Título 2 7 2" xfId="27272" xr:uid="{00000000-0005-0000-0000-0000C7970000}"/>
    <cellStyle name="Título 2 7 3" xfId="27273" xr:uid="{00000000-0005-0000-0000-0000C8970000}"/>
    <cellStyle name="Título 2 7 4" xfId="27274" xr:uid="{00000000-0005-0000-0000-0000C9970000}"/>
    <cellStyle name="Título 2 70" xfId="27275" xr:uid="{00000000-0005-0000-0000-0000CA970000}"/>
    <cellStyle name="Título 2 71" xfId="27276" xr:uid="{00000000-0005-0000-0000-0000CB970000}"/>
    <cellStyle name="Título 2 72" xfId="27277" xr:uid="{00000000-0005-0000-0000-0000CC970000}"/>
    <cellStyle name="Título 2 73" xfId="27278" xr:uid="{00000000-0005-0000-0000-0000CD970000}"/>
    <cellStyle name="Título 2 74" xfId="27279" xr:uid="{00000000-0005-0000-0000-0000CE970000}"/>
    <cellStyle name="Título 2 75" xfId="27280" xr:uid="{00000000-0005-0000-0000-0000CF970000}"/>
    <cellStyle name="Título 2 76" xfId="27281" xr:uid="{00000000-0005-0000-0000-0000D0970000}"/>
    <cellStyle name="Título 2 77" xfId="27282" xr:uid="{00000000-0005-0000-0000-0000D1970000}"/>
    <cellStyle name="Título 2 78" xfId="27283" xr:uid="{00000000-0005-0000-0000-0000D2970000}"/>
    <cellStyle name="Título 2 79" xfId="27284" xr:uid="{00000000-0005-0000-0000-0000D3970000}"/>
    <cellStyle name="Título 2 8" xfId="27285" xr:uid="{00000000-0005-0000-0000-0000D4970000}"/>
    <cellStyle name="Título 2 8 2" xfId="27286" xr:uid="{00000000-0005-0000-0000-0000D5970000}"/>
    <cellStyle name="Título 2 8 3" xfId="27287" xr:uid="{00000000-0005-0000-0000-0000D6970000}"/>
    <cellStyle name="Título 2 8 4" xfId="27288" xr:uid="{00000000-0005-0000-0000-0000D7970000}"/>
    <cellStyle name="Título 2 80" xfId="27289" xr:uid="{00000000-0005-0000-0000-0000D8970000}"/>
    <cellStyle name="Título 2 81" xfId="27290" xr:uid="{00000000-0005-0000-0000-0000D9970000}"/>
    <cellStyle name="Título 2 82" xfId="27291" xr:uid="{00000000-0005-0000-0000-0000DA970000}"/>
    <cellStyle name="Título 2 83" xfId="27292" xr:uid="{00000000-0005-0000-0000-0000DB970000}"/>
    <cellStyle name="Título 2 84" xfId="27293" xr:uid="{00000000-0005-0000-0000-0000DC970000}"/>
    <cellStyle name="Título 2 85" xfId="27294" xr:uid="{00000000-0005-0000-0000-0000DD970000}"/>
    <cellStyle name="Título 2 86" xfId="27295" xr:uid="{00000000-0005-0000-0000-0000DE970000}"/>
    <cellStyle name="Título 2 87" xfId="27296" xr:uid="{00000000-0005-0000-0000-0000DF970000}"/>
    <cellStyle name="Título 2 88" xfId="27297" xr:uid="{00000000-0005-0000-0000-0000E0970000}"/>
    <cellStyle name="Título 2 89" xfId="27298" xr:uid="{00000000-0005-0000-0000-0000E1970000}"/>
    <cellStyle name="Título 2 9" xfId="27299" xr:uid="{00000000-0005-0000-0000-0000E2970000}"/>
    <cellStyle name="Título 2 90" xfId="27300" xr:uid="{00000000-0005-0000-0000-0000E3970000}"/>
    <cellStyle name="Título 2 91" xfId="27301" xr:uid="{00000000-0005-0000-0000-0000E4970000}"/>
    <cellStyle name="Título 2 92" xfId="27302" xr:uid="{00000000-0005-0000-0000-0000E5970000}"/>
    <cellStyle name="Título 2 93" xfId="27303" xr:uid="{00000000-0005-0000-0000-0000E6970000}"/>
    <cellStyle name="Título 2 94" xfId="27304" xr:uid="{00000000-0005-0000-0000-0000E7970000}"/>
    <cellStyle name="Título 2 95" xfId="27305" xr:uid="{00000000-0005-0000-0000-0000E8970000}"/>
    <cellStyle name="Título 2 96" xfId="27306" xr:uid="{00000000-0005-0000-0000-0000E9970000}"/>
    <cellStyle name="Título 2 97" xfId="27307" xr:uid="{00000000-0005-0000-0000-0000EA970000}"/>
    <cellStyle name="Título 2 98" xfId="27308" xr:uid="{00000000-0005-0000-0000-0000EB970000}"/>
    <cellStyle name="Título 2 99" xfId="27309" xr:uid="{00000000-0005-0000-0000-0000EC970000}"/>
    <cellStyle name="Título 20" xfId="27310" xr:uid="{00000000-0005-0000-0000-0000ED970000}"/>
    <cellStyle name="Título 20 2" xfId="27311" xr:uid="{00000000-0005-0000-0000-0000EE970000}"/>
    <cellStyle name="Título 20 3" xfId="27312" xr:uid="{00000000-0005-0000-0000-0000EF970000}"/>
    <cellStyle name="Título 21" xfId="27313" xr:uid="{00000000-0005-0000-0000-0000F0970000}"/>
    <cellStyle name="Título 21 2" xfId="27314" xr:uid="{00000000-0005-0000-0000-0000F1970000}"/>
    <cellStyle name="Título 21 3" xfId="27315" xr:uid="{00000000-0005-0000-0000-0000F2970000}"/>
    <cellStyle name="Título 22" xfId="27316" xr:uid="{00000000-0005-0000-0000-0000F3970000}"/>
    <cellStyle name="Título 22 2" xfId="27317" xr:uid="{00000000-0005-0000-0000-0000F4970000}"/>
    <cellStyle name="Título 22 3" xfId="27318" xr:uid="{00000000-0005-0000-0000-0000F5970000}"/>
    <cellStyle name="Título 23" xfId="27319" xr:uid="{00000000-0005-0000-0000-0000F6970000}"/>
    <cellStyle name="Título 23 2" xfId="27320" xr:uid="{00000000-0005-0000-0000-0000F7970000}"/>
    <cellStyle name="Título 23 3" xfId="27321" xr:uid="{00000000-0005-0000-0000-0000F8970000}"/>
    <cellStyle name="Título 24" xfId="27322" xr:uid="{00000000-0005-0000-0000-0000F9970000}"/>
    <cellStyle name="Título 25" xfId="27323" xr:uid="{00000000-0005-0000-0000-0000FA970000}"/>
    <cellStyle name="Título 26" xfId="27324" xr:uid="{00000000-0005-0000-0000-0000FB970000}"/>
    <cellStyle name="Título 27" xfId="27325" xr:uid="{00000000-0005-0000-0000-0000FC970000}"/>
    <cellStyle name="Título 27 2" xfId="40958" xr:uid="{00000000-0005-0000-0000-0000FD970000}"/>
    <cellStyle name="Título 28" xfId="27326" xr:uid="{00000000-0005-0000-0000-0000FE970000}"/>
    <cellStyle name="Título 28 2" xfId="40993" xr:uid="{00000000-0005-0000-0000-0000FF970000}"/>
    <cellStyle name="Título 29" xfId="27327" xr:uid="{00000000-0005-0000-0000-000000980000}"/>
    <cellStyle name="Título 29 10" xfId="27328" xr:uid="{00000000-0005-0000-0000-000001980000}"/>
    <cellStyle name="Título 29 11" xfId="27329" xr:uid="{00000000-0005-0000-0000-000002980000}"/>
    <cellStyle name="Título 29 12" xfId="27330" xr:uid="{00000000-0005-0000-0000-000003980000}"/>
    <cellStyle name="Título 29 13" xfId="27331" xr:uid="{00000000-0005-0000-0000-000004980000}"/>
    <cellStyle name="Título 29 14" xfId="27332" xr:uid="{00000000-0005-0000-0000-000005980000}"/>
    <cellStyle name="Título 29 15" xfId="27333" xr:uid="{00000000-0005-0000-0000-000006980000}"/>
    <cellStyle name="Título 29 16" xfId="27334" xr:uid="{00000000-0005-0000-0000-000007980000}"/>
    <cellStyle name="Título 29 2" xfId="27335" xr:uid="{00000000-0005-0000-0000-000008980000}"/>
    <cellStyle name="Título 29 3" xfId="27336" xr:uid="{00000000-0005-0000-0000-000009980000}"/>
    <cellStyle name="Título 29 4" xfId="27337" xr:uid="{00000000-0005-0000-0000-00000A980000}"/>
    <cellStyle name="Título 29 5" xfId="27338" xr:uid="{00000000-0005-0000-0000-00000B980000}"/>
    <cellStyle name="Título 29 6" xfId="27339" xr:uid="{00000000-0005-0000-0000-00000C980000}"/>
    <cellStyle name="Título 29 7" xfId="27340" xr:uid="{00000000-0005-0000-0000-00000D980000}"/>
    <cellStyle name="Título 29 8" xfId="27341" xr:uid="{00000000-0005-0000-0000-00000E980000}"/>
    <cellStyle name="Título 29 9" xfId="27342" xr:uid="{00000000-0005-0000-0000-00000F980000}"/>
    <cellStyle name="Título 3 10" xfId="27343" xr:uid="{00000000-0005-0000-0000-000010980000}"/>
    <cellStyle name="Título 3 10 2" xfId="40883" xr:uid="{00000000-0005-0000-0000-000011980000}"/>
    <cellStyle name="Título 3 100" xfId="27344" xr:uid="{00000000-0005-0000-0000-000012980000}"/>
    <cellStyle name="Título 3 101" xfId="27345" xr:uid="{00000000-0005-0000-0000-000013980000}"/>
    <cellStyle name="Título 3 102" xfId="27346" xr:uid="{00000000-0005-0000-0000-000014980000}"/>
    <cellStyle name="Título 3 103" xfId="27347" xr:uid="{00000000-0005-0000-0000-000015980000}"/>
    <cellStyle name="Título 3 104" xfId="27348" xr:uid="{00000000-0005-0000-0000-000016980000}"/>
    <cellStyle name="Título 3 105" xfId="27349" xr:uid="{00000000-0005-0000-0000-000017980000}"/>
    <cellStyle name="Título 3 106" xfId="27350" xr:uid="{00000000-0005-0000-0000-000018980000}"/>
    <cellStyle name="Título 3 107" xfId="27351" xr:uid="{00000000-0005-0000-0000-000019980000}"/>
    <cellStyle name="Título 3 108" xfId="27352" xr:uid="{00000000-0005-0000-0000-00001A980000}"/>
    <cellStyle name="Título 3 109" xfId="27353" xr:uid="{00000000-0005-0000-0000-00001B980000}"/>
    <cellStyle name="Título 3 11" xfId="27354" xr:uid="{00000000-0005-0000-0000-00001C980000}"/>
    <cellStyle name="Título 3 11 2" xfId="40884" xr:uid="{00000000-0005-0000-0000-00001D980000}"/>
    <cellStyle name="Título 3 110" xfId="27355" xr:uid="{00000000-0005-0000-0000-00001E980000}"/>
    <cellStyle name="Título 3 111" xfId="27356" xr:uid="{00000000-0005-0000-0000-00001F980000}"/>
    <cellStyle name="Título 3 112" xfId="27357" xr:uid="{00000000-0005-0000-0000-000020980000}"/>
    <cellStyle name="Título 3 113" xfId="27358" xr:uid="{00000000-0005-0000-0000-000021980000}"/>
    <cellStyle name="Título 3 114" xfId="27359" xr:uid="{00000000-0005-0000-0000-000022980000}"/>
    <cellStyle name="Título 3 115" xfId="27360" xr:uid="{00000000-0005-0000-0000-000023980000}"/>
    <cellStyle name="Título 3 116" xfId="27361" xr:uid="{00000000-0005-0000-0000-000024980000}"/>
    <cellStyle name="Título 3 117" xfId="27362" xr:uid="{00000000-0005-0000-0000-000025980000}"/>
    <cellStyle name="Título 3 118" xfId="27363" xr:uid="{00000000-0005-0000-0000-000026980000}"/>
    <cellStyle name="Título 3 119" xfId="27364" xr:uid="{00000000-0005-0000-0000-000027980000}"/>
    <cellStyle name="Título 3 12" xfId="27365" xr:uid="{00000000-0005-0000-0000-000028980000}"/>
    <cellStyle name="Título 3 12 2" xfId="40885" xr:uid="{00000000-0005-0000-0000-000029980000}"/>
    <cellStyle name="Título 3 120" xfId="27366" xr:uid="{00000000-0005-0000-0000-00002A980000}"/>
    <cellStyle name="Título 3 121" xfId="27367" xr:uid="{00000000-0005-0000-0000-00002B980000}"/>
    <cellStyle name="Título 3 122" xfId="27368" xr:uid="{00000000-0005-0000-0000-00002C980000}"/>
    <cellStyle name="Título 3 123" xfId="27369" xr:uid="{00000000-0005-0000-0000-00002D980000}"/>
    <cellStyle name="Título 3 124" xfId="27370" xr:uid="{00000000-0005-0000-0000-00002E980000}"/>
    <cellStyle name="Título 3 125" xfId="27371" xr:uid="{00000000-0005-0000-0000-00002F980000}"/>
    <cellStyle name="Título 3 126" xfId="27372" xr:uid="{00000000-0005-0000-0000-000030980000}"/>
    <cellStyle name="Título 3 127" xfId="27373" xr:uid="{00000000-0005-0000-0000-000031980000}"/>
    <cellStyle name="Título 3 128" xfId="27374" xr:uid="{00000000-0005-0000-0000-000032980000}"/>
    <cellStyle name="Título 3 129" xfId="27375" xr:uid="{00000000-0005-0000-0000-000033980000}"/>
    <cellStyle name="Título 3 13" xfId="27376" xr:uid="{00000000-0005-0000-0000-000034980000}"/>
    <cellStyle name="Título 3 13 2" xfId="40886" xr:uid="{00000000-0005-0000-0000-000035980000}"/>
    <cellStyle name="Título 3 130" xfId="27377" xr:uid="{00000000-0005-0000-0000-000036980000}"/>
    <cellStyle name="Título 3 131" xfId="27378" xr:uid="{00000000-0005-0000-0000-000037980000}"/>
    <cellStyle name="Título 3 132" xfId="27379" xr:uid="{00000000-0005-0000-0000-000038980000}"/>
    <cellStyle name="Título 3 133" xfId="27380" xr:uid="{00000000-0005-0000-0000-000039980000}"/>
    <cellStyle name="Título 3 134" xfId="27381" xr:uid="{00000000-0005-0000-0000-00003A980000}"/>
    <cellStyle name="Título 3 135" xfId="27382" xr:uid="{00000000-0005-0000-0000-00003B980000}"/>
    <cellStyle name="Título 3 136" xfId="27383" xr:uid="{00000000-0005-0000-0000-00003C980000}"/>
    <cellStyle name="Título 3 137" xfId="27384" xr:uid="{00000000-0005-0000-0000-00003D980000}"/>
    <cellStyle name="Título 3 138" xfId="27385" xr:uid="{00000000-0005-0000-0000-00003E980000}"/>
    <cellStyle name="Título 3 139" xfId="27386" xr:uid="{00000000-0005-0000-0000-00003F980000}"/>
    <cellStyle name="Título 3 14" xfId="27387" xr:uid="{00000000-0005-0000-0000-000040980000}"/>
    <cellStyle name="Título 3 140" xfId="27388" xr:uid="{00000000-0005-0000-0000-000041980000}"/>
    <cellStyle name="Título 3 141" xfId="27389" xr:uid="{00000000-0005-0000-0000-000042980000}"/>
    <cellStyle name="Título 3 142" xfId="27390" xr:uid="{00000000-0005-0000-0000-000043980000}"/>
    <cellStyle name="Título 3 143" xfId="27391" xr:uid="{00000000-0005-0000-0000-000044980000}"/>
    <cellStyle name="Título 3 144" xfId="27392" xr:uid="{00000000-0005-0000-0000-000045980000}"/>
    <cellStyle name="Título 3 145" xfId="27393" xr:uid="{00000000-0005-0000-0000-000046980000}"/>
    <cellStyle name="Título 3 146" xfId="27394" xr:uid="{00000000-0005-0000-0000-000047980000}"/>
    <cellStyle name="Título 3 147" xfId="27395" xr:uid="{00000000-0005-0000-0000-000048980000}"/>
    <cellStyle name="Título 3 148" xfId="27396" xr:uid="{00000000-0005-0000-0000-000049980000}"/>
    <cellStyle name="Título 3 149" xfId="27397" xr:uid="{00000000-0005-0000-0000-00004A980000}"/>
    <cellStyle name="Título 3 15" xfId="27398" xr:uid="{00000000-0005-0000-0000-00004B980000}"/>
    <cellStyle name="Título 3 15 2" xfId="27399" xr:uid="{00000000-0005-0000-0000-00004C980000}"/>
    <cellStyle name="Título 3 15 3" xfId="27400" xr:uid="{00000000-0005-0000-0000-00004D980000}"/>
    <cellStyle name="Título 3 150" xfId="27401" xr:uid="{00000000-0005-0000-0000-00004E980000}"/>
    <cellStyle name="Título 3 151" xfId="27402" xr:uid="{00000000-0005-0000-0000-00004F980000}"/>
    <cellStyle name="Título 3 152" xfId="27403" xr:uid="{00000000-0005-0000-0000-000050980000}"/>
    <cellStyle name="Título 3 153" xfId="27404" xr:uid="{00000000-0005-0000-0000-000051980000}"/>
    <cellStyle name="Título 3 154" xfId="27405" xr:uid="{00000000-0005-0000-0000-000052980000}"/>
    <cellStyle name="Título 3 155" xfId="27406" xr:uid="{00000000-0005-0000-0000-000053980000}"/>
    <cellStyle name="Título 3 156" xfId="27407" xr:uid="{00000000-0005-0000-0000-000054980000}"/>
    <cellStyle name="Título 3 157" xfId="27408" xr:uid="{00000000-0005-0000-0000-000055980000}"/>
    <cellStyle name="Título 3 158" xfId="27409" xr:uid="{00000000-0005-0000-0000-000056980000}"/>
    <cellStyle name="Título 3 159" xfId="27410" xr:uid="{00000000-0005-0000-0000-000057980000}"/>
    <cellStyle name="Título 3 16" xfId="27411" xr:uid="{00000000-0005-0000-0000-000058980000}"/>
    <cellStyle name="Título 3 16 2" xfId="27412" xr:uid="{00000000-0005-0000-0000-000059980000}"/>
    <cellStyle name="Título 3 16 3" xfId="27413" xr:uid="{00000000-0005-0000-0000-00005A980000}"/>
    <cellStyle name="Título 3 160" xfId="27414" xr:uid="{00000000-0005-0000-0000-00005B980000}"/>
    <cellStyle name="Título 3 161" xfId="27415" xr:uid="{00000000-0005-0000-0000-00005C980000}"/>
    <cellStyle name="Título 3 162" xfId="27416" xr:uid="{00000000-0005-0000-0000-00005D980000}"/>
    <cellStyle name="Título 3 163" xfId="27417" xr:uid="{00000000-0005-0000-0000-00005E980000}"/>
    <cellStyle name="Título 3 164" xfId="27418" xr:uid="{00000000-0005-0000-0000-00005F980000}"/>
    <cellStyle name="Título 3 165" xfId="27419" xr:uid="{00000000-0005-0000-0000-000060980000}"/>
    <cellStyle name="Título 3 166" xfId="27420" xr:uid="{00000000-0005-0000-0000-000061980000}"/>
    <cellStyle name="Título 3 167" xfId="27421" xr:uid="{00000000-0005-0000-0000-000062980000}"/>
    <cellStyle name="Título 3 168" xfId="27422" xr:uid="{00000000-0005-0000-0000-000063980000}"/>
    <cellStyle name="Título 3 169" xfId="27423" xr:uid="{00000000-0005-0000-0000-000064980000}"/>
    <cellStyle name="Título 3 17" xfId="27424" xr:uid="{00000000-0005-0000-0000-000065980000}"/>
    <cellStyle name="Título 3 17 2" xfId="27425" xr:uid="{00000000-0005-0000-0000-000066980000}"/>
    <cellStyle name="Título 3 17 3" xfId="27426" xr:uid="{00000000-0005-0000-0000-000067980000}"/>
    <cellStyle name="Título 3 170" xfId="27427" xr:uid="{00000000-0005-0000-0000-000068980000}"/>
    <cellStyle name="Título 3 171" xfId="27428" xr:uid="{00000000-0005-0000-0000-000069980000}"/>
    <cellStyle name="Título 3 172" xfId="27429" xr:uid="{00000000-0005-0000-0000-00006A980000}"/>
    <cellStyle name="Título 3 173" xfId="27430" xr:uid="{00000000-0005-0000-0000-00006B980000}"/>
    <cellStyle name="Título 3 174" xfId="27431" xr:uid="{00000000-0005-0000-0000-00006C980000}"/>
    <cellStyle name="Título 3 175" xfId="27432" xr:uid="{00000000-0005-0000-0000-00006D980000}"/>
    <cellStyle name="Título 3 176" xfId="27433" xr:uid="{00000000-0005-0000-0000-00006E980000}"/>
    <cellStyle name="Título 3 177" xfId="27434" xr:uid="{00000000-0005-0000-0000-00006F980000}"/>
    <cellStyle name="Título 3 178" xfId="27435" xr:uid="{00000000-0005-0000-0000-000070980000}"/>
    <cellStyle name="Título 3 179" xfId="27436" xr:uid="{00000000-0005-0000-0000-000071980000}"/>
    <cellStyle name="Título 3 18" xfId="27437" xr:uid="{00000000-0005-0000-0000-000072980000}"/>
    <cellStyle name="Título 3 18 2" xfId="27438" xr:uid="{00000000-0005-0000-0000-000073980000}"/>
    <cellStyle name="Título 3 18 3" xfId="27439" xr:uid="{00000000-0005-0000-0000-000074980000}"/>
    <cellStyle name="Título 3 180" xfId="27440" xr:uid="{00000000-0005-0000-0000-000075980000}"/>
    <cellStyle name="Título 3 181" xfId="27441" xr:uid="{00000000-0005-0000-0000-000076980000}"/>
    <cellStyle name="Título 3 182" xfId="27442" xr:uid="{00000000-0005-0000-0000-000077980000}"/>
    <cellStyle name="Título 3 183" xfId="27443" xr:uid="{00000000-0005-0000-0000-000078980000}"/>
    <cellStyle name="Título 3 184" xfId="27444" xr:uid="{00000000-0005-0000-0000-000079980000}"/>
    <cellStyle name="Título 3 185" xfId="27445" xr:uid="{00000000-0005-0000-0000-00007A980000}"/>
    <cellStyle name="Título 3 186" xfId="27446" xr:uid="{00000000-0005-0000-0000-00007B980000}"/>
    <cellStyle name="Título 3 187" xfId="27447" xr:uid="{00000000-0005-0000-0000-00007C980000}"/>
    <cellStyle name="Título 3 188" xfId="27448" xr:uid="{00000000-0005-0000-0000-00007D980000}"/>
    <cellStyle name="Título 3 189" xfId="27449" xr:uid="{00000000-0005-0000-0000-00007E980000}"/>
    <cellStyle name="Título 3 19" xfId="27450" xr:uid="{00000000-0005-0000-0000-00007F980000}"/>
    <cellStyle name="Título 3 19 2" xfId="27451" xr:uid="{00000000-0005-0000-0000-000080980000}"/>
    <cellStyle name="Título 3 19 3" xfId="27452" xr:uid="{00000000-0005-0000-0000-000081980000}"/>
    <cellStyle name="Título 3 190" xfId="27453" xr:uid="{00000000-0005-0000-0000-000082980000}"/>
    <cellStyle name="Título 3 2" xfId="27454" xr:uid="{00000000-0005-0000-0000-000083980000}"/>
    <cellStyle name="Título 3 2 10" xfId="27455" xr:uid="{00000000-0005-0000-0000-000084980000}"/>
    <cellStyle name="Título 3 2 10 2" xfId="27456" xr:uid="{00000000-0005-0000-0000-000085980000}"/>
    <cellStyle name="Título 3 2 10 3" xfId="27457" xr:uid="{00000000-0005-0000-0000-000086980000}"/>
    <cellStyle name="Título 3 2 10 4" xfId="27458" xr:uid="{00000000-0005-0000-0000-000087980000}"/>
    <cellStyle name="Título 3 2 10 5" xfId="27459" xr:uid="{00000000-0005-0000-0000-000088980000}"/>
    <cellStyle name="Título 3 2 10 6" xfId="27460" xr:uid="{00000000-0005-0000-0000-000089980000}"/>
    <cellStyle name="Título 3 2 10 7" xfId="27461" xr:uid="{00000000-0005-0000-0000-00008A980000}"/>
    <cellStyle name="Título 3 2 11" xfId="27462" xr:uid="{00000000-0005-0000-0000-00008B980000}"/>
    <cellStyle name="Título 3 2 11 2" xfId="27463" xr:uid="{00000000-0005-0000-0000-00008C980000}"/>
    <cellStyle name="Título 3 2 11 3" xfId="27464" xr:uid="{00000000-0005-0000-0000-00008D980000}"/>
    <cellStyle name="Título 3 2 11 4" xfId="27465" xr:uid="{00000000-0005-0000-0000-00008E980000}"/>
    <cellStyle name="Título 3 2 11 5" xfId="27466" xr:uid="{00000000-0005-0000-0000-00008F980000}"/>
    <cellStyle name="Título 3 2 11 6" xfId="27467" xr:uid="{00000000-0005-0000-0000-000090980000}"/>
    <cellStyle name="Título 3 2 11 7" xfId="27468" xr:uid="{00000000-0005-0000-0000-000091980000}"/>
    <cellStyle name="Título 3 2 12" xfId="27469" xr:uid="{00000000-0005-0000-0000-000092980000}"/>
    <cellStyle name="Título 3 2 13" xfId="27470" xr:uid="{00000000-0005-0000-0000-000093980000}"/>
    <cellStyle name="Título 3 2 14" xfId="27471" xr:uid="{00000000-0005-0000-0000-000094980000}"/>
    <cellStyle name="Título 3 2 15" xfId="27472" xr:uid="{00000000-0005-0000-0000-000095980000}"/>
    <cellStyle name="Título 3 2 16" xfId="27473" xr:uid="{00000000-0005-0000-0000-000096980000}"/>
    <cellStyle name="Título 3 2 17" xfId="27474" xr:uid="{00000000-0005-0000-0000-000097980000}"/>
    <cellStyle name="Título 3 2 18" xfId="27475" xr:uid="{00000000-0005-0000-0000-000098980000}"/>
    <cellStyle name="Título 3 2 19" xfId="27476" xr:uid="{00000000-0005-0000-0000-000099980000}"/>
    <cellStyle name="Título 3 2 2" xfId="27477" xr:uid="{00000000-0005-0000-0000-00009A980000}"/>
    <cellStyle name="Título 3 2 20" xfId="27478" xr:uid="{00000000-0005-0000-0000-00009B980000}"/>
    <cellStyle name="Título 3 2 21" xfId="27479" xr:uid="{00000000-0005-0000-0000-00009C980000}"/>
    <cellStyle name="Título 3 2 22" xfId="27480" xr:uid="{00000000-0005-0000-0000-00009D980000}"/>
    <cellStyle name="Título 3 2 23" xfId="27481" xr:uid="{00000000-0005-0000-0000-00009E980000}"/>
    <cellStyle name="Título 3 2 24" xfId="27482" xr:uid="{00000000-0005-0000-0000-00009F980000}"/>
    <cellStyle name="Título 3 2 25" xfId="27483" xr:uid="{00000000-0005-0000-0000-0000A0980000}"/>
    <cellStyle name="Título 3 2 26" xfId="27484" xr:uid="{00000000-0005-0000-0000-0000A1980000}"/>
    <cellStyle name="Título 3 2 27" xfId="27485" xr:uid="{00000000-0005-0000-0000-0000A2980000}"/>
    <cellStyle name="Título 3 2 28" xfId="27486" xr:uid="{00000000-0005-0000-0000-0000A3980000}"/>
    <cellStyle name="Título 3 2 29" xfId="27487" xr:uid="{00000000-0005-0000-0000-0000A4980000}"/>
    <cellStyle name="Título 3 2 3" xfId="27488" xr:uid="{00000000-0005-0000-0000-0000A5980000}"/>
    <cellStyle name="Título 3 2 30" xfId="27489" xr:uid="{00000000-0005-0000-0000-0000A6980000}"/>
    <cellStyle name="Título 3 2 31" xfId="27490" xr:uid="{00000000-0005-0000-0000-0000A7980000}"/>
    <cellStyle name="Título 3 2 32" xfId="27491" xr:uid="{00000000-0005-0000-0000-0000A8980000}"/>
    <cellStyle name="Título 3 2 33" xfId="27492" xr:uid="{00000000-0005-0000-0000-0000A9980000}"/>
    <cellStyle name="Título 3 2 34" xfId="27493" xr:uid="{00000000-0005-0000-0000-0000AA980000}"/>
    <cellStyle name="Título 3 2 35" xfId="27494" xr:uid="{00000000-0005-0000-0000-0000AB980000}"/>
    <cellStyle name="Título 3 2 4" xfId="27495" xr:uid="{00000000-0005-0000-0000-0000AC980000}"/>
    <cellStyle name="Título 3 2 5" xfId="27496" xr:uid="{00000000-0005-0000-0000-0000AD980000}"/>
    <cellStyle name="Título 3 2 6" xfId="27497" xr:uid="{00000000-0005-0000-0000-0000AE980000}"/>
    <cellStyle name="Título 3 2 7" xfId="27498" xr:uid="{00000000-0005-0000-0000-0000AF980000}"/>
    <cellStyle name="Título 3 2 8" xfId="27499" xr:uid="{00000000-0005-0000-0000-0000B0980000}"/>
    <cellStyle name="Título 3 2 8 2" xfId="27500" xr:uid="{00000000-0005-0000-0000-0000B1980000}"/>
    <cellStyle name="Título 3 2 8 3" xfId="27501" xr:uid="{00000000-0005-0000-0000-0000B2980000}"/>
    <cellStyle name="Título 3 2 8 4" xfId="27502" xr:uid="{00000000-0005-0000-0000-0000B3980000}"/>
    <cellStyle name="Título 3 2 8 5" xfId="27503" xr:uid="{00000000-0005-0000-0000-0000B4980000}"/>
    <cellStyle name="Título 3 2 8 6" xfId="27504" xr:uid="{00000000-0005-0000-0000-0000B5980000}"/>
    <cellStyle name="Título 3 2 8 7" xfId="27505" xr:uid="{00000000-0005-0000-0000-0000B6980000}"/>
    <cellStyle name="Título 3 2 9" xfId="27506" xr:uid="{00000000-0005-0000-0000-0000B7980000}"/>
    <cellStyle name="Título 3 2 9 2" xfId="27507" xr:uid="{00000000-0005-0000-0000-0000B8980000}"/>
    <cellStyle name="Título 3 2 9 3" xfId="27508" xr:uid="{00000000-0005-0000-0000-0000B9980000}"/>
    <cellStyle name="Título 3 2 9 4" xfId="27509" xr:uid="{00000000-0005-0000-0000-0000BA980000}"/>
    <cellStyle name="Título 3 2 9 5" xfId="27510" xr:uid="{00000000-0005-0000-0000-0000BB980000}"/>
    <cellStyle name="Título 3 2 9 6" xfId="27511" xr:uid="{00000000-0005-0000-0000-0000BC980000}"/>
    <cellStyle name="Título 3 2 9 7" xfId="27512" xr:uid="{00000000-0005-0000-0000-0000BD980000}"/>
    <cellStyle name="Título 3 20" xfId="27513" xr:uid="{00000000-0005-0000-0000-0000BE980000}"/>
    <cellStyle name="Título 3 20 2" xfId="27514" xr:uid="{00000000-0005-0000-0000-0000BF980000}"/>
    <cellStyle name="Título 3 20 3" xfId="27515" xr:uid="{00000000-0005-0000-0000-0000C0980000}"/>
    <cellStyle name="Título 3 21" xfId="27516" xr:uid="{00000000-0005-0000-0000-0000C1980000}"/>
    <cellStyle name="Título 3 22" xfId="27517" xr:uid="{00000000-0005-0000-0000-0000C2980000}"/>
    <cellStyle name="Título 3 23" xfId="27518" xr:uid="{00000000-0005-0000-0000-0000C3980000}"/>
    <cellStyle name="Título 3 24" xfId="27519" xr:uid="{00000000-0005-0000-0000-0000C4980000}"/>
    <cellStyle name="Título 3 24 2" xfId="40961" xr:uid="{00000000-0005-0000-0000-0000C5980000}"/>
    <cellStyle name="Título 3 25" xfId="27520" xr:uid="{00000000-0005-0000-0000-0000C6980000}"/>
    <cellStyle name="Título 3 25 2" xfId="40996" xr:uid="{00000000-0005-0000-0000-0000C7980000}"/>
    <cellStyle name="Título 3 26" xfId="27521" xr:uid="{00000000-0005-0000-0000-0000C8980000}"/>
    <cellStyle name="Título 3 26 10" xfId="27522" xr:uid="{00000000-0005-0000-0000-0000C9980000}"/>
    <cellStyle name="Título 3 26 11" xfId="27523" xr:uid="{00000000-0005-0000-0000-0000CA980000}"/>
    <cellStyle name="Título 3 26 12" xfId="27524" xr:uid="{00000000-0005-0000-0000-0000CB980000}"/>
    <cellStyle name="Título 3 26 13" xfId="27525" xr:uid="{00000000-0005-0000-0000-0000CC980000}"/>
    <cellStyle name="Título 3 26 14" xfId="27526" xr:uid="{00000000-0005-0000-0000-0000CD980000}"/>
    <cellStyle name="Título 3 26 15" xfId="27527" xr:uid="{00000000-0005-0000-0000-0000CE980000}"/>
    <cellStyle name="Título 3 26 16" xfId="27528" xr:uid="{00000000-0005-0000-0000-0000CF980000}"/>
    <cellStyle name="Título 3 26 2" xfId="27529" xr:uid="{00000000-0005-0000-0000-0000D0980000}"/>
    <cellStyle name="Título 3 26 3" xfId="27530" xr:uid="{00000000-0005-0000-0000-0000D1980000}"/>
    <cellStyle name="Título 3 26 4" xfId="27531" xr:uid="{00000000-0005-0000-0000-0000D2980000}"/>
    <cellStyle name="Título 3 26 5" xfId="27532" xr:uid="{00000000-0005-0000-0000-0000D3980000}"/>
    <cellStyle name="Título 3 26 6" xfId="27533" xr:uid="{00000000-0005-0000-0000-0000D4980000}"/>
    <cellStyle name="Título 3 26 7" xfId="27534" xr:uid="{00000000-0005-0000-0000-0000D5980000}"/>
    <cellStyle name="Título 3 26 8" xfId="27535" xr:uid="{00000000-0005-0000-0000-0000D6980000}"/>
    <cellStyle name="Título 3 26 9" xfId="27536" xr:uid="{00000000-0005-0000-0000-0000D7980000}"/>
    <cellStyle name="Título 3 27" xfId="27537" xr:uid="{00000000-0005-0000-0000-0000D8980000}"/>
    <cellStyle name="Título 3 27 10" xfId="27538" xr:uid="{00000000-0005-0000-0000-0000D9980000}"/>
    <cellStyle name="Título 3 27 11" xfId="27539" xr:uid="{00000000-0005-0000-0000-0000DA980000}"/>
    <cellStyle name="Título 3 27 12" xfId="27540" xr:uid="{00000000-0005-0000-0000-0000DB980000}"/>
    <cellStyle name="Título 3 27 13" xfId="27541" xr:uid="{00000000-0005-0000-0000-0000DC980000}"/>
    <cellStyle name="Título 3 27 14" xfId="27542" xr:uid="{00000000-0005-0000-0000-0000DD980000}"/>
    <cellStyle name="Título 3 27 15" xfId="27543" xr:uid="{00000000-0005-0000-0000-0000DE980000}"/>
    <cellStyle name="Título 3 27 16" xfId="27544" xr:uid="{00000000-0005-0000-0000-0000DF980000}"/>
    <cellStyle name="Título 3 27 2" xfId="27545" xr:uid="{00000000-0005-0000-0000-0000E0980000}"/>
    <cellStyle name="Título 3 27 3" xfId="27546" xr:uid="{00000000-0005-0000-0000-0000E1980000}"/>
    <cellStyle name="Título 3 27 4" xfId="27547" xr:uid="{00000000-0005-0000-0000-0000E2980000}"/>
    <cellStyle name="Título 3 27 5" xfId="27548" xr:uid="{00000000-0005-0000-0000-0000E3980000}"/>
    <cellStyle name="Título 3 27 6" xfId="27549" xr:uid="{00000000-0005-0000-0000-0000E4980000}"/>
    <cellStyle name="Título 3 27 7" xfId="27550" xr:uid="{00000000-0005-0000-0000-0000E5980000}"/>
    <cellStyle name="Título 3 27 8" xfId="27551" xr:uid="{00000000-0005-0000-0000-0000E6980000}"/>
    <cellStyle name="Título 3 27 9" xfId="27552" xr:uid="{00000000-0005-0000-0000-0000E7980000}"/>
    <cellStyle name="Título 3 28" xfId="27553" xr:uid="{00000000-0005-0000-0000-0000E8980000}"/>
    <cellStyle name="Título 3 28 10" xfId="27554" xr:uid="{00000000-0005-0000-0000-0000E9980000}"/>
    <cellStyle name="Título 3 28 11" xfId="27555" xr:uid="{00000000-0005-0000-0000-0000EA980000}"/>
    <cellStyle name="Título 3 28 12" xfId="27556" xr:uid="{00000000-0005-0000-0000-0000EB980000}"/>
    <cellStyle name="Título 3 28 13" xfId="27557" xr:uid="{00000000-0005-0000-0000-0000EC980000}"/>
    <cellStyle name="Título 3 28 14" xfId="27558" xr:uid="{00000000-0005-0000-0000-0000ED980000}"/>
    <cellStyle name="Título 3 28 15" xfId="27559" xr:uid="{00000000-0005-0000-0000-0000EE980000}"/>
    <cellStyle name="Título 3 28 16" xfId="27560" xr:uid="{00000000-0005-0000-0000-0000EF980000}"/>
    <cellStyle name="Título 3 28 2" xfId="27561" xr:uid="{00000000-0005-0000-0000-0000F0980000}"/>
    <cellStyle name="Título 3 28 3" xfId="27562" xr:uid="{00000000-0005-0000-0000-0000F1980000}"/>
    <cellStyle name="Título 3 28 4" xfId="27563" xr:uid="{00000000-0005-0000-0000-0000F2980000}"/>
    <cellStyle name="Título 3 28 5" xfId="27564" xr:uid="{00000000-0005-0000-0000-0000F3980000}"/>
    <cellStyle name="Título 3 28 6" xfId="27565" xr:uid="{00000000-0005-0000-0000-0000F4980000}"/>
    <cellStyle name="Título 3 28 7" xfId="27566" xr:uid="{00000000-0005-0000-0000-0000F5980000}"/>
    <cellStyle name="Título 3 28 8" xfId="27567" xr:uid="{00000000-0005-0000-0000-0000F6980000}"/>
    <cellStyle name="Título 3 28 9" xfId="27568" xr:uid="{00000000-0005-0000-0000-0000F7980000}"/>
    <cellStyle name="Título 3 29" xfId="27569" xr:uid="{00000000-0005-0000-0000-0000F8980000}"/>
    <cellStyle name="Título 3 29 10" xfId="27570" xr:uid="{00000000-0005-0000-0000-0000F9980000}"/>
    <cellStyle name="Título 3 29 11" xfId="27571" xr:uid="{00000000-0005-0000-0000-0000FA980000}"/>
    <cellStyle name="Título 3 29 12" xfId="27572" xr:uid="{00000000-0005-0000-0000-0000FB980000}"/>
    <cellStyle name="Título 3 29 13" xfId="27573" xr:uid="{00000000-0005-0000-0000-0000FC980000}"/>
    <cellStyle name="Título 3 29 14" xfId="27574" xr:uid="{00000000-0005-0000-0000-0000FD980000}"/>
    <cellStyle name="Título 3 29 15" xfId="27575" xr:uid="{00000000-0005-0000-0000-0000FE980000}"/>
    <cellStyle name="Título 3 29 16" xfId="27576" xr:uid="{00000000-0005-0000-0000-0000FF980000}"/>
    <cellStyle name="Título 3 29 2" xfId="27577" xr:uid="{00000000-0005-0000-0000-000000990000}"/>
    <cellStyle name="Título 3 29 3" xfId="27578" xr:uid="{00000000-0005-0000-0000-000001990000}"/>
    <cellStyle name="Título 3 29 4" xfId="27579" xr:uid="{00000000-0005-0000-0000-000002990000}"/>
    <cellStyle name="Título 3 29 5" xfId="27580" xr:uid="{00000000-0005-0000-0000-000003990000}"/>
    <cellStyle name="Título 3 29 6" xfId="27581" xr:uid="{00000000-0005-0000-0000-000004990000}"/>
    <cellStyle name="Título 3 29 7" xfId="27582" xr:uid="{00000000-0005-0000-0000-000005990000}"/>
    <cellStyle name="Título 3 29 8" xfId="27583" xr:uid="{00000000-0005-0000-0000-000006990000}"/>
    <cellStyle name="Título 3 29 9" xfId="27584" xr:uid="{00000000-0005-0000-0000-000007990000}"/>
    <cellStyle name="Título 3 3" xfId="27585" xr:uid="{00000000-0005-0000-0000-000008990000}"/>
    <cellStyle name="Título 3 3 10" xfId="27586" xr:uid="{00000000-0005-0000-0000-000009990000}"/>
    <cellStyle name="Título 3 3 11" xfId="27587" xr:uid="{00000000-0005-0000-0000-00000A990000}"/>
    <cellStyle name="Título 3 3 2" xfId="27588" xr:uid="{00000000-0005-0000-0000-00000B990000}"/>
    <cellStyle name="Título 3 3 3" xfId="27589" xr:uid="{00000000-0005-0000-0000-00000C990000}"/>
    <cellStyle name="Título 3 3 4" xfId="27590" xr:uid="{00000000-0005-0000-0000-00000D990000}"/>
    <cellStyle name="Título 3 3 5" xfId="27591" xr:uid="{00000000-0005-0000-0000-00000E990000}"/>
    <cellStyle name="Título 3 3 6" xfId="27592" xr:uid="{00000000-0005-0000-0000-00000F990000}"/>
    <cellStyle name="Título 3 3 7" xfId="27593" xr:uid="{00000000-0005-0000-0000-000010990000}"/>
    <cellStyle name="Título 3 3 8" xfId="27594" xr:uid="{00000000-0005-0000-0000-000011990000}"/>
    <cellStyle name="Título 3 3 9" xfId="27595" xr:uid="{00000000-0005-0000-0000-000012990000}"/>
    <cellStyle name="Título 3 30" xfId="27596" xr:uid="{00000000-0005-0000-0000-000013990000}"/>
    <cellStyle name="Título 3 31" xfId="27597" xr:uid="{00000000-0005-0000-0000-000014990000}"/>
    <cellStyle name="Título 3 32" xfId="27598" xr:uid="{00000000-0005-0000-0000-000015990000}"/>
    <cellStyle name="Título 3 33" xfId="27599" xr:uid="{00000000-0005-0000-0000-000016990000}"/>
    <cellStyle name="Título 3 34" xfId="27600" xr:uid="{00000000-0005-0000-0000-000017990000}"/>
    <cellStyle name="Título 3 35" xfId="27601" xr:uid="{00000000-0005-0000-0000-000018990000}"/>
    <cellStyle name="Título 3 36" xfId="27602" xr:uid="{00000000-0005-0000-0000-000019990000}"/>
    <cellStyle name="Título 3 37" xfId="27603" xr:uid="{00000000-0005-0000-0000-00001A990000}"/>
    <cellStyle name="Título 3 38" xfId="27604" xr:uid="{00000000-0005-0000-0000-00001B990000}"/>
    <cellStyle name="Título 3 39" xfId="27605" xr:uid="{00000000-0005-0000-0000-00001C990000}"/>
    <cellStyle name="Título 3 4" xfId="27606" xr:uid="{00000000-0005-0000-0000-00001D990000}"/>
    <cellStyle name="Título 3 4 10" xfId="27607" xr:uid="{00000000-0005-0000-0000-00001E990000}"/>
    <cellStyle name="Título 3 4 11" xfId="27608" xr:uid="{00000000-0005-0000-0000-00001F990000}"/>
    <cellStyle name="Título 3 4 2" xfId="27609" xr:uid="{00000000-0005-0000-0000-000020990000}"/>
    <cellStyle name="Título 3 4 3" xfId="27610" xr:uid="{00000000-0005-0000-0000-000021990000}"/>
    <cellStyle name="Título 3 4 4" xfId="27611" xr:uid="{00000000-0005-0000-0000-000022990000}"/>
    <cellStyle name="Título 3 4 5" xfId="27612" xr:uid="{00000000-0005-0000-0000-000023990000}"/>
    <cellStyle name="Título 3 4 6" xfId="27613" xr:uid="{00000000-0005-0000-0000-000024990000}"/>
    <cellStyle name="Título 3 4 7" xfId="27614" xr:uid="{00000000-0005-0000-0000-000025990000}"/>
    <cellStyle name="Título 3 4 8" xfId="27615" xr:uid="{00000000-0005-0000-0000-000026990000}"/>
    <cellStyle name="Título 3 4 9" xfId="27616" xr:uid="{00000000-0005-0000-0000-000027990000}"/>
    <cellStyle name="Título 3 40" xfId="27617" xr:uid="{00000000-0005-0000-0000-000028990000}"/>
    <cellStyle name="Título 3 41" xfId="27618" xr:uid="{00000000-0005-0000-0000-000029990000}"/>
    <cellStyle name="Título 3 42" xfId="27619" xr:uid="{00000000-0005-0000-0000-00002A990000}"/>
    <cellStyle name="Título 3 43" xfId="27620" xr:uid="{00000000-0005-0000-0000-00002B990000}"/>
    <cellStyle name="Título 3 44" xfId="27621" xr:uid="{00000000-0005-0000-0000-00002C990000}"/>
    <cellStyle name="Título 3 45" xfId="27622" xr:uid="{00000000-0005-0000-0000-00002D990000}"/>
    <cellStyle name="Título 3 46" xfId="27623" xr:uid="{00000000-0005-0000-0000-00002E990000}"/>
    <cellStyle name="Título 3 47" xfId="27624" xr:uid="{00000000-0005-0000-0000-00002F990000}"/>
    <cellStyle name="Título 3 48" xfId="27625" xr:uid="{00000000-0005-0000-0000-000030990000}"/>
    <cellStyle name="Título 3 49" xfId="27626" xr:uid="{00000000-0005-0000-0000-000031990000}"/>
    <cellStyle name="Título 3 5" xfId="27627" xr:uid="{00000000-0005-0000-0000-000032990000}"/>
    <cellStyle name="Título 3 5 2" xfId="27628" xr:uid="{00000000-0005-0000-0000-000033990000}"/>
    <cellStyle name="Título 3 5 3" xfId="27629" xr:uid="{00000000-0005-0000-0000-000034990000}"/>
    <cellStyle name="Título 3 5 4" xfId="27630" xr:uid="{00000000-0005-0000-0000-000035990000}"/>
    <cellStyle name="Título 3 50" xfId="27631" xr:uid="{00000000-0005-0000-0000-000036990000}"/>
    <cellStyle name="Título 3 51" xfId="27632" xr:uid="{00000000-0005-0000-0000-000037990000}"/>
    <cellStyle name="Título 3 52" xfId="27633" xr:uid="{00000000-0005-0000-0000-000038990000}"/>
    <cellStyle name="Título 3 53" xfId="27634" xr:uid="{00000000-0005-0000-0000-000039990000}"/>
    <cellStyle name="Título 3 54" xfId="27635" xr:uid="{00000000-0005-0000-0000-00003A990000}"/>
    <cellStyle name="Título 3 55" xfId="27636" xr:uid="{00000000-0005-0000-0000-00003B990000}"/>
    <cellStyle name="Título 3 56" xfId="27637" xr:uid="{00000000-0005-0000-0000-00003C990000}"/>
    <cellStyle name="Título 3 57" xfId="27638" xr:uid="{00000000-0005-0000-0000-00003D990000}"/>
    <cellStyle name="Título 3 58" xfId="27639" xr:uid="{00000000-0005-0000-0000-00003E990000}"/>
    <cellStyle name="Título 3 59" xfId="27640" xr:uid="{00000000-0005-0000-0000-00003F990000}"/>
    <cellStyle name="Título 3 6" xfId="27641" xr:uid="{00000000-0005-0000-0000-000040990000}"/>
    <cellStyle name="Título 3 6 2" xfId="27642" xr:uid="{00000000-0005-0000-0000-000041990000}"/>
    <cellStyle name="Título 3 6 3" xfId="27643" xr:uid="{00000000-0005-0000-0000-000042990000}"/>
    <cellStyle name="Título 3 6 4" xfId="27644" xr:uid="{00000000-0005-0000-0000-000043990000}"/>
    <cellStyle name="Título 3 60" xfId="27645" xr:uid="{00000000-0005-0000-0000-000044990000}"/>
    <cellStyle name="Título 3 61" xfId="27646" xr:uid="{00000000-0005-0000-0000-000045990000}"/>
    <cellStyle name="Título 3 62" xfId="27647" xr:uid="{00000000-0005-0000-0000-000046990000}"/>
    <cellStyle name="Título 3 63" xfId="27648" xr:uid="{00000000-0005-0000-0000-000047990000}"/>
    <cellStyle name="Título 3 64" xfId="27649" xr:uid="{00000000-0005-0000-0000-000048990000}"/>
    <cellStyle name="Título 3 65" xfId="27650" xr:uid="{00000000-0005-0000-0000-000049990000}"/>
    <cellStyle name="Título 3 66" xfId="27651" xr:uid="{00000000-0005-0000-0000-00004A990000}"/>
    <cellStyle name="Título 3 67" xfId="27652" xr:uid="{00000000-0005-0000-0000-00004B990000}"/>
    <cellStyle name="Título 3 68" xfId="27653" xr:uid="{00000000-0005-0000-0000-00004C990000}"/>
    <cellStyle name="Título 3 69" xfId="27654" xr:uid="{00000000-0005-0000-0000-00004D990000}"/>
    <cellStyle name="Título 3 7" xfId="27655" xr:uid="{00000000-0005-0000-0000-00004E990000}"/>
    <cellStyle name="Título 3 7 2" xfId="27656" xr:uid="{00000000-0005-0000-0000-00004F990000}"/>
    <cellStyle name="Título 3 7 3" xfId="27657" xr:uid="{00000000-0005-0000-0000-000050990000}"/>
    <cellStyle name="Título 3 7 4" xfId="27658" xr:uid="{00000000-0005-0000-0000-000051990000}"/>
    <cellStyle name="Título 3 70" xfId="27659" xr:uid="{00000000-0005-0000-0000-000052990000}"/>
    <cellStyle name="Título 3 71" xfId="27660" xr:uid="{00000000-0005-0000-0000-000053990000}"/>
    <cellStyle name="Título 3 72" xfId="27661" xr:uid="{00000000-0005-0000-0000-000054990000}"/>
    <cellStyle name="Título 3 73" xfId="27662" xr:uid="{00000000-0005-0000-0000-000055990000}"/>
    <cellStyle name="Título 3 74" xfId="27663" xr:uid="{00000000-0005-0000-0000-000056990000}"/>
    <cellStyle name="Título 3 75" xfId="27664" xr:uid="{00000000-0005-0000-0000-000057990000}"/>
    <cellStyle name="Título 3 76" xfId="27665" xr:uid="{00000000-0005-0000-0000-000058990000}"/>
    <cellStyle name="Título 3 77" xfId="27666" xr:uid="{00000000-0005-0000-0000-000059990000}"/>
    <cellStyle name="Título 3 78" xfId="27667" xr:uid="{00000000-0005-0000-0000-00005A990000}"/>
    <cellStyle name="Título 3 79" xfId="27668" xr:uid="{00000000-0005-0000-0000-00005B990000}"/>
    <cellStyle name="Título 3 8" xfId="27669" xr:uid="{00000000-0005-0000-0000-00005C990000}"/>
    <cellStyle name="Título 3 8 2" xfId="27670" xr:uid="{00000000-0005-0000-0000-00005D990000}"/>
    <cellStyle name="Título 3 8 3" xfId="27671" xr:uid="{00000000-0005-0000-0000-00005E990000}"/>
    <cellStyle name="Título 3 8 4" xfId="27672" xr:uid="{00000000-0005-0000-0000-00005F990000}"/>
    <cellStyle name="Título 3 80" xfId="27673" xr:uid="{00000000-0005-0000-0000-000060990000}"/>
    <cellStyle name="Título 3 81" xfId="27674" xr:uid="{00000000-0005-0000-0000-000061990000}"/>
    <cellStyle name="Título 3 82" xfId="27675" xr:uid="{00000000-0005-0000-0000-000062990000}"/>
    <cellStyle name="Título 3 83" xfId="27676" xr:uid="{00000000-0005-0000-0000-000063990000}"/>
    <cellStyle name="Título 3 84" xfId="27677" xr:uid="{00000000-0005-0000-0000-000064990000}"/>
    <cellStyle name="Título 3 85" xfId="27678" xr:uid="{00000000-0005-0000-0000-000065990000}"/>
    <cellStyle name="Título 3 86" xfId="27679" xr:uid="{00000000-0005-0000-0000-000066990000}"/>
    <cellStyle name="Título 3 87" xfId="27680" xr:uid="{00000000-0005-0000-0000-000067990000}"/>
    <cellStyle name="Título 3 88" xfId="27681" xr:uid="{00000000-0005-0000-0000-000068990000}"/>
    <cellStyle name="Título 3 89" xfId="27682" xr:uid="{00000000-0005-0000-0000-000069990000}"/>
    <cellStyle name="Título 3 9" xfId="27683" xr:uid="{00000000-0005-0000-0000-00006A990000}"/>
    <cellStyle name="Título 3 90" xfId="27684" xr:uid="{00000000-0005-0000-0000-00006B990000}"/>
    <cellStyle name="Título 3 91" xfId="27685" xr:uid="{00000000-0005-0000-0000-00006C990000}"/>
    <cellStyle name="Título 3 92" xfId="27686" xr:uid="{00000000-0005-0000-0000-00006D990000}"/>
    <cellStyle name="Título 3 93" xfId="27687" xr:uid="{00000000-0005-0000-0000-00006E990000}"/>
    <cellStyle name="Título 3 94" xfId="27688" xr:uid="{00000000-0005-0000-0000-00006F990000}"/>
    <cellStyle name="Título 3 95" xfId="27689" xr:uid="{00000000-0005-0000-0000-000070990000}"/>
    <cellStyle name="Título 3 96" xfId="27690" xr:uid="{00000000-0005-0000-0000-000071990000}"/>
    <cellStyle name="Título 3 97" xfId="27691" xr:uid="{00000000-0005-0000-0000-000072990000}"/>
    <cellStyle name="Título 3 98" xfId="27692" xr:uid="{00000000-0005-0000-0000-000073990000}"/>
    <cellStyle name="Título 3 99" xfId="27693" xr:uid="{00000000-0005-0000-0000-000074990000}"/>
    <cellStyle name="Título 30" xfId="27694" xr:uid="{00000000-0005-0000-0000-000075990000}"/>
    <cellStyle name="Título 30 10" xfId="27695" xr:uid="{00000000-0005-0000-0000-000076990000}"/>
    <cellStyle name="Título 30 11" xfId="27696" xr:uid="{00000000-0005-0000-0000-000077990000}"/>
    <cellStyle name="Título 30 12" xfId="27697" xr:uid="{00000000-0005-0000-0000-000078990000}"/>
    <cellStyle name="Título 30 13" xfId="27698" xr:uid="{00000000-0005-0000-0000-000079990000}"/>
    <cellStyle name="Título 30 14" xfId="27699" xr:uid="{00000000-0005-0000-0000-00007A990000}"/>
    <cellStyle name="Título 30 15" xfId="27700" xr:uid="{00000000-0005-0000-0000-00007B990000}"/>
    <cellStyle name="Título 30 16" xfId="27701" xr:uid="{00000000-0005-0000-0000-00007C990000}"/>
    <cellStyle name="Título 30 2" xfId="27702" xr:uid="{00000000-0005-0000-0000-00007D990000}"/>
    <cellStyle name="Título 30 3" xfId="27703" xr:uid="{00000000-0005-0000-0000-00007E990000}"/>
    <cellStyle name="Título 30 4" xfId="27704" xr:uid="{00000000-0005-0000-0000-00007F990000}"/>
    <cellStyle name="Título 30 5" xfId="27705" xr:uid="{00000000-0005-0000-0000-000080990000}"/>
    <cellStyle name="Título 30 6" xfId="27706" xr:uid="{00000000-0005-0000-0000-000081990000}"/>
    <cellStyle name="Título 30 7" xfId="27707" xr:uid="{00000000-0005-0000-0000-000082990000}"/>
    <cellStyle name="Título 30 8" xfId="27708" xr:uid="{00000000-0005-0000-0000-000083990000}"/>
    <cellStyle name="Título 30 9" xfId="27709" xr:uid="{00000000-0005-0000-0000-000084990000}"/>
    <cellStyle name="Título 31" xfId="27710" xr:uid="{00000000-0005-0000-0000-000085990000}"/>
    <cellStyle name="Título 31 10" xfId="27711" xr:uid="{00000000-0005-0000-0000-000086990000}"/>
    <cellStyle name="Título 31 11" xfId="27712" xr:uid="{00000000-0005-0000-0000-000087990000}"/>
    <cellStyle name="Título 31 12" xfId="27713" xr:uid="{00000000-0005-0000-0000-000088990000}"/>
    <cellStyle name="Título 31 13" xfId="27714" xr:uid="{00000000-0005-0000-0000-000089990000}"/>
    <cellStyle name="Título 31 14" xfId="27715" xr:uid="{00000000-0005-0000-0000-00008A990000}"/>
    <cellStyle name="Título 31 15" xfId="27716" xr:uid="{00000000-0005-0000-0000-00008B990000}"/>
    <cellStyle name="Título 31 16" xfId="27717" xr:uid="{00000000-0005-0000-0000-00008C990000}"/>
    <cellStyle name="Título 31 2" xfId="27718" xr:uid="{00000000-0005-0000-0000-00008D990000}"/>
    <cellStyle name="Título 31 3" xfId="27719" xr:uid="{00000000-0005-0000-0000-00008E990000}"/>
    <cellStyle name="Título 31 4" xfId="27720" xr:uid="{00000000-0005-0000-0000-00008F990000}"/>
    <cellStyle name="Título 31 5" xfId="27721" xr:uid="{00000000-0005-0000-0000-000090990000}"/>
    <cellStyle name="Título 31 6" xfId="27722" xr:uid="{00000000-0005-0000-0000-000091990000}"/>
    <cellStyle name="Título 31 7" xfId="27723" xr:uid="{00000000-0005-0000-0000-000092990000}"/>
    <cellStyle name="Título 31 8" xfId="27724" xr:uid="{00000000-0005-0000-0000-000093990000}"/>
    <cellStyle name="Título 31 9" xfId="27725" xr:uid="{00000000-0005-0000-0000-000094990000}"/>
    <cellStyle name="Título 32" xfId="27726" xr:uid="{00000000-0005-0000-0000-000095990000}"/>
    <cellStyle name="Título 32 10" xfId="27727" xr:uid="{00000000-0005-0000-0000-000096990000}"/>
    <cellStyle name="Título 32 11" xfId="27728" xr:uid="{00000000-0005-0000-0000-000097990000}"/>
    <cellStyle name="Título 32 12" xfId="27729" xr:uid="{00000000-0005-0000-0000-000098990000}"/>
    <cellStyle name="Título 32 13" xfId="27730" xr:uid="{00000000-0005-0000-0000-000099990000}"/>
    <cellStyle name="Título 32 14" xfId="27731" xr:uid="{00000000-0005-0000-0000-00009A990000}"/>
    <cellStyle name="Título 32 15" xfId="27732" xr:uid="{00000000-0005-0000-0000-00009B990000}"/>
    <cellStyle name="Título 32 16" xfId="27733" xr:uid="{00000000-0005-0000-0000-00009C990000}"/>
    <cellStyle name="Título 32 2" xfId="27734" xr:uid="{00000000-0005-0000-0000-00009D990000}"/>
    <cellStyle name="Título 32 3" xfId="27735" xr:uid="{00000000-0005-0000-0000-00009E990000}"/>
    <cellStyle name="Título 32 4" xfId="27736" xr:uid="{00000000-0005-0000-0000-00009F990000}"/>
    <cellStyle name="Título 32 5" xfId="27737" xr:uid="{00000000-0005-0000-0000-0000A0990000}"/>
    <cellStyle name="Título 32 6" xfId="27738" xr:uid="{00000000-0005-0000-0000-0000A1990000}"/>
    <cellStyle name="Título 32 7" xfId="27739" xr:uid="{00000000-0005-0000-0000-0000A2990000}"/>
    <cellStyle name="Título 32 8" xfId="27740" xr:uid="{00000000-0005-0000-0000-0000A3990000}"/>
    <cellStyle name="Título 32 9" xfId="27741" xr:uid="{00000000-0005-0000-0000-0000A4990000}"/>
    <cellStyle name="Título 33" xfId="27742" xr:uid="{00000000-0005-0000-0000-0000A5990000}"/>
    <cellStyle name="Título 34" xfId="27743" xr:uid="{00000000-0005-0000-0000-0000A6990000}"/>
    <cellStyle name="Título 35" xfId="27744" xr:uid="{00000000-0005-0000-0000-0000A7990000}"/>
    <cellStyle name="Título 36" xfId="27745" xr:uid="{00000000-0005-0000-0000-0000A8990000}"/>
    <cellStyle name="Título 37" xfId="27746" xr:uid="{00000000-0005-0000-0000-0000A9990000}"/>
    <cellStyle name="Título 38" xfId="27747" xr:uid="{00000000-0005-0000-0000-0000AA990000}"/>
    <cellStyle name="Título 39" xfId="27748" xr:uid="{00000000-0005-0000-0000-0000AB990000}"/>
    <cellStyle name="Título 4 10" xfId="27749" xr:uid="{00000000-0005-0000-0000-0000AC990000}"/>
    <cellStyle name="Título 4 10 2" xfId="40887" xr:uid="{00000000-0005-0000-0000-0000AD990000}"/>
    <cellStyle name="Título 4 100" xfId="27750" xr:uid="{00000000-0005-0000-0000-0000AE990000}"/>
    <cellStyle name="Título 4 101" xfId="27751" xr:uid="{00000000-0005-0000-0000-0000AF990000}"/>
    <cellStyle name="Título 4 102" xfId="27752" xr:uid="{00000000-0005-0000-0000-0000B0990000}"/>
    <cellStyle name="Título 4 103" xfId="27753" xr:uid="{00000000-0005-0000-0000-0000B1990000}"/>
    <cellStyle name="Título 4 104" xfId="27754" xr:uid="{00000000-0005-0000-0000-0000B2990000}"/>
    <cellStyle name="Título 4 105" xfId="27755" xr:uid="{00000000-0005-0000-0000-0000B3990000}"/>
    <cellStyle name="Título 4 106" xfId="27756" xr:uid="{00000000-0005-0000-0000-0000B4990000}"/>
    <cellStyle name="Título 4 107" xfId="27757" xr:uid="{00000000-0005-0000-0000-0000B5990000}"/>
    <cellStyle name="Título 4 108" xfId="27758" xr:uid="{00000000-0005-0000-0000-0000B6990000}"/>
    <cellStyle name="Título 4 109" xfId="27759" xr:uid="{00000000-0005-0000-0000-0000B7990000}"/>
    <cellStyle name="Título 4 11" xfId="27760" xr:uid="{00000000-0005-0000-0000-0000B8990000}"/>
    <cellStyle name="Título 4 11 2" xfId="40888" xr:uid="{00000000-0005-0000-0000-0000B9990000}"/>
    <cellStyle name="Título 4 110" xfId="27761" xr:uid="{00000000-0005-0000-0000-0000BA990000}"/>
    <cellStyle name="Título 4 111" xfId="27762" xr:uid="{00000000-0005-0000-0000-0000BB990000}"/>
    <cellStyle name="Título 4 112" xfId="27763" xr:uid="{00000000-0005-0000-0000-0000BC990000}"/>
    <cellStyle name="Título 4 113" xfId="27764" xr:uid="{00000000-0005-0000-0000-0000BD990000}"/>
    <cellStyle name="Título 4 114" xfId="27765" xr:uid="{00000000-0005-0000-0000-0000BE990000}"/>
    <cellStyle name="Título 4 115" xfId="27766" xr:uid="{00000000-0005-0000-0000-0000BF990000}"/>
    <cellStyle name="Título 4 116" xfId="27767" xr:uid="{00000000-0005-0000-0000-0000C0990000}"/>
    <cellStyle name="Título 4 117" xfId="27768" xr:uid="{00000000-0005-0000-0000-0000C1990000}"/>
    <cellStyle name="Título 4 118" xfId="27769" xr:uid="{00000000-0005-0000-0000-0000C2990000}"/>
    <cellStyle name="Título 4 119" xfId="27770" xr:uid="{00000000-0005-0000-0000-0000C3990000}"/>
    <cellStyle name="Título 4 12" xfId="27771" xr:uid="{00000000-0005-0000-0000-0000C4990000}"/>
    <cellStyle name="Título 4 12 2" xfId="40889" xr:uid="{00000000-0005-0000-0000-0000C5990000}"/>
    <cellStyle name="Título 4 120" xfId="27772" xr:uid="{00000000-0005-0000-0000-0000C6990000}"/>
    <cellStyle name="Título 4 121" xfId="27773" xr:uid="{00000000-0005-0000-0000-0000C7990000}"/>
    <cellStyle name="Título 4 122" xfId="27774" xr:uid="{00000000-0005-0000-0000-0000C8990000}"/>
    <cellStyle name="Título 4 123" xfId="27775" xr:uid="{00000000-0005-0000-0000-0000C9990000}"/>
    <cellStyle name="Título 4 124" xfId="27776" xr:uid="{00000000-0005-0000-0000-0000CA990000}"/>
    <cellStyle name="Título 4 125" xfId="27777" xr:uid="{00000000-0005-0000-0000-0000CB990000}"/>
    <cellStyle name="Título 4 126" xfId="27778" xr:uid="{00000000-0005-0000-0000-0000CC990000}"/>
    <cellStyle name="Título 4 127" xfId="27779" xr:uid="{00000000-0005-0000-0000-0000CD990000}"/>
    <cellStyle name="Título 4 128" xfId="27780" xr:uid="{00000000-0005-0000-0000-0000CE990000}"/>
    <cellStyle name="Título 4 129" xfId="27781" xr:uid="{00000000-0005-0000-0000-0000CF990000}"/>
    <cellStyle name="Título 4 13" xfId="27782" xr:uid="{00000000-0005-0000-0000-0000D0990000}"/>
    <cellStyle name="Título 4 13 2" xfId="40890" xr:uid="{00000000-0005-0000-0000-0000D1990000}"/>
    <cellStyle name="Título 4 130" xfId="27783" xr:uid="{00000000-0005-0000-0000-0000D2990000}"/>
    <cellStyle name="Título 4 131" xfId="27784" xr:uid="{00000000-0005-0000-0000-0000D3990000}"/>
    <cellStyle name="Título 4 132" xfId="27785" xr:uid="{00000000-0005-0000-0000-0000D4990000}"/>
    <cellStyle name="Título 4 133" xfId="27786" xr:uid="{00000000-0005-0000-0000-0000D5990000}"/>
    <cellStyle name="Título 4 134" xfId="27787" xr:uid="{00000000-0005-0000-0000-0000D6990000}"/>
    <cellStyle name="Título 4 135" xfId="27788" xr:uid="{00000000-0005-0000-0000-0000D7990000}"/>
    <cellStyle name="Título 4 136" xfId="27789" xr:uid="{00000000-0005-0000-0000-0000D8990000}"/>
    <cellStyle name="Título 4 137" xfId="27790" xr:uid="{00000000-0005-0000-0000-0000D9990000}"/>
    <cellStyle name="Título 4 138" xfId="27791" xr:uid="{00000000-0005-0000-0000-0000DA990000}"/>
    <cellStyle name="Título 4 139" xfId="27792" xr:uid="{00000000-0005-0000-0000-0000DB990000}"/>
    <cellStyle name="Título 4 14" xfId="27793" xr:uid="{00000000-0005-0000-0000-0000DC990000}"/>
    <cellStyle name="Título 4 140" xfId="27794" xr:uid="{00000000-0005-0000-0000-0000DD990000}"/>
    <cellStyle name="Título 4 141" xfId="27795" xr:uid="{00000000-0005-0000-0000-0000DE990000}"/>
    <cellStyle name="Título 4 142" xfId="27796" xr:uid="{00000000-0005-0000-0000-0000DF990000}"/>
    <cellStyle name="Título 4 143" xfId="27797" xr:uid="{00000000-0005-0000-0000-0000E0990000}"/>
    <cellStyle name="Título 4 144" xfId="27798" xr:uid="{00000000-0005-0000-0000-0000E1990000}"/>
    <cellStyle name="Título 4 145" xfId="27799" xr:uid="{00000000-0005-0000-0000-0000E2990000}"/>
    <cellStyle name="Título 4 146" xfId="27800" xr:uid="{00000000-0005-0000-0000-0000E3990000}"/>
    <cellStyle name="Título 4 147" xfId="27801" xr:uid="{00000000-0005-0000-0000-0000E4990000}"/>
    <cellStyle name="Título 4 148" xfId="27802" xr:uid="{00000000-0005-0000-0000-0000E5990000}"/>
    <cellStyle name="Título 4 149" xfId="27803" xr:uid="{00000000-0005-0000-0000-0000E6990000}"/>
    <cellStyle name="Título 4 15" xfId="27804" xr:uid="{00000000-0005-0000-0000-0000E7990000}"/>
    <cellStyle name="Título 4 15 2" xfId="27805" xr:uid="{00000000-0005-0000-0000-0000E8990000}"/>
    <cellStyle name="Título 4 15 3" xfId="27806" xr:uid="{00000000-0005-0000-0000-0000E9990000}"/>
    <cellStyle name="Título 4 150" xfId="27807" xr:uid="{00000000-0005-0000-0000-0000EA990000}"/>
    <cellStyle name="Título 4 151" xfId="27808" xr:uid="{00000000-0005-0000-0000-0000EB990000}"/>
    <cellStyle name="Título 4 152" xfId="27809" xr:uid="{00000000-0005-0000-0000-0000EC990000}"/>
    <cellStyle name="Título 4 153" xfId="27810" xr:uid="{00000000-0005-0000-0000-0000ED990000}"/>
    <cellStyle name="Título 4 154" xfId="27811" xr:uid="{00000000-0005-0000-0000-0000EE990000}"/>
    <cellStyle name="Título 4 155" xfId="27812" xr:uid="{00000000-0005-0000-0000-0000EF990000}"/>
    <cellStyle name="Título 4 156" xfId="27813" xr:uid="{00000000-0005-0000-0000-0000F0990000}"/>
    <cellStyle name="Título 4 157" xfId="27814" xr:uid="{00000000-0005-0000-0000-0000F1990000}"/>
    <cellStyle name="Título 4 158" xfId="27815" xr:uid="{00000000-0005-0000-0000-0000F2990000}"/>
    <cellStyle name="Título 4 159" xfId="27816" xr:uid="{00000000-0005-0000-0000-0000F3990000}"/>
    <cellStyle name="Título 4 16" xfId="27817" xr:uid="{00000000-0005-0000-0000-0000F4990000}"/>
    <cellStyle name="Título 4 16 2" xfId="27818" xr:uid="{00000000-0005-0000-0000-0000F5990000}"/>
    <cellStyle name="Título 4 16 3" xfId="27819" xr:uid="{00000000-0005-0000-0000-0000F6990000}"/>
    <cellStyle name="Título 4 160" xfId="27820" xr:uid="{00000000-0005-0000-0000-0000F7990000}"/>
    <cellStyle name="Título 4 161" xfId="27821" xr:uid="{00000000-0005-0000-0000-0000F8990000}"/>
    <cellStyle name="Título 4 162" xfId="27822" xr:uid="{00000000-0005-0000-0000-0000F9990000}"/>
    <cellStyle name="Título 4 163" xfId="27823" xr:uid="{00000000-0005-0000-0000-0000FA990000}"/>
    <cellStyle name="Título 4 164" xfId="27824" xr:uid="{00000000-0005-0000-0000-0000FB990000}"/>
    <cellStyle name="Título 4 165" xfId="27825" xr:uid="{00000000-0005-0000-0000-0000FC990000}"/>
    <cellStyle name="Título 4 166" xfId="27826" xr:uid="{00000000-0005-0000-0000-0000FD990000}"/>
    <cellStyle name="Título 4 167" xfId="27827" xr:uid="{00000000-0005-0000-0000-0000FE990000}"/>
    <cellStyle name="Título 4 168" xfId="27828" xr:uid="{00000000-0005-0000-0000-0000FF990000}"/>
    <cellStyle name="Título 4 169" xfId="27829" xr:uid="{00000000-0005-0000-0000-0000009A0000}"/>
    <cellStyle name="Título 4 17" xfId="27830" xr:uid="{00000000-0005-0000-0000-0000019A0000}"/>
    <cellStyle name="Título 4 17 2" xfId="27831" xr:uid="{00000000-0005-0000-0000-0000029A0000}"/>
    <cellStyle name="Título 4 17 3" xfId="27832" xr:uid="{00000000-0005-0000-0000-0000039A0000}"/>
    <cellStyle name="Título 4 170" xfId="27833" xr:uid="{00000000-0005-0000-0000-0000049A0000}"/>
    <cellStyle name="Título 4 171" xfId="27834" xr:uid="{00000000-0005-0000-0000-0000059A0000}"/>
    <cellStyle name="Título 4 172" xfId="27835" xr:uid="{00000000-0005-0000-0000-0000069A0000}"/>
    <cellStyle name="Título 4 173" xfId="27836" xr:uid="{00000000-0005-0000-0000-0000079A0000}"/>
    <cellStyle name="Título 4 174" xfId="27837" xr:uid="{00000000-0005-0000-0000-0000089A0000}"/>
    <cellStyle name="Título 4 175" xfId="27838" xr:uid="{00000000-0005-0000-0000-0000099A0000}"/>
    <cellStyle name="Título 4 176" xfId="27839" xr:uid="{00000000-0005-0000-0000-00000A9A0000}"/>
    <cellStyle name="Título 4 177" xfId="27840" xr:uid="{00000000-0005-0000-0000-00000B9A0000}"/>
    <cellStyle name="Título 4 178" xfId="27841" xr:uid="{00000000-0005-0000-0000-00000C9A0000}"/>
    <cellStyle name="Título 4 179" xfId="27842" xr:uid="{00000000-0005-0000-0000-00000D9A0000}"/>
    <cellStyle name="Título 4 18" xfId="27843" xr:uid="{00000000-0005-0000-0000-00000E9A0000}"/>
    <cellStyle name="Título 4 18 2" xfId="27844" xr:uid="{00000000-0005-0000-0000-00000F9A0000}"/>
    <cellStyle name="Título 4 18 3" xfId="27845" xr:uid="{00000000-0005-0000-0000-0000109A0000}"/>
    <cellStyle name="Título 4 180" xfId="27846" xr:uid="{00000000-0005-0000-0000-0000119A0000}"/>
    <cellStyle name="Título 4 181" xfId="27847" xr:uid="{00000000-0005-0000-0000-0000129A0000}"/>
    <cellStyle name="Título 4 182" xfId="27848" xr:uid="{00000000-0005-0000-0000-0000139A0000}"/>
    <cellStyle name="Título 4 183" xfId="27849" xr:uid="{00000000-0005-0000-0000-0000149A0000}"/>
    <cellStyle name="Título 4 184" xfId="27850" xr:uid="{00000000-0005-0000-0000-0000159A0000}"/>
    <cellStyle name="Título 4 185" xfId="27851" xr:uid="{00000000-0005-0000-0000-0000169A0000}"/>
    <cellStyle name="Título 4 186" xfId="27852" xr:uid="{00000000-0005-0000-0000-0000179A0000}"/>
    <cellStyle name="Título 4 187" xfId="27853" xr:uid="{00000000-0005-0000-0000-0000189A0000}"/>
    <cellStyle name="Título 4 188" xfId="27854" xr:uid="{00000000-0005-0000-0000-0000199A0000}"/>
    <cellStyle name="Título 4 189" xfId="27855" xr:uid="{00000000-0005-0000-0000-00001A9A0000}"/>
    <cellStyle name="Título 4 19" xfId="27856" xr:uid="{00000000-0005-0000-0000-00001B9A0000}"/>
    <cellStyle name="Título 4 19 2" xfId="27857" xr:uid="{00000000-0005-0000-0000-00001C9A0000}"/>
    <cellStyle name="Título 4 19 3" xfId="27858" xr:uid="{00000000-0005-0000-0000-00001D9A0000}"/>
    <cellStyle name="Título 4 190" xfId="27859" xr:uid="{00000000-0005-0000-0000-00001E9A0000}"/>
    <cellStyle name="Título 4 2" xfId="27860" xr:uid="{00000000-0005-0000-0000-00001F9A0000}"/>
    <cellStyle name="Título 4 2 10" xfId="27861" xr:uid="{00000000-0005-0000-0000-0000209A0000}"/>
    <cellStyle name="Título 4 2 10 2" xfId="27862" xr:uid="{00000000-0005-0000-0000-0000219A0000}"/>
    <cellStyle name="Título 4 2 10 3" xfId="27863" xr:uid="{00000000-0005-0000-0000-0000229A0000}"/>
    <cellStyle name="Título 4 2 10 4" xfId="27864" xr:uid="{00000000-0005-0000-0000-0000239A0000}"/>
    <cellStyle name="Título 4 2 10 5" xfId="27865" xr:uid="{00000000-0005-0000-0000-0000249A0000}"/>
    <cellStyle name="Título 4 2 10 6" xfId="27866" xr:uid="{00000000-0005-0000-0000-0000259A0000}"/>
    <cellStyle name="Título 4 2 10 7" xfId="27867" xr:uid="{00000000-0005-0000-0000-0000269A0000}"/>
    <cellStyle name="Título 4 2 11" xfId="27868" xr:uid="{00000000-0005-0000-0000-0000279A0000}"/>
    <cellStyle name="Título 4 2 11 2" xfId="27869" xr:uid="{00000000-0005-0000-0000-0000289A0000}"/>
    <cellStyle name="Título 4 2 11 3" xfId="27870" xr:uid="{00000000-0005-0000-0000-0000299A0000}"/>
    <cellStyle name="Título 4 2 11 4" xfId="27871" xr:uid="{00000000-0005-0000-0000-00002A9A0000}"/>
    <cellStyle name="Título 4 2 11 5" xfId="27872" xr:uid="{00000000-0005-0000-0000-00002B9A0000}"/>
    <cellStyle name="Título 4 2 11 6" xfId="27873" xr:uid="{00000000-0005-0000-0000-00002C9A0000}"/>
    <cellStyle name="Título 4 2 11 7" xfId="27874" xr:uid="{00000000-0005-0000-0000-00002D9A0000}"/>
    <cellStyle name="Título 4 2 12" xfId="27875" xr:uid="{00000000-0005-0000-0000-00002E9A0000}"/>
    <cellStyle name="Título 4 2 13" xfId="27876" xr:uid="{00000000-0005-0000-0000-00002F9A0000}"/>
    <cellStyle name="Título 4 2 14" xfId="27877" xr:uid="{00000000-0005-0000-0000-0000309A0000}"/>
    <cellStyle name="Título 4 2 15" xfId="27878" xr:uid="{00000000-0005-0000-0000-0000319A0000}"/>
    <cellStyle name="Título 4 2 16" xfId="27879" xr:uid="{00000000-0005-0000-0000-0000329A0000}"/>
    <cellStyle name="Título 4 2 17" xfId="27880" xr:uid="{00000000-0005-0000-0000-0000339A0000}"/>
    <cellStyle name="Título 4 2 18" xfId="27881" xr:uid="{00000000-0005-0000-0000-0000349A0000}"/>
    <cellStyle name="Título 4 2 19" xfId="27882" xr:uid="{00000000-0005-0000-0000-0000359A0000}"/>
    <cellStyle name="Título 4 2 2" xfId="27883" xr:uid="{00000000-0005-0000-0000-0000369A0000}"/>
    <cellStyle name="Título 4 2 20" xfId="27884" xr:uid="{00000000-0005-0000-0000-0000379A0000}"/>
    <cellStyle name="Título 4 2 21" xfId="27885" xr:uid="{00000000-0005-0000-0000-0000389A0000}"/>
    <cellStyle name="Título 4 2 22" xfId="27886" xr:uid="{00000000-0005-0000-0000-0000399A0000}"/>
    <cellStyle name="Título 4 2 23" xfId="27887" xr:uid="{00000000-0005-0000-0000-00003A9A0000}"/>
    <cellStyle name="Título 4 2 24" xfId="27888" xr:uid="{00000000-0005-0000-0000-00003B9A0000}"/>
    <cellStyle name="Título 4 2 25" xfId="27889" xr:uid="{00000000-0005-0000-0000-00003C9A0000}"/>
    <cellStyle name="Título 4 2 26" xfId="27890" xr:uid="{00000000-0005-0000-0000-00003D9A0000}"/>
    <cellStyle name="Título 4 2 27" xfId="27891" xr:uid="{00000000-0005-0000-0000-00003E9A0000}"/>
    <cellStyle name="Título 4 2 28" xfId="27892" xr:uid="{00000000-0005-0000-0000-00003F9A0000}"/>
    <cellStyle name="Título 4 2 29" xfId="27893" xr:uid="{00000000-0005-0000-0000-0000409A0000}"/>
    <cellStyle name="Título 4 2 3" xfId="27894" xr:uid="{00000000-0005-0000-0000-0000419A0000}"/>
    <cellStyle name="Título 4 2 30" xfId="27895" xr:uid="{00000000-0005-0000-0000-0000429A0000}"/>
    <cellStyle name="Título 4 2 31" xfId="27896" xr:uid="{00000000-0005-0000-0000-0000439A0000}"/>
    <cellStyle name="Título 4 2 32" xfId="27897" xr:uid="{00000000-0005-0000-0000-0000449A0000}"/>
    <cellStyle name="Título 4 2 33" xfId="27898" xr:uid="{00000000-0005-0000-0000-0000459A0000}"/>
    <cellStyle name="Título 4 2 34" xfId="27899" xr:uid="{00000000-0005-0000-0000-0000469A0000}"/>
    <cellStyle name="Título 4 2 35" xfId="27900" xr:uid="{00000000-0005-0000-0000-0000479A0000}"/>
    <cellStyle name="Título 4 2 4" xfId="27901" xr:uid="{00000000-0005-0000-0000-0000489A0000}"/>
    <cellStyle name="Título 4 2 5" xfId="27902" xr:uid="{00000000-0005-0000-0000-0000499A0000}"/>
    <cellStyle name="Título 4 2 6" xfId="27903" xr:uid="{00000000-0005-0000-0000-00004A9A0000}"/>
    <cellStyle name="Título 4 2 7" xfId="27904" xr:uid="{00000000-0005-0000-0000-00004B9A0000}"/>
    <cellStyle name="Título 4 2 8" xfId="27905" xr:uid="{00000000-0005-0000-0000-00004C9A0000}"/>
    <cellStyle name="Título 4 2 8 2" xfId="27906" xr:uid="{00000000-0005-0000-0000-00004D9A0000}"/>
    <cellStyle name="Título 4 2 8 3" xfId="27907" xr:uid="{00000000-0005-0000-0000-00004E9A0000}"/>
    <cellStyle name="Título 4 2 8 4" xfId="27908" xr:uid="{00000000-0005-0000-0000-00004F9A0000}"/>
    <cellStyle name="Título 4 2 8 5" xfId="27909" xr:uid="{00000000-0005-0000-0000-0000509A0000}"/>
    <cellStyle name="Título 4 2 8 6" xfId="27910" xr:uid="{00000000-0005-0000-0000-0000519A0000}"/>
    <cellStyle name="Título 4 2 8 7" xfId="27911" xr:uid="{00000000-0005-0000-0000-0000529A0000}"/>
    <cellStyle name="Título 4 2 9" xfId="27912" xr:uid="{00000000-0005-0000-0000-0000539A0000}"/>
    <cellStyle name="Título 4 2 9 2" xfId="27913" xr:uid="{00000000-0005-0000-0000-0000549A0000}"/>
    <cellStyle name="Título 4 2 9 3" xfId="27914" xr:uid="{00000000-0005-0000-0000-0000559A0000}"/>
    <cellStyle name="Título 4 2 9 4" xfId="27915" xr:uid="{00000000-0005-0000-0000-0000569A0000}"/>
    <cellStyle name="Título 4 2 9 5" xfId="27916" xr:uid="{00000000-0005-0000-0000-0000579A0000}"/>
    <cellStyle name="Título 4 2 9 6" xfId="27917" xr:uid="{00000000-0005-0000-0000-0000589A0000}"/>
    <cellStyle name="Título 4 2 9 7" xfId="27918" xr:uid="{00000000-0005-0000-0000-0000599A0000}"/>
    <cellStyle name="Título 4 20" xfId="27919" xr:uid="{00000000-0005-0000-0000-00005A9A0000}"/>
    <cellStyle name="Título 4 20 2" xfId="27920" xr:uid="{00000000-0005-0000-0000-00005B9A0000}"/>
    <cellStyle name="Título 4 20 3" xfId="27921" xr:uid="{00000000-0005-0000-0000-00005C9A0000}"/>
    <cellStyle name="Título 4 21" xfId="27922" xr:uid="{00000000-0005-0000-0000-00005D9A0000}"/>
    <cellStyle name="Título 4 22" xfId="27923" xr:uid="{00000000-0005-0000-0000-00005E9A0000}"/>
    <cellStyle name="Título 4 23" xfId="27924" xr:uid="{00000000-0005-0000-0000-00005F9A0000}"/>
    <cellStyle name="Título 4 24" xfId="27925" xr:uid="{00000000-0005-0000-0000-0000609A0000}"/>
    <cellStyle name="Título 4 24 2" xfId="40962" xr:uid="{00000000-0005-0000-0000-0000619A0000}"/>
    <cellStyle name="Título 4 25" xfId="27926" xr:uid="{00000000-0005-0000-0000-0000629A0000}"/>
    <cellStyle name="Título 4 25 2" xfId="40997" xr:uid="{00000000-0005-0000-0000-0000639A0000}"/>
    <cellStyle name="Título 4 26" xfId="27927" xr:uid="{00000000-0005-0000-0000-0000649A0000}"/>
    <cellStyle name="Título 4 26 10" xfId="27928" xr:uid="{00000000-0005-0000-0000-0000659A0000}"/>
    <cellStyle name="Título 4 26 11" xfId="27929" xr:uid="{00000000-0005-0000-0000-0000669A0000}"/>
    <cellStyle name="Título 4 26 12" xfId="27930" xr:uid="{00000000-0005-0000-0000-0000679A0000}"/>
    <cellStyle name="Título 4 26 13" xfId="27931" xr:uid="{00000000-0005-0000-0000-0000689A0000}"/>
    <cellStyle name="Título 4 26 14" xfId="27932" xr:uid="{00000000-0005-0000-0000-0000699A0000}"/>
    <cellStyle name="Título 4 26 15" xfId="27933" xr:uid="{00000000-0005-0000-0000-00006A9A0000}"/>
    <cellStyle name="Título 4 26 16" xfId="27934" xr:uid="{00000000-0005-0000-0000-00006B9A0000}"/>
    <cellStyle name="Título 4 26 2" xfId="27935" xr:uid="{00000000-0005-0000-0000-00006C9A0000}"/>
    <cellStyle name="Título 4 26 3" xfId="27936" xr:uid="{00000000-0005-0000-0000-00006D9A0000}"/>
    <cellStyle name="Título 4 26 4" xfId="27937" xr:uid="{00000000-0005-0000-0000-00006E9A0000}"/>
    <cellStyle name="Título 4 26 5" xfId="27938" xr:uid="{00000000-0005-0000-0000-00006F9A0000}"/>
    <cellStyle name="Título 4 26 6" xfId="27939" xr:uid="{00000000-0005-0000-0000-0000709A0000}"/>
    <cellStyle name="Título 4 26 7" xfId="27940" xr:uid="{00000000-0005-0000-0000-0000719A0000}"/>
    <cellStyle name="Título 4 26 8" xfId="27941" xr:uid="{00000000-0005-0000-0000-0000729A0000}"/>
    <cellStyle name="Título 4 26 9" xfId="27942" xr:uid="{00000000-0005-0000-0000-0000739A0000}"/>
    <cellStyle name="Título 4 27" xfId="27943" xr:uid="{00000000-0005-0000-0000-0000749A0000}"/>
    <cellStyle name="Título 4 27 10" xfId="27944" xr:uid="{00000000-0005-0000-0000-0000759A0000}"/>
    <cellStyle name="Título 4 27 11" xfId="27945" xr:uid="{00000000-0005-0000-0000-0000769A0000}"/>
    <cellStyle name="Título 4 27 12" xfId="27946" xr:uid="{00000000-0005-0000-0000-0000779A0000}"/>
    <cellStyle name="Título 4 27 13" xfId="27947" xr:uid="{00000000-0005-0000-0000-0000789A0000}"/>
    <cellStyle name="Título 4 27 14" xfId="27948" xr:uid="{00000000-0005-0000-0000-0000799A0000}"/>
    <cellStyle name="Título 4 27 15" xfId="27949" xr:uid="{00000000-0005-0000-0000-00007A9A0000}"/>
    <cellStyle name="Título 4 27 16" xfId="27950" xr:uid="{00000000-0005-0000-0000-00007B9A0000}"/>
    <cellStyle name="Título 4 27 2" xfId="27951" xr:uid="{00000000-0005-0000-0000-00007C9A0000}"/>
    <cellStyle name="Título 4 27 3" xfId="27952" xr:uid="{00000000-0005-0000-0000-00007D9A0000}"/>
    <cellStyle name="Título 4 27 4" xfId="27953" xr:uid="{00000000-0005-0000-0000-00007E9A0000}"/>
    <cellStyle name="Título 4 27 5" xfId="27954" xr:uid="{00000000-0005-0000-0000-00007F9A0000}"/>
    <cellStyle name="Título 4 27 6" xfId="27955" xr:uid="{00000000-0005-0000-0000-0000809A0000}"/>
    <cellStyle name="Título 4 27 7" xfId="27956" xr:uid="{00000000-0005-0000-0000-0000819A0000}"/>
    <cellStyle name="Título 4 27 8" xfId="27957" xr:uid="{00000000-0005-0000-0000-0000829A0000}"/>
    <cellStyle name="Título 4 27 9" xfId="27958" xr:uid="{00000000-0005-0000-0000-0000839A0000}"/>
    <cellStyle name="Título 4 28" xfId="27959" xr:uid="{00000000-0005-0000-0000-0000849A0000}"/>
    <cellStyle name="Título 4 28 10" xfId="27960" xr:uid="{00000000-0005-0000-0000-0000859A0000}"/>
    <cellStyle name="Título 4 28 11" xfId="27961" xr:uid="{00000000-0005-0000-0000-0000869A0000}"/>
    <cellStyle name="Título 4 28 12" xfId="27962" xr:uid="{00000000-0005-0000-0000-0000879A0000}"/>
    <cellStyle name="Título 4 28 13" xfId="27963" xr:uid="{00000000-0005-0000-0000-0000889A0000}"/>
    <cellStyle name="Título 4 28 14" xfId="27964" xr:uid="{00000000-0005-0000-0000-0000899A0000}"/>
    <cellStyle name="Título 4 28 15" xfId="27965" xr:uid="{00000000-0005-0000-0000-00008A9A0000}"/>
    <cellStyle name="Título 4 28 16" xfId="27966" xr:uid="{00000000-0005-0000-0000-00008B9A0000}"/>
    <cellStyle name="Título 4 28 2" xfId="27967" xr:uid="{00000000-0005-0000-0000-00008C9A0000}"/>
    <cellStyle name="Título 4 28 3" xfId="27968" xr:uid="{00000000-0005-0000-0000-00008D9A0000}"/>
    <cellStyle name="Título 4 28 4" xfId="27969" xr:uid="{00000000-0005-0000-0000-00008E9A0000}"/>
    <cellStyle name="Título 4 28 5" xfId="27970" xr:uid="{00000000-0005-0000-0000-00008F9A0000}"/>
    <cellStyle name="Título 4 28 6" xfId="27971" xr:uid="{00000000-0005-0000-0000-0000909A0000}"/>
    <cellStyle name="Título 4 28 7" xfId="27972" xr:uid="{00000000-0005-0000-0000-0000919A0000}"/>
    <cellStyle name="Título 4 28 8" xfId="27973" xr:uid="{00000000-0005-0000-0000-0000929A0000}"/>
    <cellStyle name="Título 4 28 9" xfId="27974" xr:uid="{00000000-0005-0000-0000-0000939A0000}"/>
    <cellStyle name="Título 4 29" xfId="27975" xr:uid="{00000000-0005-0000-0000-0000949A0000}"/>
    <cellStyle name="Título 4 29 10" xfId="27976" xr:uid="{00000000-0005-0000-0000-0000959A0000}"/>
    <cellStyle name="Título 4 29 11" xfId="27977" xr:uid="{00000000-0005-0000-0000-0000969A0000}"/>
    <cellStyle name="Título 4 29 12" xfId="27978" xr:uid="{00000000-0005-0000-0000-0000979A0000}"/>
    <cellStyle name="Título 4 29 13" xfId="27979" xr:uid="{00000000-0005-0000-0000-0000989A0000}"/>
    <cellStyle name="Título 4 29 14" xfId="27980" xr:uid="{00000000-0005-0000-0000-0000999A0000}"/>
    <cellStyle name="Título 4 29 15" xfId="27981" xr:uid="{00000000-0005-0000-0000-00009A9A0000}"/>
    <cellStyle name="Título 4 29 16" xfId="27982" xr:uid="{00000000-0005-0000-0000-00009B9A0000}"/>
    <cellStyle name="Título 4 29 2" xfId="27983" xr:uid="{00000000-0005-0000-0000-00009C9A0000}"/>
    <cellStyle name="Título 4 29 3" xfId="27984" xr:uid="{00000000-0005-0000-0000-00009D9A0000}"/>
    <cellStyle name="Título 4 29 4" xfId="27985" xr:uid="{00000000-0005-0000-0000-00009E9A0000}"/>
    <cellStyle name="Título 4 29 5" xfId="27986" xr:uid="{00000000-0005-0000-0000-00009F9A0000}"/>
    <cellStyle name="Título 4 29 6" xfId="27987" xr:uid="{00000000-0005-0000-0000-0000A09A0000}"/>
    <cellStyle name="Título 4 29 7" xfId="27988" xr:uid="{00000000-0005-0000-0000-0000A19A0000}"/>
    <cellStyle name="Título 4 29 8" xfId="27989" xr:uid="{00000000-0005-0000-0000-0000A29A0000}"/>
    <cellStyle name="Título 4 29 9" xfId="27990" xr:uid="{00000000-0005-0000-0000-0000A39A0000}"/>
    <cellStyle name="Título 4 3" xfId="27991" xr:uid="{00000000-0005-0000-0000-0000A49A0000}"/>
    <cellStyle name="Título 4 3 10" xfId="27992" xr:uid="{00000000-0005-0000-0000-0000A59A0000}"/>
    <cellStyle name="Título 4 3 11" xfId="27993" xr:uid="{00000000-0005-0000-0000-0000A69A0000}"/>
    <cellStyle name="Título 4 3 2" xfId="27994" xr:uid="{00000000-0005-0000-0000-0000A79A0000}"/>
    <cellStyle name="Título 4 3 3" xfId="27995" xr:uid="{00000000-0005-0000-0000-0000A89A0000}"/>
    <cellStyle name="Título 4 3 4" xfId="27996" xr:uid="{00000000-0005-0000-0000-0000A99A0000}"/>
    <cellStyle name="Título 4 3 5" xfId="27997" xr:uid="{00000000-0005-0000-0000-0000AA9A0000}"/>
    <cellStyle name="Título 4 3 6" xfId="27998" xr:uid="{00000000-0005-0000-0000-0000AB9A0000}"/>
    <cellStyle name="Título 4 3 7" xfId="27999" xr:uid="{00000000-0005-0000-0000-0000AC9A0000}"/>
    <cellStyle name="Título 4 3 8" xfId="28000" xr:uid="{00000000-0005-0000-0000-0000AD9A0000}"/>
    <cellStyle name="Título 4 3 9" xfId="28001" xr:uid="{00000000-0005-0000-0000-0000AE9A0000}"/>
    <cellStyle name="Título 4 30" xfId="28002" xr:uid="{00000000-0005-0000-0000-0000AF9A0000}"/>
    <cellStyle name="Título 4 31" xfId="28003" xr:uid="{00000000-0005-0000-0000-0000B09A0000}"/>
    <cellStyle name="Título 4 32" xfId="28004" xr:uid="{00000000-0005-0000-0000-0000B19A0000}"/>
    <cellStyle name="Título 4 33" xfId="28005" xr:uid="{00000000-0005-0000-0000-0000B29A0000}"/>
    <cellStyle name="Título 4 34" xfId="28006" xr:uid="{00000000-0005-0000-0000-0000B39A0000}"/>
    <cellStyle name="Título 4 35" xfId="28007" xr:uid="{00000000-0005-0000-0000-0000B49A0000}"/>
    <cellStyle name="Título 4 36" xfId="28008" xr:uid="{00000000-0005-0000-0000-0000B59A0000}"/>
    <cellStyle name="Título 4 37" xfId="28009" xr:uid="{00000000-0005-0000-0000-0000B69A0000}"/>
    <cellStyle name="Título 4 38" xfId="28010" xr:uid="{00000000-0005-0000-0000-0000B79A0000}"/>
    <cellStyle name="Título 4 39" xfId="28011" xr:uid="{00000000-0005-0000-0000-0000B89A0000}"/>
    <cellStyle name="Título 4 4" xfId="28012" xr:uid="{00000000-0005-0000-0000-0000B99A0000}"/>
    <cellStyle name="Título 4 4 10" xfId="28013" xr:uid="{00000000-0005-0000-0000-0000BA9A0000}"/>
    <cellStyle name="Título 4 4 11" xfId="28014" xr:uid="{00000000-0005-0000-0000-0000BB9A0000}"/>
    <cellStyle name="Título 4 4 2" xfId="28015" xr:uid="{00000000-0005-0000-0000-0000BC9A0000}"/>
    <cellStyle name="Título 4 4 3" xfId="28016" xr:uid="{00000000-0005-0000-0000-0000BD9A0000}"/>
    <cellStyle name="Título 4 4 4" xfId="28017" xr:uid="{00000000-0005-0000-0000-0000BE9A0000}"/>
    <cellStyle name="Título 4 4 5" xfId="28018" xr:uid="{00000000-0005-0000-0000-0000BF9A0000}"/>
    <cellStyle name="Título 4 4 6" xfId="28019" xr:uid="{00000000-0005-0000-0000-0000C09A0000}"/>
    <cellStyle name="Título 4 4 7" xfId="28020" xr:uid="{00000000-0005-0000-0000-0000C19A0000}"/>
    <cellStyle name="Título 4 4 8" xfId="28021" xr:uid="{00000000-0005-0000-0000-0000C29A0000}"/>
    <cellStyle name="Título 4 4 9" xfId="28022" xr:uid="{00000000-0005-0000-0000-0000C39A0000}"/>
    <cellStyle name="Título 4 40" xfId="28023" xr:uid="{00000000-0005-0000-0000-0000C49A0000}"/>
    <cellStyle name="Título 4 41" xfId="28024" xr:uid="{00000000-0005-0000-0000-0000C59A0000}"/>
    <cellStyle name="Título 4 42" xfId="28025" xr:uid="{00000000-0005-0000-0000-0000C69A0000}"/>
    <cellStyle name="Título 4 43" xfId="28026" xr:uid="{00000000-0005-0000-0000-0000C79A0000}"/>
    <cellStyle name="Título 4 44" xfId="28027" xr:uid="{00000000-0005-0000-0000-0000C89A0000}"/>
    <cellStyle name="Título 4 45" xfId="28028" xr:uid="{00000000-0005-0000-0000-0000C99A0000}"/>
    <cellStyle name="Título 4 46" xfId="28029" xr:uid="{00000000-0005-0000-0000-0000CA9A0000}"/>
    <cellStyle name="Título 4 47" xfId="28030" xr:uid="{00000000-0005-0000-0000-0000CB9A0000}"/>
    <cellStyle name="Título 4 48" xfId="28031" xr:uid="{00000000-0005-0000-0000-0000CC9A0000}"/>
    <cellStyle name="Título 4 49" xfId="28032" xr:uid="{00000000-0005-0000-0000-0000CD9A0000}"/>
    <cellStyle name="Título 4 5" xfId="28033" xr:uid="{00000000-0005-0000-0000-0000CE9A0000}"/>
    <cellStyle name="Título 4 5 2" xfId="28034" xr:uid="{00000000-0005-0000-0000-0000CF9A0000}"/>
    <cellStyle name="Título 4 5 3" xfId="28035" xr:uid="{00000000-0005-0000-0000-0000D09A0000}"/>
    <cellStyle name="Título 4 5 4" xfId="28036" xr:uid="{00000000-0005-0000-0000-0000D19A0000}"/>
    <cellStyle name="Título 4 50" xfId="28037" xr:uid="{00000000-0005-0000-0000-0000D29A0000}"/>
    <cellStyle name="Título 4 51" xfId="28038" xr:uid="{00000000-0005-0000-0000-0000D39A0000}"/>
    <cellStyle name="Título 4 52" xfId="28039" xr:uid="{00000000-0005-0000-0000-0000D49A0000}"/>
    <cellStyle name="Título 4 53" xfId="28040" xr:uid="{00000000-0005-0000-0000-0000D59A0000}"/>
    <cellStyle name="Título 4 54" xfId="28041" xr:uid="{00000000-0005-0000-0000-0000D69A0000}"/>
    <cellStyle name="Título 4 55" xfId="28042" xr:uid="{00000000-0005-0000-0000-0000D79A0000}"/>
    <cellStyle name="Título 4 56" xfId="28043" xr:uid="{00000000-0005-0000-0000-0000D89A0000}"/>
    <cellStyle name="Título 4 57" xfId="28044" xr:uid="{00000000-0005-0000-0000-0000D99A0000}"/>
    <cellStyle name="Título 4 58" xfId="28045" xr:uid="{00000000-0005-0000-0000-0000DA9A0000}"/>
    <cellStyle name="Título 4 59" xfId="28046" xr:uid="{00000000-0005-0000-0000-0000DB9A0000}"/>
    <cellStyle name="Título 4 6" xfId="28047" xr:uid="{00000000-0005-0000-0000-0000DC9A0000}"/>
    <cellStyle name="Título 4 6 2" xfId="28048" xr:uid="{00000000-0005-0000-0000-0000DD9A0000}"/>
    <cellStyle name="Título 4 6 3" xfId="28049" xr:uid="{00000000-0005-0000-0000-0000DE9A0000}"/>
    <cellStyle name="Título 4 6 4" xfId="28050" xr:uid="{00000000-0005-0000-0000-0000DF9A0000}"/>
    <cellStyle name="Título 4 60" xfId="28051" xr:uid="{00000000-0005-0000-0000-0000E09A0000}"/>
    <cellStyle name="Título 4 61" xfId="28052" xr:uid="{00000000-0005-0000-0000-0000E19A0000}"/>
    <cellStyle name="Título 4 62" xfId="28053" xr:uid="{00000000-0005-0000-0000-0000E29A0000}"/>
    <cellStyle name="Título 4 63" xfId="28054" xr:uid="{00000000-0005-0000-0000-0000E39A0000}"/>
    <cellStyle name="Título 4 64" xfId="28055" xr:uid="{00000000-0005-0000-0000-0000E49A0000}"/>
    <cellStyle name="Título 4 65" xfId="28056" xr:uid="{00000000-0005-0000-0000-0000E59A0000}"/>
    <cellStyle name="Título 4 66" xfId="28057" xr:uid="{00000000-0005-0000-0000-0000E69A0000}"/>
    <cellStyle name="Título 4 67" xfId="28058" xr:uid="{00000000-0005-0000-0000-0000E79A0000}"/>
    <cellStyle name="Título 4 68" xfId="28059" xr:uid="{00000000-0005-0000-0000-0000E89A0000}"/>
    <cellStyle name="Título 4 69" xfId="28060" xr:uid="{00000000-0005-0000-0000-0000E99A0000}"/>
    <cellStyle name="Título 4 7" xfId="28061" xr:uid="{00000000-0005-0000-0000-0000EA9A0000}"/>
    <cellStyle name="Título 4 7 2" xfId="28062" xr:uid="{00000000-0005-0000-0000-0000EB9A0000}"/>
    <cellStyle name="Título 4 7 3" xfId="28063" xr:uid="{00000000-0005-0000-0000-0000EC9A0000}"/>
    <cellStyle name="Título 4 7 4" xfId="28064" xr:uid="{00000000-0005-0000-0000-0000ED9A0000}"/>
    <cellStyle name="Título 4 70" xfId="28065" xr:uid="{00000000-0005-0000-0000-0000EE9A0000}"/>
    <cellStyle name="Título 4 71" xfId="28066" xr:uid="{00000000-0005-0000-0000-0000EF9A0000}"/>
    <cellStyle name="Título 4 72" xfId="28067" xr:uid="{00000000-0005-0000-0000-0000F09A0000}"/>
    <cellStyle name="Título 4 73" xfId="28068" xr:uid="{00000000-0005-0000-0000-0000F19A0000}"/>
    <cellStyle name="Título 4 74" xfId="28069" xr:uid="{00000000-0005-0000-0000-0000F29A0000}"/>
    <cellStyle name="Título 4 75" xfId="28070" xr:uid="{00000000-0005-0000-0000-0000F39A0000}"/>
    <cellStyle name="Título 4 76" xfId="28071" xr:uid="{00000000-0005-0000-0000-0000F49A0000}"/>
    <cellStyle name="Título 4 77" xfId="28072" xr:uid="{00000000-0005-0000-0000-0000F59A0000}"/>
    <cellStyle name="Título 4 78" xfId="28073" xr:uid="{00000000-0005-0000-0000-0000F69A0000}"/>
    <cellStyle name="Título 4 79" xfId="28074" xr:uid="{00000000-0005-0000-0000-0000F79A0000}"/>
    <cellStyle name="Título 4 8" xfId="28075" xr:uid="{00000000-0005-0000-0000-0000F89A0000}"/>
    <cellStyle name="Título 4 8 2" xfId="28076" xr:uid="{00000000-0005-0000-0000-0000F99A0000}"/>
    <cellStyle name="Título 4 8 3" xfId="28077" xr:uid="{00000000-0005-0000-0000-0000FA9A0000}"/>
    <cellStyle name="Título 4 8 4" xfId="28078" xr:uid="{00000000-0005-0000-0000-0000FB9A0000}"/>
    <cellStyle name="Título 4 80" xfId="28079" xr:uid="{00000000-0005-0000-0000-0000FC9A0000}"/>
    <cellStyle name="Título 4 81" xfId="28080" xr:uid="{00000000-0005-0000-0000-0000FD9A0000}"/>
    <cellStyle name="Título 4 82" xfId="28081" xr:uid="{00000000-0005-0000-0000-0000FE9A0000}"/>
    <cellStyle name="Título 4 83" xfId="28082" xr:uid="{00000000-0005-0000-0000-0000FF9A0000}"/>
    <cellStyle name="Título 4 84" xfId="28083" xr:uid="{00000000-0005-0000-0000-0000009B0000}"/>
    <cellStyle name="Título 4 85" xfId="28084" xr:uid="{00000000-0005-0000-0000-0000019B0000}"/>
    <cellStyle name="Título 4 86" xfId="28085" xr:uid="{00000000-0005-0000-0000-0000029B0000}"/>
    <cellStyle name="Título 4 87" xfId="28086" xr:uid="{00000000-0005-0000-0000-0000039B0000}"/>
    <cellStyle name="Título 4 88" xfId="28087" xr:uid="{00000000-0005-0000-0000-0000049B0000}"/>
    <cellStyle name="Título 4 89" xfId="28088" xr:uid="{00000000-0005-0000-0000-0000059B0000}"/>
    <cellStyle name="Título 4 9" xfId="28089" xr:uid="{00000000-0005-0000-0000-0000069B0000}"/>
    <cellStyle name="Título 4 90" xfId="28090" xr:uid="{00000000-0005-0000-0000-0000079B0000}"/>
    <cellStyle name="Título 4 91" xfId="28091" xr:uid="{00000000-0005-0000-0000-0000089B0000}"/>
    <cellStyle name="Título 4 92" xfId="28092" xr:uid="{00000000-0005-0000-0000-0000099B0000}"/>
    <cellStyle name="Título 4 93" xfId="28093" xr:uid="{00000000-0005-0000-0000-00000A9B0000}"/>
    <cellStyle name="Título 4 94" xfId="28094" xr:uid="{00000000-0005-0000-0000-00000B9B0000}"/>
    <cellStyle name="Título 4 95" xfId="28095" xr:uid="{00000000-0005-0000-0000-00000C9B0000}"/>
    <cellStyle name="Título 4 96" xfId="28096" xr:uid="{00000000-0005-0000-0000-00000D9B0000}"/>
    <cellStyle name="Título 4 97" xfId="28097" xr:uid="{00000000-0005-0000-0000-00000E9B0000}"/>
    <cellStyle name="Título 4 98" xfId="28098" xr:uid="{00000000-0005-0000-0000-00000F9B0000}"/>
    <cellStyle name="Título 4 99" xfId="28099" xr:uid="{00000000-0005-0000-0000-0000109B0000}"/>
    <cellStyle name="Título 40" xfId="28100" xr:uid="{00000000-0005-0000-0000-0000119B0000}"/>
    <cellStyle name="Título 41" xfId="28101" xr:uid="{00000000-0005-0000-0000-0000129B0000}"/>
    <cellStyle name="Título 42" xfId="28102" xr:uid="{00000000-0005-0000-0000-0000139B0000}"/>
    <cellStyle name="Título 43" xfId="28103" xr:uid="{00000000-0005-0000-0000-0000149B0000}"/>
    <cellStyle name="Título 44" xfId="28104" xr:uid="{00000000-0005-0000-0000-0000159B0000}"/>
    <cellStyle name="Título 45" xfId="28105" xr:uid="{00000000-0005-0000-0000-0000169B0000}"/>
    <cellStyle name="Título 46" xfId="28106" xr:uid="{00000000-0005-0000-0000-0000179B0000}"/>
    <cellStyle name="Título 47" xfId="28107" xr:uid="{00000000-0005-0000-0000-0000189B0000}"/>
    <cellStyle name="Título 48" xfId="28108" xr:uid="{00000000-0005-0000-0000-0000199B0000}"/>
    <cellStyle name="Título 49" xfId="28109" xr:uid="{00000000-0005-0000-0000-00001A9B0000}"/>
    <cellStyle name="Título 5" xfId="28110" xr:uid="{00000000-0005-0000-0000-00001B9B0000}"/>
    <cellStyle name="Título 5 10" xfId="28111" xr:uid="{00000000-0005-0000-0000-00001C9B0000}"/>
    <cellStyle name="Título 5 10 2" xfId="28112" xr:uid="{00000000-0005-0000-0000-00001D9B0000}"/>
    <cellStyle name="Título 5 10 3" xfId="28113" xr:uid="{00000000-0005-0000-0000-00001E9B0000}"/>
    <cellStyle name="Título 5 10 4" xfId="28114" xr:uid="{00000000-0005-0000-0000-00001F9B0000}"/>
    <cellStyle name="Título 5 10 5" xfId="28115" xr:uid="{00000000-0005-0000-0000-0000209B0000}"/>
    <cellStyle name="Título 5 10 6" xfId="28116" xr:uid="{00000000-0005-0000-0000-0000219B0000}"/>
    <cellStyle name="Título 5 10 7" xfId="28117" xr:uid="{00000000-0005-0000-0000-0000229B0000}"/>
    <cellStyle name="Título 5 11" xfId="28118" xr:uid="{00000000-0005-0000-0000-0000239B0000}"/>
    <cellStyle name="Título 5 11 2" xfId="28119" xr:uid="{00000000-0005-0000-0000-0000249B0000}"/>
    <cellStyle name="Título 5 11 3" xfId="28120" xr:uid="{00000000-0005-0000-0000-0000259B0000}"/>
    <cellStyle name="Título 5 11 4" xfId="28121" xr:uid="{00000000-0005-0000-0000-0000269B0000}"/>
    <cellStyle name="Título 5 11 5" xfId="28122" xr:uid="{00000000-0005-0000-0000-0000279B0000}"/>
    <cellStyle name="Título 5 11 6" xfId="28123" xr:uid="{00000000-0005-0000-0000-0000289B0000}"/>
    <cellStyle name="Título 5 11 7" xfId="28124" xr:uid="{00000000-0005-0000-0000-0000299B0000}"/>
    <cellStyle name="Título 5 12" xfId="28125" xr:uid="{00000000-0005-0000-0000-00002A9B0000}"/>
    <cellStyle name="Título 5 13" xfId="28126" xr:uid="{00000000-0005-0000-0000-00002B9B0000}"/>
    <cellStyle name="Título 5 14" xfId="28127" xr:uid="{00000000-0005-0000-0000-00002C9B0000}"/>
    <cellStyle name="Título 5 15" xfId="28128" xr:uid="{00000000-0005-0000-0000-00002D9B0000}"/>
    <cellStyle name="Título 5 16" xfId="28129" xr:uid="{00000000-0005-0000-0000-00002E9B0000}"/>
    <cellStyle name="Título 5 17" xfId="28130" xr:uid="{00000000-0005-0000-0000-00002F9B0000}"/>
    <cellStyle name="Título 5 18" xfId="28131" xr:uid="{00000000-0005-0000-0000-0000309B0000}"/>
    <cellStyle name="Título 5 19" xfId="28132" xr:uid="{00000000-0005-0000-0000-0000319B0000}"/>
    <cellStyle name="Título 5 2" xfId="28133" xr:uid="{00000000-0005-0000-0000-0000329B0000}"/>
    <cellStyle name="Título 5 20" xfId="28134" xr:uid="{00000000-0005-0000-0000-0000339B0000}"/>
    <cellStyle name="Título 5 21" xfId="28135" xr:uid="{00000000-0005-0000-0000-0000349B0000}"/>
    <cellStyle name="Título 5 22" xfId="28136" xr:uid="{00000000-0005-0000-0000-0000359B0000}"/>
    <cellStyle name="Título 5 23" xfId="28137" xr:uid="{00000000-0005-0000-0000-0000369B0000}"/>
    <cellStyle name="Título 5 24" xfId="28138" xr:uid="{00000000-0005-0000-0000-0000379B0000}"/>
    <cellStyle name="Título 5 25" xfId="28139" xr:uid="{00000000-0005-0000-0000-0000389B0000}"/>
    <cellStyle name="Título 5 26" xfId="28140" xr:uid="{00000000-0005-0000-0000-0000399B0000}"/>
    <cellStyle name="Título 5 27" xfId="28141" xr:uid="{00000000-0005-0000-0000-00003A9B0000}"/>
    <cellStyle name="Título 5 28" xfId="28142" xr:uid="{00000000-0005-0000-0000-00003B9B0000}"/>
    <cellStyle name="Título 5 29" xfId="28143" xr:uid="{00000000-0005-0000-0000-00003C9B0000}"/>
    <cellStyle name="Título 5 3" xfId="28144" xr:uid="{00000000-0005-0000-0000-00003D9B0000}"/>
    <cellStyle name="Título 5 30" xfId="28145" xr:uid="{00000000-0005-0000-0000-00003E9B0000}"/>
    <cellStyle name="Título 5 31" xfId="28146" xr:uid="{00000000-0005-0000-0000-00003F9B0000}"/>
    <cellStyle name="Título 5 32" xfId="28147" xr:uid="{00000000-0005-0000-0000-0000409B0000}"/>
    <cellStyle name="Título 5 33" xfId="28148" xr:uid="{00000000-0005-0000-0000-0000419B0000}"/>
    <cellStyle name="Título 5 34" xfId="28149" xr:uid="{00000000-0005-0000-0000-0000429B0000}"/>
    <cellStyle name="Título 5 35" xfId="28150" xr:uid="{00000000-0005-0000-0000-0000439B0000}"/>
    <cellStyle name="Título 5 4" xfId="28151" xr:uid="{00000000-0005-0000-0000-0000449B0000}"/>
    <cellStyle name="Título 5 5" xfId="28152" xr:uid="{00000000-0005-0000-0000-0000459B0000}"/>
    <cellStyle name="Título 5 6" xfId="28153" xr:uid="{00000000-0005-0000-0000-0000469B0000}"/>
    <cellStyle name="Título 5 7" xfId="28154" xr:uid="{00000000-0005-0000-0000-0000479B0000}"/>
    <cellStyle name="Título 5 8" xfId="28155" xr:uid="{00000000-0005-0000-0000-0000489B0000}"/>
    <cellStyle name="Título 5 8 2" xfId="28156" xr:uid="{00000000-0005-0000-0000-0000499B0000}"/>
    <cellStyle name="Título 5 8 3" xfId="28157" xr:uid="{00000000-0005-0000-0000-00004A9B0000}"/>
    <cellStyle name="Título 5 8 4" xfId="28158" xr:uid="{00000000-0005-0000-0000-00004B9B0000}"/>
    <cellStyle name="Título 5 8 5" xfId="28159" xr:uid="{00000000-0005-0000-0000-00004C9B0000}"/>
    <cellStyle name="Título 5 8 6" xfId="28160" xr:uid="{00000000-0005-0000-0000-00004D9B0000}"/>
    <cellStyle name="Título 5 8 7" xfId="28161" xr:uid="{00000000-0005-0000-0000-00004E9B0000}"/>
    <cellStyle name="Título 5 9" xfId="28162" xr:uid="{00000000-0005-0000-0000-00004F9B0000}"/>
    <cellStyle name="Título 5 9 2" xfId="28163" xr:uid="{00000000-0005-0000-0000-0000509B0000}"/>
    <cellStyle name="Título 5 9 3" xfId="28164" xr:uid="{00000000-0005-0000-0000-0000519B0000}"/>
    <cellStyle name="Título 5 9 4" xfId="28165" xr:uid="{00000000-0005-0000-0000-0000529B0000}"/>
    <cellStyle name="Título 5 9 5" xfId="28166" xr:uid="{00000000-0005-0000-0000-0000539B0000}"/>
    <cellStyle name="Título 5 9 6" xfId="28167" xr:uid="{00000000-0005-0000-0000-0000549B0000}"/>
    <cellStyle name="Título 5 9 7" xfId="28168" xr:uid="{00000000-0005-0000-0000-0000559B0000}"/>
    <cellStyle name="Título 50" xfId="28169" xr:uid="{00000000-0005-0000-0000-0000569B0000}"/>
    <cellStyle name="Título 51" xfId="28170" xr:uid="{00000000-0005-0000-0000-0000579B0000}"/>
    <cellStyle name="Título 52" xfId="28171" xr:uid="{00000000-0005-0000-0000-0000589B0000}"/>
    <cellStyle name="Título 53" xfId="28172" xr:uid="{00000000-0005-0000-0000-0000599B0000}"/>
    <cellStyle name="Título 54" xfId="28173" xr:uid="{00000000-0005-0000-0000-00005A9B0000}"/>
    <cellStyle name="Título 55" xfId="28174" xr:uid="{00000000-0005-0000-0000-00005B9B0000}"/>
    <cellStyle name="Título 56" xfId="28175" xr:uid="{00000000-0005-0000-0000-00005C9B0000}"/>
    <cellStyle name="Título 57" xfId="28176" xr:uid="{00000000-0005-0000-0000-00005D9B0000}"/>
    <cellStyle name="Título 58" xfId="28177" xr:uid="{00000000-0005-0000-0000-00005E9B0000}"/>
    <cellStyle name="Título 59" xfId="28178" xr:uid="{00000000-0005-0000-0000-00005F9B0000}"/>
    <cellStyle name="Título 6" xfId="28179" xr:uid="{00000000-0005-0000-0000-0000609B0000}"/>
    <cellStyle name="Título 6 10" xfId="28180" xr:uid="{00000000-0005-0000-0000-0000619B0000}"/>
    <cellStyle name="Título 6 11" xfId="28181" xr:uid="{00000000-0005-0000-0000-0000629B0000}"/>
    <cellStyle name="Título 6 2" xfId="28182" xr:uid="{00000000-0005-0000-0000-0000639B0000}"/>
    <cellStyle name="Título 6 3" xfId="28183" xr:uid="{00000000-0005-0000-0000-0000649B0000}"/>
    <cellStyle name="Título 6 4" xfId="28184" xr:uid="{00000000-0005-0000-0000-0000659B0000}"/>
    <cellStyle name="Título 6 5" xfId="28185" xr:uid="{00000000-0005-0000-0000-0000669B0000}"/>
    <cellStyle name="Título 6 6" xfId="28186" xr:uid="{00000000-0005-0000-0000-0000679B0000}"/>
    <cellStyle name="Título 6 7" xfId="28187" xr:uid="{00000000-0005-0000-0000-0000689B0000}"/>
    <cellStyle name="Título 6 8" xfId="28188" xr:uid="{00000000-0005-0000-0000-0000699B0000}"/>
    <cellStyle name="Título 6 9" xfId="28189" xr:uid="{00000000-0005-0000-0000-00006A9B0000}"/>
    <cellStyle name="Título 60" xfId="28190" xr:uid="{00000000-0005-0000-0000-00006B9B0000}"/>
    <cellStyle name="Título 61" xfId="28191" xr:uid="{00000000-0005-0000-0000-00006C9B0000}"/>
    <cellStyle name="Título 62" xfId="28192" xr:uid="{00000000-0005-0000-0000-00006D9B0000}"/>
    <cellStyle name="Título 63" xfId="28193" xr:uid="{00000000-0005-0000-0000-00006E9B0000}"/>
    <cellStyle name="Título 64" xfId="28194" xr:uid="{00000000-0005-0000-0000-00006F9B0000}"/>
    <cellStyle name="Título 65" xfId="28195" xr:uid="{00000000-0005-0000-0000-0000709B0000}"/>
    <cellStyle name="Título 66" xfId="28196" xr:uid="{00000000-0005-0000-0000-0000719B0000}"/>
    <cellStyle name="Título 67" xfId="28197" xr:uid="{00000000-0005-0000-0000-0000729B0000}"/>
    <cellStyle name="Título 68" xfId="28198" xr:uid="{00000000-0005-0000-0000-0000739B0000}"/>
    <cellStyle name="Título 69" xfId="28199" xr:uid="{00000000-0005-0000-0000-0000749B0000}"/>
    <cellStyle name="Título 7" xfId="28200" xr:uid="{00000000-0005-0000-0000-0000759B0000}"/>
    <cellStyle name="Título 7 10" xfId="28201" xr:uid="{00000000-0005-0000-0000-0000769B0000}"/>
    <cellStyle name="Título 7 11" xfId="28202" xr:uid="{00000000-0005-0000-0000-0000779B0000}"/>
    <cellStyle name="Título 7 2" xfId="28203" xr:uid="{00000000-0005-0000-0000-0000789B0000}"/>
    <cellStyle name="Título 7 3" xfId="28204" xr:uid="{00000000-0005-0000-0000-0000799B0000}"/>
    <cellStyle name="Título 7 4" xfId="28205" xr:uid="{00000000-0005-0000-0000-00007A9B0000}"/>
    <cellStyle name="Título 7 5" xfId="28206" xr:uid="{00000000-0005-0000-0000-00007B9B0000}"/>
    <cellStyle name="Título 7 6" xfId="28207" xr:uid="{00000000-0005-0000-0000-00007C9B0000}"/>
    <cellStyle name="Título 7 7" xfId="28208" xr:uid="{00000000-0005-0000-0000-00007D9B0000}"/>
    <cellStyle name="Título 7 8" xfId="28209" xr:uid="{00000000-0005-0000-0000-00007E9B0000}"/>
    <cellStyle name="Título 7 9" xfId="28210" xr:uid="{00000000-0005-0000-0000-00007F9B0000}"/>
    <cellStyle name="Título 70" xfId="28211" xr:uid="{00000000-0005-0000-0000-0000809B0000}"/>
    <cellStyle name="Título 71" xfId="28212" xr:uid="{00000000-0005-0000-0000-0000819B0000}"/>
    <cellStyle name="Título 72" xfId="28213" xr:uid="{00000000-0005-0000-0000-0000829B0000}"/>
    <cellStyle name="Título 73" xfId="28214" xr:uid="{00000000-0005-0000-0000-0000839B0000}"/>
    <cellStyle name="Título 74" xfId="28215" xr:uid="{00000000-0005-0000-0000-0000849B0000}"/>
    <cellStyle name="Título 75" xfId="28216" xr:uid="{00000000-0005-0000-0000-0000859B0000}"/>
    <cellStyle name="Título 76" xfId="28217" xr:uid="{00000000-0005-0000-0000-0000869B0000}"/>
    <cellStyle name="Título 77" xfId="28218" xr:uid="{00000000-0005-0000-0000-0000879B0000}"/>
    <cellStyle name="Título 78" xfId="28219" xr:uid="{00000000-0005-0000-0000-0000889B0000}"/>
    <cellStyle name="Título 79" xfId="28220" xr:uid="{00000000-0005-0000-0000-0000899B0000}"/>
    <cellStyle name="Título 8" xfId="28221" xr:uid="{00000000-0005-0000-0000-00008A9B0000}"/>
    <cellStyle name="Título 8 2" xfId="28222" xr:uid="{00000000-0005-0000-0000-00008B9B0000}"/>
    <cellStyle name="Título 8 3" xfId="28223" xr:uid="{00000000-0005-0000-0000-00008C9B0000}"/>
    <cellStyle name="Título 8 4" xfId="28224" xr:uid="{00000000-0005-0000-0000-00008D9B0000}"/>
    <cellStyle name="Título 80" xfId="28225" xr:uid="{00000000-0005-0000-0000-00008E9B0000}"/>
    <cellStyle name="Título 81" xfId="28226" xr:uid="{00000000-0005-0000-0000-00008F9B0000}"/>
    <cellStyle name="Título 82" xfId="28227" xr:uid="{00000000-0005-0000-0000-0000909B0000}"/>
    <cellStyle name="Título 83" xfId="28228" xr:uid="{00000000-0005-0000-0000-0000919B0000}"/>
    <cellStyle name="Título 84" xfId="28229" xr:uid="{00000000-0005-0000-0000-0000929B0000}"/>
    <cellStyle name="Título 85" xfId="28230" xr:uid="{00000000-0005-0000-0000-0000939B0000}"/>
    <cellStyle name="Título 86" xfId="28231" xr:uid="{00000000-0005-0000-0000-0000949B0000}"/>
    <cellStyle name="Título 87" xfId="28232" xr:uid="{00000000-0005-0000-0000-0000959B0000}"/>
    <cellStyle name="Título 88" xfId="28233" xr:uid="{00000000-0005-0000-0000-0000969B0000}"/>
    <cellStyle name="Título 89" xfId="28234" xr:uid="{00000000-0005-0000-0000-0000979B0000}"/>
    <cellStyle name="Título 9" xfId="28235" xr:uid="{00000000-0005-0000-0000-0000989B0000}"/>
    <cellStyle name="Título 9 2" xfId="28236" xr:uid="{00000000-0005-0000-0000-0000999B0000}"/>
    <cellStyle name="Título 9 3" xfId="28237" xr:uid="{00000000-0005-0000-0000-00009A9B0000}"/>
    <cellStyle name="Título 9 4" xfId="28238" xr:uid="{00000000-0005-0000-0000-00009B9B0000}"/>
    <cellStyle name="Título 90" xfId="28239" xr:uid="{00000000-0005-0000-0000-00009C9B0000}"/>
    <cellStyle name="Título 91" xfId="28240" xr:uid="{00000000-0005-0000-0000-00009D9B0000}"/>
    <cellStyle name="Título 92" xfId="28241" xr:uid="{00000000-0005-0000-0000-00009E9B0000}"/>
    <cellStyle name="Título 93" xfId="28242" xr:uid="{00000000-0005-0000-0000-00009F9B0000}"/>
    <cellStyle name="Título 94" xfId="28243" xr:uid="{00000000-0005-0000-0000-0000A09B0000}"/>
    <cellStyle name="Título 95" xfId="28244" xr:uid="{00000000-0005-0000-0000-0000A19B0000}"/>
    <cellStyle name="Título 96" xfId="28245" xr:uid="{00000000-0005-0000-0000-0000A29B0000}"/>
    <cellStyle name="Título 97" xfId="28246" xr:uid="{00000000-0005-0000-0000-0000A39B0000}"/>
    <cellStyle name="Título 98" xfId="28247" xr:uid="{00000000-0005-0000-0000-0000A49B0000}"/>
    <cellStyle name="Título 99" xfId="28248" xr:uid="{00000000-0005-0000-0000-0000A59B0000}"/>
    <cellStyle name="Titulo1" xfId="28249" xr:uid="{00000000-0005-0000-0000-0000A69B0000}"/>
    <cellStyle name="Titulo2" xfId="28250" xr:uid="{00000000-0005-0000-0000-0000A79B0000}"/>
    <cellStyle name="Total 10" xfId="28251" xr:uid="{00000000-0005-0000-0000-0000A89B0000}"/>
    <cellStyle name="Total 10 2" xfId="29306" xr:uid="{00000000-0005-0000-0000-0000A99B0000}"/>
    <cellStyle name="Total 10 2 2" xfId="40892" xr:uid="{00000000-0005-0000-0000-0000AA9B0000}"/>
    <cellStyle name="Total 10 3" xfId="40891" xr:uid="{00000000-0005-0000-0000-0000AB9B0000}"/>
    <cellStyle name="Total 100" xfId="28252" xr:uid="{00000000-0005-0000-0000-0000AC9B0000}"/>
    <cellStyle name="Total 100 2" xfId="40150" xr:uid="{00000000-0005-0000-0000-0000AD9B0000}"/>
    <cellStyle name="Total 101" xfId="28253" xr:uid="{00000000-0005-0000-0000-0000AE9B0000}"/>
    <cellStyle name="Total 101 2" xfId="40151" xr:uid="{00000000-0005-0000-0000-0000AF9B0000}"/>
    <cellStyle name="Total 102" xfId="28254" xr:uid="{00000000-0005-0000-0000-0000B09B0000}"/>
    <cellStyle name="Total 102 2" xfId="40152" xr:uid="{00000000-0005-0000-0000-0000B19B0000}"/>
    <cellStyle name="Total 103" xfId="28255" xr:uid="{00000000-0005-0000-0000-0000B29B0000}"/>
    <cellStyle name="Total 103 2" xfId="40153" xr:uid="{00000000-0005-0000-0000-0000B39B0000}"/>
    <cellStyle name="Total 104" xfId="28256" xr:uid="{00000000-0005-0000-0000-0000B49B0000}"/>
    <cellStyle name="Total 104 2" xfId="40154" xr:uid="{00000000-0005-0000-0000-0000B59B0000}"/>
    <cellStyle name="Total 105" xfId="28257" xr:uid="{00000000-0005-0000-0000-0000B69B0000}"/>
    <cellStyle name="Total 105 2" xfId="40155" xr:uid="{00000000-0005-0000-0000-0000B79B0000}"/>
    <cellStyle name="Total 106" xfId="28258" xr:uid="{00000000-0005-0000-0000-0000B89B0000}"/>
    <cellStyle name="Total 106 2" xfId="40156" xr:uid="{00000000-0005-0000-0000-0000B99B0000}"/>
    <cellStyle name="Total 107" xfId="28259" xr:uid="{00000000-0005-0000-0000-0000BA9B0000}"/>
    <cellStyle name="Total 107 2" xfId="40157" xr:uid="{00000000-0005-0000-0000-0000BB9B0000}"/>
    <cellStyle name="Total 108" xfId="28260" xr:uid="{00000000-0005-0000-0000-0000BC9B0000}"/>
    <cellStyle name="Total 108 2" xfId="40158" xr:uid="{00000000-0005-0000-0000-0000BD9B0000}"/>
    <cellStyle name="Total 109" xfId="28261" xr:uid="{00000000-0005-0000-0000-0000BE9B0000}"/>
    <cellStyle name="Total 109 2" xfId="40159" xr:uid="{00000000-0005-0000-0000-0000BF9B0000}"/>
    <cellStyle name="Total 11" xfId="28262" xr:uid="{00000000-0005-0000-0000-0000C09B0000}"/>
    <cellStyle name="Total 11 2" xfId="29307" xr:uid="{00000000-0005-0000-0000-0000C19B0000}"/>
    <cellStyle name="Total 11 2 2" xfId="40894" xr:uid="{00000000-0005-0000-0000-0000C29B0000}"/>
    <cellStyle name="Total 11 3" xfId="40893" xr:uid="{00000000-0005-0000-0000-0000C39B0000}"/>
    <cellStyle name="Total 110" xfId="28263" xr:uid="{00000000-0005-0000-0000-0000C49B0000}"/>
    <cellStyle name="Total 110 2" xfId="40160" xr:uid="{00000000-0005-0000-0000-0000C59B0000}"/>
    <cellStyle name="Total 111" xfId="28264" xr:uid="{00000000-0005-0000-0000-0000C69B0000}"/>
    <cellStyle name="Total 111 2" xfId="40161" xr:uid="{00000000-0005-0000-0000-0000C79B0000}"/>
    <cellStyle name="Total 112" xfId="28265" xr:uid="{00000000-0005-0000-0000-0000C89B0000}"/>
    <cellStyle name="Total 112 2" xfId="40162" xr:uid="{00000000-0005-0000-0000-0000C99B0000}"/>
    <cellStyle name="Total 113" xfId="28266" xr:uid="{00000000-0005-0000-0000-0000CA9B0000}"/>
    <cellStyle name="Total 113 2" xfId="40163" xr:uid="{00000000-0005-0000-0000-0000CB9B0000}"/>
    <cellStyle name="Total 114" xfId="28267" xr:uid="{00000000-0005-0000-0000-0000CC9B0000}"/>
    <cellStyle name="Total 114 2" xfId="40164" xr:uid="{00000000-0005-0000-0000-0000CD9B0000}"/>
    <cellStyle name="Total 115" xfId="28268" xr:uid="{00000000-0005-0000-0000-0000CE9B0000}"/>
    <cellStyle name="Total 115 2" xfId="40165" xr:uid="{00000000-0005-0000-0000-0000CF9B0000}"/>
    <cellStyle name="Total 116" xfId="28269" xr:uid="{00000000-0005-0000-0000-0000D09B0000}"/>
    <cellStyle name="Total 116 2" xfId="40166" xr:uid="{00000000-0005-0000-0000-0000D19B0000}"/>
    <cellStyle name="Total 117" xfId="28270" xr:uid="{00000000-0005-0000-0000-0000D29B0000}"/>
    <cellStyle name="Total 117 2" xfId="40167" xr:uid="{00000000-0005-0000-0000-0000D39B0000}"/>
    <cellStyle name="Total 118" xfId="28271" xr:uid="{00000000-0005-0000-0000-0000D49B0000}"/>
    <cellStyle name="Total 118 2" xfId="40168" xr:uid="{00000000-0005-0000-0000-0000D59B0000}"/>
    <cellStyle name="Total 119" xfId="28272" xr:uid="{00000000-0005-0000-0000-0000D69B0000}"/>
    <cellStyle name="Total 119 2" xfId="40169" xr:uid="{00000000-0005-0000-0000-0000D79B0000}"/>
    <cellStyle name="Total 12" xfId="28273" xr:uid="{00000000-0005-0000-0000-0000D89B0000}"/>
    <cellStyle name="Total 12 2" xfId="29308" xr:uid="{00000000-0005-0000-0000-0000D99B0000}"/>
    <cellStyle name="Total 12 2 2" xfId="40896" xr:uid="{00000000-0005-0000-0000-0000DA9B0000}"/>
    <cellStyle name="Total 12 3" xfId="40895" xr:uid="{00000000-0005-0000-0000-0000DB9B0000}"/>
    <cellStyle name="Total 120" xfId="28274" xr:uid="{00000000-0005-0000-0000-0000DC9B0000}"/>
    <cellStyle name="Total 120 2" xfId="40170" xr:uid="{00000000-0005-0000-0000-0000DD9B0000}"/>
    <cellStyle name="Total 121" xfId="28275" xr:uid="{00000000-0005-0000-0000-0000DE9B0000}"/>
    <cellStyle name="Total 121 2" xfId="40171" xr:uid="{00000000-0005-0000-0000-0000DF9B0000}"/>
    <cellStyle name="Total 122" xfId="28276" xr:uid="{00000000-0005-0000-0000-0000E09B0000}"/>
    <cellStyle name="Total 122 2" xfId="40172" xr:uid="{00000000-0005-0000-0000-0000E19B0000}"/>
    <cellStyle name="Total 123" xfId="28277" xr:uid="{00000000-0005-0000-0000-0000E29B0000}"/>
    <cellStyle name="Total 123 2" xfId="40173" xr:uid="{00000000-0005-0000-0000-0000E39B0000}"/>
    <cellStyle name="Total 124" xfId="28278" xr:uid="{00000000-0005-0000-0000-0000E49B0000}"/>
    <cellStyle name="Total 124 2" xfId="40174" xr:uid="{00000000-0005-0000-0000-0000E59B0000}"/>
    <cellStyle name="Total 125" xfId="28279" xr:uid="{00000000-0005-0000-0000-0000E69B0000}"/>
    <cellStyle name="Total 125 2" xfId="40175" xr:uid="{00000000-0005-0000-0000-0000E79B0000}"/>
    <cellStyle name="Total 126" xfId="28280" xr:uid="{00000000-0005-0000-0000-0000E89B0000}"/>
    <cellStyle name="Total 126 2" xfId="40176" xr:uid="{00000000-0005-0000-0000-0000E99B0000}"/>
    <cellStyle name="Total 127" xfId="28281" xr:uid="{00000000-0005-0000-0000-0000EA9B0000}"/>
    <cellStyle name="Total 127 2" xfId="40177" xr:uid="{00000000-0005-0000-0000-0000EB9B0000}"/>
    <cellStyle name="Total 128" xfId="28282" xr:uid="{00000000-0005-0000-0000-0000EC9B0000}"/>
    <cellStyle name="Total 128 2" xfId="40178" xr:uid="{00000000-0005-0000-0000-0000ED9B0000}"/>
    <cellStyle name="Total 129" xfId="28283" xr:uid="{00000000-0005-0000-0000-0000EE9B0000}"/>
    <cellStyle name="Total 129 2" xfId="40179" xr:uid="{00000000-0005-0000-0000-0000EF9B0000}"/>
    <cellStyle name="Total 13" xfId="28284" xr:uid="{00000000-0005-0000-0000-0000F09B0000}"/>
    <cellStyle name="Total 13 2" xfId="29309" xr:uid="{00000000-0005-0000-0000-0000F19B0000}"/>
    <cellStyle name="Total 13 2 2" xfId="40898" xr:uid="{00000000-0005-0000-0000-0000F29B0000}"/>
    <cellStyle name="Total 13 3" xfId="40897" xr:uid="{00000000-0005-0000-0000-0000F39B0000}"/>
    <cellStyle name="Total 130" xfId="28285" xr:uid="{00000000-0005-0000-0000-0000F49B0000}"/>
    <cellStyle name="Total 130 2" xfId="40180" xr:uid="{00000000-0005-0000-0000-0000F59B0000}"/>
    <cellStyle name="Total 131" xfId="28286" xr:uid="{00000000-0005-0000-0000-0000F69B0000}"/>
    <cellStyle name="Total 131 2" xfId="40181" xr:uid="{00000000-0005-0000-0000-0000F79B0000}"/>
    <cellStyle name="Total 132" xfId="28287" xr:uid="{00000000-0005-0000-0000-0000F89B0000}"/>
    <cellStyle name="Total 132 2" xfId="40182" xr:uid="{00000000-0005-0000-0000-0000F99B0000}"/>
    <cellStyle name="Total 133" xfId="28288" xr:uid="{00000000-0005-0000-0000-0000FA9B0000}"/>
    <cellStyle name="Total 133 2" xfId="40183" xr:uid="{00000000-0005-0000-0000-0000FB9B0000}"/>
    <cellStyle name="Total 134" xfId="28289" xr:uid="{00000000-0005-0000-0000-0000FC9B0000}"/>
    <cellStyle name="Total 134 2" xfId="40184" xr:uid="{00000000-0005-0000-0000-0000FD9B0000}"/>
    <cellStyle name="Total 135" xfId="28290" xr:uid="{00000000-0005-0000-0000-0000FE9B0000}"/>
    <cellStyle name="Total 135 2" xfId="40185" xr:uid="{00000000-0005-0000-0000-0000FF9B0000}"/>
    <cellStyle name="Total 136" xfId="28291" xr:uid="{00000000-0005-0000-0000-0000009C0000}"/>
    <cellStyle name="Total 136 2" xfId="40186" xr:uid="{00000000-0005-0000-0000-0000019C0000}"/>
    <cellStyle name="Total 137" xfId="28292" xr:uid="{00000000-0005-0000-0000-0000029C0000}"/>
    <cellStyle name="Total 137 2" xfId="40187" xr:uid="{00000000-0005-0000-0000-0000039C0000}"/>
    <cellStyle name="Total 138" xfId="28293" xr:uid="{00000000-0005-0000-0000-0000049C0000}"/>
    <cellStyle name="Total 138 2" xfId="40188" xr:uid="{00000000-0005-0000-0000-0000059C0000}"/>
    <cellStyle name="Total 139" xfId="28294" xr:uid="{00000000-0005-0000-0000-0000069C0000}"/>
    <cellStyle name="Total 139 2" xfId="40189" xr:uid="{00000000-0005-0000-0000-0000079C0000}"/>
    <cellStyle name="Total 14" xfId="28295" xr:uid="{00000000-0005-0000-0000-0000089C0000}"/>
    <cellStyle name="Total 14 2" xfId="29310" xr:uid="{00000000-0005-0000-0000-0000099C0000}"/>
    <cellStyle name="Total 14 2 2" xfId="40899" xr:uid="{00000000-0005-0000-0000-00000A9C0000}"/>
    <cellStyle name="Total 140" xfId="28296" xr:uid="{00000000-0005-0000-0000-00000B9C0000}"/>
    <cellStyle name="Total 140 2" xfId="40190" xr:uid="{00000000-0005-0000-0000-00000C9C0000}"/>
    <cellStyle name="Total 141" xfId="28297" xr:uid="{00000000-0005-0000-0000-00000D9C0000}"/>
    <cellStyle name="Total 141 2" xfId="40191" xr:uid="{00000000-0005-0000-0000-00000E9C0000}"/>
    <cellStyle name="Total 142" xfId="28298" xr:uid="{00000000-0005-0000-0000-00000F9C0000}"/>
    <cellStyle name="Total 142 2" xfId="40192" xr:uid="{00000000-0005-0000-0000-0000109C0000}"/>
    <cellStyle name="Total 143" xfId="28299" xr:uid="{00000000-0005-0000-0000-0000119C0000}"/>
    <cellStyle name="Total 143 2" xfId="40193" xr:uid="{00000000-0005-0000-0000-0000129C0000}"/>
    <cellStyle name="Total 144" xfId="28300" xr:uid="{00000000-0005-0000-0000-0000139C0000}"/>
    <cellStyle name="Total 144 2" xfId="40194" xr:uid="{00000000-0005-0000-0000-0000149C0000}"/>
    <cellStyle name="Total 145" xfId="28301" xr:uid="{00000000-0005-0000-0000-0000159C0000}"/>
    <cellStyle name="Total 145 2" xfId="40195" xr:uid="{00000000-0005-0000-0000-0000169C0000}"/>
    <cellStyle name="Total 146" xfId="28302" xr:uid="{00000000-0005-0000-0000-0000179C0000}"/>
    <cellStyle name="Total 146 2" xfId="40196" xr:uid="{00000000-0005-0000-0000-0000189C0000}"/>
    <cellStyle name="Total 147" xfId="28303" xr:uid="{00000000-0005-0000-0000-0000199C0000}"/>
    <cellStyle name="Total 147 2" xfId="40197" xr:uid="{00000000-0005-0000-0000-00001A9C0000}"/>
    <cellStyle name="Total 148" xfId="28304" xr:uid="{00000000-0005-0000-0000-00001B9C0000}"/>
    <cellStyle name="Total 148 2" xfId="40198" xr:uid="{00000000-0005-0000-0000-00001C9C0000}"/>
    <cellStyle name="Total 149" xfId="28305" xr:uid="{00000000-0005-0000-0000-00001D9C0000}"/>
    <cellStyle name="Total 149 2" xfId="40199" xr:uid="{00000000-0005-0000-0000-00001E9C0000}"/>
    <cellStyle name="Total 15" xfId="28306" xr:uid="{00000000-0005-0000-0000-00001F9C0000}"/>
    <cellStyle name="Total 15 2" xfId="28307" xr:uid="{00000000-0005-0000-0000-0000209C0000}"/>
    <cellStyle name="Total 15 2 2" xfId="40200" xr:uid="{00000000-0005-0000-0000-0000219C0000}"/>
    <cellStyle name="Total 15 3" xfId="28308" xr:uid="{00000000-0005-0000-0000-0000229C0000}"/>
    <cellStyle name="Total 15 3 2" xfId="40201" xr:uid="{00000000-0005-0000-0000-0000239C0000}"/>
    <cellStyle name="Total 15 4" xfId="29311" xr:uid="{00000000-0005-0000-0000-0000249C0000}"/>
    <cellStyle name="Total 15 4 2" xfId="40900" xr:uid="{00000000-0005-0000-0000-0000259C0000}"/>
    <cellStyle name="Total 150" xfId="28309" xr:uid="{00000000-0005-0000-0000-0000269C0000}"/>
    <cellStyle name="Total 150 2" xfId="40202" xr:uid="{00000000-0005-0000-0000-0000279C0000}"/>
    <cellStyle name="Total 151" xfId="28310" xr:uid="{00000000-0005-0000-0000-0000289C0000}"/>
    <cellStyle name="Total 151 2" xfId="40203" xr:uid="{00000000-0005-0000-0000-0000299C0000}"/>
    <cellStyle name="Total 152" xfId="28311" xr:uid="{00000000-0005-0000-0000-00002A9C0000}"/>
    <cellStyle name="Total 152 2" xfId="40204" xr:uid="{00000000-0005-0000-0000-00002B9C0000}"/>
    <cellStyle name="Total 153" xfId="28312" xr:uid="{00000000-0005-0000-0000-00002C9C0000}"/>
    <cellStyle name="Total 153 2" xfId="40205" xr:uid="{00000000-0005-0000-0000-00002D9C0000}"/>
    <cellStyle name="Total 154" xfId="28313" xr:uid="{00000000-0005-0000-0000-00002E9C0000}"/>
    <cellStyle name="Total 154 2" xfId="40206" xr:uid="{00000000-0005-0000-0000-00002F9C0000}"/>
    <cellStyle name="Total 155" xfId="28314" xr:uid="{00000000-0005-0000-0000-0000309C0000}"/>
    <cellStyle name="Total 155 2" xfId="40207" xr:uid="{00000000-0005-0000-0000-0000319C0000}"/>
    <cellStyle name="Total 156" xfId="28315" xr:uid="{00000000-0005-0000-0000-0000329C0000}"/>
    <cellStyle name="Total 156 2" xfId="40208" xr:uid="{00000000-0005-0000-0000-0000339C0000}"/>
    <cellStyle name="Total 157" xfId="28316" xr:uid="{00000000-0005-0000-0000-0000349C0000}"/>
    <cellStyle name="Total 157 2" xfId="40209" xr:uid="{00000000-0005-0000-0000-0000359C0000}"/>
    <cellStyle name="Total 158" xfId="28317" xr:uid="{00000000-0005-0000-0000-0000369C0000}"/>
    <cellStyle name="Total 158 2" xfId="40210" xr:uid="{00000000-0005-0000-0000-0000379C0000}"/>
    <cellStyle name="Total 159" xfId="28318" xr:uid="{00000000-0005-0000-0000-0000389C0000}"/>
    <cellStyle name="Total 159 2" xfId="40211" xr:uid="{00000000-0005-0000-0000-0000399C0000}"/>
    <cellStyle name="Total 16" xfId="28319" xr:uid="{00000000-0005-0000-0000-00003A9C0000}"/>
    <cellStyle name="Total 16 2" xfId="28320" xr:uid="{00000000-0005-0000-0000-00003B9C0000}"/>
    <cellStyle name="Total 16 2 2" xfId="40212" xr:uid="{00000000-0005-0000-0000-00003C9C0000}"/>
    <cellStyle name="Total 16 3" xfId="28321" xr:uid="{00000000-0005-0000-0000-00003D9C0000}"/>
    <cellStyle name="Total 16 3 2" xfId="40213" xr:uid="{00000000-0005-0000-0000-00003E9C0000}"/>
    <cellStyle name="Total 16 4" xfId="29312" xr:uid="{00000000-0005-0000-0000-00003F9C0000}"/>
    <cellStyle name="Total 16 4 2" xfId="40901" xr:uid="{00000000-0005-0000-0000-0000409C0000}"/>
    <cellStyle name="Total 160" xfId="28322" xr:uid="{00000000-0005-0000-0000-0000419C0000}"/>
    <cellStyle name="Total 160 2" xfId="40214" xr:uid="{00000000-0005-0000-0000-0000429C0000}"/>
    <cellStyle name="Total 161" xfId="28323" xr:uid="{00000000-0005-0000-0000-0000439C0000}"/>
    <cellStyle name="Total 161 2" xfId="40215" xr:uid="{00000000-0005-0000-0000-0000449C0000}"/>
    <cellStyle name="Total 162" xfId="28324" xr:uid="{00000000-0005-0000-0000-0000459C0000}"/>
    <cellStyle name="Total 162 2" xfId="40216" xr:uid="{00000000-0005-0000-0000-0000469C0000}"/>
    <cellStyle name="Total 163" xfId="28325" xr:uid="{00000000-0005-0000-0000-0000479C0000}"/>
    <cellStyle name="Total 163 2" xfId="40217" xr:uid="{00000000-0005-0000-0000-0000489C0000}"/>
    <cellStyle name="Total 164" xfId="28326" xr:uid="{00000000-0005-0000-0000-0000499C0000}"/>
    <cellStyle name="Total 164 2" xfId="40218" xr:uid="{00000000-0005-0000-0000-00004A9C0000}"/>
    <cellStyle name="Total 165" xfId="28327" xr:uid="{00000000-0005-0000-0000-00004B9C0000}"/>
    <cellStyle name="Total 165 2" xfId="40219" xr:uid="{00000000-0005-0000-0000-00004C9C0000}"/>
    <cellStyle name="Total 166" xfId="28328" xr:uid="{00000000-0005-0000-0000-00004D9C0000}"/>
    <cellStyle name="Total 166 2" xfId="40220" xr:uid="{00000000-0005-0000-0000-00004E9C0000}"/>
    <cellStyle name="Total 167" xfId="28329" xr:uid="{00000000-0005-0000-0000-00004F9C0000}"/>
    <cellStyle name="Total 167 2" xfId="40221" xr:uid="{00000000-0005-0000-0000-0000509C0000}"/>
    <cellStyle name="Total 168" xfId="28330" xr:uid="{00000000-0005-0000-0000-0000519C0000}"/>
    <cellStyle name="Total 168 2" xfId="40222" xr:uid="{00000000-0005-0000-0000-0000529C0000}"/>
    <cellStyle name="Total 169" xfId="28331" xr:uid="{00000000-0005-0000-0000-0000539C0000}"/>
    <cellStyle name="Total 169 2" xfId="40223" xr:uid="{00000000-0005-0000-0000-0000549C0000}"/>
    <cellStyle name="Total 17" xfId="28332" xr:uid="{00000000-0005-0000-0000-0000559C0000}"/>
    <cellStyle name="Total 17 2" xfId="28333" xr:uid="{00000000-0005-0000-0000-0000569C0000}"/>
    <cellStyle name="Total 17 2 2" xfId="40224" xr:uid="{00000000-0005-0000-0000-0000579C0000}"/>
    <cellStyle name="Total 17 3" xfId="28334" xr:uid="{00000000-0005-0000-0000-0000589C0000}"/>
    <cellStyle name="Total 17 3 2" xfId="40225" xr:uid="{00000000-0005-0000-0000-0000599C0000}"/>
    <cellStyle name="Total 17 4" xfId="29313" xr:uid="{00000000-0005-0000-0000-00005A9C0000}"/>
    <cellStyle name="Total 17 4 2" xfId="40902" xr:uid="{00000000-0005-0000-0000-00005B9C0000}"/>
    <cellStyle name="Total 170" xfId="28335" xr:uid="{00000000-0005-0000-0000-00005C9C0000}"/>
    <cellStyle name="Total 170 2" xfId="40226" xr:uid="{00000000-0005-0000-0000-00005D9C0000}"/>
    <cellStyle name="Total 171" xfId="28336" xr:uid="{00000000-0005-0000-0000-00005E9C0000}"/>
    <cellStyle name="Total 171 2" xfId="40227" xr:uid="{00000000-0005-0000-0000-00005F9C0000}"/>
    <cellStyle name="Total 172" xfId="28337" xr:uid="{00000000-0005-0000-0000-0000609C0000}"/>
    <cellStyle name="Total 172 2" xfId="40228" xr:uid="{00000000-0005-0000-0000-0000619C0000}"/>
    <cellStyle name="Total 173" xfId="28338" xr:uid="{00000000-0005-0000-0000-0000629C0000}"/>
    <cellStyle name="Total 173 2" xfId="40229" xr:uid="{00000000-0005-0000-0000-0000639C0000}"/>
    <cellStyle name="Total 174" xfId="28339" xr:uid="{00000000-0005-0000-0000-0000649C0000}"/>
    <cellStyle name="Total 174 2" xfId="40230" xr:uid="{00000000-0005-0000-0000-0000659C0000}"/>
    <cellStyle name="Total 175" xfId="28340" xr:uid="{00000000-0005-0000-0000-0000669C0000}"/>
    <cellStyle name="Total 175 2" xfId="40231" xr:uid="{00000000-0005-0000-0000-0000679C0000}"/>
    <cellStyle name="Total 176" xfId="28341" xr:uid="{00000000-0005-0000-0000-0000689C0000}"/>
    <cellStyle name="Total 176 2" xfId="40232" xr:uid="{00000000-0005-0000-0000-0000699C0000}"/>
    <cellStyle name="Total 177" xfId="28342" xr:uid="{00000000-0005-0000-0000-00006A9C0000}"/>
    <cellStyle name="Total 177 2" xfId="40233" xr:uid="{00000000-0005-0000-0000-00006B9C0000}"/>
    <cellStyle name="Total 178" xfId="28343" xr:uid="{00000000-0005-0000-0000-00006C9C0000}"/>
    <cellStyle name="Total 178 2" xfId="40234" xr:uid="{00000000-0005-0000-0000-00006D9C0000}"/>
    <cellStyle name="Total 179" xfId="28344" xr:uid="{00000000-0005-0000-0000-00006E9C0000}"/>
    <cellStyle name="Total 179 2" xfId="40235" xr:uid="{00000000-0005-0000-0000-00006F9C0000}"/>
    <cellStyle name="Total 18" xfId="28345" xr:uid="{00000000-0005-0000-0000-0000709C0000}"/>
    <cellStyle name="Total 18 2" xfId="28346" xr:uid="{00000000-0005-0000-0000-0000719C0000}"/>
    <cellStyle name="Total 18 2 2" xfId="40236" xr:uid="{00000000-0005-0000-0000-0000729C0000}"/>
    <cellStyle name="Total 18 3" xfId="28347" xr:uid="{00000000-0005-0000-0000-0000739C0000}"/>
    <cellStyle name="Total 18 3 2" xfId="40237" xr:uid="{00000000-0005-0000-0000-0000749C0000}"/>
    <cellStyle name="Total 18 4" xfId="29314" xr:uid="{00000000-0005-0000-0000-0000759C0000}"/>
    <cellStyle name="Total 18 4 2" xfId="40903" xr:uid="{00000000-0005-0000-0000-0000769C0000}"/>
    <cellStyle name="Total 180" xfId="28348" xr:uid="{00000000-0005-0000-0000-0000779C0000}"/>
    <cellStyle name="Total 180 2" xfId="40238" xr:uid="{00000000-0005-0000-0000-0000789C0000}"/>
    <cellStyle name="Total 181" xfId="28349" xr:uid="{00000000-0005-0000-0000-0000799C0000}"/>
    <cellStyle name="Total 181 2" xfId="40239" xr:uid="{00000000-0005-0000-0000-00007A9C0000}"/>
    <cellStyle name="Total 182" xfId="28350" xr:uid="{00000000-0005-0000-0000-00007B9C0000}"/>
    <cellStyle name="Total 182 2" xfId="40240" xr:uid="{00000000-0005-0000-0000-00007C9C0000}"/>
    <cellStyle name="Total 183" xfId="28351" xr:uid="{00000000-0005-0000-0000-00007D9C0000}"/>
    <cellStyle name="Total 183 2" xfId="40241" xr:uid="{00000000-0005-0000-0000-00007E9C0000}"/>
    <cellStyle name="Total 184" xfId="28352" xr:uid="{00000000-0005-0000-0000-00007F9C0000}"/>
    <cellStyle name="Total 184 2" xfId="40242" xr:uid="{00000000-0005-0000-0000-0000809C0000}"/>
    <cellStyle name="Total 185" xfId="28353" xr:uid="{00000000-0005-0000-0000-0000819C0000}"/>
    <cellStyle name="Total 185 2" xfId="40243" xr:uid="{00000000-0005-0000-0000-0000829C0000}"/>
    <cellStyle name="Total 186" xfId="28354" xr:uid="{00000000-0005-0000-0000-0000839C0000}"/>
    <cellStyle name="Total 186 2" xfId="40244" xr:uid="{00000000-0005-0000-0000-0000849C0000}"/>
    <cellStyle name="Total 187" xfId="28355" xr:uid="{00000000-0005-0000-0000-0000859C0000}"/>
    <cellStyle name="Total 187 2" xfId="40245" xr:uid="{00000000-0005-0000-0000-0000869C0000}"/>
    <cellStyle name="Total 188" xfId="28356" xr:uid="{00000000-0005-0000-0000-0000879C0000}"/>
    <cellStyle name="Total 188 2" xfId="40246" xr:uid="{00000000-0005-0000-0000-0000889C0000}"/>
    <cellStyle name="Total 189" xfId="28357" xr:uid="{00000000-0005-0000-0000-0000899C0000}"/>
    <cellStyle name="Total 189 2" xfId="40247" xr:uid="{00000000-0005-0000-0000-00008A9C0000}"/>
    <cellStyle name="Total 19" xfId="28358" xr:uid="{00000000-0005-0000-0000-00008B9C0000}"/>
    <cellStyle name="Total 19 2" xfId="28359" xr:uid="{00000000-0005-0000-0000-00008C9C0000}"/>
    <cellStyle name="Total 19 2 2" xfId="40248" xr:uid="{00000000-0005-0000-0000-00008D9C0000}"/>
    <cellStyle name="Total 19 3" xfId="28360" xr:uid="{00000000-0005-0000-0000-00008E9C0000}"/>
    <cellStyle name="Total 19 3 2" xfId="40249" xr:uid="{00000000-0005-0000-0000-00008F9C0000}"/>
    <cellStyle name="Total 19 4" xfId="29315" xr:uid="{00000000-0005-0000-0000-0000909C0000}"/>
    <cellStyle name="Total 19 4 2" xfId="40904" xr:uid="{00000000-0005-0000-0000-0000919C0000}"/>
    <cellStyle name="Total 190" xfId="28361" xr:uid="{00000000-0005-0000-0000-0000929C0000}"/>
    <cellStyle name="Total 190 2" xfId="40250" xr:uid="{00000000-0005-0000-0000-0000939C0000}"/>
    <cellStyle name="Total 191" xfId="40453" xr:uid="{00000000-0005-0000-0000-0000949C0000}"/>
    <cellStyle name="Total 2" xfId="28362" xr:uid="{00000000-0005-0000-0000-0000959C0000}"/>
    <cellStyle name="Total 2 10" xfId="28363" xr:uid="{00000000-0005-0000-0000-0000969C0000}"/>
    <cellStyle name="Total 2 10 2" xfId="28364" xr:uid="{00000000-0005-0000-0000-0000979C0000}"/>
    <cellStyle name="Total 2 10 2 2" xfId="40252" xr:uid="{00000000-0005-0000-0000-0000989C0000}"/>
    <cellStyle name="Total 2 10 3" xfId="28365" xr:uid="{00000000-0005-0000-0000-0000999C0000}"/>
    <cellStyle name="Total 2 10 3 2" xfId="40253" xr:uid="{00000000-0005-0000-0000-00009A9C0000}"/>
    <cellStyle name="Total 2 10 4" xfId="28366" xr:uid="{00000000-0005-0000-0000-00009B9C0000}"/>
    <cellStyle name="Total 2 10 4 2" xfId="40254" xr:uid="{00000000-0005-0000-0000-00009C9C0000}"/>
    <cellStyle name="Total 2 10 5" xfId="28367" xr:uid="{00000000-0005-0000-0000-00009D9C0000}"/>
    <cellStyle name="Total 2 10 5 2" xfId="40255" xr:uid="{00000000-0005-0000-0000-00009E9C0000}"/>
    <cellStyle name="Total 2 10 6" xfId="28368" xr:uid="{00000000-0005-0000-0000-00009F9C0000}"/>
    <cellStyle name="Total 2 10 6 2" xfId="40256" xr:uid="{00000000-0005-0000-0000-0000A09C0000}"/>
    <cellStyle name="Total 2 10 7" xfId="28369" xr:uid="{00000000-0005-0000-0000-0000A19C0000}"/>
    <cellStyle name="Total 2 10 7 2" xfId="40257" xr:uid="{00000000-0005-0000-0000-0000A29C0000}"/>
    <cellStyle name="Total 2 10 8" xfId="40251" xr:uid="{00000000-0005-0000-0000-0000A39C0000}"/>
    <cellStyle name="Total 2 11" xfId="28370" xr:uid="{00000000-0005-0000-0000-0000A49C0000}"/>
    <cellStyle name="Total 2 11 2" xfId="28371" xr:uid="{00000000-0005-0000-0000-0000A59C0000}"/>
    <cellStyle name="Total 2 11 2 2" xfId="40259" xr:uid="{00000000-0005-0000-0000-0000A69C0000}"/>
    <cellStyle name="Total 2 11 3" xfId="28372" xr:uid="{00000000-0005-0000-0000-0000A79C0000}"/>
    <cellStyle name="Total 2 11 3 2" xfId="40260" xr:uid="{00000000-0005-0000-0000-0000A89C0000}"/>
    <cellStyle name="Total 2 11 4" xfId="28373" xr:uid="{00000000-0005-0000-0000-0000A99C0000}"/>
    <cellStyle name="Total 2 11 4 2" xfId="40261" xr:uid="{00000000-0005-0000-0000-0000AA9C0000}"/>
    <cellStyle name="Total 2 11 5" xfId="28374" xr:uid="{00000000-0005-0000-0000-0000AB9C0000}"/>
    <cellStyle name="Total 2 11 5 2" xfId="40262" xr:uid="{00000000-0005-0000-0000-0000AC9C0000}"/>
    <cellStyle name="Total 2 11 6" xfId="28375" xr:uid="{00000000-0005-0000-0000-0000AD9C0000}"/>
    <cellStyle name="Total 2 11 6 2" xfId="40263" xr:uid="{00000000-0005-0000-0000-0000AE9C0000}"/>
    <cellStyle name="Total 2 11 7" xfId="28376" xr:uid="{00000000-0005-0000-0000-0000AF9C0000}"/>
    <cellStyle name="Total 2 11 7 2" xfId="40264" xr:uid="{00000000-0005-0000-0000-0000B09C0000}"/>
    <cellStyle name="Total 2 11 8" xfId="40258" xr:uid="{00000000-0005-0000-0000-0000B19C0000}"/>
    <cellStyle name="Total 2 12" xfId="28377" xr:uid="{00000000-0005-0000-0000-0000B29C0000}"/>
    <cellStyle name="Total 2 12 2" xfId="40265" xr:uid="{00000000-0005-0000-0000-0000B39C0000}"/>
    <cellStyle name="Total 2 13" xfId="28378" xr:uid="{00000000-0005-0000-0000-0000B49C0000}"/>
    <cellStyle name="Total 2 13 2" xfId="40266" xr:uid="{00000000-0005-0000-0000-0000B59C0000}"/>
    <cellStyle name="Total 2 14" xfId="28379" xr:uid="{00000000-0005-0000-0000-0000B69C0000}"/>
    <cellStyle name="Total 2 14 2" xfId="40267" xr:uid="{00000000-0005-0000-0000-0000B79C0000}"/>
    <cellStyle name="Total 2 15" xfId="28380" xr:uid="{00000000-0005-0000-0000-0000B89C0000}"/>
    <cellStyle name="Total 2 15 2" xfId="40268" xr:uid="{00000000-0005-0000-0000-0000B99C0000}"/>
    <cellStyle name="Total 2 16" xfId="28381" xr:uid="{00000000-0005-0000-0000-0000BA9C0000}"/>
    <cellStyle name="Total 2 16 2" xfId="40269" xr:uid="{00000000-0005-0000-0000-0000BB9C0000}"/>
    <cellStyle name="Total 2 17" xfId="28382" xr:uid="{00000000-0005-0000-0000-0000BC9C0000}"/>
    <cellStyle name="Total 2 17 2" xfId="40270" xr:uid="{00000000-0005-0000-0000-0000BD9C0000}"/>
    <cellStyle name="Total 2 18" xfId="28383" xr:uid="{00000000-0005-0000-0000-0000BE9C0000}"/>
    <cellStyle name="Total 2 18 2" xfId="40271" xr:uid="{00000000-0005-0000-0000-0000BF9C0000}"/>
    <cellStyle name="Total 2 19" xfId="28384" xr:uid="{00000000-0005-0000-0000-0000C09C0000}"/>
    <cellStyle name="Total 2 19 2" xfId="40272" xr:uid="{00000000-0005-0000-0000-0000C19C0000}"/>
    <cellStyle name="Total 2 2" xfId="28385" xr:uid="{00000000-0005-0000-0000-0000C29C0000}"/>
    <cellStyle name="Total 2 2 2" xfId="29316" xr:uid="{00000000-0005-0000-0000-0000C39C0000}"/>
    <cellStyle name="Total 2 2 2 2" xfId="40905" xr:uid="{00000000-0005-0000-0000-0000C49C0000}"/>
    <cellStyle name="Total 2 20" xfId="28386" xr:uid="{00000000-0005-0000-0000-0000C59C0000}"/>
    <cellStyle name="Total 2 20 2" xfId="40273" xr:uid="{00000000-0005-0000-0000-0000C69C0000}"/>
    <cellStyle name="Total 2 21" xfId="28387" xr:uid="{00000000-0005-0000-0000-0000C79C0000}"/>
    <cellStyle name="Total 2 21 2" xfId="40274" xr:uid="{00000000-0005-0000-0000-0000C89C0000}"/>
    <cellStyle name="Total 2 22" xfId="28388" xr:uid="{00000000-0005-0000-0000-0000C99C0000}"/>
    <cellStyle name="Total 2 22 2" xfId="40275" xr:uid="{00000000-0005-0000-0000-0000CA9C0000}"/>
    <cellStyle name="Total 2 23" xfId="28389" xr:uid="{00000000-0005-0000-0000-0000CB9C0000}"/>
    <cellStyle name="Total 2 23 2" xfId="40276" xr:uid="{00000000-0005-0000-0000-0000CC9C0000}"/>
    <cellStyle name="Total 2 24" xfId="28390" xr:uid="{00000000-0005-0000-0000-0000CD9C0000}"/>
    <cellStyle name="Total 2 24 2" xfId="40277" xr:uid="{00000000-0005-0000-0000-0000CE9C0000}"/>
    <cellStyle name="Total 2 25" xfId="28391" xr:uid="{00000000-0005-0000-0000-0000CF9C0000}"/>
    <cellStyle name="Total 2 25 2" xfId="40278" xr:uid="{00000000-0005-0000-0000-0000D09C0000}"/>
    <cellStyle name="Total 2 26" xfId="28392" xr:uid="{00000000-0005-0000-0000-0000D19C0000}"/>
    <cellStyle name="Total 2 26 2" xfId="40279" xr:uid="{00000000-0005-0000-0000-0000D29C0000}"/>
    <cellStyle name="Total 2 27" xfId="28393" xr:uid="{00000000-0005-0000-0000-0000D39C0000}"/>
    <cellStyle name="Total 2 27 2" xfId="40280" xr:uid="{00000000-0005-0000-0000-0000D49C0000}"/>
    <cellStyle name="Total 2 28" xfId="28394" xr:uid="{00000000-0005-0000-0000-0000D59C0000}"/>
    <cellStyle name="Total 2 28 2" xfId="40281" xr:uid="{00000000-0005-0000-0000-0000D69C0000}"/>
    <cellStyle name="Total 2 29" xfId="28395" xr:uid="{00000000-0005-0000-0000-0000D79C0000}"/>
    <cellStyle name="Total 2 29 2" xfId="40282" xr:uid="{00000000-0005-0000-0000-0000D89C0000}"/>
    <cellStyle name="Total 2 3" xfId="28396" xr:uid="{00000000-0005-0000-0000-0000D99C0000}"/>
    <cellStyle name="Total 2 3 2" xfId="29317" xr:uid="{00000000-0005-0000-0000-0000DA9C0000}"/>
    <cellStyle name="Total 2 3 2 2" xfId="40906" xr:uid="{00000000-0005-0000-0000-0000DB9C0000}"/>
    <cellStyle name="Total 2 30" xfId="28397" xr:uid="{00000000-0005-0000-0000-0000DC9C0000}"/>
    <cellStyle name="Total 2 30 2" xfId="40283" xr:uid="{00000000-0005-0000-0000-0000DD9C0000}"/>
    <cellStyle name="Total 2 31" xfId="28398" xr:uid="{00000000-0005-0000-0000-0000DE9C0000}"/>
    <cellStyle name="Total 2 31 2" xfId="40284" xr:uid="{00000000-0005-0000-0000-0000DF9C0000}"/>
    <cellStyle name="Total 2 32" xfId="28399" xr:uid="{00000000-0005-0000-0000-0000E09C0000}"/>
    <cellStyle name="Total 2 32 2" xfId="40285" xr:uid="{00000000-0005-0000-0000-0000E19C0000}"/>
    <cellStyle name="Total 2 33" xfId="28400" xr:uid="{00000000-0005-0000-0000-0000E29C0000}"/>
    <cellStyle name="Total 2 33 2" xfId="40286" xr:uid="{00000000-0005-0000-0000-0000E39C0000}"/>
    <cellStyle name="Total 2 34" xfId="28401" xr:uid="{00000000-0005-0000-0000-0000E49C0000}"/>
    <cellStyle name="Total 2 34 2" xfId="40287" xr:uid="{00000000-0005-0000-0000-0000E59C0000}"/>
    <cellStyle name="Total 2 35" xfId="28402" xr:uid="{00000000-0005-0000-0000-0000E69C0000}"/>
    <cellStyle name="Total 2 35 2" xfId="40288" xr:uid="{00000000-0005-0000-0000-0000E79C0000}"/>
    <cellStyle name="Total 2 36" xfId="29377" xr:uid="{00000000-0005-0000-0000-0000E89C0000}"/>
    <cellStyle name="Total 2 36 2" xfId="40457" xr:uid="{00000000-0005-0000-0000-0000E99C0000}"/>
    <cellStyle name="Total 2 4" xfId="28403" xr:uid="{00000000-0005-0000-0000-0000EA9C0000}"/>
    <cellStyle name="Total 2 4 2" xfId="29318" xr:uid="{00000000-0005-0000-0000-0000EB9C0000}"/>
    <cellStyle name="Total 2 4 2 2" xfId="40907" xr:uid="{00000000-0005-0000-0000-0000EC9C0000}"/>
    <cellStyle name="Total 2 5" xfId="28404" xr:uid="{00000000-0005-0000-0000-0000ED9C0000}"/>
    <cellStyle name="Total 2 5 2" xfId="29319" xr:uid="{00000000-0005-0000-0000-0000EE9C0000}"/>
    <cellStyle name="Total 2 5 2 2" xfId="40908" xr:uid="{00000000-0005-0000-0000-0000EF9C0000}"/>
    <cellStyle name="Total 2 6" xfId="28405" xr:uid="{00000000-0005-0000-0000-0000F09C0000}"/>
    <cellStyle name="Total 2 6 2" xfId="29320" xr:uid="{00000000-0005-0000-0000-0000F19C0000}"/>
    <cellStyle name="Total 2 6 2 2" xfId="40909" xr:uid="{00000000-0005-0000-0000-0000F29C0000}"/>
    <cellStyle name="Total 2 7" xfId="28406" xr:uid="{00000000-0005-0000-0000-0000F39C0000}"/>
    <cellStyle name="Total 2 7 2" xfId="29321" xr:uid="{00000000-0005-0000-0000-0000F49C0000}"/>
    <cellStyle name="Total 2 7 2 2" xfId="40910" xr:uid="{00000000-0005-0000-0000-0000F59C0000}"/>
    <cellStyle name="Total 2 8" xfId="28407" xr:uid="{00000000-0005-0000-0000-0000F69C0000}"/>
    <cellStyle name="Total 2 8 2" xfId="28408" xr:uid="{00000000-0005-0000-0000-0000F79C0000}"/>
    <cellStyle name="Total 2 8 2 2" xfId="40290" xr:uid="{00000000-0005-0000-0000-0000F89C0000}"/>
    <cellStyle name="Total 2 8 3" xfId="28409" xr:uid="{00000000-0005-0000-0000-0000F99C0000}"/>
    <cellStyle name="Total 2 8 3 2" xfId="40291" xr:uid="{00000000-0005-0000-0000-0000FA9C0000}"/>
    <cellStyle name="Total 2 8 4" xfId="28410" xr:uid="{00000000-0005-0000-0000-0000FB9C0000}"/>
    <cellStyle name="Total 2 8 4 2" xfId="40292" xr:uid="{00000000-0005-0000-0000-0000FC9C0000}"/>
    <cellStyle name="Total 2 8 5" xfId="28411" xr:uid="{00000000-0005-0000-0000-0000FD9C0000}"/>
    <cellStyle name="Total 2 8 5 2" xfId="40293" xr:uid="{00000000-0005-0000-0000-0000FE9C0000}"/>
    <cellStyle name="Total 2 8 6" xfId="28412" xr:uid="{00000000-0005-0000-0000-0000FF9C0000}"/>
    <cellStyle name="Total 2 8 6 2" xfId="40294" xr:uid="{00000000-0005-0000-0000-0000009D0000}"/>
    <cellStyle name="Total 2 8 7" xfId="28413" xr:uid="{00000000-0005-0000-0000-0000019D0000}"/>
    <cellStyle name="Total 2 8 7 2" xfId="40295" xr:uid="{00000000-0005-0000-0000-0000029D0000}"/>
    <cellStyle name="Total 2 8 8" xfId="41045" xr:uid="{00000000-0005-0000-0000-0000039D0000}"/>
    <cellStyle name="Total 2 8 9" xfId="40289" xr:uid="{00000000-0005-0000-0000-0000049D0000}"/>
    <cellStyle name="Total 2 9" xfId="28414" xr:uid="{00000000-0005-0000-0000-0000059D0000}"/>
    <cellStyle name="Total 2 9 2" xfId="28415" xr:uid="{00000000-0005-0000-0000-0000069D0000}"/>
    <cellStyle name="Total 2 9 2 2" xfId="40297" xr:uid="{00000000-0005-0000-0000-0000079D0000}"/>
    <cellStyle name="Total 2 9 3" xfId="28416" xr:uid="{00000000-0005-0000-0000-0000089D0000}"/>
    <cellStyle name="Total 2 9 3 2" xfId="40298" xr:uid="{00000000-0005-0000-0000-0000099D0000}"/>
    <cellStyle name="Total 2 9 4" xfId="28417" xr:uid="{00000000-0005-0000-0000-00000A9D0000}"/>
    <cellStyle name="Total 2 9 4 2" xfId="40299" xr:uid="{00000000-0005-0000-0000-00000B9D0000}"/>
    <cellStyle name="Total 2 9 5" xfId="28418" xr:uid="{00000000-0005-0000-0000-00000C9D0000}"/>
    <cellStyle name="Total 2 9 5 2" xfId="40300" xr:uid="{00000000-0005-0000-0000-00000D9D0000}"/>
    <cellStyle name="Total 2 9 6" xfId="28419" xr:uid="{00000000-0005-0000-0000-00000E9D0000}"/>
    <cellStyle name="Total 2 9 6 2" xfId="40301" xr:uid="{00000000-0005-0000-0000-00000F9D0000}"/>
    <cellStyle name="Total 2 9 7" xfId="28420" xr:uid="{00000000-0005-0000-0000-0000109D0000}"/>
    <cellStyle name="Total 2 9 7 2" xfId="40302" xr:uid="{00000000-0005-0000-0000-0000119D0000}"/>
    <cellStyle name="Total 2 9 8" xfId="40296" xr:uid="{00000000-0005-0000-0000-0000129D0000}"/>
    <cellStyle name="Total 20" xfId="28421" xr:uid="{00000000-0005-0000-0000-0000139D0000}"/>
    <cellStyle name="Total 20 2" xfId="28422" xr:uid="{00000000-0005-0000-0000-0000149D0000}"/>
    <cellStyle name="Total 20 2 2" xfId="40303" xr:uid="{00000000-0005-0000-0000-0000159D0000}"/>
    <cellStyle name="Total 20 3" xfId="28423" xr:uid="{00000000-0005-0000-0000-0000169D0000}"/>
    <cellStyle name="Total 20 3 2" xfId="40304" xr:uid="{00000000-0005-0000-0000-0000179D0000}"/>
    <cellStyle name="Total 20 4" xfId="29322" xr:uid="{00000000-0005-0000-0000-0000189D0000}"/>
    <cellStyle name="Total 20 4 2" xfId="40911" xr:uid="{00000000-0005-0000-0000-0000199D0000}"/>
    <cellStyle name="Total 21" xfId="28424" xr:uid="{00000000-0005-0000-0000-00001A9D0000}"/>
    <cellStyle name="Total 21 2" xfId="29323" xr:uid="{00000000-0005-0000-0000-00001B9D0000}"/>
    <cellStyle name="Total 21 2 2" xfId="40912" xr:uid="{00000000-0005-0000-0000-00001C9D0000}"/>
    <cellStyle name="Total 22" xfId="28425" xr:uid="{00000000-0005-0000-0000-00001D9D0000}"/>
    <cellStyle name="Total 22 2" xfId="29324" xr:uid="{00000000-0005-0000-0000-00001E9D0000}"/>
    <cellStyle name="Total 22 2 2" xfId="40913" xr:uid="{00000000-0005-0000-0000-00001F9D0000}"/>
    <cellStyle name="Total 23" xfId="28426" xr:uid="{00000000-0005-0000-0000-0000209D0000}"/>
    <cellStyle name="Total 23 2" xfId="29325" xr:uid="{00000000-0005-0000-0000-0000219D0000}"/>
    <cellStyle name="Total 23 2 2" xfId="40914" xr:uid="{00000000-0005-0000-0000-0000229D0000}"/>
    <cellStyle name="Total 24" xfId="28427" xr:uid="{00000000-0005-0000-0000-0000239D0000}"/>
    <cellStyle name="Total 24 2" xfId="29326" xr:uid="{00000000-0005-0000-0000-0000249D0000}"/>
    <cellStyle name="Total 24 2 2" xfId="40963" xr:uid="{00000000-0005-0000-0000-0000259D0000}"/>
    <cellStyle name="Total 25" xfId="28428" xr:uid="{00000000-0005-0000-0000-0000269D0000}"/>
    <cellStyle name="Total 25 2" xfId="29327" xr:uid="{00000000-0005-0000-0000-0000279D0000}"/>
    <cellStyle name="Total 25 2 2" xfId="40998" xr:uid="{00000000-0005-0000-0000-0000289D0000}"/>
    <cellStyle name="Total 26" xfId="28429" xr:uid="{00000000-0005-0000-0000-0000299D0000}"/>
    <cellStyle name="Total 26 10" xfId="28430" xr:uid="{00000000-0005-0000-0000-00002A9D0000}"/>
    <cellStyle name="Total 26 10 2" xfId="40306" xr:uid="{00000000-0005-0000-0000-00002B9D0000}"/>
    <cellStyle name="Total 26 11" xfId="28431" xr:uid="{00000000-0005-0000-0000-00002C9D0000}"/>
    <cellStyle name="Total 26 11 2" xfId="40307" xr:uid="{00000000-0005-0000-0000-00002D9D0000}"/>
    <cellStyle name="Total 26 12" xfId="28432" xr:uid="{00000000-0005-0000-0000-00002E9D0000}"/>
    <cellStyle name="Total 26 12 2" xfId="40308" xr:uid="{00000000-0005-0000-0000-00002F9D0000}"/>
    <cellStyle name="Total 26 13" xfId="28433" xr:uid="{00000000-0005-0000-0000-0000309D0000}"/>
    <cellStyle name="Total 26 13 2" xfId="40309" xr:uid="{00000000-0005-0000-0000-0000319D0000}"/>
    <cellStyle name="Total 26 14" xfId="28434" xr:uid="{00000000-0005-0000-0000-0000329D0000}"/>
    <cellStyle name="Total 26 14 2" xfId="40310" xr:uid="{00000000-0005-0000-0000-0000339D0000}"/>
    <cellStyle name="Total 26 15" xfId="28435" xr:uid="{00000000-0005-0000-0000-0000349D0000}"/>
    <cellStyle name="Total 26 15 2" xfId="40311" xr:uid="{00000000-0005-0000-0000-0000359D0000}"/>
    <cellStyle name="Total 26 16" xfId="28436" xr:uid="{00000000-0005-0000-0000-0000369D0000}"/>
    <cellStyle name="Total 26 16 2" xfId="40312" xr:uid="{00000000-0005-0000-0000-0000379D0000}"/>
    <cellStyle name="Total 26 17" xfId="41003" xr:uid="{00000000-0005-0000-0000-0000389D0000}"/>
    <cellStyle name="Total 26 18" xfId="40305" xr:uid="{00000000-0005-0000-0000-0000399D0000}"/>
    <cellStyle name="Total 26 2" xfId="28437" xr:uid="{00000000-0005-0000-0000-00003A9D0000}"/>
    <cellStyle name="Total 26 2 2" xfId="40313" xr:uid="{00000000-0005-0000-0000-00003B9D0000}"/>
    <cellStyle name="Total 26 3" xfId="28438" xr:uid="{00000000-0005-0000-0000-00003C9D0000}"/>
    <cellStyle name="Total 26 3 2" xfId="40314" xr:uid="{00000000-0005-0000-0000-00003D9D0000}"/>
    <cellStyle name="Total 26 4" xfId="28439" xr:uid="{00000000-0005-0000-0000-00003E9D0000}"/>
    <cellStyle name="Total 26 4 2" xfId="40315" xr:uid="{00000000-0005-0000-0000-00003F9D0000}"/>
    <cellStyle name="Total 26 5" xfId="28440" xr:uid="{00000000-0005-0000-0000-0000409D0000}"/>
    <cellStyle name="Total 26 5 2" xfId="40316" xr:uid="{00000000-0005-0000-0000-0000419D0000}"/>
    <cellStyle name="Total 26 6" xfId="28441" xr:uid="{00000000-0005-0000-0000-0000429D0000}"/>
    <cellStyle name="Total 26 6 2" xfId="40317" xr:uid="{00000000-0005-0000-0000-0000439D0000}"/>
    <cellStyle name="Total 26 7" xfId="28442" xr:uid="{00000000-0005-0000-0000-0000449D0000}"/>
    <cellStyle name="Total 26 7 2" xfId="40318" xr:uid="{00000000-0005-0000-0000-0000459D0000}"/>
    <cellStyle name="Total 26 8" xfId="28443" xr:uid="{00000000-0005-0000-0000-0000469D0000}"/>
    <cellStyle name="Total 26 8 2" xfId="40319" xr:uid="{00000000-0005-0000-0000-0000479D0000}"/>
    <cellStyle name="Total 26 9" xfId="28444" xr:uid="{00000000-0005-0000-0000-0000489D0000}"/>
    <cellStyle name="Total 26 9 2" xfId="40320" xr:uid="{00000000-0005-0000-0000-0000499D0000}"/>
    <cellStyle name="Total 27" xfId="28445" xr:uid="{00000000-0005-0000-0000-00004A9D0000}"/>
    <cellStyle name="Total 27 10" xfId="28446" xr:uid="{00000000-0005-0000-0000-00004B9D0000}"/>
    <cellStyle name="Total 27 10 2" xfId="40322" xr:uid="{00000000-0005-0000-0000-00004C9D0000}"/>
    <cellStyle name="Total 27 11" xfId="28447" xr:uid="{00000000-0005-0000-0000-00004D9D0000}"/>
    <cellStyle name="Total 27 11 2" xfId="40323" xr:uid="{00000000-0005-0000-0000-00004E9D0000}"/>
    <cellStyle name="Total 27 12" xfId="28448" xr:uid="{00000000-0005-0000-0000-00004F9D0000}"/>
    <cellStyle name="Total 27 12 2" xfId="40324" xr:uid="{00000000-0005-0000-0000-0000509D0000}"/>
    <cellStyle name="Total 27 13" xfId="28449" xr:uid="{00000000-0005-0000-0000-0000519D0000}"/>
    <cellStyle name="Total 27 13 2" xfId="40325" xr:uid="{00000000-0005-0000-0000-0000529D0000}"/>
    <cellStyle name="Total 27 14" xfId="28450" xr:uid="{00000000-0005-0000-0000-0000539D0000}"/>
    <cellStyle name="Total 27 14 2" xfId="40326" xr:uid="{00000000-0005-0000-0000-0000549D0000}"/>
    <cellStyle name="Total 27 15" xfId="28451" xr:uid="{00000000-0005-0000-0000-0000559D0000}"/>
    <cellStyle name="Total 27 15 2" xfId="40327" xr:uid="{00000000-0005-0000-0000-0000569D0000}"/>
    <cellStyle name="Total 27 16" xfId="28452" xr:uid="{00000000-0005-0000-0000-0000579D0000}"/>
    <cellStyle name="Total 27 16 2" xfId="40328" xr:uid="{00000000-0005-0000-0000-0000589D0000}"/>
    <cellStyle name="Total 27 17" xfId="40321" xr:uid="{00000000-0005-0000-0000-0000599D0000}"/>
    <cellStyle name="Total 27 2" xfId="28453" xr:uid="{00000000-0005-0000-0000-00005A9D0000}"/>
    <cellStyle name="Total 27 2 2" xfId="40329" xr:uid="{00000000-0005-0000-0000-00005B9D0000}"/>
    <cellStyle name="Total 27 3" xfId="28454" xr:uid="{00000000-0005-0000-0000-00005C9D0000}"/>
    <cellStyle name="Total 27 3 2" xfId="40330" xr:uid="{00000000-0005-0000-0000-00005D9D0000}"/>
    <cellStyle name="Total 27 4" xfId="28455" xr:uid="{00000000-0005-0000-0000-00005E9D0000}"/>
    <cellStyle name="Total 27 4 2" xfId="40331" xr:uid="{00000000-0005-0000-0000-00005F9D0000}"/>
    <cellStyle name="Total 27 5" xfId="28456" xr:uid="{00000000-0005-0000-0000-0000609D0000}"/>
    <cellStyle name="Total 27 5 2" xfId="40332" xr:uid="{00000000-0005-0000-0000-0000619D0000}"/>
    <cellStyle name="Total 27 6" xfId="28457" xr:uid="{00000000-0005-0000-0000-0000629D0000}"/>
    <cellStyle name="Total 27 6 2" xfId="40333" xr:uid="{00000000-0005-0000-0000-0000639D0000}"/>
    <cellStyle name="Total 27 7" xfId="28458" xr:uid="{00000000-0005-0000-0000-0000649D0000}"/>
    <cellStyle name="Total 27 7 2" xfId="40334" xr:uid="{00000000-0005-0000-0000-0000659D0000}"/>
    <cellStyle name="Total 27 8" xfId="28459" xr:uid="{00000000-0005-0000-0000-0000669D0000}"/>
    <cellStyle name="Total 27 8 2" xfId="40335" xr:uid="{00000000-0005-0000-0000-0000679D0000}"/>
    <cellStyle name="Total 27 9" xfId="28460" xr:uid="{00000000-0005-0000-0000-0000689D0000}"/>
    <cellStyle name="Total 27 9 2" xfId="40336" xr:uid="{00000000-0005-0000-0000-0000699D0000}"/>
    <cellStyle name="Total 28" xfId="28461" xr:uid="{00000000-0005-0000-0000-00006A9D0000}"/>
    <cellStyle name="Total 28 10" xfId="28462" xr:uid="{00000000-0005-0000-0000-00006B9D0000}"/>
    <cellStyle name="Total 28 10 2" xfId="40338" xr:uid="{00000000-0005-0000-0000-00006C9D0000}"/>
    <cellStyle name="Total 28 11" xfId="28463" xr:uid="{00000000-0005-0000-0000-00006D9D0000}"/>
    <cellStyle name="Total 28 11 2" xfId="40339" xr:uid="{00000000-0005-0000-0000-00006E9D0000}"/>
    <cellStyle name="Total 28 12" xfId="28464" xr:uid="{00000000-0005-0000-0000-00006F9D0000}"/>
    <cellStyle name="Total 28 12 2" xfId="40340" xr:uid="{00000000-0005-0000-0000-0000709D0000}"/>
    <cellStyle name="Total 28 13" xfId="28465" xr:uid="{00000000-0005-0000-0000-0000719D0000}"/>
    <cellStyle name="Total 28 13 2" xfId="40341" xr:uid="{00000000-0005-0000-0000-0000729D0000}"/>
    <cellStyle name="Total 28 14" xfId="28466" xr:uid="{00000000-0005-0000-0000-0000739D0000}"/>
    <cellStyle name="Total 28 14 2" xfId="40342" xr:uid="{00000000-0005-0000-0000-0000749D0000}"/>
    <cellStyle name="Total 28 15" xfId="28467" xr:uid="{00000000-0005-0000-0000-0000759D0000}"/>
    <cellStyle name="Total 28 15 2" xfId="40343" xr:uid="{00000000-0005-0000-0000-0000769D0000}"/>
    <cellStyle name="Total 28 16" xfId="28468" xr:uid="{00000000-0005-0000-0000-0000779D0000}"/>
    <cellStyle name="Total 28 16 2" xfId="40344" xr:uid="{00000000-0005-0000-0000-0000789D0000}"/>
    <cellStyle name="Total 28 17" xfId="40337" xr:uid="{00000000-0005-0000-0000-0000799D0000}"/>
    <cellStyle name="Total 28 2" xfId="28469" xr:uid="{00000000-0005-0000-0000-00007A9D0000}"/>
    <cellStyle name="Total 28 2 2" xfId="40345" xr:uid="{00000000-0005-0000-0000-00007B9D0000}"/>
    <cellStyle name="Total 28 3" xfId="28470" xr:uid="{00000000-0005-0000-0000-00007C9D0000}"/>
    <cellStyle name="Total 28 3 2" xfId="40346" xr:uid="{00000000-0005-0000-0000-00007D9D0000}"/>
    <cellStyle name="Total 28 4" xfId="28471" xr:uid="{00000000-0005-0000-0000-00007E9D0000}"/>
    <cellStyle name="Total 28 4 2" xfId="40347" xr:uid="{00000000-0005-0000-0000-00007F9D0000}"/>
    <cellStyle name="Total 28 5" xfId="28472" xr:uid="{00000000-0005-0000-0000-0000809D0000}"/>
    <cellStyle name="Total 28 5 2" xfId="40348" xr:uid="{00000000-0005-0000-0000-0000819D0000}"/>
    <cellStyle name="Total 28 6" xfId="28473" xr:uid="{00000000-0005-0000-0000-0000829D0000}"/>
    <cellStyle name="Total 28 6 2" xfId="40349" xr:uid="{00000000-0005-0000-0000-0000839D0000}"/>
    <cellStyle name="Total 28 7" xfId="28474" xr:uid="{00000000-0005-0000-0000-0000849D0000}"/>
    <cellStyle name="Total 28 7 2" xfId="40350" xr:uid="{00000000-0005-0000-0000-0000859D0000}"/>
    <cellStyle name="Total 28 8" xfId="28475" xr:uid="{00000000-0005-0000-0000-0000869D0000}"/>
    <cellStyle name="Total 28 8 2" xfId="40351" xr:uid="{00000000-0005-0000-0000-0000879D0000}"/>
    <cellStyle name="Total 28 9" xfId="28476" xr:uid="{00000000-0005-0000-0000-0000889D0000}"/>
    <cellStyle name="Total 28 9 2" xfId="40352" xr:uid="{00000000-0005-0000-0000-0000899D0000}"/>
    <cellStyle name="Total 29" xfId="28477" xr:uid="{00000000-0005-0000-0000-00008A9D0000}"/>
    <cellStyle name="Total 29 10" xfId="28478" xr:uid="{00000000-0005-0000-0000-00008B9D0000}"/>
    <cellStyle name="Total 29 10 2" xfId="40354" xr:uid="{00000000-0005-0000-0000-00008C9D0000}"/>
    <cellStyle name="Total 29 11" xfId="28479" xr:uid="{00000000-0005-0000-0000-00008D9D0000}"/>
    <cellStyle name="Total 29 11 2" xfId="40355" xr:uid="{00000000-0005-0000-0000-00008E9D0000}"/>
    <cellStyle name="Total 29 12" xfId="28480" xr:uid="{00000000-0005-0000-0000-00008F9D0000}"/>
    <cellStyle name="Total 29 12 2" xfId="40356" xr:uid="{00000000-0005-0000-0000-0000909D0000}"/>
    <cellStyle name="Total 29 13" xfId="28481" xr:uid="{00000000-0005-0000-0000-0000919D0000}"/>
    <cellStyle name="Total 29 13 2" xfId="40357" xr:uid="{00000000-0005-0000-0000-0000929D0000}"/>
    <cellStyle name="Total 29 14" xfId="28482" xr:uid="{00000000-0005-0000-0000-0000939D0000}"/>
    <cellStyle name="Total 29 14 2" xfId="40358" xr:uid="{00000000-0005-0000-0000-0000949D0000}"/>
    <cellStyle name="Total 29 15" xfId="28483" xr:uid="{00000000-0005-0000-0000-0000959D0000}"/>
    <cellStyle name="Total 29 15 2" xfId="40359" xr:uid="{00000000-0005-0000-0000-0000969D0000}"/>
    <cellStyle name="Total 29 16" xfId="28484" xr:uid="{00000000-0005-0000-0000-0000979D0000}"/>
    <cellStyle name="Total 29 16 2" xfId="40360" xr:uid="{00000000-0005-0000-0000-0000989D0000}"/>
    <cellStyle name="Total 29 17" xfId="40353" xr:uid="{00000000-0005-0000-0000-0000999D0000}"/>
    <cellStyle name="Total 29 2" xfId="28485" xr:uid="{00000000-0005-0000-0000-00009A9D0000}"/>
    <cellStyle name="Total 29 2 2" xfId="40361" xr:uid="{00000000-0005-0000-0000-00009B9D0000}"/>
    <cellStyle name="Total 29 3" xfId="28486" xr:uid="{00000000-0005-0000-0000-00009C9D0000}"/>
    <cellStyle name="Total 29 3 2" xfId="40362" xr:uid="{00000000-0005-0000-0000-00009D9D0000}"/>
    <cellStyle name="Total 29 4" xfId="28487" xr:uid="{00000000-0005-0000-0000-00009E9D0000}"/>
    <cellStyle name="Total 29 4 2" xfId="40363" xr:uid="{00000000-0005-0000-0000-00009F9D0000}"/>
    <cellStyle name="Total 29 5" xfId="28488" xr:uid="{00000000-0005-0000-0000-0000A09D0000}"/>
    <cellStyle name="Total 29 5 2" xfId="40364" xr:uid="{00000000-0005-0000-0000-0000A19D0000}"/>
    <cellStyle name="Total 29 6" xfId="28489" xr:uid="{00000000-0005-0000-0000-0000A29D0000}"/>
    <cellStyle name="Total 29 6 2" xfId="40365" xr:uid="{00000000-0005-0000-0000-0000A39D0000}"/>
    <cellStyle name="Total 29 7" xfId="28490" xr:uid="{00000000-0005-0000-0000-0000A49D0000}"/>
    <cellStyle name="Total 29 7 2" xfId="40366" xr:uid="{00000000-0005-0000-0000-0000A59D0000}"/>
    <cellStyle name="Total 29 8" xfId="28491" xr:uid="{00000000-0005-0000-0000-0000A69D0000}"/>
    <cellStyle name="Total 29 8 2" xfId="40367" xr:uid="{00000000-0005-0000-0000-0000A79D0000}"/>
    <cellStyle name="Total 29 9" xfId="28492" xr:uid="{00000000-0005-0000-0000-0000A89D0000}"/>
    <cellStyle name="Total 29 9 2" xfId="40368" xr:uid="{00000000-0005-0000-0000-0000A99D0000}"/>
    <cellStyle name="Total 3" xfId="28493" xr:uid="{00000000-0005-0000-0000-0000AA9D0000}"/>
    <cellStyle name="Total 3 10" xfId="28494" xr:uid="{00000000-0005-0000-0000-0000AB9D0000}"/>
    <cellStyle name="Total 3 10 2" xfId="40369" xr:uid="{00000000-0005-0000-0000-0000AC9D0000}"/>
    <cellStyle name="Total 3 11" xfId="28495" xr:uid="{00000000-0005-0000-0000-0000AD9D0000}"/>
    <cellStyle name="Total 3 11 2" xfId="40370" xr:uid="{00000000-0005-0000-0000-0000AE9D0000}"/>
    <cellStyle name="Total 3 12" xfId="40915" xr:uid="{00000000-0005-0000-0000-0000AF9D0000}"/>
    <cellStyle name="Total 3 2" xfId="28496" xr:uid="{00000000-0005-0000-0000-0000B09D0000}"/>
    <cellStyle name="Total 3 2 2" xfId="29328" xr:uid="{00000000-0005-0000-0000-0000B19D0000}"/>
    <cellStyle name="Total 3 2 2 2" xfId="40916" xr:uid="{00000000-0005-0000-0000-0000B29D0000}"/>
    <cellStyle name="Total 3 3" xfId="28497" xr:uid="{00000000-0005-0000-0000-0000B39D0000}"/>
    <cellStyle name="Total 3 3 2" xfId="29329" xr:uid="{00000000-0005-0000-0000-0000B49D0000}"/>
    <cellStyle name="Total 3 3 2 2" xfId="40917" xr:uid="{00000000-0005-0000-0000-0000B59D0000}"/>
    <cellStyle name="Total 3 4" xfId="28498" xr:uid="{00000000-0005-0000-0000-0000B69D0000}"/>
    <cellStyle name="Total 3 4 2" xfId="29330" xr:uid="{00000000-0005-0000-0000-0000B79D0000}"/>
    <cellStyle name="Total 3 4 2 2" xfId="40918" xr:uid="{00000000-0005-0000-0000-0000B89D0000}"/>
    <cellStyle name="Total 3 5" xfId="28499" xr:uid="{00000000-0005-0000-0000-0000B99D0000}"/>
    <cellStyle name="Total 3 5 2" xfId="29331" xr:uid="{00000000-0005-0000-0000-0000BA9D0000}"/>
    <cellStyle name="Total 3 6" xfId="28500" xr:uid="{00000000-0005-0000-0000-0000BB9D0000}"/>
    <cellStyle name="Total 3 6 2" xfId="29332" xr:uid="{00000000-0005-0000-0000-0000BC9D0000}"/>
    <cellStyle name="Total 3 7" xfId="28501" xr:uid="{00000000-0005-0000-0000-0000BD9D0000}"/>
    <cellStyle name="Total 3 7 2" xfId="29333" xr:uid="{00000000-0005-0000-0000-0000BE9D0000}"/>
    <cellStyle name="Total 3 8" xfId="28502" xr:uid="{00000000-0005-0000-0000-0000BF9D0000}"/>
    <cellStyle name="Total 3 8 2" xfId="40371" xr:uid="{00000000-0005-0000-0000-0000C09D0000}"/>
    <cellStyle name="Total 3 9" xfId="28503" xr:uid="{00000000-0005-0000-0000-0000C19D0000}"/>
    <cellStyle name="Total 3 9 2" xfId="40372" xr:uid="{00000000-0005-0000-0000-0000C29D0000}"/>
    <cellStyle name="Total 30" xfId="28504" xr:uid="{00000000-0005-0000-0000-0000C39D0000}"/>
    <cellStyle name="Total 30 2" xfId="40373" xr:uid="{00000000-0005-0000-0000-0000C49D0000}"/>
    <cellStyle name="Total 31" xfId="28505" xr:uid="{00000000-0005-0000-0000-0000C59D0000}"/>
    <cellStyle name="Total 31 2" xfId="40374" xr:uid="{00000000-0005-0000-0000-0000C69D0000}"/>
    <cellStyle name="Total 32" xfId="28506" xr:uid="{00000000-0005-0000-0000-0000C79D0000}"/>
    <cellStyle name="Total 32 2" xfId="40375" xr:uid="{00000000-0005-0000-0000-0000C89D0000}"/>
    <cellStyle name="Total 33" xfId="28507" xr:uid="{00000000-0005-0000-0000-0000C99D0000}"/>
    <cellStyle name="Total 33 2" xfId="40376" xr:uid="{00000000-0005-0000-0000-0000CA9D0000}"/>
    <cellStyle name="Total 34" xfId="28508" xr:uid="{00000000-0005-0000-0000-0000CB9D0000}"/>
    <cellStyle name="Total 34 2" xfId="40377" xr:uid="{00000000-0005-0000-0000-0000CC9D0000}"/>
    <cellStyle name="Total 35" xfId="28509" xr:uid="{00000000-0005-0000-0000-0000CD9D0000}"/>
    <cellStyle name="Total 35 2" xfId="40378" xr:uid="{00000000-0005-0000-0000-0000CE9D0000}"/>
    <cellStyle name="Total 36" xfId="28510" xr:uid="{00000000-0005-0000-0000-0000CF9D0000}"/>
    <cellStyle name="Total 36 2" xfId="40379" xr:uid="{00000000-0005-0000-0000-0000D09D0000}"/>
    <cellStyle name="Total 37" xfId="28511" xr:uid="{00000000-0005-0000-0000-0000D19D0000}"/>
    <cellStyle name="Total 37 2" xfId="40380" xr:uid="{00000000-0005-0000-0000-0000D29D0000}"/>
    <cellStyle name="Total 38" xfId="28512" xr:uid="{00000000-0005-0000-0000-0000D39D0000}"/>
    <cellStyle name="Total 38 2" xfId="40381" xr:uid="{00000000-0005-0000-0000-0000D49D0000}"/>
    <cellStyle name="Total 39" xfId="28513" xr:uid="{00000000-0005-0000-0000-0000D59D0000}"/>
    <cellStyle name="Total 39 2" xfId="40382" xr:uid="{00000000-0005-0000-0000-0000D69D0000}"/>
    <cellStyle name="Total 4" xfId="28514" xr:uid="{00000000-0005-0000-0000-0000D79D0000}"/>
    <cellStyle name="Total 4 10" xfId="28515" xr:uid="{00000000-0005-0000-0000-0000D89D0000}"/>
    <cellStyle name="Total 4 10 2" xfId="40383" xr:uid="{00000000-0005-0000-0000-0000D99D0000}"/>
    <cellStyle name="Total 4 11" xfId="28516" xr:uid="{00000000-0005-0000-0000-0000DA9D0000}"/>
    <cellStyle name="Total 4 11 2" xfId="40384" xr:uid="{00000000-0005-0000-0000-0000DB9D0000}"/>
    <cellStyle name="Total 4 12" xfId="40919" xr:uid="{00000000-0005-0000-0000-0000DC9D0000}"/>
    <cellStyle name="Total 4 2" xfId="28517" xr:uid="{00000000-0005-0000-0000-0000DD9D0000}"/>
    <cellStyle name="Total 4 2 2" xfId="29334" xr:uid="{00000000-0005-0000-0000-0000DE9D0000}"/>
    <cellStyle name="Total 4 2 2 2" xfId="40920" xr:uid="{00000000-0005-0000-0000-0000DF9D0000}"/>
    <cellStyle name="Total 4 3" xfId="28518" xr:uid="{00000000-0005-0000-0000-0000E09D0000}"/>
    <cellStyle name="Total 4 3 2" xfId="29335" xr:uid="{00000000-0005-0000-0000-0000E19D0000}"/>
    <cellStyle name="Total 4 3 2 2" xfId="40921" xr:uid="{00000000-0005-0000-0000-0000E29D0000}"/>
    <cellStyle name="Total 4 4" xfId="28519" xr:uid="{00000000-0005-0000-0000-0000E39D0000}"/>
    <cellStyle name="Total 4 4 2" xfId="29336" xr:uid="{00000000-0005-0000-0000-0000E49D0000}"/>
    <cellStyle name="Total 4 4 2 2" xfId="40922" xr:uid="{00000000-0005-0000-0000-0000E59D0000}"/>
    <cellStyle name="Total 4 5" xfId="28520" xr:uid="{00000000-0005-0000-0000-0000E69D0000}"/>
    <cellStyle name="Total 4 5 2" xfId="29337" xr:uid="{00000000-0005-0000-0000-0000E79D0000}"/>
    <cellStyle name="Total 4 6" xfId="28521" xr:uid="{00000000-0005-0000-0000-0000E89D0000}"/>
    <cellStyle name="Total 4 6 2" xfId="29338" xr:uid="{00000000-0005-0000-0000-0000E99D0000}"/>
    <cellStyle name="Total 4 7" xfId="28522" xr:uid="{00000000-0005-0000-0000-0000EA9D0000}"/>
    <cellStyle name="Total 4 7 2" xfId="29339" xr:uid="{00000000-0005-0000-0000-0000EB9D0000}"/>
    <cellStyle name="Total 4 8" xfId="28523" xr:uid="{00000000-0005-0000-0000-0000EC9D0000}"/>
    <cellStyle name="Total 4 8 2" xfId="40385" xr:uid="{00000000-0005-0000-0000-0000ED9D0000}"/>
    <cellStyle name="Total 4 9" xfId="28524" xr:uid="{00000000-0005-0000-0000-0000EE9D0000}"/>
    <cellStyle name="Total 4 9 2" xfId="40386" xr:uid="{00000000-0005-0000-0000-0000EF9D0000}"/>
    <cellStyle name="Total 40" xfId="28525" xr:uid="{00000000-0005-0000-0000-0000F09D0000}"/>
    <cellStyle name="Total 40 2" xfId="40387" xr:uid="{00000000-0005-0000-0000-0000F19D0000}"/>
    <cellStyle name="Total 41" xfId="28526" xr:uid="{00000000-0005-0000-0000-0000F29D0000}"/>
    <cellStyle name="Total 41 2" xfId="40388" xr:uid="{00000000-0005-0000-0000-0000F39D0000}"/>
    <cellStyle name="Total 42" xfId="28527" xr:uid="{00000000-0005-0000-0000-0000F49D0000}"/>
    <cellStyle name="Total 42 2" xfId="40389" xr:uid="{00000000-0005-0000-0000-0000F59D0000}"/>
    <cellStyle name="Total 43" xfId="28528" xr:uid="{00000000-0005-0000-0000-0000F69D0000}"/>
    <cellStyle name="Total 43 2" xfId="40390" xr:uid="{00000000-0005-0000-0000-0000F79D0000}"/>
    <cellStyle name="Total 44" xfId="28529" xr:uid="{00000000-0005-0000-0000-0000F89D0000}"/>
    <cellStyle name="Total 44 2" xfId="40391" xr:uid="{00000000-0005-0000-0000-0000F99D0000}"/>
    <cellStyle name="Total 45" xfId="28530" xr:uid="{00000000-0005-0000-0000-0000FA9D0000}"/>
    <cellStyle name="Total 45 2" xfId="40392" xr:uid="{00000000-0005-0000-0000-0000FB9D0000}"/>
    <cellStyle name="Total 46" xfId="28531" xr:uid="{00000000-0005-0000-0000-0000FC9D0000}"/>
    <cellStyle name="Total 46 2" xfId="40393" xr:uid="{00000000-0005-0000-0000-0000FD9D0000}"/>
    <cellStyle name="Total 47" xfId="28532" xr:uid="{00000000-0005-0000-0000-0000FE9D0000}"/>
    <cellStyle name="Total 47 2" xfId="40394" xr:uid="{00000000-0005-0000-0000-0000FF9D0000}"/>
    <cellStyle name="Total 48" xfId="28533" xr:uid="{00000000-0005-0000-0000-0000009E0000}"/>
    <cellStyle name="Total 48 2" xfId="40395" xr:uid="{00000000-0005-0000-0000-0000019E0000}"/>
    <cellStyle name="Total 49" xfId="28534" xr:uid="{00000000-0005-0000-0000-0000029E0000}"/>
    <cellStyle name="Total 49 2" xfId="40396" xr:uid="{00000000-0005-0000-0000-0000039E0000}"/>
    <cellStyle name="Total 5" xfId="28535" xr:uid="{00000000-0005-0000-0000-0000049E0000}"/>
    <cellStyle name="Total 5 2" xfId="28536" xr:uid="{00000000-0005-0000-0000-0000059E0000}"/>
    <cellStyle name="Total 5 2 2" xfId="29341" xr:uid="{00000000-0005-0000-0000-0000069E0000}"/>
    <cellStyle name="Total 5 3" xfId="28537" xr:uid="{00000000-0005-0000-0000-0000079E0000}"/>
    <cellStyle name="Total 5 3 2" xfId="29342" xr:uid="{00000000-0005-0000-0000-0000089E0000}"/>
    <cellStyle name="Total 5 4" xfId="28538" xr:uid="{00000000-0005-0000-0000-0000099E0000}"/>
    <cellStyle name="Total 5 4 2" xfId="29343" xr:uid="{00000000-0005-0000-0000-00000A9E0000}"/>
    <cellStyle name="Total 5 5" xfId="29340" xr:uid="{00000000-0005-0000-0000-00000B9E0000}"/>
    <cellStyle name="Total 5 5 2" xfId="40923" xr:uid="{00000000-0005-0000-0000-00000C9E0000}"/>
    <cellStyle name="Total 50" xfId="28539" xr:uid="{00000000-0005-0000-0000-00000D9E0000}"/>
    <cellStyle name="Total 50 2" xfId="40397" xr:uid="{00000000-0005-0000-0000-00000E9E0000}"/>
    <cellStyle name="Total 51" xfId="28540" xr:uid="{00000000-0005-0000-0000-00000F9E0000}"/>
    <cellStyle name="Total 51 2" xfId="40398" xr:uid="{00000000-0005-0000-0000-0000109E0000}"/>
    <cellStyle name="Total 52" xfId="28541" xr:uid="{00000000-0005-0000-0000-0000119E0000}"/>
    <cellStyle name="Total 52 2" xfId="40399" xr:uid="{00000000-0005-0000-0000-0000129E0000}"/>
    <cellStyle name="Total 53" xfId="28542" xr:uid="{00000000-0005-0000-0000-0000139E0000}"/>
    <cellStyle name="Total 53 2" xfId="40400" xr:uid="{00000000-0005-0000-0000-0000149E0000}"/>
    <cellStyle name="Total 54" xfId="28543" xr:uid="{00000000-0005-0000-0000-0000159E0000}"/>
    <cellStyle name="Total 54 2" xfId="40401" xr:uid="{00000000-0005-0000-0000-0000169E0000}"/>
    <cellStyle name="Total 55" xfId="28544" xr:uid="{00000000-0005-0000-0000-0000179E0000}"/>
    <cellStyle name="Total 55 2" xfId="40402" xr:uid="{00000000-0005-0000-0000-0000189E0000}"/>
    <cellStyle name="Total 56" xfId="28545" xr:uid="{00000000-0005-0000-0000-0000199E0000}"/>
    <cellStyle name="Total 56 2" xfId="40403" xr:uid="{00000000-0005-0000-0000-00001A9E0000}"/>
    <cellStyle name="Total 57" xfId="28546" xr:uid="{00000000-0005-0000-0000-00001B9E0000}"/>
    <cellStyle name="Total 57 2" xfId="40404" xr:uid="{00000000-0005-0000-0000-00001C9E0000}"/>
    <cellStyle name="Total 58" xfId="28547" xr:uid="{00000000-0005-0000-0000-00001D9E0000}"/>
    <cellStyle name="Total 58 2" xfId="40405" xr:uid="{00000000-0005-0000-0000-00001E9E0000}"/>
    <cellStyle name="Total 59" xfId="28548" xr:uid="{00000000-0005-0000-0000-00001F9E0000}"/>
    <cellStyle name="Total 59 2" xfId="40406" xr:uid="{00000000-0005-0000-0000-0000209E0000}"/>
    <cellStyle name="Total 6" xfId="28549" xr:uid="{00000000-0005-0000-0000-0000219E0000}"/>
    <cellStyle name="Total 6 2" xfId="28550" xr:uid="{00000000-0005-0000-0000-0000229E0000}"/>
    <cellStyle name="Total 6 2 2" xfId="29345" xr:uid="{00000000-0005-0000-0000-0000239E0000}"/>
    <cellStyle name="Total 6 3" xfId="28551" xr:uid="{00000000-0005-0000-0000-0000249E0000}"/>
    <cellStyle name="Total 6 3 2" xfId="29346" xr:uid="{00000000-0005-0000-0000-0000259E0000}"/>
    <cellStyle name="Total 6 4" xfId="28552" xr:uid="{00000000-0005-0000-0000-0000269E0000}"/>
    <cellStyle name="Total 6 4 2" xfId="29347" xr:uid="{00000000-0005-0000-0000-0000279E0000}"/>
    <cellStyle name="Total 6 5" xfId="29344" xr:uid="{00000000-0005-0000-0000-0000289E0000}"/>
    <cellStyle name="Total 6 5 2" xfId="40924" xr:uid="{00000000-0005-0000-0000-0000299E0000}"/>
    <cellStyle name="Total 60" xfId="28553" xr:uid="{00000000-0005-0000-0000-00002A9E0000}"/>
    <cellStyle name="Total 60 2" xfId="40407" xr:uid="{00000000-0005-0000-0000-00002B9E0000}"/>
    <cellStyle name="Total 61" xfId="28554" xr:uid="{00000000-0005-0000-0000-00002C9E0000}"/>
    <cellStyle name="Total 61 2" xfId="40408" xr:uid="{00000000-0005-0000-0000-00002D9E0000}"/>
    <cellStyle name="Total 62" xfId="28555" xr:uid="{00000000-0005-0000-0000-00002E9E0000}"/>
    <cellStyle name="Total 62 2" xfId="40409" xr:uid="{00000000-0005-0000-0000-00002F9E0000}"/>
    <cellStyle name="Total 63" xfId="28556" xr:uid="{00000000-0005-0000-0000-0000309E0000}"/>
    <cellStyle name="Total 63 2" xfId="40410" xr:uid="{00000000-0005-0000-0000-0000319E0000}"/>
    <cellStyle name="Total 64" xfId="28557" xr:uid="{00000000-0005-0000-0000-0000329E0000}"/>
    <cellStyle name="Total 64 2" xfId="40411" xr:uid="{00000000-0005-0000-0000-0000339E0000}"/>
    <cellStyle name="Total 65" xfId="28558" xr:uid="{00000000-0005-0000-0000-0000349E0000}"/>
    <cellStyle name="Total 65 2" xfId="40412" xr:uid="{00000000-0005-0000-0000-0000359E0000}"/>
    <cellStyle name="Total 66" xfId="28559" xr:uid="{00000000-0005-0000-0000-0000369E0000}"/>
    <cellStyle name="Total 66 2" xfId="40413" xr:uid="{00000000-0005-0000-0000-0000379E0000}"/>
    <cellStyle name="Total 67" xfId="28560" xr:uid="{00000000-0005-0000-0000-0000389E0000}"/>
    <cellStyle name="Total 67 2" xfId="40414" xr:uid="{00000000-0005-0000-0000-0000399E0000}"/>
    <cellStyle name="Total 68" xfId="28561" xr:uid="{00000000-0005-0000-0000-00003A9E0000}"/>
    <cellStyle name="Total 68 2" xfId="40415" xr:uid="{00000000-0005-0000-0000-00003B9E0000}"/>
    <cellStyle name="Total 69" xfId="28562" xr:uid="{00000000-0005-0000-0000-00003C9E0000}"/>
    <cellStyle name="Total 69 2" xfId="40416" xr:uid="{00000000-0005-0000-0000-00003D9E0000}"/>
    <cellStyle name="Total 7" xfId="28563" xr:uid="{00000000-0005-0000-0000-00003E9E0000}"/>
    <cellStyle name="Total 7 2" xfId="28564" xr:uid="{00000000-0005-0000-0000-00003F9E0000}"/>
    <cellStyle name="Total 7 2 2" xfId="29349" xr:uid="{00000000-0005-0000-0000-0000409E0000}"/>
    <cellStyle name="Total 7 3" xfId="28565" xr:uid="{00000000-0005-0000-0000-0000419E0000}"/>
    <cellStyle name="Total 7 3 2" xfId="29350" xr:uid="{00000000-0005-0000-0000-0000429E0000}"/>
    <cellStyle name="Total 7 4" xfId="28566" xr:uid="{00000000-0005-0000-0000-0000439E0000}"/>
    <cellStyle name="Total 7 4 2" xfId="29351" xr:uid="{00000000-0005-0000-0000-0000449E0000}"/>
    <cellStyle name="Total 7 5" xfId="29348" xr:uid="{00000000-0005-0000-0000-0000459E0000}"/>
    <cellStyle name="Total 7 5 2" xfId="40925" xr:uid="{00000000-0005-0000-0000-0000469E0000}"/>
    <cellStyle name="Total 70" xfId="28567" xr:uid="{00000000-0005-0000-0000-0000479E0000}"/>
    <cellStyle name="Total 70 2" xfId="40417" xr:uid="{00000000-0005-0000-0000-0000489E0000}"/>
    <cellStyle name="Total 71" xfId="28568" xr:uid="{00000000-0005-0000-0000-0000499E0000}"/>
    <cellStyle name="Total 71 2" xfId="40418" xr:uid="{00000000-0005-0000-0000-00004A9E0000}"/>
    <cellStyle name="Total 72" xfId="28569" xr:uid="{00000000-0005-0000-0000-00004B9E0000}"/>
    <cellStyle name="Total 72 2" xfId="40419" xr:uid="{00000000-0005-0000-0000-00004C9E0000}"/>
    <cellStyle name="Total 73" xfId="28570" xr:uid="{00000000-0005-0000-0000-00004D9E0000}"/>
    <cellStyle name="Total 73 2" xfId="40420" xr:uid="{00000000-0005-0000-0000-00004E9E0000}"/>
    <cellStyle name="Total 74" xfId="28571" xr:uid="{00000000-0005-0000-0000-00004F9E0000}"/>
    <cellStyle name="Total 74 2" xfId="40421" xr:uid="{00000000-0005-0000-0000-0000509E0000}"/>
    <cellStyle name="Total 75" xfId="28572" xr:uid="{00000000-0005-0000-0000-0000519E0000}"/>
    <cellStyle name="Total 75 2" xfId="40422" xr:uid="{00000000-0005-0000-0000-0000529E0000}"/>
    <cellStyle name="Total 76" xfId="28573" xr:uid="{00000000-0005-0000-0000-0000539E0000}"/>
    <cellStyle name="Total 76 2" xfId="40423" xr:uid="{00000000-0005-0000-0000-0000549E0000}"/>
    <cellStyle name="Total 77" xfId="28574" xr:uid="{00000000-0005-0000-0000-0000559E0000}"/>
    <cellStyle name="Total 77 2" xfId="40424" xr:uid="{00000000-0005-0000-0000-0000569E0000}"/>
    <cellStyle name="Total 78" xfId="28575" xr:uid="{00000000-0005-0000-0000-0000579E0000}"/>
    <cellStyle name="Total 78 2" xfId="40425" xr:uid="{00000000-0005-0000-0000-0000589E0000}"/>
    <cellStyle name="Total 79" xfId="28576" xr:uid="{00000000-0005-0000-0000-0000599E0000}"/>
    <cellStyle name="Total 79 2" xfId="40426" xr:uid="{00000000-0005-0000-0000-00005A9E0000}"/>
    <cellStyle name="Total 8" xfId="28577" xr:uid="{00000000-0005-0000-0000-00005B9E0000}"/>
    <cellStyle name="Total 8 2" xfId="28578" xr:uid="{00000000-0005-0000-0000-00005C9E0000}"/>
    <cellStyle name="Total 8 2 2" xfId="29353" xr:uid="{00000000-0005-0000-0000-00005D9E0000}"/>
    <cellStyle name="Total 8 3" xfId="28579" xr:uid="{00000000-0005-0000-0000-00005E9E0000}"/>
    <cellStyle name="Total 8 3 2" xfId="29354" xr:uid="{00000000-0005-0000-0000-00005F9E0000}"/>
    <cellStyle name="Total 8 4" xfId="28580" xr:uid="{00000000-0005-0000-0000-0000609E0000}"/>
    <cellStyle name="Total 8 4 2" xfId="29355" xr:uid="{00000000-0005-0000-0000-0000619E0000}"/>
    <cellStyle name="Total 8 5" xfId="29352" xr:uid="{00000000-0005-0000-0000-0000629E0000}"/>
    <cellStyle name="Total 8 5 2" xfId="40926" xr:uid="{00000000-0005-0000-0000-0000639E0000}"/>
    <cellStyle name="Total 80" xfId="28581" xr:uid="{00000000-0005-0000-0000-0000649E0000}"/>
    <cellStyle name="Total 80 2" xfId="40427" xr:uid="{00000000-0005-0000-0000-0000659E0000}"/>
    <cellStyle name="Total 81" xfId="28582" xr:uid="{00000000-0005-0000-0000-0000669E0000}"/>
    <cellStyle name="Total 81 2" xfId="40428" xr:uid="{00000000-0005-0000-0000-0000679E0000}"/>
    <cellStyle name="Total 82" xfId="28583" xr:uid="{00000000-0005-0000-0000-0000689E0000}"/>
    <cellStyle name="Total 82 2" xfId="40429" xr:uid="{00000000-0005-0000-0000-0000699E0000}"/>
    <cellStyle name="Total 83" xfId="28584" xr:uid="{00000000-0005-0000-0000-00006A9E0000}"/>
    <cellStyle name="Total 83 2" xfId="40430" xr:uid="{00000000-0005-0000-0000-00006B9E0000}"/>
    <cellStyle name="Total 84" xfId="28585" xr:uid="{00000000-0005-0000-0000-00006C9E0000}"/>
    <cellStyle name="Total 84 2" xfId="40431" xr:uid="{00000000-0005-0000-0000-00006D9E0000}"/>
    <cellStyle name="Total 85" xfId="28586" xr:uid="{00000000-0005-0000-0000-00006E9E0000}"/>
    <cellStyle name="Total 85 2" xfId="40432" xr:uid="{00000000-0005-0000-0000-00006F9E0000}"/>
    <cellStyle name="Total 86" xfId="28587" xr:uid="{00000000-0005-0000-0000-0000709E0000}"/>
    <cellStyle name="Total 86 2" xfId="40433" xr:uid="{00000000-0005-0000-0000-0000719E0000}"/>
    <cellStyle name="Total 87" xfId="28588" xr:uid="{00000000-0005-0000-0000-0000729E0000}"/>
    <cellStyle name="Total 87 2" xfId="40434" xr:uid="{00000000-0005-0000-0000-0000739E0000}"/>
    <cellStyle name="Total 88" xfId="28589" xr:uid="{00000000-0005-0000-0000-0000749E0000}"/>
    <cellStyle name="Total 88 2" xfId="40435" xr:uid="{00000000-0005-0000-0000-0000759E0000}"/>
    <cellStyle name="Total 89" xfId="28590" xr:uid="{00000000-0005-0000-0000-0000769E0000}"/>
    <cellStyle name="Total 89 2" xfId="40436" xr:uid="{00000000-0005-0000-0000-0000779E0000}"/>
    <cellStyle name="Total 9" xfId="28591" xr:uid="{00000000-0005-0000-0000-0000789E0000}"/>
    <cellStyle name="Total 9 2" xfId="29356" xr:uid="{00000000-0005-0000-0000-0000799E0000}"/>
    <cellStyle name="Total 9 2 2" xfId="40927" xr:uid="{00000000-0005-0000-0000-00007A9E0000}"/>
    <cellStyle name="Total 90" xfId="28592" xr:uid="{00000000-0005-0000-0000-00007B9E0000}"/>
    <cellStyle name="Total 90 2" xfId="40437" xr:uid="{00000000-0005-0000-0000-00007C9E0000}"/>
    <cellStyle name="Total 91" xfId="28593" xr:uid="{00000000-0005-0000-0000-00007D9E0000}"/>
    <cellStyle name="Total 91 2" xfId="40438" xr:uid="{00000000-0005-0000-0000-00007E9E0000}"/>
    <cellStyle name="Total 92" xfId="28594" xr:uid="{00000000-0005-0000-0000-00007F9E0000}"/>
    <cellStyle name="Total 92 2" xfId="40439" xr:uid="{00000000-0005-0000-0000-0000809E0000}"/>
    <cellStyle name="Total 93" xfId="28595" xr:uid="{00000000-0005-0000-0000-0000819E0000}"/>
    <cellStyle name="Total 93 2" xfId="40440" xr:uid="{00000000-0005-0000-0000-0000829E0000}"/>
    <cellStyle name="Total 94" xfId="28596" xr:uid="{00000000-0005-0000-0000-0000839E0000}"/>
    <cellStyle name="Total 94 2" xfId="40441" xr:uid="{00000000-0005-0000-0000-0000849E0000}"/>
    <cellStyle name="Total 95" xfId="28597" xr:uid="{00000000-0005-0000-0000-0000859E0000}"/>
    <cellStyle name="Total 95 2" xfId="40442" xr:uid="{00000000-0005-0000-0000-0000869E0000}"/>
    <cellStyle name="Total 96" xfId="28598" xr:uid="{00000000-0005-0000-0000-0000879E0000}"/>
    <cellStyle name="Total 96 2" xfId="40443" xr:uid="{00000000-0005-0000-0000-0000889E0000}"/>
    <cellStyle name="Total 97" xfId="28599" xr:uid="{00000000-0005-0000-0000-0000899E0000}"/>
    <cellStyle name="Total 97 2" xfId="40444" xr:uid="{00000000-0005-0000-0000-00008A9E0000}"/>
    <cellStyle name="Total 98" xfId="28600" xr:uid="{00000000-0005-0000-0000-00008B9E0000}"/>
    <cellStyle name="Total 98 2" xfId="40445" xr:uid="{00000000-0005-0000-0000-00008C9E0000}"/>
    <cellStyle name="Total 99" xfId="28601" xr:uid="{00000000-0005-0000-0000-00008D9E0000}"/>
    <cellStyle name="Total 99 2" xfId="40446" xr:uid="{00000000-0005-0000-0000-00008E9E0000}"/>
    <cellStyle name="Vírgula" xfId="21" builtinId="3"/>
    <cellStyle name="Vírgula 2" xfId="41070" xr:uid="{143E76A9-2A35-4C0D-A8AE-1B037CFAC69F}"/>
    <cellStyle name="Vírgula 3" xfId="41073" xr:uid="{DB8EAC1A-D874-46FE-A236-B9925BF242B6}"/>
    <cellStyle name="Währung" xfId="28602" xr:uid="{00000000-0005-0000-0000-0000909E0000}"/>
    <cellStyle name="Währung 10" xfId="28603" xr:uid="{00000000-0005-0000-0000-0000919E0000}"/>
    <cellStyle name="Währung 100" xfId="28604" xr:uid="{00000000-0005-0000-0000-0000929E0000}"/>
    <cellStyle name="Währung 101" xfId="28605" xr:uid="{00000000-0005-0000-0000-0000939E0000}"/>
    <cellStyle name="Währung 102" xfId="28606" xr:uid="{00000000-0005-0000-0000-0000949E0000}"/>
    <cellStyle name="Währung 103" xfId="28607" xr:uid="{00000000-0005-0000-0000-0000959E0000}"/>
    <cellStyle name="Währung 104" xfId="28608" xr:uid="{00000000-0005-0000-0000-0000969E0000}"/>
    <cellStyle name="Währung 105" xfId="28609" xr:uid="{00000000-0005-0000-0000-0000979E0000}"/>
    <cellStyle name="Währung 106" xfId="28610" xr:uid="{00000000-0005-0000-0000-0000989E0000}"/>
    <cellStyle name="Währung 107" xfId="28611" xr:uid="{00000000-0005-0000-0000-0000999E0000}"/>
    <cellStyle name="Währung 108" xfId="28612" xr:uid="{00000000-0005-0000-0000-00009A9E0000}"/>
    <cellStyle name="Währung 109" xfId="28613" xr:uid="{00000000-0005-0000-0000-00009B9E0000}"/>
    <cellStyle name="Währung 11" xfId="28614" xr:uid="{00000000-0005-0000-0000-00009C9E0000}"/>
    <cellStyle name="Währung 110" xfId="28615" xr:uid="{00000000-0005-0000-0000-00009D9E0000}"/>
    <cellStyle name="Währung 111" xfId="28616" xr:uid="{00000000-0005-0000-0000-00009E9E0000}"/>
    <cellStyle name="Währung 112" xfId="28617" xr:uid="{00000000-0005-0000-0000-00009F9E0000}"/>
    <cellStyle name="Währung 113" xfId="28618" xr:uid="{00000000-0005-0000-0000-0000A09E0000}"/>
    <cellStyle name="Währung 114" xfId="28619" xr:uid="{00000000-0005-0000-0000-0000A19E0000}"/>
    <cellStyle name="Währung 115" xfId="28620" xr:uid="{00000000-0005-0000-0000-0000A29E0000}"/>
    <cellStyle name="Währung 116" xfId="28621" xr:uid="{00000000-0005-0000-0000-0000A39E0000}"/>
    <cellStyle name="Währung 117" xfId="28622" xr:uid="{00000000-0005-0000-0000-0000A49E0000}"/>
    <cellStyle name="Währung 118" xfId="28623" xr:uid="{00000000-0005-0000-0000-0000A59E0000}"/>
    <cellStyle name="Währung 119" xfId="28624" xr:uid="{00000000-0005-0000-0000-0000A69E0000}"/>
    <cellStyle name="Währung 12" xfId="28625" xr:uid="{00000000-0005-0000-0000-0000A79E0000}"/>
    <cellStyle name="Währung 120" xfId="28626" xr:uid="{00000000-0005-0000-0000-0000A89E0000}"/>
    <cellStyle name="Währung 121" xfId="28627" xr:uid="{00000000-0005-0000-0000-0000A99E0000}"/>
    <cellStyle name="Währung 122" xfId="28628" xr:uid="{00000000-0005-0000-0000-0000AA9E0000}"/>
    <cellStyle name="Währung 123" xfId="28629" xr:uid="{00000000-0005-0000-0000-0000AB9E0000}"/>
    <cellStyle name="Währung 124" xfId="28630" xr:uid="{00000000-0005-0000-0000-0000AC9E0000}"/>
    <cellStyle name="Währung 125" xfId="28631" xr:uid="{00000000-0005-0000-0000-0000AD9E0000}"/>
    <cellStyle name="Währung 126" xfId="28632" xr:uid="{00000000-0005-0000-0000-0000AE9E0000}"/>
    <cellStyle name="Währung 127" xfId="28633" xr:uid="{00000000-0005-0000-0000-0000AF9E0000}"/>
    <cellStyle name="Währung 128" xfId="28634" xr:uid="{00000000-0005-0000-0000-0000B09E0000}"/>
    <cellStyle name="Währung 129" xfId="28635" xr:uid="{00000000-0005-0000-0000-0000B19E0000}"/>
    <cellStyle name="Währung 13" xfId="28636" xr:uid="{00000000-0005-0000-0000-0000B29E0000}"/>
    <cellStyle name="Währung 130" xfId="28637" xr:uid="{00000000-0005-0000-0000-0000B39E0000}"/>
    <cellStyle name="Währung 131" xfId="28638" xr:uid="{00000000-0005-0000-0000-0000B49E0000}"/>
    <cellStyle name="Währung 132" xfId="28639" xr:uid="{00000000-0005-0000-0000-0000B59E0000}"/>
    <cellStyle name="Währung 133" xfId="28640" xr:uid="{00000000-0005-0000-0000-0000B69E0000}"/>
    <cellStyle name="Währung 134" xfId="28641" xr:uid="{00000000-0005-0000-0000-0000B79E0000}"/>
    <cellStyle name="Währung 135" xfId="28642" xr:uid="{00000000-0005-0000-0000-0000B89E0000}"/>
    <cellStyle name="Währung 136" xfId="28643" xr:uid="{00000000-0005-0000-0000-0000B99E0000}"/>
    <cellStyle name="Währung 137" xfId="28644" xr:uid="{00000000-0005-0000-0000-0000BA9E0000}"/>
    <cellStyle name="Währung 138" xfId="28645" xr:uid="{00000000-0005-0000-0000-0000BB9E0000}"/>
    <cellStyle name="Währung 139" xfId="28646" xr:uid="{00000000-0005-0000-0000-0000BC9E0000}"/>
    <cellStyle name="Währung 14" xfId="28647" xr:uid="{00000000-0005-0000-0000-0000BD9E0000}"/>
    <cellStyle name="Währung 140" xfId="28648" xr:uid="{00000000-0005-0000-0000-0000BE9E0000}"/>
    <cellStyle name="Währung 141" xfId="28649" xr:uid="{00000000-0005-0000-0000-0000BF9E0000}"/>
    <cellStyle name="Währung 142" xfId="28650" xr:uid="{00000000-0005-0000-0000-0000C09E0000}"/>
    <cellStyle name="Währung 143" xfId="28651" xr:uid="{00000000-0005-0000-0000-0000C19E0000}"/>
    <cellStyle name="Währung 144" xfId="28652" xr:uid="{00000000-0005-0000-0000-0000C29E0000}"/>
    <cellStyle name="Währung 145" xfId="28653" xr:uid="{00000000-0005-0000-0000-0000C39E0000}"/>
    <cellStyle name="Währung 146" xfId="28654" xr:uid="{00000000-0005-0000-0000-0000C49E0000}"/>
    <cellStyle name="Währung 147" xfId="28655" xr:uid="{00000000-0005-0000-0000-0000C59E0000}"/>
    <cellStyle name="Währung 148" xfId="28656" xr:uid="{00000000-0005-0000-0000-0000C69E0000}"/>
    <cellStyle name="Währung 149" xfId="28657" xr:uid="{00000000-0005-0000-0000-0000C79E0000}"/>
    <cellStyle name="Währung 15" xfId="28658" xr:uid="{00000000-0005-0000-0000-0000C89E0000}"/>
    <cellStyle name="Währung 150" xfId="28659" xr:uid="{00000000-0005-0000-0000-0000C99E0000}"/>
    <cellStyle name="Währung 151" xfId="28660" xr:uid="{00000000-0005-0000-0000-0000CA9E0000}"/>
    <cellStyle name="Währung 152" xfId="28661" xr:uid="{00000000-0005-0000-0000-0000CB9E0000}"/>
    <cellStyle name="Währung 153" xfId="28662" xr:uid="{00000000-0005-0000-0000-0000CC9E0000}"/>
    <cellStyle name="Währung 154" xfId="28663" xr:uid="{00000000-0005-0000-0000-0000CD9E0000}"/>
    <cellStyle name="Währung 155" xfId="28664" xr:uid="{00000000-0005-0000-0000-0000CE9E0000}"/>
    <cellStyle name="Währung 156" xfId="28665" xr:uid="{00000000-0005-0000-0000-0000CF9E0000}"/>
    <cellStyle name="Währung 157" xfId="28666" xr:uid="{00000000-0005-0000-0000-0000D09E0000}"/>
    <cellStyle name="Währung 158" xfId="28667" xr:uid="{00000000-0005-0000-0000-0000D19E0000}"/>
    <cellStyle name="Währung 159" xfId="28668" xr:uid="{00000000-0005-0000-0000-0000D29E0000}"/>
    <cellStyle name="Währung 16" xfId="28669" xr:uid="{00000000-0005-0000-0000-0000D39E0000}"/>
    <cellStyle name="Währung 160" xfId="28670" xr:uid="{00000000-0005-0000-0000-0000D49E0000}"/>
    <cellStyle name="Währung 161" xfId="28671" xr:uid="{00000000-0005-0000-0000-0000D59E0000}"/>
    <cellStyle name="Währung 162" xfId="28672" xr:uid="{00000000-0005-0000-0000-0000D69E0000}"/>
    <cellStyle name="Währung 163" xfId="28673" xr:uid="{00000000-0005-0000-0000-0000D79E0000}"/>
    <cellStyle name="Währung 164" xfId="28674" xr:uid="{00000000-0005-0000-0000-0000D89E0000}"/>
    <cellStyle name="Währung 165" xfId="28675" xr:uid="{00000000-0005-0000-0000-0000D99E0000}"/>
    <cellStyle name="Währung 166" xfId="28676" xr:uid="{00000000-0005-0000-0000-0000DA9E0000}"/>
    <cellStyle name="Währung 167" xfId="28677" xr:uid="{00000000-0005-0000-0000-0000DB9E0000}"/>
    <cellStyle name="Währung 168" xfId="28678" xr:uid="{00000000-0005-0000-0000-0000DC9E0000}"/>
    <cellStyle name="Währung 169" xfId="28679" xr:uid="{00000000-0005-0000-0000-0000DD9E0000}"/>
    <cellStyle name="Währung 17" xfId="28680" xr:uid="{00000000-0005-0000-0000-0000DE9E0000}"/>
    <cellStyle name="Währung 170" xfId="28681" xr:uid="{00000000-0005-0000-0000-0000DF9E0000}"/>
    <cellStyle name="Währung 171" xfId="28682" xr:uid="{00000000-0005-0000-0000-0000E09E0000}"/>
    <cellStyle name="Währung 172" xfId="28683" xr:uid="{00000000-0005-0000-0000-0000E19E0000}"/>
    <cellStyle name="Währung 173" xfId="28684" xr:uid="{00000000-0005-0000-0000-0000E29E0000}"/>
    <cellStyle name="Währung 174" xfId="28685" xr:uid="{00000000-0005-0000-0000-0000E39E0000}"/>
    <cellStyle name="Währung 175" xfId="28686" xr:uid="{00000000-0005-0000-0000-0000E49E0000}"/>
    <cellStyle name="Währung 176" xfId="28687" xr:uid="{00000000-0005-0000-0000-0000E59E0000}"/>
    <cellStyle name="Währung 176 2" xfId="40447" xr:uid="{00000000-0005-0000-0000-0000E69E0000}"/>
    <cellStyle name="Währung 18" xfId="28688" xr:uid="{00000000-0005-0000-0000-0000E79E0000}"/>
    <cellStyle name="Währung 19" xfId="28689" xr:uid="{00000000-0005-0000-0000-0000E89E0000}"/>
    <cellStyle name="Währung 2" xfId="28690" xr:uid="{00000000-0005-0000-0000-0000E99E0000}"/>
    <cellStyle name="Währung 2 10" xfId="28691" xr:uid="{00000000-0005-0000-0000-0000EA9E0000}"/>
    <cellStyle name="Währung 2 11" xfId="28692" xr:uid="{00000000-0005-0000-0000-0000EB9E0000}"/>
    <cellStyle name="Währung 2 12" xfId="28693" xr:uid="{00000000-0005-0000-0000-0000EC9E0000}"/>
    <cellStyle name="Währung 2 13" xfId="28694" xr:uid="{00000000-0005-0000-0000-0000ED9E0000}"/>
    <cellStyle name="Währung 2 14" xfId="28695" xr:uid="{00000000-0005-0000-0000-0000EE9E0000}"/>
    <cellStyle name="Währung 2 15" xfId="28696" xr:uid="{00000000-0005-0000-0000-0000EF9E0000}"/>
    <cellStyle name="Währung 2 16" xfId="28697" xr:uid="{00000000-0005-0000-0000-0000F09E0000}"/>
    <cellStyle name="Währung 2 17" xfId="28698" xr:uid="{00000000-0005-0000-0000-0000F19E0000}"/>
    <cellStyle name="Währung 2 18" xfId="28699" xr:uid="{00000000-0005-0000-0000-0000F29E0000}"/>
    <cellStyle name="Währung 2 19" xfId="28700" xr:uid="{00000000-0005-0000-0000-0000F39E0000}"/>
    <cellStyle name="Währung 2 2" xfId="28701" xr:uid="{00000000-0005-0000-0000-0000F49E0000}"/>
    <cellStyle name="Währung 2 2 2" xfId="28702" xr:uid="{00000000-0005-0000-0000-0000F59E0000}"/>
    <cellStyle name="Währung 2 2 3" xfId="28703" xr:uid="{00000000-0005-0000-0000-0000F69E0000}"/>
    <cellStyle name="Währung 2 2 4" xfId="28704" xr:uid="{00000000-0005-0000-0000-0000F79E0000}"/>
    <cellStyle name="Währung 2 20" xfId="28705" xr:uid="{00000000-0005-0000-0000-0000F89E0000}"/>
    <cellStyle name="Währung 2 21" xfId="28706" xr:uid="{00000000-0005-0000-0000-0000F99E0000}"/>
    <cellStyle name="Währung 2 22" xfId="28707" xr:uid="{00000000-0005-0000-0000-0000FA9E0000}"/>
    <cellStyle name="Währung 2 23" xfId="28708" xr:uid="{00000000-0005-0000-0000-0000FB9E0000}"/>
    <cellStyle name="Währung 2 24" xfId="28709" xr:uid="{00000000-0005-0000-0000-0000FC9E0000}"/>
    <cellStyle name="Währung 2 25" xfId="28710" xr:uid="{00000000-0005-0000-0000-0000FD9E0000}"/>
    <cellStyle name="Währung 2 26" xfId="28711" xr:uid="{00000000-0005-0000-0000-0000FE9E0000}"/>
    <cellStyle name="Währung 2 27" xfId="28712" xr:uid="{00000000-0005-0000-0000-0000FF9E0000}"/>
    <cellStyle name="Währung 2 28" xfId="28713" xr:uid="{00000000-0005-0000-0000-0000009F0000}"/>
    <cellStyle name="Währung 2 29" xfId="28714" xr:uid="{00000000-0005-0000-0000-0000019F0000}"/>
    <cellStyle name="Währung 2 3" xfId="28715" xr:uid="{00000000-0005-0000-0000-0000029F0000}"/>
    <cellStyle name="Währung 2 30" xfId="28716" xr:uid="{00000000-0005-0000-0000-0000039F0000}"/>
    <cellStyle name="Währung 2 31" xfId="28717" xr:uid="{00000000-0005-0000-0000-0000049F0000}"/>
    <cellStyle name="Währung 2 32" xfId="28718" xr:uid="{00000000-0005-0000-0000-0000059F0000}"/>
    <cellStyle name="Währung 2 33" xfId="28719" xr:uid="{00000000-0005-0000-0000-0000069F0000}"/>
    <cellStyle name="Währung 2 4" xfId="28720" xr:uid="{00000000-0005-0000-0000-0000079F0000}"/>
    <cellStyle name="Währung 2 5" xfId="28721" xr:uid="{00000000-0005-0000-0000-0000089F0000}"/>
    <cellStyle name="Währung 2 6" xfId="28722" xr:uid="{00000000-0005-0000-0000-0000099F0000}"/>
    <cellStyle name="Währung 2 7" xfId="28723" xr:uid="{00000000-0005-0000-0000-00000A9F0000}"/>
    <cellStyle name="Währung 2 8" xfId="28724" xr:uid="{00000000-0005-0000-0000-00000B9F0000}"/>
    <cellStyle name="Währung 2 9" xfId="28725" xr:uid="{00000000-0005-0000-0000-00000C9F0000}"/>
    <cellStyle name="Währung 20" xfId="28726" xr:uid="{00000000-0005-0000-0000-00000D9F0000}"/>
    <cellStyle name="Währung 21" xfId="28727" xr:uid="{00000000-0005-0000-0000-00000E9F0000}"/>
    <cellStyle name="Währung 22" xfId="28728" xr:uid="{00000000-0005-0000-0000-00000F9F0000}"/>
    <cellStyle name="Währung 23" xfId="28729" xr:uid="{00000000-0005-0000-0000-0000109F0000}"/>
    <cellStyle name="Währung 24" xfId="28730" xr:uid="{00000000-0005-0000-0000-0000119F0000}"/>
    <cellStyle name="Währung 25" xfId="28731" xr:uid="{00000000-0005-0000-0000-0000129F0000}"/>
    <cellStyle name="Währung 26" xfId="28732" xr:uid="{00000000-0005-0000-0000-0000139F0000}"/>
    <cellStyle name="Währung 27" xfId="28733" xr:uid="{00000000-0005-0000-0000-0000149F0000}"/>
    <cellStyle name="Währung 28" xfId="28734" xr:uid="{00000000-0005-0000-0000-0000159F0000}"/>
    <cellStyle name="Währung 29" xfId="28735" xr:uid="{00000000-0005-0000-0000-0000169F0000}"/>
    <cellStyle name="Währung 3" xfId="28736" xr:uid="{00000000-0005-0000-0000-0000179F0000}"/>
    <cellStyle name="Währung 3 10" xfId="28737" xr:uid="{00000000-0005-0000-0000-0000189F0000}"/>
    <cellStyle name="Währung 3 11" xfId="28738" xr:uid="{00000000-0005-0000-0000-0000199F0000}"/>
    <cellStyle name="Währung 3 12" xfId="28739" xr:uid="{00000000-0005-0000-0000-00001A9F0000}"/>
    <cellStyle name="Währung 3 13" xfId="28740" xr:uid="{00000000-0005-0000-0000-00001B9F0000}"/>
    <cellStyle name="Währung 3 14" xfId="28741" xr:uid="{00000000-0005-0000-0000-00001C9F0000}"/>
    <cellStyle name="Währung 3 15" xfId="28742" xr:uid="{00000000-0005-0000-0000-00001D9F0000}"/>
    <cellStyle name="Währung 3 16" xfId="28743" xr:uid="{00000000-0005-0000-0000-00001E9F0000}"/>
    <cellStyle name="Währung 3 17" xfId="28744" xr:uid="{00000000-0005-0000-0000-00001F9F0000}"/>
    <cellStyle name="Währung 3 18" xfId="28745" xr:uid="{00000000-0005-0000-0000-0000209F0000}"/>
    <cellStyle name="Währung 3 19" xfId="28746" xr:uid="{00000000-0005-0000-0000-0000219F0000}"/>
    <cellStyle name="Währung 3 2" xfId="28747" xr:uid="{00000000-0005-0000-0000-0000229F0000}"/>
    <cellStyle name="Währung 3 20" xfId="28748" xr:uid="{00000000-0005-0000-0000-0000239F0000}"/>
    <cellStyle name="Währung 3 21" xfId="28749" xr:uid="{00000000-0005-0000-0000-0000249F0000}"/>
    <cellStyle name="Währung 3 22" xfId="28750" xr:uid="{00000000-0005-0000-0000-0000259F0000}"/>
    <cellStyle name="Währung 3 23" xfId="28751" xr:uid="{00000000-0005-0000-0000-0000269F0000}"/>
    <cellStyle name="Währung 3 24" xfId="28752" xr:uid="{00000000-0005-0000-0000-0000279F0000}"/>
    <cellStyle name="Währung 3 25" xfId="28753" xr:uid="{00000000-0005-0000-0000-0000289F0000}"/>
    <cellStyle name="Währung 3 26" xfId="28754" xr:uid="{00000000-0005-0000-0000-0000299F0000}"/>
    <cellStyle name="Währung 3 27" xfId="28755" xr:uid="{00000000-0005-0000-0000-00002A9F0000}"/>
    <cellStyle name="Währung 3 28" xfId="28756" xr:uid="{00000000-0005-0000-0000-00002B9F0000}"/>
    <cellStyle name="Währung 3 29" xfId="28757" xr:uid="{00000000-0005-0000-0000-00002C9F0000}"/>
    <cellStyle name="Währung 3 3" xfId="28758" xr:uid="{00000000-0005-0000-0000-00002D9F0000}"/>
    <cellStyle name="Währung 3 30" xfId="28759" xr:uid="{00000000-0005-0000-0000-00002E9F0000}"/>
    <cellStyle name="Währung 3 31" xfId="28760" xr:uid="{00000000-0005-0000-0000-00002F9F0000}"/>
    <cellStyle name="Währung 3 32" xfId="28761" xr:uid="{00000000-0005-0000-0000-0000309F0000}"/>
    <cellStyle name="Währung 3 4" xfId="28762" xr:uid="{00000000-0005-0000-0000-0000319F0000}"/>
    <cellStyle name="Währung 3 5" xfId="28763" xr:uid="{00000000-0005-0000-0000-0000329F0000}"/>
    <cellStyle name="Währung 3 6" xfId="28764" xr:uid="{00000000-0005-0000-0000-0000339F0000}"/>
    <cellStyle name="Währung 3 7" xfId="28765" xr:uid="{00000000-0005-0000-0000-0000349F0000}"/>
    <cellStyle name="Währung 3 8" xfId="28766" xr:uid="{00000000-0005-0000-0000-0000359F0000}"/>
    <cellStyle name="Währung 3 9" xfId="28767" xr:uid="{00000000-0005-0000-0000-0000369F0000}"/>
    <cellStyle name="Währung 30" xfId="28768" xr:uid="{00000000-0005-0000-0000-0000379F0000}"/>
    <cellStyle name="Währung 31" xfId="28769" xr:uid="{00000000-0005-0000-0000-0000389F0000}"/>
    <cellStyle name="Währung 31 10" xfId="28770" xr:uid="{00000000-0005-0000-0000-0000399F0000}"/>
    <cellStyle name="Währung 31 11" xfId="28771" xr:uid="{00000000-0005-0000-0000-00003A9F0000}"/>
    <cellStyle name="Währung 31 12" xfId="28772" xr:uid="{00000000-0005-0000-0000-00003B9F0000}"/>
    <cellStyle name="Währung 31 13" xfId="28773" xr:uid="{00000000-0005-0000-0000-00003C9F0000}"/>
    <cellStyle name="Währung 31 14" xfId="28774" xr:uid="{00000000-0005-0000-0000-00003D9F0000}"/>
    <cellStyle name="Währung 31 15" xfId="28775" xr:uid="{00000000-0005-0000-0000-00003E9F0000}"/>
    <cellStyle name="Währung 31 2" xfId="28776" xr:uid="{00000000-0005-0000-0000-00003F9F0000}"/>
    <cellStyle name="Währung 31 3" xfId="28777" xr:uid="{00000000-0005-0000-0000-0000409F0000}"/>
    <cellStyle name="Währung 31 4" xfId="28778" xr:uid="{00000000-0005-0000-0000-0000419F0000}"/>
    <cellStyle name="Währung 31 5" xfId="28779" xr:uid="{00000000-0005-0000-0000-0000429F0000}"/>
    <cellStyle name="Währung 31 6" xfId="28780" xr:uid="{00000000-0005-0000-0000-0000439F0000}"/>
    <cellStyle name="Währung 31 7" xfId="28781" xr:uid="{00000000-0005-0000-0000-0000449F0000}"/>
    <cellStyle name="Währung 31 8" xfId="28782" xr:uid="{00000000-0005-0000-0000-0000459F0000}"/>
    <cellStyle name="Währung 31 9" xfId="28783" xr:uid="{00000000-0005-0000-0000-0000469F0000}"/>
    <cellStyle name="Währung 32" xfId="28784" xr:uid="{00000000-0005-0000-0000-0000479F0000}"/>
    <cellStyle name="Währung 33" xfId="28785" xr:uid="{00000000-0005-0000-0000-0000489F0000}"/>
    <cellStyle name="Währung 34" xfId="28786" xr:uid="{00000000-0005-0000-0000-0000499F0000}"/>
    <cellStyle name="Währung 35" xfId="28787" xr:uid="{00000000-0005-0000-0000-00004A9F0000}"/>
    <cellStyle name="Währung 36" xfId="28788" xr:uid="{00000000-0005-0000-0000-00004B9F0000}"/>
    <cellStyle name="Währung 37" xfId="28789" xr:uid="{00000000-0005-0000-0000-00004C9F0000}"/>
    <cellStyle name="Währung 38" xfId="28790" xr:uid="{00000000-0005-0000-0000-00004D9F0000}"/>
    <cellStyle name="Währung 39" xfId="28791" xr:uid="{00000000-0005-0000-0000-00004E9F0000}"/>
    <cellStyle name="Währung 4" xfId="28792" xr:uid="{00000000-0005-0000-0000-00004F9F0000}"/>
    <cellStyle name="Währung 4 10" xfId="28793" xr:uid="{00000000-0005-0000-0000-0000509F0000}"/>
    <cellStyle name="Währung 4 11" xfId="28794" xr:uid="{00000000-0005-0000-0000-0000519F0000}"/>
    <cellStyle name="Währung 4 12" xfId="28795" xr:uid="{00000000-0005-0000-0000-0000529F0000}"/>
    <cellStyle name="Währung 4 13" xfId="28796" xr:uid="{00000000-0005-0000-0000-0000539F0000}"/>
    <cellStyle name="Währung 4 14" xfId="28797" xr:uid="{00000000-0005-0000-0000-0000549F0000}"/>
    <cellStyle name="Währung 4 15" xfId="28798" xr:uid="{00000000-0005-0000-0000-0000559F0000}"/>
    <cellStyle name="Währung 4 16" xfId="28799" xr:uid="{00000000-0005-0000-0000-0000569F0000}"/>
    <cellStyle name="Währung 4 17" xfId="28800" xr:uid="{00000000-0005-0000-0000-0000579F0000}"/>
    <cellStyle name="Währung 4 18" xfId="28801" xr:uid="{00000000-0005-0000-0000-0000589F0000}"/>
    <cellStyle name="Währung 4 19" xfId="28802" xr:uid="{00000000-0005-0000-0000-0000599F0000}"/>
    <cellStyle name="Währung 4 2" xfId="28803" xr:uid="{00000000-0005-0000-0000-00005A9F0000}"/>
    <cellStyle name="Währung 4 20" xfId="28804" xr:uid="{00000000-0005-0000-0000-00005B9F0000}"/>
    <cellStyle name="Währung 4 21" xfId="28805" xr:uid="{00000000-0005-0000-0000-00005C9F0000}"/>
    <cellStyle name="Währung 4 22" xfId="28806" xr:uid="{00000000-0005-0000-0000-00005D9F0000}"/>
    <cellStyle name="Währung 4 23" xfId="28807" xr:uid="{00000000-0005-0000-0000-00005E9F0000}"/>
    <cellStyle name="Währung 4 24" xfId="28808" xr:uid="{00000000-0005-0000-0000-00005F9F0000}"/>
    <cellStyle name="Währung 4 25" xfId="28809" xr:uid="{00000000-0005-0000-0000-0000609F0000}"/>
    <cellStyle name="Währung 4 26" xfId="28810" xr:uid="{00000000-0005-0000-0000-0000619F0000}"/>
    <cellStyle name="Währung 4 27" xfId="28811" xr:uid="{00000000-0005-0000-0000-0000629F0000}"/>
    <cellStyle name="Währung 4 28" xfId="28812" xr:uid="{00000000-0005-0000-0000-0000639F0000}"/>
    <cellStyle name="Währung 4 29" xfId="28813" xr:uid="{00000000-0005-0000-0000-0000649F0000}"/>
    <cellStyle name="Währung 4 3" xfId="28814" xr:uid="{00000000-0005-0000-0000-0000659F0000}"/>
    <cellStyle name="Währung 4 30" xfId="28815" xr:uid="{00000000-0005-0000-0000-0000669F0000}"/>
    <cellStyle name="Währung 4 31" xfId="28816" xr:uid="{00000000-0005-0000-0000-0000679F0000}"/>
    <cellStyle name="Währung 4 32" xfId="28817" xr:uid="{00000000-0005-0000-0000-0000689F0000}"/>
    <cellStyle name="Währung 4 4" xfId="28818" xr:uid="{00000000-0005-0000-0000-0000699F0000}"/>
    <cellStyle name="Währung 4 5" xfId="28819" xr:uid="{00000000-0005-0000-0000-00006A9F0000}"/>
    <cellStyle name="Währung 4 6" xfId="28820" xr:uid="{00000000-0005-0000-0000-00006B9F0000}"/>
    <cellStyle name="Währung 4 7" xfId="28821" xr:uid="{00000000-0005-0000-0000-00006C9F0000}"/>
    <cellStyle name="Währung 4 8" xfId="28822" xr:uid="{00000000-0005-0000-0000-00006D9F0000}"/>
    <cellStyle name="Währung 4 9" xfId="28823" xr:uid="{00000000-0005-0000-0000-00006E9F0000}"/>
    <cellStyle name="Währung 40" xfId="28824" xr:uid="{00000000-0005-0000-0000-00006F9F0000}"/>
    <cellStyle name="Währung 41" xfId="28825" xr:uid="{00000000-0005-0000-0000-0000709F0000}"/>
    <cellStyle name="Währung 42" xfId="28826" xr:uid="{00000000-0005-0000-0000-0000719F0000}"/>
    <cellStyle name="Währung 43" xfId="28827" xr:uid="{00000000-0005-0000-0000-0000729F0000}"/>
    <cellStyle name="Währung 43 2" xfId="28828" xr:uid="{00000000-0005-0000-0000-0000739F0000}"/>
    <cellStyle name="Währung 43 3" xfId="28829" xr:uid="{00000000-0005-0000-0000-0000749F0000}"/>
    <cellStyle name="Währung 43 4" xfId="28830" xr:uid="{00000000-0005-0000-0000-0000759F0000}"/>
    <cellStyle name="Währung 43 5" xfId="28831" xr:uid="{00000000-0005-0000-0000-0000769F0000}"/>
    <cellStyle name="Währung 43 6" xfId="28832" xr:uid="{00000000-0005-0000-0000-0000779F0000}"/>
    <cellStyle name="Währung 44" xfId="28833" xr:uid="{00000000-0005-0000-0000-0000789F0000}"/>
    <cellStyle name="Währung 44 2" xfId="28834" xr:uid="{00000000-0005-0000-0000-0000799F0000}"/>
    <cellStyle name="Währung 44 3" xfId="28835" xr:uid="{00000000-0005-0000-0000-00007A9F0000}"/>
    <cellStyle name="Währung 44 4" xfId="28836" xr:uid="{00000000-0005-0000-0000-00007B9F0000}"/>
    <cellStyle name="Währung 44 5" xfId="28837" xr:uid="{00000000-0005-0000-0000-00007C9F0000}"/>
    <cellStyle name="Währung 44 6" xfId="28838" xr:uid="{00000000-0005-0000-0000-00007D9F0000}"/>
    <cellStyle name="Währung 44 7" xfId="28839" xr:uid="{00000000-0005-0000-0000-00007E9F0000}"/>
    <cellStyle name="Währung 45" xfId="28840" xr:uid="{00000000-0005-0000-0000-00007F9F0000}"/>
    <cellStyle name="Währung 45 2" xfId="28841" xr:uid="{00000000-0005-0000-0000-0000809F0000}"/>
    <cellStyle name="Währung 45 3" xfId="28842" xr:uid="{00000000-0005-0000-0000-0000819F0000}"/>
    <cellStyle name="Währung 45 4" xfId="28843" xr:uid="{00000000-0005-0000-0000-0000829F0000}"/>
    <cellStyle name="Währung 45 5" xfId="28844" xr:uid="{00000000-0005-0000-0000-0000839F0000}"/>
    <cellStyle name="Währung 45 6" xfId="28845" xr:uid="{00000000-0005-0000-0000-0000849F0000}"/>
    <cellStyle name="Währung 45 7" xfId="28846" xr:uid="{00000000-0005-0000-0000-0000859F0000}"/>
    <cellStyle name="Währung 46" xfId="28847" xr:uid="{00000000-0005-0000-0000-0000869F0000}"/>
    <cellStyle name="Währung 46 2" xfId="28848" xr:uid="{00000000-0005-0000-0000-0000879F0000}"/>
    <cellStyle name="Währung 46 3" xfId="28849" xr:uid="{00000000-0005-0000-0000-0000889F0000}"/>
    <cellStyle name="Währung 46 4" xfId="28850" xr:uid="{00000000-0005-0000-0000-0000899F0000}"/>
    <cellStyle name="Währung 46 5" xfId="28851" xr:uid="{00000000-0005-0000-0000-00008A9F0000}"/>
    <cellStyle name="Währung 46 6" xfId="28852" xr:uid="{00000000-0005-0000-0000-00008B9F0000}"/>
    <cellStyle name="Währung 46 7" xfId="28853" xr:uid="{00000000-0005-0000-0000-00008C9F0000}"/>
    <cellStyle name="Währung 47" xfId="28854" xr:uid="{00000000-0005-0000-0000-00008D9F0000}"/>
    <cellStyle name="Währung 47 2" xfId="28855" xr:uid="{00000000-0005-0000-0000-00008E9F0000}"/>
    <cellStyle name="Währung 47 3" xfId="28856" xr:uid="{00000000-0005-0000-0000-00008F9F0000}"/>
    <cellStyle name="Währung 47 4" xfId="28857" xr:uid="{00000000-0005-0000-0000-0000909F0000}"/>
    <cellStyle name="Währung 47 5" xfId="28858" xr:uid="{00000000-0005-0000-0000-0000919F0000}"/>
    <cellStyle name="Währung 47 6" xfId="28859" xr:uid="{00000000-0005-0000-0000-0000929F0000}"/>
    <cellStyle name="Währung 47 7" xfId="28860" xr:uid="{00000000-0005-0000-0000-0000939F0000}"/>
    <cellStyle name="Währung 48" xfId="28861" xr:uid="{00000000-0005-0000-0000-0000949F0000}"/>
    <cellStyle name="Währung 48 2" xfId="28862" xr:uid="{00000000-0005-0000-0000-0000959F0000}"/>
    <cellStyle name="Währung 48 3" xfId="28863" xr:uid="{00000000-0005-0000-0000-0000969F0000}"/>
    <cellStyle name="Währung 48 4" xfId="28864" xr:uid="{00000000-0005-0000-0000-0000979F0000}"/>
    <cellStyle name="Währung 48 5" xfId="28865" xr:uid="{00000000-0005-0000-0000-0000989F0000}"/>
    <cellStyle name="Währung 48 6" xfId="28866" xr:uid="{00000000-0005-0000-0000-0000999F0000}"/>
    <cellStyle name="Währung 48 7" xfId="28867" xr:uid="{00000000-0005-0000-0000-00009A9F0000}"/>
    <cellStyle name="Währung 49" xfId="28868" xr:uid="{00000000-0005-0000-0000-00009B9F0000}"/>
    <cellStyle name="Währung 49 2" xfId="28869" xr:uid="{00000000-0005-0000-0000-00009C9F0000}"/>
    <cellStyle name="Währung 49 3" xfId="28870" xr:uid="{00000000-0005-0000-0000-00009D9F0000}"/>
    <cellStyle name="Währung 49 4" xfId="28871" xr:uid="{00000000-0005-0000-0000-00009E9F0000}"/>
    <cellStyle name="Währung 49 5" xfId="28872" xr:uid="{00000000-0005-0000-0000-00009F9F0000}"/>
    <cellStyle name="Währung 49 6" xfId="28873" xr:uid="{00000000-0005-0000-0000-0000A09F0000}"/>
    <cellStyle name="Währung 49 7" xfId="28874" xr:uid="{00000000-0005-0000-0000-0000A19F0000}"/>
    <cellStyle name="Währung 5" xfId="28875" xr:uid="{00000000-0005-0000-0000-0000A29F0000}"/>
    <cellStyle name="Währung 5 10" xfId="28876" xr:uid="{00000000-0005-0000-0000-0000A39F0000}"/>
    <cellStyle name="Währung 5 11" xfId="28877" xr:uid="{00000000-0005-0000-0000-0000A49F0000}"/>
    <cellStyle name="Währung 5 12" xfId="28878" xr:uid="{00000000-0005-0000-0000-0000A59F0000}"/>
    <cellStyle name="Währung 5 13" xfId="28879" xr:uid="{00000000-0005-0000-0000-0000A69F0000}"/>
    <cellStyle name="Währung 5 14" xfId="28880" xr:uid="{00000000-0005-0000-0000-0000A79F0000}"/>
    <cellStyle name="Währung 5 15" xfId="28881" xr:uid="{00000000-0005-0000-0000-0000A89F0000}"/>
    <cellStyle name="Währung 5 16" xfId="28882" xr:uid="{00000000-0005-0000-0000-0000A99F0000}"/>
    <cellStyle name="Währung 5 17" xfId="28883" xr:uid="{00000000-0005-0000-0000-0000AA9F0000}"/>
    <cellStyle name="Währung 5 18" xfId="28884" xr:uid="{00000000-0005-0000-0000-0000AB9F0000}"/>
    <cellStyle name="Währung 5 19" xfId="28885" xr:uid="{00000000-0005-0000-0000-0000AC9F0000}"/>
    <cellStyle name="Währung 5 2" xfId="28886" xr:uid="{00000000-0005-0000-0000-0000AD9F0000}"/>
    <cellStyle name="Währung 5 20" xfId="28887" xr:uid="{00000000-0005-0000-0000-0000AE9F0000}"/>
    <cellStyle name="Währung 5 21" xfId="28888" xr:uid="{00000000-0005-0000-0000-0000AF9F0000}"/>
    <cellStyle name="Währung 5 22" xfId="28889" xr:uid="{00000000-0005-0000-0000-0000B09F0000}"/>
    <cellStyle name="Währung 5 23" xfId="28890" xr:uid="{00000000-0005-0000-0000-0000B19F0000}"/>
    <cellStyle name="Währung 5 24" xfId="28891" xr:uid="{00000000-0005-0000-0000-0000B29F0000}"/>
    <cellStyle name="Währung 5 25" xfId="28892" xr:uid="{00000000-0005-0000-0000-0000B39F0000}"/>
    <cellStyle name="Währung 5 26" xfId="28893" xr:uid="{00000000-0005-0000-0000-0000B49F0000}"/>
    <cellStyle name="Währung 5 27" xfId="28894" xr:uid="{00000000-0005-0000-0000-0000B59F0000}"/>
    <cellStyle name="Währung 5 28" xfId="28895" xr:uid="{00000000-0005-0000-0000-0000B69F0000}"/>
    <cellStyle name="Währung 5 29" xfId="28896" xr:uid="{00000000-0005-0000-0000-0000B79F0000}"/>
    <cellStyle name="Währung 5 3" xfId="28897" xr:uid="{00000000-0005-0000-0000-0000B89F0000}"/>
    <cellStyle name="Währung 5 30" xfId="28898" xr:uid="{00000000-0005-0000-0000-0000B99F0000}"/>
    <cellStyle name="Währung 5 31" xfId="28899" xr:uid="{00000000-0005-0000-0000-0000BA9F0000}"/>
    <cellStyle name="Währung 5 32" xfId="28900" xr:uid="{00000000-0005-0000-0000-0000BB9F0000}"/>
    <cellStyle name="Währung 5 4" xfId="28901" xr:uid="{00000000-0005-0000-0000-0000BC9F0000}"/>
    <cellStyle name="Währung 5 5" xfId="28902" xr:uid="{00000000-0005-0000-0000-0000BD9F0000}"/>
    <cellStyle name="Währung 5 6" xfId="28903" xr:uid="{00000000-0005-0000-0000-0000BE9F0000}"/>
    <cellStyle name="Währung 5 7" xfId="28904" xr:uid="{00000000-0005-0000-0000-0000BF9F0000}"/>
    <cellStyle name="Währung 5 8" xfId="28905" xr:uid="{00000000-0005-0000-0000-0000C09F0000}"/>
    <cellStyle name="Währung 5 9" xfId="28906" xr:uid="{00000000-0005-0000-0000-0000C19F0000}"/>
    <cellStyle name="Währung 50" xfId="28907" xr:uid="{00000000-0005-0000-0000-0000C29F0000}"/>
    <cellStyle name="Währung 50 2" xfId="28908" xr:uid="{00000000-0005-0000-0000-0000C39F0000}"/>
    <cellStyle name="Währung 50 3" xfId="28909" xr:uid="{00000000-0005-0000-0000-0000C49F0000}"/>
    <cellStyle name="Währung 50 4" xfId="28910" xr:uid="{00000000-0005-0000-0000-0000C59F0000}"/>
    <cellStyle name="Währung 50 5" xfId="28911" xr:uid="{00000000-0005-0000-0000-0000C69F0000}"/>
    <cellStyle name="Währung 50 6" xfId="28912" xr:uid="{00000000-0005-0000-0000-0000C79F0000}"/>
    <cellStyle name="Währung 50 7" xfId="28913" xr:uid="{00000000-0005-0000-0000-0000C89F0000}"/>
    <cellStyle name="Währung 51" xfId="28914" xr:uid="{00000000-0005-0000-0000-0000C99F0000}"/>
    <cellStyle name="Währung 51 2" xfId="28915" xr:uid="{00000000-0005-0000-0000-0000CA9F0000}"/>
    <cellStyle name="Währung 51 3" xfId="28916" xr:uid="{00000000-0005-0000-0000-0000CB9F0000}"/>
    <cellStyle name="Währung 51 4" xfId="28917" xr:uid="{00000000-0005-0000-0000-0000CC9F0000}"/>
    <cellStyle name="Währung 51 5" xfId="28918" xr:uid="{00000000-0005-0000-0000-0000CD9F0000}"/>
    <cellStyle name="Währung 51 6" xfId="28919" xr:uid="{00000000-0005-0000-0000-0000CE9F0000}"/>
    <cellStyle name="Währung 51 7" xfId="28920" xr:uid="{00000000-0005-0000-0000-0000CF9F0000}"/>
    <cellStyle name="Währung 52" xfId="28921" xr:uid="{00000000-0005-0000-0000-0000D09F0000}"/>
    <cellStyle name="Währung 52 2" xfId="28922" xr:uid="{00000000-0005-0000-0000-0000D19F0000}"/>
    <cellStyle name="Währung 52 3" xfId="28923" xr:uid="{00000000-0005-0000-0000-0000D29F0000}"/>
    <cellStyle name="Währung 52 4" xfId="28924" xr:uid="{00000000-0005-0000-0000-0000D39F0000}"/>
    <cellStyle name="Währung 52 5" xfId="28925" xr:uid="{00000000-0005-0000-0000-0000D49F0000}"/>
    <cellStyle name="Währung 52 6" xfId="28926" xr:uid="{00000000-0005-0000-0000-0000D59F0000}"/>
    <cellStyle name="Währung 52 7" xfId="28927" xr:uid="{00000000-0005-0000-0000-0000D69F0000}"/>
    <cellStyle name="Währung 53" xfId="28928" xr:uid="{00000000-0005-0000-0000-0000D79F0000}"/>
    <cellStyle name="Währung 53 2" xfId="28929" xr:uid="{00000000-0005-0000-0000-0000D89F0000}"/>
    <cellStyle name="Währung 53 3" xfId="28930" xr:uid="{00000000-0005-0000-0000-0000D99F0000}"/>
    <cellStyle name="Währung 53 4" xfId="28931" xr:uid="{00000000-0005-0000-0000-0000DA9F0000}"/>
    <cellStyle name="Währung 53 5" xfId="28932" xr:uid="{00000000-0005-0000-0000-0000DB9F0000}"/>
    <cellStyle name="Währung 53 6" xfId="28933" xr:uid="{00000000-0005-0000-0000-0000DC9F0000}"/>
    <cellStyle name="Währung 53 7" xfId="28934" xr:uid="{00000000-0005-0000-0000-0000DD9F0000}"/>
    <cellStyle name="Währung 54" xfId="28935" xr:uid="{00000000-0005-0000-0000-0000DE9F0000}"/>
    <cellStyle name="Währung 54 2" xfId="28936" xr:uid="{00000000-0005-0000-0000-0000DF9F0000}"/>
    <cellStyle name="Währung 54 3" xfId="28937" xr:uid="{00000000-0005-0000-0000-0000E09F0000}"/>
    <cellStyle name="Währung 54 4" xfId="28938" xr:uid="{00000000-0005-0000-0000-0000E19F0000}"/>
    <cellStyle name="Währung 54 5" xfId="28939" xr:uid="{00000000-0005-0000-0000-0000E29F0000}"/>
    <cellStyle name="Währung 54 6" xfId="28940" xr:uid="{00000000-0005-0000-0000-0000E39F0000}"/>
    <cellStyle name="Währung 54 7" xfId="28941" xr:uid="{00000000-0005-0000-0000-0000E49F0000}"/>
    <cellStyle name="Währung 55" xfId="28942" xr:uid="{00000000-0005-0000-0000-0000E59F0000}"/>
    <cellStyle name="Währung 55 2" xfId="28943" xr:uid="{00000000-0005-0000-0000-0000E69F0000}"/>
    <cellStyle name="Währung 55 3" xfId="28944" xr:uid="{00000000-0005-0000-0000-0000E79F0000}"/>
    <cellStyle name="Währung 55 4" xfId="28945" xr:uid="{00000000-0005-0000-0000-0000E89F0000}"/>
    <cellStyle name="Währung 55 5" xfId="28946" xr:uid="{00000000-0005-0000-0000-0000E99F0000}"/>
    <cellStyle name="Währung 55 6" xfId="28947" xr:uid="{00000000-0005-0000-0000-0000EA9F0000}"/>
    <cellStyle name="Währung 55 7" xfId="28948" xr:uid="{00000000-0005-0000-0000-0000EB9F0000}"/>
    <cellStyle name="Währung 56" xfId="28949" xr:uid="{00000000-0005-0000-0000-0000EC9F0000}"/>
    <cellStyle name="Währung 56 2" xfId="28950" xr:uid="{00000000-0005-0000-0000-0000ED9F0000}"/>
    <cellStyle name="Währung 56 3" xfId="28951" xr:uid="{00000000-0005-0000-0000-0000EE9F0000}"/>
    <cellStyle name="Währung 56 4" xfId="28952" xr:uid="{00000000-0005-0000-0000-0000EF9F0000}"/>
    <cellStyle name="Währung 56 5" xfId="28953" xr:uid="{00000000-0005-0000-0000-0000F09F0000}"/>
    <cellStyle name="Währung 56 6" xfId="28954" xr:uid="{00000000-0005-0000-0000-0000F19F0000}"/>
    <cellStyle name="Währung 56 7" xfId="28955" xr:uid="{00000000-0005-0000-0000-0000F29F0000}"/>
    <cellStyle name="Währung 57" xfId="28956" xr:uid="{00000000-0005-0000-0000-0000F39F0000}"/>
    <cellStyle name="Währung 58" xfId="28957" xr:uid="{00000000-0005-0000-0000-0000F49F0000}"/>
    <cellStyle name="Währung 58 10" xfId="28958" xr:uid="{00000000-0005-0000-0000-0000F59F0000}"/>
    <cellStyle name="Währung 58 11" xfId="28959" xr:uid="{00000000-0005-0000-0000-0000F69F0000}"/>
    <cellStyle name="Währung 58 12" xfId="28960" xr:uid="{00000000-0005-0000-0000-0000F79F0000}"/>
    <cellStyle name="Währung 58 13" xfId="28961" xr:uid="{00000000-0005-0000-0000-0000F89F0000}"/>
    <cellStyle name="Währung 58 14" xfId="28962" xr:uid="{00000000-0005-0000-0000-0000F99F0000}"/>
    <cellStyle name="Währung 58 15" xfId="28963" xr:uid="{00000000-0005-0000-0000-0000FA9F0000}"/>
    <cellStyle name="Währung 58 2" xfId="28964" xr:uid="{00000000-0005-0000-0000-0000FB9F0000}"/>
    <cellStyle name="Währung 58 3" xfId="28965" xr:uid="{00000000-0005-0000-0000-0000FC9F0000}"/>
    <cellStyle name="Währung 58 4" xfId="28966" xr:uid="{00000000-0005-0000-0000-0000FD9F0000}"/>
    <cellStyle name="Währung 58 5" xfId="28967" xr:uid="{00000000-0005-0000-0000-0000FE9F0000}"/>
    <cellStyle name="Währung 58 6" xfId="28968" xr:uid="{00000000-0005-0000-0000-0000FF9F0000}"/>
    <cellStyle name="Währung 58 7" xfId="28969" xr:uid="{00000000-0005-0000-0000-000000A00000}"/>
    <cellStyle name="Währung 58 8" xfId="28970" xr:uid="{00000000-0005-0000-0000-000001A00000}"/>
    <cellStyle name="Währung 58 9" xfId="28971" xr:uid="{00000000-0005-0000-0000-000002A00000}"/>
    <cellStyle name="Währung 59" xfId="28972" xr:uid="{00000000-0005-0000-0000-000003A00000}"/>
    <cellStyle name="Währung 59 10" xfId="28973" xr:uid="{00000000-0005-0000-0000-000004A00000}"/>
    <cellStyle name="Währung 59 11" xfId="28974" xr:uid="{00000000-0005-0000-0000-000005A00000}"/>
    <cellStyle name="Währung 59 12" xfId="28975" xr:uid="{00000000-0005-0000-0000-000006A00000}"/>
    <cellStyle name="Währung 59 13" xfId="28976" xr:uid="{00000000-0005-0000-0000-000007A00000}"/>
    <cellStyle name="Währung 59 14" xfId="28977" xr:uid="{00000000-0005-0000-0000-000008A00000}"/>
    <cellStyle name="Währung 59 15" xfId="28978" xr:uid="{00000000-0005-0000-0000-000009A00000}"/>
    <cellStyle name="Währung 59 2" xfId="28979" xr:uid="{00000000-0005-0000-0000-00000AA00000}"/>
    <cellStyle name="Währung 59 3" xfId="28980" xr:uid="{00000000-0005-0000-0000-00000BA00000}"/>
    <cellStyle name="Währung 59 4" xfId="28981" xr:uid="{00000000-0005-0000-0000-00000CA00000}"/>
    <cellStyle name="Währung 59 5" xfId="28982" xr:uid="{00000000-0005-0000-0000-00000DA00000}"/>
    <cellStyle name="Währung 59 6" xfId="28983" xr:uid="{00000000-0005-0000-0000-00000EA00000}"/>
    <cellStyle name="Währung 59 7" xfId="28984" xr:uid="{00000000-0005-0000-0000-00000FA00000}"/>
    <cellStyle name="Währung 59 8" xfId="28985" xr:uid="{00000000-0005-0000-0000-000010A00000}"/>
    <cellStyle name="Währung 59 9" xfId="28986" xr:uid="{00000000-0005-0000-0000-000011A00000}"/>
    <cellStyle name="Währung 6" xfId="28987" xr:uid="{00000000-0005-0000-0000-000012A00000}"/>
    <cellStyle name="Währung 6 2" xfId="41030" xr:uid="{00000000-0005-0000-0000-000013A00000}"/>
    <cellStyle name="Währung 6 3" xfId="41032" xr:uid="{00000000-0005-0000-0000-000014A00000}"/>
    <cellStyle name="Währung 60" xfId="28988" xr:uid="{00000000-0005-0000-0000-000015A00000}"/>
    <cellStyle name="Währung 60 10" xfId="28989" xr:uid="{00000000-0005-0000-0000-000016A00000}"/>
    <cellStyle name="Währung 60 11" xfId="28990" xr:uid="{00000000-0005-0000-0000-000017A00000}"/>
    <cellStyle name="Währung 60 12" xfId="28991" xr:uid="{00000000-0005-0000-0000-000018A00000}"/>
    <cellStyle name="Währung 60 13" xfId="28992" xr:uid="{00000000-0005-0000-0000-000019A00000}"/>
    <cellStyle name="Währung 60 14" xfId="28993" xr:uid="{00000000-0005-0000-0000-00001AA00000}"/>
    <cellStyle name="Währung 60 15" xfId="28994" xr:uid="{00000000-0005-0000-0000-00001BA00000}"/>
    <cellStyle name="Währung 60 2" xfId="28995" xr:uid="{00000000-0005-0000-0000-00001CA00000}"/>
    <cellStyle name="Währung 60 3" xfId="28996" xr:uid="{00000000-0005-0000-0000-00001DA00000}"/>
    <cellStyle name="Währung 60 4" xfId="28997" xr:uid="{00000000-0005-0000-0000-00001EA00000}"/>
    <cellStyle name="Währung 60 5" xfId="28998" xr:uid="{00000000-0005-0000-0000-00001FA00000}"/>
    <cellStyle name="Währung 60 6" xfId="28999" xr:uid="{00000000-0005-0000-0000-000020A00000}"/>
    <cellStyle name="Währung 60 7" xfId="29000" xr:uid="{00000000-0005-0000-0000-000021A00000}"/>
    <cellStyle name="Währung 60 8" xfId="29001" xr:uid="{00000000-0005-0000-0000-000022A00000}"/>
    <cellStyle name="Währung 60 9" xfId="29002" xr:uid="{00000000-0005-0000-0000-000023A00000}"/>
    <cellStyle name="Währung 61" xfId="29003" xr:uid="{00000000-0005-0000-0000-000024A00000}"/>
    <cellStyle name="Währung 61 10" xfId="29004" xr:uid="{00000000-0005-0000-0000-000025A00000}"/>
    <cellStyle name="Währung 61 11" xfId="29005" xr:uid="{00000000-0005-0000-0000-000026A00000}"/>
    <cellStyle name="Währung 61 12" xfId="29006" xr:uid="{00000000-0005-0000-0000-000027A00000}"/>
    <cellStyle name="Währung 61 13" xfId="29007" xr:uid="{00000000-0005-0000-0000-000028A00000}"/>
    <cellStyle name="Währung 61 14" xfId="29008" xr:uid="{00000000-0005-0000-0000-000029A00000}"/>
    <cellStyle name="Währung 61 15" xfId="29009" xr:uid="{00000000-0005-0000-0000-00002AA00000}"/>
    <cellStyle name="Währung 61 2" xfId="29010" xr:uid="{00000000-0005-0000-0000-00002BA00000}"/>
    <cellStyle name="Währung 61 3" xfId="29011" xr:uid="{00000000-0005-0000-0000-00002CA00000}"/>
    <cellStyle name="Währung 61 4" xfId="29012" xr:uid="{00000000-0005-0000-0000-00002DA00000}"/>
    <cellStyle name="Währung 61 5" xfId="29013" xr:uid="{00000000-0005-0000-0000-00002EA00000}"/>
    <cellStyle name="Währung 61 6" xfId="29014" xr:uid="{00000000-0005-0000-0000-00002FA00000}"/>
    <cellStyle name="Währung 61 7" xfId="29015" xr:uid="{00000000-0005-0000-0000-000030A00000}"/>
    <cellStyle name="Währung 61 8" xfId="29016" xr:uid="{00000000-0005-0000-0000-000031A00000}"/>
    <cellStyle name="Währung 61 9" xfId="29017" xr:uid="{00000000-0005-0000-0000-000032A00000}"/>
    <cellStyle name="Währung 62" xfId="29018" xr:uid="{00000000-0005-0000-0000-000033A00000}"/>
    <cellStyle name="Währung 62 10" xfId="29019" xr:uid="{00000000-0005-0000-0000-000034A00000}"/>
    <cellStyle name="Währung 62 11" xfId="29020" xr:uid="{00000000-0005-0000-0000-000035A00000}"/>
    <cellStyle name="Währung 62 12" xfId="29021" xr:uid="{00000000-0005-0000-0000-000036A00000}"/>
    <cellStyle name="Währung 62 13" xfId="29022" xr:uid="{00000000-0005-0000-0000-000037A00000}"/>
    <cellStyle name="Währung 62 14" xfId="29023" xr:uid="{00000000-0005-0000-0000-000038A00000}"/>
    <cellStyle name="Währung 62 15" xfId="29024" xr:uid="{00000000-0005-0000-0000-000039A00000}"/>
    <cellStyle name="Währung 62 2" xfId="29025" xr:uid="{00000000-0005-0000-0000-00003AA00000}"/>
    <cellStyle name="Währung 62 3" xfId="29026" xr:uid="{00000000-0005-0000-0000-00003BA00000}"/>
    <cellStyle name="Währung 62 4" xfId="29027" xr:uid="{00000000-0005-0000-0000-00003CA00000}"/>
    <cellStyle name="Währung 62 5" xfId="29028" xr:uid="{00000000-0005-0000-0000-00003DA00000}"/>
    <cellStyle name="Währung 62 6" xfId="29029" xr:uid="{00000000-0005-0000-0000-00003EA00000}"/>
    <cellStyle name="Währung 62 7" xfId="29030" xr:uid="{00000000-0005-0000-0000-00003FA00000}"/>
    <cellStyle name="Währung 62 8" xfId="29031" xr:uid="{00000000-0005-0000-0000-000040A00000}"/>
    <cellStyle name="Währung 62 9" xfId="29032" xr:uid="{00000000-0005-0000-0000-000041A00000}"/>
    <cellStyle name="Währung 63" xfId="29033" xr:uid="{00000000-0005-0000-0000-000042A00000}"/>
    <cellStyle name="Währung 64" xfId="29034" xr:uid="{00000000-0005-0000-0000-000043A00000}"/>
    <cellStyle name="Währung 65" xfId="29035" xr:uid="{00000000-0005-0000-0000-000044A00000}"/>
    <cellStyle name="Währung 66" xfId="29036" xr:uid="{00000000-0005-0000-0000-000045A00000}"/>
    <cellStyle name="Währung 67" xfId="29037" xr:uid="{00000000-0005-0000-0000-000046A00000}"/>
    <cellStyle name="Währung 68" xfId="29038" xr:uid="{00000000-0005-0000-0000-000047A00000}"/>
    <cellStyle name="Währung 69" xfId="29039" xr:uid="{00000000-0005-0000-0000-000048A00000}"/>
    <cellStyle name="Währung 7" xfId="29040" xr:uid="{00000000-0005-0000-0000-000049A00000}"/>
    <cellStyle name="Währung 7 2" xfId="40928" xr:uid="{00000000-0005-0000-0000-00004AA00000}"/>
    <cellStyle name="Währung 7 2 2" xfId="41031" xr:uid="{00000000-0005-0000-0000-00004BA00000}"/>
    <cellStyle name="Währung 7 2 3" xfId="41033" xr:uid="{00000000-0005-0000-0000-00004CA00000}"/>
    <cellStyle name="Währung 70" xfId="29041" xr:uid="{00000000-0005-0000-0000-00004DA00000}"/>
    <cellStyle name="Währung 71" xfId="29042" xr:uid="{00000000-0005-0000-0000-00004EA00000}"/>
    <cellStyle name="Währung 72" xfId="29043" xr:uid="{00000000-0005-0000-0000-00004FA00000}"/>
    <cellStyle name="Währung 73" xfId="29044" xr:uid="{00000000-0005-0000-0000-000050A00000}"/>
    <cellStyle name="Währung 74" xfId="29045" xr:uid="{00000000-0005-0000-0000-000051A00000}"/>
    <cellStyle name="Währung 75" xfId="29046" xr:uid="{00000000-0005-0000-0000-000052A00000}"/>
    <cellStyle name="Währung 76" xfId="29047" xr:uid="{00000000-0005-0000-0000-000053A00000}"/>
    <cellStyle name="Währung 77" xfId="29048" xr:uid="{00000000-0005-0000-0000-000054A00000}"/>
    <cellStyle name="Währung 78" xfId="29049" xr:uid="{00000000-0005-0000-0000-000055A00000}"/>
    <cellStyle name="Währung 79" xfId="29050" xr:uid="{00000000-0005-0000-0000-000056A00000}"/>
    <cellStyle name="Währung 8" xfId="29051" xr:uid="{00000000-0005-0000-0000-000057A00000}"/>
    <cellStyle name="Währung 80" xfId="29052" xr:uid="{00000000-0005-0000-0000-000058A00000}"/>
    <cellStyle name="Währung 81" xfId="29053" xr:uid="{00000000-0005-0000-0000-000059A00000}"/>
    <cellStyle name="Währung 82" xfId="29054" xr:uid="{00000000-0005-0000-0000-00005AA00000}"/>
    <cellStyle name="Währung 83" xfId="29055" xr:uid="{00000000-0005-0000-0000-00005BA00000}"/>
    <cellStyle name="Währung 84" xfId="29056" xr:uid="{00000000-0005-0000-0000-00005CA00000}"/>
    <cellStyle name="Währung 85" xfId="29057" xr:uid="{00000000-0005-0000-0000-00005DA00000}"/>
    <cellStyle name="Währung 86" xfId="29058" xr:uid="{00000000-0005-0000-0000-00005EA00000}"/>
    <cellStyle name="Währung 87" xfId="29059" xr:uid="{00000000-0005-0000-0000-00005FA00000}"/>
    <cellStyle name="Währung 88" xfId="29060" xr:uid="{00000000-0005-0000-0000-000060A00000}"/>
    <cellStyle name="Währung 89" xfId="29061" xr:uid="{00000000-0005-0000-0000-000061A00000}"/>
    <cellStyle name="Währung 9" xfId="29062" xr:uid="{00000000-0005-0000-0000-000062A00000}"/>
    <cellStyle name="Währung 90" xfId="29063" xr:uid="{00000000-0005-0000-0000-000063A00000}"/>
    <cellStyle name="Währung 91" xfId="29064" xr:uid="{00000000-0005-0000-0000-000064A00000}"/>
    <cellStyle name="Währung 92" xfId="29065" xr:uid="{00000000-0005-0000-0000-000065A00000}"/>
    <cellStyle name="Währung 93" xfId="29066" xr:uid="{00000000-0005-0000-0000-000066A00000}"/>
    <cellStyle name="Währung 94" xfId="29067" xr:uid="{00000000-0005-0000-0000-000067A00000}"/>
    <cellStyle name="Währung 95" xfId="29068" xr:uid="{00000000-0005-0000-0000-000068A00000}"/>
    <cellStyle name="Währung 96" xfId="29069" xr:uid="{00000000-0005-0000-0000-000069A00000}"/>
    <cellStyle name="Währung 97" xfId="29070" xr:uid="{00000000-0005-0000-0000-00006AA00000}"/>
    <cellStyle name="Währung 98" xfId="29071" xr:uid="{00000000-0005-0000-0000-00006BA00000}"/>
    <cellStyle name="Währung 99" xfId="29072" xr:uid="{00000000-0005-0000-0000-00006CA00000}"/>
  </cellStyles>
  <dxfs count="721">
    <dxf>
      <fill>
        <patternFill>
          <bgColor rgb="FFFF75DB"/>
        </patternFill>
      </fill>
    </dxf>
    <dxf>
      <fill>
        <patternFill>
          <bgColor rgb="FFFFFF0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99CC"/>
        </patternFill>
      </fill>
    </dxf>
    <dxf>
      <fill>
        <patternFill patternType="none">
          <bgColor auto="1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CCCC"/>
        </patternFill>
      </fill>
    </dxf>
    <dxf>
      <fill>
        <patternFill>
          <bgColor rgb="FFFFFF00"/>
        </patternFill>
      </fill>
    </dxf>
    <dxf>
      <fill>
        <patternFill>
          <bgColor theme="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FF33CC"/>
      <color rgb="FFCCFFCC"/>
      <color rgb="FF33CCCC"/>
      <color rgb="FFFFFFFF"/>
      <color rgb="FFFF75DB"/>
      <color rgb="FFFFCCCC"/>
      <color rgb="FFFFFFCC"/>
      <color rgb="FFE2E2E2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theme" Target="theme/theme1.xml"/><Relationship Id="rId55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CURVA</a:t>
            </a:r>
            <a:r>
              <a:rPr lang="pt-BR" sz="2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ABC - DIAGRAMA DE PARETO</a:t>
            </a:r>
            <a:endParaRPr lang="pt-BR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6059509718147975"/>
          <c:y val="2.4665752124383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'Curva ABC'!$H$12</c:f>
              <c:strCache>
                <c:ptCount val="1"/>
                <c:pt idx="0">
                  <c:v>PARCIAL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'Curva ABC'!$A$14:$A$89</c:f>
              <c:strCache>
                <c:ptCount val="76"/>
                <c:pt idx="0">
                  <c:v>PA/0040</c:v>
                </c:pt>
                <c:pt idx="1">
                  <c:v>94991</c:v>
                </c:pt>
                <c:pt idx="2">
                  <c:v>4721</c:v>
                </c:pt>
                <c:pt idx="3">
                  <c:v>93593</c:v>
                </c:pt>
                <c:pt idx="4">
                  <c:v>SC/0005</c:v>
                </c:pt>
                <c:pt idx="5">
                  <c:v>CPU Adm Local</c:v>
                </c:pt>
                <c:pt idx="6">
                  <c:v>PA/0025</c:v>
                </c:pt>
                <c:pt idx="7">
                  <c:v>7753</c:v>
                </c:pt>
                <c:pt idx="8">
                  <c:v>93599</c:v>
                </c:pt>
                <c:pt idx="9">
                  <c:v>101767</c:v>
                </c:pt>
                <c:pt idx="10">
                  <c:v>6079</c:v>
                </c:pt>
                <c:pt idx="11">
                  <c:v>ES/0010</c:v>
                </c:pt>
                <c:pt idx="12">
                  <c:v>7750</c:v>
                </c:pt>
                <c:pt idx="13">
                  <c:v>DR/0135</c:v>
                </c:pt>
                <c:pt idx="14">
                  <c:v>100576</c:v>
                </c:pt>
                <c:pt idx="15">
                  <c:v>PA/0023</c:v>
                </c:pt>
                <c:pt idx="16">
                  <c:v>95876</c:v>
                </c:pt>
                <c:pt idx="17">
                  <c:v>DR/0275</c:v>
                </c:pt>
                <c:pt idx="18">
                  <c:v>7791</c:v>
                </c:pt>
                <c:pt idx="19">
                  <c:v>100953</c:v>
                </c:pt>
                <c:pt idx="20">
                  <c:v>SV/0090</c:v>
                </c:pt>
                <c:pt idx="21">
                  <c:v>100939</c:v>
                </c:pt>
                <c:pt idx="22">
                  <c:v>92824</c:v>
                </c:pt>
                <c:pt idx="23">
                  <c:v>92828</c:v>
                </c:pt>
                <c:pt idx="24">
                  <c:v>SC/0082</c:v>
                </c:pt>
                <c:pt idx="25">
                  <c:v>DR/0265</c:v>
                </c:pt>
                <c:pt idx="26">
                  <c:v>100978</c:v>
                </c:pt>
                <c:pt idx="27">
                  <c:v>92826</c:v>
                </c:pt>
                <c:pt idx="28">
                  <c:v>SR/0020</c:v>
                </c:pt>
                <c:pt idx="29">
                  <c:v>7781</c:v>
                </c:pt>
                <c:pt idx="30">
                  <c:v>93362</c:v>
                </c:pt>
                <c:pt idx="31">
                  <c:v>92821</c:v>
                </c:pt>
                <c:pt idx="32">
                  <c:v>98459</c:v>
                </c:pt>
                <c:pt idx="33">
                  <c:v>101570</c:v>
                </c:pt>
                <c:pt idx="34">
                  <c:v>102278</c:v>
                </c:pt>
                <c:pt idx="35">
                  <c:v>SC/0080</c:v>
                </c:pt>
                <c:pt idx="36">
                  <c:v>PA/0005</c:v>
                </c:pt>
                <c:pt idx="37">
                  <c:v>96385</c:v>
                </c:pt>
                <c:pt idx="38">
                  <c:v>93358</c:v>
                </c:pt>
                <c:pt idx="39">
                  <c:v>SV/0105</c:v>
                </c:pt>
                <c:pt idx="40">
                  <c:v>90102</c:v>
                </c:pt>
                <c:pt idx="41">
                  <c:v>SV/0005</c:v>
                </c:pt>
                <c:pt idx="42">
                  <c:v>DR/0205</c:v>
                </c:pt>
                <c:pt idx="43">
                  <c:v>SP/0030</c:v>
                </c:pt>
                <c:pt idx="44">
                  <c:v>93377</c:v>
                </c:pt>
                <c:pt idx="45">
                  <c:v>98533</c:v>
                </c:pt>
                <c:pt idx="46">
                  <c:v>100979</c:v>
                </c:pt>
                <c:pt idx="47">
                  <c:v>SC/0010</c:v>
                </c:pt>
                <c:pt idx="48">
                  <c:v>SV/0010</c:v>
                </c:pt>
                <c:pt idx="49">
                  <c:v>SP/0004</c:v>
                </c:pt>
                <c:pt idx="50">
                  <c:v>DR/0355</c:v>
                </c:pt>
                <c:pt idx="51">
                  <c:v>SV/0015</c:v>
                </c:pt>
                <c:pt idx="52">
                  <c:v>93375</c:v>
                </c:pt>
                <c:pt idx="53">
                  <c:v>13521</c:v>
                </c:pt>
                <c:pt idx="54">
                  <c:v>10776</c:v>
                </c:pt>
                <c:pt idx="55">
                  <c:v>SC/0120</c:v>
                </c:pt>
                <c:pt idx="56">
                  <c:v>SC/0110</c:v>
                </c:pt>
                <c:pt idx="57">
                  <c:v>90100</c:v>
                </c:pt>
                <c:pt idx="58">
                  <c:v>SP/0060</c:v>
                </c:pt>
                <c:pt idx="59">
                  <c:v>SR/0100</c:v>
                </c:pt>
                <c:pt idx="60">
                  <c:v>97636</c:v>
                </c:pt>
                <c:pt idx="61">
                  <c:v>SC/0068</c:v>
                </c:pt>
                <c:pt idx="62">
                  <c:v>101616</c:v>
                </c:pt>
                <c:pt idx="63">
                  <c:v>10777</c:v>
                </c:pt>
                <c:pt idx="64">
                  <c:v>10775</c:v>
                </c:pt>
                <c:pt idx="65">
                  <c:v>98051</c:v>
                </c:pt>
                <c:pt idx="66">
                  <c:v>97084</c:v>
                </c:pt>
                <c:pt idx="67">
                  <c:v>SP/0020</c:v>
                </c:pt>
                <c:pt idx="68">
                  <c:v>98526</c:v>
                </c:pt>
                <c:pt idx="69">
                  <c:v>SP/0050</c:v>
                </c:pt>
                <c:pt idx="70">
                  <c:v>RE/0050</c:v>
                </c:pt>
                <c:pt idx="71">
                  <c:v>102333</c:v>
                </c:pt>
                <c:pt idx="72">
                  <c:v>ES/0015</c:v>
                </c:pt>
                <c:pt idx="73">
                  <c:v>13244</c:v>
                </c:pt>
                <c:pt idx="74">
                  <c:v>98529</c:v>
                </c:pt>
                <c:pt idx="75">
                  <c:v>101617</c:v>
                </c:pt>
              </c:strCache>
            </c:strRef>
          </c:cat>
          <c:val>
            <c:numRef>
              <c:f>'Curva ABC'!$H$14:$H$89</c:f>
              <c:numCache>
                <c:formatCode>0.00%</c:formatCode>
                <c:ptCount val="76"/>
                <c:pt idx="0">
                  <c:v>0.26601332356680779</c:v>
                </c:pt>
                <c:pt idx="1">
                  <c:v>7.4056970325570223E-2</c:v>
                </c:pt>
                <c:pt idx="2">
                  <c:v>6.7652198184921339E-2</c:v>
                </c:pt>
                <c:pt idx="3">
                  <c:v>6.4158524175854936E-2</c:v>
                </c:pt>
                <c:pt idx="4">
                  <c:v>6.2869758340162202E-2</c:v>
                </c:pt>
                <c:pt idx="5">
                  <c:v>4.6713999974795264E-2</c:v>
                </c:pt>
                <c:pt idx="6">
                  <c:v>2.6241890077241165E-2</c:v>
                </c:pt>
                <c:pt idx="7">
                  <c:v>2.4259095626606941E-2</c:v>
                </c:pt>
                <c:pt idx="8">
                  <c:v>2.3996024959323934E-2</c:v>
                </c:pt>
                <c:pt idx="9">
                  <c:v>2.3199866283579403E-2</c:v>
                </c:pt>
                <c:pt idx="10">
                  <c:v>1.9760153804509049E-2</c:v>
                </c:pt>
                <c:pt idx="11">
                  <c:v>1.887155638323499E-2</c:v>
                </c:pt>
                <c:pt idx="12">
                  <c:v>1.7836803450538664E-2</c:v>
                </c:pt>
                <c:pt idx="13">
                  <c:v>1.7463591921693302E-2</c:v>
                </c:pt>
                <c:pt idx="14">
                  <c:v>1.3522131686633677E-2</c:v>
                </c:pt>
                <c:pt idx="15">
                  <c:v>1.2592923572474409E-2</c:v>
                </c:pt>
                <c:pt idx="16">
                  <c:v>1.2316217753680067E-2</c:v>
                </c:pt>
                <c:pt idx="17">
                  <c:v>1.1556460275982989E-2</c:v>
                </c:pt>
                <c:pt idx="18">
                  <c:v>1.1241397385010765E-2</c:v>
                </c:pt>
                <c:pt idx="19">
                  <c:v>1.0926351657375053E-2</c:v>
                </c:pt>
                <c:pt idx="20">
                  <c:v>1.0276122384750031E-2</c:v>
                </c:pt>
                <c:pt idx="21">
                  <c:v>1.02146701777142E-2</c:v>
                </c:pt>
                <c:pt idx="22">
                  <c:v>8.3075160435556634E-3</c:v>
                </c:pt>
                <c:pt idx="23">
                  <c:v>8.1989773421451678E-3</c:v>
                </c:pt>
                <c:pt idx="24">
                  <c:v>8.156520471236807E-3</c:v>
                </c:pt>
                <c:pt idx="25">
                  <c:v>7.6204423110619477E-3</c:v>
                </c:pt>
                <c:pt idx="26">
                  <c:v>7.5034652179433604E-3</c:v>
                </c:pt>
                <c:pt idx="27">
                  <c:v>5.4223546983720311E-3</c:v>
                </c:pt>
                <c:pt idx="28">
                  <c:v>5.3976074058167288E-3</c:v>
                </c:pt>
                <c:pt idx="29">
                  <c:v>4.890762885115198E-3</c:v>
                </c:pt>
                <c:pt idx="30">
                  <c:v>4.5596425734872733E-3</c:v>
                </c:pt>
                <c:pt idx="31">
                  <c:v>4.4395104113784311E-3</c:v>
                </c:pt>
                <c:pt idx="32">
                  <c:v>4.3878442910829521E-3</c:v>
                </c:pt>
                <c:pt idx="33">
                  <c:v>4.2457184325810681E-3</c:v>
                </c:pt>
                <c:pt idx="34">
                  <c:v>3.9883840508534319E-3</c:v>
                </c:pt>
                <c:pt idx="35">
                  <c:v>3.9011472887513113E-3</c:v>
                </c:pt>
                <c:pt idx="36">
                  <c:v>3.668564676971112E-3</c:v>
                </c:pt>
                <c:pt idx="37">
                  <c:v>3.5652309439161089E-3</c:v>
                </c:pt>
                <c:pt idx="38">
                  <c:v>3.3346556962758778E-3</c:v>
                </c:pt>
                <c:pt idx="39">
                  <c:v>3.2731721474951116E-3</c:v>
                </c:pt>
                <c:pt idx="40">
                  <c:v>3.2687917655242513E-3</c:v>
                </c:pt>
                <c:pt idx="41">
                  <c:v>2.9876981024388278E-3</c:v>
                </c:pt>
                <c:pt idx="42">
                  <c:v>2.8667659796020881E-3</c:v>
                </c:pt>
                <c:pt idx="43">
                  <c:v>2.7690222706260818E-3</c:v>
                </c:pt>
                <c:pt idx="44">
                  <c:v>2.7335501314463828E-3</c:v>
                </c:pt>
                <c:pt idx="45">
                  <c:v>2.7190008457077361E-3</c:v>
                </c:pt>
                <c:pt idx="46">
                  <c:v>2.6560091620099154E-3</c:v>
                </c:pt>
                <c:pt idx="47">
                  <c:v>2.5479622275021091E-3</c:v>
                </c:pt>
                <c:pt idx="48">
                  <c:v>2.5258998777630158E-3</c:v>
                </c:pt>
                <c:pt idx="49">
                  <c:v>2.1616849221784175E-3</c:v>
                </c:pt>
                <c:pt idx="50">
                  <c:v>2.0103371283450365E-3</c:v>
                </c:pt>
                <c:pt idx="51">
                  <c:v>1.7683982594693278E-3</c:v>
                </c:pt>
                <c:pt idx="52">
                  <c:v>1.7313694802911258E-3</c:v>
                </c:pt>
                <c:pt idx="53">
                  <c:v>1.5009069136862612E-3</c:v>
                </c:pt>
                <c:pt idx="54">
                  <c:v>1.4236495124182651E-3</c:v>
                </c:pt>
                <c:pt idx="55">
                  <c:v>1.33146150084823E-3</c:v>
                </c:pt>
                <c:pt idx="56">
                  <c:v>1.2754597725032281E-3</c:v>
                </c:pt>
                <c:pt idx="57">
                  <c:v>1.2639178018144222E-3</c:v>
                </c:pt>
                <c:pt idx="58">
                  <c:v>1.2198833964109331E-3</c:v>
                </c:pt>
                <c:pt idx="59">
                  <c:v>1.1464123764240517E-3</c:v>
                </c:pt>
                <c:pt idx="60">
                  <c:v>1.1363546612275864E-3</c:v>
                </c:pt>
                <c:pt idx="61">
                  <c:v>1.1361382539411215E-3</c:v>
                </c:pt>
                <c:pt idx="62">
                  <c:v>1.0787059988093838E-3</c:v>
                </c:pt>
                <c:pt idx="63">
                  <c:v>1.0345283168576149E-3</c:v>
                </c:pt>
                <c:pt idx="64">
                  <c:v>9.1114929921977622E-4</c:v>
                </c:pt>
                <c:pt idx="65">
                  <c:v>9.0859793193555631E-4</c:v>
                </c:pt>
                <c:pt idx="66">
                  <c:v>8.3221287590162069E-4</c:v>
                </c:pt>
                <c:pt idx="67">
                  <c:v>7.620536336296757E-4</c:v>
                </c:pt>
                <c:pt idx="68">
                  <c:v>7.1694390788206266E-4</c:v>
                </c:pt>
                <c:pt idx="69">
                  <c:v>7.1550815747117088E-4</c:v>
                </c:pt>
                <c:pt idx="70">
                  <c:v>6.324749203506266E-4</c:v>
                </c:pt>
                <c:pt idx="71">
                  <c:v>6.1211323339033935E-4</c:v>
                </c:pt>
                <c:pt idx="72">
                  <c:v>5.9013670033380994E-4</c:v>
                </c:pt>
                <c:pt idx="73">
                  <c:v>5.8897407084307742E-4</c:v>
                </c:pt>
                <c:pt idx="74">
                  <c:v>5.6987650092855447E-4</c:v>
                </c:pt>
                <c:pt idx="75">
                  <c:v>4.8430234377210246E-4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8-43C9-A426-78A8A7D2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9116256"/>
        <c:axId val="2069120064"/>
      </c:barChart>
      <c:lineChart>
        <c:grouping val="standard"/>
        <c:varyColors val="0"/>
        <c:ser>
          <c:idx val="1"/>
          <c:order val="1"/>
          <c:tx>
            <c:strRef>
              <c:f>'Curva ABC'!$I$12</c:f>
              <c:strCache>
                <c:ptCount val="1"/>
                <c:pt idx="0">
                  <c:v>Σ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'Curva ABC'!$A$14:$A$89</c:f>
              <c:strCache>
                <c:ptCount val="76"/>
                <c:pt idx="0">
                  <c:v>PA/0040</c:v>
                </c:pt>
                <c:pt idx="1">
                  <c:v>94991</c:v>
                </c:pt>
                <c:pt idx="2">
                  <c:v>4721</c:v>
                </c:pt>
                <c:pt idx="3">
                  <c:v>93593</c:v>
                </c:pt>
                <c:pt idx="4">
                  <c:v>SC/0005</c:v>
                </c:pt>
                <c:pt idx="5">
                  <c:v>CPU Adm Local</c:v>
                </c:pt>
                <c:pt idx="6">
                  <c:v>PA/0025</c:v>
                </c:pt>
                <c:pt idx="7">
                  <c:v>7753</c:v>
                </c:pt>
                <c:pt idx="8">
                  <c:v>93599</c:v>
                </c:pt>
                <c:pt idx="9">
                  <c:v>101767</c:v>
                </c:pt>
                <c:pt idx="10">
                  <c:v>6079</c:v>
                </c:pt>
                <c:pt idx="11">
                  <c:v>ES/0010</c:v>
                </c:pt>
                <c:pt idx="12">
                  <c:v>7750</c:v>
                </c:pt>
                <c:pt idx="13">
                  <c:v>DR/0135</c:v>
                </c:pt>
                <c:pt idx="14">
                  <c:v>100576</c:v>
                </c:pt>
                <c:pt idx="15">
                  <c:v>PA/0023</c:v>
                </c:pt>
                <c:pt idx="16">
                  <c:v>95876</c:v>
                </c:pt>
                <c:pt idx="17">
                  <c:v>DR/0275</c:v>
                </c:pt>
                <c:pt idx="18">
                  <c:v>7791</c:v>
                </c:pt>
                <c:pt idx="19">
                  <c:v>100953</c:v>
                </c:pt>
                <c:pt idx="20">
                  <c:v>SV/0090</c:v>
                </c:pt>
                <c:pt idx="21">
                  <c:v>100939</c:v>
                </c:pt>
                <c:pt idx="22">
                  <c:v>92824</c:v>
                </c:pt>
                <c:pt idx="23">
                  <c:v>92828</c:v>
                </c:pt>
                <c:pt idx="24">
                  <c:v>SC/0082</c:v>
                </c:pt>
                <c:pt idx="25">
                  <c:v>DR/0265</c:v>
                </c:pt>
                <c:pt idx="26">
                  <c:v>100978</c:v>
                </c:pt>
                <c:pt idx="27">
                  <c:v>92826</c:v>
                </c:pt>
                <c:pt idx="28">
                  <c:v>SR/0020</c:v>
                </c:pt>
                <c:pt idx="29">
                  <c:v>7781</c:v>
                </c:pt>
                <c:pt idx="30">
                  <c:v>93362</c:v>
                </c:pt>
                <c:pt idx="31">
                  <c:v>92821</c:v>
                </c:pt>
                <c:pt idx="32">
                  <c:v>98459</c:v>
                </c:pt>
                <c:pt idx="33">
                  <c:v>101570</c:v>
                </c:pt>
                <c:pt idx="34">
                  <c:v>102278</c:v>
                </c:pt>
                <c:pt idx="35">
                  <c:v>SC/0080</c:v>
                </c:pt>
                <c:pt idx="36">
                  <c:v>PA/0005</c:v>
                </c:pt>
                <c:pt idx="37">
                  <c:v>96385</c:v>
                </c:pt>
                <c:pt idx="38">
                  <c:v>93358</c:v>
                </c:pt>
                <c:pt idx="39">
                  <c:v>SV/0105</c:v>
                </c:pt>
                <c:pt idx="40">
                  <c:v>90102</c:v>
                </c:pt>
                <c:pt idx="41">
                  <c:v>SV/0005</c:v>
                </c:pt>
                <c:pt idx="42">
                  <c:v>DR/0205</c:v>
                </c:pt>
                <c:pt idx="43">
                  <c:v>SP/0030</c:v>
                </c:pt>
                <c:pt idx="44">
                  <c:v>93377</c:v>
                </c:pt>
                <c:pt idx="45">
                  <c:v>98533</c:v>
                </c:pt>
                <c:pt idx="46">
                  <c:v>100979</c:v>
                </c:pt>
                <c:pt idx="47">
                  <c:v>SC/0010</c:v>
                </c:pt>
                <c:pt idx="48">
                  <c:v>SV/0010</c:v>
                </c:pt>
                <c:pt idx="49">
                  <c:v>SP/0004</c:v>
                </c:pt>
                <c:pt idx="50">
                  <c:v>DR/0355</c:v>
                </c:pt>
                <c:pt idx="51">
                  <c:v>SV/0015</c:v>
                </c:pt>
                <c:pt idx="52">
                  <c:v>93375</c:v>
                </c:pt>
                <c:pt idx="53">
                  <c:v>13521</c:v>
                </c:pt>
                <c:pt idx="54">
                  <c:v>10776</c:v>
                </c:pt>
                <c:pt idx="55">
                  <c:v>SC/0120</c:v>
                </c:pt>
                <c:pt idx="56">
                  <c:v>SC/0110</c:v>
                </c:pt>
                <c:pt idx="57">
                  <c:v>90100</c:v>
                </c:pt>
                <c:pt idx="58">
                  <c:v>SP/0060</c:v>
                </c:pt>
                <c:pt idx="59">
                  <c:v>SR/0100</c:v>
                </c:pt>
                <c:pt idx="60">
                  <c:v>97636</c:v>
                </c:pt>
                <c:pt idx="61">
                  <c:v>SC/0068</c:v>
                </c:pt>
                <c:pt idx="62">
                  <c:v>101616</c:v>
                </c:pt>
                <c:pt idx="63">
                  <c:v>10777</c:v>
                </c:pt>
                <c:pt idx="64">
                  <c:v>10775</c:v>
                </c:pt>
                <c:pt idx="65">
                  <c:v>98051</c:v>
                </c:pt>
                <c:pt idx="66">
                  <c:v>97084</c:v>
                </c:pt>
                <c:pt idx="67">
                  <c:v>SP/0020</c:v>
                </c:pt>
                <c:pt idx="68">
                  <c:v>98526</c:v>
                </c:pt>
                <c:pt idx="69">
                  <c:v>SP/0050</c:v>
                </c:pt>
                <c:pt idx="70">
                  <c:v>RE/0050</c:v>
                </c:pt>
                <c:pt idx="71">
                  <c:v>102333</c:v>
                </c:pt>
                <c:pt idx="72">
                  <c:v>ES/0015</c:v>
                </c:pt>
                <c:pt idx="73">
                  <c:v>13244</c:v>
                </c:pt>
                <c:pt idx="74">
                  <c:v>98529</c:v>
                </c:pt>
                <c:pt idx="75">
                  <c:v>101617</c:v>
                </c:pt>
              </c:strCache>
            </c:strRef>
          </c:cat>
          <c:val>
            <c:numRef>
              <c:f>'Curva ABC'!$I$14:$I$89</c:f>
              <c:numCache>
                <c:formatCode>0.00%</c:formatCode>
                <c:ptCount val="76"/>
                <c:pt idx="0">
                  <c:v>0.26601332356680779</c:v>
                </c:pt>
                <c:pt idx="1">
                  <c:v>0.34007029389237803</c:v>
                </c:pt>
                <c:pt idx="2">
                  <c:v>0.40772249207729938</c:v>
                </c:pt>
                <c:pt idx="3">
                  <c:v>0.47188101625315432</c:v>
                </c:pt>
                <c:pt idx="4">
                  <c:v>0.53475077459331655</c:v>
                </c:pt>
                <c:pt idx="5">
                  <c:v>0.58146477456811185</c:v>
                </c:pt>
                <c:pt idx="6">
                  <c:v>0.60770666464535306</c:v>
                </c:pt>
                <c:pt idx="7">
                  <c:v>0.63196576027195994</c:v>
                </c:pt>
                <c:pt idx="8">
                  <c:v>0.6559617852312839</c:v>
                </c:pt>
                <c:pt idx="9">
                  <c:v>0.6791616515148633</c:v>
                </c:pt>
                <c:pt idx="10">
                  <c:v>0.69892180531937231</c:v>
                </c:pt>
                <c:pt idx="11">
                  <c:v>0.71779336170260732</c:v>
                </c:pt>
                <c:pt idx="12">
                  <c:v>0.73563016515314594</c:v>
                </c:pt>
                <c:pt idx="13">
                  <c:v>0.75309375707483928</c:v>
                </c:pt>
                <c:pt idx="14">
                  <c:v>0.76661588876147291</c:v>
                </c:pt>
                <c:pt idx="15">
                  <c:v>0.77920881233394734</c:v>
                </c:pt>
                <c:pt idx="16">
                  <c:v>0.79152503008762742</c:v>
                </c:pt>
                <c:pt idx="17">
                  <c:v>0.80308149036361043</c:v>
                </c:pt>
                <c:pt idx="18">
                  <c:v>0.81432288774862116</c:v>
                </c:pt>
                <c:pt idx="19">
                  <c:v>0.82524923940599626</c:v>
                </c:pt>
                <c:pt idx="20">
                  <c:v>0.83552536179074632</c:v>
                </c:pt>
                <c:pt idx="21">
                  <c:v>0.84574003196846048</c:v>
                </c:pt>
                <c:pt idx="22">
                  <c:v>0.8540475480120161</c:v>
                </c:pt>
                <c:pt idx="23">
                  <c:v>0.86224652535416124</c:v>
                </c:pt>
                <c:pt idx="24">
                  <c:v>0.87040304582539807</c:v>
                </c:pt>
                <c:pt idx="25">
                  <c:v>0.87802348813646003</c:v>
                </c:pt>
                <c:pt idx="26">
                  <c:v>0.88552695335440335</c:v>
                </c:pt>
                <c:pt idx="27">
                  <c:v>0.89094930805277539</c:v>
                </c:pt>
                <c:pt idx="28">
                  <c:v>0.89634691545859213</c:v>
                </c:pt>
                <c:pt idx="29">
                  <c:v>0.90123767834370738</c:v>
                </c:pt>
                <c:pt idx="30">
                  <c:v>0.90579732091719467</c:v>
                </c:pt>
                <c:pt idx="31">
                  <c:v>0.91023683132857314</c:v>
                </c:pt>
                <c:pt idx="32">
                  <c:v>0.9146246756196561</c:v>
                </c:pt>
                <c:pt idx="33">
                  <c:v>0.91887039405223714</c:v>
                </c:pt>
                <c:pt idx="34">
                  <c:v>0.92285877810309058</c:v>
                </c:pt>
                <c:pt idx="35">
                  <c:v>0.92675992539184193</c:v>
                </c:pt>
                <c:pt idx="36">
                  <c:v>0.93042849006881301</c:v>
                </c:pt>
                <c:pt idx="37">
                  <c:v>0.93399372101272915</c:v>
                </c:pt>
                <c:pt idx="38">
                  <c:v>0.93732837670900504</c:v>
                </c:pt>
                <c:pt idx="39">
                  <c:v>0.94060154885650016</c:v>
                </c:pt>
                <c:pt idx="40">
                  <c:v>0.94387034062202446</c:v>
                </c:pt>
                <c:pt idx="41">
                  <c:v>0.94685803872446328</c:v>
                </c:pt>
                <c:pt idx="42">
                  <c:v>0.9497248047040654</c:v>
                </c:pt>
                <c:pt idx="43">
                  <c:v>0.95249382697469143</c:v>
                </c:pt>
                <c:pt idx="44">
                  <c:v>0.95522737710613781</c:v>
                </c:pt>
                <c:pt idx="45">
                  <c:v>0.95794637795184556</c:v>
                </c:pt>
                <c:pt idx="46">
                  <c:v>0.96060238711385548</c:v>
                </c:pt>
                <c:pt idx="47">
                  <c:v>0.96315034934135757</c:v>
                </c:pt>
                <c:pt idx="48">
                  <c:v>0.96567624921912054</c:v>
                </c:pt>
                <c:pt idx="49">
                  <c:v>0.96783793414129893</c:v>
                </c:pt>
                <c:pt idx="50">
                  <c:v>0.96984827126964401</c:v>
                </c:pt>
                <c:pt idx="51">
                  <c:v>0.9716166695291133</c:v>
                </c:pt>
                <c:pt idx="52">
                  <c:v>0.97334803900940448</c:v>
                </c:pt>
                <c:pt idx="53">
                  <c:v>0.97484894592309068</c:v>
                </c:pt>
                <c:pt idx="54">
                  <c:v>0.97627259543550893</c:v>
                </c:pt>
                <c:pt idx="55">
                  <c:v>0.9776040569363571</c:v>
                </c:pt>
                <c:pt idx="56">
                  <c:v>0.97887951670886031</c:v>
                </c:pt>
                <c:pt idx="57">
                  <c:v>0.98014343451067476</c:v>
                </c:pt>
                <c:pt idx="58">
                  <c:v>0.98136331790708564</c:v>
                </c:pt>
                <c:pt idx="59">
                  <c:v>0.98250973028350974</c:v>
                </c:pt>
                <c:pt idx="60">
                  <c:v>0.98364608494473738</c:v>
                </c:pt>
                <c:pt idx="61">
                  <c:v>0.98478222319867847</c:v>
                </c:pt>
                <c:pt idx="62">
                  <c:v>0.98586092919748791</c:v>
                </c:pt>
                <c:pt idx="63">
                  <c:v>0.98689545751434549</c:v>
                </c:pt>
                <c:pt idx="64">
                  <c:v>0.98780660681356525</c:v>
                </c:pt>
                <c:pt idx="65">
                  <c:v>0.98871520474550079</c:v>
                </c:pt>
                <c:pt idx="66">
                  <c:v>0.98954741762140241</c:v>
                </c:pt>
                <c:pt idx="67">
                  <c:v>0.9903094712550321</c:v>
                </c:pt>
                <c:pt idx="68">
                  <c:v>0.99102641516291412</c:v>
                </c:pt>
                <c:pt idx="69">
                  <c:v>0.99174192332038524</c:v>
                </c:pt>
                <c:pt idx="70">
                  <c:v>0.99237439824073592</c:v>
                </c:pt>
                <c:pt idx="71">
                  <c:v>0.99298651147412631</c:v>
                </c:pt>
                <c:pt idx="72">
                  <c:v>0.99357664817446012</c:v>
                </c:pt>
                <c:pt idx="73">
                  <c:v>0.99416562224530325</c:v>
                </c:pt>
                <c:pt idx="74">
                  <c:v>0.99473549874623179</c:v>
                </c:pt>
                <c:pt idx="75">
                  <c:v>0.99521980109000385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8-43C9-A426-78A8A7D2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116256"/>
        <c:axId val="2069120064"/>
      </c:lineChart>
      <c:catAx>
        <c:axId val="20691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20064"/>
        <c:crosses val="autoZero"/>
        <c:auto val="1"/>
        <c:lblAlgn val="ctr"/>
        <c:lblOffset val="100"/>
        <c:noMultiLvlLbl val="0"/>
      </c:catAx>
      <c:valAx>
        <c:axId val="206912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1625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17494231463855"/>
          <c:y val="0.9516254562057469"/>
          <c:w val="0.23617682421646535"/>
          <c:h val="3.56862043781764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'B_Amort_01 -'!$B$43</c:f>
              <c:strCache>
                <c:ptCount val="1"/>
                <c:pt idx="0">
                  <c:v>T. detenção (min)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'B_Amort_01 -'!$C$38:$L$38</c:f>
              <c:numCache>
                <c:formatCode>#,##0.00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16.947001241079278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78.074485983622807</c:v>
                </c:pt>
              </c:numCache>
            </c:numRef>
          </c:xVal>
          <c:yVal>
            <c:numRef>
              <c:f>'B_Amort_01 -'!$C$43:$L$43</c:f>
              <c:numCache>
                <c:formatCode>#,##0.00</c:formatCode>
                <c:ptCount val="10"/>
                <c:pt idx="0">
                  <c:v>0</c:v>
                </c:pt>
                <c:pt idx="1">
                  <c:v>0.82153464208271076</c:v>
                </c:pt>
                <c:pt idx="2">
                  <c:v>1.4479028283279569</c:v>
                </c:pt>
                <c:pt idx="3">
                  <c:v>2.78112555333542</c:v>
                </c:pt>
                <c:pt idx="4">
                  <c:v>3.983095027269806</c:v>
                </c:pt>
                <c:pt idx="5">
                  <c:v>5.4047231767667947</c:v>
                </c:pt>
                <c:pt idx="6">
                  <c:v>7.1446554124569008</c:v>
                </c:pt>
                <c:pt idx="7">
                  <c:v>9.3878182040366003</c:v>
                </c:pt>
                <c:pt idx="8">
                  <c:v>12.549378589223696</c:v>
                </c:pt>
                <c:pt idx="9">
                  <c:v>11.83265465323114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A6-458E-8E5E-21BDD61D6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416382627361127"/>
          <c:y val="6.7646064816587068E-2"/>
          <c:w val="0.84919575183614571"/>
          <c:h val="0.83828977608392097"/>
        </c:manualLayout>
      </c:layout>
      <c:scatterChart>
        <c:scatterStyle val="smoothMarker"/>
        <c:varyColors val="0"/>
        <c:ser>
          <c:idx val="0"/>
          <c:order val="0"/>
          <c:tx>
            <c:v>H=J/Ab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Lit>
              <c:formatCode>General</c:formatCode>
              <c:ptCount val="10"/>
              <c:pt idx="0">
                <c:v>2.9706596046997</c:v>
              </c:pt>
              <c:pt idx="1">
                <c:v>2.6735936442297299</c:v>
              </c:pt>
              <c:pt idx="2">
                <c:v>2.4672218846230014</c:v>
              </c:pt>
              <c:pt idx="3">
                <c:v>2.0794617232897901</c:v>
              </c:pt>
              <c:pt idx="4">
                <c:v>1.7823957628198199</c:v>
              </c:pt>
              <c:pt idx="5">
                <c:v>1.48532980234985</c:v>
              </c:pt>
              <c:pt idx="6">
                <c:v>1.1882638418798801</c:v>
              </c:pt>
              <c:pt idx="7">
                <c:v>0.89119788140990996</c:v>
              </c:pt>
              <c:pt idx="8">
                <c:v>0.59413192093994005</c:v>
              </c:pt>
              <c:pt idx="9">
                <c:v>0.29706596046997003</c:v>
              </c:pt>
            </c:numLit>
          </c:xVal>
          <c:yVal>
            <c:numLit>
              <c:formatCode>General</c:formatCode>
              <c:ptCount val="10"/>
              <c:pt idx="0">
                <c:v>0</c:v>
              </c:pt>
              <c:pt idx="1">
                <c:v>1.8910289338970206E-2</c:v>
              </c:pt>
              <c:pt idx="2">
                <c:v>3.3328188509472945E-2</c:v>
              </c:pt>
              <c:pt idx="3">
                <c:v>6.4016641791572251E-2</c:v>
              </c:pt>
              <c:pt idx="4">
                <c:v>9.1683874996840636E-2</c:v>
              </c:pt>
              <c:pt idx="5">
                <c:v>0.12440726639426178</c:v>
              </c:pt>
              <c:pt idx="6">
                <c:v>0.16445746065471104</c:v>
              </c:pt>
              <c:pt idx="7">
                <c:v>0.21609114139110241</c:v>
              </c:pt>
              <c:pt idx="8">
                <c:v>0.28886472704897287</c:v>
              </c:pt>
              <c:pt idx="9">
                <c:v>0.41327199344323462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9F9-4E1F-A3D3-AD915F7BB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B_Amort_01!$B$41</c:f>
              <c:strCache>
                <c:ptCount val="1"/>
                <c:pt idx="0">
                  <c:v>H=J/Ab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B_Amort_01!$C$36:$L$36</c:f>
              <c:numCache>
                <c:formatCode>#,##0.00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xVal>
          <c:yVal>
            <c:numRef>
              <c:f>B_Amort_01!$C$41:$L$41</c:f>
              <c:numCache>
                <c:formatCode>#,##0.00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9F-4BC6-A641-6DC09F481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Sinalizacao!A1"/><Relationship Id="rId13" Type="http://schemas.openxmlformats.org/officeDocument/2006/relationships/hyperlink" Target="#Dre_Ser_Prelim!A1"/><Relationship Id="rId18" Type="http://schemas.openxmlformats.org/officeDocument/2006/relationships/hyperlink" Target="#Recap_Previo!A1"/><Relationship Id="rId3" Type="http://schemas.openxmlformats.org/officeDocument/2006/relationships/hyperlink" Target="#S_Preliminares!A1"/><Relationship Id="rId21" Type="http://schemas.openxmlformats.org/officeDocument/2006/relationships/hyperlink" Target="#Dre_Fecha_Vala!A1"/><Relationship Id="rId7" Type="http://schemas.openxmlformats.org/officeDocument/2006/relationships/hyperlink" Target="#Traffic_Calming!A1"/><Relationship Id="rId12" Type="http://schemas.openxmlformats.org/officeDocument/2006/relationships/hyperlink" Target="#Dren_Quantificacao!A1"/><Relationship Id="rId17" Type="http://schemas.openxmlformats.org/officeDocument/2006/relationships/hyperlink" Target="#Pav_Dim!A1"/><Relationship Id="rId25" Type="http://schemas.openxmlformats.org/officeDocument/2006/relationships/hyperlink" Target="#'Bacia deten&#231;&#227;o'!A1"/><Relationship Id="rId2" Type="http://schemas.openxmlformats.org/officeDocument/2006/relationships/hyperlink" Target="#Cronograma!A1"/><Relationship Id="rId16" Type="http://schemas.openxmlformats.org/officeDocument/2006/relationships/hyperlink" Target="#Pav_Estrutura!A1"/><Relationship Id="rId20" Type="http://schemas.openxmlformats.org/officeDocument/2006/relationships/hyperlink" Target="#Dre_Profunda!A1"/><Relationship Id="rId1" Type="http://schemas.openxmlformats.org/officeDocument/2006/relationships/hyperlink" Target="#Or&#231;amento!A1"/><Relationship Id="rId6" Type="http://schemas.openxmlformats.org/officeDocument/2006/relationships/hyperlink" Target="#Acessibilidade!A1"/><Relationship Id="rId11" Type="http://schemas.openxmlformats.org/officeDocument/2006/relationships/hyperlink" Target="#Dren_Dim!A1"/><Relationship Id="rId24" Type="http://schemas.openxmlformats.org/officeDocument/2006/relationships/image" Target="../media/image2.png"/><Relationship Id="rId5" Type="http://schemas.openxmlformats.org/officeDocument/2006/relationships/hyperlink" Target="#Ciclovia!A1"/><Relationship Id="rId15" Type="http://schemas.openxmlformats.org/officeDocument/2006/relationships/hyperlink" Target="#Dre_Disp_Estruturais!A1"/><Relationship Id="rId23" Type="http://schemas.openxmlformats.org/officeDocument/2006/relationships/hyperlink" Target="#'Curva ABC'!A1"/><Relationship Id="rId10" Type="http://schemas.openxmlformats.org/officeDocument/2006/relationships/hyperlink" Target="#Dren_Dados!A1"/><Relationship Id="rId19" Type="http://schemas.openxmlformats.org/officeDocument/2006/relationships/hyperlink" Target="#Recap_Final!A1"/><Relationship Id="rId4" Type="http://schemas.openxmlformats.org/officeDocument/2006/relationships/hyperlink" Target="#Pav_Dados!A1"/><Relationship Id="rId9" Type="http://schemas.openxmlformats.org/officeDocument/2006/relationships/hyperlink" Target="#Pav_Terraplenagem!A1"/><Relationship Id="rId14" Type="http://schemas.openxmlformats.org/officeDocument/2006/relationships/hyperlink" Target="#Dre_Terraplenagem!A1"/><Relationship Id="rId22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1.jpeg"/><Relationship Id="rId21" Type="http://schemas.openxmlformats.org/officeDocument/2006/relationships/image" Target="../media/image35.jpeg"/><Relationship Id="rId42" Type="http://schemas.openxmlformats.org/officeDocument/2006/relationships/image" Target="../media/image56.jpeg"/><Relationship Id="rId63" Type="http://schemas.openxmlformats.org/officeDocument/2006/relationships/image" Target="../media/image77.jpeg"/><Relationship Id="rId84" Type="http://schemas.openxmlformats.org/officeDocument/2006/relationships/image" Target="../media/image98.jpeg"/><Relationship Id="rId138" Type="http://schemas.openxmlformats.org/officeDocument/2006/relationships/image" Target="../media/image152.jpeg"/><Relationship Id="rId159" Type="http://schemas.openxmlformats.org/officeDocument/2006/relationships/image" Target="../media/image173.jpeg"/><Relationship Id="rId107" Type="http://schemas.openxmlformats.org/officeDocument/2006/relationships/image" Target="../media/image121.jpeg"/><Relationship Id="rId11" Type="http://schemas.openxmlformats.org/officeDocument/2006/relationships/image" Target="../media/image25.jpeg"/><Relationship Id="rId32" Type="http://schemas.openxmlformats.org/officeDocument/2006/relationships/image" Target="../media/image46.jpeg"/><Relationship Id="rId53" Type="http://schemas.openxmlformats.org/officeDocument/2006/relationships/image" Target="../media/image67.jpeg"/><Relationship Id="rId74" Type="http://schemas.openxmlformats.org/officeDocument/2006/relationships/image" Target="../media/image88.jpeg"/><Relationship Id="rId128" Type="http://schemas.openxmlformats.org/officeDocument/2006/relationships/image" Target="../media/image142.jpeg"/><Relationship Id="rId149" Type="http://schemas.openxmlformats.org/officeDocument/2006/relationships/image" Target="../media/image163.jpeg"/><Relationship Id="rId5" Type="http://schemas.openxmlformats.org/officeDocument/2006/relationships/image" Target="../media/image19.jpeg"/><Relationship Id="rId95" Type="http://schemas.openxmlformats.org/officeDocument/2006/relationships/image" Target="../media/image109.jpeg"/><Relationship Id="rId160" Type="http://schemas.openxmlformats.org/officeDocument/2006/relationships/image" Target="../media/image174.jpeg"/><Relationship Id="rId22" Type="http://schemas.openxmlformats.org/officeDocument/2006/relationships/image" Target="../media/image36.jpeg"/><Relationship Id="rId43" Type="http://schemas.openxmlformats.org/officeDocument/2006/relationships/image" Target="../media/image57.jpeg"/><Relationship Id="rId64" Type="http://schemas.openxmlformats.org/officeDocument/2006/relationships/image" Target="../media/image78.jpeg"/><Relationship Id="rId118" Type="http://schemas.openxmlformats.org/officeDocument/2006/relationships/image" Target="../media/image132.jpeg"/><Relationship Id="rId139" Type="http://schemas.openxmlformats.org/officeDocument/2006/relationships/image" Target="../media/image153.jpeg"/><Relationship Id="rId85" Type="http://schemas.openxmlformats.org/officeDocument/2006/relationships/image" Target="../media/image99.jpeg"/><Relationship Id="rId150" Type="http://schemas.openxmlformats.org/officeDocument/2006/relationships/image" Target="../media/image164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33" Type="http://schemas.openxmlformats.org/officeDocument/2006/relationships/image" Target="../media/image47.jpeg"/><Relationship Id="rId38" Type="http://schemas.openxmlformats.org/officeDocument/2006/relationships/image" Target="../media/image52.jpeg"/><Relationship Id="rId59" Type="http://schemas.openxmlformats.org/officeDocument/2006/relationships/image" Target="../media/image73.jpeg"/><Relationship Id="rId103" Type="http://schemas.openxmlformats.org/officeDocument/2006/relationships/image" Target="../media/image117.jpeg"/><Relationship Id="rId108" Type="http://schemas.openxmlformats.org/officeDocument/2006/relationships/image" Target="../media/image122.jpeg"/><Relationship Id="rId124" Type="http://schemas.openxmlformats.org/officeDocument/2006/relationships/image" Target="../media/image138.jpeg"/><Relationship Id="rId129" Type="http://schemas.openxmlformats.org/officeDocument/2006/relationships/image" Target="../media/image143.jpeg"/><Relationship Id="rId54" Type="http://schemas.openxmlformats.org/officeDocument/2006/relationships/image" Target="../media/image68.jpeg"/><Relationship Id="rId70" Type="http://schemas.openxmlformats.org/officeDocument/2006/relationships/image" Target="../media/image84.jpeg"/><Relationship Id="rId75" Type="http://schemas.openxmlformats.org/officeDocument/2006/relationships/image" Target="../media/image89.jpeg"/><Relationship Id="rId91" Type="http://schemas.openxmlformats.org/officeDocument/2006/relationships/image" Target="../media/image105.jpeg"/><Relationship Id="rId96" Type="http://schemas.openxmlformats.org/officeDocument/2006/relationships/image" Target="../media/image110.jpeg"/><Relationship Id="rId140" Type="http://schemas.openxmlformats.org/officeDocument/2006/relationships/image" Target="../media/image154.jpeg"/><Relationship Id="rId145" Type="http://schemas.openxmlformats.org/officeDocument/2006/relationships/image" Target="../media/image159.jpeg"/><Relationship Id="rId161" Type="http://schemas.openxmlformats.org/officeDocument/2006/relationships/image" Target="../media/image175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49" Type="http://schemas.openxmlformats.org/officeDocument/2006/relationships/image" Target="../media/image63.jpeg"/><Relationship Id="rId114" Type="http://schemas.openxmlformats.org/officeDocument/2006/relationships/image" Target="../media/image128.jpeg"/><Relationship Id="rId119" Type="http://schemas.openxmlformats.org/officeDocument/2006/relationships/image" Target="../media/image133.jpeg"/><Relationship Id="rId44" Type="http://schemas.openxmlformats.org/officeDocument/2006/relationships/image" Target="../media/image58.jpeg"/><Relationship Id="rId60" Type="http://schemas.openxmlformats.org/officeDocument/2006/relationships/image" Target="../media/image74.jpeg"/><Relationship Id="rId65" Type="http://schemas.openxmlformats.org/officeDocument/2006/relationships/image" Target="../media/image79.jpeg"/><Relationship Id="rId81" Type="http://schemas.openxmlformats.org/officeDocument/2006/relationships/image" Target="../media/image95.jpeg"/><Relationship Id="rId86" Type="http://schemas.openxmlformats.org/officeDocument/2006/relationships/image" Target="../media/image100.jpeg"/><Relationship Id="rId130" Type="http://schemas.openxmlformats.org/officeDocument/2006/relationships/image" Target="../media/image144.jpeg"/><Relationship Id="rId135" Type="http://schemas.openxmlformats.org/officeDocument/2006/relationships/image" Target="../media/image149.jpeg"/><Relationship Id="rId151" Type="http://schemas.openxmlformats.org/officeDocument/2006/relationships/image" Target="../media/image165.jpeg"/><Relationship Id="rId156" Type="http://schemas.openxmlformats.org/officeDocument/2006/relationships/image" Target="../media/image170.jpeg"/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39" Type="http://schemas.openxmlformats.org/officeDocument/2006/relationships/image" Target="../media/image53.jpeg"/><Relationship Id="rId109" Type="http://schemas.openxmlformats.org/officeDocument/2006/relationships/image" Target="../media/image123.jpeg"/><Relationship Id="rId34" Type="http://schemas.openxmlformats.org/officeDocument/2006/relationships/image" Target="../media/image48.jpeg"/><Relationship Id="rId50" Type="http://schemas.openxmlformats.org/officeDocument/2006/relationships/image" Target="../media/image64.jpeg"/><Relationship Id="rId55" Type="http://schemas.openxmlformats.org/officeDocument/2006/relationships/image" Target="../media/image69.jpeg"/><Relationship Id="rId76" Type="http://schemas.openxmlformats.org/officeDocument/2006/relationships/image" Target="../media/image90.jpeg"/><Relationship Id="rId97" Type="http://schemas.openxmlformats.org/officeDocument/2006/relationships/image" Target="../media/image111.jpeg"/><Relationship Id="rId104" Type="http://schemas.openxmlformats.org/officeDocument/2006/relationships/image" Target="../media/image118.jpeg"/><Relationship Id="rId120" Type="http://schemas.openxmlformats.org/officeDocument/2006/relationships/image" Target="../media/image134.jpeg"/><Relationship Id="rId125" Type="http://schemas.openxmlformats.org/officeDocument/2006/relationships/image" Target="../media/image139.jpeg"/><Relationship Id="rId141" Type="http://schemas.openxmlformats.org/officeDocument/2006/relationships/image" Target="../media/image155.jpeg"/><Relationship Id="rId146" Type="http://schemas.openxmlformats.org/officeDocument/2006/relationships/image" Target="../media/image160.jpeg"/><Relationship Id="rId7" Type="http://schemas.openxmlformats.org/officeDocument/2006/relationships/image" Target="../media/image21.jpeg"/><Relationship Id="rId71" Type="http://schemas.openxmlformats.org/officeDocument/2006/relationships/image" Target="../media/image85.jpeg"/><Relationship Id="rId92" Type="http://schemas.openxmlformats.org/officeDocument/2006/relationships/image" Target="../media/image106.jpeg"/><Relationship Id="rId162" Type="http://schemas.openxmlformats.org/officeDocument/2006/relationships/image" Target="../media/image176.jpeg"/><Relationship Id="rId2" Type="http://schemas.openxmlformats.org/officeDocument/2006/relationships/image" Target="../media/image16.PNG"/><Relationship Id="rId29" Type="http://schemas.openxmlformats.org/officeDocument/2006/relationships/image" Target="../media/image43.jpeg"/><Relationship Id="rId24" Type="http://schemas.openxmlformats.org/officeDocument/2006/relationships/image" Target="../media/image38.jpeg"/><Relationship Id="rId40" Type="http://schemas.openxmlformats.org/officeDocument/2006/relationships/image" Target="../media/image54.jpeg"/><Relationship Id="rId45" Type="http://schemas.openxmlformats.org/officeDocument/2006/relationships/image" Target="../media/image59.jpeg"/><Relationship Id="rId66" Type="http://schemas.openxmlformats.org/officeDocument/2006/relationships/image" Target="../media/image80.jpeg"/><Relationship Id="rId87" Type="http://schemas.openxmlformats.org/officeDocument/2006/relationships/image" Target="../media/image101.jpeg"/><Relationship Id="rId110" Type="http://schemas.openxmlformats.org/officeDocument/2006/relationships/image" Target="../media/image124.jpeg"/><Relationship Id="rId115" Type="http://schemas.openxmlformats.org/officeDocument/2006/relationships/image" Target="../media/image129.jpeg"/><Relationship Id="rId131" Type="http://schemas.openxmlformats.org/officeDocument/2006/relationships/image" Target="../media/image145.jpeg"/><Relationship Id="rId136" Type="http://schemas.openxmlformats.org/officeDocument/2006/relationships/image" Target="../media/image150.jpeg"/><Relationship Id="rId157" Type="http://schemas.openxmlformats.org/officeDocument/2006/relationships/image" Target="../media/image171.jpeg"/><Relationship Id="rId61" Type="http://schemas.openxmlformats.org/officeDocument/2006/relationships/image" Target="../media/image75.jpeg"/><Relationship Id="rId82" Type="http://schemas.openxmlformats.org/officeDocument/2006/relationships/image" Target="../media/image96.jpeg"/><Relationship Id="rId152" Type="http://schemas.openxmlformats.org/officeDocument/2006/relationships/image" Target="../media/image166.jpeg"/><Relationship Id="rId19" Type="http://schemas.openxmlformats.org/officeDocument/2006/relationships/image" Target="../media/image33.jpeg"/><Relationship Id="rId14" Type="http://schemas.openxmlformats.org/officeDocument/2006/relationships/image" Target="../media/image28.jpeg"/><Relationship Id="rId30" Type="http://schemas.openxmlformats.org/officeDocument/2006/relationships/image" Target="../media/image44.jpeg"/><Relationship Id="rId35" Type="http://schemas.openxmlformats.org/officeDocument/2006/relationships/image" Target="../media/image49.jpeg"/><Relationship Id="rId56" Type="http://schemas.openxmlformats.org/officeDocument/2006/relationships/image" Target="../media/image70.jpeg"/><Relationship Id="rId77" Type="http://schemas.openxmlformats.org/officeDocument/2006/relationships/image" Target="../media/image91.jpeg"/><Relationship Id="rId100" Type="http://schemas.openxmlformats.org/officeDocument/2006/relationships/image" Target="../media/image114.jpeg"/><Relationship Id="rId105" Type="http://schemas.openxmlformats.org/officeDocument/2006/relationships/image" Target="../media/image119.jpeg"/><Relationship Id="rId126" Type="http://schemas.openxmlformats.org/officeDocument/2006/relationships/image" Target="../media/image140.jpeg"/><Relationship Id="rId147" Type="http://schemas.openxmlformats.org/officeDocument/2006/relationships/image" Target="../media/image161.jpeg"/><Relationship Id="rId8" Type="http://schemas.openxmlformats.org/officeDocument/2006/relationships/image" Target="../media/image22.jpeg"/><Relationship Id="rId51" Type="http://schemas.openxmlformats.org/officeDocument/2006/relationships/image" Target="../media/image65.jpeg"/><Relationship Id="rId72" Type="http://schemas.openxmlformats.org/officeDocument/2006/relationships/image" Target="../media/image86.jpeg"/><Relationship Id="rId93" Type="http://schemas.openxmlformats.org/officeDocument/2006/relationships/image" Target="../media/image107.jpeg"/><Relationship Id="rId98" Type="http://schemas.openxmlformats.org/officeDocument/2006/relationships/image" Target="../media/image112.jpeg"/><Relationship Id="rId121" Type="http://schemas.openxmlformats.org/officeDocument/2006/relationships/image" Target="../media/image135.jpeg"/><Relationship Id="rId142" Type="http://schemas.openxmlformats.org/officeDocument/2006/relationships/image" Target="../media/image156.jpeg"/><Relationship Id="rId163" Type="http://schemas.openxmlformats.org/officeDocument/2006/relationships/image" Target="../media/image177.jpeg"/><Relationship Id="rId3" Type="http://schemas.openxmlformats.org/officeDocument/2006/relationships/image" Target="../media/image17.jpeg"/><Relationship Id="rId25" Type="http://schemas.openxmlformats.org/officeDocument/2006/relationships/image" Target="../media/image39.jpeg"/><Relationship Id="rId46" Type="http://schemas.openxmlformats.org/officeDocument/2006/relationships/image" Target="../media/image60.jpeg"/><Relationship Id="rId67" Type="http://schemas.openxmlformats.org/officeDocument/2006/relationships/image" Target="../media/image81.jpeg"/><Relationship Id="rId116" Type="http://schemas.openxmlformats.org/officeDocument/2006/relationships/image" Target="../media/image130.jpeg"/><Relationship Id="rId137" Type="http://schemas.openxmlformats.org/officeDocument/2006/relationships/image" Target="../media/image151.jpeg"/><Relationship Id="rId158" Type="http://schemas.openxmlformats.org/officeDocument/2006/relationships/image" Target="../media/image172.jpeg"/><Relationship Id="rId20" Type="http://schemas.openxmlformats.org/officeDocument/2006/relationships/image" Target="../media/image34.jpeg"/><Relationship Id="rId41" Type="http://schemas.openxmlformats.org/officeDocument/2006/relationships/image" Target="../media/image55.jpeg"/><Relationship Id="rId62" Type="http://schemas.openxmlformats.org/officeDocument/2006/relationships/image" Target="../media/image76.jpeg"/><Relationship Id="rId83" Type="http://schemas.openxmlformats.org/officeDocument/2006/relationships/image" Target="../media/image97.jpeg"/><Relationship Id="rId88" Type="http://schemas.openxmlformats.org/officeDocument/2006/relationships/image" Target="../media/image102.jpeg"/><Relationship Id="rId111" Type="http://schemas.openxmlformats.org/officeDocument/2006/relationships/image" Target="../media/image125.jpeg"/><Relationship Id="rId132" Type="http://schemas.openxmlformats.org/officeDocument/2006/relationships/image" Target="../media/image146.jpeg"/><Relationship Id="rId153" Type="http://schemas.openxmlformats.org/officeDocument/2006/relationships/image" Target="../media/image167.jpeg"/><Relationship Id="rId15" Type="http://schemas.openxmlformats.org/officeDocument/2006/relationships/image" Target="../media/image29.jpeg"/><Relationship Id="rId36" Type="http://schemas.openxmlformats.org/officeDocument/2006/relationships/image" Target="../media/image50.jpeg"/><Relationship Id="rId57" Type="http://schemas.openxmlformats.org/officeDocument/2006/relationships/image" Target="../media/image71.jpeg"/><Relationship Id="rId106" Type="http://schemas.openxmlformats.org/officeDocument/2006/relationships/image" Target="../media/image120.jpeg"/><Relationship Id="rId127" Type="http://schemas.openxmlformats.org/officeDocument/2006/relationships/image" Target="../media/image141.jpeg"/><Relationship Id="rId10" Type="http://schemas.openxmlformats.org/officeDocument/2006/relationships/image" Target="../media/image24.jpeg"/><Relationship Id="rId31" Type="http://schemas.openxmlformats.org/officeDocument/2006/relationships/image" Target="../media/image45.jpeg"/><Relationship Id="rId52" Type="http://schemas.openxmlformats.org/officeDocument/2006/relationships/image" Target="../media/image66.jpeg"/><Relationship Id="rId73" Type="http://schemas.openxmlformats.org/officeDocument/2006/relationships/image" Target="../media/image87.jpeg"/><Relationship Id="rId78" Type="http://schemas.openxmlformats.org/officeDocument/2006/relationships/image" Target="../media/image92.jpeg"/><Relationship Id="rId94" Type="http://schemas.openxmlformats.org/officeDocument/2006/relationships/image" Target="../media/image108.jpeg"/><Relationship Id="rId99" Type="http://schemas.openxmlformats.org/officeDocument/2006/relationships/image" Target="../media/image113.jpeg"/><Relationship Id="rId101" Type="http://schemas.openxmlformats.org/officeDocument/2006/relationships/image" Target="../media/image115.jpeg"/><Relationship Id="rId122" Type="http://schemas.openxmlformats.org/officeDocument/2006/relationships/image" Target="../media/image136.jpeg"/><Relationship Id="rId143" Type="http://schemas.openxmlformats.org/officeDocument/2006/relationships/image" Target="../media/image157.jpeg"/><Relationship Id="rId148" Type="http://schemas.openxmlformats.org/officeDocument/2006/relationships/image" Target="../media/image162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26" Type="http://schemas.openxmlformats.org/officeDocument/2006/relationships/image" Target="../media/image40.jpeg"/><Relationship Id="rId47" Type="http://schemas.openxmlformats.org/officeDocument/2006/relationships/image" Target="../media/image61.jpeg"/><Relationship Id="rId68" Type="http://schemas.openxmlformats.org/officeDocument/2006/relationships/image" Target="../media/image82.jpeg"/><Relationship Id="rId89" Type="http://schemas.openxmlformats.org/officeDocument/2006/relationships/image" Target="../media/image103.jpeg"/><Relationship Id="rId112" Type="http://schemas.openxmlformats.org/officeDocument/2006/relationships/image" Target="../media/image126.jpeg"/><Relationship Id="rId133" Type="http://schemas.openxmlformats.org/officeDocument/2006/relationships/image" Target="../media/image147.jpeg"/><Relationship Id="rId154" Type="http://schemas.openxmlformats.org/officeDocument/2006/relationships/image" Target="../media/image168.jpeg"/><Relationship Id="rId16" Type="http://schemas.openxmlformats.org/officeDocument/2006/relationships/image" Target="../media/image30.jpeg"/><Relationship Id="rId37" Type="http://schemas.openxmlformats.org/officeDocument/2006/relationships/image" Target="../media/image51.jpeg"/><Relationship Id="rId58" Type="http://schemas.openxmlformats.org/officeDocument/2006/relationships/image" Target="../media/image72.jpeg"/><Relationship Id="rId79" Type="http://schemas.openxmlformats.org/officeDocument/2006/relationships/image" Target="../media/image93.jpeg"/><Relationship Id="rId102" Type="http://schemas.openxmlformats.org/officeDocument/2006/relationships/image" Target="../media/image116.jpeg"/><Relationship Id="rId123" Type="http://schemas.openxmlformats.org/officeDocument/2006/relationships/image" Target="../media/image137.jpeg"/><Relationship Id="rId144" Type="http://schemas.openxmlformats.org/officeDocument/2006/relationships/image" Target="../media/image158.jpeg"/><Relationship Id="rId90" Type="http://schemas.openxmlformats.org/officeDocument/2006/relationships/image" Target="../media/image104.jpeg"/><Relationship Id="rId27" Type="http://schemas.openxmlformats.org/officeDocument/2006/relationships/image" Target="../media/image41.jpeg"/><Relationship Id="rId48" Type="http://schemas.openxmlformats.org/officeDocument/2006/relationships/image" Target="../media/image62.jpeg"/><Relationship Id="rId69" Type="http://schemas.openxmlformats.org/officeDocument/2006/relationships/image" Target="../media/image83.jpeg"/><Relationship Id="rId113" Type="http://schemas.openxmlformats.org/officeDocument/2006/relationships/image" Target="../media/image127.jpeg"/><Relationship Id="rId134" Type="http://schemas.openxmlformats.org/officeDocument/2006/relationships/image" Target="../media/image148.jpeg"/><Relationship Id="rId80" Type="http://schemas.openxmlformats.org/officeDocument/2006/relationships/image" Target="../media/image94.jpeg"/><Relationship Id="rId155" Type="http://schemas.openxmlformats.org/officeDocument/2006/relationships/image" Target="../media/image169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png"/><Relationship Id="rId13" Type="http://schemas.openxmlformats.org/officeDocument/2006/relationships/image" Target="../media/image190.png"/><Relationship Id="rId18" Type="http://schemas.openxmlformats.org/officeDocument/2006/relationships/image" Target="../media/image195.png"/><Relationship Id="rId3" Type="http://schemas.openxmlformats.org/officeDocument/2006/relationships/image" Target="../media/image180.png"/><Relationship Id="rId7" Type="http://schemas.openxmlformats.org/officeDocument/2006/relationships/image" Target="../media/image184.png"/><Relationship Id="rId12" Type="http://schemas.openxmlformats.org/officeDocument/2006/relationships/image" Target="../media/image189.png"/><Relationship Id="rId17" Type="http://schemas.openxmlformats.org/officeDocument/2006/relationships/image" Target="../media/image194.png"/><Relationship Id="rId2" Type="http://schemas.openxmlformats.org/officeDocument/2006/relationships/image" Target="../media/image179.png"/><Relationship Id="rId16" Type="http://schemas.openxmlformats.org/officeDocument/2006/relationships/image" Target="../media/image193.png"/><Relationship Id="rId1" Type="http://schemas.openxmlformats.org/officeDocument/2006/relationships/image" Target="../media/image178.png"/><Relationship Id="rId6" Type="http://schemas.openxmlformats.org/officeDocument/2006/relationships/image" Target="../media/image183.png"/><Relationship Id="rId11" Type="http://schemas.openxmlformats.org/officeDocument/2006/relationships/image" Target="../media/image188.png"/><Relationship Id="rId5" Type="http://schemas.openxmlformats.org/officeDocument/2006/relationships/image" Target="../media/image182.png"/><Relationship Id="rId15" Type="http://schemas.openxmlformats.org/officeDocument/2006/relationships/image" Target="../media/image192.jpeg"/><Relationship Id="rId10" Type="http://schemas.openxmlformats.org/officeDocument/2006/relationships/image" Target="../media/image187.png"/><Relationship Id="rId19" Type="http://schemas.openxmlformats.org/officeDocument/2006/relationships/image" Target="../media/image196.png"/><Relationship Id="rId4" Type="http://schemas.openxmlformats.org/officeDocument/2006/relationships/image" Target="../media/image181.png"/><Relationship Id="rId9" Type="http://schemas.openxmlformats.org/officeDocument/2006/relationships/image" Target="../media/image186.png"/><Relationship Id="rId14" Type="http://schemas.openxmlformats.org/officeDocument/2006/relationships/image" Target="../media/image19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4.png"/><Relationship Id="rId3" Type="http://schemas.openxmlformats.org/officeDocument/2006/relationships/image" Target="../media/image199.png"/><Relationship Id="rId7" Type="http://schemas.openxmlformats.org/officeDocument/2006/relationships/image" Target="../media/image203.png"/><Relationship Id="rId12" Type="http://schemas.openxmlformats.org/officeDocument/2006/relationships/image" Target="../media/image208.emf"/><Relationship Id="rId2" Type="http://schemas.openxmlformats.org/officeDocument/2006/relationships/image" Target="../media/image198.png"/><Relationship Id="rId1" Type="http://schemas.openxmlformats.org/officeDocument/2006/relationships/image" Target="../media/image197.png"/><Relationship Id="rId6" Type="http://schemas.openxmlformats.org/officeDocument/2006/relationships/image" Target="../media/image202.png"/><Relationship Id="rId11" Type="http://schemas.openxmlformats.org/officeDocument/2006/relationships/image" Target="../media/image207.emf"/><Relationship Id="rId5" Type="http://schemas.openxmlformats.org/officeDocument/2006/relationships/image" Target="../media/image201.png"/><Relationship Id="rId10" Type="http://schemas.openxmlformats.org/officeDocument/2006/relationships/image" Target="../media/image206.png"/><Relationship Id="rId4" Type="http://schemas.openxmlformats.org/officeDocument/2006/relationships/image" Target="../media/image200.jpeg"/><Relationship Id="rId9" Type="http://schemas.openxmlformats.org/officeDocument/2006/relationships/image" Target="../media/image20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10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1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674076</xdr:colOff>
      <xdr:row>1</xdr:row>
      <xdr:rowOff>21981</xdr:rowOff>
    </xdr:from>
    <xdr:to>
      <xdr:col>9</xdr:col>
      <xdr:colOff>7326</xdr:colOff>
      <xdr:row>7</xdr:row>
      <xdr:rowOff>123824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103076" y="193431"/>
          <a:ext cx="2076450" cy="107339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500"/>
            <a:t>ORÇAMENTO</a:t>
          </a:r>
        </a:p>
      </xdr:txBody>
    </xdr:sp>
    <xdr:clientData/>
  </xdr:twoCellAnchor>
  <xdr:twoCellAnchor>
    <xdr:from>
      <xdr:col>9</xdr:col>
      <xdr:colOff>7581</xdr:colOff>
      <xdr:row>9</xdr:row>
      <xdr:rowOff>139723</xdr:rowOff>
    </xdr:from>
    <xdr:to>
      <xdr:col>11</xdr:col>
      <xdr:colOff>19495</xdr:colOff>
      <xdr:row>13</xdr:row>
      <xdr:rowOff>138258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179781" y="1606573"/>
          <a:ext cx="1383514" cy="64623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CRONOGRAMA</a:t>
          </a:r>
        </a:p>
      </xdr:txBody>
    </xdr:sp>
    <xdr:clientData/>
  </xdr:twoCellAnchor>
  <xdr:twoCellAnchor>
    <xdr:from>
      <xdr:col>0</xdr:col>
      <xdr:colOff>688730</xdr:colOff>
      <xdr:row>19</xdr:row>
      <xdr:rowOff>21980</xdr:rowOff>
    </xdr:from>
    <xdr:to>
      <xdr:col>3</xdr:col>
      <xdr:colOff>681403</xdr:colOff>
      <xdr:row>22</xdr:row>
      <xdr:rowOff>153865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88730" y="3108080"/>
          <a:ext cx="2050073" cy="6176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PAVIMENTAÇÃO</a:t>
          </a:r>
        </a:p>
      </xdr:txBody>
    </xdr:sp>
    <xdr:clientData/>
  </xdr:twoCellAnchor>
  <xdr:twoCellAnchor>
    <xdr:from>
      <xdr:col>11</xdr:col>
      <xdr:colOff>20053</xdr:colOff>
      <xdr:row>19</xdr:row>
      <xdr:rowOff>20053</xdr:rowOff>
    </xdr:from>
    <xdr:to>
      <xdr:col>13</xdr:col>
      <xdr:colOff>674076</xdr:colOff>
      <xdr:row>22</xdr:row>
      <xdr:rowOff>131884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563853" y="3106153"/>
          <a:ext cx="2025623" cy="59760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DRENAGEM</a:t>
          </a:r>
        </a:p>
      </xdr:txBody>
    </xdr:sp>
    <xdr:clientData/>
  </xdr:twoCellAnchor>
  <xdr:twoCellAnchor>
    <xdr:from>
      <xdr:col>5</xdr:col>
      <xdr:colOff>681404</xdr:colOff>
      <xdr:row>19</xdr:row>
      <xdr:rowOff>14654</xdr:rowOff>
    </xdr:from>
    <xdr:to>
      <xdr:col>8</xdr:col>
      <xdr:colOff>681404</xdr:colOff>
      <xdr:row>23</xdr:row>
      <xdr:rowOff>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110404" y="3100754"/>
          <a:ext cx="2057400" cy="63304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SERVIÇOS PRELIMINARES</a:t>
          </a:r>
        </a:p>
      </xdr:txBody>
    </xdr:sp>
    <xdr:clientData/>
  </xdr:twoCellAnchor>
  <xdr:twoCellAnchor>
    <xdr:from>
      <xdr:col>1</xdr:col>
      <xdr:colOff>159164</xdr:colOff>
      <xdr:row>27</xdr:row>
      <xdr:rowOff>107961</xdr:rowOff>
    </xdr:from>
    <xdr:to>
      <xdr:col>3</xdr:col>
      <xdr:colOff>534864</xdr:colOff>
      <xdr:row>30</xdr:row>
      <xdr:rowOff>91309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851891" y="4333597"/>
          <a:ext cx="1761155" cy="450939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QUANTIFICAÇÃO</a:t>
          </a:r>
        </a:p>
      </xdr:txBody>
    </xdr:sp>
    <xdr:clientData/>
  </xdr:twoCellAnchor>
  <xdr:twoCellAnchor>
    <xdr:from>
      <xdr:col>6</xdr:col>
      <xdr:colOff>0</xdr:colOff>
      <xdr:row>28</xdr:row>
      <xdr:rowOff>155862</xdr:rowOff>
    </xdr:from>
    <xdr:to>
      <xdr:col>9</xdr:col>
      <xdr:colOff>0</xdr:colOff>
      <xdr:row>32</xdr:row>
      <xdr:rowOff>139210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156364" y="4537362"/>
          <a:ext cx="2078181" cy="6068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CICLOVIA</a:t>
          </a:r>
        </a:p>
      </xdr:txBody>
    </xdr:sp>
    <xdr:clientData/>
  </xdr:twoCellAnchor>
  <xdr:twoCellAnchor>
    <xdr:from>
      <xdr:col>6</xdr:col>
      <xdr:colOff>0</xdr:colOff>
      <xdr:row>39</xdr:row>
      <xdr:rowOff>69278</xdr:rowOff>
    </xdr:from>
    <xdr:to>
      <xdr:col>9</xdr:col>
      <xdr:colOff>0</xdr:colOff>
      <xdr:row>43</xdr:row>
      <xdr:rowOff>52626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156364" y="6165278"/>
          <a:ext cx="2078181" cy="6068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ACESSIBILIDADE</a:t>
          </a:r>
        </a:p>
      </xdr:txBody>
    </xdr:sp>
    <xdr:clientData/>
  </xdr:twoCellAnchor>
  <xdr:twoCellAnchor>
    <xdr:from>
      <xdr:col>6</xdr:col>
      <xdr:colOff>0</xdr:colOff>
      <xdr:row>49</xdr:row>
      <xdr:rowOff>101912</xdr:rowOff>
    </xdr:from>
    <xdr:to>
      <xdr:col>9</xdr:col>
      <xdr:colOff>0</xdr:colOff>
      <xdr:row>53</xdr:row>
      <xdr:rowOff>87257</xdr:rowOff>
    </xdr:to>
    <xdr:sp macro="" textlink="">
      <xdr:nvSpPr>
        <xdr:cNvPr id="10" name="Retângul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156364" y="7756548"/>
          <a:ext cx="2078181" cy="608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TRAFFIC CALMING</a:t>
          </a:r>
        </a:p>
      </xdr:txBody>
    </xdr:sp>
    <xdr:clientData/>
  </xdr:twoCellAnchor>
  <xdr:twoCellAnchor>
    <xdr:from>
      <xdr:col>6</xdr:col>
      <xdr:colOff>0</xdr:colOff>
      <xdr:row>58</xdr:row>
      <xdr:rowOff>86590</xdr:rowOff>
    </xdr:from>
    <xdr:to>
      <xdr:col>9</xdr:col>
      <xdr:colOff>0</xdr:colOff>
      <xdr:row>62</xdr:row>
      <xdr:rowOff>69937</xdr:rowOff>
    </xdr:to>
    <xdr:sp macro="" textlink="">
      <xdr:nvSpPr>
        <xdr:cNvPr id="11" name="Retângul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156364" y="9143999"/>
          <a:ext cx="2078181" cy="60680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SINALIZAÇÃO PERMANENTE</a:t>
          </a:r>
        </a:p>
      </xdr:txBody>
    </xdr:sp>
    <xdr:clientData/>
  </xdr:twoCellAnchor>
  <xdr:twoCellAnchor>
    <xdr:from>
      <xdr:col>1</xdr:col>
      <xdr:colOff>171324</xdr:colOff>
      <xdr:row>36</xdr:row>
      <xdr:rowOff>66650</xdr:rowOff>
    </xdr:from>
    <xdr:to>
      <xdr:col>3</xdr:col>
      <xdr:colOff>527537</xdr:colOff>
      <xdr:row>39</xdr:row>
      <xdr:rowOff>51840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864051" y="5695059"/>
          <a:ext cx="1741668" cy="45278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TERRAPLENAGEM</a:t>
          </a:r>
        </a:p>
      </xdr:txBody>
    </xdr:sp>
    <xdr:clientData/>
  </xdr:twoCellAnchor>
  <xdr:twoCellAnchor>
    <xdr:from>
      <xdr:col>11</xdr:col>
      <xdr:colOff>195801</xdr:colOff>
      <xdr:row>25</xdr:row>
      <xdr:rowOff>4054</xdr:rowOff>
    </xdr:from>
    <xdr:to>
      <xdr:col>13</xdr:col>
      <xdr:colOff>593482</xdr:colOff>
      <xdr:row>27</xdr:row>
      <xdr:rowOff>143266</xdr:rowOff>
    </xdr:to>
    <xdr:sp macro="" textlink="">
      <xdr:nvSpPr>
        <xdr:cNvPr id="13" name="Retângul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771839" y="4041189"/>
          <a:ext cx="1775143" cy="461596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11</xdr:col>
      <xdr:colOff>200633</xdr:colOff>
      <xdr:row>30</xdr:row>
      <xdr:rowOff>154971</xdr:rowOff>
    </xdr:from>
    <xdr:to>
      <xdr:col>13</xdr:col>
      <xdr:colOff>586156</xdr:colOff>
      <xdr:row>33</xdr:row>
      <xdr:rowOff>140161</xdr:rowOff>
    </xdr:to>
    <xdr:sp macro="" textlink="">
      <xdr:nvSpPr>
        <xdr:cNvPr id="14" name="Retângul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744433" y="5022246"/>
          <a:ext cx="1757123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DIMENSIONAMENTO</a:t>
          </a:r>
          <a:r>
            <a:rPr lang="pt-BR" sz="1100" baseline="0"/>
            <a:t> GAP</a:t>
          </a:r>
          <a:endParaRPr lang="pt-BR" sz="1100"/>
        </a:p>
      </xdr:txBody>
    </xdr:sp>
    <xdr:clientData/>
  </xdr:twoCellAnchor>
  <xdr:twoCellAnchor>
    <xdr:from>
      <xdr:col>11</xdr:col>
      <xdr:colOff>209804</xdr:colOff>
      <xdr:row>43</xdr:row>
      <xdr:rowOff>54864</xdr:rowOff>
    </xdr:from>
    <xdr:to>
      <xdr:col>13</xdr:col>
      <xdr:colOff>602974</xdr:colOff>
      <xdr:row>46</xdr:row>
      <xdr:rowOff>38212</xdr:rowOff>
    </xdr:to>
    <xdr:sp macro="" textlink="">
      <xdr:nvSpPr>
        <xdr:cNvPr id="15" name="Retângul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753604" y="7027164"/>
          <a:ext cx="1764770" cy="469123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QUANTIFICAÇÃO</a:t>
          </a:r>
        </a:p>
      </xdr:txBody>
    </xdr:sp>
    <xdr:clientData/>
  </xdr:twoCellAnchor>
  <xdr:twoCellAnchor>
    <xdr:from>
      <xdr:col>11</xdr:col>
      <xdr:colOff>179925</xdr:colOff>
      <xdr:row>49</xdr:row>
      <xdr:rowOff>77656</xdr:rowOff>
    </xdr:from>
    <xdr:to>
      <xdr:col>13</xdr:col>
      <xdr:colOff>606494</xdr:colOff>
      <xdr:row>52</xdr:row>
      <xdr:rowOff>61003</xdr:rowOff>
    </xdr:to>
    <xdr:sp macro="" textlink="">
      <xdr:nvSpPr>
        <xdr:cNvPr id="16" name="Retângulo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7723725" y="8021506"/>
          <a:ext cx="1798169" cy="469122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SERVIÇOS PRELIMINARES</a:t>
          </a:r>
        </a:p>
      </xdr:txBody>
    </xdr:sp>
    <xdr:clientData/>
  </xdr:twoCellAnchor>
  <xdr:twoCellAnchor>
    <xdr:from>
      <xdr:col>11</xdr:col>
      <xdr:colOff>178652</xdr:colOff>
      <xdr:row>55</xdr:row>
      <xdr:rowOff>152567</xdr:rowOff>
    </xdr:from>
    <xdr:to>
      <xdr:col>13</xdr:col>
      <xdr:colOff>605221</xdr:colOff>
      <xdr:row>58</xdr:row>
      <xdr:rowOff>137757</xdr:rowOff>
    </xdr:to>
    <xdr:sp macro="" textlink="">
      <xdr:nvSpPr>
        <xdr:cNvPr id="17" name="Retângulo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722452" y="9067967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TERRAPLENAGEM</a:t>
          </a:r>
        </a:p>
      </xdr:txBody>
    </xdr:sp>
    <xdr:clientData/>
  </xdr:twoCellAnchor>
  <xdr:twoCellAnchor>
    <xdr:from>
      <xdr:col>11</xdr:col>
      <xdr:colOff>166492</xdr:colOff>
      <xdr:row>62</xdr:row>
      <xdr:rowOff>50113</xdr:rowOff>
    </xdr:from>
    <xdr:to>
      <xdr:col>13</xdr:col>
      <xdr:colOff>593061</xdr:colOff>
      <xdr:row>65</xdr:row>
      <xdr:rowOff>35303</xdr:rowOff>
    </xdr:to>
    <xdr:sp macro="" textlink="">
      <xdr:nvSpPr>
        <xdr:cNvPr id="18" name="Retângulo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710292" y="10098988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ESTRUTURA</a:t>
          </a:r>
        </a:p>
      </xdr:txBody>
    </xdr:sp>
    <xdr:clientData/>
  </xdr:twoCellAnchor>
  <xdr:twoCellAnchor>
    <xdr:from>
      <xdr:col>1</xdr:col>
      <xdr:colOff>180495</xdr:colOff>
      <xdr:row>45</xdr:row>
      <xdr:rowOff>8106</xdr:rowOff>
    </xdr:from>
    <xdr:to>
      <xdr:col>3</xdr:col>
      <xdr:colOff>534864</xdr:colOff>
      <xdr:row>47</xdr:row>
      <xdr:rowOff>147318</xdr:rowOff>
    </xdr:to>
    <xdr:sp macro="" textlink="">
      <xdr:nvSpPr>
        <xdr:cNvPr id="19" name="Retângulo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873222" y="7039288"/>
          <a:ext cx="1739824" cy="450939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ESTRUTURA</a:t>
          </a:r>
        </a:p>
      </xdr:txBody>
    </xdr:sp>
    <xdr:clientData/>
  </xdr:twoCellAnchor>
  <xdr:twoCellAnchor>
    <xdr:from>
      <xdr:col>1</xdr:col>
      <xdr:colOff>150615</xdr:colOff>
      <xdr:row>53</xdr:row>
      <xdr:rowOff>4055</xdr:rowOff>
    </xdr:from>
    <xdr:to>
      <xdr:col>3</xdr:col>
      <xdr:colOff>534863</xdr:colOff>
      <xdr:row>55</xdr:row>
      <xdr:rowOff>143266</xdr:rowOff>
    </xdr:to>
    <xdr:sp macro="" textlink="">
      <xdr:nvSpPr>
        <xdr:cNvPr id="20" name="Retângulo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843342" y="8282146"/>
          <a:ext cx="1769703" cy="45093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DIMENSIONAMENTO</a:t>
          </a:r>
        </a:p>
      </xdr:txBody>
    </xdr:sp>
    <xdr:clientData/>
  </xdr:twoCellAnchor>
  <xdr:twoCellAnchor>
    <xdr:from>
      <xdr:col>1</xdr:col>
      <xdr:colOff>149343</xdr:colOff>
      <xdr:row>60</xdr:row>
      <xdr:rowOff>46058</xdr:rowOff>
    </xdr:from>
    <xdr:to>
      <xdr:col>3</xdr:col>
      <xdr:colOff>534864</xdr:colOff>
      <xdr:row>63</xdr:row>
      <xdr:rowOff>31248</xdr:rowOff>
    </xdr:to>
    <xdr:sp macro="" textlink="">
      <xdr:nvSpPr>
        <xdr:cNvPr id="21" name="Retângulo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842070" y="9415194"/>
          <a:ext cx="1770976" cy="45278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RECAPEAMENTO PRÉVIO</a:t>
          </a:r>
        </a:p>
      </xdr:txBody>
    </xdr:sp>
    <xdr:clientData/>
  </xdr:twoCellAnchor>
  <xdr:twoCellAnchor>
    <xdr:from>
      <xdr:col>1</xdr:col>
      <xdr:colOff>137182</xdr:colOff>
      <xdr:row>68</xdr:row>
      <xdr:rowOff>50105</xdr:rowOff>
    </xdr:from>
    <xdr:to>
      <xdr:col>3</xdr:col>
      <xdr:colOff>542190</xdr:colOff>
      <xdr:row>71</xdr:row>
      <xdr:rowOff>35295</xdr:rowOff>
    </xdr:to>
    <xdr:sp macro="" textlink="">
      <xdr:nvSpPr>
        <xdr:cNvPr id="22" name="Retângulo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829909" y="10666150"/>
          <a:ext cx="1790463" cy="45278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RECAPEAMENTO FINAL</a:t>
          </a:r>
        </a:p>
      </xdr:txBody>
    </xdr:sp>
    <xdr:clientData/>
  </xdr:twoCellAnchor>
  <xdr:twoCellAnchor>
    <xdr:from>
      <xdr:col>6</xdr:col>
      <xdr:colOff>0</xdr:colOff>
      <xdr:row>67</xdr:row>
      <xdr:rowOff>69270</xdr:rowOff>
    </xdr:from>
    <xdr:to>
      <xdr:col>9</xdr:col>
      <xdr:colOff>0</xdr:colOff>
      <xdr:row>71</xdr:row>
      <xdr:rowOff>52618</xdr:rowOff>
    </xdr:to>
    <xdr:sp macro="" textlink="">
      <xdr:nvSpPr>
        <xdr:cNvPr id="23" name="Retângulo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156364" y="10529452"/>
          <a:ext cx="2078181" cy="60680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DRENAGEM PROFUNDA</a:t>
          </a:r>
        </a:p>
      </xdr:txBody>
    </xdr:sp>
    <xdr:clientData/>
  </xdr:twoCellAnchor>
  <xdr:twoCellAnchor>
    <xdr:from>
      <xdr:col>11</xdr:col>
      <xdr:colOff>166492</xdr:colOff>
      <xdr:row>68</xdr:row>
      <xdr:rowOff>50117</xdr:rowOff>
    </xdr:from>
    <xdr:to>
      <xdr:col>13</xdr:col>
      <xdr:colOff>593061</xdr:colOff>
      <xdr:row>71</xdr:row>
      <xdr:rowOff>35307</xdr:rowOff>
    </xdr:to>
    <xdr:sp macro="" textlink="">
      <xdr:nvSpPr>
        <xdr:cNvPr id="24" name="Retângulo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710292" y="11070542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FECHAMENTO</a:t>
          </a:r>
          <a:r>
            <a:rPr lang="pt-BR" sz="1100" baseline="0"/>
            <a:t> DE VALA</a:t>
          </a:r>
          <a:endParaRPr lang="pt-BR" sz="1100"/>
        </a:p>
      </xdr:txBody>
    </xdr:sp>
    <xdr:clientData/>
  </xdr:twoCellAnchor>
  <xdr:twoCellAnchor>
    <xdr:from>
      <xdr:col>7</xdr:col>
      <xdr:colOff>338504</xdr:colOff>
      <xdr:row>7</xdr:row>
      <xdr:rowOff>123824</xdr:rowOff>
    </xdr:from>
    <xdr:to>
      <xdr:col>7</xdr:col>
      <xdr:colOff>340701</xdr:colOff>
      <xdr:row>19</xdr:row>
      <xdr:rowOff>14654</xdr:rowOff>
    </xdr:to>
    <xdr:cxnSp macro="">
      <xdr:nvCxnSpPr>
        <xdr:cNvPr id="25" name="Conector ret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>
          <a:stCxn id="2" idx="2"/>
          <a:endCxn id="6" idx="0"/>
        </xdr:cNvCxnSpPr>
      </xdr:nvCxnSpPr>
      <xdr:spPr>
        <a:xfrm flipH="1">
          <a:off x="5139104" y="1266824"/>
          <a:ext cx="2197" cy="183393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664005</xdr:colOff>
      <xdr:row>11</xdr:row>
      <xdr:rowOff>138991</xdr:rowOff>
    </xdr:from>
    <xdr:to>
      <xdr:col>9</xdr:col>
      <xdr:colOff>7581</xdr:colOff>
      <xdr:row>11</xdr:row>
      <xdr:rowOff>145807</xdr:rowOff>
    </xdr:to>
    <xdr:cxnSp macro="">
      <xdr:nvCxnSpPr>
        <xdr:cNvPr id="26" name="Conector re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>
          <a:stCxn id="32" idx="3"/>
          <a:endCxn id="3" idx="1"/>
        </xdr:cNvCxnSpPr>
      </xdr:nvCxnSpPr>
      <xdr:spPr>
        <a:xfrm flipV="1">
          <a:off x="4107659" y="1919433"/>
          <a:ext cx="2098499" cy="681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342167</xdr:colOff>
      <xdr:row>16</xdr:row>
      <xdr:rowOff>9525</xdr:rowOff>
    </xdr:from>
    <xdr:to>
      <xdr:col>2</xdr:col>
      <xdr:colOff>342900</xdr:colOff>
      <xdr:row>19</xdr:row>
      <xdr:rowOff>21980</xdr:rowOff>
    </xdr:to>
    <xdr:cxnSp macro="">
      <xdr:nvCxnSpPr>
        <xdr:cNvPr id="27" name="Conector re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>
          <a:stCxn id="4" idx="0"/>
        </xdr:cNvCxnSpPr>
      </xdr:nvCxnSpPr>
      <xdr:spPr>
        <a:xfrm flipV="1">
          <a:off x="1713767" y="2609850"/>
          <a:ext cx="733" cy="49823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16</xdr:row>
      <xdr:rowOff>0</xdr:rowOff>
    </xdr:from>
    <xdr:to>
      <xdr:col>12</xdr:col>
      <xdr:colOff>353786</xdr:colOff>
      <xdr:row>16</xdr:row>
      <xdr:rowOff>10886</xdr:rowOff>
    </xdr:to>
    <xdr:cxnSp macro="">
      <xdr:nvCxnSpPr>
        <xdr:cNvPr id="28" name="Conector ret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>
          <a:off x="1704975" y="2600325"/>
          <a:ext cx="6878411" cy="1088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347065</xdr:colOff>
      <xdr:row>16</xdr:row>
      <xdr:rowOff>5443</xdr:rowOff>
    </xdr:from>
    <xdr:to>
      <xdr:col>12</xdr:col>
      <xdr:colOff>353786</xdr:colOff>
      <xdr:row>19</xdr:row>
      <xdr:rowOff>20053</xdr:rowOff>
    </xdr:to>
    <xdr:cxnSp macro="">
      <xdr:nvCxnSpPr>
        <xdr:cNvPr id="29" name="Conector re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>
          <a:endCxn id="5" idx="0"/>
        </xdr:cNvCxnSpPr>
      </xdr:nvCxnSpPr>
      <xdr:spPr>
        <a:xfrm flipH="1">
          <a:off x="8576665" y="2605768"/>
          <a:ext cx="6721" cy="50038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672353</xdr:colOff>
      <xdr:row>1</xdr:row>
      <xdr:rowOff>112059</xdr:rowOff>
    </xdr:from>
    <xdr:to>
      <xdr:col>1</xdr:col>
      <xdr:colOff>672353</xdr:colOff>
      <xdr:row>6</xdr:row>
      <xdr:rowOff>562</xdr:rowOff>
    </xdr:to>
    <xdr:pic>
      <xdr:nvPicPr>
        <xdr:cNvPr id="30" name="Imagem 29" descr="Schettini capa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58153" y="283509"/>
          <a:ext cx="1701385" cy="650503"/>
        </a:xfrm>
        <a:prstGeom prst="rect">
          <a:avLst/>
        </a:prstGeom>
      </xdr:spPr>
    </xdr:pic>
    <xdr:clientData/>
  </xdr:twoCellAnchor>
  <xdr:twoCellAnchor>
    <xdr:from>
      <xdr:col>3</xdr:col>
      <xdr:colOff>652092</xdr:colOff>
      <xdr:row>9</xdr:row>
      <xdr:rowOff>146539</xdr:rowOff>
    </xdr:from>
    <xdr:to>
      <xdr:col>5</xdr:col>
      <xdr:colOff>664005</xdr:colOff>
      <xdr:row>13</xdr:row>
      <xdr:rowOff>145074</xdr:rowOff>
    </xdr:to>
    <xdr:sp macro="" textlink="">
      <xdr:nvSpPr>
        <xdr:cNvPr id="32" name="Retângulo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2718284" y="1604597"/>
          <a:ext cx="1389375" cy="64330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CURVA</a:t>
          </a:r>
          <a:r>
            <a:rPr lang="pt-BR" sz="1100" baseline="0"/>
            <a:t> ABC</a:t>
          </a:r>
          <a:endParaRPr lang="pt-BR" sz="1100"/>
        </a:p>
      </xdr:txBody>
    </xdr:sp>
    <xdr:clientData/>
  </xdr:twoCellAnchor>
  <xdr:twoCellAnchor editAs="oneCell">
    <xdr:from>
      <xdr:col>6</xdr:col>
      <xdr:colOff>431223</xdr:colOff>
      <xdr:row>5</xdr:row>
      <xdr:rowOff>65810</xdr:rowOff>
    </xdr:from>
    <xdr:to>
      <xdr:col>8</xdr:col>
      <xdr:colOff>247650</xdr:colOff>
      <xdr:row>7</xdr:row>
      <xdr:rowOff>65243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023" y="884960"/>
          <a:ext cx="1188027" cy="323283"/>
        </a:xfrm>
        <a:prstGeom prst="rect">
          <a:avLst/>
        </a:prstGeom>
      </xdr:spPr>
    </xdr:pic>
    <xdr:clientData/>
  </xdr:twoCellAnchor>
  <xdr:twoCellAnchor>
    <xdr:from>
      <xdr:col>11</xdr:col>
      <xdr:colOff>161925</xdr:colOff>
      <xdr:row>37</xdr:row>
      <xdr:rowOff>0</xdr:rowOff>
    </xdr:from>
    <xdr:to>
      <xdr:col>13</xdr:col>
      <xdr:colOff>588494</xdr:colOff>
      <xdr:row>39</xdr:row>
      <xdr:rowOff>147115</xdr:rowOff>
    </xdr:to>
    <xdr:sp macro="" textlink="">
      <xdr:nvSpPr>
        <xdr:cNvPr id="34" name="Retângulo 3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89707B7F-406D-4D02-99B9-E605D0B414C0}"/>
            </a:ext>
          </a:extLst>
        </xdr:cNvPr>
        <xdr:cNvSpPr/>
      </xdr:nvSpPr>
      <xdr:spPr>
        <a:xfrm>
          <a:off x="7705725" y="6000750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BACIA</a:t>
          </a:r>
          <a:r>
            <a:rPr lang="pt-BR" sz="1100" baseline="0"/>
            <a:t> DE AMORTECIMENTO</a:t>
          </a:r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4</xdr:row>
      <xdr:rowOff>85725</xdr:rowOff>
    </xdr:from>
    <xdr:to>
      <xdr:col>15</xdr:col>
      <xdr:colOff>193262</xdr:colOff>
      <xdr:row>16</xdr:row>
      <xdr:rowOff>61141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7CC8CB4-8F13-4339-BDCE-539F93AD4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1047750"/>
          <a:ext cx="5317712" cy="2899591"/>
        </a:xfrm>
        <a:prstGeom prst="rect">
          <a:avLst/>
        </a:prstGeom>
      </xdr:spPr>
    </xdr:pic>
    <xdr:clientData/>
  </xdr:twoCellAnchor>
  <xdr:twoCellAnchor editAs="oneCell">
    <xdr:from>
      <xdr:col>5</xdr:col>
      <xdr:colOff>695325</xdr:colOff>
      <xdr:row>2</xdr:row>
      <xdr:rowOff>9525</xdr:rowOff>
    </xdr:from>
    <xdr:to>
      <xdr:col>7</xdr:col>
      <xdr:colOff>590550</xdr:colOff>
      <xdr:row>3</xdr:row>
      <xdr:rowOff>171360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7697BCC-84BA-416F-9640-398AB3C9B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514350"/>
          <a:ext cx="1400175" cy="3904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169688</xdr:colOff>
      <xdr:row>23</xdr:row>
      <xdr:rowOff>387654</xdr:rowOff>
    </xdr:from>
    <xdr:to>
      <xdr:col>15</xdr:col>
      <xdr:colOff>122465</xdr:colOff>
      <xdr:row>29</xdr:row>
      <xdr:rowOff>179293</xdr:rowOff>
    </xdr:to>
    <xdr:sp macro="" textlink="">
      <xdr:nvSpPr>
        <xdr:cNvPr id="2" name="Seta para a Esquerda 1">
          <a:extLst>
            <a:ext uri="{FF2B5EF4-FFF2-40B4-BE49-F238E27FC236}">
              <a16:creationId xmlns:a16="http://schemas.microsoft.com/office/drawing/2014/main" id="{97C12EAB-AD70-49E3-ACD6-B14D2E311898}"/>
            </a:ext>
          </a:extLst>
        </xdr:cNvPr>
        <xdr:cNvSpPr/>
      </xdr:nvSpPr>
      <xdr:spPr>
        <a:xfrm>
          <a:off x="12462541" y="8287801"/>
          <a:ext cx="1319895" cy="2413816"/>
        </a:xfrm>
        <a:prstGeom prst="leftArrow">
          <a:avLst>
            <a:gd name="adj1" fmla="val 20410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Campo Grande = 0 km</a:t>
          </a:r>
        </a:p>
      </xdr:txBody>
    </xdr:sp>
    <xdr:clientData/>
  </xdr:twoCellAnchor>
  <xdr:twoCellAnchor editAs="oneCell">
    <xdr:from>
      <xdr:col>8</xdr:col>
      <xdr:colOff>953433</xdr:colOff>
      <xdr:row>0</xdr:row>
      <xdr:rowOff>267075</xdr:rowOff>
    </xdr:from>
    <xdr:to>
      <xdr:col>11</xdr:col>
      <xdr:colOff>217594</xdr:colOff>
      <xdr:row>2</xdr:row>
      <xdr:rowOff>135375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355AE15-1BDE-4951-87E2-27F1C07E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5308" y="267075"/>
          <a:ext cx="1740221" cy="5033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762000</xdr:colOff>
      <xdr:row>6</xdr:row>
      <xdr:rowOff>28575</xdr:rowOff>
    </xdr:from>
    <xdr:to>
      <xdr:col>8</xdr:col>
      <xdr:colOff>1071465</xdr:colOff>
      <xdr:row>7</xdr:row>
      <xdr:rowOff>152399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7150" y="1743075"/>
          <a:ext cx="1585815" cy="4095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95249</xdr:colOff>
      <xdr:row>0</xdr:row>
      <xdr:rowOff>123826</xdr:rowOff>
    </xdr:from>
    <xdr:to>
      <xdr:col>18</xdr:col>
      <xdr:colOff>1695450</xdr:colOff>
      <xdr:row>2</xdr:row>
      <xdr:rowOff>104775</xdr:rowOff>
    </xdr:to>
    <xdr:sp macro="" textlink="">
      <xdr:nvSpPr>
        <xdr:cNvPr id="4" name="Texto explicativo em seta para a esquerda e para a direita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6230599" y="123826"/>
          <a:ext cx="3657601" cy="1066799"/>
        </a:xfrm>
        <a:prstGeom prst="leftRightArrowCallout">
          <a:avLst>
            <a:gd name="adj1" fmla="val 25000"/>
            <a:gd name="adj2" fmla="val 25000"/>
            <a:gd name="adj3" fmla="val 25000"/>
            <a:gd name="adj4" fmla="val 7312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Barraco proporcional a dimensão da</a:t>
          </a:r>
          <a:r>
            <a:rPr lang="pt-BR" sz="1100" baseline="0"/>
            <a:t> obra:</a:t>
          </a:r>
        </a:p>
        <a:p>
          <a:pPr algn="ctr"/>
          <a:r>
            <a:rPr lang="pt-BR" sz="1100" baseline="0"/>
            <a:t>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5 km = 1 un</a:t>
          </a:r>
        </a:p>
        <a:p>
          <a:pPr algn="ctr"/>
          <a:r>
            <a:rPr lang="pt-BR" sz="1100" baseline="0"/>
            <a:t>5 km &lt; 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10 km = 2un</a:t>
          </a:r>
        </a:p>
        <a:p>
          <a:pPr algn="ctr"/>
          <a:r>
            <a:rPr lang="pt-BR" sz="1100"/>
            <a:t>L &gt; 10 km = 3 un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785905</xdr:colOff>
      <xdr:row>316</xdr:row>
      <xdr:rowOff>66674</xdr:rowOff>
    </xdr:from>
    <xdr:to>
      <xdr:col>3</xdr:col>
      <xdr:colOff>1422420</xdr:colOff>
      <xdr:row>316</xdr:row>
      <xdr:rowOff>533400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02405A4-5A43-466C-9D97-6F629038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76905" y="6924674"/>
          <a:ext cx="636515" cy="466726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384</xdr:row>
      <xdr:rowOff>107576</xdr:rowOff>
    </xdr:from>
    <xdr:to>
      <xdr:col>3</xdr:col>
      <xdr:colOff>1632900</xdr:colOff>
      <xdr:row>384</xdr:row>
      <xdr:rowOff>437265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D6BB736-217B-439B-B2E4-193F5A01E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286776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1629883</xdr:colOff>
      <xdr:row>259</xdr:row>
      <xdr:rowOff>61281</xdr:rowOff>
    </xdr:from>
    <xdr:to>
      <xdr:col>3</xdr:col>
      <xdr:colOff>1936268</xdr:colOff>
      <xdr:row>260</xdr:row>
      <xdr:rowOff>561975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DE381E9-9138-4FED-82B8-14A9C5D5F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978" y="113288221"/>
          <a:ext cx="745623" cy="306385"/>
        </a:xfrm>
        <a:prstGeom prst="rect">
          <a:avLst/>
        </a:prstGeom>
      </xdr:spPr>
    </xdr:pic>
    <xdr:clientData/>
  </xdr:twoCellAnchor>
  <xdr:twoCellAnchor>
    <xdr:from>
      <xdr:col>3</xdr:col>
      <xdr:colOff>1645011</xdr:colOff>
      <xdr:row>261</xdr:row>
      <xdr:rowOff>81972</xdr:rowOff>
    </xdr:from>
    <xdr:to>
      <xdr:col>3</xdr:col>
      <xdr:colOff>1929491</xdr:colOff>
      <xdr:row>262</xdr:row>
      <xdr:rowOff>592533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2503791-A8FB-49C2-ADF5-78013224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220" y="114195656"/>
          <a:ext cx="755489" cy="284480"/>
        </a:xfrm>
        <a:prstGeom prst="rect">
          <a:avLst/>
        </a:prstGeom>
      </xdr:spPr>
    </xdr:pic>
    <xdr:clientData/>
  </xdr:twoCellAnchor>
  <xdr:twoCellAnchor>
    <xdr:from>
      <xdr:col>3</xdr:col>
      <xdr:colOff>1419617</xdr:colOff>
      <xdr:row>5</xdr:row>
      <xdr:rowOff>233837</xdr:rowOff>
    </xdr:from>
    <xdr:to>
      <xdr:col>3</xdr:col>
      <xdr:colOff>1933873</xdr:colOff>
      <xdr:row>6</xdr:row>
      <xdr:rowOff>521288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B3A78F4-5FDE-450F-99E1-CFE723E1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331" y="2642301"/>
          <a:ext cx="514256" cy="532380"/>
        </a:xfrm>
        <a:prstGeom prst="rect">
          <a:avLst/>
        </a:prstGeom>
      </xdr:spPr>
    </xdr:pic>
    <xdr:clientData/>
  </xdr:twoCellAnchor>
  <xdr:twoCellAnchor>
    <xdr:from>
      <xdr:col>3</xdr:col>
      <xdr:colOff>1295028</xdr:colOff>
      <xdr:row>1</xdr:row>
      <xdr:rowOff>199671</xdr:rowOff>
    </xdr:from>
    <xdr:to>
      <xdr:col>3</xdr:col>
      <xdr:colOff>2058463</xdr:colOff>
      <xdr:row>2</xdr:row>
      <xdr:rowOff>496647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8BB5ED1-6AA2-4E92-AA28-4CF01D9D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742" y="866421"/>
          <a:ext cx="763435" cy="541905"/>
        </a:xfrm>
        <a:prstGeom prst="rect">
          <a:avLst/>
        </a:prstGeom>
      </xdr:spPr>
    </xdr:pic>
    <xdr:clientData/>
  </xdr:twoCellAnchor>
  <xdr:twoCellAnchor>
    <xdr:from>
      <xdr:col>3</xdr:col>
      <xdr:colOff>1300845</xdr:colOff>
      <xdr:row>3</xdr:row>
      <xdr:rowOff>180621</xdr:rowOff>
    </xdr:from>
    <xdr:to>
      <xdr:col>3</xdr:col>
      <xdr:colOff>2052646</xdr:colOff>
      <xdr:row>4</xdr:row>
      <xdr:rowOff>498552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7793D7ED-800A-43BB-A440-CCF91184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1845" y="1818921"/>
          <a:ext cx="751801" cy="556056"/>
        </a:xfrm>
        <a:prstGeom prst="rect">
          <a:avLst/>
        </a:prstGeom>
      </xdr:spPr>
    </xdr:pic>
    <xdr:clientData/>
  </xdr:twoCellAnchor>
  <xdr:twoCellAnchor>
    <xdr:from>
      <xdr:col>3</xdr:col>
      <xdr:colOff>705259</xdr:colOff>
      <xdr:row>19</xdr:row>
      <xdr:rowOff>0</xdr:rowOff>
    </xdr:from>
    <xdr:to>
      <xdr:col>3</xdr:col>
      <xdr:colOff>1478015</xdr:colOff>
      <xdr:row>19</xdr:row>
      <xdr:rowOff>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A8F9F99-ED36-461A-9A53-A99A0ECE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409" y="3076575"/>
          <a:ext cx="1231" cy="0"/>
        </a:xfrm>
        <a:prstGeom prst="rect">
          <a:avLst/>
        </a:prstGeom>
      </xdr:spPr>
    </xdr:pic>
    <xdr:clientData/>
  </xdr:twoCellAnchor>
  <xdr:twoCellAnchor>
    <xdr:from>
      <xdr:col>3</xdr:col>
      <xdr:colOff>1301623</xdr:colOff>
      <xdr:row>17</xdr:row>
      <xdr:rowOff>220794</xdr:rowOff>
    </xdr:from>
    <xdr:to>
      <xdr:col>3</xdr:col>
      <xdr:colOff>2051868</xdr:colOff>
      <xdr:row>18</xdr:row>
      <xdr:rowOff>534915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416CAF5-8FA0-442D-99E4-58B04B41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337" y="7854401"/>
          <a:ext cx="750245" cy="559050"/>
        </a:xfrm>
        <a:prstGeom prst="rect">
          <a:avLst/>
        </a:prstGeom>
      </xdr:spPr>
    </xdr:pic>
    <xdr:clientData/>
  </xdr:twoCellAnchor>
  <xdr:twoCellAnchor>
    <xdr:from>
      <xdr:col>3</xdr:col>
      <xdr:colOff>1290265</xdr:colOff>
      <xdr:row>19</xdr:row>
      <xdr:rowOff>225762</xdr:rowOff>
    </xdr:from>
    <xdr:to>
      <xdr:col>3</xdr:col>
      <xdr:colOff>2063225</xdr:colOff>
      <xdr:row>20</xdr:row>
      <xdr:rowOff>526548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1A10F0E8-2708-48F9-8D84-B173A959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979" y="8730226"/>
          <a:ext cx="772960" cy="545715"/>
        </a:xfrm>
        <a:prstGeom prst="rect">
          <a:avLst/>
        </a:prstGeom>
      </xdr:spPr>
    </xdr:pic>
    <xdr:clientData/>
  </xdr:twoCellAnchor>
  <xdr:twoCellAnchor>
    <xdr:from>
      <xdr:col>3</xdr:col>
      <xdr:colOff>1301793</xdr:colOff>
      <xdr:row>21</xdr:row>
      <xdr:rowOff>207103</xdr:rowOff>
    </xdr:from>
    <xdr:to>
      <xdr:col>3</xdr:col>
      <xdr:colOff>2078912</xdr:colOff>
      <xdr:row>22</xdr:row>
      <xdr:rowOff>507889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3E0F07E5-45D7-48FE-997C-D2269321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507" y="9582424"/>
          <a:ext cx="777119" cy="545715"/>
        </a:xfrm>
        <a:prstGeom prst="rect">
          <a:avLst/>
        </a:prstGeom>
      </xdr:spPr>
    </xdr:pic>
    <xdr:clientData/>
  </xdr:twoCellAnchor>
  <xdr:twoCellAnchor>
    <xdr:from>
      <xdr:col>3</xdr:col>
      <xdr:colOff>1297783</xdr:colOff>
      <xdr:row>7</xdr:row>
      <xdr:rowOff>223278</xdr:rowOff>
    </xdr:from>
    <xdr:to>
      <xdr:col>3</xdr:col>
      <xdr:colOff>2055708</xdr:colOff>
      <xdr:row>8</xdr:row>
      <xdr:rowOff>527874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5255F807-72DA-442B-9422-9440007C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497" y="3502599"/>
          <a:ext cx="757925" cy="549525"/>
        </a:xfrm>
        <a:prstGeom prst="rect">
          <a:avLst/>
        </a:prstGeom>
      </xdr:spPr>
    </xdr:pic>
    <xdr:clientData/>
  </xdr:twoCellAnchor>
  <xdr:twoCellAnchor>
    <xdr:from>
      <xdr:col>3</xdr:col>
      <xdr:colOff>1288053</xdr:colOff>
      <xdr:row>9</xdr:row>
      <xdr:rowOff>223277</xdr:rowOff>
    </xdr:from>
    <xdr:to>
      <xdr:col>3</xdr:col>
      <xdr:colOff>2065437</xdr:colOff>
      <xdr:row>10</xdr:row>
      <xdr:rowOff>531684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5B690628-AD88-4FFB-BDEC-B1DB9BD0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767" y="4373456"/>
          <a:ext cx="777384" cy="553335"/>
        </a:xfrm>
        <a:prstGeom prst="rect">
          <a:avLst/>
        </a:prstGeom>
      </xdr:spPr>
    </xdr:pic>
    <xdr:clientData/>
  </xdr:twoCellAnchor>
  <xdr:twoCellAnchor>
    <xdr:from>
      <xdr:col>3</xdr:col>
      <xdr:colOff>1289313</xdr:colOff>
      <xdr:row>11</xdr:row>
      <xdr:rowOff>214910</xdr:rowOff>
    </xdr:from>
    <xdr:to>
      <xdr:col>3</xdr:col>
      <xdr:colOff>2064178</xdr:colOff>
      <xdr:row>12</xdr:row>
      <xdr:rowOff>504267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2C77E080-2A09-4E06-B774-C7498CEF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027" y="5235946"/>
          <a:ext cx="774865" cy="534285"/>
        </a:xfrm>
        <a:prstGeom prst="rect">
          <a:avLst/>
        </a:prstGeom>
      </xdr:spPr>
    </xdr:pic>
    <xdr:clientData/>
  </xdr:twoCellAnchor>
  <xdr:twoCellAnchor>
    <xdr:from>
      <xdr:col>3</xdr:col>
      <xdr:colOff>1300363</xdr:colOff>
      <xdr:row>13</xdr:row>
      <xdr:rowOff>209195</xdr:rowOff>
    </xdr:from>
    <xdr:to>
      <xdr:col>3</xdr:col>
      <xdr:colOff>2053127</xdr:colOff>
      <xdr:row>14</xdr:row>
      <xdr:rowOff>506172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327FDD04-F7D2-407D-94AE-69BD4F13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7077" y="6101088"/>
          <a:ext cx="752764" cy="541905"/>
        </a:xfrm>
        <a:prstGeom prst="rect">
          <a:avLst/>
        </a:prstGeom>
      </xdr:spPr>
    </xdr:pic>
    <xdr:clientData/>
  </xdr:twoCellAnchor>
  <xdr:twoCellAnchor>
    <xdr:from>
      <xdr:col>3</xdr:col>
      <xdr:colOff>705935</xdr:colOff>
      <xdr:row>27</xdr:row>
      <xdr:rowOff>0</xdr:rowOff>
    </xdr:from>
    <xdr:to>
      <xdr:col>3</xdr:col>
      <xdr:colOff>1477339</xdr:colOff>
      <xdr:row>27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2B7DC6D0-FA9E-4E7A-9115-2269A757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085" y="4371975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1303698</xdr:colOff>
      <xdr:row>25</xdr:row>
      <xdr:rowOff>210912</xdr:rowOff>
    </xdr:from>
    <xdr:to>
      <xdr:col>3</xdr:col>
      <xdr:colOff>2077007</xdr:colOff>
      <xdr:row>26</xdr:row>
      <xdr:rowOff>507889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5D3EB95F-8678-4175-A5DE-5F8C6078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412" y="11327948"/>
          <a:ext cx="773309" cy="541905"/>
        </a:xfrm>
        <a:prstGeom prst="rect">
          <a:avLst/>
        </a:prstGeom>
      </xdr:spPr>
    </xdr:pic>
    <xdr:clientData/>
  </xdr:twoCellAnchor>
  <xdr:twoCellAnchor>
    <xdr:from>
      <xdr:col>3</xdr:col>
      <xdr:colOff>1303842</xdr:colOff>
      <xdr:row>27</xdr:row>
      <xdr:rowOff>204702</xdr:rowOff>
    </xdr:from>
    <xdr:to>
      <xdr:col>3</xdr:col>
      <xdr:colOff>2076862</xdr:colOff>
      <xdr:row>28</xdr:row>
      <xdr:rowOff>513109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FCF00299-F179-4A7C-84F1-99A01DC5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556" y="12192595"/>
          <a:ext cx="773020" cy="553335"/>
        </a:xfrm>
        <a:prstGeom prst="rect">
          <a:avLst/>
        </a:prstGeom>
      </xdr:spPr>
    </xdr:pic>
    <xdr:clientData/>
  </xdr:twoCellAnchor>
  <xdr:twoCellAnchor>
    <xdr:from>
      <xdr:col>3</xdr:col>
      <xdr:colOff>1308562</xdr:colOff>
      <xdr:row>29</xdr:row>
      <xdr:rowOff>222511</xdr:rowOff>
    </xdr:from>
    <xdr:to>
      <xdr:col>3</xdr:col>
      <xdr:colOff>2072142</xdr:colOff>
      <xdr:row>30</xdr:row>
      <xdr:rowOff>523297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7C536A6-81F8-4A08-9F93-255389453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76" y="13081261"/>
          <a:ext cx="763580" cy="545715"/>
        </a:xfrm>
        <a:prstGeom prst="rect">
          <a:avLst/>
        </a:prstGeom>
      </xdr:spPr>
    </xdr:pic>
    <xdr:clientData/>
  </xdr:twoCellAnchor>
  <xdr:twoCellAnchor>
    <xdr:from>
      <xdr:col>3</xdr:col>
      <xdr:colOff>1308605</xdr:colOff>
      <xdr:row>31</xdr:row>
      <xdr:rowOff>221269</xdr:rowOff>
    </xdr:from>
    <xdr:to>
      <xdr:col>3</xdr:col>
      <xdr:colOff>2072100</xdr:colOff>
      <xdr:row>32</xdr:row>
      <xdr:rowOff>529675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34BF9CAD-D6C3-4601-98D8-208A3022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19" y="13950876"/>
          <a:ext cx="763495" cy="553335"/>
        </a:xfrm>
        <a:prstGeom prst="rect">
          <a:avLst/>
        </a:prstGeom>
      </xdr:spPr>
    </xdr:pic>
    <xdr:clientData/>
  </xdr:twoCellAnchor>
  <xdr:twoCellAnchor>
    <xdr:from>
      <xdr:col>3</xdr:col>
      <xdr:colOff>1312445</xdr:colOff>
      <xdr:row>33</xdr:row>
      <xdr:rowOff>226240</xdr:rowOff>
    </xdr:from>
    <xdr:to>
      <xdr:col>3</xdr:col>
      <xdr:colOff>2058735</xdr:colOff>
      <xdr:row>34</xdr:row>
      <xdr:rowOff>523381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EEFCDC6C-AAF3-4D6E-A51C-3173F59A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159" y="14826704"/>
          <a:ext cx="746290" cy="542070"/>
        </a:xfrm>
        <a:prstGeom prst="rect">
          <a:avLst/>
        </a:prstGeom>
      </xdr:spPr>
    </xdr:pic>
    <xdr:clientData/>
  </xdr:twoCellAnchor>
  <xdr:twoCellAnchor>
    <xdr:from>
      <xdr:col>3</xdr:col>
      <xdr:colOff>1304445</xdr:colOff>
      <xdr:row>35</xdr:row>
      <xdr:rowOff>214228</xdr:rowOff>
    </xdr:from>
    <xdr:to>
      <xdr:col>3</xdr:col>
      <xdr:colOff>2076259</xdr:colOff>
      <xdr:row>36</xdr:row>
      <xdr:rowOff>511204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A4D5503E-C158-4CDA-B211-F256B9B7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159" y="15685549"/>
          <a:ext cx="771814" cy="541905"/>
        </a:xfrm>
        <a:prstGeom prst="rect">
          <a:avLst/>
        </a:prstGeom>
      </xdr:spPr>
    </xdr:pic>
    <xdr:clientData/>
  </xdr:twoCellAnchor>
  <xdr:twoCellAnchor>
    <xdr:from>
      <xdr:col>3</xdr:col>
      <xdr:colOff>1306201</xdr:colOff>
      <xdr:row>37</xdr:row>
      <xdr:rowOff>224415</xdr:rowOff>
    </xdr:from>
    <xdr:to>
      <xdr:col>3</xdr:col>
      <xdr:colOff>2074503</xdr:colOff>
      <xdr:row>38</xdr:row>
      <xdr:rowOff>518857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347E20AA-FFA7-4E06-8ACD-4FB895EB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15" y="16566594"/>
          <a:ext cx="768302" cy="539370"/>
        </a:xfrm>
        <a:prstGeom prst="rect">
          <a:avLst/>
        </a:prstGeom>
      </xdr:spPr>
    </xdr:pic>
    <xdr:clientData/>
  </xdr:twoCellAnchor>
  <xdr:twoCellAnchor>
    <xdr:from>
      <xdr:col>3</xdr:col>
      <xdr:colOff>1308328</xdr:colOff>
      <xdr:row>39</xdr:row>
      <xdr:rowOff>214227</xdr:rowOff>
    </xdr:from>
    <xdr:to>
      <xdr:col>3</xdr:col>
      <xdr:colOff>2072377</xdr:colOff>
      <xdr:row>40</xdr:row>
      <xdr:rowOff>511204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C5A39604-9082-4D47-A479-05A5D82C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042" y="17427263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1308255</xdr:colOff>
      <xdr:row>41</xdr:row>
      <xdr:rowOff>224994</xdr:rowOff>
    </xdr:from>
    <xdr:to>
      <xdr:col>3</xdr:col>
      <xdr:colOff>2072449</xdr:colOff>
      <xdr:row>42</xdr:row>
      <xdr:rowOff>533401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6CD1D26F-2DBB-4DBC-AED7-B0C2820B2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4969" y="18308887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1308460</xdr:colOff>
      <xdr:row>43</xdr:row>
      <xdr:rowOff>226239</xdr:rowOff>
    </xdr:from>
    <xdr:to>
      <xdr:col>3</xdr:col>
      <xdr:colOff>2072244</xdr:colOff>
      <xdr:row>44</xdr:row>
      <xdr:rowOff>525286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CDCEAC0E-E381-474D-9C40-B7EAC525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174" y="19180989"/>
          <a:ext cx="763784" cy="543976"/>
        </a:xfrm>
        <a:prstGeom prst="rect">
          <a:avLst/>
        </a:prstGeom>
      </xdr:spPr>
    </xdr:pic>
    <xdr:clientData/>
  </xdr:twoCellAnchor>
  <xdr:twoCellAnchor>
    <xdr:from>
      <xdr:col>3</xdr:col>
      <xdr:colOff>1308677</xdr:colOff>
      <xdr:row>45</xdr:row>
      <xdr:rowOff>208431</xdr:rowOff>
    </xdr:from>
    <xdr:to>
      <xdr:col>3</xdr:col>
      <xdr:colOff>2072028</xdr:colOff>
      <xdr:row>46</xdr:row>
      <xdr:rowOff>501763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451730CE-CD63-4F59-93B1-A504F659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91" y="20034038"/>
          <a:ext cx="763351" cy="538261"/>
        </a:xfrm>
        <a:prstGeom prst="rect">
          <a:avLst/>
        </a:prstGeom>
      </xdr:spPr>
    </xdr:pic>
    <xdr:clientData/>
  </xdr:twoCellAnchor>
  <xdr:twoCellAnchor>
    <xdr:from>
      <xdr:col>3</xdr:col>
      <xdr:colOff>1398879</xdr:colOff>
      <xdr:row>47</xdr:row>
      <xdr:rowOff>217956</xdr:rowOff>
    </xdr:from>
    <xdr:to>
      <xdr:col>3</xdr:col>
      <xdr:colOff>1981826</xdr:colOff>
      <xdr:row>48</xdr:row>
      <xdr:rowOff>517003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69CDE83-C4C2-42A3-9D1F-806954EF7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593" y="20914420"/>
          <a:ext cx="582947" cy="543976"/>
        </a:xfrm>
        <a:prstGeom prst="rect">
          <a:avLst/>
        </a:prstGeom>
      </xdr:spPr>
    </xdr:pic>
    <xdr:clientData/>
  </xdr:twoCellAnchor>
  <xdr:twoCellAnchor>
    <xdr:from>
      <xdr:col>3</xdr:col>
      <xdr:colOff>1393250</xdr:colOff>
      <xdr:row>49</xdr:row>
      <xdr:rowOff>204699</xdr:rowOff>
    </xdr:from>
    <xdr:to>
      <xdr:col>3</xdr:col>
      <xdr:colOff>1987455</xdr:colOff>
      <xdr:row>50</xdr:row>
      <xdr:rowOff>513105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46FA6661-D3D5-42E5-86C9-0550E9296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964" y="21772020"/>
          <a:ext cx="594205" cy="553335"/>
        </a:xfrm>
        <a:prstGeom prst="rect">
          <a:avLst/>
        </a:prstGeom>
      </xdr:spPr>
    </xdr:pic>
    <xdr:clientData/>
  </xdr:twoCellAnchor>
  <xdr:twoCellAnchor>
    <xdr:from>
      <xdr:col>3</xdr:col>
      <xdr:colOff>1414370</xdr:colOff>
      <xdr:row>51</xdr:row>
      <xdr:rowOff>214223</xdr:rowOff>
    </xdr:from>
    <xdr:to>
      <xdr:col>3</xdr:col>
      <xdr:colOff>1966334</xdr:colOff>
      <xdr:row>52</xdr:row>
      <xdr:rowOff>511200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2F3EA907-0875-4C49-9EEB-76995B2E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84" y="22652402"/>
          <a:ext cx="551964" cy="541905"/>
        </a:xfrm>
        <a:prstGeom prst="rect">
          <a:avLst/>
        </a:prstGeom>
      </xdr:spPr>
    </xdr:pic>
    <xdr:clientData/>
  </xdr:twoCellAnchor>
  <xdr:twoCellAnchor>
    <xdr:from>
      <xdr:col>3</xdr:col>
      <xdr:colOff>1408882</xdr:colOff>
      <xdr:row>53</xdr:row>
      <xdr:rowOff>204698</xdr:rowOff>
    </xdr:from>
    <xdr:to>
      <xdr:col>3</xdr:col>
      <xdr:colOff>1971823</xdr:colOff>
      <xdr:row>54</xdr:row>
      <xdr:rowOff>513105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9FF85724-6044-436D-927F-F8E918A86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96" y="23513734"/>
          <a:ext cx="562941" cy="553335"/>
        </a:xfrm>
        <a:prstGeom prst="rect">
          <a:avLst/>
        </a:prstGeom>
      </xdr:spPr>
    </xdr:pic>
    <xdr:clientData/>
  </xdr:twoCellAnchor>
  <xdr:twoCellAnchor>
    <xdr:from>
      <xdr:col>3</xdr:col>
      <xdr:colOff>1414354</xdr:colOff>
      <xdr:row>55</xdr:row>
      <xdr:rowOff>209670</xdr:rowOff>
    </xdr:from>
    <xdr:to>
      <xdr:col>3</xdr:col>
      <xdr:colOff>1966350</xdr:colOff>
      <xdr:row>56</xdr:row>
      <xdr:rowOff>518077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258D7443-3348-46AC-B6BD-84DA533A5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68" y="24389563"/>
          <a:ext cx="551996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57</xdr:row>
      <xdr:rowOff>217954</xdr:rowOff>
    </xdr:from>
    <xdr:to>
      <xdr:col>3</xdr:col>
      <xdr:colOff>2075000</xdr:colOff>
      <xdr:row>58</xdr:row>
      <xdr:rowOff>526360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C33B6906-47EB-4E4D-A4E4-3FD12F47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5268704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59</xdr:row>
      <xdr:rowOff>217954</xdr:rowOff>
    </xdr:from>
    <xdr:to>
      <xdr:col>3</xdr:col>
      <xdr:colOff>2075000</xdr:colOff>
      <xdr:row>60</xdr:row>
      <xdr:rowOff>526360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C21A661F-5500-4B6E-957E-9DF8A3746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6139561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1308532</xdr:colOff>
      <xdr:row>61</xdr:row>
      <xdr:rowOff>221101</xdr:rowOff>
    </xdr:from>
    <xdr:to>
      <xdr:col>3</xdr:col>
      <xdr:colOff>2072172</xdr:colOff>
      <xdr:row>62</xdr:row>
      <xdr:rowOff>519982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CF82369B-277C-4F3A-8D0F-F26078A0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46" y="27013565"/>
          <a:ext cx="763640" cy="543810"/>
        </a:xfrm>
        <a:prstGeom prst="rect">
          <a:avLst/>
        </a:prstGeom>
      </xdr:spPr>
    </xdr:pic>
    <xdr:clientData/>
  </xdr:twoCellAnchor>
  <xdr:twoCellAnchor>
    <xdr:from>
      <xdr:col>3</xdr:col>
      <xdr:colOff>1322235</xdr:colOff>
      <xdr:row>63</xdr:row>
      <xdr:rowOff>201779</xdr:rowOff>
    </xdr:from>
    <xdr:to>
      <xdr:col>3</xdr:col>
      <xdr:colOff>2085670</xdr:colOff>
      <xdr:row>64</xdr:row>
      <xdr:rowOff>500660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3B530582-E8A9-4275-B4E9-05CC8E86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949" y="27865100"/>
          <a:ext cx="763435" cy="543810"/>
        </a:xfrm>
        <a:prstGeom prst="rect">
          <a:avLst/>
        </a:prstGeom>
      </xdr:spPr>
    </xdr:pic>
    <xdr:clientData/>
  </xdr:twoCellAnchor>
  <xdr:twoCellAnchor>
    <xdr:from>
      <xdr:col>3</xdr:col>
      <xdr:colOff>1429383</xdr:colOff>
      <xdr:row>65</xdr:row>
      <xdr:rowOff>208735</xdr:rowOff>
    </xdr:from>
    <xdr:to>
      <xdr:col>3</xdr:col>
      <xdr:colOff>1978521</xdr:colOff>
      <xdr:row>66</xdr:row>
      <xdr:rowOff>498092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65EB5AC-8DFF-4D16-A11F-42FDEB16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097" y="28742914"/>
          <a:ext cx="549138" cy="534285"/>
        </a:xfrm>
        <a:prstGeom prst="rect">
          <a:avLst/>
        </a:prstGeom>
      </xdr:spPr>
    </xdr:pic>
    <xdr:clientData/>
  </xdr:twoCellAnchor>
  <xdr:twoCellAnchor>
    <xdr:from>
      <xdr:col>3</xdr:col>
      <xdr:colOff>1325972</xdr:colOff>
      <xdr:row>67</xdr:row>
      <xdr:rowOff>191506</xdr:rowOff>
    </xdr:from>
    <xdr:to>
      <xdr:col>3</xdr:col>
      <xdr:colOff>2081932</xdr:colOff>
      <xdr:row>68</xdr:row>
      <xdr:rowOff>488483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BBA69734-A5FB-4789-BB87-954FB8EB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686" y="29596542"/>
          <a:ext cx="755960" cy="541905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69</xdr:row>
      <xdr:rowOff>205588</xdr:rowOff>
    </xdr:from>
    <xdr:to>
      <xdr:col>3</xdr:col>
      <xdr:colOff>2080027</xdr:colOff>
      <xdr:row>70</xdr:row>
      <xdr:rowOff>502565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9FDA5E1A-19A3-4F80-8457-378F1C23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0481481"/>
          <a:ext cx="752150" cy="541905"/>
        </a:xfrm>
        <a:prstGeom prst="rect">
          <a:avLst/>
        </a:prstGeom>
      </xdr:spPr>
    </xdr:pic>
    <xdr:clientData/>
  </xdr:twoCellAnchor>
  <xdr:twoCellAnchor>
    <xdr:from>
      <xdr:col>3</xdr:col>
      <xdr:colOff>1322379</xdr:colOff>
      <xdr:row>71</xdr:row>
      <xdr:rowOff>219671</xdr:rowOff>
    </xdr:from>
    <xdr:to>
      <xdr:col>3</xdr:col>
      <xdr:colOff>2085525</xdr:colOff>
      <xdr:row>72</xdr:row>
      <xdr:rowOff>516647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7C24327B-8EA0-4D81-AF41-E60C45D3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093" y="31366421"/>
          <a:ext cx="763146" cy="541905"/>
        </a:xfrm>
        <a:prstGeom prst="rect">
          <a:avLst/>
        </a:prstGeom>
      </xdr:spPr>
    </xdr:pic>
    <xdr:clientData/>
  </xdr:twoCellAnchor>
  <xdr:twoCellAnchor>
    <xdr:from>
      <xdr:col>3</xdr:col>
      <xdr:colOff>1328052</xdr:colOff>
      <xdr:row>73</xdr:row>
      <xdr:rowOff>206831</xdr:rowOff>
    </xdr:from>
    <xdr:to>
      <xdr:col>3</xdr:col>
      <xdr:colOff>2079853</xdr:colOff>
      <xdr:row>74</xdr:row>
      <xdr:rowOff>513332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6DB44148-924A-4F4C-B4F7-CB5C85507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766" y="32224438"/>
          <a:ext cx="751801" cy="551430"/>
        </a:xfrm>
        <a:prstGeom prst="rect">
          <a:avLst/>
        </a:prstGeom>
      </xdr:spPr>
    </xdr:pic>
    <xdr:clientData/>
  </xdr:twoCellAnchor>
  <xdr:twoCellAnchor>
    <xdr:from>
      <xdr:col>3</xdr:col>
      <xdr:colOff>1324284</xdr:colOff>
      <xdr:row>75</xdr:row>
      <xdr:rowOff>215114</xdr:rowOff>
    </xdr:from>
    <xdr:to>
      <xdr:col>3</xdr:col>
      <xdr:colOff>2083620</xdr:colOff>
      <xdr:row>76</xdr:row>
      <xdr:rowOff>502565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6982D446-4F3B-4CD3-A947-03389C04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998" y="33103578"/>
          <a:ext cx="759336" cy="532380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77</xdr:row>
      <xdr:rowOff>206831</xdr:rowOff>
    </xdr:from>
    <xdr:to>
      <xdr:col>3</xdr:col>
      <xdr:colOff>2080027</xdr:colOff>
      <xdr:row>78</xdr:row>
      <xdr:rowOff>513332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DEF1700A-D4CF-402A-A99A-15D0DA4D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3966152"/>
          <a:ext cx="752150" cy="551430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79</xdr:row>
      <xdr:rowOff>197305</xdr:rowOff>
    </xdr:from>
    <xdr:to>
      <xdr:col>3</xdr:col>
      <xdr:colOff>2083939</xdr:colOff>
      <xdr:row>80</xdr:row>
      <xdr:rowOff>498092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B8584FDD-D0E1-4FA8-BC30-8D99AA5A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4827484"/>
          <a:ext cx="759974" cy="545715"/>
        </a:xfrm>
        <a:prstGeom prst="rect">
          <a:avLst/>
        </a:prstGeom>
      </xdr:spPr>
    </xdr:pic>
    <xdr:clientData/>
  </xdr:twoCellAnchor>
  <xdr:twoCellAnchor>
    <xdr:from>
      <xdr:col>3</xdr:col>
      <xdr:colOff>1435858</xdr:colOff>
      <xdr:row>81</xdr:row>
      <xdr:rowOff>206520</xdr:rowOff>
    </xdr:from>
    <xdr:to>
      <xdr:col>3</xdr:col>
      <xdr:colOff>1972048</xdr:colOff>
      <xdr:row>82</xdr:row>
      <xdr:rowOff>481835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DD42ECC5-4D2E-4B1B-A4AA-EC19E9BAD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090545" y="35699583"/>
          <a:ext cx="520243" cy="536190"/>
        </a:xfrm>
        <a:prstGeom prst="rect">
          <a:avLst/>
        </a:prstGeom>
      </xdr:spPr>
    </xdr:pic>
    <xdr:clientData/>
  </xdr:twoCellAnchor>
  <xdr:twoCellAnchor>
    <xdr:from>
      <xdr:col>3</xdr:col>
      <xdr:colOff>1319950</xdr:colOff>
      <xdr:row>83</xdr:row>
      <xdr:rowOff>204346</xdr:rowOff>
    </xdr:from>
    <xdr:to>
      <xdr:col>3</xdr:col>
      <xdr:colOff>2087954</xdr:colOff>
      <xdr:row>84</xdr:row>
      <xdr:rowOff>508943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1E86EED5-AD29-4664-85F5-4DB60AFFC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64" y="36576239"/>
          <a:ext cx="768004" cy="549525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85</xdr:row>
      <xdr:rowOff>211388</xdr:rowOff>
    </xdr:from>
    <xdr:to>
      <xdr:col>3</xdr:col>
      <xdr:colOff>2083939</xdr:colOff>
      <xdr:row>86</xdr:row>
      <xdr:rowOff>508364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A19AC631-D481-4DFB-9D73-CBE9A03C9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7454138"/>
          <a:ext cx="759974" cy="541905"/>
        </a:xfrm>
        <a:prstGeom prst="rect">
          <a:avLst/>
        </a:prstGeom>
      </xdr:spPr>
    </xdr:pic>
    <xdr:clientData/>
  </xdr:twoCellAnchor>
  <xdr:twoCellAnchor>
    <xdr:from>
      <xdr:col>3</xdr:col>
      <xdr:colOff>1321855</xdr:colOff>
      <xdr:row>87</xdr:row>
      <xdr:rowOff>196064</xdr:rowOff>
    </xdr:from>
    <xdr:to>
      <xdr:col>3</xdr:col>
      <xdr:colOff>2086049</xdr:colOff>
      <xdr:row>88</xdr:row>
      <xdr:rowOff>504470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1266110-5615-4D50-8514-E9F10F2B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569" y="38309671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89</xdr:row>
      <xdr:rowOff>222155</xdr:rowOff>
    </xdr:from>
    <xdr:to>
      <xdr:col>3</xdr:col>
      <xdr:colOff>2081287</xdr:colOff>
      <xdr:row>90</xdr:row>
      <xdr:rowOff>519131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FED519CA-27BA-4CC8-AF20-C169CC17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39206619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91</xdr:row>
      <xdr:rowOff>222155</xdr:rowOff>
    </xdr:from>
    <xdr:to>
      <xdr:col>3</xdr:col>
      <xdr:colOff>2081287</xdr:colOff>
      <xdr:row>92</xdr:row>
      <xdr:rowOff>519131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56C9AC73-284F-409E-9997-576C8D74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40077476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93</xdr:row>
      <xdr:rowOff>206830</xdr:rowOff>
    </xdr:from>
    <xdr:to>
      <xdr:col>3</xdr:col>
      <xdr:colOff>2113197</xdr:colOff>
      <xdr:row>94</xdr:row>
      <xdr:rowOff>498092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99BC3D6-F996-4BC1-B18B-491B5AC3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0933009"/>
          <a:ext cx="764049" cy="536190"/>
        </a:xfrm>
        <a:prstGeom prst="rect">
          <a:avLst/>
        </a:prstGeom>
      </xdr:spPr>
    </xdr:pic>
    <xdr:clientData/>
  </xdr:twoCellAnchor>
  <xdr:twoCellAnchor>
    <xdr:from>
      <xdr:col>3</xdr:col>
      <xdr:colOff>1346218</xdr:colOff>
      <xdr:row>95</xdr:row>
      <xdr:rowOff>210145</xdr:rowOff>
    </xdr:from>
    <xdr:to>
      <xdr:col>3</xdr:col>
      <xdr:colOff>2116127</xdr:colOff>
      <xdr:row>96</xdr:row>
      <xdr:rowOff>505217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B731ED4B-6029-4773-B0DD-01D9AEDD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932" y="41807181"/>
          <a:ext cx="769909" cy="540000"/>
        </a:xfrm>
        <a:prstGeom prst="rect">
          <a:avLst/>
        </a:prstGeom>
      </xdr:spPr>
    </xdr:pic>
    <xdr:clientData/>
  </xdr:twoCellAnchor>
  <xdr:twoCellAnchor>
    <xdr:from>
      <xdr:col>3</xdr:col>
      <xdr:colOff>1351197</xdr:colOff>
      <xdr:row>97</xdr:row>
      <xdr:rowOff>213871</xdr:rowOff>
    </xdr:from>
    <xdr:to>
      <xdr:col>3</xdr:col>
      <xdr:colOff>2111147</xdr:colOff>
      <xdr:row>98</xdr:row>
      <xdr:rowOff>510848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E8A3F68B-D9A9-4FC3-838F-D80C5BC9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911" y="42681764"/>
          <a:ext cx="759950" cy="541905"/>
        </a:xfrm>
        <a:prstGeom prst="rect">
          <a:avLst/>
        </a:prstGeom>
      </xdr:spPr>
    </xdr:pic>
    <xdr:clientData/>
  </xdr:twoCellAnchor>
  <xdr:twoCellAnchor>
    <xdr:from>
      <xdr:col>3</xdr:col>
      <xdr:colOff>1346290</xdr:colOff>
      <xdr:row>99</xdr:row>
      <xdr:rowOff>180160</xdr:rowOff>
    </xdr:from>
    <xdr:to>
      <xdr:col>3</xdr:col>
      <xdr:colOff>2116054</xdr:colOff>
      <xdr:row>100</xdr:row>
      <xdr:rowOff>484756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2156FE5C-6756-44DF-B457-33449212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004" y="43518910"/>
          <a:ext cx="769764" cy="549525"/>
        </a:xfrm>
        <a:prstGeom prst="rect">
          <a:avLst/>
        </a:prstGeom>
      </xdr:spPr>
    </xdr:pic>
    <xdr:clientData/>
  </xdr:twoCellAnchor>
  <xdr:twoCellAnchor>
    <xdr:from>
      <xdr:col>3</xdr:col>
      <xdr:colOff>1349075</xdr:colOff>
      <xdr:row>105</xdr:row>
      <xdr:rowOff>205589</xdr:rowOff>
    </xdr:from>
    <xdr:to>
      <xdr:col>3</xdr:col>
      <xdr:colOff>2113269</xdr:colOff>
      <xdr:row>106</xdr:row>
      <xdr:rowOff>502565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18BA40B-2705-4237-899B-7F5B88D9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789" y="46156910"/>
          <a:ext cx="764194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107</xdr:row>
      <xdr:rowOff>204346</xdr:rowOff>
    </xdr:from>
    <xdr:to>
      <xdr:col>3</xdr:col>
      <xdr:colOff>2113197</xdr:colOff>
      <xdr:row>108</xdr:row>
      <xdr:rowOff>501323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FFD0E2-A685-407B-A411-EA5F25A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026525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109</xdr:row>
      <xdr:rowOff>213871</xdr:rowOff>
    </xdr:from>
    <xdr:to>
      <xdr:col>3</xdr:col>
      <xdr:colOff>2113197</xdr:colOff>
      <xdr:row>110</xdr:row>
      <xdr:rowOff>510848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9DA5A5AC-DA74-42DC-A85A-EC6CDDE1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906907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111</xdr:row>
      <xdr:rowOff>213871</xdr:rowOff>
    </xdr:from>
    <xdr:to>
      <xdr:col>3</xdr:col>
      <xdr:colOff>2113197</xdr:colOff>
      <xdr:row>112</xdr:row>
      <xdr:rowOff>510848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5C9F1BF9-8511-4D57-ABDC-6DC79A69F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8777764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1344385</xdr:colOff>
      <xdr:row>113</xdr:row>
      <xdr:rowOff>223397</xdr:rowOff>
    </xdr:from>
    <xdr:to>
      <xdr:col>3</xdr:col>
      <xdr:colOff>2108025</xdr:colOff>
      <xdr:row>114</xdr:row>
      <xdr:rowOff>518468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FAE0D054-4AA3-463E-B3B1-37C66B21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099" y="49658147"/>
          <a:ext cx="763640" cy="540000"/>
        </a:xfrm>
        <a:prstGeom prst="rect">
          <a:avLst/>
        </a:prstGeom>
      </xdr:spPr>
    </xdr:pic>
    <xdr:clientData/>
  </xdr:twoCellAnchor>
  <xdr:twoCellAnchor>
    <xdr:from>
      <xdr:col>3</xdr:col>
      <xdr:colOff>1344380</xdr:colOff>
      <xdr:row>115</xdr:row>
      <xdr:rowOff>209790</xdr:rowOff>
    </xdr:from>
    <xdr:to>
      <xdr:col>3</xdr:col>
      <xdr:colOff>2108019</xdr:colOff>
      <xdr:row>116</xdr:row>
      <xdr:rowOff>504861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B54349F1-BAD2-4278-9E96-0DD61A42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094" y="5051539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117</xdr:row>
      <xdr:rowOff>196183</xdr:rowOff>
    </xdr:from>
    <xdr:to>
      <xdr:col>3</xdr:col>
      <xdr:colOff>2108026</xdr:colOff>
      <xdr:row>118</xdr:row>
      <xdr:rowOff>491254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FA5BAD2F-7D42-49BF-B57F-D0A08E2C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137264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119</xdr:row>
      <xdr:rowOff>196183</xdr:rowOff>
    </xdr:from>
    <xdr:to>
      <xdr:col>3</xdr:col>
      <xdr:colOff>2108026</xdr:colOff>
      <xdr:row>120</xdr:row>
      <xdr:rowOff>491254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788D0718-3E3D-46D2-9110-D18599D7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2243504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121</xdr:row>
      <xdr:rowOff>196182</xdr:rowOff>
    </xdr:from>
    <xdr:to>
      <xdr:col>3</xdr:col>
      <xdr:colOff>2108026</xdr:colOff>
      <xdr:row>122</xdr:row>
      <xdr:rowOff>491253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5117410B-42D6-4BC7-9020-186381FF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114361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123</xdr:row>
      <xdr:rowOff>196182</xdr:rowOff>
    </xdr:from>
    <xdr:to>
      <xdr:col>3</xdr:col>
      <xdr:colOff>2108026</xdr:colOff>
      <xdr:row>124</xdr:row>
      <xdr:rowOff>491253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6F0C31AD-8B64-46C4-814A-28BDDADD6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985218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125</xdr:row>
      <xdr:rowOff>196182</xdr:rowOff>
    </xdr:from>
    <xdr:to>
      <xdr:col>3</xdr:col>
      <xdr:colOff>2108025</xdr:colOff>
      <xdr:row>126</xdr:row>
      <xdr:rowOff>491253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D78FBAE-5609-4773-BACE-065EF75D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4856075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127</xdr:row>
      <xdr:rowOff>196183</xdr:rowOff>
    </xdr:from>
    <xdr:to>
      <xdr:col>3</xdr:col>
      <xdr:colOff>2108025</xdr:colOff>
      <xdr:row>128</xdr:row>
      <xdr:rowOff>491253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F442978E-DD00-4BC9-A5E1-4880BC66F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5726933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133</xdr:row>
      <xdr:rowOff>196183</xdr:rowOff>
    </xdr:from>
    <xdr:to>
      <xdr:col>3</xdr:col>
      <xdr:colOff>2108025</xdr:colOff>
      <xdr:row>134</xdr:row>
      <xdr:rowOff>491252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568EBA87-0388-443C-A377-2F30BE5B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8339504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135</xdr:row>
      <xdr:rowOff>196182</xdr:rowOff>
    </xdr:from>
    <xdr:to>
      <xdr:col>3</xdr:col>
      <xdr:colOff>2108025</xdr:colOff>
      <xdr:row>136</xdr:row>
      <xdr:rowOff>491252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F0BBEE7-3A1E-4C35-9C11-4299AB3E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9210361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137</xdr:row>
      <xdr:rowOff>196182</xdr:rowOff>
    </xdr:from>
    <xdr:to>
      <xdr:col>3</xdr:col>
      <xdr:colOff>2108024</xdr:colOff>
      <xdr:row>138</xdr:row>
      <xdr:rowOff>491252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61DF8037-C6E8-4F21-A667-2A6E573E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081218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139</xdr:row>
      <xdr:rowOff>196182</xdr:rowOff>
    </xdr:from>
    <xdr:to>
      <xdr:col>3</xdr:col>
      <xdr:colOff>2108024</xdr:colOff>
      <xdr:row>140</xdr:row>
      <xdr:rowOff>491252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F64A52B4-E9A7-4067-BF21-26CBD0AB1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952075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141</xdr:row>
      <xdr:rowOff>209790</xdr:rowOff>
    </xdr:from>
    <xdr:to>
      <xdr:col>3</xdr:col>
      <xdr:colOff>2121630</xdr:colOff>
      <xdr:row>142</xdr:row>
      <xdr:rowOff>504858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26EA96B5-C85A-411F-906D-64F6DFAD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1836540"/>
          <a:ext cx="763636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143</xdr:row>
      <xdr:rowOff>209790</xdr:rowOff>
    </xdr:from>
    <xdr:to>
      <xdr:col>3</xdr:col>
      <xdr:colOff>2121629</xdr:colOff>
      <xdr:row>144</xdr:row>
      <xdr:rowOff>504858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68C1113D-99B6-419C-AD52-C8D343AD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2707397"/>
          <a:ext cx="763635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145</xdr:row>
      <xdr:rowOff>209790</xdr:rowOff>
    </xdr:from>
    <xdr:to>
      <xdr:col>3</xdr:col>
      <xdr:colOff>2121629</xdr:colOff>
      <xdr:row>146</xdr:row>
      <xdr:rowOff>504857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A65F4B18-ABFF-42A0-8533-4E7E2DAB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3578254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147</xdr:row>
      <xdr:rowOff>209790</xdr:rowOff>
    </xdr:from>
    <xdr:to>
      <xdr:col>3</xdr:col>
      <xdr:colOff>2121629</xdr:colOff>
      <xdr:row>148</xdr:row>
      <xdr:rowOff>504857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9ED2A019-4B10-4DC7-81D3-6043F637C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4449111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149</xdr:row>
      <xdr:rowOff>209789</xdr:rowOff>
    </xdr:from>
    <xdr:to>
      <xdr:col>3</xdr:col>
      <xdr:colOff>2121628</xdr:colOff>
      <xdr:row>150</xdr:row>
      <xdr:rowOff>504857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8F94C38F-7435-46BB-A23B-9C047BD6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5319968"/>
          <a:ext cx="763634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151</xdr:row>
      <xdr:rowOff>209789</xdr:rowOff>
    </xdr:from>
    <xdr:to>
      <xdr:col>3</xdr:col>
      <xdr:colOff>2121628</xdr:colOff>
      <xdr:row>152</xdr:row>
      <xdr:rowOff>504856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376D2538-0BB5-46C0-9E12-81FA30A6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6190825"/>
          <a:ext cx="763634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153</xdr:row>
      <xdr:rowOff>209789</xdr:rowOff>
    </xdr:from>
    <xdr:to>
      <xdr:col>3</xdr:col>
      <xdr:colOff>2121627</xdr:colOff>
      <xdr:row>154</xdr:row>
      <xdr:rowOff>504856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EB6D7AE9-C335-4DB4-86D2-F2FE5FB2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061682"/>
          <a:ext cx="763632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155</xdr:row>
      <xdr:rowOff>209790</xdr:rowOff>
    </xdr:from>
    <xdr:to>
      <xdr:col>3</xdr:col>
      <xdr:colOff>2121627</xdr:colOff>
      <xdr:row>156</xdr:row>
      <xdr:rowOff>504855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16F93522-6CDC-4F16-BA54-25F6698F1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932540"/>
          <a:ext cx="763632" cy="539994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157</xdr:row>
      <xdr:rowOff>209790</xdr:rowOff>
    </xdr:from>
    <xdr:to>
      <xdr:col>3</xdr:col>
      <xdr:colOff>2121626</xdr:colOff>
      <xdr:row>158</xdr:row>
      <xdr:rowOff>504855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8A1A3873-A53F-445D-BDE9-9E0E0325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8803397"/>
          <a:ext cx="763631" cy="539994"/>
        </a:xfrm>
        <a:prstGeom prst="rect">
          <a:avLst/>
        </a:prstGeom>
      </xdr:spPr>
    </xdr:pic>
    <xdr:clientData/>
  </xdr:twoCellAnchor>
  <xdr:twoCellAnchor>
    <xdr:from>
      <xdr:col>3</xdr:col>
      <xdr:colOff>1371601</xdr:colOff>
      <xdr:row>159</xdr:row>
      <xdr:rowOff>155362</xdr:rowOff>
    </xdr:from>
    <xdr:to>
      <xdr:col>3</xdr:col>
      <xdr:colOff>2135232</xdr:colOff>
      <xdr:row>160</xdr:row>
      <xdr:rowOff>450426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716A2166-26BD-4EFA-8177-B28CB30F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5" y="69619826"/>
          <a:ext cx="763631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161</xdr:row>
      <xdr:rowOff>155362</xdr:rowOff>
    </xdr:from>
    <xdr:to>
      <xdr:col>3</xdr:col>
      <xdr:colOff>2135231</xdr:colOff>
      <xdr:row>162</xdr:row>
      <xdr:rowOff>450426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420FF315-E4F2-4361-8357-7D4D1AED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0490683"/>
          <a:ext cx="763629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163</xdr:row>
      <xdr:rowOff>155361</xdr:rowOff>
    </xdr:from>
    <xdr:to>
      <xdr:col>3</xdr:col>
      <xdr:colOff>2135231</xdr:colOff>
      <xdr:row>164</xdr:row>
      <xdr:rowOff>450425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E27DF526-83A6-4CBA-992B-4B9BDE97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1361540"/>
          <a:ext cx="763629" cy="539992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169</xdr:row>
      <xdr:rowOff>155362</xdr:rowOff>
    </xdr:from>
    <xdr:to>
      <xdr:col>3</xdr:col>
      <xdr:colOff>2135230</xdr:colOff>
      <xdr:row>170</xdr:row>
      <xdr:rowOff>450424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29B5C728-95DD-4740-9ECA-6C436B0E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3974112"/>
          <a:ext cx="763628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171</xdr:row>
      <xdr:rowOff>155362</xdr:rowOff>
    </xdr:from>
    <xdr:to>
      <xdr:col>3</xdr:col>
      <xdr:colOff>2135229</xdr:colOff>
      <xdr:row>172</xdr:row>
      <xdr:rowOff>450424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CEE66B79-DD2B-4164-92E4-3D463E9B0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4844969"/>
          <a:ext cx="763626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173</xdr:row>
      <xdr:rowOff>155362</xdr:rowOff>
    </xdr:from>
    <xdr:to>
      <xdr:col>3</xdr:col>
      <xdr:colOff>2135229</xdr:colOff>
      <xdr:row>174</xdr:row>
      <xdr:rowOff>450423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9065192A-4DF2-4D91-8066-D60181DCC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5715826"/>
          <a:ext cx="763626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175</xdr:row>
      <xdr:rowOff>155362</xdr:rowOff>
    </xdr:from>
    <xdr:to>
      <xdr:col>3</xdr:col>
      <xdr:colOff>2135228</xdr:colOff>
      <xdr:row>176</xdr:row>
      <xdr:rowOff>450423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D436CB17-EDA7-402C-900E-9976B671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6586683"/>
          <a:ext cx="763625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177</xdr:row>
      <xdr:rowOff>117261</xdr:rowOff>
    </xdr:from>
    <xdr:to>
      <xdr:col>3</xdr:col>
      <xdr:colOff>2135228</xdr:colOff>
      <xdr:row>178</xdr:row>
      <xdr:rowOff>412322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A570B97E-2DA0-47A9-BF6B-2C984ED6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7419440"/>
          <a:ext cx="763625" cy="539989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179</xdr:row>
      <xdr:rowOff>155361</xdr:rowOff>
    </xdr:from>
    <xdr:to>
      <xdr:col>3</xdr:col>
      <xdr:colOff>2135227</xdr:colOff>
      <xdr:row>180</xdr:row>
      <xdr:rowOff>450422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38E6FABF-6A6E-4433-AE05-3C5419DA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8328397"/>
          <a:ext cx="763624" cy="539989"/>
        </a:xfrm>
        <a:prstGeom prst="rect">
          <a:avLst/>
        </a:prstGeom>
      </xdr:spPr>
    </xdr:pic>
    <xdr:clientData/>
  </xdr:twoCellAnchor>
  <xdr:twoCellAnchor>
    <xdr:from>
      <xdr:col>3</xdr:col>
      <xdr:colOff>1371604</xdr:colOff>
      <xdr:row>181</xdr:row>
      <xdr:rowOff>182575</xdr:rowOff>
    </xdr:from>
    <xdr:to>
      <xdr:col>3</xdr:col>
      <xdr:colOff>2135228</xdr:colOff>
      <xdr:row>182</xdr:row>
      <xdr:rowOff>477635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C3F5C8DB-24D8-48E9-B4B7-6EFA5F0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8" y="79226468"/>
          <a:ext cx="763624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183</xdr:row>
      <xdr:rowOff>182576</xdr:rowOff>
    </xdr:from>
    <xdr:to>
      <xdr:col>3</xdr:col>
      <xdr:colOff>2135227</xdr:colOff>
      <xdr:row>184</xdr:row>
      <xdr:rowOff>477635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1C7153D2-15FC-4136-85E9-E8D7390C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097326"/>
          <a:ext cx="763622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185</xdr:row>
      <xdr:rowOff>182576</xdr:rowOff>
    </xdr:from>
    <xdr:to>
      <xdr:col>3</xdr:col>
      <xdr:colOff>2135227</xdr:colOff>
      <xdr:row>186</xdr:row>
      <xdr:rowOff>477634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E2C09A03-7102-4AF0-A79F-F193A490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968183"/>
          <a:ext cx="763622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187</xdr:row>
      <xdr:rowOff>182576</xdr:rowOff>
    </xdr:from>
    <xdr:to>
      <xdr:col>3</xdr:col>
      <xdr:colOff>2135226</xdr:colOff>
      <xdr:row>188</xdr:row>
      <xdr:rowOff>477634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9506406E-B88B-44A6-AF0A-28835816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1839040"/>
          <a:ext cx="763621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189</xdr:row>
      <xdr:rowOff>182576</xdr:rowOff>
    </xdr:from>
    <xdr:to>
      <xdr:col>3</xdr:col>
      <xdr:colOff>2135226</xdr:colOff>
      <xdr:row>190</xdr:row>
      <xdr:rowOff>477633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B920BAE3-70C0-45DD-BB89-521DBB779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2709897"/>
          <a:ext cx="763621" cy="539986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191</xdr:row>
      <xdr:rowOff>182575</xdr:rowOff>
    </xdr:from>
    <xdr:to>
      <xdr:col>3</xdr:col>
      <xdr:colOff>2135225</xdr:colOff>
      <xdr:row>192</xdr:row>
      <xdr:rowOff>477633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381717F1-6C42-4543-BF19-4D4A97EB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3580754"/>
          <a:ext cx="763619" cy="539986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193</xdr:row>
      <xdr:rowOff>181214</xdr:rowOff>
    </xdr:from>
    <xdr:to>
      <xdr:col>3</xdr:col>
      <xdr:colOff>2121612</xdr:colOff>
      <xdr:row>194</xdr:row>
      <xdr:rowOff>476271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8934F491-F2C3-4278-89C6-1DD7887F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4450250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195</xdr:row>
      <xdr:rowOff>209789</xdr:rowOff>
    </xdr:from>
    <xdr:to>
      <xdr:col>3</xdr:col>
      <xdr:colOff>2121611</xdr:colOff>
      <xdr:row>196</xdr:row>
      <xdr:rowOff>504846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A52D52FF-744C-49BB-A706-5D28B62B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5349682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197</xdr:row>
      <xdr:rowOff>182576</xdr:rowOff>
    </xdr:from>
    <xdr:to>
      <xdr:col>3</xdr:col>
      <xdr:colOff>2135225</xdr:colOff>
      <xdr:row>198</xdr:row>
      <xdr:rowOff>477632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682B7B2E-58A4-4936-BC05-92CD9EFA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6193326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199</xdr:row>
      <xdr:rowOff>182576</xdr:rowOff>
    </xdr:from>
    <xdr:to>
      <xdr:col>3</xdr:col>
      <xdr:colOff>2148830</xdr:colOff>
      <xdr:row>200</xdr:row>
      <xdr:rowOff>477632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21D10844-2F8B-4B7E-9386-C83A20F5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064183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201</xdr:row>
      <xdr:rowOff>182576</xdr:rowOff>
    </xdr:from>
    <xdr:to>
      <xdr:col>3</xdr:col>
      <xdr:colOff>2148830</xdr:colOff>
      <xdr:row>202</xdr:row>
      <xdr:rowOff>477631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FD82253D-C7FD-442D-9D8D-6CD61B8C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935040"/>
          <a:ext cx="763618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203</xdr:row>
      <xdr:rowOff>182576</xdr:rowOff>
    </xdr:from>
    <xdr:to>
      <xdr:col>3</xdr:col>
      <xdr:colOff>2148829</xdr:colOff>
      <xdr:row>204</xdr:row>
      <xdr:rowOff>477631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70947BEF-E47A-48E4-92B2-7C646C6D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8805897"/>
          <a:ext cx="763617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205</xdr:row>
      <xdr:rowOff>182575</xdr:rowOff>
    </xdr:from>
    <xdr:to>
      <xdr:col>3</xdr:col>
      <xdr:colOff>2148829</xdr:colOff>
      <xdr:row>206</xdr:row>
      <xdr:rowOff>477630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4D9D4942-08A6-4AF1-A760-624E17A2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9676754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207</xdr:row>
      <xdr:rowOff>182575</xdr:rowOff>
    </xdr:from>
    <xdr:to>
      <xdr:col>3</xdr:col>
      <xdr:colOff>2148829</xdr:colOff>
      <xdr:row>208</xdr:row>
      <xdr:rowOff>477630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49357C36-C2CF-4B54-B347-E36D3D5A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90547611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209</xdr:row>
      <xdr:rowOff>182575</xdr:rowOff>
    </xdr:from>
    <xdr:to>
      <xdr:col>3</xdr:col>
      <xdr:colOff>2148828</xdr:colOff>
      <xdr:row>210</xdr:row>
      <xdr:rowOff>477630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F2571B53-58B7-4746-B34A-8A473870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1418468"/>
          <a:ext cx="763615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211</xdr:row>
      <xdr:rowOff>182576</xdr:rowOff>
    </xdr:from>
    <xdr:to>
      <xdr:col>3</xdr:col>
      <xdr:colOff>2148828</xdr:colOff>
      <xdr:row>212</xdr:row>
      <xdr:rowOff>477629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9DC0BC3A-80F6-43B0-A24D-065B2A449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2289326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213</xdr:row>
      <xdr:rowOff>182576</xdr:rowOff>
    </xdr:from>
    <xdr:to>
      <xdr:col>3</xdr:col>
      <xdr:colOff>2148828</xdr:colOff>
      <xdr:row>214</xdr:row>
      <xdr:rowOff>477629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DF958503-50BB-4E16-A586-46330D61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3160183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1465547</xdr:colOff>
      <xdr:row>215</xdr:row>
      <xdr:rowOff>22209</xdr:rowOff>
    </xdr:from>
    <xdr:to>
      <xdr:col>3</xdr:col>
      <xdr:colOff>2062653</xdr:colOff>
      <xdr:row>217</xdr:row>
      <xdr:rowOff>2532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FB5BB1DB-191E-4155-AB5E-D83DADF8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2261" y="93870673"/>
          <a:ext cx="597106" cy="851180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217</xdr:row>
      <xdr:rowOff>196183</xdr:rowOff>
    </xdr:from>
    <xdr:to>
      <xdr:col>3</xdr:col>
      <xdr:colOff>2162433</xdr:colOff>
      <xdr:row>218</xdr:row>
      <xdr:rowOff>491236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EA336EDF-F61A-4072-A29D-E709C3E7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4915504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219</xdr:row>
      <xdr:rowOff>196182</xdr:rowOff>
    </xdr:from>
    <xdr:to>
      <xdr:col>3</xdr:col>
      <xdr:colOff>2162433</xdr:colOff>
      <xdr:row>220</xdr:row>
      <xdr:rowOff>491236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66C68F2A-FA4C-4791-B293-6E8B22BA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5786361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221</xdr:row>
      <xdr:rowOff>196182</xdr:rowOff>
    </xdr:from>
    <xdr:to>
      <xdr:col>3</xdr:col>
      <xdr:colOff>2162433</xdr:colOff>
      <xdr:row>222</xdr:row>
      <xdr:rowOff>491235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2EEE0070-8311-4D87-9DD4-EEB30281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6657218"/>
          <a:ext cx="763614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223</xdr:row>
      <xdr:rowOff>196182</xdr:rowOff>
    </xdr:from>
    <xdr:to>
      <xdr:col>3</xdr:col>
      <xdr:colOff>2162432</xdr:colOff>
      <xdr:row>224</xdr:row>
      <xdr:rowOff>491235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A129C1C7-9BA9-4022-AAC8-7B15C27F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7528075"/>
          <a:ext cx="763612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225</xdr:row>
      <xdr:rowOff>196183</xdr:rowOff>
    </xdr:from>
    <xdr:to>
      <xdr:col>3</xdr:col>
      <xdr:colOff>2162432</xdr:colOff>
      <xdr:row>226</xdr:row>
      <xdr:rowOff>491234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C1463A1A-5E93-40D4-AB6B-FA0ADF4B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8398933"/>
          <a:ext cx="763612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227</xdr:row>
      <xdr:rowOff>196183</xdr:rowOff>
    </xdr:from>
    <xdr:to>
      <xdr:col>3</xdr:col>
      <xdr:colOff>2162431</xdr:colOff>
      <xdr:row>228</xdr:row>
      <xdr:rowOff>491234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D071D249-FBA2-4035-BB41-2F0D357C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9269790"/>
          <a:ext cx="763611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229</xdr:row>
      <xdr:rowOff>196183</xdr:rowOff>
    </xdr:from>
    <xdr:to>
      <xdr:col>3</xdr:col>
      <xdr:colOff>2162431</xdr:colOff>
      <xdr:row>230</xdr:row>
      <xdr:rowOff>491233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5603D7C4-861E-4621-82F5-DC0E5F07B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100140647"/>
          <a:ext cx="763611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231</xdr:row>
      <xdr:rowOff>196183</xdr:rowOff>
    </xdr:from>
    <xdr:to>
      <xdr:col>3</xdr:col>
      <xdr:colOff>2162430</xdr:colOff>
      <xdr:row>232</xdr:row>
      <xdr:rowOff>491233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F37D6F8E-0F31-4DC1-9290-A5137F5C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011504"/>
          <a:ext cx="763609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233</xdr:row>
      <xdr:rowOff>196182</xdr:rowOff>
    </xdr:from>
    <xdr:to>
      <xdr:col>3</xdr:col>
      <xdr:colOff>2162430</xdr:colOff>
      <xdr:row>234</xdr:row>
      <xdr:rowOff>491232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BCE15965-4409-47D9-8747-54091F066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882361"/>
          <a:ext cx="763609" cy="539978"/>
        </a:xfrm>
        <a:prstGeom prst="rect">
          <a:avLst/>
        </a:prstGeom>
      </xdr:spPr>
    </xdr:pic>
    <xdr:clientData/>
  </xdr:twoCellAnchor>
  <xdr:twoCellAnchor>
    <xdr:from>
      <xdr:col>3</xdr:col>
      <xdr:colOff>1357996</xdr:colOff>
      <xdr:row>235</xdr:row>
      <xdr:rowOff>223396</xdr:rowOff>
    </xdr:from>
    <xdr:to>
      <xdr:col>3</xdr:col>
      <xdr:colOff>2121604</xdr:colOff>
      <xdr:row>236</xdr:row>
      <xdr:rowOff>518446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1A5DE5E9-33E0-4822-9FF1-AC189F24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10" y="102780432"/>
          <a:ext cx="763608" cy="539978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237</xdr:row>
      <xdr:rowOff>223396</xdr:rowOff>
    </xdr:from>
    <xdr:to>
      <xdr:col>3</xdr:col>
      <xdr:colOff>2162425</xdr:colOff>
      <xdr:row>238</xdr:row>
      <xdr:rowOff>518445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ECF406AE-05E1-4846-A7C4-2150BC276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3651289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239</xdr:row>
      <xdr:rowOff>182576</xdr:rowOff>
    </xdr:from>
    <xdr:to>
      <xdr:col>3</xdr:col>
      <xdr:colOff>2162425</xdr:colOff>
      <xdr:row>240</xdr:row>
      <xdr:rowOff>477624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8E736DC8-A781-4943-96A9-DC9C36746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4481326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242</xdr:row>
      <xdr:rowOff>5682</xdr:rowOff>
    </xdr:from>
    <xdr:to>
      <xdr:col>3</xdr:col>
      <xdr:colOff>2162425</xdr:colOff>
      <xdr:row>242</xdr:row>
      <xdr:rowOff>545659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207FFBEE-8A22-47E3-80DB-A917E581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5420218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245</xdr:row>
      <xdr:rowOff>196183</xdr:rowOff>
    </xdr:from>
    <xdr:to>
      <xdr:col>3</xdr:col>
      <xdr:colOff>2162425</xdr:colOff>
      <xdr:row>246</xdr:row>
      <xdr:rowOff>491231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71AF9330-4FE4-46CA-93ED-CF52371C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7107504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243</xdr:row>
      <xdr:rowOff>196176</xdr:rowOff>
    </xdr:from>
    <xdr:to>
      <xdr:col>3</xdr:col>
      <xdr:colOff>2162425</xdr:colOff>
      <xdr:row>244</xdr:row>
      <xdr:rowOff>491224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3305717C-BFB3-40C5-9B35-B1DBEA504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6236640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249</xdr:row>
      <xdr:rowOff>182575</xdr:rowOff>
    </xdr:from>
    <xdr:to>
      <xdr:col>3</xdr:col>
      <xdr:colOff>2162425</xdr:colOff>
      <xdr:row>250</xdr:row>
      <xdr:rowOff>477624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E77AE848-B3C1-4A1B-BAD7-B8B15097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8835611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251</xdr:row>
      <xdr:rowOff>196182</xdr:rowOff>
    </xdr:from>
    <xdr:to>
      <xdr:col>3</xdr:col>
      <xdr:colOff>2162425</xdr:colOff>
      <xdr:row>252</xdr:row>
      <xdr:rowOff>491231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5BE5FBD3-8B1D-4966-A5DA-0F071270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9720075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1398822</xdr:colOff>
      <xdr:row>253</xdr:row>
      <xdr:rowOff>196183</xdr:rowOff>
    </xdr:from>
    <xdr:to>
      <xdr:col>3</xdr:col>
      <xdr:colOff>2162430</xdr:colOff>
      <xdr:row>254</xdr:row>
      <xdr:rowOff>491231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ECC47DB6-6643-4A6B-8D6D-E038FA68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6" y="110590933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1344396</xdr:colOff>
      <xdr:row>256</xdr:row>
      <xdr:rowOff>173270</xdr:rowOff>
    </xdr:from>
    <xdr:to>
      <xdr:col>3</xdr:col>
      <xdr:colOff>2108000</xdr:colOff>
      <xdr:row>256</xdr:row>
      <xdr:rowOff>486924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D1A07ED8-915E-4F16-B730-3F8FB5F1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10" y="111683806"/>
          <a:ext cx="763604" cy="313654"/>
        </a:xfrm>
        <a:prstGeom prst="rect">
          <a:avLst/>
        </a:prstGeom>
      </xdr:spPr>
    </xdr:pic>
    <xdr:clientData/>
  </xdr:twoCellAnchor>
  <xdr:twoCellAnchor>
    <xdr:from>
      <xdr:col>3</xdr:col>
      <xdr:colOff>1589644</xdr:colOff>
      <xdr:row>258</xdr:row>
      <xdr:rowOff>73717</xdr:rowOff>
    </xdr:from>
    <xdr:to>
      <xdr:col>3</xdr:col>
      <xdr:colOff>1971598</xdr:colOff>
      <xdr:row>258</xdr:row>
      <xdr:rowOff>613694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E23CB05C-20C1-4B71-B396-557C9AB3E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6358" y="112455110"/>
          <a:ext cx="381954" cy="539977"/>
        </a:xfrm>
        <a:prstGeom prst="rect">
          <a:avLst/>
        </a:prstGeom>
      </xdr:spPr>
    </xdr:pic>
    <xdr:clientData/>
  </xdr:twoCellAnchor>
  <xdr:twoCellAnchor>
    <xdr:from>
      <xdr:col>3</xdr:col>
      <xdr:colOff>1290367</xdr:colOff>
      <xdr:row>15</xdr:row>
      <xdr:rowOff>214332</xdr:rowOff>
    </xdr:from>
    <xdr:to>
      <xdr:col>3</xdr:col>
      <xdr:colOff>2063123</xdr:colOff>
      <xdr:row>16</xdr:row>
      <xdr:rowOff>524643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8890D3B6-8B2E-449B-AA46-FF086B91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081" y="6977082"/>
          <a:ext cx="772756" cy="555240"/>
        </a:xfrm>
        <a:prstGeom prst="rect">
          <a:avLst/>
        </a:prstGeom>
      </xdr:spPr>
    </xdr:pic>
    <xdr:clientData/>
  </xdr:twoCellAnchor>
  <xdr:twoCellAnchor>
    <xdr:from>
      <xdr:col>3</xdr:col>
      <xdr:colOff>1304650</xdr:colOff>
      <xdr:row>23</xdr:row>
      <xdr:rowOff>214227</xdr:rowOff>
    </xdr:from>
    <xdr:to>
      <xdr:col>3</xdr:col>
      <xdr:colOff>2076054</xdr:colOff>
      <xdr:row>24</xdr:row>
      <xdr:rowOff>513109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A380764C-7E88-446D-AE1A-0E16D8C7D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364" y="10460406"/>
          <a:ext cx="771404" cy="54381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129</xdr:row>
      <xdr:rowOff>196183</xdr:rowOff>
    </xdr:from>
    <xdr:to>
      <xdr:col>3</xdr:col>
      <xdr:colOff>2108025</xdr:colOff>
      <xdr:row>130</xdr:row>
      <xdr:rowOff>491252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1D205B83-728D-44D6-B077-4B95905B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6597790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131</xdr:row>
      <xdr:rowOff>196183</xdr:rowOff>
    </xdr:from>
    <xdr:to>
      <xdr:col>3</xdr:col>
      <xdr:colOff>2108025</xdr:colOff>
      <xdr:row>132</xdr:row>
      <xdr:rowOff>491252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E34B78A4-4748-44D3-9A80-6F398C971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7468647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285</xdr:row>
      <xdr:rowOff>133883</xdr:rowOff>
    </xdr:from>
    <xdr:to>
      <xdr:col>3</xdr:col>
      <xdr:colOff>2038350</xdr:colOff>
      <xdr:row>285</xdr:row>
      <xdr:rowOff>601094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4539CE6-55B7-4E2B-BE13-B218FECE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2825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285</xdr:row>
      <xdr:rowOff>146601</xdr:rowOff>
    </xdr:from>
    <xdr:to>
      <xdr:col>3</xdr:col>
      <xdr:colOff>965532</xdr:colOff>
      <xdr:row>285</xdr:row>
      <xdr:rowOff>591568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D99B7C30-4784-464A-8FD9-E7D824BDD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2952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286</xdr:row>
      <xdr:rowOff>133883</xdr:rowOff>
    </xdr:from>
    <xdr:to>
      <xdr:col>3</xdr:col>
      <xdr:colOff>2038350</xdr:colOff>
      <xdr:row>286</xdr:row>
      <xdr:rowOff>601094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B7DE03CF-F25A-455A-AFA0-511FBD83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4444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286</xdr:row>
      <xdr:rowOff>146601</xdr:rowOff>
    </xdr:from>
    <xdr:to>
      <xdr:col>3</xdr:col>
      <xdr:colOff>965532</xdr:colOff>
      <xdr:row>286</xdr:row>
      <xdr:rowOff>591568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DA309C67-89AB-4675-B619-58FA246F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4571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287</xdr:row>
      <xdr:rowOff>133883</xdr:rowOff>
    </xdr:from>
    <xdr:to>
      <xdr:col>3</xdr:col>
      <xdr:colOff>2038350</xdr:colOff>
      <xdr:row>287</xdr:row>
      <xdr:rowOff>601094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A4640ABC-317E-4F42-BE76-97B3FEA5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6063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287</xdr:row>
      <xdr:rowOff>146601</xdr:rowOff>
    </xdr:from>
    <xdr:to>
      <xdr:col>3</xdr:col>
      <xdr:colOff>965532</xdr:colOff>
      <xdr:row>287</xdr:row>
      <xdr:rowOff>591568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1E098512-3193-4C49-8D2C-57D8722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6190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281</xdr:row>
      <xdr:rowOff>133883</xdr:rowOff>
    </xdr:from>
    <xdr:to>
      <xdr:col>3</xdr:col>
      <xdr:colOff>2038350</xdr:colOff>
      <xdr:row>281</xdr:row>
      <xdr:rowOff>601094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DCA149A6-37B2-4971-940C-F90FA3546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6348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281</xdr:row>
      <xdr:rowOff>146601</xdr:rowOff>
    </xdr:from>
    <xdr:to>
      <xdr:col>3</xdr:col>
      <xdr:colOff>965532</xdr:colOff>
      <xdr:row>281</xdr:row>
      <xdr:rowOff>591568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AD44D49D-D763-45AA-8178-9D00DB56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6475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282</xdr:row>
      <xdr:rowOff>133883</xdr:rowOff>
    </xdr:from>
    <xdr:to>
      <xdr:col>3</xdr:col>
      <xdr:colOff>2038350</xdr:colOff>
      <xdr:row>282</xdr:row>
      <xdr:rowOff>601094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1783E443-C106-49F8-BE2A-D0D6F6C5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7967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282</xdr:row>
      <xdr:rowOff>146601</xdr:rowOff>
    </xdr:from>
    <xdr:to>
      <xdr:col>3</xdr:col>
      <xdr:colOff>965532</xdr:colOff>
      <xdr:row>282</xdr:row>
      <xdr:rowOff>591568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9A3FDDF-CA2A-4A9A-826E-81DFA245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8094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283</xdr:row>
      <xdr:rowOff>133883</xdr:rowOff>
    </xdr:from>
    <xdr:to>
      <xdr:col>3</xdr:col>
      <xdr:colOff>2038350</xdr:colOff>
      <xdr:row>283</xdr:row>
      <xdr:rowOff>601094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F7D75832-1F34-4273-A92A-1BB9ED6C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9586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283</xdr:row>
      <xdr:rowOff>146601</xdr:rowOff>
    </xdr:from>
    <xdr:to>
      <xdr:col>3</xdr:col>
      <xdr:colOff>965532</xdr:colOff>
      <xdr:row>283</xdr:row>
      <xdr:rowOff>591568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4818078E-3FE5-4085-9CFF-44E21D0A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9713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318</xdr:row>
      <xdr:rowOff>85726</xdr:rowOff>
    </xdr:from>
    <xdr:to>
      <xdr:col>3</xdr:col>
      <xdr:colOff>1528640</xdr:colOff>
      <xdr:row>318</xdr:row>
      <xdr:rowOff>542926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3F62A33C-5310-4B81-8512-5981A8F0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685" y="137350501"/>
          <a:ext cx="848955" cy="457200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320</xdr:row>
      <xdr:rowOff>66675</xdr:rowOff>
    </xdr:from>
    <xdr:to>
      <xdr:col>3</xdr:col>
      <xdr:colOff>1528639</xdr:colOff>
      <xdr:row>320</xdr:row>
      <xdr:rowOff>552450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23176CB5-4A16-4AD0-9276-B0374ECDC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685" y="138198225"/>
          <a:ext cx="848954" cy="485775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322</xdr:row>
      <xdr:rowOff>85725</xdr:rowOff>
    </xdr:from>
    <xdr:to>
      <xdr:col>3</xdr:col>
      <xdr:colOff>1528639</xdr:colOff>
      <xdr:row>322</xdr:row>
      <xdr:rowOff>523875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94093B45-0F7F-47D8-959D-A3B7A977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685" y="139084050"/>
          <a:ext cx="848954" cy="438150"/>
        </a:xfrm>
        <a:prstGeom prst="rect">
          <a:avLst/>
        </a:prstGeom>
      </xdr:spPr>
    </xdr:pic>
    <xdr:clientData/>
  </xdr:twoCellAnchor>
  <xdr:twoCellAnchor>
    <xdr:from>
      <xdr:col>3</xdr:col>
      <xdr:colOff>747705</xdr:colOff>
      <xdr:row>324</xdr:row>
      <xdr:rowOff>114300</xdr:rowOff>
    </xdr:from>
    <xdr:to>
      <xdr:col>3</xdr:col>
      <xdr:colOff>1460620</xdr:colOff>
      <xdr:row>324</xdr:row>
      <xdr:rowOff>495300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FDB3F4A8-7293-4C4B-869F-70C0E07D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38705" y="139979400"/>
          <a:ext cx="712915" cy="38100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326</xdr:row>
      <xdr:rowOff>85725</xdr:rowOff>
    </xdr:from>
    <xdr:to>
      <xdr:col>3</xdr:col>
      <xdr:colOff>1481715</xdr:colOff>
      <xdr:row>326</xdr:row>
      <xdr:rowOff>523875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AACE188-DBD2-4F12-B268-80886E97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7610" y="140817600"/>
          <a:ext cx="755105" cy="43815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328</xdr:row>
      <xdr:rowOff>76200</xdr:rowOff>
    </xdr:from>
    <xdr:to>
      <xdr:col>3</xdr:col>
      <xdr:colOff>1481715</xdr:colOff>
      <xdr:row>328</xdr:row>
      <xdr:rowOff>542925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944699C8-53FF-45AC-91AB-17E1DF1E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7610" y="141674850"/>
          <a:ext cx="755105" cy="466725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330</xdr:row>
      <xdr:rowOff>76200</xdr:rowOff>
    </xdr:from>
    <xdr:to>
      <xdr:col>3</xdr:col>
      <xdr:colOff>1481715</xdr:colOff>
      <xdr:row>330</xdr:row>
      <xdr:rowOff>542925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AA30062A-FD7A-49D9-BCC5-5277A3A9E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7610" y="142541625"/>
          <a:ext cx="755105" cy="466725"/>
        </a:xfrm>
        <a:prstGeom prst="rect">
          <a:avLst/>
        </a:prstGeom>
      </xdr:spPr>
    </xdr:pic>
    <xdr:clientData/>
  </xdr:twoCellAnchor>
  <xdr:twoCellAnchor>
    <xdr:from>
      <xdr:col>3</xdr:col>
      <xdr:colOff>713836</xdr:colOff>
      <xdr:row>332</xdr:row>
      <xdr:rowOff>58492</xdr:rowOff>
    </xdr:from>
    <xdr:to>
      <xdr:col>3</xdr:col>
      <xdr:colOff>1560755</xdr:colOff>
      <xdr:row>332</xdr:row>
      <xdr:rowOff>514350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1ADCF04F-9DBF-4D97-AA36-3F2801C5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5100367" y="143195161"/>
          <a:ext cx="455858" cy="846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708670</xdr:colOff>
      <xdr:row>334</xdr:row>
      <xdr:rowOff>75346</xdr:rowOff>
    </xdr:from>
    <xdr:to>
      <xdr:col>3</xdr:col>
      <xdr:colOff>1565920</xdr:colOff>
      <xdr:row>334</xdr:row>
      <xdr:rowOff>523875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534F4006-D0CF-42CD-9276-132BEE157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9670" y="144274321"/>
          <a:ext cx="857250" cy="4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336</xdr:row>
      <xdr:rowOff>75346</xdr:rowOff>
    </xdr:from>
    <xdr:to>
      <xdr:col>3</xdr:col>
      <xdr:colOff>1565920</xdr:colOff>
      <xdr:row>336</xdr:row>
      <xdr:rowOff>523875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C313327-8432-4DE4-8EBF-1066282EC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9671" y="145141096"/>
          <a:ext cx="857249" cy="4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338</xdr:row>
      <xdr:rowOff>75347</xdr:rowOff>
    </xdr:from>
    <xdr:to>
      <xdr:col>3</xdr:col>
      <xdr:colOff>1565920</xdr:colOff>
      <xdr:row>338</xdr:row>
      <xdr:rowOff>533401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C46EE878-AC27-4B0F-A0B8-F669497FC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9671" y="146007872"/>
          <a:ext cx="857249" cy="458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777377</xdr:colOff>
      <xdr:row>340</xdr:row>
      <xdr:rowOff>67064</xdr:rowOff>
    </xdr:from>
    <xdr:to>
      <xdr:col>3</xdr:col>
      <xdr:colOff>1634626</xdr:colOff>
      <xdr:row>340</xdr:row>
      <xdr:rowOff>542925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128D64AD-19C7-4C0E-8B18-0228038F5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68377" y="146866364"/>
          <a:ext cx="857249" cy="475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793566</xdr:colOff>
      <xdr:row>342</xdr:row>
      <xdr:rowOff>16954</xdr:rowOff>
    </xdr:from>
    <xdr:to>
      <xdr:col>3</xdr:col>
      <xdr:colOff>1650815</xdr:colOff>
      <xdr:row>342</xdr:row>
      <xdr:rowOff>622162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19DEDEE7-3259-4BDA-9502-973D79354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84566" y="15609379"/>
          <a:ext cx="857249" cy="60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720850</xdr:colOff>
      <xdr:row>344</xdr:row>
      <xdr:rowOff>80950</xdr:rowOff>
    </xdr:from>
    <xdr:to>
      <xdr:col>3</xdr:col>
      <xdr:colOff>1578097</xdr:colOff>
      <xdr:row>344</xdr:row>
      <xdr:rowOff>542926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4CCB19AC-04AF-48F9-8443-8041BC81E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11850" y="148613800"/>
          <a:ext cx="857247" cy="46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887681</xdr:colOff>
      <xdr:row>346</xdr:row>
      <xdr:rowOff>92583</xdr:rowOff>
    </xdr:from>
    <xdr:to>
      <xdr:col>3</xdr:col>
      <xdr:colOff>1337208</xdr:colOff>
      <xdr:row>346</xdr:row>
      <xdr:rowOff>549847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573FA884-35BA-4C5C-9DAE-6DB144ACE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0856" y="56118633"/>
          <a:ext cx="1852" cy="66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671817</xdr:colOff>
      <xdr:row>369</xdr:row>
      <xdr:rowOff>60024</xdr:rowOff>
    </xdr:from>
    <xdr:to>
      <xdr:col>3</xdr:col>
      <xdr:colOff>1440667</xdr:colOff>
      <xdr:row>369</xdr:row>
      <xdr:rowOff>564024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58D4FDAE-7A02-47E5-A10E-0CCCE54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5017" y="59810349"/>
          <a:ext cx="16375" cy="103950"/>
        </a:xfrm>
        <a:prstGeom prst="rect">
          <a:avLst/>
        </a:prstGeom>
      </xdr:spPr>
    </xdr:pic>
    <xdr:clientData/>
  </xdr:twoCellAnchor>
  <xdr:twoCellAnchor>
    <xdr:from>
      <xdr:col>3</xdr:col>
      <xdr:colOff>816663</xdr:colOff>
      <xdr:row>377</xdr:row>
      <xdr:rowOff>69988</xdr:rowOff>
    </xdr:from>
    <xdr:to>
      <xdr:col>3</xdr:col>
      <xdr:colOff>1327283</xdr:colOff>
      <xdr:row>377</xdr:row>
      <xdr:rowOff>573988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32D3FF08-36D0-4E9F-B1FD-5ADC121E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63" y="162604588"/>
          <a:ext cx="510620" cy="504000"/>
        </a:xfrm>
        <a:prstGeom prst="rect">
          <a:avLst/>
        </a:prstGeom>
      </xdr:spPr>
    </xdr:pic>
    <xdr:clientData/>
  </xdr:twoCellAnchor>
  <xdr:twoCellAnchor>
    <xdr:from>
      <xdr:col>3</xdr:col>
      <xdr:colOff>826188</xdr:colOff>
      <xdr:row>379</xdr:row>
      <xdr:rowOff>69988</xdr:rowOff>
    </xdr:from>
    <xdr:to>
      <xdr:col>3</xdr:col>
      <xdr:colOff>1336808</xdr:colOff>
      <xdr:row>379</xdr:row>
      <xdr:rowOff>573988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C8570E1B-38DF-4992-BAAA-68169832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188" y="163471363"/>
          <a:ext cx="510620" cy="504000"/>
        </a:xfrm>
        <a:prstGeom prst="rect">
          <a:avLst/>
        </a:prstGeom>
      </xdr:spPr>
    </xdr:pic>
    <xdr:clientData/>
  </xdr:twoCellAnchor>
  <xdr:twoCellAnchor>
    <xdr:from>
      <xdr:col>3</xdr:col>
      <xdr:colOff>912530</xdr:colOff>
      <xdr:row>349</xdr:row>
      <xdr:rowOff>75346</xdr:rowOff>
    </xdr:from>
    <xdr:to>
      <xdr:col>3</xdr:col>
      <xdr:colOff>1326426</xdr:colOff>
      <xdr:row>349</xdr:row>
      <xdr:rowOff>533400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13D36F44-6444-420A-9528-32B2C5F0D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03530" y="150675121"/>
          <a:ext cx="413896" cy="458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830746</xdr:colOff>
      <xdr:row>351</xdr:row>
      <xdr:rowOff>57978</xdr:rowOff>
    </xdr:from>
    <xdr:to>
      <xdr:col>3</xdr:col>
      <xdr:colOff>1326046</xdr:colOff>
      <xdr:row>351</xdr:row>
      <xdr:rowOff>546353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BB32B8C-B2F0-4961-A628-A3A5E490A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071" y="56893653"/>
          <a:ext cx="0" cy="107375"/>
        </a:xfrm>
        <a:prstGeom prst="rect">
          <a:avLst/>
        </a:prstGeom>
      </xdr:spPr>
    </xdr:pic>
    <xdr:clientData/>
  </xdr:twoCellAnchor>
  <xdr:twoCellAnchor>
    <xdr:from>
      <xdr:col>3</xdr:col>
      <xdr:colOff>811696</xdr:colOff>
      <xdr:row>353</xdr:row>
      <xdr:rowOff>46557</xdr:rowOff>
    </xdr:from>
    <xdr:to>
      <xdr:col>3</xdr:col>
      <xdr:colOff>1345096</xdr:colOff>
      <xdr:row>353</xdr:row>
      <xdr:rowOff>568220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CF05F07B-B8B2-4DC4-B762-E3846FDE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071" y="57206082"/>
          <a:ext cx="0" cy="112088"/>
        </a:xfrm>
        <a:prstGeom prst="rect">
          <a:avLst/>
        </a:prstGeom>
      </xdr:spPr>
    </xdr:pic>
    <xdr:clientData/>
  </xdr:twoCellAnchor>
  <xdr:twoCellAnchor>
    <xdr:from>
      <xdr:col>3</xdr:col>
      <xdr:colOff>1372609</xdr:colOff>
      <xdr:row>165</xdr:row>
      <xdr:rowOff>113948</xdr:rowOff>
    </xdr:from>
    <xdr:to>
      <xdr:col>3</xdr:col>
      <xdr:colOff>2136237</xdr:colOff>
      <xdr:row>166</xdr:row>
      <xdr:rowOff>409012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105EF234-F4DC-451F-AEE9-3FAB834A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9323" y="72190984"/>
          <a:ext cx="763628" cy="539992"/>
        </a:xfrm>
        <a:prstGeom prst="rect">
          <a:avLst/>
        </a:prstGeom>
      </xdr:spPr>
    </xdr:pic>
    <xdr:clientData/>
  </xdr:twoCellAnchor>
  <xdr:twoCellAnchor>
    <xdr:from>
      <xdr:col>3</xdr:col>
      <xdr:colOff>1493491</xdr:colOff>
      <xdr:row>167</xdr:row>
      <xdr:rowOff>73411</xdr:rowOff>
    </xdr:from>
    <xdr:to>
      <xdr:col>3</xdr:col>
      <xdr:colOff>2004237</xdr:colOff>
      <xdr:row>168</xdr:row>
      <xdr:rowOff>560341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9A309705-17B4-456E-92D4-63554E3A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05" y="73021304"/>
          <a:ext cx="510746" cy="731858"/>
        </a:xfrm>
        <a:prstGeom prst="rect">
          <a:avLst/>
        </a:prstGeom>
      </xdr:spPr>
    </xdr:pic>
    <xdr:clientData/>
  </xdr:twoCellAnchor>
  <xdr:twoCellAnchor>
    <xdr:from>
      <xdr:col>3</xdr:col>
      <xdr:colOff>1503559</xdr:colOff>
      <xdr:row>247</xdr:row>
      <xdr:rowOff>196456</xdr:rowOff>
    </xdr:from>
    <xdr:to>
      <xdr:col>3</xdr:col>
      <xdr:colOff>2060592</xdr:colOff>
      <xdr:row>248</xdr:row>
      <xdr:rowOff>524711</xdr:rowOff>
    </xdr:to>
    <xdr:pic>
      <xdr:nvPicPr>
        <xdr:cNvPr id="171" name="Imagem 170" descr="Rua sem Saída.jpg">
          <a:extLst>
            <a:ext uri="{FF2B5EF4-FFF2-40B4-BE49-F238E27FC236}">
              <a16:creationId xmlns:a16="http://schemas.microsoft.com/office/drawing/2014/main" id="{03871958-D506-4211-90A0-E6FFFE78D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150273" y="107978635"/>
          <a:ext cx="557033" cy="573183"/>
        </a:xfrm>
        <a:prstGeom prst="rect">
          <a:avLst/>
        </a:prstGeom>
      </xdr:spPr>
    </xdr:pic>
    <xdr:clientData/>
  </xdr:twoCellAnchor>
  <xdr:twoCellAnchor>
    <xdr:from>
      <xdr:col>3</xdr:col>
      <xdr:colOff>438150</xdr:colOff>
      <xdr:row>296</xdr:row>
      <xdr:rowOff>257175</xdr:rowOff>
    </xdr:from>
    <xdr:to>
      <xdr:col>3</xdr:col>
      <xdr:colOff>1733550</xdr:colOff>
      <xdr:row>296</xdr:row>
      <xdr:rowOff>302894</xdr:rowOff>
    </xdr:to>
    <xdr:sp macro="" textlink="">
      <xdr:nvSpPr>
        <xdr:cNvPr id="177" name="Retângulo 176">
          <a:extLst>
            <a:ext uri="{FF2B5EF4-FFF2-40B4-BE49-F238E27FC236}">
              <a16:creationId xmlns:a16="http://schemas.microsoft.com/office/drawing/2014/main" id="{42F109EA-20D2-4F13-970D-42F16E679633}"/>
            </a:ext>
          </a:extLst>
        </xdr:cNvPr>
        <xdr:cNvSpPr/>
      </xdr:nvSpPr>
      <xdr:spPr>
        <a:xfrm>
          <a:off x="3181350" y="48091725"/>
          <a:ext cx="24765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146585</xdr:colOff>
      <xdr:row>299</xdr:row>
      <xdr:rowOff>311305</xdr:rowOff>
    </xdr:from>
    <xdr:to>
      <xdr:col>3</xdr:col>
      <xdr:colOff>478577</xdr:colOff>
      <xdr:row>299</xdr:row>
      <xdr:rowOff>357024</xdr:rowOff>
    </xdr:to>
    <xdr:sp macro="" textlink="">
      <xdr:nvSpPr>
        <xdr:cNvPr id="178" name="Retângulo 177">
          <a:extLst>
            <a:ext uri="{FF2B5EF4-FFF2-40B4-BE49-F238E27FC236}">
              <a16:creationId xmlns:a16="http://schemas.microsoft.com/office/drawing/2014/main" id="{6BF87B2E-DCE0-4C6C-8FB9-5453A5F57487}"/>
            </a:ext>
          </a:extLst>
        </xdr:cNvPr>
        <xdr:cNvSpPr/>
      </xdr:nvSpPr>
      <xdr:spPr>
        <a:xfrm>
          <a:off x="2889785" y="48574480"/>
          <a:ext cx="331992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917878</xdr:colOff>
      <xdr:row>299</xdr:row>
      <xdr:rowOff>311305</xdr:rowOff>
    </xdr:from>
    <xdr:to>
      <xdr:col>3</xdr:col>
      <xdr:colOff>1249870</xdr:colOff>
      <xdr:row>299</xdr:row>
      <xdr:rowOff>357024</xdr:rowOff>
    </xdr:to>
    <xdr:sp macro="" textlink="">
      <xdr:nvSpPr>
        <xdr:cNvPr id="179" name="Retângulo 178">
          <a:extLst>
            <a:ext uri="{FF2B5EF4-FFF2-40B4-BE49-F238E27FC236}">
              <a16:creationId xmlns:a16="http://schemas.microsoft.com/office/drawing/2014/main" id="{8FC5AE8A-7445-4D17-97B9-7E35B54822CF}"/>
            </a:ext>
          </a:extLst>
        </xdr:cNvPr>
        <xdr:cNvSpPr/>
      </xdr:nvSpPr>
      <xdr:spPr>
        <a:xfrm>
          <a:off x="3432478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1675231</xdr:colOff>
      <xdr:row>299</xdr:row>
      <xdr:rowOff>311305</xdr:rowOff>
    </xdr:from>
    <xdr:to>
      <xdr:col>3</xdr:col>
      <xdr:colOff>2007223</xdr:colOff>
      <xdr:row>299</xdr:row>
      <xdr:rowOff>357024</xdr:rowOff>
    </xdr:to>
    <xdr:sp macro="" textlink="">
      <xdr:nvSpPr>
        <xdr:cNvPr id="180" name="Retângulo 179">
          <a:extLst>
            <a:ext uri="{FF2B5EF4-FFF2-40B4-BE49-F238E27FC236}">
              <a16:creationId xmlns:a16="http://schemas.microsoft.com/office/drawing/2014/main" id="{53817C51-F0EA-4A64-A48C-D9C269627DFB}"/>
            </a:ext>
          </a:extLst>
        </xdr:cNvPr>
        <xdr:cNvSpPr/>
      </xdr:nvSpPr>
      <xdr:spPr>
        <a:xfrm>
          <a:off x="3427831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302</xdr:row>
      <xdr:rowOff>302012</xdr:rowOff>
    </xdr:from>
    <xdr:to>
      <xdr:col>3</xdr:col>
      <xdr:colOff>706244</xdr:colOff>
      <xdr:row>302</xdr:row>
      <xdr:rowOff>347731</xdr:rowOff>
    </xdr:to>
    <xdr:sp macro="" textlink="">
      <xdr:nvSpPr>
        <xdr:cNvPr id="181" name="Retângulo 180">
          <a:extLst>
            <a:ext uri="{FF2B5EF4-FFF2-40B4-BE49-F238E27FC236}">
              <a16:creationId xmlns:a16="http://schemas.microsoft.com/office/drawing/2014/main" id="{16DF5933-B2B0-4539-9DA1-CC92635F6548}"/>
            </a:ext>
          </a:extLst>
        </xdr:cNvPr>
        <xdr:cNvSpPr/>
      </xdr:nvSpPr>
      <xdr:spPr>
        <a:xfrm>
          <a:off x="3117452" y="490604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302</xdr:row>
      <xdr:rowOff>302012</xdr:rowOff>
    </xdr:from>
    <xdr:to>
      <xdr:col>3</xdr:col>
      <xdr:colOff>1287039</xdr:colOff>
      <xdr:row>302</xdr:row>
      <xdr:rowOff>347731</xdr:rowOff>
    </xdr:to>
    <xdr:sp macro="" textlink="">
      <xdr:nvSpPr>
        <xdr:cNvPr id="182" name="Retângulo 181">
          <a:extLst>
            <a:ext uri="{FF2B5EF4-FFF2-40B4-BE49-F238E27FC236}">
              <a16:creationId xmlns:a16="http://schemas.microsoft.com/office/drawing/2014/main" id="{7F09B56F-DD4D-4E06-8993-563177B25C4E}"/>
            </a:ext>
          </a:extLst>
        </xdr:cNvPr>
        <xdr:cNvSpPr/>
      </xdr:nvSpPr>
      <xdr:spPr>
        <a:xfrm>
          <a:off x="3431547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302</xdr:row>
      <xdr:rowOff>302012</xdr:rowOff>
    </xdr:from>
    <xdr:to>
      <xdr:col>3</xdr:col>
      <xdr:colOff>1858543</xdr:colOff>
      <xdr:row>302</xdr:row>
      <xdr:rowOff>347731</xdr:rowOff>
    </xdr:to>
    <xdr:sp macro="" textlink="">
      <xdr:nvSpPr>
        <xdr:cNvPr id="183" name="Retângulo 182">
          <a:extLst>
            <a:ext uri="{FF2B5EF4-FFF2-40B4-BE49-F238E27FC236}">
              <a16:creationId xmlns:a16="http://schemas.microsoft.com/office/drawing/2014/main" id="{2BA3D7B8-DBBB-4C01-810F-2F9A929477E6}"/>
            </a:ext>
          </a:extLst>
        </xdr:cNvPr>
        <xdr:cNvSpPr/>
      </xdr:nvSpPr>
      <xdr:spPr>
        <a:xfrm>
          <a:off x="3431551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306</xdr:row>
      <xdr:rowOff>302012</xdr:rowOff>
    </xdr:from>
    <xdr:to>
      <xdr:col>3</xdr:col>
      <xdr:colOff>706244</xdr:colOff>
      <xdr:row>306</xdr:row>
      <xdr:rowOff>347731</xdr:rowOff>
    </xdr:to>
    <xdr:sp macro="" textlink="">
      <xdr:nvSpPr>
        <xdr:cNvPr id="184" name="Retângulo 183">
          <a:extLst>
            <a:ext uri="{FF2B5EF4-FFF2-40B4-BE49-F238E27FC236}">
              <a16:creationId xmlns:a16="http://schemas.microsoft.com/office/drawing/2014/main" id="{9780DB94-7D54-4BEE-A8BA-8A1701B851D6}"/>
            </a:ext>
          </a:extLst>
        </xdr:cNvPr>
        <xdr:cNvSpPr/>
      </xdr:nvSpPr>
      <xdr:spPr>
        <a:xfrm>
          <a:off x="3117452" y="497081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306</xdr:row>
      <xdr:rowOff>302012</xdr:rowOff>
    </xdr:from>
    <xdr:to>
      <xdr:col>3</xdr:col>
      <xdr:colOff>1287039</xdr:colOff>
      <xdr:row>306</xdr:row>
      <xdr:rowOff>347731</xdr:rowOff>
    </xdr:to>
    <xdr:sp macro="" textlink="">
      <xdr:nvSpPr>
        <xdr:cNvPr id="185" name="Retângulo 184">
          <a:extLst>
            <a:ext uri="{FF2B5EF4-FFF2-40B4-BE49-F238E27FC236}">
              <a16:creationId xmlns:a16="http://schemas.microsoft.com/office/drawing/2014/main" id="{4BBAC67E-B296-49EB-87F6-E8A59D9DED95}"/>
            </a:ext>
          </a:extLst>
        </xdr:cNvPr>
        <xdr:cNvSpPr/>
      </xdr:nvSpPr>
      <xdr:spPr>
        <a:xfrm>
          <a:off x="3431547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306</xdr:row>
      <xdr:rowOff>302012</xdr:rowOff>
    </xdr:from>
    <xdr:to>
      <xdr:col>3</xdr:col>
      <xdr:colOff>1858543</xdr:colOff>
      <xdr:row>306</xdr:row>
      <xdr:rowOff>347731</xdr:rowOff>
    </xdr:to>
    <xdr:sp macro="" textlink="">
      <xdr:nvSpPr>
        <xdr:cNvPr id="186" name="Retângulo 185">
          <a:extLst>
            <a:ext uri="{FF2B5EF4-FFF2-40B4-BE49-F238E27FC236}">
              <a16:creationId xmlns:a16="http://schemas.microsoft.com/office/drawing/2014/main" id="{38F24CA2-F814-43B6-BE52-1CF07B69F31F}"/>
            </a:ext>
          </a:extLst>
        </xdr:cNvPr>
        <xdr:cNvSpPr/>
      </xdr:nvSpPr>
      <xdr:spPr>
        <a:xfrm>
          <a:off x="3431551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308</xdr:row>
      <xdr:rowOff>277164</xdr:rowOff>
    </xdr:from>
    <xdr:to>
      <xdr:col>3</xdr:col>
      <xdr:colOff>1689652</xdr:colOff>
      <xdr:row>308</xdr:row>
      <xdr:rowOff>322883</xdr:rowOff>
    </xdr:to>
    <xdr:sp macro="" textlink="">
      <xdr:nvSpPr>
        <xdr:cNvPr id="187" name="Retângulo 186">
          <a:extLst>
            <a:ext uri="{FF2B5EF4-FFF2-40B4-BE49-F238E27FC236}">
              <a16:creationId xmlns:a16="http://schemas.microsoft.com/office/drawing/2014/main" id="{D179836C-9A61-4FE7-9083-978358EEAAAD}"/>
            </a:ext>
          </a:extLst>
        </xdr:cNvPr>
        <xdr:cNvSpPr/>
      </xdr:nvSpPr>
      <xdr:spPr>
        <a:xfrm>
          <a:off x="3183712" y="50035764"/>
          <a:ext cx="249015" cy="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310</xdr:row>
      <xdr:rowOff>256762</xdr:rowOff>
    </xdr:from>
    <xdr:to>
      <xdr:col>3</xdr:col>
      <xdr:colOff>1689652</xdr:colOff>
      <xdr:row>310</xdr:row>
      <xdr:rowOff>339450</xdr:rowOff>
    </xdr:to>
    <xdr:sp macro="" textlink="">
      <xdr:nvSpPr>
        <xdr:cNvPr id="188" name="Retângulo 187">
          <a:extLst>
            <a:ext uri="{FF2B5EF4-FFF2-40B4-BE49-F238E27FC236}">
              <a16:creationId xmlns:a16="http://schemas.microsoft.com/office/drawing/2014/main" id="{3776ACD1-0056-4DD9-AA38-740DECED232C}"/>
            </a:ext>
          </a:extLst>
        </xdr:cNvPr>
        <xdr:cNvSpPr/>
      </xdr:nvSpPr>
      <xdr:spPr>
        <a:xfrm>
          <a:off x="3183712" y="50358262"/>
          <a:ext cx="249015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313</xdr:row>
      <xdr:rowOff>223630</xdr:rowOff>
    </xdr:from>
    <xdr:to>
      <xdr:col>3</xdr:col>
      <xdr:colOff>1679837</xdr:colOff>
      <xdr:row>313</xdr:row>
      <xdr:rowOff>339448</xdr:rowOff>
    </xdr:to>
    <xdr:sp macro="" textlink="">
      <xdr:nvSpPr>
        <xdr:cNvPr id="189" name="Retângulo 188">
          <a:extLst>
            <a:ext uri="{FF2B5EF4-FFF2-40B4-BE49-F238E27FC236}">
              <a16:creationId xmlns:a16="http://schemas.microsoft.com/office/drawing/2014/main" id="{71E492E5-511D-41EB-8CEA-2FA69D060402}"/>
            </a:ext>
          </a:extLst>
        </xdr:cNvPr>
        <xdr:cNvSpPr/>
      </xdr:nvSpPr>
      <xdr:spPr>
        <a:xfrm>
          <a:off x="3173897" y="50849005"/>
          <a:ext cx="25854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363</xdr:row>
      <xdr:rowOff>273331</xdr:rowOff>
    </xdr:from>
    <xdr:to>
      <xdr:col>3</xdr:col>
      <xdr:colOff>1679837</xdr:colOff>
      <xdr:row>363</xdr:row>
      <xdr:rowOff>389149</xdr:rowOff>
    </xdr:to>
    <xdr:sp macro="" textlink="">
      <xdr:nvSpPr>
        <xdr:cNvPr id="190" name="Retângulo 189">
          <a:extLst>
            <a:ext uri="{FF2B5EF4-FFF2-40B4-BE49-F238E27FC236}">
              <a16:creationId xmlns:a16="http://schemas.microsoft.com/office/drawing/2014/main" id="{ADBC204C-D476-422E-B3D6-FFF181A3F00B}"/>
            </a:ext>
          </a:extLst>
        </xdr:cNvPr>
        <xdr:cNvSpPr/>
      </xdr:nvSpPr>
      <xdr:spPr>
        <a:xfrm>
          <a:off x="3173897" y="58937806"/>
          <a:ext cx="258540" cy="1518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365</xdr:row>
      <xdr:rowOff>259126</xdr:rowOff>
    </xdr:from>
    <xdr:to>
      <xdr:col>3</xdr:col>
      <xdr:colOff>510444</xdr:colOff>
      <xdr:row>365</xdr:row>
      <xdr:rowOff>358383</xdr:rowOff>
    </xdr:to>
    <xdr:sp macro="" textlink="">
      <xdr:nvSpPr>
        <xdr:cNvPr id="191" name="Retângulo 190">
          <a:extLst>
            <a:ext uri="{FF2B5EF4-FFF2-40B4-BE49-F238E27FC236}">
              <a16:creationId xmlns:a16="http://schemas.microsoft.com/office/drawing/2014/main" id="{51BBD62F-22F5-4300-8115-23445203FB4E}"/>
            </a:ext>
          </a:extLst>
        </xdr:cNvPr>
        <xdr:cNvSpPr/>
      </xdr:nvSpPr>
      <xdr:spPr>
        <a:xfrm>
          <a:off x="3162537" y="592665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365</xdr:row>
      <xdr:rowOff>259126</xdr:rowOff>
    </xdr:from>
    <xdr:to>
      <xdr:col>3</xdr:col>
      <xdr:colOff>744487</xdr:colOff>
      <xdr:row>365</xdr:row>
      <xdr:rowOff>358383</xdr:rowOff>
    </xdr:to>
    <xdr:sp macro="" textlink="">
      <xdr:nvSpPr>
        <xdr:cNvPr id="192" name="Retângulo 191">
          <a:extLst>
            <a:ext uri="{FF2B5EF4-FFF2-40B4-BE49-F238E27FC236}">
              <a16:creationId xmlns:a16="http://schemas.microsoft.com/office/drawing/2014/main" id="{D926A6CD-F4A9-4F35-9DC3-96EB1C2BF517}"/>
            </a:ext>
          </a:extLst>
        </xdr:cNvPr>
        <xdr:cNvSpPr/>
      </xdr:nvSpPr>
      <xdr:spPr>
        <a:xfrm>
          <a:off x="3396580" y="592665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365</xdr:row>
      <xdr:rowOff>259126</xdr:rowOff>
    </xdr:from>
    <xdr:to>
      <xdr:col>3</xdr:col>
      <xdr:colOff>978530</xdr:colOff>
      <xdr:row>365</xdr:row>
      <xdr:rowOff>358383</xdr:rowOff>
    </xdr:to>
    <xdr:sp macro="" textlink="">
      <xdr:nvSpPr>
        <xdr:cNvPr id="193" name="Retângulo 192">
          <a:extLst>
            <a:ext uri="{FF2B5EF4-FFF2-40B4-BE49-F238E27FC236}">
              <a16:creationId xmlns:a16="http://schemas.microsoft.com/office/drawing/2014/main" id="{BE15E24D-550E-46D8-85FE-4A8E69F31BCD}"/>
            </a:ext>
          </a:extLst>
        </xdr:cNvPr>
        <xdr:cNvSpPr/>
      </xdr:nvSpPr>
      <xdr:spPr>
        <a:xfrm>
          <a:off x="3430598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365</xdr:row>
      <xdr:rowOff>259126</xdr:rowOff>
    </xdr:from>
    <xdr:to>
      <xdr:col>3</xdr:col>
      <xdr:colOff>1218016</xdr:colOff>
      <xdr:row>365</xdr:row>
      <xdr:rowOff>358383</xdr:rowOff>
    </xdr:to>
    <xdr:sp macro="" textlink="">
      <xdr:nvSpPr>
        <xdr:cNvPr id="194" name="Retângulo 193">
          <a:extLst>
            <a:ext uri="{FF2B5EF4-FFF2-40B4-BE49-F238E27FC236}">
              <a16:creationId xmlns:a16="http://schemas.microsoft.com/office/drawing/2014/main" id="{6434E6D7-6290-4994-B3AB-66BDCC472835}"/>
            </a:ext>
          </a:extLst>
        </xdr:cNvPr>
        <xdr:cNvSpPr/>
      </xdr:nvSpPr>
      <xdr:spPr>
        <a:xfrm>
          <a:off x="3431959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365</xdr:row>
      <xdr:rowOff>259126</xdr:rowOff>
    </xdr:from>
    <xdr:to>
      <xdr:col>3</xdr:col>
      <xdr:colOff>1457502</xdr:colOff>
      <xdr:row>365</xdr:row>
      <xdr:rowOff>358383</xdr:rowOff>
    </xdr:to>
    <xdr:sp macro="" textlink="">
      <xdr:nvSpPr>
        <xdr:cNvPr id="195" name="Retângulo 194">
          <a:extLst>
            <a:ext uri="{FF2B5EF4-FFF2-40B4-BE49-F238E27FC236}">
              <a16:creationId xmlns:a16="http://schemas.microsoft.com/office/drawing/2014/main" id="{85882718-9F08-4FC1-8FC7-28E6DBD96D13}"/>
            </a:ext>
          </a:extLst>
        </xdr:cNvPr>
        <xdr:cNvSpPr/>
      </xdr:nvSpPr>
      <xdr:spPr>
        <a:xfrm>
          <a:off x="3433320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365</xdr:row>
      <xdr:rowOff>259126</xdr:rowOff>
    </xdr:from>
    <xdr:to>
      <xdr:col>3</xdr:col>
      <xdr:colOff>1696988</xdr:colOff>
      <xdr:row>365</xdr:row>
      <xdr:rowOff>358383</xdr:rowOff>
    </xdr:to>
    <xdr:sp macro="" textlink="">
      <xdr:nvSpPr>
        <xdr:cNvPr id="196" name="Retângulo 195">
          <a:extLst>
            <a:ext uri="{FF2B5EF4-FFF2-40B4-BE49-F238E27FC236}">
              <a16:creationId xmlns:a16="http://schemas.microsoft.com/office/drawing/2014/main" id="{E684BE4C-AB62-4459-ACE3-49AB129AEE8A}"/>
            </a:ext>
          </a:extLst>
        </xdr:cNvPr>
        <xdr:cNvSpPr/>
      </xdr:nvSpPr>
      <xdr:spPr>
        <a:xfrm>
          <a:off x="3425156" y="592665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381</xdr:row>
      <xdr:rowOff>259126</xdr:rowOff>
    </xdr:from>
    <xdr:to>
      <xdr:col>3</xdr:col>
      <xdr:colOff>510444</xdr:colOff>
      <xdr:row>381</xdr:row>
      <xdr:rowOff>358383</xdr:rowOff>
    </xdr:to>
    <xdr:sp macro="" textlink="">
      <xdr:nvSpPr>
        <xdr:cNvPr id="197" name="Retângulo 196">
          <a:extLst>
            <a:ext uri="{FF2B5EF4-FFF2-40B4-BE49-F238E27FC236}">
              <a16:creationId xmlns:a16="http://schemas.microsoft.com/office/drawing/2014/main" id="{020105FA-1E29-48FC-AB6C-25AA4B963C77}"/>
            </a:ext>
          </a:extLst>
        </xdr:cNvPr>
        <xdr:cNvSpPr/>
      </xdr:nvSpPr>
      <xdr:spPr>
        <a:xfrm>
          <a:off x="3162537" y="618573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381</xdr:row>
      <xdr:rowOff>259126</xdr:rowOff>
    </xdr:from>
    <xdr:to>
      <xdr:col>3</xdr:col>
      <xdr:colOff>744487</xdr:colOff>
      <xdr:row>381</xdr:row>
      <xdr:rowOff>358383</xdr:rowOff>
    </xdr:to>
    <xdr:sp macro="" textlink="">
      <xdr:nvSpPr>
        <xdr:cNvPr id="198" name="Retângulo 197">
          <a:extLst>
            <a:ext uri="{FF2B5EF4-FFF2-40B4-BE49-F238E27FC236}">
              <a16:creationId xmlns:a16="http://schemas.microsoft.com/office/drawing/2014/main" id="{6A35BDF5-3DBA-4459-9958-7188D0B79743}"/>
            </a:ext>
          </a:extLst>
        </xdr:cNvPr>
        <xdr:cNvSpPr/>
      </xdr:nvSpPr>
      <xdr:spPr>
        <a:xfrm>
          <a:off x="3396580" y="618573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381</xdr:row>
      <xdr:rowOff>259126</xdr:rowOff>
    </xdr:from>
    <xdr:to>
      <xdr:col>3</xdr:col>
      <xdr:colOff>978530</xdr:colOff>
      <xdr:row>381</xdr:row>
      <xdr:rowOff>358383</xdr:rowOff>
    </xdr:to>
    <xdr:sp macro="" textlink="">
      <xdr:nvSpPr>
        <xdr:cNvPr id="199" name="Retângulo 198">
          <a:extLst>
            <a:ext uri="{FF2B5EF4-FFF2-40B4-BE49-F238E27FC236}">
              <a16:creationId xmlns:a16="http://schemas.microsoft.com/office/drawing/2014/main" id="{DE5C5C08-F343-455C-B25E-B58BB4367569}"/>
            </a:ext>
          </a:extLst>
        </xdr:cNvPr>
        <xdr:cNvSpPr/>
      </xdr:nvSpPr>
      <xdr:spPr>
        <a:xfrm>
          <a:off x="3430598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381</xdr:row>
      <xdr:rowOff>259126</xdr:rowOff>
    </xdr:from>
    <xdr:to>
      <xdr:col>3</xdr:col>
      <xdr:colOff>1218016</xdr:colOff>
      <xdr:row>381</xdr:row>
      <xdr:rowOff>358383</xdr:rowOff>
    </xdr:to>
    <xdr:sp macro="" textlink="">
      <xdr:nvSpPr>
        <xdr:cNvPr id="200" name="Retângulo 199">
          <a:extLst>
            <a:ext uri="{FF2B5EF4-FFF2-40B4-BE49-F238E27FC236}">
              <a16:creationId xmlns:a16="http://schemas.microsoft.com/office/drawing/2014/main" id="{DB3BF466-79F5-457F-8AA9-89D1FB7B2316}"/>
            </a:ext>
          </a:extLst>
        </xdr:cNvPr>
        <xdr:cNvSpPr/>
      </xdr:nvSpPr>
      <xdr:spPr>
        <a:xfrm>
          <a:off x="3431959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381</xdr:row>
      <xdr:rowOff>259126</xdr:rowOff>
    </xdr:from>
    <xdr:to>
      <xdr:col>3</xdr:col>
      <xdr:colOff>1457502</xdr:colOff>
      <xdr:row>381</xdr:row>
      <xdr:rowOff>358383</xdr:rowOff>
    </xdr:to>
    <xdr:sp macro="" textlink="">
      <xdr:nvSpPr>
        <xdr:cNvPr id="201" name="Retângulo 200">
          <a:extLst>
            <a:ext uri="{FF2B5EF4-FFF2-40B4-BE49-F238E27FC236}">
              <a16:creationId xmlns:a16="http://schemas.microsoft.com/office/drawing/2014/main" id="{F1FA3A70-6151-41A4-A588-72D28CEE731B}"/>
            </a:ext>
          </a:extLst>
        </xdr:cNvPr>
        <xdr:cNvSpPr/>
      </xdr:nvSpPr>
      <xdr:spPr>
        <a:xfrm>
          <a:off x="3433320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381</xdr:row>
      <xdr:rowOff>259126</xdr:rowOff>
    </xdr:from>
    <xdr:to>
      <xdr:col>3</xdr:col>
      <xdr:colOff>1696988</xdr:colOff>
      <xdr:row>381</xdr:row>
      <xdr:rowOff>358383</xdr:rowOff>
    </xdr:to>
    <xdr:sp macro="" textlink="">
      <xdr:nvSpPr>
        <xdr:cNvPr id="202" name="Retângulo 201">
          <a:extLst>
            <a:ext uri="{FF2B5EF4-FFF2-40B4-BE49-F238E27FC236}">
              <a16:creationId xmlns:a16="http://schemas.microsoft.com/office/drawing/2014/main" id="{1E32FBEE-F246-4DC7-AEA5-2CCFC84DEB4D}"/>
            </a:ext>
          </a:extLst>
        </xdr:cNvPr>
        <xdr:cNvSpPr/>
      </xdr:nvSpPr>
      <xdr:spPr>
        <a:xfrm>
          <a:off x="3425156" y="618573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419101</xdr:colOff>
      <xdr:row>367</xdr:row>
      <xdr:rowOff>52304</xdr:rowOff>
    </xdr:from>
    <xdr:to>
      <xdr:col>3</xdr:col>
      <xdr:colOff>510445</xdr:colOff>
      <xdr:row>367</xdr:row>
      <xdr:rowOff>555171</xdr:rowOff>
    </xdr:to>
    <xdr:sp macro="" textlink="">
      <xdr:nvSpPr>
        <xdr:cNvPr id="203" name="Retângulo 202">
          <a:extLst>
            <a:ext uri="{FF2B5EF4-FFF2-40B4-BE49-F238E27FC236}">
              <a16:creationId xmlns:a16="http://schemas.microsoft.com/office/drawing/2014/main" id="{E2F51FF4-6602-4DC3-A94B-4CF99AA1F2C3}"/>
            </a:ext>
          </a:extLst>
        </xdr:cNvPr>
        <xdr:cNvSpPr/>
      </xdr:nvSpPr>
      <xdr:spPr>
        <a:xfrm>
          <a:off x="3162301" y="59478779"/>
          <a:ext cx="9134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653144</xdr:colOff>
      <xdr:row>367</xdr:row>
      <xdr:rowOff>52304</xdr:rowOff>
    </xdr:from>
    <xdr:to>
      <xdr:col>3</xdr:col>
      <xdr:colOff>744488</xdr:colOff>
      <xdr:row>367</xdr:row>
      <xdr:rowOff>555171</xdr:rowOff>
    </xdr:to>
    <xdr:sp macro="" textlink="">
      <xdr:nvSpPr>
        <xdr:cNvPr id="204" name="Retângulo 203">
          <a:extLst>
            <a:ext uri="{FF2B5EF4-FFF2-40B4-BE49-F238E27FC236}">
              <a16:creationId xmlns:a16="http://schemas.microsoft.com/office/drawing/2014/main" id="{C4AE4EA0-25E8-484E-8080-AA37E757DDCF}"/>
            </a:ext>
          </a:extLst>
        </xdr:cNvPr>
        <xdr:cNvSpPr/>
      </xdr:nvSpPr>
      <xdr:spPr>
        <a:xfrm>
          <a:off x="3396344" y="59478779"/>
          <a:ext cx="3419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887187</xdr:colOff>
      <xdr:row>367</xdr:row>
      <xdr:rowOff>52304</xdr:rowOff>
    </xdr:from>
    <xdr:to>
      <xdr:col>3</xdr:col>
      <xdr:colOff>978531</xdr:colOff>
      <xdr:row>367</xdr:row>
      <xdr:rowOff>555171</xdr:rowOff>
    </xdr:to>
    <xdr:sp macro="" textlink="">
      <xdr:nvSpPr>
        <xdr:cNvPr id="205" name="Retângulo 204">
          <a:extLst>
            <a:ext uri="{FF2B5EF4-FFF2-40B4-BE49-F238E27FC236}">
              <a16:creationId xmlns:a16="http://schemas.microsoft.com/office/drawing/2014/main" id="{0879753F-068D-46BC-A591-2C3BF6C6F7E4}"/>
            </a:ext>
          </a:extLst>
        </xdr:cNvPr>
        <xdr:cNvSpPr/>
      </xdr:nvSpPr>
      <xdr:spPr>
        <a:xfrm>
          <a:off x="3430362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1126673</xdr:colOff>
      <xdr:row>367</xdr:row>
      <xdr:rowOff>52304</xdr:rowOff>
    </xdr:from>
    <xdr:to>
      <xdr:col>3</xdr:col>
      <xdr:colOff>1218017</xdr:colOff>
      <xdr:row>367</xdr:row>
      <xdr:rowOff>555171</xdr:rowOff>
    </xdr:to>
    <xdr:sp macro="" textlink="">
      <xdr:nvSpPr>
        <xdr:cNvPr id="206" name="Retângulo 205">
          <a:extLst>
            <a:ext uri="{FF2B5EF4-FFF2-40B4-BE49-F238E27FC236}">
              <a16:creationId xmlns:a16="http://schemas.microsoft.com/office/drawing/2014/main" id="{60D3883F-F735-4457-9CDA-7280177BFC87}"/>
            </a:ext>
          </a:extLst>
        </xdr:cNvPr>
        <xdr:cNvSpPr/>
      </xdr:nvSpPr>
      <xdr:spPr>
        <a:xfrm>
          <a:off x="3431723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1366159</xdr:colOff>
      <xdr:row>367</xdr:row>
      <xdr:rowOff>52304</xdr:rowOff>
    </xdr:from>
    <xdr:to>
      <xdr:col>3</xdr:col>
      <xdr:colOff>1457503</xdr:colOff>
      <xdr:row>367</xdr:row>
      <xdr:rowOff>555171</xdr:rowOff>
    </xdr:to>
    <xdr:sp macro="" textlink="">
      <xdr:nvSpPr>
        <xdr:cNvPr id="207" name="Retângulo 206">
          <a:extLst>
            <a:ext uri="{FF2B5EF4-FFF2-40B4-BE49-F238E27FC236}">
              <a16:creationId xmlns:a16="http://schemas.microsoft.com/office/drawing/2014/main" id="{F34606B2-EB7A-417E-A590-8BCDC92097F6}"/>
            </a:ext>
          </a:extLst>
        </xdr:cNvPr>
        <xdr:cNvSpPr/>
      </xdr:nvSpPr>
      <xdr:spPr>
        <a:xfrm>
          <a:off x="3433084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1605645</xdr:colOff>
      <xdr:row>367</xdr:row>
      <xdr:rowOff>52304</xdr:rowOff>
    </xdr:from>
    <xdr:to>
      <xdr:col>3</xdr:col>
      <xdr:colOff>1696989</xdr:colOff>
      <xdr:row>367</xdr:row>
      <xdr:rowOff>555171</xdr:rowOff>
    </xdr:to>
    <xdr:sp macro="" textlink="">
      <xdr:nvSpPr>
        <xdr:cNvPr id="208" name="Retângulo 207">
          <a:extLst>
            <a:ext uri="{FF2B5EF4-FFF2-40B4-BE49-F238E27FC236}">
              <a16:creationId xmlns:a16="http://schemas.microsoft.com/office/drawing/2014/main" id="{A6B2FD71-FEE3-489C-93F0-74DE389306EE}"/>
            </a:ext>
          </a:extLst>
        </xdr:cNvPr>
        <xdr:cNvSpPr/>
      </xdr:nvSpPr>
      <xdr:spPr>
        <a:xfrm>
          <a:off x="3424920" y="59478779"/>
          <a:ext cx="5619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675622</xdr:colOff>
      <xdr:row>371</xdr:row>
      <xdr:rowOff>60024</xdr:rowOff>
    </xdr:from>
    <xdr:to>
      <xdr:col>3</xdr:col>
      <xdr:colOff>1437652</xdr:colOff>
      <xdr:row>371</xdr:row>
      <xdr:rowOff>564024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B87FF3D3-6832-4A28-9353-494B3C69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8822" y="60134199"/>
          <a:ext cx="9555" cy="103950"/>
        </a:xfrm>
        <a:prstGeom prst="rect">
          <a:avLst/>
        </a:prstGeom>
      </xdr:spPr>
    </xdr:pic>
    <xdr:clientData/>
  </xdr:twoCellAnchor>
  <xdr:twoCellAnchor>
    <xdr:from>
      <xdr:col>3</xdr:col>
      <xdr:colOff>672955</xdr:colOff>
      <xdr:row>373</xdr:row>
      <xdr:rowOff>60024</xdr:rowOff>
    </xdr:from>
    <xdr:to>
      <xdr:col>3</xdr:col>
      <xdr:colOff>1439764</xdr:colOff>
      <xdr:row>373</xdr:row>
      <xdr:rowOff>564024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EE5A9D18-5C58-495D-9E07-FF74AFBE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63955" y="160861074"/>
          <a:ext cx="766809" cy="504000"/>
        </a:xfrm>
        <a:prstGeom prst="rect">
          <a:avLst/>
        </a:prstGeom>
      </xdr:spPr>
    </xdr:pic>
    <xdr:clientData/>
  </xdr:twoCellAnchor>
  <xdr:twoCellAnchor>
    <xdr:from>
      <xdr:col>3</xdr:col>
      <xdr:colOff>680154</xdr:colOff>
      <xdr:row>375</xdr:row>
      <xdr:rowOff>60024</xdr:rowOff>
    </xdr:from>
    <xdr:to>
      <xdr:col>3</xdr:col>
      <xdr:colOff>1434061</xdr:colOff>
      <xdr:row>375</xdr:row>
      <xdr:rowOff>564024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169FD8C5-99AD-4334-A1C9-A247943D9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1154" y="161727849"/>
          <a:ext cx="753907" cy="504000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387</xdr:row>
      <xdr:rowOff>107576</xdr:rowOff>
    </xdr:from>
    <xdr:to>
      <xdr:col>3</xdr:col>
      <xdr:colOff>1632900</xdr:colOff>
      <xdr:row>387</xdr:row>
      <xdr:rowOff>437265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3AA91DBD-6F71-4150-BFE6-C79D697C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772551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835602</xdr:colOff>
      <xdr:row>356</xdr:row>
      <xdr:rowOff>86552</xdr:rowOff>
    </xdr:from>
    <xdr:to>
      <xdr:col>3</xdr:col>
      <xdr:colOff>1293203</xdr:colOff>
      <xdr:row>356</xdr:row>
      <xdr:rowOff>518552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9049DB13-704B-4C87-9D84-7252C80A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6402" y="57731852"/>
          <a:ext cx="401" cy="79575"/>
        </a:xfrm>
        <a:prstGeom prst="rect">
          <a:avLst/>
        </a:prstGeom>
      </xdr:spPr>
    </xdr:pic>
    <xdr:clientData/>
  </xdr:twoCellAnchor>
  <xdr:twoCellAnchor>
    <xdr:from>
      <xdr:col>3</xdr:col>
      <xdr:colOff>853204</xdr:colOff>
      <xdr:row>360</xdr:row>
      <xdr:rowOff>117588</xdr:rowOff>
    </xdr:from>
    <xdr:to>
      <xdr:col>3</xdr:col>
      <xdr:colOff>1298958</xdr:colOff>
      <xdr:row>360</xdr:row>
      <xdr:rowOff>477588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448BAFE9-303E-4A35-8407-0251DB4AA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24954" y="58410588"/>
          <a:ext cx="7604" cy="4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861392</xdr:colOff>
      <xdr:row>358</xdr:row>
      <xdr:rowOff>182217</xdr:rowOff>
    </xdr:from>
    <xdr:to>
      <xdr:col>3</xdr:col>
      <xdr:colOff>1329448</xdr:colOff>
      <xdr:row>358</xdr:row>
      <xdr:rowOff>417444</xdr:rowOff>
    </xdr:to>
    <xdr:pic>
      <xdr:nvPicPr>
        <xdr:cNvPr id="215" name="Imagem 214" descr="Sentido Obrigatório.jpg">
          <a:extLst>
            <a:ext uri="{FF2B5EF4-FFF2-40B4-BE49-F238E27FC236}">
              <a16:creationId xmlns:a16="http://schemas.microsoft.com/office/drawing/2014/main" id="{7FBF09F9-2F10-4638-89B6-73A8CDAB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3433142" y="58132317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101</xdr:row>
      <xdr:rowOff>199211</xdr:rowOff>
    </xdr:from>
    <xdr:to>
      <xdr:col>3</xdr:col>
      <xdr:colOff>2113197</xdr:colOff>
      <xdr:row>102</xdr:row>
      <xdr:rowOff>498092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343C74AC-A0A6-44D9-BD2D-593FC232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4408818"/>
          <a:ext cx="764049" cy="543810"/>
        </a:xfrm>
        <a:prstGeom prst="rect">
          <a:avLst/>
        </a:prstGeom>
      </xdr:spPr>
    </xdr:pic>
    <xdr:clientData/>
  </xdr:twoCellAnchor>
  <xdr:twoCellAnchor>
    <xdr:from>
      <xdr:col>3</xdr:col>
      <xdr:colOff>1311888</xdr:colOff>
      <xdr:row>103</xdr:row>
      <xdr:rowOff>172092</xdr:rowOff>
    </xdr:from>
    <xdr:to>
      <xdr:col>3</xdr:col>
      <xdr:colOff>2159612</xdr:colOff>
      <xdr:row>104</xdr:row>
      <xdr:rowOff>526466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68BC7594-291A-4A1F-BB19-ABA01B4E7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58602" y="45252556"/>
          <a:ext cx="847724" cy="59930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8</xdr:row>
      <xdr:rowOff>152400</xdr:rowOff>
    </xdr:from>
    <xdr:ext cx="5133884" cy="4036967"/>
    <xdr:pic>
      <xdr:nvPicPr>
        <xdr:cNvPr id="2" name="image3.png">
          <a:extLst>
            <a:ext uri="{FF2B5EF4-FFF2-40B4-BE49-F238E27FC236}">
              <a16:creationId xmlns:a16="http://schemas.microsoft.com/office/drawing/2014/main" id="{5A017223-BD7C-465B-B53B-433D66F049F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1886" y="1458686"/>
          <a:ext cx="5133884" cy="4036967"/>
        </a:xfrm>
        <a:prstGeom prst="rect">
          <a:avLst/>
        </a:prstGeom>
      </xdr:spPr>
    </xdr:pic>
    <xdr:clientData/>
  </xdr:oneCellAnchor>
  <xdr:oneCellAnchor>
    <xdr:from>
      <xdr:col>0</xdr:col>
      <xdr:colOff>403225</xdr:colOff>
      <xdr:row>51</xdr:row>
      <xdr:rowOff>6350</xdr:rowOff>
    </xdr:from>
    <xdr:ext cx="4867185" cy="4261393"/>
    <xdr:pic>
      <xdr:nvPicPr>
        <xdr:cNvPr id="3" name="image4.png">
          <a:extLst>
            <a:ext uri="{FF2B5EF4-FFF2-40B4-BE49-F238E27FC236}">
              <a16:creationId xmlns:a16="http://schemas.microsoft.com/office/drawing/2014/main" id="{B2BEC21B-E967-438D-9FBE-CBE86208844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5946" y="8335282"/>
          <a:ext cx="4867185" cy="4261393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99</xdr:row>
      <xdr:rowOff>142875</xdr:rowOff>
    </xdr:from>
    <xdr:ext cx="5853975" cy="2867388"/>
    <xdr:pic>
      <xdr:nvPicPr>
        <xdr:cNvPr id="4" name="image5.png">
          <a:extLst>
            <a:ext uri="{FF2B5EF4-FFF2-40B4-BE49-F238E27FC236}">
              <a16:creationId xmlns:a16="http://schemas.microsoft.com/office/drawing/2014/main" id="{6BDE5520-5699-4C3E-9FF0-3D0DABDF0139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8471" y="16306800"/>
          <a:ext cx="5853975" cy="2867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0</xdr:rowOff>
    </xdr:from>
    <xdr:ext cx="5685881" cy="2921181"/>
    <xdr:pic>
      <xdr:nvPicPr>
        <xdr:cNvPr id="5" name="image6.png">
          <a:extLst>
            <a:ext uri="{FF2B5EF4-FFF2-40B4-BE49-F238E27FC236}">
              <a16:creationId xmlns:a16="http://schemas.microsoft.com/office/drawing/2014/main" id="{D3BDAFCD-B849-44ED-BD42-F53E2250D185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2860000"/>
          <a:ext cx="5685881" cy="2921181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186</xdr:row>
      <xdr:rowOff>142875</xdr:rowOff>
    </xdr:from>
    <xdr:ext cx="5737770" cy="2640784"/>
    <xdr:pic>
      <xdr:nvPicPr>
        <xdr:cNvPr id="6" name="image7.png">
          <a:extLst>
            <a:ext uri="{FF2B5EF4-FFF2-40B4-BE49-F238E27FC236}">
              <a16:creationId xmlns:a16="http://schemas.microsoft.com/office/drawing/2014/main" id="{4721FFAA-E591-41CC-9A72-B122EE6B2F38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0371" y="30512657"/>
          <a:ext cx="5737770" cy="26407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5744482" cy="2635340"/>
    <xdr:pic>
      <xdr:nvPicPr>
        <xdr:cNvPr id="7" name="image7.png">
          <a:extLst>
            <a:ext uri="{FF2B5EF4-FFF2-40B4-BE49-F238E27FC236}">
              <a16:creationId xmlns:a16="http://schemas.microsoft.com/office/drawing/2014/main" id="{1473712A-CF8E-49EA-A44D-8381B49B6F9F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5106429"/>
          <a:ext cx="5744482" cy="2635340"/>
        </a:xfrm>
        <a:prstGeom prst="rect">
          <a:avLst/>
        </a:prstGeom>
      </xdr:spPr>
    </xdr:pic>
    <xdr:clientData/>
  </xdr:oneCellAnchor>
  <xdr:twoCellAnchor>
    <xdr:from>
      <xdr:col>0</xdr:col>
      <xdr:colOff>723900</xdr:colOff>
      <xdr:row>242</xdr:row>
      <xdr:rowOff>9525</xdr:rowOff>
    </xdr:from>
    <xdr:to>
      <xdr:col>3</xdr:col>
      <xdr:colOff>838200</xdr:colOff>
      <xdr:row>258</xdr:row>
      <xdr:rowOff>85725</xdr:rowOff>
    </xdr:to>
    <xdr:pic>
      <xdr:nvPicPr>
        <xdr:cNvPr id="8" name="image8.png">
          <a:extLst>
            <a:ext uri="{FF2B5EF4-FFF2-40B4-BE49-F238E27FC236}">
              <a16:creationId xmlns:a16="http://schemas.microsoft.com/office/drawing/2014/main" id="{3ED9A545-ED0A-4E6C-A351-93E497A11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9526029"/>
          <a:ext cx="2057400" cy="2688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504825</xdr:colOff>
      <xdr:row>265</xdr:row>
      <xdr:rowOff>57806</xdr:rowOff>
    </xdr:from>
    <xdr:to>
      <xdr:col>5</xdr:col>
      <xdr:colOff>723900</xdr:colOff>
      <xdr:row>275</xdr:row>
      <xdr:rowOff>190499</xdr:rowOff>
    </xdr:to>
    <xdr:pic>
      <xdr:nvPicPr>
        <xdr:cNvPr id="9" name="image9.png">
          <a:extLst>
            <a:ext uri="{FF2B5EF4-FFF2-40B4-BE49-F238E27FC236}">
              <a16:creationId xmlns:a16="http://schemas.microsoft.com/office/drawing/2014/main" id="{1FE8BDAF-21F1-4B86-978E-A00C4C120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86" y="43331241"/>
          <a:ext cx="3608614" cy="1735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23812</xdr:colOff>
      <xdr:row>287</xdr:row>
      <xdr:rowOff>150812</xdr:rowOff>
    </xdr:from>
    <xdr:ext cx="5627915" cy="1273901"/>
    <xdr:pic>
      <xdr:nvPicPr>
        <xdr:cNvPr id="10" name="image10.png">
          <a:extLst>
            <a:ext uri="{FF2B5EF4-FFF2-40B4-BE49-F238E27FC236}">
              <a16:creationId xmlns:a16="http://schemas.microsoft.com/office/drawing/2014/main" id="{BA48769F-41F1-49F9-93A2-537F58C01D6D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533" y="47013812"/>
          <a:ext cx="5627915" cy="1273901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303</xdr:row>
      <xdr:rowOff>28575</xdr:rowOff>
    </xdr:from>
    <xdr:ext cx="5632087" cy="1270726"/>
    <xdr:pic>
      <xdr:nvPicPr>
        <xdr:cNvPr id="11" name="image10.png">
          <a:extLst>
            <a:ext uri="{FF2B5EF4-FFF2-40B4-BE49-F238E27FC236}">
              <a16:creationId xmlns:a16="http://schemas.microsoft.com/office/drawing/2014/main" id="{38774EDF-2D3E-4F59-8B13-DB0B3D65870C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4300" y="49502785"/>
          <a:ext cx="5632087" cy="1270726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323</xdr:row>
      <xdr:rowOff>114300</xdr:rowOff>
    </xdr:from>
    <xdr:ext cx="5624739" cy="1625146"/>
    <xdr:pic>
      <xdr:nvPicPr>
        <xdr:cNvPr id="12" name="image11.png">
          <a:extLst>
            <a:ext uri="{FF2B5EF4-FFF2-40B4-BE49-F238E27FC236}">
              <a16:creationId xmlns:a16="http://schemas.microsoft.com/office/drawing/2014/main" id="{302D6904-D9B0-4A76-A9A1-471C65A8B1A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8986" y="52855586"/>
          <a:ext cx="5624739" cy="16251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0</xdr:rowOff>
    </xdr:from>
    <xdr:ext cx="5630182" cy="1625782"/>
    <xdr:pic>
      <xdr:nvPicPr>
        <xdr:cNvPr id="13" name="image11.png">
          <a:extLst>
            <a:ext uri="{FF2B5EF4-FFF2-40B4-BE49-F238E27FC236}">
              <a16:creationId xmlns:a16="http://schemas.microsoft.com/office/drawing/2014/main" id="{218231F1-AFCF-4B1D-9A8A-6147715C99AA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6333571"/>
          <a:ext cx="5630182" cy="162578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367</xdr:row>
      <xdr:rowOff>19050</xdr:rowOff>
    </xdr:from>
    <xdr:ext cx="5492841" cy="3407864"/>
    <xdr:pic>
      <xdr:nvPicPr>
        <xdr:cNvPr id="14" name="image12.png">
          <a:extLst>
            <a:ext uri="{FF2B5EF4-FFF2-40B4-BE49-F238E27FC236}">
              <a16:creationId xmlns:a16="http://schemas.microsoft.com/office/drawing/2014/main" id="{7EC4712A-C773-474B-BCF7-40D19A782128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9947628"/>
          <a:ext cx="5492841" cy="3407864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399</xdr:row>
      <xdr:rowOff>9525</xdr:rowOff>
    </xdr:from>
    <xdr:ext cx="5687151" cy="1677397"/>
    <xdr:pic>
      <xdr:nvPicPr>
        <xdr:cNvPr id="15" name="image13.png">
          <a:extLst>
            <a:ext uri="{FF2B5EF4-FFF2-40B4-BE49-F238E27FC236}">
              <a16:creationId xmlns:a16="http://schemas.microsoft.com/office/drawing/2014/main" id="{1E33A6AD-7441-42DB-8113-63A287F0AD8B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214" y="65161886"/>
          <a:ext cx="5687151" cy="16773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420</xdr:row>
      <xdr:rowOff>0</xdr:rowOff>
    </xdr:from>
    <xdr:ext cx="5172982" cy="1615530"/>
    <xdr:pic>
      <xdr:nvPicPr>
        <xdr:cNvPr id="16" name="image14.png">
          <a:extLst>
            <a:ext uri="{FF2B5EF4-FFF2-40B4-BE49-F238E27FC236}">
              <a16:creationId xmlns:a16="http://schemas.microsoft.com/office/drawing/2014/main" id="{F8AB6B6A-51A2-47C8-9453-9AC4EAC7147B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68580000"/>
          <a:ext cx="5172982" cy="1615530"/>
        </a:xfrm>
        <a:prstGeom prst="rect">
          <a:avLst/>
        </a:prstGeom>
      </xdr:spPr>
    </xdr:pic>
    <xdr:clientData/>
  </xdr:oneCellAnchor>
  <xdr:oneCellAnchor>
    <xdr:from>
      <xdr:col>0</xdr:col>
      <xdr:colOff>698500</xdr:colOff>
      <xdr:row>437</xdr:row>
      <xdr:rowOff>7938</xdr:rowOff>
    </xdr:from>
    <xdr:ext cx="4140109" cy="2219053"/>
    <xdr:pic>
      <xdr:nvPicPr>
        <xdr:cNvPr id="17" name="image15.png">
          <a:extLst>
            <a:ext uri="{FF2B5EF4-FFF2-40B4-BE49-F238E27FC236}">
              <a16:creationId xmlns:a16="http://schemas.microsoft.com/office/drawing/2014/main" id="{2466DFFC-F292-4233-ADC0-81E10027A70B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88975" y="71365156"/>
          <a:ext cx="4140109" cy="22190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462</xdr:row>
      <xdr:rowOff>0</xdr:rowOff>
    </xdr:from>
    <xdr:ext cx="5680710" cy="1531983"/>
    <xdr:pic>
      <xdr:nvPicPr>
        <xdr:cNvPr id="18" name="image16.png">
          <a:extLst>
            <a:ext uri="{FF2B5EF4-FFF2-40B4-BE49-F238E27FC236}">
              <a16:creationId xmlns:a16="http://schemas.microsoft.com/office/drawing/2014/main" id="{B97E2F59-9C38-4A74-9C15-887F309622F2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75438000"/>
          <a:ext cx="5680710" cy="1531983"/>
        </a:xfrm>
        <a:prstGeom prst="rect">
          <a:avLst/>
        </a:prstGeom>
      </xdr:spPr>
    </xdr:pic>
    <xdr:clientData/>
  </xdr:oneCellAnchor>
  <xdr:oneCellAnchor>
    <xdr:from>
      <xdr:col>0</xdr:col>
      <xdr:colOff>103187</xdr:colOff>
      <xdr:row>478</xdr:row>
      <xdr:rowOff>134937</xdr:rowOff>
    </xdr:from>
    <xdr:ext cx="5807166" cy="2378529"/>
    <xdr:pic>
      <xdr:nvPicPr>
        <xdr:cNvPr id="19" name="image17.jpeg">
          <a:extLst>
            <a:ext uri="{FF2B5EF4-FFF2-40B4-BE49-F238E27FC236}">
              <a16:creationId xmlns:a16="http://schemas.microsoft.com/office/drawing/2014/main" id="{FB167DF4-8D28-418D-8257-C3B088127348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1826" y="78188229"/>
          <a:ext cx="5807166" cy="2378529"/>
        </a:xfrm>
        <a:prstGeom prst="rect">
          <a:avLst/>
        </a:prstGeom>
      </xdr:spPr>
    </xdr:pic>
    <xdr:clientData/>
  </xdr:oneCellAnchor>
  <xdr:oneCellAnchor>
    <xdr:from>
      <xdr:col>1</xdr:col>
      <xdr:colOff>77787</xdr:colOff>
      <xdr:row>504</xdr:row>
      <xdr:rowOff>150812</xdr:rowOff>
    </xdr:from>
    <xdr:ext cx="3905432" cy="2872559"/>
    <xdr:pic>
      <xdr:nvPicPr>
        <xdr:cNvPr id="20" name="image18.png">
          <a:extLst>
            <a:ext uri="{FF2B5EF4-FFF2-40B4-BE49-F238E27FC236}">
              <a16:creationId xmlns:a16="http://schemas.microsoft.com/office/drawing/2014/main" id="{86F4A731-F778-4AEF-BD9E-000813FFE931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63587" y="82446812"/>
          <a:ext cx="3905432" cy="2872559"/>
        </a:xfrm>
        <a:prstGeom prst="rect">
          <a:avLst/>
        </a:prstGeom>
      </xdr:spPr>
    </xdr:pic>
    <xdr:clientData/>
  </xdr:oneCellAnchor>
  <xdr:twoCellAnchor>
    <xdr:from>
      <xdr:col>1</xdr:col>
      <xdr:colOff>171450</xdr:colOff>
      <xdr:row>536</xdr:row>
      <xdr:rowOff>133350</xdr:rowOff>
    </xdr:from>
    <xdr:to>
      <xdr:col>6</xdr:col>
      <xdr:colOff>85725</xdr:colOff>
      <xdr:row>564</xdr:row>
      <xdr:rowOff>47625</xdr:rowOff>
    </xdr:to>
    <xdr:pic>
      <xdr:nvPicPr>
        <xdr:cNvPr id="21" name="image19.png">
          <a:extLst>
            <a:ext uri="{FF2B5EF4-FFF2-40B4-BE49-F238E27FC236}">
              <a16:creationId xmlns:a16="http://schemas.microsoft.com/office/drawing/2014/main" id="{3D37CC33-56E8-4716-B58D-8BA0DC9A8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971" y="87657214"/>
          <a:ext cx="3341915" cy="448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742950</xdr:colOff>
      <xdr:row>583</xdr:row>
      <xdr:rowOff>66675</xdr:rowOff>
    </xdr:from>
    <xdr:ext cx="4432119" cy="4556307"/>
    <xdr:pic>
      <xdr:nvPicPr>
        <xdr:cNvPr id="22" name="image20.png">
          <a:extLst>
            <a:ext uri="{FF2B5EF4-FFF2-40B4-BE49-F238E27FC236}">
              <a16:creationId xmlns:a16="http://schemas.microsoft.com/office/drawing/2014/main" id="{C545D72C-406E-4579-95EE-6FBF47D3AB2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85800" y="95260885"/>
          <a:ext cx="4432119" cy="4556307"/>
        </a:xfrm>
        <a:prstGeom prst="rect">
          <a:avLst/>
        </a:prstGeom>
      </xdr:spPr>
    </xdr:pic>
    <xdr:clientData/>
  </xdr:oneCellAnchor>
  <xdr:twoCellAnchor>
    <xdr:from>
      <xdr:col>1</xdr:col>
      <xdr:colOff>28575</xdr:colOff>
      <xdr:row>637</xdr:row>
      <xdr:rowOff>0</xdr:rowOff>
    </xdr:from>
    <xdr:to>
      <xdr:col>6</xdr:col>
      <xdr:colOff>514350</xdr:colOff>
      <xdr:row>653</xdr:row>
      <xdr:rowOff>85725</xdr:rowOff>
    </xdr:to>
    <xdr:pic>
      <xdr:nvPicPr>
        <xdr:cNvPr id="23" name="image21.png">
          <a:extLst>
            <a:ext uri="{FF2B5EF4-FFF2-40B4-BE49-F238E27FC236}">
              <a16:creationId xmlns:a16="http://schemas.microsoft.com/office/drawing/2014/main" id="{7A27A6A2-17FA-4590-87FF-A2B485710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014" y="104013000"/>
          <a:ext cx="3918857" cy="269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72259</xdr:rowOff>
    </xdr:from>
    <xdr:to>
      <xdr:col>4</xdr:col>
      <xdr:colOff>376402</xdr:colOff>
      <xdr:row>22</xdr:row>
      <xdr:rowOff>28718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24984"/>
          <a:ext cx="3126828" cy="7660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45982</xdr:colOff>
      <xdr:row>22</xdr:row>
      <xdr:rowOff>124811</xdr:rowOff>
    </xdr:from>
    <xdr:to>
      <xdr:col>4</xdr:col>
      <xdr:colOff>479518</xdr:colOff>
      <xdr:row>27</xdr:row>
      <xdr:rowOff>45983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982" y="3687161"/>
          <a:ext cx="3183962" cy="73079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147610</xdr:colOff>
      <xdr:row>31</xdr:row>
      <xdr:rowOff>132107</xdr:rowOff>
    </xdr:from>
    <xdr:to>
      <xdr:col>14</xdr:col>
      <xdr:colOff>637455</xdr:colOff>
      <xdr:row>39</xdr:row>
      <xdr:rowOff>114301</xdr:rowOff>
    </xdr:to>
    <xdr:pic>
      <xdr:nvPicPr>
        <xdr:cNvPr id="4" name="Imagem 3" descr="Sem título2.png">
          <a:extLst>
            <a:ext uri="{FF2B5EF4-FFF2-40B4-BE49-F238E27FC236}">
              <a16:creationId xmlns:a16="http://schemas.microsoft.com/office/drawing/2014/main" id="{7568F962-2722-4A58-AF23-C95BAC91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35988" b="66472"/>
        <a:stretch>
          <a:fillRect/>
        </a:stretch>
      </xdr:blipFill>
      <xdr:spPr>
        <a:xfrm>
          <a:off x="7472335" y="6923432"/>
          <a:ext cx="4433195" cy="1277594"/>
        </a:xfrm>
        <a:prstGeom prst="rect">
          <a:avLst/>
        </a:prstGeom>
      </xdr:spPr>
    </xdr:pic>
    <xdr:clientData/>
  </xdr:twoCellAnchor>
  <xdr:twoCellAnchor editAs="oneCell">
    <xdr:from>
      <xdr:col>8</xdr:col>
      <xdr:colOff>84063</xdr:colOff>
      <xdr:row>40</xdr:row>
      <xdr:rowOff>81536</xdr:rowOff>
    </xdr:from>
    <xdr:to>
      <xdr:col>14</xdr:col>
      <xdr:colOff>544462</xdr:colOff>
      <xdr:row>62</xdr:row>
      <xdr:rowOff>122352</xdr:rowOff>
    </xdr:to>
    <xdr:pic>
      <xdr:nvPicPr>
        <xdr:cNvPr id="5" name="Imagem 4" descr="Sem título.jpg">
          <a:extLst>
            <a:ext uri="{FF2B5EF4-FFF2-40B4-BE49-F238E27FC236}">
              <a16:creationId xmlns:a16="http://schemas.microsoft.com/office/drawing/2014/main" id="{5493BB70-607E-43FF-9861-65164CEC2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1250" b="1010"/>
        <a:stretch>
          <a:fillRect/>
        </a:stretch>
      </xdr:blipFill>
      <xdr:spPr>
        <a:xfrm>
          <a:off x="7408788" y="8330186"/>
          <a:ext cx="4403749" cy="3669841"/>
        </a:xfrm>
        <a:prstGeom prst="rect">
          <a:avLst/>
        </a:prstGeom>
      </xdr:spPr>
    </xdr:pic>
    <xdr:clientData/>
  </xdr:twoCellAnchor>
  <xdr:twoCellAnchor editAs="oneCell">
    <xdr:from>
      <xdr:col>15</xdr:col>
      <xdr:colOff>151452</xdr:colOff>
      <xdr:row>31</xdr:row>
      <xdr:rowOff>94600</xdr:rowOff>
    </xdr:from>
    <xdr:to>
      <xdr:col>21</xdr:col>
      <xdr:colOff>553041</xdr:colOff>
      <xdr:row>47</xdr:row>
      <xdr:rowOff>73065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E2AF35AC-E473-46A0-A1E4-55400AE51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05327" y="6885925"/>
          <a:ext cx="4516389" cy="256926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266166</xdr:colOff>
      <xdr:row>48</xdr:row>
      <xdr:rowOff>593</xdr:rowOff>
    </xdr:from>
    <xdr:to>
      <xdr:col>22</xdr:col>
      <xdr:colOff>16566</xdr:colOff>
      <xdr:row>55</xdr:row>
      <xdr:rowOff>49604</xdr:rowOff>
    </xdr:to>
    <xdr:pic>
      <xdr:nvPicPr>
        <xdr:cNvPr id="7" name="Picture 13">
          <a:extLst>
            <a:ext uri="{FF2B5EF4-FFF2-40B4-BE49-F238E27FC236}">
              <a16:creationId xmlns:a16="http://schemas.microsoft.com/office/drawing/2014/main" id="{4263B9F1-0625-4161-AEE6-1BB5F75A3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220041" y="9544643"/>
          <a:ext cx="4551000" cy="1249161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208308</xdr:colOff>
      <xdr:row>56</xdr:row>
      <xdr:rowOff>65020</xdr:rowOff>
    </xdr:from>
    <xdr:to>
      <xdr:col>21</xdr:col>
      <xdr:colOff>591793</xdr:colOff>
      <xdr:row>65</xdr:row>
      <xdr:rowOff>57796</xdr:rowOff>
    </xdr:to>
    <xdr:pic>
      <xdr:nvPicPr>
        <xdr:cNvPr id="8" name="Picture 114">
          <a:extLst>
            <a:ext uri="{FF2B5EF4-FFF2-40B4-BE49-F238E27FC236}">
              <a16:creationId xmlns:a16="http://schemas.microsoft.com/office/drawing/2014/main" id="{B54AF55F-6C10-42D5-A84D-F1D79780C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162183" y="10971145"/>
          <a:ext cx="4498285" cy="145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56</xdr:row>
      <xdr:rowOff>149087</xdr:rowOff>
    </xdr:from>
    <xdr:to>
      <xdr:col>4</xdr:col>
      <xdr:colOff>682353</xdr:colOff>
      <xdr:row>65</xdr:row>
      <xdr:rowOff>74544</xdr:rowOff>
    </xdr:to>
    <xdr:pic>
      <xdr:nvPicPr>
        <xdr:cNvPr id="9" name="Picture 116">
          <a:extLst>
            <a:ext uri="{FF2B5EF4-FFF2-40B4-BE49-F238E27FC236}">
              <a16:creationId xmlns:a16="http://schemas.microsoft.com/office/drawing/2014/main" id="{6B0A7FF4-FA7F-4A16-8A86-2C8689032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979" y="23475812"/>
          <a:ext cx="4929674" cy="138278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500651</xdr:colOff>
      <xdr:row>0</xdr:row>
      <xdr:rowOff>0</xdr:rowOff>
    </xdr:from>
    <xdr:to>
      <xdr:col>26</xdr:col>
      <xdr:colOff>352424</xdr:colOff>
      <xdr:row>27</xdr:row>
      <xdr:rowOff>135742</xdr:rowOff>
    </xdr:to>
    <xdr:pic>
      <xdr:nvPicPr>
        <xdr:cNvPr id="10" name="Picture 104">
          <a:extLst>
            <a:ext uri="{FF2B5EF4-FFF2-40B4-BE49-F238E27FC236}">
              <a16:creationId xmlns:a16="http://schemas.microsoft.com/office/drawing/2014/main" id="{0C970101-A92F-43BB-B04D-D457EE7AD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97126" y="0"/>
          <a:ext cx="9452973" cy="61364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67236</xdr:rowOff>
    </xdr:from>
    <xdr:to>
      <xdr:col>5</xdr:col>
      <xdr:colOff>75356</xdr:colOff>
      <xdr:row>75</xdr:row>
      <xdr:rowOff>56029</xdr:rowOff>
    </xdr:to>
    <xdr:pic>
      <xdr:nvPicPr>
        <xdr:cNvPr id="11" name="Picture 106">
          <a:extLst>
            <a:ext uri="{FF2B5EF4-FFF2-40B4-BE49-F238E27FC236}">
              <a16:creationId xmlns:a16="http://schemas.microsoft.com/office/drawing/2014/main" id="{2FA811E4-3B72-4185-8A75-8EC176FEB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5175136"/>
          <a:ext cx="5066456" cy="12841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46</xdr:row>
      <xdr:rowOff>19050</xdr:rowOff>
    </xdr:from>
    <xdr:to>
      <xdr:col>5</xdr:col>
      <xdr:colOff>446903</xdr:colOff>
      <xdr:row>50</xdr:row>
      <xdr:rowOff>133350</xdr:rowOff>
    </xdr:to>
    <xdr:pic>
      <xdr:nvPicPr>
        <xdr:cNvPr id="12" name="Picture 107">
          <a:extLst>
            <a:ext uri="{FF2B5EF4-FFF2-40B4-BE49-F238E27FC236}">
              <a16:creationId xmlns:a16="http://schemas.microsoft.com/office/drawing/2014/main" id="{4E7DC90A-2814-4DB3-B557-D49315DE0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1" y="21659850"/>
          <a:ext cx="5399902" cy="762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865909</xdr:colOff>
      <xdr:row>71</xdr:row>
      <xdr:rowOff>247</xdr:rowOff>
    </xdr:from>
    <xdr:to>
      <xdr:col>19</xdr:col>
      <xdr:colOff>431717</xdr:colOff>
      <xdr:row>97</xdr:row>
      <xdr:rowOff>55551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14AD1E9-AE8C-4EAE-9E5A-B62A9C881ED2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308273" y="12833020"/>
          <a:ext cx="7913171" cy="4107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142875</xdr:colOff>
      <xdr:row>0</xdr:row>
      <xdr:rowOff>533400</xdr:rowOff>
    </xdr:from>
    <xdr:to>
      <xdr:col>8</xdr:col>
      <xdr:colOff>1257300</xdr:colOff>
      <xdr:row>1</xdr:row>
      <xdr:rowOff>132745</xdr:rowOff>
    </xdr:to>
    <xdr:sp macro="" textlink="">
      <xdr:nvSpPr>
        <xdr:cNvPr id="92240" name="Caixa de Texto 80" hidden="1">
          <a:extLst>
            <a:ext uri="{FF2B5EF4-FFF2-40B4-BE49-F238E27FC236}">
              <a16:creationId xmlns:a16="http://schemas.microsoft.com/office/drawing/2014/main" id="{CF9CEFC5-C6EA-4E6D-9B47-85F7F90E5AC9}"/>
            </a:ext>
          </a:extLst>
        </xdr:cNvPr>
        <xdr:cNvSpPr txBox="1">
          <a:spLocks noChangeArrowheads="1"/>
        </xdr:cNvSpPr>
      </xdr:nvSpPr>
      <xdr:spPr bwMode="auto">
        <a:xfrm>
          <a:off x="5286375" y="533400"/>
          <a:ext cx="1114425" cy="8191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55</xdr:row>
      <xdr:rowOff>174767</xdr:rowOff>
    </xdr:from>
    <xdr:to>
      <xdr:col>9</xdr:col>
      <xdr:colOff>114300</xdr:colOff>
      <xdr:row>57</xdr:row>
      <xdr:rowOff>222392</xdr:rowOff>
    </xdr:to>
    <xdr:sp macro="" textlink="">
      <xdr:nvSpPr>
        <xdr:cNvPr id="92241" name="Caixa de Texto 81" hidden="1">
          <a:extLst>
            <a:ext uri="{FF2B5EF4-FFF2-40B4-BE49-F238E27FC236}">
              <a16:creationId xmlns:a16="http://schemas.microsoft.com/office/drawing/2014/main" id="{8FB2C507-A865-4B4A-B1A5-2637DA1A920D}"/>
            </a:ext>
          </a:extLst>
        </xdr:cNvPr>
        <xdr:cNvSpPr txBox="1">
          <a:spLocks noChangeArrowheads="1"/>
        </xdr:cNvSpPr>
      </xdr:nvSpPr>
      <xdr:spPr bwMode="auto">
        <a:xfrm>
          <a:off x="5286375" y="13639800"/>
          <a:ext cx="1257300" cy="6953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58</xdr:row>
      <xdr:rowOff>151235</xdr:rowOff>
    </xdr:from>
    <xdr:to>
      <xdr:col>9</xdr:col>
      <xdr:colOff>114300</xdr:colOff>
      <xdr:row>61</xdr:row>
      <xdr:rowOff>142</xdr:rowOff>
    </xdr:to>
    <xdr:sp macro="" textlink="">
      <xdr:nvSpPr>
        <xdr:cNvPr id="92242" name="Caixa de Texto 82" hidden="1">
          <a:extLst>
            <a:ext uri="{FF2B5EF4-FFF2-40B4-BE49-F238E27FC236}">
              <a16:creationId xmlns:a16="http://schemas.microsoft.com/office/drawing/2014/main" id="{3C0E297B-B1B4-4A34-B15B-7B2AA90B5A1F}"/>
            </a:ext>
          </a:extLst>
        </xdr:cNvPr>
        <xdr:cNvSpPr txBox="1">
          <a:spLocks noChangeArrowheads="1"/>
        </xdr:cNvSpPr>
      </xdr:nvSpPr>
      <xdr:spPr bwMode="auto">
        <a:xfrm>
          <a:off x="5286375" y="14582775"/>
          <a:ext cx="1257300" cy="8191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60</xdr:row>
      <xdr:rowOff>132185</xdr:rowOff>
    </xdr:from>
    <xdr:to>
      <xdr:col>8</xdr:col>
      <xdr:colOff>866775</xdr:colOff>
      <xdr:row>61</xdr:row>
      <xdr:rowOff>165242</xdr:rowOff>
    </xdr:to>
    <xdr:sp macro="" textlink="">
      <xdr:nvSpPr>
        <xdr:cNvPr id="92243" name="Caixa de Texto 83" hidden="1">
          <a:extLst>
            <a:ext uri="{FF2B5EF4-FFF2-40B4-BE49-F238E27FC236}">
              <a16:creationId xmlns:a16="http://schemas.microsoft.com/office/drawing/2014/main" id="{E006E7A8-6252-4474-AD0C-797008BBCD39}"/>
            </a:ext>
          </a:extLst>
        </xdr:cNvPr>
        <xdr:cNvSpPr txBox="1">
          <a:spLocks noChangeArrowheads="1"/>
        </xdr:cNvSpPr>
      </xdr:nvSpPr>
      <xdr:spPr bwMode="auto">
        <a:xfrm>
          <a:off x="5286375" y="15211425"/>
          <a:ext cx="723900" cy="3619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62</xdr:row>
      <xdr:rowOff>222392</xdr:rowOff>
    </xdr:from>
    <xdr:to>
      <xdr:col>9</xdr:col>
      <xdr:colOff>409575</xdr:colOff>
      <xdr:row>64</xdr:row>
      <xdr:rowOff>328475</xdr:rowOff>
    </xdr:to>
    <xdr:sp macro="" textlink="">
      <xdr:nvSpPr>
        <xdr:cNvPr id="92244" name="Caixa de Texto 84" hidden="1">
          <a:extLst>
            <a:ext uri="{FF2B5EF4-FFF2-40B4-BE49-F238E27FC236}">
              <a16:creationId xmlns:a16="http://schemas.microsoft.com/office/drawing/2014/main" id="{CD305272-C047-433E-9597-853E4D10EA96}"/>
            </a:ext>
          </a:extLst>
        </xdr:cNvPr>
        <xdr:cNvSpPr txBox="1">
          <a:spLocks noChangeArrowheads="1"/>
        </xdr:cNvSpPr>
      </xdr:nvSpPr>
      <xdr:spPr bwMode="auto">
        <a:xfrm>
          <a:off x="5286375" y="15954375"/>
          <a:ext cx="1552575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64</xdr:row>
      <xdr:rowOff>94085</xdr:rowOff>
    </xdr:from>
    <xdr:to>
      <xdr:col>8</xdr:col>
      <xdr:colOff>714375</xdr:colOff>
      <xdr:row>65</xdr:row>
      <xdr:rowOff>33199</xdr:rowOff>
    </xdr:to>
    <xdr:sp macro="" textlink="">
      <xdr:nvSpPr>
        <xdr:cNvPr id="92245" name="Caixa de Texto 85" hidden="1">
          <a:extLst>
            <a:ext uri="{FF2B5EF4-FFF2-40B4-BE49-F238E27FC236}">
              <a16:creationId xmlns:a16="http://schemas.microsoft.com/office/drawing/2014/main" id="{4CF26AF0-F61D-429A-9AB5-0C3B72208758}"/>
            </a:ext>
          </a:extLst>
        </xdr:cNvPr>
        <xdr:cNvSpPr txBox="1">
          <a:spLocks noChangeArrowheads="1"/>
        </xdr:cNvSpPr>
      </xdr:nvSpPr>
      <xdr:spPr bwMode="auto">
        <a:xfrm>
          <a:off x="5286375" y="16468725"/>
          <a:ext cx="571500" cy="5905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64</xdr:row>
      <xdr:rowOff>398885</xdr:rowOff>
    </xdr:from>
    <xdr:to>
      <xdr:col>8</xdr:col>
      <xdr:colOff>333375</xdr:colOff>
      <xdr:row>66</xdr:row>
      <xdr:rowOff>23674</xdr:rowOff>
    </xdr:to>
    <xdr:sp macro="" textlink="">
      <xdr:nvSpPr>
        <xdr:cNvPr id="92246" name="Caixa de Texto 86" hidden="1">
          <a:extLst>
            <a:ext uri="{FF2B5EF4-FFF2-40B4-BE49-F238E27FC236}">
              <a16:creationId xmlns:a16="http://schemas.microsoft.com/office/drawing/2014/main" id="{5C3A25C4-F7C5-4A82-8580-AEB1C14DBCD2}"/>
            </a:ext>
          </a:extLst>
        </xdr:cNvPr>
        <xdr:cNvSpPr txBox="1">
          <a:spLocks noChangeArrowheads="1"/>
        </xdr:cNvSpPr>
      </xdr:nvSpPr>
      <xdr:spPr bwMode="auto">
        <a:xfrm>
          <a:off x="5286375" y="16783050"/>
          <a:ext cx="190500" cy="5905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67</xdr:row>
      <xdr:rowOff>52250</xdr:rowOff>
    </xdr:from>
    <xdr:to>
      <xdr:col>9</xdr:col>
      <xdr:colOff>114300</xdr:colOff>
      <xdr:row>72</xdr:row>
      <xdr:rowOff>41417</xdr:rowOff>
    </xdr:to>
    <xdr:sp macro="" textlink="">
      <xdr:nvSpPr>
        <xdr:cNvPr id="92247" name="Caixa de Texto 87" hidden="1">
          <a:extLst>
            <a:ext uri="{FF2B5EF4-FFF2-40B4-BE49-F238E27FC236}">
              <a16:creationId xmlns:a16="http://schemas.microsoft.com/office/drawing/2014/main" id="{B3B32FBF-F959-4F6C-AAE1-6966D5B578F0}"/>
            </a:ext>
          </a:extLst>
        </xdr:cNvPr>
        <xdr:cNvSpPr txBox="1">
          <a:spLocks noChangeArrowheads="1"/>
        </xdr:cNvSpPr>
      </xdr:nvSpPr>
      <xdr:spPr bwMode="auto">
        <a:xfrm>
          <a:off x="5286375" y="17726025"/>
          <a:ext cx="1257300" cy="8191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69</xdr:row>
      <xdr:rowOff>33199</xdr:rowOff>
    </xdr:from>
    <xdr:to>
      <xdr:col>8</xdr:col>
      <xdr:colOff>828675</xdr:colOff>
      <xdr:row>70</xdr:row>
      <xdr:rowOff>69992</xdr:rowOff>
    </xdr:to>
    <xdr:sp macro="" textlink="">
      <xdr:nvSpPr>
        <xdr:cNvPr id="92248" name="Caixa de Texto 88" hidden="1">
          <a:extLst>
            <a:ext uri="{FF2B5EF4-FFF2-40B4-BE49-F238E27FC236}">
              <a16:creationId xmlns:a16="http://schemas.microsoft.com/office/drawing/2014/main" id="{BFD18E07-6043-48E0-823A-8688D1D0AE67}"/>
            </a:ext>
          </a:extLst>
        </xdr:cNvPr>
        <xdr:cNvSpPr txBox="1">
          <a:spLocks noChangeArrowheads="1"/>
        </xdr:cNvSpPr>
      </xdr:nvSpPr>
      <xdr:spPr bwMode="auto">
        <a:xfrm>
          <a:off x="5286375" y="18040350"/>
          <a:ext cx="685800" cy="2000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74</xdr:row>
      <xdr:rowOff>137975</xdr:rowOff>
    </xdr:from>
    <xdr:to>
      <xdr:col>8</xdr:col>
      <xdr:colOff>895350</xdr:colOff>
      <xdr:row>76</xdr:row>
      <xdr:rowOff>41417</xdr:rowOff>
    </xdr:to>
    <xdr:sp macro="" textlink="">
      <xdr:nvSpPr>
        <xdr:cNvPr id="92249" name="Caixa de Texto 89" hidden="1">
          <a:extLst>
            <a:ext uri="{FF2B5EF4-FFF2-40B4-BE49-F238E27FC236}">
              <a16:creationId xmlns:a16="http://schemas.microsoft.com/office/drawing/2014/main" id="{8572C2BD-98D9-42F2-92D7-E5C1A8A74CBA}"/>
            </a:ext>
          </a:extLst>
        </xdr:cNvPr>
        <xdr:cNvSpPr txBox="1">
          <a:spLocks noChangeArrowheads="1"/>
        </xdr:cNvSpPr>
      </xdr:nvSpPr>
      <xdr:spPr bwMode="auto">
        <a:xfrm>
          <a:off x="5286375" y="18983325"/>
          <a:ext cx="752475" cy="228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oneCell">
    <xdr:from>
      <xdr:col>22</xdr:col>
      <xdr:colOff>2955</xdr:colOff>
      <xdr:row>49</xdr:row>
      <xdr:rowOff>144356</xdr:rowOff>
    </xdr:from>
    <xdr:to>
      <xdr:col>29</xdr:col>
      <xdr:colOff>305476</xdr:colOff>
      <xdr:row>58</xdr:row>
      <xdr:rowOff>248889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34E143F2-FF99-490A-9169-53F2A59B7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9526" y="17888070"/>
          <a:ext cx="5065021" cy="1812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2" name="Imagem 1">
          <a:extLst>
            <a:ext uri="{FF2B5EF4-FFF2-40B4-BE49-F238E27FC236}">
              <a16:creationId xmlns:a16="http://schemas.microsoft.com/office/drawing/2014/main" id="{A0D04C72-8A22-4F06-8675-64B765B3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9904" y="266701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600754</xdr:colOff>
      <xdr:row>1</xdr:row>
      <xdr:rowOff>178933</xdr:rowOff>
    </xdr:from>
    <xdr:to>
      <xdr:col>20</xdr:col>
      <xdr:colOff>115661</xdr:colOff>
      <xdr:row>36</xdr:row>
      <xdr:rowOff>168729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3816F2F-2A3C-4622-94D9-B5E43D0B8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4" name="Imagem 3">
          <a:extLst>
            <a:ext uri="{FF2B5EF4-FFF2-40B4-BE49-F238E27FC236}">
              <a16:creationId xmlns:a16="http://schemas.microsoft.com/office/drawing/2014/main" id="{409D04CC-F2F8-405A-ACB8-ADF48D83D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254" y="266701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553129</xdr:colOff>
      <xdr:row>2</xdr:row>
      <xdr:rowOff>74158</xdr:rowOff>
    </xdr:from>
    <xdr:to>
      <xdr:col>20</xdr:col>
      <xdr:colOff>68036</xdr:colOff>
      <xdr:row>36</xdr:row>
      <xdr:rowOff>63954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F7A2AD-1191-462A-B6D2-B11D1151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2" name="Imagem 1">
          <a:extLst>
            <a:ext uri="{FF2B5EF4-FFF2-40B4-BE49-F238E27FC236}">
              <a16:creationId xmlns:a16="http://schemas.microsoft.com/office/drawing/2014/main" id="{964EED74-247B-4EDB-BA0D-4AF4F28A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050" y="239487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385761</xdr:colOff>
      <xdr:row>0</xdr:row>
      <xdr:rowOff>157162</xdr:rowOff>
    </xdr:from>
    <xdr:to>
      <xdr:col>19</xdr:col>
      <xdr:colOff>561975</xdr:colOff>
      <xdr:row>33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9B92CF5-8DF9-47A5-BCC2-BEE7C85FB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624606</xdr:colOff>
      <xdr:row>4</xdr:row>
      <xdr:rowOff>134471</xdr:rowOff>
    </xdr:from>
    <xdr:to>
      <xdr:col>9</xdr:col>
      <xdr:colOff>615057</xdr:colOff>
      <xdr:row>5</xdr:row>
      <xdr:rowOff>257736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753" y="1389530"/>
          <a:ext cx="1604098" cy="437030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314324</xdr:colOff>
      <xdr:row>3</xdr:row>
      <xdr:rowOff>254692</xdr:rowOff>
    </xdr:from>
    <xdr:to>
      <xdr:col>18</xdr:col>
      <xdr:colOff>857250</xdr:colOff>
      <xdr:row>4</xdr:row>
      <xdr:rowOff>100050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637C201-EB14-4FB8-A9E0-84C91935C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49" y="1111942"/>
          <a:ext cx="56673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314324</xdr:colOff>
      <xdr:row>3</xdr:row>
      <xdr:rowOff>254692</xdr:rowOff>
    </xdr:from>
    <xdr:ext cx="5667375" cy="161925"/>
    <xdr:pic>
      <xdr:nvPicPr>
        <xdr:cNvPr id="6" name="Imagem 5">
          <a:extLst>
            <a:ext uri="{FF2B5EF4-FFF2-40B4-BE49-F238E27FC236}">
              <a16:creationId xmlns:a16="http://schemas.microsoft.com/office/drawing/2014/main" id="{7E236B2D-B2A5-4C1C-86F3-2662FE9B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9474" y="950017"/>
          <a:ext cx="56673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0</xdr:colOff>
      <xdr:row>40</xdr:row>
      <xdr:rowOff>17034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D19C9A-8346-4F56-A2FD-67B754C67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590549</xdr:colOff>
          <xdr:row>10</xdr:row>
          <xdr:rowOff>9524</xdr:rowOff>
        </xdr:from>
        <xdr:to>
          <xdr:col>17</xdr:col>
          <xdr:colOff>609599</xdr:colOff>
          <xdr:row>15</xdr:row>
          <xdr:rowOff>142874</xdr:rowOff>
        </xdr:to>
        <xdr:pic>
          <xdr:nvPicPr>
            <xdr:cNvPr id="11" name="Imagem 10">
              <a:extLst>
                <a:ext uri="{FF2B5EF4-FFF2-40B4-BE49-F238E27FC236}">
                  <a16:creationId xmlns:a16="http://schemas.microsoft.com/office/drawing/2014/main" id="{375B023D-2519-40E1-BA7A-6976C64659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S$4:$AB$7" spid="_x0000_s1314888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5391149" y="1904999"/>
              <a:ext cx="687705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13</xdr:col>
      <xdr:colOff>254186</xdr:colOff>
      <xdr:row>29</xdr:row>
      <xdr:rowOff>33337</xdr:rowOff>
    </xdr:from>
    <xdr:to>
      <xdr:col>15</xdr:col>
      <xdr:colOff>562678</xdr:colOff>
      <xdr:row>31</xdr:row>
      <xdr:rowOff>128633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EBC5B0D-E1DF-4D90-BBA3-5622E4B4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9586" y="5005387"/>
          <a:ext cx="1680092" cy="419146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0.03758</cdr:x>
      <cdr:y>0.11818</cdr:y>
    </cdr:from>
    <cdr:to>
      <cdr:x>0.57353</cdr:x>
      <cdr:y>0.11818</cdr:y>
    </cdr:to>
    <cdr:cxnSp macro="">
      <cdr:nvCxnSpPr>
        <cdr:cNvPr id="4" name="Conector de Seta Reta 3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>
          <a:off x="438150" y="800100"/>
          <a:ext cx="6248400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</cdr:x>
      <cdr:y>0.23073</cdr:y>
    </cdr:from>
    <cdr:to>
      <cdr:x>0.25181</cdr:x>
      <cdr:y>0.83319</cdr:y>
    </cdr:to>
    <cdr:cxnSp macro="">
      <cdr:nvCxnSpPr>
        <cdr:cNvPr id="6" name="Conector de Seta Reta 5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>
          <a:off x="2914650" y="1562100"/>
          <a:ext cx="21044" cy="4078829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0.57435</cdr:x>
      <cdr:y>0.11818</cdr:y>
    </cdr:from>
    <cdr:to>
      <cdr:x>0.57573</cdr:x>
      <cdr:y>0.82892</cdr:y>
    </cdr:to>
    <cdr:cxnSp macro="">
      <cdr:nvCxnSpPr>
        <cdr:cNvPr id="13" name="Conector de Seta Reta 12">
          <a:extLst xmlns:a="http://schemas.openxmlformats.org/drawingml/2006/main">
            <a:ext uri="{FF2B5EF4-FFF2-40B4-BE49-F238E27FC236}">
              <a16:creationId xmlns:a16="http://schemas.microsoft.com/office/drawing/2014/main" id="{EB61151D-669B-44E4-A41A-DAAEA20F5DB6}"/>
            </a:ext>
          </a:extLst>
        </cdr:cNvPr>
        <cdr:cNvCxnSpPr/>
      </cdr:nvCxnSpPr>
      <cdr:spPr>
        <a:xfrm xmlns:a="http://schemas.openxmlformats.org/drawingml/2006/main">
          <a:off x="6696075" y="800100"/>
          <a:ext cx="16112" cy="4811911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0.03864</cdr:x>
      <cdr:y>0.23209</cdr:y>
    </cdr:from>
    <cdr:to>
      <cdr:x>0.24837</cdr:x>
      <cdr:y>0.23214</cdr:y>
    </cdr:to>
    <cdr:cxnSp macro="">
      <cdr:nvCxnSpPr>
        <cdr:cNvPr id="7" name="Conector de Seta Reta 6">
          <a:extLst xmlns:a="http://schemas.openxmlformats.org/drawingml/2006/main">
            <a:ext uri="{FF2B5EF4-FFF2-40B4-BE49-F238E27FC236}">
              <a16:creationId xmlns:a16="http://schemas.microsoft.com/office/drawing/2014/main" id="{4B932907-348D-4CFE-950E-CCDDA35C5112}"/>
            </a:ext>
          </a:extLst>
        </cdr:cNvPr>
        <cdr:cNvCxnSpPr/>
      </cdr:nvCxnSpPr>
      <cdr:spPr>
        <a:xfrm xmlns:a="http://schemas.openxmlformats.org/drawingml/2006/main">
          <a:off x="450488" y="1571309"/>
          <a:ext cx="2445112" cy="316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0.1683</cdr:x>
      <cdr:y>0.41925</cdr:y>
    </cdr:from>
    <cdr:to>
      <cdr:x>0.20752</cdr:x>
      <cdr:y>0.53602</cdr:y>
    </cdr:to>
    <cdr:sp macro="" textlink="">
      <cdr:nvSpPr>
        <cdr:cNvPr id="23" name="CaixaDeTexto 22">
          <a:extLst xmlns:a="http://schemas.openxmlformats.org/drawingml/2006/main">
            <a:ext uri="{FF2B5EF4-FFF2-40B4-BE49-F238E27FC236}">
              <a16:creationId xmlns:a16="http://schemas.microsoft.com/office/drawing/2014/main" id="{9DC73EE8-C4AA-4BF6-8E09-7F5CE0853B56}"/>
            </a:ext>
          </a:extLst>
        </cdr:cNvPr>
        <cdr:cNvSpPr txBox="1"/>
      </cdr:nvSpPr>
      <cdr:spPr>
        <a:xfrm xmlns:a="http://schemas.openxmlformats.org/drawingml/2006/main">
          <a:off x="1962150" y="2838450"/>
          <a:ext cx="457200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A</a:t>
          </a:r>
        </a:p>
      </cdr:txBody>
    </cdr:sp>
  </cdr:relSizeAnchor>
  <cdr:relSizeAnchor xmlns:cdr="http://schemas.openxmlformats.org/drawingml/2006/chartDrawing">
    <cdr:from>
      <cdr:x>0.40114</cdr:x>
      <cdr:y>0.41785</cdr:y>
    </cdr:from>
    <cdr:to>
      <cdr:x>0.44771</cdr:x>
      <cdr:y>0.50085</cdr:y>
    </cdr:to>
    <cdr:sp macro="" textlink="">
      <cdr:nvSpPr>
        <cdr:cNvPr id="24" name="CaixaDeTexto 23">
          <a:extLst xmlns:a="http://schemas.openxmlformats.org/drawingml/2006/main">
            <a:ext uri="{FF2B5EF4-FFF2-40B4-BE49-F238E27FC236}">
              <a16:creationId xmlns:a16="http://schemas.microsoft.com/office/drawing/2014/main" id="{7508A606-63EF-41FF-8F20-41E36B7C67EB}"/>
            </a:ext>
          </a:extLst>
        </cdr:cNvPr>
        <cdr:cNvSpPr txBox="1"/>
      </cdr:nvSpPr>
      <cdr:spPr>
        <a:xfrm xmlns:a="http://schemas.openxmlformats.org/drawingml/2006/main">
          <a:off x="4676775" y="2828925"/>
          <a:ext cx="542925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B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212914</xdr:colOff>
      <xdr:row>2</xdr:row>
      <xdr:rowOff>291353</xdr:rowOff>
    </xdr:from>
    <xdr:to>
      <xdr:col>12</xdr:col>
      <xdr:colOff>219075</xdr:colOff>
      <xdr:row>5</xdr:row>
      <xdr:rowOff>280150</xdr:rowOff>
    </xdr:to>
    <xdr:sp macro="" textlink="">
      <xdr:nvSpPr>
        <xdr:cNvPr id="7" name="Seta para a Esquerda 1">
          <a:extLst>
            <a:ext uri="{FF2B5EF4-FFF2-40B4-BE49-F238E27FC236}">
              <a16:creationId xmlns:a16="http://schemas.microsoft.com/office/drawing/2014/main" id="{6583FB42-69CC-46C6-8689-342E5A323755}"/>
            </a:ext>
          </a:extLst>
        </xdr:cNvPr>
        <xdr:cNvSpPr/>
      </xdr:nvSpPr>
      <xdr:spPr>
        <a:xfrm>
          <a:off x="14262289" y="920003"/>
          <a:ext cx="958661" cy="931772"/>
        </a:xfrm>
        <a:prstGeom prst="leftArrow">
          <a:avLst>
            <a:gd name="adj1" fmla="val 32038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Atenção BDI</a:t>
          </a:r>
        </a:p>
      </xdr:txBody>
    </xdr:sp>
    <xdr:clientData/>
  </xdr:twoCellAnchor>
  <xdr:twoCellAnchor editAs="oneCell">
    <xdr:from>
      <xdr:col>7</xdr:col>
      <xdr:colOff>323850</xdr:colOff>
      <xdr:row>7</xdr:row>
      <xdr:rowOff>173355</xdr:rowOff>
    </xdr:from>
    <xdr:to>
      <xdr:col>8</xdr:col>
      <xdr:colOff>1058226</xdr:colOff>
      <xdr:row>9</xdr:row>
      <xdr:rowOff>30480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931F64D-3840-481D-BDD5-EF597D6E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950" y="2373630"/>
          <a:ext cx="1696401" cy="485775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180974</xdr:colOff>
      <xdr:row>7</xdr:row>
      <xdr:rowOff>171449</xdr:rowOff>
    </xdr:from>
    <xdr:to>
      <xdr:col>10</xdr:col>
      <xdr:colOff>156844</xdr:colOff>
      <xdr:row>9</xdr:row>
      <xdr:rowOff>35999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5DDE382-EFCB-8172-1D1D-D66936209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474" y="2371724"/>
          <a:ext cx="1318895" cy="49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90</xdr:row>
      <xdr:rowOff>0</xdr:rowOff>
    </xdr:from>
    <xdr:to>
      <xdr:col>24</xdr:col>
      <xdr:colOff>0</xdr:colOff>
      <xdr:row>90</xdr:row>
      <xdr:rowOff>0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id="{6C04FDAC-D5A0-4A97-AF6C-CAB69B632C6A}"/>
            </a:ext>
          </a:extLst>
        </xdr:cNvPr>
        <xdr:cNvSpPr/>
      </xdr:nvSpPr>
      <xdr:spPr>
        <a:xfrm>
          <a:off x="17202150" y="20735925"/>
          <a:ext cx="0" cy="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123824</xdr:rowOff>
    </xdr:from>
    <xdr:to>
      <xdr:col>24</xdr:col>
      <xdr:colOff>0</xdr:colOff>
      <xdr:row>90</xdr:row>
      <xdr:rowOff>0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id="{7FE756B4-7573-4500-94C1-62FFE6161361}"/>
            </a:ext>
          </a:extLst>
        </xdr:cNvPr>
        <xdr:cNvSpPr/>
      </xdr:nvSpPr>
      <xdr:spPr>
        <a:xfrm>
          <a:off x="17202150" y="20402549"/>
          <a:ext cx="0" cy="333376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27</xdr:col>
      <xdr:colOff>66674</xdr:colOff>
      <xdr:row>11</xdr:row>
      <xdr:rowOff>66676</xdr:rowOff>
    </xdr:from>
    <xdr:to>
      <xdr:col>29</xdr:col>
      <xdr:colOff>400050</xdr:colOff>
      <xdr:row>15</xdr:row>
      <xdr:rowOff>171450</xdr:rowOff>
    </xdr:to>
    <xdr:sp macro="" textlink="">
      <xdr:nvSpPr>
        <xdr:cNvPr id="7" name="Texto Explicativo: Seta para a Esquerda 6">
          <a:extLst>
            <a:ext uri="{FF2B5EF4-FFF2-40B4-BE49-F238E27FC236}">
              <a16:creationId xmlns:a16="http://schemas.microsoft.com/office/drawing/2014/main" id="{847FB0DE-1CF1-42CC-B9F5-7C42ED921D84}"/>
            </a:ext>
          </a:extLst>
        </xdr:cNvPr>
        <xdr:cNvSpPr/>
      </xdr:nvSpPr>
      <xdr:spPr>
        <a:xfrm>
          <a:off x="22088474" y="2790826"/>
          <a:ext cx="1704976" cy="1019174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 editAs="oneCell">
    <xdr:from>
      <xdr:col>9</xdr:col>
      <xdr:colOff>238126</xdr:colOff>
      <xdr:row>2</xdr:row>
      <xdr:rowOff>211456</xdr:rowOff>
    </xdr:from>
    <xdr:to>
      <xdr:col>10</xdr:col>
      <xdr:colOff>385589</xdr:colOff>
      <xdr:row>4</xdr:row>
      <xdr:rowOff>115605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471D9D9E-384E-4F3E-A525-FF5F4117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3726" y="840106"/>
          <a:ext cx="1261888" cy="361349"/>
        </a:xfrm>
        <a:prstGeom prst="rect">
          <a:avLst/>
        </a:prstGeom>
      </xdr:spPr>
    </xdr:pic>
    <xdr:clientData/>
  </xdr:twoCellAnchor>
  <xdr:twoCellAnchor editAs="oneCell">
    <xdr:from>
      <xdr:col>10</xdr:col>
      <xdr:colOff>495300</xdr:colOff>
      <xdr:row>2</xdr:row>
      <xdr:rowOff>209550</xdr:rowOff>
    </xdr:from>
    <xdr:to>
      <xdr:col>11</xdr:col>
      <xdr:colOff>361951</xdr:colOff>
      <xdr:row>4</xdr:row>
      <xdr:rowOff>119223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A4F2C57-9F39-4251-B782-E72855A3B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5325" y="838200"/>
          <a:ext cx="981076" cy="3668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152400</xdr:colOff>
      <xdr:row>4</xdr:row>
      <xdr:rowOff>123825</xdr:rowOff>
    </xdr:from>
    <xdr:to>
      <xdr:col>14</xdr:col>
      <xdr:colOff>364712</xdr:colOff>
      <xdr:row>11</xdr:row>
      <xdr:rowOff>108766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850" y="876300"/>
          <a:ext cx="4784312" cy="1566091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2</xdr:row>
      <xdr:rowOff>0</xdr:rowOff>
    </xdr:from>
    <xdr:to>
      <xdr:col>7</xdr:col>
      <xdr:colOff>504825</xdr:colOff>
      <xdr:row>3</xdr:row>
      <xdr:rowOff>161835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59F3F59-7AA3-482A-8FF6-384AE5FF6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504825"/>
          <a:ext cx="1400175" cy="3904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89648</xdr:colOff>
      <xdr:row>2</xdr:row>
      <xdr:rowOff>156879</xdr:rowOff>
    </xdr:from>
    <xdr:to>
      <xdr:col>11</xdr:col>
      <xdr:colOff>1143000</xdr:colOff>
      <xdr:row>5</xdr:row>
      <xdr:rowOff>145676</xdr:rowOff>
    </xdr:to>
    <xdr:sp macro="" textlink="">
      <xdr:nvSpPr>
        <xdr:cNvPr id="8" name="Seta para a Esquerda 1">
          <a:extLst>
            <a:ext uri="{FF2B5EF4-FFF2-40B4-BE49-F238E27FC236}">
              <a16:creationId xmlns:a16="http://schemas.microsoft.com/office/drawing/2014/main" id="{0076FFF8-C783-4427-9630-53C1BDCD5B20}"/>
            </a:ext>
          </a:extLst>
        </xdr:cNvPr>
        <xdr:cNvSpPr/>
      </xdr:nvSpPr>
      <xdr:spPr>
        <a:xfrm>
          <a:off x="16259736" y="806820"/>
          <a:ext cx="1053352" cy="963709"/>
        </a:xfrm>
        <a:prstGeom prst="leftArrow">
          <a:avLst>
            <a:gd name="adj1" fmla="val 32038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Atenção BDI</a:t>
          </a:r>
        </a:p>
      </xdr:txBody>
    </xdr:sp>
    <xdr:clientData/>
  </xdr:twoCellAnchor>
  <xdr:twoCellAnchor editAs="oneCell">
    <xdr:from>
      <xdr:col>7</xdr:col>
      <xdr:colOff>457200</xdr:colOff>
      <xdr:row>7</xdr:row>
      <xdr:rowOff>163831</xdr:rowOff>
    </xdr:from>
    <xdr:to>
      <xdr:col>9</xdr:col>
      <xdr:colOff>96201</xdr:colOff>
      <xdr:row>9</xdr:row>
      <xdr:rowOff>20956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920B400-E07F-47C1-A327-7FE7B7452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2364106"/>
          <a:ext cx="1696401" cy="485775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314324</xdr:colOff>
      <xdr:row>7</xdr:row>
      <xdr:rowOff>161925</xdr:rowOff>
    </xdr:from>
    <xdr:to>
      <xdr:col>10</xdr:col>
      <xdr:colOff>290194</xdr:colOff>
      <xdr:row>9</xdr:row>
      <xdr:rowOff>26475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AA6946C-9A72-422C-BB03-CFBE2A41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299" y="2362200"/>
          <a:ext cx="1318895" cy="49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92</xdr:row>
      <xdr:rowOff>19050</xdr:rowOff>
    </xdr:from>
    <xdr:to>
      <xdr:col>24</xdr:col>
      <xdr:colOff>0</xdr:colOff>
      <xdr:row>93</xdr:row>
      <xdr:rowOff>0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id="{D600CB05-6D9F-4DD3-81AC-391ED4B0036D}"/>
            </a:ext>
          </a:extLst>
        </xdr:cNvPr>
        <xdr:cNvSpPr/>
      </xdr:nvSpPr>
      <xdr:spPr>
        <a:xfrm>
          <a:off x="27689175" y="20297775"/>
          <a:ext cx="0" cy="20955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123824</xdr:rowOff>
    </xdr:from>
    <xdr:to>
      <xdr:col>24</xdr:col>
      <xdr:colOff>0</xdr:colOff>
      <xdr:row>93</xdr:row>
      <xdr:rowOff>219074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id="{C850D614-0187-4CFE-9850-BAEAB9317D01}"/>
            </a:ext>
          </a:extLst>
        </xdr:cNvPr>
        <xdr:cNvSpPr/>
      </xdr:nvSpPr>
      <xdr:spPr>
        <a:xfrm>
          <a:off x="27689175" y="19488149"/>
          <a:ext cx="0" cy="1238250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27</xdr:col>
      <xdr:colOff>66674</xdr:colOff>
      <xdr:row>11</xdr:row>
      <xdr:rowOff>66676</xdr:rowOff>
    </xdr:from>
    <xdr:to>
      <xdr:col>29</xdr:col>
      <xdr:colOff>400050</xdr:colOff>
      <xdr:row>15</xdr:row>
      <xdr:rowOff>171450</xdr:rowOff>
    </xdr:to>
    <xdr:sp macro="" textlink="">
      <xdr:nvSpPr>
        <xdr:cNvPr id="4" name="Texto Explicativo: Seta para a Esquerda 3">
          <a:extLst>
            <a:ext uri="{FF2B5EF4-FFF2-40B4-BE49-F238E27FC236}">
              <a16:creationId xmlns:a16="http://schemas.microsoft.com/office/drawing/2014/main" id="{CA6D4F04-3B1E-44AE-91DC-DCC62DFC4FA5}"/>
            </a:ext>
          </a:extLst>
        </xdr:cNvPr>
        <xdr:cNvSpPr/>
      </xdr:nvSpPr>
      <xdr:spPr>
        <a:xfrm>
          <a:off x="29175074" y="2867026"/>
          <a:ext cx="1704976" cy="1019174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 editAs="oneCell">
    <xdr:from>
      <xdr:col>9</xdr:col>
      <xdr:colOff>600075</xdr:colOff>
      <xdr:row>2</xdr:row>
      <xdr:rowOff>220981</xdr:rowOff>
    </xdr:from>
    <xdr:to>
      <xdr:col>10</xdr:col>
      <xdr:colOff>747538</xdr:colOff>
      <xdr:row>4</xdr:row>
      <xdr:rowOff>125130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205FC7A-B990-4DF2-9D50-183FDF83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875" y="849631"/>
          <a:ext cx="1261888" cy="361349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857249</xdr:colOff>
      <xdr:row>2</xdr:row>
      <xdr:rowOff>219075</xdr:rowOff>
    </xdr:from>
    <xdr:to>
      <xdr:col>11</xdr:col>
      <xdr:colOff>723900</xdr:colOff>
      <xdr:row>4</xdr:row>
      <xdr:rowOff>128748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F7D2660-E4A4-4E94-BC67-9B046AB3F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474" y="847725"/>
          <a:ext cx="981076" cy="3668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IZ\C_LUIZ\Arq_Excel\SID_NI_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OSI&#199;&#195;O\Boletim%202014\07-2014\DOCUME~1\RAPHAE~1.POR\CONFIG~1\Temp\Rar$DI00.610\Acabamentos24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B:\COMPOSI&#199;&#195;O\Boletim%202023\2023-06\N&#195;O%20DESONERADO\SCH_BOLETIM_N&#195;O%20DESONERADO_2023_06_Rev_01.xlsm" TargetMode="External"/><Relationship Id="rId1" Type="http://schemas.openxmlformats.org/officeDocument/2006/relationships/externalLinkPath" Target="file:///B:\COMPOSI&#199;&#195;O\Boletim%202023\2023-06\N&#195;O%20DESONERADO\SCH_BOLETIM_N&#195;O%20DESONERADO_2023_06_Rev_0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OMPOSI&#199;&#195;O\Boletim%202023\2023-06\DESONERADO\SCH_BOLETIM_DESONERADO_2023_06_Rev_0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D_NI_5"/>
      <sheetName val="Capa"/>
      <sheetName val="Plan1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  <sheetName val="sid_ni_5"/>
      <sheetName val="ACA_-_01"/>
      <sheetName val="ACA_-_02"/>
      <sheetName val="ACA_-_03"/>
      <sheetName val="ACA_-_04"/>
      <sheetName val="ACA_-_04b"/>
      <sheetName val="ACA_-_05"/>
      <sheetName val="ACA_-_06"/>
      <sheetName val="ACA_-_07"/>
      <sheetName val="ACA_-_08"/>
      <sheetName val="ACA_-_08b"/>
      <sheetName val="ACA_-_09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OLETIM_SEL"/>
      <sheetName val="BOLETIM_COTACAO"/>
      <sheetName val="BINÔMIO BETUMINOSO"/>
      <sheetName val="MAPA_DE_COTAÇÃO"/>
      <sheetName val="SINAPI"/>
      <sheetName val="SICRO_Densidades"/>
      <sheetName val="SINAPI_Escavacao_Vala"/>
      <sheetName val="SINAPI_Reaterro_Vala"/>
      <sheetName val="BDI"/>
      <sheetName val="BDI (2)"/>
      <sheetName val="prod_equi_RE-0060"/>
      <sheetName val="prod_equi_RE-0065"/>
      <sheetName val="prod_equi_RE-0070"/>
      <sheetName val="AD-0001"/>
      <sheetName val="AD-0002"/>
      <sheetName val="AD-0003"/>
      <sheetName val="AD-0004"/>
      <sheetName val="AD-0005"/>
      <sheetName val="EC-0005"/>
      <sheetName val="EC-0010"/>
      <sheetName val="EC-0015"/>
      <sheetName val="EC-0020"/>
      <sheetName val="EC-0025"/>
      <sheetName val="EC-0030"/>
      <sheetName val="EC-0031"/>
      <sheetName val="EC-0032"/>
      <sheetName val="EC-0033"/>
      <sheetName val="EC-0035"/>
      <sheetName val="EC-0036"/>
      <sheetName val="EC-0037"/>
      <sheetName val="EC-0038"/>
      <sheetName val="EC-0039"/>
      <sheetName val="EC-0040"/>
      <sheetName val="EC-0041"/>
      <sheetName val="EC-0043"/>
      <sheetName val="EC-0044"/>
      <sheetName val="EC-0045"/>
      <sheetName val="EC-0050"/>
      <sheetName val="EC-0051"/>
      <sheetName val="EC-0052"/>
      <sheetName val="EC-0053"/>
      <sheetName val="EC-0055"/>
      <sheetName val="EC-0060"/>
      <sheetName val="EC-0065"/>
      <sheetName val="EC-0070"/>
      <sheetName val="EC-0075"/>
      <sheetName val="EC-0080"/>
      <sheetName val="EC-0085"/>
      <sheetName val="EC-0090"/>
      <sheetName val="EC-0100"/>
      <sheetName val="EC-0110"/>
      <sheetName val="EC-0120"/>
      <sheetName val="EC-0130"/>
      <sheetName val="EC-0135"/>
      <sheetName val="EC-0136"/>
      <sheetName val="EC-0145"/>
      <sheetName val="EC-0150"/>
      <sheetName val="EC-0155"/>
      <sheetName val="EC-0165"/>
      <sheetName val="EC-0170"/>
      <sheetName val="EC-0180"/>
      <sheetName val="EC-0190"/>
      <sheetName val="EC-0200"/>
      <sheetName val="EC-0210"/>
      <sheetName val="EC-0220"/>
      <sheetName val="EC-0230"/>
      <sheetName val="EC-0240"/>
      <sheetName val="ES-0010"/>
      <sheetName val="ES-0015"/>
      <sheetName val="ES-0020"/>
      <sheetName val="ES-0025"/>
      <sheetName val="ES-0030"/>
      <sheetName val="ES-0035"/>
      <sheetName val="ES-0040"/>
      <sheetName val="ES-0045"/>
      <sheetName val="ES-0050"/>
      <sheetName val="ES-0055"/>
      <sheetName val="ES-0060"/>
      <sheetName val="ES-0065"/>
      <sheetName val="ES-0070"/>
      <sheetName val="ES-0075"/>
      <sheetName val="ES-0080"/>
      <sheetName val="ES-0085"/>
      <sheetName val="ES-0090"/>
      <sheetName val="ES-0095"/>
      <sheetName val="ES-0100"/>
      <sheetName val="ES-0105"/>
      <sheetName val="DR-0005"/>
      <sheetName val="DR-0007"/>
      <sheetName val="DR-0008"/>
      <sheetName val="DR-0010"/>
      <sheetName val="DR-0015"/>
      <sheetName val="DR-0020"/>
      <sheetName val="DR-0021"/>
      <sheetName val="DR-0024"/>
      <sheetName val="DR-0025"/>
      <sheetName val="DR-0026"/>
      <sheetName val="DR-0027"/>
      <sheetName val="DR-0028"/>
      <sheetName val="DR-0030"/>
      <sheetName val="DR-0032"/>
      <sheetName val="DR-0033"/>
      <sheetName val="DR-0035"/>
      <sheetName val="DR-0036"/>
      <sheetName val="DR-0037"/>
      <sheetName val="DR-0038"/>
      <sheetName val="DR-0040"/>
      <sheetName val="DR-0045"/>
      <sheetName val="DR-0050"/>
      <sheetName val="DR-0055"/>
      <sheetName val="DR-0060"/>
      <sheetName val="DR-0065"/>
      <sheetName val="DR-0070"/>
      <sheetName val="DR-0075"/>
      <sheetName val="DR-0080"/>
      <sheetName val="DR-0085"/>
      <sheetName val="DR-0090"/>
      <sheetName val="DR-0095"/>
      <sheetName val="DR-0100"/>
      <sheetName val="DR-0105"/>
      <sheetName val="DR-0091"/>
      <sheetName val="DR-0096"/>
      <sheetName val="DR-0101"/>
      <sheetName val="DR-0106"/>
      <sheetName val="DR-0110"/>
      <sheetName val="DR-0115"/>
      <sheetName val="DR-0120"/>
      <sheetName val="DR-0125"/>
      <sheetName val="DR-0130"/>
      <sheetName val="DR-0135"/>
      <sheetName val="DR-0140"/>
      <sheetName val="DR-0145"/>
      <sheetName val="DR-0150"/>
      <sheetName val="DR-0155"/>
      <sheetName val="DR-0160"/>
      <sheetName val="DR-0165"/>
      <sheetName val="DR-0170"/>
      <sheetName val="DR-0175"/>
      <sheetName val="DR-0180"/>
      <sheetName val="DR-0185"/>
      <sheetName val="DR-0190"/>
      <sheetName val="DR-0195"/>
      <sheetName val="DR-0200"/>
      <sheetName val="DR-0205"/>
      <sheetName val="DR-0210"/>
      <sheetName val="DR-0215"/>
      <sheetName val="DR-0220"/>
      <sheetName val="DR-0225"/>
      <sheetName val="DR-0230"/>
      <sheetName val="DR-0235"/>
      <sheetName val="DR-0236"/>
      <sheetName val="DR-0237"/>
      <sheetName val="DR-0240"/>
      <sheetName val="DR-0245"/>
      <sheetName val="DR-0250"/>
      <sheetName val="DR-0255"/>
      <sheetName val="DR-0260"/>
      <sheetName val="DR-0265"/>
      <sheetName val="DR-0267"/>
      <sheetName val="DR-0270"/>
      <sheetName val="DR-0275"/>
      <sheetName val="DR-0280"/>
      <sheetName val="DR-0285"/>
      <sheetName val="DR-0290"/>
      <sheetName val="DR-0292"/>
      <sheetName val="DR-0295"/>
      <sheetName val="DR-0296"/>
      <sheetName val="DR-0300"/>
      <sheetName val="DR-0305"/>
      <sheetName val="DR-0310"/>
      <sheetName val="DR-0315"/>
      <sheetName val="DR-0320"/>
      <sheetName val="DR-0325"/>
      <sheetName val="DR-0330"/>
      <sheetName val="DR-0335"/>
      <sheetName val="DR-0340"/>
      <sheetName val="DR-0341"/>
      <sheetName val="DR-0345"/>
      <sheetName val="DR-0350"/>
      <sheetName val="DR-0355"/>
      <sheetName val="DR-0365"/>
      <sheetName val="DR-0370"/>
      <sheetName val="DR-0375"/>
      <sheetName val="DR-0385"/>
      <sheetName val="DR-0390"/>
      <sheetName val="DR-0395"/>
      <sheetName val="DR-0400"/>
      <sheetName val="DR-0410"/>
      <sheetName val="DR-0411"/>
      <sheetName val="DR-0415"/>
      <sheetName val="DR-0420"/>
      <sheetName val="DR-0421"/>
      <sheetName val="DR-0430"/>
      <sheetName val="DR-0440"/>
      <sheetName val="LF-0005"/>
      <sheetName val="LF-0007"/>
      <sheetName val="LF-0008"/>
      <sheetName val="LF-0010"/>
      <sheetName val="LF-0015"/>
      <sheetName val="LF-0020"/>
      <sheetName val="LF-0025"/>
      <sheetName val="LF-0030"/>
      <sheetName val="LF-0035"/>
      <sheetName val="LF-0040"/>
      <sheetName val="LF-0045"/>
      <sheetName val="PA-0005"/>
      <sheetName val="PA-0006"/>
      <sheetName val="PA-0007"/>
      <sheetName val="PA-0008"/>
      <sheetName val="PA-0010"/>
      <sheetName val="PA-0015"/>
      <sheetName val="PA-0018"/>
      <sheetName val="PA-0019"/>
      <sheetName val="PA-0020"/>
      <sheetName val="PA-0021"/>
      <sheetName val="PA-0022"/>
      <sheetName val="PA-0023"/>
      <sheetName val="PA-0025"/>
      <sheetName val="PA-0030"/>
      <sheetName val="PA-0035"/>
      <sheetName val="PA-0036"/>
      <sheetName val="PA-0037"/>
      <sheetName val="PA-0040"/>
      <sheetName val="PA-0041"/>
      <sheetName val="PA-0042"/>
      <sheetName val="PA-0045"/>
      <sheetName val="PA-0050"/>
      <sheetName val="PA-0055"/>
      <sheetName val="PA-0060"/>
      <sheetName val="PA-0070"/>
      <sheetName val="PA-0080"/>
      <sheetName val="PA-0090"/>
      <sheetName val="PA-0100"/>
      <sheetName val="PA-0110"/>
      <sheetName val="PA-0120"/>
      <sheetName val="PA-0130"/>
      <sheetName val="PA-0140"/>
      <sheetName val="PA-0150"/>
      <sheetName val="PA-0160"/>
      <sheetName val="RE-0005"/>
      <sheetName val="RE-0010"/>
      <sheetName val="RE-0015"/>
      <sheetName val="RE-0020"/>
      <sheetName val="RE-0025"/>
      <sheetName val="RE-0030"/>
      <sheetName val="RE-0035"/>
      <sheetName val="RE-0040"/>
      <sheetName val="RE-0045"/>
      <sheetName val="RE-0050"/>
      <sheetName val="RE-0051"/>
      <sheetName val="RE-0052"/>
      <sheetName val="RE-0053"/>
      <sheetName val="RE-0055"/>
      <sheetName val="RE-0056"/>
      <sheetName val="RE-0057"/>
      <sheetName val="RE-0058"/>
      <sheetName val="RE-0060"/>
      <sheetName val="RE-0065"/>
      <sheetName val="RE-0070"/>
      <sheetName val="RE-0075"/>
      <sheetName val="RE-0080"/>
      <sheetName val="RE-0085"/>
      <sheetName val="RE-0090"/>
      <sheetName val="SC-0005"/>
      <sheetName val="SC-0006"/>
      <sheetName val="SC-0010"/>
      <sheetName val="SC-0015"/>
      <sheetName val="SC-0020"/>
      <sheetName val="SC-0025"/>
      <sheetName val="SC-0030"/>
      <sheetName val="SC-0035"/>
      <sheetName val="SC-0040"/>
      <sheetName val="SC-0007"/>
      <sheetName val="SC-0008"/>
      <sheetName val="SC-0011"/>
      <sheetName val="SC-0016"/>
      <sheetName val="SC-0021"/>
      <sheetName val="SC-0026"/>
      <sheetName val="SC-0031"/>
      <sheetName val="SC-0036"/>
      <sheetName val="SC-0041"/>
      <sheetName val="SC-0045"/>
      <sheetName val="SC-0050"/>
      <sheetName val="SC-0055"/>
      <sheetName val="SC-0060"/>
      <sheetName val="SC-0065"/>
      <sheetName val="SC-0067"/>
      <sheetName val="SC-0068"/>
      <sheetName val="SC-0069"/>
      <sheetName val="SC-0070"/>
      <sheetName val="SC-0075"/>
      <sheetName val="SC-0080"/>
      <sheetName val="SC-0082"/>
      <sheetName val="SC-0085"/>
      <sheetName val="SC-0090"/>
      <sheetName val="SC-0091"/>
      <sheetName val="SC-0092"/>
      <sheetName val="SC-0095"/>
      <sheetName val="SC-0096"/>
      <sheetName val="SC-0097"/>
      <sheetName val="SC-0100"/>
      <sheetName val="SC-0105"/>
      <sheetName val="SC-0110"/>
      <sheetName val="SC-0115"/>
      <sheetName val="SC-0120"/>
      <sheetName val="SC-0125"/>
      <sheetName val="SC-0130"/>
      <sheetName val="SC-0135"/>
      <sheetName val="SC-0140"/>
      <sheetName val="SC-0145"/>
      <sheetName val="SC-0150"/>
      <sheetName val="SC-0155"/>
      <sheetName val="SC-0160"/>
      <sheetName val="SC-0200"/>
      <sheetName val="SC-0205"/>
      <sheetName val="SC-0210"/>
      <sheetName val="SC-0220"/>
      <sheetName val="SC-0230"/>
      <sheetName val="SC-0240"/>
      <sheetName val="SC-0250"/>
      <sheetName val="SC-0260"/>
      <sheetName val="SC-0270"/>
      <sheetName val="SP-0001"/>
      <sheetName val="SP-0004"/>
      <sheetName val="SP-0005"/>
      <sheetName val="SP-0006"/>
      <sheetName val="SP-0007"/>
      <sheetName val="SP-0008"/>
      <sheetName val="SP-0009"/>
      <sheetName val="SP-0010"/>
      <sheetName val="SP-0020"/>
      <sheetName val="SP-0025"/>
      <sheetName val="SP-0030"/>
      <sheetName val="SP-0050"/>
      <sheetName val="SP-0060"/>
      <sheetName val="SP-0074"/>
      <sheetName val="SP-0076"/>
      <sheetName val="SP-0080"/>
      <sheetName val="SP-0100"/>
      <sheetName val="SP-0105"/>
      <sheetName val="SP-0110"/>
      <sheetName val="SP-0115"/>
      <sheetName val="SP-0120"/>
      <sheetName val="SP-0125"/>
      <sheetName val="SP-0130"/>
      <sheetName val="SP-0140"/>
      <sheetName val="SP-0150"/>
      <sheetName val="SP-0160"/>
      <sheetName val="SP-0170"/>
      <sheetName val="SP-0180"/>
      <sheetName val="SP-0190"/>
      <sheetName val="SP-0200"/>
      <sheetName val="SP-0210"/>
      <sheetName val="SP-0220"/>
      <sheetName val="SR-0010"/>
      <sheetName val="SR-0020"/>
      <sheetName val="SR-0030"/>
      <sheetName val="SR-0040"/>
      <sheetName val="SR-0050"/>
      <sheetName val="SR-0060"/>
      <sheetName val="SR-0061"/>
      <sheetName val="SR-0070"/>
      <sheetName val="SR-0080"/>
      <sheetName val="SR-0090"/>
      <sheetName val="SR-0100"/>
      <sheetName val="SR-0110"/>
      <sheetName val="SR-0120"/>
      <sheetName val="ST-0020"/>
      <sheetName val="ST-0065"/>
      <sheetName val="ST-0070"/>
      <sheetName val="SV-0005"/>
      <sheetName val="SV-0010"/>
      <sheetName val="SV-0012"/>
      <sheetName val="SV-0015"/>
      <sheetName val="SV-0020"/>
      <sheetName val="SV-0025"/>
      <sheetName val="SV-0030"/>
      <sheetName val="SV-0035"/>
      <sheetName val="SV-0037"/>
      <sheetName val="SV-0040"/>
      <sheetName val="SV-0045"/>
      <sheetName val="SV-0050"/>
      <sheetName val="SV-0055"/>
      <sheetName val="SV-0060"/>
      <sheetName val="SV-0065"/>
      <sheetName val="SV-0070"/>
      <sheetName val="SV-0075"/>
      <sheetName val="SV-0080"/>
      <sheetName val="SV-0085"/>
      <sheetName val="SV-0090"/>
      <sheetName val="SV-0091"/>
      <sheetName val="SV-0095"/>
      <sheetName val="SV-0100"/>
      <sheetName val="SV-0105"/>
      <sheetName val="SV-0106"/>
      <sheetName val="SV-0107"/>
      <sheetName val="SV-0110"/>
      <sheetName val="SV-0115"/>
      <sheetName val="SV-0120"/>
      <sheetName val="SV-0125"/>
      <sheetName val="SV-0130"/>
      <sheetName val="SV-0140"/>
      <sheetName val="SV-0150"/>
      <sheetName val="SV-0160"/>
      <sheetName val="SV-0170"/>
      <sheetName val="SV-0180"/>
      <sheetName val="SCH_BOLETIM_NÃO DESONERADO_2023"/>
    </sheetNames>
    <sheetDataSet>
      <sheetData sheetId="0">
        <row r="1">
          <cell r="A1" t="str">
            <v>SINAPI:</v>
          </cell>
          <cell r="B1" t="str">
            <v>Junho/2023</v>
          </cell>
          <cell r="C1"/>
          <cell r="D1" t="str">
            <v>LISTA SINTÉTICA SIMPLES DE PREÇOS UNITÁRIOS</v>
          </cell>
          <cell r="E1" t="str">
            <v>REVISÃO:</v>
          </cell>
          <cell r="F1"/>
          <cell r="G1">
            <v>1</v>
          </cell>
          <cell r="H1"/>
        </row>
        <row r="2">
          <cell r="A2" t="str">
            <v>SICRO:</v>
          </cell>
          <cell r="B2">
            <v>45017</v>
          </cell>
          <cell r="C2"/>
          <cell r="D2" t="str">
            <v>NÃO DESONERADA</v>
          </cell>
          <cell r="E2"/>
          <cell r="F2"/>
          <cell r="G2"/>
          <cell r="H2"/>
        </row>
        <row r="3">
          <cell r="A3" t="str">
            <v>PRAÇA:</v>
          </cell>
          <cell r="B3" t="str">
            <v>Campo Grande/MS</v>
          </cell>
          <cell r="C3"/>
          <cell r="D3"/>
          <cell r="E3"/>
          <cell r="F3" t="str">
            <v>HORISTA:</v>
          </cell>
          <cell r="G3">
            <v>1.1544000000000001</v>
          </cell>
          <cell r="H3"/>
        </row>
        <row r="4">
          <cell r="A4" t="str">
            <v>DATA BASE:</v>
          </cell>
          <cell r="B4" t="str">
            <v>Junho/2023</v>
          </cell>
          <cell r="C4"/>
          <cell r="D4"/>
          <cell r="E4"/>
          <cell r="F4" t="str">
            <v>MENSALISTA:</v>
          </cell>
          <cell r="G4">
            <v>0.71260000000000001</v>
          </cell>
          <cell r="H4"/>
        </row>
        <row r="5">
          <cell r="A5"/>
          <cell r="B5"/>
          <cell r="C5"/>
          <cell r="D5"/>
          <cell r="E5"/>
          <cell r="F5"/>
          <cell r="G5"/>
          <cell r="H5"/>
        </row>
        <row r="6">
          <cell r="A6" t="str">
            <v>1.0</v>
          </cell>
          <cell r="B6" t="str">
            <v>SERVIÇOS PRELIMINARES</v>
          </cell>
          <cell r="C6"/>
          <cell r="D6"/>
          <cell r="E6" t="str">
            <v>SP</v>
          </cell>
          <cell r="F6"/>
          <cell r="G6"/>
          <cell r="H6"/>
        </row>
        <row r="7">
          <cell r="A7" t="str">
            <v>2.0</v>
          </cell>
          <cell r="B7" t="str">
            <v>REMOÇÕES, DEMOLIÇÕES E SUPRESSÕES</v>
          </cell>
          <cell r="E7" t="str">
            <v>SR</v>
          </cell>
          <cell r="F7"/>
          <cell r="G7"/>
          <cell r="H7"/>
        </row>
        <row r="8">
          <cell r="A8" t="str">
            <v>3.0</v>
          </cell>
          <cell r="B8" t="str">
            <v>CARGAS, TEMPO FIXO E TRANSPORTES</v>
          </cell>
          <cell r="C8"/>
          <cell r="D8"/>
          <cell r="E8" t="str">
            <v>TR</v>
          </cell>
          <cell r="F8"/>
          <cell r="G8"/>
          <cell r="H8"/>
        </row>
        <row r="9">
          <cell r="A9" t="str">
            <v>4.0</v>
          </cell>
          <cell r="B9" t="str">
            <v>MICRO E MACRODRENAGEM - ESCORAMENTO E CONTENÇÃO</v>
          </cell>
          <cell r="E9" t="str">
            <v>ES</v>
          </cell>
          <cell r="F9"/>
          <cell r="G9"/>
          <cell r="H9"/>
        </row>
        <row r="10">
          <cell r="A10" t="str">
            <v>5.0</v>
          </cell>
          <cell r="B10" t="str">
            <v>MICRO E MACRODRENAGEM - TERRAPLENAGEM</v>
          </cell>
          <cell r="C10"/>
          <cell r="D10"/>
          <cell r="E10" t="str">
            <v>DR</v>
          </cell>
          <cell r="F10"/>
          <cell r="G10"/>
          <cell r="H10"/>
        </row>
        <row r="11">
          <cell r="A11" t="str">
            <v>6.0</v>
          </cell>
          <cell r="B11" t="str">
            <v>MICRO E MACRODRENAGEM - DISPOSITIVOS AUXILIARES</v>
          </cell>
          <cell r="E11" t="str">
            <v>DR</v>
          </cell>
          <cell r="F11"/>
          <cell r="G11"/>
          <cell r="H11"/>
        </row>
        <row r="12">
          <cell r="A12" t="str">
            <v>7.0</v>
          </cell>
          <cell r="B12" t="str">
            <v>SERVIÇOS DE ESTRUTURAS E CONTENÇÕES</v>
          </cell>
          <cell r="C12"/>
          <cell r="D12"/>
          <cell r="E12" t="str">
            <v>EC</v>
          </cell>
          <cell r="F12"/>
          <cell r="G12"/>
          <cell r="H12"/>
        </row>
        <row r="13">
          <cell r="A13" t="str">
            <v>8.0</v>
          </cell>
          <cell r="B13" t="str">
            <v>PAVIMENTAÇÃO - RESTAURAÇÃO, REMENDO E FRESAGEM</v>
          </cell>
          <cell r="E13" t="str">
            <v>RE</v>
          </cell>
          <cell r="F13"/>
          <cell r="G13"/>
          <cell r="H13"/>
        </row>
        <row r="14">
          <cell r="A14" t="str">
            <v>9.0</v>
          </cell>
          <cell r="B14" t="str">
            <v>IMPLANTAÇÃO ASFÁLTICA - TERRAPLENAGEM</v>
          </cell>
          <cell r="C14"/>
          <cell r="D14"/>
          <cell r="E14" t="str">
            <v>PA</v>
          </cell>
          <cell r="F14"/>
          <cell r="G14"/>
          <cell r="H14"/>
        </row>
        <row r="15">
          <cell r="A15" t="str">
            <v>10.0</v>
          </cell>
          <cell r="B15" t="str">
            <v>IMPLANTAÇÃO ASFÁLTICA - PAVIMENTAÇÃO</v>
          </cell>
          <cell r="E15" t="str">
            <v>PA</v>
          </cell>
          <cell r="F15"/>
          <cell r="G15"/>
          <cell r="H15"/>
        </row>
        <row r="16">
          <cell r="A16" t="str">
            <v>11.0</v>
          </cell>
          <cell r="B16" t="str">
            <v>SERVIÇOS COMPLEMENTARES, PASSEIOS E ACESSIBILIDADE</v>
          </cell>
          <cell r="C16"/>
          <cell r="D16"/>
          <cell r="E16" t="str">
            <v>SC</v>
          </cell>
          <cell r="F16"/>
          <cell r="G16"/>
          <cell r="H16"/>
        </row>
        <row r="17">
          <cell r="A17" t="str">
            <v>12.0</v>
          </cell>
          <cell r="B17" t="str">
            <v>DRENAGEM DE LENÇOL FREÁTICO</v>
          </cell>
          <cell r="E17" t="str">
            <v>LF</v>
          </cell>
          <cell r="F17"/>
          <cell r="G17"/>
          <cell r="H17"/>
        </row>
        <row r="18">
          <cell r="A18" t="str">
            <v>13.0</v>
          </cell>
          <cell r="B18" t="str">
            <v>SINALIZAÇÃO VIÁRIA DEFINITIVA</v>
          </cell>
          <cell r="C18"/>
          <cell r="D18"/>
          <cell r="E18" t="str">
            <v>SV</v>
          </cell>
          <cell r="F18"/>
          <cell r="G18"/>
          <cell r="H18"/>
        </row>
        <row r="19">
          <cell r="A19" t="str">
            <v>14.0</v>
          </cell>
          <cell r="B19" t="str">
            <v>ADMINISTRAÇÃO LOCAL</v>
          </cell>
          <cell r="E19"/>
          <cell r="F19"/>
          <cell r="G19"/>
          <cell r="H19"/>
        </row>
        <row r="20">
          <cell r="A20" t="str">
            <v>15.0</v>
          </cell>
          <cell r="B20" t="str">
            <v>SERVIÇOS DE ENGENHARIA DE PROJETOS DE INFRAESTRUTURA URBANA</v>
          </cell>
          <cell r="C20"/>
          <cell r="D20"/>
          <cell r="E20"/>
          <cell r="F20"/>
          <cell r="G20"/>
          <cell r="H20"/>
        </row>
        <row r="21">
          <cell r="A21"/>
          <cell r="B21"/>
          <cell r="C21"/>
          <cell r="D21"/>
          <cell r="E21"/>
          <cell r="F21"/>
          <cell r="G21"/>
          <cell r="H21"/>
        </row>
        <row r="22">
          <cell r="A22" t="str">
            <v xml:space="preserve">CÓDIGO                  </v>
          </cell>
          <cell r="B22" t="str">
            <v>CPU</v>
          </cell>
          <cell r="C22" t="str">
            <v>PRODUTIVIDADE
OU 
COD SINAPI</v>
          </cell>
          <cell r="D22" t="str">
            <v>DESCRIÇÃO DOS SERVIÇOS COM ADEQUAÇÕES</v>
          </cell>
          <cell r="E22" t="str">
            <v>OBS.</v>
          </cell>
          <cell r="F22" t="str">
            <v>UNIDADE</v>
          </cell>
          <cell r="G22" t="str">
            <v>PREÇO UNITÁRIO (S/BDI) (R$)</v>
          </cell>
          <cell r="H22" t="str">
            <v>conferência da existência de preços</v>
          </cell>
        </row>
        <row r="23">
          <cell r="A23"/>
          <cell r="B23"/>
          <cell r="C23" t="str">
            <v>1.0</v>
          </cell>
          <cell r="D23" t="str">
            <v>SERVIÇOS PRELIMINARES</v>
          </cell>
          <cell r="E23"/>
          <cell r="F23"/>
          <cell r="G23"/>
          <cell r="H23" t="str">
            <v/>
          </cell>
        </row>
        <row r="24">
          <cell r="A24" t="str">
            <v>SP/0001</v>
          </cell>
          <cell r="B24" t="str">
            <v>COMPOSIÇÃO</v>
          </cell>
          <cell r="C24" t="str">
            <v>74209/1</v>
          </cell>
          <cell r="D24" t="str">
            <v>Placa de identificação de obra pública, inclusive pintura e adesivos, estrutura e suporte de madeira. Incluso fornecimento de material e instalação. Ref SINAPI, CÓD 74209/001, DB 01/2020</v>
          </cell>
          <cell r="E24"/>
          <cell r="F24" t="str">
            <v>M2</v>
          </cell>
          <cell r="G24">
            <v>356.55</v>
          </cell>
          <cell r="H24" t="str">
            <v>-</v>
          </cell>
        </row>
        <row r="25">
          <cell r="A25">
            <v>93207</v>
          </cell>
          <cell r="B25" t="str">
            <v>SINAPI</v>
          </cell>
          <cell r="C25"/>
          <cell r="D25" t="str">
            <v>Barracão de obra - Execução de escritório em canteiro de obra em chapa de madeira compensada, não incluso mobiliário e equipamentos. AF_02/2016</v>
          </cell>
          <cell r="E25"/>
          <cell r="F25" t="str">
            <v>M2</v>
          </cell>
          <cell r="G25">
            <v>1189.6199999999999</v>
          </cell>
          <cell r="H25" t="str">
            <v>-</v>
          </cell>
        </row>
        <row r="26">
          <cell r="A26">
            <v>93212</v>
          </cell>
          <cell r="B26" t="str">
            <v>SINAPI</v>
          </cell>
          <cell r="C26"/>
          <cell r="D26" t="str">
            <v>Barracão de obra - Execução de sanitário e vestiário em canteiro de obra em chapa de madeira compensada, não incluso mobiliário. AF_02/2016</v>
          </cell>
          <cell r="E26"/>
          <cell r="F26" t="str">
            <v>M2</v>
          </cell>
          <cell r="G26">
            <v>1024.81</v>
          </cell>
          <cell r="H26" t="str">
            <v>-</v>
          </cell>
        </row>
        <row r="27">
          <cell r="A27">
            <v>93584</v>
          </cell>
          <cell r="B27" t="str">
            <v>SINAPI</v>
          </cell>
          <cell r="C27"/>
          <cell r="D27" t="str">
            <v>Barracão de obra - Execução de depósito em canteiro de obra em chapa de madeira compensada, não incluso mobiliário. AF_04/2016</v>
          </cell>
          <cell r="E27"/>
          <cell r="F27" t="str">
            <v>M2</v>
          </cell>
          <cell r="G27">
            <v>940.47</v>
          </cell>
          <cell r="H27" t="str">
            <v>-</v>
          </cell>
        </row>
        <row r="28">
          <cell r="A28">
            <v>93585</v>
          </cell>
          <cell r="B28" t="str">
            <v>SINAPI</v>
          </cell>
          <cell r="C28"/>
          <cell r="D28" t="str">
            <v>Execução de guarita em canteiro de obra em chapa de madeira compensada, não incluso mobiliário. AF_04/2016</v>
          </cell>
          <cell r="E28"/>
          <cell r="F28" t="str">
            <v>M2</v>
          </cell>
          <cell r="G28">
            <v>1303.8900000000001</v>
          </cell>
          <cell r="H28" t="str">
            <v>-</v>
          </cell>
        </row>
        <row r="29">
          <cell r="A29">
            <v>10775</v>
          </cell>
          <cell r="B29" t="str">
            <v>SINAPI</v>
          </cell>
          <cell r="C29"/>
          <cell r="D29" t="str">
            <v>Locação de container 2,30  x  6,00 m, alt. 2,50 m, com 1 sanitário, para escritório, completo, sem divisórias internas</v>
          </cell>
          <cell r="E29"/>
          <cell r="F29" t="str">
            <v xml:space="preserve">MES   </v>
          </cell>
          <cell r="G29">
            <v>843</v>
          </cell>
          <cell r="H29" t="str">
            <v>-</v>
          </cell>
        </row>
        <row r="30">
          <cell r="A30">
            <v>10776</v>
          </cell>
          <cell r="B30" t="str">
            <v>SINAPI</v>
          </cell>
          <cell r="C30"/>
          <cell r="D30" t="str">
            <v>Locação de container 2,30  x  6,00 m, alt. 2,50 m, para escritório, sem divisórias internas e sem sanitário</v>
          </cell>
          <cell r="E30"/>
          <cell r="F30" t="str">
            <v xml:space="preserve">MES   </v>
          </cell>
          <cell r="G30">
            <v>658.59</v>
          </cell>
          <cell r="H30" t="str">
            <v>-</v>
          </cell>
        </row>
        <row r="31">
          <cell r="A31">
            <v>10777</v>
          </cell>
          <cell r="B31" t="str">
            <v>SINAPI</v>
          </cell>
          <cell r="C31"/>
          <cell r="D31" t="str">
            <v>Locação de container 2,30 x 4,30 m, alt. 2,50 m, para sanitário, com 3 bacias, 4 chuveiros, 1 lavatório e 1 mictório</v>
          </cell>
          <cell r="E31"/>
          <cell r="F31" t="str">
            <v xml:space="preserve">MES   </v>
          </cell>
          <cell r="G31">
            <v>957.15</v>
          </cell>
          <cell r="H31" t="str">
            <v>-</v>
          </cell>
        </row>
        <row r="32">
          <cell r="A32">
            <v>10778</v>
          </cell>
          <cell r="B32" t="str">
            <v>SINAPI</v>
          </cell>
          <cell r="C32"/>
          <cell r="D32" t="str">
            <v>Locação de container 2,30 x 6,00 m, alt. 2,50 m,  para sanitário,  com 4 bacias, 8 chuveiros,1 lavatório e 1 mictório</v>
          </cell>
          <cell r="E32"/>
          <cell r="F32" t="str">
            <v xml:space="preserve">MES   </v>
          </cell>
          <cell r="G32">
            <v>1053.75</v>
          </cell>
          <cell r="H32" t="str">
            <v>-</v>
          </cell>
        </row>
        <row r="33">
          <cell r="A33" t="str">
            <v>SP/0004</v>
          </cell>
          <cell r="B33" t="str">
            <v>COMPOSIÇÃO</v>
          </cell>
          <cell r="C33"/>
          <cell r="D33" t="str">
            <v>Aluguel de banheiro quimico, incluindo transporte de ida e volta, manutencao e higienizacao 3 vezes por semana. Modelo Luxo, dimensões 2,31 x 1,15 x 1,15m. Cidade: Campo Grande/MS</v>
          </cell>
          <cell r="E33"/>
          <cell r="F33" t="str">
            <v>UN.MÊS</v>
          </cell>
          <cell r="G33">
            <v>2000</v>
          </cell>
          <cell r="H33" t="str">
            <v>-</v>
          </cell>
        </row>
        <row r="34">
          <cell r="A34" t="str">
            <v>SP/0005</v>
          </cell>
          <cell r="B34" t="str">
            <v>COMPOSIÇÃO</v>
          </cell>
          <cell r="C34"/>
          <cell r="D34" t="str">
            <v>Aluguel de banheiro quimico, incluindo transporte de ida e volta, manutencao e higienizacao 3 vezes por semana. Modelo Luxo, dimensões 2,31 x 1,15 x 1,15m</v>
          </cell>
          <cell r="E34"/>
          <cell r="F34" t="str">
            <v>UN.MÊS</v>
          </cell>
          <cell r="G34">
            <v>1200</v>
          </cell>
          <cell r="H34" t="str">
            <v>-</v>
          </cell>
        </row>
        <row r="35">
          <cell r="A35" t="str">
            <v>SP/0008</v>
          </cell>
          <cell r="B35" t="str">
            <v>COMPOSIÇÃO</v>
          </cell>
          <cell r="C35"/>
          <cell r="D35" t="str">
            <v>Aluguel de banheiro quimico, incluindo transporte de ida e volta, manutencao e higienizacao 3 vezes por semana. Dimensões 2,31 x 1,15 x 1,15m. Cidade: Três Lagoas/MS</v>
          </cell>
          <cell r="E35"/>
          <cell r="F35" t="str">
            <v>UN.MÊS</v>
          </cell>
          <cell r="G35">
            <v>600</v>
          </cell>
          <cell r="H35" t="str">
            <v>-</v>
          </cell>
        </row>
        <row r="36">
          <cell r="A36" t="str">
            <v>SP/0006</v>
          </cell>
          <cell r="B36" t="str">
            <v>COMPOSIÇÃO</v>
          </cell>
          <cell r="C36"/>
          <cell r="D36" t="str">
            <v>Usina de Asfalto completa - Instalação</v>
          </cell>
          <cell r="E36"/>
          <cell r="F36" t="str">
            <v xml:space="preserve">UN </v>
          </cell>
          <cell r="G36">
            <v>381443.83</v>
          </cell>
          <cell r="H36" t="str">
            <v>-</v>
          </cell>
        </row>
        <row r="37">
          <cell r="A37" t="str">
            <v>SP/0009</v>
          </cell>
          <cell r="B37" t="str">
            <v>COMPOSIÇÃO</v>
          </cell>
          <cell r="C37"/>
          <cell r="D37" t="str">
            <v>Instalação da usina de asfalto a quente capacidade de 120 t/h. Ref SICRO CÓD. 0903810, DB 01-23</v>
          </cell>
          <cell r="E37"/>
          <cell r="F37" t="str">
            <v xml:space="preserve">UN </v>
          </cell>
          <cell r="G37">
            <v>211568.17</v>
          </cell>
          <cell r="H37" t="str">
            <v>-</v>
          </cell>
        </row>
        <row r="38">
          <cell r="A38" t="str">
            <v>SP/0220</v>
          </cell>
          <cell r="B38" t="str">
            <v>COMPOSIÇÃO</v>
          </cell>
          <cell r="C38"/>
          <cell r="D38" t="str">
            <v>Instalação da usina móvel de asfalto a quente capacidade de 40 T/H a 80 T/H. Ref SICRO CÓD. 0903810 e 0903809, DB 01-23</v>
          </cell>
          <cell r="E38"/>
          <cell r="F38" t="str">
            <v xml:space="preserve">UN </v>
          </cell>
          <cell r="G38">
            <v>48481.45</v>
          </cell>
          <cell r="H38" t="str">
            <v>-</v>
          </cell>
        </row>
        <row r="39">
          <cell r="A39" t="str">
            <v>SP/0007</v>
          </cell>
          <cell r="B39" t="str">
            <v>COMPOSIÇÃO</v>
          </cell>
          <cell r="C39"/>
          <cell r="D39" t="str">
            <v>Usina de Asfalto completa  - Mobilização e Desmobilização. Exclusive instalação</v>
          </cell>
          <cell r="E39" t="str">
            <v>ATENÇÃO
digitar na CCU o DMT para acrescentar o custo dos motoristas</v>
          </cell>
          <cell r="F39" t="str">
            <v>KM</v>
          </cell>
          <cell r="G39">
            <v>66.97</v>
          </cell>
          <cell r="H39" t="str">
            <v>-</v>
          </cell>
        </row>
        <row r="40">
          <cell r="A40" t="str">
            <v>SP/0010</v>
          </cell>
          <cell r="B40" t="str">
            <v>COMPOSIÇÃO</v>
          </cell>
          <cell r="C40"/>
          <cell r="D40" t="str">
            <v>Iluminação e ventilação para execução de tunnel liner. Ref SICRO, CÓD 4816003 e 4816004. DB 07-2021</v>
          </cell>
          <cell r="E40"/>
          <cell r="F40" t="str">
            <v>M</v>
          </cell>
          <cell r="G40">
            <v>88.58</v>
          </cell>
          <cell r="H40" t="str">
            <v>-</v>
          </cell>
        </row>
        <row r="41">
          <cell r="A41" t="str">
            <v>SP/0020</v>
          </cell>
          <cell r="B41" t="str">
            <v>COMPOSIÇÃO</v>
          </cell>
          <cell r="C41"/>
          <cell r="D41" t="str">
    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    </cell>
          <cell r="E41"/>
          <cell r="F41" t="str">
            <v>M2</v>
          </cell>
          <cell r="G41">
            <v>136.47</v>
          </cell>
          <cell r="H41" t="str">
            <v>-</v>
          </cell>
        </row>
        <row r="42">
          <cell r="A42" t="str">
            <v>SP/0025</v>
          </cell>
          <cell r="B42" t="str">
            <v>COMPOSIÇÃO</v>
          </cell>
          <cell r="C42" t="str">
            <v>74221/1</v>
          </cell>
          <cell r="D42" t="str">
            <v>Segurança de trânsito - sinalização de advertência de obra com elemento luminoso (balde vermelho)</v>
          </cell>
          <cell r="E42"/>
          <cell r="F42" t="str">
            <v>M</v>
          </cell>
          <cell r="G42">
            <v>3.37</v>
          </cell>
          <cell r="H42" t="str">
            <v>-</v>
          </cell>
        </row>
        <row r="43">
          <cell r="A43">
            <v>98458</v>
          </cell>
          <cell r="B43" t="str">
            <v>SINAPI</v>
          </cell>
          <cell r="C43"/>
          <cell r="D43" t="str">
            <v>Segurança de trânsito - tapume baixo removível de proteção para valas com chapas compensadas (6 mm). Exclusive pintura de sinalização de advertência</v>
          </cell>
          <cell r="E43"/>
          <cell r="F43" t="str">
            <v>M2</v>
          </cell>
          <cell r="G43">
            <v>154.9</v>
          </cell>
          <cell r="H43" t="str">
            <v>-</v>
          </cell>
        </row>
        <row r="44">
          <cell r="A44">
            <v>98459</v>
          </cell>
          <cell r="B44" t="str">
            <v>SINAPI</v>
          </cell>
          <cell r="C44"/>
          <cell r="D44" t="str">
            <v>Tapume com telha metálica, sem pintura, trapezoidal espessura 0,5 mm, colunas, bases e parafusos</v>
          </cell>
          <cell r="E44"/>
          <cell r="F44" t="str">
            <v>M2</v>
          </cell>
          <cell r="G44">
            <v>121.79</v>
          </cell>
          <cell r="H44" t="str">
            <v>-</v>
          </cell>
        </row>
        <row r="45">
          <cell r="A45" t="str">
            <v>SP/0030</v>
          </cell>
          <cell r="B45" t="str">
            <v>COMPOSIÇÃO</v>
          </cell>
          <cell r="C45">
            <v>85423</v>
          </cell>
          <cell r="D45" t="str">
    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    </cell>
          <cell r="E45"/>
          <cell r="F45" t="str">
            <v>M</v>
          </cell>
          <cell r="G45">
            <v>10.43</v>
          </cell>
          <cell r="H45" t="str">
            <v>-</v>
          </cell>
        </row>
        <row r="46">
          <cell r="A46">
            <v>13244</v>
          </cell>
          <cell r="B46" t="str">
            <v>SINAPI</v>
          </cell>
          <cell r="C46"/>
          <cell r="D46" t="str">
            <v>Segurança de trânsito - cone de sinalização em pvc rígido com faixa refletiva, h = 70 / 76 cm</v>
          </cell>
          <cell r="E46"/>
          <cell r="F46" t="str">
            <v xml:space="preserve">UN    </v>
          </cell>
          <cell r="G46">
            <v>51.9</v>
          </cell>
          <cell r="H46" t="str">
            <v>-</v>
          </cell>
        </row>
        <row r="47">
          <cell r="A47" t="str">
            <v>SP/0050</v>
          </cell>
          <cell r="B47" t="str">
            <v>COMPOSIÇÃO</v>
          </cell>
          <cell r="C47"/>
          <cell r="D47" t="str">
            <v>Sondagem de investigação de interferências subterrâneas, incluindo escavações mecânica e manual e reaterro</v>
          </cell>
          <cell r="E47"/>
          <cell r="F47" t="str">
            <v xml:space="preserve">UN </v>
          </cell>
          <cell r="G47">
            <v>305.54000000000002</v>
          </cell>
          <cell r="H47" t="str">
            <v>-</v>
          </cell>
        </row>
        <row r="48">
          <cell r="A48" t="str">
            <v>SP/0060</v>
          </cell>
          <cell r="B48" t="str">
            <v>COMPOSIÇÃO</v>
          </cell>
          <cell r="C48"/>
          <cell r="D48" t="str">
            <v>Reparo em ramal de ligação predial de água</v>
          </cell>
          <cell r="E48"/>
          <cell r="F48" t="str">
            <v xml:space="preserve">UN </v>
          </cell>
          <cell r="G48">
            <v>260.45999999999998</v>
          </cell>
          <cell r="H48" t="str">
            <v>-</v>
          </cell>
        </row>
        <row r="49">
          <cell r="A49" t="str">
            <v>SP/0074</v>
          </cell>
          <cell r="B49" t="str">
            <v>COMPOSIÇÃO</v>
          </cell>
          <cell r="C49"/>
          <cell r="D49" t="str">
            <v>Limpeza e desobstrução mecânica de galerias de águas pluviais, utilizando equipamento Buket-Machine, inclusive retirada do material para bota-fora</v>
          </cell>
          <cell r="E49"/>
          <cell r="F49" t="str">
            <v>M3</v>
          </cell>
          <cell r="G49">
            <v>127.91</v>
          </cell>
          <cell r="H49" t="str">
            <v>-</v>
          </cell>
        </row>
        <row r="50">
          <cell r="A50" t="str">
            <v>SP/0076</v>
          </cell>
          <cell r="B50" t="str">
            <v>COMPOSIÇÃO</v>
          </cell>
          <cell r="C50"/>
          <cell r="D50" t="str">
            <v>Limpeza e desobstrução mecânica dos sistemas de drenagem - galerias, bocas de lobo, poços de visita, etc - com utilização de equipamento combinado hidrojato / sugador</v>
          </cell>
          <cell r="E50"/>
          <cell r="F50" t="str">
            <v>H</v>
          </cell>
          <cell r="G50">
            <v>381.79</v>
          </cell>
          <cell r="H50" t="str">
            <v>-</v>
          </cell>
        </row>
        <row r="51">
          <cell r="A51" t="str">
            <v>SP/0080</v>
          </cell>
          <cell r="B51" t="str">
            <v>COMPOSIÇÃO</v>
          </cell>
          <cell r="C51"/>
          <cell r="D51" t="str">
            <v>Limpeza mecanizada de camada vegetal tipo gramínea, com miniescavadeira sobre esteira</v>
          </cell>
          <cell r="E51"/>
          <cell r="F51" t="str">
            <v>M2</v>
          </cell>
          <cell r="G51">
            <v>2.73</v>
          </cell>
          <cell r="H51" t="str">
            <v>-</v>
          </cell>
        </row>
        <row r="52">
          <cell r="A52">
            <v>99814</v>
          </cell>
          <cell r="B52" t="str">
            <v>SINAPI</v>
          </cell>
          <cell r="C52"/>
          <cell r="D52" t="str">
            <v>Limpeza de superfície com jato de alta pressão. AF_04/2019</v>
          </cell>
          <cell r="E52"/>
          <cell r="F52" t="str">
            <v>M2</v>
          </cell>
          <cell r="G52">
            <v>1.71</v>
          </cell>
          <cell r="H52" t="str">
            <v>-</v>
          </cell>
        </row>
        <row r="53">
          <cell r="A53">
            <v>98519</v>
          </cell>
          <cell r="B53" t="str">
            <v>SINAPI</v>
          </cell>
          <cell r="C53"/>
          <cell r="D53" t="str">
            <v>Revolvimento e limpeza manual de solo. AF_05/2018</v>
          </cell>
          <cell r="E53"/>
          <cell r="F53" t="str">
            <v>M2</v>
          </cell>
          <cell r="G53">
            <v>1.81</v>
          </cell>
          <cell r="H53" t="str">
            <v>-</v>
          </cell>
        </row>
        <row r="54">
          <cell r="A54">
            <v>98525</v>
          </cell>
          <cell r="B54" t="str">
            <v>SINAPI</v>
          </cell>
          <cell r="C54">
            <v>333.33</v>
          </cell>
          <cell r="D54" t="str">
            <v>Limpeza mecanizada de camada vegetal, vegetação e pequenas árvores (diâmetro nominal de tronco menor que 0,20 m), com trator de esteiras. AF_05/2018</v>
          </cell>
          <cell r="E54"/>
          <cell r="F54" t="str">
            <v>M2</v>
          </cell>
          <cell r="G54">
            <v>0.34</v>
          </cell>
          <cell r="H54" t="str">
            <v>-</v>
          </cell>
        </row>
        <row r="55">
          <cell r="A55">
            <v>98524</v>
          </cell>
          <cell r="B55" t="str">
            <v>SINAPI</v>
          </cell>
          <cell r="C55" t="str">
            <v>73859/2</v>
          </cell>
          <cell r="D55" t="str">
            <v>Limpeza manual de vegetação em terreno com enxada. AF_05/2018</v>
          </cell>
          <cell r="E55"/>
          <cell r="F55" t="str">
            <v>M2</v>
          </cell>
          <cell r="G55">
            <v>2.81</v>
          </cell>
          <cell r="H55" t="str">
            <v>-</v>
          </cell>
        </row>
        <row r="56">
          <cell r="A56">
            <v>93210</v>
          </cell>
          <cell r="B56" t="str">
            <v>SINAPI</v>
          </cell>
          <cell r="C56"/>
          <cell r="D56" t="str">
            <v>Execução de refeitório em canteiro de obra em chapa de madeira compensada, não incluso mobiliário e equipamentos. af_02/2016</v>
          </cell>
          <cell r="E56"/>
          <cell r="F56" t="str">
            <v>M2</v>
          </cell>
          <cell r="G56">
            <v>618.98</v>
          </cell>
          <cell r="H56" t="str">
            <v>-</v>
          </cell>
        </row>
        <row r="57">
          <cell r="A57">
            <v>93582</v>
          </cell>
          <cell r="B57" t="str">
            <v>SINAPI</v>
          </cell>
          <cell r="C57"/>
          <cell r="D57" t="str">
            <v>Execução de central de armadura em canteiro de obra, não incluso mobiliário e equipamentos. af_04/2016</v>
          </cell>
          <cell r="E57"/>
          <cell r="F57" t="str">
            <v>M2</v>
          </cell>
          <cell r="G57">
            <v>287.77</v>
          </cell>
          <cell r="H57" t="str">
            <v>-</v>
          </cell>
        </row>
        <row r="58">
          <cell r="A58">
            <v>93583</v>
          </cell>
          <cell r="B58" t="str">
            <v>SINAPI</v>
          </cell>
          <cell r="C58"/>
          <cell r="D58" t="str">
            <v>Execução de central de fôrmas, produção de argamassa ou concreto em canteiro de obra, não incluso mobiliário e equipamentos. af_04/2016</v>
          </cell>
          <cell r="E58"/>
          <cell r="F58" t="str">
            <v>M2</v>
          </cell>
          <cell r="G58">
            <v>468.4</v>
          </cell>
          <cell r="H58" t="str">
            <v>-</v>
          </cell>
        </row>
        <row r="59">
          <cell r="A59" t="str">
            <v>SP/0100</v>
          </cell>
          <cell r="B59" t="str">
            <v>COMPOSIÇÃO</v>
          </cell>
          <cell r="C59"/>
          <cell r="D59" t="str">
            <v>Barreira de sinalização tipo I de direcionamento ou bloqueio - utilização de 10 vezes. Ref SICRO CÓD  5213385, DB 07-2021</v>
          </cell>
          <cell r="E59"/>
          <cell r="F59" t="str">
            <v>UN</v>
          </cell>
          <cell r="G59">
            <v>280.45999999999998</v>
          </cell>
          <cell r="H59" t="str">
            <v>-</v>
          </cell>
        </row>
        <row r="60">
          <cell r="A60" t="str">
            <v>SP/0105</v>
          </cell>
          <cell r="B60" t="str">
            <v>COMPOSIÇÃO</v>
          </cell>
          <cell r="C60"/>
          <cell r="D60" t="str">
            <v>Operação de sinalização por bandeirola de tecido ou com placa metálica. Ref SICRO CÓD  5213850, DB 07-2021</v>
          </cell>
          <cell r="E60"/>
          <cell r="F60" t="str">
            <v>H</v>
          </cell>
          <cell r="G60">
            <v>18.93</v>
          </cell>
          <cell r="H60" t="str">
            <v>-</v>
          </cell>
        </row>
        <row r="61">
          <cell r="A61" t="str">
            <v>SP/0110</v>
          </cell>
          <cell r="B61" t="str">
            <v>COMPOSIÇÃO</v>
          </cell>
          <cell r="C61"/>
          <cell r="D61" t="str">
            <v>Confecção de cavalete em perfil metálico para placa de sinalização - 1,00 m x 1,00 m. Ref SICRO CÓD  5219544, DB 07-2021</v>
          </cell>
          <cell r="E61"/>
          <cell r="F61" t="str">
            <v>UN</v>
          </cell>
          <cell r="G61">
            <v>244.35</v>
          </cell>
          <cell r="H61" t="str">
            <v>-</v>
          </cell>
        </row>
        <row r="62">
          <cell r="A62" t="str">
            <v>SP/0115</v>
          </cell>
          <cell r="B62" t="str">
            <v>COMPOSIÇÃO</v>
          </cell>
          <cell r="C62"/>
          <cell r="D62" t="str">
            <v>Corte de perfil metálico com máquina policorte com espessura de até 1/8". Ref SICRO CÓD  1419543, DB 07-2021</v>
          </cell>
          <cell r="E62"/>
          <cell r="F62" t="str">
            <v>UN</v>
          </cell>
          <cell r="G62">
            <v>0.28999999999999998</v>
          </cell>
          <cell r="H62" t="str">
            <v>-</v>
          </cell>
        </row>
        <row r="63">
          <cell r="A63" t="str">
            <v>SP/0120</v>
          </cell>
          <cell r="B63" t="str">
            <v>COMPOSIÇÃO</v>
          </cell>
          <cell r="C63"/>
          <cell r="D63" t="str">
            <v>Solda elétrica de perfis metálicos e chapas de aço com eletrodo E60XX. Ref SICRO CÓD  2408057, DB 07-2021</v>
          </cell>
          <cell r="E63"/>
          <cell r="F63" t="str">
            <v>KG</v>
          </cell>
          <cell r="G63">
            <v>141.27000000000001</v>
          </cell>
          <cell r="H63" t="str">
            <v>-</v>
          </cell>
        </row>
        <row r="64">
          <cell r="A64" t="str">
            <v>SP/0125</v>
          </cell>
          <cell r="B64" t="str">
            <v>COMPOSIÇÃO</v>
          </cell>
          <cell r="C64"/>
          <cell r="D64" t="str">
            <v>Fornecimento e implantação de placa em aço - película I + I. Ref SICRO CÓD  5213570, DB 07-2021</v>
          </cell>
          <cell r="E64"/>
          <cell r="F64" t="str">
            <v>m2</v>
          </cell>
          <cell r="G64">
            <v>630.17999999999995</v>
          </cell>
          <cell r="H64" t="str">
            <v>-</v>
          </cell>
        </row>
        <row r="65">
          <cell r="A65" t="str">
            <v>SP/0130</v>
          </cell>
          <cell r="B65" t="str">
            <v>COMPOSIÇÃO</v>
          </cell>
          <cell r="C65"/>
          <cell r="D65" t="str">
            <v>Fornecimento e implantação de suporte e travessa para placa de sinalização em madeira de lei tratada 8 x 8 cm. Ref SICRO CÓD  5216111, DB 07-2021</v>
          </cell>
          <cell r="E65"/>
          <cell r="F65" t="str">
            <v>UN</v>
          </cell>
          <cell r="G65">
            <v>162.86000000000001</v>
          </cell>
          <cell r="H65" t="str">
            <v>-</v>
          </cell>
        </row>
        <row r="66">
          <cell r="A66" t="str">
            <v>SP/0140</v>
          </cell>
          <cell r="B66" t="str">
            <v>COMPOSIÇÃO</v>
          </cell>
          <cell r="C66"/>
          <cell r="D66" t="str">
            <v>Limpeza em superficie de concreto com jateamento d'água sob pressão. Ref SICRO CÓD  3806402, DB 01-2021</v>
          </cell>
          <cell r="E66"/>
          <cell r="F66" t="str">
            <v>M2</v>
          </cell>
          <cell r="G66">
            <v>3.07</v>
          </cell>
          <cell r="H66" t="str">
            <v>-</v>
          </cell>
        </row>
        <row r="67">
          <cell r="A67" t="str">
            <v>SP/0150</v>
          </cell>
          <cell r="B67" t="str">
            <v>COMPOSIÇÃO</v>
          </cell>
          <cell r="C67"/>
          <cell r="D67" t="str">
            <v>Montagem e desmontagem da usina de asfalto a quente com capacidade de 120 t/h - inclusive construção e demolição de bases, rampas, depósitos de agregados e dique de contenção. Ref SICRO CÓD  0919013, DB 01-2023</v>
          </cell>
          <cell r="E67"/>
          <cell r="F67" t="str">
            <v>UN</v>
          </cell>
          <cell r="G67">
            <v>150630.37</v>
          </cell>
          <cell r="H67" t="str">
            <v>-</v>
          </cell>
        </row>
        <row r="68">
          <cell r="A68" t="str">
            <v>SP/0160</v>
          </cell>
          <cell r="B68" t="str">
            <v>COMPOSIÇÃO</v>
          </cell>
          <cell r="C68"/>
          <cell r="D68" t="str">
            <v>Chumbador de expansão controlada por torque para concreto D = 16 mm - fornecimento e instalação. Ref SICRO CÓD  3807864, DB 01-2023</v>
          </cell>
          <cell r="E68"/>
          <cell r="F68" t="str">
            <v>UN</v>
          </cell>
          <cell r="G68">
            <v>20.89</v>
          </cell>
          <cell r="H68" t="str">
            <v>-</v>
          </cell>
        </row>
        <row r="69">
          <cell r="A69" t="str">
            <v>SP/0170</v>
          </cell>
          <cell r="B69" t="str">
            <v>COMPOSIÇÃO</v>
          </cell>
          <cell r="C69"/>
          <cell r="D69" t="str">
            <v>Demolição mecânica de concreto armado, com escavadeira hidráulica com martelo hidráulico - sem reaproveitamento, inclusive carga. Ref SICRO CÓD  1619003, DB 01-2023</v>
          </cell>
          <cell r="E69"/>
          <cell r="F69" t="str">
            <v>M³</v>
          </cell>
          <cell r="G69">
            <v>85.99</v>
          </cell>
          <cell r="H69" t="str">
            <v>-</v>
          </cell>
        </row>
        <row r="70">
          <cell r="A70" t="str">
            <v>SP/0180</v>
          </cell>
          <cell r="B70" t="str">
            <v>COMPOSIÇÃO</v>
          </cell>
          <cell r="C70"/>
          <cell r="D70" t="str">
            <v>Dique de contenção para usina de asfalto a quente - inclusive demolição. Ref SICRO CÓD  0919079, DB 01-2023</v>
          </cell>
          <cell r="E70"/>
          <cell r="F70" t="str">
            <v>M²</v>
          </cell>
          <cell r="G70">
            <v>147.12</v>
          </cell>
          <cell r="H70" t="str">
            <v>-</v>
          </cell>
        </row>
        <row r="71">
          <cell r="A71" t="str">
            <v>SP/0190</v>
          </cell>
          <cell r="B71" t="str">
            <v>COMPOSIÇÃO</v>
          </cell>
          <cell r="C71"/>
          <cell r="D71" t="str">
            <v>Muro em alvenaria de blocos de concreto com espessura de 0,20 m h = 1,0 m. Ref SICRO CÓD 0903848, DB 01-2023</v>
          </cell>
          <cell r="E71"/>
          <cell r="F71" t="str">
            <v>M</v>
          </cell>
          <cell r="G71">
            <v>178.86</v>
          </cell>
          <cell r="H71" t="str">
            <v>-</v>
          </cell>
        </row>
        <row r="72">
          <cell r="A72" t="str">
            <v>SP/0200</v>
          </cell>
          <cell r="B72" t="str">
            <v>COMPOSIÇÃO</v>
          </cell>
          <cell r="C72"/>
          <cell r="D72" t="str">
            <v>Rampa para acesso do misturador de agregados para usina de asfalto a quente - inclusive demolição. Ref SICRO CÓD 0909617, DB 01-2023</v>
          </cell>
          <cell r="E72"/>
          <cell r="F72" t="str">
            <v>UN</v>
          </cell>
          <cell r="G72">
            <v>24683.67</v>
          </cell>
          <cell r="H72" t="str">
            <v>-</v>
          </cell>
        </row>
        <row r="73">
          <cell r="A73" t="str">
            <v>SP/0210</v>
          </cell>
          <cell r="B73" t="str">
            <v>COMPOSIÇÃO</v>
          </cell>
          <cell r="C73"/>
          <cell r="D73" t="str">
            <v>Compactação manual com soquete vibratório. Ref SICRO CÓD 4805754, DB 01-2023</v>
          </cell>
          <cell r="E73"/>
          <cell r="F73" t="str">
            <v>M³</v>
          </cell>
          <cell r="G73">
            <v>5.51</v>
          </cell>
          <cell r="H73" t="str">
            <v>-</v>
          </cell>
        </row>
        <row r="74">
          <cell r="A74"/>
          <cell r="B74"/>
          <cell r="C74"/>
          <cell r="D74"/>
          <cell r="E74"/>
          <cell r="F74"/>
          <cell r="G74"/>
          <cell r="H74"/>
        </row>
        <row r="75">
          <cell r="A75"/>
          <cell r="B75"/>
          <cell r="C75" t="str">
            <v>2.0</v>
          </cell>
          <cell r="D75" t="str">
            <v>REMOÇÕES, DEMOLIÇÕES E SUPRESSÕES</v>
          </cell>
          <cell r="E75"/>
          <cell r="F75"/>
          <cell r="G75"/>
          <cell r="H75" t="str">
            <v/>
          </cell>
        </row>
        <row r="76">
          <cell r="A76">
            <v>98526</v>
          </cell>
          <cell r="B76" t="str">
            <v>SINAPI</v>
          </cell>
          <cell r="C76"/>
          <cell r="D76" t="str">
            <v>Remoção de raízes remanescentes de tronco de árvore com diâmetro maior ou igual a 0,20 m e menor que 0,40 m. AF_05/2018</v>
          </cell>
          <cell r="E76"/>
          <cell r="F76" t="str">
            <v>UN</v>
          </cell>
          <cell r="G76">
            <v>76.540000000000006</v>
          </cell>
          <cell r="H76" t="str">
            <v>-</v>
          </cell>
        </row>
        <row r="77">
          <cell r="A77">
            <v>98527</v>
          </cell>
          <cell r="B77" t="str">
            <v>SINAPI</v>
          </cell>
          <cell r="C77"/>
          <cell r="D77" t="str">
            <v>Remoção de raízes remanescentes de tronco de árvore com diâmetro maior ou igual a 0,40 m e menor que 0,60 m. AF_05/2018</v>
          </cell>
          <cell r="E77"/>
          <cell r="F77" t="str">
            <v>UN</v>
          </cell>
          <cell r="G77">
            <v>164.8</v>
          </cell>
          <cell r="H77" t="str">
            <v>-</v>
          </cell>
        </row>
        <row r="78">
          <cell r="A78">
            <v>98528</v>
          </cell>
          <cell r="B78" t="str">
            <v>SINAPI</v>
          </cell>
          <cell r="C78"/>
          <cell r="D78" t="str">
            <v>Remoção de raízes remanescentes de tronco de árvore com diâmetro maior ou igual a 0,60 m. AF_05/2018</v>
          </cell>
          <cell r="E78"/>
          <cell r="F78" t="str">
            <v>UN</v>
          </cell>
          <cell r="G78">
            <v>241</v>
          </cell>
          <cell r="H78" t="str">
            <v>-</v>
          </cell>
        </row>
        <row r="79">
          <cell r="A79">
            <v>98529</v>
          </cell>
          <cell r="B79" t="str">
            <v>SINAPI</v>
          </cell>
          <cell r="C79"/>
          <cell r="D79" t="str">
            <v>Corte raso e recorte de árvore com diâmetro nominal de tronco maior ou igual a 0,20 m e menor que 0,40 m. AF_05/2018</v>
          </cell>
          <cell r="E79"/>
          <cell r="F79" t="str">
            <v>UN</v>
          </cell>
          <cell r="G79">
            <v>60.84</v>
          </cell>
          <cell r="H79" t="str">
            <v>-</v>
          </cell>
        </row>
        <row r="80">
          <cell r="A80">
            <v>98530</v>
          </cell>
          <cell r="B80" t="str">
            <v>SINAPI</v>
          </cell>
          <cell r="C80"/>
          <cell r="D80" t="str">
            <v>Corte raso e recorte de árvore com diâmetro nominal de tronco maior ou igual a 0,40 m e menor que 0,60 m. AF_05/2018</v>
          </cell>
          <cell r="E80"/>
          <cell r="F80" t="str">
            <v>UN</v>
          </cell>
          <cell r="G80">
            <v>108.38</v>
          </cell>
          <cell r="H80" t="str">
            <v>-</v>
          </cell>
        </row>
        <row r="81">
          <cell r="A81">
            <v>98531</v>
          </cell>
          <cell r="B81" t="str">
            <v>SINAPI</v>
          </cell>
          <cell r="C81"/>
          <cell r="D81" t="str">
            <v>Corte raso e recorte de árvore com diâmetro nominal de tronco maior ou igual a 0,60 m. AF_05/2018</v>
          </cell>
          <cell r="E81"/>
          <cell r="F81" t="str">
            <v>UN</v>
          </cell>
          <cell r="G81">
            <v>256.89999999999998</v>
          </cell>
          <cell r="H81" t="str">
            <v>-</v>
          </cell>
        </row>
        <row r="82">
          <cell r="A82">
            <v>98532</v>
          </cell>
          <cell r="B82" t="str">
            <v>SINAPI</v>
          </cell>
          <cell r="C82"/>
          <cell r="D82" t="str">
            <v>Poda em altura de árvore com diâmetro nominal de tronco menor que 0,20 m. AF_05/2018</v>
          </cell>
          <cell r="E82"/>
          <cell r="F82" t="str">
            <v>UN</v>
          </cell>
          <cell r="G82">
            <v>106.25</v>
          </cell>
          <cell r="H82" t="str">
            <v>-</v>
          </cell>
        </row>
        <row r="83">
          <cell r="A83">
            <v>98533</v>
          </cell>
          <cell r="B83" t="str">
            <v>SINAPI</v>
          </cell>
          <cell r="C83"/>
          <cell r="D83" t="str">
            <v>Poda em altura de árvore com diâmetro nominal de tronco maior ou igual a 0,20 m e menor que 0,40 m. AF_05/2018</v>
          </cell>
          <cell r="E83"/>
          <cell r="F83" t="str">
            <v>UN</v>
          </cell>
          <cell r="G83">
            <v>290.27</v>
          </cell>
          <cell r="H83" t="str">
            <v>-</v>
          </cell>
        </row>
        <row r="84">
          <cell r="A84">
            <v>98534</v>
          </cell>
          <cell r="B84" t="str">
            <v>SINAPI</v>
          </cell>
          <cell r="C84"/>
          <cell r="D84" t="str">
            <v>Poda em altura de árvore com diâmetro nominal de tronco maior ou igual a 0,40 m e menor que 0,60 m. AF_05/2018</v>
          </cell>
          <cell r="E84"/>
          <cell r="F84" t="str">
            <v>UN</v>
          </cell>
          <cell r="G84">
            <v>744.49</v>
          </cell>
          <cell r="H84" t="str">
            <v>-</v>
          </cell>
        </row>
        <row r="85">
          <cell r="A85">
            <v>98535</v>
          </cell>
          <cell r="B85" t="str">
            <v>SINAPI</v>
          </cell>
          <cell r="C85"/>
          <cell r="D85" t="str">
            <v>Poda em altura de árvore com diâmetro nominal de tronco maior ou igual a 0,60 m. AF_05/2018</v>
          </cell>
          <cell r="E85"/>
          <cell r="F85" t="str">
            <v>UN</v>
          </cell>
          <cell r="G85">
            <v>1176.8800000000001</v>
          </cell>
          <cell r="H85" t="str">
            <v>-</v>
          </cell>
        </row>
        <row r="86">
          <cell r="A86" t="str">
            <v>SR/0010</v>
          </cell>
          <cell r="B86" t="str">
            <v>COMPOSIÇÃO</v>
          </cell>
          <cell r="C86">
            <v>0.08</v>
          </cell>
          <cell r="D86" t="str">
            <v>Demolição de concreto simples, de forma manual, sem reaproveitamento (REF. SICRO COD. 1600436)</v>
          </cell>
          <cell r="E86"/>
          <cell r="F86" t="str">
            <v>M3</v>
          </cell>
          <cell r="G86">
            <v>266.22000000000003</v>
          </cell>
          <cell r="H86" t="str">
            <v>-</v>
          </cell>
        </row>
        <row r="87">
          <cell r="A87" t="str">
            <v>SR/0020</v>
          </cell>
          <cell r="B87" t="str">
            <v>COMPOSIÇÃO</v>
          </cell>
          <cell r="C87">
            <v>0.6</v>
          </cell>
          <cell r="D87" t="str">
            <v>Demolição de concreto simples, de forma mecanizada, sem reaproveitamento (REF. SICRO COD. 1600989, db 01-2023)</v>
          </cell>
          <cell r="E87"/>
          <cell r="F87" t="str">
            <v>M3</v>
          </cell>
          <cell r="G87">
            <v>238.67</v>
          </cell>
          <cell r="H87" t="str">
            <v>-</v>
          </cell>
        </row>
        <row r="88">
          <cell r="A88" t="str">
            <v>SR/0030</v>
          </cell>
          <cell r="B88" t="str">
            <v>COMPOSIÇÃO</v>
          </cell>
          <cell r="C88">
            <v>0.05</v>
          </cell>
          <cell r="D88" t="str">
            <v>Demolição de concreto armado, de forma manual, sem reaproveitamento (REF. SICRO COD. 1600438)</v>
          </cell>
          <cell r="E88"/>
          <cell r="F88" t="str">
            <v>M3</v>
          </cell>
          <cell r="G88">
            <v>425.96</v>
          </cell>
          <cell r="H88" t="str">
            <v>-</v>
          </cell>
        </row>
        <row r="89">
          <cell r="A89" t="str">
            <v>SR/0040</v>
          </cell>
          <cell r="B89" t="str">
            <v>COMPOSIÇÃO</v>
          </cell>
          <cell r="C89">
            <v>4.7699999999999996</v>
          </cell>
          <cell r="D89" t="str">
            <v>Demolição de concreto armado, de forma mecanizada, sem reaproveitamento (REF. SICRO COD. 1619003)</v>
          </cell>
          <cell r="E89"/>
          <cell r="F89" t="str">
            <v>M3</v>
          </cell>
          <cell r="G89">
            <v>157.32</v>
          </cell>
          <cell r="H89" t="str">
            <v>-</v>
          </cell>
        </row>
        <row r="90">
          <cell r="A90">
            <v>97624</v>
          </cell>
          <cell r="B90" t="str">
            <v>SINAPI</v>
          </cell>
          <cell r="C90">
            <v>2.36</v>
          </cell>
          <cell r="D90" t="str">
            <v>Demolição de alvenaria de tijolo maciço, de forma manual, sem reaproveitamento. AF_12/2017</v>
          </cell>
          <cell r="E90"/>
          <cell r="F90" t="str">
            <v>M3</v>
          </cell>
          <cell r="G90">
            <v>92.74</v>
          </cell>
          <cell r="H90" t="str">
            <v>-</v>
          </cell>
        </row>
        <row r="91">
          <cell r="A91">
            <v>97622</v>
          </cell>
          <cell r="B91" t="str">
            <v>SINAPI</v>
          </cell>
          <cell r="C91">
            <v>4.4400000000000004</v>
          </cell>
          <cell r="D91" t="str">
            <v>Demolição de alvenaria de bloco furado, de forma manual, sem reaproveitamento. AF_12/2017</v>
          </cell>
          <cell r="E91"/>
          <cell r="F91" t="str">
            <v>M3</v>
          </cell>
          <cell r="G91">
            <v>49.32</v>
          </cell>
          <cell r="H91" t="str">
            <v>-</v>
          </cell>
        </row>
        <row r="92">
          <cell r="A92">
            <v>97625</v>
          </cell>
          <cell r="B92" t="str">
            <v>SINAPI</v>
          </cell>
          <cell r="C92"/>
          <cell r="D92" t="str">
            <v>Demolição de alvenaria para qualquer tipo de bloco, de forma mecanizada, sem reaproveitamento. AF_12/2017</v>
          </cell>
          <cell r="E92"/>
          <cell r="F92" t="str">
            <v>M3</v>
          </cell>
          <cell r="G92">
            <v>50.35</v>
          </cell>
          <cell r="H92" t="str">
            <v>-</v>
          </cell>
        </row>
        <row r="93">
          <cell r="A93">
            <v>97633</v>
          </cell>
          <cell r="B93" t="str">
            <v>SINAPI</v>
          </cell>
          <cell r="C93"/>
          <cell r="D93" t="str">
            <v>Demolição de revestimento cerâmico, de forma manual, sem reaproveitamento. AF_12/2017</v>
          </cell>
          <cell r="E93"/>
          <cell r="F93" t="str">
            <v>M2</v>
          </cell>
          <cell r="G93">
            <v>19.63</v>
          </cell>
          <cell r="H93" t="str">
            <v>-</v>
          </cell>
        </row>
        <row r="94">
          <cell r="A94">
            <v>97639</v>
          </cell>
          <cell r="B94" t="str">
            <v>SINAPI</v>
          </cell>
          <cell r="C94"/>
          <cell r="D94" t="str">
            <v>Demolição de revestimento cerâmico, de forma manual, remoção de placas e pilaretes de concreto, de forma manual, sem reaproveitamento. AF_12/2017</v>
          </cell>
          <cell r="E94"/>
          <cell r="F94" t="str">
            <v>M2</v>
          </cell>
          <cell r="G94">
            <v>17.3</v>
          </cell>
          <cell r="H94" t="str">
            <v>-</v>
          </cell>
        </row>
        <row r="95">
          <cell r="A95" t="str">
            <v>SR/0050</v>
          </cell>
          <cell r="B95" t="str">
            <v>COMPOSIÇÃO</v>
          </cell>
          <cell r="C95">
            <v>7.15</v>
          </cell>
          <cell r="D95" t="str">
            <v>Demolição de piso em ladrilho, de forma mecanizada, sem reaproveitamento (REF. SINAPI COD. 97634)</v>
          </cell>
          <cell r="E95"/>
          <cell r="F95" t="str">
            <v>M2</v>
          </cell>
          <cell r="G95">
            <v>11.79</v>
          </cell>
          <cell r="H95" t="str">
            <v>-</v>
          </cell>
        </row>
        <row r="96">
          <cell r="A96" t="str">
            <v>SR/0060</v>
          </cell>
          <cell r="B96" t="str">
            <v>COMPOSIÇÃO</v>
          </cell>
          <cell r="C96">
            <v>21.78</v>
          </cell>
          <cell r="D96" t="str">
            <v>Remoção de piso em bloco de concreto, de forma mecanizada, sem reaproveitamento</v>
          </cell>
          <cell r="E96"/>
          <cell r="F96" t="str">
            <v>M2</v>
          </cell>
          <cell r="G96">
            <v>12.24</v>
          </cell>
          <cell r="H96" t="str">
            <v>-</v>
          </cell>
        </row>
        <row r="97">
          <cell r="A97" t="str">
            <v>SR/0061</v>
          </cell>
          <cell r="B97" t="str">
            <v>COMPOSIÇÃO</v>
          </cell>
          <cell r="C97">
            <v>21.78</v>
          </cell>
          <cell r="D97" t="str">
            <v>Remoção de paralelepípedos, inclusive carga (Ref SICRO 1600441, DB 01-2023)</v>
          </cell>
          <cell r="E97"/>
          <cell r="F97" t="str">
            <v>M2</v>
          </cell>
          <cell r="G97">
            <v>4.2300000000000004</v>
          </cell>
          <cell r="H97" t="str">
            <v>-</v>
          </cell>
        </row>
        <row r="98">
          <cell r="A98" t="str">
            <v>SR/0070</v>
          </cell>
          <cell r="B98" t="str">
            <v>COMPOSIÇÃO</v>
          </cell>
          <cell r="C98">
            <v>2.5</v>
          </cell>
          <cell r="D98" t="str">
            <v>Demolição de alvenaria de pedra, de forma manual, com reaproveitamento</v>
          </cell>
          <cell r="E98"/>
          <cell r="F98" t="str">
            <v>M3</v>
          </cell>
          <cell r="G98">
            <v>85.19</v>
          </cell>
          <cell r="H98" t="str">
            <v>-</v>
          </cell>
        </row>
        <row r="99">
          <cell r="A99" t="str">
            <v>SR/0080</v>
          </cell>
          <cell r="B99" t="str">
            <v>COMPOSIÇÃO</v>
          </cell>
          <cell r="C99"/>
          <cell r="D99" t="str">
            <v>Demolição de boca de lobo, incluindo carga e bota-fora do entulho e reaterro da cava</v>
          </cell>
          <cell r="E99"/>
          <cell r="F99" t="str">
            <v xml:space="preserve">UN </v>
          </cell>
          <cell r="G99">
            <v>453.55</v>
          </cell>
          <cell r="H99" t="str">
            <v>-</v>
          </cell>
        </row>
        <row r="100">
          <cell r="A100" t="str">
            <v>SR/0090</v>
          </cell>
          <cell r="B100" t="str">
            <v>COMPOSIÇÃO</v>
          </cell>
          <cell r="C100"/>
          <cell r="D100" t="str">
            <v>Demolição de poço de visita, inclusive carga e bota-fora do entulho</v>
          </cell>
          <cell r="E100"/>
          <cell r="F100" t="str">
            <v xml:space="preserve">UN </v>
          </cell>
          <cell r="G100">
            <v>948.47</v>
          </cell>
          <cell r="H100" t="str">
            <v>-</v>
          </cell>
        </row>
        <row r="101">
          <cell r="A101" t="str">
            <v>SR/0100</v>
          </cell>
          <cell r="B101" t="str">
            <v>COMPOSIÇÃO</v>
          </cell>
          <cell r="C101">
            <v>12</v>
          </cell>
          <cell r="D101" t="str">
            <v>Recorte mecânico de pavimento asfáltico ou piso de concreto, com serra de disco diamantado para piso/asfalto</v>
          </cell>
          <cell r="E101"/>
          <cell r="F101" t="str">
            <v>M</v>
          </cell>
          <cell r="G101">
            <v>3.3</v>
          </cell>
          <cell r="H101" t="str">
            <v>-</v>
          </cell>
        </row>
        <row r="102">
          <cell r="A102" t="str">
            <v>SR/0110</v>
          </cell>
          <cell r="B102" t="str">
            <v>COMPOSIÇÃO</v>
          </cell>
          <cell r="C102"/>
          <cell r="D102" t="str">
            <v>Remoção de cerca com mourões de madeira, espaçamento de 2,5 m, altura livre de 2 m, cravados de 0,5 m, sem reaproveitamento. (REF SINAPI CÓD 101200, DB 10-2022)</v>
          </cell>
          <cell r="E102"/>
          <cell r="F102" t="str">
            <v>M</v>
          </cell>
          <cell r="G102">
            <v>21.36</v>
          </cell>
          <cell r="H102" t="str">
            <v>-</v>
          </cell>
        </row>
        <row r="103">
          <cell r="A103" t="str">
            <v>SR/0120</v>
          </cell>
          <cell r="B103" t="str">
            <v>COMPOSIÇÃO</v>
          </cell>
          <cell r="C103"/>
          <cell r="D103" t="str">
            <v>Remoção de alambrado com tela de arame galvanizado (inclusive mureta em concreto). (REF SINAPI CÓD 98522, DB 11-2022)</v>
          </cell>
          <cell r="E103"/>
          <cell r="F103" t="str">
            <v>M</v>
          </cell>
          <cell r="G103">
            <v>47.84</v>
          </cell>
          <cell r="H103" t="str">
            <v>-</v>
          </cell>
        </row>
        <row r="104">
          <cell r="A104">
            <v>97635</v>
          </cell>
          <cell r="B104" t="str">
            <v>SINAPI</v>
          </cell>
          <cell r="C104"/>
          <cell r="D104" t="str">
            <v>Demolição de pavimento intertravado, de forma manual, com reaproveitamento. AF_12/2017</v>
          </cell>
          <cell r="E104"/>
          <cell r="F104" t="str">
            <v>M2</v>
          </cell>
          <cell r="G104">
            <v>12.99</v>
          </cell>
          <cell r="H104" t="str">
            <v>-</v>
          </cell>
        </row>
        <row r="105">
          <cell r="A105">
            <v>97636</v>
          </cell>
          <cell r="B105" t="str">
            <v>SINAPI</v>
          </cell>
          <cell r="C105">
            <v>8.18</v>
          </cell>
          <cell r="D105" t="str">
            <v>Demolição parcial de pavimento asfáltico, de forma mecanizada, sem reaproveitamento. AF_12/2017</v>
          </cell>
          <cell r="E105"/>
          <cell r="F105" t="str">
            <v>M2</v>
          </cell>
          <cell r="G105">
            <v>17.72</v>
          </cell>
          <cell r="H105" t="str">
            <v>-</v>
          </cell>
        </row>
        <row r="106">
          <cell r="A106"/>
          <cell r="B106"/>
          <cell r="C106"/>
          <cell r="D106"/>
          <cell r="E106"/>
          <cell r="F106"/>
          <cell r="G106"/>
          <cell r="H106"/>
        </row>
        <row r="107">
          <cell r="A107"/>
          <cell r="B107"/>
          <cell r="C107" t="str">
            <v>3.0</v>
          </cell>
          <cell r="D107" t="str">
            <v>CARGAS, TEMPO FIXO E TRANSPORTES</v>
          </cell>
          <cell r="E107"/>
          <cell r="F107"/>
          <cell r="G107"/>
          <cell r="H107" t="str">
            <v/>
          </cell>
        </row>
        <row r="108">
          <cell r="A108">
            <v>101007</v>
          </cell>
          <cell r="B108" t="str">
            <v>SINAPI</v>
          </cell>
          <cell r="C108"/>
          <cell r="D108" t="str">
            <v>Carga de água em caminhão pipa 6 m³. AF_07/2020</v>
          </cell>
          <cell r="E108"/>
          <cell r="F108" t="str">
            <v>M3</v>
          </cell>
          <cell r="G108">
            <v>4.7300000000000004</v>
          </cell>
          <cell r="H108" t="str">
            <v>-</v>
          </cell>
        </row>
        <row r="109">
          <cell r="A109">
            <v>101008</v>
          </cell>
          <cell r="B109" t="str">
            <v>SINAPI</v>
          </cell>
          <cell r="C109"/>
          <cell r="D109" t="str">
            <v>Carga de água em caminhão pipa 10 m³. AF_07/2020</v>
          </cell>
          <cell r="E109"/>
          <cell r="F109" t="str">
            <v>M3</v>
          </cell>
          <cell r="G109">
            <v>4.83</v>
          </cell>
          <cell r="H109" t="str">
            <v>-</v>
          </cell>
        </row>
        <row r="110">
          <cell r="A110">
            <v>101005</v>
          </cell>
          <cell r="B110" t="str">
            <v>SINAPI</v>
          </cell>
          <cell r="C110"/>
          <cell r="D110" t="str">
            <v>Carga, manobra e descarga de água em caminhão pipa 6 m³. AF_07/2020</v>
          </cell>
          <cell r="E110"/>
          <cell r="F110" t="str">
            <v>M3</v>
          </cell>
          <cell r="G110">
            <v>16.309999999999999</v>
          </cell>
          <cell r="H110" t="str">
            <v>-</v>
          </cell>
        </row>
        <row r="111">
          <cell r="A111">
            <v>101006</v>
          </cell>
          <cell r="B111" t="str">
            <v>SINAPI</v>
          </cell>
          <cell r="C111"/>
          <cell r="D111" t="str">
            <v>Carga, manobra e descarga de água em caminhão pipa 10 m³. AF_07/2020</v>
          </cell>
          <cell r="E111"/>
          <cell r="F111" t="str">
            <v>M3</v>
          </cell>
          <cell r="G111">
            <v>18.27</v>
          </cell>
          <cell r="H111" t="str">
            <v>-</v>
          </cell>
        </row>
        <row r="112">
          <cell r="A112">
            <v>100973</v>
          </cell>
          <cell r="B112" t="str">
            <v>SINAPI</v>
          </cell>
          <cell r="C112" t="str">
            <v>72888
74010/1
ST/0005</v>
          </cell>
          <cell r="D112" t="str">
            <v>Carga, manobra e descarga de solos e materiais granulares em caminhão basculante 6 m3 - carga com pá carregadeira (capacidade da caçamba: 1,70 a 2,80 m3 / potência: 128 HP) e descarga livre (unidade: m3). AF_07/2020</v>
          </cell>
          <cell r="E112" t="str">
            <v>MATERIAL GRANULAR
PÁ CARREGADEIRA</v>
          </cell>
          <cell r="F112" t="str">
            <v>M3</v>
          </cell>
          <cell r="G112">
            <v>7.95</v>
          </cell>
          <cell r="H112" t="str">
            <v>-</v>
          </cell>
        </row>
        <row r="113">
          <cell r="A113">
            <v>100974</v>
          </cell>
          <cell r="B113" t="str">
            <v>SINAPI</v>
          </cell>
          <cell r="C113" t="str">
            <v>ST/0010</v>
          </cell>
          <cell r="D113" t="str">
            <v>Carga, manobra e descarga de solos e materiais granulares em caminhão basculante 10 m3 - carga com pá carregadeira (capacidade da caçamba: 1,70 a 2,80 m3 / potência: 128 HP) e descarga livre (unidade: m3). AF_07/2020</v>
          </cell>
          <cell r="E113"/>
          <cell r="F113" t="str">
            <v>M3</v>
          </cell>
          <cell r="G113">
            <v>7.65</v>
          </cell>
          <cell r="H113" t="str">
            <v>-</v>
          </cell>
        </row>
        <row r="114">
          <cell r="A114">
            <v>100975</v>
          </cell>
          <cell r="B114" t="str">
            <v>SINAPI</v>
          </cell>
          <cell r="C114" t="str">
            <v>ST/0015</v>
          </cell>
          <cell r="D114" t="str">
            <v>Carga, manobra e descarga de solos e materiais granulares em caminhão basculante 14 m3 - carga com pá carregadeira (capacidade da caçamba: 1,70 a 2,80 m3 / potência: 128 HP) e descarga livre (unidade: m3). AF_07/2020</v>
          </cell>
          <cell r="E114"/>
          <cell r="F114" t="str">
            <v>M3</v>
          </cell>
          <cell r="G114">
            <v>7.84</v>
          </cell>
          <cell r="H114" t="str">
            <v>-</v>
          </cell>
        </row>
        <row r="115">
          <cell r="A115">
            <v>100976</v>
          </cell>
          <cell r="B115" t="str">
            <v>SINAPI</v>
          </cell>
          <cell r="C115" t="str">
            <v>ST/0020</v>
          </cell>
          <cell r="D115" t="str">
            <v>Carga, manobra e descarga de solos e materiais granulares em caminhão basculante 18 m3 - carga com pá carregadeira (capacidade da caçamba: 1,70 a 2,80 m3 / potência: 128 HP) e descarga livre (unidade: m3). AF_07/2020</v>
          </cell>
          <cell r="E115"/>
          <cell r="F115" t="str">
            <v>M3</v>
          </cell>
          <cell r="G115">
            <v>7.65</v>
          </cell>
          <cell r="H115" t="str">
            <v>-</v>
          </cell>
        </row>
        <row r="116">
          <cell r="A116">
            <v>100977</v>
          </cell>
          <cell r="B116" t="str">
            <v>SINAPI</v>
          </cell>
          <cell r="C116" t="str">
            <v>ST/0005</v>
          </cell>
          <cell r="D116" t="str">
            <v>Carga, manobra e descarga de solos e materiais granulares em caminhão basculante 6 m3 - carga com escavadeira hidráulica (capacidade da caçamba: 1,20 m3 / potência: 155 HP) e descarga livre (unidade: m3). AF_07/2020</v>
          </cell>
          <cell r="E116" t="str">
            <v>MATERIAL GRANULAR 
ESCAVADEIRA
HIDRÁULICA</v>
          </cell>
          <cell r="F116" t="str">
            <v>M3</v>
          </cell>
          <cell r="G116">
            <v>6.83</v>
          </cell>
          <cell r="H116" t="str">
            <v>-</v>
          </cell>
        </row>
        <row r="117">
          <cell r="A117">
            <v>100978</v>
          </cell>
          <cell r="B117" t="str">
            <v>SINAPI</v>
          </cell>
          <cell r="C117" t="str">
            <v>ST/0010</v>
          </cell>
          <cell r="D117" t="str">
            <v>Carga, manobra e descarga de solos e materiais granulares em caminhão basculante 10 m3 - carga com escavadeira hidráulica (capacidade da caçamba: 1,20 m3 / potência: 155 HP) e descarga livre (unidade: m3). AF_07/2020</v>
          </cell>
          <cell r="E117"/>
          <cell r="F117" t="str">
            <v>M3</v>
          </cell>
          <cell r="G117">
            <v>6.17</v>
          </cell>
          <cell r="H117" t="str">
            <v>-</v>
          </cell>
        </row>
        <row r="118">
          <cell r="A118">
            <v>100979</v>
          </cell>
          <cell r="B118" t="str">
            <v>SINAPI</v>
          </cell>
          <cell r="C118" t="str">
            <v>ST/0015</v>
          </cell>
          <cell r="D118" t="str">
            <v>Carga, manobra e descarga de solos e materiais granulares em caminhão basculante 14 m3 - carga com escavadeira hidráulica (capacidade da caçamba: 1,20 m3 / potência: 155 HP) e descarga livre (unidade: m3). AF_07/2020</v>
          </cell>
          <cell r="E118"/>
          <cell r="F118" t="str">
            <v>M3</v>
          </cell>
          <cell r="G118">
            <v>6.01</v>
          </cell>
          <cell r="H118" t="str">
            <v>-</v>
          </cell>
        </row>
        <row r="119">
          <cell r="A119">
            <v>100980</v>
          </cell>
          <cell r="B119" t="str">
            <v>SINAPI</v>
          </cell>
          <cell r="C119" t="str">
            <v>ST/0020</v>
          </cell>
          <cell r="D119" t="str">
            <v>Carga, manobra e descarga de solos e materiais granulares em caminhão basculante 18 m3 - carga com escavadeira hidráulica (capacidade da caçamba: 1,20 m3 / potência: 155 HP) e descarga livre (unidade: m3). AF_07/2020</v>
          </cell>
          <cell r="E119"/>
          <cell r="F119" t="str">
            <v>M3</v>
          </cell>
          <cell r="G119">
            <v>5.67</v>
          </cell>
          <cell r="H119" t="str">
            <v>-</v>
          </cell>
        </row>
        <row r="120">
          <cell r="A120" t="str">
            <v>ST/0020</v>
          </cell>
          <cell r="B120" t="str">
            <v>COMPOSIÇÃO</v>
          </cell>
          <cell r="C120">
            <v>72897</v>
          </cell>
          <cell r="D120" t="str">
            <v>Carga manual, manobra e descarga de entulho em caminhão basculante 6m3 (REF. SICRO COD. 72897)</v>
          </cell>
          <cell r="E120" t="str">
            <v>ENTULHO
ESCAVADEIRA
HIDRÁULICA</v>
          </cell>
          <cell r="F120" t="str">
            <v>M3</v>
          </cell>
          <cell r="G120">
            <v>26.66</v>
          </cell>
          <cell r="H120" t="str">
            <v>-</v>
          </cell>
        </row>
        <row r="121">
          <cell r="A121">
            <v>100981</v>
          </cell>
          <cell r="B121" t="str">
            <v>SINAPI</v>
          </cell>
          <cell r="C121" t="str">
            <v>ST/0025</v>
          </cell>
          <cell r="D121" t="str">
            <v>Carga, manobra e descarga de entulho em caminhão basculante 6 m3 - carga com escavadeira hidráulica  (capacidade da caçamba: 0,80 m3 / potência: 111 HP) e descarga livre (unidade: m3). AF_07/2020</v>
          </cell>
          <cell r="E121"/>
          <cell r="F121" t="str">
            <v>M3</v>
          </cell>
          <cell r="G121">
            <v>8.34</v>
          </cell>
          <cell r="H121" t="str">
            <v>-</v>
          </cell>
        </row>
        <row r="122">
          <cell r="A122">
            <v>100982</v>
          </cell>
          <cell r="B122" t="str">
            <v>SINAPI</v>
          </cell>
          <cell r="C122" t="str">
            <v>ST/0030</v>
          </cell>
          <cell r="D122" t="str">
            <v>Carga, manobra e descarga de entulho em caminhão basculante 10 m3 - carga com escavadeira hidráulica  (capacidade da caçamba: 0,80 m3 / potência: 111 HP) e descarga livre (unidade: m3). AF_07/2020</v>
          </cell>
          <cell r="E122"/>
          <cell r="F122" t="str">
            <v>M3</v>
          </cell>
          <cell r="G122">
            <v>7.98</v>
          </cell>
          <cell r="H122" t="str">
            <v>-</v>
          </cell>
        </row>
        <row r="123">
          <cell r="A123">
            <v>100983</v>
          </cell>
          <cell r="B123" t="str">
            <v>SINAPI</v>
          </cell>
          <cell r="C123" t="str">
            <v>ST/0032</v>
          </cell>
          <cell r="D123" t="str">
            <v>Carga, manobra e descarga de entulho em caminhão basculante 14 m3 - carga com escavadeira hidráulica  (capacidade da caçamba: 0,80 m3 / potência: 111 HP) e descarga livre (unidade: m3). AF_07/2020</v>
          </cell>
          <cell r="E123"/>
          <cell r="F123" t="str">
            <v>M3</v>
          </cell>
          <cell r="G123">
            <v>8.14</v>
          </cell>
          <cell r="H123" t="str">
            <v>-</v>
          </cell>
        </row>
        <row r="124">
          <cell r="A124">
            <v>100984</v>
          </cell>
          <cell r="B124" t="str">
            <v>SINAPI</v>
          </cell>
          <cell r="C124" t="str">
            <v>ST/0032</v>
          </cell>
          <cell r="D124" t="str">
            <v>Carga, manobra e descarga de entulho em caminhão basculante 18 m3 - carga com escavadeira hidráulica  (capacidade da caçamba: 0,80 m3 / potência: 111 HP) e descarga livre (unidade: m3). AF_07/2020</v>
          </cell>
          <cell r="E124"/>
          <cell r="F124" t="str">
            <v>M3</v>
          </cell>
          <cell r="G124">
            <v>7.94</v>
          </cell>
          <cell r="H124" t="str">
            <v>-</v>
          </cell>
        </row>
        <row r="125">
          <cell r="A125">
            <v>100985</v>
          </cell>
          <cell r="B125" t="str">
            <v>SINAPI</v>
          </cell>
          <cell r="C125" t="str">
            <v>ST/0035</v>
          </cell>
          <cell r="D125" t="str">
            <v>Carga de mistura asfáltica em caminhão basculante 6 m3 (unidade: m3). AF_07/2020</v>
          </cell>
          <cell r="E125"/>
          <cell r="F125" t="str">
            <v>M3</v>
          </cell>
          <cell r="G125">
            <v>6.62</v>
          </cell>
          <cell r="H125" t="str">
            <v>-</v>
          </cell>
        </row>
        <row r="126">
          <cell r="A126">
            <v>101001</v>
          </cell>
          <cell r="B126" t="str">
            <v>SINAPI</v>
          </cell>
          <cell r="C126"/>
          <cell r="D126" t="str">
            <v>Carga de mistura asfáltica em caminhão basculante 6 m3 (unidade: t). AF_07/2020</v>
          </cell>
          <cell r="E126"/>
          <cell r="F126" t="str">
            <v>T</v>
          </cell>
          <cell r="G126">
            <v>4.42</v>
          </cell>
          <cell r="H126" t="str">
            <v>-</v>
          </cell>
        </row>
        <row r="127">
          <cell r="A127">
            <v>100986</v>
          </cell>
          <cell r="B127" t="str">
            <v>SINAPI</v>
          </cell>
          <cell r="C127" t="str">
            <v>ST/0040</v>
          </cell>
          <cell r="D127" t="str">
            <v>Carga de mistura asfáltica em caminhão basculante 10 m3 (unidade: m3). AF_07/2020</v>
          </cell>
          <cell r="E127"/>
          <cell r="F127" t="str">
            <v>M3</v>
          </cell>
          <cell r="G127">
            <v>7.97</v>
          </cell>
          <cell r="H127" t="str">
            <v>-</v>
          </cell>
        </row>
        <row r="128">
          <cell r="A128">
            <v>101002</v>
          </cell>
          <cell r="B128" t="str">
            <v>SINAPI</v>
          </cell>
          <cell r="C128"/>
          <cell r="D128" t="str">
            <v>Carga de mistura asfáltica em caminhão basculante 10 m3 (unidade: t). AF_07/2020</v>
          </cell>
          <cell r="E128"/>
          <cell r="F128" t="str">
            <v>T</v>
          </cell>
          <cell r="G128">
            <v>5.3</v>
          </cell>
          <cell r="H128" t="str">
            <v>-</v>
          </cell>
        </row>
        <row r="129">
          <cell r="A129">
            <v>100987</v>
          </cell>
          <cell r="B129" t="str">
            <v>SINAPI</v>
          </cell>
          <cell r="C129" t="str">
            <v>ST/0042</v>
          </cell>
          <cell r="D129" t="str">
            <v>Carga de mistura asfáltica em caminhão basculante 14 m3 (unidade: m3). AF_07/2020</v>
          </cell>
          <cell r="E129"/>
          <cell r="F129" t="str">
            <v>M3</v>
          </cell>
          <cell r="G129">
            <v>9.35</v>
          </cell>
          <cell r="H129" t="str">
            <v>-</v>
          </cell>
        </row>
        <row r="130">
          <cell r="A130">
            <v>101003</v>
          </cell>
          <cell r="B130" t="str">
            <v>SINAPI</v>
          </cell>
          <cell r="C130"/>
          <cell r="D130" t="str">
            <v>Carga de mistura asfáltica em caminhão basculante 14 m3 (unidade: t). AF_07/2020</v>
          </cell>
          <cell r="E130"/>
          <cell r="F130" t="str">
            <v>T</v>
          </cell>
          <cell r="G130">
            <v>6.22</v>
          </cell>
          <cell r="H130" t="str">
            <v>-</v>
          </cell>
        </row>
        <row r="131">
          <cell r="A131">
            <v>100988</v>
          </cell>
          <cell r="B131" t="str">
            <v>SINAPI</v>
          </cell>
          <cell r="C131"/>
          <cell r="D131" t="str">
            <v>Carga de mistura asfáltica em caminhão basculante 18 m3 (unidade: m3). AF_07/2020</v>
          </cell>
          <cell r="E131"/>
          <cell r="F131" t="str">
            <v>M3</v>
          </cell>
          <cell r="G131">
            <v>9.8699999999999992</v>
          </cell>
          <cell r="H131" t="str">
            <v>-</v>
          </cell>
        </row>
        <row r="132">
          <cell r="A132">
            <v>101004</v>
          </cell>
          <cell r="B132" t="str">
            <v>SINAPI</v>
          </cell>
          <cell r="C132"/>
          <cell r="D132" t="str">
            <v>Carga de mistura asfáltica em caminhão basculante 18 m3 (unidade: t). AF_07/2020</v>
          </cell>
          <cell r="E132"/>
          <cell r="F132" t="str">
            <v>T</v>
          </cell>
          <cell r="G132">
            <v>6.58</v>
          </cell>
          <cell r="H132" t="str">
            <v>-</v>
          </cell>
        </row>
        <row r="133">
          <cell r="A133" t="str">
            <v>ST/0065</v>
          </cell>
          <cell r="B133" t="str">
            <v>COMPOSIÇÃO</v>
          </cell>
          <cell r="C133"/>
          <cell r="D133" t="str">
            <v>Carga, manobra e descarga de materiais diversos em caminhão carroceria com guindauto (REF. SICRO COD. 5915373)</v>
          </cell>
          <cell r="E133"/>
          <cell r="F133" t="str">
            <v>T</v>
          </cell>
          <cell r="G133">
            <v>11.85</v>
          </cell>
          <cell r="H133" t="str">
            <v>-</v>
          </cell>
        </row>
        <row r="134">
          <cell r="A134">
            <v>101009</v>
          </cell>
          <cell r="B134" t="str">
            <v>SINAPI</v>
          </cell>
          <cell r="C134"/>
          <cell r="D134" t="str">
            <v>Carga, manobra e descarga de poste de concreto em caminhão carroceria com guindauto (munck) 11,7 tm. AF_07/2020</v>
          </cell>
          <cell r="E134"/>
          <cell r="F134" t="str">
            <v>T</v>
          </cell>
          <cell r="G134">
            <v>37.56</v>
          </cell>
          <cell r="H134" t="str">
            <v>-</v>
          </cell>
        </row>
        <row r="135">
          <cell r="A135">
            <v>101010</v>
          </cell>
          <cell r="B135" t="str">
            <v>SINAPI</v>
          </cell>
          <cell r="C135" t="str">
            <v>ST/0045</v>
          </cell>
          <cell r="D135" t="str">
            <v>Carga, manobra e descarga de perfil metálico em caminhão carroceria com guindauto (munck) 11,7 tm. AF_07/2020</v>
          </cell>
          <cell r="E135"/>
          <cell r="F135" t="str">
            <v>T</v>
          </cell>
          <cell r="G135">
            <v>23.66</v>
          </cell>
          <cell r="H135" t="str">
            <v>-</v>
          </cell>
        </row>
        <row r="136">
          <cell r="A136">
            <v>101013</v>
          </cell>
          <cell r="B136" t="str">
            <v>SINAPI</v>
          </cell>
          <cell r="C136" t="str">
            <v>ST/0050</v>
          </cell>
          <cell r="D136" t="str">
            <v>Carga, manobra e descarga de tubos de concreto, diâmetro nominal de menor ou igual a 0,30 m, em caminhão carroceria com guindauto (munck) 11,7 tm. AF_07/2020</v>
          </cell>
          <cell r="E136"/>
          <cell r="F136" t="str">
            <v>T</v>
          </cell>
          <cell r="G136">
            <v>39.46</v>
          </cell>
          <cell r="H136" t="str">
            <v>-</v>
          </cell>
        </row>
        <row r="137">
          <cell r="A137">
            <v>101014</v>
          </cell>
          <cell r="B137" t="str">
            <v>SINAPI</v>
          </cell>
          <cell r="C137" t="str">
            <v>ST/0050</v>
          </cell>
          <cell r="D137" t="str">
            <v>Carga, manobra e descarga de tubos de concreto, diâmetro nominal de 0,40 m, em caminhão carroceria com guindauto (munck) 11,7 tm. AF_07/2020</v>
          </cell>
          <cell r="E137"/>
          <cell r="F137" t="str">
            <v>T</v>
          </cell>
          <cell r="G137">
            <v>36.15</v>
          </cell>
          <cell r="H137" t="str">
            <v>-</v>
          </cell>
        </row>
        <row r="138">
          <cell r="A138">
            <v>101015</v>
          </cell>
          <cell r="B138" t="str">
            <v>SINAPI</v>
          </cell>
          <cell r="C138" t="str">
            <v>ST/0050</v>
          </cell>
          <cell r="D138" t="str">
            <v>Carga, manobra e descarga de tubos de concreto, diâmetro nominal de 0,50 m, em caminhão carroceria com guindauto (munck) 11,7 tm. AF_07/2020</v>
          </cell>
          <cell r="E138"/>
          <cell r="F138" t="str">
            <v>T</v>
          </cell>
          <cell r="G138">
            <v>29.7</v>
          </cell>
          <cell r="H138" t="str">
            <v>-</v>
          </cell>
        </row>
        <row r="139">
          <cell r="A139">
            <v>101463</v>
          </cell>
          <cell r="B139" t="str">
            <v>SINAPI</v>
          </cell>
          <cell r="C139" t="str">
            <v>ST/0055</v>
          </cell>
          <cell r="D139" t="str">
            <v>Carga, manobra e descarga de tubos de concreto, diâmetro nominal de 0,60 m, em caminhão carroceria com guindauto (munck) 11,7 tm. AF_07/2020</v>
          </cell>
          <cell r="E139"/>
          <cell r="F139" t="str">
            <v>T</v>
          </cell>
          <cell r="G139">
            <v>39.58</v>
          </cell>
          <cell r="H139" t="str">
            <v>-</v>
          </cell>
        </row>
        <row r="140">
          <cell r="A140">
            <v>101464</v>
          </cell>
          <cell r="B140" t="str">
            <v>SINAPI</v>
          </cell>
          <cell r="C140" t="str">
            <v>ST/0055</v>
          </cell>
          <cell r="D140" t="str">
            <v>Carga, manobra e descarga de tubos de concreto, diâmetro nominal de 0,70 m, em caminhão carroceria com guindauto (munck) 11,7 tm. AF_07/2020</v>
          </cell>
          <cell r="E140"/>
          <cell r="F140" t="str">
            <v>T</v>
          </cell>
          <cell r="G140">
            <v>30.41</v>
          </cell>
          <cell r="H140" t="str">
            <v>-</v>
          </cell>
        </row>
        <row r="141">
          <cell r="A141">
            <v>101465</v>
          </cell>
          <cell r="B141" t="str">
            <v>SINAPI</v>
          </cell>
          <cell r="C141" t="str">
            <v>ST/0055</v>
          </cell>
          <cell r="D141" t="str">
            <v>Carga, manobra e descarga de tubos de concreto, diâmetro nominal de 0,80 m, em caminhão carroceria com guindauto (munck) 11,7 tm. AF_07/2020</v>
          </cell>
          <cell r="E141"/>
          <cell r="F141" t="str">
            <v>T</v>
          </cell>
          <cell r="G141">
            <v>23.23</v>
          </cell>
          <cell r="H141" t="str">
            <v>-</v>
          </cell>
        </row>
        <row r="142">
          <cell r="A142">
            <v>101466</v>
          </cell>
          <cell r="B142" t="str">
            <v>SINAPI</v>
          </cell>
          <cell r="C142" t="str">
            <v>ST/0055</v>
          </cell>
          <cell r="D142" t="str">
            <v>Carga, manobra e descarga de tubos de concreto, diâmetro nominal de 0,90 m, em caminhão carroceria com guindauto (munck) 11,7 tm. AF_07/2020</v>
          </cell>
          <cell r="E142"/>
          <cell r="F142" t="str">
            <v>T</v>
          </cell>
          <cell r="G142">
            <v>18.899999999999999</v>
          </cell>
          <cell r="H142" t="str">
            <v>-</v>
          </cell>
        </row>
        <row r="143">
          <cell r="A143">
            <v>101467</v>
          </cell>
          <cell r="B143" t="str">
            <v>SINAPI</v>
          </cell>
          <cell r="C143" t="str">
            <v>ST/0060</v>
          </cell>
          <cell r="D143" t="str">
            <v>Carga, manobra e descarga de tubos de concreto, diâmetro nominal de 1,00 m, em caminhão carroceria com guindauto (munck) 11,7 tm. AF_07/2020</v>
          </cell>
          <cell r="E143"/>
          <cell r="F143" t="str">
            <v>T</v>
          </cell>
          <cell r="G143">
            <v>15.82</v>
          </cell>
          <cell r="H143" t="str">
            <v>-</v>
          </cell>
        </row>
        <row r="144">
          <cell r="A144">
            <v>101468</v>
          </cell>
          <cell r="B144" t="str">
            <v>SINAPI</v>
          </cell>
          <cell r="C144" t="str">
            <v>ST/0060</v>
          </cell>
          <cell r="D144" t="str">
            <v>Carga, manobra e descarga de tubos de concreto, diâmetro nominal de 1,20 m, em caminhão carroceria com guindauto (munck) 11,7 tm. AF_07/2020</v>
          </cell>
          <cell r="E144"/>
          <cell r="F144" t="str">
            <v>T</v>
          </cell>
          <cell r="G144">
            <v>14.47</v>
          </cell>
          <cell r="H144" t="str">
            <v>-</v>
          </cell>
        </row>
        <row r="145">
          <cell r="A145">
            <v>101480</v>
          </cell>
          <cell r="B145" t="str">
            <v>SINAPI</v>
          </cell>
          <cell r="C145"/>
          <cell r="D145" t="str">
            <v>Carga, manobra e descarga de tubos plásticos, diâmetro nominal de 0,25 m, em caminhão carroceria com guindauto (munck) 11,7 tm. AF_07/2020</v>
          </cell>
          <cell r="E145"/>
          <cell r="F145" t="str">
            <v>T</v>
          </cell>
          <cell r="G145">
            <v>57.93</v>
          </cell>
          <cell r="H145" t="str">
            <v>-</v>
          </cell>
        </row>
        <row r="146">
          <cell r="A146">
            <v>101481</v>
          </cell>
          <cell r="B146" t="str">
            <v>SINAPI</v>
          </cell>
          <cell r="C146"/>
          <cell r="D146" t="str">
            <v>Carga, manobra e descarga de tubos plásticos, diâmetro nominal de 0,30 m, em caminhão carroceria com guindauto (munck) 11,7 tm. AF_07/2020</v>
          </cell>
          <cell r="E146"/>
          <cell r="F146" t="str">
            <v>T</v>
          </cell>
          <cell r="G146">
            <v>41.83</v>
          </cell>
          <cell r="H146" t="str">
            <v>-</v>
          </cell>
        </row>
        <row r="147">
          <cell r="A147">
            <v>101482</v>
          </cell>
          <cell r="B147" t="str">
            <v>SINAPI</v>
          </cell>
          <cell r="C147"/>
          <cell r="D147" t="str">
            <v>Carga, manobra e descarga de tubos plásticos, diâmetro nominal de 0,40 m, em caminhão carroceria com guindauto (munck) 11,7 tm. AF_07/2020</v>
          </cell>
          <cell r="E147"/>
          <cell r="F147" t="str">
            <v>T</v>
          </cell>
          <cell r="G147">
            <v>31.28</v>
          </cell>
          <cell r="H147" t="str">
            <v>-</v>
          </cell>
        </row>
        <row r="148">
          <cell r="A148">
            <v>101483</v>
          </cell>
          <cell r="B148" t="str">
            <v>SINAPI</v>
          </cell>
          <cell r="C148"/>
          <cell r="D148" t="str">
            <v>Carga, manobra e descarga de tubos plásticos, diâmetro nominal de 0,50 m, em caminhão carroceria com guindauto (munck) 11,7 tm. AF_07/2020</v>
          </cell>
          <cell r="E148"/>
          <cell r="F148" t="str">
            <v>T</v>
          </cell>
          <cell r="G148">
            <v>32.450000000000003</v>
          </cell>
          <cell r="H148" t="str">
            <v>-</v>
          </cell>
        </row>
        <row r="149">
          <cell r="A149">
            <v>101484</v>
          </cell>
          <cell r="B149" t="str">
            <v>SINAPI</v>
          </cell>
          <cell r="C149"/>
          <cell r="D149" t="str">
            <v>Carga, manobra e descarga de tubos plásticos, diâmetro nominal de 0,60 m, em caminhão carroceria com guindauto (munck) 11,7 tm. AF_07/2020</v>
          </cell>
          <cell r="E149"/>
          <cell r="F149" t="str">
            <v>T</v>
          </cell>
          <cell r="G149">
            <v>168.19</v>
          </cell>
          <cell r="H149" t="str">
            <v>-</v>
          </cell>
        </row>
        <row r="150">
          <cell r="A150">
            <v>101485</v>
          </cell>
          <cell r="B150" t="str">
            <v>SINAPI</v>
          </cell>
          <cell r="C150"/>
          <cell r="D150" t="str">
            <v>Carga, manobra e descarga de tubos plásticos, diâmetro nominal de 0,75 m, em caminhão carroceria com guindauto (munck) 11,7 tm. AF_07/2020</v>
          </cell>
          <cell r="E150"/>
          <cell r="F150" t="str">
            <v>T</v>
          </cell>
          <cell r="G150">
            <v>129.11000000000001</v>
          </cell>
          <cell r="H150" t="str">
            <v>-</v>
          </cell>
        </row>
        <row r="151">
          <cell r="A151">
            <v>101486</v>
          </cell>
          <cell r="B151" t="str">
            <v>SINAPI</v>
          </cell>
          <cell r="C151"/>
          <cell r="D151" t="str">
            <v>Carga, manobra e descarga de tubos plásticos, diâmetro nominal de 0,90 m, em caminhão carroceria com guindauto (munck) 11,7 tm. AF_07/2020</v>
          </cell>
          <cell r="E151"/>
          <cell r="F151" t="str">
            <v>T</v>
          </cell>
          <cell r="G151">
            <v>116.31</v>
          </cell>
          <cell r="H151" t="str">
            <v>-</v>
          </cell>
        </row>
        <row r="152">
          <cell r="A152">
            <v>101487</v>
          </cell>
          <cell r="B152" t="str">
            <v>SINAPI</v>
          </cell>
          <cell r="C152"/>
          <cell r="D152" t="str">
            <v>Carga, manobra e descarga de tubos plásticos, diâmetro nominal de 1,00 m, em caminhão carroceria com guindauto (munck) 11,7 tm. AF_07/2020</v>
          </cell>
          <cell r="E152"/>
          <cell r="F152" t="str">
            <v>T</v>
          </cell>
          <cell r="G152">
            <v>85.15</v>
          </cell>
          <cell r="H152" t="str">
            <v>-</v>
          </cell>
        </row>
        <row r="153">
          <cell r="A153">
            <v>101488</v>
          </cell>
          <cell r="B153" t="str">
            <v>SINAPI</v>
          </cell>
          <cell r="C153"/>
          <cell r="D153" t="str">
            <v>Carga, manobra e descarga de tubos plásticos, diâmetro nominal de 1,20 m, em caminhão carroceria com guindauto (munck) 11,7 tm. AF_07/2020</v>
          </cell>
          <cell r="E153"/>
          <cell r="F153" t="str">
            <v>T</v>
          </cell>
          <cell r="G153">
            <v>73.69</v>
          </cell>
          <cell r="H153" t="str">
            <v>-</v>
          </cell>
        </row>
        <row r="154">
          <cell r="A154"/>
          <cell r="B154" t="str">
            <v>CRIAR COMPOSIÇÃO</v>
          </cell>
          <cell r="C154">
            <v>72897</v>
          </cell>
          <cell r="D154" t="str">
            <v>Carga manual de entulho em caminhão basculante</v>
          </cell>
          <cell r="E154"/>
          <cell r="F154" t="str">
            <v>-</v>
          </cell>
          <cell r="G154" t="str">
            <v>-</v>
          </cell>
          <cell r="H154" t="str">
            <v/>
          </cell>
        </row>
        <row r="155">
          <cell r="A155" t="str">
            <v>ST/0070</v>
          </cell>
          <cell r="B155" t="str">
            <v>COMPOSIÇÃO</v>
          </cell>
          <cell r="C155">
            <v>72850</v>
          </cell>
          <cell r="D155" t="str">
            <v>Carga, manobra e descarga de materiais diversos em caminhão carroceria - carga e descaga manuais (REF. SICRO COD. 5915474)</v>
          </cell>
          <cell r="E155"/>
          <cell r="F155" t="str">
            <v>T</v>
          </cell>
          <cell r="G155">
            <v>28.43</v>
          </cell>
          <cell r="H155" t="str">
            <v>-</v>
          </cell>
        </row>
        <row r="156">
          <cell r="A156">
            <v>100205</v>
          </cell>
          <cell r="B156" t="str">
            <v>SINAPI</v>
          </cell>
          <cell r="C156"/>
          <cell r="D156" t="str">
            <v>Transporte horizontal com jerica de 60 l, de massa/ granel (unidade: m3xkm). AF_07/2019</v>
          </cell>
          <cell r="E156"/>
          <cell r="F156" t="str">
            <v>M3XKM</v>
          </cell>
          <cell r="G156">
            <v>1293.04</v>
          </cell>
          <cell r="H156" t="str">
            <v>-</v>
          </cell>
        </row>
        <row r="157">
          <cell r="A157">
            <v>100206</v>
          </cell>
          <cell r="B157" t="str">
            <v>SINAPI</v>
          </cell>
          <cell r="C157"/>
          <cell r="D157" t="str">
            <v>Transporte horizontal com jerica de 90 l, de massa/ granel (unidade: m3xkm). AF_07/2019</v>
          </cell>
          <cell r="E157"/>
          <cell r="F157" t="str">
            <v>M3XKM</v>
          </cell>
          <cell r="G157">
            <v>934.64</v>
          </cell>
          <cell r="H157" t="str">
            <v>-</v>
          </cell>
        </row>
        <row r="158">
          <cell r="A158">
            <v>97912</v>
          </cell>
          <cell r="B158" t="str">
            <v>SINAPI</v>
          </cell>
          <cell r="C158"/>
          <cell r="D158" t="str">
            <v>Transporte com caminhão basculante de 6 m3, em via urbana em leito natural (unidade: m3xkm). AF_07/2020</v>
          </cell>
          <cell r="E158" t="str">
            <v>CAMINHÃO
CAÇAMBA
OU
BASCULANTE
6 M3</v>
          </cell>
          <cell r="F158" t="str">
            <v>M3XKM</v>
          </cell>
          <cell r="G158">
            <v>3.3</v>
          </cell>
          <cell r="H158" t="str">
            <v>-</v>
          </cell>
        </row>
        <row r="159">
          <cell r="A159">
            <v>97913</v>
          </cell>
          <cell r="B159" t="str">
            <v>SINAPI</v>
          </cell>
          <cell r="C159"/>
          <cell r="D159" t="str">
            <v>Transporte com caminhão basculante de 6 m3, em via urbana em revestimento primário (unidade: m3xkm). AF_07/2020</v>
          </cell>
          <cell r="E159"/>
          <cell r="F159" t="str">
            <v>M3XKM</v>
          </cell>
          <cell r="G159">
            <v>2.86</v>
          </cell>
          <cell r="H159" t="str">
            <v>-</v>
          </cell>
        </row>
        <row r="160">
          <cell r="A160">
            <v>97914</v>
          </cell>
          <cell r="B160" t="str">
            <v>SINAPI</v>
          </cell>
          <cell r="C160" t="str">
            <v>ST/0075</v>
          </cell>
          <cell r="D160" t="str">
            <v>Transporte com caminhão basculante de 6 m3, em via urbana pavimentada, DMT até 30,00 km (unidade: m3xkm). AF_07/2020</v>
          </cell>
          <cell r="E160"/>
          <cell r="F160" t="str">
            <v>M3XKM</v>
          </cell>
          <cell r="G160">
            <v>2.62</v>
          </cell>
          <cell r="H160" t="str">
            <v>-</v>
          </cell>
        </row>
        <row r="161">
          <cell r="A161">
            <v>97915</v>
          </cell>
          <cell r="B161" t="str">
            <v>SINAPI</v>
          </cell>
          <cell r="C161" t="str">
            <v>ST/0080</v>
          </cell>
          <cell r="D161" t="str">
            <v>Transporte com caminhão basculante de 6 m3, em via urbana pavimentada, adicional para DMT excedente a 30,00 km (unidade: m3xkm). AF_07/2020</v>
          </cell>
          <cell r="E161"/>
          <cell r="F161" t="str">
            <v>M3XKM</v>
          </cell>
          <cell r="G161">
            <v>1.05</v>
          </cell>
          <cell r="H161" t="str">
            <v>-</v>
          </cell>
        </row>
        <row r="162">
          <cell r="A162">
            <v>100937</v>
          </cell>
          <cell r="B162" t="str">
            <v>SINAPI</v>
          </cell>
          <cell r="C162" t="str">
            <v>ST/0085</v>
          </cell>
          <cell r="D162" t="str">
            <v>Transporte com caminhão basculante de 6 m3, em via interna (dentro do canteiro - unidade: m3xkm). AF_07/2020</v>
          </cell>
          <cell r="E162"/>
          <cell r="F162" t="str">
            <v>M3XKM</v>
          </cell>
          <cell r="G162">
            <v>7.89</v>
          </cell>
          <cell r="H162" t="str">
            <v>-</v>
          </cell>
        </row>
        <row r="163">
          <cell r="A163">
            <v>97918</v>
          </cell>
          <cell r="B163" t="str">
            <v>SINAPI</v>
          </cell>
          <cell r="C163" t="str">
            <v>ST/0090</v>
          </cell>
          <cell r="D163" t="str">
            <v>Transporte com caminhão basculante de 6 m3, em via urbana pavimentada, DMT até 30,00 km (unidade: txkm). AF_07/2020</v>
          </cell>
          <cell r="E163"/>
          <cell r="F163" t="str">
            <v>TXKM</v>
          </cell>
          <cell r="G163">
            <v>1.75</v>
          </cell>
          <cell r="H163" t="str">
            <v>-</v>
          </cell>
        </row>
        <row r="164">
          <cell r="A164">
            <v>97919</v>
          </cell>
          <cell r="B164" t="str">
            <v>SINAPI</v>
          </cell>
          <cell r="C164" t="str">
            <v>ST/0095</v>
          </cell>
          <cell r="D164" t="str">
            <v>Transporte com caminhão basculante de 6 m3, em via urbana pavimentada, adicional para DMT excedente a 30,00 km (unidade: txkm). AF_07/2020</v>
          </cell>
          <cell r="E164"/>
          <cell r="F164" t="str">
            <v>TXKM</v>
          </cell>
          <cell r="G164">
            <v>0.69</v>
          </cell>
          <cell r="H164" t="str">
            <v>-</v>
          </cell>
        </row>
        <row r="165">
          <cell r="A165">
            <v>100941</v>
          </cell>
          <cell r="B165" t="str">
            <v>SINAPI</v>
          </cell>
          <cell r="C165" t="str">
            <v>ST/0100</v>
          </cell>
          <cell r="D165" t="str">
            <v>Transporte com caminhão basculante de 6 m3, em via interna (dentro do canteiro - unidade: txkm). AF_07/2020</v>
          </cell>
          <cell r="E165"/>
          <cell r="F165" t="str">
            <v>TXKM</v>
          </cell>
          <cell r="G165">
            <v>5.25</v>
          </cell>
          <cell r="H165" t="str">
            <v>-</v>
          </cell>
        </row>
        <row r="166">
          <cell r="A166">
            <v>93588</v>
          </cell>
          <cell r="B166" t="str">
            <v>SINAPI</v>
          </cell>
          <cell r="C166"/>
          <cell r="D166" t="str">
            <v>Transporte com caminhão basculante de 10 m3, em via urbana em leito natural (unidade: m3xkm). AF_07/2020</v>
          </cell>
          <cell r="E166" t="str">
            <v>CAMINHÃO
CAÇAMBA
OU
BASCULANTE
10 M3</v>
          </cell>
          <cell r="F166" t="str">
            <v>M3XKM</v>
          </cell>
          <cell r="G166">
            <v>2.76</v>
          </cell>
          <cell r="H166" t="str">
            <v>-</v>
          </cell>
        </row>
        <row r="167">
          <cell r="A167">
            <v>93589</v>
          </cell>
          <cell r="B167" t="str">
            <v>SINAPI</v>
          </cell>
          <cell r="C167"/>
          <cell r="D167" t="str">
            <v>Transporte com caminhão basculante de 10 m3, em via urbana em revestimento primário (unidade: m3xkm). AF_07/2020</v>
          </cell>
          <cell r="E167"/>
          <cell r="F167" t="str">
            <v>M3XKM</v>
          </cell>
          <cell r="G167">
            <v>2.36</v>
          </cell>
          <cell r="H167" t="str">
            <v>-</v>
          </cell>
        </row>
        <row r="168">
          <cell r="A168">
            <v>95875</v>
          </cell>
          <cell r="B168" t="str">
            <v>SINAPI</v>
          </cell>
          <cell r="C168" t="str">
            <v>ST/0105</v>
          </cell>
          <cell r="D168" t="str">
            <v>Transporte com caminhão basculante de 10 m3, em via urbana pavimentada, DMT até 30,00 km (unidade: m3xkm). AF_07/2020</v>
          </cell>
          <cell r="E168"/>
          <cell r="F168" t="str">
            <v>M3XKM</v>
          </cell>
          <cell r="G168">
            <v>2.1800000000000002</v>
          </cell>
          <cell r="H168" t="str">
            <v>-</v>
          </cell>
        </row>
        <row r="169">
          <cell r="A169">
            <v>93590</v>
          </cell>
          <cell r="B169" t="str">
            <v>SINAPI</v>
          </cell>
          <cell r="C169" t="str">
            <v>ST/0110</v>
          </cell>
          <cell r="D169" t="str">
            <v>Transporte com caminhão basculante de 10 m3, em via urbana pavimentada, adicional para DMT excedente a 30,00 km (unidade: m3xkm). AF_07/2020</v>
          </cell>
          <cell r="E169"/>
          <cell r="F169" t="str">
            <v>M3XKM</v>
          </cell>
          <cell r="G169">
            <v>0.85</v>
          </cell>
          <cell r="H169" t="str">
            <v>-</v>
          </cell>
        </row>
        <row r="170">
          <cell r="A170">
            <v>100938</v>
          </cell>
          <cell r="B170" t="str">
            <v>SINAPI</v>
          </cell>
          <cell r="C170"/>
          <cell r="D170" t="str">
            <v>Transporte com caminhão basculante de 10 m3, em via interna (dentro do canteiro - unidade: m3xkm). AF_07/2020</v>
          </cell>
          <cell r="E170"/>
          <cell r="F170" t="str">
            <v>M3XKM</v>
          </cell>
          <cell r="G170">
            <v>6.57</v>
          </cell>
          <cell r="H170" t="str">
            <v>-</v>
          </cell>
        </row>
        <row r="171">
          <cell r="A171">
            <v>95878</v>
          </cell>
          <cell r="B171" t="str">
            <v>SINAPI</v>
          </cell>
          <cell r="C171" t="str">
            <v>ST/0120</v>
          </cell>
          <cell r="D171" t="str">
            <v>Transporte com caminhão basculante de 10 m3, em via urbana pavimentada, DMT até 30,00 km (unidade: txkm). AF_07/2020</v>
          </cell>
          <cell r="E171"/>
          <cell r="F171" t="str">
            <v>TXKM</v>
          </cell>
          <cell r="G171">
            <v>1.47</v>
          </cell>
          <cell r="H171" t="str">
            <v>-</v>
          </cell>
        </row>
        <row r="172">
          <cell r="A172">
            <v>93596</v>
          </cell>
          <cell r="B172" t="str">
            <v>SINAPI</v>
          </cell>
          <cell r="C172" t="str">
            <v>ST/0125</v>
          </cell>
          <cell r="D172" t="str">
            <v>Transporte com caminhão basculante de 10 m3, em via urbana pavimentada, adicional para DMT excedente a 30,00 km (unidade: txkm). AF_07/2020</v>
          </cell>
          <cell r="E172"/>
          <cell r="F172" t="str">
            <v>TXKM</v>
          </cell>
          <cell r="G172">
            <v>0.56999999999999995</v>
          </cell>
          <cell r="H172" t="str">
            <v>-</v>
          </cell>
        </row>
        <row r="173">
          <cell r="A173">
            <v>100942</v>
          </cell>
          <cell r="B173" t="str">
            <v>SINAPI</v>
          </cell>
          <cell r="C173" t="str">
            <v>ST/0130</v>
          </cell>
          <cell r="D173" t="str">
            <v>Transporte com caminhão basculante de 10 m3, em via interna a obra (unidade: txkm). AF_07/2020</v>
          </cell>
          <cell r="E173"/>
          <cell r="F173" t="str">
            <v>TXKM</v>
          </cell>
          <cell r="G173">
            <v>4.38</v>
          </cell>
          <cell r="H173" t="str">
            <v>-</v>
          </cell>
        </row>
        <row r="174">
          <cell r="A174">
            <v>93591</v>
          </cell>
          <cell r="B174" t="str">
            <v>SINAPI</v>
          </cell>
          <cell r="C174"/>
          <cell r="D174" t="str">
            <v>Transporte com caminhão basculante de 14 m3, em via urbana em leito natural (unidade: m3xkm). AF_07/2020</v>
          </cell>
          <cell r="E174" t="str">
            <v>CAMINHÃO
CAÇAMBA
OU
BASCULANTE
14 M3</v>
          </cell>
          <cell r="F174" t="str">
            <v>M3XKM</v>
          </cell>
          <cell r="G174">
            <v>2.46</v>
          </cell>
          <cell r="H174" t="str">
            <v>-</v>
          </cell>
        </row>
        <row r="175">
          <cell r="A175">
            <v>93592</v>
          </cell>
          <cell r="B175" t="str">
            <v>SINAPI</v>
          </cell>
          <cell r="C175"/>
          <cell r="D175" t="str">
            <v>Transporte com caminhão basculante de 14 m3, em via urbana em revestimento primário (unidade: m3xkm). AF_07/2020</v>
          </cell>
          <cell r="E175"/>
          <cell r="F175" t="str">
            <v>M3XKM</v>
          </cell>
          <cell r="G175">
            <v>2.13</v>
          </cell>
          <cell r="H175" t="str">
            <v>-</v>
          </cell>
        </row>
        <row r="176">
          <cell r="A176">
            <v>95876</v>
          </cell>
          <cell r="B176" t="str">
            <v>SINAPI</v>
          </cell>
          <cell r="C176" t="str">
            <v>ST/0135</v>
          </cell>
          <cell r="D176" t="str">
            <v>Transporte com caminhão basculante de 14 m3, em via urbana pavimentada, DMT até 30,00 km (unidade: m3xkm). AF_07/2020</v>
          </cell>
          <cell r="E176"/>
          <cell r="F176" t="str">
            <v>M3XKM</v>
          </cell>
          <cell r="G176">
            <v>1.93</v>
          </cell>
          <cell r="H176" t="str">
            <v>-</v>
          </cell>
        </row>
        <row r="177">
          <cell r="A177">
            <v>93593</v>
          </cell>
          <cell r="B177" t="str">
            <v>SINAPI</v>
          </cell>
          <cell r="C177" t="str">
            <v>ST/0140</v>
          </cell>
          <cell r="D177" t="str">
            <v>Transporte com caminhão basculante de 14 m3, em via urbana pavimentada, adicional para DMT excedente a 30,00 km (unidade: m3xkm). AF_07/2020</v>
          </cell>
          <cell r="E177"/>
          <cell r="F177" t="str">
            <v>M3XKM</v>
          </cell>
          <cell r="G177">
            <v>0.78</v>
          </cell>
          <cell r="H177" t="str">
            <v>-</v>
          </cell>
        </row>
        <row r="178">
          <cell r="A178">
            <v>100939</v>
          </cell>
          <cell r="B178" t="str">
            <v>SINAPI</v>
          </cell>
          <cell r="C178"/>
          <cell r="D178" t="str">
            <v>Transporte com caminhão basculante de 14 m3, em via interna (dentro do canteiro - unidade:m3xkm). AF_07/2020</v>
          </cell>
          <cell r="E178"/>
          <cell r="F178" t="str">
            <v>M3XKM</v>
          </cell>
          <cell r="G178">
            <v>5.89</v>
          </cell>
          <cell r="H178" t="str">
            <v>-</v>
          </cell>
        </row>
        <row r="179">
          <cell r="A179">
            <v>95879</v>
          </cell>
          <cell r="B179" t="str">
            <v>SINAPI</v>
          </cell>
          <cell r="C179" t="str">
            <v>ST/0145</v>
          </cell>
          <cell r="D179" t="str">
            <v>Transporte com caminhão basculante de 14 m3, em via urbana pavimentada, DMT até 30,00 km (unidade: txkm). AF_07/2020</v>
          </cell>
          <cell r="E179"/>
          <cell r="F179" t="str">
            <v>TXKM</v>
          </cell>
          <cell r="G179">
            <v>1.31</v>
          </cell>
          <cell r="H179" t="str">
            <v>-</v>
          </cell>
        </row>
        <row r="180">
          <cell r="A180">
            <v>93599</v>
          </cell>
          <cell r="B180" t="str">
            <v>SINAPI</v>
          </cell>
          <cell r="C180" t="str">
            <v>ST/0150</v>
          </cell>
          <cell r="D180" t="str">
            <v>Transporte com caminhão basculante de 14 m3, em via urbana pavimentada, adicional para DMT excedente a 30,00 km (unidade: txkm). AF_07/2020</v>
          </cell>
          <cell r="E180"/>
          <cell r="F180" t="str">
            <v>TXKM</v>
          </cell>
          <cell r="G180">
            <v>0.52</v>
          </cell>
          <cell r="H180" t="str">
            <v>-</v>
          </cell>
        </row>
        <row r="181">
          <cell r="A181">
            <v>100943</v>
          </cell>
          <cell r="B181" t="str">
            <v>SINAPI</v>
          </cell>
          <cell r="C181"/>
          <cell r="D181" t="str">
            <v>Transporte com caminhão basculante de 14 m3, em via interna (dentro do canteiro - unidade: txkm). AF_07/2020</v>
          </cell>
          <cell r="E181"/>
          <cell r="F181" t="str">
            <v>TXKM</v>
          </cell>
          <cell r="G181">
            <v>3.91</v>
          </cell>
          <cell r="H181" t="str">
            <v>-</v>
          </cell>
        </row>
        <row r="182">
          <cell r="A182">
            <v>95425</v>
          </cell>
          <cell r="B182" t="str">
            <v>SINAPI</v>
          </cell>
          <cell r="C182"/>
          <cell r="D182" t="str">
            <v>Transporte com caminhão basculante de 18 m3, em via urbana em leito natural (unidade: m3xkm). AF_07/2020</v>
          </cell>
          <cell r="E182" t="str">
            <v>CAMINHÃO
CAÇAMBA
OU
BASCULANTE
18 M3</v>
          </cell>
          <cell r="F182" t="str">
            <v>M3XKM</v>
          </cell>
          <cell r="G182">
            <v>2.09</v>
          </cell>
          <cell r="H182" t="str">
            <v>-</v>
          </cell>
        </row>
        <row r="183">
          <cell r="A183">
            <v>95426</v>
          </cell>
          <cell r="B183" t="str">
            <v>SINAPI</v>
          </cell>
          <cell r="C183"/>
          <cell r="D183" t="str">
            <v>Transporte com caminhão basculante de 18 m3, em via urbana em revestimento primário (unidade: m3xkm). AF_07/2020</v>
          </cell>
          <cell r="E183"/>
          <cell r="F183" t="str">
            <v>M3XKM</v>
          </cell>
          <cell r="G183">
            <v>1.8</v>
          </cell>
          <cell r="H183" t="str">
            <v>-</v>
          </cell>
        </row>
        <row r="184">
          <cell r="A184">
            <v>95877</v>
          </cell>
          <cell r="B184" t="str">
            <v>SINAPI</v>
          </cell>
          <cell r="C184" t="str">
            <v>ST/0155</v>
          </cell>
          <cell r="D184" t="str">
            <v>Transporte com caminhão basculante de 18 m3, em via urbana pavimentada, DMT até 30,00 km (unidade: m3xkm). AF_07/2020</v>
          </cell>
          <cell r="E184"/>
          <cell r="F184" t="str">
            <v>M3XKM</v>
          </cell>
          <cell r="G184">
            <v>1.66</v>
          </cell>
          <cell r="H184" t="str">
            <v>-</v>
          </cell>
        </row>
        <row r="185">
          <cell r="A185">
            <v>95427</v>
          </cell>
          <cell r="B185" t="str">
            <v>SINAPI</v>
          </cell>
          <cell r="C185" t="str">
            <v>ST/0160</v>
          </cell>
          <cell r="D185" t="str">
            <v>Transporte com caminhão basculante de 18 m3, em via urbana pavimentada, adicional para DMT excedente a 30,00 km (unidade: m3xkm). AF_07/2020</v>
          </cell>
          <cell r="E185"/>
          <cell r="F185" t="str">
            <v>M3XKM</v>
          </cell>
          <cell r="G185">
            <v>0.68</v>
          </cell>
          <cell r="H185" t="str">
            <v>-</v>
          </cell>
        </row>
        <row r="186">
          <cell r="A186">
            <v>100940</v>
          </cell>
          <cell r="B186" t="str">
            <v>SINAPI</v>
          </cell>
          <cell r="C186"/>
          <cell r="D186" t="str">
            <v>Transporte com caminhão basculante de 18 m3, em via interna (dentro do canteiro - unidade: m3xkm). AF_07/2020</v>
          </cell>
          <cell r="E186"/>
          <cell r="F186" t="str">
            <v>M3XKM</v>
          </cell>
          <cell r="G186">
            <v>5.01</v>
          </cell>
          <cell r="H186" t="str">
            <v>-</v>
          </cell>
        </row>
        <row r="187">
          <cell r="A187">
            <v>95880</v>
          </cell>
          <cell r="B187" t="str">
            <v>SINAPI</v>
          </cell>
          <cell r="C187" t="str">
            <v>ST/0165</v>
          </cell>
          <cell r="D187" t="str">
            <v>Transporte com caminhão basculante de 18 m3, em via urbana pavimentada, DMT até 30,00 km (unidade: txkm). AF_07/2020</v>
          </cell>
          <cell r="E187"/>
          <cell r="F187" t="str">
            <v>TXKM</v>
          </cell>
          <cell r="G187">
            <v>1.1100000000000001</v>
          </cell>
          <cell r="H187" t="str">
            <v>-</v>
          </cell>
        </row>
        <row r="188">
          <cell r="A188">
            <v>95430</v>
          </cell>
          <cell r="B188" t="str">
            <v>SINAPI</v>
          </cell>
          <cell r="C188" t="str">
            <v>ST/0170</v>
          </cell>
          <cell r="D188" t="str">
            <v>Transporte com caminhão basculante de 18 m3, em via urbana pavimentada, adicional para DMT excedente a 30,00 km (unidade: txkm). AF_07/2020</v>
          </cell>
          <cell r="E188"/>
          <cell r="F188" t="str">
            <v>TXKM</v>
          </cell>
          <cell r="G188">
            <v>0.43</v>
          </cell>
          <cell r="H188" t="str">
            <v>-</v>
          </cell>
        </row>
        <row r="189">
          <cell r="A189">
            <v>100944</v>
          </cell>
          <cell r="B189" t="str">
            <v>SINAPI</v>
          </cell>
          <cell r="C189"/>
          <cell r="D189" t="str">
            <v>Transporte com caminhão basculante de 18 m3, em via interna (dentro do canteiro - unidade: txkm). AF_07/2020</v>
          </cell>
          <cell r="E189"/>
          <cell r="F189" t="str">
            <v>TXKM</v>
          </cell>
          <cell r="G189">
            <v>3.35</v>
          </cell>
          <cell r="H189" t="str">
            <v>-</v>
          </cell>
        </row>
        <row r="190">
          <cell r="A190">
            <v>100956</v>
          </cell>
          <cell r="B190" t="str">
            <v>SINAPI</v>
          </cell>
          <cell r="C190"/>
          <cell r="D190" t="str">
            <v>Transporte com caminhão pipa de 6 m3, em via urbana em revestimento primário (unidade: m3xkm). AF_07/2020</v>
          </cell>
          <cell r="E190"/>
          <cell r="F190" t="str">
            <v>M3XKM</v>
          </cell>
          <cell r="G190">
            <v>3.72</v>
          </cell>
          <cell r="H190" t="str">
            <v>-</v>
          </cell>
        </row>
        <row r="191">
          <cell r="A191">
            <v>100957</v>
          </cell>
          <cell r="B191" t="str">
            <v>SINAPI</v>
          </cell>
          <cell r="C191"/>
          <cell r="D191" t="str">
            <v>Transporte com caminhão pipa de 6 m3, em via urbana pavimentada, DMT até 30,00 km (unidade: m3xkm). AF_07/2020</v>
          </cell>
          <cell r="E191"/>
          <cell r="F191" t="str">
            <v>M3XKM</v>
          </cell>
          <cell r="G191">
            <v>3.41</v>
          </cell>
          <cell r="H191" t="str">
            <v>-</v>
          </cell>
        </row>
        <row r="192">
          <cell r="A192">
            <v>100958</v>
          </cell>
          <cell r="B192" t="str">
            <v>SINAPI</v>
          </cell>
          <cell r="C192"/>
          <cell r="D192" t="str">
            <v>Transporte com caminhão pipa de 6 m3, em via urbana pavimentada, adicional para DMT excedente a 30,00 km (unidade: m3xkm). AF_07/2020</v>
          </cell>
          <cell r="E192"/>
          <cell r="F192" t="str">
            <v>M3XKM</v>
          </cell>
          <cell r="G192">
            <v>1.37</v>
          </cell>
          <cell r="H192" t="str">
            <v>-</v>
          </cell>
        </row>
        <row r="193">
          <cell r="A193">
            <v>100959</v>
          </cell>
          <cell r="B193" t="str">
            <v>SINAPI</v>
          </cell>
          <cell r="C193"/>
          <cell r="D193" t="str">
            <v>Transporte com caminhão pipa de 6 m3, em via interna (dentro do canteiro - unidade: m3xkm). AF_07/2020</v>
          </cell>
          <cell r="E193"/>
          <cell r="F193" t="str">
            <v>M3XKM</v>
          </cell>
          <cell r="G193">
            <v>10.220000000000001</v>
          </cell>
          <cell r="H193" t="str">
            <v>-</v>
          </cell>
        </row>
        <row r="194">
          <cell r="A194">
            <v>100961</v>
          </cell>
          <cell r="B194" t="str">
            <v>SINAPI</v>
          </cell>
          <cell r="C194"/>
          <cell r="D194" t="str">
            <v>Transporte com caminhão pipa de 10 m3, em via urbana em revestimento primário (unidade: m3xkm). AF_07/2020</v>
          </cell>
          <cell r="E194"/>
          <cell r="F194" t="str">
            <v>M3XKM</v>
          </cell>
          <cell r="G194">
            <v>2.77</v>
          </cell>
          <cell r="H194" t="str">
            <v>-</v>
          </cell>
        </row>
        <row r="195">
          <cell r="A195">
            <v>100962</v>
          </cell>
          <cell r="B195" t="str">
            <v>SINAPI</v>
          </cell>
          <cell r="C195"/>
          <cell r="D195" t="str">
            <v>Transporte com caminhão pipa de 10 m3, em via urbana pavimentada, DMT até 30,00 km (unidade: m3xkm). AF_07/2020</v>
          </cell>
          <cell r="E195"/>
          <cell r="F195" t="str">
            <v>M3XKM</v>
          </cell>
          <cell r="G195">
            <v>2.5299999999999998</v>
          </cell>
          <cell r="H195" t="str">
            <v>-</v>
          </cell>
        </row>
        <row r="196">
          <cell r="A196">
            <v>100963</v>
          </cell>
          <cell r="B196" t="str">
            <v>SINAPI</v>
          </cell>
          <cell r="C196"/>
          <cell r="D196" t="str">
            <v>Transporte com caminhão pipa de 10 m3, em via urbana pavimentada, adicional para DMT excedente a 30,00 km (unidade: m3xkm). AF_07/2020</v>
          </cell>
          <cell r="E196"/>
          <cell r="F196" t="str">
            <v>M3XKM</v>
          </cell>
          <cell r="G196">
            <v>1</v>
          </cell>
          <cell r="H196" t="str">
            <v>-</v>
          </cell>
        </row>
        <row r="197">
          <cell r="A197">
            <v>100964</v>
          </cell>
          <cell r="B197" t="str">
            <v>SINAPI</v>
          </cell>
          <cell r="C197"/>
          <cell r="D197" t="str">
            <v>Transporte com caminhão pipa de 10 m3, em via interna (dentro do canteiro - unidade: m3xkm). AF_07/2020</v>
          </cell>
          <cell r="E197"/>
          <cell r="F197" t="str">
            <v>M3XKM</v>
          </cell>
          <cell r="G197">
            <v>7.7</v>
          </cell>
          <cell r="H197" t="str">
            <v>-</v>
          </cell>
        </row>
        <row r="198">
          <cell r="A198">
            <v>102332</v>
          </cell>
          <cell r="B198" t="str">
            <v>SINAPI</v>
          </cell>
          <cell r="C198" t="str">
            <v>100971
93177</v>
          </cell>
          <cell r="D198" t="str">
            <v>Transporte com caminhão tanque de transporte de material asfáltico de 20.000 l, em via urbana pavimentada, DMT até 30,00 km (unidade: txkm). AF_07/2020</v>
          </cell>
          <cell r="E198" t="str">
            <v>Transporte de 
Campo Grande para obra</v>
          </cell>
          <cell r="F198" t="str">
            <v>TXKM</v>
          </cell>
          <cell r="G198">
            <v>1.63</v>
          </cell>
          <cell r="H198" t="str">
            <v>-</v>
          </cell>
        </row>
        <row r="199">
          <cell r="A199">
            <v>102333</v>
          </cell>
          <cell r="B199" t="str">
            <v>SINAPI</v>
          </cell>
          <cell r="C199" t="str">
            <v>100972
ST/0175</v>
          </cell>
          <cell r="D199" t="str">
            <v>Transporte com caminhão tanque de transporte de material asfáltico de 20.000 l, em via urbana pavimentada, adicional para DMT excedente a 30,00 km (unidade: txkm). AF_07/2020</v>
          </cell>
          <cell r="E199"/>
          <cell r="F199" t="str">
            <v>TXKM</v>
          </cell>
          <cell r="G199">
            <v>0.65</v>
          </cell>
          <cell r="H199" t="str">
            <v>-</v>
          </cell>
        </row>
        <row r="200">
          <cell r="A200">
            <v>102330</v>
          </cell>
          <cell r="B200" t="str">
            <v>SINAPI</v>
          </cell>
          <cell r="C200" t="str">
            <v>100967
93176</v>
          </cell>
          <cell r="D200" t="str">
            <v>Transporte com caminhão tanque de transporte de material asfáltico de 30.000 l, em via urbana pavimentada, DMT até 30,00 km (unidade: txkm). AF_07/2020</v>
          </cell>
          <cell r="E200"/>
          <cell r="F200" t="str">
            <v>TXKM</v>
          </cell>
          <cell r="G200">
            <v>1.27</v>
          </cell>
          <cell r="H200" t="str">
            <v>-</v>
          </cell>
        </row>
        <row r="201">
          <cell r="A201">
            <v>102331</v>
          </cell>
          <cell r="B201" t="str">
            <v>SINAPI</v>
          </cell>
          <cell r="C201" t="str">
            <v>100968
ST/0180</v>
          </cell>
          <cell r="D201" t="str">
            <v>Transporte com caminhão tanque de transporte de material asfáltico de 30.000 l, em via urbana pavimentada, adicional para DMT excedente a 30,00 km (unidade: txkm). AF_07/2020</v>
          </cell>
          <cell r="E201"/>
          <cell r="F201" t="str">
            <v>TXKM</v>
          </cell>
          <cell r="G201">
            <v>0.5</v>
          </cell>
          <cell r="H201" t="str">
            <v>-</v>
          </cell>
        </row>
        <row r="202">
          <cell r="A202">
            <v>100946</v>
          </cell>
          <cell r="B202" t="str">
            <v>SINAPI</v>
          </cell>
          <cell r="C202"/>
          <cell r="D202" t="str">
            <v>Transporte com caminhão carroceria 9t, em via urbana em revestimento primário (unidade: txkm). AF_07/2020</v>
          </cell>
          <cell r="E202"/>
          <cell r="F202" t="str">
            <v>TXKM</v>
          </cell>
          <cell r="G202">
            <v>2.13</v>
          </cell>
          <cell r="H202" t="str">
            <v>-</v>
          </cell>
        </row>
        <row r="203">
          <cell r="A203">
            <v>100947</v>
          </cell>
          <cell r="B203" t="str">
            <v>SINAPI</v>
          </cell>
          <cell r="C203" t="str">
            <v>ST/0185</v>
          </cell>
          <cell r="D203" t="str">
            <v>Transporte com caminhão carroceria 9t, em via urbana pavimentada, DMT até 30,00 km (unidade: txkm). AF_07/2020</v>
          </cell>
          <cell r="E203"/>
          <cell r="F203" t="str">
            <v>TXKM</v>
          </cell>
          <cell r="G203">
            <v>1.96</v>
          </cell>
          <cell r="H203" t="str">
            <v>-</v>
          </cell>
        </row>
        <row r="204">
          <cell r="A204">
            <v>100948</v>
          </cell>
          <cell r="B204" t="str">
            <v>SINAPI</v>
          </cell>
          <cell r="C204" t="str">
            <v>ST/0190</v>
          </cell>
          <cell r="D204" t="str">
            <v>Transporte com caminhão carroceria 9t, em via urbana pavimentada, adicional para DMT excedente a 30,00 km (unidade: txkm). AF_07/2020</v>
          </cell>
          <cell r="E204"/>
          <cell r="F204" t="str">
            <v>TXKM</v>
          </cell>
          <cell r="G204">
            <v>0.78</v>
          </cell>
          <cell r="H204" t="str">
            <v>-</v>
          </cell>
        </row>
        <row r="205">
          <cell r="A205">
            <v>100949</v>
          </cell>
          <cell r="B205" t="str">
            <v>SINAPI</v>
          </cell>
          <cell r="C205" t="str">
            <v>ST/0195</v>
          </cell>
          <cell r="D205" t="str">
            <v>Transporte com caminhão carroceria 9t, em via interna (dentro do canteiro - unidade: txkm). AF_07/2020</v>
          </cell>
          <cell r="E205"/>
          <cell r="F205" t="str">
            <v>TXKM</v>
          </cell>
          <cell r="G205">
            <v>5.88</v>
          </cell>
          <cell r="H205" t="str">
            <v>-</v>
          </cell>
        </row>
        <row r="206">
          <cell r="A206">
            <v>100951</v>
          </cell>
          <cell r="B206" t="str">
            <v>SINAPI</v>
          </cell>
          <cell r="C206"/>
          <cell r="D206" t="str">
            <v>Transporte com caminhão carroceria com guindauto (munck), momento máximo de carga 11,7 tm, em via urbana em revestimento primário (unidade: txkm). AF_07/2020</v>
          </cell>
          <cell r="E206"/>
          <cell r="F206" t="str">
            <v>TXKM</v>
          </cell>
          <cell r="G206">
            <v>2.69</v>
          </cell>
          <cell r="H206" t="str">
            <v>-</v>
          </cell>
        </row>
        <row r="207">
          <cell r="A207">
            <v>100952</v>
          </cell>
          <cell r="B207" t="str">
            <v>SINAPI</v>
          </cell>
          <cell r="C207" t="str">
            <v>ST/0200</v>
          </cell>
          <cell r="D207" t="str">
            <v>Transporte com caminhão carroceria com guindauto (munck), momento máximo de carga 11,7 tm, em via urbana pavimentada, DMT até 30,00 km (unidade: txkm). AF_07/2020</v>
          </cell>
          <cell r="E207"/>
          <cell r="F207" t="str">
            <v>TXKM</v>
          </cell>
          <cell r="G207">
            <v>2.48</v>
          </cell>
          <cell r="H207" t="str">
            <v>-</v>
          </cell>
        </row>
        <row r="208">
          <cell r="A208">
            <v>100953</v>
          </cell>
          <cell r="B208" t="str">
            <v>SINAPI</v>
          </cell>
          <cell r="C208" t="str">
            <v>ST/0205</v>
          </cell>
          <cell r="D208" t="str">
            <v>Transporte com caminhão carroceria com guindauto (munck), momento máximo de carga 11,7 tm, em via urbana pavimentada, adicional para DMT excedente a 30,00 km (unidade: txkm). AF_07/2020</v>
          </cell>
          <cell r="E208"/>
          <cell r="F208" t="str">
            <v>TXKM</v>
          </cell>
          <cell r="G208">
            <v>0.98</v>
          </cell>
          <cell r="H208" t="str">
            <v>-</v>
          </cell>
        </row>
        <row r="209">
          <cell r="A209">
            <v>100954</v>
          </cell>
          <cell r="B209" t="str">
            <v>SINAPI</v>
          </cell>
          <cell r="C209" t="str">
            <v>ST/0210</v>
          </cell>
          <cell r="D209" t="str">
            <v>Transporte com caminhão carroceria com guindauto (munck), momento máximo de carga 11,7 tm, em via interna (dentro do canteiro - unidade: txkm). AF_07/2020</v>
          </cell>
          <cell r="E209"/>
          <cell r="F209" t="str">
            <v>TXKM</v>
          </cell>
          <cell r="G209">
            <v>7.41</v>
          </cell>
          <cell r="H209" t="str">
            <v>-</v>
          </cell>
        </row>
        <row r="210">
          <cell r="A210"/>
          <cell r="B210"/>
          <cell r="C210"/>
          <cell r="D210"/>
          <cell r="E210"/>
          <cell r="F210"/>
          <cell r="G210"/>
          <cell r="H210"/>
        </row>
        <row r="211">
          <cell r="A211"/>
          <cell r="B211"/>
          <cell r="C211" t="str">
            <v>4.0</v>
          </cell>
          <cell r="D211" t="str">
            <v>MICRO E MACRODRENAGEM - ESCORAMENTO E CONTENÇÃO</v>
          </cell>
          <cell r="E211"/>
          <cell r="F211"/>
          <cell r="G211"/>
          <cell r="H211" t="str">
            <v/>
          </cell>
        </row>
        <row r="212">
          <cell r="A212">
            <v>101570</v>
          </cell>
          <cell r="B212" t="str">
            <v>SINAPI</v>
          </cell>
          <cell r="C212"/>
          <cell r="D212" t="str">
            <v>Escoramento de vala, tipo pontaleteamento, com profundidade de 0,00 a 1,50 m, largura menor que 1,50 m. AF_08/2020</v>
          </cell>
          <cell r="E212" t="str">
            <v>PONTALETEAMENTO</v>
          </cell>
          <cell r="F212" t="str">
            <v>M2</v>
          </cell>
          <cell r="G212">
            <v>22.03</v>
          </cell>
          <cell r="H212" t="str">
            <v>-</v>
          </cell>
        </row>
        <row r="213">
          <cell r="A213">
            <v>101571</v>
          </cell>
          <cell r="B213" t="str">
            <v>SINAPI</v>
          </cell>
          <cell r="C213"/>
          <cell r="D213" t="str">
            <v>Escoramento de vala, tipo pontaleteamento, com profundidade de 0,00 a 1,50 m, largura maior ou igual a 1,50 m e menor que 2,50 m. AF_08/2020</v>
          </cell>
          <cell r="E213"/>
          <cell r="F213" t="str">
            <v>M2</v>
          </cell>
          <cell r="G213">
            <v>29.65</v>
          </cell>
          <cell r="H213" t="str">
            <v>-</v>
          </cell>
        </row>
        <row r="214">
          <cell r="A214">
            <v>101572</v>
          </cell>
          <cell r="B214" t="str">
            <v>SINAPI</v>
          </cell>
          <cell r="C214"/>
          <cell r="D214" t="str">
            <v>Escoramento de vala, tipo pontaleteamento, com profundidade de 1,50 a 3,00 m, largura menor que 1,50 m. AF_08/2020</v>
          </cell>
          <cell r="E214"/>
          <cell r="F214" t="str">
            <v>M2</v>
          </cell>
          <cell r="G214">
            <v>17.47</v>
          </cell>
          <cell r="H214" t="str">
            <v>-</v>
          </cell>
        </row>
        <row r="215">
          <cell r="A215">
            <v>101573</v>
          </cell>
          <cell r="B215" t="str">
            <v>SINAPI</v>
          </cell>
          <cell r="C215">
            <v>94040</v>
          </cell>
          <cell r="D215" t="str">
            <v>Escoramento de vala, tipo pontaleteamento, com profundidade de 1,50 a 3,00 m, largura maior ou igual a 1,50 m e menor que 2,50 m. AF_08/2020</v>
          </cell>
          <cell r="E215"/>
          <cell r="F215" t="str">
            <v>M2</v>
          </cell>
          <cell r="G215">
            <v>25.08</v>
          </cell>
          <cell r="H215" t="str">
            <v>-</v>
          </cell>
        </row>
        <row r="216">
          <cell r="A216">
            <v>101576</v>
          </cell>
          <cell r="B216" t="str">
            <v>SINAPI</v>
          </cell>
          <cell r="C216"/>
          <cell r="D216" t="str">
            <v>Escoramento de vala, tipo descontínuo, com profundidade de 0,00 a 1,50 m, largura menor que 1,50 m. AF_08/2020</v>
          </cell>
          <cell r="E216" t="str">
            <v>DESCONTÍNUO</v>
          </cell>
          <cell r="F216" t="str">
            <v>M2</v>
          </cell>
          <cell r="G216">
            <v>40.880000000000003</v>
          </cell>
          <cell r="H216" t="str">
            <v>-</v>
          </cell>
        </row>
        <row r="217">
          <cell r="A217">
            <v>101577</v>
          </cell>
          <cell r="B217" t="str">
            <v>SINAPI</v>
          </cell>
          <cell r="C217"/>
          <cell r="D217" t="str">
            <v>Escoramento de vala, tipo descontínuo, com profundidade de 0,00 a 1,50 m, largura maior ou igual a 1,50 m e menor que 2,50 m. AF_08/2020</v>
          </cell>
          <cell r="E217"/>
          <cell r="F217" t="str">
            <v>M2</v>
          </cell>
          <cell r="G217">
            <v>50.55</v>
          </cell>
          <cell r="H217" t="str">
            <v>-</v>
          </cell>
        </row>
        <row r="218">
          <cell r="A218">
            <v>101578</v>
          </cell>
          <cell r="B218" t="str">
            <v>SINAPI</v>
          </cell>
          <cell r="C218"/>
          <cell r="D218" t="str">
            <v>Escoramento de vala, tipo descontínuo, com profundidade de 1,50 m a 3,00 m, largura menor que 1,50 m. AF_08/2020</v>
          </cell>
          <cell r="E218"/>
          <cell r="F218" t="str">
            <v>M2</v>
          </cell>
          <cell r="G218">
            <v>34.17</v>
          </cell>
          <cell r="H218" t="str">
            <v>-</v>
          </cell>
        </row>
        <row r="219">
          <cell r="A219">
            <v>101579</v>
          </cell>
          <cell r="B219" t="str">
            <v>SINAPI</v>
          </cell>
          <cell r="C219"/>
          <cell r="D219" t="str">
            <v>Escoramento de vala, tipo descontínuo, com profundidade de 1,50 a 3,00 m, largura maior ou igual a 1,50 m e menor que 2,50 m. AF_08/2020</v>
          </cell>
          <cell r="E219"/>
          <cell r="F219" t="str">
            <v>M2</v>
          </cell>
          <cell r="G219">
            <v>43.84</v>
          </cell>
          <cell r="H219" t="str">
            <v>-</v>
          </cell>
        </row>
        <row r="220">
          <cell r="A220">
            <v>101586</v>
          </cell>
          <cell r="B220" t="str">
            <v>SINAPI</v>
          </cell>
          <cell r="C220"/>
          <cell r="D220" t="str">
            <v>Escoramento de vala, tipo contínuo, com profundidade de 3,00 a 4,50 m, largura menor que 1,50 m. AF_08/2020</v>
          </cell>
          <cell r="E220" t="str">
            <v>CONTÍNUO</v>
          </cell>
          <cell r="F220" t="str">
            <v>M2</v>
          </cell>
          <cell r="G220">
            <v>49.46</v>
          </cell>
          <cell r="H220" t="str">
            <v>-</v>
          </cell>
        </row>
        <row r="221">
          <cell r="A221">
            <v>101587</v>
          </cell>
          <cell r="B221" t="str">
            <v>SINAPI</v>
          </cell>
          <cell r="C221"/>
          <cell r="D221" t="str">
            <v>Escoramento de vala, tipo contínuo, com profundidade de 3,00 a 4,50 m, largura maior ou igual a 1,50 e menor que 2,50 m. AF_08/2020</v>
          </cell>
          <cell r="E221"/>
          <cell r="F221" t="str">
            <v>M2</v>
          </cell>
          <cell r="G221">
            <v>64.61</v>
          </cell>
          <cell r="H221" t="str">
            <v>-</v>
          </cell>
        </row>
        <row r="222">
          <cell r="A222">
            <v>101600</v>
          </cell>
          <cell r="B222" t="str">
            <v>SINAPI</v>
          </cell>
          <cell r="C222"/>
          <cell r="D222" t="str">
            <v>Escoramento de vala, tipo blindagem, com profundidade de 0,00 a 1,50 m, largura menor que 1,50 m - execução, não inclui material. AF_08/2020</v>
          </cell>
          <cell r="E222" t="str">
            <v>BLINDADO</v>
          </cell>
          <cell r="F222" t="str">
            <v>M2</v>
          </cell>
          <cell r="G222">
            <v>15.67</v>
          </cell>
          <cell r="H222" t="str">
            <v>-</v>
          </cell>
        </row>
        <row r="223">
          <cell r="A223">
            <v>101601</v>
          </cell>
          <cell r="B223" t="str">
            <v>SINAPI</v>
          </cell>
          <cell r="C223"/>
          <cell r="D223" t="str">
            <v>Escoramento de vala, tipo blindagem com profundidade de 0,00 a 1,50 m, largura maior ou igual a 1,50 m e menor que 2,50 m - execução, não inclui material. AF_08/2020</v>
          </cell>
          <cell r="E223"/>
          <cell r="F223" t="str">
            <v>M2</v>
          </cell>
          <cell r="G223">
            <v>23.2</v>
          </cell>
          <cell r="H223" t="str">
            <v>-</v>
          </cell>
        </row>
        <row r="224">
          <cell r="A224">
            <v>101602</v>
          </cell>
          <cell r="B224" t="str">
            <v>SINAPI</v>
          </cell>
          <cell r="C224"/>
          <cell r="D224" t="str">
            <v>Escoramento de vala, tipo blindagem, com profundidade de 1,50 a 3,00 m, largura menor que 1,50 m - execução, não inclui material. AF_08/2020</v>
          </cell>
          <cell r="E224"/>
          <cell r="F224" t="str">
            <v>M2</v>
          </cell>
          <cell r="G224">
            <v>11.62</v>
          </cell>
          <cell r="H224" t="str">
            <v>-</v>
          </cell>
        </row>
        <row r="225">
          <cell r="A225">
            <v>101603</v>
          </cell>
          <cell r="B225" t="str">
            <v>SINAPI</v>
          </cell>
          <cell r="C225"/>
          <cell r="D225" t="str">
            <v>Escoramento de vala, tipo blindagem, com profundidade de 1,50 a 3,00 m, largura maior ou igual a 1,50 m e menor que 2,50 m - execução, não inclui material. AF_08/2020</v>
          </cell>
          <cell r="E225"/>
          <cell r="F225" t="str">
            <v>M2</v>
          </cell>
          <cell r="G225">
            <v>19.14</v>
          </cell>
          <cell r="H225" t="str">
            <v>-</v>
          </cell>
        </row>
        <row r="226">
          <cell r="A226">
            <v>101604</v>
          </cell>
          <cell r="B226" t="str">
            <v>SINAPI</v>
          </cell>
          <cell r="C226"/>
          <cell r="D226" t="str">
            <v>Escoramento de vala, tipo blindagem, com profundidade de 3,00 a 4,50 m, largura menor que 1,50 m - execução, não inclui material. AF_08/2020</v>
          </cell>
          <cell r="E226"/>
          <cell r="F226" t="str">
            <v>M2</v>
          </cell>
          <cell r="G226">
            <v>7.6</v>
          </cell>
          <cell r="H226" t="str">
            <v>-</v>
          </cell>
        </row>
        <row r="227">
          <cell r="A227">
            <v>101605</v>
          </cell>
          <cell r="B227" t="str">
            <v>SINAPI</v>
          </cell>
          <cell r="C227"/>
          <cell r="D227" t="str">
            <v>Escoramento de vala, tipo blindagem, com profundidade de 3,00 a 4,50 m, largura maior ou igual a 1,50 m e menor que 2,50 m - execução, não inclui material. AF_08/2020</v>
          </cell>
          <cell r="E227"/>
          <cell r="F227" t="str">
            <v>M2</v>
          </cell>
          <cell r="G227">
            <v>15.13</v>
          </cell>
          <cell r="H227" t="str">
            <v>-</v>
          </cell>
        </row>
        <row r="228">
          <cell r="A228" t="str">
            <v>ES/0010</v>
          </cell>
          <cell r="B228" t="str">
            <v>COMPOSIÇÃO</v>
          </cell>
          <cell r="C228"/>
          <cell r="D228" t="str">
            <v>Escoramento de vala, tipo blindado, com profundidade de 1,5 a 3,0 m, largura maior ou igual a 1,5 m e menor que 2,5 m. Altura do escoramento igual a 2,4 m.  Execução e fornecimento, inclui material. (REF. SINAPI COD. 03.ESCO.VALA.040/01)</v>
          </cell>
          <cell r="E228"/>
          <cell r="F228" t="str">
            <v>M2</v>
          </cell>
          <cell r="G228">
            <v>21.98</v>
          </cell>
          <cell r="H228" t="str">
            <v>-</v>
          </cell>
        </row>
        <row r="229">
          <cell r="A229" t="str">
            <v>ES/0015</v>
          </cell>
          <cell r="B229" t="str">
            <v>COMPOSIÇÃO</v>
          </cell>
          <cell r="C229"/>
          <cell r="D229" t="str">
            <v>Escoramento de vala, tipo blindado, com profundidade de 3,0 a 4,5 m, largura maior ou igual a 1,5 m e menor que 2,5 m. Altura do escoramento igual a 2,4 m.  Execução e fornecimento, inclui material. (REF. SINAPI COD. 03.ESCO.VALA.042/01)</v>
          </cell>
          <cell r="E229"/>
          <cell r="F229" t="str">
            <v>M2</v>
          </cell>
          <cell r="G229">
            <v>18.899999999999999</v>
          </cell>
          <cell r="H229" t="str">
            <v>-</v>
          </cell>
        </row>
        <row r="230">
          <cell r="A230" t="str">
            <v>ES/0020</v>
          </cell>
          <cell r="B230" t="str">
            <v>COMPOSIÇÃO</v>
          </cell>
          <cell r="C230"/>
          <cell r="D230" t="str">
            <v>Contenção tipo estaca secante com escora de eucalipto D = 20cm, área cravada</v>
          </cell>
          <cell r="E230"/>
          <cell r="F230" t="str">
            <v>M2</v>
          </cell>
          <cell r="G230">
            <v>622.08000000000004</v>
          </cell>
          <cell r="H230" t="str">
            <v>-</v>
          </cell>
        </row>
        <row r="231">
          <cell r="A231" t="str">
            <v>ES/0025</v>
          </cell>
          <cell r="B231" t="str">
            <v>COMPOSIÇÃO</v>
          </cell>
          <cell r="C231"/>
          <cell r="D231" t="str">
            <v>Escoramento contínuo em talude de escavação, com estaca-prancha metálica em Aço ASTM, com utilização de 10 vezes, incluindo cravação e extração. Cravação com emprego de escavadeira hidráulica em solo de baixa a média resistência à penetração</v>
          </cell>
          <cell r="E231"/>
          <cell r="F231" t="str">
            <v>M2</v>
          </cell>
          <cell r="G231">
            <v>324.18</v>
          </cell>
          <cell r="H231" t="str">
            <v>-</v>
          </cell>
        </row>
        <row r="232">
          <cell r="A232" t="str">
            <v>ES/0030</v>
          </cell>
          <cell r="B232" t="str">
            <v>COMPOSIÇÃO</v>
          </cell>
          <cell r="C232"/>
          <cell r="D232" t="str">
            <v>Escoramento de vala, tipo blindagem, com profundidade de 0 a 1,5 m, largura menor que 1,5 m. Altura do escoramento igual a 1,8 m.  Execução e fornecimento, inclui material. (REF. SINAPI COD. 03.ESCO.VALA.037/01)</v>
          </cell>
          <cell r="E232"/>
          <cell r="F232" t="str">
            <v>M2</v>
          </cell>
          <cell r="G232">
            <v>19.77</v>
          </cell>
          <cell r="H232" t="str">
            <v>-</v>
          </cell>
        </row>
        <row r="233">
          <cell r="A233" t="str">
            <v>ES/0035</v>
          </cell>
          <cell r="B233" t="str">
            <v>COMPOSIÇÃO</v>
          </cell>
          <cell r="C233"/>
          <cell r="D233" t="str">
            <v>Escoramento de vala, tipo blindado, com profundidade de 0 a 1,5 m, largura maior ou igual a 1,5 m e menor que 2,5 m. Altura do escoramento igual a 1,8 m.  Execução e fornecimento, inclui material. (REF. SINAPI COD. 03.ESCO.VALA.038/01)</v>
          </cell>
          <cell r="E233"/>
          <cell r="F233" t="str">
            <v>M2</v>
          </cell>
          <cell r="G233">
            <v>27.82</v>
          </cell>
          <cell r="H233" t="str">
            <v>-</v>
          </cell>
        </row>
        <row r="234">
          <cell r="A234" t="str">
            <v>ES/0040</v>
          </cell>
          <cell r="B234" t="str">
            <v>COMPOSIÇÃO</v>
          </cell>
          <cell r="C234"/>
          <cell r="D234" t="str">
            <v>Escoramento de vala, tipo blindado, com profundidade de 1,5 a 3,0 m, largura menor que 1,5 m. Altura do escoramento igual a 2,4 m.  Execução e fornecimento, inclui material. (REF. SINAPI COD. 03.ESCO.VALA.039/01)</v>
          </cell>
          <cell r="E234"/>
          <cell r="F234" t="str">
            <v>M2</v>
          </cell>
          <cell r="G234">
            <v>14.27</v>
          </cell>
          <cell r="H234" t="str">
            <v>-</v>
          </cell>
        </row>
        <row r="235">
          <cell r="A235" t="str">
            <v>ES/0045</v>
          </cell>
          <cell r="B235" t="str">
            <v>COMPOSIÇÃO</v>
          </cell>
          <cell r="C235"/>
          <cell r="D235" t="str">
            <v>Escoramento de vala, tipo blindado, com profundidade de 3,0 a 4,5 m, largura menor que 1,5 m. Altura do escoramento igual a 2,4 m.  Execução e fornecimento, inclui material. (REF. SINAPI COD. 03.ESCO.VALA.041/01)</v>
          </cell>
          <cell r="E235"/>
          <cell r="F235" t="str">
            <v>M2</v>
          </cell>
          <cell r="G235">
            <v>11.12</v>
          </cell>
          <cell r="H235" t="str">
            <v>-</v>
          </cell>
        </row>
        <row r="236">
          <cell r="A236" t="str">
            <v>ES/0050</v>
          </cell>
          <cell r="B236" t="str">
            <v>COMPOSIÇÃO</v>
          </cell>
          <cell r="C236"/>
          <cell r="D236" t="str">
            <v>Escoramento de vala, tipo blindado, com profundidade da vala maior que 2,4 m, largura maior ou igual a 2,5 m e menor que 3,5 m. Altura do escoramento igual a 2,4 m.  Execução e fornecimento, inclui material. (REF. SINAPI COD. 03.ESCO.VALA.042/01)</v>
          </cell>
          <cell r="E236"/>
          <cell r="F236" t="str">
            <v>M2</v>
          </cell>
          <cell r="G236">
            <v>19.149999999999999</v>
          </cell>
          <cell r="H236" t="str">
            <v>-</v>
          </cell>
        </row>
        <row r="237">
          <cell r="A237" t="str">
            <v>ES/0055</v>
          </cell>
          <cell r="B237" t="str">
            <v>COMPOSIÇÃO</v>
          </cell>
          <cell r="C237"/>
          <cell r="D237" t="str">
            <v>Escoramento de vala, tipo blindado, com profundidade da vala maior que 2,4 m, largura maior ou igual a 4,5 m e menor que 5,5 m. Altura do escoramento igual a 2,4 m.  Execução e fornecimento, inclui material. (REF. SINAPI COD. 03.ESCO.VALA.042/01)</v>
          </cell>
          <cell r="E237"/>
          <cell r="F237" t="str">
            <v>M2</v>
          </cell>
          <cell r="G237">
            <v>19.649999999999999</v>
          </cell>
          <cell r="H237" t="str">
            <v>-</v>
          </cell>
        </row>
        <row r="238">
          <cell r="A238" t="str">
            <v>ES/0060</v>
          </cell>
          <cell r="B238" t="str">
            <v>COMPOSIÇÃO</v>
          </cell>
          <cell r="C238"/>
          <cell r="D238" t="str">
            <v>Escoramento de vala, tipo blindado, com profundidade de 1,5 a 3,0 m, largura maior ou igual a 1,5 m e menor que 2,5 m. Altura do escoramento igual a 2,4 m.  Execução e fornecimento, inclui material. (REF. SINAPI COD. 03.ESCO.VALA.040/01). PRAÇA: Três Lagoas/MS</v>
          </cell>
          <cell r="E238"/>
          <cell r="F238" t="str">
            <v>M2</v>
          </cell>
          <cell r="G238">
            <v>21.96</v>
          </cell>
          <cell r="H238" t="str">
            <v>-</v>
          </cell>
        </row>
        <row r="239">
          <cell r="A239" t="str">
            <v>ES/0065</v>
          </cell>
          <cell r="B239" t="str">
            <v>COMPOSIÇÃO</v>
          </cell>
          <cell r="C239"/>
          <cell r="D239" t="str">
            <v>Escoramento de vala, tipo blindado, com profundidade de 3,0 a 4,5 m, largura maior ou igual a 1,5 m e menor que 2,5 m. Altura do escoramento igual a 2,4 m.  Execução e fornecimento, inclui material. (REF. SINAPI COD. 03.ESCO.VALA.042/01). PRAÇA: Três Lagoas/MS</v>
          </cell>
          <cell r="E239"/>
          <cell r="F239" t="str">
            <v>M2</v>
          </cell>
          <cell r="G239">
            <v>18.88</v>
          </cell>
          <cell r="H239" t="str">
            <v>-</v>
          </cell>
        </row>
        <row r="240">
          <cell r="A240" t="str">
            <v>ES/0070</v>
          </cell>
          <cell r="B240" t="str">
            <v>COMPOSIÇÃO</v>
          </cell>
          <cell r="C240"/>
          <cell r="D240" t="str">
            <v>Escoramento de vala, tipo blindado, com profundidade de 1,5 a 3,0 m, largura menor que 1,5 m. Altura do escoramento igual a 2,4 m.  Execução e fornecimento, inclui material. (REF. SINAPI COD. 03.ESCO.VALA.039/01). PRAÇA: Três Lagoas/MS</v>
          </cell>
          <cell r="E240"/>
          <cell r="F240" t="str">
            <v>M2</v>
          </cell>
          <cell r="G240">
            <v>14.25</v>
          </cell>
          <cell r="H240" t="str">
            <v>-</v>
          </cell>
        </row>
        <row r="241">
          <cell r="A241" t="str">
            <v>ES/0075</v>
          </cell>
          <cell r="B241" t="str">
            <v>COMPOSIÇÃO</v>
          </cell>
          <cell r="C241"/>
          <cell r="D241" t="str">
            <v>Escoramento de vala, tipo blindado, com profundidade de 3,0 a 4,5 m, largura menor que 1,5 m. Altura do escoramento igual a 2,4 m.  Execução e fornecimento, inclui material. (REF. SINAPI COD. 03.ESCO.VALA.041/01). PRAÇA: Três Lagoas/MS</v>
          </cell>
          <cell r="E241"/>
          <cell r="F241" t="str">
            <v>M2</v>
          </cell>
          <cell r="G241">
            <v>11.1</v>
          </cell>
          <cell r="H241" t="str">
            <v>-</v>
          </cell>
        </row>
        <row r="242">
          <cell r="A242" t="str">
            <v>ES/0080</v>
          </cell>
          <cell r="B242" t="str">
            <v>COMPOSIÇÃO</v>
          </cell>
          <cell r="C242"/>
          <cell r="D242" t="str">
            <v>Escoramento de vala, tipo blindado, com profundidade da vala maior que 2,4 m, largura maior ou igual a 2,5 m e menor que 3,5 m. Altura do escoramento igual a 2,4 m.  Execução e fornecimento, inclui material. (REF. SINAPI COD. 03.ESCO.VALA.042/01). PRAÇA: Três Lagoas/MS</v>
          </cell>
          <cell r="E242"/>
          <cell r="F242" t="str">
            <v>M2</v>
          </cell>
          <cell r="G242">
            <v>19.13</v>
          </cell>
          <cell r="H242" t="str">
            <v>-</v>
          </cell>
        </row>
        <row r="243">
          <cell r="A243" t="str">
            <v>ES/0085</v>
          </cell>
          <cell r="B243" t="str">
            <v>COMPOSIÇÃO</v>
          </cell>
          <cell r="C243"/>
          <cell r="D243" t="str">
            <v>Escoramento de vala, tipo blindado, com profundidade da vala maior que 2,4 m, largura maior ou igual a 4,5 m e menor que 5,5 m. Altura do escoramento igual a 2,4 m.  Execução e fornecimento, inclui material. (REF. SINAPI COD. 03.ESCO.VALA.042/01). PRAÇA: Três Lagoas/MS</v>
          </cell>
          <cell r="E243"/>
          <cell r="F243" t="str">
            <v>M2</v>
          </cell>
          <cell r="G243">
            <v>19.63</v>
          </cell>
          <cell r="H243" t="str">
            <v>-</v>
          </cell>
        </row>
        <row r="244">
          <cell r="A244" t="str">
            <v>ES/0090</v>
          </cell>
          <cell r="B244" t="str">
            <v>COMPOSIÇÃO</v>
          </cell>
          <cell r="C244"/>
          <cell r="D244" t="str">
            <v>Escoramento de vala, tipo blindado, com profundidade de 1,5 a 3,0 m, largura maior ou igual a 1,5 m e menor que 2,5 m. Altura do escoramento igual a 3,0 m e comprimento de 3,6 m.  Execução e fornecimento, inclui material. (REF. SINAPI COD. 03.ESCO.VALA.040/01). PRAÇA: Três Lagoas/MS</v>
          </cell>
          <cell r="E244"/>
          <cell r="F244" t="str">
            <v>M2</v>
          </cell>
          <cell r="G244">
            <v>22.81</v>
          </cell>
          <cell r="H244" t="str">
            <v>-</v>
          </cell>
        </row>
        <row r="245">
          <cell r="A245" t="str">
            <v>ES/0095</v>
          </cell>
          <cell r="B245" t="str">
            <v>COMPOSIÇÃO</v>
          </cell>
          <cell r="C245"/>
          <cell r="D245" t="str">
            <v>Escoramento de vala, tipo blindado, com profundidade de 1,5 a 3,0 m, largura maior ou igual a 3,5 m e menor que 4,5 m. Altura do escoramento igual a 3,0 m e comprimento de 3,6 m.  Execução e fornecimento, inclui material. (REF. SINAPI COD. 03.ESCO.VALA.040/01). PRAÇA: Três Lagoas/MS</v>
          </cell>
          <cell r="E245"/>
          <cell r="F245" t="str">
            <v>M2</v>
          </cell>
          <cell r="G245">
            <v>23.19</v>
          </cell>
          <cell r="H245" t="str">
            <v>-</v>
          </cell>
        </row>
        <row r="246">
          <cell r="A246" t="str">
            <v>ES/0100</v>
          </cell>
          <cell r="B246" t="str">
            <v>COMPOSIÇÃO</v>
          </cell>
          <cell r="C246"/>
          <cell r="D246" t="str">
            <v>Escoramento de vala, tipo blindado, com profundidade de 1,5 a 3,0 m, largura maior ou igual a 2,5 m e menor que 3,5 m. Altura do escoramento igual a 3,0 m e comprimento de 3,6 m.  Execução e fornecimento, inclui material. (REF. SINAPI COD. 03.ESCO.VALA.040/01). PRAÇA: Três Lagoas/MS</v>
          </cell>
          <cell r="E246"/>
          <cell r="F246" t="str">
            <v>M2</v>
          </cell>
          <cell r="G246">
            <v>23</v>
          </cell>
          <cell r="H246" t="str">
            <v>-</v>
          </cell>
        </row>
        <row r="247">
          <cell r="A247" t="str">
            <v>ES/0105</v>
          </cell>
          <cell r="B247" t="str">
            <v>COMPOSIÇÃO</v>
          </cell>
          <cell r="C247"/>
          <cell r="D247" t="str">
            <v>Escoramento de vala, tipo blindado, com profundidade de 1,5 a 3,0 m, largura maior ou igual a 4,5 m e menor que 5,5 m. Altura do escoramento igual a 3,0 m e comprimento de 3,6 m.  Execução e fornecimento, inclui material. (REF. SINAPI COD. 03.ESCO.VALA.040/01). PRAÇA: Três Lagoas/MS</v>
          </cell>
          <cell r="E247"/>
          <cell r="F247" t="str">
            <v>M2</v>
          </cell>
          <cell r="G247">
            <v>23.37</v>
          </cell>
          <cell r="H247" t="str">
            <v>-</v>
          </cell>
        </row>
        <row r="248">
          <cell r="A248"/>
          <cell r="B248"/>
          <cell r="C248"/>
          <cell r="D248"/>
          <cell r="E248"/>
          <cell r="F248"/>
          <cell r="G248"/>
          <cell r="H248"/>
        </row>
        <row r="249">
          <cell r="A249"/>
          <cell r="B249"/>
          <cell r="C249" t="str">
            <v>5.0</v>
          </cell>
          <cell r="D249" t="str">
            <v>MICRO E MACRODRENAGEM - TERRAPLENAGEM</v>
          </cell>
          <cell r="E249"/>
          <cell r="F249"/>
          <cell r="G249"/>
          <cell r="H249" t="str">
            <v/>
          </cell>
        </row>
        <row r="250">
          <cell r="A250" t="str">
            <v>DR/0005</v>
          </cell>
          <cell r="B250" t="str">
            <v>COMPOSIÇÃO</v>
          </cell>
          <cell r="C250"/>
          <cell r="D250" t="str">
            <v>Tombo - carga com escavadeira hidráulica sobre esteiras</v>
          </cell>
          <cell r="E250"/>
          <cell r="F250" t="str">
            <v>M3</v>
          </cell>
          <cell r="G250">
            <v>2.2799999999999998</v>
          </cell>
          <cell r="H250" t="str">
            <v>-</v>
          </cell>
        </row>
        <row r="251">
          <cell r="A251">
            <v>101236</v>
          </cell>
          <cell r="B251" t="str">
            <v>SINAPI</v>
          </cell>
          <cell r="C251">
            <v>89893</v>
          </cell>
          <cell r="D251" t="str">
            <v>Escavação vertical a céu aberto, em obras de infraestrutura, incluindo carga, descarga e transporte, em solo de 1a categoria com escavadeira hidráulica (caçamba: 0,80 m3 / 111HP), frota de 6 caminhões basculantes de 14 m3, DMT de 3 km e velocidade média 20km/h. AF_05/2020</v>
          </cell>
          <cell r="E251" t="str">
            <v>ATENÇÃO
verificar o  DMT</v>
          </cell>
          <cell r="F251" t="str">
            <v>M3</v>
          </cell>
          <cell r="G251">
            <v>19.14</v>
          </cell>
          <cell r="H251" t="str">
            <v>-</v>
          </cell>
        </row>
        <row r="252">
          <cell r="A252">
            <v>101237</v>
          </cell>
          <cell r="B252" t="str">
            <v>SINAPI</v>
          </cell>
          <cell r="C252">
            <v>89894</v>
          </cell>
          <cell r="D252" t="str">
            <v>Escavação vertical a céu aberto, em obras de infraestrutura, incluindo carga, descarga e transporte, em solo de 1a categoria com escavadeira hidráulica (caçamba: 0,80 m3 / 111HP), frota de 6 caminhões basculantes de 14 m3, DMT de 4 km e velocidade média 22km/h. AF_05/2020</v>
          </cell>
          <cell r="E252"/>
          <cell r="F252" t="str">
            <v>M3</v>
          </cell>
          <cell r="G252">
            <v>20.39</v>
          </cell>
          <cell r="H252" t="str">
            <v>-</v>
          </cell>
        </row>
        <row r="253">
          <cell r="A253">
            <v>101238</v>
          </cell>
          <cell r="B253" t="str">
            <v>SINAPI</v>
          </cell>
          <cell r="C253">
            <v>89895</v>
          </cell>
          <cell r="D253" t="str">
            <v>Escavação vertical a céu aberto, em obras de infraestrutura, incluindo carga, descarga e transporte, em solo de 1a categoria com escavadeira hidráulica (caçamba: 0,80 m3 / 111HP), frota de 8 caminhões basculantes de 14 m3, DMT de 6 km e velocidade média 22km/h. AF_05/2020</v>
          </cell>
          <cell r="E253"/>
          <cell r="F253" t="str">
            <v>M3</v>
          </cell>
          <cell r="G253">
            <v>25.79</v>
          </cell>
          <cell r="H253" t="str">
            <v>-</v>
          </cell>
        </row>
        <row r="254">
          <cell r="A254" t="str">
            <v>DR/0007</v>
          </cell>
          <cell r="B254" t="str">
            <v>COMPOSIÇÃO</v>
          </cell>
          <cell r="C254">
            <v>83336</v>
          </cell>
          <cell r="D254" t="str">
            <v>Escavação mecânica para acerto de taludes em material de 1a categoria,com escavadeira hidráulica (REF. SINAPI. COD. 83336)</v>
          </cell>
          <cell r="E254"/>
          <cell r="F254" t="str">
            <v>M3</v>
          </cell>
          <cell r="G254">
            <v>5.8</v>
          </cell>
          <cell r="H254" t="str">
            <v>-</v>
          </cell>
        </row>
        <row r="255">
          <cell r="A255" t="str">
            <v>DR/0008</v>
          </cell>
          <cell r="B255" t="str">
            <v>COMPOSIÇÃO</v>
          </cell>
          <cell r="C255"/>
          <cell r="D255" t="str">
            <v>Regularização manual de taludes de cortes e aterros (Refer. SICRO CÓD. 4413985, DB 04/2021)</v>
          </cell>
          <cell r="E255"/>
          <cell r="F255" t="str">
            <v>M2</v>
          </cell>
          <cell r="G255">
            <v>18.93</v>
          </cell>
          <cell r="H255" t="str">
            <v>-</v>
          </cell>
        </row>
        <row r="256">
          <cell r="A256" t="str">
            <v>DR/0010</v>
          </cell>
          <cell r="B256" t="str">
            <v>COMPOSIÇÃO</v>
          </cell>
          <cell r="C256"/>
          <cell r="D256" t="str">
            <v>Extração de areia com draga de sucção sobre flutuante, com descarga em meio terrestre por recalque com mangote de PEAD Ø6", até 150 m (REF. SICRO COD. 4816020)</v>
          </cell>
          <cell r="E256"/>
          <cell r="F256" t="str">
            <v>M3</v>
          </cell>
          <cell r="G256">
            <v>16.010000000000002</v>
          </cell>
          <cell r="H256" t="str">
            <v>-</v>
          </cell>
        </row>
        <row r="257">
          <cell r="A257" t="str">
            <v>DR/0015</v>
          </cell>
          <cell r="B257" t="str">
            <v>COMPOSIÇÃO</v>
          </cell>
          <cell r="C257"/>
          <cell r="D257" t="str">
            <v>Escavação manual em solo para execução de bueiro através de sistema destrutivo, tunnel liner, inclusive remoção horizontal até 50m do material escavado. Exclusive poço de ataque, esgotamento e escoramento (REF. SICRO COD. 4816000)</v>
          </cell>
          <cell r="E257"/>
          <cell r="F257" t="str">
            <v>M3</v>
          </cell>
          <cell r="G257">
            <v>525.34</v>
          </cell>
          <cell r="H257" t="str">
            <v>-</v>
          </cell>
        </row>
        <row r="258">
          <cell r="A258">
            <v>93358</v>
          </cell>
          <cell r="B258" t="str">
            <v>SINAPI</v>
          </cell>
          <cell r="C258"/>
          <cell r="D258" t="str">
            <v>Escavação manual de vala com profundidade menor ou igual a 1,30 m. AF_03/2016</v>
          </cell>
          <cell r="E258"/>
          <cell r="F258" t="str">
            <v>M3</v>
          </cell>
          <cell r="G258">
            <v>74.88</v>
          </cell>
          <cell r="H258" t="str">
            <v>-</v>
          </cell>
        </row>
        <row r="259">
          <cell r="A259">
            <v>90105</v>
          </cell>
          <cell r="B259" t="str">
            <v>SINAPI</v>
          </cell>
          <cell r="C259">
            <v>12.76</v>
          </cell>
          <cell r="D259" t="str">
    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59" t="str">
            <v>H &lt; 1,50
baixa Interferência</v>
          </cell>
          <cell r="F259" t="str">
            <v>M3</v>
          </cell>
          <cell r="G259">
            <v>7.99</v>
          </cell>
          <cell r="H259" t="str">
            <v>-</v>
          </cell>
        </row>
        <row r="260">
          <cell r="A260">
            <v>90106</v>
          </cell>
          <cell r="B260" t="str">
            <v>SINAPI</v>
          </cell>
          <cell r="C260">
            <v>14.99</v>
          </cell>
          <cell r="D260" t="str">
    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60"/>
          <cell r="F260" t="str">
            <v>M3</v>
          </cell>
          <cell r="G260">
            <v>6.8</v>
          </cell>
          <cell r="H260" t="str">
            <v>-</v>
          </cell>
        </row>
        <row r="261">
          <cell r="A261">
            <v>90091</v>
          </cell>
          <cell r="B261" t="str">
            <v>SINAPI</v>
          </cell>
          <cell r="C261">
            <v>22.52</v>
          </cell>
          <cell r="D261" t="str">
    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    </cell>
          <cell r="E261"/>
          <cell r="F261" t="str">
            <v>M3</v>
          </cell>
          <cell r="G261">
            <v>5.57</v>
          </cell>
          <cell r="H261" t="str">
            <v>-</v>
          </cell>
        </row>
        <row r="262">
          <cell r="A262">
            <v>90092</v>
          </cell>
          <cell r="B262" t="str">
            <v>SINAPI</v>
          </cell>
          <cell r="C262"/>
          <cell r="D262" t="str">
            <v>Escavação mecanizada de vala com profundidade maior que 1,50 m e até 3,00 m (média entre montante e jusante / uma composição por trecho), com escavadeira hidráulica (capacidade da caçamba: 0,80 m3/ potência: 111 HP), larg. menor que 1,50 m, em solo de 1a categoria, locais com baixo nível de interferência. AF_01/2015</v>
          </cell>
          <cell r="E262"/>
          <cell r="F262" t="str">
            <v>M3</v>
          </cell>
          <cell r="G262">
            <v>5.49</v>
          </cell>
          <cell r="H262" t="str">
            <v>-</v>
          </cell>
        </row>
        <row r="263">
          <cell r="A263">
            <v>90107</v>
          </cell>
          <cell r="B263" t="str">
            <v>SINAPI</v>
          </cell>
          <cell r="C263">
            <v>15.2</v>
          </cell>
          <cell r="D263" t="str">
    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63" t="str">
            <v>1,51 &lt; H &lt; 3,00
baixa Interferência</v>
          </cell>
          <cell r="F263" t="str">
            <v>M3</v>
          </cell>
          <cell r="G263">
            <v>6.7</v>
          </cell>
          <cell r="H263" t="str">
            <v>-</v>
          </cell>
        </row>
        <row r="264">
          <cell r="A264">
            <v>90108</v>
          </cell>
          <cell r="B264" t="str">
            <v>SINAPI</v>
          </cell>
          <cell r="C264">
            <v>16.690000000000001</v>
          </cell>
          <cell r="D264" t="str">
    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64"/>
          <cell r="F264" t="str">
            <v>M3</v>
          </cell>
          <cell r="G264">
            <v>6.1</v>
          </cell>
          <cell r="H264" t="str">
            <v>-</v>
          </cell>
        </row>
        <row r="265">
          <cell r="A265">
            <v>102281</v>
          </cell>
          <cell r="B265" t="str">
            <v>SINAPI</v>
          </cell>
          <cell r="C265" t="str">
            <v>90093
24,69 m3/h</v>
          </cell>
          <cell r="D265" t="str">
    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    </cell>
          <cell r="E265"/>
          <cell r="F265" t="str">
            <v>M3</v>
          </cell>
          <cell r="G265">
            <v>4.93</v>
          </cell>
          <cell r="H265" t="str">
            <v>-</v>
          </cell>
        </row>
        <row r="266">
          <cell r="A266">
            <v>90094</v>
          </cell>
          <cell r="B266" t="str">
            <v>SINAPI</v>
          </cell>
          <cell r="C266">
            <v>24.45</v>
          </cell>
          <cell r="D266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    </cell>
          <cell r="E266" t="str">
            <v>3,01 &lt; H &lt; 4,50
baixa Interferência</v>
          </cell>
          <cell r="F266" t="str">
            <v>M3</v>
          </cell>
          <cell r="G266">
            <v>5.21</v>
          </cell>
          <cell r="H266" t="str">
            <v>-</v>
          </cell>
        </row>
        <row r="267">
          <cell r="A267">
            <v>90095</v>
          </cell>
          <cell r="B267" t="str">
            <v>SINAPI</v>
          </cell>
          <cell r="C267">
            <v>21.65</v>
          </cell>
          <cell r="D267" t="str">
    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    </cell>
          <cell r="E267"/>
          <cell r="F267" t="str">
            <v>M3</v>
          </cell>
          <cell r="G267">
            <v>4.71</v>
          </cell>
          <cell r="H267" t="str">
            <v>-</v>
          </cell>
        </row>
        <row r="268">
          <cell r="A268">
            <v>102280</v>
          </cell>
          <cell r="B268" t="str">
            <v>SINAPI</v>
          </cell>
          <cell r="C268" t="str">
            <v>90096
21,19 m3/h</v>
          </cell>
          <cell r="D268" t="str">
    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    </cell>
          <cell r="E268" t="str">
            <v>H &gt; 4,51
baixa Interferência</v>
          </cell>
          <cell r="F268" t="str">
            <v>M3</v>
          </cell>
          <cell r="G268">
            <v>5.05</v>
          </cell>
          <cell r="H268" t="str">
            <v>-</v>
          </cell>
        </row>
        <row r="269">
          <cell r="A269">
            <v>90098</v>
          </cell>
          <cell r="B269" t="str">
            <v>SINAPI</v>
          </cell>
          <cell r="C269">
            <v>22.08</v>
          </cell>
          <cell r="D269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    </cell>
          <cell r="E269"/>
          <cell r="F269" t="str">
            <v>M3</v>
          </cell>
          <cell r="G269">
            <v>4.62</v>
          </cell>
          <cell r="H269" t="str">
            <v>-</v>
          </cell>
        </row>
        <row r="270">
          <cell r="A270">
            <v>90099</v>
          </cell>
          <cell r="B270" t="str">
            <v>SINAPI</v>
          </cell>
          <cell r="C270">
            <v>7.62</v>
          </cell>
          <cell r="D270" t="str">
    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70" t="str">
            <v>H &lt; 1,50
alta Interferência</v>
          </cell>
          <cell r="F270" t="str">
            <v>M3</v>
          </cell>
          <cell r="G270">
            <v>14.49</v>
          </cell>
          <cell r="H270" t="str">
            <v>-</v>
          </cell>
        </row>
        <row r="271">
          <cell r="A271">
            <v>90100</v>
          </cell>
          <cell r="B271" t="str">
            <v>SINAPI</v>
          </cell>
          <cell r="C271">
            <v>8.9600000000000009</v>
          </cell>
          <cell r="D271" t="str">
    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71"/>
          <cell r="F271" t="str">
            <v>M3</v>
          </cell>
          <cell r="G271">
            <v>12.3</v>
          </cell>
          <cell r="H271" t="str">
            <v>-</v>
          </cell>
        </row>
        <row r="272">
          <cell r="A272">
            <v>90082</v>
          </cell>
          <cell r="B272" t="str">
            <v>SINAPI</v>
          </cell>
          <cell r="C272">
            <v>13.46</v>
          </cell>
          <cell r="D272" t="str">
    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    </cell>
          <cell r="E272"/>
          <cell r="F272" t="str">
            <v>M3</v>
          </cell>
          <cell r="G272">
            <v>10.31</v>
          </cell>
          <cell r="H272" t="str">
            <v>-</v>
          </cell>
        </row>
        <row r="273">
          <cell r="A273">
            <v>90084</v>
          </cell>
          <cell r="B273" t="str">
            <v>SINAPI</v>
          </cell>
          <cell r="C273"/>
          <cell r="D273" t="str">
            <v>Escavação mecanizada de vala com profundidade maior que 1,50 m até 3,00 m (média entre montante e jusante / uma composição por trecho), com escavadeira hidráulica (capacidade da caçamba: 0,80 m3 / potência: 111 HP), largura até 1,50 m, em solo de 1a categoria, em locais com alto nível de interferência. AF_01/2015</v>
          </cell>
          <cell r="E273"/>
          <cell r="F273" t="str">
            <v>M3</v>
          </cell>
          <cell r="G273">
            <v>9.99</v>
          </cell>
          <cell r="H273" t="str">
            <v>-</v>
          </cell>
        </row>
        <row r="274">
          <cell r="A274">
            <v>90101</v>
          </cell>
          <cell r="B274" t="str">
            <v>SINAPI</v>
          </cell>
          <cell r="C274">
            <v>9.07</v>
          </cell>
          <cell r="D274" t="str">
    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74" t="str">
            <v>1,51 &lt; H &lt; 3,00
alta Interferência</v>
          </cell>
          <cell r="F274" t="str">
            <v>M3</v>
          </cell>
          <cell r="G274">
            <v>12.16</v>
          </cell>
          <cell r="H274" t="str">
            <v>-</v>
          </cell>
        </row>
        <row r="275">
          <cell r="A275">
            <v>90102</v>
          </cell>
          <cell r="B275" t="str">
            <v>SINAPI</v>
          </cell>
          <cell r="C275">
            <v>9.9700000000000006</v>
          </cell>
          <cell r="D275" t="str">
    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75"/>
          <cell r="F275" t="str">
            <v>M3</v>
          </cell>
          <cell r="G275">
            <v>11.07</v>
          </cell>
          <cell r="H275" t="str">
            <v>-</v>
          </cell>
        </row>
        <row r="276">
          <cell r="A276">
            <v>102278</v>
          </cell>
          <cell r="B276" t="str">
            <v>SINAPI</v>
          </cell>
          <cell r="C276" t="str">
            <v>90085
14,75 m3/h</v>
          </cell>
          <cell r="D276" t="str">
    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    </cell>
          <cell r="E276"/>
          <cell r="F276" t="str">
            <v>M3</v>
          </cell>
          <cell r="G276">
            <v>8.94</v>
          </cell>
          <cell r="H276" t="str">
            <v>-</v>
          </cell>
        </row>
        <row r="277">
          <cell r="A277">
            <v>90086</v>
          </cell>
          <cell r="B277" t="str">
            <v>SINAPI</v>
          </cell>
          <cell r="C277">
            <v>14.58</v>
          </cell>
          <cell r="D277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    </cell>
          <cell r="E277" t="str">
            <v>3,01 &lt; H &lt; 4,50
alta Interferência</v>
          </cell>
          <cell r="F277" t="str">
            <v>M3</v>
          </cell>
          <cell r="G277">
            <v>9.43</v>
          </cell>
          <cell r="H277" t="str">
            <v>-</v>
          </cell>
        </row>
        <row r="278">
          <cell r="A278">
            <v>90087</v>
          </cell>
          <cell r="B278" t="str">
            <v>SINAPI</v>
          </cell>
          <cell r="C278">
            <v>19.12</v>
          </cell>
          <cell r="D278" t="str">
    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78"/>
          <cell r="F278" t="str">
            <v>M3</v>
          </cell>
          <cell r="G278">
            <v>8.57</v>
          </cell>
          <cell r="H278" t="str">
            <v>-</v>
          </cell>
        </row>
        <row r="279">
          <cell r="A279">
            <v>102277</v>
          </cell>
          <cell r="B279" t="str">
            <v>SINAPI</v>
          </cell>
          <cell r="C279" t="str">
            <v>90088
18,73 m3/h</v>
          </cell>
          <cell r="D279" t="str">
    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    </cell>
          <cell r="E279" t="str">
            <v>H &gt; 4,51
alta Interferência</v>
          </cell>
          <cell r="F279" t="str">
            <v>M3</v>
          </cell>
          <cell r="G279">
            <v>9.15</v>
          </cell>
          <cell r="H279" t="str">
            <v>-</v>
          </cell>
        </row>
        <row r="280">
          <cell r="A280">
            <v>90090</v>
          </cell>
          <cell r="B280" t="str">
            <v>SINAPI</v>
          </cell>
          <cell r="C280">
            <v>19.489999999999998</v>
          </cell>
          <cell r="D280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80"/>
          <cell r="F280" t="str">
            <v>M3</v>
          </cell>
          <cell r="G280">
            <v>8.3800000000000008</v>
          </cell>
          <cell r="H280" t="str">
            <v>-</v>
          </cell>
        </row>
        <row r="281">
          <cell r="A281">
            <v>102279</v>
          </cell>
          <cell r="B281" t="str">
            <v>SINAPI</v>
          </cell>
          <cell r="C281">
            <v>19.489999999999998</v>
          </cell>
          <cell r="D281" t="str">
            <v>Escavação mecanizada de vala com prof. até 1,5 m (média entre montante e jusante/uma composição por trecho), com escavadeira hidráulica (0,8 m3/111 HP),larg. menor que 1,5 m, em solo de 1a categoria, locais com baixo nível de interferência. af_02/2021</v>
          </cell>
          <cell r="E281"/>
          <cell r="F281" t="str">
            <v>M3</v>
          </cell>
          <cell r="G281">
            <v>6.39</v>
          </cell>
          <cell r="H281" t="str">
            <v>-</v>
          </cell>
        </row>
        <row r="282">
          <cell r="A282"/>
          <cell r="B282" t="str">
            <v>ARRUMAR LISTA DE COMPOSIÇÃO</v>
          </cell>
          <cell r="C282">
            <v>72915</v>
          </cell>
          <cell r="D282" t="str">
            <v>Escavação mecânica de vala em material de 2a categoria ate 2,00 m de profundidade com utilização de escavadeira hidráulica - exclusive escoramento e esgotamento</v>
          </cell>
          <cell r="E282"/>
          <cell r="F282" t="str">
            <v>-</v>
          </cell>
          <cell r="G282" t="str">
            <v>-</v>
          </cell>
          <cell r="H282" t="str">
            <v/>
          </cell>
        </row>
        <row r="283">
          <cell r="A283"/>
          <cell r="B283" t="str">
            <v>ARRUMAR LISTA DE COMPOSIÇÃO</v>
          </cell>
          <cell r="C283">
            <v>72917</v>
          </cell>
          <cell r="D283" t="str">
            <v>Escavação mecânica de vala em material de 2a categoria de 2,01 ate 4,00 m de profundidade com utilização de escavadeira hidráulica - exclusive escoramento e esgotamento</v>
          </cell>
          <cell r="E283"/>
          <cell r="F283" t="str">
            <v>-</v>
          </cell>
          <cell r="G283" t="str">
            <v>-</v>
          </cell>
          <cell r="H283" t="str">
            <v/>
          </cell>
        </row>
        <row r="284">
          <cell r="A284"/>
          <cell r="B284" t="str">
            <v>ARRUMAR LISTA DE COMPOSIÇÃO</v>
          </cell>
          <cell r="C284">
            <v>72918</v>
          </cell>
          <cell r="D284" t="str">
            <v>Escavação mecânica de vala em material de 2a. categoria de 4,01 ate 6,00 m de profundidade com utilização de escavadeira hidráulica - exclusive escoramento e esgotamento</v>
          </cell>
          <cell r="E284"/>
          <cell r="F284" t="str">
            <v>-</v>
          </cell>
          <cell r="G284" t="str">
            <v>-</v>
          </cell>
          <cell r="H284" t="str">
            <v/>
          </cell>
        </row>
        <row r="285">
          <cell r="A285" t="str">
            <v>DR/0020</v>
          </cell>
          <cell r="B285" t="str">
            <v>COMPOSIÇÃO</v>
          </cell>
          <cell r="C285">
            <v>3</v>
          </cell>
          <cell r="D285" t="str">
            <v>Escavação de vala em rocha - 3a categoria, com uso de explosivos e perfuração mecânica, em locais com alto nível de interferência. Inclusive carga</v>
          </cell>
          <cell r="E285"/>
          <cell r="F285" t="str">
            <v>M3</v>
          </cell>
          <cell r="G285">
            <v>463.69</v>
          </cell>
          <cell r="H285" t="str">
            <v>-</v>
          </cell>
        </row>
        <row r="286">
          <cell r="A286" t="str">
            <v>DR/0021</v>
          </cell>
          <cell r="B286" t="str">
            <v>CRIAR COMPOSIÇÃO</v>
          </cell>
          <cell r="C286"/>
          <cell r="D286" t="str">
            <v>ERRO</v>
          </cell>
          <cell r="E286"/>
          <cell r="F286" t="str">
            <v>-</v>
          </cell>
          <cell r="G286" t="str">
            <v>-</v>
          </cell>
          <cell r="H286" t="str">
            <v>-</v>
          </cell>
        </row>
        <row r="287">
          <cell r="A287" t="str">
            <v>DR/0024</v>
          </cell>
          <cell r="B287" t="str">
            <v>COMPOSIÇÃO</v>
          </cell>
          <cell r="C287"/>
          <cell r="D287" t="str">
            <v>Escavação, carga e transporte de material de 2ª categoria - DMT de 1.400 a 1.600 m - caminho de serviço em revestimento primário - com escavadeira e caminhão basculante de 14 m³ (REF. SICRO COD. 5502618)</v>
          </cell>
          <cell r="E287"/>
          <cell r="F287" t="str">
            <v>M3</v>
          </cell>
          <cell r="G287">
            <v>9.08</v>
          </cell>
          <cell r="H287" t="str">
            <v>-</v>
          </cell>
        </row>
        <row r="288">
          <cell r="A288" t="str">
            <v>DR/0025</v>
          </cell>
          <cell r="B288" t="str">
            <v>COMPOSIÇÃO</v>
          </cell>
          <cell r="C288" t="str">
            <v>102360 ver sinapi</v>
          </cell>
          <cell r="D288" t="str">
            <v>Escavação de vala em material de 3a categoria - resistência a compressão de 90 a 110 MPA - com escavadeira e rompedor hidráulico 1.700kg, inclusive carga (REF. SICRO COD. 5502966)</v>
          </cell>
          <cell r="E288"/>
          <cell r="F288" t="str">
            <v>M3</v>
          </cell>
          <cell r="G288">
            <v>82.47</v>
          </cell>
          <cell r="H288" t="str">
            <v>-</v>
          </cell>
        </row>
        <row r="289">
          <cell r="A289" t="str">
            <v>DR/0026</v>
          </cell>
          <cell r="B289" t="str">
            <v>COMPOSIÇÃO</v>
          </cell>
          <cell r="C289"/>
          <cell r="D289" t="str">
            <v>Escavação de vala em material de 3a categoria, resistência à compressão maior ou igual a 90 MPA e menor que 110 MPA, com rompedor acoplado em escavadeira hidráulica - exclusive carga e transporte (REF. SINAPI COD. 03.MOVT.3CAT.004/01 2021-01)</v>
          </cell>
          <cell r="E289"/>
          <cell r="F289" t="str">
            <v>M3</v>
          </cell>
          <cell r="G289">
            <v>192.09</v>
          </cell>
          <cell r="H289" t="str">
            <v>-</v>
          </cell>
        </row>
        <row r="290">
          <cell r="A290" t="str">
            <v>DR/0027</v>
          </cell>
          <cell r="B290" t="str">
            <v>COMPOSIÇÃO</v>
          </cell>
          <cell r="C290"/>
          <cell r="D290" t="str">
            <v>Escavação, carga e transporte de material de 1ª categoria - DMT de 50 a 200 m - caminho de serviço em leito natural - com escavadeira e caminhão basculante de 14 m³ (Refer. SICRO CÓD. 5502109)</v>
          </cell>
          <cell r="E290"/>
          <cell r="F290" t="str">
            <v>M3</v>
          </cell>
          <cell r="G290">
            <v>5.31</v>
          </cell>
          <cell r="H290" t="str">
            <v>-</v>
          </cell>
        </row>
        <row r="291">
          <cell r="A291" t="str">
            <v>DR/0028</v>
          </cell>
          <cell r="B291" t="str">
            <v>COMPOSIÇÃO</v>
          </cell>
          <cell r="C291"/>
          <cell r="D291" t="str">
            <v>Escavação, carga e transporte de material de 1ª categoria - DMT de 200 a 400 m - caminho de serviço em leito natural - com escavadeira e caminhão basculante de 14 m³ (Refer. SICRO CÓD. 5502110)</v>
          </cell>
          <cell r="E291"/>
          <cell r="F291" t="str">
            <v>M3</v>
          </cell>
          <cell r="G291">
            <v>5.73</v>
          </cell>
          <cell r="H291" t="str">
            <v>-</v>
          </cell>
        </row>
        <row r="292">
          <cell r="A292" t="str">
            <v>DR/0030</v>
          </cell>
          <cell r="B292" t="str">
            <v>COMPOSIÇÃO</v>
          </cell>
          <cell r="C292"/>
          <cell r="D292" t="str">
            <v>Escavação à céu aberto de caixa para bacia de amortecimento em área de solo rochoso com uso de escavadeira hidráulica, rompedor hidráulico, perfuratriz mecânica e explosivos, inclusive carga</v>
          </cell>
          <cell r="E292"/>
          <cell r="F292" t="str">
            <v>M3</v>
          </cell>
          <cell r="G292">
            <v>153.30000000000001</v>
          </cell>
          <cell r="H292" t="str">
            <v>-</v>
          </cell>
        </row>
        <row r="293">
          <cell r="A293">
            <v>101616</v>
          </cell>
          <cell r="B293" t="str">
            <v>SINAPI</v>
          </cell>
          <cell r="C293" t="str">
            <v>94097
94098</v>
          </cell>
          <cell r="D293" t="str">
            <v>Preparo de fundo de vala com largura menor que 1,50 m (acerto do solo natural). AF_08/2020</v>
          </cell>
          <cell r="E293" t="str">
            <v>SOLO NATURAL</v>
          </cell>
          <cell r="F293" t="str">
            <v>M2</v>
          </cell>
          <cell r="G293">
            <v>5.51</v>
          </cell>
          <cell r="H293" t="str">
            <v>-</v>
          </cell>
        </row>
        <row r="294">
          <cell r="A294">
            <v>101617</v>
          </cell>
          <cell r="B294" t="str">
            <v>SINAPI</v>
          </cell>
          <cell r="C294" t="str">
            <v>94099
94100</v>
          </cell>
          <cell r="D294" t="str">
            <v>Preparo de fundo de vala com largura maior ou igual a 1,50 m e menor que 2,50 m (acerto do solo natural). AF_08/2020</v>
          </cell>
          <cell r="E294"/>
          <cell r="F294" t="str">
            <v>M2</v>
          </cell>
          <cell r="G294">
            <v>2.72</v>
          </cell>
          <cell r="H294" t="str">
            <v>-</v>
          </cell>
        </row>
        <row r="295">
          <cell r="A295">
            <v>101619</v>
          </cell>
          <cell r="B295" t="str">
            <v>SINAPI</v>
          </cell>
          <cell r="C295" t="str">
            <v>94099
94105</v>
          </cell>
          <cell r="D295" t="str">
            <v>Preparo de fundo de vala com largura menor que 1,50 m, com camada de brita, lançamento manual. AF_08/2020</v>
          </cell>
          <cell r="E295" t="str">
            <v>BRITA</v>
          </cell>
          <cell r="F295" t="str">
            <v>M3</v>
          </cell>
          <cell r="G295">
            <v>257.20999999999998</v>
          </cell>
          <cell r="H295" t="str">
            <v>-</v>
          </cell>
        </row>
        <row r="296">
          <cell r="A296">
            <v>101621</v>
          </cell>
          <cell r="B296" t="str">
            <v>SINAPI</v>
          </cell>
          <cell r="C296">
            <v>94107</v>
          </cell>
          <cell r="D296" t="str">
            <v>Preparo de fundo de vala com largura maior ou igual a 1,50 m e menor que 2,50 m, com camada de brita, lançamento manual. AF_08/2020</v>
          </cell>
          <cell r="E296"/>
          <cell r="F296" t="str">
            <v>M3</v>
          </cell>
          <cell r="G296">
            <v>234.87</v>
          </cell>
          <cell r="H296" t="str">
            <v>-</v>
          </cell>
        </row>
        <row r="297">
          <cell r="A297">
            <v>101623</v>
          </cell>
          <cell r="B297" t="str">
            <v>SINAPI</v>
          </cell>
          <cell r="C297" t="str">
            <v>94103
94114</v>
          </cell>
          <cell r="D297" t="str">
            <v>Preparo de fundo de vala com largura menor que 1,50 m, com camada de brita, lançamento mecanizado. AF_08/2020</v>
          </cell>
          <cell r="E297"/>
          <cell r="F297" t="str">
            <v>M3</v>
          </cell>
          <cell r="G297">
            <v>230.03</v>
          </cell>
          <cell r="H297" t="str">
            <v>-</v>
          </cell>
        </row>
        <row r="298">
          <cell r="A298">
            <v>101624</v>
          </cell>
          <cell r="B298" t="str">
            <v>SINAPI</v>
          </cell>
          <cell r="C298">
            <v>94116</v>
          </cell>
          <cell r="D298" t="str">
            <v>Preparo de fundo de vala com largura maior ou igual a 1,50 m e menor que 2,50 m, com camada de brita, lançamento mecanizado. AF_08/2020</v>
          </cell>
          <cell r="E298"/>
          <cell r="F298" t="str">
            <v>M3</v>
          </cell>
          <cell r="G298">
            <v>188.79</v>
          </cell>
          <cell r="H298" t="str">
            <v>-</v>
          </cell>
        </row>
        <row r="299">
          <cell r="A299">
            <v>101618</v>
          </cell>
          <cell r="B299" t="str">
            <v>SINAPI</v>
          </cell>
          <cell r="C299">
            <v>94104</v>
          </cell>
          <cell r="D299" t="str">
            <v>Preparo de fundo de vala com largura menor que 1,50 m, com camada de areia, lançamento manual. AF_08/2020</v>
          </cell>
          <cell r="E299" t="str">
            <v>AREIA</v>
          </cell>
          <cell r="F299" t="str">
            <v>M3</v>
          </cell>
          <cell r="G299">
            <v>208.47</v>
          </cell>
          <cell r="H299" t="str">
            <v>-</v>
          </cell>
        </row>
        <row r="300">
          <cell r="A300">
            <v>101620</v>
          </cell>
          <cell r="B300" t="str">
            <v>SINAPI</v>
          </cell>
          <cell r="C300">
            <v>94106</v>
          </cell>
          <cell r="D300" t="str">
            <v>Preparo de fundo de vala com largura maior ou igual a 1,50 m e menor que 2,50 m, com camada de areia, lançamento manual. AF_08/2020</v>
          </cell>
          <cell r="E300"/>
          <cell r="F300" t="str">
            <v>M3</v>
          </cell>
          <cell r="G300">
            <v>186.15</v>
          </cell>
          <cell r="H300" t="str">
            <v>-</v>
          </cell>
        </row>
        <row r="301">
          <cell r="A301">
            <v>101622</v>
          </cell>
          <cell r="B301" t="str">
            <v>SINAPI</v>
          </cell>
          <cell r="C301" t="str">
            <v>94111
94113</v>
          </cell>
          <cell r="D301" t="str">
            <v>Preparo de fundo de vala com largura menor que 1,50 m, com camada de areia, lançamento mecanizado. AF_08/2020</v>
          </cell>
          <cell r="E301"/>
          <cell r="F301" t="str">
            <v>M3</v>
          </cell>
          <cell r="G301">
            <v>186.42</v>
          </cell>
          <cell r="H301" t="str">
            <v>-</v>
          </cell>
        </row>
        <row r="302">
          <cell r="A302">
            <v>101625</v>
          </cell>
          <cell r="B302" t="str">
            <v>SINAPI</v>
          </cell>
          <cell r="C302" t="str">
            <v>94106
94115</v>
          </cell>
          <cell r="D302" t="str">
            <v>Preparo de fundo de vala com largura maior ou igual a 1,50 m e menor que 2,50 m, com camada de areia, lançamento mecanizado. AF_08/2020</v>
          </cell>
          <cell r="E302"/>
          <cell r="F302" t="str">
            <v>M3</v>
          </cell>
          <cell r="G302">
            <v>150.36000000000001</v>
          </cell>
          <cell r="H302" t="str">
            <v>-</v>
          </cell>
        </row>
        <row r="303">
          <cell r="A303">
            <v>96616</v>
          </cell>
          <cell r="B303" t="str">
            <v>SINAPI</v>
          </cell>
          <cell r="C303">
            <v>94106</v>
          </cell>
          <cell r="D303" t="str">
            <v>Lastro de concreto magro, aplicado em blocos de coroamento ou sapatas. AF_08/2017</v>
          </cell>
          <cell r="E303"/>
          <cell r="F303" t="str">
            <v>M3</v>
          </cell>
          <cell r="G303">
            <v>606.11</v>
          </cell>
          <cell r="H303" t="str">
            <v>-</v>
          </cell>
        </row>
        <row r="304">
          <cell r="A304">
            <v>96620</v>
          </cell>
          <cell r="B304" t="str">
            <v>SINAPI</v>
          </cell>
          <cell r="C304"/>
          <cell r="D304" t="str">
            <v>Lastro de concreto magro, aplicado em pisos ou radiers. AF_08/2017</v>
          </cell>
          <cell r="E304"/>
          <cell r="F304" t="str">
            <v>M3</v>
          </cell>
          <cell r="G304">
            <v>583.76</v>
          </cell>
          <cell r="H304" t="str">
            <v>-</v>
          </cell>
        </row>
        <row r="305">
          <cell r="A305" t="str">
            <v>DR/0032</v>
          </cell>
          <cell r="B305" t="str">
            <v>COMPOSIÇÃO</v>
          </cell>
          <cell r="C305">
            <v>73697</v>
          </cell>
          <cell r="D305" t="str">
            <v>Lastro ou enrocamento de pedra-de-mão ou rachão lançado, fornecimento e apiloamento. Exclusive transporte, ref SINAPI 73697, data 01/2020 e SINAPI 92744.</v>
          </cell>
          <cell r="E305"/>
          <cell r="F305" t="str">
            <v>M3</v>
          </cell>
          <cell r="G305">
            <v>250.4</v>
          </cell>
          <cell r="H305" t="str">
            <v>-</v>
          </cell>
        </row>
        <row r="306">
          <cell r="A306" t="str">
            <v>DR/0033</v>
          </cell>
          <cell r="B306" t="str">
            <v>COMPOSIÇÃO</v>
          </cell>
          <cell r="C306">
            <v>73698</v>
          </cell>
          <cell r="D306" t="str">
            <v>Enrocamento arrumado de pedra-de-mão ou rachão, fornecimento e apiloamento. Exclusive transporte, ref SINAPI 73698, data 01/2020 e SINAPI 92754.</v>
          </cell>
          <cell r="E306"/>
          <cell r="F306" t="str">
            <v>M3</v>
          </cell>
          <cell r="G306">
            <v>341.79</v>
          </cell>
          <cell r="H306" t="str">
            <v>-</v>
          </cell>
        </row>
        <row r="307">
          <cell r="A307">
            <v>368</v>
          </cell>
          <cell r="B307" t="str">
            <v>COTAÇÃO - SINAPI</v>
          </cell>
          <cell r="C307"/>
          <cell r="D307" t="str">
            <v>Areia para aterro - posto jazida/fornecedor (retirado na jazida, sem transporte)</v>
          </cell>
          <cell r="E307"/>
          <cell r="F307" t="str">
            <v xml:space="preserve">M3    </v>
          </cell>
          <cell r="G307">
            <v>45</v>
          </cell>
          <cell r="H307" t="str">
            <v>-</v>
          </cell>
        </row>
        <row r="308">
          <cell r="A308">
            <v>370</v>
          </cell>
          <cell r="B308" t="str">
            <v>COTAÇÃO - SINAPI</v>
          </cell>
          <cell r="C308"/>
          <cell r="D308" t="str">
            <v>Areia media - posto jazida/fornecedor (retirado na jazida, sem transporte)</v>
          </cell>
          <cell r="E308"/>
          <cell r="F308" t="str">
            <v xml:space="preserve">M3    </v>
          </cell>
          <cell r="G308">
            <v>90</v>
          </cell>
          <cell r="H308" t="str">
            <v>-</v>
          </cell>
        </row>
        <row r="309">
          <cell r="A309">
            <v>6079</v>
          </cell>
          <cell r="B309" t="str">
            <v>COTAÇÃO - SINAPI</v>
          </cell>
          <cell r="C309"/>
          <cell r="D309" t="str">
            <v>Argila, argila vermelha ou argila arenosa (retirada na jazida, sem transporte)</v>
          </cell>
          <cell r="E309"/>
          <cell r="F309" t="str">
            <v xml:space="preserve">M3    </v>
          </cell>
          <cell r="G309">
            <v>33.700000000000003</v>
          </cell>
          <cell r="H309" t="str">
            <v>-</v>
          </cell>
        </row>
        <row r="310">
          <cell r="A310">
            <v>94342</v>
          </cell>
          <cell r="B310" t="str">
            <v>SINAPI</v>
          </cell>
          <cell r="C310"/>
          <cell r="D310" t="str">
            <v>Aterro manual de valas com areia para aterro e compactação mecanizada (adensamento hidráulico e inclusive aquisição). AF_05/2016</v>
          </cell>
          <cell r="E310"/>
          <cell r="F310" t="str">
            <v>M3</v>
          </cell>
          <cell r="G310">
            <v>86.6</v>
          </cell>
          <cell r="H310" t="str">
            <v>-</v>
          </cell>
        </row>
        <row r="311">
          <cell r="A311">
            <v>93382</v>
          </cell>
          <cell r="B311" t="str">
            <v>SINAPI</v>
          </cell>
          <cell r="C311"/>
          <cell r="D311" t="str">
            <v>Reaterro manual de valas com compactação mecanizada. AF_04/2016</v>
          </cell>
          <cell r="E311"/>
          <cell r="F311" t="str">
            <v>M3</v>
          </cell>
          <cell r="G311">
            <v>30.35</v>
          </cell>
          <cell r="H311" t="str">
            <v>-</v>
          </cell>
        </row>
        <row r="312">
          <cell r="A312">
            <v>93378</v>
          </cell>
          <cell r="B312" t="str">
            <v>SINAPI</v>
          </cell>
          <cell r="C312"/>
          <cell r="D312" t="str">
    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    </cell>
          <cell r="E312" t="str">
            <v>H &lt; 1,50
baixa Interferência</v>
          </cell>
          <cell r="F312" t="str">
            <v>M3</v>
          </cell>
          <cell r="G312">
            <v>23.45</v>
          </cell>
          <cell r="H312" t="str">
            <v>-</v>
          </cell>
        </row>
        <row r="313">
          <cell r="A313">
            <v>93379</v>
          </cell>
          <cell r="B313" t="str">
            <v>SINAPI</v>
          </cell>
          <cell r="C313"/>
          <cell r="D313" t="str">
    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    </cell>
          <cell r="E313"/>
          <cell r="F313" t="str">
            <v>M3</v>
          </cell>
          <cell r="G313">
            <v>18.100000000000001</v>
          </cell>
          <cell r="H313" t="str">
            <v>-</v>
          </cell>
        </row>
        <row r="314">
          <cell r="A314">
            <v>93367</v>
          </cell>
          <cell r="B314" t="str">
            <v>SINAPI</v>
          </cell>
          <cell r="C314"/>
          <cell r="D314" t="str">
    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    </cell>
          <cell r="E314"/>
          <cell r="F314" t="str">
            <v>M3</v>
          </cell>
          <cell r="G314">
            <v>19.89</v>
          </cell>
          <cell r="H314" t="str">
            <v>-</v>
          </cell>
        </row>
        <row r="315">
          <cell r="A315">
            <v>93380</v>
          </cell>
          <cell r="B315" t="str">
            <v>SINAPI</v>
          </cell>
          <cell r="C315"/>
          <cell r="D315" t="str">
    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    </cell>
          <cell r="E315" t="str">
            <v>1,51 &lt; H &lt; 3,00
baixa Interferência</v>
          </cell>
          <cell r="F315" t="str">
            <v>M3</v>
          </cell>
          <cell r="G315">
            <v>14.84</v>
          </cell>
          <cell r="H315" t="str">
            <v>-</v>
          </cell>
        </row>
        <row r="316">
          <cell r="A316">
            <v>93381</v>
          </cell>
          <cell r="B316" t="str">
            <v>SINAPI</v>
          </cell>
          <cell r="C316"/>
          <cell r="D316" t="str">
    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    </cell>
          <cell r="E316"/>
          <cell r="F316" t="str">
            <v>M3</v>
          </cell>
          <cell r="G316">
            <v>9.86</v>
          </cell>
          <cell r="H316" t="str">
            <v>-</v>
          </cell>
        </row>
        <row r="317">
          <cell r="A317">
            <v>93369</v>
          </cell>
          <cell r="B317" t="str">
            <v>SINAPI</v>
          </cell>
          <cell r="C317"/>
          <cell r="D317" t="str">
    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    </cell>
          <cell r="E317"/>
          <cell r="F317" t="str">
            <v>M3</v>
          </cell>
          <cell r="G317">
            <v>11.36</v>
          </cell>
          <cell r="H317" t="str">
            <v>-</v>
          </cell>
        </row>
        <row r="318">
          <cell r="A318">
            <v>93370</v>
          </cell>
          <cell r="B318" t="str">
            <v>SINAPI</v>
          </cell>
          <cell r="C318"/>
          <cell r="D318" t="str">
            <v>Reaterro mecanizado de vala com escavadeira hidráulica (capacidade da caçamba: 0,80 m3 / potência: 111 HP), largura até 1,50 m, profundidade de 3,00 a 4,50 m com solo (sem substituição) de 1a categoria em locais com baixo nível de interferência. AF_04/2016</v>
          </cell>
          <cell r="E318" t="str">
            <v>3,01 &lt; H &lt; 4,50
baixa Interferência</v>
          </cell>
          <cell r="F318" t="str">
            <v>M3</v>
          </cell>
          <cell r="G318">
            <v>12.46</v>
          </cell>
          <cell r="H318" t="str">
            <v>-</v>
          </cell>
        </row>
        <row r="319">
          <cell r="A319">
            <v>93371</v>
          </cell>
          <cell r="B319" t="str">
            <v>SINAPI</v>
          </cell>
          <cell r="C319"/>
          <cell r="D319" t="str">
            <v>Reaterro mecanizado de vala com escavadeira hidráulica (capacidade da caçamba: 0,80 m3 / potência: 111 HP), largura de 1,50 a 2,50 m, profundidade de 3,00  a 4,50 m, com solo (sem substituição) de 1a categoria em locais com baixo nível de interferência. AF_04/2016</v>
          </cell>
          <cell r="E319"/>
          <cell r="F319" t="str">
            <v>M3</v>
          </cell>
          <cell r="G319">
            <v>9.5299999999999994</v>
          </cell>
          <cell r="H319" t="str">
            <v>-</v>
          </cell>
        </row>
        <row r="320">
          <cell r="A320">
            <v>93372</v>
          </cell>
          <cell r="B320" t="str">
            <v>SINAPI</v>
          </cell>
          <cell r="C320"/>
          <cell r="D320" t="str">
    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    </cell>
          <cell r="E320" t="str">
            <v>H &gt; 4,51
baixa Interferência</v>
          </cell>
          <cell r="F320" t="str">
            <v>M3</v>
          </cell>
          <cell r="G320">
            <v>10.85</v>
          </cell>
          <cell r="H320" t="str">
            <v>-</v>
          </cell>
        </row>
        <row r="321">
          <cell r="A321">
            <v>93373</v>
          </cell>
          <cell r="B321" t="str">
            <v>SINAPI</v>
          </cell>
          <cell r="C321"/>
          <cell r="D321" t="str">
    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    </cell>
          <cell r="E321"/>
          <cell r="F321" t="str">
            <v>M3</v>
          </cell>
          <cell r="G321">
            <v>8.65</v>
          </cell>
          <cell r="H321" t="str">
            <v>-</v>
          </cell>
        </row>
        <row r="322">
          <cell r="A322">
            <v>93374</v>
          </cell>
          <cell r="B322" t="str">
            <v>SINAPI</v>
          </cell>
          <cell r="C322"/>
          <cell r="D322" t="str">
            <v>Reaterro mecanizado de vala com retroescavadeira (capacidade da caçamba da retro: 0,26 m3 / potência: 88 HP), largura até 0,80 m, profundidade até 1,50 m, com solo (sem substituição) de 1a categoria em locais com alto nível de interferência. AF_04/2016</v>
          </cell>
          <cell r="E322" t="str">
            <v>H &lt; 1,50
alta Interferência</v>
          </cell>
          <cell r="F322" t="str">
            <v>M3</v>
          </cell>
          <cell r="G322">
            <v>25.01</v>
          </cell>
          <cell r="H322" t="str">
            <v>-</v>
          </cell>
        </row>
        <row r="323">
          <cell r="A323">
            <v>93375</v>
          </cell>
          <cell r="B323" t="str">
            <v>SINAPI</v>
          </cell>
          <cell r="C323"/>
          <cell r="D323" t="str">
            <v>Reaterro mecanizado de vala com retroescavadeira (capacidade da caçamba da retro: 0,26 m3 / potência: 88 HP), largura de 0,80 a 1,50 m, profundidade até 1,50 m, com solo (sem substituição) de 1a categoria em locais com alto nível de interferência. AF_04/2016</v>
          </cell>
          <cell r="E323"/>
          <cell r="F323" t="str">
            <v>M3</v>
          </cell>
          <cell r="G323">
            <v>19.3</v>
          </cell>
          <cell r="H323" t="str">
            <v>-</v>
          </cell>
        </row>
        <row r="324">
          <cell r="A324">
            <v>93360</v>
          </cell>
          <cell r="B324" t="str">
            <v>SINAPI</v>
          </cell>
          <cell r="C324"/>
          <cell r="D324" t="str">
            <v>Reaterro mecanizado de vala com escavadeira hidráulica (capacidade da caçamba: 0,80 m3 / potência: 111 HP), largura de 1,50 a 2,50 m, profundidade até 1,50 m, com solo (sem substituição) de 1a categoria em locais com alto nível de interferência. AF_04/2016</v>
          </cell>
          <cell r="E324"/>
          <cell r="F324" t="str">
            <v>M3</v>
          </cell>
          <cell r="G324">
            <v>21.26</v>
          </cell>
          <cell r="H324" t="str">
            <v>-</v>
          </cell>
        </row>
        <row r="325">
          <cell r="A325">
            <v>93376</v>
          </cell>
          <cell r="B325" t="str">
            <v>SINAPI</v>
          </cell>
          <cell r="C325"/>
          <cell r="D325" t="str">
            <v>Reaterro mecanizado de vala com retroescavadeira (capacidade da caçamba da retro: 0,26 m3 / potência: 88 HP), largura até 0,80 m, profundidade de 1,50 a 3,00 m, com solo (sem substituição) de 1a categoria em locais com alto nível de interferência. AF_04/2016</v>
          </cell>
          <cell r="E325" t="str">
            <v>1,51 &lt; H &lt; 3,00
alta Interferência</v>
          </cell>
          <cell r="F325" t="str">
            <v>M3</v>
          </cell>
          <cell r="G325">
            <v>15.78</v>
          </cell>
          <cell r="H325" t="str">
            <v>-</v>
          </cell>
        </row>
        <row r="326">
          <cell r="A326">
            <v>93377</v>
          </cell>
          <cell r="B326" t="str">
            <v>SINAPI</v>
          </cell>
          <cell r="C326"/>
          <cell r="D326" t="str">
            <v>Reaterro mecanizado de vala com retroescavadeira (capacidade da caçamba da retro: 0,26 m3 / potência: 88 HP), largura de 0,80 a 1,50 m, profundidade de 1,50 a 3,00 m, com solo (sem substituição) de 1a categoria em locais com alto nível de interferência. AF_04/2016</v>
          </cell>
          <cell r="E326"/>
          <cell r="F326" t="str">
            <v>M3</v>
          </cell>
          <cell r="G326">
            <v>10.53</v>
          </cell>
          <cell r="H326" t="str">
            <v>-</v>
          </cell>
        </row>
        <row r="327">
          <cell r="A327">
            <v>93362</v>
          </cell>
          <cell r="B327" t="str">
            <v>SINAPI</v>
          </cell>
          <cell r="C327"/>
          <cell r="D327" t="str">
            <v>Reaterro mecanizado de vala com escavadeira hidráulica (capacidade da caçamba: 0,80 m3 / potência: 111 HP), largura de 1,50 a 2,50 m, profundidade de 1,50 a 3,00 m, com solo (sem substituição) de 1a categoria em locais com alto nível de interferência. AF_04/2016</v>
          </cell>
          <cell r="E327"/>
          <cell r="F327" t="str">
            <v>M3</v>
          </cell>
          <cell r="G327">
            <v>12.72</v>
          </cell>
          <cell r="H327" t="str">
            <v>-</v>
          </cell>
        </row>
        <row r="328">
          <cell r="A328">
            <v>93363</v>
          </cell>
          <cell r="B328" t="str">
            <v>SINAPI</v>
          </cell>
          <cell r="C328"/>
          <cell r="D328" t="str">
            <v>Reaterro mecanizado de vala com escavadeira hidráulica (capacidade da caçamba: 0,80 m3 / potência: 111 HP), largura até 1,50 m, profundidade de 3,00 a 4,50 m com solo (sem substituição) de 1a categoria em locais com alto nível de interferência. AF_04/2016</v>
          </cell>
          <cell r="E328" t="str">
            <v>3,01 &lt; H &lt; 4,50
alta Interferência</v>
          </cell>
          <cell r="F328" t="str">
            <v>M3</v>
          </cell>
          <cell r="G328">
            <v>13.8</v>
          </cell>
          <cell r="H328" t="str">
            <v>-</v>
          </cell>
        </row>
        <row r="329">
          <cell r="A329">
            <v>93364</v>
          </cell>
          <cell r="B329" t="str">
            <v>SINAPI</v>
          </cell>
          <cell r="C329"/>
          <cell r="D329" t="str">
            <v>Reaterro mecanizado de vala com escavadeira hidráulica (capacidade da caçamba: 0,80 m3 / potência: 111 HP), largura de 1,50 a 2,50 m, profundidade de 3,00  a 4,50 m, com solo (sem substituição) de 1a categoria em locais com alto nível de interferência. AF_04/2016</v>
          </cell>
          <cell r="E329"/>
          <cell r="F329" t="str">
            <v>M3</v>
          </cell>
          <cell r="G329">
            <v>10.89</v>
          </cell>
          <cell r="H329" t="str">
            <v>-</v>
          </cell>
        </row>
        <row r="330">
          <cell r="A330">
            <v>93365</v>
          </cell>
          <cell r="B330" t="str">
            <v>SINAPI</v>
          </cell>
          <cell r="C330"/>
          <cell r="D330" t="str">
            <v>Reaterro mecanizado de vala com escavadeira hidráulica (capacidade da caçamba: 0,80 m3 / potência: 111 HP), largura até 1,50 m, profundidade de 4,50 a 6,00 m, com solo (sem substituição) de 1a categoria em locais com alto nível de interferência. AF_04/2016</v>
          </cell>
          <cell r="E330" t="str">
            <v>H &gt; 4,51
alta Interferência</v>
          </cell>
          <cell r="F330" t="str">
            <v>M3</v>
          </cell>
          <cell r="G330">
            <v>12.13</v>
          </cell>
          <cell r="H330" t="str">
            <v>-</v>
          </cell>
        </row>
        <row r="331">
          <cell r="A331">
            <v>93366</v>
          </cell>
          <cell r="B331" t="str">
            <v>SINAPI</v>
          </cell>
          <cell r="C331"/>
          <cell r="D331" t="str">
            <v>Reaterro mecanizado de vala com escavadeira hidráulica (capacidade da caçamba: 0,80 m3 / potência: 111 HP), largura de 1,50 a 2,50 m, profundidade de 4,50 a 6,00 m, com solo (sem substituição) de 1a categoria em locais com alto nível de interferência. AF_04/2016</v>
          </cell>
          <cell r="E331"/>
          <cell r="F331" t="str">
            <v>M3</v>
          </cell>
          <cell r="G331">
            <v>9.99</v>
          </cell>
          <cell r="H331" t="str">
            <v>-</v>
          </cell>
        </row>
        <row r="332">
          <cell r="A332">
            <v>100574</v>
          </cell>
          <cell r="B332" t="str">
            <v>SINAPI</v>
          </cell>
          <cell r="C332"/>
          <cell r="D332" t="str">
            <v>Espalhamento de material com trator de esteiras. AF_11/2019</v>
          </cell>
          <cell r="E332"/>
          <cell r="F332" t="str">
            <v>M3</v>
          </cell>
          <cell r="G332">
            <v>1.21</v>
          </cell>
          <cell r="H332" t="str">
            <v>-</v>
          </cell>
        </row>
        <row r="333">
          <cell r="A333" t="str">
            <v>DR/0035</v>
          </cell>
          <cell r="B333" t="str">
            <v>COMPOSIÇÃO</v>
          </cell>
          <cell r="C333"/>
          <cell r="D333" t="str">
            <v>Bota-fora, carga, transporte e descarga, DMT até 10 km, volume geométrico. Exclusive espalhamento</v>
          </cell>
          <cell r="E333"/>
          <cell r="F333" t="str">
            <v>M3</v>
          </cell>
          <cell r="G333">
            <v>29.75</v>
          </cell>
          <cell r="H333" t="str">
            <v>-</v>
          </cell>
        </row>
        <row r="334">
          <cell r="A334" t="str">
            <v>DR/0036</v>
          </cell>
          <cell r="B334" t="str">
            <v>COMPOSIÇÃO</v>
          </cell>
          <cell r="C334"/>
          <cell r="D334" t="str">
            <v>Filtro vertical de areia grossa, com profundidade até 1,50 m e largura de 0,80 m  a 1,50 m, lançamento mecânico, inclusive fornecimento. Exclusive transporte, ref SINAPI 93379, data 06/2021 e SINAPI 94339.</v>
          </cell>
          <cell r="E334"/>
          <cell r="F334" t="str">
            <v>M3</v>
          </cell>
          <cell r="G334">
            <v>109.16</v>
          </cell>
          <cell r="H334" t="str">
            <v>-</v>
          </cell>
        </row>
        <row r="335">
          <cell r="A335" t="str">
            <v>DR/0037</v>
          </cell>
          <cell r="B335" t="str">
            <v>COMPOSIÇÃO</v>
          </cell>
          <cell r="C335"/>
          <cell r="D335" t="str">
            <v>Filtro horizontal de areia grossa com espalhamento mecânico, inclusive fornecimento. Exclusive transporte (Refer. SICRO CÓD. 2003844, DB 01/21 e SINAPI 94339 DB 06-21)</v>
          </cell>
          <cell r="E335"/>
          <cell r="F335" t="str">
            <v>M3</v>
          </cell>
          <cell r="G335">
            <v>103.15</v>
          </cell>
          <cell r="H335" t="str">
            <v>-</v>
          </cell>
        </row>
        <row r="336">
          <cell r="A336" t="str">
            <v>DR/0038</v>
          </cell>
          <cell r="B336" t="str">
            <v>COMPOSIÇÃO</v>
          </cell>
          <cell r="C336"/>
          <cell r="D336" t="str">
            <v>Filtro horizontal de brita com espalhamento mecânico, inclusive fornecimento. Exclusive transporte (Refer. SICRO CÓD. 0903845, DB 01/21)</v>
          </cell>
          <cell r="E336"/>
          <cell r="F336" t="str">
            <v>M3</v>
          </cell>
          <cell r="G336">
            <v>103.79</v>
          </cell>
          <cell r="H336" t="str">
            <v>-</v>
          </cell>
        </row>
        <row r="337">
          <cell r="A337" t="str">
            <v>DR/0040</v>
          </cell>
          <cell r="B337" t="str">
            <v>COMPOSIÇÃO</v>
          </cell>
          <cell r="C337"/>
          <cell r="D337" t="str">
            <v>Arrancamento e remoção de canalização, Ø ≤ 60 cm. Exclusive bota-fora</v>
          </cell>
          <cell r="E337"/>
          <cell r="F337" t="str">
            <v>M</v>
          </cell>
          <cell r="G337">
            <v>73.989999999999995</v>
          </cell>
          <cell r="H337" t="str">
            <v>-</v>
          </cell>
        </row>
        <row r="338">
          <cell r="A338" t="str">
            <v>DR/0045</v>
          </cell>
          <cell r="B338" t="str">
            <v>COMPOSIÇÃO</v>
          </cell>
          <cell r="C338"/>
          <cell r="D338" t="str">
            <v>Arrancamento e remoção de canalização, Ø &gt; 60 cm. Exclusive bota-fora</v>
          </cell>
          <cell r="E338"/>
          <cell r="F338" t="str">
            <v>M</v>
          </cell>
          <cell r="G338">
            <v>124.88</v>
          </cell>
          <cell r="H338" t="str">
            <v>-</v>
          </cell>
        </row>
        <row r="339">
          <cell r="A339" t="str">
            <v>DR/0050</v>
          </cell>
          <cell r="B339" t="str">
            <v>COMPOSIÇÃO</v>
          </cell>
          <cell r="C339"/>
          <cell r="D339" t="str">
            <v>Esgotamento de água com bomba submersa (REF. SICRO COD. 2003864)</v>
          </cell>
          <cell r="E339"/>
          <cell r="F339" t="str">
            <v>H</v>
          </cell>
          <cell r="G339">
            <v>22.11</v>
          </cell>
          <cell r="H339" t="str">
            <v>-</v>
          </cell>
        </row>
        <row r="340">
          <cell r="A340"/>
          <cell r="B340"/>
          <cell r="C340"/>
          <cell r="D340"/>
          <cell r="E340"/>
          <cell r="F340"/>
          <cell r="G340"/>
          <cell r="H340"/>
        </row>
        <row r="341">
          <cell r="A341"/>
          <cell r="B341"/>
          <cell r="C341" t="str">
            <v>6.0</v>
          </cell>
          <cell r="D341" t="str">
            <v>MICRO E MACRODRENAGEM - DISPOSITIVOS AUXILIARES</v>
          </cell>
          <cell r="E341"/>
          <cell r="F341"/>
          <cell r="G341"/>
          <cell r="H341" t="str">
            <v/>
          </cell>
        </row>
        <row r="342">
          <cell r="A342">
            <v>92210</v>
          </cell>
          <cell r="B342" t="str">
            <v>SINAPI</v>
          </cell>
          <cell r="C342"/>
          <cell r="D342" t="str">
            <v>Aquisição de tubo de concreto para redes coletoras de águas pluviais, diâmetro nominal de 0,40 m, junta rígida em argamassa 1:3 cimento:areia, instalado em local com baixo nível de interferências - fornecimento e assentamento. AF_12/2015</v>
          </cell>
          <cell r="E342" t="str">
            <v>TUBO DE CONCRETO
baixa Interferência</v>
          </cell>
          <cell r="F342" t="str">
            <v>M</v>
          </cell>
          <cell r="G342">
            <v>183.01</v>
          </cell>
          <cell r="H342" t="str">
            <v>-</v>
          </cell>
        </row>
        <row r="343">
          <cell r="A343">
            <v>92212</v>
          </cell>
          <cell r="B343" t="str">
            <v>SINAPI</v>
          </cell>
          <cell r="C343"/>
          <cell r="D343" t="str">
            <v>Aquisição de tubo de concreto para redes coletoras de águas pluviais, diâmetro nominal de 0,60 m, junta rígida em argamassa 1:3 cimento:areia, instalado em local com baixo nível de interferências - fornecimento e assentamento. AF_12/2015</v>
          </cell>
          <cell r="E343"/>
          <cell r="F343" t="str">
            <v>M</v>
          </cell>
          <cell r="G343">
            <v>329.19</v>
          </cell>
          <cell r="H343" t="str">
            <v>-</v>
          </cell>
        </row>
        <row r="344">
          <cell r="A344">
            <v>92214</v>
          </cell>
          <cell r="B344" t="str">
            <v>SINAPI</v>
          </cell>
          <cell r="C344"/>
          <cell r="D344" t="str">
            <v>Aquisição de tubo de concreto para redes coletoras de águas pluviais, diâmetro nominal de 0,80 m, junta rígida em argamassa 1:3 cimento:areia, instalado em local com baixo nível de interferências - fornecimento e assentamento. Af_12/2015</v>
          </cell>
          <cell r="E344"/>
          <cell r="F344" t="str">
            <v>M</v>
          </cell>
          <cell r="G344">
            <v>523.91999999999996</v>
          </cell>
          <cell r="H344" t="str">
            <v>-</v>
          </cell>
        </row>
        <row r="345">
          <cell r="A345">
            <v>92216</v>
          </cell>
          <cell r="B345" t="str">
            <v>SINAPI</v>
          </cell>
          <cell r="C345"/>
          <cell r="D345" t="str">
            <v>Aquisição de tubo de concreto para redes coletoras de águas pluviais, diâmetro nominal de 1,00 m, junta rígida em argamassa 1:3 cimento:areia, instalado em local com baixo nível de interferências - fornecimento e assentamento. AF_12/2015</v>
          </cell>
          <cell r="E345"/>
          <cell r="F345" t="str">
            <v>M</v>
          </cell>
          <cell r="G345">
            <v>628.19000000000005</v>
          </cell>
          <cell r="H345" t="str">
            <v>-</v>
          </cell>
        </row>
        <row r="346">
          <cell r="A346">
            <v>92219</v>
          </cell>
          <cell r="B346" t="str">
            <v>SINAPI</v>
          </cell>
          <cell r="C346"/>
          <cell r="D346" t="str">
            <v>Aquisição de tubo de concreto para redes coletoras de águas pluviais, diâmetro nominal de 0,40 m, junta rígida em argamassa 1:3 cimento:areia, instalado em local com alto nível de interferências - fornecimento e assentamento. AF_12/2015</v>
          </cell>
          <cell r="E346" t="str">
            <v>TUBO DE CONCRETO
alta Interferência</v>
          </cell>
          <cell r="F346" t="str">
            <v>M</v>
          </cell>
          <cell r="G346">
            <v>192.93</v>
          </cell>
          <cell r="H346" t="str">
            <v>-</v>
          </cell>
        </row>
        <row r="347">
          <cell r="A347">
            <v>92221</v>
          </cell>
          <cell r="B347" t="str">
            <v>SINAPI</v>
          </cell>
          <cell r="C347"/>
          <cell r="D347" t="str">
            <v>Aquisição de tubo de concreto para redes coletoras de águas pluviais, diâmetro nominal de 0,60 m, junta rígida em argamassa 1:3 cimento:areia, instalado em local com alto nível de interferências - fornecimento e assentamento. AF_12/2015</v>
          </cell>
          <cell r="E347"/>
          <cell r="F347" t="str">
            <v>M</v>
          </cell>
          <cell r="G347">
            <v>343.56</v>
          </cell>
          <cell r="H347" t="str">
            <v>-</v>
          </cell>
        </row>
        <row r="348">
          <cell r="A348">
            <v>92223</v>
          </cell>
          <cell r="B348" t="str">
            <v>SINAPI</v>
          </cell>
          <cell r="C348"/>
          <cell r="D348" t="str">
            <v>Aquisição de tubo de concreto para redes coletoras de águas pluviais, diâmetro nominal de 0,80 m, junta rígida em argamassa 1:3 cimento:areia, instalado em local com alto nível de interferências - fornecimento e assentamento. AF_12/2015</v>
          </cell>
          <cell r="E348"/>
          <cell r="F348" t="str">
            <v>M</v>
          </cell>
          <cell r="G348">
            <v>542.61</v>
          </cell>
          <cell r="H348" t="str">
            <v>-</v>
          </cell>
        </row>
        <row r="349">
          <cell r="A349">
            <v>92226</v>
          </cell>
          <cell r="B349" t="str">
            <v>SINAPI</v>
          </cell>
          <cell r="C349"/>
          <cell r="D349" t="str">
            <v>Aquisição de tubo de concreto para redes coletoras de águas pluviais, diâmetro nominal de 1,00 m, junta rígida em argamassa 1:3 cimento:areia, instalado em local com alto nível de interferências - fornecimento e assentamento. AF_12/2015</v>
          </cell>
          <cell r="E349"/>
          <cell r="F349" t="str">
            <v>M</v>
          </cell>
          <cell r="G349">
            <v>651.41</v>
          </cell>
          <cell r="H349" t="str">
            <v>-</v>
          </cell>
        </row>
        <row r="350">
          <cell r="A350">
            <v>7781</v>
          </cell>
          <cell r="B350" t="str">
            <v>SINAPI</v>
          </cell>
          <cell r="C350"/>
          <cell r="D350" t="str">
            <v>Aquisição de tubo de concreto simples para aguas pluviais, classe PS-1, com encaixe ponta e bolsa, diâmetro nominal de 0,40 m (180 kg/m) - Aquisição</v>
          </cell>
          <cell r="E350" t="str">
            <v>TUBO DE CONCRETO
PS-1</v>
          </cell>
          <cell r="F350" t="str">
            <v xml:space="preserve">M     </v>
          </cell>
          <cell r="G350">
            <v>70.900000000000006</v>
          </cell>
          <cell r="H350" t="str">
            <v>-</v>
          </cell>
        </row>
        <row r="351">
          <cell r="A351">
            <v>7791</v>
          </cell>
          <cell r="B351" t="str">
            <v>SINAPI</v>
          </cell>
          <cell r="C351"/>
          <cell r="D351" t="str">
            <v>Aquisição de tubo de concreto simples para aguas pluviais, classe PS-1, com encaixe ponta e bolsa, diâmetro nominal de 0,60 m (347 kg/m) - Aquisição</v>
          </cell>
          <cell r="E351"/>
          <cell r="F351" t="str">
            <v xml:space="preserve">M     </v>
          </cell>
          <cell r="G351">
            <v>126.32</v>
          </cell>
          <cell r="H351" t="str">
            <v>-</v>
          </cell>
        </row>
        <row r="352">
          <cell r="A352">
            <v>7785</v>
          </cell>
          <cell r="B352" t="str">
            <v>SINAPI</v>
          </cell>
          <cell r="C352"/>
          <cell r="D352" t="str">
            <v>Aquisição de tubo de concreto simples para aguas pluviais, classe PS-2, com encaixe ponta e bolsa, diâmetro nominal de 0,40 m - Aquisição</v>
          </cell>
          <cell r="E352" t="str">
            <v>TUBO DE CONCRETO
PS-2</v>
          </cell>
          <cell r="F352" t="str">
            <v xml:space="preserve">M     </v>
          </cell>
          <cell r="G352">
            <v>77.83</v>
          </cell>
          <cell r="H352" t="str">
            <v>-</v>
          </cell>
        </row>
        <row r="353">
          <cell r="A353">
            <v>7793</v>
          </cell>
          <cell r="B353" t="str">
            <v>SINAPI</v>
          </cell>
          <cell r="C353"/>
          <cell r="D353" t="str">
            <v>Aquisição de tubo de concreto simples para aguas pluviais, classe PS-2, com encaixe ponta e bolsa, diâmetro nominal de 0,60 m - Aquisição</v>
          </cell>
          <cell r="E353"/>
          <cell r="F353" t="str">
            <v xml:space="preserve">M     </v>
          </cell>
          <cell r="G353">
            <v>130.37</v>
          </cell>
          <cell r="H353" t="str">
            <v>-</v>
          </cell>
        </row>
        <row r="354">
          <cell r="A354">
            <v>7725</v>
          </cell>
          <cell r="B354" t="str">
            <v>SINAPI</v>
          </cell>
          <cell r="C354"/>
          <cell r="D354" t="str">
            <v>Aquisição de tubo de concreto armado para aguas pluviais, classe PA-1, com encaixe ponta e bolsa, diâmetro nominal de 0,60 m (360 kg/m) - Aquisição</v>
          </cell>
          <cell r="E354" t="str">
            <v>TUBO DE CONCRETO
PA-1</v>
          </cell>
          <cell r="F354" t="str">
            <v xml:space="preserve">M     </v>
          </cell>
          <cell r="G354">
            <v>247</v>
          </cell>
          <cell r="H354" t="str">
            <v>-</v>
          </cell>
        </row>
        <row r="355">
          <cell r="A355">
            <v>7750</v>
          </cell>
          <cell r="B355" t="str">
            <v>SINAPI</v>
          </cell>
          <cell r="C355"/>
          <cell r="D355" t="str">
            <v>Tubo de concreto armado para aguas pluviais, classe PA-1, com encaixe ponta e bolsa, diâmetro nominal de 0,80 m (533,00 kg/m) - Aquisição</v>
          </cell>
          <cell r="E355"/>
          <cell r="F355" t="str">
            <v xml:space="preserve">M     </v>
          </cell>
          <cell r="G355">
            <v>410.97</v>
          </cell>
          <cell r="H355" t="str">
            <v>-</v>
          </cell>
        </row>
        <row r="356">
          <cell r="A356">
            <v>7753</v>
          </cell>
          <cell r="B356" t="str">
            <v>SINAPI</v>
          </cell>
          <cell r="C356"/>
          <cell r="D356" t="str">
            <v>Tubo de concreto armado para aguas pluviais, classe PA-1, com encaixe ponta e bolsa, diâmetro nominal de 1,00 m (800,00 kg/m) - Aquisição</v>
          </cell>
          <cell r="E356"/>
          <cell r="F356" t="str">
            <v xml:space="preserve">M     </v>
          </cell>
          <cell r="G356">
            <v>481.54</v>
          </cell>
          <cell r="H356" t="str">
            <v>-</v>
          </cell>
        </row>
        <row r="357">
          <cell r="A357">
            <v>7757</v>
          </cell>
          <cell r="B357" t="str">
            <v>SINAPI</v>
          </cell>
          <cell r="C357"/>
          <cell r="D357" t="str">
            <v>Tubo de concreto armado para aguas pluviais, classe PA-1, com encaixe ponta e bolsa, diâmetro nominal de 1,20 m (1.133,00 kg/m) - Aquisição</v>
          </cell>
          <cell r="E357"/>
          <cell r="F357" t="str">
            <v xml:space="preserve">M     </v>
          </cell>
          <cell r="G357">
            <v>719.2</v>
          </cell>
          <cell r="H357" t="str">
            <v>-</v>
          </cell>
        </row>
        <row r="358">
          <cell r="A358">
            <v>7758</v>
          </cell>
          <cell r="B358" t="str">
            <v>SINAPI</v>
          </cell>
          <cell r="C358"/>
          <cell r="D358" t="str">
            <v>Tubo de concreto armado para aguas pluviais, classe PA-1, com encaixe ponta e bolsa, diâmetro nominal de 1,50 m (1.933,00 kg/m) - Aquisição</v>
          </cell>
          <cell r="E358"/>
          <cell r="F358" t="str">
            <v xml:space="preserve">M     </v>
          </cell>
          <cell r="G358">
            <v>1041.96</v>
          </cell>
          <cell r="H358" t="str">
            <v>-</v>
          </cell>
        </row>
        <row r="359">
          <cell r="A359">
            <v>7759</v>
          </cell>
          <cell r="B359" t="str">
            <v>SINAPI</v>
          </cell>
          <cell r="C359"/>
          <cell r="D359" t="str">
            <v>Tubo de concreto armado para aguas pluviais, classe PA-1, com encaixe ponta e bolsa, diâmetro nominal de 2,00 m - Aquisição</v>
          </cell>
          <cell r="E359"/>
          <cell r="F359" t="str">
            <v xml:space="preserve">M     </v>
          </cell>
          <cell r="G359">
            <v>2887.28</v>
          </cell>
          <cell r="H359" t="str">
            <v>-</v>
          </cell>
        </row>
        <row r="360">
          <cell r="A360">
            <v>7762</v>
          </cell>
          <cell r="B360" t="str">
            <v>SINAPI</v>
          </cell>
          <cell r="C360"/>
          <cell r="D360" t="str">
            <v>Tubo de concreto armado para aguas pluviais, classe PA-2, com encaixe ponta e bolsa, diâmetro nominal de 0,60 m (373,00 kg/m) - Aquisição</v>
          </cell>
          <cell r="E360" t="str">
            <v>TUBO DE CONCRETO
PA-2</v>
          </cell>
          <cell r="F360" t="str">
            <v xml:space="preserve">M     </v>
          </cell>
          <cell r="G360">
            <v>214.3</v>
          </cell>
          <cell r="H360" t="str">
            <v>-</v>
          </cell>
        </row>
        <row r="361">
          <cell r="A361">
            <v>7763</v>
          </cell>
          <cell r="B361" t="str">
            <v>SINAPI</v>
          </cell>
          <cell r="C361"/>
          <cell r="D361" t="str">
            <v>Tubo de concreto armado para aguas pluviais, classe PA-2, com encaixe ponta e bolsa, diâmetro nominal de 0,80 m (620,00 kg/m) - Aquisição</v>
          </cell>
          <cell r="E361"/>
          <cell r="F361" t="str">
            <v xml:space="preserve">M     </v>
          </cell>
          <cell r="G361">
            <v>399.55</v>
          </cell>
          <cell r="H361" t="str">
            <v>-</v>
          </cell>
        </row>
        <row r="362">
          <cell r="A362">
            <v>7765</v>
          </cell>
          <cell r="B362" t="str">
            <v>SINAPI</v>
          </cell>
          <cell r="C362"/>
          <cell r="D362" t="str">
            <v>Tubo de concreto armado para aguas pluviais, classe PA-2, com encaixe ponta e bolsa, diâmetro nominal de 1,00 m (900,00 kg/m) - Aquisição</v>
          </cell>
          <cell r="E362"/>
          <cell r="F362" t="str">
            <v xml:space="preserve">M     </v>
          </cell>
          <cell r="G362">
            <v>529.28</v>
          </cell>
          <cell r="H362" t="str">
            <v>-</v>
          </cell>
        </row>
        <row r="363">
          <cell r="A363">
            <v>7766</v>
          </cell>
          <cell r="B363" t="str">
            <v>SINAPI</v>
          </cell>
          <cell r="C363"/>
          <cell r="D363" t="str">
            <v>Tubo de concreto armado para aguas pluviais, classe PA-2, com encaixe ponta e bolsa, diâmetro nominal de 1,20 m (1.333,00 kg/m) - Aquisição</v>
          </cell>
          <cell r="E363"/>
          <cell r="F363" t="str">
            <v xml:space="preserve">M     </v>
          </cell>
          <cell r="G363">
            <v>776.28</v>
          </cell>
          <cell r="H363" t="str">
            <v>-</v>
          </cell>
        </row>
        <row r="364">
          <cell r="A364">
            <v>7767</v>
          </cell>
          <cell r="B364" t="str">
            <v>SINAPI</v>
          </cell>
          <cell r="C364"/>
          <cell r="D364" t="str">
            <v>Tubo de concreto armado para aguas pluviais, classe PA-2, com encaixe ponta e bolsa, diâmetro nominal de 1,50 m (2.253,00 kg/m) - Aquisição</v>
          </cell>
          <cell r="E364"/>
          <cell r="F364" t="str">
            <v xml:space="preserve">M     </v>
          </cell>
          <cell r="G364">
            <v>1114.6099999999999</v>
          </cell>
          <cell r="H364" t="str">
            <v>-</v>
          </cell>
        </row>
        <row r="365">
          <cell r="A365">
            <v>7767</v>
          </cell>
          <cell r="B365" t="str">
            <v>SINAPI</v>
          </cell>
          <cell r="C365"/>
          <cell r="D365" t="str">
            <v>Tubo de concreto armado para aguas pluviais, classe PA-2, com encaixe ponta e bolsa, diâmetro nominal de 2,00 m - Aquisição</v>
          </cell>
          <cell r="E365"/>
          <cell r="F365" t="str">
            <v xml:space="preserve">M     </v>
          </cell>
          <cell r="G365">
            <v>1114.6099999999999</v>
          </cell>
          <cell r="H365" t="str">
            <v>-</v>
          </cell>
        </row>
        <row r="366">
          <cell r="A366">
            <v>92809</v>
          </cell>
          <cell r="B366" t="str">
            <v>SINAPI</v>
          </cell>
          <cell r="C366">
            <v>4.4000000000000004</v>
          </cell>
          <cell r="D366" t="str">
            <v>Assentamento de tubo de concreto para redes coletoras de águas pluviais, diâmetro nominal de 0,40 m, junta rígida em argamassa 1:3 cimento:areia, instalado em local com baixo nível de interferências (não inclui fornecimento). AF_12/2015</v>
          </cell>
          <cell r="E366" t="str">
            <v>TUBO DE CONCRETO
baixa Interferência</v>
          </cell>
          <cell r="F366" t="str">
            <v>M</v>
          </cell>
          <cell r="G366">
            <v>51.54</v>
          </cell>
          <cell r="H366" t="str">
            <v>-</v>
          </cell>
        </row>
        <row r="367">
          <cell r="A367">
            <v>92811</v>
          </cell>
          <cell r="B367" t="str">
            <v>SINAPI</v>
          </cell>
          <cell r="C367">
            <v>3.1</v>
          </cell>
          <cell r="D367" t="str">
            <v>Assentamento de tubo de concreto para redes coletoras de águas pluviais, diâmetro nominal de 0,60 m, junta rígida em argamassa 1:3 cimento:areia, instalado em local com baixo nível de interferências (não inclui fornecimento). AF_12/2015</v>
          </cell>
          <cell r="E367"/>
          <cell r="F367" t="str">
            <v>M</v>
          </cell>
          <cell r="G367">
            <v>74.78</v>
          </cell>
          <cell r="H367" t="str">
            <v>-</v>
          </cell>
        </row>
        <row r="368">
          <cell r="A368">
            <v>92813</v>
          </cell>
          <cell r="B368" t="str">
            <v>SINAPI</v>
          </cell>
          <cell r="C368">
            <v>2.4</v>
          </cell>
          <cell r="D368" t="str">
            <v>Assentamento de tubo de concreto para redes coletoras de águas pluviais, diâmetro nominal de 0,80 m, junta rígida em argamassa 1:3 cimento:areia, instalado em local com baixo nível de interferências (não inclui fornecimento). AF_12/2015</v>
          </cell>
          <cell r="E368"/>
          <cell r="F368" t="str">
            <v>M</v>
          </cell>
          <cell r="G368">
            <v>100.63</v>
          </cell>
          <cell r="H368" t="str">
            <v>-</v>
          </cell>
        </row>
        <row r="369">
          <cell r="A369">
            <v>92815</v>
          </cell>
          <cell r="B369" t="str">
            <v>SINAPI</v>
          </cell>
          <cell r="C369">
            <v>1.9</v>
          </cell>
          <cell r="D369" t="str">
            <v>Assentamento de tubo de concreto para redes coletoras de águas pluviais, diâmetro nominal de 1,00 m, junta rígida em argamassa 1:3 cimento:areia, instalado em local com baixo nível de interferências (não inclui fornecimento). AF_12/2015</v>
          </cell>
          <cell r="E369"/>
          <cell r="F369" t="str">
            <v>M</v>
          </cell>
          <cell r="G369">
            <v>132.21</v>
          </cell>
          <cell r="H369" t="str">
            <v>-</v>
          </cell>
        </row>
        <row r="370">
          <cell r="A370">
            <v>92817</v>
          </cell>
          <cell r="B370" t="str">
            <v>SINAPI</v>
          </cell>
          <cell r="C370">
            <v>1.5</v>
          </cell>
          <cell r="D370" t="str">
            <v>Assentamento de tubo de concreto para redes coletoras de águas pluviais, diâmetro nominal de 1,20 m, junta rígida em argamassa 1:3 cimento:areia, instalado em local com baixo nível de interferências (não inclui fornecimento). AF_12/2015</v>
          </cell>
          <cell r="E370"/>
          <cell r="F370" t="str">
            <v>M</v>
          </cell>
          <cell r="G370">
            <v>165.44</v>
          </cell>
          <cell r="H370" t="str">
            <v>-</v>
          </cell>
        </row>
        <row r="371">
          <cell r="A371">
            <v>92819</v>
          </cell>
          <cell r="B371" t="str">
            <v>SINAPI</v>
          </cell>
          <cell r="C371">
            <v>1.1000000000000001</v>
          </cell>
          <cell r="D371" t="str">
            <v>Assentamento de tubo de concreto para redes coletoras de águas pluviais, diâmetro nominal de 1,50 m, junta rígida em argamassa 1:3 cimento:areia, instalado em local com baixo nível de interferências (não inclui fornecimento). AF_12/2015</v>
          </cell>
          <cell r="E371"/>
          <cell r="F371" t="str">
            <v>M</v>
          </cell>
          <cell r="G371">
            <v>222.69</v>
          </cell>
          <cell r="H371" t="str">
            <v>-</v>
          </cell>
        </row>
        <row r="372">
          <cell r="A372">
            <v>92821</v>
          </cell>
          <cell r="B372" t="str">
            <v>SINAPI</v>
          </cell>
          <cell r="C372">
            <v>3.7</v>
          </cell>
          <cell r="D372" t="str">
            <v>Assentamento de tubo de concreto para redes coletoras de águas pluviais, diâmetro nominal de 0,40 m, junta rígida em argamassa 1:3 cimento:areia, instalado em local com alto nível de interferências (não inclui fornecimento). AF_12/2015</v>
          </cell>
          <cell r="E372" t="str">
            <v xml:space="preserve">TUBO DE CONCRETO
alta Interferência </v>
          </cell>
          <cell r="F372" t="str">
            <v>M</v>
          </cell>
          <cell r="G372">
            <v>61.46</v>
          </cell>
          <cell r="H372" t="str">
            <v>-</v>
          </cell>
        </row>
        <row r="373">
          <cell r="A373">
            <v>92824</v>
          </cell>
          <cell r="B373" t="str">
            <v>SINAPI</v>
          </cell>
          <cell r="C373">
            <v>2.6</v>
          </cell>
          <cell r="D373" t="str">
            <v>Assentamento de tubo de concreto para redes coletoras de águas pluviais, diâmetro nominal de 0,60 m, junta rígida em argamassa 1:3 cimento:areia, instalado em local com alto nível de interferências (não inclui fornecimento). AF_12/2015</v>
          </cell>
          <cell r="E373"/>
          <cell r="F373" t="str">
            <v>M</v>
          </cell>
          <cell r="G373">
            <v>89.15</v>
          </cell>
          <cell r="H373" t="str">
            <v>-</v>
          </cell>
        </row>
        <row r="374">
          <cell r="A374">
            <v>92826</v>
          </cell>
          <cell r="B374" t="str">
            <v>SINAPI</v>
          </cell>
          <cell r="C374">
            <v>2</v>
          </cell>
          <cell r="D374" t="str">
            <v>Assentamento de tubo de concreto para redes coletoras de águas pluviais, diâmetro nominal de 0,80 m, junta rígida em argamassa 1:3 cimento:areia, instalado em local com alto nível de interferências (não inclui fornecimento). AF_12/2015</v>
          </cell>
          <cell r="E374"/>
          <cell r="F374" t="str">
            <v>M</v>
          </cell>
          <cell r="G374">
            <v>119.32</v>
          </cell>
          <cell r="H374" t="str">
            <v>-</v>
          </cell>
        </row>
        <row r="375">
          <cell r="A375">
            <v>92828</v>
          </cell>
          <cell r="B375" t="str">
            <v>SINAPI</v>
          </cell>
          <cell r="C375">
            <v>1.6</v>
          </cell>
          <cell r="D375" t="str">
            <v>Assentamento de tubo de concreto para redes coletoras de águas pluviais, diâmetro nominal de 1,00 m, junta rígida em argamassa 1:3 cimento:areia, instalado em local com alto nível de interferências (não inclui fornecimento). AF_12/2015</v>
          </cell>
          <cell r="E375"/>
          <cell r="F375" t="str">
            <v>M</v>
          </cell>
          <cell r="G375">
            <v>155.43</v>
          </cell>
          <cell r="H375" t="str">
            <v>-</v>
          </cell>
        </row>
        <row r="376">
          <cell r="A376">
            <v>92830</v>
          </cell>
          <cell r="B376" t="str">
            <v>SINAPI</v>
          </cell>
          <cell r="C376">
            <v>1.3</v>
          </cell>
          <cell r="D376" t="str">
            <v>Assentamento de tubo de concreto para redes coletoras de águas pluviais, diâmetro nominal de 1,20 m, junta rígida em argamassa 1:3 cimento:areia, instalado em local com alto nível de interferências (não inclui fornecimento). AF_12/2015</v>
          </cell>
          <cell r="E376"/>
          <cell r="F376" t="str">
            <v>M</v>
          </cell>
          <cell r="G376">
            <v>192.8</v>
          </cell>
          <cell r="H376" t="str">
            <v>-</v>
          </cell>
        </row>
        <row r="377">
          <cell r="A377">
            <v>92832</v>
          </cell>
          <cell r="B377" t="str">
            <v>SINAPI</v>
          </cell>
          <cell r="C377">
            <v>1</v>
          </cell>
          <cell r="D377" t="str">
            <v>Assentamento de tubo de concreto para redes coletoras de águas pluviais, diâmetro nominal de 1,50 m, junta rígida em argamassa 1:3 cimento:areia, instalado em local com alto nível de interferências (não inclui fornecimento). AF_12/2015</v>
          </cell>
          <cell r="E377"/>
          <cell r="F377" t="str">
            <v>M</v>
          </cell>
          <cell r="G377">
            <v>256.3</v>
          </cell>
          <cell r="H377" t="str">
            <v>-</v>
          </cell>
        </row>
        <row r="378">
          <cell r="A378">
            <v>94869</v>
          </cell>
          <cell r="B378" t="str">
            <v>SINAPI</v>
          </cell>
          <cell r="C378"/>
          <cell r="D378" t="str">
            <v>Aquisição de tubo de PEAD corrugado com parede estruturada para drenagem de águas pluviais, DN/DI 0,25 m, PEAD com encaixe ponta e bolsa – JEI, parede dupla, interna lisa - fornecimento e assentamento. AF_01/2021</v>
          </cell>
          <cell r="E378"/>
          <cell r="F378" t="str">
            <v>M</v>
          </cell>
          <cell r="G378">
            <v>152.19</v>
          </cell>
          <cell r="H378" t="str">
            <v>-</v>
          </cell>
        </row>
        <row r="379">
          <cell r="A379">
            <v>94871</v>
          </cell>
          <cell r="B379" t="str">
            <v>SINAPI</v>
          </cell>
          <cell r="C379"/>
          <cell r="D379" t="str">
            <v>Aquisição de tubo de PEAD corrugado com parede estruturada para drenagem de águas pluviais, DN/DI 0,30 m, PEAD com encaixe ponta e bolsa – JEI, parede dupla, interna lisa - fornecimento e assentamento. AF_01/2021</v>
          </cell>
          <cell r="E379"/>
          <cell r="F379" t="str">
            <v>M</v>
          </cell>
          <cell r="G379">
            <v>238.11</v>
          </cell>
          <cell r="H379" t="str">
            <v>-</v>
          </cell>
        </row>
        <row r="380">
          <cell r="A380">
            <v>90708</v>
          </cell>
          <cell r="B380" t="str">
            <v>SINAPI</v>
          </cell>
          <cell r="C380">
            <v>90723</v>
          </cell>
          <cell r="D380" t="str">
            <v>Aquisição de tubo de PEAD corrugado com parede estruturada para drenagem de águas pluviais, DN/DI 0,60 m, PEAD com encaixe ponta e bolsa – JEI, parede dupla, interna lisa - fornecimento e assentamento. AF_01/2021</v>
          </cell>
          <cell r="E380"/>
          <cell r="F380" t="str">
            <v>M</v>
          </cell>
          <cell r="G380">
            <v>861.07</v>
          </cell>
          <cell r="H380" t="str">
            <v>-</v>
          </cell>
        </row>
        <row r="381">
          <cell r="A381">
            <v>94875</v>
          </cell>
          <cell r="B381" t="str">
            <v>SINAPI</v>
          </cell>
          <cell r="C381">
            <v>94891</v>
          </cell>
          <cell r="D381" t="str">
            <v>Aquisição de tubo de PEAD corrugado com parede estruturada para drenagem de águas pluviais, DN/DI 0,75 m, PEAD com encaixe ponta e bolsa – JEI, parede dupla, interna lisa - fornecimento e assentamento. AF_01/2021</v>
          </cell>
          <cell r="E381"/>
          <cell r="F381" t="str">
            <v>M</v>
          </cell>
          <cell r="G381">
            <v>1398.45</v>
          </cell>
          <cell r="H381" t="str">
            <v>-</v>
          </cell>
        </row>
        <row r="382">
          <cell r="A382">
            <v>94879</v>
          </cell>
          <cell r="B382" t="str">
            <v>SINAPI</v>
          </cell>
          <cell r="C382">
            <v>94895</v>
          </cell>
          <cell r="D382" t="str">
            <v>Aquisição de tubo de PEAD corrugado com parede estruturada para drenagem de águas pluviais, DN/DI 1,00 m, PEAD com encaixe ponta e bolsa – JEI, parede dupla, interna lisa - fornecimento e assentamento. AF_06/2016</v>
          </cell>
          <cell r="E382"/>
          <cell r="F382" t="str">
            <v>M</v>
          </cell>
          <cell r="G382">
            <v>2153.13</v>
          </cell>
          <cell r="H382" t="str">
            <v>-</v>
          </cell>
        </row>
        <row r="383">
          <cell r="A383">
            <v>94881</v>
          </cell>
          <cell r="B383" t="str">
            <v>SINAPI</v>
          </cell>
          <cell r="C383">
            <v>94897</v>
          </cell>
          <cell r="D383" t="str">
            <v>Aquisição de tubo de PEAD corrugado com parede estruturada para drenagem de águas pluviais, DN/DI 1,20 m, PEAD com encaixe ponta e bolsa – JEI, parede dupla, interna lisa - fornecimento e assentamento. AF_06/2016</v>
          </cell>
          <cell r="E383"/>
          <cell r="F383" t="str">
            <v>M</v>
          </cell>
          <cell r="G383">
            <v>2966.29</v>
          </cell>
          <cell r="H383" t="str">
            <v>-</v>
          </cell>
        </row>
        <row r="384">
          <cell r="A384">
            <v>41781</v>
          </cell>
          <cell r="B384" t="str">
            <v>SINAPI</v>
          </cell>
          <cell r="C384"/>
          <cell r="D384" t="str">
            <v>Aquisição de tubo de PEAD corrugado com parede estruturada para drenagem de águas pluviais, DN/DI *0,40* m (*48* kg/6 m); PEAD virgem, para rede de drenagem, com encaixe ponta e bolsa – JEI, parede dupla, interna lisa, conforme norma DNIT 094/2014</v>
          </cell>
          <cell r="E384"/>
          <cell r="F384" t="str">
            <v xml:space="preserve">M     </v>
          </cell>
          <cell r="G384">
            <v>362.98</v>
          </cell>
          <cell r="H384" t="str">
            <v>-</v>
          </cell>
        </row>
        <row r="385">
          <cell r="A385">
            <v>41782</v>
          </cell>
          <cell r="B385" t="str">
            <v>SINAPI</v>
          </cell>
          <cell r="C385"/>
          <cell r="D385" t="str">
            <v>Aquisição de tubo de PEAD corrugado com parede estruturada para drenagem de águas pluviais, DN/DI 0,60 m (100 kg/6 m); PEAD virgem, para rede de drenagem, com encaixe ponta e bolsa – JEI, parede dupla, interna lisa, conforme norma DNIT 094/2014</v>
          </cell>
          <cell r="E385"/>
          <cell r="F385" t="str">
            <v xml:space="preserve">M     </v>
          </cell>
          <cell r="G385">
            <v>802.29</v>
          </cell>
          <cell r="H385" t="str">
            <v>-</v>
          </cell>
        </row>
        <row r="386">
          <cell r="A386">
            <v>41783</v>
          </cell>
          <cell r="B386" t="str">
            <v>SINAPI</v>
          </cell>
          <cell r="C386"/>
          <cell r="D386" t="str">
            <v>Aquisição de tubo de PEAD corrugado com parede estruturada para drenagem de águas pluviais, DN/DI *0,80* m (*174* kg/6 m); PEAD virgem, para rede de drenagem, com encaixe ponta e bolsa – JEI, parede dupla, interna lisa, conforme norma DNIT 094/2014</v>
          </cell>
          <cell r="E386"/>
          <cell r="F386" t="str">
            <v xml:space="preserve">M     </v>
          </cell>
          <cell r="G386">
            <v>1304.96</v>
          </cell>
          <cell r="H386" t="str">
            <v>-</v>
          </cell>
        </row>
        <row r="387">
          <cell r="A387">
            <v>41785</v>
          </cell>
          <cell r="B387" t="str">
            <v>SINAPI</v>
          </cell>
          <cell r="C387"/>
          <cell r="D387" t="str">
            <v>Aquisição de tubo de PEAD corrugado com parede estruturada para drenagem de águas pluviais, DN/DI *1,00* m (*230* kg/6 m); PEAD virgem, para rede de drenagem, com encaixe ponta e bolsa – JEI, parede dupla, interna lisa, conforme norma DNIT 094/2014</v>
          </cell>
          <cell r="E387"/>
          <cell r="F387" t="str">
            <v xml:space="preserve">M     </v>
          </cell>
          <cell r="G387">
            <v>2010.26</v>
          </cell>
          <cell r="H387" t="str">
            <v>-</v>
          </cell>
        </row>
        <row r="388">
          <cell r="A388">
            <v>41786</v>
          </cell>
          <cell r="B388" t="str">
            <v>SINAPI</v>
          </cell>
          <cell r="C388"/>
          <cell r="D388" t="str">
            <v>Aquisição de tubo de PEAD corrugado com parede estruturada para drenagem de águas pluviais, DN/DI 1,20 m (293 kg/6 m); PEAD virgem, para rede de drenagem, com encaixe ponta e bolsa – JEI, parede dupla, interna lisa, conforme norma DNIT 094/2014</v>
          </cell>
          <cell r="E388"/>
          <cell r="F388" t="str">
            <v xml:space="preserve">M     </v>
          </cell>
          <cell r="G388">
            <v>2778.3</v>
          </cell>
          <cell r="H388" t="str">
            <v>-</v>
          </cell>
        </row>
        <row r="389">
          <cell r="A389" t="str">
            <v>DR/0700</v>
          </cell>
          <cell r="B389" t="str">
            <v>COTAÇÃO - SICRO</v>
          </cell>
          <cell r="D389" t="str">
    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    </cell>
          <cell r="E389" t="str">
            <v>M0131</v>
          </cell>
          <cell r="F389" t="str">
            <v>m</v>
          </cell>
          <cell r="G389">
            <v>205.90530000000001</v>
          </cell>
          <cell r="H389" t="str">
            <v>-</v>
          </cell>
        </row>
        <row r="390">
          <cell r="A390" t="str">
            <v>DR/0710</v>
          </cell>
          <cell r="B390" t="str">
            <v>COTAÇÃO - SICRO</v>
          </cell>
          <cell r="D390" t="str">
    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    </cell>
          <cell r="E390" t="str">
            <v>M0133</v>
          </cell>
          <cell r="F390" t="str">
            <v>m</v>
          </cell>
          <cell r="G390">
            <v>338.03089999999997</v>
          </cell>
          <cell r="H390" t="str">
            <v>-</v>
          </cell>
        </row>
        <row r="391">
          <cell r="A391" t="str">
            <v>DR/0720</v>
          </cell>
          <cell r="B391" t="str">
            <v>COTAÇÃO - SICRO</v>
          </cell>
          <cell r="D391" t="str">
    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    </cell>
          <cell r="E391" t="str">
            <v>M0134</v>
          </cell>
          <cell r="F391" t="str">
            <v>m</v>
          </cell>
          <cell r="G391">
            <v>493.61329999999998</v>
          </cell>
          <cell r="H391" t="str">
            <v>-</v>
          </cell>
        </row>
        <row r="392">
          <cell r="A392" t="str">
            <v>DR/0730</v>
          </cell>
          <cell r="B392" t="str">
            <v>COTAÇÃO - SICRO</v>
          </cell>
          <cell r="D392" t="str">
    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    </cell>
          <cell r="E392" t="str">
            <v>M0135</v>
          </cell>
          <cell r="F392" t="str">
            <v>m</v>
          </cell>
          <cell r="G392">
            <v>683.87049999999999</v>
          </cell>
          <cell r="H392" t="str">
            <v>-</v>
          </cell>
        </row>
        <row r="393">
          <cell r="A393" t="str">
            <v>DR/0735</v>
          </cell>
          <cell r="B393" t="str">
            <v>COTAÇÃO - SICRO</v>
          </cell>
          <cell r="D393" t="str">
    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    </cell>
          <cell r="E393" t="str">
            <v>M0136</v>
          </cell>
          <cell r="F393" t="str">
            <v>m</v>
          </cell>
          <cell r="G393">
            <v>721.16010000000006</v>
          </cell>
          <cell r="H393" t="str">
            <v>-</v>
          </cell>
        </row>
        <row r="394">
          <cell r="A394" t="str">
            <v>DR/0740</v>
          </cell>
          <cell r="B394" t="str">
            <v>COTAÇÃO - SICRO</v>
          </cell>
          <cell r="D394" t="str">
    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    </cell>
          <cell r="E394" t="str">
            <v>M0137</v>
          </cell>
          <cell r="F394" t="str">
            <v>m</v>
          </cell>
          <cell r="G394">
            <v>923.12440000000004</v>
          </cell>
          <cell r="H394" t="str">
            <v>-</v>
          </cell>
        </row>
        <row r="395">
          <cell r="A395" t="str">
            <v>DR/0750</v>
          </cell>
          <cell r="B395" t="str">
            <v>COTAÇÃO - SICRO</v>
          </cell>
          <cell r="D395" t="str">
    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    </cell>
          <cell r="E395" t="str">
            <v>M0139</v>
          </cell>
          <cell r="F395" t="str">
            <v>m</v>
          </cell>
          <cell r="G395">
            <v>1285.0968</v>
          </cell>
          <cell r="H395" t="str">
            <v>-</v>
          </cell>
        </row>
        <row r="396">
          <cell r="A396" t="str">
            <v>DR/0760</v>
          </cell>
          <cell r="B396" t="str">
            <v>COTAÇÃO - SICRO</v>
          </cell>
          <cell r="D396" t="str">
    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    </cell>
          <cell r="E396" t="str">
            <v>M0142</v>
          </cell>
          <cell r="F396" t="str">
            <v>m</v>
          </cell>
          <cell r="G396">
            <v>1705.635</v>
          </cell>
          <cell r="H396" t="str">
            <v>-</v>
          </cell>
        </row>
        <row r="397">
          <cell r="A397" t="str">
            <v>DR/0770</v>
          </cell>
          <cell r="B397" t="str">
            <v>COTAÇÃO - SICRO</v>
          </cell>
          <cell r="D397" t="str">
    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    </cell>
          <cell r="E397" t="str">
            <v>M0143</v>
          </cell>
          <cell r="F397" t="str">
            <v>m</v>
          </cell>
          <cell r="G397">
            <v>2204.8613999999998</v>
          </cell>
          <cell r="H397" t="str">
            <v>-</v>
          </cell>
        </row>
        <row r="398">
          <cell r="A398" t="str">
            <v>SEL -100</v>
          </cell>
          <cell r="B398" t="str">
            <v>COTAÇÃO - SEL</v>
          </cell>
          <cell r="C398"/>
          <cell r="D398" t="str">
            <v>Aquisição de Tubo PEAD com paredes estruturadas para drenagem - D = 400 mm (48 kg/6 m); DN/DI, em PEAD virgem para rede de drenagem, ponta e bolsa – JEI, parede dupla, interna lisa, conforme norma DNIT 094/2014 (REF. SICRO COD. M0131). Posto Três Lagoas/MS.</v>
          </cell>
          <cell r="E398" t="str">
            <v>SEL -100</v>
          </cell>
          <cell r="F398" t="str">
            <v>M</v>
          </cell>
          <cell r="G398">
            <v>0</v>
          </cell>
          <cell r="H398" t="str">
            <v>ERRO</v>
          </cell>
        </row>
        <row r="399">
          <cell r="A399" t="str">
            <v>SEL -101</v>
          </cell>
          <cell r="B399" t="str">
            <v>COTAÇÃO - SEL</v>
          </cell>
          <cell r="C399"/>
          <cell r="D399" t="str">
            <v>Aquisição de Tubo PEAD com paredes estruturadas para drenagem - D = 600 mm (100 kg/6 m); DN/DI, em PEAD virgem para rede de drenagem, ponta e bolsa – JEI, parede dupla, interna lisa, conforme norma DNIT 094/2014 (REF. SICRO COD. M0134)Posto Três Lagoas/MS.</v>
          </cell>
          <cell r="E399" t="str">
            <v>SEL -101</v>
          </cell>
          <cell r="F399" t="str">
            <v>M</v>
          </cell>
          <cell r="G399" t="e">
            <v>#DIV/0!</v>
          </cell>
          <cell r="H399" t="str">
            <v>VER COMP</v>
          </cell>
        </row>
        <row r="400">
          <cell r="A400" t="str">
            <v>SEL -102</v>
          </cell>
          <cell r="B400" t="str">
            <v>COTAÇÃO - SEL</v>
          </cell>
          <cell r="C400"/>
          <cell r="D400" t="str">
            <v>Aquisição de Tubo PEAD com paredes estruturadas para drenagem - D = 750 mm (142 kg/6 m); DN/DI, em PEAD virgem para rede de drenagem, ponta e bolsa – JEI, parede dupla, interna lisa, conforme norma DNIT 094/2014 (REF. SICRO COD. M0135) Posto Três Lagoas/MS.</v>
          </cell>
          <cell r="E400" t="str">
            <v>SEL -102</v>
          </cell>
          <cell r="F400" t="str">
            <v>M</v>
          </cell>
          <cell r="G400" t="e">
            <v>#DIV/0!</v>
          </cell>
          <cell r="H400" t="str">
            <v>VER COMP</v>
          </cell>
        </row>
        <row r="401">
          <cell r="A401" t="str">
            <v>SEL -103</v>
          </cell>
          <cell r="B401" t="str">
            <v>COTAÇÃO - SEL</v>
          </cell>
          <cell r="C401"/>
          <cell r="D401" t="str">
            <v>Aquisição de Tubo PEAD com paredes estruturadas para drenagem - D = 900 mm (195 kg /6 m); DN/DI, em PEAD virgem para rede de drenagem, ponta e bolsa – JEI, parede dupla, interna lisa, conforme norma DNIT 094/2014 (REF. SICRO COD. M0137) Posto Três Lagoas/MS.</v>
          </cell>
          <cell r="E401" t="str">
            <v>SEL -103</v>
          </cell>
          <cell r="F401" t="str">
            <v>M</v>
          </cell>
          <cell r="G401" t="e">
            <v>#DIV/0!</v>
          </cell>
          <cell r="H401" t="str">
            <v>VER COMP</v>
          </cell>
        </row>
        <row r="402">
          <cell r="A402" t="str">
            <v>SEL -104</v>
          </cell>
          <cell r="B402" t="str">
            <v>COTAÇÃO - SEL</v>
          </cell>
          <cell r="C402"/>
          <cell r="D402" t="str">
            <v>Aquisição de Tubo PEAD com paredes estruturadas para drenagem - D = 1.000 mm (230 kg /6 m); DN/DI, em PEAD virgem para rede de drenagem, ponta e bolsa – JEI, parede dupla, interna lisa, conforme norma DNIT 094/2014 (REF. SICRO COD. M0139).Posto Três Lagoas/MS.</v>
          </cell>
          <cell r="E402" t="str">
            <v>SEL -104</v>
          </cell>
          <cell r="F402" t="str">
            <v>M</v>
          </cell>
          <cell r="G402" t="e">
            <v>#DIV/0!</v>
          </cell>
          <cell r="H402" t="str">
            <v>VER COMP</v>
          </cell>
        </row>
        <row r="403">
          <cell r="A403" t="str">
            <v>SEL -105</v>
          </cell>
          <cell r="B403" t="str">
            <v>COTAÇÃO - SEL</v>
          </cell>
          <cell r="C403"/>
          <cell r="D403" t="str">
            <v>Aquisição de Tubo PEAD com paredes estruturadas para drenagem - D = 1.200 mm (293 kg /6 m); DN/DI, em PEAD virgem para rede de drenagem, ponta e bolsa – JEI, parede dupla, interna lisa, conforme norma DNIT 094/2014 (REF. SICRO COD. M0142). Posto Três Lagoas/MS.</v>
          </cell>
          <cell r="E403" t="str">
            <v>SEL -105</v>
          </cell>
          <cell r="F403" t="str">
            <v>M</v>
          </cell>
          <cell r="G403" t="e">
            <v>#DIV/0!</v>
          </cell>
          <cell r="H403" t="str">
            <v>VER COMP</v>
          </cell>
        </row>
        <row r="404">
          <cell r="A404" t="str">
            <v>SEL -106</v>
          </cell>
          <cell r="B404" t="str">
            <v>COTAÇÃO - SEL</v>
          </cell>
          <cell r="C404"/>
          <cell r="D404" t="str">
            <v>Aquisição de Tubo PEAD com paredes estruturadas para drenagem - D = 1.500 mm (400 kg /6 m); DN/DI, em PEAD virgem para rede de drenagem, ponta e bolsa – JEI, parede dupla, interna lisa, conforme norma DNIT 094/2014 (REF. SICRO COD. M0143) Posto Três Lagoas/MS.</v>
          </cell>
          <cell r="E404" t="str">
            <v>SEL -106</v>
          </cell>
          <cell r="F404" t="str">
            <v>M</v>
          </cell>
          <cell r="G404" t="e">
            <v>#DIV/0!</v>
          </cell>
          <cell r="H404" t="str">
            <v>VER COMP</v>
          </cell>
        </row>
        <row r="405">
          <cell r="A405" t="str">
            <v>SEL -120</v>
          </cell>
          <cell r="B405" t="str">
            <v>COTAÇÃO - SEL</v>
          </cell>
          <cell r="C405"/>
          <cell r="D405" t="str">
            <v>Tubo de concreto simples, D = 0,40m (180kg/m), PB, Classe PS-1, aquisição. Posto Três Lagoas/MS.</v>
          </cell>
          <cell r="E405" t="str">
            <v>SEL -120</v>
          </cell>
          <cell r="F405" t="str">
            <v>M</v>
          </cell>
          <cell r="G405">
            <v>0</v>
          </cell>
          <cell r="H405" t="str">
            <v>ERRO</v>
          </cell>
        </row>
        <row r="406">
          <cell r="A406" t="str">
            <v>SEL -121</v>
          </cell>
          <cell r="B406" t="str">
            <v>COTAÇÃO - SEL</v>
          </cell>
          <cell r="C406"/>
          <cell r="D406" t="str">
            <v>Tubo de concreto simples, D = 0,60m (347kg/m), PB, Classe PS-1, aquisição. Posto Três Lagoas/MS.</v>
          </cell>
          <cell r="E406" t="str">
            <v>SEL -121</v>
          </cell>
          <cell r="F406" t="str">
            <v>M</v>
          </cell>
          <cell r="G406">
            <v>0</v>
          </cell>
          <cell r="H406" t="str">
            <v>ERRO</v>
          </cell>
        </row>
        <row r="407">
          <cell r="A407" t="str">
            <v>SEL -122</v>
          </cell>
          <cell r="B407" t="str">
            <v>COTAÇÃO - SEL</v>
          </cell>
          <cell r="C407"/>
          <cell r="D407" t="str">
            <v>Tubo de concreto armado para aguas pluviais, classe PA-1, com encaixe ponta e bolsa, diametro nominal de 0,80 m (533 kg/m) - Aquisição. Posto Três Lagoas/MS.</v>
          </cell>
          <cell r="E407" t="str">
            <v>SEL -122</v>
          </cell>
          <cell r="F407" t="str">
            <v>M</v>
          </cell>
          <cell r="G407">
            <v>0</v>
          </cell>
          <cell r="H407" t="str">
            <v>ERRO</v>
          </cell>
        </row>
        <row r="408">
          <cell r="A408" t="str">
            <v>SEL -123</v>
          </cell>
          <cell r="B408" t="str">
            <v>COTAÇÃO - SEL</v>
          </cell>
          <cell r="C408"/>
          <cell r="D408" t="str">
            <v>Tubo de concreto armado para aguas pluviais, classe PA-1, com encaixe ponta e bolsa, diametro nominal de 1,00 m (800 kg/m) - Aquisição. Posto Três Lagoas/MS.</v>
          </cell>
          <cell r="E408" t="str">
            <v>SEL -123</v>
          </cell>
          <cell r="F408" t="str">
            <v>M</v>
          </cell>
          <cell r="G408">
            <v>0</v>
          </cell>
          <cell r="H408" t="str">
            <v>ERRO</v>
          </cell>
        </row>
        <row r="409">
          <cell r="A409" t="str">
            <v>SEL -124</v>
          </cell>
          <cell r="B409" t="str">
            <v>COTAÇÃO - SEL</v>
          </cell>
          <cell r="C409"/>
          <cell r="D409" t="str">
            <v>Tubo de concreto armado para aguas pluviais, classe PA-1, com encaixe ponta e bolsa, diametro nominal de 1,20 m (1133 kg/m) - Aquisição. Posto Três Lagoas/MS.</v>
          </cell>
          <cell r="E409" t="str">
            <v>SEL -124</v>
          </cell>
          <cell r="F409" t="str">
            <v>M</v>
          </cell>
          <cell r="G409">
            <v>0</v>
          </cell>
          <cell r="H409" t="str">
            <v>ERRO</v>
          </cell>
        </row>
        <row r="410">
          <cell r="A410" t="str">
            <v>SEL -125</v>
          </cell>
          <cell r="B410" t="str">
            <v>COTAÇÃO - SEL</v>
          </cell>
          <cell r="C410"/>
          <cell r="D410" t="str">
            <v>Tubo de concreto armado para aguas pluviais, classe PA-1, com encaixe ponta e bolsa, diametro nominal de 1,50 m (1933 kg/m) - Aquisição. Posto Três Lagoas/MS.</v>
          </cell>
          <cell r="E410" t="str">
            <v>SEL -125</v>
          </cell>
          <cell r="F410" t="str">
            <v>M</v>
          </cell>
          <cell r="G410">
            <v>0</v>
          </cell>
          <cell r="H410" t="str">
            <v>ERRO</v>
          </cell>
        </row>
        <row r="411">
          <cell r="A411" t="str">
            <v>SEL -126</v>
          </cell>
          <cell r="B411" t="str">
            <v>COTAÇÃO - SEL</v>
          </cell>
          <cell r="C411"/>
          <cell r="D411" t="str">
            <v>Tubo de concreto armado para aguas pluviais, classe PA-2, com encaixe ponta e bolsa, diametro nominal de 1,20 m (1333 kg/m) - Aquisição. Posto Três Lagoas/MS.</v>
          </cell>
          <cell r="E411" t="str">
            <v>SEL -126</v>
          </cell>
          <cell r="F411" t="str">
            <v>M</v>
          </cell>
          <cell r="G411">
            <v>0</v>
          </cell>
          <cell r="H411" t="str">
            <v>ERRO</v>
          </cell>
        </row>
        <row r="412">
          <cell r="A412">
            <v>94870</v>
          </cell>
          <cell r="B412" t="str">
            <v>SINAPI</v>
          </cell>
          <cell r="C412"/>
          <cell r="D412" t="str">
            <v>Assentamento de tubo de PEAD corrugado com parede estruturada para drenagem de águas pluviais, DN/DI 0,25 m; PEAD virgem para rede de drenagem, com encaixei ponta e bolsa – JEI, conforme norma DNIT 094/2014 (não inclui fornecimento). AF_01/2021</v>
          </cell>
          <cell r="E412"/>
          <cell r="F412" t="str">
            <v>M</v>
          </cell>
          <cell r="G412">
            <v>2.1</v>
          </cell>
          <cell r="H412" t="str">
            <v>-</v>
          </cell>
        </row>
        <row r="413">
          <cell r="A413">
            <v>94872</v>
          </cell>
          <cell r="B413" t="str">
            <v>SINAPI</v>
          </cell>
          <cell r="C413"/>
          <cell r="D413" t="str">
            <v>Assentamento de tubo de PEAD corrugado com parede estruturada para drenagem de águas pluviais, DN/DI 0,30 m; PEAD virgem para rede de drenagem, com encaixei ponta e bolsa – JEI, conforme norma DNIT 094/2014 (não inclui fornecimento). AF_01/2021</v>
          </cell>
          <cell r="E413"/>
          <cell r="F413" t="str">
            <v>M</v>
          </cell>
          <cell r="G413">
            <v>2.95</v>
          </cell>
          <cell r="H413" t="str">
            <v>-</v>
          </cell>
        </row>
        <row r="414">
          <cell r="A414" t="str">
            <v>DR/0060</v>
          </cell>
          <cell r="B414" t="str">
            <v>COMPOSIÇÃO</v>
          </cell>
          <cell r="C414" t="str">
            <v>90760
24,6 m/h</v>
          </cell>
          <cell r="D414" t="str">
    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    </cell>
          <cell r="E414"/>
          <cell r="F414" t="str">
            <v>M</v>
          </cell>
          <cell r="G414">
            <v>3</v>
          </cell>
          <cell r="H414" t="str">
            <v>-</v>
          </cell>
        </row>
        <row r="415">
          <cell r="A415">
            <v>90746</v>
          </cell>
          <cell r="B415" t="str">
            <v>SINAPI</v>
          </cell>
          <cell r="C415">
            <v>25.6</v>
          </cell>
          <cell r="D415" t="str">
            <v>Assentamento de tubo de PEAD corrugado com parede estruturada para drenagem de águas pluviais, DN/DI 0,45 m; PEAD virgem para rede de drenagem, com encaixei ponta e bolsa – JEI, conforme norma DNIT 094/2014 (não inclui fornecimento). AF_01/2021</v>
          </cell>
          <cell r="E415"/>
          <cell r="F415" t="str">
            <v>M</v>
          </cell>
          <cell r="G415">
            <v>3.97</v>
          </cell>
          <cell r="H415" t="str">
            <v>-</v>
          </cell>
        </row>
        <row r="416">
          <cell r="A416" t="str">
            <v>DR/0070</v>
          </cell>
          <cell r="B416" t="str">
            <v>COMPOSIÇÃO</v>
          </cell>
          <cell r="C416" t="str">
            <v>DR/0075
18,9 m/h</v>
          </cell>
          <cell r="D416" t="str">
    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    </cell>
          <cell r="E416"/>
          <cell r="F416" t="str">
            <v>M</v>
          </cell>
          <cell r="G416">
            <v>5.15</v>
          </cell>
          <cell r="H416" t="str">
            <v>-</v>
          </cell>
        </row>
        <row r="417">
          <cell r="A417">
            <v>90747</v>
          </cell>
          <cell r="B417" t="str">
            <v>SINAPI</v>
          </cell>
          <cell r="C417" t="str">
            <v>90762
14,6 m/h</v>
          </cell>
          <cell r="D417" t="str">
            <v>Assentamento de tubo de PEAD corrugado com parede estruturada para drenagem de águas pluviais, DN/DI 0,60 m; PEAD virgem para rede de drenagem, com encaixei ponta e bolsa – JEI, conforme norma DNIT 094/2014 (não inclui fornecimento). AF_01/2021</v>
          </cell>
          <cell r="E417"/>
          <cell r="F417" t="str">
            <v>M</v>
          </cell>
          <cell r="G417">
            <v>16.579999999999998</v>
          </cell>
          <cell r="H417" t="str">
            <v>-</v>
          </cell>
        </row>
        <row r="418">
          <cell r="A418" t="str">
            <v>DR/0080</v>
          </cell>
          <cell r="B418" t="str">
            <v>COMPOSIÇÃO</v>
          </cell>
          <cell r="C418" t="str">
            <v>94892
8,3 m/h</v>
          </cell>
          <cell r="D418" t="str">
    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    </cell>
          <cell r="E418"/>
          <cell r="F418" t="str">
            <v>M</v>
          </cell>
          <cell r="G418">
            <v>27.3</v>
          </cell>
          <cell r="H418" t="str">
            <v>-</v>
          </cell>
        </row>
        <row r="419">
          <cell r="A419">
            <v>94876</v>
          </cell>
          <cell r="B419" t="str">
            <v>SINAPI</v>
          </cell>
          <cell r="C419" t="str">
            <v>DR/0085
15,7 m/h</v>
          </cell>
          <cell r="D419" t="str">
            <v>Assentamento de tubo de PEAD corrugado com parede estruturada para drenagem de águas pluviais, DN/DI 0,80 m; PEAD virgem para rede de drenagem, com encaixei ponta e bolsa – JEI, conforme norma DNIT 094/2014 (não inclui fornecimento). AF_01/2021</v>
          </cell>
          <cell r="E419"/>
          <cell r="F419" t="str">
            <v>M</v>
          </cell>
          <cell r="G419">
            <v>28.25</v>
          </cell>
          <cell r="H419" t="str">
            <v>-</v>
          </cell>
        </row>
        <row r="420">
          <cell r="A420">
            <v>94878</v>
          </cell>
          <cell r="B420" t="str">
            <v>SINAPI</v>
          </cell>
          <cell r="C420" t="str">
            <v>94894
13,4 m/h</v>
          </cell>
          <cell r="D420" t="str">
            <v>Assentamento de tubo de PEAD corrugado com parede estruturada para drenagem de águas pluviais, DN/DI 0,90 m; PEAD virgem para rede de drenagem, com encaixei ponta e bolsa – JEI, conforme norma DNIT 094/2014 (não inclui fornecimento). AF_06/2016</v>
          </cell>
          <cell r="E420"/>
          <cell r="F420" t="str">
            <v>M</v>
          </cell>
          <cell r="G420">
            <v>32.61</v>
          </cell>
          <cell r="H420" t="str">
            <v>-</v>
          </cell>
        </row>
        <row r="421">
          <cell r="A421">
            <v>94880</v>
          </cell>
          <cell r="B421" t="str">
            <v>SINAPI</v>
          </cell>
          <cell r="C421" t="str">
            <v>94896
6,7 m/h</v>
          </cell>
          <cell r="D421" t="str">
            <v>Assentamento de tubo de PEAD corrugado com parede estruturada para drenagem de águas pluviais, DN/DI 1,00 m; PEAD virgem para rede de drenagem, com encaixei ponta e bolsa – JEI, conforme norma DNIT 094/2014 (não inclui fornecimento). AF_06/2016</v>
          </cell>
          <cell r="E421"/>
          <cell r="F421" t="str">
            <v>M</v>
          </cell>
          <cell r="G421">
            <v>42.36</v>
          </cell>
          <cell r="H421" t="str">
            <v>-</v>
          </cell>
        </row>
        <row r="422">
          <cell r="A422">
            <v>94882</v>
          </cell>
          <cell r="B422" t="str">
            <v>SINAPI</v>
          </cell>
          <cell r="C422" t="str">
            <v>94898
9,2 m/h</v>
          </cell>
          <cell r="D422" t="str">
            <v>Assentamento de tubo de PEAD corrugado com parede estruturada para drenagem de águas pluviais, DN/DI 1,20 m; PEAD virgem para rede de drenagem, com encaixei ponta e bolsa – JEI, conforme norma DNIT 094/2014 (não inclui fornecimento). AF_06/2016</v>
          </cell>
          <cell r="E422"/>
          <cell r="F422" t="str">
            <v>M</v>
          </cell>
          <cell r="G422">
            <v>49.08</v>
          </cell>
          <cell r="H422" t="str">
            <v>-</v>
          </cell>
        </row>
        <row r="423">
          <cell r="A423">
            <v>94884</v>
          </cell>
          <cell r="B423" t="str">
            <v>SINAPI</v>
          </cell>
          <cell r="C423" t="str">
            <v>94900
4,3 m/h</v>
          </cell>
          <cell r="D423" t="str">
            <v>Assentamento de tubo de PEAD corrugado com parede estruturada para drenagem de águas pluviais, DN/DI 1,50 m; PEAD virgem para rede de drenagem, com encaixei ponta e bolsa – JEI, conforme norma DNIT 094/2014 (não inclui fornecimento). AF_06/2016</v>
          </cell>
          <cell r="E423"/>
          <cell r="F423" t="str">
            <v>M</v>
          </cell>
          <cell r="G423">
            <v>62.71</v>
          </cell>
          <cell r="H423" t="str">
            <v>-</v>
          </cell>
        </row>
        <row r="424">
          <cell r="A424">
            <v>37476</v>
          </cell>
          <cell r="B424" t="str">
            <v>SINAPI</v>
          </cell>
          <cell r="C424"/>
          <cell r="D424" t="str">
    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4"/>
          <cell r="F424" t="str">
            <v xml:space="preserve">UN    </v>
          </cell>
          <cell r="G424">
            <v>4109.74</v>
          </cell>
          <cell r="H424" t="str">
            <v>-</v>
          </cell>
        </row>
        <row r="425">
          <cell r="A425">
            <v>37478</v>
          </cell>
          <cell r="B425" t="str">
            <v>SINAPI</v>
          </cell>
          <cell r="C425"/>
          <cell r="D425" t="str">
    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5"/>
          <cell r="F425" t="str">
            <v xml:space="preserve">UN    </v>
          </cell>
          <cell r="G425">
            <v>5147.5600000000004</v>
          </cell>
          <cell r="H425" t="str">
            <v>-</v>
          </cell>
        </row>
        <row r="426">
          <cell r="A426">
            <v>37477</v>
          </cell>
          <cell r="B426" t="str">
            <v>SINAPI</v>
          </cell>
          <cell r="C426"/>
          <cell r="D426" t="str">
    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6"/>
          <cell r="F426" t="str">
            <v xml:space="preserve">UN    </v>
          </cell>
          <cell r="G426">
            <v>6974.11</v>
          </cell>
          <cell r="H426" t="str">
            <v>-</v>
          </cell>
        </row>
        <row r="427">
          <cell r="A427">
            <v>37479</v>
          </cell>
          <cell r="B427" t="str">
            <v>SINAPI</v>
          </cell>
          <cell r="C427"/>
          <cell r="D427" t="str">
    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7"/>
          <cell r="F427" t="str">
            <v xml:space="preserve">UN    </v>
          </cell>
          <cell r="G427">
            <v>8271.3799999999992</v>
          </cell>
          <cell r="H427" t="str">
            <v>-</v>
          </cell>
        </row>
        <row r="428">
          <cell r="A428"/>
          <cell r="B428" t="str">
            <v>COMPOSIÇÃO</v>
          </cell>
          <cell r="C428" t="str">
            <v>DR/0090</v>
          </cell>
          <cell r="D428" t="str">
            <v>SUBSTITUIR PELA COMPOSIÇÃO DR/0091 + 37476</v>
          </cell>
          <cell r="E428">
            <v>3.32</v>
          </cell>
          <cell r="F428" t="e">
            <v>#REF!</v>
          </cell>
          <cell r="G428" t="e">
            <v>#REF!</v>
          </cell>
          <cell r="H428" t="str">
            <v/>
          </cell>
        </row>
        <row r="429">
          <cell r="A429"/>
          <cell r="B429" t="str">
            <v>COMPOSIÇÃO</v>
          </cell>
          <cell r="C429" t="str">
            <v>DR/0095</v>
          </cell>
          <cell r="D429" t="str">
            <v>SUBSTITUIR PELA COMPOSIÇÃO DR/0096 + 37478</v>
          </cell>
          <cell r="E429">
            <v>2.85</v>
          </cell>
          <cell r="F429" t="e">
            <v>#REF!</v>
          </cell>
          <cell r="G429" t="e">
            <v>#REF!</v>
          </cell>
          <cell r="H429" t="str">
            <v/>
          </cell>
        </row>
        <row r="430">
          <cell r="A430"/>
          <cell r="B430" t="str">
            <v>COMPOSIÇÃO</v>
          </cell>
          <cell r="C430" t="str">
            <v>DR/0100</v>
          </cell>
          <cell r="D430" t="str">
            <v>SUBSTITUIR PELA COMPOSIÇÃO DR/0101 + 37477</v>
          </cell>
          <cell r="E430">
            <v>2.4900000000000002</v>
          </cell>
          <cell r="F430" t="e">
            <v>#REF!</v>
          </cell>
          <cell r="G430" t="e">
            <v>#REF!</v>
          </cell>
          <cell r="H430" t="str">
            <v/>
          </cell>
        </row>
        <row r="431">
          <cell r="A431"/>
          <cell r="B431" t="str">
            <v>COMPOSIÇÃO</v>
          </cell>
          <cell r="C431" t="str">
            <v>DR/0105</v>
          </cell>
          <cell r="D431" t="str">
            <v>SUBSTITUIR PELA COMPOSIÇÃO DR/0106 + 37479</v>
          </cell>
          <cell r="E431">
            <v>1.99</v>
          </cell>
          <cell r="F431" t="e">
            <v>#REF!</v>
          </cell>
          <cell r="G431" t="e">
            <v>#REF!</v>
          </cell>
          <cell r="H431" t="str">
            <v/>
          </cell>
        </row>
        <row r="432">
          <cell r="A432" t="str">
            <v>DR/0091</v>
          </cell>
          <cell r="B432" t="str">
            <v>COMPOSIÇÃO</v>
          </cell>
          <cell r="C432">
            <v>3.32</v>
          </cell>
          <cell r="D432" t="str">
            <v>Galeria celular em aduela pré-moldada em concreto armado, 1,50m x 1,50m (2950kg/m), assentamento e rejuntamento. Exclusive aquisição e transporte.</v>
          </cell>
          <cell r="E432">
            <v>3.32</v>
          </cell>
          <cell r="F432" t="str">
            <v>M</v>
          </cell>
          <cell r="G432">
            <v>110.24</v>
          </cell>
          <cell r="H432" t="str">
            <v>-</v>
          </cell>
        </row>
        <row r="433">
          <cell r="A433" t="str">
            <v>DR/0096</v>
          </cell>
          <cell r="B433" t="str">
            <v>COMPOSIÇÃO</v>
          </cell>
          <cell r="C433">
            <v>2.85</v>
          </cell>
          <cell r="D433" t="str">
            <v>Galeria celular em aduela pré-moldada em concreto armado, 2,00m x 2,00m (4080kg/m), assentamento e rejuntamento. Exclusive aquisição e transporte.</v>
          </cell>
          <cell r="E433">
            <v>2.85</v>
          </cell>
          <cell r="F433" t="str">
            <v>M</v>
          </cell>
          <cell r="G433">
            <v>146.46</v>
          </cell>
          <cell r="H433" t="str">
            <v>-</v>
          </cell>
        </row>
        <row r="434">
          <cell r="A434" t="str">
            <v>DR/0101</v>
          </cell>
          <cell r="B434" t="str">
            <v>COMPOSIÇÃO</v>
          </cell>
          <cell r="C434">
            <v>2.4900000000000002</v>
          </cell>
          <cell r="D434" t="str">
            <v>Galeria celular em aduela pré-moldada em concreto armado, 2,50m x 2,50m (5000kg/m), assentamento e rejuntamento. Exclusive aquisição e transporte.</v>
          </cell>
          <cell r="E434">
            <v>2.4900000000000002</v>
          </cell>
          <cell r="F434" t="str">
            <v>M</v>
          </cell>
          <cell r="G434">
            <v>218.73</v>
          </cell>
          <cell r="H434" t="str">
            <v>-</v>
          </cell>
        </row>
        <row r="435">
          <cell r="A435" t="str">
            <v>DR/0106</v>
          </cell>
          <cell r="B435" t="str">
            <v>COMPOSIÇÃO</v>
          </cell>
          <cell r="C435">
            <v>1.99</v>
          </cell>
          <cell r="D435" t="str">
            <v>Galeria celular em aduela pré-moldada em concreto armado, 3,00m x 3,00m (6700kg/m), assentamento e rejuntamento. Exclusive aquisição e transporte.</v>
          </cell>
          <cell r="E435">
            <v>1.99</v>
          </cell>
          <cell r="F435" t="str">
            <v>M</v>
          </cell>
          <cell r="G435">
            <v>292.88</v>
          </cell>
          <cell r="H435" t="str">
            <v>-</v>
          </cell>
        </row>
        <row r="436">
          <cell r="A436" t="str">
            <v>DR/0110</v>
          </cell>
          <cell r="B436" t="str">
            <v>COMPOSIÇÃO</v>
          </cell>
          <cell r="C436"/>
          <cell r="D436" t="str">
            <v>Bueiro metálico sem interrupção de tráfego, no diâmetro de 1,20m, chapa metálica com revestimento Epóxi HR, espessura de chapa (aço + revestimento) 2,20mm, recobrimento máximo de 9,00m. Incluindo montagem e consolidação externa com injeção de nata de solo-cimento, fornecimento da estrutura tunnel liner. Exclusive ventilação, iluminação, escavação e bota-fora (REF. SICRO COD. 0605571)</v>
          </cell>
          <cell r="E436"/>
          <cell r="F436" t="str">
            <v>M</v>
          </cell>
          <cell r="G436">
            <v>5675.82</v>
          </cell>
          <cell r="H436" t="str">
            <v>-</v>
          </cell>
        </row>
        <row r="437">
          <cell r="A437" t="str">
            <v>DR/0115</v>
          </cell>
          <cell r="B437" t="str">
            <v>COMPOSIÇÃO</v>
          </cell>
          <cell r="C437"/>
          <cell r="D437" t="str">
            <v>Bueiro metálico sem interrupção de tráfego, no diâmetro de 1,60m, chapa metálica com revestimento Epóxi HR, espessura de chapa (aço + revestimento) 2,2mm, recobrimento máximo de 6,70m. Incluindo montagem e consolidação externa com injeção de nata de solo-cimento, fornecimento da estrutura tunnel liner. Exclusive ventilação, iluminação, escavação e bota-fora (REF. SICRO COD. 0605573)</v>
          </cell>
          <cell r="E437"/>
          <cell r="F437" t="str">
            <v>M</v>
          </cell>
          <cell r="G437">
            <v>7633.63</v>
          </cell>
          <cell r="H437" t="str">
            <v>-</v>
          </cell>
        </row>
        <row r="438">
          <cell r="A438" t="str">
            <v>DR/0120</v>
          </cell>
          <cell r="B438" t="str">
            <v>COMPOSIÇÃO</v>
          </cell>
          <cell r="C438"/>
          <cell r="D438" t="str">
            <v>Bueiro metálico sem interrupção de tráfego, no diâmetro de 1,80m, chapa metálica com revestimento Epóxi HR, espessura de chapa (aço + revestimento) 2,2mm, recobrimento máximo de 6,00m. Incluindo montagem e consolidação externa com injeção de nata de solo-cimento, fornecimento da estrutura tunnel liner. Exclusive ventilação, iluminação, escavação e bota-fora (REF. SICRO COD. 0605574)</v>
          </cell>
          <cell r="E438"/>
          <cell r="F438" t="str">
            <v>M</v>
          </cell>
          <cell r="G438">
            <v>8522.36</v>
          </cell>
          <cell r="H438" t="str">
            <v>-</v>
          </cell>
        </row>
        <row r="439">
          <cell r="A439" t="str">
            <v>DR/0125</v>
          </cell>
          <cell r="B439" t="str">
            <v>COMPOSIÇÃO</v>
          </cell>
          <cell r="C439"/>
          <cell r="D439" t="str">
            <v>Bueiro metálico sem interrupção de tráfego, no diâmetro de 2,00m, chapa metálica com revestimento Epóxi HR, espessura de chapa (aço + revestimento) 2,20mm, recobrimento máximo de 5,40m. Incluindo montagem e consolidação externa com injeção de nata de solo-cimento, fornecimento da estrutura tunnel liner. Exclusive ventilação, iluminação, escavação e bota-fora (REF. SICRO COD. 0605575)</v>
          </cell>
          <cell r="E439"/>
          <cell r="F439" t="str">
            <v>M</v>
          </cell>
          <cell r="G439">
            <v>9469.7900000000009</v>
          </cell>
          <cell r="H439" t="str">
            <v>-</v>
          </cell>
        </row>
        <row r="440">
          <cell r="A440" t="str">
            <v>DR/0130</v>
          </cell>
          <cell r="B440" t="str">
            <v>COMPOSIÇÃO</v>
          </cell>
          <cell r="C440"/>
          <cell r="D440" t="str">
            <v>Bueiro metálico sem interrupção de tráfego, no diâmetro de 2,60m, chapa metálica com revestimento Epóxi HR, espessura de chapa (aço + revestimento) 2,20mm, recobrimento máximo de 4,10m. Incluindo montagem e consolidação externa com injeção de nata de solo-cimento, fornecimento da estrutura tunnel liner. Exclusive ventilação, iluminação, escavação e bota-fora (REF. SICRO COD. 0605578)</v>
          </cell>
          <cell r="E440"/>
          <cell r="F440" t="str">
            <v>M</v>
          </cell>
          <cell r="G440">
            <v>12228.01</v>
          </cell>
          <cell r="H440" t="str">
            <v>-</v>
          </cell>
        </row>
        <row r="441">
          <cell r="A441" t="str">
            <v>DR/0135</v>
          </cell>
          <cell r="B441" t="str">
            <v>COMPOSIÇÃO</v>
          </cell>
          <cell r="C441" t="str">
            <v>DR/145</v>
          </cell>
          <cell r="D441" t="str">
            <v>PV-1 - Poço de Visita, com dimensões internas de 1,98m x 1,98m x 1,50m (bxbxh), em alvenaria de bloco de concreto estrutural FBK 14mpa, conforme projeto tipo. Exclusive pescoço e tampão</v>
          </cell>
          <cell r="E441"/>
          <cell r="F441" t="str">
            <v>UN</v>
          </cell>
          <cell r="G441">
            <v>6685.82</v>
          </cell>
          <cell r="H441" t="str">
            <v>-</v>
          </cell>
        </row>
        <row r="442">
          <cell r="A442" t="str">
            <v>DR/0140</v>
          </cell>
          <cell r="B442" t="str">
            <v>COMPOSIÇÃO</v>
          </cell>
          <cell r="C442"/>
          <cell r="D442" t="str">
            <v>PV-2 - Poço de Visita, com dimensões internas de 1,98m x 2,68m x 2,00m (bxbxh), em alvenaria de bloco de concreto estrutural FBK 14mpa, conforme projeto tipo. Exclusive pescoço e tampão</v>
          </cell>
          <cell r="E442"/>
          <cell r="F442" t="str">
            <v>UN</v>
          </cell>
          <cell r="G442">
            <v>9028.94</v>
          </cell>
          <cell r="H442" t="str">
            <v>-</v>
          </cell>
        </row>
        <row r="443">
          <cell r="A443" t="str">
            <v>DR/0145</v>
          </cell>
          <cell r="B443" t="str">
            <v>COMPOSIÇÃO</v>
          </cell>
          <cell r="C443"/>
          <cell r="D443" t="str">
            <v>PV-3 - Poço de Visita, com dimensões internas de 1,98m x 3,48m x 2,00m (bxbxh), em alvenaria de bloco de concreto estrutural FBK 14mpa, conforme projeto tipo. Exclusive pescoço e tampão</v>
          </cell>
          <cell r="E443"/>
          <cell r="F443" t="str">
            <v>UN</v>
          </cell>
          <cell r="G443">
            <v>10832.93</v>
          </cell>
          <cell r="H443" t="str">
            <v>-</v>
          </cell>
        </row>
        <row r="444">
          <cell r="A444" t="str">
            <v>DR/0150</v>
          </cell>
          <cell r="B444" t="str">
            <v>COMPOSIÇÃO</v>
          </cell>
          <cell r="C444"/>
          <cell r="D444" t="str">
            <v>PV-4 - Poço de Visita, com dimensões internas de 1,98m x 4,98m x 2,00m (bxbxh), em alvenaria de bloco de concreto estrutural FBK 14mpa, conforme projeto tipo. Exclusive pescoço e tampão</v>
          </cell>
          <cell r="E444"/>
          <cell r="F444" t="str">
            <v>UN</v>
          </cell>
          <cell r="G444">
            <v>14215.41</v>
          </cell>
          <cell r="H444" t="str">
            <v>-</v>
          </cell>
        </row>
        <row r="445">
          <cell r="A445" t="str">
            <v>DR/0155</v>
          </cell>
          <cell r="B445" t="str">
            <v>COMPOSIÇÃO</v>
          </cell>
          <cell r="C445"/>
          <cell r="D445" t="str">
            <v>PV-5 - Poço de Visita, com dimensões internas de 1,98m x 6,58m x 2,00m (bxbxh), em alvenaria de bloco de concreto estrutural FBK 14mpa, conforme projeto tipo. Exclusive pescoço e tampão</v>
          </cell>
          <cell r="E445"/>
          <cell r="F445" t="str">
            <v>UN</v>
          </cell>
          <cell r="G445">
            <v>17823.39</v>
          </cell>
          <cell r="H445" t="str">
            <v>-</v>
          </cell>
        </row>
        <row r="446">
          <cell r="A446" t="str">
            <v>DR/0160</v>
          </cell>
          <cell r="B446" t="str">
            <v>COMPOSIÇÃO</v>
          </cell>
          <cell r="C446"/>
          <cell r="D446" t="str">
            <v>PV-6 - Poço de Visita, com dimensões internas de 1,98m x 8,78m x 2,00m (bxbxh), em alvenaria de bloco de concreto estrutural FBK 14mpa, conforme projeto tipo. Exclusive pescoço e tampão</v>
          </cell>
          <cell r="E446"/>
          <cell r="F446" t="str">
            <v>UN</v>
          </cell>
          <cell r="G446">
            <v>22784.36</v>
          </cell>
          <cell r="H446" t="str">
            <v>-</v>
          </cell>
        </row>
        <row r="447">
          <cell r="A447" t="str">
            <v>DR/0165</v>
          </cell>
          <cell r="B447" t="str">
            <v>COMPOSIÇÃO</v>
          </cell>
          <cell r="C447"/>
          <cell r="D447" t="str">
            <v>PV-0 - Poço de Visita Circular, com dimensão interna de Ø 0,80m, em alvenaria de tijolo comum de 1 vez assentada e revestida internamente com argamassa de cimento e areia 1:3, conforme projeto tipo. Exclusive tampão</v>
          </cell>
          <cell r="E447"/>
          <cell r="F447" t="str">
            <v>UN</v>
          </cell>
          <cell r="G447">
            <v>1780.19</v>
          </cell>
          <cell r="H447" t="str">
            <v>-</v>
          </cell>
        </row>
        <row r="448">
          <cell r="A448">
            <v>98050</v>
          </cell>
          <cell r="B448" t="str">
            <v>SINAPI</v>
          </cell>
          <cell r="C448"/>
          <cell r="D448" t="str">
            <v>Chaminé circular para poço de visita para esgoto, em concreto pré-moldado, diâmetro interno = 0,6 m. af_12/2020</v>
          </cell>
          <cell r="E448"/>
          <cell r="F448" t="str">
            <v>M</v>
          </cell>
          <cell r="G448">
            <v>303.73</v>
          </cell>
          <cell r="H448" t="str">
            <v>-</v>
          </cell>
        </row>
        <row r="449">
          <cell r="A449">
            <v>98051</v>
          </cell>
          <cell r="B449" t="str">
            <v>SINAPI</v>
          </cell>
          <cell r="C449"/>
          <cell r="D449" t="str">
            <v>Chaminé circular para poço de visita para esgoto, em alvenaria com tijolos cerâmicos maciços, diâmetro interno = 0,6 m. af_12/2020</v>
          </cell>
          <cell r="E449"/>
          <cell r="F449" t="str">
            <v>M</v>
          </cell>
          <cell r="G449">
            <v>930.6</v>
          </cell>
          <cell r="H449" t="str">
            <v>-</v>
          </cell>
        </row>
        <row r="450">
          <cell r="A450">
            <v>99318</v>
          </cell>
          <cell r="B450" t="str">
            <v>SINAPI</v>
          </cell>
          <cell r="C450"/>
          <cell r="D450" t="str">
            <v>Chaminé circular para poço de visita para drenagem, em concreto pré-moldado, diâmetro interno = 0,6 m. af_12/2020</v>
          </cell>
          <cell r="E450"/>
          <cell r="F450" t="str">
            <v>M</v>
          </cell>
          <cell r="G450">
            <v>302.75</v>
          </cell>
          <cell r="H450" t="str">
            <v>-</v>
          </cell>
        </row>
        <row r="451">
          <cell r="A451">
            <v>99319</v>
          </cell>
          <cell r="B451" t="str">
            <v>SINAPI</v>
          </cell>
          <cell r="C451"/>
          <cell r="D451" t="str">
            <v>Chaminé circular para poço de visita para drenagem, em alvenaria com tijolos cerâmicos maciços, diâmetro interno = 0,6 m. af_12/2020</v>
          </cell>
          <cell r="E451"/>
          <cell r="F451" t="str">
            <v>M</v>
          </cell>
          <cell r="G451">
            <v>866.34</v>
          </cell>
          <cell r="H451" t="str">
            <v>-</v>
          </cell>
        </row>
        <row r="452">
          <cell r="A452" t="str">
            <v>DR/0170</v>
          </cell>
          <cell r="B452" t="str">
            <v>COMPOSIÇÃO</v>
          </cell>
          <cell r="C452"/>
          <cell r="D452" t="str">
            <v>APV-1 - Acréscimo para Poço de Visita, com dimensões internas de 1,98m x 1,98m, em alvenaria de bloco de concreto estrutural FBK 14mpa, conforme projeto tipo</v>
          </cell>
          <cell r="E452"/>
          <cell r="F452" t="str">
            <v>M</v>
          </cell>
          <cell r="G452">
            <v>1650.98</v>
          </cell>
          <cell r="H452" t="str">
            <v>-</v>
          </cell>
        </row>
        <row r="453">
          <cell r="A453" t="str">
            <v>DR/0175</v>
          </cell>
          <cell r="B453" t="str">
            <v>COMPOSIÇÃO</v>
          </cell>
          <cell r="C453"/>
          <cell r="D453" t="str">
            <v>APV-2 - Acréscimo para Poço de Visita, com dimensões internas de 1,98m x 2,68m, em alvenaria de bloco de concreto estrutural FBK 14mpa, conforme projeto tipo</v>
          </cell>
          <cell r="E453"/>
          <cell r="F453" t="str">
            <v>M</v>
          </cell>
          <cell r="G453">
            <v>1909.1</v>
          </cell>
          <cell r="H453" t="str">
            <v>-</v>
          </cell>
        </row>
        <row r="454">
          <cell r="A454" t="str">
            <v>DR/0180</v>
          </cell>
          <cell r="B454" t="str">
            <v>COMPOSIÇÃO</v>
          </cell>
          <cell r="C454"/>
          <cell r="D454" t="str">
            <v>APV-3 - Acréscimo para Poço de Visita, com dimensões internas de 1,98m x 3,48m, em alvenaria de bloco de concreto estrutural FBK 14mpa, conforme projeto tipo</v>
          </cell>
          <cell r="E454"/>
          <cell r="F454" t="str">
            <v>M</v>
          </cell>
          <cell r="G454">
            <v>2204.09</v>
          </cell>
          <cell r="H454" t="str">
            <v>-</v>
          </cell>
        </row>
        <row r="455">
          <cell r="A455" t="str">
            <v>DR/0185</v>
          </cell>
          <cell r="B455" t="str">
            <v>COMPOSIÇÃO</v>
          </cell>
          <cell r="C455"/>
          <cell r="D455" t="str">
            <v>APV-4 - Acréscimo para Poço de Visita, com dimensões internas de 1,98m x 4,98m, em alvenaria de bloco de concreto estrutural FBK 14mpa, conforme projeto tipo</v>
          </cell>
          <cell r="E455"/>
          <cell r="F455" t="str">
            <v>M</v>
          </cell>
          <cell r="G455">
            <v>2757.19</v>
          </cell>
          <cell r="H455" t="str">
            <v>-</v>
          </cell>
        </row>
        <row r="456">
          <cell r="A456" t="str">
            <v>DR/0190</v>
          </cell>
          <cell r="B456" t="str">
            <v>COMPOSIÇÃO</v>
          </cell>
          <cell r="C456"/>
          <cell r="D456" t="str">
            <v>APV-5 - Acréscimo para Poço de Visita, com dimensões internas de 1,98m x 6,58m, em alvenaria de bloco de concreto estrutural FBK 14mpa, conforme projeto tipo</v>
          </cell>
          <cell r="E456"/>
          <cell r="F456" t="str">
            <v>M</v>
          </cell>
          <cell r="G456">
            <v>3347.17</v>
          </cell>
          <cell r="H456" t="str">
            <v>-</v>
          </cell>
        </row>
        <row r="457">
          <cell r="A457" t="str">
            <v>DR/0195</v>
          </cell>
          <cell r="B457" t="str">
            <v>COMPOSIÇÃO</v>
          </cell>
          <cell r="C457"/>
          <cell r="D457" t="str">
            <v>APV-6 - Acréscimo para Poço de Visita, com dimensões internas de 1,98m x 8,78m, em alvenaria de bloco de concreto estrutural FBK 14mpa, conforme projeto tipo</v>
          </cell>
          <cell r="E457"/>
          <cell r="F457" t="str">
            <v>M</v>
          </cell>
          <cell r="G457">
            <v>4158.38</v>
          </cell>
          <cell r="H457" t="str">
            <v>-</v>
          </cell>
        </row>
        <row r="458">
          <cell r="A458" t="str">
            <v>DR/0200</v>
          </cell>
          <cell r="B458" t="str">
            <v>COMPOSIÇÃO</v>
          </cell>
          <cell r="C458"/>
          <cell r="D458" t="str">
            <v>Antecâmara para poço de visita, com dimensões internas de 1,98m x 1,00m x 1,50m (bxbxh), em alvenaria de bloco de concreto estrutural FBK 14mpa, conforme projeto tipo</v>
          </cell>
          <cell r="E458"/>
          <cell r="F458" t="str">
            <v>UN</v>
          </cell>
          <cell r="G458">
            <v>2657.49</v>
          </cell>
          <cell r="H458" t="str">
            <v>-</v>
          </cell>
        </row>
        <row r="459">
          <cell r="A459" t="str">
            <v>DR/0205</v>
          </cell>
          <cell r="B459" t="str">
            <v>COMPOSIÇÃO</v>
          </cell>
          <cell r="C459"/>
          <cell r="D459" t="str">
            <v>CP-1 - Caixa de Passagem, com dimensões internas de  1,92m x 1,92m x 1,60m (bxbxh), em alvenaria de bloco de concreto estrutural FBK 8 MPa, conforme projeto tipo</v>
          </cell>
          <cell r="E459"/>
          <cell r="F459" t="str">
            <v>UN</v>
          </cell>
          <cell r="G459">
            <v>6365.63</v>
          </cell>
          <cell r="H459" t="str">
            <v>-</v>
          </cell>
        </row>
        <row r="460">
          <cell r="A460" t="str">
            <v>DR/0210</v>
          </cell>
          <cell r="B460" t="str">
            <v>COMPOSIÇÃO</v>
          </cell>
          <cell r="C460"/>
          <cell r="D460" t="str">
            <v>CP-2 - Caixa de Passagem, com dimensões internas de  1,92m x 2,82m x 2,00m (bxbxh), em alvenaria de bloco de concreto estrutural FBK 8 MPa, conforme projeto tipo</v>
          </cell>
          <cell r="E460"/>
          <cell r="F460" t="str">
            <v>UN</v>
          </cell>
          <cell r="G460">
            <v>9108.2999999999993</v>
          </cell>
          <cell r="H460" t="str">
            <v>-</v>
          </cell>
        </row>
        <row r="461">
          <cell r="A461" t="str">
            <v>DR/0215</v>
          </cell>
          <cell r="B461" t="str">
            <v>COMPOSIÇÃO</v>
          </cell>
          <cell r="C461"/>
          <cell r="D461" t="str">
            <v>CP-3 - Caixa de Passagem, com dimensões internas de 1,98m x 3,48m x 2,00m (bxbxh), em alvenaria de bloco de concreto estrutural FBK 14mpa, conforme projeto tipo</v>
          </cell>
          <cell r="E461"/>
          <cell r="F461" t="str">
            <v>UN</v>
          </cell>
          <cell r="G461">
            <v>10665.11</v>
          </cell>
          <cell r="H461" t="str">
            <v>-</v>
          </cell>
        </row>
        <row r="462">
          <cell r="A462" t="str">
            <v>DR/0220</v>
          </cell>
          <cell r="B462" t="str">
            <v>COMPOSIÇÃO</v>
          </cell>
          <cell r="C462"/>
          <cell r="D462" t="str">
            <v>CP-4 - Caixa de Passagem, com dimensões internas de 1,98m x 4,98m x 2,00m (bxbxh), em alvenaria de bloco de concreto estrutural FBK 14mpa, conforme projeto tipo</v>
          </cell>
          <cell r="E462"/>
          <cell r="F462" t="str">
            <v>UN</v>
          </cell>
          <cell r="G462">
            <v>14001.49</v>
          </cell>
          <cell r="H462" t="str">
            <v>-</v>
          </cell>
        </row>
        <row r="463">
          <cell r="A463" t="str">
            <v>DR/0225</v>
          </cell>
          <cell r="B463" t="str">
            <v>COMPOSIÇÃO</v>
          </cell>
          <cell r="C463"/>
          <cell r="D463" t="str">
            <v>CP-5 - Caixa de Passagem, com dimensões internas de 1,98m x 6,58m x 2,00m (bxbxh), em alvenaria de bloco de concreto estrutural FBK 14mpa, conforme projeto tipo</v>
          </cell>
          <cell r="E463"/>
          <cell r="F463" t="str">
            <v>UN</v>
          </cell>
          <cell r="G463">
            <v>16018.25</v>
          </cell>
          <cell r="H463" t="str">
            <v>-</v>
          </cell>
        </row>
        <row r="464">
          <cell r="A464" t="str">
            <v>DR/0230</v>
          </cell>
          <cell r="B464" t="str">
            <v>COMPOSIÇÃO</v>
          </cell>
          <cell r="C464"/>
          <cell r="D464" t="str">
            <v>CP-6 - Caixa de Passagem, com dimensões internas de  1,98m x 8,78m x 2,00m (bxbxh), em alvenaria de bloco de concreto estrutural FBK 14mpa, conforme projeto tipo</v>
          </cell>
          <cell r="E464"/>
          <cell r="F464" t="str">
            <v>UN</v>
          </cell>
          <cell r="G464">
            <v>20539.8</v>
          </cell>
          <cell r="H464" t="str">
            <v>-</v>
          </cell>
        </row>
        <row r="465">
          <cell r="A465" t="str">
            <v>DR/0235</v>
          </cell>
          <cell r="B465" t="str">
            <v>COMPOSIÇÃO</v>
          </cell>
          <cell r="C465"/>
          <cell r="D465" t="str">
            <v>CC 1 - Caixa Coletora  2,32x2,32m, com dimensões internas de 2,32m x 2,32m x 1,50m (bxbxh), em alvenaria de bloco de concreto estrutural FBK 14mpa, inclusive grelha (0,60X0,6)m no centro, conforme projeto tipo. Exclusive pescoço.</v>
          </cell>
          <cell r="E465"/>
          <cell r="F465" t="str">
            <v>UN</v>
          </cell>
          <cell r="G465">
            <v>4867.82</v>
          </cell>
          <cell r="H465" t="str">
            <v>-</v>
          </cell>
        </row>
        <row r="466">
          <cell r="A466" t="str">
            <v>DR/0240</v>
          </cell>
          <cell r="B466" t="str">
            <v>CRIAR COMPOSIÇÃO</v>
          </cell>
          <cell r="C466"/>
          <cell r="D466" t="str">
            <v>CC 2 - Caixa Coletora  1,70 x 1,70m, inclusive grelha, conforme projeto tipo</v>
          </cell>
          <cell r="E466"/>
          <cell r="F466" t="str">
            <v>-</v>
          </cell>
          <cell r="G466" t="str">
            <v>-</v>
          </cell>
          <cell r="H466" t="str">
            <v>-</v>
          </cell>
        </row>
        <row r="467">
          <cell r="A467" t="str">
            <v>DR/0245</v>
          </cell>
          <cell r="B467" t="str">
            <v>COMPOSIÇÃO</v>
          </cell>
          <cell r="C467"/>
          <cell r="D467" t="str">
            <v xml:space="preserve">Caixa de inspeção, conjugada com boca de lobo no passeio, em concreto armado FCK 20 mpa, incluindo forma, escavação, laje e tampão em F°F° para passeio 47 x 70cm, conforme projeto </v>
          </cell>
          <cell r="E467"/>
          <cell r="F467" t="str">
            <v>UN</v>
          </cell>
          <cell r="G467">
            <v>5542.36</v>
          </cell>
          <cell r="H467" t="str">
            <v>-</v>
          </cell>
        </row>
        <row r="468">
          <cell r="A468" t="str">
            <v>DR/0250</v>
          </cell>
          <cell r="B468" t="str">
            <v>COMPOSIÇÃO</v>
          </cell>
          <cell r="C468"/>
          <cell r="D468" t="str">
            <v xml:space="preserve">BLSP - Boca-de-lobo simples com caixa no passeio, em concreto simples FCK 20 mpa, incluindo forma, escavação, laje e tampão em F°F° para passeio 47 x 70cm, conforme projeto </v>
          </cell>
          <cell r="E468" t="str">
            <v>BOCA DE LOBO
no passeio</v>
          </cell>
          <cell r="F468" t="str">
            <v>UN</v>
          </cell>
          <cell r="G468">
            <v>1464.52</v>
          </cell>
          <cell r="H468" t="str">
            <v>-</v>
          </cell>
        </row>
        <row r="469">
          <cell r="A469" t="str">
            <v>DR/0255</v>
          </cell>
          <cell r="B469" t="str">
            <v>COMPOSIÇÃO</v>
          </cell>
          <cell r="C469"/>
          <cell r="D469" t="str">
            <v xml:space="preserve">BLDP - Boca-de-lobo dupla com caixa no passeio, em concreto simples FCK 20 mpa, incluindo forma, escavação, laje e tampão em F°F° para passeio 47 x 70cm, conforme projeto </v>
          </cell>
          <cell r="E469"/>
          <cell r="F469" t="str">
            <v>UN</v>
          </cell>
          <cell r="G469">
            <v>2463.37</v>
          </cell>
          <cell r="H469" t="str">
            <v>-</v>
          </cell>
        </row>
        <row r="470">
          <cell r="A470" t="str">
            <v>DR/0260</v>
          </cell>
          <cell r="B470" t="str">
            <v>COMPOSIÇÃO</v>
          </cell>
          <cell r="C470"/>
          <cell r="D470" t="str">
            <v xml:space="preserve">BLTP - Boca-de-lobo tripla com caixa no passeio, em concreto simples FCK 20 mpa, incluindo forma, escavação, laje e tampão em F°F° para passeio 47 x 70cm, conforme projeto </v>
          </cell>
          <cell r="E470"/>
          <cell r="F470" t="str">
            <v>UN</v>
          </cell>
          <cell r="G470">
            <v>3461.57</v>
          </cell>
          <cell r="H470" t="str">
            <v>-</v>
          </cell>
        </row>
        <row r="471">
          <cell r="A471" t="str">
            <v>DR/0265</v>
          </cell>
          <cell r="B471" t="str">
            <v>COMPOSIÇÃO</v>
          </cell>
          <cell r="C471"/>
          <cell r="D471" t="str">
            <v xml:space="preserve">BLSC - Boca-de-lobo simples em concreto simples FCK 20 mpa, incluindo forma, escavação, sarjeta de contorno (chama) em concreto e grelha em F°F° tipo pesada, conforme projeto </v>
          </cell>
          <cell r="E471" t="str">
            <v>BOCA DE LOBO
em concreto</v>
          </cell>
          <cell r="F471" t="str">
            <v>UN</v>
          </cell>
          <cell r="G471">
            <v>1726.65</v>
          </cell>
          <cell r="H471" t="str">
            <v>-</v>
          </cell>
        </row>
        <row r="472">
          <cell r="A472" t="str">
            <v>DR/0267</v>
          </cell>
          <cell r="B472" t="str">
            <v>COMPOSIÇÃO</v>
          </cell>
          <cell r="C472"/>
          <cell r="D472" t="str">
            <v xml:space="preserve">BLEC - Boca-de-lobo especial em concreto estrutural FCK 30 mpa, incluindo forma, escavação, grelha de concreto pré-moldada e instalação no local, conforme projeto </v>
          </cell>
          <cell r="E472"/>
          <cell r="F472" t="str">
            <v>UN</v>
          </cell>
          <cell r="G472">
            <v>744.1</v>
          </cell>
          <cell r="H472" t="str">
            <v>-</v>
          </cell>
        </row>
        <row r="473">
          <cell r="A473" t="str">
            <v>DR/0270</v>
          </cell>
          <cell r="B473" t="str">
            <v>COMPOSIÇÃO</v>
          </cell>
          <cell r="C473"/>
          <cell r="D473" t="str">
            <v xml:space="preserve">BLDC - Boca-de-lobo dupla em concreto simples FCK 20 mpa, incluindo forma, escavação, sarjeta de contorno (chama) em concreto e grelhas em F°F° tipo pesada, conforme projeto </v>
          </cell>
          <cell r="E473"/>
          <cell r="F473" t="str">
            <v>UN</v>
          </cell>
          <cell r="G473">
            <v>3239.28</v>
          </cell>
          <cell r="H473" t="str">
            <v>-</v>
          </cell>
        </row>
        <row r="474">
          <cell r="A474" t="str">
            <v>DR/0275</v>
          </cell>
          <cell r="B474" t="str">
            <v>COMPOSIÇÃO</v>
          </cell>
          <cell r="C474"/>
          <cell r="D474" t="str">
            <v xml:space="preserve">BLTC - Boca-de-lobo tripla em concreto simples FCK 20 mpa, incluindo forma, escavação, sarjeta de contorno (chama) em concreto e grelhas em F°F° tipo pesada, conforme projeto </v>
          </cell>
          <cell r="E474"/>
          <cell r="F474" t="str">
            <v>UN</v>
          </cell>
          <cell r="G474">
            <v>4752.04</v>
          </cell>
          <cell r="H474" t="str">
            <v>-</v>
          </cell>
        </row>
        <row r="475">
          <cell r="A475" t="str">
            <v>DR/0280</v>
          </cell>
          <cell r="B475" t="str">
            <v>COMPOSIÇÃO</v>
          </cell>
          <cell r="C475"/>
          <cell r="D475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75" t="str">
            <v>BOCA DE LOBO
reforma</v>
          </cell>
          <cell r="F475" t="str">
            <v>UN</v>
          </cell>
          <cell r="G475">
            <v>977.58</v>
          </cell>
          <cell r="H475" t="str">
            <v>-</v>
          </cell>
        </row>
        <row r="476">
          <cell r="A476" t="str">
            <v>DR/0285</v>
          </cell>
          <cell r="B476" t="str">
            <v>COMPOSIÇÃO</v>
          </cell>
          <cell r="C476"/>
          <cell r="D476" t="str">
            <v>Reforma de boca de lobo dupla, incluindo demolições, reconstrução da sarjeta de contorno (chama) em concreto simples FCK 20mpa, duas guias chapéu pré-moldadas e duas grelhas articuladas em F°F° tipo pesada, conforme projeto tipo</v>
          </cell>
          <cell r="E476"/>
          <cell r="F476" t="str">
            <v>UN</v>
          </cell>
          <cell r="G476">
            <v>1828.33</v>
          </cell>
          <cell r="H476" t="str">
            <v>-</v>
          </cell>
        </row>
        <row r="477">
          <cell r="A477" t="str">
            <v>DR/0290</v>
          </cell>
          <cell r="B477" t="str">
            <v>COMPOSIÇÃO</v>
          </cell>
          <cell r="C477"/>
          <cell r="D477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77"/>
          <cell r="F477" t="str">
            <v>UN</v>
          </cell>
          <cell r="G477">
            <v>2678.97</v>
          </cell>
          <cell r="H477" t="str">
            <v>-</v>
          </cell>
        </row>
        <row r="478">
          <cell r="A478" t="str">
            <v>DR/0292</v>
          </cell>
          <cell r="B478" t="str">
            <v>COMPOSIÇÃO</v>
          </cell>
          <cell r="C478" t="str">
            <v>73882/1</v>
          </cell>
          <cell r="D478" t="str">
            <v>Meia cana em concreto simples, D = 0,20m (35kg/m), PB, Classe P-1, fornecimento, assentamento e rejuntamento, ref SINAPI 73882/001, data: 01/2020</v>
          </cell>
          <cell r="E478"/>
          <cell r="F478" t="str">
            <v>M</v>
          </cell>
          <cell r="G478">
            <v>38.21</v>
          </cell>
          <cell r="H478" t="str">
            <v>-</v>
          </cell>
        </row>
        <row r="479">
          <cell r="A479" t="str">
            <v>DR/0295</v>
          </cell>
          <cell r="B479" t="str">
            <v>COMPOSIÇÃO</v>
          </cell>
          <cell r="C479" t="str">
            <v>73882/3</v>
          </cell>
          <cell r="D479" t="str">
            <v>Meia cana em concreto simples, D = 0,40m (90kg/m), PB, Classe P-1, fornecimento, assentamento e rejuntamento, ref SINAPI 73882/003, data: 08/2016</v>
          </cell>
          <cell r="E479"/>
          <cell r="F479" t="str">
            <v>M</v>
          </cell>
          <cell r="G479">
            <v>59.73</v>
          </cell>
          <cell r="H479" t="str">
            <v>-</v>
          </cell>
        </row>
        <row r="480">
          <cell r="A480" t="str">
            <v>DR/0296</v>
          </cell>
          <cell r="B480" t="str">
            <v>COMPOSIÇÃO</v>
          </cell>
          <cell r="C480" t="str">
            <v>73882/5</v>
          </cell>
          <cell r="D480" t="str">
            <v>Meia cana em concreto simples, D = 0,60m (174kg/m), PB, Classe P-1, fornecimento, assentamento e rejuntamento, ref SINAPI 73882/005, data: 01/2020</v>
          </cell>
          <cell r="E480"/>
          <cell r="F480" t="str">
            <v>M</v>
          </cell>
          <cell r="G480">
            <v>123.42</v>
          </cell>
          <cell r="H480" t="str">
            <v>-</v>
          </cell>
        </row>
        <row r="481">
          <cell r="A481" t="str">
            <v>DR/0300</v>
          </cell>
          <cell r="B481" t="str">
            <v>COMPOSIÇÃO</v>
          </cell>
          <cell r="C481"/>
          <cell r="D481" t="str">
            <v>Valeta de concreto com concreto moldado in loco, acabamento convencional, armado, com seção trapezoidal 1,00m x 0,30m (b x h), espessura 6cm, com junta seca de dilatação a cada 3m</v>
          </cell>
          <cell r="E481"/>
          <cell r="F481" t="str">
            <v>M</v>
          </cell>
          <cell r="G481">
            <v>130.52000000000001</v>
          </cell>
          <cell r="H481" t="str">
            <v>-</v>
          </cell>
        </row>
        <row r="482">
          <cell r="A482" t="str">
            <v>DR/0305</v>
          </cell>
          <cell r="B482" t="str">
            <v>COMPOSIÇÃO</v>
          </cell>
          <cell r="C482">
            <v>0.308</v>
          </cell>
          <cell r="D482" t="str">
            <v>Boca-de-bueiro simples tubular - BBST  D = 0,40m, em concreto ciclópico com 30% de pedra-de-mão, conforme projeto tipo (0,66m³/un)</v>
          </cell>
          <cell r="E482"/>
          <cell r="F482" t="str">
            <v xml:space="preserve">UN </v>
          </cell>
          <cell r="G482">
            <v>1242.3699999999999</v>
          </cell>
          <cell r="H482" t="str">
            <v>-</v>
          </cell>
        </row>
        <row r="483">
          <cell r="A483">
            <v>102737</v>
          </cell>
          <cell r="B483" t="str">
            <v>SINAPI</v>
          </cell>
          <cell r="C483" t="str">
            <v>73856/1</v>
          </cell>
          <cell r="D483" t="str">
            <v>Boca para bueiro simples tubular D = 40 cm em concreto, alas com esconsidade de 0°, incluindo fôrmas e materiais. AF_07/2021</v>
          </cell>
          <cell r="E483"/>
          <cell r="F483" t="str">
            <v>UN</v>
          </cell>
          <cell r="G483">
            <v>1102.95</v>
          </cell>
          <cell r="H483" t="str">
            <v>-</v>
          </cell>
        </row>
        <row r="484">
          <cell r="A484">
            <v>102738</v>
          </cell>
          <cell r="B484" t="str">
            <v>SINAPI</v>
          </cell>
          <cell r="C484" t="str">
            <v>73856/2</v>
          </cell>
          <cell r="D484" t="str">
            <v>Boca para bueiro simples tubular D = 60 cm em concreto, alas com esconsidade de 0°, incluindo fôrmas e materiais. AF_07/2021</v>
          </cell>
          <cell r="E484"/>
          <cell r="F484" t="str">
            <v>UN</v>
          </cell>
          <cell r="G484">
            <v>2270.23</v>
          </cell>
          <cell r="H484" t="str">
            <v>-</v>
          </cell>
        </row>
        <row r="485">
          <cell r="A485" t="str">
            <v>DR/0310</v>
          </cell>
          <cell r="B485" t="str">
            <v>COMPOSIÇÃO</v>
          </cell>
          <cell r="C485">
            <v>0.59099999999999997</v>
          </cell>
          <cell r="D485" t="str">
            <v>Boca-de-bueiro simples tubular - BBST  D = 0,60m, em concreto ciclópico com 30% de pedra-de-mão, conforme projeto tipo (1,24m³/un)</v>
          </cell>
          <cell r="E485"/>
          <cell r="F485" t="str">
            <v xml:space="preserve">UN </v>
          </cell>
          <cell r="G485">
            <v>2006.37</v>
          </cell>
          <cell r="H485" t="str">
            <v>-</v>
          </cell>
        </row>
        <row r="486">
          <cell r="A486">
            <v>102739</v>
          </cell>
          <cell r="B486" t="str">
            <v>SINAPI</v>
          </cell>
          <cell r="C486" t="str">
            <v>73856/3</v>
          </cell>
          <cell r="D486" t="str">
            <v>Boca para bueiro simples tubular D = 80 cm em concreto, alas com esconsidade de 0°, incluindo fôrmas e materiais. AF_07/2021</v>
          </cell>
          <cell r="E486"/>
          <cell r="F486" t="str">
            <v>UN</v>
          </cell>
          <cell r="G486">
            <v>3814.54</v>
          </cell>
          <cell r="H486" t="str">
            <v>-</v>
          </cell>
        </row>
        <row r="487">
          <cell r="A487" t="str">
            <v>DR/0315</v>
          </cell>
          <cell r="B487" t="str">
            <v>COMPOSIÇÃO</v>
          </cell>
          <cell r="C487">
            <v>0.99199999999999999</v>
          </cell>
          <cell r="D487" t="str">
            <v>Boca-de-bueiro simples tubular - BBST  D = 0,80m, em concreto ciclópico com 30% de pedra-de-mão, conforme projeto tipo (2,23m³/un)</v>
          </cell>
          <cell r="E487"/>
          <cell r="F487" t="str">
            <v xml:space="preserve">UN </v>
          </cell>
          <cell r="G487">
            <v>3174.77</v>
          </cell>
          <cell r="H487" t="str">
            <v>-</v>
          </cell>
        </row>
        <row r="488">
          <cell r="A488" t="str">
            <v>DR/0320</v>
          </cell>
          <cell r="B488" t="str">
            <v>COMPOSIÇÃO</v>
          </cell>
          <cell r="C488">
            <v>1.5289999999999999</v>
          </cell>
          <cell r="D488" t="str">
            <v>Boca-de-bueiro simples tubular - BBST  D = 1,00m, em concreto ciclópico com 30% de pedra-de-mão, conforme projeto tipo (3,63m³/un)</v>
          </cell>
          <cell r="E488"/>
          <cell r="F488" t="str">
            <v xml:space="preserve">UN </v>
          </cell>
          <cell r="G488">
            <v>4679.3</v>
          </cell>
          <cell r="H488" t="str">
            <v>-</v>
          </cell>
        </row>
        <row r="489">
          <cell r="A489">
            <v>102740</v>
          </cell>
          <cell r="B489" t="str">
            <v>SINAPI</v>
          </cell>
          <cell r="C489" t="str">
            <v>73856/4</v>
          </cell>
          <cell r="D489" t="str">
            <v>Boca para bueiro simples tubular D = 100 cm em concreto, alas com esconsidade de 0°, incluindo fôrmas e materiais. AF_07/2021</v>
          </cell>
          <cell r="E489"/>
          <cell r="F489" t="str">
            <v>UN</v>
          </cell>
          <cell r="G489">
            <v>5733.81</v>
          </cell>
          <cell r="H489" t="str">
            <v>-</v>
          </cell>
        </row>
        <row r="490">
          <cell r="A490" t="str">
            <v>DR/0325</v>
          </cell>
          <cell r="B490" t="str">
            <v>COMPOSIÇÃO</v>
          </cell>
          <cell r="C490">
            <v>2.16</v>
          </cell>
          <cell r="D490" t="str">
            <v>Boca-de-bueiro simples tubular - BBST  D = 1,20m, em concreto ciclópico com 30% de pedra-de-mão, conforme projeto tipo (5,40m³/un)</v>
          </cell>
          <cell r="E490"/>
          <cell r="F490" t="str">
            <v xml:space="preserve">UN </v>
          </cell>
          <cell r="G490">
            <v>6449.75</v>
          </cell>
          <cell r="H490" t="str">
            <v>-</v>
          </cell>
        </row>
        <row r="491">
          <cell r="A491" t="str">
            <v>DR/0330</v>
          </cell>
          <cell r="B491" t="str">
            <v>COMPOSIÇÃO</v>
          </cell>
          <cell r="C491"/>
          <cell r="D491" t="str">
            <v>Boca-de-bueiro simples tubular - BBST  D = 1,50m, em concreto ciclópico com 30% de pedra-de-mão, conforme projeto tipo (8,95m³/un)</v>
          </cell>
          <cell r="E491"/>
          <cell r="F491" t="str">
            <v xml:space="preserve">UN </v>
          </cell>
          <cell r="G491">
            <v>9768.48</v>
          </cell>
          <cell r="H491" t="str">
            <v>-</v>
          </cell>
        </row>
        <row r="492">
          <cell r="A492" t="str">
            <v>DR/0335</v>
          </cell>
          <cell r="B492" t="str">
            <v>COMPOSIÇÃO</v>
          </cell>
          <cell r="C492"/>
          <cell r="D492" t="str">
            <v>Boca-de-bueiro simples celular - 1,50m x 1,50m, em concreto armado FCK 20 mpa, conforme projeto tipo (REF. SICRO COD. 0705225)</v>
          </cell>
          <cell r="E492"/>
          <cell r="F492" t="str">
            <v xml:space="preserve">UN </v>
          </cell>
          <cell r="G492">
            <v>19557.28</v>
          </cell>
          <cell r="H492" t="str">
            <v>-</v>
          </cell>
        </row>
        <row r="493">
          <cell r="A493" t="str">
            <v>DR/0340</v>
          </cell>
          <cell r="B493" t="str">
            <v>COMPOSIÇÃO</v>
          </cell>
          <cell r="C493"/>
          <cell r="D493" t="str">
            <v>Boca-de-bueiro simples celular - 2,00m x 2,00m, em concreto armado FCK 20 mpa, conforme projeto tipo (REF. SICRO COD. 0705233)</v>
          </cell>
          <cell r="E493"/>
          <cell r="F493" t="str">
            <v xml:space="preserve">UN </v>
          </cell>
          <cell r="G493">
            <v>29569.33</v>
          </cell>
          <cell r="H493" t="str">
            <v>-</v>
          </cell>
        </row>
        <row r="494">
          <cell r="A494" t="str">
            <v>DR/0341</v>
          </cell>
          <cell r="B494" t="str">
            <v>COMPOSIÇÃO</v>
          </cell>
          <cell r="C494"/>
          <cell r="D494" t="str">
            <v>Boca de BTCC 2,00 x 2,00 m - esconsidade 0° - areia e brita comerciais, conforme projeto tipo (REF. SICRO COD. 0705411)</v>
          </cell>
          <cell r="E494"/>
          <cell r="F494" t="str">
            <v xml:space="preserve">UN </v>
          </cell>
          <cell r="G494">
            <v>32230.26</v>
          </cell>
          <cell r="H494" t="str">
            <v>-</v>
          </cell>
        </row>
        <row r="495">
          <cell r="A495" t="str">
            <v>DR/0345</v>
          </cell>
          <cell r="B495" t="str">
            <v>COMPOSIÇÃO</v>
          </cell>
          <cell r="C495"/>
          <cell r="D495" t="str">
            <v>Boca-de-bueiro simples celular - 2,50m x 2,50m, em concreto armado FCK 20 mpa, conforme projeto tipo (REF. SICRO COD. 0705238)</v>
          </cell>
          <cell r="E495"/>
          <cell r="F495" t="str">
            <v xml:space="preserve">UN </v>
          </cell>
          <cell r="G495">
            <v>39297.019999999997</v>
          </cell>
          <cell r="H495" t="str">
            <v>-</v>
          </cell>
        </row>
        <row r="496">
          <cell r="A496" t="str">
            <v>DR/0350</v>
          </cell>
          <cell r="B496" t="str">
            <v>COMPOSIÇÃO</v>
          </cell>
          <cell r="C496"/>
          <cell r="D496" t="str">
            <v>Boca-de-bueiro simples celular - 3,00m x 3,00m, em concreto armado FCK 20 mpa, conforme projeto tipo (REF. SICRO COD. 0705249)</v>
          </cell>
          <cell r="E496"/>
          <cell r="F496" t="str">
            <v xml:space="preserve">UN </v>
          </cell>
          <cell r="G496">
            <v>54327.82</v>
          </cell>
          <cell r="H496" t="str">
            <v>-</v>
          </cell>
        </row>
        <row r="497">
          <cell r="A497" t="str">
            <v>DR/0355</v>
          </cell>
          <cell r="B497" t="str">
            <v>COMPOSIÇÃO</v>
          </cell>
          <cell r="C497">
            <v>53</v>
          </cell>
          <cell r="D497" t="str">
            <v>Tampão F°F° articulado, classe D400, carga máxima 40 T, redondo tampa 600 mm para rede pluvial/esgoto. Incluindo fornecimento, assentamento e requadro em concreto FCK 20mpa, de 1,00m x 1,00m x 0,20m</v>
          </cell>
          <cell r="E497"/>
          <cell r="F497" t="str">
            <v xml:space="preserve">UN </v>
          </cell>
          <cell r="G497">
            <v>769.65</v>
          </cell>
          <cell r="H497" t="str">
            <v>-</v>
          </cell>
        </row>
        <row r="498">
          <cell r="A498" t="str">
            <v>DR/0360</v>
          </cell>
          <cell r="B498" t="str">
            <v>COTAÇÃO - SEL</v>
          </cell>
          <cell r="C498"/>
          <cell r="D498" t="str">
            <v>Tampão F°F° articulado, classe D400, carga máxima 40 T, redondo tampa 600 mm para rede pluvial/esgoto, NBR 10160 e NBR 6916 / FE 42012</v>
          </cell>
          <cell r="E498" t="str">
            <v>SEL-012</v>
          </cell>
          <cell r="F498" t="str">
            <v xml:space="preserve">UN </v>
          </cell>
          <cell r="G498">
            <v>549.15</v>
          </cell>
          <cell r="H498" t="str">
            <v>-</v>
          </cell>
        </row>
        <row r="499">
          <cell r="A499">
            <v>11301</v>
          </cell>
          <cell r="B499" t="str">
            <v>SINAPI</v>
          </cell>
          <cell r="C499">
            <v>42.5</v>
          </cell>
          <cell r="D499" t="str">
            <v>Tampão FºFº articulado, classe B125 carga máxima 12,5 T, redondo taMPA 0,60 m, rede pluvial/esgoto. Exclusive assentamento</v>
          </cell>
          <cell r="E499"/>
          <cell r="F499" t="str">
            <v xml:space="preserve">UN    </v>
          </cell>
          <cell r="G499">
            <v>629.09</v>
          </cell>
          <cell r="H499" t="str">
            <v>-</v>
          </cell>
        </row>
        <row r="500">
          <cell r="A500">
            <v>98114</v>
          </cell>
          <cell r="B500" t="str">
            <v>SINAPI</v>
          </cell>
          <cell r="C500">
            <v>83627</v>
          </cell>
          <cell r="D500" t="str">
            <v>Tampão FºFº articulado, classe B125 carga máxima 12,5 T, redondo taMPA 0,60 m, rede pluvial/esgoto, para chaminé, caixa de areia e poço visita assentado com concreto FCK = 20MPA, fornecimento e assentamento</v>
          </cell>
          <cell r="E500"/>
          <cell r="F500" t="str">
            <v>UN</v>
          </cell>
          <cell r="G500">
            <v>686.28</v>
          </cell>
          <cell r="H500" t="str">
            <v>-</v>
          </cell>
        </row>
        <row r="501">
          <cell r="A501" t="str">
            <v>DR/0365</v>
          </cell>
          <cell r="B501" t="str">
            <v>COMPOSIÇÃO</v>
          </cell>
          <cell r="C501"/>
          <cell r="D501" t="str">
            <v>Substituição de tampão de PV, incluindo fornecimento de tampão de FºFº articulado, Classe B400, carga máxima 40 T, redondo tampa 600 mm para rede pluvial/esgoto, e requadro em concreto simples FCK 20mpa, de 1,00m x 1,00m x 0,20m</v>
          </cell>
          <cell r="E501"/>
          <cell r="F501" t="str">
            <v xml:space="preserve">UN </v>
          </cell>
          <cell r="G501">
            <v>837.92</v>
          </cell>
          <cell r="H501" t="str">
            <v>-</v>
          </cell>
        </row>
        <row r="502">
          <cell r="A502" t="str">
            <v>DR/0370</v>
          </cell>
          <cell r="B502" t="str">
            <v>COMPOSIÇÃO</v>
          </cell>
          <cell r="C502"/>
          <cell r="D502" t="str">
            <v>Remoção e reassentamento de tampão em F°F° para PV, com  reaproveitamento, incluindo recorte, demolição e requadro em concreto simples FCK 20mpa, de 1,00m x 1,00m x 0,20m</v>
          </cell>
          <cell r="E502"/>
          <cell r="F502" t="str">
            <v xml:space="preserve">UN </v>
          </cell>
          <cell r="G502">
            <v>220.5</v>
          </cell>
          <cell r="H502" t="str">
            <v>-</v>
          </cell>
        </row>
        <row r="503">
          <cell r="A503" t="str">
            <v>DR/0375</v>
          </cell>
          <cell r="B503" t="str">
            <v>COMPOSIÇÃO</v>
          </cell>
          <cell r="C503"/>
          <cell r="D503" t="str">
            <v>Grelha articulada fofo articulada, classe D400, carga máxima 40 T, 415 x 955 mm, para boca de lobo, NBR 10160 e NBR 6916 / FE 42012 - fornecimento e assentamento</v>
          </cell>
          <cell r="E503"/>
          <cell r="F503" t="str">
            <v xml:space="preserve">UN </v>
          </cell>
          <cell r="G503">
            <v>844.73</v>
          </cell>
          <cell r="H503" t="str">
            <v>-</v>
          </cell>
        </row>
        <row r="504">
          <cell r="A504" t="str">
            <v>DR/0380</v>
          </cell>
          <cell r="B504" t="str">
            <v>COTAÇÃO - SEL</v>
          </cell>
          <cell r="C504"/>
          <cell r="D504" t="str">
            <v>Grelha articulada fofo articulada, classe D400, carga máxima 40 T, 45 x 100 cm, para boca de lobo, NBR 10160 e NBR 6916 / FE 42012</v>
          </cell>
          <cell r="E504" t="str">
            <v>SEL-011</v>
          </cell>
          <cell r="F504" t="str">
            <v xml:space="preserve">UN </v>
          </cell>
          <cell r="G504">
            <v>727.28</v>
          </cell>
          <cell r="H504" t="str">
            <v>-</v>
          </cell>
        </row>
        <row r="505">
          <cell r="A505" t="str">
            <v>DR/0385</v>
          </cell>
          <cell r="B505" t="str">
            <v>COMPOSIÇÃO</v>
          </cell>
          <cell r="C505"/>
          <cell r="D505" t="str">
            <v>Substituição de quadro e grelha articulada em F°F°, classe D400, carga máxima 40 T, 415 x 955 mm para boca de lobo, incluindo demolição e implantação da sarjeta de contorno (chama) em concreto FCK = 20 mpa</v>
          </cell>
          <cell r="E505"/>
          <cell r="F505" t="str">
            <v xml:space="preserve">UN </v>
          </cell>
          <cell r="G505">
            <v>949.28</v>
          </cell>
          <cell r="H505" t="str">
            <v>-</v>
          </cell>
        </row>
        <row r="506">
          <cell r="A506" t="str">
            <v>DR/0390</v>
          </cell>
          <cell r="B506" t="str">
            <v>COMPOSIÇÃO</v>
          </cell>
          <cell r="C506"/>
          <cell r="D506" t="str">
            <v>Remoção e reassentamento de quadro e grelha articulada em F°F° para boca de lobo, incluindo demolição e implantação da sarjeta de contorno (chama) em concreto FCK = 20 Mpa</v>
          </cell>
          <cell r="E506"/>
          <cell r="F506" t="str">
            <v xml:space="preserve">UN </v>
          </cell>
          <cell r="G506">
            <v>216.3</v>
          </cell>
          <cell r="H506" t="str">
            <v>-</v>
          </cell>
        </row>
        <row r="507">
          <cell r="A507" t="str">
            <v>DR/0395</v>
          </cell>
          <cell r="B507" t="str">
            <v>COMPOSIÇÃO</v>
          </cell>
          <cell r="C507"/>
          <cell r="D507" t="str">
            <v>Tampão F°F° articulado T9, classe B125, carga máxima 12,5 T, redondo tampa 100 mm para registro de água. Incluindo fornecimento, assentamento e requadro em concreto FCK 20mpa, de 0,50m x 0,50m x 0,20m</v>
          </cell>
          <cell r="E507"/>
          <cell r="F507" t="str">
            <v xml:space="preserve">UN </v>
          </cell>
          <cell r="G507">
            <v>620.57000000000005</v>
          </cell>
          <cell r="H507" t="str">
            <v>-</v>
          </cell>
        </row>
        <row r="508">
          <cell r="A508" t="str">
            <v>DR/0400</v>
          </cell>
          <cell r="B508" t="str">
            <v>COMPOSIÇÃO</v>
          </cell>
          <cell r="C508"/>
          <cell r="D508" t="str">
            <v>Substituição de tampão de registro de água, incluindo fornecimento de tampão de FºFº articulado T9, Classe B125, carga máxima 12,5 T, redondo tampa 100 mm e requadro em concreto simples FCK 20mpa, de 0,50m x 0,50m x 0,20m</v>
          </cell>
          <cell r="E508"/>
          <cell r="F508" t="str">
            <v xml:space="preserve">UN </v>
          </cell>
          <cell r="G508">
            <v>1284.24</v>
          </cell>
          <cell r="H508" t="str">
            <v>-</v>
          </cell>
        </row>
        <row r="509">
          <cell r="A509" t="str">
            <v>DR/0405</v>
          </cell>
          <cell r="B509" t="str">
            <v>COTAÇÃO - SEL</v>
          </cell>
          <cell r="C509"/>
          <cell r="D509" t="str">
            <v>Tampão fofo articulado T12, classe B125, carga máxima 12,5 T, DN 150 mm, para registro de água, NBR 10160 e NBR 6916 / FE 42012</v>
          </cell>
          <cell r="E509" t="str">
            <v>SEL-014</v>
          </cell>
          <cell r="F509" t="str">
            <v xml:space="preserve">UN </v>
          </cell>
          <cell r="G509">
            <v>216.46</v>
          </cell>
          <cell r="H509" t="str">
            <v>-</v>
          </cell>
        </row>
        <row r="510">
          <cell r="A510" t="str">
            <v>DR/0410</v>
          </cell>
          <cell r="B510" t="str">
            <v>COMPOSIÇÃO</v>
          </cell>
          <cell r="C510"/>
          <cell r="D510" t="str">
            <v>Entrada para descida d'água - EDA 01 (REF. SICRO COD. 2003384, db 01-2023)</v>
          </cell>
          <cell r="E510"/>
          <cell r="F510" t="str">
            <v xml:space="preserve">UN </v>
          </cell>
          <cell r="G510">
            <v>93.01</v>
          </cell>
          <cell r="H510" t="str">
            <v>-</v>
          </cell>
        </row>
        <row r="511">
          <cell r="A511" t="str">
            <v>DR/0411</v>
          </cell>
          <cell r="B511" t="str">
            <v>COMPOSIÇÃO</v>
          </cell>
          <cell r="C511"/>
          <cell r="D511" t="str">
            <v>Entrada para descida d'água - EDA 02 (REF. SICRO COD. 2003387, db 01-2023)</v>
          </cell>
          <cell r="E511"/>
          <cell r="F511" t="str">
            <v xml:space="preserve">UN </v>
          </cell>
          <cell r="G511">
            <v>114.88</v>
          </cell>
          <cell r="H511" t="str">
            <v>-</v>
          </cell>
        </row>
        <row r="512">
          <cell r="A512" t="str">
            <v>DR/0415</v>
          </cell>
          <cell r="B512" t="str">
            <v>COMPOSIÇÃO</v>
          </cell>
          <cell r="C512"/>
          <cell r="D512" t="str">
            <v>Descida d'água tipo rápido, seção retangular - DAR 02 (REF. SICRO COD. 2003391, JAN/2020)</v>
          </cell>
          <cell r="E512"/>
          <cell r="F512" t="str">
            <v>M</v>
          </cell>
          <cell r="G512">
            <v>254.11</v>
          </cell>
          <cell r="H512" t="str">
            <v>-</v>
          </cell>
        </row>
        <row r="513">
          <cell r="A513" t="str">
            <v>DR/0420</v>
          </cell>
          <cell r="B513" t="str">
            <v>COMPOSIÇÃO</v>
          </cell>
          <cell r="C513"/>
          <cell r="D513" t="str">
            <v>Grade de ferro em barra chata e cantoneira (1,35 x 0,55) m, conforme projeto, inclui fornecimento e instalação</v>
          </cell>
          <cell r="E513"/>
          <cell r="F513" t="str">
            <v>UN</v>
          </cell>
          <cell r="G513">
            <v>676</v>
          </cell>
          <cell r="H513" t="str">
            <v>-</v>
          </cell>
        </row>
        <row r="514">
          <cell r="A514" t="str">
            <v>DR/0421</v>
          </cell>
          <cell r="B514" t="str">
            <v>COMPOSIÇÃO</v>
          </cell>
          <cell r="C514"/>
          <cell r="D514" t="str">
            <v>Grade de ferro em barra chata e cantoneira (1,74 x 0,94) m, conforme projeto, inclui fornecimento e instalação. Ref. SINAPI 99861 DB 06-21</v>
          </cell>
          <cell r="E514"/>
          <cell r="F514" t="str">
            <v>UN</v>
          </cell>
          <cell r="G514">
            <v>711.47</v>
          </cell>
          <cell r="H514" t="str">
            <v>-</v>
          </cell>
        </row>
        <row r="515">
          <cell r="A515" t="str">
            <v>DR/0430</v>
          </cell>
          <cell r="B515" t="str">
            <v>COMPOSIÇÃO</v>
          </cell>
          <cell r="C515"/>
          <cell r="D515" t="str">
            <v>Fornecimento e instalação de comporta deslizante de parede ‐ DN: 1100x1100 (mm) ‐ material de construção: ASTM a 240 TP 304 (AISI 304) ‐ elevação: 4000mm ‐ pressão: 3,00 Mca ‐ pedestal de manobras: incluso ‐ acionamento: manual volante. Posto obra / Caarapó</v>
          </cell>
          <cell r="E515"/>
          <cell r="F515" t="str">
            <v>UN</v>
          </cell>
          <cell r="G515">
            <v>269.75</v>
          </cell>
          <cell r="H515" t="str">
            <v>-</v>
          </cell>
        </row>
        <row r="516">
          <cell r="A516" t="str">
            <v>DR/0440</v>
          </cell>
          <cell r="B516" t="str">
            <v>COMPOSIÇÃO</v>
          </cell>
          <cell r="C516"/>
          <cell r="D516" t="str">
            <v>Reaterro manual hidraúlico de valas utilizando areia para aterro e compactação mecanizada, não inclui fornecimento de material. REF SINAPI 94342, DB 03-23</v>
          </cell>
          <cell r="E516"/>
          <cell r="F516" t="str">
            <v>M³</v>
          </cell>
          <cell r="G516">
            <v>30.36</v>
          </cell>
          <cell r="H516" t="str">
            <v>-</v>
          </cell>
        </row>
        <row r="517">
          <cell r="A517"/>
          <cell r="B517"/>
          <cell r="C517"/>
          <cell r="D517"/>
          <cell r="E517"/>
          <cell r="F517"/>
          <cell r="G517"/>
          <cell r="H517"/>
        </row>
        <row r="518">
          <cell r="A518"/>
          <cell r="B518"/>
          <cell r="C518" t="str">
            <v>7.0</v>
          </cell>
          <cell r="D518" t="str">
            <v>SERVIÇOS DE ESTRUTURAS E CONTENÇÕES</v>
          </cell>
          <cell r="E518"/>
          <cell r="F518"/>
          <cell r="G518"/>
          <cell r="H518" t="str">
            <v/>
          </cell>
        </row>
        <row r="519">
          <cell r="A519">
            <v>102487</v>
          </cell>
          <cell r="B519" t="str">
            <v>SINAPI</v>
          </cell>
          <cell r="C519">
            <v>73361</v>
          </cell>
          <cell r="D519" t="str">
            <v>Concreto ciclópico FCK = 15 MPA, 30% pedra de mão em volume real, inclusive lançamento</v>
          </cell>
          <cell r="E519"/>
          <cell r="F519" t="str">
            <v>M3</v>
          </cell>
          <cell r="G519">
            <v>548.4</v>
          </cell>
          <cell r="H519" t="str">
            <v>-</v>
          </cell>
        </row>
        <row r="520">
          <cell r="A520">
            <v>94962</v>
          </cell>
          <cell r="B520" t="str">
            <v>SINAPI</v>
          </cell>
          <cell r="C520"/>
          <cell r="D520" t="str">
            <v>Concreto magro para lastro, traço 1:4,5:4,5 (cimento/ areia média/ brita 1) - preparo mecânico com betoneira 400 l. AF_07/2016</v>
          </cell>
          <cell r="E520"/>
          <cell r="F520" t="str">
            <v>M3</v>
          </cell>
          <cell r="G520">
            <v>380.85</v>
          </cell>
          <cell r="H520" t="str">
            <v>-</v>
          </cell>
        </row>
        <row r="521">
          <cell r="A521">
            <v>94963</v>
          </cell>
          <cell r="B521" t="str">
            <v>SINAPI</v>
          </cell>
          <cell r="C521"/>
          <cell r="D521" t="str">
            <v>Concreto FCK = 15 MPA, traço 1:3,4:3,5 (cimento/ areia média/ brita 1) - preparo mecânico com betoneira 400 l. AF_07/2016</v>
          </cell>
          <cell r="E521"/>
          <cell r="F521" t="str">
            <v>M3</v>
          </cell>
          <cell r="G521">
            <v>427.82</v>
          </cell>
          <cell r="H521" t="str">
            <v>-</v>
          </cell>
        </row>
        <row r="522">
          <cell r="A522">
            <v>94964</v>
          </cell>
          <cell r="B522" t="str">
            <v>SINAPI</v>
          </cell>
          <cell r="C522"/>
          <cell r="D522" t="str">
            <v>Concreto FCK = 20 MPA, traço 1:2,7:3 (cimento/ areia média/ brita 1) - preparo mecânico com betoneira 400 l. AF_07/2016</v>
          </cell>
          <cell r="E522"/>
          <cell r="F522" t="str">
            <v>M3</v>
          </cell>
          <cell r="G522">
            <v>471.67</v>
          </cell>
          <cell r="H522" t="str">
            <v>-</v>
          </cell>
        </row>
        <row r="523">
          <cell r="A523">
            <v>94965</v>
          </cell>
          <cell r="B523" t="str">
            <v>SINAPI</v>
          </cell>
          <cell r="C523"/>
          <cell r="D523" t="str">
            <v>Concreto FCK = 25 MPA, traço 1:2,3:2,7 (cimento/ areia média/ brita 1) - preparo mecânico com betoneira 400 l. AF_07/2016</v>
          </cell>
          <cell r="E523"/>
          <cell r="F523" t="str">
            <v>M3</v>
          </cell>
          <cell r="G523">
            <v>494</v>
          </cell>
          <cell r="H523" t="str">
            <v>-</v>
          </cell>
        </row>
        <row r="524">
          <cell r="A524">
            <v>94966</v>
          </cell>
          <cell r="B524" t="str">
            <v>SINAPI</v>
          </cell>
          <cell r="C524"/>
          <cell r="D524" t="str">
            <v>Concreto FCK = 30 MPA, traço 1:2,1:2,5 (cimento/ areia média/ brita 1) - preparo mecânico com betoneira 400 l. AF_07/2016</v>
          </cell>
          <cell r="E524"/>
          <cell r="F524" t="str">
            <v>M3</v>
          </cell>
          <cell r="G524">
            <v>512.80999999999995</v>
          </cell>
          <cell r="H524" t="str">
            <v>-</v>
          </cell>
        </row>
        <row r="525">
          <cell r="A525">
            <v>94967</v>
          </cell>
          <cell r="B525" t="str">
            <v>SINAPI</v>
          </cell>
          <cell r="C525"/>
          <cell r="D525" t="str">
            <v>Concreto FCK = 40 MPA, traço 1:1,6:1,9 (cimento/ areia média/ brita 1) - preparo mecânico com betoneira 400 l. AF_07/2016</v>
          </cell>
          <cell r="E525"/>
          <cell r="F525" t="str">
            <v>M3</v>
          </cell>
          <cell r="G525">
            <v>591.29</v>
          </cell>
          <cell r="H525" t="str">
            <v>-</v>
          </cell>
        </row>
        <row r="526">
          <cell r="A526">
            <v>11146</v>
          </cell>
          <cell r="B526" t="str">
            <v>SINAPI</v>
          </cell>
          <cell r="C526"/>
          <cell r="D526" t="str">
            <v>Concreto autoadensável (CAA) classe de resistência C15, espalhamento SF2, inclui serviço de bombeamento (NBR 15823)</v>
          </cell>
          <cell r="E526"/>
          <cell r="F526" t="str">
            <v xml:space="preserve">M3    </v>
          </cell>
          <cell r="G526">
            <v>613.26</v>
          </cell>
          <cell r="H526" t="str">
            <v>-</v>
          </cell>
        </row>
        <row r="527">
          <cell r="A527">
            <v>34492</v>
          </cell>
          <cell r="B527" t="str">
            <v>SINAPI</v>
          </cell>
          <cell r="C527"/>
          <cell r="D527" t="str">
            <v>Concreto usinado bombeável, classe de resistência C20, com brita 0,00 e 1, slump = 100 +/- 20 mm, exclui serviço de bombeamento (NBR 8953)</v>
          </cell>
          <cell r="E527"/>
          <cell r="F527" t="str">
            <v xml:space="preserve">M3    </v>
          </cell>
          <cell r="G527">
            <v>545</v>
          </cell>
          <cell r="H527" t="str">
            <v>-</v>
          </cell>
        </row>
        <row r="528">
          <cell r="A528">
            <v>34493</v>
          </cell>
          <cell r="B528" t="str">
            <v>SINAPI</v>
          </cell>
          <cell r="C528"/>
          <cell r="D528" t="str">
            <v>Concreto usinado bombeável, classe de resistência C25, com brita 0,00 e 1, slump = 100 +/- 20 mm, exclui serviço de bombeamento (NBR 8953)</v>
          </cell>
          <cell r="E528"/>
          <cell r="F528" t="str">
            <v xml:space="preserve">M3    </v>
          </cell>
          <cell r="G528">
            <v>560.36</v>
          </cell>
          <cell r="H528" t="str">
            <v>-</v>
          </cell>
        </row>
        <row r="529">
          <cell r="A529">
            <v>34494</v>
          </cell>
          <cell r="B529" t="str">
            <v>SINAPI</v>
          </cell>
          <cell r="C529"/>
          <cell r="D529" t="str">
            <v>Concreto usinado bombeável, classe de resistência C30, com brita 0,00 e 1, slump = 100 +/- 20 mm, exclui serviço de bombeamento (NBR 8953)</v>
          </cell>
          <cell r="E529"/>
          <cell r="F529" t="str">
            <v xml:space="preserve">M3    </v>
          </cell>
          <cell r="G529">
            <v>579.04</v>
          </cell>
          <cell r="H529" t="str">
            <v>-</v>
          </cell>
        </row>
        <row r="530">
          <cell r="A530">
            <v>34495</v>
          </cell>
          <cell r="B530" t="str">
            <v>SINAPI</v>
          </cell>
          <cell r="C530"/>
          <cell r="D530" t="str">
            <v>Concreto usinado bombeável, classe de resistência C35, com brita 0,00 e 1, slump = 100 +/- 20 mm, exclui serviço de bombeamento (NBR 8953)</v>
          </cell>
          <cell r="E530"/>
          <cell r="F530" t="str">
            <v xml:space="preserve">M3    </v>
          </cell>
          <cell r="G530">
            <v>597.71</v>
          </cell>
          <cell r="H530" t="str">
            <v>-</v>
          </cell>
        </row>
        <row r="531">
          <cell r="A531">
            <v>90280</v>
          </cell>
          <cell r="B531" t="str">
            <v>SINAPI</v>
          </cell>
          <cell r="C531"/>
          <cell r="D531" t="str">
            <v>Graute FGK = 25 MPA; traço 1:0,02:1,2:1,5 (cimento/ cal/ areia grossa/ brita 0) - preparo mecânico com betoneira 400 l. AF_02/2015</v>
          </cell>
          <cell r="E531"/>
          <cell r="F531" t="str">
            <v>M3</v>
          </cell>
          <cell r="G531">
            <v>634.6</v>
          </cell>
          <cell r="H531" t="str">
            <v>-</v>
          </cell>
        </row>
        <row r="532">
          <cell r="A532">
            <v>90284</v>
          </cell>
          <cell r="B532" t="str">
            <v>SINAPI</v>
          </cell>
          <cell r="C532"/>
          <cell r="D532" t="str">
            <v>Graute FGK = 25 MPA; traço 1:1,2:1,5 (cimento/ areia grossa/ brita 0/ aditivo) - preparo mecânico com betoneira 400 l. AF_02/2015</v>
          </cell>
          <cell r="E532"/>
          <cell r="F532" t="str">
            <v>M3</v>
          </cell>
          <cell r="G532">
            <v>627.23</v>
          </cell>
          <cell r="H532" t="str">
            <v>-</v>
          </cell>
        </row>
        <row r="533">
          <cell r="A533">
            <v>103670</v>
          </cell>
          <cell r="B533" t="str">
            <v>SINAPI</v>
          </cell>
          <cell r="C533" t="str">
            <v>74157/4
EC/0001
92873</v>
          </cell>
          <cell r="D533" t="str">
            <v>Lançamento com uso de baldes, adensamento e acabamento de concreto em estruturas. AF_12/2015</v>
          </cell>
          <cell r="E533"/>
          <cell r="F533" t="str">
            <v>M3</v>
          </cell>
          <cell r="G533">
            <v>257.33999999999997</v>
          </cell>
          <cell r="H533" t="str">
            <v>-</v>
          </cell>
        </row>
        <row r="534">
          <cell r="A534">
            <v>103673</v>
          </cell>
          <cell r="B534" t="str">
            <v>SINAPI</v>
          </cell>
          <cell r="C534">
            <v>92874</v>
          </cell>
          <cell r="D534" t="str">
            <v>Lançamento com uso de bomba, adensamento e acabamento de concreto em estruturas. AF_12/2015</v>
          </cell>
          <cell r="E534"/>
          <cell r="F534" t="str">
            <v>M3</v>
          </cell>
          <cell r="G534">
            <v>36.17</v>
          </cell>
          <cell r="H534" t="str">
            <v>-</v>
          </cell>
        </row>
        <row r="535">
          <cell r="A535">
            <v>41805</v>
          </cell>
          <cell r="B535" t="str">
            <v>COTAÇÃO - SINAPI</v>
          </cell>
          <cell r="C535"/>
          <cell r="D535" t="str">
            <v>Locação de andaime suspenso ou balancim manual, capacidade de carga total de aproximadamente 250 kg/m2, plataforma de 1,50 m x 0,80 m (c x l), cabo de 45 m</v>
          </cell>
          <cell r="E535"/>
          <cell r="F535" t="str">
            <v xml:space="preserve">MES   </v>
          </cell>
          <cell r="G535">
            <v>675.62</v>
          </cell>
          <cell r="H535" t="str">
            <v>-</v>
          </cell>
        </row>
        <row r="536">
          <cell r="A536">
            <v>10527</v>
          </cell>
          <cell r="B536" t="str">
            <v>SINAPI</v>
          </cell>
          <cell r="C536">
            <v>20193</v>
          </cell>
          <cell r="D536" t="str">
            <v>Locação de andaime metálico tubular de encaixe, tipo de torre, com largura de 1 ate 1,50 m e altura de *1,00* m (incluso sapatas fixas ou rodízios)</v>
          </cell>
          <cell r="E536"/>
          <cell r="F536" t="str">
            <v xml:space="preserve">MXMES </v>
          </cell>
          <cell r="G536">
            <v>23.5</v>
          </cell>
          <cell r="H536" t="str">
            <v>-</v>
          </cell>
        </row>
        <row r="537">
          <cell r="A537">
            <v>97064</v>
          </cell>
          <cell r="B537" t="str">
            <v>SINAPI</v>
          </cell>
          <cell r="C537">
            <v>97063</v>
          </cell>
          <cell r="D537" t="str">
            <v>Montagem e desmontagem de andaime tubular tipo torre (exclusive andaime e limpeza). AF_11/2017</v>
          </cell>
          <cell r="E537"/>
          <cell r="F537" t="str">
            <v>M</v>
          </cell>
          <cell r="G537">
            <v>18.54</v>
          </cell>
          <cell r="H537" t="str">
            <v>-</v>
          </cell>
        </row>
        <row r="538">
          <cell r="A538">
            <v>90439</v>
          </cell>
          <cell r="B538" t="str">
            <v>SINAPI</v>
          </cell>
          <cell r="C538"/>
          <cell r="D538" t="str">
            <v>Furo em concreto para diâmetros menores ou iguais a 40 mm. AF_05/2015</v>
          </cell>
          <cell r="E538"/>
          <cell r="F538" t="str">
            <v>UN</v>
          </cell>
          <cell r="G538">
            <v>66.180000000000007</v>
          </cell>
          <cell r="H538" t="str">
            <v>-</v>
          </cell>
        </row>
        <row r="539">
          <cell r="A539">
            <v>90440</v>
          </cell>
          <cell r="B539" t="str">
            <v>SINAPI</v>
          </cell>
          <cell r="C539"/>
          <cell r="D539" t="str">
            <v>Furo em concreto para diâmetros maiores que 40 mm e menores ou iguais a 75 mm. AF_05/2015</v>
          </cell>
          <cell r="E539"/>
          <cell r="F539" t="str">
            <v>UN</v>
          </cell>
          <cell r="G539">
            <v>106</v>
          </cell>
          <cell r="H539" t="str">
            <v>-</v>
          </cell>
        </row>
        <row r="540">
          <cell r="A540">
            <v>90441</v>
          </cell>
          <cell r="B540" t="str">
            <v>SINAPI</v>
          </cell>
          <cell r="C540"/>
          <cell r="D540" t="str">
            <v>Furo em concreto para diâmetros maiores que 75 mm. AF_05/2015</v>
          </cell>
          <cell r="E540"/>
          <cell r="F540" t="str">
            <v>UN</v>
          </cell>
          <cell r="G540">
            <v>135.38999999999999</v>
          </cell>
          <cell r="H540" t="str">
            <v>-</v>
          </cell>
        </row>
        <row r="541">
          <cell r="A541">
            <v>93959</v>
          </cell>
          <cell r="B541" t="str">
            <v>SINAPI</v>
          </cell>
          <cell r="C541"/>
          <cell r="D541" t="str">
            <v>Execução de grampo para solo grampeado com comprimento maior que 6 m e menor ou igual a 8 m, diâmetro nominal de 10 cm, perfuração com equipamento manual e armadura com diâmetro nominal de 20 mm. AF_05/2016</v>
          </cell>
          <cell r="E541"/>
          <cell r="F541" t="str">
            <v>M</v>
          </cell>
          <cell r="G541">
            <v>218.78</v>
          </cell>
          <cell r="H541" t="str">
            <v>-</v>
          </cell>
        </row>
        <row r="542">
          <cell r="A542">
            <v>93960</v>
          </cell>
          <cell r="B542" t="str">
            <v>SINAPI</v>
          </cell>
          <cell r="C542"/>
          <cell r="D542" t="str">
            <v>Execução de grampo para solo grampeado com comprimento maior que 8 m e menor ou igual a 10 m, diâmetro nominal de 10 cm, perfuração com equipamento manual e armadura com diâmetro nominal de 20 mm. AF_05/2016</v>
          </cell>
          <cell r="E542"/>
          <cell r="F542" t="str">
            <v>M</v>
          </cell>
          <cell r="G542">
            <v>211.8</v>
          </cell>
          <cell r="H542" t="str">
            <v>-</v>
          </cell>
        </row>
        <row r="543">
          <cell r="A543">
            <v>91074</v>
          </cell>
          <cell r="B543" t="str">
            <v>SINAPI</v>
          </cell>
          <cell r="C543"/>
          <cell r="D543" t="str">
            <v>Execução de revestimento de concreto projetado com espessura de 10 cm, armado com tela, inclinação menor que 90°, aplicação contínua, utilizando equipamento de projeção com 3 m³/h de capacidade. AF_01/2016</v>
          </cell>
          <cell r="E543" t="str">
            <v>AREIA MÉDIA
0,1345 m³/m³
BRITA
0,069 m³/m³</v>
          </cell>
          <cell r="F543" t="str">
            <v>M2</v>
          </cell>
          <cell r="G543">
            <v>145.91</v>
          </cell>
          <cell r="H543" t="str">
            <v>-</v>
          </cell>
        </row>
        <row r="544">
          <cell r="A544">
            <v>91099</v>
          </cell>
          <cell r="B544" t="str">
            <v>SINAPI</v>
          </cell>
          <cell r="C544"/>
          <cell r="D544" t="str">
            <v>Execução de revestimento de concreto projetado com espessura de 10 cm, armado com fibras de aço, inclinação menor que 90°, aplicação descontínua, utilizando equipamento de projeção com 3 m³/h de capacidade. AF_01/2016</v>
          </cell>
          <cell r="E544"/>
          <cell r="F544" t="str">
            <v>M2</v>
          </cell>
          <cell r="G544">
            <v>181.09</v>
          </cell>
          <cell r="H544" t="str">
            <v>-</v>
          </cell>
        </row>
        <row r="545">
          <cell r="A545" t="str">
            <v>EC/0005</v>
          </cell>
          <cell r="B545" t="str">
            <v>COMPOSIÇÃO</v>
          </cell>
          <cell r="C545"/>
          <cell r="D545" t="str">
            <v>Injeção de calda de cimento, inclindo aditivo expansor, fornecimento, preparo e aplicação</v>
          </cell>
          <cell r="E545"/>
          <cell r="F545" t="str">
            <v>L</v>
          </cell>
          <cell r="G545">
            <v>1.92</v>
          </cell>
          <cell r="H545" t="str">
            <v>-</v>
          </cell>
        </row>
        <row r="546">
          <cell r="A546" t="str">
            <v>EC/0010</v>
          </cell>
          <cell r="B546" t="str">
            <v>COMPOSIÇÃO</v>
          </cell>
          <cell r="C546"/>
          <cell r="D546" t="str">
            <v>Execução de grampo para solo grampeado com comprimento maior que 10 m, diâmetro de 7 cm, perfuração com equipamento manual. Incluindo armadura dupla CA-50 de 2Ø16 mm, centralizadores, tubos de injeção multifases, válvula de injeção, pintura anticorrosiva e injeção de calda de cimento (REF. SINAPI COD. 93966)</v>
          </cell>
          <cell r="E546"/>
          <cell r="F546" t="str">
            <v>M</v>
          </cell>
          <cell r="G546">
            <v>194.74</v>
          </cell>
          <cell r="H546" t="str">
            <v>-</v>
          </cell>
        </row>
        <row r="547">
          <cell r="A547">
            <v>92415</v>
          </cell>
          <cell r="B547" t="str">
            <v>SINAPI</v>
          </cell>
          <cell r="C547"/>
          <cell r="D547" t="str">
            <v>Montagem e desmontagem de fôrma de pilares retangulares e estruturas similares, pé-direito simples, em chapa de madeira compensada resinada, 2 utilizações. AF_09/2020</v>
          </cell>
          <cell r="E547"/>
          <cell r="F547" t="str">
            <v>M2</v>
          </cell>
          <cell r="G547">
            <v>135.49</v>
          </cell>
          <cell r="H547" t="str">
            <v>-</v>
          </cell>
        </row>
        <row r="548">
          <cell r="A548">
            <v>92419</v>
          </cell>
          <cell r="B548" t="str">
            <v>SINAPI</v>
          </cell>
          <cell r="C548"/>
          <cell r="D548" t="str">
            <v>Montagem e desmontagem de fôrma de pilares retangulares e estruturas similares, pé-direito simples, em chapa de madeira compensada resinada, 4 utilizações. AF_09/2020</v>
          </cell>
          <cell r="E548"/>
          <cell r="F548" t="str">
            <v>M2</v>
          </cell>
          <cell r="G548">
            <v>84.47</v>
          </cell>
          <cell r="H548" t="str">
            <v>-</v>
          </cell>
        </row>
        <row r="549">
          <cell r="A549">
            <v>92423</v>
          </cell>
          <cell r="B549" t="str">
            <v>SINAPI</v>
          </cell>
          <cell r="C549"/>
          <cell r="D549" t="str">
            <v>Montagem e desmontagem de fôrma de pilares retangulares e estruturas similares, pé-direito simples, em chapa de madeira compensada resinada, 6 utilizações. AF_09/2020</v>
          </cell>
          <cell r="E549"/>
          <cell r="F549" t="str">
            <v>M2</v>
          </cell>
          <cell r="G549">
            <v>68.790000000000006</v>
          </cell>
          <cell r="H549" t="str">
            <v>-</v>
          </cell>
        </row>
        <row r="550">
          <cell r="A550">
            <v>92431</v>
          </cell>
          <cell r="B550" t="str">
            <v>SINAPI</v>
          </cell>
          <cell r="C550"/>
          <cell r="D550" t="str">
            <v>Montagem e desmontagem de fôrma de pilares retangulares e estruturas similares, pé-direito simples, em chapa de madeira compensada plastificada, 10 utilizações. AF_09/2020</v>
          </cell>
          <cell r="E550"/>
          <cell r="F550" t="str">
            <v>M2</v>
          </cell>
          <cell r="G550">
            <v>58.14</v>
          </cell>
          <cell r="H550" t="str">
            <v>-</v>
          </cell>
        </row>
        <row r="551">
          <cell r="A551">
            <v>92439</v>
          </cell>
          <cell r="B551" t="str">
            <v>SINAPI</v>
          </cell>
          <cell r="C551"/>
          <cell r="D551" t="str">
            <v>Montagem e desmontagem de fôrma de pilares retangulares e estruturas similares, pé-direito simples, em chapa de madeira compensada plastificada, 14 utilizações. AF_09/2020</v>
          </cell>
          <cell r="E551"/>
          <cell r="F551" t="str">
            <v>M2</v>
          </cell>
          <cell r="G551">
            <v>52.85</v>
          </cell>
          <cell r="H551" t="str">
            <v>-</v>
          </cell>
        </row>
        <row r="552">
          <cell r="A552">
            <v>92915</v>
          </cell>
          <cell r="B552" t="str">
            <v>SINAPI</v>
          </cell>
          <cell r="C552"/>
          <cell r="D552" t="str">
            <v>Armação de estruturas de concreto armado, exceto vigas, pilares, lajes e fundações, utilizando aço CA-60 de 5,0 mm - montagem. AF_12/2015</v>
          </cell>
          <cell r="E552"/>
          <cell r="F552" t="str">
            <v>KG</v>
          </cell>
          <cell r="G552">
            <v>17.02</v>
          </cell>
          <cell r="H552" t="str">
            <v>-</v>
          </cell>
        </row>
        <row r="553">
          <cell r="A553">
            <v>92916</v>
          </cell>
          <cell r="B553" t="str">
            <v>SINAPI</v>
          </cell>
          <cell r="C553"/>
          <cell r="D553" t="str">
            <v>Armação de estruturas de concreto armado, exceto vigas, pilares, lajes e fundações, utilizando aço CA-50 de 6,3 mm - montagem. AF_12/2015</v>
          </cell>
          <cell r="E553"/>
          <cell r="F553" t="str">
            <v>KG</v>
          </cell>
          <cell r="G553">
            <v>16.010000000000002</v>
          </cell>
          <cell r="H553" t="str">
            <v>-</v>
          </cell>
        </row>
        <row r="554">
          <cell r="A554">
            <v>92917</v>
          </cell>
          <cell r="B554" t="str">
            <v>SINAPI</v>
          </cell>
          <cell r="C554"/>
          <cell r="D554" t="str">
            <v>Armação de estruturas de concreto armado, exceto vigas, pilares, lajes e fundações, utilizando aço CA-50 de 8,0 mm - montagem. AF_12/2015</v>
          </cell>
          <cell r="E554"/>
          <cell r="F554" t="str">
            <v>KG</v>
          </cell>
          <cell r="G554">
            <v>14.93</v>
          </cell>
          <cell r="H554" t="str">
            <v>-</v>
          </cell>
        </row>
        <row r="555">
          <cell r="A555">
            <v>92919</v>
          </cell>
          <cell r="B555" t="str">
            <v>SINAPI</v>
          </cell>
          <cell r="C555"/>
          <cell r="D555" t="str">
            <v>Armação de estruturas de concreto armado, exceto vigas, pilares, lajes e fundações, utilizando aço CA-50 de 10,0 mm - montagem. AF_12/2015</v>
          </cell>
          <cell r="E555"/>
          <cell r="F555" t="str">
            <v>KG</v>
          </cell>
          <cell r="G555">
            <v>13.23</v>
          </cell>
          <cell r="H555" t="str">
            <v>-</v>
          </cell>
        </row>
        <row r="556">
          <cell r="A556">
            <v>92921</v>
          </cell>
          <cell r="B556" t="str">
            <v>SINAPI</v>
          </cell>
          <cell r="C556"/>
          <cell r="D556" t="str">
            <v>Armação de estruturas de concreto armado, exceto vigas, pilares, lajes e fundações, utilizando aço CA-50 de 12,5 mm - montagem. AF_12/2015</v>
          </cell>
          <cell r="E556"/>
          <cell r="F556" t="str">
            <v>KG</v>
          </cell>
          <cell r="G556">
            <v>11.05</v>
          </cell>
          <cell r="H556" t="str">
            <v>-</v>
          </cell>
        </row>
        <row r="557">
          <cell r="A557">
            <v>92922</v>
          </cell>
          <cell r="B557" t="str">
            <v>SINAPI</v>
          </cell>
          <cell r="C557"/>
          <cell r="D557" t="str">
            <v>Armação de estruturas de concreto armado, exceto vigas, pilares, lajes e fundações, utilizando aço CA-50 de 16,0 mm - montagem. AF_12/2015</v>
          </cell>
          <cell r="E557"/>
          <cell r="F557" t="str">
            <v>KG</v>
          </cell>
          <cell r="G557">
            <v>10.63</v>
          </cell>
          <cell r="H557" t="str">
            <v>-</v>
          </cell>
        </row>
        <row r="558">
          <cell r="A558">
            <v>92923</v>
          </cell>
          <cell r="B558" t="str">
            <v>SINAPI</v>
          </cell>
          <cell r="C558"/>
          <cell r="D558" t="str">
            <v>Armação de estruturas de concreto armado, exceto vigas, pilares, lajes e fundações, utilizando aço CA-50 de 20,0 mm - montagem. AF_12/2015</v>
          </cell>
          <cell r="E558"/>
          <cell r="F558" t="str">
            <v>KG</v>
          </cell>
          <cell r="G558">
            <v>12.06</v>
          </cell>
          <cell r="H558" t="str">
            <v>-</v>
          </cell>
        </row>
        <row r="559">
          <cell r="A559">
            <v>92924</v>
          </cell>
          <cell r="B559" t="str">
            <v>SINAPI</v>
          </cell>
          <cell r="C559"/>
          <cell r="D559" t="str">
            <v>Armação de estruturas de concreto armado, exceto vigas, pilares, lajes e fundações, utilizando aço CA-50 de 25,0 mm - montagem. AF_12/2015</v>
          </cell>
          <cell r="E559"/>
          <cell r="F559" t="str">
            <v>KG</v>
          </cell>
          <cell r="G559">
            <v>11.88</v>
          </cell>
          <cell r="H559" t="str">
            <v>-</v>
          </cell>
        </row>
        <row r="560">
          <cell r="A560">
            <v>91007</v>
          </cell>
          <cell r="B560"/>
          <cell r="C560"/>
          <cell r="D560" t="str">
            <v>SUBSTITUIR PELA COMPOSIÇÃO EC/0130</v>
          </cell>
          <cell r="E560" t="str">
            <v>ATENÇÃO
fôrma metálica</v>
          </cell>
          <cell r="F560" t="str">
            <v>-</v>
          </cell>
          <cell r="G560" t="str">
            <v>-</v>
          </cell>
          <cell r="H560" t="str">
            <v>-</v>
          </cell>
        </row>
        <row r="561">
          <cell r="A561">
            <v>92409</v>
          </cell>
          <cell r="B561" t="str">
            <v>SINAPI</v>
          </cell>
          <cell r="C561"/>
          <cell r="D561" t="str">
            <v>Montagem e desmontagem de fôrma de pilares retangulares e estruturas similares, pé-direito simples, em madeira serrada, 1 utilização. AF_09/2020</v>
          </cell>
          <cell r="E561"/>
          <cell r="F561" t="str">
            <v>M2</v>
          </cell>
          <cell r="G561">
            <v>326.66000000000003</v>
          </cell>
          <cell r="H561" t="str">
            <v>-</v>
          </cell>
        </row>
        <row r="562">
          <cell r="A562">
            <v>92411</v>
          </cell>
          <cell r="B562" t="str">
            <v>SINAPI</v>
          </cell>
          <cell r="C562"/>
          <cell r="D562" t="str">
            <v>Montagem e desmontagem de fôrma de pilares retangulares e estruturas similares, pé-direito simples, em madeira serrada, 2 utilizações. AF_09/2020</v>
          </cell>
          <cell r="E562"/>
          <cell r="F562" t="str">
            <v>M2</v>
          </cell>
          <cell r="G562">
            <v>199.73</v>
          </cell>
          <cell r="H562" t="str">
            <v>-</v>
          </cell>
        </row>
        <row r="563">
          <cell r="A563">
            <v>92413</v>
          </cell>
          <cell r="B563" t="str">
            <v>SINAPI</v>
          </cell>
          <cell r="C563"/>
          <cell r="D563" t="str">
            <v>Montagem e desmontagem de fôrma de pilares retangulares e estruturas similares, pé-direito simples, em madeira serrada, 4 utilizações. AF_09/2020</v>
          </cell>
          <cell r="E563"/>
          <cell r="F563" t="str">
            <v>M2</v>
          </cell>
          <cell r="G563">
            <v>122.05</v>
          </cell>
          <cell r="H563" t="str">
            <v>-</v>
          </cell>
        </row>
        <row r="564">
          <cell r="A564">
            <v>96534</v>
          </cell>
          <cell r="B564" t="str">
            <v>SINAPI</v>
          </cell>
          <cell r="C564"/>
          <cell r="D564" t="str">
            <v>Fabricação, montagem e desmontagem de fôrma para bloco de coroamento, em madeira serrada, e = 25 mm, 4 utilizações. AF_06/2017</v>
          </cell>
          <cell r="E564"/>
          <cell r="F564" t="str">
            <v>M2</v>
          </cell>
          <cell r="G564">
            <v>87.21</v>
          </cell>
          <cell r="H564" t="str">
            <v>-</v>
          </cell>
        </row>
        <row r="565">
          <cell r="A565">
            <v>96543</v>
          </cell>
          <cell r="B565" t="str">
            <v>SINAPI</v>
          </cell>
          <cell r="C565"/>
          <cell r="D565" t="str">
            <v>Armação de bloco, viga baldrame e sapata utilizando aço CA-60 de 5 mm - montagem. AF_06/2017</v>
          </cell>
          <cell r="E565"/>
          <cell r="F565" t="str">
            <v>KG</v>
          </cell>
          <cell r="G565">
            <v>17.829999999999998</v>
          </cell>
          <cell r="H565" t="str">
            <v>-</v>
          </cell>
        </row>
        <row r="566">
          <cell r="A566">
            <v>100342</v>
          </cell>
          <cell r="B566" t="str">
            <v>SINAPI</v>
          </cell>
          <cell r="C566"/>
          <cell r="D566" t="str">
            <v>Armação de cortina de contenção em concreto armado, com aço CA-50 de 6,3 mm - montagem. AF_07/2019</v>
          </cell>
          <cell r="E566"/>
          <cell r="F566" t="str">
            <v>KG</v>
          </cell>
          <cell r="G566">
            <v>15.07</v>
          </cell>
          <cell r="H566" t="str">
            <v>-</v>
          </cell>
        </row>
        <row r="567">
          <cell r="A567">
            <v>100343</v>
          </cell>
          <cell r="B567" t="str">
            <v>SINAPI</v>
          </cell>
          <cell r="C567"/>
          <cell r="D567" t="str">
            <v>Armação de cortina de contenção em concreto armado, com aço CA-50 de 8 mm - montagem. AF_07/2019</v>
          </cell>
          <cell r="E567"/>
          <cell r="F567" t="str">
            <v>KG</v>
          </cell>
          <cell r="G567">
            <v>14.36</v>
          </cell>
          <cell r="H567" t="str">
            <v>-</v>
          </cell>
        </row>
        <row r="568">
          <cell r="A568">
            <v>100344</v>
          </cell>
          <cell r="B568" t="str">
            <v>SINAPI</v>
          </cell>
          <cell r="C568"/>
          <cell r="D568" t="str">
            <v>Armação de cortina de contenção em concreto armado, com aço CA-50 de 10 mm - montagem. AF_07/2019</v>
          </cell>
          <cell r="E568"/>
          <cell r="F568" t="str">
            <v>KG</v>
          </cell>
          <cell r="G568">
            <v>12.95</v>
          </cell>
          <cell r="H568" t="str">
            <v>-</v>
          </cell>
        </row>
        <row r="569">
          <cell r="A569">
            <v>100345</v>
          </cell>
          <cell r="B569" t="str">
            <v>SINAPI</v>
          </cell>
          <cell r="C569"/>
          <cell r="D569" t="str">
            <v>Armação de cortina de contenção em concreto armado, com aço CA-50 de 12,5 mm - montagem. AF_07/2019</v>
          </cell>
          <cell r="E569"/>
          <cell r="F569" t="str">
            <v>KG</v>
          </cell>
          <cell r="G569">
            <v>10.99</v>
          </cell>
          <cell r="H569" t="str">
            <v>-</v>
          </cell>
        </row>
        <row r="570">
          <cell r="A570">
            <v>100346</v>
          </cell>
          <cell r="B570" t="str">
            <v>SINAPI</v>
          </cell>
          <cell r="C570"/>
          <cell r="D570" t="str">
            <v>Armação de cortina de contenção em concreto armado, com aço CA-50 de 16 mm - montagem. AF_07/2019</v>
          </cell>
          <cell r="E570"/>
          <cell r="F570" t="str">
            <v>KG</v>
          </cell>
          <cell r="G570">
            <v>10.49</v>
          </cell>
          <cell r="H570" t="str">
            <v>-</v>
          </cell>
        </row>
        <row r="571">
          <cell r="A571">
            <v>100347</v>
          </cell>
          <cell r="B571" t="str">
            <v>SINAPI</v>
          </cell>
          <cell r="C571"/>
          <cell r="D571" t="str">
            <v>Armação de cortina de contenção em concreto armado, com aço CA-50 de 20 mm - montagem. AF_07/2019</v>
          </cell>
          <cell r="E571"/>
          <cell r="F571" t="str">
            <v>KG</v>
          </cell>
          <cell r="G571">
            <v>11.85</v>
          </cell>
          <cell r="H571" t="str">
            <v>-</v>
          </cell>
        </row>
        <row r="572">
          <cell r="A572">
            <v>100348</v>
          </cell>
          <cell r="B572" t="str">
            <v>SINAPI</v>
          </cell>
          <cell r="C572"/>
          <cell r="D572" t="str">
            <v>Armação de cortina de contenção em concreto armado, com aço CA-50 de 25 mm - montagem. AF_07/2019</v>
          </cell>
          <cell r="E572"/>
          <cell r="F572" t="str">
            <v>KG</v>
          </cell>
          <cell r="G572">
            <v>11.62</v>
          </cell>
          <cell r="H572" t="str">
            <v>-</v>
          </cell>
        </row>
        <row r="573">
          <cell r="A573">
            <v>91593</v>
          </cell>
          <cell r="B573" t="str">
            <v>SINAPI</v>
          </cell>
          <cell r="C573"/>
          <cell r="D573" t="str">
            <v>Armação do sistema de paredes de concreto, executada em paredes de edificações de múltiplos pavimentos, tela Q-138. AF_06/2019</v>
          </cell>
          <cell r="E573"/>
          <cell r="F573" t="str">
            <v>KG</v>
          </cell>
          <cell r="G573">
            <v>10.81</v>
          </cell>
          <cell r="H573" t="str">
            <v>-</v>
          </cell>
        </row>
        <row r="574">
          <cell r="A574">
            <v>91594</v>
          </cell>
          <cell r="B574" t="str">
            <v>SINAPI</v>
          </cell>
          <cell r="C574">
            <v>85662</v>
          </cell>
          <cell r="D574" t="str">
            <v>Armação em tela soldada nervurada Q-92 (15x15cm) #4,2x4,2mm (1,48kg/m²), aço CA-60, para estrutura, fornecimento e aplicação</v>
          </cell>
          <cell r="E574"/>
          <cell r="F574" t="str">
            <v>KG</v>
          </cell>
          <cell r="G574">
            <v>11.2</v>
          </cell>
          <cell r="H574" t="str">
            <v>-</v>
          </cell>
        </row>
        <row r="575">
          <cell r="A575" t="str">
            <v>EC/0015</v>
          </cell>
          <cell r="B575" t="str">
            <v>COMPOSIÇÃO</v>
          </cell>
          <cell r="C575"/>
          <cell r="D575" t="str">
            <v>Montagem/Desmontagem de estrutura em peças pré-moldadas de concreto na obra, inclusive guincho 35T</v>
          </cell>
          <cell r="E575"/>
          <cell r="F575" t="str">
            <v>T</v>
          </cell>
          <cell r="G575">
            <v>116.09</v>
          </cell>
          <cell r="H575" t="str">
            <v>-</v>
          </cell>
        </row>
        <row r="576">
          <cell r="A576">
            <v>101792</v>
          </cell>
          <cell r="B576" t="str">
            <v>SINAPI</v>
          </cell>
          <cell r="C576"/>
          <cell r="D576" t="str">
            <v>Escoramento de fôrmas de laje em madeira não aparelhada, pé-direito simples, incluso travamento, 4 utilizações. AF_09/2020</v>
          </cell>
          <cell r="E576"/>
          <cell r="F576" t="str">
            <v>M3</v>
          </cell>
          <cell r="G576">
            <v>15.78</v>
          </cell>
          <cell r="H576" t="str">
            <v>-</v>
          </cell>
        </row>
        <row r="577">
          <cell r="A577">
            <v>101793</v>
          </cell>
          <cell r="B577" t="str">
            <v>SINAPI</v>
          </cell>
          <cell r="C577"/>
          <cell r="D577" t="str">
            <v>Escoramento de fôrmas de laje em madeira não aparelhada, pé-direito duplo, incluso travamento, 4 utilizações. AF_09/2020</v>
          </cell>
          <cell r="E577"/>
          <cell r="F577" t="str">
            <v>M3</v>
          </cell>
          <cell r="G577">
            <v>23.72</v>
          </cell>
          <cell r="H577" t="str">
            <v>-</v>
          </cell>
        </row>
        <row r="578">
          <cell r="A578">
            <v>92743</v>
          </cell>
          <cell r="B578" t="str">
            <v>SINAPI</v>
          </cell>
          <cell r="C578"/>
          <cell r="D578" t="str">
            <v>Muro de gabião, enchimento com pedra de mão tipo rachão, de gravidade, com gaiolas de comprimento igual a 2 m, para muros com altura menor ou igual a 4 m  fornecimento e execução. AF_12/2015</v>
          </cell>
          <cell r="E578" t="str">
            <v>SEM PVC</v>
          </cell>
          <cell r="F578" t="str">
            <v>M3</v>
          </cell>
          <cell r="G578">
            <v>591.22</v>
          </cell>
          <cell r="H578" t="str">
            <v>-</v>
          </cell>
        </row>
        <row r="579">
          <cell r="A579">
            <v>92745</v>
          </cell>
          <cell r="B579" t="str">
            <v>SINAPI</v>
          </cell>
          <cell r="C579"/>
          <cell r="D579" t="str">
            <v>Muro de gabião, enchimento com pedra de mão tipo rachão, de gravidade, com gaiolas de comprimento igual a 2 m, para muros com altura maior que 4 m e menor ou igual a 6 m  fornecimento e execução. AF_12/2015</v>
          </cell>
          <cell r="E579"/>
          <cell r="F579" t="str">
            <v>M3</v>
          </cell>
          <cell r="G579">
            <v>723.88</v>
          </cell>
          <cell r="H579" t="str">
            <v>-</v>
          </cell>
        </row>
        <row r="580">
          <cell r="A580">
            <v>92747</v>
          </cell>
          <cell r="B580" t="str">
            <v>SINAPI</v>
          </cell>
          <cell r="C580"/>
          <cell r="D580" t="str">
            <v>Muro de gabião, enchimento com pedra de mão tipo rachão, de gravidade, com gaiolas de comprimento igual a 2 m, para muros com altura maior que 6 m e menor ou igual a 10 m fornecimento e execução. AF_12/2015</v>
          </cell>
          <cell r="E580"/>
          <cell r="F580" t="str">
            <v>M3</v>
          </cell>
          <cell r="G580">
            <v>798.36</v>
          </cell>
          <cell r="H580" t="str">
            <v>-</v>
          </cell>
        </row>
        <row r="581">
          <cell r="A581" t="str">
            <v>EC/0020</v>
          </cell>
          <cell r="B581" t="str">
            <v>COMPOSIÇÃO</v>
          </cell>
          <cell r="C581"/>
          <cell r="D581" t="str">
    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    </cell>
          <cell r="E581"/>
          <cell r="F581" t="str">
            <v>M3</v>
          </cell>
          <cell r="G581">
            <v>722.26</v>
          </cell>
          <cell r="H581" t="str">
            <v>-</v>
          </cell>
        </row>
        <row r="582">
          <cell r="A582" t="str">
            <v>EC/0025</v>
          </cell>
          <cell r="B582" t="str">
            <v>COMPOSIÇÃO</v>
          </cell>
          <cell r="C582"/>
          <cell r="D582" t="str">
    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    </cell>
          <cell r="E582"/>
          <cell r="F582" t="str">
            <v>M3</v>
          </cell>
          <cell r="G582">
            <v>846.72</v>
          </cell>
          <cell r="H582" t="str">
            <v>-</v>
          </cell>
        </row>
        <row r="583">
          <cell r="A583" t="str">
            <v>EC/0030</v>
          </cell>
          <cell r="B583" t="str">
            <v>COMPOSIÇÃO</v>
          </cell>
          <cell r="C583"/>
          <cell r="D583" t="str">
    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    </cell>
          <cell r="E583"/>
          <cell r="F583" t="str">
            <v>M3</v>
          </cell>
          <cell r="G583">
            <v>916.53</v>
          </cell>
          <cell r="H583" t="str">
            <v>-</v>
          </cell>
        </row>
        <row r="584">
          <cell r="A584" t="str">
            <v>EC/0031</v>
          </cell>
          <cell r="B584" t="str">
            <v>COMPOSIÇÃO</v>
          </cell>
          <cell r="C584"/>
          <cell r="D584" t="str">
            <v>Muro de gabião tipo caixa, enchimento com pedra de mão tipo rachão, para solo reforçado com gaiolas com painel de ancoragem de 4 m (ZN/AL+PVC # 8x10cm Ø2.7mm), dimensões 2,0x1,0x0,5m, geotêxtil RT10 - fornecimento e execução. Exclusive transporte. REF SINAPI 92745, DB 04-2023</v>
          </cell>
          <cell r="E584"/>
          <cell r="F584" t="str">
            <v>M3</v>
          </cell>
          <cell r="G584">
            <v>948.96</v>
          </cell>
          <cell r="H584" t="str">
            <v>-</v>
          </cell>
        </row>
        <row r="585">
          <cell r="A585" t="str">
            <v>EC/0032</v>
          </cell>
          <cell r="B585" t="str">
            <v>COMPOSIÇÃO</v>
          </cell>
          <cell r="C585"/>
          <cell r="D585" t="str">
            <v>Muro de gabião tipo caixa, enchimento com pedra de mão tipo rachão, para solo reforçado com gaiolas com painel de ancoragem de 4 m (ZN/AL+PVC # 8x10cm Ø2.7mm), dimensões 2,0x1,0x1,0m, geotêxtil RT10 - fornecimento e execução. Exclusive transporte. REF SINAPI 92745, DB 04-2023</v>
          </cell>
          <cell r="E585"/>
          <cell r="F585" t="str">
            <v>M3</v>
          </cell>
          <cell r="G585">
            <v>737.54</v>
          </cell>
          <cell r="H585" t="str">
            <v>-</v>
          </cell>
        </row>
        <row r="586">
          <cell r="A586">
            <v>92749</v>
          </cell>
          <cell r="B586" t="str">
            <v>SINAPI</v>
          </cell>
          <cell r="C586"/>
          <cell r="D586" t="str">
            <v>Muro de gabião, enchimento com pedra de mão tipo rachão, com solo reforçado, para muros com altura menor ou igual a 4 m fornecimento e execução. AF_12/2015</v>
          </cell>
          <cell r="E586" t="str">
            <v>TERRAMESH
14,85 kg/m³</v>
          </cell>
          <cell r="F586" t="str">
            <v>M3</v>
          </cell>
          <cell r="G586">
            <v>829.82</v>
          </cell>
          <cell r="H586" t="str">
            <v>-</v>
          </cell>
        </row>
        <row r="587">
          <cell r="A587">
            <v>92750</v>
          </cell>
          <cell r="B587" t="str">
            <v>SINAPI</v>
          </cell>
          <cell r="C587"/>
          <cell r="D587" t="str">
            <v>Muro de gabião, enchimento com pedra de mão tipo rachão, com solo reforçado, para muros com altura maior que 4 m e menor ou igual a 12 m fornecimento e execução. AF_12/2015</v>
          </cell>
          <cell r="E587"/>
          <cell r="F587" t="str">
            <v>M3</v>
          </cell>
          <cell r="G587">
            <v>1393.74</v>
          </cell>
          <cell r="H587" t="str">
            <v>-</v>
          </cell>
        </row>
        <row r="588">
          <cell r="A588" t="str">
            <v>EC-0033</v>
          </cell>
          <cell r="B588" t="str">
            <v>COMPOSIÇÃO</v>
          </cell>
          <cell r="C588"/>
          <cell r="D588" t="str">
    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    </cell>
          <cell r="E588"/>
          <cell r="F588" t="str">
            <v>M3</v>
          </cell>
          <cell r="G588">
            <v>877.23</v>
          </cell>
          <cell r="H588" t="str">
            <v>-</v>
          </cell>
        </row>
        <row r="589">
          <cell r="A589" t="str">
            <v>EC/0035</v>
          </cell>
          <cell r="B589" t="str">
            <v>COMPOSIÇÃO</v>
          </cell>
          <cell r="C589"/>
          <cell r="D589" t="str">
            <v>Muro de gabião, enchimento com pedra de mão tipo rachão, para solo reforçado com gaiolas com painel de ancoragem de 5 m (ZN/AL+PVC # 8x10cm Ø2.7mm), altura do muro acima de 4 e até 12 metros, geotêxtil RT10 - fornecimento e execução. Exclusive transporte</v>
          </cell>
          <cell r="E589"/>
          <cell r="F589" t="str">
            <v>M3</v>
          </cell>
          <cell r="G589">
            <v>1082.08</v>
          </cell>
          <cell r="H589" t="str">
            <v>-</v>
          </cell>
        </row>
        <row r="590">
          <cell r="A590" t="str">
            <v>EC/0036</v>
          </cell>
          <cell r="B590" t="str">
            <v>COMPOSIÇÃO</v>
          </cell>
          <cell r="C590"/>
          <cell r="D590" t="str">
            <v>Muro de gabião tipo caixa, enchimento com pedra de mão tipo rachão, para solo reforçado com gaiolas  (ZN/AL # 8x10cm Ø2.7mm), H=0,5 M, geotêxtil RT10 - fornecimento e execução. Exclusive transporte. REF SINAPI 92745, DB 04-2023</v>
          </cell>
          <cell r="E590"/>
          <cell r="F590" t="str">
            <v>M3</v>
          </cell>
          <cell r="G590">
            <v>810.04</v>
          </cell>
          <cell r="H590" t="str">
            <v>-</v>
          </cell>
        </row>
        <row r="591">
          <cell r="A591" t="str">
            <v>EC/0037</v>
          </cell>
          <cell r="B591" t="str">
            <v>COMPOSIÇÃO</v>
          </cell>
          <cell r="C591"/>
          <cell r="D591" t="str">
            <v>Muro de gabião tipo caixa, enchimento com pedra de mão tipo rachão, para solo reforçado com gaiolas com painel de ancoragem de 5 m (ZN/AL+PVC # 8x10cm Ø2.7mm), dimensões 2,0x1,0x0,5m, geotêxtil RT10 - fornecimento e execução. Exclusive transporte. REF SINAPI 92745, DB 04-2023</v>
          </cell>
          <cell r="E591"/>
          <cell r="F591" t="str">
            <v>M3</v>
          </cell>
          <cell r="G591">
            <v>1243.9000000000001</v>
          </cell>
          <cell r="H591" t="str">
            <v>-</v>
          </cell>
        </row>
        <row r="592">
          <cell r="A592" t="str">
            <v>EC/0038</v>
          </cell>
          <cell r="B592" t="str">
            <v>COMPOSIÇÃO</v>
          </cell>
          <cell r="C592"/>
          <cell r="D592" t="str">
            <v>Muro de gabião tipo caixa, enchimento com pedra de mão tipo rachão, para solo reforçado com gaiolas com painel de ancoragem de 6 m (ZN/AL+PVC # 8x10cm Ø2.7mm), dimensões 2,0x1,0x0,5m, geotêxtil RT10 - fornecimento e execução. Exclusive transporte. REF SINAPI 92745, DB 04-2023</v>
          </cell>
          <cell r="E592"/>
          <cell r="F592" t="str">
            <v>M3</v>
          </cell>
          <cell r="G592">
            <v>1341.99</v>
          </cell>
          <cell r="H592" t="str">
            <v>-</v>
          </cell>
        </row>
        <row r="593">
          <cell r="A593" t="str">
            <v>EC/0039</v>
          </cell>
          <cell r="B593" t="str">
            <v>COMPOSIÇÃO</v>
          </cell>
          <cell r="C593"/>
          <cell r="D593" t="str">
            <v>Muro de gabião tipo caixa, enchimento com pedra de mão tipo rachão, para solo reforçado com gaiolas com painel de ancoragem de 5 m (ZN/AL+PVC # 8x10cm Ø2.7mm), dimensões 2,0x1,0x1,0m, geotêxtil RT10 - fornecimento e execução. Exclusive transporte. REF SINAPI 92745, DB 04-2023</v>
          </cell>
          <cell r="E593"/>
          <cell r="F593" t="str">
            <v>M3</v>
          </cell>
          <cell r="G593">
            <v>893.88</v>
          </cell>
          <cell r="H593" t="str">
            <v>-</v>
          </cell>
        </row>
        <row r="594">
          <cell r="A594" t="str">
            <v>EC/0040</v>
          </cell>
          <cell r="B594" t="str">
            <v>COMPOSIÇÃO</v>
          </cell>
          <cell r="C594"/>
          <cell r="D594" t="str">
            <v>Muro de gabião, enchimento com pedra de mão tipo rachão, para solo reforçado com gaiolas com painel de ancoragem de 6 m (ZN/AL+PVC # 8x10cm Ø2.7mm), altura do muro acima de 4 e até 12 metros, geotêxtil RT10 - fornecimento e execução. Exclusive transporte</v>
          </cell>
          <cell r="E594"/>
          <cell r="F594" t="str">
            <v>M3</v>
          </cell>
          <cell r="G594">
            <v>1147.4100000000001</v>
          </cell>
          <cell r="H594" t="str">
            <v>-</v>
          </cell>
        </row>
        <row r="595">
          <cell r="A595" t="str">
            <v>EC/0041</v>
          </cell>
          <cell r="B595" t="str">
            <v>COMPOSIÇÃO</v>
          </cell>
          <cell r="C595"/>
          <cell r="D595" t="str">
            <v>Muro de gabião tipo caixa, enchimento com pedra de mão tipo rachão, para solo reforçado com gaiolas com painel de ancoragem de 6 m (ZN/AL+PVC # 8x10cm Ø2.7mm), dimensões 2,0x1,0x1,0m, geotêxtil RT10 - fornecimento e execução. Exclusive transporte. REF SINAPI 92745, DB 04-2023</v>
          </cell>
          <cell r="E595"/>
          <cell r="F595" t="str">
            <v>M3</v>
          </cell>
          <cell r="G595">
            <v>941.58</v>
          </cell>
          <cell r="H595" t="str">
            <v>-</v>
          </cell>
        </row>
        <row r="596">
          <cell r="A596">
            <v>92755</v>
          </cell>
          <cell r="B596" t="str">
            <v>SINAPI</v>
          </cell>
          <cell r="C596"/>
          <cell r="D596" t="str">
            <v>Proteção superficial de canal em gabião tipo colchão, altura de 17 centímetros, enchimento com pedra de mão tipo rachão - fornecimento e execução. AF_12/2015</v>
          </cell>
          <cell r="E596"/>
          <cell r="F596" t="str">
            <v>M2</v>
          </cell>
          <cell r="G596">
            <v>215.81</v>
          </cell>
          <cell r="H596" t="str">
            <v>-</v>
          </cell>
        </row>
        <row r="597">
          <cell r="A597">
            <v>92756</v>
          </cell>
          <cell r="B597" t="str">
            <v>SINAPI</v>
          </cell>
          <cell r="C597"/>
          <cell r="D597" t="str">
            <v>Proteção superficial de canal em gabião tipo colchão, altura de 23 centímetros, enchimento com pedra de mão tipo rachão - fornecimento e execução. AF_12/2015</v>
          </cell>
          <cell r="E597"/>
          <cell r="F597" t="str">
            <v>M2</v>
          </cell>
          <cell r="G597">
            <v>245.34</v>
          </cell>
          <cell r="H597" t="str">
            <v>-</v>
          </cell>
        </row>
        <row r="598">
          <cell r="A598">
            <v>92757</v>
          </cell>
          <cell r="B598" t="str">
            <v>SINAPI</v>
          </cell>
          <cell r="C598"/>
          <cell r="D598" t="str">
            <v>Proteção superficial de canal em gabião tipo colchão, altura de 30 centímetros, enchimento com pedra de mão tipo rachão - fornecimento e execução. AF_12/2015</v>
          </cell>
          <cell r="E598"/>
          <cell r="F598" t="str">
            <v>M2</v>
          </cell>
          <cell r="G598">
            <v>281.11</v>
          </cell>
          <cell r="H598" t="str">
            <v>-</v>
          </cell>
        </row>
        <row r="599">
          <cell r="A599">
            <v>92758</v>
          </cell>
          <cell r="B599" t="str">
            <v>SINAPI</v>
          </cell>
          <cell r="C599"/>
          <cell r="D599" t="str">
            <v>Proteção superficial de canal em gabião tipo saco (ZN/AL+PVC # 8x10cm Ø2,4mm), diâmetro de 65 centímetros, enchimento manual com pedra de mão tipo rachão - fornecimento e execução. Exclusive transporte AF_12/2015</v>
          </cell>
          <cell r="E599"/>
          <cell r="F599" t="str">
            <v>M3</v>
          </cell>
          <cell r="G599">
            <v>635.75</v>
          </cell>
          <cell r="H599" t="str">
            <v>-</v>
          </cell>
        </row>
        <row r="600">
          <cell r="A600" t="str">
            <v>73881/1</v>
          </cell>
          <cell r="B600" t="str">
            <v>SINAPI</v>
          </cell>
          <cell r="C600"/>
          <cell r="D600" t="str">
            <v>VERIFICAR CÓDIGOS: 102712, 10713, 102715. Execução de dreno com manta geotêxtil 200 g/m2</v>
          </cell>
          <cell r="E600"/>
          <cell r="F600" t="e">
            <v>#N/A</v>
          </cell>
          <cell r="G600" t="e">
            <v>#N/A</v>
          </cell>
          <cell r="H600" t="str">
            <v>VER COMP</v>
          </cell>
        </row>
        <row r="601">
          <cell r="A601">
            <v>102712</v>
          </cell>
          <cell r="B601" t="str">
            <v>SINAPI</v>
          </cell>
          <cell r="C601"/>
          <cell r="D601" t="str">
            <v>Geotêxtil não tecido 100% poliéster, resistência a tração de 9 kn/m (RT - 9), instalado em dreno - fornecimento e instalação. AF_07/2021</v>
          </cell>
          <cell r="E601"/>
          <cell r="F601" t="str">
            <v>M2</v>
          </cell>
          <cell r="G601">
            <v>13.94</v>
          </cell>
          <cell r="H601" t="str">
            <v>VER COMP</v>
          </cell>
        </row>
        <row r="602">
          <cell r="A602">
            <v>102713</v>
          </cell>
          <cell r="B602" t="str">
            <v>SINAPI</v>
          </cell>
          <cell r="C602"/>
          <cell r="D602" t="str">
            <v>Geotêxtil não tecido 100% poliéster, resistência a tração de 14 kn/m (RT - 14), instalado em dreno - fornecimento e instalação. AF_07/2021</v>
          </cell>
          <cell r="E602"/>
          <cell r="F602" t="str">
            <v>M2</v>
          </cell>
          <cell r="G602">
            <v>19.27</v>
          </cell>
          <cell r="H602" t="str">
            <v>VER COMP</v>
          </cell>
        </row>
        <row r="603">
          <cell r="A603">
            <v>102715</v>
          </cell>
          <cell r="B603" t="str">
            <v>SINAPI</v>
          </cell>
          <cell r="C603"/>
          <cell r="D603" t="str">
            <v>Geotêxtil não tecido 100% poliéster, resistência a tração de 26 kn/m (RT - 26), instalado em dreno - fornecimento e instalação. AF_07/2021</v>
          </cell>
          <cell r="E603"/>
          <cell r="F603" t="str">
            <v>M2</v>
          </cell>
          <cell r="G603">
            <v>38.43</v>
          </cell>
          <cell r="H603" t="str">
            <v>VER COMP</v>
          </cell>
        </row>
        <row r="604">
          <cell r="A604">
            <v>102670</v>
          </cell>
          <cell r="B604" t="str">
            <v>SINAPI</v>
          </cell>
          <cell r="C604"/>
          <cell r="D604" t="str">
            <v>Dreno profundo (seção 0,50 x 1,50 m), com tubo de PEAD corrugado perfurado, DN 100 mm, enchimento com areia, com selo de argila. AF_07/2021</v>
          </cell>
          <cell r="E604"/>
          <cell r="F604" t="str">
            <v>M</v>
          </cell>
          <cell r="G604">
            <v>98.57</v>
          </cell>
          <cell r="H604" t="str">
            <v>-</v>
          </cell>
        </row>
        <row r="605">
          <cell r="A605">
            <v>102673</v>
          </cell>
          <cell r="B605" t="str">
            <v>SINAPI</v>
          </cell>
          <cell r="C605"/>
          <cell r="D605" t="str">
            <v>Dreno profundo (seção 0,50 x 1,50 m), com tubo de concreto simples poroso, DN 200 mm, enchimento com areia, com selo de argila. AF_07/2021</v>
          </cell>
          <cell r="E605"/>
          <cell r="F605" t="str">
            <v>M</v>
          </cell>
          <cell r="G605">
            <v>150.55000000000001</v>
          </cell>
          <cell r="H605" t="str">
            <v>-</v>
          </cell>
        </row>
        <row r="606">
          <cell r="A606">
            <v>102674</v>
          </cell>
          <cell r="B606" t="str">
            <v>SINAPI</v>
          </cell>
          <cell r="C606"/>
          <cell r="D606" t="str">
            <v>Dreno profundo (seção 0,50 x 1,50 m), com tubo de PEAD corrugado perfurado, DN 100 mm, enchimento com areia. AF_07/2021</v>
          </cell>
          <cell r="E606"/>
          <cell r="F606" t="str">
            <v>M</v>
          </cell>
          <cell r="G606">
            <v>105.75</v>
          </cell>
          <cell r="H606" t="str">
            <v>-</v>
          </cell>
        </row>
        <row r="607">
          <cell r="A607">
            <v>102677</v>
          </cell>
          <cell r="B607" t="str">
            <v>SINAPI</v>
          </cell>
          <cell r="C607"/>
          <cell r="D607" t="str">
            <v>Dreno profundo (seção 0,50 x 1,50 m), com tubo de concreto simples poroso, DN 200 mm, enchimento com areia. AF_07/2021</v>
          </cell>
          <cell r="E607"/>
          <cell r="F607" t="str">
            <v>M</v>
          </cell>
          <cell r="G607">
            <v>138.9</v>
          </cell>
          <cell r="H607" t="str">
            <v>-</v>
          </cell>
        </row>
        <row r="608">
          <cell r="A608">
            <v>102678</v>
          </cell>
          <cell r="B608" t="str">
            <v>SINAPI</v>
          </cell>
          <cell r="C608"/>
          <cell r="D608" t="str">
            <v>Dreno profundo (seção 0,50 x 1,50 m), cego, enchimento de brita, envolvido com manta geotêxtil, com selo de argila. AF_07/2021</v>
          </cell>
          <cell r="E608"/>
          <cell r="F608" t="str">
            <v>M</v>
          </cell>
          <cell r="G608">
            <v>161.06</v>
          </cell>
          <cell r="H608" t="str">
            <v>-</v>
          </cell>
        </row>
        <row r="609">
          <cell r="A609">
            <v>102679</v>
          </cell>
          <cell r="B609" t="str">
            <v>SINAPI</v>
          </cell>
          <cell r="C609"/>
          <cell r="D609" t="str">
            <v>Dreno profundo (seção 0,50 x 1,50 m), cego, enchimento de brita, envolvido com manta geotêxtil. AF_07/2021</v>
          </cell>
          <cell r="E609"/>
          <cell r="F609" t="str">
            <v>M</v>
          </cell>
          <cell r="G609">
            <v>170.91</v>
          </cell>
          <cell r="H609" t="str">
            <v>-</v>
          </cell>
        </row>
        <row r="610">
          <cell r="A610">
            <v>102680</v>
          </cell>
          <cell r="B610" t="str">
            <v>SINAPI</v>
          </cell>
          <cell r="C610"/>
          <cell r="D610" t="str">
            <v>Dreno profundo (seção 0,50 x 1,50 m), com tubo de PEAD corrugado perfurado, DN 100 mm, enchimento com brita, envolvido com manta geotêxtil, com selo de argila. AF_07/2021</v>
          </cell>
          <cell r="E610"/>
          <cell r="F610" t="str">
            <v>M</v>
          </cell>
          <cell r="G610">
            <v>173.79</v>
          </cell>
          <cell r="H610" t="str">
            <v>-</v>
          </cell>
        </row>
        <row r="611">
          <cell r="A611">
            <v>102683</v>
          </cell>
          <cell r="B611" t="str">
            <v>SINAPI</v>
          </cell>
          <cell r="C611"/>
          <cell r="D611" t="str">
            <v>Dreno profundo (seção 0,50 x 1,50 m), com tubo de concreto simples poroso, DN 200 mm, enchimento com brita, envolvido com manta geotêxtil, com selo de argila. AF_07/2021</v>
          </cell>
          <cell r="E611"/>
          <cell r="F611" t="str">
            <v>M</v>
          </cell>
          <cell r="G611">
            <v>211.46</v>
          </cell>
          <cell r="H611" t="str">
            <v>-</v>
          </cell>
        </row>
        <row r="612">
          <cell r="A612">
            <v>102684</v>
          </cell>
          <cell r="B612" t="str">
            <v>SINAPI</v>
          </cell>
          <cell r="C612"/>
          <cell r="D612" t="str">
            <v>Dreno profundo (seção 0,50 x 1,50 m), com tubo de PEAD corrugado perfurado, DN 100 mm, enchimento com brita, envolvido com manta geotêxtil. AF_07/2021</v>
          </cell>
          <cell r="E612"/>
          <cell r="F612" t="str">
            <v>M</v>
          </cell>
          <cell r="G612">
            <v>183.64</v>
          </cell>
          <cell r="H612" t="str">
            <v>-</v>
          </cell>
        </row>
        <row r="613">
          <cell r="A613">
            <v>102687</v>
          </cell>
          <cell r="B613" t="str">
            <v>SINAPI</v>
          </cell>
          <cell r="C613"/>
          <cell r="D613" t="str">
            <v>Dreno profundo (seção 0,50 x 1,50 m), com tubo de concreto simples poroso, DN 200 mm, enchimento com brita, envolvido com manta geotêxtil. AF_07/2021</v>
          </cell>
          <cell r="E613"/>
          <cell r="F613" t="str">
            <v>M</v>
          </cell>
          <cell r="G613">
            <v>216.63</v>
          </cell>
          <cell r="H613" t="str">
            <v>-</v>
          </cell>
        </row>
        <row r="614">
          <cell r="A614">
            <v>102688</v>
          </cell>
          <cell r="B614" t="str">
            <v>SINAPI</v>
          </cell>
          <cell r="C614"/>
          <cell r="D614" t="str">
            <v>Dreno espinha de peixe (seção (0,40 x 0,40 m), com tubo de PEAD corrugado perfurado, DN 100 mm, enchimento com areia, inclusive conexões. AF_07/2021</v>
          </cell>
          <cell r="E614"/>
          <cell r="F614" t="str">
            <v>M</v>
          </cell>
          <cell r="G614">
            <v>39.619999999999997</v>
          </cell>
          <cell r="H614" t="str">
            <v>-</v>
          </cell>
        </row>
        <row r="615">
          <cell r="A615">
            <v>102690</v>
          </cell>
          <cell r="B615" t="str">
            <v>SINAPI</v>
          </cell>
          <cell r="C615"/>
          <cell r="D615" t="str">
            <v>Dreno espinha de peixe (seção (0,40 x 0,40 m), com tubo de PEAD corrugado perfurado, DN 100 mm, enchimento com brita, envolvido com manta geotêxtil, inclusive conexões. AF_07/2021</v>
          </cell>
          <cell r="E615"/>
          <cell r="F615" t="str">
            <v>M</v>
          </cell>
          <cell r="G615">
            <v>76.959999999999994</v>
          </cell>
          <cell r="H615" t="str">
            <v>-</v>
          </cell>
        </row>
        <row r="616">
          <cell r="A616">
            <v>102694</v>
          </cell>
          <cell r="B616" t="str">
            <v>SINAPI</v>
          </cell>
          <cell r="C616"/>
          <cell r="D616" t="str">
            <v>Dreno espinha de peixe seção (0,50 x 0,80 m), com tubo de PEAD corrugado perfurado, DN 100 mm, enchimento com areia, inclusive conexões. AF_07/2021</v>
          </cell>
          <cell r="E616"/>
          <cell r="F616" t="str">
            <v>M</v>
          </cell>
          <cell r="G616">
            <v>72.790000000000006</v>
          </cell>
          <cell r="H616" t="str">
            <v>-</v>
          </cell>
        </row>
        <row r="617">
          <cell r="A617">
            <v>102697</v>
          </cell>
          <cell r="B617" t="str">
            <v>SINAPI</v>
          </cell>
          <cell r="C617"/>
          <cell r="D617" t="str">
            <v>Dreno espinha de peixe seção (0,50 x 0,80 m), com tubo de PEAD corrugado perfurado, DN 100 mm, enchimento com brita, envolvido com manta geotêxtil, inclusive conexões. AF_07/2021</v>
          </cell>
          <cell r="E617"/>
          <cell r="F617" t="str">
            <v>M</v>
          </cell>
          <cell r="G617">
            <v>125</v>
          </cell>
          <cell r="H617" t="str">
            <v>-</v>
          </cell>
        </row>
        <row r="618">
          <cell r="A618" t="str">
            <v>EC/0043</v>
          </cell>
          <cell r="B618" t="str">
            <v>COMPOSIÇÃO</v>
          </cell>
          <cell r="C618">
            <v>83669</v>
          </cell>
          <cell r="D618" t="str">
            <v>Manta de geotêxtil tecida com resistência à tração longitudinal de 16 kN/m e à tração transversal de 14 kN/m,  RT-16, incluindo perda do transpasse (REF. SINAPI COD. 73881/3 2020-08)</v>
          </cell>
          <cell r="E618"/>
          <cell r="F618" t="str">
            <v>M3</v>
          </cell>
          <cell r="G618">
            <v>20.04</v>
          </cell>
          <cell r="H618" t="str">
            <v>-</v>
          </cell>
        </row>
        <row r="619">
          <cell r="A619">
            <v>4012</v>
          </cell>
          <cell r="B619" t="str">
            <v>COTAÇÃO - SINAPI</v>
          </cell>
          <cell r="C619" t="str">
            <v>73881/3</v>
          </cell>
          <cell r="D619" t="str">
            <v>Geotêxtil não tecido agulhado de filamentos contínuos 100% poliéster, resistência a tração = 21 kn/m</v>
          </cell>
          <cell r="E619"/>
          <cell r="F619" t="str">
            <v xml:space="preserve">M2    </v>
          </cell>
          <cell r="G619">
            <v>25.1</v>
          </cell>
          <cell r="H619" t="str">
            <v>-</v>
          </cell>
        </row>
        <row r="620">
          <cell r="A620">
            <v>101173</v>
          </cell>
          <cell r="B620" t="str">
            <v>SINAPI</v>
          </cell>
          <cell r="C620">
            <v>98228</v>
          </cell>
          <cell r="D620" t="str">
            <v>Estaca broca de concreto, diâmetro nominal de 20 cm, escavação manual com trado concha, com armadura de arranque. AF_05/2020</v>
          </cell>
          <cell r="E620"/>
          <cell r="F620" t="str">
            <v>M</v>
          </cell>
          <cell r="G620">
            <v>58.44</v>
          </cell>
          <cell r="H620" t="str">
            <v>-</v>
          </cell>
        </row>
        <row r="621">
          <cell r="A621">
            <v>101174</v>
          </cell>
          <cell r="B621" t="str">
            <v>SINAPI</v>
          </cell>
          <cell r="C621">
            <v>98229</v>
          </cell>
          <cell r="D621" t="str">
            <v>Estaca broca de concreto, diâmetro nominal de 25 cm, escavação manual com trado concha, com armadura de arranque. AF_05/2020</v>
          </cell>
          <cell r="E621"/>
          <cell r="F621" t="str">
            <v>M</v>
          </cell>
          <cell r="G621">
            <v>80.81</v>
          </cell>
          <cell r="H621" t="str">
            <v>-</v>
          </cell>
        </row>
        <row r="622">
          <cell r="A622">
            <v>101175</v>
          </cell>
          <cell r="B622" t="str">
            <v>SINAPI</v>
          </cell>
          <cell r="C622">
            <v>98230</v>
          </cell>
          <cell r="D622" t="str">
            <v>Estaca broca de concreto, diâmetro nominal de 30 cm, escavação manual com trado concha, com armadura de arranque. AF_05/2020</v>
          </cell>
          <cell r="E622"/>
          <cell r="F622" t="str">
            <v>M</v>
          </cell>
          <cell r="G622">
            <v>110.4</v>
          </cell>
          <cell r="H622" t="str">
            <v>-</v>
          </cell>
        </row>
        <row r="623">
          <cell r="A623">
            <v>89480</v>
          </cell>
          <cell r="B623" t="str">
            <v>SINAPI</v>
          </cell>
          <cell r="C623"/>
          <cell r="D623" t="str">
            <v>Alvenaria de blocos de concreto estrutural 14x19x29 cm, (espessura 14 cm) FBK = 14,0 MPA, para paredes com área líquida menor que 6 m², sem vãos, utilizando colher de pedreiro. AF_12/2014</v>
          </cell>
          <cell r="E623"/>
          <cell r="F623" t="str">
            <v>M2</v>
          </cell>
          <cell r="G623">
            <v>147.01</v>
          </cell>
          <cell r="H623" t="str">
            <v>-</v>
          </cell>
        </row>
        <row r="624">
          <cell r="A624">
            <v>103320</v>
          </cell>
          <cell r="B624" t="str">
            <v>SINAPI</v>
          </cell>
          <cell r="C624">
            <v>87452</v>
          </cell>
          <cell r="D624" t="str">
            <v>Alvenaria de vedação de blocos vazados de concreto de 19x19x39 cm (espessura 19 cm) e argamassa de assentamento com preparo em betoneira. AF_12/2021</v>
          </cell>
          <cell r="E624"/>
          <cell r="F624" t="str">
            <v>M2</v>
          </cell>
          <cell r="G624">
            <v>112.27</v>
          </cell>
          <cell r="H624" t="str">
            <v>-</v>
          </cell>
        </row>
        <row r="625">
          <cell r="A625">
            <v>101159</v>
          </cell>
          <cell r="B625" t="str">
            <v>SINAPI</v>
          </cell>
          <cell r="C625">
            <v>72132</v>
          </cell>
          <cell r="D625" t="str">
            <v>Alvenaria de vedação de blocos cerâmicos maciços de 5x10x20 cm (espessura 10 cm) e argamassa de assentamento com preparo em betoneira. AF_05/2020</v>
          </cell>
          <cell r="E625"/>
          <cell r="F625" t="str">
            <v>M2</v>
          </cell>
          <cell r="G625">
            <v>133.25</v>
          </cell>
          <cell r="H625" t="str">
            <v>-</v>
          </cell>
        </row>
        <row r="626">
          <cell r="A626" t="str">
            <v>EC/0044</v>
          </cell>
          <cell r="B626" t="str">
            <v>COMPOSIÇÃO</v>
          </cell>
          <cell r="C626">
            <v>72131</v>
          </cell>
          <cell r="D626" t="str">
            <v>Alvenaria em tijolo cerâmico maciço 5x10x20cm 1 vez (espessura 20cm), assentado com argamassa de betoneira, traço 1:2:8 (cimento, cal e areia), REF SINAPI 72131, DATA 04/2020</v>
          </cell>
          <cell r="E626"/>
          <cell r="F626" t="str">
            <v>M2</v>
          </cell>
          <cell r="G626">
            <v>197.45</v>
          </cell>
          <cell r="H626" t="str">
            <v>-</v>
          </cell>
        </row>
        <row r="627">
          <cell r="A627">
            <v>101159</v>
          </cell>
          <cell r="B627" t="str">
            <v>SINAPI</v>
          </cell>
          <cell r="C627">
            <v>72133</v>
          </cell>
          <cell r="D627" t="str">
            <v>Alvenaria de vedação de blocos cerâmicos maciços de 5x10x20cm (espessura 10cm) e argamassa de assentamento com preparo em betoneira. AF_05/2020</v>
          </cell>
          <cell r="E627"/>
          <cell r="F627" t="str">
            <v>M2</v>
          </cell>
          <cell r="G627">
            <v>133.25</v>
          </cell>
          <cell r="H627" t="str">
            <v>-</v>
          </cell>
        </row>
        <row r="628">
          <cell r="A628">
            <v>87878</v>
          </cell>
          <cell r="B628" t="str">
            <v>SINAPI</v>
          </cell>
          <cell r="C628"/>
          <cell r="D628" t="str">
            <v>Chapisco aplicado em alvenarias e estruturas de concreto internas, com colher de pedreiro. Argamassa traço 1:3 com preparo manual. AF_06/2014</v>
          </cell>
          <cell r="E628"/>
          <cell r="F628" t="str">
            <v>M2</v>
          </cell>
          <cell r="G628">
            <v>4.4400000000000004</v>
          </cell>
          <cell r="H628" t="str">
            <v>-</v>
          </cell>
        </row>
        <row r="629">
          <cell r="A629">
            <v>87897</v>
          </cell>
          <cell r="B629" t="str">
            <v>SINAPI</v>
          </cell>
          <cell r="C629"/>
          <cell r="D629" t="str">
            <v>Chapisco aplicado em alvenaria (sem presença de vãos) e estruturas de concreto de fachada, com equipamento de projeção. Argamassa traço 1:3 com preparo em betoneira 400 l. AF_06/2014</v>
          </cell>
          <cell r="E629"/>
          <cell r="F629" t="str">
            <v>M2</v>
          </cell>
          <cell r="G629">
            <v>4.6100000000000003</v>
          </cell>
          <cell r="H629" t="str">
            <v>-</v>
          </cell>
        </row>
        <row r="630">
          <cell r="A630">
            <v>87530</v>
          </cell>
          <cell r="B630" t="str">
            <v>SINAPI</v>
          </cell>
          <cell r="C630"/>
          <cell r="D630" t="str">
            <v>Massa única, para recebimento de pintura, em argamassa traço 1:2:8, preparo manual, aplicada manualmente em faces internas de paredes, espessura de 20mm, com execução de taliscas. AF_06/2014</v>
          </cell>
          <cell r="E630"/>
          <cell r="F630" t="str">
            <v>M2</v>
          </cell>
          <cell r="G630">
            <v>39.69</v>
          </cell>
          <cell r="H630" t="str">
            <v>-</v>
          </cell>
        </row>
        <row r="631">
          <cell r="A631">
            <v>87313</v>
          </cell>
          <cell r="B631" t="str">
            <v>SINAPI</v>
          </cell>
          <cell r="C631"/>
          <cell r="D631" t="str">
            <v>Argamassa traço 1:3 (em volume de cimento e areia grossa úmida) para chapisco convencional, preparo mecânico com betoneira 400 l. AF_08/2019</v>
          </cell>
          <cell r="E631"/>
          <cell r="F631" t="str">
            <v>M3</v>
          </cell>
          <cell r="G631">
            <v>530.03</v>
          </cell>
          <cell r="H631" t="str">
            <v>-</v>
          </cell>
        </row>
        <row r="632">
          <cell r="A632">
            <v>88629</v>
          </cell>
          <cell r="B632" t="str">
            <v>SINAPI</v>
          </cell>
          <cell r="C632"/>
          <cell r="D632" t="str">
            <v>Argamassa traço 1:3 (em volume de cimento e areia média úmida), preparo manual. AF_08/2019</v>
          </cell>
          <cell r="E632"/>
          <cell r="F632" t="str">
            <v>M3</v>
          </cell>
          <cell r="G632">
            <v>649.72</v>
          </cell>
          <cell r="H632" t="str">
            <v>-</v>
          </cell>
        </row>
        <row r="633">
          <cell r="A633">
            <v>98560</v>
          </cell>
          <cell r="B633" t="str">
            <v>SINAPI</v>
          </cell>
          <cell r="C633"/>
          <cell r="D633" t="str">
            <v>Impermeabilização de piso com argamassa de cimento e areia, com aditivo impermeabilizante, e = 2 cm. AF_06/2018</v>
          </cell>
          <cell r="E633"/>
          <cell r="F633" t="str">
            <v>M2</v>
          </cell>
          <cell r="G633">
            <v>45.89</v>
          </cell>
          <cell r="H633" t="str">
            <v>-</v>
          </cell>
        </row>
        <row r="634">
          <cell r="A634">
            <v>10931</v>
          </cell>
          <cell r="B634" t="str">
            <v>COTAÇÃO - SINAPI</v>
          </cell>
          <cell r="C634"/>
          <cell r="D634" t="str">
            <v>Tela de arame galvanizada, hexagonal, fio 0,56 mm (24 bwg), malha 1/2", h = 1 m</v>
          </cell>
          <cell r="E634"/>
          <cell r="F634" t="str">
            <v xml:space="preserve">M2    </v>
          </cell>
          <cell r="G634">
            <v>14.09</v>
          </cell>
          <cell r="H634" t="str">
            <v>-</v>
          </cell>
        </row>
        <row r="635">
          <cell r="A635" t="str">
            <v>EC/0045</v>
          </cell>
          <cell r="B635" t="str">
            <v>COMPOSIÇÃO</v>
          </cell>
          <cell r="C635"/>
          <cell r="D635" t="str">
            <v>Muro de Arrimo com bloco de concreto estrutural FBK 14,0 Mpa de 19x19x39 cm com acabamento aparente, incluindo concreto armado 25 mpa, com cintas baldrame/intermediária/respaldo, pilares (19x20 cm) e brocas (Ø 20cm x 1,80 m) a cada 2m</v>
          </cell>
          <cell r="E635"/>
          <cell r="F635" t="str">
            <v>M2</v>
          </cell>
          <cell r="G635">
            <v>351.25</v>
          </cell>
          <cell r="H635" t="str">
            <v>-</v>
          </cell>
        </row>
        <row r="636">
          <cell r="A636" t="str">
            <v>EC/0050</v>
          </cell>
          <cell r="B636" t="str">
            <v>COMPOSIÇÃO</v>
          </cell>
          <cell r="C636"/>
          <cell r="D636" t="str">
            <v>Geocélula de PEAD, paredes perfuradas, soldadas - altura de 200 mm e 250 cm² de área de célula, conforme NBR 12553 da ABNT, incluindo 2 grampos tipo U em aço CA-50 Ø 6,3mm para cada 1,00m². Exclusive preparo do terreno e material de enchimento</v>
          </cell>
          <cell r="E636"/>
          <cell r="F636" t="str">
            <v>M2</v>
          </cell>
          <cell r="G636">
            <v>82.5</v>
          </cell>
          <cell r="H636" t="str">
            <v>-</v>
          </cell>
        </row>
        <row r="637">
          <cell r="A637" t="str">
            <v>EC/0051</v>
          </cell>
          <cell r="B637" t="str">
            <v>COMPOSIÇÃO</v>
          </cell>
          <cell r="C637"/>
          <cell r="D637" t="str">
            <v>Geocélula de PEAD, paredes perfuradas, soldadas - altura de 125 mm e 250 cm² de área de célula, conforme NBR 12553 da ABNT, incluindo 2 grampos tipo U em aço CA-50 Ø 6,3mm para cada 1,00m². Exclusive preparo do terreno e material de enchimento. (REF SICRO 1516305, DB 04-2021)</v>
          </cell>
          <cell r="E637"/>
          <cell r="F637" t="str">
            <v>M2</v>
          </cell>
          <cell r="G637">
            <v>71.680000000000007</v>
          </cell>
          <cell r="H637" t="str">
            <v>-</v>
          </cell>
        </row>
        <row r="638">
          <cell r="A638" t="str">
            <v>EC/0052</v>
          </cell>
          <cell r="B638" t="str">
            <v>COMPOSIÇÃO</v>
          </cell>
          <cell r="C638"/>
          <cell r="D638" t="str">
            <v>Geocélula de PEAD, paredes perfuradas, soldadas - altura de 100 mm e 250 cm² de área de célula, conforme NBR 12553 da ABNT, incluindo 2 grampos tipo U em aço CA-50 Ø 6,3mm para cada 1,00m². Exclusive preparo do terreno e material de enchimento. (REF SICRO 1516304, DB 01-2021)</v>
          </cell>
          <cell r="E638"/>
          <cell r="F638" t="str">
            <v>M2</v>
          </cell>
          <cell r="G638">
            <v>61.31</v>
          </cell>
          <cell r="H638" t="str">
            <v>-</v>
          </cell>
        </row>
        <row r="639">
          <cell r="A639" t="str">
            <v>EC/0053</v>
          </cell>
          <cell r="B639" t="str">
            <v>COMPOSIÇÃO</v>
          </cell>
          <cell r="C639"/>
          <cell r="D639" t="str">
            <v>Geocélula de PEAD, paredes perfuradas, soldadas - altura de 75 mm e 1206 cm² de área de célula, conforme NBR 12553 da ABNT, incluindo 2 grampos tipo U em aço CA-50 Ø 6,3mm para cada 1,00m². Exclusive preparo do terreno e material de enchimento. (REF SICRO 1516311, DB 01-2021)</v>
          </cell>
          <cell r="E639"/>
          <cell r="F639" t="str">
            <v>M2</v>
          </cell>
          <cell r="G639">
            <v>40.4</v>
          </cell>
          <cell r="H639" t="str">
            <v>-</v>
          </cell>
        </row>
        <row r="640">
          <cell r="A640" t="str">
            <v>EC/0055</v>
          </cell>
          <cell r="B640" t="str">
            <v>COMPOSIÇÃO</v>
          </cell>
          <cell r="C640"/>
          <cell r="D640" t="str">
            <v>RIP-RAP de saco com solo de jazida. Exclusive fornecimento e transporte de solo</v>
          </cell>
          <cell r="E640"/>
          <cell r="F640" t="str">
            <v>M3</v>
          </cell>
          <cell r="G640">
            <v>326.79000000000002</v>
          </cell>
          <cell r="H640" t="str">
            <v>-</v>
          </cell>
        </row>
        <row r="641">
          <cell r="A641" t="str">
            <v>EC/0060</v>
          </cell>
          <cell r="B641" t="str">
            <v>COMPOSIÇÃO</v>
          </cell>
          <cell r="C641"/>
          <cell r="D641" t="str">
            <v>Contenção (RIP-RAP) em solo-cimento ensacado com mistura de solo de jazida com 8% de cimento,  inclusive confecção e assentamento. Exclusive fornecimento e transporte de solo. Ref SICRO CÓD. 1513940</v>
          </cell>
          <cell r="E641"/>
          <cell r="F641" t="str">
            <v>M3</v>
          </cell>
          <cell r="G641">
            <v>384.65</v>
          </cell>
          <cell r="H641" t="str">
            <v>-</v>
          </cell>
        </row>
        <row r="642">
          <cell r="A642" t="str">
            <v>EC/0065</v>
          </cell>
          <cell r="B642" t="str">
            <v>COMPOSIÇÃO</v>
          </cell>
          <cell r="C642"/>
          <cell r="D642" t="str">
            <v>Cabo de aço 1/2" (13mm) 6x25 AF/AFA, incluindo esticador e grampos (clips)</v>
          </cell>
          <cell r="E642"/>
          <cell r="F642" t="str">
            <v>M</v>
          </cell>
          <cell r="G642">
            <v>48.78</v>
          </cell>
          <cell r="H642" t="str">
            <v>-</v>
          </cell>
        </row>
        <row r="643">
          <cell r="A643" t="str">
            <v>EC/0070</v>
          </cell>
          <cell r="B643" t="str">
            <v>COMPOSIÇÃO</v>
          </cell>
          <cell r="C643"/>
          <cell r="D643" t="str">
            <v>Trilho tipo ferrovia semi-novo para estacas, aquisição. Exclusive transporte, aplicação e perdas</v>
          </cell>
          <cell r="E643"/>
          <cell r="F643" t="str">
            <v>KG</v>
          </cell>
          <cell r="G643">
            <v>5.16</v>
          </cell>
          <cell r="H643" t="str">
            <v>-</v>
          </cell>
        </row>
        <row r="644">
          <cell r="A644" t="str">
            <v>EC/0075</v>
          </cell>
          <cell r="B644" t="str">
            <v>COMPOSIÇÃO</v>
          </cell>
          <cell r="C644"/>
          <cell r="D644" t="str">
            <v>Escora de eucalípto tratado D = 20 cm, fornecimento e aplicação sem emenda</v>
          </cell>
          <cell r="E644"/>
          <cell r="F644" t="str">
            <v>M</v>
          </cell>
          <cell r="G644">
            <v>79.91</v>
          </cell>
          <cell r="H644" t="str">
            <v>-</v>
          </cell>
        </row>
        <row r="645">
          <cell r="A645" t="str">
            <v>EC/0080</v>
          </cell>
          <cell r="B645" t="str">
            <v>COMPOSIÇÃO</v>
          </cell>
          <cell r="C645"/>
          <cell r="D645" t="str">
            <v>Escora de eucalípto tratado  D = 8 cm a 11 cm, fornecimento e aplicação sem emenda</v>
          </cell>
          <cell r="E645"/>
          <cell r="F645" t="str">
            <v>M</v>
          </cell>
          <cell r="G645">
            <v>11.03</v>
          </cell>
          <cell r="H645" t="str">
            <v>-</v>
          </cell>
        </row>
        <row r="646">
          <cell r="A646" t="str">
            <v>EC/0085</v>
          </cell>
          <cell r="B646" t="str">
            <v>COMPOSIÇÃO</v>
          </cell>
          <cell r="C646"/>
          <cell r="D646" t="str">
            <v>Cravação de estaca de madeira com escavadeira hidráulica com martelo hidráulico em solo de baixa resistência. Exclusive fornecimento de estaca (escora)</v>
          </cell>
          <cell r="E646"/>
          <cell r="F646" t="str">
            <v>M</v>
          </cell>
          <cell r="G646">
            <v>22.93</v>
          </cell>
          <cell r="H646" t="str">
            <v>-</v>
          </cell>
        </row>
        <row r="647">
          <cell r="A647" t="str">
            <v>EC/0090</v>
          </cell>
          <cell r="B647" t="str">
            <v>COMPOSIÇÃO</v>
          </cell>
          <cell r="C647"/>
          <cell r="D647" t="str">
            <v>Cravação com bate-estaca de estaca metálica, prancha ou trilho TR, em terreno de media resistencia a penetracao, inclusive um corte ao maçarico. Exclusive fornecimento da estaca</v>
          </cell>
          <cell r="E647"/>
          <cell r="F647" t="str">
            <v>M</v>
          </cell>
          <cell r="G647">
            <v>75.290000000000006</v>
          </cell>
          <cell r="H647" t="str">
            <v>-</v>
          </cell>
        </row>
        <row r="648">
          <cell r="A648">
            <v>100656</v>
          </cell>
          <cell r="B648" t="str">
            <v>SINAPI</v>
          </cell>
          <cell r="D648" t="str">
            <v>Estaca pré-moldada de concreto, seção quadrada, capacidade de 25 toneladas, incluso emenda (exclusive mobilização e desmobilização). AF_12/2019</v>
          </cell>
          <cell r="E648" t="str">
            <v>25 x 25 cm²</v>
          </cell>
          <cell r="F648" t="str">
            <v>M</v>
          </cell>
          <cell r="G648">
            <v>116.18</v>
          </cell>
          <cell r="H648" t="str">
            <v>-</v>
          </cell>
        </row>
        <row r="649">
          <cell r="A649">
            <v>95601</v>
          </cell>
          <cell r="B649" t="str">
            <v>SINAPI</v>
          </cell>
          <cell r="C649"/>
          <cell r="D649" t="str">
            <v>Arrasamento mecânico de estaca de concreto armado, diâmetros de até 40 cm. AF_11/2016</v>
          </cell>
          <cell r="E649"/>
          <cell r="F649" t="str">
            <v>UN</v>
          </cell>
          <cell r="G649">
            <v>17.66</v>
          </cell>
          <cell r="H649" t="str">
            <v>-</v>
          </cell>
        </row>
        <row r="650">
          <cell r="A650">
            <v>43082</v>
          </cell>
          <cell r="B650" t="str">
            <v>COTAÇÃO - SINAPI</v>
          </cell>
          <cell r="C650"/>
          <cell r="D650" t="str">
            <v>Perfil "I" de aço laminado, abas paralelas, "W", qualquer bitola</v>
          </cell>
          <cell r="E650"/>
          <cell r="F650" t="str">
            <v xml:space="preserve">KG    </v>
          </cell>
          <cell r="G650">
            <v>12.77</v>
          </cell>
          <cell r="H650" t="str">
            <v>-</v>
          </cell>
        </row>
        <row r="651">
          <cell r="A651">
            <v>98746</v>
          </cell>
          <cell r="B651" t="str">
            <v>SINAPI</v>
          </cell>
          <cell r="C651"/>
          <cell r="D651" t="str">
            <v>Solda de topo em chapa/perfil/tubo de aço chanfrado, espessura = 1/4''. AF_06/2018</v>
          </cell>
          <cell r="E651"/>
          <cell r="F651" t="str">
            <v>M</v>
          </cell>
          <cell r="G651">
            <v>69.03</v>
          </cell>
          <cell r="H651" t="str">
            <v>-</v>
          </cell>
        </row>
        <row r="652">
          <cell r="A652">
            <v>92341</v>
          </cell>
          <cell r="B652" t="str">
            <v>SINAPI</v>
          </cell>
          <cell r="C652"/>
          <cell r="D652" t="str">
            <v>Tubo de aço galvanizado com costura, classe média, diâmetro nominal de 50 (2"), conexão rosqueada, instalado em prumadas - fornecimento e instalação. AF_10/2020</v>
          </cell>
          <cell r="E652"/>
          <cell r="F652" t="str">
            <v>M</v>
          </cell>
          <cell r="G652">
            <v>104.47</v>
          </cell>
          <cell r="H652" t="str">
            <v>-</v>
          </cell>
        </row>
        <row r="653">
          <cell r="A653" t="str">
            <v>EC/0100</v>
          </cell>
          <cell r="B653" t="str">
            <v>COMPOSIÇÃO</v>
          </cell>
          <cell r="C653"/>
          <cell r="D653" t="str">
            <v>Fornecimento e aplicação de adesivo estrutural à base de resina epóxi. (REF SICRO COD 2407972, DB 04-2021)</v>
          </cell>
          <cell r="E653"/>
          <cell r="F653" t="str">
            <v>KG</v>
          </cell>
          <cell r="G653">
            <v>64.849999999999994</v>
          </cell>
          <cell r="H653" t="str">
            <v>-</v>
          </cell>
        </row>
        <row r="654">
          <cell r="A654" t="str">
            <v>EC/0110</v>
          </cell>
          <cell r="B654" t="str">
            <v>COMPOSIÇÃO</v>
          </cell>
          <cell r="C654"/>
          <cell r="D654" t="str">
            <v># # #REVER COTAÇÃO DE TRILHO# # # Estacas trilho TR 68 - com emenda - fornecimento e cravação. REF SICRO CÓD 2306113, DATA 04/2021</v>
          </cell>
          <cell r="E654"/>
          <cell r="F654" t="str">
            <v>m</v>
          </cell>
          <cell r="G654">
            <v>28.37</v>
          </cell>
          <cell r="H654" t="str">
            <v>-</v>
          </cell>
        </row>
        <row r="655">
          <cell r="A655" t="str">
            <v>EC/0130</v>
          </cell>
          <cell r="B655" t="str">
            <v>COMPOSIÇÃO</v>
          </cell>
          <cell r="C655"/>
          <cell r="D655" t="str">
            <v>Fôrma metálica em chapa 3/16" reforçada com nervuras de 40 mm x 3/16" dispostas em grelhas de 40 x 60 cm - utilização de 100 vezes - confecção, instalação e retirada. REF SICRO CÓD 3108072, DATA 04/2021</v>
          </cell>
          <cell r="E655"/>
          <cell r="F655" t="str">
            <v>M²</v>
          </cell>
          <cell r="G655">
            <v>14.01</v>
          </cell>
          <cell r="H655" t="str">
            <v>-</v>
          </cell>
        </row>
        <row r="656">
          <cell r="A656" t="str">
            <v>EC/0135</v>
          </cell>
          <cell r="B656" t="str">
            <v>COMPOSIÇÃO</v>
          </cell>
          <cell r="C656"/>
          <cell r="D656" t="str">
            <v>Corte de chapas de aço com espessura de 5 mm com maçarico oxiacetileno. REF SICRO CÓD 1400974, DATA 04/2021</v>
          </cell>
          <cell r="E656"/>
          <cell r="F656" t="str">
            <v>M</v>
          </cell>
          <cell r="G656">
            <v>3.67</v>
          </cell>
          <cell r="H656" t="str">
            <v>-</v>
          </cell>
        </row>
        <row r="657">
          <cell r="A657" t="str">
            <v>EC/0136</v>
          </cell>
          <cell r="B657" t="str">
            <v>COMPOSIÇÃO</v>
          </cell>
          <cell r="C657"/>
          <cell r="D657" t="str">
            <v>Corte de barras de aço CA-50 com maçarico oxiacetileno. REF SICRO CÓD 1416201, DATA 01/2023</v>
          </cell>
          <cell r="E657"/>
          <cell r="F657" t="str">
            <v>CM²</v>
          </cell>
          <cell r="G657">
            <v>0.2</v>
          </cell>
          <cell r="H657" t="str">
            <v>-</v>
          </cell>
        </row>
        <row r="658">
          <cell r="A658" t="str">
            <v>EC/0145</v>
          </cell>
          <cell r="B658" t="str">
            <v>COMPOSIÇÃO</v>
          </cell>
          <cell r="C658"/>
          <cell r="D658" t="str">
            <v>Geogrelha unidirecional com resistência à tração de 100 kN/m - fornecimento e instalação. REF SICRO CÓD 1516298, DATA 01/2023</v>
          </cell>
          <cell r="E658"/>
          <cell r="F658" t="str">
            <v>M²</v>
          </cell>
          <cell r="G658">
            <v>28.72</v>
          </cell>
          <cell r="H658" t="str">
            <v>-</v>
          </cell>
        </row>
        <row r="659">
          <cell r="A659" t="str">
            <v>EC/0150</v>
          </cell>
          <cell r="B659" t="str">
            <v>COMPOSIÇÃO</v>
          </cell>
          <cell r="C659"/>
          <cell r="D659" t="str">
            <v>Geogrelha unidirecional com resistência à tração de 150 kN/m - fornecimento e instalação. REF SICRO CÓD 1516299, DATA 01/2023</v>
          </cell>
          <cell r="E659"/>
          <cell r="F659" t="str">
            <v>M²</v>
          </cell>
          <cell r="G659">
            <v>30.82</v>
          </cell>
          <cell r="H659" t="str">
            <v>-</v>
          </cell>
        </row>
        <row r="660">
          <cell r="A660" t="str">
            <v>EC/0155</v>
          </cell>
          <cell r="B660" t="str">
            <v>COMPOSIÇÃO</v>
          </cell>
          <cell r="C660"/>
          <cell r="D660" t="str">
            <v>Geogrelha unidirecional com resistência à tração de 200 kN/m - fornecimento e instalação. REF SICRO CÓD 1516300, DATA 01/2023</v>
          </cell>
          <cell r="E660"/>
          <cell r="F660" t="str">
            <v>M²</v>
          </cell>
          <cell r="G660">
            <v>40.81</v>
          </cell>
          <cell r="H660" t="str">
            <v>-</v>
          </cell>
        </row>
        <row r="661">
          <cell r="A661" t="str">
            <v>EC/0165</v>
          </cell>
          <cell r="B661" t="str">
            <v>COMPOSIÇÃO</v>
          </cell>
          <cell r="C661"/>
          <cell r="D661" t="str">
            <v>Muro de face em tela metálica dobrada em L para solo reforçado - C = 2,0 m, L = 0,4 m e H = 0,4 m - fornecimento e instalação. REF SICRO CÓD 1516318, DATA 01/2023</v>
          </cell>
          <cell r="E661"/>
          <cell r="F661" t="str">
            <v>M²</v>
          </cell>
          <cell r="G661">
            <v>472.68</v>
          </cell>
          <cell r="H661" t="str">
            <v>-</v>
          </cell>
        </row>
        <row r="662">
          <cell r="A662" t="str">
            <v>EC/0170</v>
          </cell>
          <cell r="B662" t="str">
            <v>COMPOSIÇÃO</v>
          </cell>
          <cell r="C662"/>
          <cell r="D662" t="str">
            <v>Escoramento com pontaletes D = 15 cm - utilização de 1 vez - confecção e instalação. Ref SICRO cód 2108169</v>
          </cell>
          <cell r="E662"/>
          <cell r="F662" t="str">
            <v>M³</v>
          </cell>
          <cell r="G662">
            <v>50.71</v>
          </cell>
          <cell r="H662" t="str">
            <v>-</v>
          </cell>
        </row>
        <row r="663">
          <cell r="A663" t="str">
            <v>EC/0180</v>
          </cell>
          <cell r="B663" t="str">
            <v>COMPOSIÇÃO</v>
          </cell>
          <cell r="C663"/>
          <cell r="D663" t="str">
            <v>Cordoalha CP 190 RB D = 15,2 mm - fornecimento e instalação (REF. SICRO COD. 4507957, DB 01-2023)</v>
          </cell>
          <cell r="E663"/>
          <cell r="F663" t="str">
            <v>KG</v>
          </cell>
          <cell r="G663">
            <v>13.37</v>
          </cell>
          <cell r="H663" t="str">
            <v>-</v>
          </cell>
        </row>
        <row r="664">
          <cell r="A664" t="str">
            <v>EC/0190</v>
          </cell>
          <cell r="B664" t="str">
            <v>COMPOSIÇÃO</v>
          </cell>
          <cell r="C664"/>
          <cell r="D664" t="str">
            <v>Lançamento de viga pré-moldada de 980 a 1.225 kN com utilização de treliça lançadeira (REF. SICRO COD. 3806425, DB 01-2023)</v>
          </cell>
          <cell r="E664"/>
          <cell r="F664" t="str">
            <v>UN</v>
          </cell>
          <cell r="G664">
            <v>3592.84</v>
          </cell>
          <cell r="H664" t="str">
            <v>-</v>
          </cell>
        </row>
        <row r="665">
          <cell r="A665" t="str">
            <v>EC/0200</v>
          </cell>
          <cell r="B665" t="str">
            <v>COMPOSIÇÃO</v>
          </cell>
          <cell r="C665"/>
          <cell r="D665" t="str">
            <v>Ancoragem ativa com 12 cordoalhas aderentes D = 15,2 mm - fornecimento e instalação (REF. SICRO COD. 4507756, DB 01-2023)</v>
          </cell>
          <cell r="E665"/>
          <cell r="F665" t="str">
            <v>UN</v>
          </cell>
          <cell r="G665">
            <v>1489.63</v>
          </cell>
          <cell r="H665" t="str">
            <v>-</v>
          </cell>
        </row>
        <row r="666">
          <cell r="A666" t="str">
            <v>EC/0210</v>
          </cell>
          <cell r="B666" t="str">
            <v>COMPOSIÇÃO</v>
          </cell>
          <cell r="C666"/>
          <cell r="D666" t="str">
            <v>Nicho de madeira para dispositivo de ancoragem de protensão - confecção e instalação (REF. SICRO COD. 4516137, DB 01-2023)</v>
          </cell>
          <cell r="E666"/>
          <cell r="F666" t="str">
            <v>M²</v>
          </cell>
          <cell r="G666">
            <v>124.46</v>
          </cell>
          <cell r="H666" t="str">
            <v>-</v>
          </cell>
        </row>
        <row r="667">
          <cell r="A667" t="str">
            <v>EC/0220</v>
          </cell>
          <cell r="B667" t="str">
            <v>COMPOSIÇÃO</v>
          </cell>
          <cell r="C667"/>
          <cell r="D667" t="str">
            <v>Bainha metálica redonda D = 80 mm para 12 cordoalhas D = 15,2 mm - fornecimento, instalação e injeção de nata de cimento (REF. SICRO COD. 4507842, DB 01-2023)</v>
          </cell>
          <cell r="E667"/>
          <cell r="F667" t="str">
            <v>M</v>
          </cell>
          <cell r="G667">
            <v>119.37</v>
          </cell>
          <cell r="H667" t="str">
            <v>-</v>
          </cell>
        </row>
        <row r="668">
          <cell r="A668" t="str">
            <v>EC/0230</v>
          </cell>
          <cell r="B668" t="str">
            <v>COMPOSIÇÃO</v>
          </cell>
          <cell r="C668"/>
          <cell r="D668" t="str">
            <v>Junta de dilatação em elastômero  de EPDM modelo  TJ2030W OAE - fornecimento e instalação (REF. SICRO COD. 0307733, DB 01-2023)</v>
          </cell>
          <cell r="E668"/>
          <cell r="F668" t="str">
            <v>M</v>
          </cell>
          <cell r="G668">
            <v>156.37</v>
          </cell>
          <cell r="H668" t="str">
            <v>-</v>
          </cell>
        </row>
        <row r="669">
          <cell r="A669" t="str">
            <v>EC/0240</v>
          </cell>
          <cell r="B669" t="str">
            <v>COMPOSIÇÃO</v>
          </cell>
          <cell r="C669"/>
          <cell r="D669" t="str">
            <v>Lábios poliméricos em junta de pavimento de concreto - L = 50 mm e H = 30 mm - confecção e assentamento (REF. SICRO COD. 0307084, DB 01-2023)</v>
          </cell>
          <cell r="E669"/>
          <cell r="F669" t="str">
            <v>M</v>
          </cell>
          <cell r="G669">
            <v>45.25</v>
          </cell>
          <cell r="H669" t="str">
            <v>-</v>
          </cell>
        </row>
        <row r="670">
          <cell r="A670" t="str">
            <v>SEL -128</v>
          </cell>
          <cell r="B670" t="str">
            <v>COTAÇÃO - SEL</v>
          </cell>
          <cell r="C670"/>
          <cell r="D670" t="str">
            <v>Fabricação de viga pré-moldada armada tipo PROT 19,2/45- h = 107 cm, conforme projeto.</v>
          </cell>
          <cell r="E670" t="str">
            <v>SEL -128</v>
          </cell>
          <cell r="F670" t="str">
            <v>UN</v>
          </cell>
          <cell r="G670">
            <v>0</v>
          </cell>
          <cell r="H670" t="str">
            <v>ERRO</v>
          </cell>
        </row>
        <row r="671">
          <cell r="A671" t="str">
            <v>SEL -129</v>
          </cell>
          <cell r="B671" t="str">
            <v>COTAÇÃO - SEL</v>
          </cell>
          <cell r="C671"/>
          <cell r="D671" t="str">
            <v>Transporte com carreta ls de viga pré-moldada armada tipo PCT 9,20/45 – h = 107cm.</v>
          </cell>
          <cell r="E671" t="str">
            <v>SEL -129</v>
          </cell>
          <cell r="F671" t="str">
            <v>UN</v>
          </cell>
          <cell r="G671">
            <v>0</v>
          </cell>
          <cell r="H671" t="str">
            <v>ERRO</v>
          </cell>
        </row>
        <row r="672">
          <cell r="A672" t="str">
            <v>SEL -130</v>
          </cell>
          <cell r="B672" t="str">
            <v>COTAÇÃO - SEL</v>
          </cell>
          <cell r="C672"/>
          <cell r="D672" t="str">
            <v>Transporte com carreta extensiva de viga pré moldada armada tipo PROT 19,2/45 - h = 107 cm</v>
          </cell>
          <cell r="E672" t="str">
            <v>SEL -130</v>
          </cell>
          <cell r="F672" t="str">
            <v>UN</v>
          </cell>
          <cell r="G672">
            <v>0</v>
          </cell>
          <cell r="H672" t="str">
            <v>ERRO</v>
          </cell>
        </row>
        <row r="673">
          <cell r="A673" t="str">
            <v>SEL -131</v>
          </cell>
          <cell r="B673" t="str">
            <v>COTAÇÃO - SEL</v>
          </cell>
          <cell r="C673"/>
          <cell r="D673" t="str">
            <v>Lançamento com treliça lançadeira de 44 vigas pré-moldada armadas tipo pct 9,20/45 – h = 107cm e 22 vigas pré-moldada tipo PROT 19,20/45 – h = 107cm – 3 tramo - incluso guindauto de 45. Incluso transporte da treliça lançadeira carreta especial com guindauto, inclusive montagem e desmontagem da treliça.</v>
          </cell>
          <cell r="E673" t="str">
            <v>SEL -131</v>
          </cell>
          <cell r="F673" t="str">
            <v>UN</v>
          </cell>
          <cell r="G673">
            <v>0</v>
          </cell>
          <cell r="H673" t="str">
            <v>ERRO</v>
          </cell>
        </row>
        <row r="674">
          <cell r="A674" t="str">
            <v>SEL-301</v>
          </cell>
          <cell r="B674" t="str">
            <v>COTAÇÃO - SEL</v>
          </cell>
          <cell r="C674"/>
          <cell r="D674" t="str">
            <v>Fabricação das Vigas pré-fabricadas protendidas 19,20m – H = 100cm. COTAÇÃO MARACAJU/MS</v>
          </cell>
          <cell r="E674" t="str">
            <v>SEL-301</v>
          </cell>
          <cell r="F674" t="str">
            <v>UN</v>
          </cell>
          <cell r="G674">
            <v>30236</v>
          </cell>
          <cell r="H674" t="str">
            <v>-</v>
          </cell>
        </row>
        <row r="675">
          <cell r="A675" t="str">
            <v>SEL-302</v>
          </cell>
          <cell r="B675" t="str">
            <v>COTAÇÃO - SEL</v>
          </cell>
          <cell r="C675"/>
          <cell r="D675" t="str">
            <v>Transporte com carreta extensiva das Vigas Pré-fabricadas 19,20m – H = 100cm. COTAÇÃO MARACAJU/MS</v>
          </cell>
          <cell r="E675" t="str">
            <v>SEL-302</v>
          </cell>
          <cell r="F675" t="str">
            <v>UN</v>
          </cell>
          <cell r="G675">
            <v>2600</v>
          </cell>
          <cell r="H675" t="str">
            <v>-</v>
          </cell>
        </row>
        <row r="676">
          <cell r="A676" t="str">
            <v>SEL-303</v>
          </cell>
          <cell r="B676" t="str">
            <v>COTAÇÃO - SEL</v>
          </cell>
          <cell r="C676"/>
          <cell r="D676" t="str">
            <v>Lançamento das vigas Pré-fabricadas – H = 100cm – 2 tramos – Guindastes com mobilização. COTAÇÃO MARACAJU/MS</v>
          </cell>
          <cell r="E676" t="str">
            <v>SEL-303</v>
          </cell>
          <cell r="F676" t="str">
            <v>UN</v>
          </cell>
          <cell r="G676">
            <v>4895</v>
          </cell>
          <cell r="H676" t="str">
            <v>-</v>
          </cell>
        </row>
        <row r="677">
          <cell r="A677" t="str">
            <v>SEL-304</v>
          </cell>
          <cell r="B677" t="str">
            <v>COTAÇÃO - SEL</v>
          </cell>
          <cell r="C677"/>
          <cell r="D677" t="str">
            <v>Vigas T (20/102x5/150x1920) cm TB 45</v>
          </cell>
          <cell r="E677" t="str">
            <v>SEL-304</v>
          </cell>
          <cell r="F677" t="str">
            <v>UN</v>
          </cell>
          <cell r="G677">
            <v>36644.5</v>
          </cell>
          <cell r="H677" t="str">
            <v>-</v>
          </cell>
        </row>
        <row r="678">
          <cell r="A678" t="str">
            <v>SEL-305</v>
          </cell>
          <cell r="B678" t="str">
            <v>COTAÇÃO - SEL</v>
          </cell>
          <cell r="C678"/>
          <cell r="D678" t="str">
            <v>Transporte com carreta extensiva das Vigas T (20/102x5/150x1920) cm TB 45</v>
          </cell>
          <cell r="E678" t="str">
            <v>SEL-305</v>
          </cell>
          <cell r="F678" t="str">
            <v>UN</v>
          </cell>
          <cell r="G678">
            <v>3663.5</v>
          </cell>
          <cell r="H678" t="str">
            <v>-</v>
          </cell>
        </row>
        <row r="679">
          <cell r="A679" t="str">
            <v>SEL-306</v>
          </cell>
          <cell r="B679" t="str">
            <v>COTAÇÃO - SEL</v>
          </cell>
          <cell r="C679"/>
          <cell r="D679" t="str">
            <v>Lançamento das vigas Pré-fabricadas – H = 150cm – 2 tramos – Guindastes com mobilização.</v>
          </cell>
          <cell r="E679" t="str">
            <v>SEL-306</v>
          </cell>
          <cell r="F679" t="str">
            <v>UN</v>
          </cell>
          <cell r="G679">
            <v>5395</v>
          </cell>
          <cell r="H679" t="str">
            <v>-</v>
          </cell>
        </row>
        <row r="680">
          <cell r="A680" t="str">
            <v>SEL-307</v>
          </cell>
          <cell r="B680" t="str">
            <v>COTAÇÃO - SEL</v>
          </cell>
          <cell r="C680"/>
          <cell r="D680" t="str">
            <v>CONCRETO USINADO BOMBEAVEL, CLASSE DE RESISTENCIA C30, BRITA 0 E 1, SLUMP = 100 +/- 20 MM, COM BOMBEAMENTO (DISPONIBILIZACAO DE BOMBA), SEM O LANCAMENTO (NBR 8953). POSTO MARACAJU MS</v>
          </cell>
          <cell r="E680" t="str">
            <v>SEL-307</v>
          </cell>
          <cell r="F680" t="str">
            <v>M3</v>
          </cell>
          <cell r="G680">
            <v>700</v>
          </cell>
          <cell r="H680" t="str">
            <v>-</v>
          </cell>
        </row>
        <row r="681">
          <cell r="A681" t="str">
            <v>SEL-308</v>
          </cell>
          <cell r="B681" t="str">
            <v>COTAÇÃO - SEL</v>
          </cell>
          <cell r="C681"/>
          <cell r="D681" t="str">
            <v>CONCRETO USINADO BOMBEAVEL, CLASSE DE RESISTENCIA C40, BRITA 0 E 1, SLUMP = 100 +/- 20 MM, COM BOMBEAMENTO (DISPONIBILIZACAO DE BOMBA), SEM O LANCAMENTO (NBR 8953). POSTO MARACAJU MS</v>
          </cell>
          <cell r="E681" t="str">
            <v>SEL-308</v>
          </cell>
          <cell r="F681" t="str">
            <v>M3</v>
          </cell>
          <cell r="G681">
            <v>730</v>
          </cell>
          <cell r="H681" t="str">
            <v>-</v>
          </cell>
        </row>
        <row r="682">
          <cell r="A682"/>
          <cell r="B682"/>
          <cell r="C682"/>
          <cell r="D682"/>
          <cell r="E682"/>
          <cell r="F682"/>
          <cell r="G682"/>
          <cell r="H682"/>
        </row>
        <row r="683">
          <cell r="A683"/>
          <cell r="B683"/>
          <cell r="C683" t="str">
            <v>8.0</v>
          </cell>
          <cell r="D683" t="str">
            <v>PAVIMENTAÇÃO - RESTAURAÇÃO, REMENDO E FRESAGEM</v>
          </cell>
          <cell r="E683"/>
          <cell r="F683"/>
          <cell r="G683"/>
          <cell r="H683" t="str">
            <v/>
          </cell>
        </row>
        <row r="684">
          <cell r="A684">
            <v>96001</v>
          </cell>
          <cell r="B684" t="str">
            <v>SINAPI</v>
          </cell>
          <cell r="C684"/>
          <cell r="D684" t="str">
            <v>Fresagem de pavimento asfáltico (profundidade até 5,0 cm) - exclusive transporte. AF_11/2019</v>
          </cell>
          <cell r="E684"/>
          <cell r="F684" t="str">
            <v>M2</v>
          </cell>
          <cell r="G684">
            <v>7.29</v>
          </cell>
          <cell r="H684" t="str">
            <v>-</v>
          </cell>
        </row>
        <row r="685">
          <cell r="A685"/>
          <cell r="B685" t="str">
            <v>REPETIDO</v>
          </cell>
          <cell r="C685">
            <v>95875</v>
          </cell>
          <cell r="D685" t="str">
            <v>Transporte com caminhão basculante de 10 m3, em via urbana pavimentada, DMT até 30 km. AF_12/2016</v>
          </cell>
          <cell r="E685" t="str">
            <v>ATENÇÃO
medir empolado
com 50%</v>
          </cell>
          <cell r="F685" t="str">
            <v>-</v>
          </cell>
          <cell r="G685" t="str">
            <v>-</v>
          </cell>
          <cell r="H685" t="str">
            <v/>
          </cell>
        </row>
        <row r="686">
          <cell r="A686" t="str">
            <v>RE/0005</v>
          </cell>
          <cell r="B686" t="str">
            <v>COMPOSIÇÃO</v>
          </cell>
          <cell r="C686">
            <v>30.39</v>
          </cell>
          <cell r="D686" t="str">
            <v>Fresagem de pavimento asfáltico para abertura de vala, profundidade até 30 cm, em locais com nível baixo de interferência (REF. SICRO COD. 4011480, data 01/2020 e SINAPI 96001, data 08/2020)</v>
          </cell>
          <cell r="E686"/>
          <cell r="F686" t="str">
            <v>M3</v>
          </cell>
          <cell r="G686">
            <v>76.02</v>
          </cell>
          <cell r="H686" t="str">
            <v>-</v>
          </cell>
        </row>
        <row r="687">
          <cell r="A687" t="str">
            <v>RE/0010</v>
          </cell>
          <cell r="B687" t="str">
            <v>COMPOSIÇÃO</v>
          </cell>
          <cell r="C687"/>
          <cell r="D687" t="str">
            <v>Correção de defeitos por fresagem descontínua, com emprego de fresadora e minicarregadeira (REF. SICRO COD. 4915705, data 01/2020)</v>
          </cell>
          <cell r="E687"/>
          <cell r="F687" t="str">
            <v>M3</v>
          </cell>
          <cell r="G687">
            <v>308.87</v>
          </cell>
          <cell r="H687" t="str">
            <v>-</v>
          </cell>
        </row>
        <row r="688">
          <cell r="A688" t="str">
            <v>RE/0015</v>
          </cell>
          <cell r="B688" t="str">
            <v>COMPOSIÇÃO</v>
          </cell>
          <cell r="C688"/>
          <cell r="D688" t="str">
            <v>Remendo superfcial (tapa buraco), com requadramento mecânico, escavação, compactação da mistura betuminosa e carga do entulho. Exclusive materiais e bota-fora (REF. SICRO COD. 4915757)</v>
          </cell>
          <cell r="E688"/>
          <cell r="F688" t="str">
            <v>M3</v>
          </cell>
          <cell r="G688">
            <v>212.41</v>
          </cell>
          <cell r="H688" t="str">
            <v>-</v>
          </cell>
        </row>
        <row r="689">
          <cell r="A689" t="str">
            <v>RE/0020</v>
          </cell>
          <cell r="B689" t="str">
            <v>COMPOSIÇÃO</v>
          </cell>
          <cell r="C689"/>
          <cell r="D689" t="str">
            <v>Remendo profundo, com requadramento mecânico, escavação, compactação do material de base e da mistura betuminosa e carga do entulho. Exclusive materiais e bota-fora (REF. SICRO COD. 4915746)</v>
          </cell>
          <cell r="E689"/>
          <cell r="F689" t="str">
            <v>M3</v>
          </cell>
          <cell r="G689">
            <v>123.1</v>
          </cell>
          <cell r="H689" t="str">
            <v>-</v>
          </cell>
        </row>
        <row r="690">
          <cell r="A690" t="str">
            <v>RE/0025</v>
          </cell>
          <cell r="B690" t="str">
            <v>COMPOSIÇÃO</v>
          </cell>
          <cell r="C690"/>
          <cell r="D690" t="str">
            <v>Remoção mecanizada de revestimento betuminoso, com motoniveladora. Exclusive carga e bota-fora (REF. SICRO COD. 4915667)</v>
          </cell>
          <cell r="E690"/>
          <cell r="F690" t="str">
            <v>M3</v>
          </cell>
          <cell r="G690">
            <v>14.59</v>
          </cell>
          <cell r="H690" t="str">
            <v>-</v>
          </cell>
        </row>
        <row r="691">
          <cell r="A691" t="str">
            <v>RE/0030</v>
          </cell>
          <cell r="B691" t="str">
            <v>COMPOSIÇÃO</v>
          </cell>
          <cell r="C691"/>
          <cell r="D691" t="str">
            <v>Remoção mecanizada de camada granular do pavimento, com mototoniveladora. Exclusive carga e bota-fora (REF. SICRO COD. 4915669)</v>
          </cell>
          <cell r="E691"/>
          <cell r="F691" t="str">
            <v>M3</v>
          </cell>
          <cell r="G691">
            <v>14.19</v>
          </cell>
          <cell r="H691" t="str">
            <v>-</v>
          </cell>
        </row>
        <row r="692">
          <cell r="A692">
            <v>94319</v>
          </cell>
          <cell r="B692" t="str">
            <v>SINAPI</v>
          </cell>
          <cell r="C692"/>
          <cell r="D692" t="str">
            <v>Aterro manual de valas com solo argilo-arenoso e compactação mecanizada. AF_05/2016</v>
          </cell>
          <cell r="E692"/>
          <cell r="F692" t="str">
            <v>M3</v>
          </cell>
          <cell r="G692">
            <v>72.47</v>
          </cell>
          <cell r="H692" t="str">
            <v>-</v>
          </cell>
        </row>
        <row r="693">
          <cell r="A693">
            <v>101835</v>
          </cell>
          <cell r="B693" t="str">
            <v>SINAPI</v>
          </cell>
          <cell r="C693"/>
          <cell r="D693" t="str">
            <v>Recomposição de base e ou sub-base para remendo profundo de brita graduada simples - incluso retirada e colocação do material. AF_12/2020</v>
          </cell>
          <cell r="E693"/>
          <cell r="F693" t="str">
            <v>M3</v>
          </cell>
          <cell r="G693">
            <v>262.77999999999997</v>
          </cell>
          <cell r="H693" t="str">
            <v>-</v>
          </cell>
        </row>
        <row r="694">
          <cell r="A694">
            <v>101827</v>
          </cell>
          <cell r="B694" t="str">
            <v>SINAPI</v>
          </cell>
          <cell r="C694"/>
          <cell r="D694" t="str">
            <v>Recomposição de base e ou sub-base para remendo profundo de solo brita (40/60) - incluso retirada e colocação do material. AF_12/2020</v>
          </cell>
          <cell r="E694"/>
          <cell r="F694" t="str">
            <v>M3</v>
          </cell>
          <cell r="G694">
            <v>189.22</v>
          </cell>
          <cell r="H694" t="str">
            <v>-</v>
          </cell>
        </row>
        <row r="695">
          <cell r="A695">
            <v>101849</v>
          </cell>
          <cell r="B695" t="str">
            <v>SINAPI</v>
          </cell>
          <cell r="C695"/>
          <cell r="D695" t="str">
            <v>Recomposição de base e ou sub-base para fechamento de valas de brita graduada simples - incluso retirada e colocação do material. AF_12/2020</v>
          </cell>
          <cell r="E695"/>
          <cell r="F695" t="str">
            <v>M3</v>
          </cell>
          <cell r="G695">
            <v>178.08</v>
          </cell>
          <cell r="H695" t="str">
            <v>-</v>
          </cell>
        </row>
        <row r="696">
          <cell r="A696">
            <v>95606</v>
          </cell>
          <cell r="B696" t="str">
            <v>SINAPI</v>
          </cell>
          <cell r="C696"/>
          <cell r="D696" t="str">
            <v>Umidificação de material para valas com caminhão pipa 10000l. AF_11/2016</v>
          </cell>
          <cell r="E696"/>
          <cell r="F696" t="str">
            <v>M3</v>
          </cell>
          <cell r="G696">
            <v>2.0299999999999998</v>
          </cell>
          <cell r="H696" t="str">
            <v>-</v>
          </cell>
        </row>
        <row r="697">
          <cell r="A697" t="str">
            <v>RE/0035</v>
          </cell>
          <cell r="B697" t="str">
            <v>COMPOSIÇÃO</v>
          </cell>
          <cell r="C697"/>
          <cell r="D697" t="str">
            <v>Recomposição manual de base para pavimentação - execução. Exclusive fornecimento de material e transporte</v>
          </cell>
          <cell r="E697" t="str">
            <v>ATENÇÃO
medir volume geométrico</v>
          </cell>
          <cell r="F697" t="str">
            <v>M3</v>
          </cell>
          <cell r="G697">
            <v>35.1</v>
          </cell>
          <cell r="H697" t="str">
            <v>-</v>
          </cell>
        </row>
        <row r="698">
          <cell r="A698" t="str">
            <v>RE/0040</v>
          </cell>
          <cell r="B698" t="str">
            <v>COMPOSIÇÃO</v>
          </cell>
          <cell r="C698"/>
          <cell r="D698" t="str">
            <v>Execução de pré-misturado a frio - PMF, faixa C (semidenso), com emulsão asfáltica RL-1C, aplicação manual em fechamento de vala e remendos. Incluindo fornecimento dos materiais, usinagem e compactação com rolo tandem compacto. Exclusive transporte</v>
          </cell>
          <cell r="E698" t="str">
            <v>B: 1,02222 m³/m²
A: 0,37968 m³/m²
CAL: 87,61905 kg/m²
E = 0,18254 T/m³</v>
          </cell>
          <cell r="F698" t="str">
            <v>M3</v>
          </cell>
          <cell r="G698">
            <v>996.68</v>
          </cell>
          <cell r="H698" t="str">
            <v>-</v>
          </cell>
        </row>
        <row r="699">
          <cell r="A699" t="str">
            <v>RE/0045</v>
          </cell>
          <cell r="B699" t="str">
            <v>COMPOSIÇÃO</v>
          </cell>
          <cell r="C699"/>
          <cell r="D699" t="str">
            <v>Execução de pré-misturado a frio - PMF, faixa C (semidenso), com emulsão asfáltica RL-1C, aplicação com motoniveladora (reperfilamento). Incluindo fornecimento de materiais. Exclusive transporte</v>
          </cell>
          <cell r="E699"/>
          <cell r="F699" t="str">
            <v>M3</v>
          </cell>
          <cell r="G699">
            <v>1021.49</v>
          </cell>
          <cell r="H699" t="str">
            <v>-</v>
          </cell>
        </row>
        <row r="700">
          <cell r="A700" t="str">
            <v>RE/0050</v>
          </cell>
          <cell r="B700" t="str">
            <v>COMPOSIÇÃO</v>
          </cell>
          <cell r="C700"/>
          <cell r="D700" t="str">
            <v>CBUQ (usina comercial) - aplicação manual em fechamento de vala e remendos. Incluindo fornecimento dos materiais e compactação com rolo tandem compacto. Exclusive transporte. Ref BP 09.05.0500 RIO SCO</v>
          </cell>
          <cell r="E700"/>
          <cell r="F700" t="str">
            <v>M3</v>
          </cell>
          <cell r="G700">
            <v>1516.64</v>
          </cell>
          <cell r="H700" t="str">
            <v>-</v>
          </cell>
        </row>
        <row r="701">
          <cell r="A701" t="str">
            <v>RE/0051</v>
          </cell>
          <cell r="B701" t="str">
            <v>COMPOSIÇÃO</v>
          </cell>
          <cell r="C701"/>
          <cell r="D701" t="str">
            <v>CBUQ (usina comercial) - aplicação manual em fechamento de vala e remendos. Incluindo fornecimento dos materiais e compactação com rolo tandem compacto. Exclusive transporte</v>
          </cell>
          <cell r="E701"/>
          <cell r="F701" t="str">
            <v>M3</v>
          </cell>
          <cell r="G701">
            <v>1111.5</v>
          </cell>
          <cell r="H701" t="str">
            <v>-</v>
          </cell>
        </row>
        <row r="702">
          <cell r="A702" t="str">
            <v>RE/0052</v>
          </cell>
          <cell r="B702" t="str">
            <v>COMPOSIÇÃO</v>
          </cell>
          <cell r="C702"/>
          <cell r="D702" t="str">
            <v>CBUQ (usina comercial) - aplicação manual em fechamento de vala e remendos. Incluindo fornecimento dos materiais e compactação com rolo tandem compacto. Exclusive transporte</v>
          </cell>
          <cell r="E702"/>
          <cell r="F702" t="str">
            <v>M3</v>
          </cell>
          <cell r="G702">
            <v>1487.83</v>
          </cell>
          <cell r="H702" t="str">
            <v>-</v>
          </cell>
        </row>
        <row r="703">
          <cell r="A703" t="str">
            <v>RE/0053</v>
          </cell>
          <cell r="B703" t="str">
            <v>COMPOSIÇÃO</v>
          </cell>
          <cell r="C703"/>
          <cell r="D703" t="str">
            <v>CBUQ (usina comercial) - aplicação manual em fechamento de vala e remendos. Incluindo fornecimento dos materiais e compactação com rolo tandem compacto. Exclusive transporte</v>
          </cell>
          <cell r="E703"/>
          <cell r="F703" t="str">
            <v>M3</v>
          </cell>
          <cell r="G703">
            <v>1213.8499999999999</v>
          </cell>
          <cell r="H703" t="str">
            <v>-</v>
          </cell>
        </row>
        <row r="704">
          <cell r="A704" t="str">
            <v>RE/0055</v>
          </cell>
          <cell r="B704" t="str">
            <v>COMPOSIÇÃO</v>
          </cell>
          <cell r="C704"/>
          <cell r="D704" t="str">
            <v>CBUQ (usina comercial) - aplicação com motoniveladora (reperfilamento). Incluindo fornecimento de materiais. Exclusive transporte</v>
          </cell>
          <cell r="E704"/>
          <cell r="F704" t="str">
            <v>M3</v>
          </cell>
          <cell r="G704">
            <v>1543.9</v>
          </cell>
          <cell r="H704" t="str">
            <v>-</v>
          </cell>
        </row>
        <row r="705">
          <cell r="A705" t="str">
            <v>RE/0056</v>
          </cell>
          <cell r="B705" t="str">
            <v>COMPOSIÇÃO</v>
          </cell>
          <cell r="C705"/>
          <cell r="D705" t="str">
            <v>CBUQ (usina comercial) - aplicação com motoniveladora (reperfilamento). Incluindo fornecimento de materiais. Exclusive transporte</v>
          </cell>
          <cell r="E705"/>
          <cell r="F705" t="str">
            <v>M3</v>
          </cell>
          <cell r="G705">
            <v>1138.76</v>
          </cell>
          <cell r="H705" t="str">
            <v>-</v>
          </cell>
        </row>
        <row r="706">
          <cell r="A706" t="str">
            <v>RE/0057</v>
          </cell>
          <cell r="B706" t="str">
            <v>COMPOSIÇÃO</v>
          </cell>
          <cell r="C706"/>
          <cell r="D706" t="str">
            <v>CBUQ (usina comercial) - aplicação com motoniveladora (reperfilamento). Incluindo fornecimento de materiais. Exclusive transporte</v>
          </cell>
          <cell r="E706"/>
          <cell r="F706" t="str">
            <v>M3</v>
          </cell>
          <cell r="G706">
            <v>1515.08</v>
          </cell>
          <cell r="H706" t="str">
            <v>-</v>
          </cell>
        </row>
        <row r="707">
          <cell r="A707" t="str">
            <v>RE/0058</v>
          </cell>
          <cell r="B707" t="str">
            <v>COMPOSIÇÃO</v>
          </cell>
          <cell r="C707"/>
          <cell r="D707" t="str">
            <v>CBUQ (usina comercial) - aplicação com motoniveladora (reperfilamento). Incluindo fornecimento de materiais. Exclusive transporte</v>
          </cell>
          <cell r="E707"/>
          <cell r="F707" t="str">
            <v>M3</v>
          </cell>
          <cell r="G707">
            <v>1241.0999999999999</v>
          </cell>
          <cell r="H707" t="str">
            <v>-</v>
          </cell>
        </row>
        <row r="708">
          <cell r="A708" t="str">
            <v>RE/0060</v>
          </cell>
          <cell r="B708" t="str">
            <v>COMPOSIÇÃO</v>
          </cell>
          <cell r="C708"/>
          <cell r="D708" t="str">
            <v>Reciclagem simples com incorporação do revestimento asfáltico à base (REF. SICRO COD. 4011481)</v>
          </cell>
          <cell r="E708" t="str">
            <v>ATENÇÃO
medir volume geométrico</v>
          </cell>
          <cell r="F708" t="str">
            <v>M3</v>
          </cell>
          <cell r="G708">
            <v>38.58</v>
          </cell>
          <cell r="H708" t="str">
            <v>-</v>
          </cell>
        </row>
        <row r="709">
          <cell r="A709" t="str">
            <v>RE/0065</v>
          </cell>
          <cell r="B709" t="str">
            <v>COMPOSIÇÃO</v>
          </cell>
          <cell r="C709"/>
          <cell r="D709" t="str">
            <v>Reciclagem com adição de cimento e incorporação do revestimento asfáltico à base. Exclusive fornecimento de cimento (REF. SICRO COD. 4011482)</v>
          </cell>
          <cell r="E709"/>
          <cell r="F709" t="str">
            <v>M3</v>
          </cell>
          <cell r="G709">
            <v>40.130000000000003</v>
          </cell>
          <cell r="H709" t="str">
            <v>-</v>
          </cell>
        </row>
        <row r="710">
          <cell r="A710" t="str">
            <v>RE/0070</v>
          </cell>
          <cell r="B710" t="str">
            <v>COMPOSIÇÃO</v>
          </cell>
          <cell r="C710"/>
          <cell r="D710" t="str">
            <v>Reciclagem com adição de brita e incorporação do revestimento asfáltico à base. Exclusive fornecimento de brita (REF. SICRO COD. 4011484)</v>
          </cell>
          <cell r="E710"/>
          <cell r="F710" t="str">
            <v>M3</v>
          </cell>
          <cell r="G710">
            <v>41.24</v>
          </cell>
          <cell r="H710" t="str">
            <v>-</v>
          </cell>
        </row>
        <row r="711">
          <cell r="A711" t="str">
            <v>RE/0075</v>
          </cell>
          <cell r="B711" t="str">
            <v>COMPOSIÇÃO</v>
          </cell>
          <cell r="C711"/>
          <cell r="D711" t="str">
            <v>Microrrevestimento a frio - Microflex, espessura 0,8 cm, com emulsão asfáltica polimerizada RC-1C-E, execução e fornecimento de materiais. Exclusive transportes de insumos e do ligante betuminoso (REF. SICRO COD. 4011408)</v>
          </cell>
          <cell r="E711" t="str">
            <v>pó pedra: 0,012m³/m²
emulsão:0,00194T/m²
calcário: 0,00012m³/m²</v>
          </cell>
          <cell r="F711" t="str">
            <v>M2</v>
          </cell>
          <cell r="G711">
            <v>10.47</v>
          </cell>
          <cell r="H711" t="str">
            <v>-</v>
          </cell>
        </row>
        <row r="712">
          <cell r="A712" t="str">
            <v>RE/0080</v>
          </cell>
          <cell r="B712" t="str">
            <v>COMPOSIÇÃO</v>
          </cell>
          <cell r="C712"/>
          <cell r="D712" t="str">
            <v>Microrrevestimento a frio - Microflex, espessura 1,5 cm, com emulsão asfáltica polimerizada RC-1C-E, execução e fornecimento de materiais. Exclusive transportes de insumos e do ligante betuminoso (REF. SICRO COD. 4011410)</v>
          </cell>
          <cell r="E712" t="str">
            <v>pó pedra: 0,0225m³/m² emulsão:0,0032T/m² calcário: 0,000225m³/m²</v>
          </cell>
          <cell r="F712" t="str">
            <v>M2</v>
          </cell>
          <cell r="G712">
            <v>17.510000000000002</v>
          </cell>
          <cell r="H712" t="str">
            <v>-</v>
          </cell>
        </row>
        <row r="713">
          <cell r="A713" t="str">
            <v>RE/0085</v>
          </cell>
          <cell r="B713" t="str">
            <v>COMPOSIÇÃO</v>
          </cell>
          <cell r="C713"/>
          <cell r="D713" t="str">
            <v>Microrrevestimento a frio - Microflex, espessura 2,0 cm, com emulsão asfáltica polimerizada RC-1C-E, execução e fornecimento de materiais. Exclusive transportes de insumos e do ligante betuminoso (REF. SICRO COD. 4011412)</v>
          </cell>
          <cell r="E713"/>
          <cell r="F713" t="str">
            <v>M2</v>
          </cell>
          <cell r="G713">
            <v>21.78</v>
          </cell>
          <cell r="H713" t="str">
            <v>-</v>
          </cell>
        </row>
        <row r="714">
          <cell r="A714" t="str">
            <v>RE/0090</v>
          </cell>
          <cell r="B714" t="str">
            <v>COMPOSIÇÃO</v>
          </cell>
          <cell r="C714"/>
          <cell r="D714" t="str">
            <v>Reciclagem com adição de cimento e incorporação do revestimento asfáltico à base. Exclusive fornecimento de cimento (REF. SICRO COD. 4011482, DB 01/2020)</v>
          </cell>
          <cell r="E714"/>
          <cell r="F714" t="str">
            <v>M3</v>
          </cell>
          <cell r="G714">
            <v>36.33</v>
          </cell>
          <cell r="H714" t="str">
            <v>-</v>
          </cell>
        </row>
        <row r="715">
          <cell r="A715">
            <v>1379</v>
          </cell>
          <cell r="B715" t="str">
            <v>COTAÇÃO - SINAPI</v>
          </cell>
          <cell r="C715"/>
          <cell r="D715" t="str">
            <v>Cimento portland composto CP II-32</v>
          </cell>
          <cell r="E715"/>
          <cell r="F715" t="str">
            <v xml:space="preserve">KG    </v>
          </cell>
          <cell r="G715">
            <v>0.81</v>
          </cell>
          <cell r="H715" t="str">
            <v>-</v>
          </cell>
        </row>
        <row r="716">
          <cell r="A716">
            <v>4721</v>
          </cell>
          <cell r="B716" t="str">
            <v>COTAÇÃO - SINAPI</v>
          </cell>
          <cell r="C716"/>
          <cell r="D716" t="str">
            <v>Pedra britada n. 1 (9,5 A 19 mm) posto pedreira/fornecedor, sem frete</v>
          </cell>
          <cell r="E716"/>
          <cell r="F716" t="str">
            <v xml:space="preserve">M3    </v>
          </cell>
          <cell r="G716">
            <v>96.99</v>
          </cell>
          <cell r="H716" t="str">
            <v>-</v>
          </cell>
        </row>
        <row r="717">
          <cell r="A717">
            <v>4730</v>
          </cell>
          <cell r="B717" t="str">
            <v>COTAÇÃO - SINAPI</v>
          </cell>
          <cell r="C717"/>
          <cell r="D717" t="str">
            <v>Pedra de mão ou pedra rachão para arrimo/fundação (posto pedreira/fornecedor, sem frete)</v>
          </cell>
          <cell r="E717"/>
          <cell r="F717" t="str">
            <v xml:space="preserve">M3    </v>
          </cell>
          <cell r="G717">
            <v>91.16</v>
          </cell>
          <cell r="H717" t="str">
            <v>-</v>
          </cell>
        </row>
        <row r="718">
          <cell r="A718"/>
          <cell r="B718"/>
          <cell r="C718"/>
          <cell r="D718"/>
          <cell r="E718"/>
          <cell r="F718"/>
          <cell r="G718"/>
          <cell r="H718"/>
        </row>
        <row r="719">
          <cell r="A719"/>
          <cell r="B719"/>
          <cell r="C719" t="str">
            <v>9.0</v>
          </cell>
          <cell r="D719" t="str">
            <v>IMPLANTAÇÃO ASFÁLTICA - TERRAPLENAGEM</v>
          </cell>
          <cell r="E719"/>
          <cell r="F719"/>
          <cell r="G719"/>
          <cell r="H719" t="str">
            <v/>
          </cell>
        </row>
        <row r="720">
          <cell r="A720" t="str">
            <v>PA/0005</v>
          </cell>
          <cell r="B720" t="str">
            <v>COMPOSIÇÃO</v>
          </cell>
          <cell r="C720">
            <v>42</v>
          </cell>
          <cell r="D720" t="str">
            <v>Preparo do subleito, escavação e carga. Exclusive transporte</v>
          </cell>
          <cell r="E720"/>
          <cell r="F720" t="str">
            <v>M3</v>
          </cell>
          <cell r="G720">
            <v>5.51</v>
          </cell>
          <cell r="H720" t="str">
            <v>-</v>
          </cell>
        </row>
        <row r="721">
          <cell r="A721" t="str">
            <v>PA/0006</v>
          </cell>
          <cell r="B721" t="str">
            <v>COMPOSIÇÃO</v>
          </cell>
          <cell r="C721"/>
          <cell r="D721" t="str">
            <v>Reforço do subleito com material de jazida. Ref SICRO cód 4011211, db 01-23</v>
          </cell>
          <cell r="E721"/>
          <cell r="F721" t="str">
            <v>M3</v>
          </cell>
          <cell r="G721">
            <v>14.54</v>
          </cell>
          <cell r="H721" t="str">
            <v>-</v>
          </cell>
        </row>
        <row r="722">
          <cell r="A722"/>
          <cell r="B722" t="str">
            <v>REPETIDO</v>
          </cell>
          <cell r="C722" t="str">
            <v>74205/1</v>
          </cell>
          <cell r="D722" t="str">
            <v>Escavação mecânica de material 1a categoria, proveniente de corte de subleito (com trator esteiras 160HP). Exclusive carga e transporte</v>
          </cell>
          <cell r="E722" t="str">
            <v>ATENÇÃO
medir empolado
com 30%</v>
          </cell>
          <cell r="F722" t="str">
            <v>-</v>
          </cell>
          <cell r="G722" t="str">
            <v>-</v>
          </cell>
          <cell r="H722" t="str">
            <v/>
          </cell>
        </row>
        <row r="723">
          <cell r="A723" t="str">
            <v>PA/0010</v>
          </cell>
          <cell r="B723" t="str">
            <v>COMPOSIÇÃO</v>
          </cell>
          <cell r="C723">
            <v>34.479999999999997</v>
          </cell>
          <cell r="D723" t="str">
            <v>Colchão de rachão e/ou pedra-de-mão, com camada final de pedra brita. Fornecimento e execução. Exclusive transporte da pedra</v>
          </cell>
          <cell r="E723" t="str">
            <v>ATENÇÃO
não medir
com empolado</v>
          </cell>
          <cell r="F723" t="str">
            <v>M3</v>
          </cell>
          <cell r="G723">
            <v>137.47</v>
          </cell>
          <cell r="H723" t="str">
            <v>-</v>
          </cell>
        </row>
        <row r="724">
          <cell r="A724" t="str">
            <v>PA/0015</v>
          </cell>
          <cell r="B724" t="str">
            <v>COMPOSIÇÃO</v>
          </cell>
          <cell r="C724"/>
          <cell r="D724" t="str">
            <v>Escavação, carga e transporte de solos moles em campo aberto com escavadeira hidráulica com esteira e caminhão basculante, DMT de 50 a 200m em leito natural (REF. SICRO2 COD. 5502899)</v>
          </cell>
          <cell r="E724"/>
          <cell r="F724" t="str">
            <v>M3</v>
          </cell>
          <cell r="G724">
            <v>16</v>
          </cell>
          <cell r="H724" t="str">
            <v>-</v>
          </cell>
        </row>
        <row r="725">
          <cell r="A725">
            <v>101115</v>
          </cell>
          <cell r="B725" t="str">
            <v>SINAPI</v>
          </cell>
          <cell r="C725"/>
          <cell r="D725" t="str">
            <v>Escavação horizontal em solo de 1a categoria com trator de esteiras (150 HP /lâmina: 3,18 m3). AF_07/2020</v>
          </cell>
          <cell r="E725"/>
          <cell r="F725" t="str">
            <v>M3</v>
          </cell>
          <cell r="G725">
            <v>3</v>
          </cell>
          <cell r="H725" t="str">
            <v>-</v>
          </cell>
        </row>
        <row r="726">
          <cell r="A726">
            <v>101125</v>
          </cell>
          <cell r="B726" t="str">
            <v>SINAPI</v>
          </cell>
          <cell r="C726" t="str">
            <v>74151/1</v>
          </cell>
          <cell r="D726" t="str">
            <v>Escavação horizontal, incluindo carga e descarga em solo de 1a categoria com trator de esteiras (150 HP / lâmina: 3,18 m3). AF_07/2020</v>
          </cell>
          <cell r="E726"/>
          <cell r="F726" t="str">
            <v>M3</v>
          </cell>
          <cell r="G726">
            <v>12.56</v>
          </cell>
          <cell r="H726" t="str">
            <v>-</v>
          </cell>
        </row>
        <row r="727">
          <cell r="A727">
            <v>101135</v>
          </cell>
          <cell r="B727" t="str">
            <v>SINAPI</v>
          </cell>
          <cell r="C727"/>
          <cell r="D727" t="str">
            <v>Escavação horizontal, incluindo carga, descarga e transporte em solo de 1a categoria com trator de esteiras (150HP/lâmina: 3,18m3) e caminhão basculante de 10m3, DMT até 200m. AF_07/2020</v>
          </cell>
          <cell r="E727"/>
          <cell r="F727" t="str">
            <v>M3</v>
          </cell>
          <cell r="G727">
            <v>13.15</v>
          </cell>
          <cell r="H727" t="str">
            <v>-</v>
          </cell>
        </row>
        <row r="728">
          <cell r="A728">
            <v>101147</v>
          </cell>
          <cell r="B728" t="str">
            <v>SINAPI</v>
          </cell>
          <cell r="C728"/>
          <cell r="D728" t="str">
            <v>Escavação horizontal, incluindo carga, descarga e transporte em solo de 1a categoria com trator de esteiras (347HP/lâmina: 8,70m3) e caminhão basculante de 14m3, DMT até 200m. AF_07/2020</v>
          </cell>
          <cell r="E728"/>
          <cell r="F728" t="str">
            <v>M3</v>
          </cell>
          <cell r="G728">
            <v>12.92</v>
          </cell>
          <cell r="H728" t="str">
            <v>-</v>
          </cell>
        </row>
        <row r="729">
          <cell r="A729" t="str">
            <v>PA/00xx</v>
          </cell>
          <cell r="B729" t="str">
            <v>CRIAR COMPOSIÇÃO</v>
          </cell>
          <cell r="C729"/>
          <cell r="D729" t="str">
            <v>Escavação vertical a céu aberto, em obras de infraestrutura, incluindo carga, descarga e transporte, em solo de 1a categoria com escavadeira hidráulica (caçamba: 0,80 m3 / 111HP), frota de 3 caminhões basculantes de 6 m3, DMT até 1 km e velocidade média 14km/h. AF_05/2020</v>
          </cell>
          <cell r="E729"/>
          <cell r="F729" t="str">
            <v>-</v>
          </cell>
          <cell r="G729" t="str">
            <v>-</v>
          </cell>
          <cell r="H729" t="str">
            <v>-</v>
          </cell>
        </row>
        <row r="730">
          <cell r="A730">
            <v>101266</v>
          </cell>
          <cell r="B730" t="str">
            <v>SINAPI</v>
          </cell>
          <cell r="C730">
            <v>74.63</v>
          </cell>
          <cell r="D730" t="str">
    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    </cell>
          <cell r="E730"/>
          <cell r="F730" t="str">
            <v>M3</v>
          </cell>
          <cell r="G730">
            <v>10.119999999999999</v>
          </cell>
          <cell r="H730" t="str">
            <v>-</v>
          </cell>
        </row>
        <row r="731">
          <cell r="A731">
            <v>101268</v>
          </cell>
          <cell r="B731" t="str">
            <v>SINAPI</v>
          </cell>
          <cell r="C731">
            <v>74.63</v>
          </cell>
          <cell r="D731" t="str">
            <v>Escavação vertical a céu aberto, em obras de infraestrutura, incluindo carga, descarga e transporte, em solo de 1a categoria com escavadeira hidráulica (caçamba: 0,80 m3 / 111 HP), frota de 5 caminhões basculantes de 10 m3, DMT de 1,50 km e velocidade média 18 km/h. AF_05/2020</v>
          </cell>
          <cell r="E731"/>
          <cell r="F731" t="str">
            <v>M3</v>
          </cell>
          <cell r="G731">
            <v>15.93</v>
          </cell>
          <cell r="H731" t="str">
            <v>-</v>
          </cell>
        </row>
        <row r="732">
          <cell r="A732">
            <v>101269</v>
          </cell>
          <cell r="B732" t="str">
            <v>SINAPI</v>
          </cell>
          <cell r="C732">
            <v>74.63</v>
          </cell>
          <cell r="D732" t="str">
            <v>Escavação vertical a céu aberto, em obras de infraestrutura, incluindo carga, descarga e transporte, em solo de 1a categoria com escavadeira hidráulica (caçamba: 0,80 m3 / 111 HP), frota de 6 caminhões basculantes de 10 m3, DMT de 2 km e velocidade média 19 km/h. AF_05/2020</v>
          </cell>
          <cell r="E732"/>
          <cell r="F732" t="str">
            <v>M3</v>
          </cell>
          <cell r="G732">
            <v>17.72</v>
          </cell>
          <cell r="H732" t="str">
            <v>-</v>
          </cell>
        </row>
        <row r="733">
          <cell r="A733">
            <v>101270</v>
          </cell>
          <cell r="B733" t="str">
            <v>SINAPI</v>
          </cell>
          <cell r="C733">
            <v>74.63</v>
          </cell>
          <cell r="D733" t="str">
            <v>Escavação vertical a céu aberto, em obras de infraestrutura, incluindo carga, descarga e transporte, em solo de 1a categoria com escavadeira hidráulica (caçamba: 0,80 m3 / 111 HP), frota de 7 caminhões basculantes de 10 m3, DMT de 3 km e velocidade média 20 km/h. AF_05/2020</v>
          </cell>
          <cell r="E733"/>
          <cell r="F733" t="str">
            <v>M3</v>
          </cell>
          <cell r="G733">
            <v>20.52</v>
          </cell>
          <cell r="H733" t="str">
            <v>-</v>
          </cell>
        </row>
        <row r="734">
          <cell r="A734">
            <v>101271</v>
          </cell>
          <cell r="B734" t="str">
            <v>SINAPI</v>
          </cell>
          <cell r="C734">
            <v>74.63</v>
          </cell>
          <cell r="D734" t="str">
            <v>Escavação vertical a céu aberto, em obras de infraestrutura, incluindo carga, descarga e transporte, em solo de 1a categoria com escavadeira hidráulica (caçamba: 0,80 m3 / 111 HP), frota de 8 caminhões basculantes de 10 m3, DMT de 4 km e velocidade média 22 km/h. AF_05/2020</v>
          </cell>
          <cell r="E734"/>
          <cell r="F734" t="str">
            <v>M3</v>
          </cell>
          <cell r="G734">
            <v>22.76</v>
          </cell>
          <cell r="H734" t="str">
            <v>-</v>
          </cell>
        </row>
        <row r="735">
          <cell r="A735">
            <v>101272</v>
          </cell>
          <cell r="B735" t="str">
            <v>SINAPI</v>
          </cell>
          <cell r="C735">
            <v>74.63</v>
          </cell>
          <cell r="D735" t="str">
            <v>Escavação vertical a céu aberto, em obras de infraestrutura, incluindo carga, descarga e transporte, em solo de 1a categoria com escavadeira hidráulica (caçamba: 0,80 m3 / 111 HP), frota de 10 caminhões basculantes de 10 m3, DMT de 6 km e velocidade média 22 km/h. AF_05/2020</v>
          </cell>
          <cell r="E735"/>
          <cell r="F735" t="str">
            <v>M3</v>
          </cell>
          <cell r="G735">
            <v>28.38</v>
          </cell>
          <cell r="H735" t="str">
            <v>-</v>
          </cell>
        </row>
        <row r="736">
          <cell r="A736">
            <v>101230</v>
          </cell>
          <cell r="B736" t="str">
            <v>SINAPI</v>
          </cell>
          <cell r="C736" t="str">
            <v>83338
52,08 m3/h</v>
          </cell>
          <cell r="D736" t="str">
    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    </cell>
          <cell r="E736" t="str">
            <v>ATENÇÃO
usar em jazida</v>
          </cell>
          <cell r="F736" t="str">
            <v>M3</v>
          </cell>
          <cell r="G736">
            <v>10.029999999999999</v>
          </cell>
          <cell r="H736" t="str">
            <v>-</v>
          </cell>
        </row>
        <row r="737">
          <cell r="A737">
            <v>101232</v>
          </cell>
          <cell r="B737" t="str">
            <v>SINAPI</v>
          </cell>
          <cell r="C737">
            <v>109.89</v>
          </cell>
          <cell r="D737" t="str">
    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    </cell>
          <cell r="E737"/>
          <cell r="F737" t="str">
            <v>M3</v>
          </cell>
          <cell r="G737">
            <v>8.57</v>
          </cell>
          <cell r="H737" t="str">
            <v>-</v>
          </cell>
        </row>
        <row r="738">
          <cell r="A738">
            <v>101244</v>
          </cell>
          <cell r="B738" t="str">
            <v>SINAPI</v>
          </cell>
          <cell r="C738">
            <v>109.89</v>
          </cell>
          <cell r="D738" t="str">
            <v>Escavação vertical a céu aberto, em obras de infraestrutura, incluindo carga, descarga e transporte, em solo de 1a categoria com escavadeira hidráulica (caçamba: 1,20 m3 / 155 HP), frota de 6 caminhões basculantes de 14 m3, DMT de 1,50 km e velocidade média 18 km/h. AF_05/2020</v>
          </cell>
          <cell r="E738"/>
          <cell r="F738" t="str">
            <v>M3</v>
          </cell>
          <cell r="G738">
            <v>14.41</v>
          </cell>
          <cell r="H738" t="str">
            <v>-</v>
          </cell>
        </row>
        <row r="739">
          <cell r="A739">
            <v>101245</v>
          </cell>
          <cell r="B739" t="str">
            <v>SINAPI</v>
          </cell>
          <cell r="C739">
            <v>109.89</v>
          </cell>
          <cell r="D739" t="str">
            <v>Escavação vertical a céu aberto, em obras de infraestrutura, incluindo carga, descarga e transporte, em solo de 1a categoria com escavadeira hidráulica (caçamba: 1,20 m3 / 155 HP), frota de 6 caminhões basculantes de 14 m3, DMT de 2 km e velocidade média 19 km/h. AF_05/2020</v>
          </cell>
          <cell r="E739"/>
          <cell r="F739" t="str">
            <v>M3</v>
          </cell>
          <cell r="G739">
            <v>15.25</v>
          </cell>
          <cell r="H739" t="str">
            <v>-</v>
          </cell>
        </row>
        <row r="740">
          <cell r="A740">
            <v>101246</v>
          </cell>
          <cell r="B740" t="str">
            <v>SINAPI</v>
          </cell>
          <cell r="C740">
            <v>109.89</v>
          </cell>
          <cell r="D740" t="str">
            <v>Escavação vertical a céu aberto, em obras de infraestrutura, incluindo carga, descarga e transporte, em solo de 1a categoria com escavadeira hidráulica (caçamba: 1,20 m3 / 155 HP), frota de 7 caminhões basculantes de 14 m3, DMT de 3 km e velocidade média 20 km/h. AF_05/2020</v>
          </cell>
          <cell r="E740"/>
          <cell r="F740" t="str">
            <v>M3</v>
          </cell>
          <cell r="G740">
            <v>17.72</v>
          </cell>
          <cell r="H740" t="str">
            <v>-</v>
          </cell>
        </row>
        <row r="741">
          <cell r="A741">
            <v>101247</v>
          </cell>
          <cell r="B741" t="str">
            <v>SINAPI</v>
          </cell>
          <cell r="C741">
            <v>109.89</v>
          </cell>
          <cell r="D741" t="str">
            <v>Escavação vertical a céu aberto, em obras de infraestrutura, incluindo carga, descarga e transporte, em solo de 1a categoria com escavadeira hidráulica (caçamba: 1,20 m3 / 155 HP), frota de 8 caminhões basculantes de 14 m3, DMT de 4 km e velocidade média 22 km/h. AF_05/2020</v>
          </cell>
          <cell r="E741"/>
          <cell r="F741" t="str">
            <v>M3</v>
          </cell>
          <cell r="G741">
            <v>19.670000000000002</v>
          </cell>
          <cell r="H741" t="str">
            <v>-</v>
          </cell>
        </row>
        <row r="742">
          <cell r="A742">
            <v>101248</v>
          </cell>
          <cell r="B742" t="str">
            <v>SINAPI</v>
          </cell>
          <cell r="C742">
            <v>109.89</v>
          </cell>
          <cell r="D742" t="str">
            <v>Escavação vertical a céu aberto, em obras de infraestrutura, incluindo carga, descarga e transporte, em solo de 1a categoria com escavadeira hidráulica (caçamba: 1,20 m3 / 155 HP), frota de 10 caminhões basculantes de 14 m3, DMT de 6 km e velocidade média 22km/h. AF_05/2020</v>
          </cell>
          <cell r="E742"/>
          <cell r="F742" t="str">
            <v>M3</v>
          </cell>
          <cell r="G742">
            <v>24.64</v>
          </cell>
          <cell r="H742" t="str">
            <v>-</v>
          </cell>
        </row>
        <row r="743">
          <cell r="A743">
            <v>96385</v>
          </cell>
          <cell r="B743" t="str">
            <v>SINAPI</v>
          </cell>
          <cell r="C743">
            <v>30.3</v>
          </cell>
          <cell r="D743" t="str">
            <v>Execução e compactação de aterro com solo predominantemente argiloso - exclusive solo, escavação, carga e transporte. AF_11/2019</v>
          </cell>
          <cell r="E743"/>
          <cell r="F743" t="str">
            <v>M3</v>
          </cell>
          <cell r="G743">
            <v>10.9</v>
          </cell>
          <cell r="H743" t="str">
            <v>-</v>
          </cell>
        </row>
        <row r="744">
          <cell r="A744">
            <v>96386</v>
          </cell>
          <cell r="B744" t="str">
            <v>SINAPI</v>
          </cell>
          <cell r="C744">
            <v>47.62</v>
          </cell>
          <cell r="D744" t="str">
            <v>Execução e compactação de aterro com solo predominantemente arenoso - exclusive solo, escavação, carga e transporte. AF_11/2019</v>
          </cell>
          <cell r="E744"/>
          <cell r="F744" t="str">
            <v>M3</v>
          </cell>
          <cell r="G744">
            <v>7.81</v>
          </cell>
          <cell r="H744" t="str">
            <v>-</v>
          </cell>
        </row>
        <row r="745">
          <cell r="A745"/>
          <cell r="B745" t="str">
            <v>REPETIDO</v>
          </cell>
          <cell r="C745">
            <v>100574</v>
          </cell>
          <cell r="D745" t="str">
            <v>Espalhamento de material, com utilização de trator de esteiras de 165 HP</v>
          </cell>
          <cell r="E745"/>
          <cell r="F745" t="str">
            <v>-</v>
          </cell>
          <cell r="G745" t="str">
            <v>-</v>
          </cell>
          <cell r="H745" t="str">
            <v/>
          </cell>
        </row>
        <row r="746">
          <cell r="A746"/>
          <cell r="B746" t="str">
            <v>REPETIDO</v>
          </cell>
          <cell r="C746">
            <v>6079</v>
          </cell>
          <cell r="D746" t="str">
            <v>Argila, argila vermelha, argila arenosa ou arenito  (posto jazida / fornecedor, sem frete)</v>
          </cell>
          <cell r="E746" t="str">
            <v>ATENÇÃO
medir empolado com 25%</v>
          </cell>
          <cell r="F746" t="str">
            <v>-</v>
          </cell>
          <cell r="G746" t="str">
            <v>-</v>
          </cell>
          <cell r="H746" t="str">
            <v/>
          </cell>
        </row>
        <row r="747">
          <cell r="A747">
            <v>4746</v>
          </cell>
          <cell r="B747" t="str">
            <v>COTAÇÃO - SINAPI</v>
          </cell>
          <cell r="C747"/>
          <cell r="D747" t="str">
            <v>Pedregulho ou piçarra de jazida, ao natural, para base de pavimentação (retirado na jazida, sem transporte)</v>
          </cell>
          <cell r="E747" t="str">
            <v>ATENÇÃO
medir empolado com 30%</v>
          </cell>
          <cell r="F747" t="str">
            <v xml:space="preserve">M3    </v>
          </cell>
          <cell r="G747">
            <v>68.09</v>
          </cell>
          <cell r="H747" t="str">
            <v>-</v>
          </cell>
        </row>
        <row r="748">
          <cell r="A748"/>
          <cell r="B748" t="str">
            <v>REPETIDO</v>
          </cell>
          <cell r="C748">
            <v>368</v>
          </cell>
          <cell r="D748" t="str">
            <v>Areia para aterro - posto jazida / fornecedor (sem frete)</v>
          </cell>
          <cell r="E748"/>
          <cell r="F748" t="str">
            <v>-</v>
          </cell>
          <cell r="G748" t="str">
            <v>-</v>
          </cell>
          <cell r="H748" t="str">
            <v/>
          </cell>
        </row>
        <row r="749">
          <cell r="A749"/>
          <cell r="B749"/>
          <cell r="C749"/>
          <cell r="D749"/>
          <cell r="E749"/>
          <cell r="F749"/>
          <cell r="G749"/>
          <cell r="H749"/>
        </row>
        <row r="750">
          <cell r="A750"/>
          <cell r="B750"/>
          <cell r="C750" t="str">
            <v>10.0</v>
          </cell>
          <cell r="D750" t="str">
            <v>IMPLANTAÇÃO ASFÁLTICA - PAVIMENTAÇÃO</v>
          </cell>
          <cell r="E750"/>
          <cell r="F750"/>
          <cell r="G750"/>
          <cell r="H750" t="str">
            <v/>
          </cell>
        </row>
        <row r="751">
          <cell r="A751">
            <v>100576</v>
          </cell>
          <cell r="B751" t="str">
            <v>SINAPI</v>
          </cell>
          <cell r="C751">
            <v>125</v>
          </cell>
          <cell r="D751" t="str">
            <v>Regularização e compactação de subleito de solo predominantemente argiloso. AF_11/2019</v>
          </cell>
          <cell r="E751"/>
          <cell r="F751" t="str">
            <v>M2</v>
          </cell>
          <cell r="G751">
            <v>2.36</v>
          </cell>
          <cell r="H751" t="str">
            <v>-</v>
          </cell>
        </row>
        <row r="752">
          <cell r="A752">
            <v>100577</v>
          </cell>
          <cell r="B752" t="str">
            <v>SINAPI</v>
          </cell>
          <cell r="C752">
            <v>333.33</v>
          </cell>
          <cell r="D752" t="str">
            <v>Regularização e compactação de subleito de solo predominantemente arenoso. AF_11/2019</v>
          </cell>
          <cell r="E752"/>
          <cell r="F752" t="str">
            <v>M2</v>
          </cell>
          <cell r="G752">
            <v>1.08</v>
          </cell>
          <cell r="H752" t="str">
            <v>-</v>
          </cell>
        </row>
        <row r="753">
          <cell r="A753" t="str">
            <v>PA/0007</v>
          </cell>
          <cell r="B753" t="str">
            <v>COMPOSIÇÃO</v>
          </cell>
          <cell r="C753"/>
          <cell r="D753" t="str">
            <v>Regularização do subleito. Ref  SICRO cód 4011209, db 01-23</v>
          </cell>
          <cell r="E753"/>
          <cell r="F753" t="str">
            <v>M²</v>
          </cell>
          <cell r="G753">
            <v>0.94</v>
          </cell>
          <cell r="H753" t="str">
            <v>-</v>
          </cell>
        </row>
        <row r="754">
          <cell r="A754" t="str">
            <v>PA/0008</v>
          </cell>
          <cell r="B754" t="str">
            <v>COMPOSIÇÃO</v>
          </cell>
          <cell r="C754">
            <v>125</v>
          </cell>
          <cell r="D754" t="str">
            <v>Regularização e compactação de subleito de solo predominantemente argiloso. Ref  SICRO cód 4011209 e SINAPI CÓD 100576, db 01-23</v>
          </cell>
          <cell r="E754"/>
          <cell r="F754" t="str">
            <v>M²</v>
          </cell>
          <cell r="G754">
            <v>2.57</v>
          </cell>
          <cell r="H754" t="str">
            <v>-</v>
          </cell>
        </row>
        <row r="755">
          <cell r="A755"/>
          <cell r="B755" t="str">
            <v>REPETIDO</v>
          </cell>
          <cell r="C755">
            <v>4746</v>
          </cell>
          <cell r="D755" t="str">
            <v>Pedregulho ou piçarra de jazida, ao natural, para base de pavimentação (posto jazida / fornecedor, sem frete)</v>
          </cell>
          <cell r="E755" t="str">
            <v>ATENÇÃO
medir empolado com 30%</v>
          </cell>
          <cell r="F755" t="str">
            <v>-</v>
          </cell>
          <cell r="G755" t="str">
            <v>-</v>
          </cell>
          <cell r="H755" t="str">
            <v/>
          </cell>
        </row>
        <row r="756">
          <cell r="A756">
            <v>4729</v>
          </cell>
          <cell r="B756" t="str">
            <v>COTAÇÃO - SINAPI</v>
          </cell>
          <cell r="C756"/>
          <cell r="D756" t="str">
            <v>Pedra britada graduada, classificada (posto pedreira/fornecedor, sem frete)</v>
          </cell>
          <cell r="E756" t="str">
            <v>ATENÇÃO
medir empolado com 46,67%</v>
          </cell>
          <cell r="F756" t="str">
            <v xml:space="preserve">M3    </v>
          </cell>
          <cell r="G756">
            <v>97.72</v>
          </cell>
          <cell r="H756" t="str">
            <v>-</v>
          </cell>
        </row>
        <row r="757">
          <cell r="A757">
            <v>4743</v>
          </cell>
          <cell r="B757" t="str">
            <v>COTAÇÃO - SINAPI</v>
          </cell>
          <cell r="C757"/>
          <cell r="D757" t="str">
            <v>Cascalho de cava</v>
          </cell>
          <cell r="E757" t="str">
            <v>ATENÇÃO
medir empolado com 25%</v>
          </cell>
          <cell r="F757" t="str">
            <v xml:space="preserve">M3    </v>
          </cell>
          <cell r="G757">
            <v>56.55</v>
          </cell>
          <cell r="H757" t="str">
            <v>-</v>
          </cell>
        </row>
        <row r="758">
          <cell r="A758">
            <v>4748</v>
          </cell>
          <cell r="B758" t="str">
            <v>COTAÇÃO - SINAPI</v>
          </cell>
          <cell r="C758"/>
          <cell r="D758" t="str">
            <v>Pedra britada ou bica corrida, não classificada (posto pedreira/fornecedor, sem frete)</v>
          </cell>
          <cell r="E758" t="str">
            <v>ATENÇÃO
medir empolado com 37,5%</v>
          </cell>
          <cell r="F758" t="str">
            <v xml:space="preserve">M3    </v>
          </cell>
          <cell r="G758">
            <v>89.58</v>
          </cell>
          <cell r="H758" t="str">
            <v>-</v>
          </cell>
        </row>
        <row r="759">
          <cell r="A759">
            <v>96396</v>
          </cell>
          <cell r="B759" t="str">
            <v>SINAPI</v>
          </cell>
          <cell r="C759">
            <v>33.33</v>
          </cell>
          <cell r="D759" t="str">
            <v>Execução e compactação de base e ou sub base para pavimentação de brita graduada simples - exclusive carga e transporte. AF_11/2019</v>
          </cell>
          <cell r="E759"/>
          <cell r="F759" t="str">
            <v>M3</v>
          </cell>
          <cell r="G759">
            <v>165.93</v>
          </cell>
          <cell r="H759" t="str">
            <v>-</v>
          </cell>
        </row>
        <row r="760">
          <cell r="A760" t="str">
            <v>PA/0018</v>
          </cell>
          <cell r="B760" t="str">
            <v>COMPOSIÇÃO</v>
          </cell>
          <cell r="C760">
            <v>33.33</v>
          </cell>
          <cell r="D760" t="str">
            <v>Usinagem de brita graduada simples, exclusive fornecimento de materiais (REF. SINAPI COD. 96393, DB 05-2021)</v>
          </cell>
          <cell r="E760"/>
          <cell r="F760" t="str">
            <v>M3</v>
          </cell>
          <cell r="G760">
            <v>6.16</v>
          </cell>
          <cell r="H760" t="str">
            <v>-</v>
          </cell>
        </row>
        <row r="761">
          <cell r="A761" t="str">
            <v>PA/0020</v>
          </cell>
          <cell r="B761" t="str">
            <v>COMPOSIÇÃO</v>
          </cell>
          <cell r="C761">
            <v>33.33</v>
          </cell>
          <cell r="D761" t="str">
            <v>Execução e compactação de base e ou sub-base com material produto de britagem. Exclusive fornecimento e transporte de materiais (REF. SINAPI COD. 96396)</v>
          </cell>
          <cell r="E761"/>
          <cell r="F761" t="str">
            <v>M3</v>
          </cell>
          <cell r="G761">
            <v>12.42</v>
          </cell>
          <cell r="H761" t="str">
            <v>-</v>
          </cell>
        </row>
        <row r="762">
          <cell r="A762">
            <v>96397</v>
          </cell>
          <cell r="B762" t="str">
            <v>SINAPI</v>
          </cell>
          <cell r="C762">
            <v>28.57</v>
          </cell>
          <cell r="D762" t="str">
            <v>Execução e compactação de base e ou sub base para pavimentação de brita graduada simples tratada com cimento - exclusive carga e transporte. AF_11/2019</v>
          </cell>
          <cell r="E762"/>
          <cell r="F762" t="str">
            <v>M3</v>
          </cell>
          <cell r="G762">
            <v>235.75</v>
          </cell>
          <cell r="H762" t="str">
            <v>-</v>
          </cell>
        </row>
        <row r="763">
          <cell r="A763" t="str">
            <v>PA/0019</v>
          </cell>
          <cell r="B763" t="str">
            <v>COMPOSIÇÃO</v>
          </cell>
          <cell r="C763"/>
          <cell r="D763" t="str">
            <v>Execução e compactação de base e ou sub-base com material produto de britagem, tratada com cimento. Exclusive transporte de materiais e fornecimento de brita (REF. SINAPI COD. 96397/96394)</v>
          </cell>
          <cell r="E763"/>
          <cell r="F763" t="str">
            <v>M3</v>
          </cell>
          <cell r="G763">
            <v>89.95</v>
          </cell>
          <cell r="H763" t="str">
            <v>-</v>
          </cell>
        </row>
        <row r="764">
          <cell r="A764">
            <v>96388</v>
          </cell>
          <cell r="B764" t="str">
            <v>SINAPI</v>
          </cell>
          <cell r="C764">
            <v>38.46</v>
          </cell>
          <cell r="D764" t="str">
            <v>Execução e compactação de base e ou sub base para pavimentação de solos de comportamento laterítico (arenoso) - exclusive solo, escavação, carga e transporte. AF_11/2019</v>
          </cell>
          <cell r="E764"/>
          <cell r="F764" t="str">
            <v>M3</v>
          </cell>
          <cell r="G764">
            <v>11.09</v>
          </cell>
          <cell r="H764" t="str">
            <v>-</v>
          </cell>
        </row>
        <row r="765">
          <cell r="A765">
            <v>96389</v>
          </cell>
          <cell r="B765" t="str">
            <v>SINAPI</v>
          </cell>
          <cell r="C765">
            <v>38.46</v>
          </cell>
          <cell r="D765" t="str">
            <v>Execução e compactação de base e ou sub base para pavimentação de solo (predominantemente arenoso) com cimento (teor de 2%) - exclusive solo, escavação, carga e transporte. AF_11/2019</v>
          </cell>
          <cell r="E765" t="str">
            <v>???
48,1741</v>
          </cell>
          <cell r="F765" t="str">
            <v>M3</v>
          </cell>
          <cell r="G765">
            <v>54.53</v>
          </cell>
          <cell r="H765" t="str">
            <v>-</v>
          </cell>
        </row>
        <row r="766">
          <cell r="A766">
            <v>96390</v>
          </cell>
          <cell r="B766" t="str">
            <v>SINAPI</v>
          </cell>
          <cell r="C766">
            <v>38.46</v>
          </cell>
          <cell r="D766" t="str">
            <v>Execução e compactação de base e ou sub base para pavimentação de solo (predominantemente arenoso) com cimento (teor de 4%) - exclusive solo, escavação, carga e transporte. AF_11/2019</v>
          </cell>
          <cell r="E766" t="str">
            <v>???
93,0233</v>
          </cell>
          <cell r="F766" t="str">
            <v>M3</v>
          </cell>
          <cell r="G766">
            <v>89.17</v>
          </cell>
          <cell r="H766" t="str">
            <v>-</v>
          </cell>
        </row>
        <row r="767">
          <cell r="A767">
            <v>96391</v>
          </cell>
          <cell r="B767" t="str">
            <v>SINAPI</v>
          </cell>
          <cell r="C767">
            <v>38.46</v>
          </cell>
          <cell r="D767" t="str">
            <v>Execução e compactação de base e ou sub base para pavimentação de solo (predominantemente arenoso) com cimento (teor de 6%) - exclusive solo, escavação, carga e transporte. AF_11/2019</v>
          </cell>
          <cell r="E767" t="str">
            <v>???
136,6637</v>
          </cell>
          <cell r="F767" t="str">
            <v>M3</v>
          </cell>
          <cell r="G767">
            <v>125.28</v>
          </cell>
          <cell r="H767" t="str">
            <v>-</v>
          </cell>
        </row>
        <row r="768">
          <cell r="A768">
            <v>96392</v>
          </cell>
          <cell r="B768" t="str">
            <v>SINAPI</v>
          </cell>
          <cell r="C768">
            <v>38.46</v>
          </cell>
          <cell r="D768" t="str">
            <v>Execução e compactação de base e ou sub base para pavimentação de solo (predominantemente arenoso) com cimento (teor de 8%) - exclusive solo, escavação, carga e transporte. AF_11/2019</v>
          </cell>
          <cell r="E768" t="str">
            <v>???
188,2884</v>
          </cell>
          <cell r="F768" t="str">
            <v>M3</v>
          </cell>
          <cell r="G768">
            <v>160.16999999999999</v>
          </cell>
          <cell r="H768" t="str">
            <v>-</v>
          </cell>
        </row>
        <row r="769">
          <cell r="A769">
            <v>96398</v>
          </cell>
          <cell r="B769" t="str">
            <v>SINAPI</v>
          </cell>
          <cell r="C769"/>
          <cell r="D769" t="str">
            <v>Execução e compactação de base e ou sub base para pavimentação de concreto coMPActado com rolo - exclusive carga e transporte. AF_11/2019</v>
          </cell>
          <cell r="E769"/>
          <cell r="F769" t="str">
            <v>M3</v>
          </cell>
          <cell r="G769">
            <v>327.13</v>
          </cell>
          <cell r="H769" t="str">
            <v>-</v>
          </cell>
        </row>
        <row r="770">
          <cell r="A770">
            <v>96399</v>
          </cell>
          <cell r="B770" t="str">
            <v>SINAPI</v>
          </cell>
          <cell r="C770"/>
          <cell r="D770" t="str">
            <v>Execução e compactação de base e ou sub base para pavimentação de pedra rachão  - exclusive carga e transporte. AF_11/2019</v>
          </cell>
          <cell r="E770"/>
          <cell r="F770" t="str">
            <v>M3</v>
          </cell>
          <cell r="G770">
            <v>114.17</v>
          </cell>
          <cell r="H770" t="str">
            <v>-</v>
          </cell>
        </row>
        <row r="771">
          <cell r="A771">
            <v>96400</v>
          </cell>
          <cell r="B771" t="str">
            <v>SINAPI</v>
          </cell>
          <cell r="C771"/>
          <cell r="D771" t="str">
            <v>Execução e compactação de base e ou sub base para pavimentação de macadame seco - exclusive carga e transporte. AF_11/2019</v>
          </cell>
          <cell r="E771"/>
          <cell r="F771" t="str">
            <v>M3</v>
          </cell>
          <cell r="G771">
            <v>148.28</v>
          </cell>
          <cell r="H771" t="str">
            <v>-</v>
          </cell>
        </row>
        <row r="772">
          <cell r="A772">
            <v>100564</v>
          </cell>
          <cell r="B772" t="str">
            <v>SINAPI</v>
          </cell>
          <cell r="C772"/>
          <cell r="D772" t="str">
            <v>Execução e compactação de base e ou sub-base para pavimentação de solo (predominantemente arenoso) brita - 40/60 - exclusive solo, escavação, carga e transporte. AF_11/2019</v>
          </cell>
          <cell r="E772"/>
          <cell r="F772" t="str">
            <v>M3</v>
          </cell>
          <cell r="G772">
            <v>101.04</v>
          </cell>
          <cell r="H772" t="str">
            <v>-</v>
          </cell>
        </row>
        <row r="773">
          <cell r="A773">
            <v>100565</v>
          </cell>
          <cell r="B773" t="str">
            <v>SINAPI</v>
          </cell>
          <cell r="C773"/>
          <cell r="D773" t="str">
            <v>Execução e compactação de base e ou sub-base para pavimentação de solo (predominantemente arenoso) brita - 50/50 - exclusive solo, escavação, carga e transporte. AF_11/2019</v>
          </cell>
          <cell r="E773"/>
          <cell r="F773" t="str">
            <v>M3</v>
          </cell>
          <cell r="G773">
            <v>87.75</v>
          </cell>
          <cell r="H773" t="str">
            <v>-</v>
          </cell>
        </row>
        <row r="774">
          <cell r="A774">
            <v>100566</v>
          </cell>
          <cell r="B774" t="str">
            <v>SINAPI</v>
          </cell>
          <cell r="C774"/>
          <cell r="D774" t="str">
            <v>Execução e compactação de base e ou sub-base para pavimentação de solo (predominantemente arenoso) brita - 40/60 com cimento (teor de 4%) - exclusive solo, escavação, carga e transporte. AF_11/2019</v>
          </cell>
          <cell r="E774"/>
          <cell r="F774" t="str">
            <v>M3</v>
          </cell>
          <cell r="G774">
            <v>173.18</v>
          </cell>
          <cell r="H774" t="str">
            <v>-</v>
          </cell>
        </row>
        <row r="775">
          <cell r="A775">
            <v>100567</v>
          </cell>
          <cell r="B775" t="str">
            <v>SINAPI</v>
          </cell>
          <cell r="C775"/>
          <cell r="D775" t="str">
            <v>Execução e compactação de base e ou sub-base para pavimentação de solo (predominantemente arenoso) brita - 40/60 com cimento (teor de 6%) - exclusive solo, escavação, carga e transporte. AF_11/2019</v>
          </cell>
          <cell r="E775"/>
          <cell r="F775" t="str">
            <v>M3</v>
          </cell>
          <cell r="G775">
            <v>206.98</v>
          </cell>
          <cell r="H775" t="str">
            <v>-</v>
          </cell>
        </row>
        <row r="776">
          <cell r="A776">
            <v>100568</v>
          </cell>
          <cell r="B776" t="str">
            <v>SINAPI</v>
          </cell>
          <cell r="C776"/>
          <cell r="D776" t="str">
            <v>Execução e compactação de base e ou sub-base para pavimentação de solo (predominantemente arenoso) brita - 40/60 com cimento (teor de 8%) - exclusive solo, escavação, carga e transporte. AF_11/2019</v>
          </cell>
          <cell r="E776"/>
          <cell r="F776" t="str">
            <v>M3</v>
          </cell>
          <cell r="G776">
            <v>240.22</v>
          </cell>
          <cell r="H776" t="str">
            <v>-</v>
          </cell>
        </row>
        <row r="777">
          <cell r="A777">
            <v>100569</v>
          </cell>
          <cell r="B777" t="str">
            <v>SINAPI</v>
          </cell>
          <cell r="C777"/>
          <cell r="D777" t="str">
            <v>Execução e compactação de base e ou sub-base para pavimentação de solo (predominantemente arenoso) brita - 50/50 com cimento (teor de 4%)  - exclusive solo, escavação, carga e transporte. AF_11/2019</v>
          </cell>
          <cell r="E777"/>
          <cell r="F777" t="str">
            <v>M3</v>
          </cell>
          <cell r="G777">
            <v>160.38</v>
          </cell>
          <cell r="H777" t="str">
            <v>-</v>
          </cell>
        </row>
        <row r="778">
          <cell r="A778">
            <v>100570</v>
          </cell>
          <cell r="B778" t="str">
            <v>SINAPI</v>
          </cell>
          <cell r="C778"/>
          <cell r="D778" t="str">
            <v>Execução e compactação de base e ou sub-base para pavimentação de solo (predominantemente arenoso) brita - 50/50 com cimento (teor de 6%) - exclusive solo, escavação, carga e transporte. AF_11/2019</v>
          </cell>
          <cell r="E778"/>
          <cell r="F778" t="str">
            <v>M3</v>
          </cell>
          <cell r="G778">
            <v>196.49</v>
          </cell>
          <cell r="H778" t="str">
            <v>-</v>
          </cell>
        </row>
        <row r="779">
          <cell r="A779">
            <v>100571</v>
          </cell>
          <cell r="B779" t="str">
            <v>SINAPI</v>
          </cell>
          <cell r="C779"/>
          <cell r="D779" t="str">
            <v>Execução e compactação de base e ou sub-base para pavimentação de solo (predominantemente arenoso) brita - 50/50 com cimento (teor de 8%) - exclusive solo, escavação, carga e transporte. AF_11/2019</v>
          </cell>
          <cell r="E779"/>
          <cell r="F779" t="str">
            <v>M3</v>
          </cell>
          <cell r="G779">
            <v>228</v>
          </cell>
          <cell r="H779" t="str">
            <v>-</v>
          </cell>
        </row>
        <row r="780">
          <cell r="A780">
            <v>100572</v>
          </cell>
          <cell r="B780" t="str">
            <v>SINAPI</v>
          </cell>
          <cell r="C780"/>
          <cell r="D780" t="str">
            <v>Execução e compactação de base e ou sub-base para pavimentação de solo (predominantemente argiloso) brita - 40/60 - exclusive solo, escavação, carga e transporte. AF_11/2019</v>
          </cell>
          <cell r="E780"/>
          <cell r="F780" t="str">
            <v>M3</v>
          </cell>
          <cell r="G780">
            <v>106.26</v>
          </cell>
          <cell r="H780" t="str">
            <v>-</v>
          </cell>
        </row>
        <row r="781">
          <cell r="A781">
            <v>100573</v>
          </cell>
          <cell r="B781" t="str">
            <v>SINAPI</v>
          </cell>
          <cell r="C781"/>
          <cell r="D781" t="str">
            <v>Execução e compactação de base e ou sub-base para pavimentação de solo (predominantemente argiloso) brita - 50/50 - exclusive solo, escavação, carga e transporte. AF_11/2019</v>
          </cell>
          <cell r="E781"/>
          <cell r="F781" t="str">
            <v>M3</v>
          </cell>
          <cell r="G781">
            <v>92.97</v>
          </cell>
          <cell r="H781" t="str">
            <v>-</v>
          </cell>
        </row>
        <row r="782">
          <cell r="A782">
            <v>101767</v>
          </cell>
          <cell r="B782" t="str">
            <v>SINAPI</v>
          </cell>
          <cell r="C782" t="str">
            <v>PA/0022
20 m3/h</v>
          </cell>
          <cell r="D782" t="str">
            <v>Execução e compactação de base e ou sub base para pavimentação de solos estabilizados granulometricamente com mistura de solos em pista - exclusive solo, escavação, carga e transporte. AF_11/2019</v>
          </cell>
          <cell r="E782"/>
          <cell r="F782" t="str">
            <v>M3</v>
          </cell>
          <cell r="G782">
            <v>26.21</v>
          </cell>
          <cell r="H782" t="str">
            <v>-</v>
          </cell>
        </row>
        <row r="783">
          <cell r="A783">
            <v>101768</v>
          </cell>
          <cell r="B783" t="str">
            <v>SINAPI</v>
          </cell>
          <cell r="C783"/>
          <cell r="D783" t="str">
            <v>Execução e compactação de base e ou sub base para pavimentação de solo estabilizado granulometricamente sem mistura de solos - exclusive solo, escavação, carga e transporte. AF_11/2019</v>
          </cell>
          <cell r="E783"/>
          <cell r="F783" t="str">
            <v>M3</v>
          </cell>
          <cell r="G783">
            <v>40.159999999999997</v>
          </cell>
          <cell r="H783" t="str">
            <v>-</v>
          </cell>
        </row>
        <row r="784">
          <cell r="A784" t="str">
            <v>PA/0021</v>
          </cell>
          <cell r="B784" t="str">
            <v>COMPOSIÇÃO</v>
          </cell>
          <cell r="C784">
            <v>28.75</v>
          </cell>
          <cell r="D784" t="str">
            <v>Execução e compactação de base e ou sub-base, estabilizado granulometricamente, sem mistura, com material de jazida. Exclusive fornecimento e transporte (REF. SINAPI COD. 4011219)</v>
          </cell>
          <cell r="E784"/>
          <cell r="F784" t="str">
            <v>M3</v>
          </cell>
          <cell r="G784">
            <v>18.399999999999999</v>
          </cell>
          <cell r="H784" t="str">
            <v>-</v>
          </cell>
        </row>
        <row r="785">
          <cell r="A785" t="str">
            <v>PA/0025</v>
          </cell>
          <cell r="B785" t="str">
            <v>COMPOSIÇÃO</v>
          </cell>
          <cell r="C785">
            <v>96401</v>
          </cell>
          <cell r="D785" t="str">
            <v>Imprimação da base, execução e fornecimento de emulsão asfáltica EAI (REF. SINAPI COD. 102470)</v>
          </cell>
          <cell r="E785"/>
          <cell r="F785" t="str">
            <v>M2</v>
          </cell>
          <cell r="G785">
            <v>5.13</v>
          </cell>
          <cell r="H785" t="str">
            <v>-</v>
          </cell>
        </row>
        <row r="786">
          <cell r="A786" t="str">
            <v>PA/0025</v>
          </cell>
          <cell r="B786" t="str">
            <v>COMPOSIÇÃO</v>
          </cell>
          <cell r="C786">
            <v>102100</v>
          </cell>
          <cell r="D786" t="str">
            <v>Imprimação da base, execução e fornecimento de emulsão asfáltica EAI (REF. SINAPI COD. 102470)</v>
          </cell>
          <cell r="E786"/>
          <cell r="F786" t="str">
            <v>M2</v>
          </cell>
          <cell r="G786">
            <v>5.13</v>
          </cell>
          <cell r="H786" t="str">
            <v>-</v>
          </cell>
        </row>
        <row r="787">
          <cell r="A787" t="str">
            <v>PA/0025</v>
          </cell>
          <cell r="B787" t="str">
            <v>COMPOSIÇÃO</v>
          </cell>
          <cell r="C787"/>
          <cell r="D787" t="str">
            <v>Imprimação da base, execução e fornecimento de emulsão asfáltica EAI (REF. SINAPI COD. 102470)</v>
          </cell>
          <cell r="E787"/>
          <cell r="F787" t="str">
            <v>M2</v>
          </cell>
          <cell r="G787">
            <v>5.13</v>
          </cell>
          <cell r="H787" t="str">
            <v>-</v>
          </cell>
        </row>
        <row r="788">
          <cell r="A788" t="str">
            <v>PA/0023</v>
          </cell>
          <cell r="B788" t="str">
            <v>COMPOSIÇÃO</v>
          </cell>
          <cell r="C788"/>
          <cell r="D788" t="str">
            <v>Pintura de ligação, execução e fornecimento de emulsão asfáltica RR-1C (ref SINAPI cód 104375)</v>
          </cell>
          <cell r="E788"/>
          <cell r="F788" t="str">
            <v>M2</v>
          </cell>
          <cell r="G788">
            <v>2.4700000000000002</v>
          </cell>
          <cell r="H788" t="str">
            <v>-</v>
          </cell>
        </row>
        <row r="789">
          <cell r="A789">
            <v>96402</v>
          </cell>
          <cell r="B789" t="str">
            <v>SINAPI</v>
          </cell>
          <cell r="C789"/>
          <cell r="D789" t="str">
            <v>Execução de pintura de ligação com emulsão asfáltica RR-2C. AF_11/2019</v>
          </cell>
          <cell r="E789"/>
          <cell r="F789" t="e">
            <v>#N/A</v>
          </cell>
          <cell r="G789" t="e">
            <v>#N/A</v>
          </cell>
          <cell r="H789" t="str">
            <v>VER COMP</v>
          </cell>
        </row>
        <row r="790">
          <cell r="A790">
            <v>102101</v>
          </cell>
          <cell r="B790" t="str">
            <v>SINAPI</v>
          </cell>
          <cell r="C790"/>
          <cell r="D790" t="str">
            <v>Execução de pintura de ligação com emulsão asfáltica RR-2C, para o fechamento de valas. AF_12/2020</v>
          </cell>
          <cell r="E790"/>
          <cell r="F790" t="e">
            <v>#N/A</v>
          </cell>
          <cell r="G790" t="e">
            <v>#N/A</v>
          </cell>
          <cell r="H790" t="str">
            <v>VER COMP</v>
          </cell>
        </row>
        <row r="791">
          <cell r="A791" t="str">
            <v>PA/0030</v>
          </cell>
          <cell r="B791" t="str">
            <v>COMPOSIÇÃO</v>
          </cell>
          <cell r="C791"/>
          <cell r="D791" t="str">
            <v>Selagem de trincas mecanizada em pavimento flexível com emulsão, incluindo fornecimentos e execução. Exclusive transporte (REF. SICRO COD. 4915626)</v>
          </cell>
          <cell r="E791" t="str">
            <v>ATENÇÃO
areia
0,00064m³/m</v>
          </cell>
          <cell r="F791" t="str">
            <v>M</v>
          </cell>
          <cell r="G791">
            <v>3.89</v>
          </cell>
          <cell r="H791" t="str">
            <v>-</v>
          </cell>
        </row>
        <row r="792">
          <cell r="A792" t="str">
            <v>PA/0035</v>
          </cell>
          <cell r="B792" t="str">
            <v>COMPOSIÇÃO</v>
          </cell>
          <cell r="C792"/>
          <cell r="D792" t="str">
            <v>Capa selante para agulhamento na base, execução e fornecimento de emulsão asfáltica RR-2C. Exclusive transporte (REF. SICRO COD. 4915636)</v>
          </cell>
          <cell r="E792" t="str">
            <v>ATENÇÃO
pedrisco
0,006m³/m²</v>
          </cell>
          <cell r="F792" t="str">
            <v>M2</v>
          </cell>
          <cell r="G792">
            <v>4.82</v>
          </cell>
          <cell r="H792" t="str">
            <v>-</v>
          </cell>
        </row>
        <row r="793">
          <cell r="A793">
            <v>34770</v>
          </cell>
          <cell r="B793" t="str">
            <v>COTAÇÃO - SINAPI</v>
          </cell>
          <cell r="C793"/>
          <cell r="D793" t="str">
            <v>Concreto betuminoso usinado a quente (CBUQ) para pavimentação asfáltica, padrão DNIT, faixa C, com CAP 30/45 - Aquisição posto usina</v>
          </cell>
          <cell r="E793"/>
          <cell r="F793" t="str">
            <v xml:space="preserve">T     </v>
          </cell>
          <cell r="G793">
            <v>578.72</v>
          </cell>
          <cell r="H793" t="str">
            <v>-</v>
          </cell>
        </row>
        <row r="794">
          <cell r="A794">
            <v>1518</v>
          </cell>
          <cell r="B794" t="str">
            <v>COTAÇÃO - SINAPI</v>
          </cell>
          <cell r="C794"/>
          <cell r="D794" t="str">
            <v>Concreto betuminoso usinado a quente (CBUQ) para pavimentação asfáltica, padrão DNIT, faixa C, com CAP 50/70 - Aquisição posto usina</v>
          </cell>
          <cell r="E794"/>
          <cell r="F794" t="str">
            <v xml:space="preserve">T     </v>
          </cell>
          <cell r="G794">
            <v>590</v>
          </cell>
          <cell r="H794" t="str">
            <v>-</v>
          </cell>
        </row>
        <row r="795">
          <cell r="A795">
            <v>41965</v>
          </cell>
          <cell r="B795" t="str">
            <v>COTAÇÃO - SINAPI</v>
          </cell>
          <cell r="C795"/>
          <cell r="D795" t="str">
            <v>Concreto betuminoso usinado a quente (CBUQ) para pavimentação asfáltica, padrão DNIT, para binder, com CAP 50/70 - Aquisição posto usina</v>
          </cell>
          <cell r="E795"/>
          <cell r="F795" t="str">
            <v xml:space="preserve">T     </v>
          </cell>
          <cell r="G795">
            <v>517.33000000000004</v>
          </cell>
          <cell r="H795" t="str">
            <v>-</v>
          </cell>
        </row>
        <row r="796">
          <cell r="A796">
            <v>101020</v>
          </cell>
          <cell r="B796" t="str">
            <v>SINAPI</v>
          </cell>
          <cell r="C796"/>
          <cell r="D796" t="str">
            <v>Usinagem de concreto asfáltico com CAP 50/70, para camada de binder, padrão DNIT faixa B, em usina de asfalto contínua de 80 ton/h. AF_03/2020</v>
          </cell>
          <cell r="E796"/>
          <cell r="F796" t="e">
            <v>#N/A</v>
          </cell>
          <cell r="G796" t="e">
            <v>#N/A</v>
          </cell>
          <cell r="H796" t="str">
            <v>VER COMP</v>
          </cell>
        </row>
        <row r="797">
          <cell r="A797">
            <v>97802</v>
          </cell>
          <cell r="B797" t="str">
            <v>SINAPI</v>
          </cell>
          <cell r="C797"/>
          <cell r="D797" t="str">
            <v>SUBSTITUIR PELA COMPOSIÇÃO PA/0140</v>
          </cell>
          <cell r="E797"/>
          <cell r="F797" t="e">
            <v>#N/A</v>
          </cell>
          <cell r="G797" t="e">
            <v>#N/A</v>
          </cell>
          <cell r="H797" t="str">
            <v>VER COMP</v>
          </cell>
        </row>
        <row r="798">
          <cell r="A798" t="str">
            <v>PA/0140</v>
          </cell>
          <cell r="B798" t="str">
            <v>COMPOSIÇÃO</v>
          </cell>
          <cell r="C798"/>
          <cell r="D798" t="str">
            <v>PAVIMENTO COM TRATAMENTO SUPERFICIAL SIMPLES, COM EMULSÃO ASFÁLTICA RR-2C (REF. SINAPI COD. 03.PAVI.TSUP.002/01-104376 DB 09-21)</v>
          </cell>
          <cell r="E798"/>
          <cell r="F798" t="str">
            <v>M2</v>
          </cell>
          <cell r="G798">
            <v>6.82</v>
          </cell>
          <cell r="H798" t="str">
            <v>-</v>
          </cell>
        </row>
        <row r="799">
          <cell r="A799">
            <v>97805</v>
          </cell>
          <cell r="B799" t="str">
            <v>SINAPI</v>
          </cell>
          <cell r="C799"/>
          <cell r="D799" t="str">
            <v>SUBSTITUIR PELA COMPOSIÇÃO PA/0150</v>
          </cell>
          <cell r="E799"/>
          <cell r="F799" t="e">
            <v>#N/A</v>
          </cell>
          <cell r="G799" t="e">
            <v>#N/A</v>
          </cell>
          <cell r="H799" t="str">
            <v>VER COMP</v>
          </cell>
        </row>
        <row r="800">
          <cell r="A800" t="str">
            <v>PA/0150</v>
          </cell>
          <cell r="B800" t="str">
            <v>COMPOSIÇÃO</v>
          </cell>
          <cell r="C800"/>
          <cell r="D800" t="str">
            <v>PAVIMENTO COM TRATAMENTO SUPERFICIAL DUPLO, COM EMULSÃO ASFÁLTICA RR-2C (REF. SINAPI COD. 03.PAVI.TSUP.005/01-104389 DB 09-21)</v>
          </cell>
          <cell r="E800"/>
          <cell r="F800" t="str">
            <v>M2</v>
          </cell>
          <cell r="G800">
            <v>15.66</v>
          </cell>
          <cell r="H800" t="str">
            <v>-</v>
          </cell>
        </row>
        <row r="801">
          <cell r="A801" t="str">
            <v>PA/0160</v>
          </cell>
          <cell r="B801" t="str">
            <v>COMPOSIÇÃO</v>
          </cell>
          <cell r="C801"/>
          <cell r="D801" t="str">
            <v>PAVIMENTO COM TRATAMENTO SUPERFICIAL TRIPLO, COM EMULSÃO ASFÁLTICA RR-2C (REF. SINAPI COD. 03.PAVI.TSUP.009/01-104380 DB 09-21)</v>
          </cell>
          <cell r="E801"/>
          <cell r="F801" t="str">
            <v>M2</v>
          </cell>
          <cell r="G801">
            <v>19.16</v>
          </cell>
          <cell r="H801" t="str">
            <v>-</v>
          </cell>
        </row>
        <row r="802">
          <cell r="A802">
            <v>97807</v>
          </cell>
          <cell r="B802" t="str">
            <v>SINAPI</v>
          </cell>
          <cell r="C802"/>
          <cell r="D802" t="str">
            <v>Pavimento com tratamento superficial duplo, com emulsão asfáltica RR-2C, com capa selante. AF_01/2020</v>
          </cell>
          <cell r="E802" t="str">
            <v>ATENÇÃO
0,0247 m³/m²
2,3 kg/m²</v>
          </cell>
          <cell r="F802" t="e">
            <v>#N/A</v>
          </cell>
          <cell r="G802" t="e">
            <v>#N/A</v>
          </cell>
          <cell r="H802" t="str">
            <v>VER COMP</v>
          </cell>
        </row>
        <row r="803">
          <cell r="A803">
            <v>101021</v>
          </cell>
          <cell r="B803" t="str">
            <v>SINAPI</v>
          </cell>
          <cell r="C803"/>
          <cell r="D803" t="str">
            <v>Usinagem de concreto asfáltico com cap 50/70, para camada de rolamento, padrão DNit faixa C, em usina de asfalto contínua de 80 ton/h. AF_03/2020</v>
          </cell>
          <cell r="E803"/>
          <cell r="F803" t="e">
            <v>#N/A</v>
          </cell>
          <cell r="G803" t="e">
            <v>#N/A</v>
          </cell>
          <cell r="H803" t="str">
            <v>VER COMP</v>
          </cell>
        </row>
        <row r="804">
          <cell r="A804" t="str">
            <v>PA/0036</v>
          </cell>
          <cell r="B804" t="str">
            <v>COMPOSIÇÃO</v>
          </cell>
          <cell r="C804"/>
          <cell r="D804" t="str">
            <v>Usinagem de Concreto Betuminoso Usinado à Quente - CBUQ - FAIXA "C" - para revestimento asfáltico, CAP 50-70, posto usina comercial. Exclusive mobilização, instalação, desmobilização e transporte dos insumos (REF. SINAPI COD. 101021)</v>
          </cell>
          <cell r="E804"/>
          <cell r="F804" t="str">
            <v>T</v>
          </cell>
          <cell r="G804">
            <v>431.42</v>
          </cell>
          <cell r="H804" t="str">
            <v>-</v>
          </cell>
        </row>
        <row r="805">
          <cell r="A805">
            <v>101025</v>
          </cell>
          <cell r="B805" t="str">
            <v>SINAPI</v>
          </cell>
          <cell r="C805"/>
          <cell r="D805" t="str">
            <v>Usinagem de concreto asfáltico com CAP 50/70 para camada de rolamento, padrão DNIT faixa C, em usina de asfalto gravimétrica de 150 ton/h. AF_03/2020_P</v>
          </cell>
          <cell r="E805"/>
          <cell r="F805" t="e">
            <v>#N/A</v>
          </cell>
          <cell r="G805" t="e">
            <v>#N/A</v>
          </cell>
          <cell r="H805" t="str">
            <v>VER COMP</v>
          </cell>
        </row>
        <row r="806">
          <cell r="A806" t="str">
            <v>PA/0037</v>
          </cell>
          <cell r="B806" t="str">
            <v>COMPOSIÇÃO</v>
          </cell>
          <cell r="C806"/>
          <cell r="D806" t="str">
            <v>Usinagem de Concreto Betuminoso Usinado à Quente - CBUQ - FAIXA "C" - para revestimento asfáltico, CAP 30-45, em usina de asfalto contínua de 80 TON/H. Exclusive mobilização, instalação, desmobilização e transporte dos insumos (REF. SINAPI COD. 104359)</v>
          </cell>
          <cell r="E806"/>
          <cell r="F806" t="str">
            <v>T</v>
          </cell>
          <cell r="G806">
            <v>471.48</v>
          </cell>
          <cell r="H806" t="str">
            <v>-</v>
          </cell>
        </row>
        <row r="807">
          <cell r="A807" t="str">
            <v>PA/0040</v>
          </cell>
          <cell r="B807" t="str">
            <v>COMPOSIÇÃO</v>
          </cell>
          <cell r="C807"/>
          <cell r="D807" t="str">
            <v>Construção de pavimento com aplicação de concreto betuminoso usinado à quente (CBUQ - faixa C - CAP 30/45 - usina comercial), camada de rolamento, exclusive transporte da mistura (REF. SINAPI COD. 95995)</v>
          </cell>
          <cell r="E807"/>
          <cell r="F807" t="str">
            <v>M3</v>
          </cell>
          <cell r="G807">
            <v>1590.41</v>
          </cell>
          <cell r="H807" t="str">
            <v>-</v>
          </cell>
        </row>
        <row r="808">
          <cell r="A808" t="str">
            <v>PA/0041</v>
          </cell>
          <cell r="B808" t="str">
            <v>COMPOSIÇÃO</v>
          </cell>
          <cell r="C808"/>
          <cell r="D808" t="str">
            <v>Construção de pavimento com aplicação de concreto betuminoso usinado à quente (CBUQ - faixa C - CAP 30/45 - usina comercial), camada de rolamento, exclusive transporte da mistura (REF. SINAPI COD. 95995)</v>
          </cell>
          <cell r="E808"/>
          <cell r="F808" t="str">
            <v>M3</v>
          </cell>
          <cell r="G808">
            <v>1328.46</v>
          </cell>
          <cell r="H808" t="str">
            <v>-</v>
          </cell>
        </row>
        <row r="809">
          <cell r="A809" t="str">
            <v>PA/0042</v>
          </cell>
          <cell r="B809" t="str">
            <v>COMPOSIÇÃO</v>
          </cell>
          <cell r="C809"/>
          <cell r="D809" t="str">
            <v>Construção de pavimento com aplicação de concreto betuminoso usinado à quente (CBUQ - faixa C - CAP 50/70 - usina comercial), camada de rolamento, exclusive transporte da mistura (REF. SINAPI COD. 95995)</v>
          </cell>
          <cell r="E809"/>
          <cell r="F809" t="str">
            <v>M3</v>
          </cell>
          <cell r="G809">
            <v>1226.1099999999999</v>
          </cell>
          <cell r="H809" t="str">
            <v>-</v>
          </cell>
        </row>
        <row r="810">
          <cell r="A810" t="str">
            <v>PA/0045</v>
          </cell>
          <cell r="B810" t="str">
            <v>COMPOSIÇÃO</v>
          </cell>
          <cell r="C810"/>
          <cell r="D810" t="str">
            <v>Construção de pavimento com aplicação de concreto betuminoso usinado à quente modificado por polímero elastomérico - CBUQ (p) - CAP 60-85-E - FAIXA "C", camada de rolamento. Exclusive transporte da mistura (REF. SINAPI COD. 95995)</v>
          </cell>
          <cell r="E810"/>
          <cell r="F810" t="str">
            <v>M3</v>
          </cell>
          <cell r="G810">
            <v>1939.66</v>
          </cell>
          <cell r="H810" t="str">
            <v>-</v>
          </cell>
        </row>
        <row r="811">
          <cell r="A811">
            <v>95995</v>
          </cell>
          <cell r="B811" t="str">
            <v>SINAPI</v>
          </cell>
          <cell r="C811"/>
          <cell r="D811" t="str">
            <v>Construção de pavimento com aplicação de concreto betuminoso usinado à quente (CBUQ - faixa C - CAP 50/70 - usina comercial), camada de rolamento. Exclusive transporte da mistura. Af_11/2019</v>
          </cell>
          <cell r="E811"/>
          <cell r="F811" t="str">
            <v>M3</v>
          </cell>
          <cell r="G811">
            <v>1619.18</v>
          </cell>
          <cell r="H811" t="str">
            <v>-</v>
          </cell>
        </row>
        <row r="812">
          <cell r="A812">
            <v>95996</v>
          </cell>
          <cell r="B812" t="str">
            <v>SINAPI</v>
          </cell>
          <cell r="C812"/>
          <cell r="D812" t="str">
            <v>Execução de pavimento com aplicação de concreto asfáltico, camada de binder - exclusive carga e transporte. AF_11/2019</v>
          </cell>
          <cell r="E812"/>
          <cell r="F812" t="str">
            <v>M3</v>
          </cell>
          <cell r="G812">
            <v>1402.29</v>
          </cell>
          <cell r="H812" t="str">
            <v>-</v>
          </cell>
        </row>
        <row r="813">
          <cell r="A813" t="str">
            <v>PA/0050</v>
          </cell>
          <cell r="B813" t="str">
            <v>COMPOSIÇÃO</v>
          </cell>
          <cell r="C813"/>
          <cell r="D813" t="str">
            <v>Aplicação com vibroacabadora de massa asfáltica quente. Exclusive fornecimento e transporte da mistura betuminosa (REF. SINAPI COD. 95995)</v>
          </cell>
          <cell r="E813"/>
          <cell r="F813" t="str">
            <v>M3</v>
          </cell>
          <cell r="G813">
            <v>123.92</v>
          </cell>
          <cell r="H813" t="str">
            <v>-</v>
          </cell>
        </row>
        <row r="814">
          <cell r="A814">
            <v>101027</v>
          </cell>
          <cell r="B814" t="str">
            <v>SINAPI</v>
          </cell>
          <cell r="C814"/>
          <cell r="D814" t="str">
            <v>Usinagem de pré misturado a frio, para camada de rolamento, padrão DNIT faixa C. AF_03/2020_P</v>
          </cell>
          <cell r="E814"/>
          <cell r="F814" t="e">
            <v>#N/A</v>
          </cell>
          <cell r="G814" t="e">
            <v>#N/A</v>
          </cell>
          <cell r="H814" t="str">
            <v>VER COMP</v>
          </cell>
        </row>
        <row r="815">
          <cell r="A815" t="str">
            <v>PA/0055</v>
          </cell>
          <cell r="B815" t="str">
            <v>COMPOSIÇÃO</v>
          </cell>
          <cell r="C815"/>
          <cell r="D815" t="str">
            <v>Execução de pré-misturado a frio - PMF, faixa C (semidenso), com emulsão asfáltica RL-1C, para revestimento, aplicação com vibroacabadora. Exclusive transporte</v>
          </cell>
          <cell r="E815" t="str">
            <v>B: 0,94921 m³/m²
A: 0,44527 m³/m²
CAL: 87,61905 kg/m²
E = 0,18254 T/m³</v>
          </cell>
          <cell r="F815" t="str">
            <v>M3</v>
          </cell>
          <cell r="G815">
            <v>1074.19</v>
          </cell>
          <cell r="H815" t="str">
            <v>-</v>
          </cell>
        </row>
        <row r="816">
          <cell r="A816">
            <v>100624</v>
          </cell>
          <cell r="B816" t="str">
            <v>SINAPI</v>
          </cell>
          <cell r="C816"/>
          <cell r="D816" t="str">
            <v>Execução de pavimento com aplicação de pré-misturado a frio, camada de rolamento - exclusive carga e transporte. AF_11/2019</v>
          </cell>
          <cell r="E816"/>
          <cell r="F816" t="e">
            <v>#N/A</v>
          </cell>
          <cell r="G816" t="e">
            <v>#N/A</v>
          </cell>
          <cell r="H816" t="str">
            <v>VER COMP</v>
          </cell>
        </row>
        <row r="817">
          <cell r="A817">
            <v>100625</v>
          </cell>
          <cell r="B817" t="str">
            <v>SINAPI</v>
          </cell>
          <cell r="C817"/>
          <cell r="D817" t="str">
            <v>Execução de pavimento com aplicação de pré-misturado a frio, camada de binder - exclusive carga e transporte. AF_11/2019</v>
          </cell>
          <cell r="E817"/>
          <cell r="F817" t="e">
            <v>#N/A</v>
          </cell>
          <cell r="G817" t="e">
            <v>#N/A</v>
          </cell>
          <cell r="H817" t="str">
            <v>VER COMP</v>
          </cell>
        </row>
        <row r="818">
          <cell r="A818">
            <v>92393</v>
          </cell>
          <cell r="B818" t="str">
            <v>SINAPI</v>
          </cell>
          <cell r="C818" t="str">
            <v>PISO SEXTAVADO</v>
          </cell>
          <cell r="D818" t="str">
            <v>Execução de pavimento em piso intertravado, com bloco sextavado de 25 x 25 cm, espessura 6 cm. AF_12/2015</v>
          </cell>
          <cell r="E818" t="str">
            <v>areia empolada
0,082 m³/m²</v>
          </cell>
          <cell r="F818" t="str">
            <v>M2</v>
          </cell>
          <cell r="G818">
            <v>63.2</v>
          </cell>
          <cell r="H818" t="str">
            <v>-</v>
          </cell>
        </row>
        <row r="819">
          <cell r="A819">
            <v>92394</v>
          </cell>
          <cell r="B819" t="str">
            <v>SINAPI</v>
          </cell>
          <cell r="C819"/>
          <cell r="D819" t="str">
            <v>Execução de pavimento em piso intertravado, com bloco sextavado de 25 x 25 cm, espessura 8 cm. AF_12/2015</v>
          </cell>
          <cell r="E819" t="str">
            <v>areia empolada
0,085 m³/m²</v>
          </cell>
          <cell r="F819" t="str">
            <v>M2</v>
          </cell>
          <cell r="G819">
            <v>78.64</v>
          </cell>
          <cell r="H819" t="str">
            <v>-</v>
          </cell>
        </row>
        <row r="820">
          <cell r="A820">
            <v>92395</v>
          </cell>
          <cell r="B820" t="str">
            <v>SINAPI</v>
          </cell>
          <cell r="C820"/>
          <cell r="D820" t="str">
            <v>Execução de pavimento em piso intertravado, com bloco sextavado de 25 x 25 cm, espessura 10 cm. AF_12/2015</v>
          </cell>
          <cell r="E820" t="str">
            <v>areia empolada
0,088 m³/m²</v>
          </cell>
          <cell r="F820" t="str">
            <v>M2</v>
          </cell>
          <cell r="G820">
            <v>94.42</v>
          </cell>
          <cell r="H820" t="str">
            <v>-</v>
          </cell>
        </row>
        <row r="821">
          <cell r="A821">
            <v>101820</v>
          </cell>
          <cell r="B821" t="str">
            <v>SINAPI</v>
          </cell>
          <cell r="C821"/>
          <cell r="D821" t="str">
            <v>Recomposição de pavimento em piso intertravado sextavado, com reaproveitamento dos blocos sextavado, para o fechamento de valas. AF_12/2020</v>
          </cell>
          <cell r="E821"/>
          <cell r="F821" t="str">
            <v>M2</v>
          </cell>
          <cell r="G821">
            <v>36.03</v>
          </cell>
          <cell r="H821" t="str">
            <v>-</v>
          </cell>
        </row>
        <row r="822">
          <cell r="A822">
            <v>101857</v>
          </cell>
          <cell r="B822" t="str">
            <v>SINAPI</v>
          </cell>
          <cell r="C822"/>
          <cell r="D822" t="str">
            <v>Reassentamento de blocos sextavado para piso intertravado, espessura de 6 cm, em calçada, com reaproveitamento dos blocos sextavados. AF_12/2020</v>
          </cell>
          <cell r="E822"/>
          <cell r="F822" t="str">
            <v>M2</v>
          </cell>
          <cell r="G822">
            <v>28.12</v>
          </cell>
          <cell r="H822" t="str">
            <v>-</v>
          </cell>
        </row>
        <row r="823">
          <cell r="A823">
            <v>101858</v>
          </cell>
          <cell r="B823" t="str">
            <v>SINAPI</v>
          </cell>
          <cell r="C823"/>
          <cell r="D823" t="str">
            <v>Reassentamento de blocos sextavado para piso intertravado, espessura de 6 cm, em via/estacionamento, com reaproveitamento dos blocos sextavado. AF_12/2020</v>
          </cell>
          <cell r="E823"/>
          <cell r="F823" t="str">
            <v>M2</v>
          </cell>
          <cell r="G823">
            <v>22.89</v>
          </cell>
          <cell r="H823" t="str">
            <v>-</v>
          </cell>
        </row>
        <row r="824">
          <cell r="A824">
            <v>101859</v>
          </cell>
          <cell r="B824" t="str">
            <v>SINAPI</v>
          </cell>
          <cell r="C824"/>
          <cell r="D824" t="str">
            <v>Reassentamento de blocos sextavado para piso intertravado, espessura de 8 cm, em via/estacionamento, com reaproveitamento dos blocos sextavado. AF_12/2020</v>
          </cell>
          <cell r="E824"/>
          <cell r="F824" t="str">
            <v>M2</v>
          </cell>
          <cell r="G824">
            <v>25.33</v>
          </cell>
          <cell r="H824" t="str">
            <v>-</v>
          </cell>
        </row>
        <row r="825">
          <cell r="A825">
            <v>101860</v>
          </cell>
          <cell r="B825" t="str">
            <v>SINAPI</v>
          </cell>
          <cell r="C825"/>
          <cell r="D825" t="str">
            <v>Reassentamento de blocos sextavado para piso intertravado, espessura de 10 cm, em via/estacionamento, com reaproveitamento dos blocos sextavado. AF_12/2020</v>
          </cell>
          <cell r="E825"/>
          <cell r="F825" t="str">
            <v>M2</v>
          </cell>
          <cell r="G825">
            <v>29.2</v>
          </cell>
          <cell r="H825" t="str">
            <v>-</v>
          </cell>
        </row>
        <row r="826">
          <cell r="A826">
            <v>92400</v>
          </cell>
          <cell r="B826" t="str">
            <v>SINAPI</v>
          </cell>
          <cell r="C826" t="str">
            <v>PISO PARA PÁTIO / ESTACIONAMENTO</v>
          </cell>
          <cell r="D826" t="str">
            <v>Execução de pavimento em piso intertravado, com bloco retangular de 20 x 10 cm, espessura 10 cm. AF_10/2022</v>
          </cell>
          <cell r="E826" t="str">
            <v>areia empolada
0,088 m³/m²</v>
          </cell>
          <cell r="F826" t="str">
            <v>M2</v>
          </cell>
          <cell r="G826">
            <v>96.98</v>
          </cell>
          <cell r="H826" t="str">
            <v>-</v>
          </cell>
        </row>
        <row r="827">
          <cell r="A827">
            <v>93680</v>
          </cell>
          <cell r="B827" t="str">
            <v>SINAPI</v>
          </cell>
          <cell r="C827"/>
          <cell r="D827" t="str">
            <v>Execução de pavimento em piso intertravado, com bloco retangular colorido de 20 x 10 cm, espessura 6 cm. AF_10/2022</v>
          </cell>
          <cell r="E827" t="str">
            <v>areia empolada
0,082 m³/m²</v>
          </cell>
          <cell r="F827" t="str">
            <v>M2</v>
          </cell>
          <cell r="G827">
            <v>74.61</v>
          </cell>
          <cell r="H827" t="str">
            <v>-</v>
          </cell>
        </row>
        <row r="828">
          <cell r="A828">
            <v>93681</v>
          </cell>
          <cell r="B828" t="str">
            <v>SINAPI</v>
          </cell>
          <cell r="C828"/>
          <cell r="D828" t="str">
            <v>Execução de pavimento em piso intertravado, com bloco retangular colorido de 20 x 10 cm, espessura 8 cm. AF_10/2022</v>
          </cell>
          <cell r="E828" t="str">
            <v>areia empolada
0,085 m³/m²</v>
          </cell>
          <cell r="F828" t="str">
            <v>M2</v>
          </cell>
          <cell r="G828">
            <v>89.22</v>
          </cell>
          <cell r="H828" t="str">
            <v>-</v>
          </cell>
        </row>
        <row r="829">
          <cell r="A829">
            <v>92397</v>
          </cell>
          <cell r="B829" t="str">
            <v>SINAPI</v>
          </cell>
          <cell r="C829"/>
          <cell r="D829" t="str">
            <v>Execução de pavimento em piso intertravado, com bloco retangular cor natural de 20 x 10 cm, espessura 6 cm. AF_10/2022</v>
          </cell>
          <cell r="E829" t="str">
            <v>areia empolada
0,082 m³/m²</v>
          </cell>
          <cell r="F829" t="str">
            <v>M2</v>
          </cell>
          <cell r="G829">
            <v>66.38</v>
          </cell>
          <cell r="H829" t="str">
            <v>-</v>
          </cell>
        </row>
        <row r="830">
          <cell r="A830">
            <v>92398</v>
          </cell>
          <cell r="B830" t="str">
            <v>SINAPI</v>
          </cell>
          <cell r="C830"/>
          <cell r="D830" t="str">
            <v>Execução de pavimento em piso intertravado, com bloco retangular cor natural de 20 x 10 cm, espessura 8 cm. AF_10/2022</v>
          </cell>
          <cell r="E830" t="str">
            <v>areia empolada
0,085 m³/m²</v>
          </cell>
          <cell r="F830" t="str">
            <v>M2</v>
          </cell>
          <cell r="G830">
            <v>82.63</v>
          </cell>
          <cell r="H830" t="str">
            <v>-</v>
          </cell>
        </row>
        <row r="831">
          <cell r="A831">
            <v>92403</v>
          </cell>
          <cell r="B831" t="str">
            <v>SINAPI</v>
          </cell>
          <cell r="C831"/>
          <cell r="D831" t="str">
            <v>Execução de pavimento em piso intertravado, com bloco 16 faces de 22 x 11 cm, espessura 6 cm. AF_10/2022</v>
          </cell>
          <cell r="E831" t="str">
            <v>areia empolada
 0,082 m³/m²</v>
          </cell>
          <cell r="F831" t="str">
            <v>M2</v>
          </cell>
          <cell r="G831">
            <v>64.27</v>
          </cell>
          <cell r="H831" t="str">
            <v>-</v>
          </cell>
        </row>
        <row r="832">
          <cell r="A832">
            <v>92404</v>
          </cell>
          <cell r="B832" t="str">
            <v>SINAPI</v>
          </cell>
          <cell r="C832"/>
          <cell r="D832" t="str">
            <v>Execução de pavimento em piso intertravado, com bloco 16 faces de 22 x 11 cm, espessura 8 cm. AF_10/2022</v>
          </cell>
          <cell r="E832" t="str">
            <v>areia empolada
0,085 m³/m²</v>
          </cell>
          <cell r="F832" t="str">
            <v>M2</v>
          </cell>
          <cell r="G832">
            <v>80.540000000000006</v>
          </cell>
          <cell r="H832" t="str">
            <v>-</v>
          </cell>
        </row>
        <row r="833">
          <cell r="A833">
            <v>92406</v>
          </cell>
          <cell r="B833" t="str">
            <v>SINAPI</v>
          </cell>
          <cell r="C833"/>
          <cell r="D833" t="str">
            <v>Execução de pavimento em piso intertravado, com bloco 16 faces de 22 x 11 cm, espessura 10 cm. AF_10/2022</v>
          </cell>
          <cell r="E833" t="str">
            <v>areia empolada
0,088 m³/m²</v>
          </cell>
          <cell r="F833" t="str">
            <v>M2</v>
          </cell>
          <cell r="G833">
            <v>96.57</v>
          </cell>
          <cell r="H833" t="str">
            <v>-</v>
          </cell>
        </row>
        <row r="834">
          <cell r="A834">
            <v>93681</v>
          </cell>
          <cell r="B834" t="str">
            <v>SINAPI</v>
          </cell>
          <cell r="C834">
            <v>93682</v>
          </cell>
          <cell r="D834" t="str">
            <v>Execução de pavimento em piso intertravado, com bloco retangular colorido de 20 x 10 cm, espessura 8 cm. AF_10/2022</v>
          </cell>
          <cell r="E834" t="str">
            <v>areia empolada
0,085 m³/m²</v>
          </cell>
          <cell r="F834" t="str">
            <v>M2</v>
          </cell>
          <cell r="G834">
            <v>89.22</v>
          </cell>
          <cell r="H834" t="str">
            <v>-</v>
          </cell>
        </row>
        <row r="835">
          <cell r="A835">
            <v>92398</v>
          </cell>
          <cell r="B835" t="str">
            <v>SINAPI</v>
          </cell>
          <cell r="C835">
            <v>92399</v>
          </cell>
          <cell r="D835" t="str">
            <v>Execução de pavimento em piso intertravado, com bloco retangular cor natural de 20 x 10 cm, espessura 8 cm. AF_10/2022</v>
          </cell>
          <cell r="E835" t="str">
            <v>areia empolada
0,085 m³/m²</v>
          </cell>
          <cell r="F835" t="str">
            <v>M2</v>
          </cell>
          <cell r="G835">
            <v>82.63</v>
          </cell>
          <cell r="H835" t="str">
            <v>-</v>
          </cell>
        </row>
        <row r="836">
          <cell r="A836">
            <v>92400</v>
          </cell>
          <cell r="B836" t="str">
            <v>SINAPI</v>
          </cell>
          <cell r="C836">
            <v>92401</v>
          </cell>
          <cell r="D836" t="str">
            <v>Execução de pavimento em piso intertravado, com bloco retangular de 20 x 10 cm, espessura 10 cm. AF_10/2022</v>
          </cell>
          <cell r="E836" t="str">
            <v>areia empolada
0,088 m³/m²</v>
          </cell>
          <cell r="F836" t="str">
            <v>M2</v>
          </cell>
          <cell r="G836">
            <v>96.98</v>
          </cell>
          <cell r="H836" t="str">
            <v>-</v>
          </cell>
        </row>
        <row r="837">
          <cell r="A837">
            <v>92404</v>
          </cell>
          <cell r="B837" t="str">
            <v>SINAPI</v>
          </cell>
          <cell r="C837">
            <v>92405</v>
          </cell>
          <cell r="D837" t="str">
            <v>Execução de pavimento em piso intertravado, com bloco 16 faces de 22 x 11 cm, espessura 8 cm. AF_12/2015</v>
          </cell>
          <cell r="E837" t="str">
            <v>areia empolada
0,085 m³/m²</v>
          </cell>
          <cell r="F837" t="str">
            <v>M2</v>
          </cell>
          <cell r="G837">
            <v>80.540000000000006</v>
          </cell>
          <cell r="H837" t="str">
            <v>-</v>
          </cell>
        </row>
        <row r="838">
          <cell r="A838">
            <v>92406</v>
          </cell>
          <cell r="B838" t="str">
            <v>SINAPI</v>
          </cell>
          <cell r="C838">
            <v>92406</v>
          </cell>
          <cell r="D838" t="str">
            <v>Execução de pavimento em piso intertravado, com bloco 16 faces de 22 x 11 cm, espessura 10 cm. AF_12/2015</v>
          </cell>
          <cell r="E838" t="str">
            <v>areia empolada
0,088 m³/m²</v>
          </cell>
          <cell r="F838" t="str">
            <v>M2</v>
          </cell>
          <cell r="G838">
            <v>96.57</v>
          </cell>
          <cell r="H838" t="str">
            <v>-</v>
          </cell>
        </row>
        <row r="839">
          <cell r="A839">
            <v>101863</v>
          </cell>
          <cell r="B839" t="str">
            <v>SINAPI</v>
          </cell>
          <cell r="D839" t="str">
            <v>Reassentamento de blocos retangular para piso intertravado, espessura de 6 cm, em via/estacionamento, com reaproveitamento dos blocos retangular. AF_12/2020</v>
          </cell>
          <cell r="E839"/>
          <cell r="F839" t="str">
            <v>M2</v>
          </cell>
          <cell r="G839">
            <v>23.23</v>
          </cell>
          <cell r="H839" t="str">
            <v>-</v>
          </cell>
        </row>
        <row r="840">
          <cell r="A840">
            <v>101864</v>
          </cell>
          <cell r="B840" t="str">
            <v>SINAPI</v>
          </cell>
          <cell r="D840" t="str">
            <v>Reassentamento de blocos retangular para piso intertravado, espessura de 8 cm, em via/estacionamento, com reaproveitamento dos blocos retangular. AF_12/2020</v>
          </cell>
          <cell r="E840"/>
          <cell r="F840" t="str">
            <v>M2</v>
          </cell>
          <cell r="G840">
            <v>27.08</v>
          </cell>
          <cell r="H840" t="str">
            <v>-</v>
          </cell>
        </row>
        <row r="841">
          <cell r="A841">
            <v>101865</v>
          </cell>
          <cell r="B841" t="str">
            <v>SINAPI</v>
          </cell>
          <cell r="D841" t="str">
            <v>Reassentamento de blocos retangular para piso intertravado, espessura de 10 cm, em via/estacionamento, com reaproveitamento dos blocos retangular. AF_12/2020</v>
          </cell>
          <cell r="E841"/>
          <cell r="F841" t="str">
            <v>M2</v>
          </cell>
          <cell r="G841">
            <v>30.94</v>
          </cell>
          <cell r="H841" t="str">
            <v>-</v>
          </cell>
        </row>
        <row r="842">
          <cell r="A842">
            <v>101868</v>
          </cell>
          <cell r="B842" t="str">
            <v>SINAPI</v>
          </cell>
          <cell r="D842" t="str">
            <v>Reassentamento de blocos 16 faces para piso intertravado, espessura de 6 cm, em via/estacionamento, com reaproveitamento dos blocos 16 faces. AF_12/2020</v>
          </cell>
          <cell r="E842"/>
          <cell r="F842" t="str">
            <v>M2</v>
          </cell>
          <cell r="G842">
            <v>24.78</v>
          </cell>
          <cell r="H842" t="str">
            <v>-</v>
          </cell>
        </row>
        <row r="843">
          <cell r="A843">
            <v>101869</v>
          </cell>
          <cell r="B843" t="str">
            <v>SINAPI</v>
          </cell>
          <cell r="D843" t="str">
            <v>Reassentamento de blocos 16 faces para piso intertravado, espessura de 8 cm, em via/estacionamento, com reaproveitamento dos blocos 16 faces. AF_12/2020</v>
          </cell>
          <cell r="E843"/>
          <cell r="F843" t="str">
            <v>M2</v>
          </cell>
          <cell r="G843">
            <v>28.63</v>
          </cell>
          <cell r="H843" t="str">
            <v>-</v>
          </cell>
        </row>
        <row r="844">
          <cell r="A844">
            <v>101870</v>
          </cell>
          <cell r="B844" t="str">
            <v>SINAPI</v>
          </cell>
          <cell r="D844" t="str">
            <v>Reassentamento de blocos 16 faces para piso intertravado, espessura de 10 cm, em via/estacionamento, com reaproveitamento dos blocos 16 faces. AF_12/2020</v>
          </cell>
          <cell r="E844"/>
          <cell r="F844" t="str">
            <v>M2</v>
          </cell>
          <cell r="G844">
            <v>32.479999999999997</v>
          </cell>
          <cell r="H844" t="str">
            <v>-</v>
          </cell>
        </row>
        <row r="845">
          <cell r="A845" t="str">
            <v>PA/0060</v>
          </cell>
          <cell r="B845" t="str">
            <v>COMPOSIÇÃO</v>
          </cell>
          <cell r="C845">
            <v>25.91</v>
          </cell>
          <cell r="D845" t="str">
            <v>Execução de pavimento de concreto simples (PCS), FCK = 40 mpa, camada com espessura de 20 cm. Incluindo cordão de polietileno expandido, selante elástico, barra de transferência e treliça (03.PAVI.PAVC.005/01)</v>
          </cell>
          <cell r="E845"/>
          <cell r="F845" t="str">
            <v>M2</v>
          </cell>
          <cell r="G845">
            <v>178.49</v>
          </cell>
          <cell r="H845" t="str">
            <v>-</v>
          </cell>
        </row>
        <row r="846">
          <cell r="A846" t="str">
            <v>PA/0070</v>
          </cell>
          <cell r="B846" t="str">
            <v>COMPOSIÇÃO</v>
          </cell>
          <cell r="C846"/>
          <cell r="D846" t="str">
            <v>Construção de pavimento com aplicação de concreto betuminoso usinado à quente (CBUQ - faixa B - CAP 30/45 - usina comercial), camada de rolamento, exclusive transporte da mistura (REF. SICRO COD.4011459, data 01/2021)</v>
          </cell>
          <cell r="E846"/>
          <cell r="F846" t="str">
            <v>T</v>
          </cell>
          <cell r="G846">
            <v>489.8</v>
          </cell>
          <cell r="H846" t="str">
            <v>-</v>
          </cell>
        </row>
        <row r="847">
          <cell r="A847" t="str">
            <v>PA/0080</v>
          </cell>
          <cell r="B847" t="str">
            <v>COMPOSIÇÃO</v>
          </cell>
          <cell r="C847"/>
          <cell r="D847" t="str">
            <v>Usinagem de Concreto Betuminoso Usinado à Quente - CBUQ - FAIXA "B" - para revestimento asfáltico, CAP 30-45, posto usina comercial. Exclusive mobilização, instalação, desmobilização e transporte dos insumos (REF. SICRO COD. 6416143, DB 01/2021)</v>
          </cell>
          <cell r="E847"/>
          <cell r="F847" t="str">
            <v>T</v>
          </cell>
          <cell r="G847">
            <v>471.52</v>
          </cell>
          <cell r="H847" t="str">
            <v>-</v>
          </cell>
        </row>
        <row r="848">
          <cell r="A848" t="str">
            <v>PA/0090</v>
          </cell>
          <cell r="B848" t="str">
            <v>COMPOSIÇÃO</v>
          </cell>
          <cell r="C848"/>
          <cell r="D848" t="str">
            <v>Construção de pavimento com aplicação de concreto betuminoso usinado à quente (CBUQ - faixa B - CAP 60/85 E - usina comercial), camada de rolamento, exclusive transporte da mistura (REF. SICRO COD.4011461, data 01/2021)</v>
          </cell>
          <cell r="E848"/>
          <cell r="F848" t="str">
            <v>T</v>
          </cell>
          <cell r="G848">
            <v>569.76</v>
          </cell>
          <cell r="H848" t="str">
            <v>-</v>
          </cell>
        </row>
        <row r="849">
          <cell r="A849" t="str">
            <v>PA/0100</v>
          </cell>
          <cell r="B849" t="str">
            <v>COMPOSIÇÃO</v>
          </cell>
          <cell r="C849"/>
          <cell r="D849" t="str">
            <v>Usinagem de Concreto Betuminoso Usinado à Quente - CBUQ - FAIXA "B" - para revestimento asfáltico com asfalto polímero, CAP 60-85 E, posto usina comercial. Exclusive mobilização, instalação, desmobilização e transporte dos insumos (REF. SICRO COD. 6416246, DB 01/2021)</v>
          </cell>
          <cell r="E849"/>
          <cell r="F849" t="str">
            <v>T</v>
          </cell>
          <cell r="G849">
            <v>549.91</v>
          </cell>
          <cell r="H849" t="str">
            <v>-</v>
          </cell>
        </row>
        <row r="850">
          <cell r="A850" t="str">
            <v>PA/0110</v>
          </cell>
          <cell r="B850" t="str">
            <v>COMPOSIÇÃO</v>
          </cell>
          <cell r="C850"/>
          <cell r="D850" t="str">
            <v>Construção de pavimento com aplicação de concreto betuminoso usinado à quente (CBUQ - faixa B - CAP 30/45 - usina comercial), camada de rolamento, exclusive transporte da mistura (REF. SINAPI COD. 95995, DB 04-2021)</v>
          </cell>
          <cell r="E850"/>
          <cell r="F850" t="str">
            <v>M3</v>
          </cell>
          <cell r="G850">
            <v>111.9</v>
          </cell>
          <cell r="H850" t="str">
            <v>-</v>
          </cell>
        </row>
        <row r="851">
          <cell r="A851" t="str">
            <v>PA/0120</v>
          </cell>
          <cell r="B851" t="str">
            <v>COMPOSIÇÃO</v>
          </cell>
          <cell r="C851"/>
          <cell r="D851" t="str">
            <v>Construção de pavimento com aplicação de concreto betuminoso usinado à quente modificado por polímero elastomérico - CBUQ (p) - CAP 60-85-E - FAIXA "B", camada de rolamento. Exclusive transporte da mistura (REF. SINAPI COD. 95995, DB 04-2021)</v>
          </cell>
          <cell r="E851"/>
          <cell r="F851" t="str">
            <v>M3</v>
          </cell>
          <cell r="G851">
            <v>111.9</v>
          </cell>
          <cell r="H851" t="str">
            <v>-</v>
          </cell>
        </row>
        <row r="852">
          <cell r="A852" t="str">
            <v>PA/0130</v>
          </cell>
          <cell r="B852" t="str">
            <v>COMPOSIÇÃO</v>
          </cell>
          <cell r="C852"/>
          <cell r="D852" t="str">
            <v>Construção de pavimento com aplicação de concreto betuminoso usinado à quente (CBUQ -usina comercial), camada de rolamento, exclusive transporte e fornecimento de mistura de CBUQ (REF. SINAPI COD. 95995, DB 04-2021)</v>
          </cell>
          <cell r="E852"/>
          <cell r="F852" t="str">
            <v>M3</v>
          </cell>
          <cell r="G852">
            <v>111.9</v>
          </cell>
          <cell r="H852" t="str">
            <v>-</v>
          </cell>
        </row>
        <row r="853">
          <cell r="A853" t="str">
            <v>SEL -134</v>
          </cell>
          <cell r="B853" t="str">
            <v>COTAÇÃO - SEL</v>
          </cell>
          <cell r="C853"/>
          <cell r="D853" t="str">
            <v>Fornecimento de concreto betuminoso usinado a quente (CBUQ) para pavimentacao asfaltica, padrao DNIT, faixa B, com CAP 30/45 - aquisicao posto usina</v>
          </cell>
          <cell r="E853" t="str">
            <v>SEL -134</v>
          </cell>
          <cell r="F853" t="str">
            <v>T</v>
          </cell>
          <cell r="G853">
            <v>0</v>
          </cell>
          <cell r="H853" t="str">
            <v>ERRO</v>
          </cell>
        </row>
        <row r="854">
          <cell r="A854" t="str">
            <v>SEL -135</v>
          </cell>
          <cell r="B854" t="str">
            <v>COTAÇÃO - SEL</v>
          </cell>
          <cell r="C854"/>
          <cell r="D854" t="str">
            <v>Fornecimento de concreto betuminoso usinado a quente (CBUQ) para pavimentacao asfaltica, padrao DNIT, faixa B, com CAP 60-85-E (Cimento Asfáltico de Petróleo modificado por polímeros elastomérico), camada de rolamento - aquisicao posto usina</v>
          </cell>
          <cell r="E854" t="str">
            <v>SEL -135</v>
          </cell>
          <cell r="F854" t="str">
            <v>T</v>
          </cell>
          <cell r="G854">
            <v>0</v>
          </cell>
          <cell r="H854" t="str">
            <v>ERRO</v>
          </cell>
        </row>
        <row r="855">
          <cell r="A855">
            <v>97104</v>
          </cell>
          <cell r="B855" t="str">
            <v>SINAPI</v>
          </cell>
          <cell r="C855"/>
          <cell r="D855" t="str">
            <v>Execução de pavimento de concreto simples (PCS), FCK = 40 MPA, camada com espessura de 15,0 cm. AF_11/2017</v>
          </cell>
          <cell r="E855" t="str">
            <v>ATENÇÃO
verificar barras de transferência</v>
          </cell>
          <cell r="F855" t="str">
            <v>M2</v>
          </cell>
          <cell r="G855">
            <v>141.29</v>
          </cell>
          <cell r="H855" t="str">
            <v>-</v>
          </cell>
        </row>
        <row r="856">
          <cell r="A856">
            <v>97105</v>
          </cell>
          <cell r="B856" t="str">
            <v>SINAPI</v>
          </cell>
          <cell r="C856"/>
          <cell r="D856" t="str">
            <v>Execução de pavimento de concreto simples (PCS), FCK = 40 MPA, camada com espessura de 17,5 cm. AF_11/2017</v>
          </cell>
          <cell r="E856"/>
          <cell r="F856" t="str">
            <v>M2</v>
          </cell>
          <cell r="G856">
            <v>160.16999999999999</v>
          </cell>
          <cell r="H856" t="str">
            <v>-</v>
          </cell>
        </row>
        <row r="857">
          <cell r="A857">
            <v>97106</v>
          </cell>
          <cell r="B857" t="str">
            <v>SINAPI</v>
          </cell>
          <cell r="C857"/>
          <cell r="D857" t="str">
            <v>Execução de pavimento de concreto simples (PCS), FCK = 40 MPA, camada com espessura de 20,0 cm. AF_11/2017</v>
          </cell>
          <cell r="E857"/>
          <cell r="F857" t="str">
            <v>M2</v>
          </cell>
          <cell r="G857">
            <v>178.14</v>
          </cell>
          <cell r="H857" t="str">
            <v>-</v>
          </cell>
        </row>
        <row r="858">
          <cell r="A858">
            <v>97107</v>
          </cell>
          <cell r="B858" t="str">
            <v>SINAPI</v>
          </cell>
          <cell r="C858"/>
          <cell r="D858" t="str">
            <v>Execução de pavimento de concreto simples (PCS), FCK = 40 MPA, camada com espessura de 22,5 cm. AF_11/2017</v>
          </cell>
          <cell r="E858"/>
          <cell r="F858" t="str">
            <v>M2</v>
          </cell>
          <cell r="G858">
            <v>203.68</v>
          </cell>
          <cell r="H858" t="str">
            <v>-</v>
          </cell>
        </row>
        <row r="859">
          <cell r="A859">
            <v>97108</v>
          </cell>
          <cell r="B859" t="str">
            <v>SINAPI</v>
          </cell>
          <cell r="C859"/>
          <cell r="D859" t="str">
            <v>Execução de pavimento de concreto simples (PCS), FCK = 40 MPA, camada com espessura de 25,0 cm. AF_11/2017</v>
          </cell>
          <cell r="E859"/>
          <cell r="F859" t="str">
            <v>M2</v>
          </cell>
          <cell r="G859">
            <v>233.24</v>
          </cell>
          <cell r="H859" t="str">
            <v>-</v>
          </cell>
        </row>
        <row r="860">
          <cell r="A860">
            <v>97109</v>
          </cell>
          <cell r="B860" t="str">
            <v>SINAPI</v>
          </cell>
          <cell r="C860"/>
          <cell r="D860" t="str">
            <v>Execução de pavimento de concreto simples (PCS), FCK = 40 MPA, camada com espessura de 27,5 cm. AF_11/2017</v>
          </cell>
          <cell r="E860"/>
          <cell r="F860" t="str">
            <v>M2</v>
          </cell>
          <cell r="G860">
            <v>258.05</v>
          </cell>
          <cell r="H860" t="str">
            <v>-</v>
          </cell>
        </row>
        <row r="861">
          <cell r="A861">
            <v>97111</v>
          </cell>
          <cell r="B861" t="str">
            <v>SINAPI</v>
          </cell>
          <cell r="C861"/>
          <cell r="D861" t="str">
            <v>Execução de pavimento de concreto armado (PCA), FCK = 40 MPA, camada com espessura de 15,0 cm. AF_11/2017</v>
          </cell>
          <cell r="E861"/>
          <cell r="F861" t="str">
            <v>M2</v>
          </cell>
          <cell r="G861">
            <v>263.06</v>
          </cell>
          <cell r="H861" t="str">
            <v>-</v>
          </cell>
        </row>
        <row r="862">
          <cell r="A862">
            <v>97112</v>
          </cell>
          <cell r="B862" t="str">
            <v>SINAPI</v>
          </cell>
          <cell r="C862"/>
          <cell r="D862" t="str">
            <v>Execução de pavimento de concreto armado (PCA), FCK = 40 MPA, camada com espessura de 17,5 cm. AF_11/2017</v>
          </cell>
          <cell r="E862"/>
          <cell r="F862" t="str">
            <v>M2</v>
          </cell>
          <cell r="G862">
            <v>232.88</v>
          </cell>
          <cell r="H862" t="str">
            <v>-</v>
          </cell>
        </row>
        <row r="863">
          <cell r="A863"/>
          <cell r="B863"/>
          <cell r="C863"/>
          <cell r="D863"/>
          <cell r="E863"/>
          <cell r="F863"/>
          <cell r="G863"/>
          <cell r="H863"/>
        </row>
        <row r="864">
          <cell r="A864"/>
          <cell r="B864"/>
          <cell r="C864" t="str">
            <v>11.0</v>
          </cell>
          <cell r="D864" t="str">
            <v>SERVIÇOS COMPLEMENTARES, PASSEIOS E ACESSIBILIDADE</v>
          </cell>
          <cell r="E864"/>
          <cell r="F864"/>
          <cell r="G864"/>
          <cell r="H864" t="str">
            <v/>
          </cell>
        </row>
        <row r="865">
          <cell r="A865" t="str">
            <v>SC/0005</v>
          </cell>
          <cell r="B865" t="str">
            <v>COMPOSIÇÃO</v>
          </cell>
          <cell r="C865">
            <v>11.06</v>
          </cell>
          <cell r="D865" t="str">
            <v>Meio-fio (guia) com sarjeta, concreto FCK = 15mpa, seção 615 cm², moldado no local, inclusive escavação e pintura a cal em uma demão</v>
          </cell>
          <cell r="E865" t="str">
            <v>MANUAL</v>
          </cell>
          <cell r="F865" t="str">
            <v>M</v>
          </cell>
          <cell r="G865">
            <v>52.39</v>
          </cell>
          <cell r="H865" t="str">
            <v>-</v>
          </cell>
        </row>
        <row r="866">
          <cell r="A866" t="str">
            <v>SC/0007</v>
          </cell>
          <cell r="B866" t="str">
            <v>COMPOSIÇÃO</v>
          </cell>
          <cell r="C866">
            <v>11.06</v>
          </cell>
          <cell r="D866" t="str">
            <v>Meio-fio (guia) com sarjeta, concreto FCK = 15mpa, seção 615 cm², concreto usinado, inclusive escavação e pintura a cal em uma demão</v>
          </cell>
          <cell r="E866"/>
          <cell r="F866" t="str">
            <v>M</v>
          </cell>
          <cell r="G866">
            <v>46.8</v>
          </cell>
          <cell r="H866" t="str">
            <v>-</v>
          </cell>
        </row>
        <row r="867">
          <cell r="A867" t="str">
            <v>SC/0006</v>
          </cell>
          <cell r="B867" t="str">
            <v>COMPOSIÇÃO</v>
          </cell>
          <cell r="C867">
            <v>11.06</v>
          </cell>
          <cell r="D867" t="str">
            <v>Meio-fio (guia tipo americana) com sarjeta, concreto FCK = 15mpa, seção 470 cm², moldado no local, inclusive escavação e pintura a cal em uma demão</v>
          </cell>
          <cell r="E867"/>
          <cell r="F867" t="str">
            <v>M</v>
          </cell>
          <cell r="G867">
            <v>39.869999999999997</v>
          </cell>
          <cell r="H867" t="str">
            <v>-</v>
          </cell>
        </row>
        <row r="868">
          <cell r="A868" t="str">
            <v>SC/0008</v>
          </cell>
          <cell r="B868" t="str">
            <v>COMPOSIÇÃO</v>
          </cell>
          <cell r="C868">
            <v>11.06</v>
          </cell>
          <cell r="D868" t="str">
            <v>Meio-fio (guia tipo americana) com sarjeta, concreto FCK = 15mpa, seção 470 cm², concreto usinado, inclusive escavação e pintura a cal em uma demão</v>
          </cell>
          <cell r="E868"/>
          <cell r="F868" t="str">
            <v>M</v>
          </cell>
          <cell r="G868">
            <v>35.6</v>
          </cell>
          <cell r="H868" t="str">
            <v>-</v>
          </cell>
        </row>
        <row r="869">
          <cell r="A869" t="str">
            <v>SC/0010</v>
          </cell>
          <cell r="B869" t="str">
            <v>COMPOSIÇÃO</v>
          </cell>
          <cell r="C869">
            <v>23.86</v>
          </cell>
          <cell r="D869" t="str">
            <v>Meio-fio (guia) simples, concreto FCK = 15mpa, seção 285cm2, moldado no local, inclusive escavação e pintura a cal em uma demão</v>
          </cell>
          <cell r="E869"/>
          <cell r="F869" t="str">
            <v>M</v>
          </cell>
          <cell r="G869">
            <v>25.16</v>
          </cell>
          <cell r="H869" t="str">
            <v>-</v>
          </cell>
        </row>
        <row r="870">
          <cell r="A870" t="str">
            <v>SC/0011</v>
          </cell>
          <cell r="B870" t="str">
            <v>COMPOSIÇÃO</v>
          </cell>
          <cell r="C870">
            <v>11.06</v>
          </cell>
          <cell r="D870" t="str">
            <v>Meio-fio (guia) simples, concreto FCK = 15mpa, seção 285cm2, concreto usinado, inclusive escavação e pintura a cal em uma demão</v>
          </cell>
          <cell r="E870"/>
          <cell r="F870" t="str">
            <v>M</v>
          </cell>
          <cell r="G870">
            <v>22.58</v>
          </cell>
          <cell r="H870" t="str">
            <v>-</v>
          </cell>
        </row>
        <row r="871">
          <cell r="A871" t="str">
            <v>SC/0015</v>
          </cell>
          <cell r="B871" t="str">
            <v>COMPOSIÇÃO</v>
          </cell>
          <cell r="C871">
            <v>13.6</v>
          </cell>
          <cell r="D871" t="str">
            <v>Meio-fio (guia) para estação de embarque, concreto FCK = 15mpa, seção 500cm2, moldado no local, inclusive escavação e pintura a cal em uma demão</v>
          </cell>
          <cell r="E871"/>
          <cell r="F871" t="str">
            <v>M</v>
          </cell>
          <cell r="G871">
            <v>44.47</v>
          </cell>
          <cell r="H871" t="str">
            <v>-</v>
          </cell>
        </row>
        <row r="872">
          <cell r="A872" t="str">
            <v>SC/0016</v>
          </cell>
          <cell r="B872" t="str">
            <v>COMPOSIÇÃO</v>
          </cell>
          <cell r="C872">
            <v>13.6</v>
          </cell>
          <cell r="D872" t="str">
            <v>Meio-fio (guia) para estação de embarque, concreto FCK = 15mpa, seção 500cm2, concreto usinado, inclusive escavação e pintura a cal em uma demão</v>
          </cell>
          <cell r="E872"/>
          <cell r="F872" t="str">
            <v>M</v>
          </cell>
          <cell r="G872">
            <v>39.93</v>
          </cell>
          <cell r="H872" t="str">
            <v>-</v>
          </cell>
        </row>
        <row r="873">
          <cell r="A873" t="str">
            <v>SC/0020</v>
          </cell>
          <cell r="B873" t="str">
            <v>COMPOSIÇÃO</v>
          </cell>
          <cell r="C873">
            <v>7.77</v>
          </cell>
          <cell r="D873" t="str">
            <v>Meio-fio (guia) para rotatórias e ilhas, concreto FCK = 15mpa, seção 875cm2, moldado no local, inclusive escavação e pintura a cal em uma demão</v>
          </cell>
          <cell r="E873"/>
          <cell r="F873" t="str">
            <v>M</v>
          </cell>
          <cell r="G873">
            <v>76.180000000000007</v>
          </cell>
          <cell r="H873" t="str">
            <v>-</v>
          </cell>
        </row>
        <row r="874">
          <cell r="A874" t="str">
            <v>SC/0021</v>
          </cell>
          <cell r="B874" t="str">
            <v>COMPOSIÇÃO</v>
          </cell>
          <cell r="C874">
            <v>7.77</v>
          </cell>
          <cell r="D874" t="str">
            <v>Meio-fio (guia) para rotatórias e ilhas, concreto FCK = 15mpa, seção 875cm2, concreto usinado, inclusive escavação e pintura a cal em uma demão</v>
          </cell>
          <cell r="E874"/>
          <cell r="F874" t="str">
            <v>M</v>
          </cell>
          <cell r="G874">
            <v>68.23</v>
          </cell>
          <cell r="H874" t="str">
            <v>-</v>
          </cell>
        </row>
        <row r="875">
          <cell r="A875" t="str">
            <v>SC/0025</v>
          </cell>
          <cell r="B875" t="str">
            <v>COMPOSIÇÃO</v>
          </cell>
          <cell r="C875">
            <v>45.33</v>
          </cell>
          <cell r="D875" t="str">
            <v>Guia para canteiro e ciclovia, concreto FCK = 15mpa, seção 150cm2, moldado no local, inclusive escavação e pintura a cal em uma demão</v>
          </cell>
          <cell r="E875"/>
          <cell r="F875" t="str">
            <v>M</v>
          </cell>
          <cell r="G875">
            <v>27.87</v>
          </cell>
          <cell r="H875" t="str">
            <v>-</v>
          </cell>
        </row>
        <row r="876">
          <cell r="A876" t="str">
            <v>SC/0026</v>
          </cell>
          <cell r="B876" t="str">
            <v>COMPOSIÇÃO</v>
          </cell>
          <cell r="C876">
            <v>45.33</v>
          </cell>
          <cell r="D876" t="str">
            <v>Guia para canteiro e ciclovia, concreto FCK = 15mpa, seção 150cm2, concreto usinado, inclusive escavação e pintura a cal em uma demão</v>
          </cell>
          <cell r="E876"/>
          <cell r="F876" t="str">
            <v>M</v>
          </cell>
          <cell r="G876">
            <v>26.51</v>
          </cell>
          <cell r="H876" t="str">
            <v>-</v>
          </cell>
        </row>
        <row r="877">
          <cell r="A877" t="str">
            <v>SC/0030</v>
          </cell>
          <cell r="B877" t="str">
            <v>COMPOSIÇÃO</v>
          </cell>
          <cell r="C877">
            <v>20.61</v>
          </cell>
          <cell r="D877" t="str">
            <v xml:space="preserve">Tento (acabamento de limpa-rodas), concreto FCK = 15 mpa, seção 330cm², moldado no local, inclusive escavação </v>
          </cell>
          <cell r="E877"/>
          <cell r="F877" t="str">
            <v>M</v>
          </cell>
          <cell r="G877">
            <v>28.18</v>
          </cell>
          <cell r="H877" t="str">
            <v>-</v>
          </cell>
        </row>
        <row r="878">
          <cell r="A878" t="str">
            <v>SC/0031</v>
          </cell>
          <cell r="B878" t="str">
            <v>COMPOSIÇÃO</v>
          </cell>
          <cell r="C878">
            <v>20.61</v>
          </cell>
          <cell r="D878" t="str">
            <v xml:space="preserve">Tento (acabamento de limpa-rodas), concreto FCK = 15 mpa, seção 330cm², concreto usinado, inclusive escavação </v>
          </cell>
          <cell r="E878"/>
          <cell r="F878" t="str">
            <v>M</v>
          </cell>
          <cell r="G878">
            <v>25.18</v>
          </cell>
          <cell r="H878" t="str">
            <v>-</v>
          </cell>
        </row>
        <row r="879">
          <cell r="A879" t="str">
            <v>SC/0035</v>
          </cell>
          <cell r="B879" t="str">
            <v>COMPOSIÇÃO</v>
          </cell>
          <cell r="C879">
            <v>20.61</v>
          </cell>
          <cell r="D879" t="str">
            <v>Sarjeta em concreto FCK = 15mpa, seção 330cm², moldada no local, exclusive escavação</v>
          </cell>
          <cell r="E879"/>
          <cell r="F879" t="str">
            <v>M</v>
          </cell>
          <cell r="G879">
            <v>30.35</v>
          </cell>
          <cell r="H879" t="str">
            <v>-</v>
          </cell>
        </row>
        <row r="880">
          <cell r="A880" t="str">
            <v>SC/0036</v>
          </cell>
          <cell r="B880" t="str">
            <v>COMPOSIÇÃO</v>
          </cell>
          <cell r="C880">
            <v>20.61</v>
          </cell>
          <cell r="D880" t="str">
            <v>Sarjeta em concreto FCK = 15mpa, seção 330cm², concreto usinado, exclusive escavação</v>
          </cell>
          <cell r="E880"/>
          <cell r="F880" t="str">
            <v>M</v>
          </cell>
          <cell r="G880">
            <v>27.35</v>
          </cell>
          <cell r="H880" t="str">
            <v>-</v>
          </cell>
        </row>
        <row r="881">
          <cell r="A881" t="str">
            <v>SC/0040</v>
          </cell>
          <cell r="B881" t="str">
            <v>COMPOSIÇÃO</v>
          </cell>
          <cell r="C881">
            <v>15.11</v>
          </cell>
          <cell r="D881" t="str">
            <v>Sarjeta tipo americana em concreto FCK = 15mpa, seção 455cm², moldada no local, exclusive escavação</v>
          </cell>
          <cell r="E881"/>
          <cell r="F881" t="str">
            <v>M</v>
          </cell>
          <cell r="G881">
            <v>40.19</v>
          </cell>
          <cell r="H881" t="str">
            <v>-</v>
          </cell>
        </row>
        <row r="882">
          <cell r="A882" t="str">
            <v>SC/0045</v>
          </cell>
          <cell r="B882" t="str">
            <v>COMPOSIÇÃO</v>
          </cell>
          <cell r="C882">
            <v>9.26</v>
          </cell>
          <cell r="D882" t="str">
            <v>Meio-fio (guia) com sarjeta, concreto FCK = 20mpa, seção 615 cm², moldado no local com extrusora, inclusive e pintura a cal em uma demão</v>
          </cell>
          <cell r="E882" t="str">
            <v>EXTRUSÃO</v>
          </cell>
          <cell r="F882" t="str">
            <v>M</v>
          </cell>
          <cell r="G882">
            <v>61.63</v>
          </cell>
          <cell r="H882" t="str">
            <v>-</v>
          </cell>
        </row>
        <row r="883">
          <cell r="A883" t="str">
            <v>SC/0050</v>
          </cell>
          <cell r="B883" t="str">
            <v>COMPOSIÇÃO</v>
          </cell>
          <cell r="C883">
            <v>6.41</v>
          </cell>
          <cell r="D883" t="str">
            <v>Meio-fio (guia) com sarjeta, concreto FCK = 20mpa, seção 615 cm², moldado no local em trecho curvo (R≤10 m) com extrusora, inclusive pintura a cal em uma demão</v>
          </cell>
          <cell r="E883"/>
          <cell r="F883" t="str">
            <v>M</v>
          </cell>
          <cell r="G883">
            <v>65.73</v>
          </cell>
          <cell r="H883" t="str">
            <v>-</v>
          </cell>
        </row>
        <row r="884">
          <cell r="A884" t="str">
            <v>SC/0055</v>
          </cell>
          <cell r="B884" t="str">
            <v>COMPOSIÇÃO</v>
          </cell>
          <cell r="C884">
            <v>11.9</v>
          </cell>
          <cell r="D884" t="str">
            <v>Meio-fio (guia) simples, concreto FCK = 20mpa, seção 285 cm², moldado no local em trecho reto com extrusora, inclusive pintura a cal em uma demão</v>
          </cell>
          <cell r="E884"/>
          <cell r="F884" t="str">
            <v>M</v>
          </cell>
          <cell r="G884">
            <v>36.54</v>
          </cell>
          <cell r="H884" t="str">
            <v>-</v>
          </cell>
        </row>
        <row r="885">
          <cell r="A885" t="str">
            <v>SC/0060</v>
          </cell>
          <cell r="B885" t="str">
            <v>COMPOSIÇÃO</v>
          </cell>
          <cell r="C885">
            <v>7.94</v>
          </cell>
          <cell r="D885" t="str">
            <v>Meio-fio (guia) simples, concreto FCK = 20mpa, seção 285 cm², moldado no local em trecho curvo (R≤10 m) com extrusora, inclusive pintura a cal em uma demão</v>
          </cell>
          <cell r="E885"/>
          <cell r="F885" t="str">
            <v>M</v>
          </cell>
          <cell r="G885">
            <v>39.840000000000003</v>
          </cell>
          <cell r="H885" t="str">
            <v>-</v>
          </cell>
        </row>
        <row r="886">
          <cell r="A886" t="str">
            <v>SC/0065</v>
          </cell>
          <cell r="B886" t="str">
            <v>COMPOSIÇÃO</v>
          </cell>
          <cell r="C886">
            <v>26.88</v>
          </cell>
          <cell r="D886" t="str">
            <v>Guia para canteiro e ciclovia, concreto FCK = 15mpa, seção 150cm², moldado no local com extrusora, inclusive pintura a cal em uma demão</v>
          </cell>
          <cell r="E886"/>
          <cell r="F886" t="str">
            <v>M</v>
          </cell>
          <cell r="G886">
            <v>16.149999999999999</v>
          </cell>
          <cell r="H886" t="str">
            <v>-</v>
          </cell>
        </row>
        <row r="887">
          <cell r="A887">
            <v>96995</v>
          </cell>
          <cell r="B887" t="str">
            <v>SINAPI</v>
          </cell>
          <cell r="C887">
            <v>0.42</v>
          </cell>
          <cell r="D887" t="str">
            <v>Reaterro manual apiloado com soquete. AF_10/2017</v>
          </cell>
          <cell r="E887"/>
          <cell r="F887" t="str">
            <v>M3</v>
          </cell>
          <cell r="G887">
            <v>45.4</v>
          </cell>
          <cell r="H887" t="str">
            <v>-</v>
          </cell>
        </row>
        <row r="888">
          <cell r="A888" t="str">
            <v>SC/0067</v>
          </cell>
          <cell r="B888" t="str">
            <v>COMPOSIÇÃO</v>
          </cell>
          <cell r="C888">
            <v>119.63076</v>
          </cell>
          <cell r="D888" t="str">
            <v>Execução e compactação de aterro com solo predominantemente argiloso, utilizando minicarregadeira sobre rodas - exclusive solo, escavação, carga e transporte.</v>
          </cell>
          <cell r="E888"/>
          <cell r="F888" t="str">
            <v>M3</v>
          </cell>
          <cell r="G888">
            <v>13.89</v>
          </cell>
          <cell r="H888" t="str">
            <v>-</v>
          </cell>
        </row>
        <row r="889">
          <cell r="A889">
            <v>97084</v>
          </cell>
          <cell r="B889" t="str">
            <v>SINAPI</v>
          </cell>
          <cell r="C889">
            <v>52.63</v>
          </cell>
          <cell r="D889" t="str">
            <v>Compactação mecânica de solo para execução de radier, com compactador de solos tipo placa vibratória. AF_09/2021</v>
          </cell>
          <cell r="E889"/>
          <cell r="F889" t="str">
            <v>M2</v>
          </cell>
          <cell r="G889">
            <v>0.6</v>
          </cell>
          <cell r="H889" t="str">
            <v>-</v>
          </cell>
        </row>
        <row r="890">
          <cell r="A890" t="str">
            <v>SC/0068</v>
          </cell>
          <cell r="B890" t="str">
            <v>COMPOSIÇÃO</v>
          </cell>
          <cell r="C890">
            <v>79472</v>
          </cell>
          <cell r="D890" t="str">
            <v>Revestimento de pátio com pedra britada com espessura de 5 cm com regularização do terreno com motoniveladora. Exclusive transporte. (REF SINAPI COD 100575)</v>
          </cell>
          <cell r="E890"/>
          <cell r="F890" t="str">
            <v>M2</v>
          </cell>
          <cell r="G890">
            <v>5.05</v>
          </cell>
          <cell r="H890" t="str">
            <v>-</v>
          </cell>
        </row>
        <row r="891">
          <cell r="A891" t="str">
            <v>SC/0069</v>
          </cell>
          <cell r="B891" t="str">
            <v>COMPOSIÇÃO</v>
          </cell>
          <cell r="C891">
            <v>79472</v>
          </cell>
          <cell r="D891" t="str">
            <v>Lastro de brita comercial - espalhamento mecânico. (REF SICRO COD 0903845)</v>
          </cell>
          <cell r="E891"/>
          <cell r="F891" t="str">
            <v>M3</v>
          </cell>
          <cell r="G891">
            <v>103.51</v>
          </cell>
          <cell r="H891" t="str">
            <v>-</v>
          </cell>
        </row>
        <row r="892">
          <cell r="A892">
            <v>100575</v>
          </cell>
          <cell r="B892" t="str">
            <v>SINAPI</v>
          </cell>
          <cell r="C892">
            <v>909.09</v>
          </cell>
          <cell r="D892" t="str">
            <v>Regularização de superfícies com motoniveladora. AF_11/2019</v>
          </cell>
          <cell r="E892"/>
          <cell r="F892" t="str">
            <v>M2</v>
          </cell>
          <cell r="G892">
            <v>0.11</v>
          </cell>
          <cell r="H892" t="str">
            <v>-</v>
          </cell>
        </row>
        <row r="893">
          <cell r="A893"/>
          <cell r="B893" t="str">
            <v>REPETIDO</v>
          </cell>
          <cell r="C893">
            <v>94962</v>
          </cell>
          <cell r="D893" t="str">
            <v>Concreto magro para lastro, traço 1:4,5:4,5 (cimento/ areia média/ brita 1) - preparo mecânico com betoneira 400 l. AF_07/2016</v>
          </cell>
          <cell r="E893"/>
          <cell r="F893" t="str">
            <v>-</v>
          </cell>
          <cell r="G893" t="str">
            <v>-</v>
          </cell>
          <cell r="H893" t="str">
            <v/>
          </cell>
        </row>
        <row r="894">
          <cell r="A894">
            <v>94968</v>
          </cell>
          <cell r="B894" t="str">
            <v>SINAPI</v>
          </cell>
          <cell r="C894"/>
          <cell r="D894" t="str">
            <v>Concreto magro para lastro, traço 1:4,5:4,5 (cimento/ areia média/ brita 1) - preparo mecânico com betoneira 600 l. AF_07/2016</v>
          </cell>
          <cell r="E894"/>
          <cell r="F894" t="str">
            <v>M3</v>
          </cell>
          <cell r="G894">
            <v>377.84</v>
          </cell>
          <cell r="H894" t="str">
            <v>-</v>
          </cell>
        </row>
        <row r="895">
          <cell r="A895">
            <v>94974</v>
          </cell>
          <cell r="B895" t="str">
            <v>SINAPI</v>
          </cell>
          <cell r="C895"/>
          <cell r="D895" t="str">
            <v>Concreto magro para lastro, traço 1:4,5:4,5 (cimento/ areia média/ brita 1)  - preparo manual. AF_07/2016</v>
          </cell>
          <cell r="E895"/>
          <cell r="F895" t="str">
            <v>M3</v>
          </cell>
          <cell r="G895">
            <v>431.07</v>
          </cell>
          <cell r="H895" t="str">
            <v>-</v>
          </cell>
        </row>
        <row r="896">
          <cell r="A896">
            <v>100324</v>
          </cell>
          <cell r="B896" t="str">
            <v>SINAPI</v>
          </cell>
          <cell r="C896"/>
          <cell r="D896" t="str">
            <v>Lastro com material granular (pedra britada n.1 e pedra britada n.2), aplicado em pisos ou radiers, espessura de *10 cm*. AF_07/2019</v>
          </cell>
          <cell r="E896"/>
          <cell r="F896" t="str">
            <v>M3</v>
          </cell>
          <cell r="G896">
            <v>141.04</v>
          </cell>
          <cell r="H896" t="str">
            <v>-</v>
          </cell>
        </row>
        <row r="897">
          <cell r="A897"/>
          <cell r="B897" t="str">
            <v>REPETIDO</v>
          </cell>
          <cell r="C897">
            <v>96620</v>
          </cell>
          <cell r="D897" t="str">
            <v>Lastro de concreto magro, aplicado em pisos ou radiers. AF_08/2017</v>
          </cell>
          <cell r="E897"/>
          <cell r="F897" t="str">
            <v>-</v>
          </cell>
          <cell r="G897" t="str">
            <v>-</v>
          </cell>
          <cell r="H897" t="str">
            <v/>
          </cell>
        </row>
        <row r="898">
          <cell r="A898">
            <v>92396</v>
          </cell>
          <cell r="B898" t="str">
            <v>SINAPI</v>
          </cell>
          <cell r="C898" t="str">
            <v>PISO INTERTRAVADO</v>
          </cell>
          <cell r="D898" t="str">
            <v>Execução de passeio em piso intertravado, com bloco retangular cor natural de 20 x 10 cm, espessura 6 cm. AF_12/2015</v>
          </cell>
          <cell r="E898" t="str">
            <v>areia empolada
0,082 m³/m²</v>
          </cell>
          <cell r="F898" t="str">
            <v>M2</v>
          </cell>
          <cell r="G898">
            <v>75.260000000000005</v>
          </cell>
          <cell r="H898" t="str">
            <v>-</v>
          </cell>
        </row>
        <row r="899">
          <cell r="A899">
            <v>93679</v>
          </cell>
          <cell r="B899" t="str">
            <v>SINAPI</v>
          </cell>
          <cell r="C899"/>
          <cell r="D899" t="str">
            <v>Execução de passeio em piso intertravado, com bloco retangular colorido de 20 x 10 cm, espessura 6 cm. AF_12/2015</v>
          </cell>
          <cell r="E899"/>
          <cell r="F899" t="str">
            <v>M2</v>
          </cell>
          <cell r="G899">
            <v>83.7</v>
          </cell>
          <cell r="H899" t="str">
            <v>-</v>
          </cell>
        </row>
        <row r="900">
          <cell r="A900">
            <v>92402</v>
          </cell>
          <cell r="B900" t="str">
            <v>SINAPI</v>
          </cell>
          <cell r="C900"/>
          <cell r="D900" t="str">
            <v>Execução de passeio em piso intertravado, com bloco 16 faces de 22 x 11 cm, espessura 6 cm. AF_12/2015</v>
          </cell>
          <cell r="E900"/>
          <cell r="F900" t="str">
            <v>M2</v>
          </cell>
          <cell r="G900">
            <v>73.45</v>
          </cell>
          <cell r="H900" t="str">
            <v>-</v>
          </cell>
        </row>
        <row r="901">
          <cell r="A901">
            <v>101862</v>
          </cell>
          <cell r="B901" t="str">
            <v>SINAPI</v>
          </cell>
          <cell r="C901"/>
          <cell r="D901" t="str">
            <v>Reassentamento de blocos retangular para piso intertravado, espessura de 6 cm, em calçada, com reaproveitamento dos blocos retangular. AF_12/2020</v>
          </cell>
          <cell r="E901"/>
          <cell r="F901" t="str">
            <v>M2</v>
          </cell>
          <cell r="G901">
            <v>29.77</v>
          </cell>
          <cell r="H901" t="str">
            <v>-</v>
          </cell>
        </row>
        <row r="902">
          <cell r="A902">
            <v>101867</v>
          </cell>
          <cell r="B902" t="str">
            <v>SINAPI</v>
          </cell>
          <cell r="C902"/>
          <cell r="D902" t="str">
            <v>Reassentamento de blocos 16 faces para piso intertravado, espessura de 6 cm, em calçada, com reaproveitamento dos blocos 16 faces. AF_12/2020</v>
          </cell>
          <cell r="E902"/>
          <cell r="F902" t="str">
            <v>M2</v>
          </cell>
          <cell r="G902">
            <v>31.32</v>
          </cell>
          <cell r="H902" t="str">
            <v>-</v>
          </cell>
        </row>
        <row r="903">
          <cell r="A903">
            <v>94990</v>
          </cell>
          <cell r="B903" t="str">
            <v>SINAPI</v>
          </cell>
          <cell r="C903" t="str">
            <v>CALÇADA</v>
          </cell>
          <cell r="D903" t="str">
            <v>Execução de passeio (calçada) ou piso de concreto com concreto moldado in loco, feito em obra, acabamento convencional, não armado. AF_07/2016</v>
          </cell>
          <cell r="E903" t="str">
            <v>ATENÇÃO
M3</v>
          </cell>
          <cell r="F903" t="str">
            <v>M3</v>
          </cell>
          <cell r="G903">
            <v>735.68</v>
          </cell>
          <cell r="H903" t="str">
            <v>-</v>
          </cell>
        </row>
        <row r="904">
          <cell r="A904">
            <v>94991</v>
          </cell>
          <cell r="B904" t="str">
            <v>SINAPI</v>
          </cell>
          <cell r="C904"/>
          <cell r="D904" t="str">
            <v>Execução de passeio (calçada) ou piso de concreto com concreto moldado in loco, usinado, acabamento convencional, não armado. AF_07/2016</v>
          </cell>
          <cell r="E904"/>
          <cell r="F904" t="str">
            <v>M3</v>
          </cell>
          <cell r="G904">
            <v>772.34</v>
          </cell>
          <cell r="H904" t="str">
            <v>-</v>
          </cell>
        </row>
        <row r="905">
          <cell r="A905">
            <v>94994</v>
          </cell>
          <cell r="B905" t="str">
            <v>SINAPI</v>
          </cell>
          <cell r="C905"/>
          <cell r="D905" t="str">
            <v>Execução de passeio (calçada) ou piso de concreto com concreto moldado in loco, feito em obra, acabamento convencional, espessura 8 cm, armado. AF_07/2016</v>
          </cell>
          <cell r="E905" t="str">
            <v>ATENÇÃO
concreto armado</v>
          </cell>
          <cell r="F905" t="str">
            <v>M2</v>
          </cell>
          <cell r="G905">
            <v>93.39</v>
          </cell>
          <cell r="H905" t="str">
            <v>-</v>
          </cell>
        </row>
        <row r="906">
          <cell r="A906">
            <v>94995</v>
          </cell>
          <cell r="B906" t="str">
            <v>SINAPI</v>
          </cell>
          <cell r="C906"/>
          <cell r="D906" t="str">
            <v>Execução de passeio (calçada) ou piso de concreto com concreto moldado in loco, usinado, acabamento convencional, espessura 8 cm, armado. AF_07/2016</v>
          </cell>
          <cell r="E906"/>
          <cell r="F906" t="str">
            <v>M2</v>
          </cell>
          <cell r="G906">
            <v>96.32</v>
          </cell>
          <cell r="H906" t="str">
            <v>-</v>
          </cell>
        </row>
        <row r="907">
          <cell r="A907">
            <v>94994</v>
          </cell>
          <cell r="B907" t="str">
            <v>SINAPI</v>
          </cell>
          <cell r="C907"/>
          <cell r="D907" t="str">
            <v>Execução de passeio (calçada) ou piso de concreto com concreto moldado in loco, feito em obra, acabamento convencional, espessura 10 cm, armado. AF_07/2016</v>
          </cell>
          <cell r="E907"/>
          <cell r="F907" t="str">
            <v>M2</v>
          </cell>
          <cell r="G907">
            <v>93.39</v>
          </cell>
          <cell r="H907" t="str">
            <v>-</v>
          </cell>
        </row>
        <row r="908">
          <cell r="A908">
            <v>94995</v>
          </cell>
          <cell r="B908" t="str">
            <v>SINAPI</v>
          </cell>
          <cell r="C908"/>
          <cell r="D908" t="str">
            <v>Execução de passeio (calçada) ou piso de concreto com concreto moldado in loco, usinado, acabamento convencional, espessura 10 cm, armado. AF_07/2016</v>
          </cell>
          <cell r="E908"/>
          <cell r="F908" t="str">
            <v>M2</v>
          </cell>
          <cell r="G908">
            <v>96.32</v>
          </cell>
          <cell r="H908" t="str">
            <v>-</v>
          </cell>
        </row>
        <row r="909">
          <cell r="A909">
            <v>101747</v>
          </cell>
          <cell r="B909" t="str">
            <v>SINAPI</v>
          </cell>
          <cell r="C909">
            <v>68333</v>
          </cell>
          <cell r="D909" t="str">
            <v>Piso em concreto 20 MPA preparo mecânico, espessura 7cm. AF_09/2020</v>
          </cell>
          <cell r="E909"/>
          <cell r="F909" t="str">
            <v>M2</v>
          </cell>
          <cell r="G909">
            <v>85.34</v>
          </cell>
          <cell r="H909" t="str">
            <v>-</v>
          </cell>
        </row>
        <row r="910">
          <cell r="A910" t="str">
            <v>SC/0070</v>
          </cell>
          <cell r="B910" t="str">
            <v>COMPOSIÇÃO</v>
          </cell>
          <cell r="C910"/>
          <cell r="D910" t="str">
            <v>Acabamento sobre superfícies em concreto, argamassa e outros com pigmento com 210g/m² de pó para coloração (REF. SINAPI COD. 73676)</v>
          </cell>
          <cell r="E910"/>
          <cell r="F910" t="str">
            <v>M2</v>
          </cell>
          <cell r="G910" t="e">
            <v>#N/A</v>
          </cell>
          <cell r="H910" t="str">
            <v>VER COMP</v>
          </cell>
        </row>
        <row r="911">
          <cell r="A911" t="str">
            <v>SC/0075</v>
          </cell>
          <cell r="B911" t="str">
            <v>COMPOSIÇÃO</v>
          </cell>
          <cell r="C911"/>
          <cell r="D911" t="str">
            <v>Piso tátil de alerta ou direcional com lajota cimentícia  25x25x2cm, nas cores da NBR 16537, assentado com argamassa de cimento e areia 1:3</v>
          </cell>
          <cell r="E911"/>
          <cell r="F911" t="str">
            <v>M</v>
          </cell>
          <cell r="G911">
            <v>37.53</v>
          </cell>
          <cell r="H911" t="str">
            <v>-</v>
          </cell>
        </row>
        <row r="912">
          <cell r="A912" t="str">
            <v>SC/0080</v>
          </cell>
          <cell r="B912" t="str">
            <v>COMPOSIÇÃO</v>
          </cell>
          <cell r="C912"/>
          <cell r="D912" t="str">
            <v>Piso tátil de alerta ou direcional com lajota cimentícia  40x40x2,5cm, nas cores da NBR 16537, assentado com argamassa de cimento e areia 1:3</v>
          </cell>
          <cell r="E912"/>
          <cell r="F912" t="str">
            <v>M</v>
          </cell>
          <cell r="G912">
            <v>61.7</v>
          </cell>
          <cell r="H912" t="str">
            <v>-</v>
          </cell>
        </row>
        <row r="913">
          <cell r="A913">
            <v>101094</v>
          </cell>
          <cell r="B913" t="str">
            <v>SINAPI</v>
          </cell>
          <cell r="C913"/>
          <cell r="D913" t="str">
            <v>Piso podotátil, direcional ou alerta, assentado sobre argamassa. AF_05/2020</v>
          </cell>
          <cell r="E913"/>
          <cell r="F913" t="str">
            <v>M</v>
          </cell>
          <cell r="G913">
            <v>172.78</v>
          </cell>
          <cell r="H913" t="str">
            <v>-</v>
          </cell>
        </row>
        <row r="914">
          <cell r="A914">
            <v>92391</v>
          </cell>
          <cell r="B914" t="str">
            <v>SINAPI</v>
          </cell>
          <cell r="C914"/>
          <cell r="D914" t="str">
            <v>Execução de pavimento em piso intertravado, com bloco pisograma de 35 x 25 cm, espessura 6 cm. AF_12/2015</v>
          </cell>
          <cell r="E914"/>
          <cell r="F914" t="str">
            <v>M2</v>
          </cell>
          <cell r="G914">
            <v>64.28</v>
          </cell>
          <cell r="H914" t="str">
            <v>-</v>
          </cell>
        </row>
        <row r="915">
          <cell r="A915">
            <v>92392</v>
          </cell>
          <cell r="B915" t="str">
            <v>SINAPI</v>
          </cell>
          <cell r="C915"/>
          <cell r="D915" t="str">
            <v>Execução de pavimento em piso intertravado, com bloco pisograma de 35 x 25 cm, espessura 8 cm. AF_12/2015</v>
          </cell>
          <cell r="E915"/>
          <cell r="F915" t="str">
            <v>M2</v>
          </cell>
          <cell r="G915">
            <v>133.59</v>
          </cell>
          <cell r="H915" t="str">
            <v>-</v>
          </cell>
        </row>
        <row r="916">
          <cell r="A916">
            <v>101856</v>
          </cell>
          <cell r="B916" t="str">
            <v>SINAPI</v>
          </cell>
          <cell r="C916"/>
          <cell r="D916" t="str">
            <v>Reassentamento de blocos pisograma para piso intertravado, com reaproveitamento dos blocos pisograma. AF_12/2020</v>
          </cell>
          <cell r="E916"/>
          <cell r="F916" t="str">
            <v>M2</v>
          </cell>
          <cell r="G916">
            <v>22.41</v>
          </cell>
          <cell r="H916" t="str">
            <v>-</v>
          </cell>
        </row>
        <row r="917">
          <cell r="A917">
            <v>98503</v>
          </cell>
          <cell r="B917" t="str">
            <v>SINAPI</v>
          </cell>
          <cell r="C917"/>
          <cell r="D917" t="str">
            <v>Plantio de grama em pavimento concregrama. AF_05/2018</v>
          </cell>
          <cell r="E917"/>
          <cell r="F917" t="str">
            <v>M2</v>
          </cell>
          <cell r="G917">
            <v>24.46</v>
          </cell>
          <cell r="H917" t="str">
            <v>-</v>
          </cell>
        </row>
        <row r="918">
          <cell r="A918">
            <v>98504</v>
          </cell>
          <cell r="B918" t="str">
            <v>SINAPI</v>
          </cell>
          <cell r="C918"/>
          <cell r="D918" t="str">
            <v>Plantio de grama em placas. AF_05/2018</v>
          </cell>
          <cell r="E918"/>
          <cell r="F918" t="str">
            <v>M2</v>
          </cell>
          <cell r="G918">
            <v>9.93</v>
          </cell>
          <cell r="H918" t="str">
            <v>-</v>
          </cell>
        </row>
        <row r="919">
          <cell r="A919">
            <v>98505</v>
          </cell>
          <cell r="B919" t="str">
            <v>SINAPI</v>
          </cell>
          <cell r="C919"/>
          <cell r="D919" t="str">
            <v>Plantio de forração. Af_05/2018</v>
          </cell>
          <cell r="E919"/>
          <cell r="F919" t="str">
            <v>M2</v>
          </cell>
          <cell r="G919">
            <v>65.069999999999993</v>
          </cell>
          <cell r="H919" t="str">
            <v>-</v>
          </cell>
        </row>
        <row r="920">
          <cell r="A920">
            <v>98520</v>
          </cell>
          <cell r="B920" t="str">
            <v>SINAPI</v>
          </cell>
          <cell r="C920"/>
          <cell r="D920" t="str">
            <v>Aplicação de adubo em solo. AF_05/2018</v>
          </cell>
          <cell r="E920"/>
          <cell r="F920" t="str">
            <v>M2</v>
          </cell>
          <cell r="G920">
            <v>8.19</v>
          </cell>
          <cell r="H920" t="str">
            <v>-</v>
          </cell>
        </row>
        <row r="921">
          <cell r="A921" t="str">
            <v>SC/0082</v>
          </cell>
          <cell r="B921" t="str">
            <v>COMPOSIÇÃO</v>
          </cell>
          <cell r="C921">
            <v>85180</v>
          </cell>
          <cell r="D921" t="str">
            <v>Grama em placas, tipo esmeralda, incluindo plantio, adubo, fertilizante, calcário, terra orgânica e irrigação</v>
          </cell>
          <cell r="E921"/>
          <cell r="F921" t="str">
            <v>M2</v>
          </cell>
          <cell r="G921">
            <v>22.28</v>
          </cell>
          <cell r="H921" t="str">
            <v>-</v>
          </cell>
        </row>
        <row r="922">
          <cell r="A922">
            <v>98509</v>
          </cell>
          <cell r="B922" t="str">
            <v>SINAPI</v>
          </cell>
          <cell r="C922"/>
          <cell r="D922" t="str">
            <v>Plantio de arbusto ou cerca viva. AF_05/2018</v>
          </cell>
          <cell r="E922"/>
          <cell r="F922" t="str">
            <v>UN</v>
          </cell>
          <cell r="G922">
            <v>45.19</v>
          </cell>
          <cell r="H922" t="str">
            <v>-</v>
          </cell>
        </row>
        <row r="923">
          <cell r="A923">
            <v>98510</v>
          </cell>
          <cell r="B923" t="str">
            <v>SINAPI</v>
          </cell>
          <cell r="C923"/>
          <cell r="D923" t="str">
            <v>Plantio de árvore ornamental com altura de muda menor ou igual a 2,00 m. AF_05/2018</v>
          </cell>
          <cell r="E923"/>
          <cell r="F923" t="str">
            <v>UN</v>
          </cell>
          <cell r="G923">
            <v>68.510000000000005</v>
          </cell>
          <cell r="H923" t="str">
            <v>-</v>
          </cell>
        </row>
        <row r="924">
          <cell r="A924">
            <v>98511</v>
          </cell>
          <cell r="B924" t="str">
            <v>SINAPI</v>
          </cell>
          <cell r="C924"/>
          <cell r="D924" t="str">
            <v>Plantio de árvore ornamental com altura de muda maior que 2,00 m e menor ou igual a 4,00 m. AF_05/2018</v>
          </cell>
          <cell r="E924"/>
          <cell r="F924" t="str">
            <v>UN</v>
          </cell>
          <cell r="G924">
            <v>129.82</v>
          </cell>
          <cell r="H924" t="str">
            <v>-</v>
          </cell>
        </row>
        <row r="925">
          <cell r="A925">
            <v>98516</v>
          </cell>
          <cell r="B925" t="str">
            <v>SINAPI</v>
          </cell>
          <cell r="C925"/>
          <cell r="D925" t="str">
            <v>Plantio de palmeira com altura de muda menor ou igual a 2,00 m. AF_05/2018</v>
          </cell>
          <cell r="E925"/>
          <cell r="F925" t="str">
            <v>UN</v>
          </cell>
          <cell r="G925">
            <v>334.59</v>
          </cell>
          <cell r="H925" t="str">
            <v>-</v>
          </cell>
        </row>
        <row r="926">
          <cell r="A926" t="str">
            <v>SC/0085</v>
          </cell>
          <cell r="B926" t="str">
            <v>COMPOSIÇÃO</v>
          </cell>
          <cell r="C926"/>
          <cell r="D926" t="str">
            <v>Dispositivo de segurança na travessia de pedestre - guarda corpo em tubo de aço galvanizado Ø 3", pintado com esmalte sintético em duas demãos</v>
          </cell>
          <cell r="E926"/>
          <cell r="F926" t="str">
            <v xml:space="preserve">UN </v>
          </cell>
          <cell r="G926">
            <v>1447.04</v>
          </cell>
          <cell r="H926" t="str">
            <v>-</v>
          </cell>
        </row>
        <row r="927">
          <cell r="A927" t="str">
            <v>SC/0090</v>
          </cell>
          <cell r="B927" t="str">
            <v>COMPOSIÇÃO</v>
          </cell>
          <cell r="C927"/>
          <cell r="D927" t="str">
            <v>Defensa metálica semi-maleável tipo simples, em chapa de aço, padrão DNIT, incluindo fornecimento, montagem e refletivos (30x5cm) (REF. SICRO COD. 3713604)</v>
          </cell>
          <cell r="E927"/>
          <cell r="F927" t="str">
            <v>M</v>
          </cell>
          <cell r="G927">
            <v>494.92</v>
          </cell>
          <cell r="H927" t="str">
            <v>-</v>
          </cell>
        </row>
        <row r="928">
          <cell r="A928" t="str">
            <v>SC/0091</v>
          </cell>
          <cell r="B928" t="str">
            <v>COMPOSIÇÃO</v>
          </cell>
          <cell r="C928"/>
          <cell r="D928" t="str">
            <v>Implantação de Defensa metálica semi-maleável tipo simples, em chapa de aço, padrão DNIT, excluindo fornecimento e refletivos (30x5cm) (REF. SICRO COD. 3713604, DB 01/2021)</v>
          </cell>
          <cell r="E928"/>
          <cell r="F928" t="str">
            <v>M</v>
          </cell>
          <cell r="G928">
            <v>5.71</v>
          </cell>
          <cell r="H928" t="str">
            <v>-</v>
          </cell>
        </row>
        <row r="929">
          <cell r="A929" t="str">
            <v>SC/0092</v>
          </cell>
          <cell r="B929" t="str">
            <v>COMPOSIÇÃO</v>
          </cell>
          <cell r="C929"/>
          <cell r="D929" t="str">
            <v>Fornecimento de Defensa metálica semi-maleável tipo simples, em chapa de aço, padrão DNIT, incluindo fornecimento e refletivos (30x5cm), excluindo montagem (REF. SICRO COD. 3713604, DB 01/2021)</v>
          </cell>
          <cell r="E929"/>
          <cell r="F929" t="str">
            <v>M</v>
          </cell>
          <cell r="G929">
            <v>488.92</v>
          </cell>
          <cell r="H929" t="str">
            <v>-</v>
          </cell>
        </row>
        <row r="930">
          <cell r="A930" t="str">
            <v>SC/0095</v>
          </cell>
          <cell r="B930" t="str">
            <v>COMPOSIÇÃO</v>
          </cell>
          <cell r="C930"/>
          <cell r="D930" t="str">
            <v>Defensa metálica semi-maleável tipo dupla, em chapa de aço, padrão DNIT, incluindo fornecimento, montagem e refletivos (30x5cm) (REF. SICRO COD. 3713606)</v>
          </cell>
          <cell r="E930"/>
          <cell r="F930" t="str">
            <v>M</v>
          </cell>
          <cell r="G930">
            <v>688.13</v>
          </cell>
          <cell r="H930" t="str">
            <v>-</v>
          </cell>
        </row>
        <row r="931">
          <cell r="A931" t="str">
            <v>SC/0096</v>
          </cell>
          <cell r="B931" t="str">
            <v>COMPOSIÇÃO</v>
          </cell>
          <cell r="C931"/>
          <cell r="D931" t="str">
            <v>Instalação de Defensa metálica semi-maleável tipo dupla, em chapa de aço, padrão DNIT, excluindo fornecimento e refletivos (30x5cm) (REF. SICRO COD. 3713606, DB 01/2021)</v>
          </cell>
          <cell r="E931"/>
          <cell r="F931" t="str">
            <v>M</v>
          </cell>
          <cell r="G931">
            <v>13.75</v>
          </cell>
          <cell r="H931" t="str">
            <v>-</v>
          </cell>
        </row>
        <row r="932">
          <cell r="A932" t="str">
            <v>SC/0097</v>
          </cell>
          <cell r="B932" t="str">
            <v>COMPOSIÇÃO</v>
          </cell>
          <cell r="C932"/>
          <cell r="D932" t="str">
            <v>Fornecimento de Defensa metálica semi-maleável tipo dupla, em chapa de aço, padrão DNIT, incluindo fornecimento e refletivos (30x5cm) (REF. SICRO COD. 3713606, DB 01/2021), excluindo montagem e transporte</v>
          </cell>
          <cell r="E932"/>
          <cell r="F932" t="str">
            <v>M</v>
          </cell>
          <cell r="G932">
            <v>674.38</v>
          </cell>
          <cell r="H932" t="str">
            <v>-</v>
          </cell>
        </row>
        <row r="933">
          <cell r="A933" t="str">
            <v>SC/0100</v>
          </cell>
          <cell r="B933" t="str">
            <v>COMPOSIÇÃO</v>
          </cell>
          <cell r="C933"/>
          <cell r="D933" t="str">
            <v>Tubo aço galvanizado com costura para guarda-corpo, classe leve, DN 40 mm (1 1/2"),  DIN 2440 / NBR 5580 classe leve, espessura 3,00 mm, *3,48* kg/m</v>
          </cell>
          <cell r="E933"/>
          <cell r="F933" t="str">
            <v>M</v>
          </cell>
          <cell r="G933">
            <v>60.84</v>
          </cell>
          <cell r="H933" t="str">
            <v>-</v>
          </cell>
        </row>
        <row r="934">
          <cell r="A934" t="str">
            <v>SC/0105</v>
          </cell>
          <cell r="B934" t="str">
            <v>COMPOSIÇÃO</v>
          </cell>
          <cell r="C934"/>
          <cell r="D934" t="str">
            <v>Tubo aço galvanizado com costura para guarda-corpo, classe leve, DN 50 mm (2"),  DIN 2440 / NBR 5580 classe leve, espessura 3,00 mm, *4,40* kg/m</v>
          </cell>
          <cell r="E934"/>
          <cell r="F934" t="str">
            <v>M</v>
          </cell>
          <cell r="G934">
            <v>79.400000000000006</v>
          </cell>
          <cell r="H934" t="str">
            <v>-</v>
          </cell>
        </row>
        <row r="935">
          <cell r="A935">
            <v>89512</v>
          </cell>
          <cell r="B935" t="str">
            <v>SINAPI</v>
          </cell>
          <cell r="C935"/>
          <cell r="D935" t="str">
            <v>Tubo pvc, série r, água pluvial, diâmetro nominal de 100 mm, fornecido e instalado em ramal de encaminhamento. AF_12/2014</v>
          </cell>
          <cell r="E935"/>
          <cell r="F935" t="str">
            <v>M</v>
          </cell>
          <cell r="G935">
            <v>52.07</v>
          </cell>
          <cell r="H935" t="str">
            <v>-</v>
          </cell>
        </row>
        <row r="936">
          <cell r="A936" t="str">
            <v>SC/0130</v>
          </cell>
          <cell r="B936" t="str">
            <v>COMPOSIÇÃO</v>
          </cell>
          <cell r="C936">
            <v>3.5</v>
          </cell>
          <cell r="D936" t="str">
            <v>Tampão fofo articulado, classe A15, carga máxima 1,5 T, 200 x 200 mm. Incluindo fornecimento, assentamento e requadro com argamassa</v>
          </cell>
          <cell r="E936"/>
          <cell r="F936" t="str">
            <v xml:space="preserve">UN </v>
          </cell>
          <cell r="G936">
            <v>126.78</v>
          </cell>
          <cell r="H936" t="str">
            <v>-</v>
          </cell>
        </row>
        <row r="937">
          <cell r="A937" t="str">
            <v>SC/0135</v>
          </cell>
          <cell r="B937" t="str">
            <v>COMPOSIÇÃO</v>
          </cell>
          <cell r="C937">
            <v>5.8</v>
          </cell>
          <cell r="D937" t="str">
            <v>Tampão fofo simples com base, classe A15, carga máxima 1,5 T, 300 x 300 mm. Incluindo fornecimento, assentamento e requadro com argamassa</v>
          </cell>
          <cell r="E937"/>
          <cell r="F937" t="str">
            <v xml:space="preserve">UN </v>
          </cell>
          <cell r="G937">
            <v>191.47</v>
          </cell>
          <cell r="H937" t="str">
            <v>-</v>
          </cell>
        </row>
        <row r="938">
          <cell r="A938" t="str">
            <v>SC/0140</v>
          </cell>
          <cell r="B938" t="str">
            <v>COMPOSIÇÃO</v>
          </cell>
          <cell r="C938">
            <v>9</v>
          </cell>
          <cell r="D938" t="str">
            <v>Tampão fofo simples com base, classe A15, carga máxima 1,5 T, 400 x 400 mm. Incluindo fornecimento, assentamento e requadro com argamassa</v>
          </cell>
          <cell r="E938"/>
          <cell r="F938" t="str">
            <v xml:space="preserve">UN </v>
          </cell>
          <cell r="G938">
            <v>277.87</v>
          </cell>
          <cell r="H938" t="str">
            <v>-</v>
          </cell>
        </row>
        <row r="939">
          <cell r="A939" t="str">
            <v>SC/0145</v>
          </cell>
          <cell r="B939" t="str">
            <v>COMPOSIÇÃO</v>
          </cell>
          <cell r="C939">
            <v>12</v>
          </cell>
          <cell r="D939" t="str">
            <v>Tampão fofo simples com base, classe A15, carga máxima 1,5 T, 400 x 400 mm. Incluindo fornecimento, assentamento e requadro com argamassa</v>
          </cell>
          <cell r="E939"/>
          <cell r="F939" t="str">
            <v xml:space="preserve">UN </v>
          </cell>
          <cell r="G939">
            <v>284.52</v>
          </cell>
          <cell r="H939" t="str">
            <v>-</v>
          </cell>
        </row>
        <row r="940">
          <cell r="A940" t="str">
            <v>SC/0150</v>
          </cell>
          <cell r="B940" t="str">
            <v>COMPOSIÇÃO</v>
          </cell>
          <cell r="C940">
            <v>15</v>
          </cell>
          <cell r="D940" t="str">
            <v>Tampão fofo simples com base, classe A15, carga máxima 1,5 T, 400 x 600 mm. Incluindo fornecimento, assentamento e requadro com argamassa</v>
          </cell>
          <cell r="E940"/>
          <cell r="F940" t="str">
            <v xml:space="preserve">UN </v>
          </cell>
          <cell r="G940">
            <v>382.43</v>
          </cell>
          <cell r="H940" t="str">
            <v>-</v>
          </cell>
        </row>
        <row r="941">
          <cell r="A941">
            <v>101798</v>
          </cell>
          <cell r="B941" t="str">
            <v>SINAPI</v>
          </cell>
          <cell r="C941" t="str">
            <v>84798
18 kg/un</v>
          </cell>
          <cell r="D941" t="str">
            <v>Tampão fofo p/ caixa R1 padrão telebrás completo - fornecimento e instalação</v>
          </cell>
          <cell r="E941"/>
          <cell r="F941" t="str">
            <v>UN</v>
          </cell>
          <cell r="G941">
            <v>363</v>
          </cell>
          <cell r="H941" t="str">
            <v>-</v>
          </cell>
        </row>
        <row r="942">
          <cell r="A942">
            <v>101799</v>
          </cell>
          <cell r="B942" t="str">
            <v>SINAPI</v>
          </cell>
          <cell r="C942" t="str">
            <v>84796
45,375 kg/un</v>
          </cell>
          <cell r="D942" t="str">
            <v>tampão fofo p/ caixa R2 padrão telebrás completo - fornecimento e instalação</v>
          </cell>
          <cell r="E942"/>
          <cell r="F942" t="str">
            <v>UN</v>
          </cell>
          <cell r="G942">
            <v>884.29</v>
          </cell>
          <cell r="H942" t="str">
            <v>-</v>
          </cell>
        </row>
        <row r="943">
          <cell r="A943" t="str">
            <v>SC/0155</v>
          </cell>
          <cell r="B943" t="str">
            <v>COMPOSIÇÃO</v>
          </cell>
          <cell r="C943"/>
          <cell r="D943" t="str">
            <v>Tampão completo para TIL, em PVC,  DN 100 mm, para rede coletora de esgoto. Incluindo fornecimento, assentamento e requadro com argamassa</v>
          </cell>
          <cell r="E943"/>
          <cell r="F943" t="str">
            <v xml:space="preserve">UN </v>
          </cell>
          <cell r="G943" t="e">
            <v>#N/A</v>
          </cell>
          <cell r="H943" t="str">
            <v>VER COMP</v>
          </cell>
        </row>
        <row r="944">
          <cell r="A944" t="str">
            <v>SC/0160</v>
          </cell>
          <cell r="B944" t="str">
            <v>COMPOSIÇÃO</v>
          </cell>
          <cell r="C944"/>
          <cell r="D944" t="str">
            <v>Tampa de concreto armado para caixa de passeio, na espessura de 5cm (REF. SINAPI COD. 6171)</v>
          </cell>
          <cell r="E944"/>
          <cell r="F944" t="str">
            <v>M2</v>
          </cell>
          <cell r="G944">
            <v>111.57</v>
          </cell>
          <cell r="H944" t="str">
            <v>-</v>
          </cell>
        </row>
        <row r="945">
          <cell r="A945">
            <v>101166</v>
          </cell>
          <cell r="B945" t="str">
            <v>SINAPI</v>
          </cell>
          <cell r="C945">
            <v>95474</v>
          </cell>
          <cell r="D945" t="str">
            <v>Alvenaria de embasamento com bloco estrutural de cerâmica, de 14x19x29cm e argamassa de assentamento com preparo em betoneira. AF_05/2020</v>
          </cell>
          <cell r="E945"/>
          <cell r="F945" t="str">
            <v>M3</v>
          </cell>
          <cell r="G945">
            <v>639.72</v>
          </cell>
          <cell r="H945" t="str">
            <v>-</v>
          </cell>
        </row>
        <row r="946">
          <cell r="A946">
            <v>94964</v>
          </cell>
          <cell r="B946" t="str">
            <v>SINAPI</v>
          </cell>
          <cell r="C946"/>
          <cell r="D946" t="str">
            <v>Concreto FCK = 20MPA, traço 1:2,7:3 (cimento/ areia média/ brita 1) - preparo mecânico com betoneira 400 l. AF_07/2016</v>
          </cell>
          <cell r="E946"/>
          <cell r="F946" t="str">
            <v>M3</v>
          </cell>
          <cell r="G946">
            <v>471.67</v>
          </cell>
          <cell r="H946" t="str">
            <v>-</v>
          </cell>
        </row>
        <row r="947">
          <cell r="A947">
            <v>98524</v>
          </cell>
          <cell r="B947" t="str">
            <v>SINAPI</v>
          </cell>
          <cell r="C947">
            <v>85422</v>
          </cell>
          <cell r="D947" t="str">
            <v>Limpeza manual de vegetação em terreno com enxada. AF_05/2018</v>
          </cell>
          <cell r="E947"/>
          <cell r="F947" t="str">
            <v>M2</v>
          </cell>
          <cell r="G947">
            <v>2.81</v>
          </cell>
          <cell r="H947" t="str">
            <v>-</v>
          </cell>
        </row>
        <row r="948">
          <cell r="A948">
            <v>96542</v>
          </cell>
          <cell r="B948" t="str">
            <v>SINAPI</v>
          </cell>
          <cell r="C948"/>
          <cell r="D948" t="str">
            <v>Fabricação, montagem e desmontagem de fôrma para viga baldrame, em chapa de madeira compensada resinada, e=17 mm, 4 utilizações. AF_06/2017</v>
          </cell>
          <cell r="E948"/>
          <cell r="F948" t="str">
            <v>M2</v>
          </cell>
          <cell r="G948">
            <v>87.38</v>
          </cell>
          <cell r="H948" t="str">
            <v>-</v>
          </cell>
        </row>
        <row r="949">
          <cell r="A949" t="str">
            <v>SC/0210</v>
          </cell>
          <cell r="B949" t="str">
            <v>COMPOSIÇÃO</v>
          </cell>
          <cell r="C949">
            <v>83693</v>
          </cell>
          <cell r="D949" t="str">
            <v>Caiação com fixador de cal. Ref SICRO CÓD  4915723, DB 01-2021</v>
          </cell>
          <cell r="E949"/>
          <cell r="F949" t="str">
            <v>M2</v>
          </cell>
          <cell r="G949">
            <v>3.3</v>
          </cell>
          <cell r="H949" t="str">
            <v>-</v>
          </cell>
        </row>
        <row r="950">
          <cell r="A950">
            <v>102218</v>
          </cell>
          <cell r="B950" t="str">
            <v>SINAPI</v>
          </cell>
          <cell r="C950">
            <v>84659</v>
          </cell>
          <cell r="D950" t="str">
            <v>Pintura esmalte fosco em madeira, duas demãos</v>
          </cell>
          <cell r="E950"/>
          <cell r="F950" t="str">
            <v>M2</v>
          </cell>
          <cell r="G950">
            <v>14.14</v>
          </cell>
          <cell r="H950" t="str">
            <v>-</v>
          </cell>
        </row>
        <row r="951">
          <cell r="A951">
            <v>100749</v>
          </cell>
          <cell r="B951" t="str">
            <v>SINAPI</v>
          </cell>
          <cell r="C951"/>
          <cell r="D951" t="str">
            <v>Pintura com tinta alquídica de acabamento (esmalte sintético fosco) pulverizada sobre superfícies metálicas (exceto perfil) executado em obra (por demão). AF_01/2020</v>
          </cell>
          <cell r="E951"/>
          <cell r="F951" t="str">
            <v>M2</v>
          </cell>
          <cell r="G951">
            <v>21.27</v>
          </cell>
          <cell r="H951" t="str">
            <v>-</v>
          </cell>
        </row>
        <row r="952">
          <cell r="A952">
            <v>100750</v>
          </cell>
          <cell r="B952" t="str">
            <v>SINAPI</v>
          </cell>
          <cell r="C952"/>
          <cell r="D952" t="str">
            <v>Pintura com tinta alquídica de acabamento (esmalte sintético fosco) aplicada a rolo ou pincel sobre superfícies metálicas (exceto perfil) executado em obra (por demão). AF_01/2020</v>
          </cell>
          <cell r="E952"/>
          <cell r="F952" t="str">
            <v>M2</v>
          </cell>
          <cell r="G952">
            <v>21.45</v>
          </cell>
          <cell r="H952" t="str">
            <v>-</v>
          </cell>
        </row>
        <row r="953">
          <cell r="A953">
            <v>88489</v>
          </cell>
          <cell r="B953" t="str">
            <v>SINAPI</v>
          </cell>
          <cell r="C953"/>
          <cell r="D953" t="str">
            <v>APLICAÇÃO MANUAL DE PINTURA COM TINTA LÁTEX ACRÍLICA EM PAREDES, DUAS DEMÃOS. AF_06/2014</v>
          </cell>
          <cell r="E953"/>
          <cell r="F953" t="str">
            <v>M2</v>
          </cell>
          <cell r="G953">
            <v>11.84</v>
          </cell>
          <cell r="H953" t="str">
            <v>-</v>
          </cell>
        </row>
        <row r="954">
          <cell r="A954">
            <v>101190</v>
          </cell>
          <cell r="B954" t="str">
            <v>SINAPI</v>
          </cell>
          <cell r="C954"/>
          <cell r="D954" t="str">
            <v>Cerca com mourões de concreto, reto, h=3,00 m, espaçamento de 2,50 m, cravados 0,5 m, com 4 fios de arame de aço ovalado 15x17 - fornecimento e instalação. AF_05/2020</v>
          </cell>
          <cell r="E954"/>
          <cell r="F954" t="str">
            <v>M</v>
          </cell>
          <cell r="G954">
            <v>59.98</v>
          </cell>
          <cell r="H954" t="str">
            <v>-</v>
          </cell>
        </row>
        <row r="955">
          <cell r="A955">
            <v>101193</v>
          </cell>
          <cell r="B955" t="str">
            <v>SINAPI</v>
          </cell>
          <cell r="C955"/>
          <cell r="D955" t="str">
            <v>Cerca com mourões de concreto, reto, h=2,30 m, espaçamento de 2,50 m, cravados 0,5 m, com 4 fios de arame de aço ovalado 15x17 - fornecimento e instalação. AF_05/2020</v>
          </cell>
          <cell r="E955"/>
          <cell r="F955" t="str">
            <v>M</v>
          </cell>
          <cell r="G955">
            <v>54.73</v>
          </cell>
          <cell r="H955" t="str">
            <v>-</v>
          </cell>
        </row>
        <row r="956">
          <cell r="A956">
            <v>101199</v>
          </cell>
          <cell r="B956" t="str">
            <v>SINAPI</v>
          </cell>
          <cell r="C956"/>
          <cell r="D956" t="str">
            <v>Cerca com mourões de concreto, seção "t" ponta inclinada, 10x10cm, espaçamento de 2,5m, cravados 0,5m, com 11 fios de arame misto - fornecimento e instalação. AF_05/2020</v>
          </cell>
          <cell r="E956"/>
          <cell r="F956" t="str">
            <v>M</v>
          </cell>
          <cell r="G956">
            <v>82.77</v>
          </cell>
          <cell r="H956" t="str">
            <v>-</v>
          </cell>
        </row>
        <row r="957">
          <cell r="A957">
            <v>102362</v>
          </cell>
          <cell r="B957" t="str">
            <v>SINAPI</v>
          </cell>
          <cell r="C957"/>
          <cell r="D957" t="str">
            <v>Alambrado para quadra poliesportiva, estruturado por tubos de aco galvanizado, (montantes com diametro 2", travessas e escoras com diâmetro 1 ¼), com tela de arame galvanizado, fio 14 bwg e malha quadrada 5x5cm (exceto mureta). AF_03/2021</v>
          </cell>
          <cell r="E957"/>
          <cell r="F957" t="str">
            <v>M2</v>
          </cell>
          <cell r="G957">
            <v>165.96</v>
          </cell>
          <cell r="H957" t="str">
            <v>-</v>
          </cell>
        </row>
        <row r="958">
          <cell r="A958">
            <v>102364</v>
          </cell>
          <cell r="B958" t="str">
            <v>SINAPI</v>
          </cell>
          <cell r="C958"/>
          <cell r="D958" t="str">
            <v>Alambrado para quadra poliesportiva, estruturado por tubos de aco galvanizado, (montantes com diametro 2", travessas e escoras com diâmetro 1 ¼), com tela de arame galvanizado, fio 10 bwg e malha quadrada 5x5cm (exceto mureta). af_03/2021</v>
          </cell>
          <cell r="E958"/>
          <cell r="F958" t="str">
            <v>M2</v>
          </cell>
          <cell r="G958">
            <v>202.84</v>
          </cell>
          <cell r="H958" t="str">
            <v>-</v>
          </cell>
        </row>
        <row r="959">
          <cell r="A959" t="str">
            <v>SC/0110</v>
          </cell>
          <cell r="B959" t="str">
            <v>COMPOSIÇÃO</v>
          </cell>
          <cell r="C959" t="str">
            <v>74142/3
SC/0120</v>
          </cell>
          <cell r="D959" t="str">
            <v>Cerca com mourões de madeira roliça Ø 11cm, espaçamento de 2,00m, altura livre de 1,50m, cravado 0,50m, com 5 fios de arame liso ovalado 15x17, conforme projeto</v>
          </cell>
          <cell r="E959"/>
          <cell r="F959" t="str">
            <v>M</v>
          </cell>
          <cell r="G959">
            <v>35.409999999999997</v>
          </cell>
          <cell r="H959" t="str">
            <v>-</v>
          </cell>
        </row>
        <row r="960">
          <cell r="A960" t="str">
            <v>SC/0115</v>
          </cell>
          <cell r="B960" t="str">
            <v>COMPOSIÇÃO</v>
          </cell>
          <cell r="C960" t="str">
            <v>SC/0110</v>
          </cell>
          <cell r="D960" t="str">
            <v>Alambrado com tela de aço galvanizado, fio 14, malha 1½" , três fios de arame liso, poste curvo de concreto com altura livre de 1,80m, mureta de alvenaria com altura de 30cm, conforme projeto</v>
          </cell>
          <cell r="E960"/>
          <cell r="F960" t="str">
            <v>M</v>
          </cell>
          <cell r="G960">
            <v>207.59</v>
          </cell>
          <cell r="H960" t="str">
            <v>-</v>
          </cell>
        </row>
        <row r="961">
          <cell r="A961" t="str">
            <v>SC/0120</v>
          </cell>
          <cell r="B961" t="str">
            <v>COMPOSIÇÃO</v>
          </cell>
          <cell r="C961" t="str">
            <v>SC/0125</v>
          </cell>
          <cell r="D961" t="str">
            <v>Portão para veículos em tela arame galvanizado n.12 malha 2" e moldura em tubos de aco com duas folhas de abrir, incluso ferragens (REF. SINAPI COD. 74238/2 - Descontinuado)</v>
          </cell>
          <cell r="E961"/>
          <cell r="F961" t="str">
            <v>M2</v>
          </cell>
          <cell r="G961">
            <v>1026.57</v>
          </cell>
          <cell r="H961" t="str">
            <v>-</v>
          </cell>
        </row>
        <row r="962">
          <cell r="A962" t="str">
            <v>SC/0125</v>
          </cell>
          <cell r="B962" t="str">
            <v>COMPOSIÇÃO</v>
          </cell>
          <cell r="C962" t="str">
            <v>SC/0130</v>
          </cell>
          <cell r="D962" t="str">
            <v>Orla de madeira de 2,5 x 5 cm, para grama, fornecimento e aplicação em áreas inclinadas</v>
          </cell>
          <cell r="E962"/>
          <cell r="F962" t="str">
            <v>M</v>
          </cell>
          <cell r="G962">
            <v>10.73</v>
          </cell>
          <cell r="H962" t="str">
            <v>-</v>
          </cell>
        </row>
        <row r="963">
          <cell r="A963" t="str">
            <v>SC/0200</v>
          </cell>
          <cell r="B963" t="str">
            <v>COMPOSIÇÃO</v>
          </cell>
          <cell r="C963" t="str">
            <v>SC/0130</v>
          </cell>
          <cell r="D963" t="str">
            <v>Meio fio de concreto - MFC 03 - areia e brita comerciais - fôrma de madeira.Ref SICRO CÓD  2003373, DB 07-2020</v>
          </cell>
          <cell r="E963"/>
          <cell r="F963" t="str">
            <v>M</v>
          </cell>
          <cell r="G963">
            <v>39.43</v>
          </cell>
          <cell r="H963" t="str">
            <v>-</v>
          </cell>
        </row>
        <row r="964">
          <cell r="A964" t="str">
            <v>SC/0205</v>
          </cell>
          <cell r="B964" t="str">
            <v>COMPOSIÇÃO</v>
          </cell>
          <cell r="C964" t="str">
            <v>SC/0205</v>
          </cell>
          <cell r="D964" t="str">
            <v>Enchimento de junta de concreto com argamassa asfáltica de densidade 1.700 kg/m³ - espessura de 1 cm.Ref SICRO CÓD  2003842, DB 07-2020</v>
          </cell>
          <cell r="E964"/>
          <cell r="F964" t="str">
            <v>KG</v>
          </cell>
          <cell r="G964">
            <v>87.73</v>
          </cell>
          <cell r="H964" t="str">
            <v>-</v>
          </cell>
        </row>
        <row r="965">
          <cell r="A965" t="str">
            <v>SC/0210</v>
          </cell>
          <cell r="B965" t="str">
            <v>COMPOSIÇÃO</v>
          </cell>
          <cell r="C965" t="str">
            <v>SC/0210</v>
          </cell>
          <cell r="D965" t="str">
            <v>Caiação com fixador de cal. Ref SICRO CÓD  4915723, DB 01-2021</v>
          </cell>
          <cell r="E965"/>
          <cell r="F965" t="str">
            <v>M2</v>
          </cell>
          <cell r="G965">
            <v>3.3</v>
          </cell>
          <cell r="H965" t="str">
            <v>-</v>
          </cell>
        </row>
        <row r="966">
          <cell r="A966" t="str">
            <v>SC/0220</v>
          </cell>
          <cell r="B966" t="str">
            <v>COMPOSIÇÃO</v>
          </cell>
          <cell r="C966" t="str">
            <v>SC/0220</v>
          </cell>
          <cell r="D966" t="str">
            <v>Balizador de concreto - areia e brita comerciais - fornecimento e implantação. Ref SICRO CÓD  5213368, DB 01-2021</v>
          </cell>
          <cell r="E966"/>
          <cell r="F966" t="str">
            <v>UN</v>
          </cell>
          <cell r="G966">
            <v>25.83</v>
          </cell>
          <cell r="H966" t="str">
            <v>-</v>
          </cell>
        </row>
        <row r="967">
          <cell r="A967" t="str">
            <v>SC/0230</v>
          </cell>
          <cell r="B967" t="str">
            <v>COMPOSIÇÃO</v>
          </cell>
          <cell r="C967" t="str">
            <v>SC/0230</v>
          </cell>
          <cell r="D967" t="str">
            <v>Fabricação de balizador de concreto - seção circular de 10 cm - areia e brita comerciais. Ref SICRO CÓD  5216116, DB 01-2021</v>
          </cell>
          <cell r="E967"/>
          <cell r="F967" t="str">
            <v>UN</v>
          </cell>
          <cell r="G967">
            <v>14.41</v>
          </cell>
          <cell r="H967" t="str">
            <v>-</v>
          </cell>
        </row>
        <row r="968">
          <cell r="A968" t="str">
            <v>SC/0240</v>
          </cell>
          <cell r="B968" t="str">
            <v>COMPOSIÇÃO</v>
          </cell>
          <cell r="C968" t="str">
            <v>SC/0230</v>
          </cell>
          <cell r="D968" t="str">
            <v>Barreira simples de concreto, não armada, moldada no local (perfil New Jersey) - H = 810 + 100 mm. Ref SICRO CÓD  3713617, DB 01-2021</v>
          </cell>
          <cell r="E968"/>
          <cell r="F968" t="str">
            <v>M</v>
          </cell>
          <cell r="G968">
            <v>221.93</v>
          </cell>
          <cell r="H968" t="str">
            <v>-</v>
          </cell>
        </row>
        <row r="969">
          <cell r="A969" t="str">
            <v>SC/0250</v>
          </cell>
          <cell r="B969" t="str">
            <v>COMPOSIÇÃO</v>
          </cell>
          <cell r="C969" t="str">
            <v>SC/0230</v>
          </cell>
          <cell r="D969" t="str">
            <v>Hidrossemeadura. Ref SICRO CÓD  4413905, DB 04-2021</v>
          </cell>
          <cell r="E969"/>
          <cell r="F969" t="str">
            <v>M2</v>
          </cell>
          <cell r="G969">
            <v>6.6</v>
          </cell>
          <cell r="H969" t="str">
            <v>-</v>
          </cell>
        </row>
        <row r="970">
          <cell r="A970" t="str">
            <v>SC/0260</v>
          </cell>
          <cell r="B970" t="str">
            <v>COMPOSIÇÃO</v>
          </cell>
          <cell r="C970" t="str">
            <v>SC/0230</v>
          </cell>
          <cell r="D970" t="str">
            <v>Banco concreto armado pré moldado, acabamento com silicone, dimensões 120x50x45cm, apoiado em bloco de concreto moldado in loco à 5 cm acima do nível do piso intertravado, com pintura na parte externa em tinta acrílica para piso acabamento fosco, cor preta, dimensões 110x40x11cm</v>
          </cell>
          <cell r="E970"/>
          <cell r="F970" t="str">
            <v>UN</v>
          </cell>
          <cell r="G970">
            <v>640.59</v>
          </cell>
          <cell r="H970" t="str">
            <v>-</v>
          </cell>
        </row>
        <row r="971">
          <cell r="A971" t="str">
            <v>SC/0270</v>
          </cell>
          <cell r="B971" t="str">
            <v>COMPOSIÇÃO</v>
          </cell>
          <cell r="C971" t="str">
            <v>SC/0230</v>
          </cell>
          <cell r="D971" t="str">
            <v>Floreira concreto armado 60x60x70cm, apoiado no pavimento e paredes e fundo interno com 3 demãos de impermeabilizante base cimento polimerico inclusive dreno com brita</v>
          </cell>
          <cell r="E971"/>
          <cell r="F971" t="str">
            <v>UN</v>
          </cell>
          <cell r="G971">
            <v>712</v>
          </cell>
          <cell r="H971" t="str">
            <v>-</v>
          </cell>
        </row>
        <row r="972">
          <cell r="A972"/>
          <cell r="B972"/>
          <cell r="C972"/>
          <cell r="D972"/>
          <cell r="E972"/>
          <cell r="F972"/>
          <cell r="G972"/>
          <cell r="H972"/>
        </row>
        <row r="973">
          <cell r="A973"/>
          <cell r="B973"/>
          <cell r="C973" t="str">
            <v>12.0</v>
          </cell>
          <cell r="D973" t="str">
            <v>DRENAGEM DE LENÇOL FREÁTICO</v>
          </cell>
          <cell r="E973"/>
          <cell r="F973"/>
          <cell r="G973"/>
          <cell r="H973" t="str">
            <v/>
          </cell>
        </row>
        <row r="974">
          <cell r="A974"/>
          <cell r="B974" t="str">
            <v>REPETIDO</v>
          </cell>
          <cell r="C974">
            <v>101570</v>
          </cell>
          <cell r="D974" t="str">
            <v>Escoramento de vala, tipo pontaleteamento, com profundidade de 0,00 a 1,50 m, largura menor que 1,50 m. AF_08/2020</v>
          </cell>
          <cell r="E974"/>
          <cell r="F974" t="str">
            <v>-</v>
          </cell>
          <cell r="G974" t="str">
            <v>-</v>
          </cell>
          <cell r="H974" t="str">
            <v/>
          </cell>
        </row>
        <row r="975">
          <cell r="A975"/>
          <cell r="B975" t="str">
            <v>REPETIDO</v>
          </cell>
          <cell r="C975" t="str">
            <v>90106
14,99 m3/h</v>
          </cell>
          <cell r="D975" t="str">
            <v>Escavação mecanizada de vala com profundidade até 1,50 m (média entre montante e jusante/uma composição por trecho), com retroescavadeira (0,26 m3/88 HP), largura de 0,80 m a 1,50 m, em solo de 1a categoria, em locais com baixo nível de interferência. AF_01/2015</v>
          </cell>
          <cell r="E975"/>
          <cell r="F975" t="str">
            <v>-</v>
          </cell>
          <cell r="G975" t="str">
            <v>-</v>
          </cell>
          <cell r="H975" t="str">
            <v/>
          </cell>
        </row>
        <row r="976">
          <cell r="A976" t="str">
            <v>LF/0005</v>
          </cell>
          <cell r="B976" t="str">
            <v>COMPOSIÇÃO</v>
          </cell>
          <cell r="C976">
            <v>2.33</v>
          </cell>
          <cell r="D976" t="str">
            <v>Escavação mecânica de vala para drenagem com mimiescavadeira em material de 1a categoria (REF. SINAPI COD. 96525)</v>
          </cell>
          <cell r="E976"/>
          <cell r="F976" t="str">
            <v>M3</v>
          </cell>
          <cell r="G976">
            <v>43.53</v>
          </cell>
          <cell r="H976" t="str">
            <v>-</v>
          </cell>
        </row>
        <row r="977">
          <cell r="A977" t="str">
            <v>DR/0050</v>
          </cell>
          <cell r="B977" t="str">
            <v>COMPOSIÇÃO</v>
          </cell>
          <cell r="C977"/>
          <cell r="D977" t="str">
            <v>Esgotamento de água com bomba submersa (REF. SICRO COD. 2003864)</v>
          </cell>
          <cell r="E977"/>
          <cell r="F977" t="str">
            <v>H</v>
          </cell>
          <cell r="G977">
            <v>22.11</v>
          </cell>
          <cell r="H977" t="str">
            <v>-</v>
          </cell>
        </row>
        <row r="978">
          <cell r="A978"/>
          <cell r="B978" t="str">
            <v>REPETIDO</v>
          </cell>
          <cell r="C978">
            <v>93382</v>
          </cell>
          <cell r="D978" t="str">
            <v>Reaterro manual de valas com compactação mecanizada. AF_04/2016</v>
          </cell>
          <cell r="E978"/>
          <cell r="F978" t="str">
            <v>-</v>
          </cell>
          <cell r="G978" t="str">
            <v>-</v>
          </cell>
          <cell r="H978" t="str">
            <v/>
          </cell>
        </row>
        <row r="979">
          <cell r="A979" t="str">
            <v>LF/0006</v>
          </cell>
          <cell r="B979" t="str">
            <v>CRIAR COMPOSIÇÃO</v>
          </cell>
          <cell r="C979" t="str">
            <v>73883/1</v>
          </cell>
          <cell r="D979" t="str">
            <v>Execução de dreno francês (vertical) com areia média. Exclusive transporte da areia  e bota-fora</v>
          </cell>
          <cell r="E979"/>
          <cell r="F979" t="str">
            <v>-</v>
          </cell>
          <cell r="G979" t="str">
            <v>-</v>
          </cell>
          <cell r="H979" t="str">
            <v>-</v>
          </cell>
        </row>
        <row r="980">
          <cell r="A980" t="str">
            <v>73883/2</v>
          </cell>
          <cell r="B980" t="str">
            <v>SINAPI</v>
          </cell>
          <cell r="C980"/>
          <cell r="D980" t="str">
            <v>VERIFICAR CÓDIGOS:  102670 a 102697. Execução de dreno francês com brita num 2</v>
          </cell>
          <cell r="E980"/>
          <cell r="F980" t="e">
            <v>#N/A</v>
          </cell>
          <cell r="G980" t="e">
            <v>#N/A</v>
          </cell>
          <cell r="H980" t="str">
            <v>VER COMP</v>
          </cell>
        </row>
        <row r="981">
          <cell r="A981" t="str">
            <v>73881/1</v>
          </cell>
          <cell r="B981" t="str">
            <v>SINAPI</v>
          </cell>
          <cell r="C981"/>
          <cell r="D981" t="str">
            <v>VERIFICAR CÓDIGOS: 102712, 10713, 102715. Execução de dreno com manta geotêxtil 200 g/m2</v>
          </cell>
          <cell r="E981" t="str">
            <v>200 g/m²</v>
          </cell>
          <cell r="F981" t="e">
            <v>#N/A</v>
          </cell>
          <cell r="G981" t="e">
            <v>#N/A</v>
          </cell>
          <cell r="H981" t="str">
            <v>VER COMP</v>
          </cell>
        </row>
        <row r="982">
          <cell r="A982">
            <v>44507</v>
          </cell>
          <cell r="B982" t="str">
            <v>SINAPI</v>
          </cell>
          <cell r="C982">
            <v>25863</v>
          </cell>
          <cell r="D982" t="str">
            <v>Manta termoplastica, PEAD, geomembrana lisa, e = 1,00 mm ( NBR 15352)</v>
          </cell>
          <cell r="E982" t="str">
            <v>200 g/m²</v>
          </cell>
          <cell r="F982" t="str">
            <v xml:space="preserve">M2    </v>
          </cell>
          <cell r="G982">
            <v>28.23</v>
          </cell>
          <cell r="H982" t="str">
            <v>-</v>
          </cell>
        </row>
        <row r="983">
          <cell r="A983" t="str">
            <v>LF/0007</v>
          </cell>
          <cell r="B983" t="str">
            <v>COMPOSIÇÃO</v>
          </cell>
          <cell r="C983">
            <v>88549</v>
          </cell>
          <cell r="D983" t="str">
            <v>Brita n. 2 para dreno, lançamento manual, em local com nível baixo de interferência. Fornecimento, exclusive transporte</v>
          </cell>
          <cell r="E983"/>
          <cell r="F983" t="str">
            <v>M3</v>
          </cell>
          <cell r="G983">
            <v>179.54</v>
          </cell>
          <cell r="H983" t="str">
            <v>-</v>
          </cell>
        </row>
        <row r="984">
          <cell r="A984" t="str">
            <v>LF/0008</v>
          </cell>
          <cell r="B984" t="str">
            <v>COMPOSIÇÃO</v>
          </cell>
          <cell r="C984">
            <v>83680</v>
          </cell>
          <cell r="D984" t="str">
            <v>Barbacã em tubo de PVC diâmetro nominal de 75 mm (3"), incluindo material drenante. Exclusive transporte da pedra</v>
          </cell>
          <cell r="E984"/>
          <cell r="F984" t="str">
            <v>M</v>
          </cell>
          <cell r="G984">
            <v>27.48</v>
          </cell>
          <cell r="H984" t="str">
            <v>-</v>
          </cell>
        </row>
        <row r="985">
          <cell r="A985" t="str">
            <v>LF/0010</v>
          </cell>
          <cell r="B985" t="str">
            <v>COMPOSIÇÃO</v>
          </cell>
          <cell r="C985">
            <v>16.600000000000001</v>
          </cell>
          <cell r="D985" t="str">
            <v>Dreno sub-horizontal profundo, incluindo tubo de PVC soldável DN 50 mm, perfuração sub-horizontal, geossintético RT-14</v>
          </cell>
          <cell r="E985"/>
          <cell r="F985" t="str">
            <v>M</v>
          </cell>
          <cell r="G985">
            <v>127.47</v>
          </cell>
          <cell r="H985" t="str">
            <v>-</v>
          </cell>
        </row>
        <row r="986">
          <cell r="A986" t="str">
            <v>LF/0015</v>
          </cell>
          <cell r="B986" t="str">
            <v>COMPOSIÇÃO</v>
          </cell>
          <cell r="C986">
            <v>173</v>
          </cell>
          <cell r="D986" t="str">
            <v>Dreno longitudinal de pavimento, Tipo GH040, altura 0,40 m, com brita (20x20cm), geocomposto drenante e tubo PEAD corrugado perfurado DN 100 mm, inclusive escavação e reaterro (REF. SICRO COD. 2004509)</v>
          </cell>
          <cell r="E986"/>
          <cell r="F986" t="str">
            <v>M</v>
          </cell>
          <cell r="G986">
            <v>35.64</v>
          </cell>
          <cell r="H986" t="str">
            <v>-</v>
          </cell>
        </row>
        <row r="987">
          <cell r="A987" t="str">
            <v>LF/0020</v>
          </cell>
          <cell r="B987" t="str">
            <v>COMPOSIÇÃO</v>
          </cell>
          <cell r="C987">
            <v>132</v>
          </cell>
          <cell r="D987" t="str">
            <v>Dreno longitudinal de pavimento, Tipo GH100, altura 1,00 m, com brita (20x20cm), geocomposto drenante e tubo PEAD corrugado perfurado DN 100 mm, inclusive escavação e reaterro (REF. SICRO COD. 2004511)</v>
          </cell>
          <cell r="E987"/>
          <cell r="F987" t="str">
            <v>M</v>
          </cell>
          <cell r="G987">
            <v>62.21</v>
          </cell>
          <cell r="H987" t="str">
            <v>-</v>
          </cell>
        </row>
        <row r="988">
          <cell r="A988" t="str">
            <v>LF/0025</v>
          </cell>
          <cell r="B988" t="str">
            <v>COMPOSIÇÃO</v>
          </cell>
          <cell r="C988">
            <v>113</v>
          </cell>
          <cell r="D988" t="str">
            <v>Dreno longitudinal de pavimento, Tipo GH150, altura 1,50 m, com brita (20x20cm), geocomposto drenante e tubo PEAD corrugado perfurado DN 100 mm, inclusive escavação e reaterro (REF. SICRO COD. 2004512)</v>
          </cell>
          <cell r="E988"/>
          <cell r="F988" t="str">
            <v>M</v>
          </cell>
          <cell r="G988">
            <v>84.32</v>
          </cell>
          <cell r="H988" t="str">
            <v>-</v>
          </cell>
        </row>
        <row r="989">
          <cell r="A989" t="str">
            <v>LF/0030</v>
          </cell>
          <cell r="B989" t="str">
            <v>COMPOSIÇÃO</v>
          </cell>
          <cell r="C989">
            <v>29.98</v>
          </cell>
          <cell r="D989" t="str">
            <v>Dreno francês de lençol freático, Tipo FH100, com tubo PEAD Ø 100mm e brita (50x50cm), incluindo escavação (h=100cm), reaterro e geotextil RT-09. Exclusive transporte e bota-fora</v>
          </cell>
          <cell r="E989"/>
          <cell r="F989" t="str">
            <v>M</v>
          </cell>
          <cell r="G989">
            <v>101.61</v>
          </cell>
          <cell r="H989" t="str">
            <v>-</v>
          </cell>
        </row>
        <row r="990">
          <cell r="A990" t="str">
            <v>LF/0035</v>
          </cell>
          <cell r="B990" t="str">
            <v>COMPOSIÇÃO</v>
          </cell>
          <cell r="C990">
            <v>19.989999999999998</v>
          </cell>
          <cell r="D990" t="str">
            <v>Dreno francês de lençol freático, Tipo FH150, com tubo PEAD Ø 150mm e brita (50x100cm), incluindo escavação (h=150cm), reaterro e geotextil RT-09. Exclusive transporte e bota-fora</v>
          </cell>
          <cell r="E990"/>
          <cell r="F990" t="str">
            <v>M</v>
          </cell>
          <cell r="G990">
            <v>178.86</v>
          </cell>
          <cell r="H990" t="str">
            <v>-</v>
          </cell>
        </row>
        <row r="991">
          <cell r="A991" t="str">
            <v>LF/0040</v>
          </cell>
          <cell r="B991" t="str">
            <v>COMPOSIÇÃO</v>
          </cell>
          <cell r="C991">
            <v>83651</v>
          </cell>
          <cell r="D991" t="str">
            <v>Tubo dreno, corrugado, espiralado, flexível, perfurado, em polietileno de alta densidade (PEAD), DN 100 mm para drenagem – fornecimento e assentamento em vala</v>
          </cell>
          <cell r="E991"/>
          <cell r="F991" t="str">
            <v>M</v>
          </cell>
          <cell r="G991">
            <v>32.090000000000003</v>
          </cell>
          <cell r="H991" t="str">
            <v>-</v>
          </cell>
        </row>
        <row r="992">
          <cell r="A992" t="str">
            <v>LF/0045</v>
          </cell>
          <cell r="B992" t="str">
            <v>COMPOSIÇÃO</v>
          </cell>
          <cell r="C992" t="str">
            <v>75029/1</v>
          </cell>
          <cell r="D992" t="str">
            <v>Tubo dreno, corrugado, espiralado, flexível, perfurado, em polietileno de alta densidade (PEAD), DN 150 mm para drenagem – fornecimento e assentamento em vala</v>
          </cell>
          <cell r="E992"/>
          <cell r="F992" t="str">
            <v>M</v>
          </cell>
          <cell r="G992">
            <v>44.8</v>
          </cell>
          <cell r="H992" t="str">
            <v>-</v>
          </cell>
        </row>
        <row r="993">
          <cell r="A993">
            <v>38052</v>
          </cell>
          <cell r="B993" t="str">
            <v>COTAÇÃO - SINAPI</v>
          </cell>
          <cell r="C993">
            <v>9833</v>
          </cell>
          <cell r="D993" t="str">
            <v>Tubo dreno, corrugado, espiralado, flexivel, perfurado, em polietileno de alta densidade (PEAD), DN 100 mm, (4") para drenagem - em rolo (norma DNIT 093/2006 - E.M)</v>
          </cell>
          <cell r="E993"/>
          <cell r="F993" t="str">
            <v xml:space="preserve">M     </v>
          </cell>
          <cell r="G993">
            <v>11.93</v>
          </cell>
          <cell r="H993" t="str">
            <v>-</v>
          </cell>
        </row>
        <row r="994">
          <cell r="A994">
            <v>38053</v>
          </cell>
          <cell r="B994" t="str">
            <v>COTAÇÃO - SINAPI</v>
          </cell>
          <cell r="C994">
            <v>9834</v>
          </cell>
          <cell r="D994" t="str">
            <v>Tubo dreno, corrugado, espiralado, flexivel, perfurado, em polietileno de alta densidade (PEAD), DN *160* mm, (6") para drenagem - em barra (norma DNIT 093/2006 - E.M.)</v>
          </cell>
          <cell r="E994"/>
          <cell r="F994" t="str">
            <v xml:space="preserve">M     </v>
          </cell>
          <cell r="G994">
            <v>24.64</v>
          </cell>
          <cell r="H994" t="str">
            <v>-</v>
          </cell>
        </row>
        <row r="995">
          <cell r="A995">
            <v>89578</v>
          </cell>
          <cell r="B995" t="str">
            <v>SINAPI</v>
          </cell>
          <cell r="C995"/>
          <cell r="D995" t="str">
            <v>Tubo pvc, série R4, água pluvial, diâmetro nominal de 100 mm, fornecido e instalado em condutores verticais de águas pluviais. AF_12/2014</v>
          </cell>
          <cell r="E995"/>
          <cell r="F995" t="str">
            <v>M</v>
          </cell>
          <cell r="G995">
            <v>38.270000000000003</v>
          </cell>
          <cell r="H995" t="str">
            <v>-</v>
          </cell>
        </row>
        <row r="996">
          <cell r="A996">
            <v>89580</v>
          </cell>
          <cell r="B996" t="str">
            <v>SINAPI</v>
          </cell>
          <cell r="C996"/>
          <cell r="D996" t="str">
            <v>Tubo PVC, série R, água pluvial, diâmetro nominal de 150 mm, fornecido e instalado em condutores verticais de águas pluviais. AF_12/2014</v>
          </cell>
          <cell r="E996"/>
          <cell r="F996" t="str">
            <v>M</v>
          </cell>
          <cell r="G996">
            <v>79.59</v>
          </cell>
          <cell r="H996" t="str">
            <v>-</v>
          </cell>
        </row>
        <row r="997">
          <cell r="A997">
            <v>89571</v>
          </cell>
          <cell r="B997" t="str">
            <v>SINAPI</v>
          </cell>
          <cell r="C997"/>
          <cell r="D997" t="str">
            <v>Tê, PVC, serie R, água pluvial, diâmetro nominal de 100 x 100 mm, junta elástica, fornecido e instalado em ramal de encaminhamento. AF_12/2014</v>
          </cell>
          <cell r="E997"/>
          <cell r="F997" t="str">
            <v>UN</v>
          </cell>
          <cell r="G997">
            <v>75.69</v>
          </cell>
          <cell r="H997" t="str">
            <v>-</v>
          </cell>
        </row>
        <row r="998">
          <cell r="A998">
            <v>89704</v>
          </cell>
          <cell r="B998" t="str">
            <v>SINAPI</v>
          </cell>
          <cell r="C998"/>
          <cell r="D998" t="str">
            <v>Tê, PVC, serie R, água pluvial, diâmetro nominal de 150 x 100 mm, junta elástica, fornecido e instalado em condutores verticais de águas pluviais. AF_12/2014</v>
          </cell>
          <cell r="E998"/>
          <cell r="F998" t="str">
            <v>UN</v>
          </cell>
          <cell r="G998">
            <v>161.96</v>
          </cell>
          <cell r="H998" t="str">
            <v>-</v>
          </cell>
        </row>
        <row r="999">
          <cell r="A999"/>
          <cell r="B999"/>
          <cell r="C999"/>
          <cell r="D999"/>
          <cell r="E999"/>
          <cell r="F999"/>
          <cell r="G999"/>
          <cell r="H999"/>
        </row>
        <row r="1000">
          <cell r="A1000"/>
          <cell r="B1000"/>
          <cell r="C1000" t="str">
            <v>13.0</v>
          </cell>
          <cell r="D1000" t="str">
            <v>SINALIZAÇÃO VIÁRIA DEFINITIVA</v>
          </cell>
          <cell r="E1000"/>
          <cell r="F1000"/>
          <cell r="G1000"/>
          <cell r="H1000" t="str">
            <v/>
          </cell>
        </row>
        <row r="1001">
          <cell r="A1001" t="str">
            <v>SV/0005</v>
          </cell>
          <cell r="B1001" t="str">
            <v>COMPOSIÇÃO</v>
          </cell>
          <cell r="C1001"/>
          <cell r="D1001" t="str">
            <v>Pintura de faixas de pedestres e retenção e de zebrados - termoplástico por extrusão - espessura de 3,0 mm (REF. SICRO COD. 5213408 e 5213409)</v>
          </cell>
          <cell r="E1001"/>
          <cell r="F1001" t="str">
            <v>M2</v>
          </cell>
          <cell r="G1001">
            <v>85.45</v>
          </cell>
          <cell r="H1001" t="str">
            <v>-</v>
          </cell>
        </row>
        <row r="1002">
          <cell r="A1002" t="str">
            <v>SV/0010</v>
          </cell>
          <cell r="B1002" t="str">
            <v>COMPOSIÇÃO</v>
          </cell>
          <cell r="C1002"/>
          <cell r="D1002" t="str">
            <v>Pintura de setas e legendas - termoplástico por extrusão - espessura de 3,0 mm (REF. SICRO COD. 5213409, DB 04-21)</v>
          </cell>
          <cell r="E1002"/>
          <cell r="F1002" t="str">
            <v>M2</v>
          </cell>
          <cell r="G1002">
            <v>97.18</v>
          </cell>
          <cell r="H1002" t="str">
            <v>-</v>
          </cell>
        </row>
        <row r="1003">
          <cell r="A1003" t="str">
            <v>SV/0012</v>
          </cell>
          <cell r="B1003" t="str">
            <v>COMPOSIÇÃO</v>
          </cell>
          <cell r="C1003"/>
          <cell r="D1003" t="str">
            <v>Pintura de setas e legendas - tinta base acrílica emulsionada em água - espessura de 0,5 mm (REF. SICRO COD. 5213407, DB 04-21)</v>
          </cell>
          <cell r="E1003" t="str">
            <v>ATENÇÃO
indicado para as
cidades do interior</v>
          </cell>
          <cell r="F1003" t="str">
            <v>M2</v>
          </cell>
          <cell r="G1003">
            <v>37.229999999999997</v>
          </cell>
          <cell r="H1003" t="str">
            <v>-</v>
          </cell>
        </row>
        <row r="1004">
          <cell r="A1004" t="str">
            <v>SV/0015</v>
          </cell>
          <cell r="B1004" t="str">
            <v>COMPOSIÇÃO</v>
          </cell>
          <cell r="C1004"/>
          <cell r="D1004" t="str">
            <v>Pintura de faixa - termoplástico por aspersão Hot Spray - espessura de 1,5 mm (REF. SICRO COD. 5213408, DB 04-21)</v>
          </cell>
          <cell r="E1004"/>
          <cell r="F1004" t="str">
            <v>M2</v>
          </cell>
          <cell r="G1004">
            <v>50.27</v>
          </cell>
          <cell r="H1004" t="str">
            <v>-</v>
          </cell>
        </row>
        <row r="1005">
          <cell r="A1005" t="str">
            <v>SV/0020</v>
          </cell>
          <cell r="B1005" t="str">
            <v>COMPOSIÇÃO</v>
          </cell>
          <cell r="C1005"/>
          <cell r="D1005" t="str">
            <v>Pintura de faixa - termoplástico em alto relevo tipo II - relevo simples ranhurado - base (REF. SICRO COD. 5214004, DB 04-21)</v>
          </cell>
          <cell r="E1005"/>
          <cell r="F1005" t="str">
            <v>M2</v>
          </cell>
          <cell r="G1005">
            <v>173.56</v>
          </cell>
          <cell r="H1005" t="str">
            <v>-</v>
          </cell>
        </row>
        <row r="1006">
          <cell r="A1006" t="str">
            <v>SV/0025</v>
          </cell>
          <cell r="B1006" t="str">
            <v>COMPOSIÇÃO</v>
          </cell>
          <cell r="C1006"/>
          <cell r="D1006" t="str">
            <v>Pintura de piso para ciclofaixa - plástico a frio bicomponente à base de resinas metacrílicas - espessura de 1,5 mm - plano (REF. SICRO COD. 5214009, DB 04-21)</v>
          </cell>
          <cell r="E1006"/>
          <cell r="F1006" t="str">
            <v>M2</v>
          </cell>
          <cell r="G1006">
            <v>114.08</v>
          </cell>
          <cell r="H1006" t="str">
            <v>-</v>
          </cell>
        </row>
        <row r="1007">
          <cell r="A1007" t="str">
            <v>SV/0030</v>
          </cell>
          <cell r="B1007" t="str">
            <v>COMPOSIÇÃO</v>
          </cell>
          <cell r="C1007"/>
          <cell r="D1007" t="str">
            <v>Pintura de faixa para ciclovia - tinta base acrílica emulsionada em água - espessura de 0,3 mm (REF. SICRO COD. 5214001, DB 04-21)</v>
          </cell>
          <cell r="E1007"/>
          <cell r="F1007" t="str">
            <v>M2</v>
          </cell>
          <cell r="G1007">
            <v>14.97</v>
          </cell>
          <cell r="H1007" t="str">
            <v>-</v>
          </cell>
        </row>
        <row r="1008">
          <cell r="A1008" t="str">
            <v>SV/0035</v>
          </cell>
          <cell r="B1008" t="str">
            <v>COMPOSIÇÃO</v>
          </cell>
          <cell r="C1008"/>
          <cell r="D1008" t="str">
            <v>Pintura de piso de ciclovia - tinta base acrílica emulsionada em água - espessura de 0,3 mm (REF. SICRO COD. 5214002, DB 04-21)</v>
          </cell>
          <cell r="E1008"/>
          <cell r="F1008" t="str">
            <v>M2</v>
          </cell>
          <cell r="G1008">
            <v>32.14</v>
          </cell>
          <cell r="H1008" t="str">
            <v>-</v>
          </cell>
        </row>
        <row r="1009">
          <cell r="A1009" t="str">
            <v>SV/0037</v>
          </cell>
          <cell r="B1009" t="str">
            <v>COMPOSIÇÃO</v>
          </cell>
          <cell r="C1009"/>
          <cell r="D1009" t="str">
            <v>Pintura de faixa - tinta base acrílica emulsionada em água - espessura de 0,5 mm (REF. SICRO COD. 5213403, DB 04-21)</v>
          </cell>
          <cell r="E1009" t="str">
            <v>ATENÇÃO
indicado para as
cidades do interior</v>
          </cell>
          <cell r="F1009" t="str">
            <v>M2</v>
          </cell>
          <cell r="G1009">
            <v>20.61</v>
          </cell>
          <cell r="H1009" t="str">
            <v>-</v>
          </cell>
        </row>
        <row r="1010">
          <cell r="A1010" t="str">
            <v>SV/0040</v>
          </cell>
          <cell r="B1010" t="str">
            <v>COMPOSIÇÃO</v>
          </cell>
          <cell r="C1010"/>
          <cell r="D1010" t="str">
            <v>Laminado elastoplástico para legendas, com 1,5mm de espessura e com medidas diversas, em cores, com micro-esferas de vidro. Em projetos que utilizem entre 150 e 500m2 do material. Fornecimento e aplicação (REF. SCO/RJ COD. ST 75.15.0050)</v>
          </cell>
          <cell r="E1010"/>
          <cell r="F1010" t="str">
            <v>M2</v>
          </cell>
          <cell r="G1010">
            <v>365.97</v>
          </cell>
          <cell r="H1010" t="str">
            <v>-</v>
          </cell>
        </row>
        <row r="1011">
          <cell r="A1011" t="str">
            <v>SV/0045</v>
          </cell>
          <cell r="B1011" t="str">
            <v>COMPOSIÇÃO</v>
          </cell>
          <cell r="C1011"/>
          <cell r="D1011" t="str">
    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    </cell>
          <cell r="E1011"/>
          <cell r="F1011" t="str">
            <v>M2</v>
          </cell>
          <cell r="G1011">
            <v>28.74</v>
          </cell>
          <cell r="H1011" t="str">
            <v>-</v>
          </cell>
        </row>
        <row r="1012">
          <cell r="A1012" t="str">
            <v>SV/0050</v>
          </cell>
          <cell r="B1012" t="str">
            <v>COMPOSIÇÃO</v>
          </cell>
          <cell r="C1012"/>
          <cell r="D1012" t="str">
            <v>Retirada de pintura a base de resina acrilica (CET-RIO COD. ST 74.05.0550)</v>
          </cell>
          <cell r="E1012"/>
          <cell r="F1012" t="str">
            <v>M2</v>
          </cell>
          <cell r="G1012">
            <v>6.86</v>
          </cell>
          <cell r="H1012" t="str">
            <v>-</v>
          </cell>
        </row>
        <row r="1013">
          <cell r="A1013" t="str">
            <v>SV/0055</v>
          </cell>
          <cell r="B1013" t="str">
            <v>COMPOSIÇÃO</v>
          </cell>
          <cell r="C1013"/>
          <cell r="D1013" t="str">
            <v>Tacha refletiva em plástico injetado - monodirecional tipo I - com um pino - fornecimento e colocação, padrão DNIT, fixada com cola polister (REF. SICRO COD. 5219627, DB 04-21)</v>
          </cell>
          <cell r="E1013"/>
          <cell r="F1013" t="str">
            <v xml:space="preserve">UN </v>
          </cell>
          <cell r="G1013">
            <v>43.81</v>
          </cell>
          <cell r="H1013" t="str">
            <v>-</v>
          </cell>
        </row>
        <row r="1014">
          <cell r="A1014" t="str">
            <v>SV/0060</v>
          </cell>
          <cell r="B1014" t="str">
            <v>COMPOSIÇÃO</v>
          </cell>
          <cell r="C1014"/>
          <cell r="D1014" t="str">
            <v>Tachão refletivo monodirecional, padrão DNIT, fornecimento e fixada com cola polister (REF. SICRO COD. 5219644)</v>
          </cell>
          <cell r="E1014"/>
          <cell r="F1014" t="str">
            <v xml:space="preserve">UN </v>
          </cell>
          <cell r="G1014">
            <v>77.58</v>
          </cell>
          <cell r="H1014" t="str">
            <v>-</v>
          </cell>
        </row>
        <row r="1015">
          <cell r="A1015" t="str">
            <v>SV/0065</v>
          </cell>
          <cell r="B1015" t="str">
            <v>COMPOSIÇÃO</v>
          </cell>
          <cell r="C1015"/>
          <cell r="D1015" t="str">
            <v>Tacha refletiva bidirecional, padrão DNIT, fornecimento e fixada com cola polister (REF. SICRO COD. 5219619)</v>
          </cell>
          <cell r="E1015"/>
          <cell r="F1015" t="str">
            <v xml:space="preserve">UN </v>
          </cell>
          <cell r="G1015">
            <v>42.58</v>
          </cell>
          <cell r="H1015" t="str">
            <v>-</v>
          </cell>
        </row>
        <row r="1016">
          <cell r="A1016" t="str">
            <v>SV/0070</v>
          </cell>
          <cell r="B1016" t="str">
            <v>COMPOSIÇÃO</v>
          </cell>
          <cell r="C1016"/>
          <cell r="D1016" t="str">
            <v>Tachão refletivo bidirecional, padrão DNIT, fornecimento e fixada com cola polister (REF. SICRO COD. 5219643)</v>
          </cell>
          <cell r="E1016"/>
          <cell r="F1016" t="str">
            <v xml:space="preserve">UN </v>
          </cell>
          <cell r="G1016">
            <v>79.31</v>
          </cell>
          <cell r="H1016" t="str">
            <v>-</v>
          </cell>
        </row>
        <row r="1017">
          <cell r="A1017" t="str">
            <v>SV/0075</v>
          </cell>
          <cell r="B1017" t="str">
            <v>COMPOSIÇÃO</v>
          </cell>
          <cell r="C1017"/>
          <cell r="D1017" t="str">
    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    </cell>
          <cell r="E1017"/>
          <cell r="F1017" t="str">
            <v xml:space="preserve">UN </v>
          </cell>
          <cell r="G1017">
            <v>8190.26</v>
          </cell>
          <cell r="H1017" t="str">
            <v>-</v>
          </cell>
        </row>
        <row r="1018">
          <cell r="A1018" t="str">
            <v>SV/0080</v>
          </cell>
          <cell r="B1018" t="str">
            <v>COMPOSIÇÃO</v>
          </cell>
          <cell r="C1018"/>
          <cell r="D1018" t="str">
    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    </cell>
          <cell r="E1018"/>
          <cell r="F1018" t="str">
            <v xml:space="preserve">UN </v>
          </cell>
          <cell r="G1018">
            <v>5826.84</v>
          </cell>
          <cell r="H1018" t="str">
            <v>-</v>
          </cell>
        </row>
        <row r="1019">
          <cell r="A1019" t="str">
            <v>SV/0085</v>
          </cell>
          <cell r="B1019" t="str">
            <v>COMPOSIÇÃO</v>
          </cell>
          <cell r="C1019"/>
          <cell r="D1019" t="str">
    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    </cell>
          <cell r="E1019"/>
          <cell r="F1019" t="str">
            <v xml:space="preserve">UN </v>
          </cell>
          <cell r="G1019">
            <v>227.61</v>
          </cell>
          <cell r="H1019" t="str">
            <v>-</v>
          </cell>
        </row>
        <row r="1020">
          <cell r="A1020" t="str">
            <v>SV/0090</v>
          </cell>
          <cell r="B1020" t="str">
            <v>COMPOSIÇÃO</v>
          </cell>
          <cell r="C1020"/>
          <cell r="D1020" t="str">
            <v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v>
          </cell>
          <cell r="E1020"/>
          <cell r="F1020" t="str">
            <v xml:space="preserve">UN </v>
          </cell>
          <cell r="G1020">
            <v>433.81</v>
          </cell>
          <cell r="H1020" t="str">
            <v>-</v>
          </cell>
        </row>
        <row r="1021">
          <cell r="A1021" t="str">
            <v>SV/0091</v>
          </cell>
          <cell r="B1021" t="str">
            <v>COMPOSIÇÃO</v>
          </cell>
          <cell r="C1021"/>
          <cell r="D1021" t="str">
            <v>Coluna simples de 50,8 mm (2") de diâmetro, espessura da parede 3,00mm, altura total de 3500mm, em aço galvanizado por imersão à quente para suporte de placa de sinalização e fixado em base de concreto estrutural  - fornecimento e implantação. Inclusive serviço de implantação da placa de sinalização e elementos de fixação, exclusive fornecimento da placa. Ref SICRO 5213863 e 5213464</v>
          </cell>
          <cell r="E1021"/>
          <cell r="F1021" t="str">
            <v xml:space="preserve">UN </v>
          </cell>
          <cell r="G1021">
            <v>401.15</v>
          </cell>
          <cell r="H1021" t="str">
            <v>-</v>
          </cell>
        </row>
        <row r="1022">
          <cell r="A1022" t="str">
            <v>SV/0095</v>
          </cell>
          <cell r="B1022" t="str">
            <v>COMPOSIÇÃO</v>
          </cell>
          <cell r="C1022"/>
          <cell r="D1022" t="str">
            <v>Implantação de placa de sinalização em poste de energia elétrica, incluindo elementos de fixação</v>
          </cell>
          <cell r="E1022"/>
          <cell r="F1022" t="str">
            <v xml:space="preserve">UN </v>
          </cell>
          <cell r="G1022">
            <v>78.78</v>
          </cell>
          <cell r="H1022" t="str">
            <v>-</v>
          </cell>
        </row>
        <row r="1023">
          <cell r="A1023" t="str">
            <v>SV/0100</v>
          </cell>
          <cell r="B1023" t="str">
            <v>COMPOSIÇÃO</v>
          </cell>
          <cell r="C1023"/>
          <cell r="D1023" t="str">
            <v>Implantação de placa de sinalização em braço projetado, incluindo elementos de fixação</v>
          </cell>
          <cell r="E1023"/>
          <cell r="F1023" t="str">
            <v xml:space="preserve">UN </v>
          </cell>
          <cell r="G1023">
            <v>645.33000000000004</v>
          </cell>
          <cell r="H1023" t="str">
            <v>-</v>
          </cell>
        </row>
        <row r="1024">
          <cell r="A1024" t="str">
            <v>SV/0105</v>
          </cell>
          <cell r="B1024" t="str">
            <v>COMPOSIÇÃO</v>
          </cell>
          <cell r="C1024"/>
          <cell r="D1024" t="str">
            <v>Placa de sinalização de alumínio, espessura 1,5 mm, com fundo, símbolos e tarjas em película refletiva com esferas inclusas tipo I-A da NBR 14644 (GT/GT), inclusive elementos de fixação, conforme especificação AGETRAN/PMCG - Incluso fornecimento</v>
          </cell>
          <cell r="E1024"/>
          <cell r="F1024" t="str">
            <v>M2</v>
          </cell>
          <cell r="G1024">
            <v>758.2</v>
          </cell>
          <cell r="H1024" t="str">
            <v>-</v>
          </cell>
        </row>
        <row r="1025">
          <cell r="A1025" t="str">
            <v>SV/0106</v>
          </cell>
          <cell r="B1025" t="str">
            <v>COMPOSIÇÃO</v>
          </cell>
          <cell r="C1025"/>
          <cell r="D1025" t="str">
            <v>Placa de sinalização de alumínio, espessura 2mm, com fundo, símbolos e tarjas em película refletiva com esferas inclusas tipo I-A da NBR 14644 (GT/GT), inclusive elementos de fixação, conforme especificação AGETRAN/PMCG - fornecimento</v>
          </cell>
          <cell r="E1025"/>
          <cell r="F1025" t="str">
            <v>M2</v>
          </cell>
          <cell r="G1025">
            <v>720</v>
          </cell>
          <cell r="H1025" t="str">
            <v>-</v>
          </cell>
        </row>
        <row r="1026">
          <cell r="A1026" t="str">
            <v>SV/0110</v>
          </cell>
          <cell r="B1026" t="str">
            <v>COMPOSIÇÃO</v>
          </cell>
          <cell r="C1026"/>
          <cell r="D1026" t="str">
    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    </cell>
          <cell r="E1026"/>
          <cell r="F1026" t="str">
            <v>M2</v>
          </cell>
          <cell r="G1026">
            <v>1062.8</v>
          </cell>
          <cell r="H1026" t="str">
            <v>-</v>
          </cell>
        </row>
        <row r="1027">
          <cell r="A1027">
            <v>13521</v>
          </cell>
          <cell r="B1027" t="str">
            <v>COTAÇÃO - SINAPI</v>
          </cell>
          <cell r="C1027"/>
          <cell r="D1027" t="str">
            <v>Placa de aço esmaltada para identificação de rua, dimensões *45x20* cm</v>
          </cell>
          <cell r="E1027"/>
          <cell r="F1027" t="str">
            <v xml:space="preserve">UN    </v>
          </cell>
          <cell r="G1027">
            <v>82.5</v>
          </cell>
          <cell r="H1027" t="str">
            <v>-</v>
          </cell>
        </row>
        <row r="1028">
          <cell r="A1028" t="str">
            <v>SV/0115</v>
          </cell>
          <cell r="B1028" t="str">
            <v>COMPOSIÇÃO</v>
          </cell>
          <cell r="C1028"/>
          <cell r="D1028" t="str">
            <v>Fornecimento e implantação de linha de duto espiral flexível em polietileno de alta densidade, tipo Kanalex ou similar, diâmetro de 75mm (3"), lançado diretamente ao solo com arame-guia galvanizado revestido em PVC&gt; Inclusive emendas e tamponamento, recorte do pavimento, escavação, reaterro, envelopamento de duto com concreto (30x30cm), base de brita graduada, remoção e bota-fora de entulhos</v>
          </cell>
          <cell r="E1028"/>
          <cell r="F1028" t="str">
            <v>M</v>
          </cell>
          <cell r="G1028">
            <v>134.21</v>
          </cell>
          <cell r="H1028" t="str">
            <v>-</v>
          </cell>
        </row>
        <row r="1029">
          <cell r="A1029" t="str">
            <v>SV/0120</v>
          </cell>
          <cell r="B1029" t="str">
            <v>COMPOSIÇÃO</v>
          </cell>
          <cell r="C1029"/>
          <cell r="D1029" t="str">
            <v>Caixa enterrada elétrica retangular, em alvenaria com tijolos cerâmicos maciços, 1/2 vez, fundo com brita, dimensões internas: 0,40x0,40x0,40 m; Tampão fofo simples com base, classe A15 carga máxima 1,5 t, 400 x 400 mm (REF. SINAPI COD. 97887)</v>
          </cell>
          <cell r="E1029"/>
          <cell r="F1029" t="str">
            <v xml:space="preserve">UN </v>
          </cell>
          <cell r="G1029">
            <v>435.37</v>
          </cell>
          <cell r="H1029" t="str">
            <v>-</v>
          </cell>
        </row>
        <row r="1030">
          <cell r="A1030">
            <v>99837</v>
          </cell>
          <cell r="B1030" t="str">
            <v>SINAPI</v>
          </cell>
          <cell r="C1030"/>
          <cell r="D1030" t="str">
            <v>Guarda-corpo de aço galvanizado de 1,10m, montantes tubulares de 1.1/4" espaçados de 1,20m, travessa superior de 1.1/2", gradil formado por tubos horizontais de 1" e verticais de 3/4", fixado com chumbador mecânico. AF_04/2019_P</v>
          </cell>
          <cell r="E1030"/>
          <cell r="F1030" t="str">
            <v>M</v>
          </cell>
          <cell r="G1030">
            <v>580.9</v>
          </cell>
          <cell r="H1030" t="str">
            <v>-</v>
          </cell>
        </row>
        <row r="1031">
          <cell r="A1031">
            <v>99855</v>
          </cell>
          <cell r="B1031" t="str">
            <v>SINAPI</v>
          </cell>
          <cell r="C1031"/>
          <cell r="D1031" t="str">
            <v>Corrimão simples, diâmetro externo = 1 1/2", em aço galvanizado. AF_04/2019_p</v>
          </cell>
          <cell r="E1031"/>
          <cell r="F1031" t="str">
            <v>M</v>
          </cell>
          <cell r="G1031">
            <v>103.39</v>
          </cell>
          <cell r="H1031" t="str">
            <v>-</v>
          </cell>
        </row>
        <row r="1032">
          <cell r="A1032" t="str">
            <v>SV/0125</v>
          </cell>
          <cell r="B1032" t="str">
            <v>COMPOSIÇÃO</v>
          </cell>
          <cell r="C1032"/>
          <cell r="D1032" t="str">
            <v>Retirada de tachão em resina para sinalização horizontal, inclusive bota fora. Ref SICRO CÓD  5219623, DB 01-2021</v>
          </cell>
          <cell r="E1032"/>
          <cell r="F1032" t="str">
            <v>UN</v>
          </cell>
          <cell r="G1032">
            <v>8.61</v>
          </cell>
          <cell r="H1032" t="str">
            <v>-</v>
          </cell>
        </row>
        <row r="1033">
          <cell r="A1033" t="str">
            <v>SV/0130</v>
          </cell>
          <cell r="B1033" t="str">
            <v>COMPOSIÇÃO</v>
          </cell>
          <cell r="C1033"/>
          <cell r="D1033" t="str">
            <v>Instalação e fornecimento de delineador refletivo para defensa metálica. Ref SICRO CÓD  5219623, DB 01-2021</v>
          </cell>
          <cell r="E1033"/>
          <cell r="F1033" t="str">
            <v>UN</v>
          </cell>
          <cell r="G1033">
            <v>8.61</v>
          </cell>
          <cell r="H1033" t="str">
            <v>-</v>
          </cell>
        </row>
        <row r="1034">
          <cell r="A1034" t="str">
            <v>SV/0140</v>
          </cell>
          <cell r="B1034" t="str">
            <v>COMPOSIÇÃO</v>
          </cell>
          <cell r="C1034"/>
          <cell r="D1034" t="str">
            <v>Remoção de defensa metálica. Ref SICRO CÓD  3713705, DB 01-2021</v>
          </cell>
          <cell r="E1034"/>
          <cell r="F1034" t="str">
            <v>M</v>
          </cell>
          <cell r="G1034">
            <v>22.33</v>
          </cell>
          <cell r="H1034" t="str">
            <v>-</v>
          </cell>
        </row>
        <row r="1035">
          <cell r="A1035" t="str">
            <v>SV/0150</v>
          </cell>
          <cell r="B1035" t="str">
            <v>COMPOSIÇÃO</v>
          </cell>
          <cell r="C1035"/>
          <cell r="D1035" t="str">
            <v>Guarda-corpo de aço galvanizado de 1,10m, duplo corrimão, montantes tubulares de 1.1/4" espaçados 1,20m, travessa superior de 1.1/2", fixado com chumbador mecânico. Ref SINAPI CÓD  01.ESQV.GCFE.011/01, DB 04-2021</v>
          </cell>
          <cell r="E1035"/>
          <cell r="F1035" t="str">
            <v>M</v>
          </cell>
          <cell r="G1035">
            <v>333.47</v>
          </cell>
          <cell r="H1035" t="str">
            <v>-</v>
          </cell>
        </row>
        <row r="1036">
          <cell r="A1036" t="str">
            <v>SV/0160</v>
          </cell>
          <cell r="B1036" t="str">
            <v>COMPOSIÇÃO</v>
          </cell>
          <cell r="C1036"/>
          <cell r="D1036" t="str">
            <v>Pórtico metálico com vão de 15,9 m, vento de 40 m/s, área de exposição de até 23,85 m², tensão admissível solo &gt; 200 kN/m²- fornecimento e implantação - areia e brita comerciais. Ref SICRO CÓD  5213718, DB 04-2021</v>
          </cell>
          <cell r="E1036"/>
          <cell r="F1036" t="str">
            <v>UN</v>
          </cell>
          <cell r="G1036">
            <v>125508.8</v>
          </cell>
          <cell r="H1036" t="str">
            <v>-</v>
          </cell>
        </row>
        <row r="1037">
          <cell r="A1037" t="str">
            <v>SV/0170</v>
          </cell>
          <cell r="B1037" t="str">
            <v>COMPOSIÇÃO</v>
          </cell>
          <cell r="C1037"/>
          <cell r="D1037" t="str">
            <v>Remoção de placa de sinalização. Ref SICRO CÓD  5213364, DB 01-2021</v>
          </cell>
          <cell r="E1037"/>
          <cell r="F1037" t="str">
            <v>M2</v>
          </cell>
          <cell r="G1037">
            <v>25.79</v>
          </cell>
          <cell r="H1037" t="str">
            <v>-</v>
          </cell>
        </row>
        <row r="1038">
          <cell r="A1038" t="str">
            <v>SV/0180</v>
          </cell>
          <cell r="B1038" t="str">
            <v>COMPOSIÇÃO</v>
          </cell>
          <cell r="C1038"/>
          <cell r="D1038" t="str">
            <v>Guarda-corpo com altura 1,15m, pilares espaçados a cada 2m, com tubos de aço galvanizado na horizontal, fixados em peças metalicas de aço pintado a esmalte e parafusados.</v>
          </cell>
          <cell r="E1038"/>
          <cell r="F1038" t="str">
            <v>M</v>
          </cell>
          <cell r="G1038">
            <v>399.09</v>
          </cell>
          <cell r="H1038" t="str">
            <v>-</v>
          </cell>
        </row>
        <row r="1039">
          <cell r="A1039"/>
          <cell r="B1039"/>
          <cell r="C1039"/>
          <cell r="D1039"/>
          <cell r="E1039"/>
          <cell r="F1039"/>
          <cell r="G1039"/>
          <cell r="H1039"/>
        </row>
        <row r="1040">
          <cell r="A1040"/>
          <cell r="B1040"/>
          <cell r="C1040" t="str">
            <v>14.0</v>
          </cell>
          <cell r="D1040" t="str">
            <v>ADMINISTRAÇÃO LOCAL</v>
          </cell>
          <cell r="E1040"/>
          <cell r="F1040"/>
          <cell r="G1040"/>
          <cell r="H1040" t="str">
            <v/>
          </cell>
        </row>
        <row r="1041">
          <cell r="A1041">
            <v>90766</v>
          </cell>
          <cell r="B1041" t="str">
            <v>SINAPI</v>
          </cell>
          <cell r="C1041"/>
          <cell r="D1041" t="str">
            <v>Almoxarife com encargos complementares (horista)</v>
          </cell>
          <cell r="E1041"/>
          <cell r="F1041" t="str">
            <v>H</v>
          </cell>
          <cell r="G1041">
            <v>20.309999999999999</v>
          </cell>
          <cell r="H1041" t="str">
            <v>-</v>
          </cell>
        </row>
        <row r="1042">
          <cell r="A1042">
            <v>93563</v>
          </cell>
          <cell r="B1042" t="str">
            <v>SINAPI</v>
          </cell>
          <cell r="C1042"/>
          <cell r="D1042" t="str">
            <v>Almoxarife com encargos complementares (mensalista)</v>
          </cell>
          <cell r="E1042"/>
          <cell r="F1042" t="str">
            <v>MES</v>
          </cell>
          <cell r="G1042">
            <v>3576.25</v>
          </cell>
          <cell r="H1042" t="str">
            <v>-</v>
          </cell>
        </row>
        <row r="1043">
          <cell r="A1043">
            <v>90767</v>
          </cell>
          <cell r="B1043" t="str">
            <v>SINAPI</v>
          </cell>
          <cell r="C1043"/>
          <cell r="D1043" t="str">
            <v>Apontador ou apropriador com encargos complementares (horista)</v>
          </cell>
          <cell r="E1043"/>
          <cell r="F1043" t="str">
            <v>H</v>
          </cell>
          <cell r="G1043">
            <v>19.91</v>
          </cell>
          <cell r="H1043" t="str">
            <v>-</v>
          </cell>
        </row>
        <row r="1044">
          <cell r="A1044">
            <v>93564</v>
          </cell>
          <cell r="B1044" t="str">
            <v>SINAPI</v>
          </cell>
          <cell r="C1044"/>
          <cell r="D1044" t="str">
            <v>Apontador ou apropriador com encargos complementares (mensalista)</v>
          </cell>
          <cell r="E1044"/>
          <cell r="F1044" t="str">
            <v>MES</v>
          </cell>
          <cell r="G1044">
            <v>3495.31</v>
          </cell>
          <cell r="H1044" t="str">
            <v>-</v>
          </cell>
        </row>
        <row r="1045">
          <cell r="A1045">
            <v>93566</v>
          </cell>
          <cell r="B1045" t="str">
            <v>SINAPI</v>
          </cell>
          <cell r="C1045"/>
          <cell r="D1045" t="str">
            <v>Auxiliar de escritorio com encargos complementares</v>
          </cell>
          <cell r="E1045"/>
          <cell r="F1045" t="str">
            <v>MES</v>
          </cell>
          <cell r="G1045">
            <v>3109.06</v>
          </cell>
          <cell r="H1045" t="str">
            <v>-</v>
          </cell>
        </row>
        <row r="1046">
          <cell r="A1046">
            <v>93562</v>
          </cell>
          <cell r="B1046" t="str">
            <v>SINAPI</v>
          </cell>
          <cell r="C1046"/>
          <cell r="D1046" t="str">
            <v>Auxiliar de desenhista com encargos complementares</v>
          </cell>
          <cell r="E1046"/>
          <cell r="F1046" t="str">
            <v>MES</v>
          </cell>
          <cell r="G1046">
            <v>2923.41</v>
          </cell>
          <cell r="H1046" t="str">
            <v>-</v>
          </cell>
        </row>
        <row r="1047">
          <cell r="A1047">
            <v>101385</v>
          </cell>
          <cell r="B1047" t="str">
            <v>SINAPI</v>
          </cell>
          <cell r="C1047"/>
          <cell r="D1047" t="str">
            <v>Auxiliar de laboratorista de solos e de concreto com encargos complementares (mensalista)</v>
          </cell>
          <cell r="E1047"/>
          <cell r="F1047" t="str">
            <v>MES</v>
          </cell>
          <cell r="G1047">
            <v>4385.53</v>
          </cell>
          <cell r="H1047" t="str">
            <v>-</v>
          </cell>
        </row>
        <row r="1048">
          <cell r="A1048">
            <v>88249</v>
          </cell>
          <cell r="B1048" t="str">
            <v>SINAPI</v>
          </cell>
          <cell r="C1048"/>
          <cell r="D1048" t="str">
            <v>Auxiliar de laboratório com encargos complementares (horista)</v>
          </cell>
          <cell r="E1048"/>
          <cell r="F1048" t="str">
            <v>H</v>
          </cell>
          <cell r="G1048">
            <v>24.96</v>
          </cell>
          <cell r="H1048" t="str">
            <v>-</v>
          </cell>
        </row>
        <row r="1049">
          <cell r="A1049">
            <v>41090</v>
          </cell>
          <cell r="B1049" t="str">
            <v>SINAPI</v>
          </cell>
          <cell r="C1049"/>
          <cell r="D1049" t="str">
            <v>Auxiliar de laboratório com encargos complementares (mensalista)</v>
          </cell>
          <cell r="E1049"/>
          <cell r="F1049" t="str">
            <v xml:space="preserve">MES   </v>
          </cell>
          <cell r="G1049">
            <v>3979.65</v>
          </cell>
          <cell r="H1049" t="str">
            <v>-</v>
          </cell>
        </row>
        <row r="1050">
          <cell r="A1050">
            <v>88253</v>
          </cell>
          <cell r="B1050" t="str">
            <v>SINAPI</v>
          </cell>
          <cell r="C1050"/>
          <cell r="D1050" t="str">
            <v>Auxiliar de topografia com encargos complementares (horista)</v>
          </cell>
          <cell r="E1050"/>
          <cell r="F1050" t="str">
            <v>H</v>
          </cell>
          <cell r="G1050">
            <v>12.14</v>
          </cell>
          <cell r="H1050" t="str">
            <v>-</v>
          </cell>
        </row>
        <row r="1051">
          <cell r="A1051">
            <v>41093</v>
          </cell>
          <cell r="B1051" t="str">
            <v>SINAPI</v>
          </cell>
          <cell r="C1051"/>
          <cell r="D1051" t="str">
            <v>Auxiliar de topografia com encargos complementares (mensalista)</v>
          </cell>
          <cell r="E1051"/>
          <cell r="F1051" t="str">
            <v xml:space="preserve">MES   </v>
          </cell>
          <cell r="G1051">
            <v>1770.17</v>
          </cell>
          <cell r="H1051" t="str">
            <v>-</v>
          </cell>
        </row>
        <row r="1052">
          <cell r="A1052">
            <v>101389</v>
          </cell>
          <cell r="B1052" t="str">
            <v>SINAPI</v>
          </cell>
          <cell r="C1052"/>
          <cell r="D1052" t="str">
            <v>Auxiliar de topógrafo com encargos complementares (mensalista)</v>
          </cell>
          <cell r="E1052"/>
          <cell r="F1052" t="str">
            <v>MES</v>
          </cell>
          <cell r="G1052">
            <v>2152.13</v>
          </cell>
          <cell r="H1052" t="str">
            <v>-</v>
          </cell>
        </row>
        <row r="1053">
          <cell r="A1053">
            <v>101390</v>
          </cell>
          <cell r="B1053" t="str">
            <v>SINAPI</v>
          </cell>
          <cell r="C1053"/>
          <cell r="D1053" t="str">
            <v>Auxiliar técnico / assistente de engenharia com encargos complementares</v>
          </cell>
          <cell r="E1053"/>
          <cell r="F1053" t="str">
            <v>MES</v>
          </cell>
          <cell r="G1053">
            <v>6615.62</v>
          </cell>
          <cell r="H1053" t="str">
            <v>-</v>
          </cell>
        </row>
        <row r="1054">
          <cell r="A1054">
            <v>100317</v>
          </cell>
          <cell r="B1054" t="str">
            <v>SINAPI</v>
          </cell>
          <cell r="C1054"/>
          <cell r="D1054" t="str">
            <v>Coordenador / gerente de obra com encargos complementares</v>
          </cell>
          <cell r="E1054"/>
          <cell r="F1054" t="str">
            <v>MES</v>
          </cell>
          <cell r="G1054">
            <v>28645.65</v>
          </cell>
          <cell r="H1054" t="str">
            <v>-</v>
          </cell>
        </row>
        <row r="1055">
          <cell r="A1055">
            <v>93559</v>
          </cell>
          <cell r="B1055" t="str">
            <v>SINAPI</v>
          </cell>
          <cell r="C1055"/>
          <cell r="D1055" t="str">
            <v>Desenhista detalhista com encargos complementares</v>
          </cell>
          <cell r="E1055"/>
          <cell r="F1055" t="str">
            <v>MES</v>
          </cell>
          <cell r="G1055">
            <v>4115.6000000000004</v>
          </cell>
          <cell r="H1055" t="str">
            <v>-</v>
          </cell>
        </row>
        <row r="1056">
          <cell r="A1056">
            <v>90777</v>
          </cell>
          <cell r="B1056" t="str">
            <v>SINAPI</v>
          </cell>
          <cell r="C1056"/>
          <cell r="D1056" t="str">
            <v>Engenheiro civil de obra júnior com encargos complementares (horista)</v>
          </cell>
          <cell r="E1056"/>
          <cell r="F1056" t="str">
            <v>H</v>
          </cell>
          <cell r="G1056">
            <v>113.5</v>
          </cell>
          <cell r="H1056" t="str">
            <v>-</v>
          </cell>
        </row>
        <row r="1057">
          <cell r="A1057">
            <v>93565</v>
          </cell>
          <cell r="B1057" t="str">
            <v>SINAPI</v>
          </cell>
          <cell r="C1057"/>
          <cell r="D1057" t="str">
            <v>Engenheiro civil de obra júnior com encargos complementares (mensalista)</v>
          </cell>
          <cell r="E1057"/>
          <cell r="F1057" t="str">
            <v>MES</v>
          </cell>
          <cell r="G1057">
            <v>19803.86</v>
          </cell>
          <cell r="H1057" t="str">
            <v>-</v>
          </cell>
        </row>
        <row r="1058">
          <cell r="A1058">
            <v>90778</v>
          </cell>
          <cell r="B1058" t="str">
            <v>SINAPI</v>
          </cell>
          <cell r="C1058"/>
          <cell r="D1058" t="str">
            <v>Engenheiro civil de obra pleno com encargos complementares (horista)</v>
          </cell>
          <cell r="E1058"/>
          <cell r="F1058" t="str">
            <v>H</v>
          </cell>
          <cell r="G1058">
            <v>128.9</v>
          </cell>
          <cell r="H1058" t="str">
            <v>-</v>
          </cell>
        </row>
        <row r="1059">
          <cell r="A1059">
            <v>93567</v>
          </cell>
          <cell r="B1059" t="str">
            <v>SINAPI</v>
          </cell>
          <cell r="C1059"/>
          <cell r="D1059" t="str">
            <v>Engenheiro civil de obra pleno com encargos complementares (mensalista)</v>
          </cell>
          <cell r="E1059"/>
          <cell r="F1059" t="str">
            <v>MES</v>
          </cell>
          <cell r="G1059">
            <v>22490.49</v>
          </cell>
          <cell r="H1059" t="str">
            <v>-</v>
          </cell>
        </row>
        <row r="1060">
          <cell r="A1060">
            <v>90779</v>
          </cell>
          <cell r="B1060" t="str">
            <v>SINAPI</v>
          </cell>
          <cell r="C1060"/>
          <cell r="D1060" t="str">
            <v>Engenheiro civil de obra sênior com encargos complementares (horista)</v>
          </cell>
          <cell r="E1060"/>
          <cell r="F1060" t="str">
            <v>H</v>
          </cell>
          <cell r="G1060">
            <v>175.52</v>
          </cell>
          <cell r="H1060" t="str">
            <v>-</v>
          </cell>
        </row>
        <row r="1061">
          <cell r="A1061">
            <v>93568</v>
          </cell>
          <cell r="B1061" t="str">
            <v>SINAPI</v>
          </cell>
          <cell r="C1061"/>
          <cell r="D1061" t="str">
            <v>Engenheiro civil de obra sênior com encargos complementares (mensalista)</v>
          </cell>
          <cell r="E1061"/>
          <cell r="F1061" t="str">
            <v>MES</v>
          </cell>
          <cell r="G1061">
            <v>30610.17</v>
          </cell>
          <cell r="H1061" t="str">
            <v>-</v>
          </cell>
        </row>
        <row r="1062">
          <cell r="A1062">
            <v>100319</v>
          </cell>
          <cell r="B1062" t="str">
            <v>SINAPI</v>
          </cell>
          <cell r="C1062"/>
          <cell r="D1062" t="str">
            <v>Engenheiro civil júnior com encargos complementares</v>
          </cell>
          <cell r="E1062"/>
          <cell r="F1062" t="str">
            <v>MES</v>
          </cell>
          <cell r="G1062">
            <v>20037.73</v>
          </cell>
          <cell r="H1062" t="str">
            <v>-</v>
          </cell>
        </row>
        <row r="1063">
          <cell r="A1063">
            <v>101403</v>
          </cell>
          <cell r="B1063" t="str">
            <v>SINAPI</v>
          </cell>
          <cell r="C1063"/>
          <cell r="D1063" t="str">
            <v>Engenheiro civil sênior com encargos complementares</v>
          </cell>
          <cell r="E1063"/>
          <cell r="F1063" t="str">
            <v>MES</v>
          </cell>
          <cell r="G1063">
            <v>30781.06</v>
          </cell>
          <cell r="H1063" t="str">
            <v>-</v>
          </cell>
        </row>
        <row r="1064">
          <cell r="A1064">
            <v>90780</v>
          </cell>
          <cell r="B1064" t="str">
            <v>SINAPI</v>
          </cell>
          <cell r="C1064"/>
          <cell r="D1064" t="str">
            <v>Mestre de obras com encargos complementares (horista)</v>
          </cell>
          <cell r="E1064"/>
          <cell r="F1064" t="str">
            <v>H</v>
          </cell>
          <cell r="G1064">
            <v>34.200000000000003</v>
          </cell>
          <cell r="H1064" t="str">
            <v>-</v>
          </cell>
        </row>
        <row r="1065">
          <cell r="A1065">
            <v>94295</v>
          </cell>
          <cell r="B1065" t="str">
            <v>SINAPI</v>
          </cell>
          <cell r="C1065"/>
          <cell r="D1065" t="str">
            <v>Mestre de obras com encargos complementares (mensalista)</v>
          </cell>
          <cell r="E1065"/>
          <cell r="F1065" t="str">
            <v>MES</v>
          </cell>
          <cell r="G1065">
            <v>5988.56</v>
          </cell>
          <cell r="H1065" t="str">
            <v>-</v>
          </cell>
        </row>
        <row r="1066">
          <cell r="A1066">
            <v>88288</v>
          </cell>
          <cell r="B1066" t="str">
            <v>SINAPI</v>
          </cell>
          <cell r="C1066"/>
          <cell r="D1066" t="str">
            <v>Nivelador/Greidista com encargos complementares (horista)</v>
          </cell>
          <cell r="E1066"/>
          <cell r="F1066" t="str">
            <v>H</v>
          </cell>
          <cell r="G1066">
            <v>14.97</v>
          </cell>
          <cell r="H1066" t="str">
            <v>-</v>
          </cell>
        </row>
        <row r="1067">
          <cell r="A1067">
            <v>41024</v>
          </cell>
          <cell r="B1067" t="str">
            <v>SINAPI</v>
          </cell>
          <cell r="C1067"/>
          <cell r="D1067" t="str">
            <v>Nivelador/Greidista com encargos complementares (mensalista)</v>
          </cell>
          <cell r="E1067"/>
          <cell r="F1067" t="str">
            <v xml:space="preserve">MES   </v>
          </cell>
          <cell r="G1067">
            <v>4840.74</v>
          </cell>
          <cell r="H1067" t="str">
            <v>-</v>
          </cell>
        </row>
        <row r="1068">
          <cell r="A1068">
            <v>88321</v>
          </cell>
          <cell r="B1068" t="str">
            <v>SINAPI</v>
          </cell>
          <cell r="C1068"/>
          <cell r="D1068" t="str">
            <v>Técnico de laboratório com encargos complementares (horista)</v>
          </cell>
          <cell r="E1068"/>
          <cell r="F1068" t="str">
            <v>H</v>
          </cell>
          <cell r="G1068">
            <v>29.65</v>
          </cell>
          <cell r="H1068" t="str">
            <v>-</v>
          </cell>
        </row>
        <row r="1069">
          <cell r="A1069">
            <v>101456</v>
          </cell>
          <cell r="B1069" t="str">
            <v>SINAPI</v>
          </cell>
          <cell r="C1069"/>
          <cell r="D1069" t="str">
            <v>Técnico de laboratório e campo de construção com encargos complementares (mensalista)</v>
          </cell>
          <cell r="E1069"/>
          <cell r="F1069" t="str">
            <v>MES</v>
          </cell>
          <cell r="G1069">
            <v>5206.72</v>
          </cell>
          <cell r="H1069" t="str">
            <v>-</v>
          </cell>
        </row>
        <row r="1070">
          <cell r="A1070">
            <v>40943</v>
          </cell>
          <cell r="B1070" t="str">
            <v>SINAPI</v>
          </cell>
          <cell r="C1070"/>
          <cell r="D1070" t="str">
            <v>Técnico de segurança do trabalho (horista)</v>
          </cell>
          <cell r="E1070"/>
          <cell r="F1070" t="str">
            <v xml:space="preserve">H     </v>
          </cell>
          <cell r="G1070">
            <v>26.34</v>
          </cell>
          <cell r="H1070" t="str">
            <v>-</v>
          </cell>
        </row>
        <row r="1071">
          <cell r="A1071">
            <v>100321</v>
          </cell>
          <cell r="B1071" t="str">
            <v>SINAPI</v>
          </cell>
          <cell r="C1071"/>
          <cell r="D1071" t="str">
            <v>Técnico de segurança do trabalho com encargos complementares (mensalista)</v>
          </cell>
          <cell r="E1071"/>
          <cell r="F1071" t="str">
            <v>MES</v>
          </cell>
          <cell r="G1071">
            <v>5056.24</v>
          </cell>
          <cell r="H1071" t="str">
            <v>-</v>
          </cell>
        </row>
        <row r="1072">
          <cell r="A1072">
            <v>90781</v>
          </cell>
          <cell r="B1072" t="str">
            <v>SINAPI</v>
          </cell>
          <cell r="C1072"/>
          <cell r="D1072" t="str">
            <v>Topografo com encargos complementares (horista)</v>
          </cell>
          <cell r="E1072"/>
          <cell r="F1072" t="str">
            <v>H</v>
          </cell>
          <cell r="G1072">
            <v>24.64</v>
          </cell>
          <cell r="H1072" t="str">
            <v>-</v>
          </cell>
        </row>
        <row r="1073">
          <cell r="A1073">
            <v>94296</v>
          </cell>
          <cell r="B1073" t="str">
            <v>SINAPI</v>
          </cell>
          <cell r="C1073"/>
          <cell r="D1073" t="str">
            <v>Topografo com encargos complementares (mensalista)</v>
          </cell>
          <cell r="E1073"/>
          <cell r="F1073" t="str">
            <v>MES</v>
          </cell>
          <cell r="G1073">
            <v>4329.66</v>
          </cell>
          <cell r="H1073" t="str">
            <v>-</v>
          </cell>
        </row>
        <row r="1074">
          <cell r="A1074">
            <v>41096</v>
          </cell>
          <cell r="B1074" t="str">
            <v>SINAPI</v>
          </cell>
          <cell r="C1074"/>
          <cell r="D1074" t="str">
            <v>Vigia Diurno com encargos complementares (mensalista)</v>
          </cell>
          <cell r="E1074"/>
          <cell r="F1074" t="str">
            <v xml:space="preserve">MES   </v>
          </cell>
          <cell r="G1074">
            <v>2305.84</v>
          </cell>
          <cell r="H1074" t="str">
            <v>-</v>
          </cell>
        </row>
        <row r="1075">
          <cell r="A1075">
            <v>101460</v>
          </cell>
          <cell r="B1075" t="str">
            <v>SINAPI</v>
          </cell>
          <cell r="C1075"/>
          <cell r="D1075" t="str">
            <v>Vigia Diurno com encargos complementares (mensalista)</v>
          </cell>
          <cell r="E1075"/>
          <cell r="F1075" t="str">
            <v>MES</v>
          </cell>
          <cell r="G1075">
            <v>3344.48</v>
          </cell>
          <cell r="H1075" t="str">
            <v>-</v>
          </cell>
        </row>
        <row r="1076">
          <cell r="A1076">
            <v>88326</v>
          </cell>
          <cell r="B1076" t="str">
            <v>SINAPI</v>
          </cell>
          <cell r="C1076"/>
          <cell r="D1076" t="str">
            <v>Vigia Noturno com encargos complementares (horista)</v>
          </cell>
          <cell r="E1076"/>
          <cell r="F1076" t="str">
            <v>H</v>
          </cell>
          <cell r="G1076">
            <v>23.62</v>
          </cell>
          <cell r="H1076" t="str">
            <v>-</v>
          </cell>
        </row>
        <row r="1077">
          <cell r="A1077" t="str">
            <v>AD/0001</v>
          </cell>
          <cell r="B1077" t="str">
            <v>COMPOSIÇÃO</v>
          </cell>
          <cell r="C1077"/>
          <cell r="D1077" t="str">
            <v>Entrada provisória de energia elétrica aérea, trifásica 40A, em poste de madeira</v>
          </cell>
          <cell r="E1077"/>
          <cell r="F1077" t="str">
            <v>UN</v>
          </cell>
          <cell r="G1077">
            <v>2697.03</v>
          </cell>
          <cell r="H1077" t="str">
            <v>-</v>
          </cell>
        </row>
        <row r="1078">
          <cell r="A1078">
            <v>14250</v>
          </cell>
          <cell r="B1078" t="str">
            <v>SINAPI</v>
          </cell>
          <cell r="C1078"/>
          <cell r="D1078" t="str">
            <v>Tarifa de consumo de energia elétrica comercial, baixa tensão</v>
          </cell>
          <cell r="E1078" t="str">
            <v>500 kW/h/mês</v>
          </cell>
          <cell r="F1078" t="str">
            <v xml:space="preserve">KWH   </v>
          </cell>
          <cell r="G1078">
            <v>1.1200000000000001</v>
          </cell>
          <cell r="H1078" t="str">
            <v>-</v>
          </cell>
        </row>
        <row r="1079">
          <cell r="A1079">
            <v>44480</v>
          </cell>
          <cell r="B1079" t="str">
            <v>SINAPI</v>
          </cell>
          <cell r="C1079"/>
          <cell r="D1079" t="str">
            <v>Tarifa "A" entre 0,00 a 20m3/mês, fornecimento de água</v>
          </cell>
          <cell r="E1079"/>
          <cell r="F1079" t="str">
            <v xml:space="preserve">M3    </v>
          </cell>
          <cell r="G1079">
            <v>21.19</v>
          </cell>
          <cell r="H1079" t="str">
            <v>-</v>
          </cell>
        </row>
        <row r="1080">
          <cell r="A1080" t="str">
            <v>AD/0002</v>
          </cell>
          <cell r="B1080" t="str">
            <v>COMPOSIÇÃO</v>
          </cell>
          <cell r="C1080" t="str">
            <v>V0</v>
          </cell>
          <cell r="D1080" t="str">
            <v xml:space="preserve"> VEÍCULO LEVE - 53 KW (SEM MOTORISTA) (116,49h CPI + 66h CHP - 182,49h MDO)(REF. SICRO COD. E9512)</v>
          </cell>
          <cell r="E1080"/>
          <cell r="F1080" t="str">
            <v>UN.MÊS</v>
          </cell>
          <cell r="G1080">
            <v>2914.22</v>
          </cell>
          <cell r="H1080" t="str">
            <v>-</v>
          </cell>
        </row>
        <row r="1081">
          <cell r="A1081" t="str">
            <v>AD/0003</v>
          </cell>
          <cell r="B1081" t="str">
            <v>COMPOSIÇÃO</v>
          </cell>
          <cell r="C1081" t="str">
            <v>V1</v>
          </cell>
          <cell r="D1081" t="str">
            <v xml:space="preserve"> CAMINHONETE - 71 A 115 CV (SEM MOTORISTA) (116,49h CPI + 66h CHP - 182,49h MDO)(REF. SINAPI COD. 92145)</v>
          </cell>
          <cell r="E1081"/>
          <cell r="F1081" t="str">
            <v>UN.MÊS</v>
          </cell>
          <cell r="G1081">
            <v>3809.44</v>
          </cell>
          <cell r="H1081" t="str">
            <v>-</v>
          </cell>
        </row>
        <row r="1082">
          <cell r="A1082" t="str">
            <v>AD/0004</v>
          </cell>
          <cell r="B1082" t="str">
            <v>COMPOSIÇÃO</v>
          </cell>
          <cell r="C1082" t="str">
            <v>V2</v>
          </cell>
          <cell r="D1082" t="str">
            <v xml:space="preserve"> VEÍCULO LEVE - 53 KW (SEM MOTORISTA) (116,49h CPI + 66h CHP - 182,49h MDO)(REF. SICRO COD. E9512)</v>
          </cell>
          <cell r="E1082"/>
          <cell r="F1082" t="str">
            <v>UN.MÊS</v>
          </cell>
          <cell r="G1082">
            <v>9112.98</v>
          </cell>
          <cell r="H1082" t="str">
            <v>-</v>
          </cell>
        </row>
        <row r="1083">
          <cell r="A1083" t="str">
            <v>AD/0005</v>
          </cell>
          <cell r="B1083" t="str">
            <v>COMPOSIÇÃO</v>
          </cell>
          <cell r="C1083" t="str">
            <v>V3</v>
          </cell>
          <cell r="D1083" t="str">
            <v xml:space="preserve"> VAN - 120 A 140 CV (COM MOTORISTA) (116,49h CPI + 66h CHP) (REF. SICRO COD. E9125)</v>
          </cell>
          <cell r="E1083"/>
          <cell r="F1083" t="str">
            <v>UN.MÊS</v>
          </cell>
          <cell r="G1083">
            <v>9997.76</v>
          </cell>
          <cell r="H1083" t="str">
            <v>-</v>
          </cell>
        </row>
        <row r="1084">
          <cell r="A1084" t="str">
            <v>B8958</v>
          </cell>
          <cell r="B1084" t="str">
            <v>DNIT/Consultoria</v>
          </cell>
          <cell r="C1084"/>
          <cell r="D1084" t="str">
            <v xml:space="preserve">Topografia </v>
          </cell>
          <cell r="E1084"/>
          <cell r="F1084" t="str">
            <v>mês</v>
          </cell>
          <cell r="G1084">
            <v>3200.23</v>
          </cell>
          <cell r="H1084" t="str">
            <v>-</v>
          </cell>
        </row>
        <row r="1085">
          <cell r="A1085" t="str">
            <v>B8957</v>
          </cell>
          <cell r="B1085" t="str">
            <v>DNIT/Consultoria</v>
          </cell>
          <cell r="C1085"/>
          <cell r="D1085" t="str">
            <v xml:space="preserve">Laboratório de solos </v>
          </cell>
          <cell r="E1085"/>
          <cell r="F1085" t="str">
            <v>mês</v>
          </cell>
          <cell r="G1085">
            <v>4402.2299999999996</v>
          </cell>
          <cell r="H1085" t="str">
            <v>-</v>
          </cell>
        </row>
        <row r="1086">
          <cell r="A1086" t="str">
            <v>E9512</v>
          </cell>
          <cell r="B1086" t="str">
            <v>SICRO</v>
          </cell>
          <cell r="C1086"/>
          <cell r="D1086" t="str">
            <v>Veículo leve - 53 kW (CHI)</v>
          </cell>
          <cell r="E1086"/>
          <cell r="F1086" t="str">
            <v>CHI</v>
          </cell>
          <cell r="G1086">
            <v>32.148600000000002</v>
          </cell>
          <cell r="H1086" t="str">
            <v>-</v>
          </cell>
        </row>
        <row r="1087">
          <cell r="A1087" t="str">
            <v>E9512</v>
          </cell>
          <cell r="B1087" t="str">
            <v>SICRO</v>
          </cell>
          <cell r="C1087"/>
          <cell r="D1087" t="str">
            <v>Veículo leve - 53 kW (CHP)</v>
          </cell>
          <cell r="E1087"/>
          <cell r="F1087" t="str">
            <v>CHP</v>
          </cell>
          <cell r="G1087">
            <v>58.68</v>
          </cell>
          <cell r="H1087" t="str">
            <v>-</v>
          </cell>
        </row>
        <row r="1088">
          <cell r="A1088" t="str">
            <v>E9512</v>
          </cell>
          <cell r="B1088" t="str">
            <v>SICRO</v>
          </cell>
          <cell r="C1088"/>
          <cell r="D1088" t="str">
            <v>Veículo leve - 53 kW (MDO)</v>
          </cell>
          <cell r="E1088"/>
          <cell r="F1088" t="str">
            <v>H</v>
          </cell>
          <cell r="G1088">
            <v>25.774799999999999</v>
          </cell>
          <cell r="H1088" t="str">
            <v>-</v>
          </cell>
        </row>
        <row r="1089">
          <cell r="A1089" t="str">
            <v>E9684</v>
          </cell>
          <cell r="B1089" t="str">
            <v>SICRO</v>
          </cell>
          <cell r="C1089"/>
          <cell r="D1089" t="str">
            <v>Veículo leve Pick Up 4 x 4 - 147 kW (CHI)</v>
          </cell>
          <cell r="E1089"/>
          <cell r="F1089" t="str">
            <v>CHI</v>
          </cell>
          <cell r="G1089">
            <v>53.831400000000002</v>
          </cell>
          <cell r="H1089" t="str">
            <v>-</v>
          </cell>
        </row>
        <row r="1090">
          <cell r="A1090" t="str">
            <v>E9684</v>
          </cell>
          <cell r="B1090" t="str">
            <v>SICRO</v>
          </cell>
          <cell r="C1090"/>
          <cell r="D1090" t="str">
            <v>Veículo leve Pick Up 4 x 4 - 147 kW (CHP)</v>
          </cell>
          <cell r="E1090"/>
          <cell r="F1090" t="str">
            <v>CHP</v>
          </cell>
          <cell r="G1090">
            <v>114.3305</v>
          </cell>
          <cell r="H1090" t="str">
            <v>-</v>
          </cell>
        </row>
        <row r="1091">
          <cell r="A1091" t="str">
            <v>E9684</v>
          </cell>
          <cell r="B1091" t="str">
            <v>SICRO</v>
          </cell>
          <cell r="C1091"/>
          <cell r="D1091" t="str">
            <v>Veículo leve Pick Up 4 x 4 - 147 kW (MDO)</v>
          </cell>
          <cell r="E1091"/>
          <cell r="F1091" t="str">
            <v>H</v>
          </cell>
          <cell r="G1091">
            <v>25.774799999999999</v>
          </cell>
          <cell r="H1091" t="str">
            <v>-</v>
          </cell>
        </row>
        <row r="1092">
          <cell r="A1092" t="str">
            <v>E9125</v>
          </cell>
          <cell r="B1092" t="str">
            <v>SICRO</v>
          </cell>
          <cell r="C1092"/>
          <cell r="D1092" t="str">
            <v>Van furgão - 93 kW (CHI)</v>
          </cell>
          <cell r="E1092"/>
          <cell r="F1092" t="str">
            <v>CHI</v>
          </cell>
          <cell r="G1092">
            <v>41.616</v>
          </cell>
          <cell r="H1092" t="str">
            <v>-</v>
          </cell>
        </row>
        <row r="1093">
          <cell r="A1093" t="str">
            <v>E9125</v>
          </cell>
          <cell r="B1093" t="str">
            <v>SICRO</v>
          </cell>
          <cell r="C1093"/>
          <cell r="D1093" t="str">
            <v>Van furgão - 93 kW (CHP)</v>
          </cell>
          <cell r="E1093"/>
          <cell r="F1093" t="str">
            <v>CHP</v>
          </cell>
          <cell r="G1093">
            <v>78.0291</v>
          </cell>
          <cell r="H1093" t="str">
            <v>-</v>
          </cell>
        </row>
        <row r="1094">
          <cell r="A1094">
            <v>92145</v>
          </cell>
          <cell r="B1094" t="str">
            <v>SINAPI</v>
          </cell>
          <cell r="C1094"/>
          <cell r="D1094" t="str">
            <v>Caminhonete cabine simples com motor 1.6 FLEX, câmbio manual, potência 101/104 CV, 2 portas - CHP diurno. AF_11/2015</v>
          </cell>
          <cell r="E1094"/>
          <cell r="F1094" t="str">
            <v>CHP</v>
          </cell>
          <cell r="G1094">
            <v>68</v>
          </cell>
          <cell r="H1094" t="str">
            <v>-</v>
          </cell>
        </row>
        <row r="1095">
          <cell r="A1095">
            <v>92146</v>
          </cell>
          <cell r="B1095" t="str">
            <v>SINAPI</v>
          </cell>
          <cell r="C1095"/>
          <cell r="D1095" t="str">
            <v>Caminhonete cabine simples com motor 1.6 FLEX, câmbio manual, potência 101/104 CV, 2 portas - CHI diurno. AF_11/2015</v>
          </cell>
          <cell r="E1095"/>
          <cell r="F1095" t="str">
            <v>CHI</v>
          </cell>
          <cell r="G1095">
            <v>27.59</v>
          </cell>
          <cell r="H1095" t="str">
            <v>-</v>
          </cell>
        </row>
        <row r="1096">
          <cell r="A1096">
            <v>88284</v>
          </cell>
          <cell r="B1096" t="str">
            <v>SINAPI</v>
          </cell>
          <cell r="C1096"/>
          <cell r="D1096" t="str">
            <v>Motorista de veículo leve com encargos complementares</v>
          </cell>
          <cell r="E1096"/>
          <cell r="F1096" t="str">
            <v>H</v>
          </cell>
          <cell r="G1096">
            <v>21.33</v>
          </cell>
          <cell r="H1096" t="str">
            <v>-</v>
          </cell>
        </row>
        <row r="1097">
          <cell r="A1097"/>
          <cell r="B1097"/>
          <cell r="C1097"/>
          <cell r="D1097"/>
          <cell r="E1097"/>
          <cell r="F1097"/>
          <cell r="G1097"/>
          <cell r="H1097"/>
        </row>
        <row r="1098">
          <cell r="A1098"/>
          <cell r="B1098"/>
          <cell r="C1098" t="str">
            <v>15.0</v>
          </cell>
          <cell r="D1098" t="str">
            <v>SERVIÇOS DE ENGENHARIA DE PROJETOS DE INFRAESTRUTURA URBANA</v>
          </cell>
          <cell r="E1098"/>
          <cell r="F1098"/>
          <cell r="G1098" t="str">
            <v>junho/2023</v>
          </cell>
          <cell r="H1098" t="str">
            <v/>
          </cell>
        </row>
        <row r="1099">
          <cell r="A1099" t="str">
            <v>ADM0002</v>
          </cell>
          <cell r="B1099" t="str">
            <v>COMPOSIÇÃO</v>
          </cell>
          <cell r="C1099" t="str">
            <v>AGESUL</v>
          </cell>
          <cell r="D1099" t="str">
            <v>Reprografia e montagem de relatório (texto e desenho)</v>
          </cell>
          <cell r="E1099">
            <v>0</v>
          </cell>
          <cell r="F1099" t="str">
            <v xml:space="preserve">un </v>
          </cell>
          <cell r="G1099">
            <v>675.66</v>
          </cell>
          <cell r="H1099" t="str">
            <v>-</v>
          </cell>
        </row>
        <row r="1100">
          <cell r="A1100" t="str">
            <v>ADM0001</v>
          </cell>
          <cell r="B1100" t="str">
            <v>COMPOSIÇÃO</v>
          </cell>
          <cell r="C1100" t="str">
            <v>AGESUL</v>
          </cell>
          <cell r="D1100" t="str">
            <v>Mobilização e desmobilização de equipe de técnica, distância acima de 20km</v>
          </cell>
          <cell r="E1100" t="str">
            <v>ATENÇÃO
Distância da Sede à obra</v>
          </cell>
          <cell r="F1100" t="str">
            <v>km</v>
          </cell>
          <cell r="G1100">
            <v>15.1</v>
          </cell>
          <cell r="H1100" t="str">
            <v>-</v>
          </cell>
        </row>
        <row r="1101">
          <cell r="A1101" t="str">
            <v>EG0005</v>
          </cell>
          <cell r="B1101" t="str">
            <v>COMPOSIÇÃO</v>
          </cell>
          <cell r="C1101" t="str">
            <v>AGESUL</v>
          </cell>
          <cell r="D1101" t="str">
            <v>Mobilização e desmobilização de equipe de geotecnia, distância maior que 20km</v>
          </cell>
          <cell r="E1101" t="str">
            <v>ATENÇÃO
Distância da Sede à obra</v>
          </cell>
          <cell r="F1101" t="str">
            <v>km</v>
          </cell>
          <cell r="G1101">
            <v>7.66</v>
          </cell>
          <cell r="H1101" t="str">
            <v>-</v>
          </cell>
        </row>
        <row r="1102">
          <cell r="A1102" t="str">
            <v>ET0003</v>
          </cell>
          <cell r="B1102" t="str">
            <v>COMPOSIÇÃO</v>
          </cell>
          <cell r="C1102" t="str">
            <v>AGESUL</v>
          </cell>
          <cell r="D1102" t="str">
            <v>Mobilização e desmobilização de equipe de topografia, distância maior que 20km</v>
          </cell>
          <cell r="E1102" t="str">
            <v>ATENÇÃO
Distância da Sede à obra</v>
          </cell>
          <cell r="F1102" t="str">
            <v>km</v>
          </cell>
          <cell r="G1102">
            <v>5.98</v>
          </cell>
          <cell r="H1102" t="str">
            <v>-</v>
          </cell>
        </row>
        <row r="1103">
          <cell r="A1103" t="str">
            <v>ARQ0003</v>
          </cell>
          <cell r="B1103" t="str">
            <v>COMPOSIÇÃO</v>
          </cell>
          <cell r="C1103" t="str">
            <v>AGESUL</v>
          </cell>
          <cell r="D1103" t="str">
            <v>Estudo conceitual para implantação de parque público - master plan</v>
          </cell>
          <cell r="E1103">
            <v>0</v>
          </cell>
          <cell r="F1103" t="str">
            <v xml:space="preserve">ha </v>
          </cell>
          <cell r="G1103">
            <v>1539.47</v>
          </cell>
          <cell r="H1103" t="str">
            <v>-</v>
          </cell>
        </row>
        <row r="1104">
          <cell r="A1104" t="str">
            <v>PFIU001</v>
          </cell>
          <cell r="B1104" t="str">
            <v>COMPOSIÇÃO</v>
          </cell>
          <cell r="C1104" t="str">
            <v>AGESUL</v>
          </cell>
          <cell r="D1104" t="str">
            <v>Elaboração de estudos de viabilidade para projetos de pavimentação, drenagem, sinalização viária, acessibilidade e orçamento</v>
          </cell>
          <cell r="E1104">
            <v>0</v>
          </cell>
          <cell r="F1104" t="str">
            <v>m²</v>
          </cell>
          <cell r="G1104">
            <v>0.48359999999999997</v>
          </cell>
          <cell r="H1104" t="str">
            <v>-</v>
          </cell>
        </row>
        <row r="1105">
          <cell r="A1105" t="str">
            <v>PFIU002</v>
          </cell>
          <cell r="B1105" t="str">
            <v>COMPOSIÇÃO</v>
          </cell>
          <cell r="C1105" t="str">
            <v>AGESUL</v>
          </cell>
          <cell r="D1105" t="str">
            <v>Elaboração de estudos de viabilidade para projetos de pavimentação, drenagem, sinalização viária, acessibilidade e orçamento</v>
          </cell>
          <cell r="E1105">
            <v>0</v>
          </cell>
          <cell r="F1105" t="str">
            <v>km</v>
          </cell>
          <cell r="G1105">
            <v>3387.1632</v>
          </cell>
          <cell r="H1105" t="str">
            <v>-</v>
          </cell>
        </row>
        <row r="1106">
          <cell r="A1106" t="str">
            <v>PBPC001</v>
          </cell>
          <cell r="B1106" t="str">
            <v>COMPOSIÇÃO</v>
          </cell>
          <cell r="C1106" t="str">
            <v>AGESUL</v>
          </cell>
          <cell r="D1106" t="str">
            <v>Elaboração de estudos de viabilidade para projeto funcional de OAE (ponte) em concreto armado inclusive estudos hidrológico e projeto de acessibilidade e sinalização viária. Exclusive serviços topográficos e geotécnicos</v>
          </cell>
          <cell r="E1106">
            <v>0</v>
          </cell>
          <cell r="F1106" t="str">
            <v>m</v>
          </cell>
          <cell r="G1106">
            <v>610.55999999999995</v>
          </cell>
          <cell r="H1106" t="str">
            <v>-</v>
          </cell>
        </row>
        <row r="1107">
          <cell r="A1107" t="str">
            <v>EHAU001</v>
          </cell>
          <cell r="B1107" t="str">
            <v>COMPOSIÇÃO</v>
          </cell>
          <cell r="C1107" t="str">
            <v>AGESUL</v>
          </cell>
          <cell r="D1107" t="str">
            <v>Elaboração de estudo hidrológico de área urbanizada</v>
          </cell>
          <cell r="E1107">
            <v>0</v>
          </cell>
          <cell r="F1107" t="str">
            <v xml:space="preserve">ha </v>
          </cell>
          <cell r="G1107">
            <v>22.16</v>
          </cell>
          <cell r="H1107" t="str">
            <v>-</v>
          </cell>
        </row>
        <row r="1108">
          <cell r="A1108" t="str">
            <v>EHAU002</v>
          </cell>
          <cell r="B1108" t="str">
            <v>COMPOSIÇÃO</v>
          </cell>
          <cell r="C1108" t="str">
            <v>AGESUL</v>
          </cell>
          <cell r="D1108" t="str">
            <v>Elaboração de estudo hidrológico de área rural</v>
          </cell>
          <cell r="E1108">
            <v>0</v>
          </cell>
          <cell r="F1108" t="str">
            <v>km²</v>
          </cell>
          <cell r="G1108">
            <v>1274.3599999999999</v>
          </cell>
          <cell r="H1108" t="str">
            <v>-</v>
          </cell>
        </row>
        <row r="1109">
          <cell r="A1109" t="str">
            <v>EG0001</v>
          </cell>
          <cell r="B1109" t="str">
            <v>COMPOSIÇÃO</v>
          </cell>
          <cell r="C1109" t="str">
            <v>AGESUL</v>
          </cell>
          <cell r="D1109" t="str">
            <v>Serviços geotécnicos de sondagem à trado ( 1 un com 2m de prof.) e ensaios de solo de granulometria por peneiramento, limites de liquidez e plasticidade, compactação e ISC na energia modificada (1 cj)</v>
          </cell>
          <cell r="E1109">
            <v>0</v>
          </cell>
          <cell r="F1109" t="str">
            <v xml:space="preserve">un </v>
          </cell>
          <cell r="G1109">
            <v>946.08</v>
          </cell>
          <cell r="H1109" t="str">
            <v>-</v>
          </cell>
        </row>
        <row r="1110">
          <cell r="A1110" t="str">
            <v>EG0012</v>
          </cell>
          <cell r="B1110" t="str">
            <v>COMPOSIÇÃO</v>
          </cell>
          <cell r="C1110" t="str">
            <v>AGESUL</v>
          </cell>
          <cell r="D1110" t="str">
            <v>Serviços geotécnicos de sondagem à trado (1un com 2m de prof.) e ensaios de solo de granulometria por peneiramento, limites de liquidez e plasticidade, compactação e ISC na energia intermediária (1cj)</v>
          </cell>
          <cell r="E1110">
            <v>0</v>
          </cell>
          <cell r="F1110" t="str">
            <v xml:space="preserve">un </v>
          </cell>
          <cell r="G1110">
            <v>788.08</v>
          </cell>
          <cell r="H1110" t="str">
            <v>-</v>
          </cell>
        </row>
        <row r="1111">
          <cell r="A1111" t="str">
            <v>EG0014</v>
          </cell>
          <cell r="B1111" t="str">
            <v>COMPOSIÇÃO</v>
          </cell>
          <cell r="C1111" t="str">
            <v>AGESUL</v>
          </cell>
          <cell r="D1111" t="str">
            <v>Serviços geotécnicos de sondagem à trado (1un com 2m de prof.) e ensaios de solo de granulometria por peneiramento, limites de liquidez e plasticidade, compactação e ISC na energia intermediária, com reuso de material (1cj)</v>
          </cell>
          <cell r="E1111">
            <v>0</v>
          </cell>
          <cell r="F1111" t="str">
            <v xml:space="preserve">un </v>
          </cell>
          <cell r="G1111">
            <v>591.04</v>
          </cell>
          <cell r="H1111" t="str">
            <v>-</v>
          </cell>
        </row>
        <row r="1112">
          <cell r="A1112" t="str">
            <v>EG0006</v>
          </cell>
          <cell r="B1112" t="str">
            <v>COMPOSIÇÃO</v>
          </cell>
          <cell r="C1112" t="str">
            <v>AGESUL</v>
          </cell>
          <cell r="D1112" t="str">
            <v>Deslocamento de equipamento entre furos em terreno plano, considerando a distância até 100m</v>
          </cell>
          <cell r="E1112"/>
          <cell r="F1112" t="str">
            <v xml:space="preserve">un </v>
          </cell>
          <cell r="G1112">
            <v>120.06</v>
          </cell>
          <cell r="H1112" t="str">
            <v>-</v>
          </cell>
        </row>
        <row r="1113">
          <cell r="A1113" t="str">
            <v>EG0007</v>
          </cell>
          <cell r="B1113" t="str">
            <v>COMPOSIÇÃO</v>
          </cell>
          <cell r="C1113" t="str">
            <v>AGESUL</v>
          </cell>
          <cell r="D1113" t="str">
            <v>Sondagem à percussão (SPT) com lavagem</v>
          </cell>
          <cell r="E1113">
            <v>0</v>
          </cell>
          <cell r="F1113" t="str">
            <v>m</v>
          </cell>
          <cell r="G1113">
            <v>170.21</v>
          </cell>
          <cell r="H1113" t="str">
            <v>-</v>
          </cell>
        </row>
        <row r="1114">
          <cell r="A1114" t="str">
            <v>EG0011</v>
          </cell>
          <cell r="B1114" t="str">
            <v>COMPOSIÇÃO</v>
          </cell>
          <cell r="C1114" t="str">
            <v>AGESUL</v>
          </cell>
          <cell r="D1114" t="str">
            <v>Avaliação e análise geotécnica de taludes e estabilidade de maciços em terra. Exclusive ensaios geotécnicos</v>
          </cell>
          <cell r="E1114">
            <v>0</v>
          </cell>
          <cell r="F1114" t="str">
            <v xml:space="preserve">un </v>
          </cell>
          <cell r="G1114">
            <v>15277.16</v>
          </cell>
          <cell r="H1114" t="str">
            <v>-</v>
          </cell>
        </row>
        <row r="1115">
          <cell r="A1115" t="str">
            <v>ETG0001</v>
          </cell>
          <cell r="B1115" t="str">
            <v>COMPOSIÇÃO</v>
          </cell>
          <cell r="C1115" t="str">
            <v>AGESUL</v>
          </cell>
          <cell r="D1115" t="str">
            <v>Elaboração de estudos topográficos e geotécnicos</v>
          </cell>
          <cell r="E1115">
            <v>0</v>
          </cell>
          <cell r="F1115" t="str">
            <v>km</v>
          </cell>
          <cell r="G1115">
            <v>11695.738200000002</v>
          </cell>
          <cell r="H1115" t="str">
            <v>-</v>
          </cell>
        </row>
        <row r="1116">
          <cell r="A1116" t="str">
            <v>ET0001</v>
          </cell>
          <cell r="B1116" t="str">
            <v>COMPOSIÇÃO</v>
          </cell>
          <cell r="C1116" t="str">
            <v>AGESUL</v>
          </cell>
          <cell r="D1116" t="str">
            <v>Levantamento topográfico por GPS ou voo aerofotogramétrico em áreas de difícil acesso, relevo acidentado e pouco habitada</v>
          </cell>
          <cell r="E1116">
            <v>0</v>
          </cell>
          <cell r="F1116" t="str">
            <v xml:space="preserve">ha </v>
          </cell>
          <cell r="G1116">
            <v>82.26</v>
          </cell>
          <cell r="H1116" t="str">
            <v>-</v>
          </cell>
        </row>
        <row r="1117">
          <cell r="A1117" t="str">
            <v>ET0002</v>
          </cell>
          <cell r="B1117" t="str">
            <v>COMPOSIÇÃO</v>
          </cell>
          <cell r="C1117" t="str">
            <v>AGESUL</v>
          </cell>
          <cell r="D1117" t="str">
            <v>Levantamento topográfico planialtimétrico semi-cadastral</v>
          </cell>
          <cell r="E1117">
            <v>0</v>
          </cell>
          <cell r="F1117" t="str">
            <v xml:space="preserve">ha </v>
          </cell>
          <cell r="G1117">
            <v>7697.75</v>
          </cell>
          <cell r="H1117" t="str">
            <v>-</v>
          </cell>
        </row>
        <row r="1118">
          <cell r="A1118" t="str">
            <v>PIU0001</v>
          </cell>
          <cell r="B1118" t="str">
            <v>COMPOSIÇÃO</v>
          </cell>
          <cell r="C1118" t="str">
            <v>AGESUL</v>
          </cell>
          <cell r="D1118" t="str">
            <v>Elaboração de projetos executivos geométrico, terraplenagem, pavimentação, drenagem superficial, galeria de água pluvial, sinalização viária e acessibilidade</v>
          </cell>
          <cell r="E1118" t="str">
            <v>ATENÇÃO                              Projeto com Drenagem</v>
          </cell>
          <cell r="F1118" t="str">
            <v>m²</v>
          </cell>
          <cell r="G1118">
            <v>3.31</v>
          </cell>
          <cell r="H1118" t="str">
            <v>-</v>
          </cell>
        </row>
        <row r="1119">
          <cell r="A1119" t="str">
            <v>PIU0006</v>
          </cell>
          <cell r="B1119" t="str">
            <v>COMPOSIÇÃO</v>
          </cell>
          <cell r="C1119" t="str">
            <v>AGESUL</v>
          </cell>
          <cell r="D1119" t="str">
            <v>Projeto executivo de terraplenagem, geométrico, pavimentação, sinalização viária e acessibilidade. Exclusive projeto de galeria de água pluvial</v>
          </cell>
          <cell r="E1119" t="str">
            <v>ATENÇÃO                              Projeto sem Drenagem</v>
          </cell>
          <cell r="F1119" t="str">
            <v>m²</v>
          </cell>
          <cell r="G1119">
            <v>2.56</v>
          </cell>
          <cell r="H1119" t="str">
            <v>-</v>
          </cell>
        </row>
        <row r="1120">
          <cell r="A1120" t="str">
            <v>PIU0004</v>
          </cell>
          <cell r="B1120" t="str">
            <v>COMPOSIÇÃO</v>
          </cell>
          <cell r="C1120" t="str">
            <v>AGESUL</v>
          </cell>
          <cell r="D1120" t="str">
            <v>Elaboração de projeto executivo de galerias de drenagem de águas pluviais. Exclusive serviços topográficos e geotécnicos</v>
          </cell>
          <cell r="E1120" t="str">
            <v>ATENÇÃO                                                trechos fora da pavimentação e em recapeamento</v>
          </cell>
          <cell r="F1120" t="str">
            <v>m</v>
          </cell>
          <cell r="G1120">
            <v>7.61</v>
          </cell>
          <cell r="H1120" t="str">
            <v>-</v>
          </cell>
        </row>
        <row r="1121">
          <cell r="A1121" t="str">
            <v>PIU0003</v>
          </cell>
          <cell r="B1121" t="str">
            <v>COMPOSIÇÃO</v>
          </cell>
          <cell r="C1121" t="str">
            <v>AGESUL</v>
          </cell>
          <cell r="D1121" t="str">
    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    </cell>
          <cell r="E1121">
            <v>0</v>
          </cell>
          <cell r="F1121" t="str">
            <v xml:space="preserve">un </v>
          </cell>
          <cell r="G1121">
            <v>37247.769999999997</v>
          </cell>
          <cell r="H1121" t="str">
            <v>-</v>
          </cell>
        </row>
        <row r="1122">
          <cell r="A1122" t="str">
            <v>PIU0014</v>
          </cell>
          <cell r="B1122" t="str">
            <v>COMPOSIÇÃO</v>
          </cell>
          <cell r="C1122" t="str">
            <v>AGESUL</v>
          </cell>
          <cell r="D1122" t="str">
            <v>Elaboração projeto executivo de calçada em via urbana, incluindo estudos topográficos e acessibilidade</v>
          </cell>
          <cell r="E1122">
            <v>0</v>
          </cell>
          <cell r="F1122" t="str">
            <v>km</v>
          </cell>
          <cell r="G1122">
            <v>3213.93</v>
          </cell>
          <cell r="H1122" t="str">
            <v>-</v>
          </cell>
        </row>
        <row r="1123">
          <cell r="A1123" t="str">
            <v>PIU0015</v>
          </cell>
          <cell r="B1123" t="str">
            <v>COMPOSIÇÃO</v>
          </cell>
          <cell r="C1123" t="str">
            <v>AGESUL</v>
          </cell>
          <cell r="D1123" t="str">
            <v>Elaboração projeto executivo de ciclovia e ciclofaixa em via urbana, incluindo estudos topográficos e projeto de sinalização viária e acessibilidade</v>
          </cell>
          <cell r="E1123">
            <v>0</v>
          </cell>
          <cell r="F1123" t="str">
            <v>km</v>
          </cell>
          <cell r="G1123">
            <v>3623.39</v>
          </cell>
          <cell r="H1123" t="str">
            <v>-</v>
          </cell>
        </row>
        <row r="1124">
          <cell r="A1124" t="str">
            <v>PRIU003</v>
          </cell>
          <cell r="B1124" t="str">
            <v>COMPOSIÇÃO</v>
          </cell>
          <cell r="C1124" t="str">
            <v>AGESUL</v>
          </cell>
          <cell r="D1124" t="str">
            <v>Elaboração de estudo de avaliação estrutural do pavimento – viga benkelman e/ou Falling Weight Deflectometer - FWD. Extensão mínima 20 km</v>
          </cell>
          <cell r="E1124">
            <v>0</v>
          </cell>
          <cell r="F1124" t="str">
            <v>km.faixa</v>
          </cell>
          <cell r="G1124">
            <v>330.62</v>
          </cell>
          <cell r="H1124" t="str">
            <v>-</v>
          </cell>
        </row>
        <row r="1125">
          <cell r="A1125" t="str">
            <v>PRIU002</v>
          </cell>
          <cell r="B1125" t="str">
            <v>COMPOSIÇÃO</v>
          </cell>
          <cell r="C1125" t="str">
            <v>AGESUL</v>
          </cell>
          <cell r="D1125" t="str">
            <v>Elaboração projeto de restauração funcional do pavimento, incluindo estudos topográficos e geotécnicos, projetos drenagem superficial, sinalização viária e acessibilidade</v>
          </cell>
          <cell r="E1125">
            <v>0</v>
          </cell>
          <cell r="F1125" t="str">
            <v>m²</v>
          </cell>
          <cell r="G1125">
            <v>2.0299999999999998</v>
          </cell>
          <cell r="H1125" t="str">
            <v>-</v>
          </cell>
        </row>
        <row r="1126">
          <cell r="A1126" t="str">
            <v>PIP001</v>
          </cell>
          <cell r="B1126" t="str">
            <v>COMPOSIÇÃO</v>
          </cell>
          <cell r="C1126" t="str">
            <v>AGESUL</v>
          </cell>
          <cell r="D1126" t="str">
            <v>Elaboração projeto executivo de iluminação pública</v>
          </cell>
          <cell r="E1126">
            <v>0</v>
          </cell>
          <cell r="F1126" t="str">
            <v>km</v>
          </cell>
          <cell r="G1126">
            <v>3544.59</v>
          </cell>
          <cell r="H1126" t="str">
            <v>-</v>
          </cell>
        </row>
        <row r="1127">
          <cell r="A1127" t="str">
            <v>PEPC001</v>
          </cell>
          <cell r="B1127" t="str">
            <v>COMPOSIÇÃO</v>
          </cell>
          <cell r="C1127" t="str">
            <v>AGESUL</v>
          </cell>
          <cell r="D1127" t="str">
            <v>Elaboração de projeto estrutural de OAE (ponte) em concreto armado inclusive estudos hidrológico e projeto de acessibilidade e sinalização viária. Exclusive serviços topográficos e geotécnicos</v>
          </cell>
          <cell r="E1127">
            <v>0</v>
          </cell>
          <cell r="F1127" t="str">
            <v>m²</v>
          </cell>
          <cell r="G1127">
            <v>118.57</v>
          </cell>
          <cell r="H1127" t="str">
            <v>-</v>
          </cell>
        </row>
        <row r="1128">
          <cell r="A1128" t="str">
            <v>PIU0008</v>
          </cell>
          <cell r="B1128" t="str">
            <v>COMPOSIÇÃO</v>
          </cell>
          <cell r="C1128" t="str">
            <v>AGESUL</v>
          </cell>
          <cell r="D1128" t="str">
    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    </cell>
          <cell r="E1128">
            <v>0</v>
          </cell>
          <cell r="F1128" t="str">
            <v xml:space="preserve">ha </v>
          </cell>
          <cell r="G1128">
            <v>11254.43</v>
          </cell>
          <cell r="H1128" t="str">
            <v>-</v>
          </cell>
        </row>
        <row r="1129">
          <cell r="A1129" t="str">
            <v>PIU0011</v>
          </cell>
          <cell r="B1129" t="str">
            <v>COMPOSIÇÃO</v>
          </cell>
          <cell r="C1129" t="str">
            <v>AGESUL</v>
          </cell>
          <cell r="D1129" t="str">
            <v>Elaboração de projeto executivo de bacia de amortecimento de drenagem de águas pluviais. Exclusive serviços topográficos e geotécnicos e projeto estrutural de contenção de talude</v>
          </cell>
          <cell r="E1129">
            <v>0</v>
          </cell>
          <cell r="F1129" t="str">
            <v>m³</v>
          </cell>
          <cell r="G1129">
            <v>2.17</v>
          </cell>
          <cell r="H1129" t="str">
            <v>-</v>
          </cell>
        </row>
        <row r="1130">
          <cell r="A1130" t="str">
            <v>PIU0005</v>
          </cell>
          <cell r="B1130" t="str">
            <v>COMPOSIÇÃO</v>
          </cell>
          <cell r="C1130" t="str">
            <v>AGESUL</v>
          </cell>
          <cell r="D1130" t="str">
            <v>Elaboração de projeto executivo estrutural e hidráulico de dispositivos de controle de velocidade e vazão de águas pluviais em concreto ou similar, até 50 m³</v>
          </cell>
          <cell r="E1130">
            <v>0</v>
          </cell>
          <cell r="F1130" t="str">
            <v>m³</v>
          </cell>
          <cell r="G1130">
            <v>186.36</v>
          </cell>
          <cell r="H1130" t="str">
            <v>-</v>
          </cell>
        </row>
        <row r="1131">
          <cell r="A1131" t="str">
            <v>PIU0009</v>
          </cell>
          <cell r="B1131" t="str">
            <v>COMPOSIÇÃO</v>
          </cell>
          <cell r="C1131" t="str">
            <v>AGESUL</v>
          </cell>
          <cell r="D1131" t="str">
            <v>Elaboração de projeto estrutural de estabilização de taludes através de muro de arrimo de peso e/ou gabião. Exclusive serviços topográficos e geotécnicos</v>
          </cell>
          <cell r="E1131">
            <v>0</v>
          </cell>
          <cell r="F1131" t="str">
            <v>m²</v>
          </cell>
          <cell r="G1131">
            <v>12.04</v>
          </cell>
          <cell r="H1131" t="str">
            <v>-</v>
          </cell>
        </row>
        <row r="1132">
          <cell r="A1132" t="str">
            <v>PIU0010</v>
          </cell>
          <cell r="B1132" t="str">
            <v>COMPOSIÇÃO</v>
          </cell>
          <cell r="C1132" t="str">
            <v>AGESUL</v>
          </cell>
          <cell r="D1132" t="str">
            <v>Elaboração de projeto estrutural de estabilização de taludes através de muro em concreto armado e/ou cortina atirantada. Exclusive serviços topográficos e geotécnicos</v>
          </cell>
          <cell r="E1132">
            <v>0</v>
          </cell>
          <cell r="F1132" t="str">
            <v>m²</v>
          </cell>
          <cell r="G1132">
            <v>38.53</v>
          </cell>
          <cell r="H1132" t="str">
            <v>-</v>
          </cell>
        </row>
        <row r="1133">
          <cell r="A1133" t="str">
            <v>PIU0013</v>
          </cell>
          <cell r="B1133" t="str">
            <v>COMPOSIÇÃO</v>
          </cell>
          <cell r="C1133" t="str">
            <v>AGESUL</v>
          </cell>
          <cell r="D1133" t="str">
            <v>Elaboração de estudos e projetos executivo de adequação de capacidade hidráulica e estrutural de bueiro rodoviário. Exclusive serviços topográficos e geotécnicos</v>
          </cell>
          <cell r="E1133">
            <v>0</v>
          </cell>
          <cell r="F1133" t="str">
            <v xml:space="preserve">un </v>
          </cell>
          <cell r="G1133">
            <v>6505.18</v>
          </cell>
          <cell r="H1133" t="str">
            <v>-</v>
          </cell>
        </row>
        <row r="1134">
          <cell r="A1134" t="str">
            <v>ORINF</v>
          </cell>
          <cell r="B1134" t="str">
            <v>COMPOSIÇÃO</v>
          </cell>
          <cell r="C1134" t="str">
            <v>AGESUL</v>
          </cell>
          <cell r="D1134" t="str">
            <v>Orçamento de obras, cronograma, composições, cotações e plano de execução das obras</v>
          </cell>
          <cell r="E1134">
            <v>0</v>
          </cell>
          <cell r="F1134" t="str">
            <v>km</v>
          </cell>
          <cell r="G1134">
            <v>1267.1500000000001</v>
          </cell>
          <cell r="H1134" t="str">
            <v>-</v>
          </cell>
        </row>
        <row r="1135">
          <cell r="A1135" t="str">
            <v>LI-AMB</v>
          </cell>
          <cell r="B1135" t="str">
            <v>COMPOSIÇÃO</v>
          </cell>
          <cell r="C1135" t="str">
            <v>AGESUL</v>
          </cell>
          <cell r="D1135" t="str">
            <v>Licenciamento Ambiental para projeto de lançamento de drenagem de águas pluviais</v>
          </cell>
          <cell r="E1135">
            <v>0</v>
          </cell>
          <cell r="F1135" t="str">
            <v xml:space="preserve">un </v>
          </cell>
          <cell r="G1135">
            <v>25624.13</v>
          </cell>
          <cell r="H1135" t="str">
            <v>-</v>
          </cell>
        </row>
        <row r="1136">
          <cell r="A1136" t="str">
            <v>PIU0007</v>
          </cell>
          <cell r="B1136" t="str">
            <v>COMPOSIÇÃO</v>
          </cell>
          <cell r="C1136" t="str">
            <v>AGESUL</v>
          </cell>
          <cell r="D1136" t="str">
            <v>Elaboração de projeto executivo de combate e controle de erosão, compreendendo terraplenagem, geometria e drenagem. Exclusive projeto estrutural</v>
          </cell>
          <cell r="E1136">
            <v>0</v>
          </cell>
          <cell r="F1136" t="str">
            <v>m</v>
          </cell>
          <cell r="G1136" t="str">
            <v>descontinuada</v>
          </cell>
          <cell r="H1136" t="str">
            <v>-</v>
          </cell>
        </row>
        <row r="1137">
          <cell r="A1137" t="str">
            <v>PIU0012</v>
          </cell>
          <cell r="B1137" t="str">
            <v>COMPOSIÇÃO</v>
          </cell>
          <cell r="C1137" t="str">
            <v>AGESUL</v>
          </cell>
          <cell r="D1137" t="str">
            <v>Elaboração de projeto básico de controle de erosão, compreendendo concepção de obras estruturantes, terraplenagem, geometria e drenagem. Exclusive projeto estrutural</v>
          </cell>
          <cell r="E1137">
            <v>0</v>
          </cell>
          <cell r="F1137" t="str">
            <v>m</v>
          </cell>
          <cell r="G1137" t="str">
            <v>descontinuada</v>
          </cell>
          <cell r="H1137" t="str">
            <v>-</v>
          </cell>
        </row>
        <row r="1138">
          <cell r="A1138" t="str">
            <v>PIU0002</v>
          </cell>
          <cell r="B1138" t="str">
            <v>COMPOSIÇÃO</v>
          </cell>
          <cell r="C1138" t="str">
            <v>AGESUL</v>
          </cell>
          <cell r="D1138" t="str">
            <v>Elaboração de projeto executivo de drenagem em área de inundação</v>
          </cell>
          <cell r="E1138">
            <v>0</v>
          </cell>
          <cell r="F1138" t="str">
            <v>ha</v>
          </cell>
          <cell r="G1138" t="str">
            <v>descontinuada</v>
          </cell>
          <cell r="H1138" t="str">
            <v>-</v>
          </cell>
        </row>
        <row r="1154">
          <cell r="D1154"/>
          <cell r="E1154"/>
          <cell r="F1154"/>
          <cell r="G1154"/>
        </row>
        <row r="1155">
          <cell r="D1155"/>
          <cell r="E1155"/>
          <cell r="F1155"/>
          <cell r="G1155"/>
        </row>
        <row r="1156">
          <cell r="D1156"/>
          <cell r="E1156"/>
          <cell r="F1156"/>
          <cell r="G1156"/>
        </row>
        <row r="1157">
          <cell r="D1157"/>
          <cell r="E1157"/>
          <cell r="F1157"/>
          <cell r="G1157"/>
        </row>
        <row r="1158">
          <cell r="D1158"/>
          <cell r="E1158"/>
          <cell r="F1158"/>
          <cell r="G1158"/>
        </row>
        <row r="1159">
          <cell r="D1159"/>
          <cell r="E1159"/>
          <cell r="F1159"/>
          <cell r="G1159"/>
        </row>
        <row r="1160">
          <cell r="D1160"/>
          <cell r="E1160"/>
          <cell r="F1160"/>
          <cell r="G1160"/>
        </row>
        <row r="1161">
          <cell r="D1161"/>
          <cell r="E1161"/>
          <cell r="F1161"/>
          <cell r="G1161"/>
        </row>
        <row r="1162">
          <cell r="D1162"/>
          <cell r="E1162"/>
          <cell r="F1162"/>
          <cell r="G1162"/>
        </row>
        <row r="1163">
          <cell r="D1163"/>
          <cell r="E1163"/>
          <cell r="F1163"/>
          <cell r="G1163"/>
        </row>
        <row r="1164">
          <cell r="D1164"/>
          <cell r="E1164"/>
          <cell r="F1164"/>
          <cell r="G1164"/>
        </row>
        <row r="1165">
          <cell r="D1165"/>
          <cell r="E1165"/>
          <cell r="F1165"/>
          <cell r="G1165"/>
        </row>
        <row r="1166">
          <cell r="D1166"/>
          <cell r="E1166"/>
          <cell r="F1166"/>
          <cell r="G1166"/>
        </row>
        <row r="1167">
          <cell r="D1167"/>
          <cell r="E1167"/>
          <cell r="F1167"/>
          <cell r="G1167"/>
        </row>
        <row r="1168">
          <cell r="D1168"/>
          <cell r="E1168"/>
          <cell r="F1168"/>
          <cell r="G1168"/>
        </row>
        <row r="1169">
          <cell r="D1169"/>
          <cell r="E1169"/>
          <cell r="F1169"/>
          <cell r="G1169"/>
        </row>
        <row r="1170">
          <cell r="D1170"/>
          <cell r="E1170"/>
          <cell r="F1170"/>
          <cell r="G1170"/>
        </row>
        <row r="1171">
          <cell r="D1171"/>
          <cell r="E1171"/>
          <cell r="F1171"/>
          <cell r="G1171"/>
        </row>
        <row r="1172">
          <cell r="D1172"/>
          <cell r="E1172"/>
          <cell r="F1172"/>
          <cell r="G1172"/>
        </row>
        <row r="1173">
          <cell r="D1173"/>
          <cell r="E1173"/>
          <cell r="F1173"/>
          <cell r="G1173"/>
        </row>
        <row r="1174">
          <cell r="D1174"/>
          <cell r="E1174"/>
          <cell r="F1174"/>
          <cell r="G1174"/>
        </row>
        <row r="1175">
          <cell r="D1175"/>
          <cell r="E1175"/>
          <cell r="F1175"/>
          <cell r="G1175"/>
        </row>
        <row r="1176">
          <cell r="D1176"/>
          <cell r="E1176"/>
          <cell r="F1176"/>
          <cell r="G1176"/>
        </row>
        <row r="1177">
          <cell r="D1177"/>
          <cell r="E1177"/>
          <cell r="F1177"/>
          <cell r="G1177"/>
        </row>
        <row r="1178">
          <cell r="D1178"/>
          <cell r="E1178"/>
          <cell r="F1178"/>
          <cell r="G1178"/>
        </row>
        <row r="1179">
          <cell r="D1179"/>
          <cell r="E1179"/>
          <cell r="F1179"/>
          <cell r="G1179"/>
        </row>
        <row r="1180">
          <cell r="D1180"/>
          <cell r="E1180"/>
          <cell r="F1180"/>
          <cell r="G1180"/>
        </row>
        <row r="1181">
          <cell r="D1181"/>
          <cell r="E1181"/>
          <cell r="F1181"/>
          <cell r="G1181"/>
        </row>
        <row r="1182">
          <cell r="D1182"/>
          <cell r="E1182"/>
          <cell r="F1182"/>
          <cell r="G1182"/>
        </row>
        <row r="1183">
          <cell r="D1183"/>
          <cell r="E1183"/>
          <cell r="F1183"/>
          <cell r="G1183"/>
        </row>
        <row r="1184">
          <cell r="D1184"/>
          <cell r="E1184"/>
          <cell r="F1184"/>
          <cell r="G1184"/>
        </row>
        <row r="1185">
          <cell r="D1185"/>
          <cell r="E1185"/>
          <cell r="F1185"/>
          <cell r="G1185"/>
        </row>
        <row r="1186">
          <cell r="D1186"/>
          <cell r="E1186"/>
          <cell r="F1186"/>
          <cell r="G1186"/>
        </row>
        <row r="1187">
          <cell r="D1187"/>
          <cell r="E1187"/>
          <cell r="F1187"/>
          <cell r="G1187"/>
        </row>
        <row r="1188">
          <cell r="D1188"/>
          <cell r="E1188"/>
          <cell r="F1188"/>
          <cell r="G1188"/>
        </row>
        <row r="1189">
          <cell r="D1189"/>
          <cell r="E1189"/>
          <cell r="F1189"/>
          <cell r="G1189"/>
        </row>
        <row r="1190">
          <cell r="D1190"/>
          <cell r="E1190"/>
          <cell r="F1190"/>
          <cell r="G1190"/>
        </row>
        <row r="1191">
          <cell r="D1191"/>
          <cell r="E1191"/>
          <cell r="F1191"/>
          <cell r="G1191"/>
        </row>
        <row r="1192">
          <cell r="D1192"/>
          <cell r="E1192"/>
          <cell r="F1192"/>
          <cell r="G1192"/>
        </row>
        <row r="1193">
          <cell r="D1193"/>
          <cell r="E1193"/>
          <cell r="F1193"/>
          <cell r="G1193"/>
        </row>
        <row r="1194">
          <cell r="D1194"/>
          <cell r="E1194"/>
          <cell r="F1194"/>
          <cell r="G1194"/>
        </row>
        <row r="1195">
          <cell r="D1195"/>
          <cell r="E1195"/>
          <cell r="F1195"/>
          <cell r="G1195"/>
        </row>
        <row r="1196">
          <cell r="D1196"/>
          <cell r="E1196"/>
          <cell r="F1196"/>
          <cell r="G1196"/>
        </row>
        <row r="1197">
          <cell r="D1197"/>
          <cell r="E1197"/>
          <cell r="F1197"/>
          <cell r="G1197"/>
        </row>
        <row r="1198">
          <cell r="D1198"/>
          <cell r="E1198"/>
          <cell r="F1198"/>
          <cell r="G1198"/>
        </row>
        <row r="1199">
          <cell r="D1199"/>
          <cell r="E1199"/>
          <cell r="F1199"/>
          <cell r="G1199"/>
        </row>
        <row r="1200">
          <cell r="D1200"/>
          <cell r="E1200"/>
          <cell r="F1200"/>
          <cell r="G1200"/>
        </row>
        <row r="1201">
          <cell r="D1201"/>
          <cell r="E1201"/>
          <cell r="F1201"/>
          <cell r="G1201"/>
        </row>
        <row r="1202">
          <cell r="D1202"/>
          <cell r="E1202"/>
          <cell r="F1202"/>
          <cell r="G1202"/>
        </row>
        <row r="1203">
          <cell r="D1203"/>
          <cell r="E1203"/>
          <cell r="F1203"/>
          <cell r="G1203"/>
        </row>
        <row r="1204">
          <cell r="D1204"/>
          <cell r="E1204"/>
          <cell r="F1204"/>
          <cell r="G1204"/>
        </row>
        <row r="1205">
          <cell r="D1205"/>
          <cell r="E1205"/>
          <cell r="F1205"/>
          <cell r="G1205"/>
        </row>
        <row r="1206">
          <cell r="D1206"/>
          <cell r="E1206"/>
          <cell r="F1206"/>
          <cell r="G1206"/>
        </row>
        <row r="1207">
          <cell r="D1207"/>
          <cell r="E1207"/>
          <cell r="F1207"/>
          <cell r="G1207"/>
        </row>
        <row r="1208">
          <cell r="D1208"/>
          <cell r="E1208"/>
          <cell r="F1208"/>
          <cell r="G1208"/>
        </row>
        <row r="1209">
          <cell r="D1209"/>
          <cell r="E1209"/>
          <cell r="F1209"/>
          <cell r="G1209"/>
        </row>
        <row r="1210">
          <cell r="D1210"/>
          <cell r="E1210"/>
          <cell r="F1210"/>
          <cell r="G1210"/>
        </row>
        <row r="1211">
          <cell r="D1211"/>
          <cell r="E1211"/>
          <cell r="F1211"/>
          <cell r="G1211"/>
        </row>
        <row r="1212">
          <cell r="D1212"/>
          <cell r="E1212"/>
          <cell r="F1212"/>
          <cell r="G1212"/>
        </row>
        <row r="1213">
          <cell r="D1213"/>
          <cell r="E1213"/>
          <cell r="F1213"/>
          <cell r="G1213"/>
        </row>
        <row r="1214">
          <cell r="D1214"/>
          <cell r="E1214"/>
          <cell r="F1214"/>
          <cell r="G1214"/>
        </row>
        <row r="1215">
          <cell r="D1215"/>
          <cell r="E1215"/>
          <cell r="F1215"/>
          <cell r="G1215"/>
        </row>
        <row r="1216">
          <cell r="D1216"/>
          <cell r="E1216"/>
          <cell r="F1216"/>
          <cell r="G1216"/>
        </row>
        <row r="1217">
          <cell r="D1217"/>
          <cell r="E1217"/>
          <cell r="F1217"/>
          <cell r="G1217"/>
        </row>
        <row r="1218">
          <cell r="D1218"/>
          <cell r="E1218"/>
          <cell r="F1218"/>
          <cell r="G1218"/>
        </row>
        <row r="1219">
          <cell r="D1219"/>
          <cell r="E1219"/>
          <cell r="F1219"/>
          <cell r="G1219"/>
        </row>
        <row r="1220">
          <cell r="D1220"/>
          <cell r="E1220"/>
          <cell r="F1220"/>
          <cell r="G1220"/>
        </row>
        <row r="1221">
          <cell r="D1221"/>
          <cell r="E1221"/>
          <cell r="F1221"/>
          <cell r="G1221"/>
        </row>
        <row r="1222">
          <cell r="D1222"/>
          <cell r="E1222"/>
          <cell r="F1222"/>
          <cell r="G1222"/>
        </row>
        <row r="1223">
          <cell r="D1223"/>
          <cell r="E1223"/>
          <cell r="F1223"/>
          <cell r="G1223"/>
        </row>
        <row r="1224">
          <cell r="D1224"/>
          <cell r="E1224"/>
          <cell r="F1224"/>
          <cell r="G1224"/>
        </row>
        <row r="1225">
          <cell r="D1225"/>
          <cell r="E1225"/>
          <cell r="F1225"/>
          <cell r="G1225"/>
        </row>
        <row r="1226">
          <cell r="D1226"/>
          <cell r="E1226"/>
          <cell r="F1226"/>
          <cell r="G1226"/>
        </row>
        <row r="1227">
          <cell r="D1227"/>
          <cell r="E1227"/>
          <cell r="F1227"/>
          <cell r="G1227"/>
        </row>
        <row r="1228">
          <cell r="D1228"/>
          <cell r="E1228"/>
          <cell r="F1228"/>
          <cell r="G1228"/>
        </row>
        <row r="1229">
          <cell r="D1229"/>
          <cell r="E1229"/>
          <cell r="F1229"/>
          <cell r="G1229"/>
        </row>
        <row r="1230">
          <cell r="D1230"/>
          <cell r="E1230"/>
          <cell r="F1230"/>
          <cell r="G1230"/>
        </row>
        <row r="1231">
          <cell r="D1231"/>
          <cell r="E1231"/>
          <cell r="F1231"/>
          <cell r="G1231"/>
        </row>
        <row r="1232">
          <cell r="D1232"/>
          <cell r="E1232"/>
          <cell r="F1232"/>
          <cell r="G1232"/>
        </row>
        <row r="1233">
          <cell r="D1233"/>
          <cell r="E1233"/>
          <cell r="F1233"/>
          <cell r="G1233"/>
        </row>
        <row r="1234">
          <cell r="D1234"/>
          <cell r="E1234"/>
          <cell r="F1234"/>
          <cell r="G1234"/>
        </row>
        <row r="1235">
          <cell r="D1235"/>
          <cell r="E1235"/>
          <cell r="F1235"/>
          <cell r="G1235"/>
        </row>
        <row r="1236">
          <cell r="D1236"/>
          <cell r="E1236"/>
          <cell r="F1236"/>
          <cell r="G1236"/>
        </row>
        <row r="1237">
          <cell r="D1237"/>
          <cell r="E1237"/>
          <cell r="F1237"/>
          <cell r="G1237"/>
        </row>
        <row r="1238">
          <cell r="D1238"/>
          <cell r="E1238"/>
          <cell r="F1238"/>
          <cell r="G1238"/>
        </row>
        <row r="1239">
          <cell r="D1239"/>
          <cell r="E1239"/>
          <cell r="F1239"/>
          <cell r="G1239"/>
        </row>
        <row r="1240">
          <cell r="D1240"/>
          <cell r="E1240"/>
          <cell r="F1240"/>
          <cell r="G1240"/>
        </row>
        <row r="1241">
          <cell r="D1241"/>
          <cell r="E1241"/>
          <cell r="F1241"/>
          <cell r="G1241"/>
        </row>
        <row r="1242">
          <cell r="D1242"/>
          <cell r="E1242"/>
          <cell r="F1242"/>
          <cell r="G1242"/>
        </row>
        <row r="1243">
          <cell r="D1243"/>
          <cell r="E1243"/>
          <cell r="F1243"/>
          <cell r="G1243"/>
        </row>
        <row r="1244">
          <cell r="D1244"/>
          <cell r="E1244"/>
          <cell r="F1244"/>
          <cell r="G1244"/>
        </row>
        <row r="1245">
          <cell r="D1245"/>
          <cell r="E1245"/>
          <cell r="F1245"/>
          <cell r="G1245"/>
        </row>
        <row r="1246">
          <cell r="D1246"/>
          <cell r="E1246"/>
          <cell r="F1246"/>
          <cell r="G1246"/>
        </row>
        <row r="1247">
          <cell r="D1247"/>
          <cell r="E1247"/>
          <cell r="F1247"/>
          <cell r="G1247"/>
        </row>
        <row r="1248">
          <cell r="D1248"/>
          <cell r="E1248"/>
          <cell r="F1248"/>
          <cell r="G1248"/>
        </row>
        <row r="1249">
          <cell r="D1249"/>
          <cell r="E1249"/>
          <cell r="F1249"/>
          <cell r="G1249"/>
        </row>
        <row r="1250">
          <cell r="D1250"/>
          <cell r="E1250"/>
          <cell r="F1250"/>
          <cell r="G1250"/>
        </row>
        <row r="1251">
          <cell r="D1251"/>
          <cell r="E1251"/>
          <cell r="F1251"/>
          <cell r="G1251"/>
        </row>
        <row r="1252">
          <cell r="D1252"/>
          <cell r="E1252"/>
          <cell r="F1252"/>
          <cell r="G1252"/>
        </row>
        <row r="1253">
          <cell r="D1253"/>
          <cell r="E1253"/>
          <cell r="F1253"/>
          <cell r="G1253"/>
        </row>
        <row r="1254">
          <cell r="D1254"/>
          <cell r="E1254"/>
          <cell r="F1254"/>
          <cell r="G1254"/>
        </row>
        <row r="1255">
          <cell r="D1255"/>
          <cell r="E1255"/>
          <cell r="F1255"/>
          <cell r="G1255"/>
        </row>
        <row r="1256">
          <cell r="D1256"/>
          <cell r="E1256"/>
          <cell r="F1256"/>
          <cell r="G1256"/>
        </row>
        <row r="1257">
          <cell r="D1257"/>
          <cell r="E1257"/>
          <cell r="F1257"/>
          <cell r="G1257"/>
        </row>
        <row r="1258">
          <cell r="D1258"/>
          <cell r="E1258"/>
          <cell r="F1258"/>
          <cell r="G1258"/>
        </row>
        <row r="1259">
          <cell r="D1259"/>
          <cell r="E1259"/>
          <cell r="F1259"/>
          <cell r="G1259"/>
        </row>
        <row r="1260">
          <cell r="D1260"/>
          <cell r="E1260"/>
          <cell r="F1260"/>
          <cell r="G1260"/>
        </row>
        <row r="1261">
          <cell r="D1261"/>
          <cell r="E1261"/>
          <cell r="F1261"/>
          <cell r="G1261"/>
        </row>
        <row r="1262">
          <cell r="D1262"/>
          <cell r="E1262"/>
          <cell r="F1262"/>
          <cell r="G1262"/>
        </row>
        <row r="1263">
          <cell r="D1263"/>
          <cell r="E1263"/>
          <cell r="F1263"/>
          <cell r="G1263"/>
        </row>
        <row r="1264">
          <cell r="D1264"/>
          <cell r="E1264"/>
          <cell r="F1264"/>
          <cell r="G1264"/>
        </row>
        <row r="1265">
          <cell r="D1265"/>
          <cell r="E1265"/>
          <cell r="F1265"/>
          <cell r="G1265"/>
        </row>
        <row r="1266">
          <cell r="D1266"/>
          <cell r="E1266"/>
          <cell r="F1266"/>
          <cell r="G1266"/>
        </row>
        <row r="1267">
          <cell r="D1267"/>
          <cell r="E1267"/>
          <cell r="F1267"/>
          <cell r="G1267"/>
        </row>
        <row r="1268">
          <cell r="D1268"/>
          <cell r="E1268"/>
          <cell r="F1268"/>
          <cell r="G1268"/>
        </row>
        <row r="1269">
          <cell r="D1269"/>
          <cell r="E1269"/>
          <cell r="F1269"/>
          <cell r="G1269"/>
        </row>
        <row r="1270">
          <cell r="D1270"/>
          <cell r="E1270"/>
          <cell r="F1270"/>
          <cell r="G1270"/>
        </row>
        <row r="1271">
          <cell r="D1271"/>
          <cell r="E1271"/>
          <cell r="F1271"/>
          <cell r="G1271"/>
        </row>
        <row r="1272">
          <cell r="D1272"/>
          <cell r="E1272"/>
          <cell r="F1272"/>
          <cell r="G1272"/>
        </row>
        <row r="1273">
          <cell r="D1273"/>
          <cell r="E1273"/>
          <cell r="F1273"/>
          <cell r="G1273"/>
        </row>
        <row r="1274">
          <cell r="D1274"/>
          <cell r="E1274"/>
          <cell r="F1274"/>
          <cell r="G1274"/>
        </row>
        <row r="1275">
          <cell r="D1275"/>
          <cell r="E1275"/>
          <cell r="F1275"/>
          <cell r="G1275"/>
        </row>
        <row r="1276">
          <cell r="D1276"/>
          <cell r="E1276"/>
          <cell r="F1276"/>
          <cell r="G1276"/>
        </row>
        <row r="1277">
          <cell r="D1277"/>
          <cell r="E1277"/>
          <cell r="F1277"/>
          <cell r="G1277"/>
        </row>
        <row r="1278">
          <cell r="D1278"/>
          <cell r="E1278"/>
          <cell r="F1278"/>
          <cell r="G1278"/>
        </row>
        <row r="1279">
          <cell r="D1279"/>
          <cell r="E1279"/>
          <cell r="F1279"/>
          <cell r="G1279"/>
        </row>
        <row r="1280">
          <cell r="D1280"/>
          <cell r="E1280"/>
          <cell r="F1280"/>
          <cell r="G1280"/>
        </row>
        <row r="1281">
          <cell r="D1281"/>
          <cell r="E1281"/>
          <cell r="F1281"/>
          <cell r="G1281"/>
        </row>
        <row r="1282">
          <cell r="D1282"/>
          <cell r="E1282"/>
          <cell r="F1282"/>
          <cell r="G1282"/>
        </row>
        <row r="1283">
          <cell r="D1283"/>
          <cell r="E1283"/>
          <cell r="F1283"/>
          <cell r="G1283"/>
        </row>
        <row r="1284">
          <cell r="D1284"/>
          <cell r="E1284"/>
          <cell r="F1284"/>
          <cell r="G1284"/>
        </row>
        <row r="1285">
          <cell r="D1285"/>
          <cell r="E1285"/>
          <cell r="F1285"/>
          <cell r="G1285"/>
        </row>
        <row r="1286">
          <cell r="D1286"/>
          <cell r="E1286"/>
          <cell r="F1286"/>
          <cell r="G1286"/>
        </row>
        <row r="1287">
          <cell r="D1287"/>
          <cell r="E1287"/>
          <cell r="F1287"/>
          <cell r="G1287"/>
        </row>
        <row r="1288">
          <cell r="D1288"/>
          <cell r="E1288"/>
          <cell r="F1288"/>
          <cell r="G1288"/>
        </row>
        <row r="1289">
          <cell r="D1289"/>
          <cell r="E1289"/>
          <cell r="F1289"/>
          <cell r="G1289"/>
        </row>
        <row r="1290">
          <cell r="D1290"/>
          <cell r="E1290"/>
          <cell r="F1290"/>
          <cell r="G1290"/>
        </row>
        <row r="1291">
          <cell r="D1291"/>
          <cell r="E1291"/>
          <cell r="F1291"/>
          <cell r="G1291"/>
        </row>
        <row r="1292">
          <cell r="D1292"/>
          <cell r="E1292"/>
          <cell r="F1292"/>
          <cell r="G1292"/>
        </row>
        <row r="1293">
          <cell r="D1293"/>
          <cell r="E1293"/>
          <cell r="F1293"/>
          <cell r="G1293"/>
        </row>
        <row r="1294">
          <cell r="D1294"/>
          <cell r="E1294"/>
          <cell r="F1294"/>
          <cell r="G1294"/>
        </row>
        <row r="1295">
          <cell r="D1295"/>
          <cell r="E1295"/>
          <cell r="F1295"/>
          <cell r="G1295"/>
        </row>
        <row r="1296">
          <cell r="D1296"/>
          <cell r="E1296"/>
          <cell r="F1296"/>
          <cell r="G1296"/>
        </row>
        <row r="1297">
          <cell r="D1297"/>
          <cell r="E1297"/>
          <cell r="F1297"/>
          <cell r="G1297"/>
        </row>
        <row r="1298">
          <cell r="D1298"/>
          <cell r="E1298"/>
          <cell r="F1298"/>
          <cell r="G1298"/>
        </row>
        <row r="1299">
          <cell r="D1299"/>
          <cell r="E1299"/>
          <cell r="F1299"/>
          <cell r="G1299"/>
        </row>
        <row r="1300">
          <cell r="D1300"/>
          <cell r="E1300"/>
          <cell r="F1300"/>
          <cell r="G1300"/>
        </row>
        <row r="1301">
          <cell r="D1301"/>
          <cell r="E1301"/>
          <cell r="F1301"/>
          <cell r="G1301"/>
        </row>
        <row r="1302">
          <cell r="D1302"/>
          <cell r="E1302"/>
          <cell r="F1302"/>
          <cell r="G1302"/>
        </row>
        <row r="1303">
          <cell r="D1303"/>
          <cell r="E1303"/>
          <cell r="F1303"/>
          <cell r="G1303"/>
        </row>
        <row r="1304">
          <cell r="D1304"/>
          <cell r="E1304"/>
          <cell r="F1304"/>
          <cell r="G1304"/>
        </row>
        <row r="1305">
          <cell r="D1305"/>
          <cell r="E1305"/>
          <cell r="F1305"/>
          <cell r="G1305"/>
        </row>
        <row r="1306">
          <cell r="D1306"/>
          <cell r="E1306"/>
          <cell r="F1306"/>
          <cell r="G1306"/>
        </row>
        <row r="1307">
          <cell r="D1307"/>
          <cell r="E1307"/>
          <cell r="F1307"/>
          <cell r="G1307"/>
        </row>
        <row r="1308">
          <cell r="D1308"/>
          <cell r="E1308"/>
          <cell r="F1308"/>
          <cell r="G1308"/>
        </row>
        <row r="1309">
          <cell r="D1309"/>
          <cell r="E1309"/>
          <cell r="F1309"/>
          <cell r="G1309"/>
        </row>
        <row r="1310">
          <cell r="D1310"/>
          <cell r="E1310"/>
          <cell r="F1310"/>
          <cell r="G1310"/>
        </row>
        <row r="1311">
          <cell r="D1311"/>
          <cell r="E1311"/>
          <cell r="F1311"/>
          <cell r="G1311"/>
        </row>
        <row r="1312">
          <cell r="D1312"/>
          <cell r="E1312"/>
          <cell r="F1312"/>
          <cell r="G1312"/>
        </row>
        <row r="1313">
          <cell r="D1313"/>
          <cell r="E1313"/>
          <cell r="F1313"/>
          <cell r="G1313"/>
        </row>
        <row r="1314">
          <cell r="D1314"/>
          <cell r="E1314"/>
          <cell r="F1314"/>
          <cell r="G1314"/>
        </row>
        <row r="1315">
          <cell r="D1315"/>
          <cell r="E1315"/>
          <cell r="F1315"/>
          <cell r="G1315"/>
        </row>
        <row r="1316">
          <cell r="D1316"/>
          <cell r="E1316"/>
          <cell r="F1316"/>
          <cell r="G1316"/>
        </row>
        <row r="1317">
          <cell r="D1317"/>
          <cell r="E1317"/>
          <cell r="F1317"/>
          <cell r="G1317"/>
        </row>
        <row r="1318">
          <cell r="D1318"/>
          <cell r="E1318"/>
          <cell r="F1318"/>
          <cell r="G1318"/>
        </row>
        <row r="1319">
          <cell r="D1319"/>
          <cell r="E1319"/>
          <cell r="F1319"/>
          <cell r="G1319"/>
        </row>
        <row r="1320">
          <cell r="D1320"/>
          <cell r="E1320"/>
          <cell r="F1320"/>
          <cell r="G1320"/>
        </row>
        <row r="1321">
          <cell r="D1321"/>
          <cell r="E1321"/>
          <cell r="F1321"/>
          <cell r="G1321"/>
        </row>
        <row r="1322">
          <cell r="D1322"/>
          <cell r="E1322"/>
          <cell r="F1322"/>
          <cell r="G1322"/>
        </row>
        <row r="1323">
          <cell r="D1323"/>
          <cell r="E1323"/>
          <cell r="F1323"/>
          <cell r="G1323"/>
        </row>
        <row r="1324">
          <cell r="D1324"/>
          <cell r="E1324"/>
          <cell r="F1324"/>
          <cell r="G1324"/>
        </row>
        <row r="1325">
          <cell r="D1325"/>
          <cell r="E1325"/>
          <cell r="F1325"/>
          <cell r="G1325"/>
        </row>
        <row r="1326">
          <cell r="D1326"/>
          <cell r="E1326"/>
          <cell r="F1326"/>
          <cell r="G1326"/>
        </row>
        <row r="1327">
          <cell r="D1327"/>
          <cell r="E1327"/>
          <cell r="F1327"/>
          <cell r="G1327"/>
        </row>
        <row r="1328">
          <cell r="D1328"/>
          <cell r="E1328"/>
          <cell r="F1328"/>
          <cell r="G1328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44">
          <cell r="G44">
            <v>0.51029999999999998</v>
          </cell>
        </row>
        <row r="45">
          <cell r="G45">
            <v>2.3508800000000001</v>
          </cell>
        </row>
        <row r="47">
          <cell r="G47">
            <v>176.22471999999999</v>
          </cell>
        </row>
        <row r="48">
          <cell r="G48">
            <v>63.737760000000002</v>
          </cell>
        </row>
        <row r="49">
          <cell r="G49">
            <v>41.182160000000003</v>
          </cell>
        </row>
        <row r="50">
          <cell r="G50">
            <v>0.53412599999999999</v>
          </cell>
        </row>
        <row r="51">
          <cell r="G51">
            <v>13.464</v>
          </cell>
        </row>
        <row r="52">
          <cell r="G52">
            <v>15.84</v>
          </cell>
        </row>
        <row r="53">
          <cell r="G53">
            <v>5.0244</v>
          </cell>
        </row>
        <row r="54">
          <cell r="G54">
            <v>2.9159999999999999</v>
          </cell>
        </row>
        <row r="55">
          <cell r="G55">
            <v>8.8606700000000007</v>
          </cell>
        </row>
        <row r="56">
          <cell r="G56">
            <v>24.563600000000001</v>
          </cell>
        </row>
        <row r="57">
          <cell r="G57">
            <v>0.368454</v>
          </cell>
        </row>
      </sheetData>
      <sheetData sheetId="130">
        <row r="44">
          <cell r="G44">
            <v>0.64259999999999995</v>
          </cell>
        </row>
        <row r="45">
          <cell r="G45">
            <v>2.9756800000000001</v>
          </cell>
        </row>
        <row r="47">
          <cell r="G47">
            <v>265.35431999999997</v>
          </cell>
        </row>
        <row r="48">
          <cell r="G48">
            <v>95.974559999999997</v>
          </cell>
        </row>
        <row r="49">
          <cell r="G49">
            <v>62.010959999999997</v>
          </cell>
        </row>
        <row r="50">
          <cell r="G50">
            <v>0.80887799999999999</v>
          </cell>
        </row>
        <row r="51">
          <cell r="G51">
            <v>20.504000000000001</v>
          </cell>
        </row>
        <row r="52">
          <cell r="G52">
            <v>18.64</v>
          </cell>
        </row>
        <row r="53">
          <cell r="G53">
            <v>6.5784000000000002</v>
          </cell>
        </row>
        <row r="54">
          <cell r="G54">
            <v>3.294</v>
          </cell>
        </row>
        <row r="55">
          <cell r="G55">
            <v>11.426408</v>
          </cell>
        </row>
        <row r="56">
          <cell r="G56">
            <v>31.479600000000001</v>
          </cell>
        </row>
        <row r="57">
          <cell r="G57">
            <v>0.472194</v>
          </cell>
        </row>
      </sheetData>
      <sheetData sheetId="131">
        <row r="44">
          <cell r="G44">
            <v>0.79379999999999995</v>
          </cell>
        </row>
        <row r="45">
          <cell r="G45">
            <v>3.6668799999999999</v>
          </cell>
        </row>
        <row r="47">
          <cell r="G47">
            <v>307.98151999999999</v>
          </cell>
        </row>
        <row r="48">
          <cell r="G48">
            <v>111.39216</v>
          </cell>
        </row>
        <row r="49">
          <cell r="G49">
            <v>71.972560000000001</v>
          </cell>
        </row>
        <row r="50">
          <cell r="G50">
            <v>0.94334200000000001</v>
          </cell>
        </row>
        <row r="51">
          <cell r="G51">
            <v>24.024000000000001</v>
          </cell>
        </row>
        <row r="52">
          <cell r="G52">
            <v>21.84</v>
          </cell>
        </row>
        <row r="53">
          <cell r="G53">
            <v>8.3544</v>
          </cell>
        </row>
        <row r="54">
          <cell r="G54">
            <v>3.726</v>
          </cell>
        </row>
        <row r="55">
          <cell r="G55">
            <v>12.118679999999999</v>
          </cell>
        </row>
        <row r="56">
          <cell r="G56">
            <v>39.383600000000001</v>
          </cell>
        </row>
        <row r="57">
          <cell r="G57">
            <v>0.590754</v>
          </cell>
        </row>
      </sheetData>
      <sheetData sheetId="132">
        <row r="44">
          <cell r="G44">
            <v>1.0772999999999999</v>
          </cell>
        </row>
        <row r="45">
          <cell r="G45">
            <v>4.9628800000000002</v>
          </cell>
        </row>
        <row r="47">
          <cell r="G47">
            <v>387.90751999999998</v>
          </cell>
        </row>
        <row r="48">
          <cell r="G48">
            <v>140.30016000000001</v>
          </cell>
        </row>
        <row r="49">
          <cell r="G49">
            <v>90.650559999999999</v>
          </cell>
        </row>
        <row r="50">
          <cell r="G50">
            <v>1.195462</v>
          </cell>
        </row>
        <row r="51">
          <cell r="G51">
            <v>30.623999999999999</v>
          </cell>
        </row>
        <row r="52">
          <cell r="G52">
            <v>27.84</v>
          </cell>
        </row>
        <row r="53">
          <cell r="G53">
            <v>11.6844</v>
          </cell>
        </row>
        <row r="54">
          <cell r="G54">
            <v>4.5359999999999996</v>
          </cell>
        </row>
        <row r="55">
          <cell r="G55">
            <v>13.416689999999999</v>
          </cell>
        </row>
        <row r="56">
          <cell r="G56">
            <v>54.203600000000002</v>
          </cell>
        </row>
        <row r="57">
          <cell r="G57">
            <v>0.81305400000000005</v>
          </cell>
        </row>
      </sheetData>
      <sheetData sheetId="133">
        <row r="44">
          <cell r="G44">
            <v>1.3796999999999999</v>
          </cell>
        </row>
        <row r="45">
          <cell r="G45">
            <v>6.3452799999999998</v>
          </cell>
        </row>
        <row r="47">
          <cell r="G47">
            <v>473.16192000000001</v>
          </cell>
        </row>
        <row r="48">
          <cell r="G48">
            <v>171.13535999999999</v>
          </cell>
        </row>
        <row r="49">
          <cell r="G49">
            <v>110.57375999999999</v>
          </cell>
        </row>
        <row r="50">
          <cell r="G50">
            <v>1.4643900000000001</v>
          </cell>
        </row>
        <row r="51">
          <cell r="G51">
            <v>37.664000000000001</v>
          </cell>
        </row>
        <row r="52">
          <cell r="G52">
            <v>34.24</v>
          </cell>
        </row>
        <row r="53">
          <cell r="G53">
            <v>15.2364</v>
          </cell>
        </row>
        <row r="54">
          <cell r="G54">
            <v>5.4</v>
          </cell>
        </row>
        <row r="55">
          <cell r="G55">
            <v>14.801233999999999</v>
          </cell>
        </row>
        <row r="56">
          <cell r="G56">
            <v>70.011600000000001</v>
          </cell>
        </row>
        <row r="57">
          <cell r="G57">
            <v>1.0501739999999999</v>
          </cell>
        </row>
      </sheetData>
      <sheetData sheetId="134">
        <row r="44">
          <cell r="G44">
            <v>1.7955000000000001</v>
          </cell>
        </row>
        <row r="45">
          <cell r="G45">
            <v>8.2460799999999992</v>
          </cell>
        </row>
        <row r="47">
          <cell r="G47">
            <v>590.38671999999997</v>
          </cell>
        </row>
        <row r="48">
          <cell r="G48">
            <v>213.53376</v>
          </cell>
        </row>
        <row r="49">
          <cell r="G49">
            <v>137.96816000000001</v>
          </cell>
        </row>
        <row r="50">
          <cell r="G50">
            <v>1.834166</v>
          </cell>
        </row>
        <row r="51">
          <cell r="G51">
            <v>47.344000000000001</v>
          </cell>
        </row>
        <row r="52">
          <cell r="G52">
            <v>43.04</v>
          </cell>
        </row>
        <row r="53">
          <cell r="G53">
            <v>20.1204</v>
          </cell>
        </row>
        <row r="54">
          <cell r="G54">
            <v>6.5880000000000001</v>
          </cell>
        </row>
        <row r="55">
          <cell r="G55">
            <v>16.704982000000001</v>
          </cell>
        </row>
        <row r="56">
          <cell r="G56">
            <v>91.747600000000006</v>
          </cell>
        </row>
        <row r="57">
          <cell r="G57">
            <v>1.376214</v>
          </cell>
        </row>
      </sheetData>
      <sheetData sheetId="135">
        <row r="43">
          <cell r="G43">
            <v>0.212058</v>
          </cell>
        </row>
        <row r="44">
          <cell r="G44">
            <v>0.37265999999999999</v>
          </cell>
        </row>
        <row r="46">
          <cell r="G46">
            <v>3.5342920000000002</v>
          </cell>
        </row>
        <row r="47">
          <cell r="G47">
            <v>5.3013999999999999E-2</v>
          </cell>
        </row>
        <row r="48">
          <cell r="G48">
            <v>772.83179299999995</v>
          </cell>
        </row>
        <row r="49">
          <cell r="G49">
            <v>4.8301990000000004</v>
          </cell>
        </row>
        <row r="50">
          <cell r="G50">
            <v>0.227019</v>
          </cell>
        </row>
      </sheetData>
      <sheetData sheetId="136">
        <row r="41">
          <cell r="G41">
            <v>0.13503999999999999</v>
          </cell>
        </row>
        <row r="43">
          <cell r="G43">
            <v>103.66160000000001</v>
          </cell>
        </row>
        <row r="44">
          <cell r="G44">
            <v>37.492800000000003</v>
          </cell>
        </row>
        <row r="45">
          <cell r="G45">
            <v>24.224799999999998</v>
          </cell>
        </row>
        <row r="46">
          <cell r="G46">
            <v>0.31419200000000003</v>
          </cell>
        </row>
        <row r="47">
          <cell r="G47">
            <v>7.92</v>
          </cell>
        </row>
        <row r="48">
          <cell r="G48">
            <v>7.92</v>
          </cell>
        </row>
        <row r="49">
          <cell r="G49">
            <v>3.92</v>
          </cell>
        </row>
      </sheetData>
      <sheetData sheetId="137">
        <row r="41">
          <cell r="G41">
            <v>0.15184</v>
          </cell>
        </row>
        <row r="43">
          <cell r="G43">
            <v>120.6156</v>
          </cell>
        </row>
        <row r="44">
          <cell r="G44">
            <v>43.6248</v>
          </cell>
        </row>
        <row r="45">
          <cell r="G45">
            <v>28.186800000000002</v>
          </cell>
        </row>
        <row r="46">
          <cell r="G46">
            <v>0.367672</v>
          </cell>
        </row>
        <row r="47">
          <cell r="G47">
            <v>9.32</v>
          </cell>
        </row>
        <row r="48">
          <cell r="G48">
            <v>9.32</v>
          </cell>
        </row>
        <row r="49">
          <cell r="G49">
            <v>3.92</v>
          </cell>
        </row>
      </sheetData>
      <sheetData sheetId="138">
        <row r="41">
          <cell r="G41">
            <v>0.17104</v>
          </cell>
        </row>
        <row r="43">
          <cell r="G43">
            <v>139.99160000000001</v>
          </cell>
        </row>
        <row r="44">
          <cell r="G44">
            <v>50.632800000000003</v>
          </cell>
        </row>
        <row r="45">
          <cell r="G45">
            <v>32.714799999999997</v>
          </cell>
        </row>
        <row r="46">
          <cell r="G46">
            <v>0.42879200000000001</v>
          </cell>
        </row>
        <row r="47">
          <cell r="G47">
            <v>10.92</v>
          </cell>
        </row>
        <row r="48">
          <cell r="G48">
            <v>10.92</v>
          </cell>
        </row>
        <row r="49">
          <cell r="G49">
            <v>3.92</v>
          </cell>
        </row>
      </sheetData>
      <sheetData sheetId="139">
        <row r="41">
          <cell r="G41">
            <v>0.20704</v>
          </cell>
        </row>
        <row r="43">
          <cell r="G43">
            <v>176.32159999999999</v>
          </cell>
        </row>
        <row r="44">
          <cell r="G44">
            <v>63.772799999999997</v>
          </cell>
        </row>
        <row r="45">
          <cell r="G45">
            <v>41.204799999999999</v>
          </cell>
        </row>
        <row r="46">
          <cell r="G46">
            <v>0.54339199999999999</v>
          </cell>
        </row>
        <row r="47">
          <cell r="G47">
            <v>13.92</v>
          </cell>
        </row>
        <row r="48">
          <cell r="G48">
            <v>13.92</v>
          </cell>
        </row>
        <row r="49">
          <cell r="G49">
            <v>3.92</v>
          </cell>
        </row>
      </sheetData>
      <sheetData sheetId="140">
        <row r="41">
          <cell r="G41">
            <v>0.24543999999999999</v>
          </cell>
        </row>
        <row r="43">
          <cell r="G43">
            <v>215.0736</v>
          </cell>
        </row>
        <row r="44">
          <cell r="G44">
            <v>77.788799999999995</v>
          </cell>
        </row>
        <row r="45">
          <cell r="G45">
            <v>50.260800000000003</v>
          </cell>
        </row>
        <row r="46">
          <cell r="G46">
            <v>0.665632</v>
          </cell>
        </row>
        <row r="47">
          <cell r="G47">
            <v>17.12</v>
          </cell>
        </row>
        <row r="48">
          <cell r="G48">
            <v>17.12</v>
          </cell>
        </row>
        <row r="49">
          <cell r="G49">
            <v>3.92</v>
          </cell>
        </row>
      </sheetData>
      <sheetData sheetId="141">
        <row r="41">
          <cell r="G41">
            <v>0.29824000000000001</v>
          </cell>
        </row>
        <row r="43">
          <cell r="G43">
            <v>268.35759999999999</v>
          </cell>
        </row>
        <row r="44">
          <cell r="G44">
            <v>97.0608</v>
          </cell>
        </row>
        <row r="45">
          <cell r="G45">
            <v>62.712800000000001</v>
          </cell>
        </row>
        <row r="46">
          <cell r="G46">
            <v>0.83371200000000001</v>
          </cell>
        </row>
        <row r="47">
          <cell r="G47">
            <v>21.52</v>
          </cell>
        </row>
        <row r="48">
          <cell r="G48">
            <v>21.52</v>
          </cell>
        </row>
        <row r="49">
          <cell r="G49">
            <v>3.92</v>
          </cell>
        </row>
      </sheetData>
      <sheetData sheetId="142">
        <row r="41">
          <cell r="G41">
            <v>0.56735999999999998</v>
          </cell>
        </row>
        <row r="43">
          <cell r="G43">
            <v>119.889</v>
          </cell>
        </row>
        <row r="44">
          <cell r="G44">
            <v>43.362000000000002</v>
          </cell>
        </row>
        <row r="45">
          <cell r="G45">
            <v>28.016999999999999</v>
          </cell>
        </row>
        <row r="46">
          <cell r="G46">
            <v>0.35898000000000002</v>
          </cell>
        </row>
        <row r="47">
          <cell r="G47">
            <v>8.94</v>
          </cell>
        </row>
        <row r="48">
          <cell r="G48">
            <v>11.92</v>
          </cell>
        </row>
        <row r="49">
          <cell r="G49">
            <v>2.8488000000000002</v>
          </cell>
        </row>
        <row r="50">
          <cell r="G50">
            <v>6.3411679999999997</v>
          </cell>
        </row>
        <row r="51">
          <cell r="G51">
            <v>5.8566000000000003</v>
          </cell>
        </row>
        <row r="52">
          <cell r="G52">
            <v>8.7848999999999997E-2</v>
          </cell>
        </row>
      </sheetData>
      <sheetData sheetId="143">
        <row r="44">
          <cell r="G44">
            <v>2.1521919999999999</v>
          </cell>
        </row>
        <row r="45">
          <cell r="G45">
            <v>2.6400639999999997</v>
          </cell>
        </row>
        <row r="47">
          <cell r="G47">
            <v>58</v>
          </cell>
        </row>
        <row r="48">
          <cell r="G48">
            <v>0.43345899999999998</v>
          </cell>
        </row>
        <row r="49">
          <cell r="G49">
            <v>12.288</v>
          </cell>
        </row>
        <row r="50">
          <cell r="G50">
            <v>7.68</v>
          </cell>
        </row>
        <row r="51">
          <cell r="G51">
            <v>4.7615999999999996</v>
          </cell>
        </row>
        <row r="52">
          <cell r="G52">
            <v>2.8512</v>
          </cell>
        </row>
        <row r="53">
          <cell r="G53">
            <v>8.3660639999999997</v>
          </cell>
        </row>
        <row r="54">
          <cell r="G54">
            <v>20.8</v>
          </cell>
        </row>
        <row r="55">
          <cell r="G55">
            <v>54</v>
          </cell>
        </row>
        <row r="56">
          <cell r="G56">
            <v>13.6242</v>
          </cell>
        </row>
        <row r="57">
          <cell r="G57">
            <v>0.20436299999999999</v>
          </cell>
        </row>
      </sheetData>
      <sheetData sheetId="144">
        <row r="44">
          <cell r="G44">
            <v>3.6748639999999999</v>
          </cell>
        </row>
        <row r="45">
          <cell r="G45">
            <v>280</v>
          </cell>
        </row>
        <row r="47">
          <cell r="G47">
            <v>0.66458399999999995</v>
          </cell>
        </row>
        <row r="48">
          <cell r="G48">
            <v>18.96</v>
          </cell>
        </row>
        <row r="49">
          <cell r="G49">
            <v>18.96</v>
          </cell>
        </row>
        <row r="50">
          <cell r="G50">
            <v>6.7055999999999996</v>
          </cell>
        </row>
        <row r="51">
          <cell r="G51">
            <v>3.3372000000000002</v>
          </cell>
        </row>
        <row r="52">
          <cell r="G52">
            <v>10.694348</v>
          </cell>
        </row>
        <row r="53">
          <cell r="G53">
            <v>27.3</v>
          </cell>
        </row>
        <row r="54">
          <cell r="G54">
            <v>22</v>
          </cell>
        </row>
        <row r="55">
          <cell r="G55">
            <v>58.9</v>
          </cell>
        </row>
        <row r="56">
          <cell r="G56">
            <v>18.322199999999999</v>
          </cell>
        </row>
        <row r="57">
          <cell r="G57">
            <v>0.27483299999999999</v>
          </cell>
        </row>
      </sheetData>
      <sheetData sheetId="145">
        <row r="44">
          <cell r="G44">
            <v>0.79379999999999995</v>
          </cell>
        </row>
        <row r="45">
          <cell r="G45">
            <v>3.5358399999999999</v>
          </cell>
        </row>
        <row r="47">
          <cell r="G47">
            <v>307.98151999999999</v>
          </cell>
        </row>
        <row r="48">
          <cell r="G48">
            <v>111.39216</v>
          </cell>
        </row>
        <row r="49">
          <cell r="G49">
            <v>71.972560000000001</v>
          </cell>
        </row>
        <row r="50">
          <cell r="G50">
            <v>0.94334200000000001</v>
          </cell>
        </row>
        <row r="51">
          <cell r="G51">
            <v>24.024000000000001</v>
          </cell>
        </row>
        <row r="52">
          <cell r="G52">
            <v>10.92</v>
          </cell>
        </row>
        <row r="53">
          <cell r="G53">
            <v>8.3544</v>
          </cell>
        </row>
        <row r="54">
          <cell r="G54">
            <v>3.726</v>
          </cell>
        </row>
        <row r="55">
          <cell r="G55">
            <v>12.118679999999999</v>
          </cell>
        </row>
        <row r="56">
          <cell r="G56">
            <v>39.383600000000001</v>
          </cell>
        </row>
        <row r="57">
          <cell r="G57">
            <v>0.590754</v>
          </cell>
        </row>
      </sheetData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44">
          <cell r="G44">
            <v>10.59</v>
          </cell>
        </row>
        <row r="45">
          <cell r="G45">
            <v>0.67500000000000004</v>
          </cell>
        </row>
        <row r="46">
          <cell r="G46">
            <v>0.67500000000000004</v>
          </cell>
        </row>
      </sheetData>
      <sheetData sheetId="155">
        <row r="44">
          <cell r="G44">
            <v>0.96</v>
          </cell>
        </row>
        <row r="45">
          <cell r="G45">
            <v>1.48</v>
          </cell>
        </row>
        <row r="46">
          <cell r="G46">
            <v>24.83</v>
          </cell>
        </row>
      </sheetData>
      <sheetData sheetId="156">
        <row r="44">
          <cell r="G44">
            <v>1.92</v>
          </cell>
        </row>
        <row r="45">
          <cell r="G45">
            <v>2.96</v>
          </cell>
        </row>
        <row r="46">
          <cell r="G46">
            <v>39.07</v>
          </cell>
        </row>
      </sheetData>
      <sheetData sheetId="157">
        <row r="44">
          <cell r="G44">
            <v>0.92</v>
          </cell>
        </row>
        <row r="45">
          <cell r="G45">
            <v>4.5</v>
          </cell>
        </row>
        <row r="46">
          <cell r="G46">
            <v>0.72899999999999998</v>
          </cell>
        </row>
        <row r="47">
          <cell r="G47">
            <v>0.72899999999999998</v>
          </cell>
        </row>
      </sheetData>
      <sheetData sheetId="158"/>
      <sheetData sheetId="159">
        <row r="44">
          <cell r="G44">
            <v>2.5300000000000002</v>
          </cell>
        </row>
        <row r="45">
          <cell r="G45">
            <v>8.59</v>
          </cell>
        </row>
        <row r="46">
          <cell r="G46">
            <v>1.272</v>
          </cell>
        </row>
        <row r="47">
          <cell r="G47">
            <v>1.272</v>
          </cell>
        </row>
      </sheetData>
      <sheetData sheetId="160">
        <row r="44">
          <cell r="G44">
            <v>4.2300000000000004</v>
          </cell>
        </row>
        <row r="45">
          <cell r="G45">
            <v>12.68</v>
          </cell>
        </row>
        <row r="46">
          <cell r="G46">
            <v>1.8150000000000002</v>
          </cell>
        </row>
        <row r="47">
          <cell r="G47">
            <v>1.8150000000000002</v>
          </cell>
        </row>
      </sheetData>
      <sheetData sheetId="161">
        <row r="45">
          <cell r="G45">
            <v>0.23710000000000003</v>
          </cell>
        </row>
        <row r="46">
          <cell r="G46">
            <v>0.23710000000000003</v>
          </cell>
        </row>
      </sheetData>
      <sheetData sheetId="162">
        <row r="45">
          <cell r="G45">
            <v>0.36421999999999999</v>
          </cell>
        </row>
        <row r="46">
          <cell r="G46">
            <v>0.36421999999999999</v>
          </cell>
        </row>
      </sheetData>
      <sheetData sheetId="163">
        <row r="45">
          <cell r="G45">
            <v>0.49125000000000002</v>
          </cell>
        </row>
        <row r="46">
          <cell r="G46">
            <v>0.49125000000000002</v>
          </cell>
        </row>
      </sheetData>
      <sheetData sheetId="164"/>
      <sheetData sheetId="165"/>
      <sheetData sheetId="166"/>
      <sheetData sheetId="167"/>
      <sheetData sheetId="168">
        <row r="41">
          <cell r="G41">
            <v>0.66039999999999999</v>
          </cell>
        </row>
        <row r="42">
          <cell r="G42">
            <v>4.407</v>
          </cell>
        </row>
      </sheetData>
      <sheetData sheetId="169">
        <row r="41">
          <cell r="G41">
            <v>1.2385999999999999</v>
          </cell>
        </row>
        <row r="42">
          <cell r="G42">
            <v>6.6445999999999996</v>
          </cell>
        </row>
      </sheetData>
      <sheetData sheetId="170">
        <row r="41">
          <cell r="G41">
            <v>2.2320000000000002</v>
          </cell>
        </row>
        <row r="42">
          <cell r="G42">
            <v>9.7668999999999997</v>
          </cell>
        </row>
      </sheetData>
      <sheetData sheetId="171">
        <row r="41">
          <cell r="G41">
            <v>3.629</v>
          </cell>
        </row>
        <row r="42">
          <cell r="G42">
            <v>13.464</v>
          </cell>
        </row>
      </sheetData>
      <sheetData sheetId="172">
        <row r="41">
          <cell r="G41">
            <v>5.4016999999999999</v>
          </cell>
        </row>
        <row r="42">
          <cell r="G42">
            <v>17.460899999999999</v>
          </cell>
        </row>
      </sheetData>
      <sheetData sheetId="173">
        <row r="41">
          <cell r="G41">
            <v>8.9499999999999993</v>
          </cell>
        </row>
        <row r="42">
          <cell r="G42">
            <v>24.334399999999999</v>
          </cell>
        </row>
      </sheetData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IM_SEL"/>
      <sheetName val="BOLETIM_COTACAO"/>
      <sheetName val="BINÔMIO BETUMINOSO"/>
      <sheetName val="MAPA_DE_COTAÇÃO"/>
      <sheetName val="SINAPI"/>
      <sheetName val="SICRO_Densidades"/>
      <sheetName val="SINAPI_Escavacao_Vala"/>
      <sheetName val="SINAPI_Reaterro_Vala"/>
      <sheetName val="BDI"/>
      <sheetName val="BDI (2)"/>
      <sheetName val="prod_equi_RE-0060"/>
      <sheetName val="prod_equi_RE-0065"/>
      <sheetName val="prod_equi_RE-0070"/>
      <sheetName val="AD-0001"/>
      <sheetName val="AD-0002"/>
      <sheetName val="AD-0003"/>
      <sheetName val="AD-0004"/>
      <sheetName val="AD-0005"/>
      <sheetName val="EC-0005"/>
      <sheetName val="EC-0010"/>
      <sheetName val="EC-0015"/>
      <sheetName val="EC-0020"/>
      <sheetName val="EC-0025"/>
      <sheetName val="EC-0030"/>
      <sheetName val="EC-0031"/>
      <sheetName val="EC-0032"/>
      <sheetName val="EC-0033"/>
      <sheetName val="EC-0035"/>
      <sheetName val="EC-0036"/>
      <sheetName val="EC-0037"/>
      <sheetName val="EC-0038"/>
      <sheetName val="EC-0039"/>
      <sheetName val="EC-0040"/>
      <sheetName val="EC-0041"/>
      <sheetName val="EC-0043"/>
      <sheetName val="EC-0044"/>
      <sheetName val="EC-0045"/>
      <sheetName val="EC-0050"/>
      <sheetName val="EC-0051"/>
      <sheetName val="EC-0052"/>
      <sheetName val="EC-0053"/>
      <sheetName val="EC-0055"/>
      <sheetName val="EC-0060"/>
      <sheetName val="EC-0065"/>
      <sheetName val="EC-0070"/>
      <sheetName val="EC-0075"/>
      <sheetName val="EC-0080"/>
      <sheetName val="EC-0085"/>
      <sheetName val="EC-0090"/>
      <sheetName val="EC-0100"/>
      <sheetName val="EC-0110"/>
      <sheetName val="EC-0120"/>
      <sheetName val="EC-0130"/>
      <sheetName val="EC-0135"/>
      <sheetName val="EC-0136"/>
      <sheetName val="EC-0145"/>
      <sheetName val="EC-0150"/>
      <sheetName val="EC-0155"/>
      <sheetName val="EC-0165"/>
      <sheetName val="EC-0170"/>
      <sheetName val="EC-0180"/>
      <sheetName val="EC-0190"/>
      <sheetName val="EC-0200"/>
      <sheetName val="EC-0210"/>
      <sheetName val="EC-0220"/>
      <sheetName val="EC-0230"/>
      <sheetName val="EC-0240"/>
      <sheetName val="ES-0010"/>
      <sheetName val="ES-0015"/>
      <sheetName val="ES-0020"/>
      <sheetName val="ES-0025"/>
      <sheetName val="ES-0030"/>
      <sheetName val="ES-0035"/>
      <sheetName val="ES-0040"/>
      <sheetName val="ES-0045"/>
      <sheetName val="ES-0050"/>
      <sheetName val="ES-0055"/>
      <sheetName val="ES-0060"/>
      <sheetName val="ES-0065"/>
      <sheetName val="ES-0070"/>
      <sheetName val="ES-0075"/>
      <sheetName val="ES-0080"/>
      <sheetName val="ES-0085"/>
      <sheetName val="ES-0090"/>
      <sheetName val="ES-0095"/>
      <sheetName val="ES-0100"/>
      <sheetName val="ES-0105"/>
      <sheetName val="DR-0005"/>
      <sheetName val="DR-0007"/>
      <sheetName val="DR-0008"/>
      <sheetName val="DR-0010"/>
      <sheetName val="DR-0015"/>
      <sheetName val="DR-0020"/>
      <sheetName val="DR-0021"/>
      <sheetName val="DR-0024"/>
      <sheetName val="DR-0025"/>
      <sheetName val="DR-0026"/>
      <sheetName val="DR-0027"/>
      <sheetName val="DR-0028"/>
      <sheetName val="DR-0030"/>
      <sheetName val="DR-0032"/>
      <sheetName val="DR-0033"/>
      <sheetName val="DR-0035"/>
      <sheetName val="DR-0036"/>
      <sheetName val="DR-0037"/>
      <sheetName val="DR-0038"/>
      <sheetName val="DR-0040"/>
      <sheetName val="DR-0045"/>
      <sheetName val="DR-0050"/>
      <sheetName val="DR-0055"/>
      <sheetName val="DR-0060"/>
      <sheetName val="DR-0065"/>
      <sheetName val="DR-0070"/>
      <sheetName val="DR-0075"/>
      <sheetName val="DR-0080"/>
      <sheetName val="DR-0085"/>
      <sheetName val="DR-0090"/>
      <sheetName val="DR-0095"/>
      <sheetName val="DR-0100"/>
      <sheetName val="DR-0105"/>
      <sheetName val="DR-0091"/>
      <sheetName val="DR-0096"/>
      <sheetName val="DR-0101"/>
      <sheetName val="DR-0106"/>
      <sheetName val="DR-0110"/>
      <sheetName val="DR-0115"/>
      <sheetName val="DR-0120"/>
      <sheetName val="DR-0125"/>
      <sheetName val="DR-0130"/>
      <sheetName val="DR-0135"/>
      <sheetName val="DR-0140"/>
      <sheetName val="DR-0145"/>
      <sheetName val="DR-0150"/>
      <sheetName val="DR-0155"/>
      <sheetName val="DR-0160"/>
      <sheetName val="DR-0165"/>
      <sheetName val="DR-0170"/>
      <sheetName val="DR-0175"/>
      <sheetName val="DR-0180"/>
      <sheetName val="DR-0185"/>
      <sheetName val="DR-0190"/>
      <sheetName val="DR-0195"/>
      <sheetName val="DR-0200"/>
      <sheetName val="DR-0205"/>
      <sheetName val="DR-0210"/>
      <sheetName val="DR-0215"/>
      <sheetName val="DR-0220"/>
      <sheetName val="DR-0225"/>
      <sheetName val="DR-0230"/>
      <sheetName val="DR-0235"/>
      <sheetName val="DR-0236"/>
      <sheetName val="DR-0237"/>
      <sheetName val="DR-0240"/>
      <sheetName val="DR-0245"/>
      <sheetName val="DR-0250"/>
      <sheetName val="DR-0255"/>
      <sheetName val="DR-0260"/>
      <sheetName val="DR-0265"/>
      <sheetName val="DR-0267"/>
      <sheetName val="DR-0270"/>
      <sheetName val="DR-0275"/>
      <sheetName val="DR-0280"/>
      <sheetName val="DR-0285"/>
      <sheetName val="DR-0290"/>
      <sheetName val="DR-0292"/>
      <sheetName val="DR-0295"/>
      <sheetName val="DR-0296"/>
      <sheetName val="DR-0300"/>
      <sheetName val="DR-0305"/>
      <sheetName val="DR-0310"/>
      <sheetName val="DR-0315"/>
      <sheetName val="DR-0320"/>
      <sheetName val="DR-0325"/>
      <sheetName val="DR-0330"/>
      <sheetName val="DR-0335"/>
      <sheetName val="DR-0340"/>
      <sheetName val="DR-0341"/>
      <sheetName val="DR-0345"/>
      <sheetName val="DR-0350"/>
      <sheetName val="DR-0355"/>
      <sheetName val="DR-0365"/>
      <sheetName val="DR-0370"/>
      <sheetName val="DR-0375"/>
      <sheetName val="DR-0385"/>
      <sheetName val="DR-0390"/>
      <sheetName val="DR-0395"/>
      <sheetName val="DR-0400"/>
      <sheetName val="DR-0410"/>
      <sheetName val="DR-0411"/>
      <sheetName val="DR-0415"/>
      <sheetName val="DR-0420"/>
      <sheetName val="DR-0421"/>
      <sheetName val="DR-0430"/>
      <sheetName val="DR-0440"/>
      <sheetName val="LF-0005"/>
      <sheetName val="LF-0007"/>
      <sheetName val="LF-0008"/>
      <sheetName val="LF-0010"/>
      <sheetName val="LF-0015"/>
      <sheetName val="LF-0020"/>
      <sheetName val="LF-0025"/>
      <sheetName val="LF-0030"/>
      <sheetName val="LF-0035"/>
      <sheetName val="LF-0040"/>
      <sheetName val="LF-0045"/>
      <sheetName val="PA-0005"/>
      <sheetName val="PA-0006"/>
      <sheetName val="PA-0007"/>
      <sheetName val="PA-0008"/>
      <sheetName val="PA-0010"/>
      <sheetName val="PA-0015"/>
      <sheetName val="PA-0018"/>
      <sheetName val="PA-0019"/>
      <sheetName val="PA-0020"/>
      <sheetName val="PA-0021"/>
      <sheetName val="PA-0022"/>
      <sheetName val="PA-0023"/>
      <sheetName val="PA-0025"/>
      <sheetName val="PA-0030"/>
      <sheetName val="PA-0035"/>
      <sheetName val="PA-0036"/>
      <sheetName val="PA-0037"/>
      <sheetName val="PA-0040"/>
      <sheetName val="PA-0041"/>
      <sheetName val="PA-0042"/>
      <sheetName val="PA-0045"/>
      <sheetName val="PA-0050"/>
      <sheetName val="PA-0055"/>
      <sheetName val="PA-0060"/>
      <sheetName val="PA-0070"/>
      <sheetName val="PA-0080"/>
      <sheetName val="PA-0090"/>
      <sheetName val="PA-0100"/>
      <sheetName val="PA-0110"/>
      <sheetName val="PA-0120"/>
      <sheetName val="PA-0130"/>
      <sheetName val="PA-0140"/>
      <sheetName val="PA-0150"/>
      <sheetName val="PA-0160"/>
      <sheetName val="RE-0005"/>
      <sheetName val="RE-0010"/>
      <sheetName val="RE-0015"/>
      <sheetName val="RE-0020"/>
      <sheetName val="RE-0025"/>
      <sheetName val="RE-0030"/>
      <sheetName val="RE-0035"/>
      <sheetName val="RE-0040"/>
      <sheetName val="RE-0045"/>
      <sheetName val="RE-0050"/>
      <sheetName val="RE-0051"/>
      <sheetName val="RE-0052"/>
      <sheetName val="RE-0053"/>
      <sheetName val="RE-0055"/>
      <sheetName val="RE-0056"/>
      <sheetName val="RE-0057"/>
      <sheetName val="RE-0058"/>
      <sheetName val="RE-0060"/>
      <sheetName val="RE-0065"/>
      <sheetName val="RE-0070"/>
      <sheetName val="RE-0075"/>
      <sheetName val="RE-0080"/>
      <sheetName val="RE-0085"/>
      <sheetName val="RE-0090"/>
      <sheetName val="SC-0005"/>
      <sheetName val="SC-0006"/>
      <sheetName val="SC-0010"/>
      <sheetName val="SC-0015"/>
      <sheetName val="SC-0020"/>
      <sheetName val="SC-0025"/>
      <sheetName val="SC-0030"/>
      <sheetName val="SC-0035"/>
      <sheetName val="SC-0040"/>
      <sheetName val="SC-0007"/>
      <sheetName val="SC-0008"/>
      <sheetName val="SC-0011"/>
      <sheetName val="SC-0016"/>
      <sheetName val="SC-0021"/>
      <sheetName val="SC-0026"/>
      <sheetName val="SC-0031"/>
      <sheetName val="SC-0036"/>
      <sheetName val="SC-0041"/>
      <sheetName val="SC-0045"/>
      <sheetName val="SC-0050"/>
      <sheetName val="SC-0055"/>
      <sheetName val="SC-0060"/>
      <sheetName val="SC-0065"/>
      <sheetName val="SC-0067"/>
      <sheetName val="SC-0068"/>
      <sheetName val="SC-0069"/>
      <sheetName val="SC-0070"/>
      <sheetName val="SC-0075"/>
      <sheetName val="SC-0080"/>
      <sheetName val="SC-0082"/>
      <sheetName val="SC-0085"/>
      <sheetName val="SC-0090"/>
      <sheetName val="SC-0091"/>
      <sheetName val="SC-0092"/>
      <sheetName val="SC-0095"/>
      <sheetName val="SC-0096"/>
      <sheetName val="SC-0097"/>
      <sheetName val="SC-0100"/>
      <sheetName val="SC-0105"/>
      <sheetName val="SC-0110"/>
      <sheetName val="SC-0115"/>
      <sheetName val="SC-0120"/>
      <sheetName val="SC-0125"/>
      <sheetName val="SC-0130"/>
      <sheetName val="SC-0135"/>
      <sheetName val="SC-0140"/>
      <sheetName val="SC-0145"/>
      <sheetName val="SC-0150"/>
      <sheetName val="SC-0155"/>
      <sheetName val="SC-0160"/>
      <sheetName val="SC-0200"/>
      <sheetName val="SC-0205"/>
      <sheetName val="SC-0210"/>
      <sheetName val="SC-0220"/>
      <sheetName val="SC-0230"/>
      <sheetName val="SC-0240"/>
      <sheetName val="SC-0250"/>
      <sheetName val="SC-0260"/>
      <sheetName val="SC-0270"/>
      <sheetName val="SP-0001"/>
      <sheetName val="SP-0004"/>
      <sheetName val="SP-0005"/>
      <sheetName val="SP-0006"/>
      <sheetName val="SP-0007"/>
      <sheetName val="SP-0008"/>
      <sheetName val="SP-0009"/>
      <sheetName val="SP-0010"/>
      <sheetName val="SP-0020"/>
      <sheetName val="SP-0025"/>
      <sheetName val="SP-0030"/>
      <sheetName val="SP-0050"/>
      <sheetName val="SP-0060"/>
      <sheetName val="SP-0074"/>
      <sheetName val="SP-0076"/>
      <sheetName val="SP-0080"/>
      <sheetName val="SP-0100"/>
      <sheetName val="SP-0105"/>
      <sheetName val="SP-0110"/>
      <sheetName val="SP-0115"/>
      <sheetName val="SP-0120"/>
      <sheetName val="SP-0125"/>
      <sheetName val="SP-0130"/>
      <sheetName val="SP-0140"/>
      <sheetName val="SP-0150"/>
      <sheetName val="SP-0160"/>
      <sheetName val="SP-0170"/>
      <sheetName val="SP-0180"/>
      <sheetName val="SP-0190"/>
      <sheetName val="SP-0200"/>
      <sheetName val="SP-0210"/>
      <sheetName val="SP-0220"/>
      <sheetName val="SR-0010"/>
      <sheetName val="SR-0020"/>
      <sheetName val="SR-0030"/>
      <sheetName val="SR-0040"/>
      <sheetName val="SR-0050"/>
      <sheetName val="SR-0060"/>
      <sheetName val="SR-0061"/>
      <sheetName val="SR-0070"/>
      <sheetName val="SR-0080"/>
      <sheetName val="SR-0090"/>
      <sheetName val="SR-0100"/>
      <sheetName val="SR-0110"/>
      <sheetName val="SR-0120"/>
      <sheetName val="ST-0020"/>
      <sheetName val="ST-0065"/>
      <sheetName val="ST-0070"/>
      <sheetName val="SV-0005"/>
      <sheetName val="SV-0010"/>
      <sheetName val="SV-0012"/>
      <sheetName val="SV-0015"/>
      <sheetName val="SV-0020"/>
      <sheetName val="SV-0025"/>
      <sheetName val="SV-0030"/>
      <sheetName val="SV-0035"/>
      <sheetName val="SV-0037"/>
      <sheetName val="SV-0040"/>
      <sheetName val="SV-0045"/>
      <sheetName val="SV-0050"/>
      <sheetName val="SV-0055"/>
      <sheetName val="SV-0060"/>
      <sheetName val="SV-0065"/>
      <sheetName val="SV-0070"/>
      <sheetName val="SV-0075"/>
      <sheetName val="SV-0080"/>
      <sheetName val="SV-0085"/>
      <sheetName val="SV-0090"/>
      <sheetName val="SV-0091"/>
      <sheetName val="SV-0095"/>
      <sheetName val="SV-0100"/>
      <sheetName val="SV-0105"/>
      <sheetName val="SV-0106"/>
      <sheetName val="SV-0107"/>
      <sheetName val="SV-0110"/>
      <sheetName val="SV-0115"/>
      <sheetName val="SV-0120"/>
      <sheetName val="SV-0125"/>
      <sheetName val="SV-0130"/>
      <sheetName val="SV-0140"/>
      <sheetName val="SV-0150"/>
      <sheetName val="SV-0160"/>
      <sheetName val="SV-0170"/>
      <sheetName val="SV-0180"/>
      <sheetName val="S"/>
      <sheetName val="SCH_BOLETIM_DESONERADO_2023_06_"/>
    </sheetNames>
    <sheetDataSet>
      <sheetData sheetId="0">
        <row r="1">
          <cell r="A1" t="str">
            <v>SINAPI:</v>
          </cell>
          <cell r="B1" t="str">
            <v>Junho/2023</v>
          </cell>
          <cell r="C1"/>
          <cell r="D1" t="str">
            <v>LISTA SINTÉTICA SIMPLES DE PREÇOS UNITÁRIOS</v>
          </cell>
          <cell r="E1" t="str">
            <v>REVISÃO:</v>
          </cell>
          <cell r="F1"/>
          <cell r="G1">
            <v>1</v>
          </cell>
          <cell r="H1"/>
        </row>
        <row r="2">
          <cell r="A2" t="str">
            <v>SICRO:</v>
          </cell>
          <cell r="B2">
            <v>45017</v>
          </cell>
          <cell r="C2"/>
          <cell r="D2" t="str">
            <v>DESONERADA</v>
          </cell>
          <cell r="E2"/>
          <cell r="F2"/>
          <cell r="G2"/>
          <cell r="H2"/>
        </row>
        <row r="3">
          <cell r="A3" t="str">
            <v>PRAÇA:</v>
          </cell>
          <cell r="B3" t="str">
            <v>Campo Grande/MS</v>
          </cell>
          <cell r="C3"/>
          <cell r="D3"/>
          <cell r="E3"/>
          <cell r="F3" t="str">
            <v>HORISTA:</v>
          </cell>
          <cell r="G3">
            <v>0.8528</v>
          </cell>
          <cell r="H3"/>
        </row>
        <row r="4">
          <cell r="A4" t="str">
            <v>DATA BASE:</v>
          </cell>
          <cell r="B4" t="str">
            <v>Junho/2023</v>
          </cell>
          <cell r="C4"/>
          <cell r="D4"/>
          <cell r="E4"/>
          <cell r="F4" t="str">
            <v>MENSALISTA:</v>
          </cell>
          <cell r="G4">
            <v>0.4723</v>
          </cell>
          <cell r="H4"/>
        </row>
        <row r="5">
          <cell r="A5"/>
          <cell r="B5"/>
          <cell r="C5"/>
          <cell r="D5"/>
          <cell r="E5"/>
          <cell r="F5"/>
          <cell r="G5"/>
          <cell r="H5"/>
        </row>
        <row r="6">
          <cell r="A6" t="str">
            <v>1.0</v>
          </cell>
          <cell r="B6" t="str">
            <v>SERVIÇOS PRELIMINARES</v>
          </cell>
          <cell r="C6"/>
          <cell r="D6"/>
          <cell r="E6" t="str">
            <v>SP</v>
          </cell>
          <cell r="F6"/>
          <cell r="G6"/>
          <cell r="H6"/>
        </row>
        <row r="7">
          <cell r="A7" t="str">
            <v>2.0</v>
          </cell>
          <cell r="B7" t="str">
            <v>REMOÇÕES, DEMOLIÇÕES E SUPRESSÕES</v>
          </cell>
          <cell r="E7" t="str">
            <v>SR</v>
          </cell>
          <cell r="F7"/>
          <cell r="G7"/>
          <cell r="H7"/>
        </row>
        <row r="8">
          <cell r="A8" t="str">
            <v>3.0</v>
          </cell>
          <cell r="B8" t="str">
            <v>CARGAS, TEMPO FIXO E TRANSPORTES</v>
          </cell>
          <cell r="C8"/>
          <cell r="D8"/>
          <cell r="E8" t="str">
            <v>TR</v>
          </cell>
          <cell r="F8"/>
          <cell r="G8"/>
          <cell r="H8"/>
        </row>
        <row r="9">
          <cell r="A9" t="str">
            <v>4.0</v>
          </cell>
          <cell r="B9" t="str">
            <v>MICRO E MACRODRENAGEM - ESCORAMENTO E CONTENÇÃO</v>
          </cell>
          <cell r="E9" t="str">
            <v>ES</v>
          </cell>
          <cell r="F9"/>
          <cell r="G9"/>
          <cell r="H9"/>
        </row>
        <row r="10">
          <cell r="A10" t="str">
            <v>5.0</v>
          </cell>
          <cell r="B10" t="str">
            <v>MICRO E MACRODRENAGEM - TERRAPLENAGEM</v>
          </cell>
          <cell r="C10"/>
          <cell r="D10"/>
          <cell r="E10" t="str">
            <v>DR</v>
          </cell>
          <cell r="F10"/>
          <cell r="G10"/>
          <cell r="H10"/>
        </row>
        <row r="11">
          <cell r="A11" t="str">
            <v>6.0</v>
          </cell>
          <cell r="B11" t="str">
            <v>MICRO E MACRODRENAGEM - DISPOSITIVOS AUXILIARES</v>
          </cell>
          <cell r="E11" t="str">
            <v>DR</v>
          </cell>
          <cell r="F11"/>
          <cell r="G11"/>
          <cell r="H11"/>
        </row>
        <row r="12">
          <cell r="A12" t="str">
            <v>7.0</v>
          </cell>
          <cell r="B12" t="str">
            <v>SERVIÇOS DE ESTRUTURAS E CONTENÇÕES</v>
          </cell>
          <cell r="C12"/>
          <cell r="D12"/>
          <cell r="E12" t="str">
            <v>EC</v>
          </cell>
          <cell r="F12"/>
          <cell r="G12"/>
          <cell r="H12"/>
        </row>
        <row r="13">
          <cell r="A13" t="str">
            <v>8.0</v>
          </cell>
          <cell r="B13" t="str">
            <v>PAVIMENTAÇÃO - RESTAURAÇÃO, REMENDO E FRESAGEM</v>
          </cell>
          <cell r="E13" t="str">
            <v>RE</v>
          </cell>
          <cell r="F13"/>
          <cell r="G13"/>
          <cell r="H13"/>
        </row>
        <row r="14">
          <cell r="A14" t="str">
            <v>9.0</v>
          </cell>
          <cell r="B14" t="str">
            <v>IMPLANTAÇÃO ASFÁLTICA - TERRAPLENAGEM</v>
          </cell>
          <cell r="C14"/>
          <cell r="D14"/>
          <cell r="E14" t="str">
            <v>PA</v>
          </cell>
          <cell r="F14"/>
          <cell r="G14"/>
          <cell r="H14"/>
        </row>
        <row r="15">
          <cell r="A15" t="str">
            <v>10.0</v>
          </cell>
          <cell r="B15" t="str">
            <v>IMPLANTAÇÃO ASFÁLTICA - PAVIMENTAÇÃO</v>
          </cell>
          <cell r="E15" t="str">
            <v>PA</v>
          </cell>
          <cell r="F15"/>
          <cell r="G15"/>
          <cell r="H15"/>
        </row>
        <row r="16">
          <cell r="A16" t="str">
            <v>11.0</v>
          </cell>
          <cell r="B16" t="str">
            <v>SERVIÇOS COMPLEMENTARES, PASSEIOS E ACESSIBILIDADE</v>
          </cell>
          <cell r="C16"/>
          <cell r="D16"/>
          <cell r="E16" t="str">
            <v>SC</v>
          </cell>
          <cell r="F16"/>
          <cell r="G16"/>
          <cell r="H16"/>
        </row>
        <row r="17">
          <cell r="A17" t="str">
            <v>12.0</v>
          </cell>
          <cell r="B17" t="str">
            <v>DRENAGEM DE LENÇOL FREÁTICO</v>
          </cell>
          <cell r="E17" t="str">
            <v>LF</v>
          </cell>
          <cell r="F17"/>
          <cell r="G17"/>
          <cell r="H17"/>
        </row>
        <row r="18">
          <cell r="A18" t="str">
            <v>13.0</v>
          </cell>
          <cell r="B18" t="str">
            <v>SINALIZAÇÃO VIÁRIA DEFINITIVA</v>
          </cell>
          <cell r="C18"/>
          <cell r="D18"/>
          <cell r="E18" t="str">
            <v>SV</v>
          </cell>
          <cell r="F18"/>
          <cell r="G18"/>
          <cell r="H18"/>
        </row>
        <row r="19">
          <cell r="A19" t="str">
            <v>14.0</v>
          </cell>
          <cell r="B19" t="str">
            <v>ADMINISTRAÇÃO LOCAL</v>
          </cell>
          <cell r="E19"/>
          <cell r="F19"/>
          <cell r="G19"/>
          <cell r="H19"/>
        </row>
        <row r="20">
          <cell r="A20" t="str">
            <v>15.0</v>
          </cell>
          <cell r="B20" t="str">
            <v>SERVIÇOS DE ENGENHARIA DE PROJETOS DE INFRAESTRUTURA URBANA</v>
          </cell>
          <cell r="C20"/>
          <cell r="D20"/>
          <cell r="E20"/>
          <cell r="F20"/>
          <cell r="G20"/>
          <cell r="H20"/>
        </row>
        <row r="21">
          <cell r="A21"/>
          <cell r="B21"/>
          <cell r="C21"/>
          <cell r="D21"/>
          <cell r="E21"/>
          <cell r="F21"/>
          <cell r="G21"/>
          <cell r="H21"/>
        </row>
        <row r="22">
          <cell r="A22" t="str">
            <v xml:space="preserve">CÓDIGO                  </v>
          </cell>
          <cell r="B22" t="str">
            <v>CPU</v>
          </cell>
          <cell r="C22" t="str">
            <v>PRODUTIVIDADE
OU 
COD SINAPI</v>
          </cell>
          <cell r="D22" t="str">
            <v>DESCRIÇÃO DOS SERVIÇOS COM ADEQUAÇÕES</v>
          </cell>
          <cell r="E22" t="str">
            <v>OBS.</v>
          </cell>
          <cell r="F22" t="str">
            <v>UNIDADE</v>
          </cell>
          <cell r="G22" t="str">
            <v>PREÇO UNITÁRIO (S/BDI) (R$)</v>
          </cell>
          <cell r="H22" t="str">
            <v>conferência da existência de preços</v>
          </cell>
        </row>
        <row r="23">
          <cell r="A23"/>
          <cell r="B23"/>
          <cell r="C23" t="str">
            <v>1.0</v>
          </cell>
          <cell r="D23" t="str">
            <v>SERVIÇOS PRELIMINARES</v>
          </cell>
          <cell r="E23"/>
          <cell r="F23"/>
          <cell r="G23"/>
          <cell r="H23" t="str">
            <v/>
          </cell>
        </row>
        <row r="24">
          <cell r="A24" t="str">
            <v>SP/0001</v>
          </cell>
          <cell r="B24" t="str">
            <v>COMPOSIÇÃO</v>
          </cell>
          <cell r="C24" t="str">
            <v>74209/1</v>
          </cell>
          <cell r="D24" t="str">
            <v>Placa de identificação de obra pública, inclusive pintura e adesivos, estrutura e suporte de madeira. Incluso fornecimento de material e instalação. Ref SINAPI, CÓD 74209/001, DB 01/2020</v>
          </cell>
          <cell r="E24"/>
          <cell r="F24" t="str">
            <v>M2</v>
          </cell>
          <cell r="G24">
            <v>350.19</v>
          </cell>
          <cell r="H24" t="str">
            <v>-</v>
          </cell>
        </row>
        <row r="25">
          <cell r="A25">
            <v>93207</v>
          </cell>
          <cell r="B25" t="str">
            <v>SINAPI</v>
          </cell>
          <cell r="C25"/>
          <cell r="D25" t="str">
            <v>Barracão de obra - Execução de escritório em canteiro de obra em chapa de madeira compensada, não incluso mobiliário e equipamentos. AF_02/2016</v>
          </cell>
          <cell r="E25"/>
          <cell r="F25" t="str">
            <v>M2</v>
          </cell>
          <cell r="G25">
            <v>1163.28</v>
          </cell>
          <cell r="H25" t="str">
            <v>-</v>
          </cell>
        </row>
        <row r="26">
          <cell r="A26">
            <v>93212</v>
          </cell>
          <cell r="B26" t="str">
            <v>SINAPI</v>
          </cell>
          <cell r="C26"/>
          <cell r="D26" t="str">
            <v>Barracão de obra - Execução de sanitário e vestiário em canteiro de obra em chapa de madeira compensada, não incluso mobiliário. AF_02/2016</v>
          </cell>
          <cell r="E26"/>
          <cell r="F26" t="str">
            <v>M2</v>
          </cell>
          <cell r="G26">
            <v>998.18</v>
          </cell>
          <cell r="H26" t="str">
            <v>-</v>
          </cell>
        </row>
        <row r="27">
          <cell r="A27">
            <v>93584</v>
          </cell>
          <cell r="B27" t="str">
            <v>SINAPI</v>
          </cell>
          <cell r="C27"/>
          <cell r="D27" t="str">
            <v>Barracão de obra - Execução de depósito em canteiro de obra em chapa de madeira compensada, não incluso mobiliário. AF_04/2016</v>
          </cell>
          <cell r="E27"/>
          <cell r="F27" t="str">
            <v>M2</v>
          </cell>
          <cell r="G27">
            <v>920.25</v>
          </cell>
          <cell r="H27" t="str">
            <v>-</v>
          </cell>
        </row>
        <row r="28">
          <cell r="A28">
            <v>93585</v>
          </cell>
          <cell r="B28" t="str">
            <v>SINAPI</v>
          </cell>
          <cell r="C28"/>
          <cell r="D28" t="str">
            <v>Execução de guarita em canteiro de obra em chapa de madeira compensada, não incluso mobiliário. AF_04/2016</v>
          </cell>
          <cell r="E28"/>
          <cell r="F28" t="str">
            <v>M2</v>
          </cell>
          <cell r="G28">
            <v>1279.58</v>
          </cell>
          <cell r="H28" t="str">
            <v>-</v>
          </cell>
        </row>
        <row r="29">
          <cell r="A29">
            <v>10775</v>
          </cell>
          <cell r="B29" t="str">
            <v>SINAPI</v>
          </cell>
          <cell r="C29"/>
          <cell r="D29" t="str">
            <v>Locação de container 2,30  x  6,00 m, alt. 2,50 m, com 1 sanitário, para escritório, completo, sem divisórias internas</v>
          </cell>
          <cell r="E29"/>
          <cell r="F29" t="str">
            <v xml:space="preserve">MES   </v>
          </cell>
          <cell r="G29">
            <v>843</v>
          </cell>
          <cell r="H29" t="str">
            <v>-</v>
          </cell>
        </row>
        <row r="30">
          <cell r="A30">
            <v>10776</v>
          </cell>
          <cell r="B30" t="str">
            <v>SINAPI</v>
          </cell>
          <cell r="C30"/>
          <cell r="D30" t="str">
            <v>Locação de container 2,30  x  6,00 m, alt. 2,50 m, para escritório, sem divisórias internas e sem sanitário</v>
          </cell>
          <cell r="E30"/>
          <cell r="F30" t="str">
            <v xml:space="preserve">MES   </v>
          </cell>
          <cell r="G30">
            <v>658.59</v>
          </cell>
          <cell r="H30" t="str">
            <v>-</v>
          </cell>
        </row>
        <row r="31">
          <cell r="A31">
            <v>10777</v>
          </cell>
          <cell r="B31" t="str">
            <v>SINAPI</v>
          </cell>
          <cell r="C31"/>
          <cell r="D31" t="str">
            <v>Locação de container 2,30 x 4,30 m, alt. 2,50 m, para sanitário, com 3 bacias, 4 chuveiros, 1 lavatório e 1 mictório</v>
          </cell>
          <cell r="E31"/>
          <cell r="F31" t="str">
            <v xml:space="preserve">MES   </v>
          </cell>
          <cell r="G31">
            <v>957.15</v>
          </cell>
          <cell r="H31" t="str">
            <v>-</v>
          </cell>
        </row>
        <row r="32">
          <cell r="A32">
            <v>10778</v>
          </cell>
          <cell r="B32" t="str">
            <v>SINAPI</v>
          </cell>
          <cell r="C32"/>
          <cell r="D32" t="str">
            <v>Locação de container 2,30 x 6,00 m, alt. 2,50 m,  para sanitário,  com 4 bacias, 8 chuveiros,1 lavatório e 1 mictório</v>
          </cell>
          <cell r="E32"/>
          <cell r="F32" t="str">
            <v xml:space="preserve">MES   </v>
          </cell>
          <cell r="G32">
            <v>1053.75</v>
          </cell>
          <cell r="H32" t="str">
            <v>-</v>
          </cell>
        </row>
        <row r="33">
          <cell r="A33" t="str">
            <v>SP/0004</v>
          </cell>
          <cell r="B33" t="str">
            <v>COMPOSIÇÃO</v>
          </cell>
          <cell r="C33"/>
          <cell r="D33" t="str">
            <v>Aluguel de banheiro quimico, incluindo transporte de ida e volta, manutencao e higienizacao 3 vezes por semana. Modelo Luxo, dimensões 2,31 x 1,15 x 1,15m. Cidade: Campo Grande/MS</v>
          </cell>
          <cell r="E33"/>
          <cell r="F33" t="str">
            <v>UN.MÊS</v>
          </cell>
          <cell r="G33">
            <v>2000</v>
          </cell>
          <cell r="H33" t="str">
            <v>-</v>
          </cell>
        </row>
        <row r="34">
          <cell r="A34" t="str">
            <v>SP/0005</v>
          </cell>
          <cell r="B34" t="str">
            <v>COMPOSIÇÃO</v>
          </cell>
          <cell r="C34"/>
          <cell r="D34" t="str">
            <v>Aluguel de banheiro quimico, incluindo transporte de ida e volta, manutencao e higienizacao 3 vezes por semana. Modelo Luxo, dimensões 2,31 x 1,15 x 1,15m</v>
          </cell>
          <cell r="E34"/>
          <cell r="F34" t="str">
            <v>UN.MÊS</v>
          </cell>
          <cell r="G34">
            <v>1200</v>
          </cell>
          <cell r="H34" t="str">
            <v>-</v>
          </cell>
        </row>
        <row r="35">
          <cell r="A35" t="str">
            <v>SP/0008</v>
          </cell>
          <cell r="B35" t="str">
            <v>COMPOSIÇÃO</v>
          </cell>
          <cell r="C35"/>
          <cell r="D35" t="str">
            <v>Aluguel de banheiro quimico, incluindo transporte de ida e volta, manutencao e higienizacao 3 vezes por semana. Dimensões 2,31 x 1,15 x 1,15m. Cidade: Três Lagoas/MS</v>
          </cell>
          <cell r="E35"/>
          <cell r="F35" t="str">
            <v>UN.MÊS</v>
          </cell>
          <cell r="G35">
            <v>600</v>
          </cell>
          <cell r="H35" t="str">
            <v>-</v>
          </cell>
        </row>
        <row r="36">
          <cell r="A36" t="str">
            <v>SP/0006</v>
          </cell>
          <cell r="B36" t="str">
            <v>COMPOSIÇÃO</v>
          </cell>
          <cell r="C36"/>
          <cell r="D36" t="str">
            <v>Usina de Asfalto completa - Instalação</v>
          </cell>
          <cell r="E36"/>
          <cell r="F36" t="str">
            <v xml:space="preserve">UN </v>
          </cell>
          <cell r="G36">
            <v>367229.08</v>
          </cell>
          <cell r="H36" t="str">
            <v>-</v>
          </cell>
        </row>
        <row r="37">
          <cell r="A37" t="str">
            <v>SP/0009</v>
          </cell>
          <cell r="B37" t="str">
            <v>COMPOSIÇÃO</v>
          </cell>
          <cell r="C37"/>
          <cell r="D37" t="str">
            <v>Instalação da usina de asfalto a quente capacidade de 120 t/h. Ref SICRO CÓD. 0903810, DB 01-23</v>
          </cell>
          <cell r="E37"/>
          <cell r="F37" t="str">
            <v xml:space="preserve">UN </v>
          </cell>
          <cell r="G37">
            <v>204125.17</v>
          </cell>
          <cell r="H37" t="str">
            <v>-</v>
          </cell>
        </row>
        <row r="38">
          <cell r="A38" t="str">
            <v>SP/0220</v>
          </cell>
          <cell r="B38" t="str">
            <v>COMPOSIÇÃO</v>
          </cell>
          <cell r="C38"/>
          <cell r="D38" t="str">
            <v>Instalação da usina móvel de asfalto a quente capacidade de 40 T/H a 80 T/H. Ref SICRO CÓD. 0903810 e 0903809, DB 01-23</v>
          </cell>
          <cell r="E38"/>
          <cell r="F38" t="str">
            <v xml:space="preserve">UN </v>
          </cell>
          <cell r="G38">
            <v>47339.4</v>
          </cell>
          <cell r="H38" t="str">
            <v>-</v>
          </cell>
        </row>
        <row r="39">
          <cell r="A39" t="str">
            <v>SP/0007</v>
          </cell>
          <cell r="B39" t="str">
            <v>COMPOSIÇÃO</v>
          </cell>
          <cell r="C39"/>
          <cell r="D39" t="str">
            <v>Usina de Asfalto completa  - Mobilização e Desmobilização. Exclusive instalação</v>
          </cell>
          <cell r="E39" t="str">
            <v>ATENÇÃO
digitar na CCU o DMT para acrescentar o custo dos motoristas</v>
          </cell>
          <cell r="F39" t="str">
            <v>KM</v>
          </cell>
          <cell r="G39">
            <v>66.27</v>
          </cell>
          <cell r="H39" t="str">
            <v>-</v>
          </cell>
        </row>
        <row r="40">
          <cell r="A40" t="str">
            <v>SP/0010</v>
          </cell>
          <cell r="B40" t="str">
            <v>COMPOSIÇÃO</v>
          </cell>
          <cell r="C40"/>
          <cell r="D40" t="str">
            <v>Iluminação e ventilação para execução de tunnel liner. Ref SICRO, CÓD 4816003 e 4816004. DB 07-2021</v>
          </cell>
          <cell r="E40"/>
          <cell r="F40" t="str">
            <v>M</v>
          </cell>
          <cell r="G40">
            <v>88</v>
          </cell>
          <cell r="H40" t="str">
            <v>-</v>
          </cell>
        </row>
        <row r="41">
          <cell r="A41" t="str">
            <v>SP/0020</v>
          </cell>
          <cell r="B41" t="str">
            <v>COMPOSIÇÃO</v>
          </cell>
          <cell r="C41"/>
          <cell r="D41" t="str">
    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    </cell>
          <cell r="E41"/>
          <cell r="F41" t="str">
            <v>M2</v>
          </cell>
          <cell r="G41">
            <v>130.25</v>
          </cell>
          <cell r="H41" t="str">
            <v>-</v>
          </cell>
        </row>
        <row r="42">
          <cell r="A42" t="str">
            <v>SP/0025</v>
          </cell>
          <cell r="B42" t="str">
            <v>COMPOSIÇÃO</v>
          </cell>
          <cell r="C42" t="str">
            <v>74221/1</v>
          </cell>
          <cell r="D42" t="str">
            <v>Segurança de trânsito - sinalização de advertência de obra com elemento luminoso (balde vermelho)</v>
          </cell>
          <cell r="E42"/>
          <cell r="F42" t="str">
            <v>M</v>
          </cell>
          <cell r="G42">
            <v>3.13</v>
          </cell>
          <cell r="H42" t="str">
            <v>-</v>
          </cell>
        </row>
        <row r="43">
          <cell r="A43">
            <v>98458</v>
          </cell>
          <cell r="B43" t="str">
            <v>SINAPI</v>
          </cell>
          <cell r="C43"/>
          <cell r="D43" t="str">
            <v>Segurança de trânsito - tapume baixo removível de proteção para valas com chapas compensadas (6 mm). Exclusive pintura de sinalização de advertência</v>
          </cell>
          <cell r="E43"/>
          <cell r="F43" t="str">
            <v>M2</v>
          </cell>
          <cell r="G43">
            <v>152.86000000000001</v>
          </cell>
          <cell r="H43" t="str">
            <v>-</v>
          </cell>
        </row>
        <row r="44">
          <cell r="A44">
            <v>98459</v>
          </cell>
          <cell r="B44" t="str">
            <v>SINAPI</v>
          </cell>
          <cell r="C44"/>
          <cell r="D44" t="str">
            <v>Tapume com telha metálica, sem pintura, trapezoidal espessura 0,5 mm, colunas, bases e parafusos</v>
          </cell>
          <cell r="E44"/>
          <cell r="F44" t="str">
            <v>M2</v>
          </cell>
          <cell r="G44">
            <v>119.88</v>
          </cell>
          <cell r="H44" t="str">
            <v>-</v>
          </cell>
        </row>
        <row r="45">
          <cell r="A45" t="str">
            <v>SP/0030</v>
          </cell>
          <cell r="B45" t="str">
            <v>COMPOSIÇÃO</v>
          </cell>
          <cell r="C45">
            <v>85423</v>
          </cell>
          <cell r="D45" t="str">
    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    </cell>
          <cell r="E45"/>
          <cell r="F45" t="str">
            <v>M</v>
          </cell>
          <cell r="G45">
            <v>10.09</v>
          </cell>
          <cell r="H45" t="str">
            <v>-</v>
          </cell>
        </row>
        <row r="46">
          <cell r="A46">
            <v>13244</v>
          </cell>
          <cell r="B46" t="str">
            <v>SINAPI</v>
          </cell>
          <cell r="C46"/>
          <cell r="D46" t="str">
            <v>Segurança de trânsito - cone de sinalização em pvc rígido com faixa refletiva, h = 70 / 76 cm</v>
          </cell>
          <cell r="E46"/>
          <cell r="F46" t="str">
            <v xml:space="preserve">UN    </v>
          </cell>
          <cell r="G46">
            <v>51.9</v>
          </cell>
          <cell r="H46" t="str">
            <v>-</v>
          </cell>
        </row>
        <row r="47">
          <cell r="A47" t="str">
            <v>SP/0050</v>
          </cell>
          <cell r="B47" t="str">
            <v>COMPOSIÇÃO</v>
          </cell>
          <cell r="C47"/>
          <cell r="D47" t="str">
            <v>Sondagem de investigação de interferências subterrâneas, incluindo escavações mecânica e manual e reaterro</v>
          </cell>
          <cell r="E47"/>
          <cell r="F47" t="str">
            <v xml:space="preserve">UN </v>
          </cell>
          <cell r="G47">
            <v>281.04000000000002</v>
          </cell>
          <cell r="H47" t="str">
            <v>-</v>
          </cell>
        </row>
        <row r="48">
          <cell r="A48" t="str">
            <v>SP/0060</v>
          </cell>
          <cell r="B48" t="str">
            <v>COMPOSIÇÃO</v>
          </cell>
          <cell r="C48"/>
          <cell r="D48" t="str">
            <v>Reparo em ramal de ligação predial de água</v>
          </cell>
          <cell r="E48"/>
          <cell r="F48" t="str">
            <v xml:space="preserve">UN </v>
          </cell>
          <cell r="G48">
            <v>240.98</v>
          </cell>
          <cell r="H48" t="str">
            <v>-</v>
          </cell>
        </row>
        <row r="49">
          <cell r="A49" t="str">
            <v>SP/0074</v>
          </cell>
          <cell r="B49" t="str">
            <v>COMPOSIÇÃO</v>
          </cell>
          <cell r="C49"/>
          <cell r="D49" t="str">
            <v>Limpeza e desobstrução mecânica de galerias de águas pluviais, utilizando equipamento Buket-Machine, inclusive retirada do material para bota-fora</v>
          </cell>
          <cell r="E49"/>
          <cell r="F49" t="str">
            <v>M3</v>
          </cell>
          <cell r="G49">
            <v>121.94</v>
          </cell>
          <cell r="H49" t="str">
            <v>-</v>
          </cell>
        </row>
        <row r="50">
          <cell r="A50" t="str">
            <v>SP/0076</v>
          </cell>
          <cell r="B50" t="str">
            <v>COMPOSIÇÃO</v>
          </cell>
          <cell r="C50"/>
          <cell r="D50" t="str">
            <v>Limpeza e desobstrução mecânica dos sistemas de drenagem - galerias, bocas de lobo, poços de visita, etc - com utilização de equipamento combinado hidrojato / sugador</v>
          </cell>
          <cell r="E50"/>
          <cell r="F50" t="str">
            <v>H</v>
          </cell>
          <cell r="G50">
            <v>373.34</v>
          </cell>
          <cell r="H50" t="str">
            <v>-</v>
          </cell>
        </row>
        <row r="51">
          <cell r="A51" t="str">
            <v>SP/0080</v>
          </cell>
          <cell r="B51" t="str">
            <v>COMPOSIÇÃO</v>
          </cell>
          <cell r="C51"/>
          <cell r="D51" t="str">
            <v>Limpeza mecanizada de camada vegetal tipo gramínea, com miniescavadeira sobre esteira</v>
          </cell>
          <cell r="E51"/>
          <cell r="F51" t="str">
            <v>M2</v>
          </cell>
          <cell r="G51">
            <v>2.6</v>
          </cell>
          <cell r="H51" t="str">
            <v>-</v>
          </cell>
        </row>
        <row r="52">
          <cell r="A52">
            <v>99814</v>
          </cell>
          <cell r="B52" t="str">
            <v>SINAPI</v>
          </cell>
          <cell r="C52"/>
          <cell r="D52" t="str">
            <v>Limpeza de superfície com jato de alta pressão. AF_04/2019</v>
          </cell>
          <cell r="E52"/>
          <cell r="F52" t="str">
            <v>M2</v>
          </cell>
          <cell r="G52">
            <v>1.54</v>
          </cell>
          <cell r="H52" t="str">
            <v>-</v>
          </cell>
        </row>
        <row r="53">
          <cell r="A53">
            <v>98519</v>
          </cell>
          <cell r="B53" t="str">
            <v>SINAPI</v>
          </cell>
          <cell r="C53"/>
          <cell r="D53" t="str">
            <v>Revolvimento e limpeza manual de solo. AF_05/2018</v>
          </cell>
          <cell r="E53"/>
          <cell r="F53" t="str">
            <v>M2</v>
          </cell>
          <cell r="G53">
            <v>1.63</v>
          </cell>
          <cell r="H53" t="str">
            <v>-</v>
          </cell>
        </row>
        <row r="54">
          <cell r="A54">
            <v>98525</v>
          </cell>
          <cell r="B54" t="str">
            <v>SINAPI</v>
          </cell>
          <cell r="C54">
            <v>333.33</v>
          </cell>
          <cell r="D54" t="str">
            <v>Limpeza mecanizada de camada vegetal, vegetação e pequenas árvores (diâmetro nominal de tronco menor que 0,20 m), com trator de esteiras. AF_05/2018</v>
          </cell>
          <cell r="E54"/>
          <cell r="F54" t="str">
            <v>M2</v>
          </cell>
          <cell r="G54">
            <v>0.32</v>
          </cell>
          <cell r="H54" t="str">
            <v>-</v>
          </cell>
        </row>
        <row r="55">
          <cell r="A55">
            <v>98524</v>
          </cell>
          <cell r="B55" t="str">
            <v>SINAPI</v>
          </cell>
          <cell r="C55" t="str">
            <v>73859/2</v>
          </cell>
          <cell r="D55" t="str">
            <v>Limpeza manual de vegetação em terreno com enxada. AF_05/2018</v>
          </cell>
          <cell r="E55"/>
          <cell r="F55" t="str">
            <v>M2</v>
          </cell>
          <cell r="G55">
            <v>2.54</v>
          </cell>
          <cell r="H55" t="str">
            <v>-</v>
          </cell>
        </row>
        <row r="56">
          <cell r="A56">
            <v>93210</v>
          </cell>
          <cell r="B56" t="str">
            <v>SINAPI</v>
          </cell>
          <cell r="C56"/>
          <cell r="D56" t="str">
            <v>Execução de refeitório em canteiro de obra em chapa de madeira compensada, não incluso mobiliário e equipamentos. af_02/2016</v>
          </cell>
          <cell r="E56"/>
          <cell r="F56" t="str">
            <v>M2</v>
          </cell>
          <cell r="G56">
            <v>602.73</v>
          </cell>
          <cell r="H56" t="str">
            <v>-</v>
          </cell>
        </row>
        <row r="57">
          <cell r="A57">
            <v>93582</v>
          </cell>
          <cell r="B57" t="str">
            <v>SINAPI</v>
          </cell>
          <cell r="C57"/>
          <cell r="D57" t="str">
            <v>Execução de central de armadura em canteiro de obra, não incluso mobiliário e equipamentos. af_04/2016</v>
          </cell>
          <cell r="E57"/>
          <cell r="F57" t="str">
            <v>M2</v>
          </cell>
          <cell r="G57">
            <v>281.12</v>
          </cell>
          <cell r="H57" t="str">
            <v>-</v>
          </cell>
        </row>
        <row r="58">
          <cell r="A58">
            <v>93583</v>
          </cell>
          <cell r="B58" t="str">
            <v>SINAPI</v>
          </cell>
          <cell r="C58"/>
          <cell r="D58" t="str">
            <v>Execução de central de fôrmas, produção de argamassa ou concreto em canteiro de obra, não incluso mobiliário e equipamentos. af_04/2016</v>
          </cell>
          <cell r="E58"/>
          <cell r="F58" t="str">
            <v>M2</v>
          </cell>
          <cell r="G58">
            <v>457.13</v>
          </cell>
          <cell r="H58" t="str">
            <v>-</v>
          </cell>
        </row>
        <row r="59">
          <cell r="A59" t="str">
            <v>SP/0100</v>
          </cell>
          <cell r="B59" t="str">
            <v>COMPOSIÇÃO</v>
          </cell>
          <cell r="C59"/>
          <cell r="D59" t="str">
            <v>Barreira de sinalização tipo I de direcionamento ou bloqueio - utilização de 10 vezes. Ref SICRO CÓD  5213385, DB 07-2021</v>
          </cell>
          <cell r="E59"/>
          <cell r="F59" t="str">
            <v>UN</v>
          </cell>
          <cell r="G59">
            <v>277.27999999999997</v>
          </cell>
          <cell r="H59" t="str">
            <v>-</v>
          </cell>
        </row>
        <row r="60">
          <cell r="A60" t="str">
            <v>SP/0105</v>
          </cell>
          <cell r="B60" t="str">
            <v>COMPOSIÇÃO</v>
          </cell>
          <cell r="C60"/>
          <cell r="D60" t="str">
            <v>Operação de sinalização por bandeirola de tecido ou com placa metálica. Ref SICRO CÓD  5213850, DB 07-2021</v>
          </cell>
          <cell r="E60"/>
          <cell r="F60" t="str">
            <v>H</v>
          </cell>
          <cell r="G60">
            <v>17.04</v>
          </cell>
          <cell r="H60" t="str">
            <v>-</v>
          </cell>
        </row>
        <row r="61">
          <cell r="A61" t="str">
            <v>SP/0110</v>
          </cell>
          <cell r="B61" t="str">
            <v>COMPOSIÇÃO</v>
          </cell>
          <cell r="C61"/>
          <cell r="D61" t="str">
            <v>Confecção de cavalete em perfil metálico para placa de sinalização - 1,00 m x 1,00 m. Ref SICRO CÓD  5219544, DB 07-2021</v>
          </cell>
          <cell r="E61"/>
          <cell r="F61" t="str">
            <v>UN</v>
          </cell>
          <cell r="G61">
            <v>242.2</v>
          </cell>
          <cell r="H61" t="str">
            <v>-</v>
          </cell>
        </row>
        <row r="62">
          <cell r="A62" t="str">
            <v>SP/0115</v>
          </cell>
          <cell r="B62" t="str">
            <v>COMPOSIÇÃO</v>
          </cell>
          <cell r="C62"/>
          <cell r="D62" t="str">
            <v>Corte de perfil metálico com máquina policorte com espessura de até 1/8". Ref SICRO CÓD  1419543, DB 07-2021</v>
          </cell>
          <cell r="E62"/>
          <cell r="F62" t="str">
            <v>UN</v>
          </cell>
          <cell r="G62">
            <v>0.28000000000000003</v>
          </cell>
          <cell r="H62" t="str">
            <v>-</v>
          </cell>
        </row>
        <row r="63">
          <cell r="A63" t="str">
            <v>SP/0120</v>
          </cell>
          <cell r="B63" t="str">
            <v>COMPOSIÇÃO</v>
          </cell>
          <cell r="C63"/>
          <cell r="D63" t="str">
            <v>Solda elétrica de perfis metálicos e chapas de aço com eletrodo E60XX. Ref SICRO CÓD  2408057, DB 07-2021</v>
          </cell>
          <cell r="E63"/>
          <cell r="F63" t="str">
            <v>KG</v>
          </cell>
          <cell r="G63">
            <v>135.94</v>
          </cell>
          <cell r="H63" t="str">
            <v>-</v>
          </cell>
        </row>
        <row r="64">
          <cell r="A64" t="str">
            <v>SP/0125</v>
          </cell>
          <cell r="B64" t="str">
            <v>COMPOSIÇÃO</v>
          </cell>
          <cell r="C64"/>
          <cell r="D64" t="str">
            <v>Fornecimento e implantação de placa em aço - película I + I. Ref SICRO CÓD  5213570, DB 07-2021</v>
          </cell>
          <cell r="E64"/>
          <cell r="F64" t="str">
            <v>m2</v>
          </cell>
          <cell r="G64">
            <v>627.04</v>
          </cell>
          <cell r="H64" t="str">
            <v>-</v>
          </cell>
        </row>
        <row r="65">
          <cell r="A65" t="str">
            <v>SP/0130</v>
          </cell>
          <cell r="B65" t="str">
            <v>COMPOSIÇÃO</v>
          </cell>
          <cell r="C65"/>
          <cell r="D65" t="str">
            <v>Fornecimento e implantação de suporte e travessa para placa de sinalização em madeira de lei tratada 8 x 8 cm. Ref SICRO CÓD  5216111, DB 07-2021</v>
          </cell>
          <cell r="E65"/>
          <cell r="F65" t="str">
            <v>UN</v>
          </cell>
          <cell r="G65">
            <v>160.16999999999999</v>
          </cell>
          <cell r="H65" t="str">
            <v>-</v>
          </cell>
        </row>
        <row r="66">
          <cell r="A66" t="str">
            <v>SP/0140</v>
          </cell>
          <cell r="B66" t="str">
            <v>COMPOSIÇÃO</v>
          </cell>
          <cell r="C66"/>
          <cell r="D66" t="str">
            <v>Limpeza em superficie de concreto com jateamento d'água sob pressão. Ref SICRO CÓD  3806402, DB 01-2021</v>
          </cell>
          <cell r="E66"/>
          <cell r="F66" t="str">
            <v>M2</v>
          </cell>
          <cell r="G66">
            <v>2.99</v>
          </cell>
          <cell r="H66" t="str">
            <v>-</v>
          </cell>
        </row>
        <row r="67">
          <cell r="A67" t="str">
            <v>SP/0150</v>
          </cell>
          <cell r="B67" t="str">
            <v>COMPOSIÇÃO</v>
          </cell>
          <cell r="C67"/>
          <cell r="D67" t="str">
            <v>Montagem e desmontagem da usina de asfalto a quente com capacidade de 120 t/h - inclusive construção e demolição de bases, rampas, depósitos de agregados e dique de contenção. Ref SICRO CÓD  0919013, DB 01-2023</v>
          </cell>
          <cell r="E67"/>
          <cell r="F67" t="str">
            <v>UN</v>
          </cell>
          <cell r="G67">
            <v>144646.91</v>
          </cell>
          <cell r="H67" t="str">
            <v>-</v>
          </cell>
        </row>
        <row r="68">
          <cell r="A68" t="str">
            <v>SP/0160</v>
          </cell>
          <cell r="B68" t="str">
            <v>COMPOSIÇÃO</v>
          </cell>
          <cell r="C68"/>
          <cell r="D68" t="str">
            <v>Chumbador de expansão controlada por torque para concreto D = 16 mm - fornecimento e instalação. Ref SICRO CÓD  3807864, DB 01-2023</v>
          </cell>
          <cell r="E68"/>
          <cell r="F68" t="str">
            <v>UN</v>
          </cell>
          <cell r="G68">
            <v>20.5</v>
          </cell>
          <cell r="H68" t="str">
            <v>-</v>
          </cell>
        </row>
        <row r="69">
          <cell r="A69" t="str">
            <v>SP/0170</v>
          </cell>
          <cell r="B69" t="str">
            <v>COMPOSIÇÃO</v>
          </cell>
          <cell r="C69"/>
          <cell r="D69" t="str">
            <v>Demolição mecânica de concreto armado, com escavadeira hidráulica com martelo hidráulico - sem reaproveitamento, inclusive carga. Ref SICRO CÓD  1619003, DB 01-2023</v>
          </cell>
          <cell r="E69"/>
          <cell r="F69" t="str">
            <v>M³</v>
          </cell>
          <cell r="G69">
            <v>85.33</v>
          </cell>
          <cell r="H69" t="str">
            <v>-</v>
          </cell>
        </row>
        <row r="70">
          <cell r="A70" t="str">
            <v>SP/0180</v>
          </cell>
          <cell r="B70" t="str">
            <v>COMPOSIÇÃO</v>
          </cell>
          <cell r="C70"/>
          <cell r="D70" t="str">
            <v>Dique de contenção para usina de asfalto a quente - inclusive demolição. Ref SICRO CÓD  0919079, DB 01-2023</v>
          </cell>
          <cell r="E70"/>
          <cell r="F70" t="str">
            <v>M²</v>
          </cell>
          <cell r="G70">
            <v>140.91</v>
          </cell>
          <cell r="H70" t="str">
            <v>-</v>
          </cell>
        </row>
        <row r="71">
          <cell r="A71" t="str">
            <v>SP/0190</v>
          </cell>
          <cell r="B71" t="str">
            <v>COMPOSIÇÃO</v>
          </cell>
          <cell r="C71"/>
          <cell r="D71" t="str">
            <v>Muro em alvenaria de blocos de concreto com espessura de 0,20 m h = 1,0 m. Ref SICRO CÓD 0903848, DB 01-2023</v>
          </cell>
          <cell r="E71"/>
          <cell r="F71" t="str">
            <v>M</v>
          </cell>
          <cell r="G71">
            <v>171.72</v>
          </cell>
          <cell r="H71" t="str">
            <v>-</v>
          </cell>
        </row>
        <row r="72">
          <cell r="A72" t="str">
            <v>SP/0200</v>
          </cell>
          <cell r="B72" t="str">
            <v>COMPOSIÇÃO</v>
          </cell>
          <cell r="C72"/>
          <cell r="D72" t="str">
            <v>Rampa para acesso do misturador de agregados para usina de asfalto a quente - inclusive demolição. Ref SICRO CÓD 0909617, DB 01-2023</v>
          </cell>
          <cell r="E72"/>
          <cell r="F72" t="str">
            <v>UN</v>
          </cell>
          <cell r="G72">
            <v>23900.2</v>
          </cell>
          <cell r="H72" t="str">
            <v>-</v>
          </cell>
        </row>
        <row r="73">
          <cell r="A73" t="str">
            <v>SP/0210</v>
          </cell>
          <cell r="B73" t="str">
            <v>COMPOSIÇÃO</v>
          </cell>
          <cell r="C73"/>
          <cell r="D73" t="str">
            <v>Compactação manual com soquete vibratório. Ref SICRO CÓD 4805754, DB 01-2023</v>
          </cell>
          <cell r="E73"/>
          <cell r="F73" t="str">
            <v>M³</v>
          </cell>
          <cell r="G73">
            <v>5.0999999999999996</v>
          </cell>
          <cell r="H73" t="str">
            <v>-</v>
          </cell>
        </row>
        <row r="74">
          <cell r="A74"/>
          <cell r="B74"/>
          <cell r="C74"/>
          <cell r="D74"/>
          <cell r="E74"/>
          <cell r="F74"/>
          <cell r="G74"/>
          <cell r="H74"/>
        </row>
        <row r="75">
          <cell r="A75"/>
          <cell r="B75"/>
          <cell r="C75" t="str">
            <v>2.0</v>
          </cell>
          <cell r="D75" t="str">
            <v>REMOÇÕES, DEMOLIÇÕES E SUPRESSÕES</v>
          </cell>
          <cell r="E75"/>
          <cell r="F75"/>
          <cell r="G75"/>
          <cell r="H75" t="str">
            <v/>
          </cell>
        </row>
        <row r="76">
          <cell r="A76">
            <v>98526</v>
          </cell>
          <cell r="B76" t="str">
            <v>SINAPI</v>
          </cell>
          <cell r="C76"/>
          <cell r="D76" t="str">
            <v>Remoção de raízes remanescentes de tronco de árvore com diâmetro maior ou igual a 0,20 m e menor que 0,40 m. AF_05/2018</v>
          </cell>
          <cell r="E76"/>
          <cell r="F76" t="str">
            <v>UN</v>
          </cell>
          <cell r="G76">
            <v>71.52</v>
          </cell>
          <cell r="H76" t="str">
            <v>-</v>
          </cell>
        </row>
        <row r="77">
          <cell r="A77">
            <v>98527</v>
          </cell>
          <cell r="B77" t="str">
            <v>SINAPI</v>
          </cell>
          <cell r="C77"/>
          <cell r="D77" t="str">
            <v>Remoção de raízes remanescentes de tronco de árvore com diâmetro maior ou igual a 0,40 m e menor que 0,60 m. AF_05/2018</v>
          </cell>
          <cell r="E77"/>
          <cell r="F77" t="str">
            <v>UN</v>
          </cell>
          <cell r="G77">
            <v>153.97999999999999</v>
          </cell>
          <cell r="H77" t="str">
            <v>-</v>
          </cell>
        </row>
        <row r="78">
          <cell r="A78">
            <v>98528</v>
          </cell>
          <cell r="B78" t="str">
            <v>SINAPI</v>
          </cell>
          <cell r="C78"/>
          <cell r="D78" t="str">
            <v>Remoção de raízes remanescentes de tronco de árvore com diâmetro maior ou igual a 0,60 m. AF_05/2018</v>
          </cell>
          <cell r="E78"/>
          <cell r="F78" t="str">
            <v>UN</v>
          </cell>
          <cell r="G78">
            <v>225.18</v>
          </cell>
          <cell r="H78" t="str">
            <v>-</v>
          </cell>
        </row>
        <row r="79">
          <cell r="A79">
            <v>98529</v>
          </cell>
          <cell r="B79" t="str">
            <v>SINAPI</v>
          </cell>
          <cell r="C79"/>
          <cell r="D79" t="str">
            <v>Corte raso e recorte de árvore com diâmetro nominal de tronco maior ou igual a 0,20 m e menor que 0,40 m. AF_05/2018</v>
          </cell>
          <cell r="E79"/>
          <cell r="F79" t="str">
            <v>UN</v>
          </cell>
          <cell r="G79">
            <v>54.72</v>
          </cell>
          <cell r="H79" t="str">
            <v>-</v>
          </cell>
        </row>
        <row r="80">
          <cell r="A80">
            <v>98530</v>
          </cell>
          <cell r="B80" t="str">
            <v>SINAPI</v>
          </cell>
          <cell r="C80"/>
          <cell r="D80" t="str">
            <v>Corte raso e recorte de árvore com diâmetro nominal de tronco maior ou igual a 0,40 m e menor que 0,60 m. AF_05/2018</v>
          </cell>
          <cell r="E80"/>
          <cell r="F80" t="str">
            <v>UN</v>
          </cell>
          <cell r="G80">
            <v>97.49</v>
          </cell>
          <cell r="H80" t="str">
            <v>-</v>
          </cell>
        </row>
        <row r="81">
          <cell r="A81">
            <v>98531</v>
          </cell>
          <cell r="B81" t="str">
            <v>SINAPI</v>
          </cell>
          <cell r="C81"/>
          <cell r="D81" t="str">
            <v>Corte raso e recorte de árvore com diâmetro nominal de tronco maior ou igual a 0,60 m. AF_05/2018</v>
          </cell>
          <cell r="E81"/>
          <cell r="F81" t="str">
            <v>UN</v>
          </cell>
          <cell r="G81">
            <v>239.24</v>
          </cell>
          <cell r="H81" t="str">
            <v>-</v>
          </cell>
        </row>
        <row r="82">
          <cell r="A82">
            <v>98532</v>
          </cell>
          <cell r="B82" t="str">
            <v>SINAPI</v>
          </cell>
          <cell r="C82"/>
          <cell r="D82" t="str">
            <v>Poda em altura de árvore com diâmetro nominal de tronco menor que 0,20 m. AF_05/2018</v>
          </cell>
          <cell r="E82"/>
          <cell r="F82" t="str">
            <v>UN</v>
          </cell>
          <cell r="G82">
            <v>101.66</v>
          </cell>
          <cell r="H82" t="str">
            <v>-</v>
          </cell>
        </row>
        <row r="83">
          <cell r="A83">
            <v>98533</v>
          </cell>
          <cell r="B83" t="str">
            <v>SINAPI</v>
          </cell>
          <cell r="C83"/>
          <cell r="D83" t="str">
            <v>Poda em altura de árvore com diâmetro nominal de tronco maior ou igual a 0,20 m e menor que 0,40 m. AF_05/2018</v>
          </cell>
          <cell r="E83"/>
          <cell r="F83" t="str">
            <v>UN</v>
          </cell>
          <cell r="G83">
            <v>275.93</v>
          </cell>
          <cell r="H83" t="str">
            <v>-</v>
          </cell>
        </row>
        <row r="84">
          <cell r="A84">
            <v>98534</v>
          </cell>
          <cell r="B84" t="str">
            <v>SINAPI</v>
          </cell>
          <cell r="C84"/>
          <cell r="D84" t="str">
            <v>Poda em altura de árvore com diâmetro nominal de tronco maior ou igual a 0,40 m e menor que 0,60 m. AF_05/2018</v>
          </cell>
          <cell r="E84"/>
          <cell r="F84" t="str">
            <v>UN</v>
          </cell>
          <cell r="G84">
            <v>709.84</v>
          </cell>
          <cell r="H84" t="str">
            <v>-</v>
          </cell>
        </row>
        <row r="85">
          <cell r="A85">
            <v>98535</v>
          </cell>
          <cell r="B85" t="str">
            <v>SINAPI</v>
          </cell>
          <cell r="C85"/>
          <cell r="D85" t="str">
            <v>Poda em altura de árvore com diâmetro nominal de tronco maior ou igual a 0,60 m. AF_05/2018</v>
          </cell>
          <cell r="E85"/>
          <cell r="F85" t="str">
            <v>UN</v>
          </cell>
          <cell r="G85">
            <v>1118.48</v>
          </cell>
          <cell r="H85" t="str">
            <v>-</v>
          </cell>
        </row>
        <row r="86">
          <cell r="A86" t="str">
            <v>SR/0010</v>
          </cell>
          <cell r="B86" t="str">
            <v>COMPOSIÇÃO</v>
          </cell>
          <cell r="C86">
            <v>0.08</v>
          </cell>
          <cell r="D86" t="str">
            <v>Demolição de concreto simples, de forma manual, sem reaproveitamento (REF. SICRO COD. 1600436)</v>
          </cell>
          <cell r="E86"/>
          <cell r="F86" t="str">
            <v>M3</v>
          </cell>
          <cell r="G86">
            <v>239.43</v>
          </cell>
          <cell r="H86" t="str">
            <v>-</v>
          </cell>
        </row>
        <row r="87">
          <cell r="A87" t="str">
            <v>SR/0020</v>
          </cell>
          <cell r="B87" t="str">
            <v>COMPOSIÇÃO</v>
          </cell>
          <cell r="C87">
            <v>0.6</v>
          </cell>
          <cell r="D87" t="str">
            <v>Demolição de concreto simples, de forma mecanizada, sem reaproveitamento (REF. SICRO COD. 1600989, db 01-2023)</v>
          </cell>
          <cell r="E87"/>
          <cell r="F87" t="str">
            <v>M3</v>
          </cell>
          <cell r="G87">
            <v>229.39</v>
          </cell>
          <cell r="H87" t="str">
            <v>-</v>
          </cell>
        </row>
        <row r="88">
          <cell r="A88" t="str">
            <v>SR/0030</v>
          </cell>
          <cell r="B88" t="str">
            <v>COMPOSIÇÃO</v>
          </cell>
          <cell r="C88">
            <v>0.05</v>
          </cell>
          <cell r="D88" t="str">
            <v>Demolição de concreto armado, de forma manual, sem reaproveitamento (REF. SICRO COD. 1600438)</v>
          </cell>
          <cell r="E88"/>
          <cell r="F88" t="str">
            <v>M3</v>
          </cell>
          <cell r="G88">
            <v>383.1</v>
          </cell>
          <cell r="H88" t="str">
            <v>-</v>
          </cell>
        </row>
        <row r="89">
          <cell r="A89" t="str">
            <v>SR/0040</v>
          </cell>
          <cell r="B89" t="str">
            <v>COMPOSIÇÃO</v>
          </cell>
          <cell r="C89">
            <v>4.7699999999999996</v>
          </cell>
          <cell r="D89" t="str">
            <v>Demolição de concreto armado, de forma mecanizada, sem reaproveitamento (REF. SICRO COD. 1619003)</v>
          </cell>
          <cell r="E89"/>
          <cell r="F89" t="str">
            <v>M3</v>
          </cell>
          <cell r="G89">
            <v>156.53</v>
          </cell>
          <cell r="H89" t="str">
            <v>-</v>
          </cell>
        </row>
        <row r="90">
          <cell r="A90">
            <v>97624</v>
          </cell>
          <cell r="B90" t="str">
            <v>SINAPI</v>
          </cell>
          <cell r="C90">
            <v>2.36</v>
          </cell>
          <cell r="D90" t="str">
            <v>Demolição de alvenaria de tijolo maciço, de forma manual, sem reaproveitamento. AF_12/2017</v>
          </cell>
          <cell r="E90"/>
          <cell r="F90" t="str">
            <v>M3</v>
          </cell>
          <cell r="G90">
            <v>83.41</v>
          </cell>
          <cell r="H90" t="str">
            <v>-</v>
          </cell>
        </row>
        <row r="91">
          <cell r="A91">
            <v>97622</v>
          </cell>
          <cell r="B91" t="str">
            <v>SINAPI</v>
          </cell>
          <cell r="C91">
            <v>4.4400000000000004</v>
          </cell>
          <cell r="D91" t="str">
            <v>Demolição de alvenaria de bloco furado, de forma manual, sem reaproveitamento. AF_12/2017</v>
          </cell>
          <cell r="E91"/>
          <cell r="F91" t="str">
            <v>M3</v>
          </cell>
          <cell r="G91">
            <v>44.36</v>
          </cell>
          <cell r="H91" t="str">
            <v>-</v>
          </cell>
        </row>
        <row r="92">
          <cell r="A92">
            <v>97625</v>
          </cell>
          <cell r="B92" t="str">
            <v>SINAPI</v>
          </cell>
          <cell r="C92"/>
          <cell r="D92" t="str">
            <v>Demolição de alvenaria para qualquer tipo de bloco, de forma mecanizada, sem reaproveitamento. AF_12/2017</v>
          </cell>
          <cell r="E92"/>
          <cell r="F92" t="str">
            <v>M3</v>
          </cell>
          <cell r="G92">
            <v>49.2</v>
          </cell>
          <cell r="H92" t="str">
            <v>-</v>
          </cell>
        </row>
        <row r="93">
          <cell r="A93">
            <v>97633</v>
          </cell>
          <cell r="B93" t="str">
            <v>SINAPI</v>
          </cell>
          <cell r="C93"/>
          <cell r="D93" t="str">
            <v>Demolição de revestimento cerâmico, de forma manual, sem reaproveitamento. AF_12/2017</v>
          </cell>
          <cell r="E93"/>
          <cell r="F93" t="str">
            <v>M2</v>
          </cell>
          <cell r="G93">
            <v>17.63</v>
          </cell>
          <cell r="H93" t="str">
            <v>-</v>
          </cell>
        </row>
        <row r="94">
          <cell r="A94">
            <v>97639</v>
          </cell>
          <cell r="B94" t="str">
            <v>SINAPI</v>
          </cell>
          <cell r="C94"/>
          <cell r="D94" t="str">
            <v>Demolição de revestimento cerâmico, de forma manual, remoção de placas e pilaretes de concreto, de forma manual, sem reaproveitamento. AF_12/2017</v>
          </cell>
          <cell r="E94"/>
          <cell r="F94" t="str">
            <v>M2</v>
          </cell>
          <cell r="G94">
            <v>15.52</v>
          </cell>
          <cell r="H94" t="str">
            <v>-</v>
          </cell>
        </row>
        <row r="95">
          <cell r="A95" t="str">
            <v>SR/0050</v>
          </cell>
          <cell r="B95" t="str">
            <v>COMPOSIÇÃO</v>
          </cell>
          <cell r="C95">
            <v>7.15</v>
          </cell>
          <cell r="D95" t="str">
            <v>Demolição de piso em ladrilho, de forma mecanizada, sem reaproveitamento (REF. SINAPI COD. 97634)</v>
          </cell>
          <cell r="E95"/>
          <cell r="F95" t="str">
            <v>M2</v>
          </cell>
          <cell r="G95">
            <v>10.59</v>
          </cell>
          <cell r="H95" t="str">
            <v>-</v>
          </cell>
        </row>
        <row r="96">
          <cell r="A96" t="str">
            <v>SR/0060</v>
          </cell>
          <cell r="B96" t="str">
            <v>COMPOSIÇÃO</v>
          </cell>
          <cell r="C96">
            <v>21.78</v>
          </cell>
          <cell r="D96" t="str">
            <v>Remoção de piso em bloco de concreto, de forma mecanizada, sem reaproveitamento</v>
          </cell>
          <cell r="E96"/>
          <cell r="F96" t="str">
            <v>M2</v>
          </cell>
          <cell r="G96">
            <v>11.47</v>
          </cell>
          <cell r="H96" t="str">
            <v>-</v>
          </cell>
        </row>
        <row r="97">
          <cell r="A97" t="str">
            <v>SR/0061</v>
          </cell>
          <cell r="B97" t="str">
            <v>COMPOSIÇÃO</v>
          </cell>
          <cell r="C97">
            <v>21.78</v>
          </cell>
          <cell r="D97" t="str">
            <v>Remoção de paralelepípedos, inclusive carga (Ref SICRO 1600441, DB 01-2023)</v>
          </cell>
          <cell r="E97"/>
          <cell r="F97" t="str">
            <v>M2</v>
          </cell>
          <cell r="G97">
            <v>3.87</v>
          </cell>
          <cell r="H97" t="str">
            <v>-</v>
          </cell>
        </row>
        <row r="98">
          <cell r="A98" t="str">
            <v>SR/0070</v>
          </cell>
          <cell r="B98" t="str">
            <v>COMPOSIÇÃO</v>
          </cell>
          <cell r="C98">
            <v>2.5</v>
          </cell>
          <cell r="D98" t="str">
            <v>Demolição de alvenaria de pedra, de forma manual, com reaproveitamento</v>
          </cell>
          <cell r="E98"/>
          <cell r="F98" t="str">
            <v>M3</v>
          </cell>
          <cell r="G98">
            <v>76.62</v>
          </cell>
          <cell r="H98" t="str">
            <v>-</v>
          </cell>
        </row>
        <row r="99">
          <cell r="A99" t="str">
            <v>SR/0080</v>
          </cell>
          <cell r="B99" t="str">
            <v>COMPOSIÇÃO</v>
          </cell>
          <cell r="C99"/>
          <cell r="D99" t="str">
            <v>Demolição de boca de lobo, incluindo carga e bota-fora do entulho e reaterro da cava</v>
          </cell>
          <cell r="E99"/>
          <cell r="F99" t="str">
            <v xml:space="preserve">UN </v>
          </cell>
          <cell r="G99">
            <v>422.36</v>
          </cell>
          <cell r="H99" t="str">
            <v>-</v>
          </cell>
        </row>
        <row r="100">
          <cell r="A100" t="str">
            <v>SR/0090</v>
          </cell>
          <cell r="B100" t="str">
            <v>COMPOSIÇÃO</v>
          </cell>
          <cell r="C100"/>
          <cell r="D100" t="str">
            <v>Demolição de poço de visita, inclusive carga e bota-fora do entulho</v>
          </cell>
          <cell r="E100"/>
          <cell r="F100" t="str">
            <v xml:space="preserve">UN </v>
          </cell>
          <cell r="G100">
            <v>853.09</v>
          </cell>
          <cell r="H100" t="str">
            <v>-</v>
          </cell>
        </row>
        <row r="101">
          <cell r="A101" t="str">
            <v>SR/0100</v>
          </cell>
          <cell r="B101" t="str">
            <v>COMPOSIÇÃO</v>
          </cell>
          <cell r="C101">
            <v>12</v>
          </cell>
          <cell r="D101" t="str">
            <v>Recorte mecânico de pavimento asfáltico ou piso de concreto, com serra de disco diamantado para piso/asfalto</v>
          </cell>
          <cell r="E101"/>
          <cell r="F101" t="str">
            <v>M</v>
          </cell>
          <cell r="G101">
            <v>3.14</v>
          </cell>
          <cell r="H101" t="str">
            <v>-</v>
          </cell>
        </row>
        <row r="102">
          <cell r="A102" t="str">
            <v>SR/0110</v>
          </cell>
          <cell r="B102" t="str">
            <v>COMPOSIÇÃO</v>
          </cell>
          <cell r="C102"/>
          <cell r="D102" t="str">
            <v>Remoção de cerca com mourões de madeira, espaçamento de 2,5 m, altura livre de 2 m, cravados de 0,5 m, sem reaproveitamento. (REF SINAPI CÓD 101200, DB 10-2022)</v>
          </cell>
          <cell r="E102"/>
          <cell r="F102" t="str">
            <v>M</v>
          </cell>
          <cell r="G102">
            <v>19.11</v>
          </cell>
          <cell r="H102" t="str">
            <v>-</v>
          </cell>
        </row>
        <row r="103">
          <cell r="A103" t="str">
            <v>SR/0120</v>
          </cell>
          <cell r="B103" t="str">
            <v>COMPOSIÇÃO</v>
          </cell>
          <cell r="C103"/>
          <cell r="D103" t="str">
            <v>Remoção de alambrado com tela de arame galvanizado (inclusive mureta em concreto). (REF SINAPI CÓD 98522, DB 11-2022)</v>
          </cell>
          <cell r="E103"/>
          <cell r="F103" t="str">
            <v>M</v>
          </cell>
          <cell r="G103">
            <v>42.88</v>
          </cell>
          <cell r="H103" t="str">
            <v>-</v>
          </cell>
        </row>
        <row r="104">
          <cell r="A104">
            <v>97635</v>
          </cell>
          <cell r="B104" t="str">
            <v>SINAPI</v>
          </cell>
          <cell r="C104"/>
          <cell r="D104" t="str">
            <v>Demolição de pavimento intertravado, de forma manual, com reaproveitamento. AF_12/2017</v>
          </cell>
          <cell r="E104"/>
          <cell r="F104" t="str">
            <v>M2</v>
          </cell>
          <cell r="G104">
            <v>11.65</v>
          </cell>
          <cell r="H104" t="str">
            <v>-</v>
          </cell>
        </row>
        <row r="105">
          <cell r="A105">
            <v>97636</v>
          </cell>
          <cell r="B105" t="str">
            <v>SINAPI</v>
          </cell>
          <cell r="C105">
            <v>8.18</v>
          </cell>
          <cell r="D105" t="str">
            <v>Demolição parcial de pavimento asfáltico, de forma mecanizada, sem reaproveitamento. AF_12/2017</v>
          </cell>
          <cell r="E105"/>
          <cell r="F105" t="str">
            <v>M2</v>
          </cell>
          <cell r="G105">
            <v>16.88</v>
          </cell>
          <cell r="H105" t="str">
            <v>-</v>
          </cell>
        </row>
        <row r="106">
          <cell r="A106"/>
          <cell r="B106"/>
          <cell r="C106"/>
          <cell r="D106"/>
          <cell r="E106"/>
          <cell r="F106"/>
          <cell r="G106"/>
          <cell r="H106"/>
        </row>
        <row r="107">
          <cell r="A107"/>
          <cell r="B107"/>
          <cell r="C107" t="str">
            <v>3.0</v>
          </cell>
          <cell r="D107" t="str">
            <v>CARGAS, TEMPO FIXO E TRANSPORTES</v>
          </cell>
          <cell r="E107"/>
          <cell r="F107"/>
          <cell r="G107"/>
          <cell r="H107" t="str">
            <v/>
          </cell>
        </row>
        <row r="108">
          <cell r="A108">
            <v>101007</v>
          </cell>
          <cell r="B108" t="str">
            <v>SINAPI</v>
          </cell>
          <cell r="C108"/>
          <cell r="D108" t="str">
            <v>Carga de água em caminhão pipa 6 m³. AF_07/2020</v>
          </cell>
          <cell r="E108"/>
          <cell r="F108" t="str">
            <v>M3</v>
          </cell>
          <cell r="G108">
            <v>4.67</v>
          </cell>
          <cell r="H108" t="str">
            <v>-</v>
          </cell>
        </row>
        <row r="109">
          <cell r="A109">
            <v>101008</v>
          </cell>
          <cell r="B109" t="str">
            <v>SINAPI</v>
          </cell>
          <cell r="C109"/>
          <cell r="D109" t="str">
            <v>Carga de água em caminhão pipa 10 m³. AF_07/2020</v>
          </cell>
          <cell r="E109"/>
          <cell r="F109" t="str">
            <v>M3</v>
          </cell>
          <cell r="G109">
            <v>4.7699999999999996</v>
          </cell>
          <cell r="H109" t="str">
            <v>-</v>
          </cell>
        </row>
        <row r="110">
          <cell r="A110">
            <v>101005</v>
          </cell>
          <cell r="B110" t="str">
            <v>SINAPI</v>
          </cell>
          <cell r="C110"/>
          <cell r="D110" t="str">
            <v>Carga, manobra e descarga de água em caminhão pipa 6 m³. AF_07/2020</v>
          </cell>
          <cell r="E110"/>
          <cell r="F110" t="str">
            <v>M3</v>
          </cell>
          <cell r="G110">
            <v>16.07</v>
          </cell>
          <cell r="H110" t="str">
            <v>-</v>
          </cell>
        </row>
        <row r="111">
          <cell r="A111">
            <v>101006</v>
          </cell>
          <cell r="B111" t="str">
            <v>SINAPI</v>
          </cell>
          <cell r="C111"/>
          <cell r="D111" t="str">
            <v>Carga, manobra e descarga de água em caminhão pipa 10 m³. AF_07/2020</v>
          </cell>
          <cell r="E111"/>
          <cell r="F111" t="str">
            <v>M3</v>
          </cell>
          <cell r="G111">
            <v>18.059999999999999</v>
          </cell>
          <cell r="H111" t="str">
            <v>-</v>
          </cell>
        </row>
        <row r="112">
          <cell r="A112">
            <v>100973</v>
          </cell>
          <cell r="B112" t="str">
            <v>SINAPI</v>
          </cell>
          <cell r="C112" t="str">
            <v>72888
74010/1
ST/0005</v>
          </cell>
          <cell r="D112" t="str">
            <v>Carga, manobra e descarga de solos e materiais granulares em caminhão basculante 6 m3 - carga com pá carregadeira (capacidade da caçamba: 1,70 a 2,80 m3 / potência: 128 HP) e descarga livre (unidade: m3). AF_07/2020</v>
          </cell>
          <cell r="E112" t="str">
            <v>MATERIAL GRANULAR
PÁ CARREGADEIRA</v>
          </cell>
          <cell r="F112" t="str">
            <v>M3</v>
          </cell>
          <cell r="G112">
            <v>7.76</v>
          </cell>
          <cell r="H112" t="str">
            <v>-</v>
          </cell>
        </row>
        <row r="113">
          <cell r="A113">
            <v>100974</v>
          </cell>
          <cell r="B113" t="str">
            <v>SINAPI</v>
          </cell>
          <cell r="C113" t="str">
            <v>ST/0010</v>
          </cell>
          <cell r="D113" t="str">
            <v>Carga, manobra e descarga de solos e materiais granulares em caminhão basculante 10 m3 - carga com pá carregadeira (capacidade da caçamba: 1,70 a 2,80 m3 / potência: 128 HP) e descarga livre (unidade: m3). AF_07/2020</v>
          </cell>
          <cell r="E113"/>
          <cell r="F113" t="str">
            <v>M3</v>
          </cell>
          <cell r="G113">
            <v>7.51</v>
          </cell>
          <cell r="H113" t="str">
            <v>-</v>
          </cell>
        </row>
        <row r="114">
          <cell r="A114">
            <v>100975</v>
          </cell>
          <cell r="B114" t="str">
            <v>SINAPI</v>
          </cell>
          <cell r="C114" t="str">
            <v>ST/0015</v>
          </cell>
          <cell r="D114" t="str">
            <v>Carga, manobra e descarga de solos e materiais granulares em caminhão basculante 14 m3 - carga com pá carregadeira (capacidade da caçamba: 1,70 a 2,80 m3 / potência: 128 HP) e descarga livre (unidade: m3). AF_07/2020</v>
          </cell>
          <cell r="E114"/>
          <cell r="F114" t="str">
            <v>M3</v>
          </cell>
          <cell r="G114">
            <v>7.71</v>
          </cell>
          <cell r="H114" t="str">
            <v>-</v>
          </cell>
        </row>
        <row r="115">
          <cell r="A115">
            <v>100976</v>
          </cell>
          <cell r="B115" t="str">
            <v>SINAPI</v>
          </cell>
          <cell r="C115" t="str">
            <v>ST/0020</v>
          </cell>
          <cell r="D115" t="str">
            <v>Carga, manobra e descarga de solos e materiais granulares em caminhão basculante 18 m3 - carga com pá carregadeira (capacidade da caçamba: 1,70 a 2,80 m3 / potência: 128 HP) e descarga livre (unidade: m3). AF_07/2020</v>
          </cell>
          <cell r="E115"/>
          <cell r="F115" t="str">
            <v>M3</v>
          </cell>
          <cell r="G115">
            <v>7.55</v>
          </cell>
          <cell r="H115" t="str">
            <v>-</v>
          </cell>
        </row>
        <row r="116">
          <cell r="A116">
            <v>100977</v>
          </cell>
          <cell r="B116" t="str">
            <v>SINAPI</v>
          </cell>
          <cell r="C116" t="str">
            <v>ST/0005</v>
          </cell>
          <cell r="D116" t="str">
            <v>Carga, manobra e descarga de solos e materiais granulares em caminhão basculante 6 m3 - carga com escavadeira hidráulica (capacidade da caçamba: 1,20 m3 / potência: 155 HP) e descarga livre (unidade: m3). AF_07/2020</v>
          </cell>
          <cell r="E116" t="str">
            <v>MATERIAL GRANULAR 
ESCAVADEIRA
HIDRÁULICA</v>
          </cell>
          <cell r="F116" t="str">
            <v>M3</v>
          </cell>
          <cell r="G116">
            <v>6.67</v>
          </cell>
          <cell r="H116" t="str">
            <v>-</v>
          </cell>
        </row>
        <row r="117">
          <cell r="A117">
            <v>100978</v>
          </cell>
          <cell r="B117" t="str">
            <v>SINAPI</v>
          </cell>
          <cell r="C117" t="str">
            <v>ST/0010</v>
          </cell>
          <cell r="D117" t="str">
            <v>Carga, manobra e descarga de solos e materiais granulares em caminhão basculante 10 m3 - carga com escavadeira hidráulica (capacidade da caçamba: 1,20 m3 / potência: 155 HP) e descarga livre (unidade: m3). AF_07/2020</v>
          </cell>
          <cell r="E117"/>
          <cell r="F117" t="str">
            <v>M3</v>
          </cell>
          <cell r="G117">
            <v>6.04</v>
          </cell>
          <cell r="H117" t="str">
            <v>-</v>
          </cell>
        </row>
        <row r="118">
          <cell r="A118">
            <v>100979</v>
          </cell>
          <cell r="B118" t="str">
            <v>SINAPI</v>
          </cell>
          <cell r="C118" t="str">
            <v>ST/0015</v>
          </cell>
          <cell r="D118" t="str">
            <v>Carga, manobra e descarga de solos e materiais granulares em caminhão basculante 14 m3 - carga com escavadeira hidráulica (capacidade da caçamba: 1,20 m3 / potência: 155 HP) e descarga livre (unidade: m3). AF_07/2020</v>
          </cell>
          <cell r="E118"/>
          <cell r="F118" t="str">
            <v>M3</v>
          </cell>
          <cell r="G118">
            <v>5.91</v>
          </cell>
          <cell r="H118" t="str">
            <v>-</v>
          </cell>
        </row>
        <row r="119">
          <cell r="A119">
            <v>100980</v>
          </cell>
          <cell r="B119" t="str">
            <v>SINAPI</v>
          </cell>
          <cell r="C119" t="str">
            <v>ST/0020</v>
          </cell>
          <cell r="D119" t="str">
            <v>Carga, manobra e descarga de solos e materiais granulares em caminhão basculante 18 m3 - carga com escavadeira hidráulica (capacidade da caçamba: 1,20 m3 / potência: 155 HP) e descarga livre (unidade: m3). AF_07/2020</v>
          </cell>
          <cell r="E119"/>
          <cell r="F119" t="str">
            <v>M3</v>
          </cell>
          <cell r="G119">
            <v>5.58</v>
          </cell>
          <cell r="H119" t="str">
            <v>-</v>
          </cell>
        </row>
        <row r="120">
          <cell r="A120" t="str">
            <v>ST/0020</v>
          </cell>
          <cell r="B120" t="str">
            <v>COMPOSIÇÃO</v>
          </cell>
          <cell r="C120">
            <v>72897</v>
          </cell>
          <cell r="D120" t="str">
            <v>Carga manual, manobra e descarga de entulho em caminhão basculante 6m3 (REF. SICRO COD. 72897)</v>
          </cell>
          <cell r="E120" t="str">
            <v>ENTULHO
ESCAVADEIRA
HIDRÁULICA</v>
          </cell>
          <cell r="F120" t="str">
            <v>M3</v>
          </cell>
          <cell r="G120">
            <v>24.69</v>
          </cell>
          <cell r="H120" t="str">
            <v>-</v>
          </cell>
        </row>
        <row r="121">
          <cell r="A121">
            <v>100981</v>
          </cell>
          <cell r="B121" t="str">
            <v>SINAPI</v>
          </cell>
          <cell r="C121" t="str">
            <v>ST/0025</v>
          </cell>
          <cell r="D121" t="str">
            <v>Carga, manobra e descarga de entulho em caminhão basculante 6 m3 - carga com escavadeira hidráulica  (capacidade da caçamba: 0,80 m3 / potência: 111 HP) e descarga livre (unidade: m3). AF_07/2020</v>
          </cell>
          <cell r="E121"/>
          <cell r="F121" t="str">
            <v>M3</v>
          </cell>
          <cell r="G121">
            <v>8.14</v>
          </cell>
          <cell r="H121" t="str">
            <v>-</v>
          </cell>
        </row>
        <row r="122">
          <cell r="A122">
            <v>100982</v>
          </cell>
          <cell r="B122" t="str">
            <v>SINAPI</v>
          </cell>
          <cell r="C122" t="str">
            <v>ST/0030</v>
          </cell>
          <cell r="D122" t="str">
            <v>Carga, manobra e descarga de entulho em caminhão basculante 10 m3 - carga com escavadeira hidráulica  (capacidade da caçamba: 0,80 m3 / potência: 111 HP) e descarga livre (unidade: m3). AF_07/2020</v>
          </cell>
          <cell r="E122"/>
          <cell r="F122" t="str">
            <v>M3</v>
          </cell>
          <cell r="G122">
            <v>7.83</v>
          </cell>
          <cell r="H122" t="str">
            <v>-</v>
          </cell>
        </row>
        <row r="123">
          <cell r="A123">
            <v>100983</v>
          </cell>
          <cell r="B123" t="str">
            <v>SINAPI</v>
          </cell>
          <cell r="C123" t="str">
            <v>ST/0032</v>
          </cell>
          <cell r="D123" t="str">
            <v>Carga, manobra e descarga de entulho em caminhão basculante 14 m3 - carga com escavadeira hidráulica  (capacidade da caçamba: 0,80 m3 / potência: 111 HP) e descarga livre (unidade: m3). AF_07/2020</v>
          </cell>
          <cell r="E123"/>
          <cell r="F123" t="str">
            <v>M3</v>
          </cell>
          <cell r="G123">
            <v>8.01</v>
          </cell>
          <cell r="H123" t="str">
            <v>-</v>
          </cell>
        </row>
        <row r="124">
          <cell r="A124">
            <v>100984</v>
          </cell>
          <cell r="B124" t="str">
            <v>SINAPI</v>
          </cell>
          <cell r="C124" t="str">
            <v>ST/0032</v>
          </cell>
          <cell r="D124" t="str">
            <v>Carga, manobra e descarga de entulho em caminhão basculante 18 m3 - carga com escavadeira hidráulica  (capacidade da caçamba: 0,80 m3 / potência: 111 HP) e descarga livre (unidade: m3). AF_07/2020</v>
          </cell>
          <cell r="E124"/>
          <cell r="F124" t="str">
            <v>M3</v>
          </cell>
          <cell r="G124">
            <v>7.83</v>
          </cell>
          <cell r="H124" t="str">
            <v>-</v>
          </cell>
        </row>
        <row r="125">
          <cell r="A125">
            <v>100985</v>
          </cell>
          <cell r="B125" t="str">
            <v>SINAPI</v>
          </cell>
          <cell r="C125" t="str">
            <v>ST/0035</v>
          </cell>
          <cell r="D125" t="str">
            <v>Carga de mistura asfáltica em caminhão basculante 6 m3 (unidade: m3). AF_07/2020</v>
          </cell>
          <cell r="E125"/>
          <cell r="F125" t="str">
            <v>M3</v>
          </cell>
          <cell r="G125">
            <v>6.48</v>
          </cell>
          <cell r="H125" t="str">
            <v>-</v>
          </cell>
        </row>
        <row r="126">
          <cell r="A126">
            <v>101001</v>
          </cell>
          <cell r="B126" t="str">
            <v>SINAPI</v>
          </cell>
          <cell r="C126"/>
          <cell r="D126" t="str">
            <v>Carga de mistura asfáltica em caminhão basculante 6 m3 (unidade: t). AF_07/2020</v>
          </cell>
          <cell r="E126"/>
          <cell r="F126" t="str">
            <v>T</v>
          </cell>
          <cell r="G126">
            <v>4.32</v>
          </cell>
          <cell r="H126" t="str">
            <v>-</v>
          </cell>
        </row>
        <row r="127">
          <cell r="A127">
            <v>100986</v>
          </cell>
          <cell r="B127" t="str">
            <v>SINAPI</v>
          </cell>
          <cell r="C127" t="str">
            <v>ST/0040</v>
          </cell>
          <cell r="D127" t="str">
            <v>Carga de mistura asfáltica em caminhão basculante 10 m3 (unidade: m3). AF_07/2020</v>
          </cell>
          <cell r="E127"/>
          <cell r="F127" t="str">
            <v>M3</v>
          </cell>
          <cell r="G127">
            <v>7.84</v>
          </cell>
          <cell r="H127" t="str">
            <v>-</v>
          </cell>
        </row>
        <row r="128">
          <cell r="A128">
            <v>101002</v>
          </cell>
          <cell r="B128" t="str">
            <v>SINAPI</v>
          </cell>
          <cell r="C128"/>
          <cell r="D128" t="str">
            <v>Carga de mistura asfáltica em caminhão basculante 10 m3 (unidade: t). AF_07/2020</v>
          </cell>
          <cell r="E128"/>
          <cell r="F128" t="str">
            <v>T</v>
          </cell>
          <cell r="G128">
            <v>5.22</v>
          </cell>
          <cell r="H128" t="str">
            <v>-</v>
          </cell>
        </row>
        <row r="129">
          <cell r="A129">
            <v>100987</v>
          </cell>
          <cell r="B129" t="str">
            <v>SINAPI</v>
          </cell>
          <cell r="C129" t="str">
            <v>ST/0042</v>
          </cell>
          <cell r="D129" t="str">
            <v>Carga de mistura asfáltica em caminhão basculante 14 m3 (unidade: m3). AF_07/2020</v>
          </cell>
          <cell r="E129"/>
          <cell r="F129" t="str">
            <v>M3</v>
          </cell>
          <cell r="G129">
            <v>9.24</v>
          </cell>
          <cell r="H129" t="str">
            <v>-</v>
          </cell>
        </row>
        <row r="130">
          <cell r="A130">
            <v>101003</v>
          </cell>
          <cell r="B130" t="str">
            <v>SINAPI</v>
          </cell>
          <cell r="C130"/>
          <cell r="D130" t="str">
            <v>Carga de mistura asfáltica em caminhão basculante 14 m3 (unidade: t). AF_07/2020</v>
          </cell>
          <cell r="E130"/>
          <cell r="F130" t="str">
            <v>T</v>
          </cell>
          <cell r="G130">
            <v>6.14</v>
          </cell>
          <cell r="H130" t="str">
            <v>-</v>
          </cell>
        </row>
        <row r="131">
          <cell r="A131">
            <v>100988</v>
          </cell>
          <cell r="B131" t="str">
            <v>SINAPI</v>
          </cell>
          <cell r="C131"/>
          <cell r="D131" t="str">
            <v>Carga de mistura asfáltica em caminhão basculante 18 m3 (unidade: m3). AF_07/2020</v>
          </cell>
          <cell r="E131"/>
          <cell r="F131" t="str">
            <v>M3</v>
          </cell>
          <cell r="G131">
            <v>9.76</v>
          </cell>
          <cell r="H131" t="str">
            <v>-</v>
          </cell>
        </row>
        <row r="132">
          <cell r="A132">
            <v>101004</v>
          </cell>
          <cell r="B132" t="str">
            <v>SINAPI</v>
          </cell>
          <cell r="C132"/>
          <cell r="D132" t="str">
            <v>Carga de mistura asfáltica em caminhão basculante 18 m3 (unidade: t). AF_07/2020</v>
          </cell>
          <cell r="E132"/>
          <cell r="F132" t="str">
            <v>T</v>
          </cell>
          <cell r="G132">
            <v>6.51</v>
          </cell>
          <cell r="H132" t="str">
            <v>-</v>
          </cell>
        </row>
        <row r="133">
          <cell r="A133" t="str">
            <v>ST/0065</v>
          </cell>
          <cell r="B133" t="str">
            <v>COMPOSIÇÃO</v>
          </cell>
          <cell r="C133"/>
          <cell r="D133" t="str">
            <v>Carga, manobra e descarga de materiais diversos em caminhão carroceria com guindauto (REF. SICRO COD. 5915373)</v>
          </cell>
          <cell r="E133"/>
          <cell r="F133" t="str">
            <v>T</v>
          </cell>
          <cell r="G133">
            <v>11.57</v>
          </cell>
          <cell r="H133" t="str">
            <v>-</v>
          </cell>
        </row>
        <row r="134">
          <cell r="A134">
            <v>101009</v>
          </cell>
          <cell r="B134" t="str">
            <v>SINAPI</v>
          </cell>
          <cell r="C134"/>
          <cell r="D134" t="str">
            <v>Carga, manobra e descarga de poste de concreto em caminhão carroceria com guindauto (munck) 11,7 tm. AF_07/2020</v>
          </cell>
          <cell r="E134"/>
          <cell r="F134" t="str">
            <v>T</v>
          </cell>
          <cell r="G134">
            <v>37.020000000000003</v>
          </cell>
          <cell r="H134" t="str">
            <v>-</v>
          </cell>
        </row>
        <row r="135">
          <cell r="A135">
            <v>101010</v>
          </cell>
          <cell r="B135" t="str">
            <v>SINAPI</v>
          </cell>
          <cell r="C135" t="str">
            <v>ST/0045</v>
          </cell>
          <cell r="D135" t="str">
            <v>Carga, manobra e descarga de perfil metálico em caminhão carroceria com guindauto (munck) 11,7 tm. AF_07/2020</v>
          </cell>
          <cell r="E135"/>
          <cell r="F135" t="str">
            <v>T</v>
          </cell>
          <cell r="G135">
            <v>23.32</v>
          </cell>
          <cell r="H135" t="str">
            <v>-</v>
          </cell>
        </row>
        <row r="136">
          <cell r="A136">
            <v>101013</v>
          </cell>
          <cell r="B136" t="str">
            <v>SINAPI</v>
          </cell>
          <cell r="C136" t="str">
            <v>ST/0050</v>
          </cell>
          <cell r="D136" t="str">
            <v>Carga, manobra e descarga de tubos de concreto, diâmetro nominal de menor ou igual a 0,30 m, em caminhão carroceria com guindauto (munck) 11,7 tm. AF_07/2020</v>
          </cell>
          <cell r="E136"/>
          <cell r="F136" t="str">
            <v>T</v>
          </cell>
          <cell r="G136">
            <v>38.32</v>
          </cell>
          <cell r="H136" t="str">
            <v>-</v>
          </cell>
        </row>
        <row r="137">
          <cell r="A137">
            <v>101014</v>
          </cell>
          <cell r="B137" t="str">
            <v>SINAPI</v>
          </cell>
          <cell r="C137" t="str">
            <v>ST/0050</v>
          </cell>
          <cell r="D137" t="str">
            <v>Carga, manobra e descarga de tubos de concreto, diâmetro nominal de 0,40 m, em caminhão carroceria com guindauto (munck) 11,7 tm. AF_07/2020</v>
          </cell>
          <cell r="E137"/>
          <cell r="F137" t="str">
            <v>T</v>
          </cell>
          <cell r="G137">
            <v>35.11</v>
          </cell>
          <cell r="H137" t="str">
            <v>-</v>
          </cell>
        </row>
        <row r="138">
          <cell r="A138">
            <v>101015</v>
          </cell>
          <cell r="B138" t="str">
            <v>SINAPI</v>
          </cell>
          <cell r="C138" t="str">
            <v>ST/0050</v>
          </cell>
          <cell r="D138" t="str">
            <v>Carga, manobra e descarga de tubos de concreto, diâmetro nominal de 0,50 m, em caminhão carroceria com guindauto (munck) 11,7 tm. AF_07/2020</v>
          </cell>
          <cell r="E138"/>
          <cell r="F138" t="str">
            <v>T</v>
          </cell>
          <cell r="G138">
            <v>28.84</v>
          </cell>
          <cell r="H138" t="str">
            <v>-</v>
          </cell>
        </row>
        <row r="139">
          <cell r="A139">
            <v>101463</v>
          </cell>
          <cell r="B139" t="str">
            <v>SINAPI</v>
          </cell>
          <cell r="C139" t="str">
            <v>ST/0055</v>
          </cell>
          <cell r="D139" t="str">
            <v>Carga, manobra e descarga de tubos de concreto, diâmetro nominal de 0,60 m, em caminhão carroceria com guindauto (munck) 11,7 tm. AF_07/2020</v>
          </cell>
          <cell r="E139"/>
          <cell r="F139" t="str">
            <v>T</v>
          </cell>
          <cell r="G139">
            <v>38.450000000000003</v>
          </cell>
          <cell r="H139" t="str">
            <v>-</v>
          </cell>
        </row>
        <row r="140">
          <cell r="A140">
            <v>101464</v>
          </cell>
          <cell r="B140" t="str">
            <v>SINAPI</v>
          </cell>
          <cell r="C140" t="str">
            <v>ST/0055</v>
          </cell>
          <cell r="D140" t="str">
            <v>Carga, manobra e descarga de tubos de concreto, diâmetro nominal de 0,70 m, em caminhão carroceria com guindauto (munck) 11,7 tm. AF_07/2020</v>
          </cell>
          <cell r="E140"/>
          <cell r="F140" t="str">
            <v>T</v>
          </cell>
          <cell r="G140">
            <v>29.53</v>
          </cell>
          <cell r="H140" t="str">
            <v>-</v>
          </cell>
        </row>
        <row r="141">
          <cell r="A141">
            <v>101465</v>
          </cell>
          <cell r="B141" t="str">
            <v>SINAPI</v>
          </cell>
          <cell r="C141" t="str">
            <v>ST/0055</v>
          </cell>
          <cell r="D141" t="str">
            <v>Carga, manobra e descarga de tubos de concreto, diâmetro nominal de 0,80 m, em caminhão carroceria com guindauto (munck) 11,7 tm. AF_07/2020</v>
          </cell>
          <cell r="E141"/>
          <cell r="F141" t="str">
            <v>T</v>
          </cell>
          <cell r="G141">
            <v>22.57</v>
          </cell>
          <cell r="H141" t="str">
            <v>-</v>
          </cell>
        </row>
        <row r="142">
          <cell r="A142">
            <v>101466</v>
          </cell>
          <cell r="B142" t="str">
            <v>SINAPI</v>
          </cell>
          <cell r="C142" t="str">
            <v>ST/0055</v>
          </cell>
          <cell r="D142" t="str">
            <v>Carga, manobra e descarga de tubos de concreto, diâmetro nominal de 0,90 m, em caminhão carroceria com guindauto (munck) 11,7 tm. AF_07/2020</v>
          </cell>
          <cell r="E142"/>
          <cell r="F142" t="str">
            <v>T</v>
          </cell>
          <cell r="G142">
            <v>18.36</v>
          </cell>
          <cell r="H142" t="str">
            <v>-</v>
          </cell>
        </row>
        <row r="143">
          <cell r="A143">
            <v>101467</v>
          </cell>
          <cell r="B143" t="str">
            <v>SINAPI</v>
          </cell>
          <cell r="C143" t="str">
            <v>ST/0060</v>
          </cell>
          <cell r="D143" t="str">
            <v>Carga, manobra e descarga de tubos de concreto, diâmetro nominal de 1,00 m, em caminhão carroceria com guindauto (munck) 11,7 tm. AF_07/2020</v>
          </cell>
          <cell r="E143"/>
          <cell r="F143" t="str">
            <v>T</v>
          </cell>
          <cell r="G143">
            <v>15.36</v>
          </cell>
          <cell r="H143" t="str">
            <v>-</v>
          </cell>
        </row>
        <row r="144">
          <cell r="A144">
            <v>101468</v>
          </cell>
          <cell r="B144" t="str">
            <v>SINAPI</v>
          </cell>
          <cell r="C144" t="str">
            <v>ST/0060</v>
          </cell>
          <cell r="D144" t="str">
            <v>Carga, manobra e descarga de tubos de concreto, diâmetro nominal de 1,20 m, em caminhão carroceria com guindauto (munck) 11,7 tm. AF_07/2020</v>
          </cell>
          <cell r="E144"/>
          <cell r="F144" t="str">
            <v>T</v>
          </cell>
          <cell r="G144">
            <v>14.05</v>
          </cell>
          <cell r="H144" t="str">
            <v>-</v>
          </cell>
        </row>
        <row r="145">
          <cell r="A145">
            <v>101480</v>
          </cell>
          <cell r="B145" t="str">
            <v>SINAPI</v>
          </cell>
          <cell r="C145"/>
          <cell r="D145" t="str">
            <v>Carga, manobra e descarga de tubos plásticos, diâmetro nominal de 0,25 m, em caminhão carroceria com guindauto (munck) 11,7 tm. AF_07/2020</v>
          </cell>
          <cell r="E145"/>
          <cell r="F145" t="str">
            <v>T</v>
          </cell>
          <cell r="G145">
            <v>56.25</v>
          </cell>
          <cell r="H145" t="str">
            <v>-</v>
          </cell>
        </row>
        <row r="146">
          <cell r="A146">
            <v>101481</v>
          </cell>
          <cell r="B146" t="str">
            <v>SINAPI</v>
          </cell>
          <cell r="C146"/>
          <cell r="D146" t="str">
            <v>Carga, manobra e descarga de tubos plásticos, diâmetro nominal de 0,30 m, em caminhão carroceria com guindauto (munck) 11,7 tm. AF_07/2020</v>
          </cell>
          <cell r="E146"/>
          <cell r="F146" t="str">
            <v>T</v>
          </cell>
          <cell r="G146">
            <v>40.64</v>
          </cell>
          <cell r="H146" t="str">
            <v>-</v>
          </cell>
        </row>
        <row r="147">
          <cell r="A147">
            <v>101482</v>
          </cell>
          <cell r="B147" t="str">
            <v>SINAPI</v>
          </cell>
          <cell r="C147"/>
          <cell r="D147" t="str">
            <v>Carga, manobra e descarga de tubos plásticos, diâmetro nominal de 0,40 m, em caminhão carroceria com guindauto (munck) 11,7 tm. AF_07/2020</v>
          </cell>
          <cell r="E147"/>
          <cell r="F147" t="str">
            <v>T</v>
          </cell>
          <cell r="G147">
            <v>30.38</v>
          </cell>
          <cell r="H147" t="str">
            <v>-</v>
          </cell>
        </row>
        <row r="148">
          <cell r="A148">
            <v>101483</v>
          </cell>
          <cell r="B148" t="str">
            <v>SINAPI</v>
          </cell>
          <cell r="C148"/>
          <cell r="D148" t="str">
            <v>Carga, manobra e descarga de tubos plásticos, diâmetro nominal de 0,50 m, em caminhão carroceria com guindauto (munck) 11,7 tm. AF_07/2020</v>
          </cell>
          <cell r="E148"/>
          <cell r="F148" t="str">
            <v>T</v>
          </cell>
          <cell r="G148">
            <v>31.52</v>
          </cell>
          <cell r="H148" t="str">
            <v>-</v>
          </cell>
        </row>
        <row r="149">
          <cell r="A149">
            <v>101484</v>
          </cell>
          <cell r="B149" t="str">
            <v>SINAPI</v>
          </cell>
          <cell r="C149"/>
          <cell r="D149" t="str">
            <v>Carga, manobra e descarga de tubos plásticos, diâmetro nominal de 0,60 m, em caminhão carroceria com guindauto (munck) 11,7 tm. AF_07/2020</v>
          </cell>
          <cell r="E149"/>
          <cell r="F149" t="str">
            <v>T</v>
          </cell>
          <cell r="G149">
            <v>163.37</v>
          </cell>
          <cell r="H149" t="str">
            <v>-</v>
          </cell>
        </row>
        <row r="150">
          <cell r="A150">
            <v>101485</v>
          </cell>
          <cell r="B150" t="str">
            <v>SINAPI</v>
          </cell>
          <cell r="C150"/>
          <cell r="D150" t="str">
            <v>Carga, manobra e descarga de tubos plásticos, diâmetro nominal de 0,75 m, em caminhão carroceria com guindauto (munck) 11,7 tm. AF_07/2020</v>
          </cell>
          <cell r="E150"/>
          <cell r="F150" t="str">
            <v>T</v>
          </cell>
          <cell r="G150">
            <v>125.41</v>
          </cell>
          <cell r="H150" t="str">
            <v>-</v>
          </cell>
        </row>
        <row r="151">
          <cell r="A151">
            <v>101486</v>
          </cell>
          <cell r="B151" t="str">
            <v>SINAPI</v>
          </cell>
          <cell r="C151"/>
          <cell r="D151" t="str">
            <v>Carga, manobra e descarga de tubos plásticos, diâmetro nominal de 0,90 m, em caminhão carroceria com guindauto (munck) 11,7 tm. AF_07/2020</v>
          </cell>
          <cell r="E151"/>
          <cell r="F151" t="str">
            <v>T</v>
          </cell>
          <cell r="G151">
            <v>112.96</v>
          </cell>
          <cell r="H151" t="str">
            <v>-</v>
          </cell>
        </row>
        <row r="152">
          <cell r="A152">
            <v>101487</v>
          </cell>
          <cell r="B152" t="str">
            <v>SINAPI</v>
          </cell>
          <cell r="C152"/>
          <cell r="D152" t="str">
            <v>Carga, manobra e descarga de tubos plásticos, diâmetro nominal de 1,00 m, em caminhão carroceria com guindauto (munck) 11,7 tm. AF_07/2020</v>
          </cell>
          <cell r="E152"/>
          <cell r="F152" t="str">
            <v>T</v>
          </cell>
          <cell r="G152">
            <v>82.71</v>
          </cell>
          <cell r="H152" t="str">
            <v>-</v>
          </cell>
        </row>
        <row r="153">
          <cell r="A153">
            <v>101488</v>
          </cell>
          <cell r="B153" t="str">
            <v>SINAPI</v>
          </cell>
          <cell r="C153"/>
          <cell r="D153" t="str">
            <v>Carga, manobra e descarga de tubos plásticos, diâmetro nominal de 1,20 m, em caminhão carroceria com guindauto (munck) 11,7 tm. AF_07/2020</v>
          </cell>
          <cell r="E153"/>
          <cell r="F153" t="str">
            <v>T</v>
          </cell>
          <cell r="G153">
            <v>71.56</v>
          </cell>
          <cell r="H153" t="str">
            <v>-</v>
          </cell>
        </row>
        <row r="154">
          <cell r="A154"/>
          <cell r="B154" t="str">
            <v>CRIAR COMPOSIÇÃO</v>
          </cell>
          <cell r="C154">
            <v>72897</v>
          </cell>
          <cell r="D154" t="str">
            <v>Carga manual de entulho em caminhão basculante</v>
          </cell>
          <cell r="E154"/>
          <cell r="F154" t="str">
            <v>-</v>
          </cell>
          <cell r="G154" t="str">
            <v>-</v>
          </cell>
          <cell r="H154" t="str">
            <v/>
          </cell>
        </row>
        <row r="155">
          <cell r="A155" t="str">
            <v>ST/0070</v>
          </cell>
          <cell r="B155" t="str">
            <v>COMPOSIÇÃO</v>
          </cell>
          <cell r="C155">
            <v>72850</v>
          </cell>
          <cell r="D155" t="str">
            <v>Carga, manobra e descarga de materiais diversos em caminhão carroceria - carga e descaga manuais (REF. SICRO COD. 5915474)</v>
          </cell>
          <cell r="E155"/>
          <cell r="F155" t="str">
            <v>T</v>
          </cell>
          <cell r="G155">
            <v>27.36</v>
          </cell>
          <cell r="H155" t="str">
            <v>-</v>
          </cell>
        </row>
        <row r="156">
          <cell r="A156">
            <v>100205</v>
          </cell>
          <cell r="B156" t="str">
            <v>SINAPI</v>
          </cell>
          <cell r="C156"/>
          <cell r="D156" t="str">
            <v>Transporte horizontal com jerica de 60 l, de massa/ granel (unidade: m3xkm). AF_07/2019</v>
          </cell>
          <cell r="E156"/>
          <cell r="F156" t="str">
            <v>M3XKM</v>
          </cell>
          <cell r="G156">
            <v>1163.94</v>
          </cell>
          <cell r="H156" t="str">
            <v>-</v>
          </cell>
        </row>
        <row r="157">
          <cell r="A157">
            <v>100206</v>
          </cell>
          <cell r="B157" t="str">
            <v>SINAPI</v>
          </cell>
          <cell r="C157"/>
          <cell r="D157" t="str">
            <v>Transporte horizontal com jerica de 90 l, de massa/ granel (unidade: m3xkm). AF_07/2019</v>
          </cell>
          <cell r="E157"/>
          <cell r="F157" t="str">
            <v>M3XKM</v>
          </cell>
          <cell r="G157">
            <v>841.33</v>
          </cell>
          <cell r="H157" t="str">
            <v>-</v>
          </cell>
        </row>
        <row r="158">
          <cell r="A158">
            <v>97912</v>
          </cell>
          <cell r="B158" t="str">
            <v>SINAPI</v>
          </cell>
          <cell r="C158"/>
          <cell r="D158" t="str">
            <v>Transporte com caminhão basculante de 6 m3, em via urbana em leito natural (unidade: m3xkm). AF_07/2020</v>
          </cell>
          <cell r="E158" t="str">
            <v>CAMINHÃO
CAÇAMBA
OU
BASCULANTE
6 M3</v>
          </cell>
          <cell r="F158" t="str">
            <v>M3XKM</v>
          </cell>
          <cell r="G158">
            <v>3.24</v>
          </cell>
          <cell r="H158" t="str">
            <v>-</v>
          </cell>
        </row>
        <row r="159">
          <cell r="A159">
            <v>97913</v>
          </cell>
          <cell r="B159" t="str">
            <v>SINAPI</v>
          </cell>
          <cell r="C159"/>
          <cell r="D159" t="str">
            <v>Transporte com caminhão basculante de 6 m3, em via urbana em revestimento primário (unidade: m3xkm). AF_07/2020</v>
          </cell>
          <cell r="E159"/>
          <cell r="F159" t="str">
            <v>M3XKM</v>
          </cell>
          <cell r="G159">
            <v>2.8</v>
          </cell>
          <cell r="H159" t="str">
            <v>-</v>
          </cell>
        </row>
        <row r="160">
          <cell r="A160">
            <v>97914</v>
          </cell>
          <cell r="B160" t="str">
            <v>SINAPI</v>
          </cell>
          <cell r="C160" t="str">
            <v>ST/0075</v>
          </cell>
          <cell r="D160" t="str">
            <v>Transporte com caminhão basculante de 6 m3, em via urbana pavimentada, DMT até 30,00 km (unidade: m3xkm). AF_07/2020</v>
          </cell>
          <cell r="E160"/>
          <cell r="F160" t="str">
            <v>M3XKM</v>
          </cell>
          <cell r="G160">
            <v>2.57</v>
          </cell>
          <cell r="H160" t="str">
            <v>-</v>
          </cell>
        </row>
        <row r="161">
          <cell r="A161">
            <v>97915</v>
          </cell>
          <cell r="B161" t="str">
            <v>SINAPI</v>
          </cell>
          <cell r="C161" t="str">
            <v>ST/0080</v>
          </cell>
          <cell r="D161" t="str">
            <v>Transporte com caminhão basculante de 6 m3, em via urbana pavimentada, adicional para DMT excedente a 30,00 km (unidade: m3xkm). AF_07/2020</v>
          </cell>
          <cell r="E161"/>
          <cell r="F161" t="str">
            <v>M3XKM</v>
          </cell>
          <cell r="G161">
            <v>1.03</v>
          </cell>
          <cell r="H161" t="str">
            <v>-</v>
          </cell>
        </row>
        <row r="162">
          <cell r="A162">
            <v>100937</v>
          </cell>
          <cell r="B162" t="str">
            <v>SINAPI</v>
          </cell>
          <cell r="C162" t="str">
            <v>ST/0085</v>
          </cell>
          <cell r="D162" t="str">
            <v>Transporte com caminhão basculante de 6 m3, em via interna (dentro do canteiro - unidade: m3xkm). AF_07/2020</v>
          </cell>
          <cell r="E162"/>
          <cell r="F162" t="str">
            <v>M3XKM</v>
          </cell>
          <cell r="G162">
            <v>7.73</v>
          </cell>
          <cell r="H162" t="str">
            <v>-</v>
          </cell>
        </row>
        <row r="163">
          <cell r="A163">
            <v>97918</v>
          </cell>
          <cell r="B163" t="str">
            <v>SINAPI</v>
          </cell>
          <cell r="C163" t="str">
            <v>ST/0090</v>
          </cell>
          <cell r="D163" t="str">
            <v>Transporte com caminhão basculante de 6 m3, em via urbana pavimentada, DMT até 30,00 km (unidade: txkm). AF_07/2020</v>
          </cell>
          <cell r="E163"/>
          <cell r="F163" t="str">
            <v>TXKM</v>
          </cell>
          <cell r="G163">
            <v>1.71</v>
          </cell>
          <cell r="H163" t="str">
            <v>-</v>
          </cell>
        </row>
        <row r="164">
          <cell r="A164">
            <v>97919</v>
          </cell>
          <cell r="B164" t="str">
            <v>SINAPI</v>
          </cell>
          <cell r="C164" t="str">
            <v>ST/0095</v>
          </cell>
          <cell r="D164" t="str">
            <v>Transporte com caminhão basculante de 6 m3, em via urbana pavimentada, adicional para DMT excedente a 30,00 km (unidade: txkm). AF_07/2020</v>
          </cell>
          <cell r="E164"/>
          <cell r="F164" t="str">
            <v>TXKM</v>
          </cell>
          <cell r="G164">
            <v>0.68</v>
          </cell>
          <cell r="H164" t="str">
            <v>-</v>
          </cell>
        </row>
        <row r="165">
          <cell r="A165">
            <v>100941</v>
          </cell>
          <cell r="B165" t="str">
            <v>SINAPI</v>
          </cell>
          <cell r="C165" t="str">
            <v>ST/0100</v>
          </cell>
          <cell r="D165" t="str">
            <v>Transporte com caminhão basculante de 6 m3, em via interna (dentro do canteiro - unidade: txkm). AF_07/2020</v>
          </cell>
          <cell r="E165"/>
          <cell r="F165" t="str">
            <v>TXKM</v>
          </cell>
          <cell r="G165">
            <v>5.15</v>
          </cell>
          <cell r="H165" t="str">
            <v>-</v>
          </cell>
        </row>
        <row r="166">
          <cell r="A166">
            <v>93588</v>
          </cell>
          <cell r="B166" t="str">
            <v>SINAPI</v>
          </cell>
          <cell r="C166"/>
          <cell r="D166" t="str">
            <v>Transporte com caminhão basculante de 10 m3, em via urbana em leito natural (unidade: m3xkm). AF_07/2020</v>
          </cell>
          <cell r="E166" t="str">
            <v>CAMINHÃO
CAÇAMBA
OU
BASCULANTE
10 M3</v>
          </cell>
          <cell r="F166" t="str">
            <v>M3XKM</v>
          </cell>
          <cell r="G166">
            <v>2.72</v>
          </cell>
          <cell r="H166" t="str">
            <v>-</v>
          </cell>
        </row>
        <row r="167">
          <cell r="A167">
            <v>93589</v>
          </cell>
          <cell r="B167" t="str">
            <v>SINAPI</v>
          </cell>
          <cell r="C167"/>
          <cell r="D167" t="str">
            <v>Transporte com caminhão basculante de 10 m3, em via urbana em revestimento primário (unidade: m3xkm). AF_07/2020</v>
          </cell>
          <cell r="E167"/>
          <cell r="F167" t="str">
            <v>M3XKM</v>
          </cell>
          <cell r="G167">
            <v>2.33</v>
          </cell>
          <cell r="H167" t="str">
            <v>-</v>
          </cell>
        </row>
        <row r="168">
          <cell r="A168">
            <v>95875</v>
          </cell>
          <cell r="B168" t="str">
            <v>SINAPI</v>
          </cell>
          <cell r="C168" t="str">
            <v>ST/0105</v>
          </cell>
          <cell r="D168" t="str">
            <v>Transporte com caminhão basculante de 10 m3, em via urbana pavimentada, DMT até 30,00 km (unidade: m3xkm). AF_07/2020</v>
          </cell>
          <cell r="E168"/>
          <cell r="F168" t="str">
            <v>M3XKM</v>
          </cell>
          <cell r="G168">
            <v>2.15</v>
          </cell>
          <cell r="H168" t="str">
            <v>-</v>
          </cell>
        </row>
        <row r="169">
          <cell r="A169">
            <v>93590</v>
          </cell>
          <cell r="B169" t="str">
            <v>SINAPI</v>
          </cell>
          <cell r="C169" t="str">
            <v>ST/0110</v>
          </cell>
          <cell r="D169" t="str">
            <v>Transporte com caminhão basculante de 10 m3, em via urbana pavimentada, adicional para DMT excedente a 30,00 km (unidade: m3xkm). AF_07/2020</v>
          </cell>
          <cell r="E169"/>
          <cell r="F169" t="str">
            <v>M3XKM</v>
          </cell>
          <cell r="G169">
            <v>0.85</v>
          </cell>
          <cell r="H169" t="str">
            <v>-</v>
          </cell>
        </row>
        <row r="170">
          <cell r="A170">
            <v>100938</v>
          </cell>
          <cell r="B170" t="str">
            <v>SINAPI</v>
          </cell>
          <cell r="C170"/>
          <cell r="D170" t="str">
            <v>Transporte com caminhão basculante de 10 m3, em via interna (dentro do canteiro - unidade: m3xkm). AF_07/2020</v>
          </cell>
          <cell r="E170"/>
          <cell r="F170" t="str">
            <v>M3XKM</v>
          </cell>
          <cell r="G170">
            <v>6.49</v>
          </cell>
          <cell r="H170" t="str">
            <v>-</v>
          </cell>
        </row>
        <row r="171">
          <cell r="A171">
            <v>95878</v>
          </cell>
          <cell r="B171" t="str">
            <v>SINAPI</v>
          </cell>
          <cell r="C171" t="str">
            <v>ST/0120</v>
          </cell>
          <cell r="D171" t="str">
            <v>Transporte com caminhão basculante de 10 m3, em via urbana pavimentada, DMT até 30,00 km (unidade: txkm). AF_07/2020</v>
          </cell>
          <cell r="E171"/>
          <cell r="F171" t="str">
            <v>TXKM</v>
          </cell>
          <cell r="G171">
            <v>1.44</v>
          </cell>
          <cell r="H171" t="str">
            <v>-</v>
          </cell>
        </row>
        <row r="172">
          <cell r="A172">
            <v>93596</v>
          </cell>
          <cell r="B172" t="str">
            <v>SINAPI</v>
          </cell>
          <cell r="C172" t="str">
            <v>ST/0125</v>
          </cell>
          <cell r="D172" t="str">
            <v>Transporte com caminhão basculante de 10 m3, em via urbana pavimentada, adicional para DMT excedente a 30,00 km (unidade: txkm). AF_07/2020</v>
          </cell>
          <cell r="E172"/>
          <cell r="F172" t="str">
            <v>TXKM</v>
          </cell>
          <cell r="G172">
            <v>0.56999999999999995</v>
          </cell>
          <cell r="H172" t="str">
            <v>-</v>
          </cell>
        </row>
        <row r="173">
          <cell r="A173">
            <v>100942</v>
          </cell>
          <cell r="B173" t="str">
            <v>SINAPI</v>
          </cell>
          <cell r="C173" t="str">
            <v>ST/0130</v>
          </cell>
          <cell r="D173" t="str">
            <v>Transporte com caminhão basculante de 10 m3, em via interna a obra (unidade: txkm). AF_07/2020</v>
          </cell>
          <cell r="E173"/>
          <cell r="F173" t="str">
            <v>TXKM</v>
          </cell>
          <cell r="G173">
            <v>4.33</v>
          </cell>
          <cell r="H173" t="str">
            <v>-</v>
          </cell>
        </row>
        <row r="174">
          <cell r="A174">
            <v>93591</v>
          </cell>
          <cell r="B174" t="str">
            <v>SINAPI</v>
          </cell>
          <cell r="C174"/>
          <cell r="D174" t="str">
            <v>Transporte com caminhão basculante de 14 m3, em via urbana em leito natural (unidade: m3xkm). AF_07/2020</v>
          </cell>
          <cell r="E174" t="str">
            <v>CAMINHÃO
CAÇAMBA
OU
BASCULANTE
14 M3</v>
          </cell>
          <cell r="F174" t="str">
            <v>M3XKM</v>
          </cell>
          <cell r="G174">
            <v>2.4300000000000002</v>
          </cell>
          <cell r="H174" t="str">
            <v>-</v>
          </cell>
        </row>
        <row r="175">
          <cell r="A175">
            <v>93592</v>
          </cell>
          <cell r="B175" t="str">
            <v>SINAPI</v>
          </cell>
          <cell r="C175"/>
          <cell r="D175" t="str">
            <v>Transporte com caminhão basculante de 14 m3, em via urbana em revestimento primário (unidade: m3xkm). AF_07/2020</v>
          </cell>
          <cell r="E175"/>
          <cell r="F175" t="str">
            <v>M3XKM</v>
          </cell>
          <cell r="G175">
            <v>2.11</v>
          </cell>
          <cell r="H175" t="str">
            <v>-</v>
          </cell>
        </row>
        <row r="176">
          <cell r="A176">
            <v>95876</v>
          </cell>
          <cell r="B176" t="str">
            <v>SINAPI</v>
          </cell>
          <cell r="C176" t="str">
            <v>ST/0135</v>
          </cell>
          <cell r="D176" t="str">
            <v>Transporte com caminhão basculante de 14 m3, em via urbana pavimentada, DMT até 30,00 km (unidade: m3xkm). AF_07/2020</v>
          </cell>
          <cell r="E176"/>
          <cell r="F176" t="str">
            <v>M3XKM</v>
          </cell>
          <cell r="G176">
            <v>1.91</v>
          </cell>
          <cell r="H176" t="str">
            <v>-</v>
          </cell>
        </row>
        <row r="177">
          <cell r="A177">
            <v>93593</v>
          </cell>
          <cell r="B177" t="str">
            <v>SINAPI</v>
          </cell>
          <cell r="C177" t="str">
            <v>ST/0140</v>
          </cell>
          <cell r="D177" t="str">
            <v>Transporte com caminhão basculante de 14 m3, em via urbana pavimentada, adicional para DMT excedente a 30,00 km (unidade: m3xkm). AF_07/2020</v>
          </cell>
          <cell r="E177"/>
          <cell r="F177" t="str">
            <v>M3XKM</v>
          </cell>
          <cell r="G177">
            <v>0.77</v>
          </cell>
          <cell r="H177" t="str">
            <v>-</v>
          </cell>
        </row>
        <row r="178">
          <cell r="A178">
            <v>100939</v>
          </cell>
          <cell r="B178" t="str">
            <v>SINAPI</v>
          </cell>
          <cell r="C178"/>
          <cell r="D178" t="str">
            <v>Transporte com caminhão basculante de 14 m3, em via interna (dentro do canteiro - unidade:m3xkm). AF_07/2020</v>
          </cell>
          <cell r="E178"/>
          <cell r="F178" t="str">
            <v>M3XKM</v>
          </cell>
          <cell r="G178">
            <v>5.83</v>
          </cell>
          <cell r="H178" t="str">
            <v>-</v>
          </cell>
        </row>
        <row r="179">
          <cell r="A179">
            <v>95879</v>
          </cell>
          <cell r="B179" t="str">
            <v>SINAPI</v>
          </cell>
          <cell r="C179" t="str">
            <v>ST/0145</v>
          </cell>
          <cell r="D179" t="str">
            <v>Transporte com caminhão basculante de 14 m3, em via urbana pavimentada, DMT até 30,00 km (unidade: txkm). AF_07/2020</v>
          </cell>
          <cell r="E179"/>
          <cell r="F179" t="str">
            <v>TXKM</v>
          </cell>
          <cell r="G179">
            <v>1.29</v>
          </cell>
          <cell r="H179" t="str">
            <v>-</v>
          </cell>
        </row>
        <row r="180">
          <cell r="A180">
            <v>93599</v>
          </cell>
          <cell r="B180" t="str">
            <v>SINAPI</v>
          </cell>
          <cell r="C180" t="str">
            <v>ST/0150</v>
          </cell>
          <cell r="D180" t="str">
            <v>Transporte com caminhão basculante de 14 m3, em via urbana pavimentada, adicional para DMT excedente a 30,00 km (unidade: txkm). AF_07/2020</v>
          </cell>
          <cell r="E180"/>
          <cell r="F180" t="str">
            <v>TXKM</v>
          </cell>
          <cell r="G180">
            <v>0.52</v>
          </cell>
          <cell r="H180" t="str">
            <v>-</v>
          </cell>
        </row>
        <row r="181">
          <cell r="A181">
            <v>100943</v>
          </cell>
          <cell r="B181" t="str">
            <v>SINAPI</v>
          </cell>
          <cell r="C181"/>
          <cell r="D181" t="str">
            <v>Transporte com caminhão basculante de 14 m3, em via interna (dentro do canteiro - unidade: txkm). AF_07/2020</v>
          </cell>
          <cell r="E181"/>
          <cell r="F181" t="str">
            <v>TXKM</v>
          </cell>
          <cell r="G181">
            <v>3.87</v>
          </cell>
          <cell r="H181" t="str">
            <v>-</v>
          </cell>
        </row>
        <row r="182">
          <cell r="A182">
            <v>95425</v>
          </cell>
          <cell r="B182" t="str">
            <v>SINAPI</v>
          </cell>
          <cell r="C182"/>
          <cell r="D182" t="str">
            <v>Transporte com caminhão basculante de 18 m3, em via urbana em leito natural (unidade: m3xkm). AF_07/2020</v>
          </cell>
          <cell r="E182" t="str">
            <v>CAMINHÃO
CAÇAMBA
OU
BASCULANTE
18 M3</v>
          </cell>
          <cell r="F182" t="str">
            <v>M3XKM</v>
          </cell>
          <cell r="G182">
            <v>2.06</v>
          </cell>
          <cell r="H182" t="str">
            <v>-</v>
          </cell>
        </row>
        <row r="183">
          <cell r="A183">
            <v>95426</v>
          </cell>
          <cell r="B183" t="str">
            <v>SINAPI</v>
          </cell>
          <cell r="C183"/>
          <cell r="D183" t="str">
            <v>Transporte com caminhão basculante de 18 m3, em via urbana em revestimento primário (unidade: m3xkm). AF_07/2020</v>
          </cell>
          <cell r="E183"/>
          <cell r="F183" t="str">
            <v>M3XKM</v>
          </cell>
          <cell r="G183">
            <v>1.78</v>
          </cell>
          <cell r="H183" t="str">
            <v>-</v>
          </cell>
        </row>
        <row r="184">
          <cell r="A184">
            <v>95877</v>
          </cell>
          <cell r="B184" t="str">
            <v>SINAPI</v>
          </cell>
          <cell r="C184" t="str">
            <v>ST/0155</v>
          </cell>
          <cell r="D184" t="str">
            <v>Transporte com caminhão basculante de 18 m3, em via urbana pavimentada, DMT até 30,00 km (unidade: m3xkm). AF_07/2020</v>
          </cell>
          <cell r="E184"/>
          <cell r="F184" t="str">
            <v>M3XKM</v>
          </cell>
          <cell r="G184">
            <v>1.64</v>
          </cell>
          <cell r="H184" t="str">
            <v>-</v>
          </cell>
        </row>
        <row r="185">
          <cell r="A185">
            <v>95427</v>
          </cell>
          <cell r="B185" t="str">
            <v>SINAPI</v>
          </cell>
          <cell r="C185" t="str">
            <v>ST/0160</v>
          </cell>
          <cell r="D185" t="str">
            <v>Transporte com caminhão basculante de 18 m3, em via urbana pavimentada, adicional para DMT excedente a 30,00 km (unidade: m3xkm). AF_07/2020</v>
          </cell>
          <cell r="E185"/>
          <cell r="F185" t="str">
            <v>M3XKM</v>
          </cell>
          <cell r="G185">
            <v>0.67</v>
          </cell>
          <cell r="H185" t="str">
            <v>-</v>
          </cell>
        </row>
        <row r="186">
          <cell r="A186">
            <v>100940</v>
          </cell>
          <cell r="B186" t="str">
            <v>SINAPI</v>
          </cell>
          <cell r="C186"/>
          <cell r="D186" t="str">
            <v>Transporte com caminhão basculante de 18 m3, em via interna (dentro do canteiro - unidade: m3xkm). AF_07/2020</v>
          </cell>
          <cell r="E186"/>
          <cell r="F186" t="str">
            <v>M3XKM</v>
          </cell>
          <cell r="G186">
            <v>4.96</v>
          </cell>
          <cell r="H186" t="str">
            <v>-</v>
          </cell>
        </row>
        <row r="187">
          <cell r="A187">
            <v>95880</v>
          </cell>
          <cell r="B187" t="str">
            <v>SINAPI</v>
          </cell>
          <cell r="C187" t="str">
            <v>ST/0165</v>
          </cell>
          <cell r="D187" t="str">
            <v>Transporte com caminhão basculante de 18 m3, em via urbana pavimentada, DMT até 30,00 km (unidade: txkm). AF_07/2020</v>
          </cell>
          <cell r="E187"/>
          <cell r="F187" t="str">
            <v>TXKM</v>
          </cell>
          <cell r="G187">
            <v>1.1000000000000001</v>
          </cell>
          <cell r="H187" t="str">
            <v>-</v>
          </cell>
        </row>
        <row r="188">
          <cell r="A188">
            <v>95430</v>
          </cell>
          <cell r="B188" t="str">
            <v>SINAPI</v>
          </cell>
          <cell r="C188" t="str">
            <v>ST/0170</v>
          </cell>
          <cell r="D188" t="str">
            <v>Transporte com caminhão basculante de 18 m3, em via urbana pavimentada, adicional para DMT excedente a 30,00 km (unidade: txkm). AF_07/2020</v>
          </cell>
          <cell r="E188"/>
          <cell r="F188" t="str">
            <v>TXKM</v>
          </cell>
          <cell r="G188">
            <v>0.41</v>
          </cell>
          <cell r="H188" t="str">
            <v>-</v>
          </cell>
        </row>
        <row r="189">
          <cell r="A189">
            <v>100944</v>
          </cell>
          <cell r="B189" t="str">
            <v>SINAPI</v>
          </cell>
          <cell r="C189"/>
          <cell r="D189" t="str">
            <v>Transporte com caminhão basculante de 18 m3, em via interna (dentro do canteiro - unidade: txkm). AF_07/2020</v>
          </cell>
          <cell r="E189"/>
          <cell r="F189" t="str">
            <v>TXKM</v>
          </cell>
          <cell r="G189">
            <v>3.32</v>
          </cell>
          <cell r="H189" t="str">
            <v>-</v>
          </cell>
        </row>
        <row r="190">
          <cell r="A190">
            <v>100956</v>
          </cell>
          <cell r="B190" t="str">
            <v>SINAPI</v>
          </cell>
          <cell r="C190"/>
          <cell r="D190" t="str">
            <v>Transporte com caminhão pipa de 6 m3, em via urbana em revestimento primário (unidade: m3xkm). AF_07/2020</v>
          </cell>
          <cell r="E190"/>
          <cell r="F190" t="str">
            <v>M3XKM</v>
          </cell>
          <cell r="G190">
            <v>3.67</v>
          </cell>
          <cell r="H190" t="str">
            <v>-</v>
          </cell>
        </row>
        <row r="191">
          <cell r="A191">
            <v>100957</v>
          </cell>
          <cell r="B191" t="str">
            <v>SINAPI</v>
          </cell>
          <cell r="C191"/>
          <cell r="D191" t="str">
            <v>Transporte com caminhão pipa de 6 m3, em via urbana pavimentada, DMT até 30,00 km (unidade: m3xkm). AF_07/2020</v>
          </cell>
          <cell r="E191"/>
          <cell r="F191" t="str">
            <v>M3XKM</v>
          </cell>
          <cell r="G191">
            <v>3.35</v>
          </cell>
          <cell r="H191" t="str">
            <v>-</v>
          </cell>
        </row>
        <row r="192">
          <cell r="A192">
            <v>100958</v>
          </cell>
          <cell r="B192" t="str">
            <v>SINAPI</v>
          </cell>
          <cell r="C192"/>
          <cell r="D192" t="str">
            <v>Transporte com caminhão pipa de 6 m3, em via urbana pavimentada, adicional para DMT excedente a 30,00 km (unidade: m3xkm). AF_07/2020</v>
          </cell>
          <cell r="E192"/>
          <cell r="F192" t="str">
            <v>M3XKM</v>
          </cell>
          <cell r="G192">
            <v>1.34</v>
          </cell>
          <cell r="H192" t="str">
            <v>-</v>
          </cell>
        </row>
        <row r="193">
          <cell r="A193">
            <v>100959</v>
          </cell>
          <cell r="B193" t="str">
            <v>SINAPI</v>
          </cell>
          <cell r="C193"/>
          <cell r="D193" t="str">
            <v>Transporte com caminhão pipa de 6 m3, em via interna (dentro do canteiro - unidade: m3xkm). AF_07/2020</v>
          </cell>
          <cell r="E193"/>
          <cell r="F193" t="str">
            <v>M3XKM</v>
          </cell>
          <cell r="G193">
            <v>10.08</v>
          </cell>
          <cell r="H193" t="str">
            <v>-</v>
          </cell>
        </row>
        <row r="194">
          <cell r="A194">
            <v>100961</v>
          </cell>
          <cell r="B194" t="str">
            <v>SINAPI</v>
          </cell>
          <cell r="C194"/>
          <cell r="D194" t="str">
            <v>Transporte com caminhão pipa de 10 m3, em via urbana em revestimento primário (unidade: m3xkm). AF_07/2020</v>
          </cell>
          <cell r="E194"/>
          <cell r="F194" t="str">
            <v>M3XKM</v>
          </cell>
          <cell r="G194">
            <v>2.74</v>
          </cell>
          <cell r="H194" t="str">
            <v>-</v>
          </cell>
        </row>
        <row r="195">
          <cell r="A195">
            <v>100962</v>
          </cell>
          <cell r="B195" t="str">
            <v>SINAPI</v>
          </cell>
          <cell r="C195"/>
          <cell r="D195" t="str">
            <v>Transporte com caminhão pipa de 10 m3, em via urbana pavimentada, DMT até 30,00 km (unidade: m3xkm). AF_07/2020</v>
          </cell>
          <cell r="E195"/>
          <cell r="F195" t="str">
            <v>M3XKM</v>
          </cell>
          <cell r="G195">
            <v>2.5</v>
          </cell>
          <cell r="H195" t="str">
            <v>-</v>
          </cell>
        </row>
        <row r="196">
          <cell r="A196">
            <v>100963</v>
          </cell>
          <cell r="B196" t="str">
            <v>SINAPI</v>
          </cell>
          <cell r="C196"/>
          <cell r="D196" t="str">
            <v>Transporte com caminhão pipa de 10 m3, em via urbana pavimentada, adicional para DMT excedente a 30,00 km (unidade: m3xkm). AF_07/2020</v>
          </cell>
          <cell r="E196"/>
          <cell r="F196" t="str">
            <v>M3XKM</v>
          </cell>
          <cell r="G196">
            <v>0.99</v>
          </cell>
          <cell r="H196" t="str">
            <v>-</v>
          </cell>
        </row>
        <row r="197">
          <cell r="A197">
            <v>100964</v>
          </cell>
          <cell r="B197" t="str">
            <v>SINAPI</v>
          </cell>
          <cell r="C197"/>
          <cell r="D197" t="str">
            <v>Transporte com caminhão pipa de 10 m3, em via interna (dentro do canteiro - unidade: m3xkm). AF_07/2020</v>
          </cell>
          <cell r="E197"/>
          <cell r="F197" t="str">
            <v>M3XKM</v>
          </cell>
          <cell r="G197">
            <v>7.61</v>
          </cell>
          <cell r="H197" t="str">
            <v>-</v>
          </cell>
        </row>
        <row r="198">
          <cell r="A198">
            <v>102332</v>
          </cell>
          <cell r="B198" t="str">
            <v>SINAPI</v>
          </cell>
          <cell r="C198" t="str">
            <v>100971
93177</v>
          </cell>
          <cell r="D198" t="str">
            <v>Transporte com caminhão tanque de transporte de material asfáltico de 20.000 l, em via urbana pavimentada, DMT até 30,00 km (unidade: txkm). AF_07/2020</v>
          </cell>
          <cell r="E198" t="str">
            <v>Transporte de 
Campo Grande para obra</v>
          </cell>
          <cell r="F198" t="str">
            <v>TXKM</v>
          </cell>
          <cell r="G198">
            <v>1.62</v>
          </cell>
          <cell r="H198" t="str">
            <v>-</v>
          </cell>
        </row>
        <row r="199">
          <cell r="A199">
            <v>102333</v>
          </cell>
          <cell r="B199" t="str">
            <v>SINAPI</v>
          </cell>
          <cell r="C199" t="str">
            <v>100972
ST/0175</v>
          </cell>
          <cell r="D199" t="str">
            <v>Transporte com caminhão tanque de transporte de material asfáltico de 20.000 l, em via urbana pavimentada, adicional para DMT excedente a 30,00 km (unidade: txkm). AF_07/2020</v>
          </cell>
          <cell r="E199"/>
          <cell r="F199" t="str">
            <v>TXKM</v>
          </cell>
          <cell r="G199">
            <v>0.64</v>
          </cell>
          <cell r="H199" t="str">
            <v>-</v>
          </cell>
        </row>
        <row r="200">
          <cell r="A200">
            <v>102330</v>
          </cell>
          <cell r="B200" t="str">
            <v>SINAPI</v>
          </cell>
          <cell r="C200" t="str">
            <v>100967
93176</v>
          </cell>
          <cell r="D200" t="str">
            <v>Transporte com caminhão tanque de transporte de material asfáltico de 30.000 l, em via urbana pavimentada, DMT até 30,00 km (unidade: txkm). AF_07/2020</v>
          </cell>
          <cell r="E200"/>
          <cell r="F200" t="str">
            <v>TXKM</v>
          </cell>
          <cell r="G200">
            <v>1.26</v>
          </cell>
          <cell r="H200" t="str">
            <v>-</v>
          </cell>
        </row>
        <row r="201">
          <cell r="A201">
            <v>102331</v>
          </cell>
          <cell r="B201" t="str">
            <v>SINAPI</v>
          </cell>
          <cell r="C201" t="str">
            <v>100968
ST/0180</v>
          </cell>
          <cell r="D201" t="str">
            <v>Transporte com caminhão tanque de transporte de material asfáltico de 30.000 l, em via urbana pavimentada, adicional para DMT excedente a 30,00 km (unidade: txkm). AF_07/2020</v>
          </cell>
          <cell r="E201"/>
          <cell r="F201" t="str">
            <v>TXKM</v>
          </cell>
          <cell r="G201">
            <v>0.49</v>
          </cell>
          <cell r="H201" t="str">
            <v>-</v>
          </cell>
        </row>
        <row r="202">
          <cell r="A202">
            <v>100946</v>
          </cell>
          <cell r="B202" t="str">
            <v>SINAPI</v>
          </cell>
          <cell r="C202"/>
          <cell r="D202" t="str">
            <v>Transporte com caminhão carroceria 9t, em via urbana em revestimento primário (unidade: txkm). AF_07/2020</v>
          </cell>
          <cell r="E202"/>
          <cell r="F202" t="str">
            <v>TXKM</v>
          </cell>
          <cell r="G202">
            <v>2.1</v>
          </cell>
          <cell r="H202" t="str">
            <v>-</v>
          </cell>
        </row>
        <row r="203">
          <cell r="A203">
            <v>100947</v>
          </cell>
          <cell r="B203" t="str">
            <v>SINAPI</v>
          </cell>
          <cell r="C203" t="str">
            <v>ST/0185</v>
          </cell>
          <cell r="D203" t="str">
            <v>Transporte com caminhão carroceria 9t, em via urbana pavimentada, DMT até 30,00 km (unidade: txkm). AF_07/2020</v>
          </cell>
          <cell r="E203"/>
          <cell r="F203" t="str">
            <v>TXKM</v>
          </cell>
          <cell r="G203">
            <v>1.93</v>
          </cell>
          <cell r="H203" t="str">
            <v>-</v>
          </cell>
        </row>
        <row r="204">
          <cell r="A204">
            <v>100948</v>
          </cell>
          <cell r="B204" t="str">
            <v>SINAPI</v>
          </cell>
          <cell r="C204" t="str">
            <v>ST/0190</v>
          </cell>
          <cell r="D204" t="str">
            <v>Transporte com caminhão carroceria 9t, em via urbana pavimentada, adicional para DMT excedente a 30,00 km (unidade: txkm). AF_07/2020</v>
          </cell>
          <cell r="E204"/>
          <cell r="F204" t="str">
            <v>TXKM</v>
          </cell>
          <cell r="G204">
            <v>0.76</v>
          </cell>
          <cell r="H204" t="str">
            <v>-</v>
          </cell>
        </row>
        <row r="205">
          <cell r="A205">
            <v>100949</v>
          </cell>
          <cell r="B205" t="str">
            <v>SINAPI</v>
          </cell>
          <cell r="C205" t="str">
            <v>ST/0195</v>
          </cell>
          <cell r="D205" t="str">
            <v>Transporte com caminhão carroceria 9t, em via interna (dentro do canteiro - unidade: txkm). AF_07/2020</v>
          </cell>
          <cell r="E205"/>
          <cell r="F205" t="str">
            <v>TXKM</v>
          </cell>
          <cell r="G205">
            <v>5.78</v>
          </cell>
          <cell r="H205" t="str">
            <v>-</v>
          </cell>
        </row>
        <row r="206">
          <cell r="A206">
            <v>100951</v>
          </cell>
          <cell r="B206" t="str">
            <v>SINAPI</v>
          </cell>
          <cell r="C206"/>
          <cell r="D206" t="str">
            <v>Transporte com caminhão carroceria com guindauto (munck), momento máximo de carga 11,7 tm, em via urbana em revestimento primário (unidade: txkm). AF_07/2020</v>
          </cell>
          <cell r="E206"/>
          <cell r="F206" t="str">
            <v>TXKM</v>
          </cell>
          <cell r="G206">
            <v>2.65</v>
          </cell>
          <cell r="H206" t="str">
            <v>-</v>
          </cell>
        </row>
        <row r="207">
          <cell r="A207">
            <v>100952</v>
          </cell>
          <cell r="B207" t="str">
            <v>SINAPI</v>
          </cell>
          <cell r="C207" t="str">
            <v>ST/0200</v>
          </cell>
          <cell r="D207" t="str">
            <v>Transporte com caminhão carroceria com guindauto (munck), momento máximo de carga 11,7 tm, em via urbana pavimentada, DMT até 30,00 km (unidade: txkm). AF_07/2020</v>
          </cell>
          <cell r="E207"/>
          <cell r="F207" t="str">
            <v>TXKM</v>
          </cell>
          <cell r="G207">
            <v>2.44</v>
          </cell>
          <cell r="H207" t="str">
            <v>-</v>
          </cell>
        </row>
        <row r="208">
          <cell r="A208">
            <v>100953</v>
          </cell>
          <cell r="B208" t="str">
            <v>SINAPI</v>
          </cell>
          <cell r="C208" t="str">
            <v>ST/0205</v>
          </cell>
          <cell r="D208" t="str">
            <v>Transporte com caminhão carroceria com guindauto (munck), momento máximo de carga 11,7 tm, em via urbana pavimentada, adicional para DMT excedente a 30,00 km (unidade: txkm). AF_07/2020</v>
          </cell>
          <cell r="E208"/>
          <cell r="F208" t="str">
            <v>TXKM</v>
          </cell>
          <cell r="G208">
            <v>0.97</v>
          </cell>
          <cell r="H208" t="str">
            <v>-</v>
          </cell>
        </row>
        <row r="209">
          <cell r="A209">
            <v>100954</v>
          </cell>
          <cell r="B209" t="str">
            <v>SINAPI</v>
          </cell>
          <cell r="C209" t="str">
            <v>ST/0210</v>
          </cell>
          <cell r="D209" t="str">
            <v>Transporte com caminhão carroceria com guindauto (munck), momento máximo de carga 11,7 tm, em via interna (dentro do canteiro - unidade: txkm). AF_07/2020</v>
          </cell>
          <cell r="E209"/>
          <cell r="F209" t="str">
            <v>TXKM</v>
          </cell>
          <cell r="G209">
            <v>7.31</v>
          </cell>
          <cell r="H209" t="str">
            <v>-</v>
          </cell>
        </row>
        <row r="210">
          <cell r="A210"/>
          <cell r="B210"/>
          <cell r="C210"/>
          <cell r="D210"/>
          <cell r="E210"/>
          <cell r="F210"/>
          <cell r="G210"/>
          <cell r="H210"/>
        </row>
        <row r="211">
          <cell r="A211"/>
          <cell r="B211"/>
          <cell r="C211" t="str">
            <v>4.0</v>
          </cell>
          <cell r="D211" t="str">
            <v>MICRO E MACRODRENAGEM - ESCORAMENTO E CONTENÇÃO</v>
          </cell>
          <cell r="E211"/>
          <cell r="F211"/>
          <cell r="G211"/>
          <cell r="H211" t="str">
            <v/>
          </cell>
        </row>
        <row r="212">
          <cell r="A212">
            <v>101570</v>
          </cell>
          <cell r="B212" t="str">
            <v>SINAPI</v>
          </cell>
          <cell r="C212"/>
          <cell r="D212" t="str">
            <v>Escoramento de vala, tipo pontaleteamento, com profundidade de 0,00 a 1,50 m, largura menor que 1,50 m. AF_08/2020</v>
          </cell>
          <cell r="E212" t="str">
            <v>PONTALETEAMENTO</v>
          </cell>
          <cell r="F212" t="str">
            <v>M2</v>
          </cell>
          <cell r="G212">
            <v>20.51</v>
          </cell>
          <cell r="H212" t="str">
            <v>-</v>
          </cell>
        </row>
        <row r="213">
          <cell r="A213">
            <v>101571</v>
          </cell>
          <cell r="B213" t="str">
            <v>SINAPI</v>
          </cell>
          <cell r="C213"/>
          <cell r="D213" t="str">
            <v>Escoramento de vala, tipo pontaleteamento, com profundidade de 0,00 a 1,50 m, largura maior ou igual a 1,50 m e menor que 2,50 m. AF_08/2020</v>
          </cell>
          <cell r="E213"/>
          <cell r="F213" t="str">
            <v>M2</v>
          </cell>
          <cell r="G213">
            <v>27.4</v>
          </cell>
          <cell r="H213" t="str">
            <v>-</v>
          </cell>
        </row>
        <row r="214">
          <cell r="A214">
            <v>101572</v>
          </cell>
          <cell r="B214" t="str">
            <v>SINAPI</v>
          </cell>
          <cell r="C214"/>
          <cell r="D214" t="str">
            <v>Escoramento de vala, tipo pontaleteamento, com profundidade de 1,50 a 3,00 m, largura menor que 1,50 m. AF_08/2020</v>
          </cell>
          <cell r="E214"/>
          <cell r="F214" t="str">
            <v>M2</v>
          </cell>
          <cell r="G214">
            <v>16.329999999999998</v>
          </cell>
          <cell r="H214" t="str">
            <v>-</v>
          </cell>
        </row>
        <row r="215">
          <cell r="A215">
            <v>101573</v>
          </cell>
          <cell r="B215" t="str">
            <v>SINAPI</v>
          </cell>
          <cell r="C215">
            <v>94040</v>
          </cell>
          <cell r="D215" t="str">
            <v>Escoramento de vala, tipo pontaleteamento, com profundidade de 1,50 a 3,00 m, largura maior ou igual a 1,50 m e menor que 2,50 m. AF_08/2020</v>
          </cell>
          <cell r="E215"/>
          <cell r="F215" t="str">
            <v>M2</v>
          </cell>
          <cell r="G215">
            <v>23.22</v>
          </cell>
          <cell r="H215" t="str">
            <v>-</v>
          </cell>
        </row>
        <row r="216">
          <cell r="A216">
            <v>101576</v>
          </cell>
          <cell r="B216" t="str">
            <v>SINAPI</v>
          </cell>
          <cell r="C216"/>
          <cell r="D216" t="str">
            <v>Escoramento de vala, tipo descontínuo, com profundidade de 0,00 a 1,50 m, largura menor que 1,50 m. AF_08/2020</v>
          </cell>
          <cell r="E216" t="str">
            <v>DESCONTÍNUO</v>
          </cell>
          <cell r="F216" t="str">
            <v>M2</v>
          </cell>
          <cell r="G216">
            <v>38.9</v>
          </cell>
          <cell r="H216" t="str">
            <v>-</v>
          </cell>
        </row>
        <row r="217">
          <cell r="A217">
            <v>101577</v>
          </cell>
          <cell r="B217" t="str">
            <v>SINAPI</v>
          </cell>
          <cell r="C217"/>
          <cell r="D217" t="str">
            <v>Escoramento de vala, tipo descontínuo, com profundidade de 0,00 a 1,50 m, largura maior ou igual a 1,50 m e menor que 2,50 m. AF_08/2020</v>
          </cell>
          <cell r="E217"/>
          <cell r="F217" t="str">
            <v>M2</v>
          </cell>
          <cell r="G217">
            <v>47.64</v>
          </cell>
          <cell r="H217" t="str">
            <v>-</v>
          </cell>
        </row>
        <row r="218">
          <cell r="A218">
            <v>101578</v>
          </cell>
          <cell r="B218" t="str">
            <v>SINAPI</v>
          </cell>
          <cell r="C218"/>
          <cell r="D218" t="str">
            <v>Escoramento de vala, tipo descontínuo, com profundidade de 1,50 m a 3,00 m, largura menor que 1,50 m. AF_08/2020</v>
          </cell>
          <cell r="E218"/>
          <cell r="F218" t="str">
            <v>M2</v>
          </cell>
          <cell r="G218">
            <v>32.71</v>
          </cell>
          <cell r="H218" t="str">
            <v>-</v>
          </cell>
        </row>
        <row r="219">
          <cell r="A219">
            <v>101579</v>
          </cell>
          <cell r="B219" t="str">
            <v>SINAPI</v>
          </cell>
          <cell r="C219"/>
          <cell r="D219" t="str">
            <v>Escoramento de vala, tipo descontínuo, com profundidade de 1,50 a 3,00 m, largura maior ou igual a 1,50 m e menor que 2,50 m. AF_08/2020</v>
          </cell>
          <cell r="E219"/>
          <cell r="F219" t="str">
            <v>M2</v>
          </cell>
          <cell r="G219">
            <v>41.43</v>
          </cell>
          <cell r="H219" t="str">
            <v>-</v>
          </cell>
        </row>
        <row r="220">
          <cell r="A220">
            <v>101586</v>
          </cell>
          <cell r="B220" t="str">
            <v>SINAPI</v>
          </cell>
          <cell r="C220"/>
          <cell r="D220" t="str">
            <v>Escoramento de vala, tipo contínuo, com profundidade de 3,00 a 4,50 m, largura menor que 1,50 m. AF_08/2020</v>
          </cell>
          <cell r="E220" t="str">
            <v>CONTÍNUO</v>
          </cell>
          <cell r="F220" t="str">
            <v>M2</v>
          </cell>
          <cell r="G220">
            <v>47.94</v>
          </cell>
          <cell r="H220" t="str">
            <v>-</v>
          </cell>
        </row>
        <row r="221">
          <cell r="A221">
            <v>101587</v>
          </cell>
          <cell r="B221" t="str">
            <v>SINAPI</v>
          </cell>
          <cell r="C221"/>
          <cell r="D221" t="str">
            <v>Escoramento de vala, tipo contínuo, com profundidade de 3,00 a 4,50 m, largura maior ou igual a 1,50 e menor que 2,50 m. AF_08/2020</v>
          </cell>
          <cell r="E221"/>
          <cell r="F221" t="str">
            <v>M2</v>
          </cell>
          <cell r="G221">
            <v>61.6</v>
          </cell>
          <cell r="H221" t="str">
            <v>-</v>
          </cell>
        </row>
        <row r="222">
          <cell r="A222">
            <v>101600</v>
          </cell>
          <cell r="B222" t="str">
            <v>SINAPI</v>
          </cell>
          <cell r="C222"/>
          <cell r="D222" t="str">
            <v>Escoramento de vala, tipo blindagem, com profundidade de 0,00 a 1,50 m, largura menor que 1,50 m - execução, não inclui material. AF_08/2020</v>
          </cell>
          <cell r="E222" t="str">
            <v>BLINDADO</v>
          </cell>
          <cell r="F222" t="str">
            <v>M2</v>
          </cell>
          <cell r="G222">
            <v>14.86</v>
          </cell>
          <cell r="H222" t="str">
            <v>-</v>
          </cell>
        </row>
        <row r="223">
          <cell r="A223">
            <v>101601</v>
          </cell>
          <cell r="B223" t="str">
            <v>SINAPI</v>
          </cell>
          <cell r="C223"/>
          <cell r="D223" t="str">
            <v>Escoramento de vala, tipo blindagem com profundidade de 0,00 a 1,50 m, largura maior ou igual a 1,50 m e menor que 2,50 m - execução, não inclui material. AF_08/2020</v>
          </cell>
          <cell r="E223"/>
          <cell r="F223" t="str">
            <v>M2</v>
          </cell>
          <cell r="G223">
            <v>22</v>
          </cell>
          <cell r="H223" t="str">
            <v>-</v>
          </cell>
        </row>
        <row r="224">
          <cell r="A224">
            <v>101602</v>
          </cell>
          <cell r="B224" t="str">
            <v>SINAPI</v>
          </cell>
          <cell r="C224"/>
          <cell r="D224" t="str">
            <v>Escoramento de vala, tipo blindagem, com profundidade de 1,50 a 3,00 m, largura menor que 1,50 m - execução, não inclui material. AF_08/2020</v>
          </cell>
          <cell r="E224"/>
          <cell r="F224" t="str">
            <v>M2</v>
          </cell>
          <cell r="G224">
            <v>11.02</v>
          </cell>
          <cell r="H224" t="str">
            <v>-</v>
          </cell>
        </row>
        <row r="225">
          <cell r="A225">
            <v>101603</v>
          </cell>
          <cell r="B225" t="str">
            <v>SINAPI</v>
          </cell>
          <cell r="C225"/>
          <cell r="D225" t="str">
            <v>Escoramento de vala, tipo blindagem, com profundidade de 1,50 a 3,00 m, largura maior ou igual a 1,50 m e menor que 2,50 m - execução, não inclui material. AF_08/2020</v>
          </cell>
          <cell r="E225"/>
          <cell r="F225" t="str">
            <v>M2</v>
          </cell>
          <cell r="G225">
            <v>18.170000000000002</v>
          </cell>
          <cell r="H225" t="str">
            <v>-</v>
          </cell>
        </row>
        <row r="226">
          <cell r="A226">
            <v>101604</v>
          </cell>
          <cell r="B226" t="str">
            <v>SINAPI</v>
          </cell>
          <cell r="C226"/>
          <cell r="D226" t="str">
            <v>Escoramento de vala, tipo blindagem, com profundidade de 3,00 a 4,50 m, largura menor que 1,50 m - execução, não inclui material. AF_08/2020</v>
          </cell>
          <cell r="E226"/>
          <cell r="F226" t="str">
            <v>M2</v>
          </cell>
          <cell r="G226">
            <v>7.2</v>
          </cell>
          <cell r="H226" t="str">
            <v>-</v>
          </cell>
        </row>
        <row r="227">
          <cell r="A227">
            <v>101605</v>
          </cell>
          <cell r="B227" t="str">
            <v>SINAPI</v>
          </cell>
          <cell r="C227"/>
          <cell r="D227" t="str">
            <v>Escoramento de vala, tipo blindagem, com profundidade de 3,00 a 4,50 m, largura maior ou igual a 1,50 m e menor que 2,50 m - execução, não inclui material. AF_08/2020</v>
          </cell>
          <cell r="E227"/>
          <cell r="F227" t="str">
            <v>M2</v>
          </cell>
          <cell r="G227">
            <v>14.35</v>
          </cell>
          <cell r="H227" t="str">
            <v>-</v>
          </cell>
        </row>
        <row r="228">
          <cell r="A228" t="str">
            <v>ES/0010</v>
          </cell>
          <cell r="B228" t="str">
            <v>COMPOSIÇÃO</v>
          </cell>
          <cell r="C228"/>
          <cell r="D228" t="str">
            <v>Escoramento de vala, tipo blindado, com profundidade de 1,5 a 3,0 m, largura maior ou igual a 1,5 m e menor que 2,5 m. Altura do escoramento igual a 2,4 m.  Execução e fornecimento, inclui material. (REF. SINAPI COD. 03.ESCO.VALA.040/01)</v>
          </cell>
          <cell r="E228"/>
          <cell r="F228" t="str">
            <v>M2</v>
          </cell>
          <cell r="G228">
            <v>20.99</v>
          </cell>
          <cell r="H228" t="str">
            <v>-</v>
          </cell>
        </row>
        <row r="229">
          <cell r="A229" t="str">
            <v>ES/0015</v>
          </cell>
          <cell r="B229" t="str">
            <v>COMPOSIÇÃO</v>
          </cell>
          <cell r="C229"/>
          <cell r="D229" t="str">
            <v>Escoramento de vala, tipo blindado, com profundidade de 3,0 a 4,5 m, largura maior ou igual a 1,5 m e menor que 2,5 m. Altura do escoramento igual a 2,4 m.  Execução e fornecimento, inclui material. (REF. SINAPI COD. 03.ESCO.VALA.042/01)</v>
          </cell>
          <cell r="E229"/>
          <cell r="F229" t="str">
            <v>M2</v>
          </cell>
          <cell r="G229">
            <v>18.12</v>
          </cell>
          <cell r="H229" t="str">
            <v>-</v>
          </cell>
        </row>
        <row r="230">
          <cell r="A230" t="str">
            <v>ES/0020</v>
          </cell>
          <cell r="B230" t="str">
            <v>COMPOSIÇÃO</v>
          </cell>
          <cell r="C230"/>
          <cell r="D230" t="str">
            <v>Contenção tipo estaca secante com escora de eucalipto D = 20cm, área cravada</v>
          </cell>
          <cell r="E230"/>
          <cell r="F230" t="str">
            <v>M2</v>
          </cell>
          <cell r="G230">
            <v>620.64</v>
          </cell>
          <cell r="H230" t="str">
            <v>-</v>
          </cell>
        </row>
        <row r="231">
          <cell r="A231" t="str">
            <v>ES/0025</v>
          </cell>
          <cell r="B231" t="str">
            <v>COMPOSIÇÃO</v>
          </cell>
          <cell r="C231"/>
          <cell r="D231" t="str">
            <v>Escoramento contínuo em talude de escavação, com estaca-prancha metálica em Aço ASTM, com utilização de 10 vezes, incluindo cravação e extração. Cravação com emprego de escavadeira hidráulica em solo de baixa a média resistência à penetração</v>
          </cell>
          <cell r="E231"/>
          <cell r="F231" t="str">
            <v>M2</v>
          </cell>
          <cell r="G231">
            <v>318.83</v>
          </cell>
          <cell r="H231" t="str">
            <v>-</v>
          </cell>
        </row>
        <row r="232">
          <cell r="A232" t="str">
            <v>ES/0030</v>
          </cell>
          <cell r="B232" t="str">
            <v>COMPOSIÇÃO</v>
          </cell>
          <cell r="C232"/>
          <cell r="D232" t="str">
            <v>Escoramento de vala, tipo blindagem, com profundidade de 0 a 1,5 m, largura menor que 1,5 m. Altura do escoramento igual a 1,8 m.  Execução e fornecimento, inclui material. (REF. SINAPI COD. 03.ESCO.VALA.037/01)</v>
          </cell>
          <cell r="E232"/>
          <cell r="F232" t="str">
            <v>M2</v>
          </cell>
          <cell r="G232">
            <v>18.97</v>
          </cell>
          <cell r="H232" t="str">
            <v>-</v>
          </cell>
        </row>
        <row r="233">
          <cell r="A233" t="str">
            <v>ES/0035</v>
          </cell>
          <cell r="B233" t="str">
            <v>COMPOSIÇÃO</v>
          </cell>
          <cell r="C233"/>
          <cell r="D233" t="str">
            <v>Escoramento de vala, tipo blindado, com profundidade de 0 a 1,5 m, largura maior ou igual a 1,5 m e menor que 2,5 m. Altura do escoramento igual a 1,8 m.  Execução e fornecimento, inclui material. (REF. SINAPI COD. 03.ESCO.VALA.038/01)</v>
          </cell>
          <cell r="E233"/>
          <cell r="F233" t="str">
            <v>M2</v>
          </cell>
          <cell r="G233">
            <v>26.62</v>
          </cell>
          <cell r="H233" t="str">
            <v>-</v>
          </cell>
        </row>
        <row r="234">
          <cell r="A234" t="str">
            <v>ES/0040</v>
          </cell>
          <cell r="B234" t="str">
            <v>COMPOSIÇÃO</v>
          </cell>
          <cell r="C234"/>
          <cell r="D234" t="str">
            <v>Escoramento de vala, tipo blindado, com profundidade de 1,5 a 3,0 m, largura menor que 1,5 m. Altura do escoramento igual a 2,4 m.  Execução e fornecimento, inclui material. (REF. SINAPI COD. 03.ESCO.VALA.039/01)</v>
          </cell>
          <cell r="E234"/>
          <cell r="F234" t="str">
            <v>M2</v>
          </cell>
          <cell r="G234">
            <v>13.67</v>
          </cell>
          <cell r="H234" t="str">
            <v>-</v>
          </cell>
        </row>
        <row r="235">
          <cell r="A235" t="str">
            <v>ES/0045</v>
          </cell>
          <cell r="B235" t="str">
            <v>COMPOSIÇÃO</v>
          </cell>
          <cell r="C235"/>
          <cell r="D235" t="str">
            <v>Escoramento de vala, tipo blindado, com profundidade de 3,0 a 4,5 m, largura menor que 1,5 m. Altura do escoramento igual a 2,4 m.  Execução e fornecimento, inclui material. (REF. SINAPI COD. 03.ESCO.VALA.041/01)</v>
          </cell>
          <cell r="E235"/>
          <cell r="F235" t="str">
            <v>M2</v>
          </cell>
          <cell r="G235">
            <v>10.73</v>
          </cell>
          <cell r="H235" t="str">
            <v>-</v>
          </cell>
        </row>
        <row r="236">
          <cell r="A236" t="str">
            <v>ES/0050</v>
          </cell>
          <cell r="B236" t="str">
            <v>COMPOSIÇÃO</v>
          </cell>
          <cell r="C236"/>
          <cell r="D236" t="str">
            <v>Escoramento de vala, tipo blindado, com profundidade da vala maior que 2,4 m, largura maior ou igual a 2,5 m e menor que 3,5 m. Altura do escoramento igual a 2,4 m.  Execução e fornecimento, inclui material. (REF. SINAPI COD. 03.ESCO.VALA.042/01)</v>
          </cell>
          <cell r="E236"/>
          <cell r="F236" t="str">
            <v>M2</v>
          </cell>
          <cell r="G236">
            <v>18.37</v>
          </cell>
          <cell r="H236" t="str">
            <v>-</v>
          </cell>
        </row>
        <row r="237">
          <cell r="A237" t="str">
            <v>ES/0055</v>
          </cell>
          <cell r="B237" t="str">
            <v>COMPOSIÇÃO</v>
          </cell>
          <cell r="C237"/>
          <cell r="D237" t="str">
            <v>Escoramento de vala, tipo blindado, com profundidade da vala maior que 2,4 m, largura maior ou igual a 4,5 m e menor que 5,5 m. Altura do escoramento igual a 2,4 m.  Execução e fornecimento, inclui material. (REF. SINAPI COD. 03.ESCO.VALA.042/01)</v>
          </cell>
          <cell r="E237"/>
          <cell r="F237" t="str">
            <v>M2</v>
          </cell>
          <cell r="G237">
            <v>18.87</v>
          </cell>
          <cell r="H237" t="str">
            <v>-</v>
          </cell>
        </row>
        <row r="238">
          <cell r="A238" t="str">
            <v>ES/0060</v>
          </cell>
          <cell r="B238" t="str">
            <v>COMPOSIÇÃO</v>
          </cell>
          <cell r="C238"/>
          <cell r="D238" t="str">
            <v>Escoramento de vala, tipo blindado, com profundidade de 1,5 a 3,0 m, largura maior ou igual a 1,5 m e menor que 2,5 m. Altura do escoramento igual a 2,4 m.  Execução e fornecimento, inclui material. (REF. SINAPI COD. 03.ESCO.VALA.040/01). PRAÇA: Três Lagoas/MS</v>
          </cell>
          <cell r="E238"/>
          <cell r="F238" t="str">
            <v>M2</v>
          </cell>
          <cell r="G238">
            <v>20.98</v>
          </cell>
          <cell r="H238" t="str">
            <v>-</v>
          </cell>
        </row>
        <row r="239">
          <cell r="A239" t="str">
            <v>ES/0065</v>
          </cell>
          <cell r="B239" t="str">
            <v>COMPOSIÇÃO</v>
          </cell>
          <cell r="C239"/>
          <cell r="D239" t="str">
            <v>Escoramento de vala, tipo blindado, com profundidade de 3,0 a 4,5 m, largura maior ou igual a 1,5 m e menor que 2,5 m. Altura do escoramento igual a 2,4 m.  Execução e fornecimento, inclui material. (REF. SINAPI COD. 03.ESCO.VALA.042/01). PRAÇA: Três Lagoas/MS</v>
          </cell>
          <cell r="E239"/>
          <cell r="F239" t="str">
            <v>M2</v>
          </cell>
          <cell r="G239">
            <v>18.100000000000001</v>
          </cell>
          <cell r="H239" t="str">
            <v>-</v>
          </cell>
        </row>
        <row r="240">
          <cell r="A240" t="str">
            <v>ES/0070</v>
          </cell>
          <cell r="B240" t="str">
            <v>COMPOSIÇÃO</v>
          </cell>
          <cell r="C240"/>
          <cell r="D240" t="str">
            <v>Escoramento de vala, tipo blindado, com profundidade de 1,5 a 3,0 m, largura menor que 1,5 m. Altura do escoramento igual a 2,4 m.  Execução e fornecimento, inclui material. (REF. SINAPI COD. 03.ESCO.VALA.039/01). PRAÇA: Três Lagoas/MS</v>
          </cell>
          <cell r="E240"/>
          <cell r="F240" t="str">
            <v>M2</v>
          </cell>
          <cell r="G240">
            <v>13.65</v>
          </cell>
          <cell r="H240" t="str">
            <v>-</v>
          </cell>
        </row>
        <row r="241">
          <cell r="A241" t="str">
            <v>ES/0075</v>
          </cell>
          <cell r="B241" t="str">
            <v>COMPOSIÇÃO</v>
          </cell>
          <cell r="C241"/>
          <cell r="D241" t="str">
            <v>Escoramento de vala, tipo blindado, com profundidade de 3,0 a 4,5 m, largura menor que 1,5 m. Altura do escoramento igual a 2,4 m.  Execução e fornecimento, inclui material. (REF. SINAPI COD. 03.ESCO.VALA.041/01). PRAÇA: Três Lagoas/MS</v>
          </cell>
          <cell r="E241"/>
          <cell r="F241" t="str">
            <v>M2</v>
          </cell>
          <cell r="G241">
            <v>10.71</v>
          </cell>
          <cell r="H241" t="str">
            <v>-</v>
          </cell>
        </row>
        <row r="242">
          <cell r="A242" t="str">
            <v>ES/0080</v>
          </cell>
          <cell r="B242" t="str">
            <v>COMPOSIÇÃO</v>
          </cell>
          <cell r="C242"/>
          <cell r="D242" t="str">
            <v>Escoramento de vala, tipo blindado, com profundidade da vala maior que 2,4 m, largura maior ou igual a 2,5 m e menor que 3,5 m. Altura do escoramento igual a 2,4 m.  Execução e fornecimento, inclui material. (REF. SINAPI COD. 03.ESCO.VALA.042/01). PRAÇA: Três Lagoas/MS</v>
          </cell>
          <cell r="E242"/>
          <cell r="F242" t="str">
            <v>M2</v>
          </cell>
          <cell r="G242">
            <v>18.350000000000001</v>
          </cell>
          <cell r="H242" t="str">
            <v>-</v>
          </cell>
        </row>
        <row r="243">
          <cell r="A243" t="str">
            <v>ES/0085</v>
          </cell>
          <cell r="B243" t="str">
            <v>COMPOSIÇÃO</v>
          </cell>
          <cell r="C243"/>
          <cell r="D243" t="str">
            <v>Escoramento de vala, tipo blindado, com profundidade da vala maior que 2,4 m, largura maior ou igual a 4,5 m e menor que 5,5 m. Altura do escoramento igual a 2,4 m.  Execução e fornecimento, inclui material. (REF. SINAPI COD. 03.ESCO.VALA.042/01). PRAÇA: Três Lagoas/MS</v>
          </cell>
          <cell r="E243"/>
          <cell r="F243" t="str">
            <v>M2</v>
          </cell>
          <cell r="G243">
            <v>18.84</v>
          </cell>
          <cell r="H243" t="str">
            <v>-</v>
          </cell>
        </row>
        <row r="244">
          <cell r="A244" t="str">
            <v>ES/0090</v>
          </cell>
          <cell r="B244" t="str">
            <v>COMPOSIÇÃO</v>
          </cell>
          <cell r="C244"/>
          <cell r="D244" t="str">
            <v>Escoramento de vala, tipo blindado, com profundidade de 1,5 a 3,0 m, largura maior ou igual a 1,5 m e menor que 2,5 m. Altura do escoramento igual a 3,0 m e comprimento de 3,6 m.  Execução e fornecimento, inclui material. (REF. SINAPI COD. 03.ESCO.VALA.040/01). PRAÇA: Três Lagoas/MS</v>
          </cell>
          <cell r="E244"/>
          <cell r="F244" t="str">
            <v>M2</v>
          </cell>
          <cell r="G244">
            <v>21.83</v>
          </cell>
          <cell r="H244" t="str">
            <v>-</v>
          </cell>
        </row>
        <row r="245">
          <cell r="A245" t="str">
            <v>ES/0095</v>
          </cell>
          <cell r="B245" t="str">
            <v>COMPOSIÇÃO</v>
          </cell>
          <cell r="C245"/>
          <cell r="D245" t="str">
            <v>Escoramento de vala, tipo blindado, com profundidade de 1,5 a 3,0 m, largura maior ou igual a 3,5 m e menor que 4,5 m. Altura do escoramento igual a 3,0 m e comprimento de 3,6 m.  Execução e fornecimento, inclui material. (REF. SINAPI COD. 03.ESCO.VALA.040/01). PRAÇA: Três Lagoas/MS</v>
          </cell>
          <cell r="E245"/>
          <cell r="F245" t="str">
            <v>M2</v>
          </cell>
          <cell r="G245">
            <v>22.2</v>
          </cell>
          <cell r="H245" t="str">
            <v>-</v>
          </cell>
        </row>
        <row r="246">
          <cell r="A246" t="str">
            <v>ES/0100</v>
          </cell>
          <cell r="B246" t="str">
            <v>COMPOSIÇÃO</v>
          </cell>
          <cell r="C246"/>
          <cell r="D246" t="str">
            <v>Escoramento de vala, tipo blindado, com profundidade de 1,5 a 3,0 m, largura maior ou igual a 2,5 m e menor que 3,5 m. Altura do escoramento igual a 3,0 m e comprimento de 3,6 m.  Execução e fornecimento, inclui material. (REF. SINAPI COD. 03.ESCO.VALA.040/01). PRAÇA: Três Lagoas/MS</v>
          </cell>
          <cell r="E246"/>
          <cell r="F246" t="str">
            <v>M2</v>
          </cell>
          <cell r="G246">
            <v>22.01</v>
          </cell>
          <cell r="H246" t="str">
            <v>-</v>
          </cell>
        </row>
        <row r="247">
          <cell r="A247" t="str">
            <v>ES/0105</v>
          </cell>
          <cell r="B247" t="str">
            <v>COMPOSIÇÃO</v>
          </cell>
          <cell r="C247"/>
          <cell r="D247" t="str">
            <v>Escoramento de vala, tipo blindado, com profundidade de 1,5 a 3,0 m, largura maior ou igual a 4,5 m e menor que 5,5 m. Altura do escoramento igual a 3,0 m e comprimento de 3,6 m.  Execução e fornecimento, inclui material. (REF. SINAPI COD. 03.ESCO.VALA.040/01). PRAÇA: Três Lagoas/MS</v>
          </cell>
          <cell r="E247"/>
          <cell r="F247" t="str">
            <v>M2</v>
          </cell>
          <cell r="G247">
            <v>22.39</v>
          </cell>
          <cell r="H247" t="str">
            <v>-</v>
          </cell>
        </row>
        <row r="248">
          <cell r="A248"/>
          <cell r="B248"/>
          <cell r="C248"/>
          <cell r="D248"/>
          <cell r="E248"/>
          <cell r="F248"/>
          <cell r="G248"/>
          <cell r="H248"/>
        </row>
        <row r="249">
          <cell r="A249"/>
          <cell r="B249"/>
          <cell r="C249" t="str">
            <v>5.0</v>
          </cell>
          <cell r="D249" t="str">
            <v>MICRO E MACRODRENAGEM - TERRAPLENAGEM</v>
          </cell>
          <cell r="E249"/>
          <cell r="F249"/>
          <cell r="G249"/>
          <cell r="H249" t="str">
            <v/>
          </cell>
        </row>
        <row r="250">
          <cell r="A250" t="str">
            <v>DR/0005</v>
          </cell>
          <cell r="B250" t="str">
            <v>COMPOSIÇÃO</v>
          </cell>
          <cell r="C250"/>
          <cell r="D250" t="str">
            <v>Tombo - carga com escavadeira hidráulica sobre esteiras</v>
          </cell>
          <cell r="E250"/>
          <cell r="F250" t="str">
            <v>M3</v>
          </cell>
          <cell r="G250">
            <v>2.23</v>
          </cell>
          <cell r="H250" t="str">
            <v>-</v>
          </cell>
        </row>
        <row r="251">
          <cell r="A251">
            <v>101236</v>
          </cell>
          <cell r="B251" t="str">
            <v>SINAPI</v>
          </cell>
          <cell r="C251">
            <v>89893</v>
          </cell>
          <cell r="D251" t="str">
            <v>Escavação vertical a céu aberto, em obras de infraestrutura, incluindo carga, descarga e transporte, em solo de 1a categoria com escavadeira hidráulica (caçamba: 0,80 m3 / 111HP), frota de 6 caminhões basculantes de 14 m3, DMT de 3 km e velocidade média 20km/h. AF_05/2020</v>
          </cell>
          <cell r="E251" t="str">
            <v>ATENÇÃO
verificar o  DMT</v>
          </cell>
          <cell r="F251" t="str">
            <v>M3</v>
          </cell>
          <cell r="G251">
            <v>18.89</v>
          </cell>
          <cell r="H251" t="str">
            <v>-</v>
          </cell>
        </row>
        <row r="252">
          <cell r="A252">
            <v>101237</v>
          </cell>
          <cell r="B252" t="str">
            <v>SINAPI</v>
          </cell>
          <cell r="C252">
            <v>89894</v>
          </cell>
          <cell r="D252" t="str">
            <v>Escavação vertical a céu aberto, em obras de infraestrutura, incluindo carga, descarga e transporte, em solo de 1a categoria com escavadeira hidráulica (caçamba: 0,80 m3 / 111HP), frota de 6 caminhões basculantes de 14 m3, DMT de 4 km e velocidade média 22km/h. AF_05/2020</v>
          </cell>
          <cell r="E252"/>
          <cell r="F252" t="str">
            <v>M3</v>
          </cell>
          <cell r="G252">
            <v>20.14</v>
          </cell>
          <cell r="H252" t="str">
            <v>-</v>
          </cell>
        </row>
        <row r="253">
          <cell r="A253">
            <v>101238</v>
          </cell>
          <cell r="B253" t="str">
            <v>SINAPI</v>
          </cell>
          <cell r="C253">
            <v>89895</v>
          </cell>
          <cell r="D253" t="str">
            <v>Escavação vertical a céu aberto, em obras de infraestrutura, incluindo carga, descarga e transporte, em solo de 1a categoria com escavadeira hidráulica (caçamba: 0,80 m3 / 111HP), frota de 8 caminhões basculantes de 14 m3, DMT de 6 km e velocidade média 22km/h. AF_05/2020</v>
          </cell>
          <cell r="E253"/>
          <cell r="F253" t="str">
            <v>M3</v>
          </cell>
          <cell r="G253">
            <v>25.49</v>
          </cell>
          <cell r="H253" t="str">
            <v>-</v>
          </cell>
        </row>
        <row r="254">
          <cell r="A254" t="str">
            <v>DR/0007</v>
          </cell>
          <cell r="B254" t="str">
            <v>COMPOSIÇÃO</v>
          </cell>
          <cell r="C254">
            <v>83336</v>
          </cell>
          <cell r="D254" t="str">
            <v>Escavação mecânica para acerto de taludes em material de 1a categoria,com escavadeira hidráulica (REF. SINAPI. COD. 83336)</v>
          </cell>
          <cell r="E254"/>
          <cell r="F254" t="str">
            <v>M3</v>
          </cell>
          <cell r="G254">
            <v>5.58</v>
          </cell>
          <cell r="H254" t="str">
            <v>-</v>
          </cell>
        </row>
        <row r="255">
          <cell r="A255" t="str">
            <v>DR/0008</v>
          </cell>
          <cell r="B255" t="str">
            <v>COMPOSIÇÃO</v>
          </cell>
          <cell r="C255"/>
          <cell r="D255" t="str">
            <v>Regularização manual de taludes de cortes e aterros (Refer. SICRO CÓD. 4413985, DB 04/2021)</v>
          </cell>
          <cell r="E255"/>
          <cell r="F255" t="str">
            <v>M2</v>
          </cell>
          <cell r="G255">
            <v>17.04</v>
          </cell>
          <cell r="H255" t="str">
            <v>-</v>
          </cell>
        </row>
        <row r="256">
          <cell r="A256" t="str">
            <v>DR/0010</v>
          </cell>
          <cell r="B256" t="str">
            <v>COMPOSIÇÃO</v>
          </cell>
          <cell r="C256"/>
          <cell r="D256" t="str">
            <v>Extração de areia com draga de sucção sobre flutuante, com descarga em meio terrestre por recalque com mangote de PEAD Ø6", até 150 m (REF. SICRO COD. 4816020)</v>
          </cell>
          <cell r="E256"/>
          <cell r="F256" t="str">
            <v>M3</v>
          </cell>
          <cell r="G256">
            <v>15.23</v>
          </cell>
          <cell r="H256" t="str">
            <v>-</v>
          </cell>
        </row>
        <row r="257">
          <cell r="A257" t="str">
            <v>DR/0015</v>
          </cell>
          <cell r="B257" t="str">
            <v>COMPOSIÇÃO</v>
          </cell>
          <cell r="C257"/>
          <cell r="D257" t="str">
            <v>Escavação manual em solo para execução de bueiro através de sistema destrutivo, tunnel liner, inclusive remoção horizontal até 50m do material escavado. Exclusive poço de ataque, esgotamento e escoramento (REF. SICRO COD. 4816000)</v>
          </cell>
          <cell r="E257"/>
          <cell r="F257" t="str">
            <v>M3</v>
          </cell>
          <cell r="G257">
            <v>472.89</v>
          </cell>
          <cell r="H257" t="str">
            <v>-</v>
          </cell>
        </row>
        <row r="258">
          <cell r="A258">
            <v>93358</v>
          </cell>
          <cell r="B258" t="str">
            <v>SINAPI</v>
          </cell>
          <cell r="C258"/>
          <cell r="D258" t="str">
            <v>Escavação manual de vala com profundidade menor ou igual a 1,30 m. AF_03/2016</v>
          </cell>
          <cell r="E258"/>
          <cell r="F258" t="str">
            <v>M3</v>
          </cell>
          <cell r="G258">
            <v>67.41</v>
          </cell>
          <cell r="H258" t="str">
            <v>-</v>
          </cell>
        </row>
        <row r="259">
          <cell r="A259">
            <v>90105</v>
          </cell>
          <cell r="B259" t="str">
            <v>SINAPI</v>
          </cell>
          <cell r="C259">
            <v>12.76</v>
          </cell>
          <cell r="D259" t="str">
    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59" t="str">
            <v>H &lt; 1,50
baixa Interferência</v>
          </cell>
          <cell r="F259" t="str">
            <v>M3</v>
          </cell>
          <cell r="G259">
            <v>7.61</v>
          </cell>
          <cell r="H259" t="str">
            <v>-</v>
          </cell>
        </row>
        <row r="260">
          <cell r="A260">
            <v>90106</v>
          </cell>
          <cell r="B260" t="str">
            <v>SINAPI</v>
          </cell>
          <cell r="C260">
            <v>14.99</v>
          </cell>
          <cell r="D260" t="str">
    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60"/>
          <cell r="F260" t="str">
            <v>M3</v>
          </cell>
          <cell r="G260">
            <v>6.46</v>
          </cell>
          <cell r="H260" t="str">
            <v>-</v>
          </cell>
        </row>
        <row r="261">
          <cell r="A261">
            <v>90091</v>
          </cell>
          <cell r="B261" t="str">
            <v>SINAPI</v>
          </cell>
          <cell r="C261">
            <v>22.52</v>
          </cell>
          <cell r="D261" t="str">
    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    </cell>
          <cell r="E261"/>
          <cell r="F261" t="str">
            <v>M3</v>
          </cell>
          <cell r="G261">
            <v>5.38</v>
          </cell>
          <cell r="H261" t="str">
            <v>-</v>
          </cell>
        </row>
        <row r="262">
          <cell r="A262">
            <v>90092</v>
          </cell>
          <cell r="B262" t="str">
            <v>SINAPI</v>
          </cell>
          <cell r="C262"/>
          <cell r="D262" t="str">
            <v>Escavação mecanizada de vala com profundidade maior que 1,50 m e até 3,00 m (média entre montante e jusante / uma composição por trecho), com escavadeira hidráulica (capacidade da caçamba: 0,80 m3/ potência: 111 HP), larg. menor que 1,50 m, em solo de 1a categoria, locais com baixo nível de interferência. AF_01/2015</v>
          </cell>
          <cell r="E262"/>
          <cell r="F262" t="str">
            <v>M3</v>
          </cell>
          <cell r="G262">
            <v>5.31</v>
          </cell>
          <cell r="H262" t="str">
            <v>-</v>
          </cell>
        </row>
        <row r="263">
          <cell r="A263">
            <v>90107</v>
          </cell>
          <cell r="B263" t="str">
            <v>SINAPI</v>
          </cell>
          <cell r="C263">
            <v>15.2</v>
          </cell>
          <cell r="D263" t="str">
    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63" t="str">
            <v>1,51 &lt; H &lt; 3,00
baixa Interferência</v>
          </cell>
          <cell r="F263" t="str">
            <v>M3</v>
          </cell>
          <cell r="G263">
            <v>6.38</v>
          </cell>
          <cell r="H263" t="str">
            <v>-</v>
          </cell>
        </row>
        <row r="264">
          <cell r="A264">
            <v>90108</v>
          </cell>
          <cell r="B264" t="str">
            <v>SINAPI</v>
          </cell>
          <cell r="C264">
            <v>16.690000000000001</v>
          </cell>
          <cell r="D264" t="str">
    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64"/>
          <cell r="F264" t="str">
            <v>M3</v>
          </cell>
          <cell r="G264">
            <v>5.82</v>
          </cell>
          <cell r="H264" t="str">
            <v>-</v>
          </cell>
        </row>
        <row r="265">
          <cell r="A265">
            <v>102281</v>
          </cell>
          <cell r="B265" t="str">
            <v>SINAPI</v>
          </cell>
          <cell r="C265" t="str">
            <v>90093
24,69 m3/h</v>
          </cell>
          <cell r="D265" t="str">
    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    </cell>
          <cell r="E265"/>
          <cell r="F265" t="str">
            <v>M3</v>
          </cell>
          <cell r="G265">
            <v>4.7699999999999996</v>
          </cell>
          <cell r="H265" t="str">
            <v>-</v>
          </cell>
        </row>
        <row r="266">
          <cell r="A266">
            <v>90094</v>
          </cell>
          <cell r="B266" t="str">
            <v>SINAPI</v>
          </cell>
          <cell r="C266">
            <v>24.45</v>
          </cell>
          <cell r="D266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    </cell>
          <cell r="E266" t="str">
            <v>3,01 &lt; H &lt; 4,50
baixa Interferência</v>
          </cell>
          <cell r="F266" t="str">
            <v>M3</v>
          </cell>
          <cell r="G266">
            <v>5.0199999999999996</v>
          </cell>
          <cell r="H266" t="str">
            <v>-</v>
          </cell>
        </row>
        <row r="267">
          <cell r="A267">
            <v>90095</v>
          </cell>
          <cell r="B267" t="str">
            <v>SINAPI</v>
          </cell>
          <cell r="C267">
            <v>21.65</v>
          </cell>
          <cell r="D267" t="str">
    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    </cell>
          <cell r="E267"/>
          <cell r="F267" t="str">
            <v>M3</v>
          </cell>
          <cell r="G267">
            <v>4.5599999999999996</v>
          </cell>
          <cell r="H267" t="str">
            <v>-</v>
          </cell>
        </row>
        <row r="268">
          <cell r="A268">
            <v>102280</v>
          </cell>
          <cell r="B268" t="str">
            <v>SINAPI</v>
          </cell>
          <cell r="C268" t="str">
            <v>90096
21,19 m3/h</v>
          </cell>
          <cell r="D268" t="str">
    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    </cell>
          <cell r="E268" t="str">
            <v>H &gt; 4,51
baixa Interferência</v>
          </cell>
          <cell r="F268" t="str">
            <v>M3</v>
          </cell>
          <cell r="G268">
            <v>4.87</v>
          </cell>
          <cell r="H268" t="str">
            <v>-</v>
          </cell>
        </row>
        <row r="269">
          <cell r="A269">
            <v>90098</v>
          </cell>
          <cell r="B269" t="str">
            <v>SINAPI</v>
          </cell>
          <cell r="C269">
            <v>22.08</v>
          </cell>
          <cell r="D269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    </cell>
          <cell r="E269"/>
          <cell r="F269" t="str">
            <v>M3</v>
          </cell>
          <cell r="G269">
            <v>4.49</v>
          </cell>
          <cell r="H269" t="str">
            <v>-</v>
          </cell>
        </row>
        <row r="270">
          <cell r="A270">
            <v>90099</v>
          </cell>
          <cell r="B270" t="str">
            <v>SINAPI</v>
          </cell>
          <cell r="C270">
            <v>7.62</v>
          </cell>
          <cell r="D270" t="str">
    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70" t="str">
            <v>H &lt; 1,50
alta Interferência</v>
          </cell>
          <cell r="F270" t="str">
            <v>M3</v>
          </cell>
          <cell r="G270">
            <v>13.81</v>
          </cell>
          <cell r="H270" t="str">
            <v>-</v>
          </cell>
        </row>
        <row r="271">
          <cell r="A271">
            <v>90100</v>
          </cell>
          <cell r="B271" t="str">
            <v>SINAPI</v>
          </cell>
          <cell r="C271">
            <v>8.9600000000000009</v>
          </cell>
          <cell r="D271" t="str">
    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71"/>
          <cell r="F271" t="str">
            <v>M3</v>
          </cell>
          <cell r="G271">
            <v>11.72</v>
          </cell>
          <cell r="H271" t="str">
            <v>-</v>
          </cell>
        </row>
        <row r="272">
          <cell r="A272">
            <v>90082</v>
          </cell>
          <cell r="B272" t="str">
            <v>SINAPI</v>
          </cell>
          <cell r="C272">
            <v>13.46</v>
          </cell>
          <cell r="D272" t="str">
    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    </cell>
          <cell r="E272"/>
          <cell r="F272" t="str">
            <v>M3</v>
          </cell>
          <cell r="G272">
            <v>9.9499999999999993</v>
          </cell>
          <cell r="H272" t="str">
            <v>-</v>
          </cell>
        </row>
        <row r="273">
          <cell r="A273">
            <v>90084</v>
          </cell>
          <cell r="B273" t="str">
            <v>SINAPI</v>
          </cell>
          <cell r="C273"/>
          <cell r="D273" t="str">
            <v>Escavação mecanizada de vala com profundidade maior que 1,50 m até 3,00 m (média entre montante e jusante / uma composição por trecho), com escavadeira hidráulica (capacidade da caçamba: 0,80 m3 / potência: 111 HP), largura até 1,50 m, em solo de 1a categoria, em locais com alto nível de interferência. AF_01/2015</v>
          </cell>
          <cell r="E273"/>
          <cell r="F273" t="str">
            <v>M3</v>
          </cell>
          <cell r="G273">
            <v>9.6300000000000008</v>
          </cell>
          <cell r="H273" t="str">
            <v>-</v>
          </cell>
        </row>
        <row r="274">
          <cell r="A274">
            <v>90101</v>
          </cell>
          <cell r="B274" t="str">
            <v>SINAPI</v>
          </cell>
          <cell r="C274">
            <v>9.07</v>
          </cell>
          <cell r="D274" t="str">
    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74" t="str">
            <v>1,51 &lt; H &lt; 3,00
alta Interferência</v>
          </cell>
          <cell r="F274" t="str">
            <v>M3</v>
          </cell>
          <cell r="G274">
            <v>11.58</v>
          </cell>
          <cell r="H274" t="str">
            <v>-</v>
          </cell>
        </row>
        <row r="275">
          <cell r="A275">
            <v>90102</v>
          </cell>
          <cell r="B275" t="str">
            <v>SINAPI</v>
          </cell>
          <cell r="C275">
            <v>9.9700000000000006</v>
          </cell>
          <cell r="D275" t="str">
    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75"/>
          <cell r="F275" t="str">
            <v>M3</v>
          </cell>
          <cell r="G275">
            <v>10.53</v>
          </cell>
          <cell r="H275" t="str">
            <v>-</v>
          </cell>
        </row>
        <row r="276">
          <cell r="A276">
            <v>102278</v>
          </cell>
          <cell r="B276" t="str">
            <v>SINAPI</v>
          </cell>
          <cell r="C276" t="str">
            <v>90085
14,75 m3/h</v>
          </cell>
          <cell r="D276" t="str">
    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    </cell>
          <cell r="E276"/>
          <cell r="F276" t="str">
            <v>M3</v>
          </cell>
          <cell r="G276">
            <v>8.65</v>
          </cell>
          <cell r="H276" t="str">
            <v>-</v>
          </cell>
        </row>
        <row r="277">
          <cell r="A277">
            <v>90086</v>
          </cell>
          <cell r="B277" t="str">
            <v>SINAPI</v>
          </cell>
          <cell r="C277">
            <v>14.58</v>
          </cell>
          <cell r="D277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    </cell>
          <cell r="E277" t="str">
            <v>3,01 &lt; H &lt; 4,50
alta Interferência</v>
          </cell>
          <cell r="F277" t="str">
            <v>M3</v>
          </cell>
          <cell r="G277">
            <v>9.1</v>
          </cell>
          <cell r="H277" t="str">
            <v>-</v>
          </cell>
        </row>
        <row r="278">
          <cell r="A278">
            <v>90087</v>
          </cell>
          <cell r="B278" t="str">
            <v>SINAPI</v>
          </cell>
          <cell r="C278">
            <v>19.12</v>
          </cell>
          <cell r="D278" t="str">
    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78"/>
          <cell r="F278" t="str">
            <v>M3</v>
          </cell>
          <cell r="G278">
            <v>8.3000000000000007</v>
          </cell>
          <cell r="H278" t="str">
            <v>-</v>
          </cell>
        </row>
        <row r="279">
          <cell r="A279">
            <v>102277</v>
          </cell>
          <cell r="B279" t="str">
            <v>SINAPI</v>
          </cell>
          <cell r="C279" t="str">
            <v>90088
18,73 m3/h</v>
          </cell>
          <cell r="D279" t="str">
    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    </cell>
          <cell r="E279" t="str">
            <v>H &gt; 4,51
alta Interferência</v>
          </cell>
          <cell r="F279" t="str">
            <v>M3</v>
          </cell>
          <cell r="G279">
            <v>8.83</v>
          </cell>
          <cell r="H279" t="str">
            <v>-</v>
          </cell>
        </row>
        <row r="280">
          <cell r="A280">
            <v>90090</v>
          </cell>
          <cell r="B280" t="str">
            <v>SINAPI</v>
          </cell>
          <cell r="C280">
            <v>19.489999999999998</v>
          </cell>
          <cell r="D280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80"/>
          <cell r="F280" t="str">
            <v>M3</v>
          </cell>
          <cell r="G280">
            <v>8.1199999999999992</v>
          </cell>
          <cell r="H280" t="str">
            <v>-</v>
          </cell>
        </row>
        <row r="281">
          <cell r="A281">
            <v>102279</v>
          </cell>
          <cell r="B281" t="str">
            <v>SINAPI</v>
          </cell>
          <cell r="C281">
            <v>19.489999999999998</v>
          </cell>
          <cell r="D281" t="str">
            <v>Escavação mecanizada de vala com prof. até 1,5 m (média entre montante e jusante/uma composição por trecho), com escavadeira hidráulica (0,8 m3/111 HP),larg. menor que 1,5 m, em solo de 1a categoria, locais com baixo nível de interferência. af_02/2021</v>
          </cell>
          <cell r="E281"/>
          <cell r="F281" t="str">
            <v>M3</v>
          </cell>
          <cell r="G281">
            <v>6.17</v>
          </cell>
          <cell r="H281" t="str">
            <v>-</v>
          </cell>
        </row>
        <row r="282">
          <cell r="A282"/>
          <cell r="B282" t="str">
            <v>ARRUMAR LISTA DE COMPOSIÇÃO</v>
          </cell>
          <cell r="C282">
            <v>72915</v>
          </cell>
          <cell r="D282" t="str">
            <v>Escavação mecânica de vala em material de 2a categoria ate 2,00 m de profundidade com utilização de escavadeira hidráulica - exclusive escoramento e esgotamento</v>
          </cell>
          <cell r="E282"/>
          <cell r="F282" t="str">
            <v>-</v>
          </cell>
          <cell r="G282" t="str">
            <v>-</v>
          </cell>
          <cell r="H282" t="str">
            <v/>
          </cell>
        </row>
        <row r="283">
          <cell r="A283"/>
          <cell r="B283" t="str">
            <v>ARRUMAR LISTA DE COMPOSIÇÃO</v>
          </cell>
          <cell r="C283">
            <v>72917</v>
          </cell>
          <cell r="D283" t="str">
            <v>Escavação mecânica de vala em material de 2a categoria de 2,01 ate 4,00 m de profundidade com utilização de escavadeira hidráulica - exclusive escoramento e esgotamento</v>
          </cell>
          <cell r="E283"/>
          <cell r="F283" t="str">
            <v>-</v>
          </cell>
          <cell r="G283" t="str">
            <v>-</v>
          </cell>
          <cell r="H283" t="str">
            <v/>
          </cell>
        </row>
        <row r="284">
          <cell r="A284"/>
          <cell r="B284" t="str">
            <v>ARRUMAR LISTA DE COMPOSIÇÃO</v>
          </cell>
          <cell r="C284">
            <v>72918</v>
          </cell>
          <cell r="D284" t="str">
            <v>Escavação mecânica de vala em material de 2a. categoria de 4,01 ate 6,00 m de profundidade com utilização de escavadeira hidráulica - exclusive escoramento e esgotamento</v>
          </cell>
          <cell r="E284"/>
          <cell r="F284" t="str">
            <v>-</v>
          </cell>
          <cell r="G284" t="str">
            <v>-</v>
          </cell>
          <cell r="H284" t="str">
            <v/>
          </cell>
        </row>
        <row r="285">
          <cell r="A285" t="str">
            <v>DR/0020</v>
          </cell>
          <cell r="B285" t="str">
            <v>COMPOSIÇÃO</v>
          </cell>
          <cell r="C285">
            <v>3</v>
          </cell>
          <cell r="D285" t="str">
            <v>Escavação de vala em rocha - 3a categoria, com uso de explosivos e perfuração mecânica, em locais com alto nível de interferência. Inclusive carga</v>
          </cell>
          <cell r="E285"/>
          <cell r="F285" t="str">
            <v>M3</v>
          </cell>
          <cell r="G285">
            <v>443.64</v>
          </cell>
          <cell r="H285" t="str">
            <v>-</v>
          </cell>
        </row>
        <row r="286">
          <cell r="A286" t="str">
            <v>DR/0021</v>
          </cell>
          <cell r="B286" t="str">
            <v>CRIAR COMPOSIÇÃO</v>
          </cell>
          <cell r="C286"/>
          <cell r="D286" t="str">
            <v>ERRO</v>
          </cell>
          <cell r="E286"/>
          <cell r="F286" t="str">
            <v>-</v>
          </cell>
          <cell r="G286" t="str">
            <v>-</v>
          </cell>
          <cell r="H286" t="str">
            <v>-</v>
          </cell>
        </row>
        <row r="287">
          <cell r="A287" t="str">
            <v>DR/0024</v>
          </cell>
          <cell r="B287" t="str">
            <v>COMPOSIÇÃO</v>
          </cell>
          <cell r="C287"/>
          <cell r="D287" t="str">
            <v>Escavação, carga e transporte de material de 2ª categoria - DMT de 1.400 a 1.600 m - caminho de serviço em revestimento primário - com escavadeira e caminhão basculante de 14 m³ (REF. SICRO COD. 5502618)</v>
          </cell>
          <cell r="E287"/>
          <cell r="F287" t="str">
            <v>M3</v>
          </cell>
          <cell r="G287">
            <v>8.9600000000000009</v>
          </cell>
          <cell r="H287" t="str">
            <v>-</v>
          </cell>
        </row>
        <row r="288">
          <cell r="A288" t="str">
            <v>DR/0025</v>
          </cell>
          <cell r="B288" t="str">
            <v>COMPOSIÇÃO</v>
          </cell>
          <cell r="C288" t="str">
            <v>102360 ver sinapi</v>
          </cell>
          <cell r="D288" t="str">
            <v>Escavação de vala em material de 3a categoria - resistência a compressão de 90 a 110 MPA - com escavadeira e rompedor hidráulico 1.700kg, inclusive carga (REF. SICRO COD. 5502966)</v>
          </cell>
          <cell r="E288"/>
          <cell r="F288" t="str">
            <v>M3</v>
          </cell>
          <cell r="G288">
            <v>82.16</v>
          </cell>
          <cell r="H288" t="str">
            <v>-</v>
          </cell>
        </row>
        <row r="289">
          <cell r="A289" t="str">
            <v>DR/0026</v>
          </cell>
          <cell r="B289" t="str">
            <v>COMPOSIÇÃO</v>
          </cell>
          <cell r="C289"/>
          <cell r="D289" t="str">
            <v>Escavação de vala em material de 3a categoria, resistência à compressão maior ou igual a 90 MPA e menor que 110 MPA, com rompedor acoplado em escavadeira hidráulica - exclusive carga e transporte (REF. SINAPI COD. 03.MOVT.3CAT.004/01 2021-01)</v>
          </cell>
          <cell r="E289"/>
          <cell r="F289" t="str">
            <v>M3</v>
          </cell>
          <cell r="G289">
            <v>190.71</v>
          </cell>
          <cell r="H289" t="str">
            <v>-</v>
          </cell>
        </row>
        <row r="290">
          <cell r="A290" t="str">
            <v>DR/0027</v>
          </cell>
          <cell r="B290" t="str">
            <v>COMPOSIÇÃO</v>
          </cell>
          <cell r="C290"/>
          <cell r="D290" t="str">
            <v>Escavação, carga e transporte de material de 1ª categoria - DMT de 50 a 200 m - caminho de serviço em leito natural - com escavadeira e caminhão basculante de 14 m³ (Refer. SICRO CÓD. 5502109)</v>
          </cell>
          <cell r="E290"/>
          <cell r="F290" t="str">
            <v>M3</v>
          </cell>
          <cell r="G290">
            <v>5.24</v>
          </cell>
          <cell r="H290" t="str">
            <v>-</v>
          </cell>
        </row>
        <row r="291">
          <cell r="A291" t="str">
            <v>DR/0028</v>
          </cell>
          <cell r="B291" t="str">
            <v>COMPOSIÇÃO</v>
          </cell>
          <cell r="C291"/>
          <cell r="D291" t="str">
            <v>Escavação, carga e transporte de material de 1ª categoria - DMT de 200 a 400 m - caminho de serviço em leito natural - com escavadeira e caminhão basculante de 14 m³ (Refer. SICRO CÓD. 5502110)</v>
          </cell>
          <cell r="E291"/>
          <cell r="F291" t="str">
            <v>M3</v>
          </cell>
          <cell r="G291">
            <v>5.66</v>
          </cell>
          <cell r="H291" t="str">
            <v>-</v>
          </cell>
        </row>
        <row r="292">
          <cell r="A292" t="str">
            <v>DR/0030</v>
          </cell>
          <cell r="B292" t="str">
            <v>COMPOSIÇÃO</v>
          </cell>
          <cell r="C292"/>
          <cell r="D292" t="str">
            <v>Escavação à céu aberto de caixa para bacia de amortecimento em área de solo rochoso com uso de escavadeira hidráulica, rompedor hidráulico, perfuratriz mecânica e explosivos, inclusive carga</v>
          </cell>
          <cell r="E292"/>
          <cell r="F292" t="str">
            <v>M3</v>
          </cell>
          <cell r="G292">
            <v>148.07</v>
          </cell>
          <cell r="H292" t="str">
            <v>-</v>
          </cell>
        </row>
        <row r="293">
          <cell r="A293">
            <v>101616</v>
          </cell>
          <cell r="B293" t="str">
            <v>SINAPI</v>
          </cell>
          <cell r="C293" t="str">
            <v>94097
94098</v>
          </cell>
          <cell r="D293" t="str">
            <v>Preparo de fundo de vala com largura menor que 1,50 m (acerto do solo natural). AF_08/2020</v>
          </cell>
          <cell r="E293" t="str">
            <v>SOLO NATURAL</v>
          </cell>
          <cell r="F293" t="str">
            <v>M2</v>
          </cell>
          <cell r="G293">
            <v>4.93</v>
          </cell>
          <cell r="H293" t="str">
            <v>-</v>
          </cell>
        </row>
        <row r="294">
          <cell r="A294">
            <v>101617</v>
          </cell>
          <cell r="B294" t="str">
            <v>SINAPI</v>
          </cell>
          <cell r="C294" t="str">
            <v>94099
94100</v>
          </cell>
          <cell r="D294" t="str">
            <v>Preparo de fundo de vala com largura maior ou igual a 1,50 m e menor que 2,50 m (acerto do solo natural). AF_08/2020</v>
          </cell>
          <cell r="E294"/>
          <cell r="F294" t="str">
            <v>M2</v>
          </cell>
          <cell r="G294">
            <v>2.4300000000000002</v>
          </cell>
          <cell r="H294" t="str">
            <v>-</v>
          </cell>
        </row>
        <row r="295">
          <cell r="A295">
            <v>101619</v>
          </cell>
          <cell r="B295" t="str">
            <v>SINAPI</v>
          </cell>
          <cell r="C295" t="str">
            <v>94099
94105</v>
          </cell>
          <cell r="D295" t="str">
            <v>Preparo de fundo de vala com largura menor que 1,50 m, com camada de brita, lançamento manual. AF_08/2020</v>
          </cell>
          <cell r="E295" t="str">
            <v>BRITA</v>
          </cell>
          <cell r="F295" t="str">
            <v>M3</v>
          </cell>
          <cell r="G295">
            <v>243.41</v>
          </cell>
          <cell r="H295" t="str">
            <v>-</v>
          </cell>
        </row>
        <row r="296">
          <cell r="A296">
            <v>101621</v>
          </cell>
          <cell r="B296" t="str">
            <v>SINAPI</v>
          </cell>
          <cell r="C296">
            <v>94107</v>
          </cell>
          <cell r="D296" t="str">
            <v>Preparo de fundo de vala com largura maior ou igual a 1,50 m e menor que 2,50 m, com camada de brita, lançamento manual. AF_08/2020</v>
          </cell>
          <cell r="E296"/>
          <cell r="F296" t="str">
            <v>M3</v>
          </cell>
          <cell r="G296">
            <v>223.36</v>
          </cell>
          <cell r="H296" t="str">
            <v>-</v>
          </cell>
        </row>
        <row r="297">
          <cell r="A297">
            <v>101623</v>
          </cell>
          <cell r="B297" t="str">
            <v>SINAPI</v>
          </cell>
          <cell r="C297" t="str">
            <v>94103
94114</v>
          </cell>
          <cell r="D297" t="str">
            <v>Preparo de fundo de vala com largura menor que 1,50 m, com camada de brita, lançamento mecanizado. AF_08/2020</v>
          </cell>
          <cell r="E297"/>
          <cell r="F297" t="str">
            <v>M3</v>
          </cell>
          <cell r="G297">
            <v>222.02</v>
          </cell>
          <cell r="H297" t="str">
            <v>-</v>
          </cell>
        </row>
        <row r="298">
          <cell r="A298">
            <v>101624</v>
          </cell>
          <cell r="B298" t="str">
            <v>SINAPI</v>
          </cell>
          <cell r="C298">
            <v>94116</v>
          </cell>
          <cell r="D298" t="str">
            <v>Preparo de fundo de vala com largura maior ou igual a 1,50 m e menor que 2,50 m, com camada de brita, lançamento mecanizado. AF_08/2020</v>
          </cell>
          <cell r="E298"/>
          <cell r="F298" t="str">
            <v>M3</v>
          </cell>
          <cell r="G298">
            <v>183.87</v>
          </cell>
          <cell r="H298" t="str">
            <v>-</v>
          </cell>
        </row>
        <row r="299">
          <cell r="A299">
            <v>101618</v>
          </cell>
          <cell r="B299" t="str">
            <v>SINAPI</v>
          </cell>
          <cell r="C299">
            <v>94104</v>
          </cell>
          <cell r="D299" t="str">
            <v>Preparo de fundo de vala com largura menor que 1,50 m, com camada de areia, lançamento manual. AF_08/2020</v>
          </cell>
          <cell r="E299" t="str">
            <v>AREIA</v>
          </cell>
          <cell r="F299" t="str">
            <v>M3</v>
          </cell>
          <cell r="G299">
            <v>197.21</v>
          </cell>
          <cell r="H299" t="str">
            <v>-</v>
          </cell>
        </row>
        <row r="300">
          <cell r="A300">
            <v>101620</v>
          </cell>
          <cell r="B300" t="str">
            <v>SINAPI</v>
          </cell>
          <cell r="C300">
            <v>94106</v>
          </cell>
          <cell r="D300" t="str">
            <v>Preparo de fundo de vala com largura maior ou igual a 1,50 m e menor que 2,50 m, com camada de areia, lançamento manual. AF_08/2020</v>
          </cell>
          <cell r="E300"/>
          <cell r="F300" t="str">
            <v>M3</v>
          </cell>
          <cell r="G300">
            <v>177.17</v>
          </cell>
          <cell r="H300" t="str">
            <v>-</v>
          </cell>
        </row>
        <row r="301">
          <cell r="A301">
            <v>101622</v>
          </cell>
          <cell r="B301" t="str">
            <v>SINAPI</v>
          </cell>
          <cell r="C301" t="str">
            <v>94111
94113</v>
          </cell>
          <cell r="D301" t="str">
            <v>Preparo de fundo de vala com largura menor que 1,50 m, com camada de areia, lançamento mecanizado. AF_08/2020</v>
          </cell>
          <cell r="E301"/>
          <cell r="F301" t="str">
            <v>M3</v>
          </cell>
          <cell r="G301">
            <v>179.85</v>
          </cell>
          <cell r="H301" t="str">
            <v>-</v>
          </cell>
        </row>
        <row r="302">
          <cell r="A302">
            <v>101625</v>
          </cell>
          <cell r="B302" t="str">
            <v>SINAPI</v>
          </cell>
          <cell r="C302" t="str">
            <v>94106
94115</v>
          </cell>
          <cell r="D302" t="str">
            <v>Preparo de fundo de vala com largura maior ou igual a 1,50 m e menor que 2,50 m, com camada de areia, lançamento mecanizado. AF_08/2020</v>
          </cell>
          <cell r="E302"/>
          <cell r="F302" t="str">
            <v>M3</v>
          </cell>
          <cell r="G302">
            <v>146.52000000000001</v>
          </cell>
          <cell r="H302" t="str">
            <v>-</v>
          </cell>
        </row>
        <row r="303">
          <cell r="A303">
            <v>96616</v>
          </cell>
          <cell r="B303" t="str">
            <v>SINAPI</v>
          </cell>
          <cell r="C303">
            <v>94106</v>
          </cell>
          <cell r="D303" t="str">
            <v>Lastro de concreto magro, aplicado em blocos de coroamento ou sapatas. AF_08/2017</v>
          </cell>
          <cell r="E303"/>
          <cell r="F303" t="str">
            <v>M3</v>
          </cell>
          <cell r="G303">
            <v>579.01</v>
          </cell>
          <cell r="H303" t="str">
            <v>-</v>
          </cell>
        </row>
        <row r="304">
          <cell r="A304">
            <v>96620</v>
          </cell>
          <cell r="B304" t="str">
            <v>SINAPI</v>
          </cell>
          <cell r="C304"/>
          <cell r="D304" t="str">
            <v>Lastro de concreto magro, aplicado em pisos ou radiers. AF_08/2017</v>
          </cell>
          <cell r="E304"/>
          <cell r="F304" t="str">
            <v>M3</v>
          </cell>
          <cell r="G304">
            <v>559.03</v>
          </cell>
          <cell r="H304" t="str">
            <v>-</v>
          </cell>
        </row>
        <row r="305">
          <cell r="A305" t="str">
            <v>DR/0032</v>
          </cell>
          <cell r="B305" t="str">
            <v>COMPOSIÇÃO</v>
          </cell>
          <cell r="C305">
            <v>73697</v>
          </cell>
          <cell r="D305" t="str">
            <v>Lastro ou enrocamento de pedra-de-mão ou rachão lançado, fornecimento e apiloamento. Exclusive transporte, ref SINAPI 73697, data 01/2020 e SINAPI 92744.</v>
          </cell>
          <cell r="E305"/>
          <cell r="F305" t="str">
            <v>M3</v>
          </cell>
          <cell r="G305">
            <v>237.76</v>
          </cell>
          <cell r="H305" t="str">
            <v>-</v>
          </cell>
        </row>
        <row r="306">
          <cell r="A306" t="str">
            <v>DR/0033</v>
          </cell>
          <cell r="B306" t="str">
            <v>COMPOSIÇÃO</v>
          </cell>
          <cell r="C306">
            <v>73698</v>
          </cell>
          <cell r="D306" t="str">
            <v>Enrocamento arrumado de pedra-de-mão ou rachão, fornecimento e apiloamento. Exclusive transporte, ref SINAPI 73698, data 01/2020 e SINAPI 92754.</v>
          </cell>
          <cell r="E306"/>
          <cell r="F306" t="str">
            <v>M3</v>
          </cell>
          <cell r="G306">
            <v>322.10000000000002</v>
          </cell>
          <cell r="H306" t="str">
            <v>-</v>
          </cell>
        </row>
        <row r="307">
          <cell r="A307">
            <v>368</v>
          </cell>
          <cell r="B307" t="str">
            <v>COTAÇÃO - SINAPI</v>
          </cell>
          <cell r="C307"/>
          <cell r="D307" t="str">
            <v>Areia para aterro - posto jazida/fornecedor (retirado na jazida, sem transporte)</v>
          </cell>
          <cell r="E307"/>
          <cell r="F307" t="str">
            <v xml:space="preserve">M3    </v>
          </cell>
          <cell r="G307">
            <v>45</v>
          </cell>
          <cell r="H307" t="str">
            <v>-</v>
          </cell>
        </row>
        <row r="308">
          <cell r="A308">
            <v>370</v>
          </cell>
          <cell r="B308" t="str">
            <v>COTAÇÃO - SINAPI</v>
          </cell>
          <cell r="C308"/>
          <cell r="D308" t="str">
            <v>Areia media - posto jazida/fornecedor (retirado na jazida, sem transporte)</v>
          </cell>
          <cell r="E308"/>
          <cell r="F308" t="str">
            <v xml:space="preserve">M3    </v>
          </cell>
          <cell r="G308">
            <v>90</v>
          </cell>
          <cell r="H308" t="str">
            <v>-</v>
          </cell>
        </row>
        <row r="309">
          <cell r="A309">
            <v>6079</v>
          </cell>
          <cell r="B309" t="str">
            <v>COTAÇÃO - SINAPI</v>
          </cell>
          <cell r="C309"/>
          <cell r="D309" t="str">
            <v>Argila, argila vermelha ou argila arenosa (retirada na jazida, sem transporte)</v>
          </cell>
          <cell r="E309"/>
          <cell r="F309" t="str">
            <v xml:space="preserve">M3    </v>
          </cell>
          <cell r="G309">
            <v>33.700000000000003</v>
          </cell>
          <cell r="H309" t="str">
            <v>-</v>
          </cell>
        </row>
        <row r="310">
          <cell r="A310">
            <v>94342</v>
          </cell>
          <cell r="B310" t="str">
            <v>SINAPI</v>
          </cell>
          <cell r="C310"/>
          <cell r="D310" t="str">
            <v>Aterro manual de valas com areia para aterro e compactação mecanizada (adensamento hidráulico e inclusive aquisição). AF_05/2016</v>
          </cell>
          <cell r="E310"/>
          <cell r="F310" t="str">
            <v>M3</v>
          </cell>
          <cell r="G310">
            <v>83.72</v>
          </cell>
          <cell r="H310" t="str">
            <v>-</v>
          </cell>
        </row>
        <row r="311">
          <cell r="A311">
            <v>93382</v>
          </cell>
          <cell r="B311" t="str">
            <v>SINAPI</v>
          </cell>
          <cell r="C311"/>
          <cell r="D311" t="str">
            <v>Reaterro manual de valas com compactação mecanizada. AF_04/2016</v>
          </cell>
          <cell r="E311"/>
          <cell r="F311" t="str">
            <v>M3</v>
          </cell>
          <cell r="G311">
            <v>27.47</v>
          </cell>
          <cell r="H311" t="str">
            <v>-</v>
          </cell>
        </row>
        <row r="312">
          <cell r="A312">
            <v>93378</v>
          </cell>
          <cell r="B312" t="str">
            <v>SINAPI</v>
          </cell>
          <cell r="C312"/>
          <cell r="D312" t="str">
    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    </cell>
          <cell r="E312" t="str">
            <v>H &lt; 1,50
baixa Interferência</v>
          </cell>
          <cell r="F312" t="str">
            <v>M3</v>
          </cell>
          <cell r="G312">
            <v>21.8</v>
          </cell>
          <cell r="H312" t="str">
            <v>-</v>
          </cell>
        </row>
        <row r="313">
          <cell r="A313">
            <v>93379</v>
          </cell>
          <cell r="B313" t="str">
            <v>SINAPI</v>
          </cell>
          <cell r="C313"/>
          <cell r="D313" t="str">
    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    </cell>
          <cell r="E313"/>
          <cell r="F313" t="str">
            <v>M3</v>
          </cell>
          <cell r="G313">
            <v>16.84</v>
          </cell>
          <cell r="H313" t="str">
            <v>-</v>
          </cell>
        </row>
        <row r="314">
          <cell r="A314">
            <v>93367</v>
          </cell>
          <cell r="B314" t="str">
            <v>SINAPI</v>
          </cell>
          <cell r="C314"/>
          <cell r="D314" t="str">
    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    </cell>
          <cell r="E314"/>
          <cell r="F314" t="str">
            <v>M3</v>
          </cell>
          <cell r="G314">
            <v>18.899999999999999</v>
          </cell>
          <cell r="H314" t="str">
            <v>-</v>
          </cell>
        </row>
        <row r="315">
          <cell r="A315">
            <v>93380</v>
          </cell>
          <cell r="B315" t="str">
            <v>SINAPI</v>
          </cell>
          <cell r="C315"/>
          <cell r="D315" t="str">
    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    </cell>
          <cell r="E315" t="str">
            <v>1,51 &lt; H &lt; 3,00
baixa Interferência</v>
          </cell>
          <cell r="F315" t="str">
            <v>M3</v>
          </cell>
          <cell r="G315">
            <v>13.84</v>
          </cell>
          <cell r="H315" t="str">
            <v>-</v>
          </cell>
        </row>
        <row r="316">
          <cell r="A316">
            <v>93381</v>
          </cell>
          <cell r="B316" t="str">
            <v>SINAPI</v>
          </cell>
          <cell r="C316"/>
          <cell r="D316" t="str">
    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    </cell>
          <cell r="E316"/>
          <cell r="F316" t="str">
            <v>M3</v>
          </cell>
          <cell r="G316">
            <v>9.2799999999999994</v>
          </cell>
          <cell r="H316" t="str">
            <v>-</v>
          </cell>
        </row>
        <row r="317">
          <cell r="A317">
            <v>93369</v>
          </cell>
          <cell r="B317" t="str">
            <v>SINAPI</v>
          </cell>
          <cell r="C317"/>
          <cell r="D317" t="str">
    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    </cell>
          <cell r="E317"/>
          <cell r="F317" t="str">
            <v>M3</v>
          </cell>
          <cell r="G317">
            <v>10.95</v>
          </cell>
          <cell r="H317" t="str">
            <v>-</v>
          </cell>
        </row>
        <row r="318">
          <cell r="A318">
            <v>93370</v>
          </cell>
          <cell r="B318" t="str">
            <v>SINAPI</v>
          </cell>
          <cell r="C318"/>
          <cell r="D318" t="str">
            <v>Reaterro mecanizado de vala com escavadeira hidráulica (capacidade da caçamba: 0,80 m3 / potência: 111 HP), largura até 1,50 m, profundidade de 3,00 a 4,50 m com solo (sem substituição) de 1a categoria em locais com baixo nível de interferência. AF_04/2016</v>
          </cell>
          <cell r="E318" t="str">
            <v>3,01 &lt; H &lt; 4,50
baixa Interferência</v>
          </cell>
          <cell r="F318" t="str">
            <v>M3</v>
          </cell>
          <cell r="G318">
            <v>11.97</v>
          </cell>
          <cell r="H318" t="str">
            <v>-</v>
          </cell>
        </row>
        <row r="319">
          <cell r="A319">
            <v>93371</v>
          </cell>
          <cell r="B319" t="str">
            <v>SINAPI</v>
          </cell>
          <cell r="C319"/>
          <cell r="D319" t="str">
            <v>Reaterro mecanizado de vala com escavadeira hidráulica (capacidade da caçamba: 0,80 m3 / potência: 111 HP), largura de 1,50 a 2,50 m, profundidade de 3,00  a 4,50 m, com solo (sem substituição) de 1a categoria em locais com baixo nível de interferência. AF_04/2016</v>
          </cell>
          <cell r="E319"/>
          <cell r="F319" t="str">
            <v>M3</v>
          </cell>
          <cell r="G319">
            <v>9.2200000000000006</v>
          </cell>
          <cell r="H319" t="str">
            <v>-</v>
          </cell>
        </row>
        <row r="320">
          <cell r="A320">
            <v>93372</v>
          </cell>
          <cell r="B320" t="str">
            <v>SINAPI</v>
          </cell>
          <cell r="C320"/>
          <cell r="D320" t="str">
    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    </cell>
          <cell r="E320" t="str">
            <v>H &gt; 4,51
baixa Interferência</v>
          </cell>
          <cell r="F320" t="str">
            <v>M3</v>
          </cell>
          <cell r="G320">
            <v>10.48</v>
          </cell>
          <cell r="H320" t="str">
            <v>-</v>
          </cell>
        </row>
        <row r="321">
          <cell r="A321">
            <v>93373</v>
          </cell>
          <cell r="B321" t="str">
            <v>SINAPI</v>
          </cell>
          <cell r="C321"/>
          <cell r="D321" t="str">
    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    </cell>
          <cell r="E321"/>
          <cell r="F321" t="str">
            <v>M3</v>
          </cell>
          <cell r="G321">
            <v>8.3699999999999992</v>
          </cell>
          <cell r="H321" t="str">
            <v>-</v>
          </cell>
        </row>
        <row r="322">
          <cell r="A322">
            <v>93374</v>
          </cell>
          <cell r="B322" t="str">
            <v>SINAPI</v>
          </cell>
          <cell r="C322"/>
          <cell r="D322" t="str">
            <v>Reaterro mecanizado de vala com retroescavadeira (capacidade da caçamba da retro: 0,26 m3 / potência: 88 HP), largura até 0,80 m, profundidade até 1,50 m, com solo (sem substituição) de 1a categoria em locais com alto nível de interferência. AF_04/2016</v>
          </cell>
          <cell r="E322" t="str">
            <v>H &lt; 1,50
alta Interferência</v>
          </cell>
          <cell r="F322" t="str">
            <v>M3</v>
          </cell>
          <cell r="G322">
            <v>23.3</v>
          </cell>
          <cell r="H322" t="str">
            <v>-</v>
          </cell>
        </row>
        <row r="323">
          <cell r="A323">
            <v>93375</v>
          </cell>
          <cell r="B323" t="str">
            <v>SINAPI</v>
          </cell>
          <cell r="C323"/>
          <cell r="D323" t="str">
            <v>Reaterro mecanizado de vala com retroescavadeira (capacidade da caçamba da retro: 0,26 m3 / potência: 88 HP), largura de 0,80 a 1,50 m, profundidade até 1,50 m, com solo (sem substituição) de 1a categoria em locais com alto nível de interferência. AF_04/2016</v>
          </cell>
          <cell r="E323"/>
          <cell r="F323" t="str">
            <v>M3</v>
          </cell>
          <cell r="G323">
            <v>17.98</v>
          </cell>
          <cell r="H323" t="str">
            <v>-</v>
          </cell>
        </row>
        <row r="324">
          <cell r="A324">
            <v>93360</v>
          </cell>
          <cell r="B324" t="str">
            <v>SINAPI</v>
          </cell>
          <cell r="C324"/>
          <cell r="D324" t="str">
            <v>Reaterro mecanizado de vala com escavadeira hidráulica (capacidade da caçamba: 0,80 m3 / potência: 111 HP), largura de 1,50 a 2,50 m, profundidade até 1,50 m, com solo (sem substituição) de 1a categoria em locais com alto nível de interferência. AF_04/2016</v>
          </cell>
          <cell r="E324"/>
          <cell r="F324" t="str">
            <v>M3</v>
          </cell>
          <cell r="G324">
            <v>20.23</v>
          </cell>
          <cell r="H324" t="str">
            <v>-</v>
          </cell>
        </row>
        <row r="325">
          <cell r="A325">
            <v>93376</v>
          </cell>
          <cell r="B325" t="str">
            <v>SINAPI</v>
          </cell>
          <cell r="C325"/>
          <cell r="D325" t="str">
            <v>Reaterro mecanizado de vala com retroescavadeira (capacidade da caçamba da retro: 0,26 m3 / potência: 88 HP), largura até 0,80 m, profundidade de 1,50 a 3,00 m, com solo (sem substituição) de 1a categoria em locais com alto nível de interferência. AF_04/2016</v>
          </cell>
          <cell r="E325" t="str">
            <v>1,51 &lt; H &lt; 3,00
alta Interferência</v>
          </cell>
          <cell r="F325" t="str">
            <v>M3</v>
          </cell>
          <cell r="G325">
            <v>14.73</v>
          </cell>
          <cell r="H325" t="str">
            <v>-</v>
          </cell>
        </row>
        <row r="326">
          <cell r="A326">
            <v>93377</v>
          </cell>
          <cell r="B326" t="str">
            <v>SINAPI</v>
          </cell>
          <cell r="C326"/>
          <cell r="D326" t="str">
            <v>Reaterro mecanizado de vala com retroescavadeira (capacidade da caçamba da retro: 0,26 m3 / potência: 88 HP), largura de 0,80 a 1,50 m, profundidade de 1,50 a 3,00 m, com solo (sem substituição) de 1a categoria em locais com alto nível de interferência. AF_04/2016</v>
          </cell>
          <cell r="E326"/>
          <cell r="F326" t="str">
            <v>M3</v>
          </cell>
          <cell r="G326">
            <v>9.9</v>
          </cell>
          <cell r="H326" t="str">
            <v>-</v>
          </cell>
        </row>
        <row r="327">
          <cell r="A327">
            <v>93362</v>
          </cell>
          <cell r="B327" t="str">
            <v>SINAPI</v>
          </cell>
          <cell r="C327"/>
          <cell r="D327" t="str">
            <v>Reaterro mecanizado de vala com escavadeira hidráulica (capacidade da caçamba: 0,80 m3 / potência: 111 HP), largura de 1,50 a 2,50 m, profundidade de 1,50 a 3,00 m, com solo (sem substituição) de 1a categoria em locais com alto nível de interferência. AF_04/2016</v>
          </cell>
          <cell r="E327"/>
          <cell r="F327" t="str">
            <v>M3</v>
          </cell>
          <cell r="G327">
            <v>12.27</v>
          </cell>
          <cell r="H327" t="str">
            <v>-</v>
          </cell>
        </row>
        <row r="328">
          <cell r="A328">
            <v>93363</v>
          </cell>
          <cell r="B328" t="str">
            <v>SINAPI</v>
          </cell>
          <cell r="C328"/>
          <cell r="D328" t="str">
            <v>Reaterro mecanizado de vala com escavadeira hidráulica (capacidade da caçamba: 0,80 m3 / potência: 111 HP), largura até 1,50 m, profundidade de 3,00 a 4,50 m com solo (sem substituição) de 1a categoria em locais com alto nível de interferência. AF_04/2016</v>
          </cell>
          <cell r="E328" t="str">
            <v>3,01 &lt; H &lt; 4,50
alta Interferência</v>
          </cell>
          <cell r="F328" t="str">
            <v>M3</v>
          </cell>
          <cell r="G328">
            <v>13.28</v>
          </cell>
          <cell r="H328" t="str">
            <v>-</v>
          </cell>
        </row>
        <row r="329">
          <cell r="A329">
            <v>93364</v>
          </cell>
          <cell r="B329" t="str">
            <v>SINAPI</v>
          </cell>
          <cell r="C329"/>
          <cell r="D329" t="str">
            <v>Reaterro mecanizado de vala com escavadeira hidráulica (capacidade da caçamba: 0,80 m3 / potência: 111 HP), largura de 1,50 a 2,50 m, profundidade de 3,00  a 4,50 m, com solo (sem substituição) de 1a categoria em locais com alto nível de interferência. AF_04/2016</v>
          </cell>
          <cell r="E329"/>
          <cell r="F329" t="str">
            <v>M3</v>
          </cell>
          <cell r="G329">
            <v>10.52</v>
          </cell>
          <cell r="H329" t="str">
            <v>-</v>
          </cell>
        </row>
        <row r="330">
          <cell r="A330">
            <v>93365</v>
          </cell>
          <cell r="B330" t="str">
            <v>SINAPI</v>
          </cell>
          <cell r="C330"/>
          <cell r="D330" t="str">
            <v>Reaterro mecanizado de vala com escavadeira hidráulica (capacidade da caçamba: 0,80 m3 / potência: 111 HP), largura até 1,50 m, profundidade de 4,50 a 6,00 m, com solo (sem substituição) de 1a categoria em locais com alto nível de interferência. AF_04/2016</v>
          </cell>
          <cell r="E330" t="str">
            <v>H &gt; 4,51
alta Interferência</v>
          </cell>
          <cell r="F330" t="str">
            <v>M3</v>
          </cell>
          <cell r="G330">
            <v>11.71</v>
          </cell>
          <cell r="H330" t="str">
            <v>-</v>
          </cell>
        </row>
        <row r="331">
          <cell r="A331">
            <v>93366</v>
          </cell>
          <cell r="B331" t="str">
            <v>SINAPI</v>
          </cell>
          <cell r="C331"/>
          <cell r="D331" t="str">
            <v>Reaterro mecanizado de vala com escavadeira hidráulica (capacidade da caçamba: 0,80 m3 / potência: 111 HP), largura de 1,50 a 2,50 m, profundidade de 4,50 a 6,00 m, com solo (sem substituição) de 1a categoria em locais com alto nível de interferência. AF_04/2016</v>
          </cell>
          <cell r="E331"/>
          <cell r="F331" t="str">
            <v>M3</v>
          </cell>
          <cell r="G331">
            <v>9.67</v>
          </cell>
          <cell r="H331" t="str">
            <v>-</v>
          </cell>
        </row>
        <row r="332">
          <cell r="A332">
            <v>100574</v>
          </cell>
          <cell r="B332" t="str">
            <v>SINAPI</v>
          </cell>
          <cell r="C332"/>
          <cell r="D332" t="str">
            <v>Espalhamento de material com trator de esteiras. AF_11/2019</v>
          </cell>
          <cell r="E332"/>
          <cell r="F332" t="str">
            <v>M3</v>
          </cell>
          <cell r="G332">
            <v>1.17</v>
          </cell>
          <cell r="H332" t="str">
            <v>-</v>
          </cell>
        </row>
        <row r="333">
          <cell r="A333" t="str">
            <v>DR/0035</v>
          </cell>
          <cell r="B333" t="str">
            <v>COMPOSIÇÃO</v>
          </cell>
          <cell r="C333"/>
          <cell r="D333" t="str">
            <v>Bota-fora, carga, transporte e descarga, DMT até 10 km, volume geométrico. Exclusive espalhamento</v>
          </cell>
          <cell r="E333"/>
          <cell r="F333" t="str">
            <v>M3</v>
          </cell>
          <cell r="G333">
            <v>29.26</v>
          </cell>
          <cell r="H333" t="str">
            <v>-</v>
          </cell>
        </row>
        <row r="334">
          <cell r="A334" t="str">
            <v>DR/0036</v>
          </cell>
          <cell r="B334" t="str">
            <v>COMPOSIÇÃO</v>
          </cell>
          <cell r="C334"/>
          <cell r="D334" t="str">
            <v>Filtro vertical de areia grossa, com profundidade até 1,50 m e largura de 0,80 m  a 1,50 m, lançamento mecânico, inclusive fornecimento. Exclusive transporte, ref SINAPI 93379, data 06/2021 e SINAPI 94339.</v>
          </cell>
          <cell r="E334"/>
          <cell r="F334" t="str">
            <v>M3</v>
          </cell>
          <cell r="G334">
            <v>108.82</v>
          </cell>
          <cell r="H334" t="str">
            <v>-</v>
          </cell>
        </row>
        <row r="335">
          <cell r="A335" t="str">
            <v>DR/0037</v>
          </cell>
          <cell r="B335" t="str">
            <v>COMPOSIÇÃO</v>
          </cell>
          <cell r="C335"/>
          <cell r="D335" t="str">
            <v>Filtro horizontal de areia grossa com espalhamento mecânico, inclusive fornecimento. Exclusive transporte (Refer. SICRO CÓD. 2003844, DB 01/21 e SINAPI 94339 DB 06-21)</v>
          </cell>
          <cell r="E335"/>
          <cell r="F335" t="str">
            <v>M3</v>
          </cell>
          <cell r="G335">
            <v>103.08</v>
          </cell>
          <cell r="H335" t="str">
            <v>-</v>
          </cell>
        </row>
        <row r="336">
          <cell r="A336" t="str">
            <v>DR/0038</v>
          </cell>
          <cell r="B336" t="str">
            <v>COMPOSIÇÃO</v>
          </cell>
          <cell r="C336"/>
          <cell r="D336" t="str">
            <v>Filtro horizontal de brita com espalhamento mecânico, inclusive fornecimento. Exclusive transporte (Refer. SICRO CÓD. 0903845, DB 01/21)</v>
          </cell>
          <cell r="E336"/>
          <cell r="F336" t="str">
            <v>M3</v>
          </cell>
          <cell r="G336">
            <v>103.76</v>
          </cell>
          <cell r="H336" t="str">
            <v>-</v>
          </cell>
        </row>
        <row r="337">
          <cell r="A337" t="str">
            <v>DR/0040</v>
          </cell>
          <cell r="B337" t="str">
            <v>COMPOSIÇÃO</v>
          </cell>
          <cell r="C337"/>
          <cell r="D337" t="str">
            <v>Arrancamento e remoção de canalização, Ø ≤ 60 cm. Exclusive bota-fora</v>
          </cell>
          <cell r="E337"/>
          <cell r="F337" t="str">
            <v>M</v>
          </cell>
          <cell r="G337">
            <v>67.84</v>
          </cell>
          <cell r="H337" t="str">
            <v>-</v>
          </cell>
        </row>
        <row r="338">
          <cell r="A338" t="str">
            <v>DR/0045</v>
          </cell>
          <cell r="B338" t="str">
            <v>COMPOSIÇÃO</v>
          </cell>
          <cell r="C338"/>
          <cell r="D338" t="str">
            <v>Arrancamento e remoção de canalização, Ø &gt; 60 cm. Exclusive bota-fora</v>
          </cell>
          <cell r="E338"/>
          <cell r="F338" t="str">
            <v>M</v>
          </cell>
          <cell r="G338">
            <v>115.94</v>
          </cell>
          <cell r="H338" t="str">
            <v>-</v>
          </cell>
        </row>
        <row r="339">
          <cell r="A339" t="str">
            <v>DR/0050</v>
          </cell>
          <cell r="B339" t="str">
            <v>COMPOSIÇÃO</v>
          </cell>
          <cell r="C339"/>
          <cell r="D339" t="str">
            <v>Esgotamento de água com bomba submersa (REF. SICRO COD. 2003864)</v>
          </cell>
          <cell r="E339"/>
          <cell r="F339" t="str">
            <v>H</v>
          </cell>
          <cell r="G339">
            <v>21.96</v>
          </cell>
          <cell r="H339" t="str">
            <v>-</v>
          </cell>
        </row>
        <row r="340">
          <cell r="A340"/>
          <cell r="B340"/>
          <cell r="C340"/>
          <cell r="D340"/>
          <cell r="E340"/>
          <cell r="F340"/>
          <cell r="G340"/>
          <cell r="H340"/>
        </row>
        <row r="341">
          <cell r="A341"/>
          <cell r="B341"/>
          <cell r="C341" t="str">
            <v>6.0</v>
          </cell>
          <cell r="D341" t="str">
            <v>MICRO E MACRODRENAGEM - DISPOSITIVOS AUXILIARES</v>
          </cell>
          <cell r="E341"/>
          <cell r="F341"/>
          <cell r="G341"/>
          <cell r="H341" t="str">
            <v/>
          </cell>
        </row>
        <row r="342">
          <cell r="A342">
            <v>92210</v>
          </cell>
          <cell r="B342" t="str">
            <v>SINAPI</v>
          </cell>
          <cell r="C342"/>
          <cell r="D342" t="str">
            <v>Aquisição de tubo de concreto para redes coletoras de águas pluviais, diâmetro nominal de 0,40 m, junta rígida em argamassa 1:3 cimento:areia, instalado em local com baixo nível de interferências - fornecimento e assentamento. AF_12/2015</v>
          </cell>
          <cell r="E342" t="str">
            <v>TUBO DE CONCRETO
baixa Interferência</v>
          </cell>
          <cell r="F342" t="str">
            <v>M</v>
          </cell>
          <cell r="G342">
            <v>179.65</v>
          </cell>
          <cell r="H342" t="str">
            <v>-</v>
          </cell>
        </row>
        <row r="343">
          <cell r="A343">
            <v>92212</v>
          </cell>
          <cell r="B343" t="str">
            <v>SINAPI</v>
          </cell>
          <cell r="C343"/>
          <cell r="D343" t="str">
            <v>Aquisição de tubo de concreto para redes coletoras de águas pluviais, diâmetro nominal de 0,60 m, junta rígida em argamassa 1:3 cimento:areia, instalado em local com baixo nível de interferências - fornecimento e assentamento. AF_12/2015</v>
          </cell>
          <cell r="E343"/>
          <cell r="F343" t="str">
            <v>M</v>
          </cell>
          <cell r="G343">
            <v>324.37</v>
          </cell>
          <cell r="H343" t="str">
            <v>-</v>
          </cell>
        </row>
        <row r="344">
          <cell r="A344">
            <v>92214</v>
          </cell>
          <cell r="B344" t="str">
            <v>SINAPI</v>
          </cell>
          <cell r="C344"/>
          <cell r="D344" t="str">
            <v>Aquisição de tubo de concreto para redes coletoras de águas pluviais, diâmetro nominal de 0,80 m, junta rígida em argamassa 1:3 cimento:areia, instalado em local com baixo nível de interferências - fornecimento e assentamento. Af_12/2015</v>
          </cell>
          <cell r="E344"/>
          <cell r="F344" t="str">
            <v>M</v>
          </cell>
          <cell r="G344">
            <v>517.57000000000005</v>
          </cell>
          <cell r="H344" t="str">
            <v>-</v>
          </cell>
        </row>
        <row r="345">
          <cell r="A345">
            <v>92216</v>
          </cell>
          <cell r="B345" t="str">
            <v>SINAPI</v>
          </cell>
          <cell r="C345"/>
          <cell r="D345" t="str">
            <v>Aquisição de tubo de concreto para redes coletoras de águas pluviais, diâmetro nominal de 1,00 m, junta rígida em argamassa 1:3 cimento:areia, instalado em local com baixo nível de interferências - fornecimento e assentamento. AF_12/2015</v>
          </cell>
          <cell r="E345"/>
          <cell r="F345" t="str">
            <v>M</v>
          </cell>
          <cell r="G345">
            <v>620.16999999999996</v>
          </cell>
          <cell r="H345" t="str">
            <v>-</v>
          </cell>
        </row>
        <row r="346">
          <cell r="A346">
            <v>92219</v>
          </cell>
          <cell r="B346" t="str">
            <v>SINAPI</v>
          </cell>
          <cell r="C346"/>
          <cell r="D346" t="str">
            <v>Aquisição de tubo de concreto para redes coletoras de águas pluviais, diâmetro nominal de 0,40 m, junta rígida em argamassa 1:3 cimento:areia, instalado em local com alto nível de interferências - fornecimento e assentamento. AF_12/2015</v>
          </cell>
          <cell r="E346" t="str">
            <v>TUBO DE CONCRETO
alta Interferência</v>
          </cell>
          <cell r="F346" t="str">
            <v>M</v>
          </cell>
          <cell r="G346">
            <v>188.89</v>
          </cell>
          <cell r="H346" t="str">
            <v>-</v>
          </cell>
        </row>
        <row r="347">
          <cell r="A347">
            <v>92221</v>
          </cell>
          <cell r="B347" t="str">
            <v>SINAPI</v>
          </cell>
          <cell r="C347"/>
          <cell r="D347" t="str">
            <v>Aquisição de tubo de concreto para redes coletoras de águas pluviais, diâmetro nominal de 0,60 m, junta rígida em argamassa 1:3 cimento:areia, instalado em local com alto nível de interferências - fornecimento e assentamento. AF_12/2015</v>
          </cell>
          <cell r="E347"/>
          <cell r="F347" t="str">
            <v>M</v>
          </cell>
          <cell r="G347">
            <v>337.78</v>
          </cell>
          <cell r="H347" t="str">
            <v>-</v>
          </cell>
        </row>
        <row r="348">
          <cell r="A348">
            <v>92223</v>
          </cell>
          <cell r="B348" t="str">
            <v>SINAPI</v>
          </cell>
          <cell r="C348"/>
          <cell r="D348" t="str">
            <v>Aquisição de tubo de concreto para redes coletoras de águas pluviais, diâmetro nominal de 0,80 m, junta rígida em argamassa 1:3 cimento:areia, instalado em local com alto nível de interferências - fornecimento e assentamento. AF_12/2015</v>
          </cell>
          <cell r="E348"/>
          <cell r="F348" t="str">
            <v>M</v>
          </cell>
          <cell r="G348">
            <v>535.01</v>
          </cell>
          <cell r="H348" t="str">
            <v>-</v>
          </cell>
        </row>
        <row r="349">
          <cell r="A349">
            <v>92226</v>
          </cell>
          <cell r="B349" t="str">
            <v>SINAPI</v>
          </cell>
          <cell r="C349"/>
          <cell r="D349" t="str">
            <v>Aquisição de tubo de concreto para redes coletoras de águas pluviais, diâmetro nominal de 1,00 m, junta rígida em argamassa 1:3 cimento:areia, instalado em local com alto nível de interferências - fornecimento e assentamento. AF_12/2015</v>
          </cell>
          <cell r="E349"/>
          <cell r="F349" t="str">
            <v>M</v>
          </cell>
          <cell r="G349">
            <v>641.84</v>
          </cell>
          <cell r="H349" t="str">
            <v>-</v>
          </cell>
        </row>
        <row r="350">
          <cell r="A350">
            <v>7781</v>
          </cell>
          <cell r="B350" t="str">
            <v>SINAPI</v>
          </cell>
          <cell r="C350"/>
          <cell r="D350" t="str">
            <v>Aquisição de tubo de concreto simples para aguas pluviais, classe PS-1, com encaixe ponta e bolsa, diâmetro nominal de 0,40 m (180 kg/m) - Aquisição</v>
          </cell>
          <cell r="E350" t="str">
            <v>TUBO DE CONCRETO
PS-1</v>
          </cell>
          <cell r="F350" t="str">
            <v xml:space="preserve">M     </v>
          </cell>
          <cell r="G350">
            <v>70.900000000000006</v>
          </cell>
          <cell r="H350" t="str">
            <v>-</v>
          </cell>
        </row>
        <row r="351">
          <cell r="A351">
            <v>7791</v>
          </cell>
          <cell r="B351" t="str">
            <v>SINAPI</v>
          </cell>
          <cell r="C351"/>
          <cell r="D351" t="str">
            <v>Aquisição de tubo de concreto simples para aguas pluviais, classe PS-1, com encaixe ponta e bolsa, diâmetro nominal de 0,60 m (347 kg/m) - Aquisição</v>
          </cell>
          <cell r="E351"/>
          <cell r="F351" t="str">
            <v xml:space="preserve">M     </v>
          </cell>
          <cell r="G351">
            <v>126.32</v>
          </cell>
          <cell r="H351" t="str">
            <v>-</v>
          </cell>
        </row>
        <row r="352">
          <cell r="A352">
            <v>7785</v>
          </cell>
          <cell r="B352" t="str">
            <v>SINAPI</v>
          </cell>
          <cell r="C352"/>
          <cell r="D352" t="str">
            <v>Aquisição de tubo de concreto simples para aguas pluviais, classe PS-2, com encaixe ponta e bolsa, diâmetro nominal de 0,40 m - Aquisição</v>
          </cell>
          <cell r="E352" t="str">
            <v>TUBO DE CONCRETO
PS-2</v>
          </cell>
          <cell r="F352" t="str">
            <v xml:space="preserve">M     </v>
          </cell>
          <cell r="G352">
            <v>77.83</v>
          </cell>
          <cell r="H352" t="str">
            <v>-</v>
          </cell>
        </row>
        <row r="353">
          <cell r="A353">
            <v>7793</v>
          </cell>
          <cell r="B353" t="str">
            <v>SINAPI</v>
          </cell>
          <cell r="C353"/>
          <cell r="D353" t="str">
            <v>Aquisição de tubo de concreto simples para aguas pluviais, classe PS-2, com encaixe ponta e bolsa, diâmetro nominal de 0,60 m - Aquisição</v>
          </cell>
          <cell r="E353"/>
          <cell r="F353" t="str">
            <v xml:space="preserve">M     </v>
          </cell>
          <cell r="G353">
            <v>130.37</v>
          </cell>
          <cell r="H353" t="str">
            <v>-</v>
          </cell>
        </row>
        <row r="354">
          <cell r="A354">
            <v>7725</v>
          </cell>
          <cell r="B354" t="str">
            <v>SINAPI</v>
          </cell>
          <cell r="C354"/>
          <cell r="D354" t="str">
            <v>Aquisição de tubo de concreto armado para aguas pluviais, classe PA-1, com encaixe ponta e bolsa, diâmetro nominal de 0,60 m (360 kg/m) - Aquisição</v>
          </cell>
          <cell r="E354" t="str">
            <v>TUBO DE CONCRETO
PA-1</v>
          </cell>
          <cell r="F354" t="str">
            <v xml:space="preserve">M     </v>
          </cell>
          <cell r="G354">
            <v>247</v>
          </cell>
          <cell r="H354" t="str">
            <v>-</v>
          </cell>
        </row>
        <row r="355">
          <cell r="A355">
            <v>7750</v>
          </cell>
          <cell r="B355" t="str">
            <v>SINAPI</v>
          </cell>
          <cell r="C355"/>
          <cell r="D355" t="str">
            <v>Tubo de concreto armado para aguas pluviais, classe PA-1, com encaixe ponta e bolsa, diâmetro nominal de 0,80 m (533,00 kg/m) - Aquisição</v>
          </cell>
          <cell r="E355"/>
          <cell r="F355" t="str">
            <v xml:space="preserve">M     </v>
          </cell>
          <cell r="G355">
            <v>410.97</v>
          </cell>
          <cell r="H355" t="str">
            <v>-</v>
          </cell>
        </row>
        <row r="356">
          <cell r="A356">
            <v>7753</v>
          </cell>
          <cell r="B356" t="str">
            <v>SINAPI</v>
          </cell>
          <cell r="C356"/>
          <cell r="D356" t="str">
            <v>Tubo de concreto armado para aguas pluviais, classe PA-1, com encaixe ponta e bolsa, diâmetro nominal de 1,00 m (800,00 kg/m) - Aquisição</v>
          </cell>
          <cell r="E356"/>
          <cell r="F356" t="str">
            <v xml:space="preserve">M     </v>
          </cell>
          <cell r="G356">
            <v>481.54</v>
          </cell>
          <cell r="H356" t="str">
            <v>-</v>
          </cell>
        </row>
        <row r="357">
          <cell r="A357">
            <v>7757</v>
          </cell>
          <cell r="B357" t="str">
            <v>SINAPI</v>
          </cell>
          <cell r="C357"/>
          <cell r="D357" t="str">
            <v>Tubo de concreto armado para aguas pluviais, classe PA-1, com encaixe ponta e bolsa, diâmetro nominal de 1,20 m (1.133,00 kg/m) - Aquisição</v>
          </cell>
          <cell r="E357"/>
          <cell r="F357" t="str">
            <v xml:space="preserve">M     </v>
          </cell>
          <cell r="G357">
            <v>719.2</v>
          </cell>
          <cell r="H357" t="str">
            <v>-</v>
          </cell>
        </row>
        <row r="358">
          <cell r="A358">
            <v>7758</v>
          </cell>
          <cell r="B358" t="str">
            <v>SINAPI</v>
          </cell>
          <cell r="C358"/>
          <cell r="D358" t="str">
            <v>Tubo de concreto armado para aguas pluviais, classe PA-1, com encaixe ponta e bolsa, diâmetro nominal de 1,50 m (1.933,00 kg/m) - Aquisição</v>
          </cell>
          <cell r="E358"/>
          <cell r="F358" t="str">
            <v xml:space="preserve">M     </v>
          </cell>
          <cell r="G358">
            <v>1041.96</v>
          </cell>
          <cell r="H358" t="str">
            <v>-</v>
          </cell>
        </row>
        <row r="359">
          <cell r="A359">
            <v>7759</v>
          </cell>
          <cell r="B359" t="str">
            <v>SINAPI</v>
          </cell>
          <cell r="C359"/>
          <cell r="D359" t="str">
            <v>Tubo de concreto armado para aguas pluviais, classe PA-1, com encaixe ponta e bolsa, diâmetro nominal de 2,00 m - Aquisição</v>
          </cell>
          <cell r="E359"/>
          <cell r="F359" t="str">
            <v xml:space="preserve">M     </v>
          </cell>
          <cell r="G359">
            <v>2887.28</v>
          </cell>
          <cell r="H359" t="str">
            <v>-</v>
          </cell>
        </row>
        <row r="360">
          <cell r="A360">
            <v>7762</v>
          </cell>
          <cell r="B360" t="str">
            <v>SINAPI</v>
          </cell>
          <cell r="C360"/>
          <cell r="D360" t="str">
            <v>Tubo de concreto armado para aguas pluviais, classe PA-2, com encaixe ponta e bolsa, diâmetro nominal de 0,60 m (373,00 kg/m) - Aquisição</v>
          </cell>
          <cell r="E360" t="str">
            <v>TUBO DE CONCRETO
PA-2</v>
          </cell>
          <cell r="F360" t="str">
            <v xml:space="preserve">M     </v>
          </cell>
          <cell r="G360">
            <v>214.3</v>
          </cell>
          <cell r="H360" t="str">
            <v>-</v>
          </cell>
        </row>
        <row r="361">
          <cell r="A361">
            <v>7763</v>
          </cell>
          <cell r="B361" t="str">
            <v>SINAPI</v>
          </cell>
          <cell r="C361"/>
          <cell r="D361" t="str">
            <v>Tubo de concreto armado para aguas pluviais, classe PA-2, com encaixe ponta e bolsa, diâmetro nominal de 0,80 m (620,00 kg/m) - Aquisição</v>
          </cell>
          <cell r="E361"/>
          <cell r="F361" t="str">
            <v xml:space="preserve">M     </v>
          </cell>
          <cell r="G361">
            <v>399.55</v>
          </cell>
          <cell r="H361" t="str">
            <v>-</v>
          </cell>
        </row>
        <row r="362">
          <cell r="A362">
            <v>7765</v>
          </cell>
          <cell r="B362" t="str">
            <v>SINAPI</v>
          </cell>
          <cell r="C362"/>
          <cell r="D362" t="str">
            <v>Tubo de concreto armado para aguas pluviais, classe PA-2, com encaixe ponta e bolsa, diâmetro nominal de 1,00 m (900,00 kg/m) - Aquisição</v>
          </cell>
          <cell r="E362"/>
          <cell r="F362" t="str">
            <v xml:space="preserve">M     </v>
          </cell>
          <cell r="G362">
            <v>529.28</v>
          </cell>
          <cell r="H362" t="str">
            <v>-</v>
          </cell>
        </row>
        <row r="363">
          <cell r="A363">
            <v>7766</v>
          </cell>
          <cell r="B363" t="str">
            <v>SINAPI</v>
          </cell>
          <cell r="C363"/>
          <cell r="D363" t="str">
            <v>Tubo de concreto armado para aguas pluviais, classe PA-2, com encaixe ponta e bolsa, diâmetro nominal de 1,20 m (1.333,00 kg/m) - Aquisição</v>
          </cell>
          <cell r="E363"/>
          <cell r="F363" t="str">
            <v xml:space="preserve">M     </v>
          </cell>
          <cell r="G363">
            <v>776.28</v>
          </cell>
          <cell r="H363" t="str">
            <v>-</v>
          </cell>
        </row>
        <row r="364">
          <cell r="A364">
            <v>7767</v>
          </cell>
          <cell r="B364" t="str">
            <v>SINAPI</v>
          </cell>
          <cell r="C364"/>
          <cell r="D364" t="str">
            <v>Tubo de concreto armado para aguas pluviais, classe PA-2, com encaixe ponta e bolsa, diâmetro nominal de 1,50 m (2.253,00 kg/m) - Aquisição</v>
          </cell>
          <cell r="E364"/>
          <cell r="F364" t="str">
            <v xml:space="preserve">M     </v>
          </cell>
          <cell r="G364">
            <v>1114.6099999999999</v>
          </cell>
          <cell r="H364" t="str">
            <v>-</v>
          </cell>
        </row>
        <row r="365">
          <cell r="A365">
            <v>7767</v>
          </cell>
          <cell r="B365" t="str">
            <v>SINAPI</v>
          </cell>
          <cell r="C365"/>
          <cell r="D365" t="str">
            <v>Tubo de concreto armado para aguas pluviais, classe PA-2, com encaixe ponta e bolsa, diâmetro nominal de 2,00 m - Aquisição</v>
          </cell>
          <cell r="E365"/>
          <cell r="F365" t="str">
            <v xml:space="preserve">M     </v>
          </cell>
          <cell r="G365">
            <v>1114.6099999999999</v>
          </cell>
          <cell r="H365" t="str">
            <v>-</v>
          </cell>
        </row>
        <row r="366">
          <cell r="A366">
            <v>92809</v>
          </cell>
          <cell r="B366" t="str">
            <v>SINAPI</v>
          </cell>
          <cell r="C366">
            <v>4.4000000000000004</v>
          </cell>
          <cell r="D366" t="str">
            <v>Assentamento de tubo de concreto para redes coletoras de águas pluviais, diâmetro nominal de 0,40 m, junta rígida em argamassa 1:3 cimento:areia, instalado em local com baixo nível de interferências (não inclui fornecimento). AF_12/2015</v>
          </cell>
          <cell r="E366" t="str">
            <v>TUBO DE CONCRETO
baixa Interferência</v>
          </cell>
          <cell r="F366" t="str">
            <v>M</v>
          </cell>
          <cell r="G366">
            <v>48.18</v>
          </cell>
          <cell r="H366" t="str">
            <v>-</v>
          </cell>
        </row>
        <row r="367">
          <cell r="A367">
            <v>92811</v>
          </cell>
          <cell r="B367" t="str">
            <v>SINAPI</v>
          </cell>
          <cell r="C367">
            <v>3.1</v>
          </cell>
          <cell r="D367" t="str">
            <v>Assentamento de tubo de concreto para redes coletoras de águas pluviais, diâmetro nominal de 0,60 m, junta rígida em argamassa 1:3 cimento:areia, instalado em local com baixo nível de interferências (não inclui fornecimento). AF_12/2015</v>
          </cell>
          <cell r="E367"/>
          <cell r="F367" t="str">
            <v>M</v>
          </cell>
          <cell r="G367">
            <v>69.959999999999994</v>
          </cell>
          <cell r="H367" t="str">
            <v>-</v>
          </cell>
        </row>
        <row r="368">
          <cell r="A368">
            <v>92813</v>
          </cell>
          <cell r="B368" t="str">
            <v>SINAPI</v>
          </cell>
          <cell r="C368">
            <v>2.4</v>
          </cell>
          <cell r="D368" t="str">
            <v>Assentamento de tubo de concreto para redes coletoras de águas pluviais, diâmetro nominal de 0,80 m, junta rígida em argamassa 1:3 cimento:areia, instalado em local com baixo nível de interferências (não inclui fornecimento). AF_12/2015</v>
          </cell>
          <cell r="E368"/>
          <cell r="F368" t="str">
            <v>M</v>
          </cell>
          <cell r="G368">
            <v>94.28</v>
          </cell>
          <cell r="H368" t="str">
            <v>-</v>
          </cell>
        </row>
        <row r="369">
          <cell r="A369">
            <v>92815</v>
          </cell>
          <cell r="B369" t="str">
            <v>SINAPI</v>
          </cell>
          <cell r="C369">
            <v>1.9</v>
          </cell>
          <cell r="D369" t="str">
            <v>Assentamento de tubo de concreto para redes coletoras de águas pluviais, diâmetro nominal de 1,00 m, junta rígida em argamassa 1:3 cimento:areia, instalado em local com baixo nível de interferências (não inclui fornecimento). AF_12/2015</v>
          </cell>
          <cell r="E369"/>
          <cell r="F369" t="str">
            <v>M</v>
          </cell>
          <cell r="G369">
            <v>124.19</v>
          </cell>
          <cell r="H369" t="str">
            <v>-</v>
          </cell>
        </row>
        <row r="370">
          <cell r="A370">
            <v>92817</v>
          </cell>
          <cell r="B370" t="str">
            <v>SINAPI</v>
          </cell>
          <cell r="C370">
            <v>1.5</v>
          </cell>
          <cell r="D370" t="str">
            <v>Assentamento de tubo de concreto para redes coletoras de águas pluviais, diâmetro nominal de 1,20 m, junta rígida em argamassa 1:3 cimento:areia, instalado em local com baixo nível de interferências (não inclui fornecimento). AF_12/2015</v>
          </cell>
          <cell r="E370"/>
          <cell r="F370" t="str">
            <v>M</v>
          </cell>
          <cell r="G370">
            <v>155.41</v>
          </cell>
          <cell r="H370" t="str">
            <v>-</v>
          </cell>
        </row>
        <row r="371">
          <cell r="A371">
            <v>92819</v>
          </cell>
          <cell r="B371" t="str">
            <v>SINAPI</v>
          </cell>
          <cell r="C371">
            <v>1.1000000000000001</v>
          </cell>
          <cell r="D371" t="str">
            <v>Assentamento de tubo de concreto para redes coletoras de águas pluviais, diâmetro nominal de 1,50 m, junta rígida em argamassa 1:3 cimento:areia, instalado em local com baixo nível de interferências (não inclui fornecimento). AF_12/2015</v>
          </cell>
          <cell r="E371"/>
          <cell r="F371" t="str">
            <v>M</v>
          </cell>
          <cell r="G371">
            <v>209.19</v>
          </cell>
          <cell r="H371" t="str">
            <v>-</v>
          </cell>
        </row>
        <row r="372">
          <cell r="A372">
            <v>92821</v>
          </cell>
          <cell r="B372" t="str">
            <v>SINAPI</v>
          </cell>
          <cell r="C372">
            <v>3.7</v>
          </cell>
          <cell r="D372" t="str">
            <v>Assentamento de tubo de concreto para redes coletoras de águas pluviais, diâmetro nominal de 0,40 m, junta rígida em argamassa 1:3 cimento:areia, instalado em local com alto nível de interferências (não inclui fornecimento). AF_12/2015</v>
          </cell>
          <cell r="E372" t="str">
            <v xml:space="preserve">TUBO DE CONCRETO
alta Interferência </v>
          </cell>
          <cell r="F372" t="str">
            <v>M</v>
          </cell>
          <cell r="G372">
            <v>57.42</v>
          </cell>
          <cell r="H372" t="str">
            <v>-</v>
          </cell>
        </row>
        <row r="373">
          <cell r="A373">
            <v>92824</v>
          </cell>
          <cell r="B373" t="str">
            <v>SINAPI</v>
          </cell>
          <cell r="C373">
            <v>2.6</v>
          </cell>
          <cell r="D373" t="str">
            <v>Assentamento de tubo de concreto para redes coletoras de águas pluviais, diâmetro nominal de 0,60 m, junta rígida em argamassa 1:3 cimento:areia, instalado em local com alto nível de interferências (não inclui fornecimento). AF_12/2015</v>
          </cell>
          <cell r="E373"/>
          <cell r="F373" t="str">
            <v>M</v>
          </cell>
          <cell r="G373">
            <v>83.37</v>
          </cell>
          <cell r="H373" t="str">
            <v>-</v>
          </cell>
        </row>
        <row r="374">
          <cell r="A374">
            <v>92826</v>
          </cell>
          <cell r="B374" t="str">
            <v>SINAPI</v>
          </cell>
          <cell r="C374">
            <v>2</v>
          </cell>
          <cell r="D374" t="str">
            <v>Assentamento de tubo de concreto para redes coletoras de águas pluviais, diâmetro nominal de 0,80 m, junta rígida em argamassa 1:3 cimento:areia, instalado em local com alto nível de interferências (não inclui fornecimento). AF_12/2015</v>
          </cell>
          <cell r="E374"/>
          <cell r="F374" t="str">
            <v>M</v>
          </cell>
          <cell r="G374">
            <v>111.72</v>
          </cell>
          <cell r="H374" t="str">
            <v>-</v>
          </cell>
        </row>
        <row r="375">
          <cell r="A375">
            <v>92828</v>
          </cell>
          <cell r="B375" t="str">
            <v>SINAPI</v>
          </cell>
          <cell r="C375">
            <v>1.6</v>
          </cell>
          <cell r="D375" t="str">
            <v>Assentamento de tubo de concreto para redes coletoras de águas pluviais, diâmetro nominal de 1,00 m, junta rígida em argamassa 1:3 cimento:areia, instalado em local com alto nível de interferências (não inclui fornecimento). AF_12/2015</v>
          </cell>
          <cell r="E375"/>
          <cell r="F375" t="str">
            <v>M</v>
          </cell>
          <cell r="G375">
            <v>145.86000000000001</v>
          </cell>
          <cell r="H375" t="str">
            <v>-</v>
          </cell>
        </row>
        <row r="376">
          <cell r="A376">
            <v>92830</v>
          </cell>
          <cell r="B376" t="str">
            <v>SINAPI</v>
          </cell>
          <cell r="C376">
            <v>1.3</v>
          </cell>
          <cell r="D376" t="str">
            <v>Assentamento de tubo de concreto para redes coletoras de águas pluviais, diâmetro nominal de 1,20 m, junta rígida em argamassa 1:3 cimento:areia, instalado em local com alto nível de interferências (não inclui fornecimento). AF_12/2015</v>
          </cell>
          <cell r="E376"/>
          <cell r="F376" t="str">
            <v>M</v>
          </cell>
          <cell r="G376">
            <v>180.95</v>
          </cell>
          <cell r="H376" t="str">
            <v>-</v>
          </cell>
        </row>
        <row r="377">
          <cell r="A377">
            <v>92832</v>
          </cell>
          <cell r="B377" t="str">
            <v>SINAPI</v>
          </cell>
          <cell r="C377">
            <v>1</v>
          </cell>
          <cell r="D377" t="str">
            <v>Assentamento de tubo de concreto para redes coletoras de águas pluviais, diâmetro nominal de 1,50 m, junta rígida em argamassa 1:3 cimento:areia, instalado em local com alto nível de interferências (não inclui fornecimento). AF_12/2015</v>
          </cell>
          <cell r="E377"/>
          <cell r="F377" t="str">
            <v>M</v>
          </cell>
          <cell r="G377">
            <v>240.54</v>
          </cell>
          <cell r="H377" t="str">
            <v>-</v>
          </cell>
        </row>
        <row r="378">
          <cell r="A378">
            <v>94869</v>
          </cell>
          <cell r="B378" t="str">
            <v>SINAPI</v>
          </cell>
          <cell r="C378"/>
          <cell r="D378" t="str">
            <v>Aquisição de tubo de PEAD corrugado com parede estruturada para drenagem de águas pluviais, DN/DI 0,25 m, PEAD com encaixe ponta e bolsa – JEI, parede dupla, interna lisa - fornecimento e assentamento. AF_01/2021</v>
          </cell>
          <cell r="E378"/>
          <cell r="F378" t="str">
            <v>M</v>
          </cell>
          <cell r="G378">
            <v>152.09</v>
          </cell>
          <cell r="H378" t="str">
            <v>-</v>
          </cell>
        </row>
        <row r="379">
          <cell r="A379">
            <v>94871</v>
          </cell>
          <cell r="B379" t="str">
            <v>SINAPI</v>
          </cell>
          <cell r="C379"/>
          <cell r="D379" t="str">
            <v>Aquisição de tubo de PEAD corrugado com parede estruturada para drenagem de águas pluviais, DN/DI 0,30 m, PEAD com encaixe ponta e bolsa – JEI, parede dupla, interna lisa - fornecimento e assentamento. AF_01/2021</v>
          </cell>
          <cell r="E379"/>
          <cell r="F379" t="str">
            <v>M</v>
          </cell>
          <cell r="G379">
            <v>237.91</v>
          </cell>
          <cell r="H379" t="str">
            <v>-</v>
          </cell>
        </row>
        <row r="380">
          <cell r="A380">
            <v>90708</v>
          </cell>
          <cell r="B380" t="str">
            <v>SINAPI</v>
          </cell>
          <cell r="C380">
            <v>90723</v>
          </cell>
          <cell r="D380" t="str">
            <v>Aquisição de tubo de PEAD corrugado com parede estruturada para drenagem de águas pluviais, DN/DI 0,60 m, PEAD com encaixe ponta e bolsa – JEI, parede dupla, interna lisa - fornecimento e assentamento. AF_01/2021</v>
          </cell>
          <cell r="E380"/>
          <cell r="F380" t="str">
            <v>M</v>
          </cell>
          <cell r="G380">
            <v>860.13</v>
          </cell>
          <cell r="H380" t="str">
            <v>-</v>
          </cell>
        </row>
        <row r="381">
          <cell r="A381">
            <v>94875</v>
          </cell>
          <cell r="B381" t="str">
            <v>SINAPI</v>
          </cell>
          <cell r="C381">
            <v>94891</v>
          </cell>
          <cell r="D381" t="str">
            <v>Aquisição de tubo de PEAD corrugado com parede estruturada para drenagem de águas pluviais, DN/DI 0,75 m, PEAD com encaixe ponta e bolsa – JEI, parede dupla, interna lisa - fornecimento e assentamento. AF_01/2021</v>
          </cell>
          <cell r="E381"/>
          <cell r="F381" t="str">
            <v>M</v>
          </cell>
          <cell r="G381">
            <v>1397.02</v>
          </cell>
          <cell r="H381" t="str">
            <v>-</v>
          </cell>
        </row>
        <row r="382">
          <cell r="A382">
            <v>94879</v>
          </cell>
          <cell r="B382" t="str">
            <v>SINAPI</v>
          </cell>
          <cell r="C382">
            <v>94895</v>
          </cell>
          <cell r="D382" t="str">
            <v>Aquisição de tubo de PEAD corrugado com parede estruturada para drenagem de águas pluviais, DN/DI 1,00 m, PEAD com encaixe ponta e bolsa – JEI, parede dupla, interna lisa - fornecimento e assentamento. AF_06/2016</v>
          </cell>
          <cell r="E382"/>
          <cell r="F382" t="str">
            <v>M</v>
          </cell>
          <cell r="G382">
            <v>2151.08</v>
          </cell>
          <cell r="H382" t="str">
            <v>-</v>
          </cell>
        </row>
        <row r="383">
          <cell r="A383">
            <v>94881</v>
          </cell>
          <cell r="B383" t="str">
            <v>SINAPI</v>
          </cell>
          <cell r="C383">
            <v>94897</v>
          </cell>
          <cell r="D383" t="str">
            <v>Aquisição de tubo de PEAD corrugado com parede estruturada para drenagem de águas pluviais, DN/DI 1,20 m, PEAD com encaixe ponta e bolsa – JEI, parede dupla, interna lisa - fornecimento e assentamento. AF_06/2016</v>
          </cell>
          <cell r="E383"/>
          <cell r="F383" t="str">
            <v>M</v>
          </cell>
          <cell r="G383">
            <v>2963.85</v>
          </cell>
          <cell r="H383" t="str">
            <v>-</v>
          </cell>
        </row>
        <row r="384">
          <cell r="A384">
            <v>41781</v>
          </cell>
          <cell r="B384" t="str">
            <v>SINAPI</v>
          </cell>
          <cell r="C384"/>
          <cell r="D384" t="str">
            <v>Aquisição de tubo de PEAD corrugado com parede estruturada para drenagem de águas pluviais, DN/DI *0,40* m (*48* kg/6 m); PEAD virgem, para rede de drenagem, com encaixe ponta e bolsa – JEI, parede dupla, interna lisa, conforme norma DNIT 094/2014</v>
          </cell>
          <cell r="E384"/>
          <cell r="F384" t="str">
            <v xml:space="preserve">M     </v>
          </cell>
          <cell r="G384">
            <v>362.98</v>
          </cell>
          <cell r="H384" t="str">
            <v>-</v>
          </cell>
        </row>
        <row r="385">
          <cell r="A385">
            <v>41782</v>
          </cell>
          <cell r="B385" t="str">
            <v>SINAPI</v>
          </cell>
          <cell r="C385"/>
          <cell r="D385" t="str">
            <v>Aquisição de tubo de PEAD corrugado com parede estruturada para drenagem de águas pluviais, DN/DI 0,60 m (100 kg/6 m); PEAD virgem, para rede de drenagem, com encaixe ponta e bolsa – JEI, parede dupla, interna lisa, conforme norma DNIT 094/2014</v>
          </cell>
          <cell r="E385"/>
          <cell r="F385" t="str">
            <v xml:space="preserve">M     </v>
          </cell>
          <cell r="G385">
            <v>802.29</v>
          </cell>
          <cell r="H385" t="str">
            <v>-</v>
          </cell>
        </row>
        <row r="386">
          <cell r="A386">
            <v>41783</v>
          </cell>
          <cell r="B386" t="str">
            <v>SINAPI</v>
          </cell>
          <cell r="C386"/>
          <cell r="D386" t="str">
            <v>Aquisição de tubo de PEAD corrugado com parede estruturada para drenagem de águas pluviais, DN/DI *0,80* m (*174* kg/6 m); PEAD virgem, para rede de drenagem, com encaixe ponta e bolsa – JEI, parede dupla, interna lisa, conforme norma DNIT 094/2014</v>
          </cell>
          <cell r="E386"/>
          <cell r="F386" t="str">
            <v xml:space="preserve">M     </v>
          </cell>
          <cell r="G386">
            <v>1304.96</v>
          </cell>
          <cell r="H386" t="str">
            <v>-</v>
          </cell>
        </row>
        <row r="387">
          <cell r="A387">
            <v>41785</v>
          </cell>
          <cell r="B387" t="str">
            <v>SINAPI</v>
          </cell>
          <cell r="C387"/>
          <cell r="D387" t="str">
            <v>Aquisição de tubo de PEAD corrugado com parede estruturada para drenagem de águas pluviais, DN/DI *1,00* m (*230* kg/6 m); PEAD virgem, para rede de drenagem, com encaixe ponta e bolsa – JEI, parede dupla, interna lisa, conforme norma DNIT 094/2014</v>
          </cell>
          <cell r="E387"/>
          <cell r="F387" t="str">
            <v xml:space="preserve">M     </v>
          </cell>
          <cell r="G387">
            <v>2010.26</v>
          </cell>
          <cell r="H387" t="str">
            <v>-</v>
          </cell>
        </row>
        <row r="388">
          <cell r="A388">
            <v>41786</v>
          </cell>
          <cell r="B388" t="str">
            <v>SINAPI</v>
          </cell>
          <cell r="C388"/>
          <cell r="D388" t="str">
            <v>Aquisição de tubo de PEAD corrugado com parede estruturada para drenagem de águas pluviais, DN/DI 1,20 m (293 kg/6 m); PEAD virgem, para rede de drenagem, com encaixe ponta e bolsa – JEI, parede dupla, interna lisa, conforme norma DNIT 094/2014</v>
          </cell>
          <cell r="E388"/>
          <cell r="F388" t="str">
            <v xml:space="preserve">M     </v>
          </cell>
          <cell r="G388">
            <v>2778.3</v>
          </cell>
          <cell r="H388" t="str">
            <v>-</v>
          </cell>
        </row>
        <row r="389">
          <cell r="A389" t="str">
            <v>DR/0700</v>
          </cell>
          <cell r="B389" t="str">
            <v>COTAÇÃO - SICRO</v>
          </cell>
          <cell r="D389" t="str">
    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    </cell>
          <cell r="E389" t="str">
            <v>M0131</v>
          </cell>
          <cell r="F389" t="str">
            <v>m</v>
          </cell>
          <cell r="G389">
            <v>205.90530000000001</v>
          </cell>
          <cell r="H389" t="str">
            <v>-</v>
          </cell>
        </row>
        <row r="390">
          <cell r="A390" t="str">
            <v>DR/0710</v>
          </cell>
          <cell r="B390" t="str">
            <v>COTAÇÃO - SICRO</v>
          </cell>
          <cell r="D390" t="str">
    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    </cell>
          <cell r="E390" t="str">
            <v>M0133</v>
          </cell>
          <cell r="F390" t="str">
            <v>m</v>
          </cell>
          <cell r="G390">
            <v>338.03089999999997</v>
          </cell>
          <cell r="H390" t="str">
            <v>-</v>
          </cell>
        </row>
        <row r="391">
          <cell r="A391" t="str">
            <v>DR/0720</v>
          </cell>
          <cell r="B391" t="str">
            <v>COTAÇÃO - SICRO</v>
          </cell>
          <cell r="D391" t="str">
    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    </cell>
          <cell r="E391" t="str">
            <v>M0134</v>
          </cell>
          <cell r="F391" t="str">
            <v>m</v>
          </cell>
          <cell r="G391">
            <v>493.61329999999998</v>
          </cell>
          <cell r="H391" t="str">
            <v>-</v>
          </cell>
        </row>
        <row r="392">
          <cell r="A392" t="str">
            <v>DR/0730</v>
          </cell>
          <cell r="B392" t="str">
            <v>COTAÇÃO - SICRO</v>
          </cell>
          <cell r="D392" t="str">
    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    </cell>
          <cell r="E392" t="str">
            <v>M0135</v>
          </cell>
          <cell r="F392" t="str">
            <v>m</v>
          </cell>
          <cell r="G392">
            <v>683.87049999999999</v>
          </cell>
          <cell r="H392" t="str">
            <v>-</v>
          </cell>
        </row>
        <row r="393">
          <cell r="A393" t="str">
            <v>DR/0735</v>
          </cell>
          <cell r="B393" t="str">
            <v>COTAÇÃO - SICRO</v>
          </cell>
          <cell r="D393" t="str">
    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    </cell>
          <cell r="E393" t="str">
            <v>M0136</v>
          </cell>
          <cell r="F393" t="str">
            <v>m</v>
          </cell>
          <cell r="G393">
            <v>721.16010000000006</v>
          </cell>
          <cell r="H393" t="str">
            <v>-</v>
          </cell>
        </row>
        <row r="394">
          <cell r="A394" t="str">
            <v>DR/0740</v>
          </cell>
          <cell r="B394" t="str">
            <v>COTAÇÃO - SICRO</v>
          </cell>
          <cell r="D394" t="str">
    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    </cell>
          <cell r="E394" t="str">
            <v>M0137</v>
          </cell>
          <cell r="F394" t="str">
            <v>m</v>
          </cell>
          <cell r="G394">
            <v>923.12440000000004</v>
          </cell>
          <cell r="H394" t="str">
            <v>-</v>
          </cell>
        </row>
        <row r="395">
          <cell r="A395" t="str">
            <v>DR/0750</v>
          </cell>
          <cell r="B395" t="str">
            <v>COTAÇÃO - SICRO</v>
          </cell>
          <cell r="D395" t="str">
    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    </cell>
          <cell r="E395" t="str">
            <v>M0139</v>
          </cell>
          <cell r="F395" t="str">
            <v>m</v>
          </cell>
          <cell r="G395">
            <v>1285.0968</v>
          </cell>
          <cell r="H395" t="str">
            <v>-</v>
          </cell>
        </row>
        <row r="396">
          <cell r="A396" t="str">
            <v>DR/0760</v>
          </cell>
          <cell r="B396" t="str">
            <v>COTAÇÃO - SICRO</v>
          </cell>
          <cell r="D396" t="str">
    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    </cell>
          <cell r="E396" t="str">
            <v>M0142</v>
          </cell>
          <cell r="F396" t="str">
            <v>m</v>
          </cell>
          <cell r="G396">
            <v>1705.635</v>
          </cell>
          <cell r="H396" t="str">
            <v>-</v>
          </cell>
        </row>
        <row r="397">
          <cell r="A397" t="str">
            <v>DR/0770</v>
          </cell>
          <cell r="B397" t="str">
            <v>COTAÇÃO - SICRO</v>
          </cell>
          <cell r="D397" t="str">
    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    </cell>
          <cell r="E397" t="str">
            <v>M0143</v>
          </cell>
          <cell r="F397" t="str">
            <v>m</v>
          </cell>
          <cell r="G397">
            <v>2204.8613999999998</v>
          </cell>
          <cell r="H397" t="str">
            <v>-</v>
          </cell>
        </row>
        <row r="398">
          <cell r="A398" t="str">
            <v>SEL -100</v>
          </cell>
          <cell r="B398" t="str">
            <v>COTAÇÃO - SEL</v>
          </cell>
          <cell r="C398"/>
          <cell r="D398" t="str">
            <v>Aquisição de Tubo PEAD com paredes estruturadas para drenagem - D = 400 mm (48 kg/6 m); DN/DI, em PEAD virgem para rede de drenagem, ponta e bolsa – JEI, parede dupla, interna lisa, conforme norma DNIT 094/2014 (REF. SICRO COD. M0131). Posto Três Lagoas/MS.</v>
          </cell>
          <cell r="E398" t="str">
            <v>SEL -100</v>
          </cell>
          <cell r="F398" t="str">
            <v>M</v>
          </cell>
          <cell r="G398">
            <v>0</v>
          </cell>
          <cell r="H398" t="str">
            <v>ERRO</v>
          </cell>
        </row>
        <row r="399">
          <cell r="A399" t="str">
            <v>SEL -101</v>
          </cell>
          <cell r="B399" t="str">
            <v>COTAÇÃO - SEL</v>
          </cell>
          <cell r="C399"/>
          <cell r="D399" t="str">
            <v>Aquisição de Tubo PEAD com paredes estruturadas para drenagem - D = 600 mm (100 kg/6 m); DN/DI, em PEAD virgem para rede de drenagem, ponta e bolsa – JEI, parede dupla, interna lisa, conforme norma DNIT 094/2014 (REF. SICRO COD. M0134)Posto Três Lagoas/MS.</v>
          </cell>
          <cell r="E399" t="str">
            <v>SEL -101</v>
          </cell>
          <cell r="F399" t="str">
            <v>M</v>
          </cell>
          <cell r="G399" t="e">
            <v>#DIV/0!</v>
          </cell>
          <cell r="H399" t="str">
            <v>VER COMP</v>
          </cell>
        </row>
        <row r="400">
          <cell r="A400" t="str">
            <v>SEL -102</v>
          </cell>
          <cell r="B400" t="str">
            <v>COTAÇÃO - SEL</v>
          </cell>
          <cell r="C400"/>
          <cell r="D400" t="str">
            <v>Aquisição de Tubo PEAD com paredes estruturadas para drenagem - D = 750 mm (142 kg/6 m); DN/DI, em PEAD virgem para rede de drenagem, ponta e bolsa – JEI, parede dupla, interna lisa, conforme norma DNIT 094/2014 (REF. SICRO COD. M0135) Posto Três Lagoas/MS.</v>
          </cell>
          <cell r="E400" t="str">
            <v>SEL -102</v>
          </cell>
          <cell r="F400" t="str">
            <v>M</v>
          </cell>
          <cell r="G400" t="e">
            <v>#DIV/0!</v>
          </cell>
          <cell r="H400" t="str">
            <v>VER COMP</v>
          </cell>
        </row>
        <row r="401">
          <cell r="A401" t="str">
            <v>SEL -103</v>
          </cell>
          <cell r="B401" t="str">
            <v>COTAÇÃO - SEL</v>
          </cell>
          <cell r="C401"/>
          <cell r="D401" t="str">
            <v>Aquisição de Tubo PEAD com paredes estruturadas para drenagem - D = 900 mm (195 kg /6 m); DN/DI, em PEAD virgem para rede de drenagem, ponta e bolsa – JEI, parede dupla, interna lisa, conforme norma DNIT 094/2014 (REF. SICRO COD. M0137) Posto Três Lagoas/MS.</v>
          </cell>
          <cell r="E401" t="str">
            <v>SEL -103</v>
          </cell>
          <cell r="F401" t="str">
            <v>M</v>
          </cell>
          <cell r="G401" t="e">
            <v>#DIV/0!</v>
          </cell>
          <cell r="H401" t="str">
            <v>VER COMP</v>
          </cell>
        </row>
        <row r="402">
          <cell r="A402" t="str">
            <v>SEL -104</v>
          </cell>
          <cell r="B402" t="str">
            <v>COTAÇÃO - SEL</v>
          </cell>
          <cell r="C402"/>
          <cell r="D402" t="str">
            <v>Aquisição de Tubo PEAD com paredes estruturadas para drenagem - D = 1.000 mm (230 kg /6 m); DN/DI, em PEAD virgem para rede de drenagem, ponta e bolsa – JEI, parede dupla, interna lisa, conforme norma DNIT 094/2014 (REF. SICRO COD. M0139).Posto Três Lagoas/MS.</v>
          </cell>
          <cell r="E402" t="str">
            <v>SEL -104</v>
          </cell>
          <cell r="F402" t="str">
            <v>M</v>
          </cell>
          <cell r="G402" t="e">
            <v>#DIV/0!</v>
          </cell>
          <cell r="H402" t="str">
            <v>VER COMP</v>
          </cell>
        </row>
        <row r="403">
          <cell r="A403" t="str">
            <v>SEL -105</v>
          </cell>
          <cell r="B403" t="str">
            <v>COTAÇÃO - SEL</v>
          </cell>
          <cell r="C403"/>
          <cell r="D403" t="str">
            <v>Aquisição de Tubo PEAD com paredes estruturadas para drenagem - D = 1.200 mm (293 kg /6 m); DN/DI, em PEAD virgem para rede de drenagem, ponta e bolsa – JEI, parede dupla, interna lisa, conforme norma DNIT 094/2014 (REF. SICRO COD. M0142). Posto Três Lagoas/MS.</v>
          </cell>
          <cell r="E403" t="str">
            <v>SEL -105</v>
          </cell>
          <cell r="F403" t="str">
            <v>M</v>
          </cell>
          <cell r="G403" t="e">
            <v>#DIV/0!</v>
          </cell>
          <cell r="H403" t="str">
            <v>VER COMP</v>
          </cell>
        </row>
        <row r="404">
          <cell r="A404" t="str">
            <v>SEL -106</v>
          </cell>
          <cell r="B404" t="str">
            <v>COTAÇÃO - SEL</v>
          </cell>
          <cell r="C404"/>
          <cell r="D404" t="str">
            <v>Aquisição de Tubo PEAD com paredes estruturadas para drenagem - D = 1.500 mm (400 kg /6 m); DN/DI, em PEAD virgem para rede de drenagem, ponta e bolsa – JEI, parede dupla, interna lisa, conforme norma DNIT 094/2014 (REF. SICRO COD. M0143) Posto Três Lagoas/MS.</v>
          </cell>
          <cell r="E404" t="str">
            <v>SEL -106</v>
          </cell>
          <cell r="F404" t="str">
            <v>M</v>
          </cell>
          <cell r="G404" t="e">
            <v>#DIV/0!</v>
          </cell>
          <cell r="H404" t="str">
            <v>VER COMP</v>
          </cell>
        </row>
        <row r="405">
          <cell r="A405" t="str">
            <v>SEL -120</v>
          </cell>
          <cell r="B405" t="str">
            <v>COTAÇÃO - SEL</v>
          </cell>
          <cell r="C405"/>
          <cell r="D405" t="str">
            <v>Tubo de concreto simples, D = 0,40m (180kg/m), PB, Classe PS-1, aquisição. Posto Três Lagoas/MS.</v>
          </cell>
          <cell r="E405" t="str">
            <v>SEL -120</v>
          </cell>
          <cell r="F405" t="str">
            <v>M</v>
          </cell>
          <cell r="G405">
            <v>0</v>
          </cell>
          <cell r="H405" t="str">
            <v>ERRO</v>
          </cell>
        </row>
        <row r="406">
          <cell r="A406" t="str">
            <v>SEL -121</v>
          </cell>
          <cell r="B406" t="str">
            <v>COTAÇÃO - SEL</v>
          </cell>
          <cell r="C406"/>
          <cell r="D406" t="str">
            <v>Tubo de concreto simples, D = 0,60m (347kg/m), PB, Classe PS-1, aquisição. Posto Três Lagoas/MS.</v>
          </cell>
          <cell r="E406" t="str">
            <v>SEL -121</v>
          </cell>
          <cell r="F406" t="str">
            <v>M</v>
          </cell>
          <cell r="G406">
            <v>0</v>
          </cell>
          <cell r="H406" t="str">
            <v>ERRO</v>
          </cell>
        </row>
        <row r="407">
          <cell r="A407" t="str">
            <v>SEL -122</v>
          </cell>
          <cell r="B407" t="str">
            <v>COTAÇÃO - SEL</v>
          </cell>
          <cell r="C407"/>
          <cell r="D407" t="str">
            <v>Tubo de concreto armado para aguas pluviais, classe PA-1, com encaixe ponta e bolsa, diametro nominal de 0,80 m (533 kg/m) - Aquisição. Posto Três Lagoas/MS.</v>
          </cell>
          <cell r="E407" t="str">
            <v>SEL -122</v>
          </cell>
          <cell r="F407" t="str">
            <v>M</v>
          </cell>
          <cell r="G407">
            <v>0</v>
          </cell>
          <cell r="H407" t="str">
            <v>ERRO</v>
          </cell>
        </row>
        <row r="408">
          <cell r="A408" t="str">
            <v>SEL -123</v>
          </cell>
          <cell r="B408" t="str">
            <v>COTAÇÃO - SEL</v>
          </cell>
          <cell r="C408"/>
          <cell r="D408" t="str">
            <v>Tubo de concreto armado para aguas pluviais, classe PA-1, com encaixe ponta e bolsa, diametro nominal de 1,00 m (800 kg/m) - Aquisição. Posto Três Lagoas/MS.</v>
          </cell>
          <cell r="E408" t="str">
            <v>SEL -123</v>
          </cell>
          <cell r="F408" t="str">
            <v>M</v>
          </cell>
          <cell r="G408">
            <v>0</v>
          </cell>
          <cell r="H408" t="str">
            <v>ERRO</v>
          </cell>
        </row>
        <row r="409">
          <cell r="A409" t="str">
            <v>SEL -124</v>
          </cell>
          <cell r="B409" t="str">
            <v>COTAÇÃO - SEL</v>
          </cell>
          <cell r="C409"/>
          <cell r="D409" t="str">
            <v>Tubo de concreto armado para aguas pluviais, classe PA-1, com encaixe ponta e bolsa, diametro nominal de 1,20 m (1133 kg/m) - Aquisição. Posto Três Lagoas/MS.</v>
          </cell>
          <cell r="E409" t="str">
            <v>SEL -124</v>
          </cell>
          <cell r="F409" t="str">
            <v>M</v>
          </cell>
          <cell r="G409">
            <v>0</v>
          </cell>
          <cell r="H409" t="str">
            <v>ERRO</v>
          </cell>
        </row>
        <row r="410">
          <cell r="A410" t="str">
            <v>SEL -125</v>
          </cell>
          <cell r="B410" t="str">
            <v>COTAÇÃO - SEL</v>
          </cell>
          <cell r="C410"/>
          <cell r="D410" t="str">
            <v>Tubo de concreto armado para aguas pluviais, classe PA-1, com encaixe ponta e bolsa, diametro nominal de 1,50 m (1933 kg/m) - Aquisição. Posto Três Lagoas/MS.</v>
          </cell>
          <cell r="E410" t="str">
            <v>SEL -125</v>
          </cell>
          <cell r="F410" t="str">
            <v>M</v>
          </cell>
          <cell r="G410">
            <v>0</v>
          </cell>
          <cell r="H410" t="str">
            <v>ERRO</v>
          </cell>
        </row>
        <row r="411">
          <cell r="A411" t="str">
            <v>SEL -126</v>
          </cell>
          <cell r="B411" t="str">
            <v>COTAÇÃO - SEL</v>
          </cell>
          <cell r="C411"/>
          <cell r="D411" t="str">
            <v>Tubo de concreto armado para aguas pluviais, classe PA-2, com encaixe ponta e bolsa, diametro nominal de 1,20 m (1333 kg/m) - Aquisição. Posto Três Lagoas/MS.</v>
          </cell>
          <cell r="E411" t="str">
            <v>SEL -126</v>
          </cell>
          <cell r="F411" t="str">
            <v>M</v>
          </cell>
          <cell r="G411">
            <v>0</v>
          </cell>
          <cell r="H411" t="str">
            <v>ERRO</v>
          </cell>
        </row>
        <row r="412">
          <cell r="A412">
            <v>94870</v>
          </cell>
          <cell r="B412" t="str">
            <v>SINAPI</v>
          </cell>
          <cell r="C412"/>
          <cell r="D412" t="str">
            <v>Assentamento de tubo de PEAD corrugado com parede estruturada para drenagem de águas pluviais, DN/DI 0,25 m; PEAD virgem para rede de drenagem, com encaixei ponta e bolsa – JEI, conforme norma DNIT 094/2014 (não inclui fornecimento). AF_01/2021</v>
          </cell>
          <cell r="E412"/>
          <cell r="F412" t="str">
            <v>M</v>
          </cell>
          <cell r="G412">
            <v>2</v>
          </cell>
          <cell r="H412" t="str">
            <v>-</v>
          </cell>
        </row>
        <row r="413">
          <cell r="A413">
            <v>94872</v>
          </cell>
          <cell r="B413" t="str">
            <v>SINAPI</v>
          </cell>
          <cell r="C413"/>
          <cell r="D413" t="str">
            <v>Assentamento de tubo de PEAD corrugado com parede estruturada para drenagem de águas pluviais, DN/DI 0,30 m; PEAD virgem para rede de drenagem, com encaixei ponta e bolsa – JEI, conforme norma DNIT 094/2014 (não inclui fornecimento). AF_01/2021</v>
          </cell>
          <cell r="E413"/>
          <cell r="F413" t="str">
            <v>M</v>
          </cell>
          <cell r="G413">
            <v>2.75</v>
          </cell>
          <cell r="H413" t="str">
            <v>-</v>
          </cell>
        </row>
        <row r="414">
          <cell r="A414" t="str">
            <v>DR/0060</v>
          </cell>
          <cell r="B414" t="str">
            <v>COMPOSIÇÃO</v>
          </cell>
          <cell r="C414" t="str">
            <v>90760
24,6 m/h</v>
          </cell>
          <cell r="D414" t="str">
    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    </cell>
          <cell r="E414"/>
          <cell r="F414" t="str">
            <v>M</v>
          </cell>
          <cell r="G414">
            <v>2.66</v>
          </cell>
          <cell r="H414" t="str">
            <v>-</v>
          </cell>
        </row>
        <row r="415">
          <cell r="A415">
            <v>90746</v>
          </cell>
          <cell r="B415" t="str">
            <v>SINAPI</v>
          </cell>
          <cell r="C415">
            <v>25.6</v>
          </cell>
          <cell r="D415" t="str">
            <v>Assentamento de tubo de PEAD corrugado com parede estruturada para drenagem de águas pluviais, DN/DI 0,45 m; PEAD virgem para rede de drenagem, com encaixei ponta e bolsa – JEI, conforme norma DNIT 094/2014 (não inclui fornecimento). AF_01/2021</v>
          </cell>
          <cell r="E415"/>
          <cell r="F415" t="str">
            <v>M</v>
          </cell>
          <cell r="G415">
            <v>3.52</v>
          </cell>
          <cell r="H415" t="str">
            <v>-</v>
          </cell>
        </row>
        <row r="416">
          <cell r="A416" t="str">
            <v>DR/0070</v>
          </cell>
          <cell r="B416" t="str">
            <v>COMPOSIÇÃO</v>
          </cell>
          <cell r="C416" t="str">
            <v>DR/0075
18,9 m/h</v>
          </cell>
          <cell r="D416" t="str">
    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    </cell>
          <cell r="E416"/>
          <cell r="F416" t="str">
            <v>M</v>
          </cell>
          <cell r="G416">
            <v>4.58</v>
          </cell>
          <cell r="H416" t="str">
            <v>-</v>
          </cell>
        </row>
        <row r="417">
          <cell r="A417">
            <v>90747</v>
          </cell>
          <cell r="B417" t="str">
            <v>SINAPI</v>
          </cell>
          <cell r="C417" t="str">
            <v>90762
14,6 m/h</v>
          </cell>
          <cell r="D417" t="str">
            <v>Assentamento de tubo de PEAD corrugado com parede estruturada para drenagem de águas pluviais, DN/DI 0,60 m; PEAD virgem para rede de drenagem, com encaixei ponta e bolsa – JEI, conforme norma DNIT 094/2014 (não inclui fornecimento). AF_01/2021</v>
          </cell>
          <cell r="E417"/>
          <cell r="F417" t="str">
            <v>M</v>
          </cell>
          <cell r="G417">
            <v>15.64</v>
          </cell>
          <cell r="H417" t="str">
            <v>-</v>
          </cell>
        </row>
        <row r="418">
          <cell r="A418" t="str">
            <v>DR/0080</v>
          </cell>
          <cell r="B418" t="str">
            <v>COMPOSIÇÃO</v>
          </cell>
          <cell r="C418" t="str">
            <v>94892
8,3 m/h</v>
          </cell>
          <cell r="D418" t="str">
    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    </cell>
          <cell r="E418"/>
          <cell r="F418" t="str">
            <v>M</v>
          </cell>
          <cell r="G418">
            <v>25.75</v>
          </cell>
          <cell r="H418" t="str">
            <v>-</v>
          </cell>
        </row>
        <row r="419">
          <cell r="A419">
            <v>94876</v>
          </cell>
          <cell r="B419" t="str">
            <v>SINAPI</v>
          </cell>
          <cell r="C419" t="str">
            <v>DR/0085
15,7 m/h</v>
          </cell>
          <cell r="D419" t="str">
            <v>Assentamento de tubo de PEAD corrugado com parede estruturada para drenagem de águas pluviais, DN/DI 0,80 m; PEAD virgem para rede de drenagem, com encaixei ponta e bolsa – JEI, conforme norma DNIT 094/2014 (não inclui fornecimento). AF_01/2021</v>
          </cell>
          <cell r="E419"/>
          <cell r="F419" t="str">
            <v>M</v>
          </cell>
          <cell r="G419">
            <v>26.82</v>
          </cell>
          <cell r="H419" t="str">
            <v>-</v>
          </cell>
        </row>
        <row r="420">
          <cell r="A420">
            <v>94878</v>
          </cell>
          <cell r="B420" t="str">
            <v>SINAPI</v>
          </cell>
          <cell r="C420" t="str">
            <v>94894
13,4 m/h</v>
          </cell>
          <cell r="D420" t="str">
            <v>Assentamento de tubo de PEAD corrugado com parede estruturada para drenagem de águas pluviais, DN/DI 0,90 m; PEAD virgem para rede de drenagem, com encaixei ponta e bolsa – JEI, conforme norma DNIT 094/2014 (não inclui fornecimento). AF_06/2016</v>
          </cell>
          <cell r="E420"/>
          <cell r="F420" t="str">
            <v>M</v>
          </cell>
          <cell r="G420">
            <v>30.93</v>
          </cell>
          <cell r="H420" t="str">
            <v>-</v>
          </cell>
        </row>
        <row r="421">
          <cell r="A421">
            <v>94880</v>
          </cell>
          <cell r="B421" t="str">
            <v>SINAPI</v>
          </cell>
          <cell r="C421" t="str">
            <v>94896
6,7 m/h</v>
          </cell>
          <cell r="D421" t="str">
            <v>Assentamento de tubo de PEAD corrugado com parede estruturada para drenagem de águas pluviais, DN/DI 1,00 m; PEAD virgem para rede de drenagem, com encaixei ponta e bolsa – JEI, conforme norma DNIT 094/2014 (não inclui fornecimento). AF_06/2016</v>
          </cell>
          <cell r="E421"/>
          <cell r="F421" t="str">
            <v>M</v>
          </cell>
          <cell r="G421">
            <v>40.31</v>
          </cell>
          <cell r="H421" t="str">
            <v>-</v>
          </cell>
        </row>
        <row r="422">
          <cell r="A422">
            <v>94882</v>
          </cell>
          <cell r="B422" t="str">
            <v>SINAPI</v>
          </cell>
          <cell r="C422" t="str">
            <v>94898
9,2 m/h</v>
          </cell>
          <cell r="D422" t="str">
            <v>Assentamento de tubo de PEAD corrugado com parede estruturada para drenagem de águas pluviais, DN/DI 1,20 m; PEAD virgem para rede de drenagem, com encaixei ponta e bolsa – JEI, conforme norma DNIT 094/2014 (não inclui fornecimento). AF_06/2016</v>
          </cell>
          <cell r="E422"/>
          <cell r="F422" t="str">
            <v>M</v>
          </cell>
          <cell r="G422">
            <v>46.64</v>
          </cell>
          <cell r="H422" t="str">
            <v>-</v>
          </cell>
        </row>
        <row r="423">
          <cell r="A423">
            <v>94884</v>
          </cell>
          <cell r="B423" t="str">
            <v>SINAPI</v>
          </cell>
          <cell r="C423" t="str">
            <v>94900
4,3 m/h</v>
          </cell>
          <cell r="D423" t="str">
            <v>Assentamento de tubo de PEAD corrugado com parede estruturada para drenagem de águas pluviais, DN/DI 1,50 m; PEAD virgem para rede de drenagem, com encaixei ponta e bolsa – JEI, conforme norma DNIT 094/2014 (não inclui fornecimento). AF_06/2016</v>
          </cell>
          <cell r="E423"/>
          <cell r="F423" t="str">
            <v>M</v>
          </cell>
          <cell r="G423">
            <v>59.49</v>
          </cell>
          <cell r="H423" t="str">
            <v>-</v>
          </cell>
        </row>
        <row r="424">
          <cell r="A424">
            <v>37476</v>
          </cell>
          <cell r="B424" t="str">
            <v>SINAPI</v>
          </cell>
          <cell r="C424"/>
          <cell r="D424" t="str">
    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4"/>
          <cell r="F424" t="str">
            <v xml:space="preserve">UN    </v>
          </cell>
          <cell r="G424">
            <v>4109.74</v>
          </cell>
          <cell r="H424" t="str">
            <v>-</v>
          </cell>
        </row>
        <row r="425">
          <cell r="A425">
            <v>37478</v>
          </cell>
          <cell r="B425" t="str">
            <v>SINAPI</v>
          </cell>
          <cell r="C425"/>
          <cell r="D425" t="str">
    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5"/>
          <cell r="F425" t="str">
            <v xml:space="preserve">UN    </v>
          </cell>
          <cell r="G425">
            <v>5147.5600000000004</v>
          </cell>
          <cell r="H425" t="str">
            <v>-</v>
          </cell>
        </row>
        <row r="426">
          <cell r="A426">
            <v>37477</v>
          </cell>
          <cell r="B426" t="str">
            <v>SINAPI</v>
          </cell>
          <cell r="C426"/>
          <cell r="D426" t="str">
    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6"/>
          <cell r="F426" t="str">
            <v xml:space="preserve">UN    </v>
          </cell>
          <cell r="G426">
            <v>6974.11</v>
          </cell>
          <cell r="H426" t="str">
            <v>-</v>
          </cell>
        </row>
        <row r="427">
          <cell r="A427">
            <v>37479</v>
          </cell>
          <cell r="B427" t="str">
            <v>SINAPI</v>
          </cell>
          <cell r="C427"/>
          <cell r="D427" t="str">
    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7"/>
          <cell r="F427" t="str">
            <v xml:space="preserve">UN    </v>
          </cell>
          <cell r="G427">
            <v>8271.3799999999992</v>
          </cell>
          <cell r="H427" t="str">
            <v>-</v>
          </cell>
        </row>
        <row r="428">
          <cell r="A428"/>
          <cell r="B428" t="str">
            <v>COMPOSIÇÃO</v>
          </cell>
          <cell r="C428" t="str">
            <v>DR/0090</v>
          </cell>
          <cell r="D428" t="str">
            <v>SUBSTITUIR PELA COMPOSIÇÃO DR/0091 + 37476</v>
          </cell>
          <cell r="E428">
            <v>3.32</v>
          </cell>
          <cell r="F428" t="e">
            <v>#REF!</v>
          </cell>
          <cell r="G428" t="e">
            <v>#REF!</v>
          </cell>
          <cell r="H428" t="str">
            <v/>
          </cell>
        </row>
        <row r="429">
          <cell r="A429"/>
          <cell r="B429" t="str">
            <v>COMPOSIÇÃO</v>
          </cell>
          <cell r="C429" t="str">
            <v>DR/0095</v>
          </cell>
          <cell r="D429" t="str">
            <v>SUBSTITUIR PELA COMPOSIÇÃO DR/0096 + 37478</v>
          </cell>
          <cell r="E429">
            <v>2.85</v>
          </cell>
          <cell r="F429" t="e">
            <v>#REF!</v>
          </cell>
          <cell r="G429" t="e">
            <v>#REF!</v>
          </cell>
          <cell r="H429" t="str">
            <v/>
          </cell>
        </row>
        <row r="430">
          <cell r="A430"/>
          <cell r="B430" t="str">
            <v>COMPOSIÇÃO</v>
          </cell>
          <cell r="C430" t="str">
            <v>DR/0100</v>
          </cell>
          <cell r="D430" t="str">
            <v>SUBSTITUIR PELA COMPOSIÇÃO DR/0101 + 37477</v>
          </cell>
          <cell r="E430">
            <v>2.4900000000000002</v>
          </cell>
          <cell r="F430" t="e">
            <v>#REF!</v>
          </cell>
          <cell r="G430" t="e">
            <v>#REF!</v>
          </cell>
          <cell r="H430" t="str">
            <v/>
          </cell>
        </row>
        <row r="431">
          <cell r="A431"/>
          <cell r="B431" t="str">
            <v>COMPOSIÇÃO</v>
          </cell>
          <cell r="C431" t="str">
            <v>DR/0105</v>
          </cell>
          <cell r="D431" t="str">
            <v>SUBSTITUIR PELA COMPOSIÇÃO DR/0106 + 37479</v>
          </cell>
          <cell r="E431">
            <v>1.99</v>
          </cell>
          <cell r="F431" t="e">
            <v>#REF!</v>
          </cell>
          <cell r="G431" t="e">
            <v>#REF!</v>
          </cell>
          <cell r="H431" t="str">
            <v/>
          </cell>
        </row>
        <row r="432">
          <cell r="A432" t="str">
            <v>DR/0091</v>
          </cell>
          <cell r="B432" t="str">
            <v>COMPOSIÇÃO</v>
          </cell>
          <cell r="C432">
            <v>3.32</v>
          </cell>
          <cell r="D432" t="str">
            <v>Galeria celular em aduela pré-moldada em concreto armado, 1,50m x 1,50m (2950kg/m), assentamento e rejuntamento. Exclusive aquisição e transporte.</v>
          </cell>
          <cell r="E432">
            <v>3.32</v>
          </cell>
          <cell r="F432" t="str">
            <v>M</v>
          </cell>
          <cell r="G432">
            <v>103.81</v>
          </cell>
          <cell r="H432" t="str">
            <v>-</v>
          </cell>
        </row>
        <row r="433">
          <cell r="A433" t="str">
            <v>DR/0096</v>
          </cell>
          <cell r="B433" t="str">
            <v>COMPOSIÇÃO</v>
          </cell>
          <cell r="C433">
            <v>2.85</v>
          </cell>
          <cell r="D433" t="str">
            <v>Galeria celular em aduela pré-moldada em concreto armado, 2,00m x 2,00m (4080kg/m), assentamento e rejuntamento. Exclusive aquisição e transporte.</v>
          </cell>
          <cell r="E433">
            <v>2.85</v>
          </cell>
          <cell r="F433" t="str">
            <v>M</v>
          </cell>
          <cell r="G433">
            <v>137.66999999999999</v>
          </cell>
          <cell r="H433" t="str">
            <v>-</v>
          </cell>
        </row>
        <row r="434">
          <cell r="A434" t="str">
            <v>DR/0101</v>
          </cell>
          <cell r="B434" t="str">
            <v>COMPOSIÇÃO</v>
          </cell>
          <cell r="C434">
            <v>2.4900000000000002</v>
          </cell>
          <cell r="D434" t="str">
            <v>Galeria celular em aduela pré-moldada em concreto armado, 2,50m x 2,50m (5000kg/m), assentamento e rejuntamento. Exclusive aquisição e transporte.</v>
          </cell>
          <cell r="E434">
            <v>2.4900000000000002</v>
          </cell>
          <cell r="F434" t="str">
            <v>M</v>
          </cell>
          <cell r="G434">
            <v>207.32</v>
          </cell>
          <cell r="H434" t="str">
            <v>-</v>
          </cell>
        </row>
        <row r="435">
          <cell r="A435" t="str">
            <v>DR/0106</v>
          </cell>
          <cell r="B435" t="str">
            <v>COMPOSIÇÃO</v>
          </cell>
          <cell r="C435">
            <v>1.99</v>
          </cell>
          <cell r="D435" t="str">
            <v>Galeria celular em aduela pré-moldada em concreto armado, 3,00m x 3,00m (6700kg/m), assentamento e rejuntamento. Exclusive aquisição e transporte.</v>
          </cell>
          <cell r="E435">
            <v>1.99</v>
          </cell>
          <cell r="F435" t="str">
            <v>M</v>
          </cell>
          <cell r="G435">
            <v>277.60000000000002</v>
          </cell>
          <cell r="H435" t="str">
            <v>-</v>
          </cell>
        </row>
        <row r="436">
          <cell r="A436" t="str">
            <v>DR/0110</v>
          </cell>
          <cell r="B436" t="str">
            <v>COMPOSIÇÃO</v>
          </cell>
          <cell r="C436"/>
          <cell r="D436" t="str">
            <v>Bueiro metálico sem interrupção de tráfego, no diâmetro de 1,20m, chapa metálica com revestimento Epóxi HR, espessura de chapa (aço + revestimento) 2,20mm, recobrimento máximo de 9,00m. Incluindo montagem e consolidação externa com injeção de nata de solo-cimento, fornecimento da estrutura tunnel liner. Exclusive ventilação, iluminação, escavação e bota-fora (REF. SICRO COD. 0605571)</v>
          </cell>
          <cell r="E436"/>
          <cell r="F436" t="str">
            <v>M</v>
          </cell>
          <cell r="G436">
            <v>5613.04</v>
          </cell>
          <cell r="H436" t="str">
            <v>-</v>
          </cell>
        </row>
        <row r="437">
          <cell r="A437" t="str">
            <v>DR/0115</v>
          </cell>
          <cell r="B437" t="str">
            <v>COMPOSIÇÃO</v>
          </cell>
          <cell r="C437"/>
          <cell r="D437" t="str">
            <v>Bueiro metálico sem interrupção de tráfego, no diâmetro de 1,60m, chapa metálica com revestimento Epóxi HR, espessura de chapa (aço + revestimento) 2,2mm, recobrimento máximo de 6,70m. Incluindo montagem e consolidação externa com injeção de nata de solo-cimento, fornecimento da estrutura tunnel liner. Exclusive ventilação, iluminação, escavação e bota-fora (REF. SICRO COD. 0605573)</v>
          </cell>
          <cell r="E437"/>
          <cell r="F437" t="str">
            <v>M</v>
          </cell>
          <cell r="G437">
            <v>7549.94</v>
          </cell>
          <cell r="H437" t="str">
            <v>-</v>
          </cell>
        </row>
        <row r="438">
          <cell r="A438" t="str">
            <v>DR/0120</v>
          </cell>
          <cell r="B438" t="str">
            <v>COMPOSIÇÃO</v>
          </cell>
          <cell r="C438"/>
          <cell r="D438" t="str">
            <v>Bueiro metálico sem interrupção de tráfego, no diâmetro de 1,80m, chapa metálica com revestimento Epóxi HR, espessura de chapa (aço + revestimento) 2,2mm, recobrimento máximo de 6,00m. Incluindo montagem e consolidação externa com injeção de nata de solo-cimento, fornecimento da estrutura tunnel liner. Exclusive ventilação, iluminação, escavação e bota-fora (REF. SICRO COD. 0605574)</v>
          </cell>
          <cell r="E438"/>
          <cell r="F438" t="str">
            <v>M</v>
          </cell>
          <cell r="G438">
            <v>8438.58</v>
          </cell>
          <cell r="H438" t="str">
            <v>-</v>
          </cell>
        </row>
        <row r="439">
          <cell r="A439" t="str">
            <v>DR/0125</v>
          </cell>
          <cell r="B439" t="str">
            <v>COMPOSIÇÃO</v>
          </cell>
          <cell r="C439"/>
          <cell r="D439" t="str">
            <v>Bueiro metálico sem interrupção de tráfego, no diâmetro de 2,00m, chapa metálica com revestimento Epóxi HR, espessura de chapa (aço + revestimento) 2,20mm, recobrimento máximo de 5,40m. Incluindo montagem e consolidação externa com injeção de nata de solo-cimento, fornecimento da estrutura tunnel liner. Exclusive ventilação, iluminação, escavação e bota-fora (REF. SICRO COD. 0605575)</v>
          </cell>
          <cell r="E439"/>
          <cell r="F439" t="str">
            <v>M</v>
          </cell>
          <cell r="G439">
            <v>9366.19</v>
          </cell>
          <cell r="H439" t="str">
            <v>-</v>
          </cell>
        </row>
        <row r="440">
          <cell r="A440" t="str">
            <v>DR/0130</v>
          </cell>
          <cell r="B440" t="str">
            <v>COMPOSIÇÃO</v>
          </cell>
          <cell r="C440"/>
          <cell r="D440" t="str">
            <v>Bueiro metálico sem interrupção de tráfego, no diâmetro de 2,60m, chapa metálica com revestimento Epóxi HR, espessura de chapa (aço + revestimento) 2,20mm, recobrimento máximo de 4,10m. Incluindo montagem e consolidação externa com injeção de nata de solo-cimento, fornecimento da estrutura tunnel liner. Exclusive ventilação, iluminação, escavação e bota-fora (REF. SICRO COD. 0605578)</v>
          </cell>
          <cell r="E440"/>
          <cell r="F440" t="str">
            <v>M</v>
          </cell>
          <cell r="G440">
            <v>12079.91</v>
          </cell>
          <cell r="H440" t="str">
            <v>-</v>
          </cell>
        </row>
        <row r="441">
          <cell r="A441" t="str">
            <v>DR/0135</v>
          </cell>
          <cell r="B441" t="str">
            <v>COMPOSIÇÃO</v>
          </cell>
          <cell r="C441" t="str">
            <v>DR/145</v>
          </cell>
          <cell r="D441" t="str">
            <v>PV-1 - Poço de Visita, com dimensões internas de 1,98m x 1,98m x 1,50m (bxbxh), em alvenaria de bloco de concreto estrutural FBK 14mpa, conforme projeto tipo. Exclusive pescoço e tampão</v>
          </cell>
          <cell r="E441"/>
          <cell r="F441" t="str">
            <v>UN</v>
          </cell>
          <cell r="G441">
            <v>6450.94</v>
          </cell>
          <cell r="H441" t="str">
            <v>-</v>
          </cell>
        </row>
        <row r="442">
          <cell r="A442" t="str">
            <v>DR/0140</v>
          </cell>
          <cell r="B442" t="str">
            <v>COMPOSIÇÃO</v>
          </cell>
          <cell r="C442"/>
          <cell r="D442" t="str">
            <v>PV-2 - Poço de Visita, com dimensões internas de 1,98m x 2,68m x 2,00m (bxbxh), em alvenaria de bloco de concreto estrutural FBK 14mpa, conforme projeto tipo. Exclusive pescoço e tampão</v>
          </cell>
          <cell r="E442"/>
          <cell r="F442" t="str">
            <v>UN</v>
          </cell>
          <cell r="G442">
            <v>8714.2000000000007</v>
          </cell>
          <cell r="H442" t="str">
            <v>-</v>
          </cell>
        </row>
        <row r="443">
          <cell r="A443" t="str">
            <v>DR/0145</v>
          </cell>
          <cell r="B443" t="str">
            <v>COMPOSIÇÃO</v>
          </cell>
          <cell r="C443"/>
          <cell r="D443" t="str">
            <v>PV-3 - Poço de Visita, com dimensões internas de 1,98m x 3,48m x 2,00m (bxbxh), em alvenaria de bloco de concreto estrutural FBK 14mpa, conforme projeto tipo. Exclusive pescoço e tampão</v>
          </cell>
          <cell r="E443"/>
          <cell r="F443" t="str">
            <v>UN</v>
          </cell>
          <cell r="G443">
            <v>10455.530000000001</v>
          </cell>
          <cell r="H443" t="str">
            <v>-</v>
          </cell>
        </row>
        <row r="444">
          <cell r="A444" t="str">
            <v>DR/0150</v>
          </cell>
          <cell r="B444" t="str">
            <v>COMPOSIÇÃO</v>
          </cell>
          <cell r="C444"/>
          <cell r="D444" t="str">
            <v>PV-4 - Poço de Visita, com dimensões internas de 1,98m x 4,98m x 2,00m (bxbxh), em alvenaria de bloco de concreto estrutural FBK 14mpa, conforme projeto tipo. Exclusive pescoço e tampão</v>
          </cell>
          <cell r="E444"/>
          <cell r="F444" t="str">
            <v>UN</v>
          </cell>
          <cell r="G444">
            <v>13720.53</v>
          </cell>
          <cell r="H444" t="str">
            <v>-</v>
          </cell>
        </row>
        <row r="445">
          <cell r="A445" t="str">
            <v>DR/0155</v>
          </cell>
          <cell r="B445" t="str">
            <v>COMPOSIÇÃO</v>
          </cell>
          <cell r="C445"/>
          <cell r="D445" t="str">
            <v>PV-5 - Poço de Visita, com dimensões internas de 1,98m x 6,58m x 2,00m (bxbxh), em alvenaria de bloco de concreto estrutural FBK 14mpa, conforme projeto tipo. Exclusive pescoço e tampão</v>
          </cell>
          <cell r="E445"/>
          <cell r="F445" t="str">
            <v>UN</v>
          </cell>
          <cell r="G445">
            <v>17203.2</v>
          </cell>
          <cell r="H445" t="str">
            <v>-</v>
          </cell>
        </row>
        <row r="446">
          <cell r="A446" t="str">
            <v>DR/0160</v>
          </cell>
          <cell r="B446" t="str">
            <v>COMPOSIÇÃO</v>
          </cell>
          <cell r="C446"/>
          <cell r="D446" t="str">
            <v>PV-6 - Poço de Visita, com dimensões internas de 1,98m x 8,78m x 2,00m (bxbxh), em alvenaria de bloco de concreto estrutural FBK 14mpa, conforme projeto tipo. Exclusive pescoço e tampão</v>
          </cell>
          <cell r="E446"/>
          <cell r="F446" t="str">
            <v>UN</v>
          </cell>
          <cell r="G446">
            <v>21991.87</v>
          </cell>
          <cell r="H446" t="str">
            <v>-</v>
          </cell>
        </row>
        <row r="447">
          <cell r="A447" t="str">
            <v>DR/0165</v>
          </cell>
          <cell r="B447" t="str">
            <v>COMPOSIÇÃO</v>
          </cell>
          <cell r="C447"/>
          <cell r="D447" t="str">
            <v>PV-0 - Poço de Visita Circular, com dimensão interna de Ø 0,80m, em alvenaria de tijolo comum de 1 vez assentada e revestida internamente com argamassa de cimento e areia 1:3, conforme projeto tipo. Exclusive tampão</v>
          </cell>
          <cell r="E447"/>
          <cell r="F447" t="str">
            <v>UN</v>
          </cell>
          <cell r="G447">
            <v>1703.74</v>
          </cell>
          <cell r="H447" t="str">
            <v>-</v>
          </cell>
        </row>
        <row r="448">
          <cell r="A448">
            <v>98050</v>
          </cell>
          <cell r="B448" t="str">
            <v>SINAPI</v>
          </cell>
          <cell r="C448"/>
          <cell r="D448" t="str">
            <v>Chaminé circular para poço de visita para esgoto, em concreto pré-moldado, diâmetro interno = 0,6 m. af_12/2020</v>
          </cell>
          <cell r="E448"/>
          <cell r="F448" t="str">
            <v>M</v>
          </cell>
          <cell r="G448">
            <v>301.69</v>
          </cell>
          <cell r="H448" t="str">
            <v>-</v>
          </cell>
        </row>
        <row r="449">
          <cell r="A449">
            <v>98051</v>
          </cell>
          <cell r="B449" t="str">
            <v>SINAPI</v>
          </cell>
          <cell r="C449"/>
          <cell r="D449" t="str">
            <v>Chaminé circular para poço de visita para esgoto, em alvenaria com tijolos cerâmicos maciços, diâmetro interno = 0,6 m. af_12/2020</v>
          </cell>
          <cell r="E449"/>
          <cell r="F449" t="str">
            <v>M</v>
          </cell>
          <cell r="G449">
            <v>886.57</v>
          </cell>
          <cell r="H449" t="str">
            <v>-</v>
          </cell>
        </row>
        <row r="450">
          <cell r="A450">
            <v>99318</v>
          </cell>
          <cell r="B450" t="str">
            <v>SINAPI</v>
          </cell>
          <cell r="C450"/>
          <cell r="D450" t="str">
            <v>Chaminé circular para poço de visita para drenagem, em concreto pré-moldado, diâmetro interno = 0,6 m. af_12/2020</v>
          </cell>
          <cell r="E450"/>
          <cell r="F450" t="str">
            <v>M</v>
          </cell>
          <cell r="G450">
            <v>300.72000000000003</v>
          </cell>
          <cell r="H450" t="str">
            <v>-</v>
          </cell>
        </row>
        <row r="451">
          <cell r="A451">
            <v>99319</v>
          </cell>
          <cell r="B451" t="str">
            <v>SINAPI</v>
          </cell>
          <cell r="C451"/>
          <cell r="D451" t="str">
            <v>Chaminé circular para poço de visita para drenagem, em alvenaria com tijolos cerâmicos maciços, diâmetro interno = 0,6 m. af_12/2020</v>
          </cell>
          <cell r="E451"/>
          <cell r="F451" t="str">
            <v>M</v>
          </cell>
          <cell r="G451">
            <v>822.64</v>
          </cell>
          <cell r="H451" t="str">
            <v>-</v>
          </cell>
        </row>
        <row r="452">
          <cell r="A452" t="str">
            <v>DR/0170</v>
          </cell>
          <cell r="B452" t="str">
            <v>COMPOSIÇÃO</v>
          </cell>
          <cell r="C452"/>
          <cell r="D452" t="str">
            <v>APV-1 - Acréscimo para Poço de Visita, com dimensões internas de 1,98m x 1,98m, em alvenaria de bloco de concreto estrutural FBK 14mpa, conforme projeto tipo</v>
          </cell>
          <cell r="E452"/>
          <cell r="F452" t="str">
            <v>M</v>
          </cell>
          <cell r="G452">
            <v>1597.57</v>
          </cell>
          <cell r="H452" t="str">
            <v>-</v>
          </cell>
        </row>
        <row r="453">
          <cell r="A453" t="str">
            <v>DR/0175</v>
          </cell>
          <cell r="B453" t="str">
            <v>COMPOSIÇÃO</v>
          </cell>
          <cell r="C453"/>
          <cell r="D453" t="str">
            <v>APV-2 - Acréscimo para Poço de Visita, com dimensões internas de 1,98m x 2,68m, em alvenaria de bloco de concreto estrutural FBK 14mpa, conforme projeto tipo</v>
          </cell>
          <cell r="E453"/>
          <cell r="F453" t="str">
            <v>M</v>
          </cell>
          <cell r="G453">
            <v>1847.43</v>
          </cell>
          <cell r="H453" t="str">
            <v>-</v>
          </cell>
        </row>
        <row r="454">
          <cell r="A454" t="str">
            <v>DR/0180</v>
          </cell>
          <cell r="B454" t="str">
            <v>COMPOSIÇÃO</v>
          </cell>
          <cell r="C454"/>
          <cell r="D454" t="str">
            <v>APV-3 - Acréscimo para Poço de Visita, com dimensões internas de 1,98m x 3,48m, em alvenaria de bloco de concreto estrutural FBK 14mpa, conforme projeto tipo</v>
          </cell>
          <cell r="E454"/>
          <cell r="F454" t="str">
            <v>M</v>
          </cell>
          <cell r="G454">
            <v>2132.98</v>
          </cell>
          <cell r="H454" t="str">
            <v>-</v>
          </cell>
        </row>
        <row r="455">
          <cell r="A455" t="str">
            <v>DR/0185</v>
          </cell>
          <cell r="B455" t="str">
            <v>COMPOSIÇÃO</v>
          </cell>
          <cell r="C455"/>
          <cell r="D455" t="str">
            <v>APV-4 - Acréscimo para Poço de Visita, com dimensões internas de 1,98m x 4,98m, em alvenaria de bloco de concreto estrutural FBK 14mpa, conforme projeto tipo</v>
          </cell>
          <cell r="E455"/>
          <cell r="F455" t="str">
            <v>M</v>
          </cell>
          <cell r="G455">
            <v>2668.39</v>
          </cell>
          <cell r="H455" t="str">
            <v>-</v>
          </cell>
        </row>
        <row r="456">
          <cell r="A456" t="str">
            <v>DR/0190</v>
          </cell>
          <cell r="B456" t="str">
            <v>COMPOSIÇÃO</v>
          </cell>
          <cell r="C456"/>
          <cell r="D456" t="str">
            <v>APV-5 - Acréscimo para Poço de Visita, com dimensões internas de 1,98m x 6,58m, em alvenaria de bloco de concreto estrutural FBK 14mpa, conforme projeto tipo</v>
          </cell>
          <cell r="E456"/>
          <cell r="F456" t="str">
            <v>M</v>
          </cell>
          <cell r="G456">
            <v>3239.5</v>
          </cell>
          <cell r="H456" t="str">
            <v>-</v>
          </cell>
        </row>
        <row r="457">
          <cell r="A457" t="str">
            <v>DR/0195</v>
          </cell>
          <cell r="B457" t="str">
            <v>COMPOSIÇÃO</v>
          </cell>
          <cell r="C457"/>
          <cell r="D457" t="str">
            <v>APV-6 - Acréscimo para Poço de Visita, com dimensões internas de 1,98m x 8,78m, em alvenaria de bloco de concreto estrutural FBK 14mpa, conforme projeto tipo</v>
          </cell>
          <cell r="E457"/>
          <cell r="F457" t="str">
            <v>M</v>
          </cell>
          <cell r="G457">
            <v>4024.77</v>
          </cell>
          <cell r="H457" t="str">
            <v>-</v>
          </cell>
        </row>
        <row r="458">
          <cell r="A458" t="str">
            <v>DR/0200</v>
          </cell>
          <cell r="B458" t="str">
            <v>COMPOSIÇÃO</v>
          </cell>
          <cell r="C458"/>
          <cell r="D458" t="str">
            <v>Antecâmara para poço de visita, com dimensões internas de 1,98m x 1,00m x 1,50m (bxbxh), em alvenaria de bloco de concreto estrutural FBK 14mpa, conforme projeto tipo</v>
          </cell>
          <cell r="E458"/>
          <cell r="F458" t="str">
            <v>UN</v>
          </cell>
          <cell r="G458">
            <v>2574.4899999999998</v>
          </cell>
          <cell r="H458" t="str">
            <v>-</v>
          </cell>
        </row>
        <row r="459">
          <cell r="A459" t="str">
            <v>DR/0205</v>
          </cell>
          <cell r="B459" t="str">
            <v>COMPOSIÇÃO</v>
          </cell>
          <cell r="C459"/>
          <cell r="D459" t="str">
            <v>CP-1 - Caixa de Passagem, com dimensões internas de  1,92m x 1,92m x 1,60m (bxbxh), em alvenaria de bloco de concreto estrutural FBK 8 MPa, conforme projeto tipo</v>
          </cell>
          <cell r="E459"/>
          <cell r="F459" t="str">
            <v>UN</v>
          </cell>
          <cell r="G459">
            <v>6144.05</v>
          </cell>
          <cell r="H459" t="str">
            <v>-</v>
          </cell>
        </row>
        <row r="460">
          <cell r="A460" t="str">
            <v>DR/0210</v>
          </cell>
          <cell r="B460" t="str">
            <v>COMPOSIÇÃO</v>
          </cell>
          <cell r="C460"/>
          <cell r="D460" t="str">
            <v>CP-2 - Caixa de Passagem, com dimensões internas de  1,92m x 2,82m x 2,00m (bxbxh), em alvenaria de bloco de concreto estrutural FBK 8 MPa, conforme projeto tipo</v>
          </cell>
          <cell r="E460"/>
          <cell r="F460" t="str">
            <v>UN</v>
          </cell>
          <cell r="G460">
            <v>8795.73</v>
          </cell>
          <cell r="H460" t="str">
            <v>-</v>
          </cell>
        </row>
        <row r="461">
          <cell r="A461" t="str">
            <v>DR/0215</v>
          </cell>
          <cell r="B461" t="str">
            <v>COMPOSIÇÃO</v>
          </cell>
          <cell r="C461"/>
          <cell r="D461" t="str">
            <v>CP-3 - Caixa de Passagem, com dimensões internas de 1,98m x 3,48m x 2,00m (bxbxh), em alvenaria de bloco de concreto estrutural FBK 14mpa, conforme projeto tipo</v>
          </cell>
          <cell r="E461"/>
          <cell r="F461" t="str">
            <v>UN</v>
          </cell>
          <cell r="G461">
            <v>10292.299999999999</v>
          </cell>
          <cell r="H461" t="str">
            <v>-</v>
          </cell>
        </row>
        <row r="462">
          <cell r="A462" t="str">
            <v>DR/0220</v>
          </cell>
          <cell r="B462" t="str">
            <v>COMPOSIÇÃO</v>
          </cell>
          <cell r="C462"/>
          <cell r="D462" t="str">
            <v>CP-4 - Caixa de Passagem, com dimensões internas de 1,98m x 4,98m x 2,00m (bxbxh), em alvenaria de bloco de concreto estrutural FBK 14mpa, conforme projeto tipo</v>
          </cell>
          <cell r="E462"/>
          <cell r="F462" t="str">
            <v>UN</v>
          </cell>
          <cell r="G462">
            <v>13512.46</v>
          </cell>
          <cell r="H462" t="str">
            <v>-</v>
          </cell>
        </row>
        <row r="463">
          <cell r="A463" t="str">
            <v>DR/0225</v>
          </cell>
          <cell r="B463" t="str">
            <v>COMPOSIÇÃO</v>
          </cell>
          <cell r="C463"/>
          <cell r="D463" t="str">
            <v>CP-5 - Caixa de Passagem, com dimensões internas de 1,98m x 6,58m x 2,00m (bxbxh), em alvenaria de bloco de concreto estrutural FBK 14mpa, conforme projeto tipo</v>
          </cell>
          <cell r="E463"/>
          <cell r="F463" t="str">
            <v>UN</v>
          </cell>
          <cell r="G463">
            <v>15455.5</v>
          </cell>
          <cell r="H463" t="str">
            <v>-</v>
          </cell>
        </row>
        <row r="464">
          <cell r="A464" t="str">
            <v>DR/0230</v>
          </cell>
          <cell r="B464" t="str">
            <v>COMPOSIÇÃO</v>
          </cell>
          <cell r="C464"/>
          <cell r="D464" t="str">
            <v>CP-6 - Caixa de Passagem, com dimensões internas de  1,98m x 8,78m x 2,00m (bxbxh), em alvenaria de bloco de concreto estrutural FBK 14mpa, conforme projeto tipo</v>
          </cell>
          <cell r="E464"/>
          <cell r="F464" t="str">
            <v>UN</v>
          </cell>
          <cell r="G464">
            <v>19818.650000000001</v>
          </cell>
          <cell r="H464" t="str">
            <v>-</v>
          </cell>
        </row>
        <row r="465">
          <cell r="A465" t="str">
            <v>DR/0235</v>
          </cell>
          <cell r="B465" t="str">
            <v>COMPOSIÇÃO</v>
          </cell>
          <cell r="C465"/>
          <cell r="D465" t="str">
            <v>CC 1 - Caixa Coletora  2,32x2,32m, com dimensões internas de 2,32m x 2,32m x 1,50m (bxbxh), em alvenaria de bloco de concreto estrutural FBK 14mpa, inclusive grelha (0,60X0,6)m no centro, conforme projeto tipo. Exclusive pescoço.</v>
          </cell>
          <cell r="E465"/>
          <cell r="F465" t="str">
            <v>UN</v>
          </cell>
          <cell r="G465">
            <v>4680.1899999999996</v>
          </cell>
          <cell r="H465" t="str">
            <v>-</v>
          </cell>
        </row>
        <row r="466">
          <cell r="A466" t="str">
            <v>DR/0240</v>
          </cell>
          <cell r="B466" t="str">
            <v>CRIAR COMPOSIÇÃO</v>
          </cell>
          <cell r="C466"/>
          <cell r="D466" t="str">
            <v>CC 2 - Caixa Coletora  1,70 x 1,70m, inclusive grelha, conforme projeto tipo</v>
          </cell>
          <cell r="E466"/>
          <cell r="F466" t="str">
            <v>-</v>
          </cell>
          <cell r="G466" t="str">
            <v>-</v>
          </cell>
          <cell r="H466" t="str">
            <v>-</v>
          </cell>
        </row>
        <row r="467">
          <cell r="A467" t="str">
            <v>DR/0245</v>
          </cell>
          <cell r="B467" t="str">
            <v>COMPOSIÇÃO</v>
          </cell>
          <cell r="C467"/>
          <cell r="D467" t="str">
            <v xml:space="preserve">Caixa de inspeção, conjugada com boca de lobo no passeio, em concreto armado FCK 20 mpa, incluindo forma, escavação, laje e tampão em F°F° para passeio 47 x 70cm, conforme projeto </v>
          </cell>
          <cell r="E467"/>
          <cell r="F467" t="str">
            <v>UN</v>
          </cell>
          <cell r="G467">
            <v>5313.39</v>
          </cell>
          <cell r="H467" t="str">
            <v>-</v>
          </cell>
        </row>
        <row r="468">
          <cell r="A468" t="str">
            <v>DR/0250</v>
          </cell>
          <cell r="B468" t="str">
            <v>COMPOSIÇÃO</v>
          </cell>
          <cell r="C468"/>
          <cell r="D468" t="str">
            <v xml:space="preserve">BLSP - Boca-de-lobo simples com caixa no passeio, em concreto simples FCK 20 mpa, incluindo forma, escavação, laje e tampão em F°F° para passeio 47 x 70cm, conforme projeto </v>
          </cell>
          <cell r="E468" t="str">
            <v>BOCA DE LOBO
no passeio</v>
          </cell>
          <cell r="F468" t="str">
            <v>UN</v>
          </cell>
          <cell r="G468">
            <v>1417.45</v>
          </cell>
          <cell r="H468" t="str">
            <v>-</v>
          </cell>
        </row>
        <row r="469">
          <cell r="A469" t="str">
            <v>DR/0255</v>
          </cell>
          <cell r="B469" t="str">
            <v>COMPOSIÇÃO</v>
          </cell>
          <cell r="C469"/>
          <cell r="D469" t="str">
            <v xml:space="preserve">BLDP - Boca-de-lobo dupla com caixa no passeio, em concreto simples FCK 20 mpa, incluindo forma, escavação, laje e tampão em F°F° para passeio 47 x 70cm, conforme projeto </v>
          </cell>
          <cell r="E469"/>
          <cell r="F469" t="str">
            <v>UN</v>
          </cell>
          <cell r="G469">
            <v>2372.15</v>
          </cell>
          <cell r="H469" t="str">
            <v>-</v>
          </cell>
        </row>
        <row r="470">
          <cell r="A470" t="str">
            <v>DR/0260</v>
          </cell>
          <cell r="B470" t="str">
            <v>COMPOSIÇÃO</v>
          </cell>
          <cell r="C470"/>
          <cell r="D470" t="str">
            <v xml:space="preserve">BLTP - Boca-de-lobo tripla com caixa no passeio, em concreto simples FCK 20 mpa, incluindo forma, escavação, laje e tampão em F°F° para passeio 47 x 70cm, conforme projeto </v>
          </cell>
          <cell r="E470"/>
          <cell r="F470" t="str">
            <v>UN</v>
          </cell>
          <cell r="G470">
            <v>3326.24</v>
          </cell>
          <cell r="H470" t="str">
            <v>-</v>
          </cell>
        </row>
        <row r="471">
          <cell r="A471" t="str">
            <v>DR/0265</v>
          </cell>
          <cell r="B471" t="str">
            <v>COMPOSIÇÃO</v>
          </cell>
          <cell r="C471"/>
          <cell r="D471" t="str">
            <v xml:space="preserve">BLSC - Boca-de-lobo simples em concreto simples FCK 20 mpa, incluindo forma, escavação, sarjeta de contorno (chama) em concreto e grelha em F°F° tipo pesada, conforme projeto </v>
          </cell>
          <cell r="E471" t="str">
            <v>BOCA DE LOBO
em concreto</v>
          </cell>
          <cell r="F471" t="str">
            <v>UN</v>
          </cell>
          <cell r="G471">
            <v>1679.55</v>
          </cell>
          <cell r="H471" t="str">
            <v>-</v>
          </cell>
        </row>
        <row r="472">
          <cell r="A472" t="str">
            <v>DR/0267</v>
          </cell>
          <cell r="B472" t="str">
            <v>COMPOSIÇÃO</v>
          </cell>
          <cell r="C472"/>
          <cell r="D472" t="str">
            <v xml:space="preserve">BLEC - Boca-de-lobo especial em concreto estrutural FCK 30 mpa, incluindo forma, escavação, grelha de concreto pré-moldada e instalação no local, conforme projeto </v>
          </cell>
          <cell r="E472"/>
          <cell r="F472" t="str">
            <v>UN</v>
          </cell>
          <cell r="G472">
            <v>721.34</v>
          </cell>
          <cell r="H472" t="str">
            <v>-</v>
          </cell>
        </row>
        <row r="473">
          <cell r="A473" t="str">
            <v>DR/0270</v>
          </cell>
          <cell r="B473" t="str">
            <v>COMPOSIÇÃO</v>
          </cell>
          <cell r="C473"/>
          <cell r="D473" t="str">
            <v xml:space="preserve">BLDC - Boca-de-lobo dupla em concreto simples FCK 20 mpa, incluindo forma, escavação, sarjeta de contorno (chama) em concreto e grelhas em F°F° tipo pesada, conforme projeto </v>
          </cell>
          <cell r="E473"/>
          <cell r="F473" t="str">
            <v>UN</v>
          </cell>
          <cell r="G473">
            <v>3154.14</v>
          </cell>
          <cell r="H473" t="str">
            <v>-</v>
          </cell>
        </row>
        <row r="474">
          <cell r="A474" t="str">
            <v>DR/0275</v>
          </cell>
          <cell r="B474" t="str">
            <v>COMPOSIÇÃO</v>
          </cell>
          <cell r="C474"/>
          <cell r="D474" t="str">
            <v xml:space="preserve">BLTC - Boca-de-lobo tripla em concreto simples FCK 20 mpa, incluindo forma, escavação, sarjeta de contorno (chama) em concreto e grelhas em F°F° tipo pesada, conforme projeto </v>
          </cell>
          <cell r="E474"/>
          <cell r="F474" t="str">
            <v>UN</v>
          </cell>
          <cell r="G474">
            <v>4628.8900000000003</v>
          </cell>
          <cell r="H474" t="str">
            <v>-</v>
          </cell>
        </row>
        <row r="475">
          <cell r="A475" t="str">
            <v>DR/0280</v>
          </cell>
          <cell r="B475" t="str">
            <v>COMPOSIÇÃO</v>
          </cell>
          <cell r="C475"/>
          <cell r="D475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75" t="str">
            <v>BOCA DE LOBO
reforma</v>
          </cell>
          <cell r="F475" t="str">
            <v>UN</v>
          </cell>
          <cell r="G475">
            <v>963.05</v>
          </cell>
          <cell r="H475" t="str">
            <v>-</v>
          </cell>
        </row>
        <row r="476">
          <cell r="A476" t="str">
            <v>DR/0285</v>
          </cell>
          <cell r="B476" t="str">
            <v>COMPOSIÇÃO</v>
          </cell>
          <cell r="C476"/>
          <cell r="D476" t="str">
            <v>Reforma de boca de lobo dupla, incluindo demolições, reconstrução da sarjeta de contorno (chama) em concreto simples FCK 20mpa, duas guias chapéu pré-moldadas e duas grelhas articuladas em F°F° tipo pesada, conforme projeto tipo</v>
          </cell>
          <cell r="E476"/>
          <cell r="F476" t="str">
            <v>UN</v>
          </cell>
          <cell r="G476">
            <v>1806.99</v>
          </cell>
          <cell r="H476" t="str">
            <v>-</v>
          </cell>
        </row>
        <row r="477">
          <cell r="A477" t="str">
            <v>DR/0290</v>
          </cell>
          <cell r="B477" t="str">
            <v>COMPOSIÇÃO</v>
          </cell>
          <cell r="C477"/>
          <cell r="D477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77"/>
          <cell r="F477" t="str">
            <v>UN</v>
          </cell>
          <cell r="G477">
            <v>2650.83</v>
          </cell>
          <cell r="H477" t="str">
            <v>-</v>
          </cell>
        </row>
        <row r="478">
          <cell r="A478" t="str">
            <v>DR/0292</v>
          </cell>
          <cell r="B478" t="str">
            <v>COMPOSIÇÃO</v>
          </cell>
          <cell r="C478" t="str">
            <v>73882/1</v>
          </cell>
          <cell r="D478" t="str">
            <v>Meia cana em concreto simples, D = 0,20m (35kg/m), PB, Classe P-1, fornecimento, assentamento e rejuntamento, ref SINAPI 73882/001, data: 01/2020</v>
          </cell>
          <cell r="E478"/>
          <cell r="F478" t="str">
            <v>M</v>
          </cell>
          <cell r="G478">
            <v>36.950000000000003</v>
          </cell>
          <cell r="H478" t="str">
            <v>-</v>
          </cell>
        </row>
        <row r="479">
          <cell r="A479" t="str">
            <v>DR/0295</v>
          </cell>
          <cell r="B479" t="str">
            <v>COMPOSIÇÃO</v>
          </cell>
          <cell r="C479" t="str">
            <v>73882/3</v>
          </cell>
          <cell r="D479" t="str">
            <v>Meia cana em concreto simples, D = 0,40m (90kg/m), PB, Classe P-1, fornecimento, assentamento e rejuntamento, ref SINAPI 73882/003, data: 08/2016</v>
          </cell>
          <cell r="E479"/>
          <cell r="F479" t="str">
            <v>M</v>
          </cell>
          <cell r="G479">
            <v>57.83</v>
          </cell>
          <cell r="H479" t="str">
            <v>-</v>
          </cell>
        </row>
        <row r="480">
          <cell r="A480" t="str">
            <v>DR/0296</v>
          </cell>
          <cell r="B480" t="str">
            <v>COMPOSIÇÃO</v>
          </cell>
          <cell r="C480" t="str">
            <v>73882/5</v>
          </cell>
          <cell r="D480" t="str">
            <v>Meia cana em concreto simples, D = 0,60m (174kg/m), PB, Classe P-1, fornecimento, assentamento e rejuntamento, ref SINAPI 73882/005, data: 01/2020</v>
          </cell>
          <cell r="E480"/>
          <cell r="F480" t="str">
            <v>M</v>
          </cell>
          <cell r="G480">
            <v>119.6</v>
          </cell>
          <cell r="H480" t="str">
            <v>-</v>
          </cell>
        </row>
        <row r="481">
          <cell r="A481" t="str">
            <v>DR/0300</v>
          </cell>
          <cell r="B481" t="str">
            <v>COMPOSIÇÃO</v>
          </cell>
          <cell r="C481"/>
          <cell r="D481" t="str">
            <v>Valeta de concreto com concreto moldado in loco, acabamento convencional, armado, com seção trapezoidal 1,00m x 0,30m (b x h), espessura 6cm, com junta seca de dilatação a cada 3m</v>
          </cell>
          <cell r="E481"/>
          <cell r="F481" t="str">
            <v>M</v>
          </cell>
          <cell r="G481">
            <v>123.31</v>
          </cell>
          <cell r="H481" t="str">
            <v>-</v>
          </cell>
        </row>
        <row r="482">
          <cell r="A482" t="str">
            <v>DR/0305</v>
          </cell>
          <cell r="B482" t="str">
            <v>COMPOSIÇÃO</v>
          </cell>
          <cell r="C482">
            <v>0.308</v>
          </cell>
          <cell r="D482" t="str">
            <v>Boca-de-bueiro simples tubular - BBST  D = 0,40m, em concreto ciclópico com 30% de pedra-de-mão, conforme projeto tipo (0,66m³/un)</v>
          </cell>
          <cell r="E482"/>
          <cell r="F482" t="str">
            <v xml:space="preserve">UN </v>
          </cell>
          <cell r="G482">
            <v>1187.46</v>
          </cell>
          <cell r="H482" t="str">
            <v>-</v>
          </cell>
        </row>
        <row r="483">
          <cell r="A483">
            <v>102737</v>
          </cell>
          <cell r="B483" t="str">
            <v>SINAPI</v>
          </cell>
          <cell r="C483" t="str">
            <v>73856/1</v>
          </cell>
          <cell r="D483" t="str">
            <v>Boca para bueiro simples tubular D = 40 cm em concreto, alas com esconsidade de 0°, incluindo fôrmas e materiais. AF_07/2021</v>
          </cell>
          <cell r="E483"/>
          <cell r="F483" t="str">
            <v>UN</v>
          </cell>
          <cell r="G483">
            <v>1074.6500000000001</v>
          </cell>
          <cell r="H483" t="str">
            <v>-</v>
          </cell>
        </row>
        <row r="484">
          <cell r="A484">
            <v>102738</v>
          </cell>
          <cell r="B484" t="str">
            <v>SINAPI</v>
          </cell>
          <cell r="C484" t="str">
            <v>73856/2</v>
          </cell>
          <cell r="D484" t="str">
            <v>Boca para bueiro simples tubular D = 60 cm em concreto, alas com esconsidade de 0°, incluindo fôrmas e materiais. AF_07/2021</v>
          </cell>
          <cell r="E484"/>
          <cell r="F484" t="str">
            <v>UN</v>
          </cell>
          <cell r="G484">
            <v>2214.9</v>
          </cell>
          <cell r="H484" t="str">
            <v>-</v>
          </cell>
        </row>
        <row r="485">
          <cell r="A485" t="str">
            <v>DR/0310</v>
          </cell>
          <cell r="B485" t="str">
            <v>COMPOSIÇÃO</v>
          </cell>
          <cell r="C485">
            <v>0.59099999999999997</v>
          </cell>
          <cell r="D485" t="str">
            <v>Boca-de-bueiro simples tubular - BBST  D = 0,60m, em concreto ciclópico com 30% de pedra-de-mão, conforme projeto tipo (1,24m³/un)</v>
          </cell>
          <cell r="E485"/>
          <cell r="F485" t="str">
            <v xml:space="preserve">UN </v>
          </cell>
          <cell r="G485">
            <v>1918.03</v>
          </cell>
          <cell r="H485" t="str">
            <v>-</v>
          </cell>
        </row>
        <row r="486">
          <cell r="A486">
            <v>102739</v>
          </cell>
          <cell r="B486" t="str">
            <v>SINAPI</v>
          </cell>
          <cell r="C486" t="str">
            <v>73856/3</v>
          </cell>
          <cell r="D486" t="str">
            <v>Boca para bueiro simples tubular D = 80 cm em concreto, alas com esconsidade de 0°, incluindo fôrmas e materiais. AF_07/2021</v>
          </cell>
          <cell r="E486"/>
          <cell r="F486" t="str">
            <v>UN</v>
          </cell>
          <cell r="G486">
            <v>3724.11</v>
          </cell>
          <cell r="H486" t="str">
            <v>-</v>
          </cell>
        </row>
        <row r="487">
          <cell r="A487" t="str">
            <v>DR/0315</v>
          </cell>
          <cell r="B487" t="str">
            <v>COMPOSIÇÃO</v>
          </cell>
          <cell r="C487">
            <v>0.99199999999999999</v>
          </cell>
          <cell r="D487" t="str">
            <v>Boca-de-bueiro simples tubular - BBST  D = 0,80m, em concreto ciclópico com 30% de pedra-de-mão, conforme projeto tipo (2,23m³/un)</v>
          </cell>
          <cell r="E487"/>
          <cell r="F487" t="str">
            <v xml:space="preserve">UN </v>
          </cell>
          <cell r="G487">
            <v>3035.5</v>
          </cell>
          <cell r="H487" t="str">
            <v>-</v>
          </cell>
        </row>
        <row r="488">
          <cell r="A488" t="str">
            <v>DR/0320</v>
          </cell>
          <cell r="B488" t="str">
            <v>COMPOSIÇÃO</v>
          </cell>
          <cell r="C488">
            <v>1.5289999999999999</v>
          </cell>
          <cell r="D488" t="str">
            <v>Boca-de-bueiro simples tubular - BBST  D = 1,00m, em concreto ciclópico com 30% de pedra-de-mão, conforme projeto tipo (3,63m³/un)</v>
          </cell>
          <cell r="E488"/>
          <cell r="F488" t="str">
            <v xml:space="preserve">UN </v>
          </cell>
          <cell r="G488">
            <v>4474.6899999999996</v>
          </cell>
          <cell r="H488" t="str">
            <v>-</v>
          </cell>
        </row>
        <row r="489">
          <cell r="A489">
            <v>102740</v>
          </cell>
          <cell r="B489" t="str">
            <v>SINAPI</v>
          </cell>
          <cell r="C489" t="str">
            <v>73856/4</v>
          </cell>
          <cell r="D489" t="str">
            <v>Boca para bueiro simples tubular D = 100 cm em concreto, alas com esconsidade de 0°, incluindo fôrmas e materiais. AF_07/2021</v>
          </cell>
          <cell r="E489"/>
          <cell r="F489" t="str">
            <v>UN</v>
          </cell>
          <cell r="G489">
            <v>5601.54</v>
          </cell>
          <cell r="H489" t="str">
            <v>-</v>
          </cell>
        </row>
        <row r="490">
          <cell r="A490" t="str">
            <v>DR/0325</v>
          </cell>
          <cell r="B490" t="str">
            <v>COMPOSIÇÃO</v>
          </cell>
          <cell r="C490">
            <v>2.16</v>
          </cell>
          <cell r="D490" t="str">
            <v>Boca-de-bueiro simples tubular - BBST  D = 1,20m, em concreto ciclópico com 30% de pedra-de-mão, conforme projeto tipo (5,40m³/un)</v>
          </cell>
          <cell r="E490"/>
          <cell r="F490" t="str">
            <v xml:space="preserve">UN </v>
          </cell>
          <cell r="G490">
            <v>6168.49</v>
          </cell>
          <cell r="H490" t="str">
            <v>-</v>
          </cell>
        </row>
        <row r="491">
          <cell r="A491" t="str">
            <v>DR/0330</v>
          </cell>
          <cell r="B491" t="str">
            <v>COMPOSIÇÃO</v>
          </cell>
          <cell r="C491"/>
          <cell r="D491" t="str">
            <v>Boca-de-bueiro simples tubular - BBST  D = 1,50m, em concreto ciclópico com 30% de pedra-de-mão, conforme projeto tipo (8,95m³/un)</v>
          </cell>
          <cell r="E491"/>
          <cell r="F491" t="str">
            <v xml:space="preserve">UN </v>
          </cell>
          <cell r="G491">
            <v>9343.9699999999993</v>
          </cell>
          <cell r="H491" t="str">
            <v>-</v>
          </cell>
        </row>
        <row r="492">
          <cell r="A492" t="str">
            <v>DR/0335</v>
          </cell>
          <cell r="B492" t="str">
            <v>COMPOSIÇÃO</v>
          </cell>
          <cell r="C492"/>
          <cell r="D492" t="str">
            <v>Boca-de-bueiro simples celular - 1,50m x 1,50m, em concreto armado FCK 20 mpa, conforme projeto tipo (REF. SICRO COD. 0705225)</v>
          </cell>
          <cell r="E492"/>
          <cell r="F492" t="str">
            <v xml:space="preserve">UN </v>
          </cell>
          <cell r="G492">
            <v>18765.240000000002</v>
          </cell>
          <cell r="H492" t="str">
            <v>-</v>
          </cell>
        </row>
        <row r="493">
          <cell r="A493" t="str">
            <v>DR/0340</v>
          </cell>
          <cell r="B493" t="str">
            <v>COMPOSIÇÃO</v>
          </cell>
          <cell r="C493"/>
          <cell r="D493" t="str">
            <v>Boca-de-bueiro simples celular - 2,00m x 2,00m, em concreto armado FCK 20 mpa, conforme projeto tipo (REF. SICRO COD. 0705233)</v>
          </cell>
          <cell r="E493"/>
          <cell r="F493" t="str">
            <v xml:space="preserve">UN </v>
          </cell>
          <cell r="G493">
            <v>28405.47</v>
          </cell>
          <cell r="H493" t="str">
            <v>-</v>
          </cell>
        </row>
        <row r="494">
          <cell r="A494" t="str">
            <v>DR/0341</v>
          </cell>
          <cell r="B494" t="str">
            <v>COMPOSIÇÃO</v>
          </cell>
          <cell r="C494"/>
          <cell r="D494" t="str">
            <v>Boca de BTCC 2,00 x 2,00 m - esconsidade 0° - areia e brita comerciais, conforme projeto tipo (REF. SICRO COD. 0705411)</v>
          </cell>
          <cell r="E494"/>
          <cell r="F494" t="str">
            <v xml:space="preserve">UN </v>
          </cell>
          <cell r="G494">
            <v>31039.5</v>
          </cell>
          <cell r="H494" t="str">
            <v>-</v>
          </cell>
        </row>
        <row r="495">
          <cell r="A495" t="str">
            <v>DR/0345</v>
          </cell>
          <cell r="B495" t="str">
            <v>COMPOSIÇÃO</v>
          </cell>
          <cell r="C495"/>
          <cell r="D495" t="str">
            <v>Boca-de-bueiro simples celular - 2,50m x 2,50m, em concreto armado FCK 20 mpa, conforme projeto tipo (REF. SICRO COD. 0705238)</v>
          </cell>
          <cell r="E495"/>
          <cell r="F495" t="str">
            <v xml:space="preserve">UN </v>
          </cell>
          <cell r="G495">
            <v>37769</v>
          </cell>
          <cell r="H495" t="str">
            <v>-</v>
          </cell>
        </row>
        <row r="496">
          <cell r="A496" t="str">
            <v>DR/0350</v>
          </cell>
          <cell r="B496" t="str">
            <v>COMPOSIÇÃO</v>
          </cell>
          <cell r="C496"/>
          <cell r="D496" t="str">
            <v>Boca-de-bueiro simples celular - 3,00m x 3,00m, em concreto armado FCK 20 mpa, conforme projeto tipo (REF. SICRO COD. 0705249)</v>
          </cell>
          <cell r="E496"/>
          <cell r="F496" t="str">
            <v xml:space="preserve">UN </v>
          </cell>
          <cell r="G496">
            <v>52289.93</v>
          </cell>
          <cell r="H496" t="str">
            <v>-</v>
          </cell>
        </row>
        <row r="497">
          <cell r="A497" t="str">
            <v>DR/0355</v>
          </cell>
          <cell r="B497" t="str">
            <v>COMPOSIÇÃO</v>
          </cell>
          <cell r="C497">
            <v>53</v>
          </cell>
          <cell r="D497" t="str">
            <v>Tampão F°F° articulado, classe D400, carga máxima 40 T, redondo tampa 600 mm para rede pluvial/esgoto. Incluindo fornecimento, assentamento e requadro em concreto FCK 20mpa, de 1,00m x 1,00m x 0,20m</v>
          </cell>
          <cell r="E497"/>
          <cell r="F497" t="str">
            <v xml:space="preserve">UN </v>
          </cell>
          <cell r="G497">
            <v>753.76</v>
          </cell>
          <cell r="H497" t="str">
            <v>-</v>
          </cell>
        </row>
        <row r="498">
          <cell r="A498" t="str">
            <v>DR/0360</v>
          </cell>
          <cell r="B498" t="str">
            <v>COTAÇÃO - SEL</v>
          </cell>
          <cell r="C498"/>
          <cell r="D498" t="str">
            <v>Tampão F°F° articulado, classe D400, carga máxima 40 T, redondo tampa 600 mm para rede pluvial/esgoto, NBR 10160 e NBR 6916 / FE 42012</v>
          </cell>
          <cell r="E498" t="str">
            <v>SEL-012</v>
          </cell>
          <cell r="F498" t="str">
            <v xml:space="preserve">UN </v>
          </cell>
          <cell r="G498">
            <v>549.15</v>
          </cell>
          <cell r="H498" t="str">
            <v>-</v>
          </cell>
        </row>
        <row r="499">
          <cell r="A499">
            <v>11301</v>
          </cell>
          <cell r="B499" t="str">
            <v>SINAPI</v>
          </cell>
          <cell r="C499">
            <v>42.5</v>
          </cell>
          <cell r="D499" t="str">
            <v>Tampão FºFº articulado, classe B125 carga máxima 12,5 T, redondo taMPA 0,60 m, rede pluvial/esgoto. Exclusive assentamento</v>
          </cell>
          <cell r="E499"/>
          <cell r="F499" t="str">
            <v xml:space="preserve">UN    </v>
          </cell>
          <cell r="G499">
            <v>629.09</v>
          </cell>
          <cell r="H499" t="str">
            <v>-</v>
          </cell>
        </row>
        <row r="500">
          <cell r="A500">
            <v>98114</v>
          </cell>
          <cell r="B500" t="str">
            <v>SINAPI</v>
          </cell>
          <cell r="C500">
            <v>83627</v>
          </cell>
          <cell r="D500" t="str">
            <v>Tampão FºFº articulado, classe B125 carga máxima 12,5 T, redondo taMPA 0,60 m, rede pluvial/esgoto, para chaminé, caixa de areia e poço visita assentado com concreto FCK = 20MPA, fornecimento e assentamento</v>
          </cell>
          <cell r="E500"/>
          <cell r="F500" t="str">
            <v>UN</v>
          </cell>
          <cell r="G500">
            <v>681.46</v>
          </cell>
          <cell r="H500" t="str">
            <v>-</v>
          </cell>
        </row>
        <row r="501">
          <cell r="A501" t="str">
            <v>DR/0365</v>
          </cell>
          <cell r="B501" t="str">
            <v>COMPOSIÇÃO</v>
          </cell>
          <cell r="C501"/>
          <cell r="D501" t="str">
            <v>Substituição de tampão de PV, incluindo fornecimento de tampão de FºFº articulado, Classe B400, carga máxima 40 T, redondo tampa 600 mm para rede pluvial/esgoto, e requadro em concreto simples FCK 20mpa, de 1,00m x 1,00m x 0,20m</v>
          </cell>
          <cell r="E501"/>
          <cell r="F501" t="str">
            <v xml:space="preserve">UN </v>
          </cell>
          <cell r="G501">
            <v>816.13</v>
          </cell>
          <cell r="H501" t="str">
            <v>-</v>
          </cell>
        </row>
        <row r="502">
          <cell r="A502" t="str">
            <v>DR/0370</v>
          </cell>
          <cell r="B502" t="str">
            <v>COMPOSIÇÃO</v>
          </cell>
          <cell r="C502"/>
          <cell r="D502" t="str">
            <v>Remoção e reassentamento de tampão em F°F° para PV, com  reaproveitamento, incluindo recorte, demolição e requadro em concreto simples FCK 20mpa, de 1,00m x 1,00m x 0,20m</v>
          </cell>
          <cell r="E502"/>
          <cell r="F502" t="str">
            <v xml:space="preserve">UN </v>
          </cell>
          <cell r="G502">
            <v>204.61</v>
          </cell>
          <cell r="H502" t="str">
            <v>-</v>
          </cell>
        </row>
        <row r="503">
          <cell r="A503" t="str">
            <v>DR/0375</v>
          </cell>
          <cell r="B503" t="str">
            <v>COMPOSIÇÃO</v>
          </cell>
          <cell r="C503"/>
          <cell r="D503" t="str">
            <v>Grelha articulada fofo articulada, classe D400, carga máxima 40 T, 415 x 955 mm, para boca de lobo, NBR 10160 e NBR 6916 / FE 42012 - fornecimento e assentamento</v>
          </cell>
          <cell r="E503"/>
          <cell r="F503" t="str">
            <v xml:space="preserve">UN </v>
          </cell>
          <cell r="G503">
            <v>833.03</v>
          </cell>
          <cell r="H503" t="str">
            <v>-</v>
          </cell>
        </row>
        <row r="504">
          <cell r="A504" t="str">
            <v>DR/0380</v>
          </cell>
          <cell r="B504" t="str">
            <v>COTAÇÃO - SEL</v>
          </cell>
          <cell r="C504"/>
          <cell r="D504" t="str">
            <v>Grelha articulada fofo articulada, classe D400, carga máxima 40 T, 45 x 100 cm, para boca de lobo, NBR 10160 e NBR 6916 / FE 42012</v>
          </cell>
          <cell r="E504" t="str">
            <v>SEL-011</v>
          </cell>
          <cell r="F504" t="str">
            <v xml:space="preserve">UN </v>
          </cell>
          <cell r="G504">
            <v>727.28</v>
          </cell>
          <cell r="H504" t="str">
            <v>-</v>
          </cell>
        </row>
        <row r="505">
          <cell r="A505" t="str">
            <v>DR/0385</v>
          </cell>
          <cell r="B505" t="str">
            <v>COMPOSIÇÃO</v>
          </cell>
          <cell r="C505"/>
          <cell r="D505" t="str">
            <v>Substituição de quadro e grelha articulada em F°F°, classe D400, carga máxima 40 T, 415 x 955 mm para boca de lobo, incluindo demolição e implantação da sarjeta de contorno (chama) em concreto FCK = 20 mpa</v>
          </cell>
          <cell r="E505"/>
          <cell r="F505" t="str">
            <v xml:space="preserve">UN </v>
          </cell>
          <cell r="G505">
            <v>930.91</v>
          </cell>
          <cell r="H505" t="str">
            <v>-</v>
          </cell>
        </row>
        <row r="506">
          <cell r="A506" t="str">
            <v>DR/0390</v>
          </cell>
          <cell r="B506" t="str">
            <v>COMPOSIÇÃO</v>
          </cell>
          <cell r="C506"/>
          <cell r="D506" t="str">
            <v>Remoção e reassentamento de quadro e grelha articulada em F°F° para boca de lobo, incluindo demolição e implantação da sarjeta de contorno (chama) em concreto FCK = 20 Mpa</v>
          </cell>
          <cell r="E506"/>
          <cell r="F506" t="str">
            <v xml:space="preserve">UN </v>
          </cell>
          <cell r="G506">
            <v>198.04</v>
          </cell>
          <cell r="H506" t="str">
            <v>-</v>
          </cell>
        </row>
        <row r="507">
          <cell r="A507" t="str">
            <v>DR/0395</v>
          </cell>
          <cell r="B507" t="str">
            <v>COMPOSIÇÃO</v>
          </cell>
          <cell r="C507"/>
          <cell r="D507" t="str">
            <v>Tampão F°F° articulado T9, classe B125, carga máxima 12,5 T, redondo tampa 100 mm para registro de água. Incluindo fornecimento, assentamento e requadro em concreto FCK 20mpa, de 0,50m x 0,50m x 0,20m</v>
          </cell>
          <cell r="E507"/>
          <cell r="F507" t="str">
            <v xml:space="preserve">UN </v>
          </cell>
          <cell r="G507">
            <v>599.62</v>
          </cell>
          <cell r="H507" t="str">
            <v>-</v>
          </cell>
        </row>
        <row r="508">
          <cell r="A508" t="str">
            <v>DR/0400</v>
          </cell>
          <cell r="B508" t="str">
            <v>COMPOSIÇÃO</v>
          </cell>
          <cell r="C508"/>
          <cell r="D508" t="str">
            <v>Substituição de tampão de registro de água, incluindo fornecimento de tampão de FºFº articulado T9, Classe B125, carga máxima 12,5 T, redondo tampa 100 mm e requadro em concreto simples FCK 20mpa, de 0,50m x 0,50m x 0,20m</v>
          </cell>
          <cell r="E508"/>
          <cell r="F508" t="str">
            <v xml:space="preserve">UN </v>
          </cell>
          <cell r="G508">
            <v>1238.21</v>
          </cell>
          <cell r="H508" t="str">
            <v>-</v>
          </cell>
        </row>
        <row r="509">
          <cell r="A509" t="str">
            <v>DR/0405</v>
          </cell>
          <cell r="B509" t="str">
            <v>COTAÇÃO - SEL</v>
          </cell>
          <cell r="C509"/>
          <cell r="D509" t="str">
            <v>Tampão fofo articulado T12, classe B125, carga máxima 12,5 T, DN 150 mm, para registro de água, NBR 10160 e NBR 6916 / FE 42012</v>
          </cell>
          <cell r="E509" t="str">
            <v>SEL-014</v>
          </cell>
          <cell r="F509" t="str">
            <v xml:space="preserve">UN </v>
          </cell>
          <cell r="G509">
            <v>216.46</v>
          </cell>
          <cell r="H509" t="str">
            <v>-</v>
          </cell>
        </row>
        <row r="510">
          <cell r="A510" t="str">
            <v>DR/0410</v>
          </cell>
          <cell r="B510" t="str">
            <v>COMPOSIÇÃO</v>
          </cell>
          <cell r="C510"/>
          <cell r="D510" t="str">
            <v>Entrada para descida d'água - EDA 01 (REF. SICRO COD. 2003384, db 01-2023)</v>
          </cell>
          <cell r="E510"/>
          <cell r="F510" t="str">
            <v xml:space="preserve">UN </v>
          </cell>
          <cell r="G510">
            <v>88.4</v>
          </cell>
          <cell r="H510" t="str">
            <v>-</v>
          </cell>
        </row>
        <row r="511">
          <cell r="A511" t="str">
            <v>DR/0411</v>
          </cell>
          <cell r="B511" t="str">
            <v>COMPOSIÇÃO</v>
          </cell>
          <cell r="C511"/>
          <cell r="D511" t="str">
            <v>Entrada para descida d'água - EDA 02 (REF. SICRO COD. 2003387, db 01-2023)</v>
          </cell>
          <cell r="E511"/>
          <cell r="F511" t="str">
            <v xml:space="preserve">UN </v>
          </cell>
          <cell r="G511">
            <v>109.22</v>
          </cell>
          <cell r="H511" t="str">
            <v>-</v>
          </cell>
        </row>
        <row r="512">
          <cell r="A512" t="str">
            <v>DR/0415</v>
          </cell>
          <cell r="B512" t="str">
            <v>COMPOSIÇÃO</v>
          </cell>
          <cell r="C512"/>
          <cell r="D512" t="str">
            <v>Descida d'água tipo rápido, seção retangular - DAR 02 (REF. SICRO COD. 2003391, JAN/2020)</v>
          </cell>
          <cell r="E512"/>
          <cell r="F512" t="str">
            <v>M</v>
          </cell>
          <cell r="G512">
            <v>240.08</v>
          </cell>
          <cell r="H512" t="str">
            <v>-</v>
          </cell>
        </row>
        <row r="513">
          <cell r="A513" t="str">
            <v>DR/0420</v>
          </cell>
          <cell r="B513" t="str">
            <v>COMPOSIÇÃO</v>
          </cell>
          <cell r="C513"/>
          <cell r="D513" t="str">
            <v>Grade de ferro em barra chata e cantoneira (1,35 x 0,55) m, conforme projeto, inclui fornecimento e instalação</v>
          </cell>
          <cell r="E513"/>
          <cell r="F513" t="str">
            <v>UN</v>
          </cell>
          <cell r="G513">
            <v>622.41999999999996</v>
          </cell>
          <cell r="H513" t="str">
            <v>-</v>
          </cell>
        </row>
        <row r="514">
          <cell r="A514" t="str">
            <v>DR/0421</v>
          </cell>
          <cell r="B514" t="str">
            <v>COMPOSIÇÃO</v>
          </cell>
          <cell r="C514"/>
          <cell r="D514" t="str">
            <v>Grade de ferro em barra chata e cantoneira (1,74 x 0,94) m, conforme projeto, inclui fornecimento e instalação. Ref. SINAPI 99861 DB 06-21</v>
          </cell>
          <cell r="E514"/>
          <cell r="F514" t="str">
            <v>UN</v>
          </cell>
          <cell r="G514">
            <v>667.06</v>
          </cell>
          <cell r="H514" t="str">
            <v>-</v>
          </cell>
        </row>
        <row r="515">
          <cell r="A515" t="str">
            <v>DR/0430</v>
          </cell>
          <cell r="B515" t="str">
            <v>COMPOSIÇÃO</v>
          </cell>
          <cell r="C515"/>
          <cell r="D515" t="str">
            <v>Fornecimento e instalação de comporta deslizante de parede ‐ DN: 1100x1100 (mm) ‐ material de construção: ASTM a 240 TP 304 (AISI 304) ‐ elevação: 4000mm ‐ pressão: 3,00 Mca ‐ pedestal de manobras: incluso ‐ acionamento: manual volante. Posto obra / Caarapó</v>
          </cell>
          <cell r="E515"/>
          <cell r="F515" t="str">
            <v>UN</v>
          </cell>
          <cell r="G515">
            <v>240.9</v>
          </cell>
          <cell r="H515" t="str">
            <v>-</v>
          </cell>
        </row>
        <row r="516">
          <cell r="A516" t="str">
            <v>DR/0440</v>
          </cell>
          <cell r="B516" t="str">
            <v>COMPOSIÇÃO</v>
          </cell>
          <cell r="C516"/>
          <cell r="D516" t="str">
            <v>Reaterro manual hidraúlico de valas utilizando areia para aterro e compactação mecanizada, não inclui fornecimento de material. REF SINAPI 94342, DB 03-23</v>
          </cell>
          <cell r="E516"/>
          <cell r="F516" t="str">
            <v>M³</v>
          </cell>
          <cell r="G516">
            <v>27.49</v>
          </cell>
          <cell r="H516" t="str">
            <v>-</v>
          </cell>
        </row>
        <row r="517">
          <cell r="A517"/>
          <cell r="B517"/>
          <cell r="C517"/>
          <cell r="D517"/>
          <cell r="E517"/>
          <cell r="F517"/>
          <cell r="G517"/>
          <cell r="H517"/>
        </row>
        <row r="518">
          <cell r="A518"/>
          <cell r="B518"/>
          <cell r="C518" t="str">
            <v>7.0</v>
          </cell>
          <cell r="D518" t="str">
            <v>SERVIÇOS DE ESTRUTURAS E CONTENÇÕES</v>
          </cell>
          <cell r="E518"/>
          <cell r="F518"/>
          <cell r="G518"/>
          <cell r="H518" t="str">
            <v/>
          </cell>
        </row>
        <row r="519">
          <cell r="A519">
            <v>102487</v>
          </cell>
          <cell r="B519" t="str">
            <v>SINAPI</v>
          </cell>
          <cell r="C519">
            <v>73361</v>
          </cell>
          <cell r="D519" t="str">
            <v>Concreto ciclópico FCK = 15 MPA, 30% pedra de mão em volume real, inclusive lançamento</v>
          </cell>
          <cell r="E519"/>
          <cell r="F519" t="str">
            <v>M3</v>
          </cell>
          <cell r="G519">
            <v>525.52</v>
          </cell>
          <cell r="H519" t="str">
            <v>-</v>
          </cell>
        </row>
        <row r="520">
          <cell r="A520">
            <v>94962</v>
          </cell>
          <cell r="B520" t="str">
            <v>SINAPI</v>
          </cell>
          <cell r="C520"/>
          <cell r="D520" t="str">
            <v>Concreto magro para lastro, traço 1:4,5:4,5 (cimento/ areia média/ brita 1) - preparo mecânico com betoneira 400 l. AF_07/2016</v>
          </cell>
          <cell r="E520"/>
          <cell r="F520" t="str">
            <v>M3</v>
          </cell>
          <cell r="G520">
            <v>372.79</v>
          </cell>
          <cell r="H520" t="str">
            <v>-</v>
          </cell>
        </row>
        <row r="521">
          <cell r="A521">
            <v>94963</v>
          </cell>
          <cell r="B521" t="str">
            <v>SINAPI</v>
          </cell>
          <cell r="C521"/>
          <cell r="D521" t="str">
            <v>Concreto FCK = 15 MPA, traço 1:3,4:3,5 (cimento/ areia média/ brita 1) - preparo mecânico com betoneira 400 l. AF_07/2016</v>
          </cell>
          <cell r="E521"/>
          <cell r="F521" t="str">
            <v>M3</v>
          </cell>
          <cell r="G521">
            <v>419.83</v>
          </cell>
          <cell r="H521" t="str">
            <v>-</v>
          </cell>
        </row>
        <row r="522">
          <cell r="A522">
            <v>94964</v>
          </cell>
          <cell r="B522" t="str">
            <v>SINAPI</v>
          </cell>
          <cell r="C522"/>
          <cell r="D522" t="str">
            <v>Concreto FCK = 20 MPA, traço 1:2,7:3 (cimento/ areia média/ brita 1) - preparo mecânico com betoneira 400 l. AF_07/2016</v>
          </cell>
          <cell r="E522"/>
          <cell r="F522" t="str">
            <v>M3</v>
          </cell>
          <cell r="G522">
            <v>462.95</v>
          </cell>
          <cell r="H522" t="str">
            <v>-</v>
          </cell>
        </row>
        <row r="523">
          <cell r="A523">
            <v>94965</v>
          </cell>
          <cell r="B523" t="str">
            <v>SINAPI</v>
          </cell>
          <cell r="C523"/>
          <cell r="D523" t="str">
            <v>Concreto FCK = 25 MPA, traço 1:2,3:2,7 (cimento/ areia média/ brita 1) - preparo mecânico com betoneira 400 l. AF_07/2016</v>
          </cell>
          <cell r="E523"/>
          <cell r="F523" t="str">
            <v>M3</v>
          </cell>
          <cell r="G523">
            <v>486.04</v>
          </cell>
          <cell r="H523" t="str">
            <v>-</v>
          </cell>
        </row>
        <row r="524">
          <cell r="A524">
            <v>94966</v>
          </cell>
          <cell r="B524" t="str">
            <v>SINAPI</v>
          </cell>
          <cell r="C524"/>
          <cell r="D524" t="str">
            <v>Concreto FCK = 30 MPA, traço 1:2,1:2,5 (cimento/ areia média/ brita 1) - preparo mecânico com betoneira 400 l. AF_07/2016</v>
          </cell>
          <cell r="E524"/>
          <cell r="F524" t="str">
            <v>M3</v>
          </cell>
          <cell r="G524">
            <v>504.93</v>
          </cell>
          <cell r="H524" t="str">
            <v>-</v>
          </cell>
        </row>
        <row r="525">
          <cell r="A525">
            <v>94967</v>
          </cell>
          <cell r="B525" t="str">
            <v>SINAPI</v>
          </cell>
          <cell r="C525"/>
          <cell r="D525" t="str">
            <v>Concreto FCK = 40 MPA, traço 1:1,6:1,9 (cimento/ areia média/ brita 1) - preparo mecânico com betoneira 400 l. AF_07/2016</v>
          </cell>
          <cell r="E525"/>
          <cell r="F525" t="str">
            <v>M3</v>
          </cell>
          <cell r="G525">
            <v>582.91</v>
          </cell>
          <cell r="H525" t="str">
            <v>-</v>
          </cell>
        </row>
        <row r="526">
          <cell r="A526">
            <v>11146</v>
          </cell>
          <cell r="B526" t="str">
            <v>SINAPI</v>
          </cell>
          <cell r="C526"/>
          <cell r="D526" t="str">
            <v>Concreto autoadensável (CAA) classe de resistência C15, espalhamento SF2, inclui serviço de bombeamento (NBR 15823)</v>
          </cell>
          <cell r="E526"/>
          <cell r="F526" t="str">
            <v xml:space="preserve">M3    </v>
          </cell>
          <cell r="G526">
            <v>613.26</v>
          </cell>
          <cell r="H526" t="str">
            <v>-</v>
          </cell>
        </row>
        <row r="527">
          <cell r="A527">
            <v>34492</v>
          </cell>
          <cell r="B527" t="str">
            <v>SINAPI</v>
          </cell>
          <cell r="C527"/>
          <cell r="D527" t="str">
            <v>Concreto usinado bombeável, classe de resistência C20, com brita 0,00 e 1, slump = 100 +/- 20 mm, exclui serviço de bombeamento (NBR 8953)</v>
          </cell>
          <cell r="E527"/>
          <cell r="F527" t="str">
            <v xml:space="preserve">M3    </v>
          </cell>
          <cell r="G527">
            <v>545</v>
          </cell>
          <cell r="H527" t="str">
            <v>-</v>
          </cell>
        </row>
        <row r="528">
          <cell r="A528">
            <v>34493</v>
          </cell>
          <cell r="B528" t="str">
            <v>SINAPI</v>
          </cell>
          <cell r="C528"/>
          <cell r="D528" t="str">
            <v>Concreto usinado bombeável, classe de resistência C25, com brita 0,00 e 1, slump = 100 +/- 20 mm, exclui serviço de bombeamento (NBR 8953)</v>
          </cell>
          <cell r="E528"/>
          <cell r="F528" t="str">
            <v xml:space="preserve">M3    </v>
          </cell>
          <cell r="G528">
            <v>560.36</v>
          </cell>
          <cell r="H528" t="str">
            <v>-</v>
          </cell>
        </row>
        <row r="529">
          <cell r="A529">
            <v>34494</v>
          </cell>
          <cell r="B529" t="str">
            <v>SINAPI</v>
          </cell>
          <cell r="C529"/>
          <cell r="D529" t="str">
            <v>Concreto usinado bombeável, classe de resistência C30, com brita 0,00 e 1, slump = 100 +/- 20 mm, exclui serviço de bombeamento (NBR 8953)</v>
          </cell>
          <cell r="E529"/>
          <cell r="F529" t="str">
            <v xml:space="preserve">M3    </v>
          </cell>
          <cell r="G529">
            <v>579.04</v>
          </cell>
          <cell r="H529" t="str">
            <v>-</v>
          </cell>
        </row>
        <row r="530">
          <cell r="A530">
            <v>34495</v>
          </cell>
          <cell r="B530" t="str">
            <v>SINAPI</v>
          </cell>
          <cell r="C530"/>
          <cell r="D530" t="str">
            <v>Concreto usinado bombeável, classe de resistência C35, com brita 0,00 e 1, slump = 100 +/- 20 mm, exclui serviço de bombeamento (NBR 8953)</v>
          </cell>
          <cell r="E530"/>
          <cell r="F530" t="str">
            <v xml:space="preserve">M3    </v>
          </cell>
          <cell r="G530">
            <v>597.71</v>
          </cell>
          <cell r="H530" t="str">
            <v>-</v>
          </cell>
        </row>
        <row r="531">
          <cell r="A531">
            <v>90280</v>
          </cell>
          <cell r="B531" t="str">
            <v>SINAPI</v>
          </cell>
          <cell r="C531"/>
          <cell r="D531" t="str">
            <v>Graute FGK = 25 MPA; traço 1:0,02:1,2:1,5 (cimento/ cal/ areia grossa/ brita 0) - preparo mecânico com betoneira 400 l. AF_02/2015</v>
          </cell>
          <cell r="E531"/>
          <cell r="F531" t="str">
            <v>M3</v>
          </cell>
          <cell r="G531">
            <v>625.84</v>
          </cell>
          <cell r="H531" t="str">
            <v>-</v>
          </cell>
        </row>
        <row r="532">
          <cell r="A532">
            <v>90284</v>
          </cell>
          <cell r="B532" t="str">
            <v>SINAPI</v>
          </cell>
          <cell r="C532"/>
          <cell r="D532" t="str">
            <v>Graute FGK = 25 MPA; traço 1:1,2:1,5 (cimento/ areia grossa/ brita 0/ aditivo) - preparo mecânico com betoneira 400 l. AF_02/2015</v>
          </cell>
          <cell r="E532"/>
          <cell r="F532" t="str">
            <v>M3</v>
          </cell>
          <cell r="G532">
            <v>618.78</v>
          </cell>
          <cell r="H532" t="str">
            <v>-</v>
          </cell>
        </row>
        <row r="533">
          <cell r="A533">
            <v>103670</v>
          </cell>
          <cell r="B533" t="str">
            <v>SINAPI</v>
          </cell>
          <cell r="C533" t="str">
            <v>74157/4
EC/0001
92873</v>
          </cell>
          <cell r="D533" t="str">
            <v>Lançamento com uso de baldes, adensamento e acabamento de concreto em estruturas. AF_12/2015</v>
          </cell>
          <cell r="E533"/>
          <cell r="F533" t="str">
            <v>M3</v>
          </cell>
          <cell r="G533">
            <v>231.03</v>
          </cell>
          <cell r="H533" t="str">
            <v>-</v>
          </cell>
        </row>
        <row r="534">
          <cell r="A534">
            <v>103673</v>
          </cell>
          <cell r="B534" t="str">
            <v>SINAPI</v>
          </cell>
          <cell r="C534">
            <v>92874</v>
          </cell>
          <cell r="D534" t="str">
            <v>Lançamento com uso de bomba, adensamento e acabamento de concreto em estruturas. AF_12/2015</v>
          </cell>
          <cell r="E534"/>
          <cell r="F534" t="str">
            <v>M3</v>
          </cell>
          <cell r="G534">
            <v>32.49</v>
          </cell>
          <cell r="H534" t="str">
            <v>-</v>
          </cell>
        </row>
        <row r="535">
          <cell r="A535">
            <v>41805</v>
          </cell>
          <cell r="B535" t="str">
            <v>COTAÇÃO - SINAPI</v>
          </cell>
          <cell r="C535"/>
          <cell r="D535" t="str">
            <v>Locação de andaime suspenso ou balancim manual, capacidade de carga total de aproximadamente 250 kg/m2, plataforma de 1,50 m x 0,80 m (c x l), cabo de 45 m</v>
          </cell>
          <cell r="E535"/>
          <cell r="F535" t="str">
            <v xml:space="preserve">MES   </v>
          </cell>
          <cell r="G535">
            <v>675.62</v>
          </cell>
          <cell r="H535" t="str">
            <v>-</v>
          </cell>
        </row>
        <row r="536">
          <cell r="A536">
            <v>10527</v>
          </cell>
          <cell r="B536" t="str">
            <v>SINAPI</v>
          </cell>
          <cell r="C536">
            <v>20193</v>
          </cell>
          <cell r="D536" t="str">
            <v>Locação de andaime metálico tubular de encaixe, tipo de torre, com largura de 1 ate 1,50 m e altura de *1,00* m (incluso sapatas fixas ou rodízios)</v>
          </cell>
          <cell r="E536"/>
          <cell r="F536" t="str">
            <v xml:space="preserve">MXMES </v>
          </cell>
          <cell r="G536">
            <v>23.5</v>
          </cell>
          <cell r="H536" t="str">
            <v>-</v>
          </cell>
        </row>
        <row r="537">
          <cell r="A537">
            <v>97064</v>
          </cell>
          <cell r="B537" t="str">
            <v>SINAPI</v>
          </cell>
          <cell r="C537">
            <v>97063</v>
          </cell>
          <cell r="D537" t="str">
            <v>Montagem e desmontagem de andaime tubular tipo torre (exclusive andaime e limpeza). AF_11/2017</v>
          </cell>
          <cell r="E537"/>
          <cell r="F537" t="str">
            <v>M</v>
          </cell>
          <cell r="G537">
            <v>16.510000000000002</v>
          </cell>
          <cell r="H537" t="str">
            <v>-</v>
          </cell>
        </row>
        <row r="538">
          <cell r="A538">
            <v>90439</v>
          </cell>
          <cell r="B538" t="str">
            <v>SINAPI</v>
          </cell>
          <cell r="C538"/>
          <cell r="D538" t="str">
            <v>Furo em concreto para diâmetros menores ou iguais a 40 mm. AF_05/2015</v>
          </cell>
          <cell r="E538"/>
          <cell r="F538" t="str">
            <v>UN</v>
          </cell>
          <cell r="G538">
            <v>59.1</v>
          </cell>
          <cell r="H538" t="str">
            <v>-</v>
          </cell>
        </row>
        <row r="539">
          <cell r="A539">
            <v>90440</v>
          </cell>
          <cell r="B539" t="str">
            <v>SINAPI</v>
          </cell>
          <cell r="C539"/>
          <cell r="D539" t="str">
            <v>Furo em concreto para diâmetros maiores que 40 mm e menores ou iguais a 75 mm. AF_05/2015</v>
          </cell>
          <cell r="E539"/>
          <cell r="F539" t="str">
            <v>UN</v>
          </cell>
          <cell r="G539">
            <v>94.64</v>
          </cell>
          <cell r="H539" t="str">
            <v>-</v>
          </cell>
        </row>
        <row r="540">
          <cell r="A540">
            <v>90441</v>
          </cell>
          <cell r="B540" t="str">
            <v>SINAPI</v>
          </cell>
          <cell r="C540"/>
          <cell r="D540" t="str">
            <v>Furo em concreto para diâmetros maiores que 75 mm. AF_05/2015</v>
          </cell>
          <cell r="E540"/>
          <cell r="F540" t="str">
            <v>UN</v>
          </cell>
          <cell r="G540">
            <v>120.89</v>
          </cell>
          <cell r="H540" t="str">
            <v>-</v>
          </cell>
        </row>
        <row r="541">
          <cell r="A541">
            <v>93959</v>
          </cell>
          <cell r="B541" t="str">
            <v>SINAPI</v>
          </cell>
          <cell r="C541"/>
          <cell r="D541" t="str">
            <v>Execução de grampo para solo grampeado com comprimento maior que 6 m e menor ou igual a 8 m, diâmetro nominal de 10 cm, perfuração com equipamento manual e armadura com diâmetro nominal de 20 mm. AF_05/2016</v>
          </cell>
          <cell r="E541"/>
          <cell r="F541" t="str">
            <v>M</v>
          </cell>
          <cell r="G541">
            <v>208.11</v>
          </cell>
          <cell r="H541" t="str">
            <v>-</v>
          </cell>
        </row>
        <row r="542">
          <cell r="A542">
            <v>93960</v>
          </cell>
          <cell r="B542" t="str">
            <v>SINAPI</v>
          </cell>
          <cell r="C542"/>
          <cell r="D542" t="str">
            <v>Execução de grampo para solo grampeado com comprimento maior que 8 m e menor ou igual a 10 m, diâmetro nominal de 10 cm, perfuração com equipamento manual e armadura com diâmetro nominal de 20 mm. AF_05/2016</v>
          </cell>
          <cell r="E542"/>
          <cell r="F542" t="str">
            <v>M</v>
          </cell>
          <cell r="G542">
            <v>201.76</v>
          </cell>
          <cell r="H542" t="str">
            <v>-</v>
          </cell>
        </row>
        <row r="543">
          <cell r="A543">
            <v>91074</v>
          </cell>
          <cell r="B543" t="str">
            <v>SINAPI</v>
          </cell>
          <cell r="C543"/>
          <cell r="D543" t="str">
            <v>Execução de revestimento de concreto projetado com espessura de 10 cm, armado com tela, inclinação menor que 90°, aplicação contínua, utilizando equipamento de projeção com 3 m³/h de capacidade. AF_01/2016</v>
          </cell>
          <cell r="E543" t="str">
            <v>AREIA MÉDIA
0,1345 m³/m³
BRITA
0,069 m³/m³</v>
          </cell>
          <cell r="F543" t="str">
            <v>M2</v>
          </cell>
          <cell r="G543">
            <v>141.05000000000001</v>
          </cell>
          <cell r="H543" t="str">
            <v>-</v>
          </cell>
        </row>
        <row r="544">
          <cell r="A544">
            <v>91099</v>
          </cell>
          <cell r="B544" t="str">
            <v>SINAPI</v>
          </cell>
          <cell r="C544"/>
          <cell r="D544" t="str">
            <v>Execução de revestimento de concreto projetado com espessura de 10 cm, armado com fibras de aço, inclinação menor que 90°, aplicação descontínua, utilizando equipamento de projeção com 3 m³/h de capacidade. AF_01/2016</v>
          </cell>
          <cell r="E544"/>
          <cell r="F544" t="str">
            <v>M2</v>
          </cell>
          <cell r="G544">
            <v>176.31</v>
          </cell>
          <cell r="H544" t="str">
            <v>-</v>
          </cell>
        </row>
        <row r="545">
          <cell r="A545" t="str">
            <v>EC/0005</v>
          </cell>
          <cell r="B545" t="str">
            <v>COMPOSIÇÃO</v>
          </cell>
          <cell r="C545"/>
          <cell r="D545" t="str">
            <v>Injeção de calda de cimento, inclindo aditivo expansor, fornecimento, preparo e aplicação</v>
          </cell>
          <cell r="E545"/>
          <cell r="F545" t="str">
            <v>L</v>
          </cell>
          <cell r="G545">
            <v>1.89</v>
          </cell>
          <cell r="H545" t="str">
            <v>-</v>
          </cell>
        </row>
        <row r="546">
          <cell r="A546" t="str">
            <v>EC/0010</v>
          </cell>
          <cell r="B546" t="str">
            <v>COMPOSIÇÃO</v>
          </cell>
          <cell r="C546"/>
          <cell r="D546" t="str">
            <v>Execução de grampo para solo grampeado com comprimento maior que 10 m, diâmetro de 7 cm, perfuração com equipamento manual. Incluindo armadura dupla CA-50 de 2Ø16 mm, centralizadores, tubos de injeção multifases, válvula de injeção, pintura anticorrosiva e injeção de calda de cimento (REF. SINAPI COD. 93966)</v>
          </cell>
          <cell r="E546"/>
          <cell r="F546" t="str">
            <v>M</v>
          </cell>
          <cell r="G546">
            <v>185.75</v>
          </cell>
          <cell r="H546" t="str">
            <v>-</v>
          </cell>
        </row>
        <row r="547">
          <cell r="A547">
            <v>92415</v>
          </cell>
          <cell r="B547" t="str">
            <v>SINAPI</v>
          </cell>
          <cell r="C547"/>
          <cell r="D547" t="str">
            <v>Montagem e desmontagem de fôrma de pilares retangulares e estruturas similares, pé-direito simples, em chapa de madeira compensada resinada, 2 utilizações. AF_09/2020</v>
          </cell>
          <cell r="E547"/>
          <cell r="F547" t="str">
            <v>M2</v>
          </cell>
          <cell r="G547">
            <v>129.94</v>
          </cell>
          <cell r="H547" t="str">
            <v>-</v>
          </cell>
        </row>
        <row r="548">
          <cell r="A548">
            <v>92419</v>
          </cell>
          <cell r="B548" t="str">
            <v>SINAPI</v>
          </cell>
          <cell r="C548"/>
          <cell r="D548" t="str">
            <v>Montagem e desmontagem de fôrma de pilares retangulares e estruturas similares, pé-direito simples, em chapa de madeira compensada resinada, 4 utilizações. AF_09/2020</v>
          </cell>
          <cell r="E548"/>
          <cell r="F548" t="str">
            <v>M2</v>
          </cell>
          <cell r="G548">
            <v>80.83</v>
          </cell>
          <cell r="H548" t="str">
            <v>-</v>
          </cell>
        </row>
        <row r="549">
          <cell r="A549">
            <v>92423</v>
          </cell>
          <cell r="B549" t="str">
            <v>SINAPI</v>
          </cell>
          <cell r="C549"/>
          <cell r="D549" t="str">
            <v>Montagem e desmontagem de fôrma de pilares retangulares e estruturas similares, pé-direito simples, em chapa de madeira compensada resinada, 6 utilizações. AF_09/2020</v>
          </cell>
          <cell r="E549"/>
          <cell r="F549" t="str">
            <v>M2</v>
          </cell>
          <cell r="G549">
            <v>65.790000000000006</v>
          </cell>
          <cell r="H549" t="str">
            <v>-</v>
          </cell>
        </row>
        <row r="550">
          <cell r="A550">
            <v>92431</v>
          </cell>
          <cell r="B550" t="str">
            <v>SINAPI</v>
          </cell>
          <cell r="C550"/>
          <cell r="D550" t="str">
            <v>Montagem e desmontagem de fôrma de pilares retangulares e estruturas similares, pé-direito simples, em chapa de madeira compensada plastificada, 10 utilizações. AF_09/2020</v>
          </cell>
          <cell r="E550"/>
          <cell r="F550" t="str">
            <v>M2</v>
          </cell>
          <cell r="G550">
            <v>55.78</v>
          </cell>
          <cell r="H550" t="str">
            <v>-</v>
          </cell>
        </row>
        <row r="551">
          <cell r="A551">
            <v>92439</v>
          </cell>
          <cell r="B551" t="str">
            <v>SINAPI</v>
          </cell>
          <cell r="C551"/>
          <cell r="D551" t="str">
            <v>Montagem e desmontagem de fôrma de pilares retangulares e estruturas similares, pé-direito simples, em chapa de madeira compensada plastificada, 14 utilizações. AF_09/2020</v>
          </cell>
          <cell r="E551"/>
          <cell r="F551" t="str">
            <v>M2</v>
          </cell>
          <cell r="G551">
            <v>50.68</v>
          </cell>
          <cell r="H551" t="str">
            <v>-</v>
          </cell>
        </row>
        <row r="552">
          <cell r="A552">
            <v>92915</v>
          </cell>
          <cell r="B552" t="str">
            <v>SINAPI</v>
          </cell>
          <cell r="C552"/>
          <cell r="D552" t="str">
            <v>Armação de estruturas de concreto armado, exceto vigas, pilares, lajes e fundações, utilizando aço CA-60 de 5,0 mm - montagem. AF_12/2015</v>
          </cell>
          <cell r="E552"/>
          <cell r="F552" t="str">
            <v>KG</v>
          </cell>
          <cell r="G552">
            <v>16.32</v>
          </cell>
          <cell r="H552" t="str">
            <v>-</v>
          </cell>
        </row>
        <row r="553">
          <cell r="A553">
            <v>92916</v>
          </cell>
          <cell r="B553" t="str">
            <v>SINAPI</v>
          </cell>
          <cell r="C553"/>
          <cell r="D553" t="str">
            <v>Armação de estruturas de concreto armado, exceto vigas, pilares, lajes e fundações, utilizando aço CA-50 de 6,3 mm - montagem. AF_12/2015</v>
          </cell>
          <cell r="E553"/>
          <cell r="F553" t="str">
            <v>KG</v>
          </cell>
          <cell r="G553">
            <v>15.52</v>
          </cell>
          <cell r="H553" t="str">
            <v>-</v>
          </cell>
        </row>
        <row r="554">
          <cell r="A554">
            <v>92917</v>
          </cell>
          <cell r="B554" t="str">
            <v>SINAPI</v>
          </cell>
          <cell r="C554"/>
          <cell r="D554" t="str">
            <v>Armação de estruturas de concreto armado, exceto vigas, pilares, lajes e fundações, utilizando aço CA-50 de 8,0 mm - montagem. AF_12/2015</v>
          </cell>
          <cell r="E554"/>
          <cell r="F554" t="str">
            <v>KG</v>
          </cell>
          <cell r="G554">
            <v>14.61</v>
          </cell>
          <cell r="H554" t="str">
            <v>-</v>
          </cell>
        </row>
        <row r="555">
          <cell r="A555">
            <v>92919</v>
          </cell>
          <cell r="B555" t="str">
            <v>SINAPI</v>
          </cell>
          <cell r="C555"/>
          <cell r="D555" t="str">
            <v>Armação de estruturas de concreto armado, exceto vigas, pilares, lajes e fundações, utilizando aço CA-50 de 10,0 mm - montagem. AF_12/2015</v>
          </cell>
          <cell r="E555"/>
          <cell r="F555" t="str">
            <v>KG</v>
          </cell>
          <cell r="G555">
            <v>13.01</v>
          </cell>
          <cell r="H555" t="str">
            <v>-</v>
          </cell>
        </row>
        <row r="556">
          <cell r="A556">
            <v>92921</v>
          </cell>
          <cell r="B556" t="str">
            <v>SINAPI</v>
          </cell>
          <cell r="C556"/>
          <cell r="D556" t="str">
            <v>Armação de estruturas de concreto armado, exceto vigas, pilares, lajes e fundações, utilizando aço CA-50 de 12,5 mm - montagem. AF_12/2015</v>
          </cell>
          <cell r="E556"/>
          <cell r="F556" t="str">
            <v>KG</v>
          </cell>
          <cell r="G556">
            <v>10.9</v>
          </cell>
          <cell r="H556" t="str">
            <v>-</v>
          </cell>
        </row>
        <row r="557">
          <cell r="A557">
            <v>92922</v>
          </cell>
          <cell r="B557" t="str">
            <v>SINAPI</v>
          </cell>
          <cell r="C557"/>
          <cell r="D557" t="str">
            <v>Armação de estruturas de concreto armado, exceto vigas, pilares, lajes e fundações, utilizando aço CA-50 de 16,0 mm - montagem. AF_12/2015</v>
          </cell>
          <cell r="E557"/>
          <cell r="F557" t="str">
            <v>KG</v>
          </cell>
          <cell r="G557">
            <v>10.53</v>
          </cell>
          <cell r="H557" t="str">
            <v>-</v>
          </cell>
        </row>
        <row r="558">
          <cell r="A558">
            <v>92923</v>
          </cell>
          <cell r="B558" t="str">
            <v>SINAPI</v>
          </cell>
          <cell r="C558"/>
          <cell r="D558" t="str">
            <v>Armação de estruturas de concreto armado, exceto vigas, pilares, lajes e fundações, utilizando aço CA-50 de 20,0 mm - montagem. AF_12/2015</v>
          </cell>
          <cell r="E558"/>
          <cell r="F558" t="str">
            <v>KG</v>
          </cell>
          <cell r="G558">
            <v>11.97</v>
          </cell>
          <cell r="H558" t="str">
            <v>-</v>
          </cell>
        </row>
        <row r="559">
          <cell r="A559">
            <v>92924</v>
          </cell>
          <cell r="B559" t="str">
            <v>SINAPI</v>
          </cell>
          <cell r="C559"/>
          <cell r="D559" t="str">
            <v>Armação de estruturas de concreto armado, exceto vigas, pilares, lajes e fundações, utilizando aço CA-50 de 25,0 mm - montagem. AF_12/2015</v>
          </cell>
          <cell r="E559"/>
          <cell r="F559" t="str">
            <v>KG</v>
          </cell>
          <cell r="G559">
            <v>11.82</v>
          </cell>
          <cell r="H559" t="str">
            <v>-</v>
          </cell>
        </row>
        <row r="560">
          <cell r="A560">
            <v>91007</v>
          </cell>
          <cell r="B560"/>
          <cell r="C560"/>
          <cell r="D560" t="str">
            <v>SUBSTITUIR PELA COMPOSIÇÃO EC/0130</v>
          </cell>
          <cell r="E560" t="str">
            <v>ATENÇÃO
fôrma metálica</v>
          </cell>
          <cell r="F560" t="str">
            <v>-</v>
          </cell>
          <cell r="G560" t="str">
            <v>-</v>
          </cell>
          <cell r="H560" t="str">
            <v>-</v>
          </cell>
        </row>
        <row r="561">
          <cell r="A561">
            <v>92409</v>
          </cell>
          <cell r="B561" t="str">
            <v>SINAPI</v>
          </cell>
          <cell r="C561"/>
          <cell r="D561" t="str">
            <v>Montagem e desmontagem de fôrma de pilares retangulares e estruturas similares, pé-direito simples, em madeira serrada, 1 utilização. AF_09/2020</v>
          </cell>
          <cell r="E561"/>
          <cell r="F561" t="str">
            <v>M2</v>
          </cell>
          <cell r="G561">
            <v>315.33999999999997</v>
          </cell>
          <cell r="H561" t="str">
            <v>-</v>
          </cell>
        </row>
        <row r="562">
          <cell r="A562">
            <v>92411</v>
          </cell>
          <cell r="B562" t="str">
            <v>SINAPI</v>
          </cell>
          <cell r="C562"/>
          <cell r="D562" t="str">
            <v>Montagem e desmontagem de fôrma de pilares retangulares e estruturas similares, pé-direito simples, em madeira serrada, 2 utilizações. AF_09/2020</v>
          </cell>
          <cell r="E562"/>
          <cell r="F562" t="str">
            <v>M2</v>
          </cell>
          <cell r="G562">
            <v>190.7</v>
          </cell>
          <cell r="H562" t="str">
            <v>-</v>
          </cell>
        </row>
        <row r="563">
          <cell r="A563">
            <v>92413</v>
          </cell>
          <cell r="B563" t="str">
            <v>SINAPI</v>
          </cell>
          <cell r="C563"/>
          <cell r="D563" t="str">
            <v>Montagem e desmontagem de fôrma de pilares retangulares e estruturas similares, pé-direito simples, em madeira serrada, 4 utilizações. AF_09/2020</v>
          </cell>
          <cell r="E563"/>
          <cell r="F563" t="str">
            <v>M2</v>
          </cell>
          <cell r="G563">
            <v>115.45</v>
          </cell>
          <cell r="H563" t="str">
            <v>-</v>
          </cell>
        </row>
        <row r="564">
          <cell r="A564">
            <v>96534</v>
          </cell>
          <cell r="B564" t="str">
            <v>SINAPI</v>
          </cell>
          <cell r="C564"/>
          <cell r="D564" t="str">
            <v>Fabricação, montagem e desmontagem de fôrma para bloco de coroamento, em madeira serrada, e = 25 mm, 4 utilizações. AF_06/2017</v>
          </cell>
          <cell r="E564"/>
          <cell r="F564" t="str">
            <v>M2</v>
          </cell>
          <cell r="G564">
            <v>82.37</v>
          </cell>
          <cell r="H564" t="str">
            <v>-</v>
          </cell>
        </row>
        <row r="565">
          <cell r="A565">
            <v>96543</v>
          </cell>
          <cell r="B565" t="str">
            <v>SINAPI</v>
          </cell>
          <cell r="C565"/>
          <cell r="D565" t="str">
            <v>Armação de bloco, viga baldrame e sapata utilizando aço CA-60 de 5 mm - montagem. AF_06/2017</v>
          </cell>
          <cell r="E565"/>
          <cell r="F565" t="str">
            <v>KG</v>
          </cell>
          <cell r="G565">
            <v>17.07</v>
          </cell>
          <cell r="H565" t="str">
            <v>-</v>
          </cell>
        </row>
        <row r="566">
          <cell r="A566">
            <v>100342</v>
          </cell>
          <cell r="B566" t="str">
            <v>SINAPI</v>
          </cell>
          <cell r="C566"/>
          <cell r="D566" t="str">
            <v>Armação de cortina de contenção em concreto armado, com aço CA-50 de 6,3 mm - montagem. AF_07/2019</v>
          </cell>
          <cell r="E566"/>
          <cell r="F566" t="str">
            <v>KG</v>
          </cell>
          <cell r="G566">
            <v>14.68</v>
          </cell>
          <cell r="H566" t="str">
            <v>-</v>
          </cell>
        </row>
        <row r="567">
          <cell r="A567">
            <v>100343</v>
          </cell>
          <cell r="B567" t="str">
            <v>SINAPI</v>
          </cell>
          <cell r="C567"/>
          <cell r="D567" t="str">
            <v>Armação de cortina de contenção em concreto armado, com aço CA-50 de 8 mm - montagem. AF_07/2019</v>
          </cell>
          <cell r="E567"/>
          <cell r="F567" t="str">
            <v>KG</v>
          </cell>
          <cell r="G567">
            <v>14.1</v>
          </cell>
          <cell r="H567" t="str">
            <v>-</v>
          </cell>
        </row>
        <row r="568">
          <cell r="A568">
            <v>100344</v>
          </cell>
          <cell r="B568" t="str">
            <v>SINAPI</v>
          </cell>
          <cell r="C568"/>
          <cell r="D568" t="str">
            <v>Armação de cortina de contenção em concreto armado, com aço CA-50 de 10 mm - montagem. AF_07/2019</v>
          </cell>
          <cell r="E568"/>
          <cell r="F568" t="str">
            <v>KG</v>
          </cell>
          <cell r="G568">
            <v>12.76</v>
          </cell>
          <cell r="H568" t="str">
            <v>-</v>
          </cell>
        </row>
        <row r="569">
          <cell r="A569">
            <v>100345</v>
          </cell>
          <cell r="B569" t="str">
            <v>SINAPI</v>
          </cell>
          <cell r="C569"/>
          <cell r="D569" t="str">
            <v>Armação de cortina de contenção em concreto armado, com aço CA-50 de 12,5 mm - montagem. AF_07/2019</v>
          </cell>
          <cell r="E569"/>
          <cell r="F569" t="str">
            <v>KG</v>
          </cell>
          <cell r="G569">
            <v>10.86</v>
          </cell>
          <cell r="H569" t="str">
            <v>-</v>
          </cell>
        </row>
        <row r="570">
          <cell r="A570">
            <v>100346</v>
          </cell>
          <cell r="B570" t="str">
            <v>SINAPI</v>
          </cell>
          <cell r="C570"/>
          <cell r="D570" t="str">
            <v>Armação de cortina de contenção em concreto armado, com aço CA-50 de 16 mm - montagem. AF_07/2019</v>
          </cell>
          <cell r="E570"/>
          <cell r="F570" t="str">
            <v>KG</v>
          </cell>
          <cell r="G570">
            <v>10.41</v>
          </cell>
          <cell r="H570" t="str">
            <v>-</v>
          </cell>
        </row>
        <row r="571">
          <cell r="A571">
            <v>100347</v>
          </cell>
          <cell r="B571" t="str">
            <v>SINAPI</v>
          </cell>
          <cell r="C571"/>
          <cell r="D571" t="str">
            <v>Armação de cortina de contenção em concreto armado, com aço CA-50 de 20 mm - montagem. AF_07/2019</v>
          </cell>
          <cell r="E571"/>
          <cell r="F571" t="str">
            <v>KG</v>
          </cell>
          <cell r="G571">
            <v>11.79</v>
          </cell>
          <cell r="H571" t="str">
            <v>-</v>
          </cell>
        </row>
        <row r="572">
          <cell r="A572">
            <v>100348</v>
          </cell>
          <cell r="B572" t="str">
            <v>SINAPI</v>
          </cell>
          <cell r="C572"/>
          <cell r="D572" t="str">
            <v>Armação de cortina de contenção em concreto armado, com aço CA-50 de 25 mm - montagem. AF_07/2019</v>
          </cell>
          <cell r="E572"/>
          <cell r="F572" t="str">
            <v>KG</v>
          </cell>
          <cell r="G572">
            <v>11.59</v>
          </cell>
          <cell r="H572" t="str">
            <v>-</v>
          </cell>
        </row>
        <row r="573">
          <cell r="A573">
            <v>91593</v>
          </cell>
          <cell r="B573" t="str">
            <v>SINAPI</v>
          </cell>
          <cell r="C573"/>
          <cell r="D573" t="str">
            <v>Armação do sistema de paredes de concreto, executada em paredes de edificações de múltiplos pavimentos, tela Q-138. AF_06/2019</v>
          </cell>
          <cell r="E573"/>
          <cell r="F573" t="str">
            <v>KG</v>
          </cell>
          <cell r="G573">
            <v>10.73</v>
          </cell>
          <cell r="H573" t="str">
            <v>-</v>
          </cell>
        </row>
        <row r="574">
          <cell r="A574">
            <v>91594</v>
          </cell>
          <cell r="B574" t="str">
            <v>SINAPI</v>
          </cell>
          <cell r="C574">
            <v>85662</v>
          </cell>
          <cell r="D574" t="str">
            <v>Armação em tela soldada nervurada Q-92 (15x15cm) #4,2x4,2mm (1,48kg/m²), aço CA-60, para estrutura, fornecimento e aplicação</v>
          </cell>
          <cell r="E574"/>
          <cell r="F574" t="str">
            <v>KG</v>
          </cell>
          <cell r="G574">
            <v>11.09</v>
          </cell>
          <cell r="H574" t="str">
            <v>-</v>
          </cell>
        </row>
        <row r="575">
          <cell r="A575" t="str">
            <v>EC/0015</v>
          </cell>
          <cell r="B575" t="str">
            <v>COMPOSIÇÃO</v>
          </cell>
          <cell r="C575"/>
          <cell r="D575" t="str">
            <v>Montagem/Desmontagem de estrutura em peças pré-moldadas de concreto na obra, inclusive guincho 35T</v>
          </cell>
          <cell r="E575"/>
          <cell r="F575" t="str">
            <v>T</v>
          </cell>
          <cell r="G575">
            <v>112.69</v>
          </cell>
          <cell r="H575" t="str">
            <v>-</v>
          </cell>
        </row>
        <row r="576">
          <cell r="A576">
            <v>101792</v>
          </cell>
          <cell r="B576" t="str">
            <v>SINAPI</v>
          </cell>
          <cell r="C576"/>
          <cell r="D576" t="str">
            <v>Escoramento de fôrmas de laje em madeira não aparelhada, pé-direito simples, incluso travamento, 4 utilizações. AF_09/2020</v>
          </cell>
          <cell r="E576"/>
          <cell r="F576" t="str">
            <v>M3</v>
          </cell>
          <cell r="G576">
            <v>15.07</v>
          </cell>
          <cell r="H576" t="str">
            <v>-</v>
          </cell>
        </row>
        <row r="577">
          <cell r="A577">
            <v>101793</v>
          </cell>
          <cell r="B577" t="str">
            <v>SINAPI</v>
          </cell>
          <cell r="C577"/>
          <cell r="D577" t="str">
            <v>Escoramento de fôrmas de laje em madeira não aparelhada, pé-direito duplo, incluso travamento, 4 utilizações. AF_09/2020</v>
          </cell>
          <cell r="E577"/>
          <cell r="F577" t="str">
            <v>M3</v>
          </cell>
          <cell r="G577">
            <v>22.77</v>
          </cell>
          <cell r="H577" t="str">
            <v>-</v>
          </cell>
        </row>
        <row r="578">
          <cell r="A578">
            <v>92743</v>
          </cell>
          <cell r="B578" t="str">
            <v>SINAPI</v>
          </cell>
          <cell r="C578"/>
          <cell r="D578" t="str">
            <v>Muro de gabião, enchimento com pedra de mão tipo rachão, de gravidade, com gaiolas de comprimento igual a 2 m, para muros com altura menor ou igual a 4 m  fornecimento e execução. AF_12/2015</v>
          </cell>
          <cell r="E578" t="str">
            <v>SEM PVC</v>
          </cell>
          <cell r="F578" t="str">
            <v>M3</v>
          </cell>
          <cell r="G578">
            <v>577.04999999999995</v>
          </cell>
          <cell r="H578" t="str">
            <v>-</v>
          </cell>
        </row>
        <row r="579">
          <cell r="A579">
            <v>92745</v>
          </cell>
          <cell r="B579" t="str">
            <v>SINAPI</v>
          </cell>
          <cell r="C579"/>
          <cell r="D579" t="str">
            <v>Muro de gabião, enchimento com pedra de mão tipo rachão, de gravidade, com gaiolas de comprimento igual a 2 m, para muros com altura maior que 4 m e menor ou igual a 6 m  fornecimento e execução. AF_12/2015</v>
          </cell>
          <cell r="E579"/>
          <cell r="F579" t="str">
            <v>M3</v>
          </cell>
          <cell r="G579">
            <v>706.84</v>
          </cell>
          <cell r="H579" t="str">
            <v>-</v>
          </cell>
        </row>
        <row r="580">
          <cell r="A580">
            <v>92747</v>
          </cell>
          <cell r="B580" t="str">
            <v>SINAPI</v>
          </cell>
          <cell r="C580"/>
          <cell r="D580" t="str">
            <v>Muro de gabião, enchimento com pedra de mão tipo rachão, de gravidade, com gaiolas de comprimento igual a 2 m, para muros com altura maior que 6 m e menor ou igual a 10 m fornecimento e execução. AF_12/2015</v>
          </cell>
          <cell r="E580"/>
          <cell r="F580" t="str">
            <v>M3</v>
          </cell>
          <cell r="G580">
            <v>779.64</v>
          </cell>
          <cell r="H580" t="str">
            <v>-</v>
          </cell>
        </row>
        <row r="581">
          <cell r="A581" t="str">
            <v>EC/0020</v>
          </cell>
          <cell r="B581" t="str">
            <v>COMPOSIÇÃO</v>
          </cell>
          <cell r="C581"/>
          <cell r="D581" t="str">
    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    </cell>
          <cell r="E581"/>
          <cell r="F581" t="str">
            <v>M3</v>
          </cell>
          <cell r="G581">
            <v>708.08</v>
          </cell>
          <cell r="H581" t="str">
            <v>-</v>
          </cell>
        </row>
        <row r="582">
          <cell r="A582" t="str">
            <v>EC/0025</v>
          </cell>
          <cell r="B582" t="str">
            <v>COMPOSIÇÃO</v>
          </cell>
          <cell r="C582"/>
          <cell r="D582" t="str">
    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    </cell>
          <cell r="E582"/>
          <cell r="F582" t="str">
            <v>M3</v>
          </cell>
          <cell r="G582">
            <v>829.66</v>
          </cell>
          <cell r="H582" t="str">
            <v>-</v>
          </cell>
        </row>
        <row r="583">
          <cell r="A583" t="str">
            <v>EC/0030</v>
          </cell>
          <cell r="B583" t="str">
            <v>COMPOSIÇÃO</v>
          </cell>
          <cell r="C583"/>
          <cell r="D583" t="str">
    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    </cell>
          <cell r="E583"/>
          <cell r="F583" t="str">
            <v>M3</v>
          </cell>
          <cell r="G583">
            <v>897.81</v>
          </cell>
          <cell r="H583" t="str">
            <v>-</v>
          </cell>
        </row>
        <row r="584">
          <cell r="A584" t="str">
            <v>EC/0031</v>
          </cell>
          <cell r="B584" t="str">
            <v>COMPOSIÇÃO</v>
          </cell>
          <cell r="C584"/>
          <cell r="D584" t="str">
            <v>Muro de gabião tipo caixa, enchimento com pedra de mão tipo rachão, para solo reforçado com gaiolas com painel de ancoragem de 4 m (ZN/AL+PVC # 8x10cm Ø2.7mm), dimensões 2,0x1,0x0,5m, geotêxtil RT10 - fornecimento e execução. Exclusive transporte. REF SINAPI 92745, DB 04-2023</v>
          </cell>
          <cell r="E584"/>
          <cell r="F584" t="str">
            <v>M3</v>
          </cell>
          <cell r="G584">
            <v>931.9</v>
          </cell>
          <cell r="H584" t="str">
            <v>-</v>
          </cell>
        </row>
        <row r="585">
          <cell r="A585" t="str">
            <v>EC/0032</v>
          </cell>
          <cell r="B585" t="str">
            <v>COMPOSIÇÃO</v>
          </cell>
          <cell r="C585"/>
          <cell r="D585" t="str">
            <v>Muro de gabião tipo caixa, enchimento com pedra de mão tipo rachão, para solo reforçado com gaiolas com painel de ancoragem de 4 m (ZN/AL+PVC # 8x10cm Ø2.7mm), dimensões 2,0x1,0x1,0m, geotêxtil RT10 - fornecimento e execução. Exclusive transporte. REF SINAPI 92745, DB 04-2023</v>
          </cell>
          <cell r="E585"/>
          <cell r="F585" t="str">
            <v>M3</v>
          </cell>
          <cell r="G585">
            <v>720.48</v>
          </cell>
          <cell r="H585" t="str">
            <v>-</v>
          </cell>
        </row>
        <row r="586">
          <cell r="A586">
            <v>92749</v>
          </cell>
          <cell r="B586" t="str">
            <v>SINAPI</v>
          </cell>
          <cell r="C586"/>
          <cell r="D586" t="str">
            <v>Muro de gabião, enchimento com pedra de mão tipo rachão, com solo reforçado, para muros com altura menor ou igual a 4 m fornecimento e execução. AF_12/2015</v>
          </cell>
          <cell r="E586" t="str">
            <v>TERRAMESH
14,85 kg/m³</v>
          </cell>
          <cell r="F586" t="str">
            <v>M3</v>
          </cell>
          <cell r="G586">
            <v>815.8</v>
          </cell>
          <cell r="H586" t="str">
            <v>-</v>
          </cell>
        </row>
        <row r="587">
          <cell r="A587">
            <v>92750</v>
          </cell>
          <cell r="B587" t="str">
            <v>SINAPI</v>
          </cell>
          <cell r="C587"/>
          <cell r="D587" t="str">
            <v>Muro de gabião, enchimento com pedra de mão tipo rachão, com solo reforçado, para muros com altura maior que 4 m e menor ou igual a 12 m fornecimento e execução. AF_12/2015</v>
          </cell>
          <cell r="E587"/>
          <cell r="F587" t="str">
            <v>M3</v>
          </cell>
          <cell r="G587">
            <v>1374.47</v>
          </cell>
          <cell r="H587" t="str">
            <v>-</v>
          </cell>
        </row>
        <row r="588">
          <cell r="A588" t="str">
            <v>EC-0033</v>
          </cell>
          <cell r="B588" t="str">
            <v>COMPOSIÇÃO</v>
          </cell>
          <cell r="C588"/>
          <cell r="D588" t="str">
    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    </cell>
          <cell r="E588"/>
          <cell r="F588" t="str">
            <v>M3</v>
          </cell>
          <cell r="G588">
            <v>857.96</v>
          </cell>
          <cell r="H588" t="str">
            <v>-</v>
          </cell>
        </row>
        <row r="589">
          <cell r="A589" t="str">
            <v>EC/0035</v>
          </cell>
          <cell r="B589" t="str">
            <v>COMPOSIÇÃO</v>
          </cell>
          <cell r="C589"/>
          <cell r="D589" t="str">
            <v>Muro de gabião, enchimento com pedra de mão tipo rachão, para solo reforçado com gaiolas com painel de ancoragem de 5 m (ZN/AL+PVC # 8x10cm Ø2.7mm), altura do muro acima de 4 e até 12 metros, geotêxtil RT10 - fornecimento e execução. Exclusive transporte</v>
          </cell>
          <cell r="E589"/>
          <cell r="F589" t="str">
            <v>M3</v>
          </cell>
          <cell r="G589">
            <v>1062.81</v>
          </cell>
          <cell r="H589" t="str">
            <v>-</v>
          </cell>
        </row>
        <row r="590">
          <cell r="A590" t="str">
            <v>EC/0036</v>
          </cell>
          <cell r="B590" t="str">
            <v>COMPOSIÇÃO</v>
          </cell>
          <cell r="C590"/>
          <cell r="D590" t="str">
            <v>Muro de gabião tipo caixa, enchimento com pedra de mão tipo rachão, para solo reforçado com gaiolas  (ZN/AL # 8x10cm Ø2.7mm), H=0,5 M, geotêxtil RT10 - fornecimento e execução. Exclusive transporte. REF SINAPI 92745, DB 04-2023</v>
          </cell>
          <cell r="E590"/>
          <cell r="F590" t="str">
            <v>M3</v>
          </cell>
          <cell r="G590">
            <v>792.98</v>
          </cell>
          <cell r="H590" t="str">
            <v>-</v>
          </cell>
        </row>
        <row r="591">
          <cell r="A591" t="str">
            <v>EC/0037</v>
          </cell>
          <cell r="B591" t="str">
            <v>COMPOSIÇÃO</v>
          </cell>
          <cell r="C591"/>
          <cell r="D591" t="str">
            <v>Muro de gabião tipo caixa, enchimento com pedra de mão tipo rachão, para solo reforçado com gaiolas com painel de ancoragem de 5 m (ZN/AL+PVC # 8x10cm Ø2.7mm), dimensões 2,0x1,0x0,5m, geotêxtil RT10 - fornecimento e execução. Exclusive transporte. REF SINAPI 92745, DB 04-2023</v>
          </cell>
          <cell r="E591"/>
          <cell r="F591" t="str">
            <v>M3</v>
          </cell>
          <cell r="G591">
            <v>1226.8399999999999</v>
          </cell>
          <cell r="H591" t="str">
            <v>-</v>
          </cell>
        </row>
        <row r="592">
          <cell r="A592" t="str">
            <v>EC/0038</v>
          </cell>
          <cell r="B592" t="str">
            <v>COMPOSIÇÃO</v>
          </cell>
          <cell r="C592"/>
          <cell r="D592" t="str">
            <v>Muro de gabião tipo caixa, enchimento com pedra de mão tipo rachão, para solo reforçado com gaiolas com painel de ancoragem de 6 m (ZN/AL+PVC # 8x10cm Ø2.7mm), dimensões 2,0x1,0x0,5m, geotêxtil RT10 - fornecimento e execução. Exclusive transporte. REF SINAPI 92745, DB 04-2023</v>
          </cell>
          <cell r="E592"/>
          <cell r="F592" t="str">
            <v>M3</v>
          </cell>
          <cell r="G592">
            <v>1324.93</v>
          </cell>
          <cell r="H592" t="str">
            <v>-</v>
          </cell>
        </row>
        <row r="593">
          <cell r="A593" t="str">
            <v>EC/0039</v>
          </cell>
          <cell r="B593" t="str">
            <v>COMPOSIÇÃO</v>
          </cell>
          <cell r="C593"/>
          <cell r="D593" t="str">
            <v>Muro de gabião tipo caixa, enchimento com pedra de mão tipo rachão, para solo reforçado com gaiolas com painel de ancoragem de 5 m (ZN/AL+PVC # 8x10cm Ø2.7mm), dimensões 2,0x1,0x1,0m, geotêxtil RT10 - fornecimento e execução. Exclusive transporte. REF SINAPI 92745, DB 04-2023</v>
          </cell>
          <cell r="E593"/>
          <cell r="F593" t="str">
            <v>M3</v>
          </cell>
          <cell r="G593">
            <v>876.82</v>
          </cell>
          <cell r="H593" t="str">
            <v>-</v>
          </cell>
        </row>
        <row r="594">
          <cell r="A594" t="str">
            <v>EC/0040</v>
          </cell>
          <cell r="B594" t="str">
            <v>COMPOSIÇÃO</v>
          </cell>
          <cell r="C594"/>
          <cell r="D594" t="str">
            <v>Muro de gabião, enchimento com pedra de mão tipo rachão, para solo reforçado com gaiolas com painel de ancoragem de 6 m (ZN/AL+PVC # 8x10cm Ø2.7mm), altura do muro acima de 4 e até 12 metros, geotêxtil RT10 - fornecimento e execução. Exclusive transporte</v>
          </cell>
          <cell r="E594"/>
          <cell r="F594" t="str">
            <v>M3</v>
          </cell>
          <cell r="G594">
            <v>1128.1500000000001</v>
          </cell>
          <cell r="H594" t="str">
            <v>-</v>
          </cell>
        </row>
        <row r="595">
          <cell r="A595" t="str">
            <v>EC/0041</v>
          </cell>
          <cell r="B595" t="str">
            <v>COMPOSIÇÃO</v>
          </cell>
          <cell r="C595"/>
          <cell r="D595" t="str">
            <v>Muro de gabião tipo caixa, enchimento com pedra de mão tipo rachão, para solo reforçado com gaiolas com painel de ancoragem de 6 m (ZN/AL+PVC # 8x10cm Ø2.7mm), dimensões 2,0x1,0x1,0m, geotêxtil RT10 - fornecimento e execução. Exclusive transporte. REF SINAPI 92745, DB 04-2023</v>
          </cell>
          <cell r="E595"/>
          <cell r="F595" t="str">
            <v>M3</v>
          </cell>
          <cell r="G595">
            <v>924.52</v>
          </cell>
          <cell r="H595" t="str">
            <v>-</v>
          </cell>
        </row>
        <row r="596">
          <cell r="A596">
            <v>92755</v>
          </cell>
          <cell r="B596" t="str">
            <v>SINAPI</v>
          </cell>
          <cell r="C596"/>
          <cell r="D596" t="str">
            <v>Proteção superficial de canal em gabião tipo colchão, altura de 17 centímetros, enchimento com pedra de mão tipo rachão - fornecimento e execução. AF_12/2015</v>
          </cell>
          <cell r="E596"/>
          <cell r="F596" t="str">
            <v>M2</v>
          </cell>
          <cell r="G596">
            <v>211.13</v>
          </cell>
          <cell r="H596" t="str">
            <v>-</v>
          </cell>
        </row>
        <row r="597">
          <cell r="A597">
            <v>92756</v>
          </cell>
          <cell r="B597" t="str">
            <v>SINAPI</v>
          </cell>
          <cell r="C597"/>
          <cell r="D597" t="str">
            <v>Proteção superficial de canal em gabião tipo colchão, altura de 23 centímetros, enchimento com pedra de mão tipo rachão - fornecimento e execução. AF_12/2015</v>
          </cell>
          <cell r="E597"/>
          <cell r="F597" t="str">
            <v>M2</v>
          </cell>
          <cell r="G597">
            <v>239.8</v>
          </cell>
          <cell r="H597" t="str">
            <v>-</v>
          </cell>
        </row>
        <row r="598">
          <cell r="A598">
            <v>92757</v>
          </cell>
          <cell r="B598" t="str">
            <v>SINAPI</v>
          </cell>
          <cell r="C598"/>
          <cell r="D598" t="str">
            <v>Proteção superficial de canal em gabião tipo colchão, altura de 30 centímetros, enchimento com pedra de mão tipo rachão - fornecimento e execução. AF_12/2015</v>
          </cell>
          <cell r="E598"/>
          <cell r="F598" t="str">
            <v>M2</v>
          </cell>
          <cell r="G598">
            <v>274.54000000000002</v>
          </cell>
          <cell r="H598" t="str">
            <v>-</v>
          </cell>
        </row>
        <row r="599">
          <cell r="A599">
            <v>92758</v>
          </cell>
          <cell r="B599" t="str">
            <v>SINAPI</v>
          </cell>
          <cell r="C599"/>
          <cell r="D599" t="str">
            <v>Proteção superficial de canal em gabião tipo saco (ZN/AL+PVC # 8x10cm Ø2,4mm), diâmetro de 65 centímetros, enchimento manual com pedra de mão tipo rachão - fornecimento e execução. Exclusive transporte AF_12/2015</v>
          </cell>
          <cell r="E599"/>
          <cell r="F599" t="str">
            <v>M3</v>
          </cell>
          <cell r="G599">
            <v>625.66</v>
          </cell>
          <cell r="H599" t="str">
            <v>-</v>
          </cell>
        </row>
        <row r="600">
          <cell r="A600" t="str">
            <v>73881/1</v>
          </cell>
          <cell r="B600" t="str">
            <v>SINAPI</v>
          </cell>
          <cell r="C600"/>
          <cell r="D600" t="str">
            <v>VERIFICAR CÓDIGOS: 102712, 10713, 102715. Execução de dreno com manta geotêxtil 200 g/m2</v>
          </cell>
          <cell r="E600"/>
          <cell r="F600" t="e">
            <v>#N/A</v>
          </cell>
          <cell r="G600" t="e">
            <v>#N/A</v>
          </cell>
          <cell r="H600" t="str">
            <v>VER COMP</v>
          </cell>
        </row>
        <row r="601">
          <cell r="A601">
            <v>102712</v>
          </cell>
          <cell r="B601" t="str">
            <v>SINAPI</v>
          </cell>
          <cell r="C601"/>
          <cell r="D601" t="str">
            <v>Geotêxtil não tecido 100% poliéster, resistência a tração de 9 kn/m (RT - 9), instalado em dreno - fornecimento e instalação. AF_07/2021</v>
          </cell>
          <cell r="E601"/>
          <cell r="F601" t="str">
            <v>M2</v>
          </cell>
          <cell r="G601">
            <v>13.9</v>
          </cell>
          <cell r="H601" t="str">
            <v>VER COMP</v>
          </cell>
        </row>
        <row r="602">
          <cell r="A602">
            <v>102713</v>
          </cell>
          <cell r="B602" t="str">
            <v>SINAPI</v>
          </cell>
          <cell r="C602"/>
          <cell r="D602" t="str">
            <v>Geotêxtil não tecido 100% poliéster, resistência a tração de 14 kn/m (RT - 14), instalado em dreno - fornecimento e instalação. AF_07/2021</v>
          </cell>
          <cell r="E602"/>
          <cell r="F602" t="str">
            <v>M2</v>
          </cell>
          <cell r="G602">
            <v>19.23</v>
          </cell>
          <cell r="H602" t="str">
            <v>VER COMP</v>
          </cell>
        </row>
        <row r="603">
          <cell r="A603">
            <v>102715</v>
          </cell>
          <cell r="B603" t="str">
            <v>SINAPI</v>
          </cell>
          <cell r="C603"/>
          <cell r="D603" t="str">
            <v>Geotêxtil não tecido 100% poliéster, resistência a tração de 26 kn/m (RT - 26), instalado em dreno - fornecimento e instalação. AF_07/2021</v>
          </cell>
          <cell r="E603"/>
          <cell r="F603" t="str">
            <v>M2</v>
          </cell>
          <cell r="G603">
            <v>38.39</v>
          </cell>
          <cell r="H603" t="str">
            <v>VER COMP</v>
          </cell>
        </row>
        <row r="604">
          <cell r="A604">
            <v>102670</v>
          </cell>
          <cell r="B604" t="str">
            <v>SINAPI</v>
          </cell>
          <cell r="C604"/>
          <cell r="D604" t="str">
            <v>Dreno profundo (seção 0,50 x 1,50 m), com tubo de PEAD corrugado perfurado, DN 100 mm, enchimento com areia, com selo de argila. AF_07/2021</v>
          </cell>
          <cell r="E604"/>
          <cell r="F604" t="str">
            <v>M</v>
          </cell>
          <cell r="G604">
            <v>97.04</v>
          </cell>
          <cell r="H604" t="str">
            <v>-</v>
          </cell>
        </row>
        <row r="605">
          <cell r="A605">
            <v>102673</v>
          </cell>
          <cell r="B605" t="str">
            <v>SINAPI</v>
          </cell>
          <cell r="C605"/>
          <cell r="D605" t="str">
            <v>Dreno profundo (seção 0,50 x 1,50 m), com tubo de concreto simples poroso, DN 200 mm, enchimento com areia, com selo de argila. AF_07/2021</v>
          </cell>
          <cell r="E605"/>
          <cell r="F605" t="str">
            <v>M</v>
          </cell>
          <cell r="G605">
            <v>147.19999999999999</v>
          </cell>
          <cell r="H605" t="str">
            <v>-</v>
          </cell>
        </row>
        <row r="606">
          <cell r="A606">
            <v>102674</v>
          </cell>
          <cell r="B606" t="str">
            <v>SINAPI</v>
          </cell>
          <cell r="C606"/>
          <cell r="D606" t="str">
            <v>Dreno profundo (seção 0,50 x 1,50 m), com tubo de PEAD corrugado perfurado, DN 100 mm, enchimento com areia. AF_07/2021</v>
          </cell>
          <cell r="E606"/>
          <cell r="F606" t="str">
            <v>M</v>
          </cell>
          <cell r="G606">
            <v>104.58</v>
          </cell>
          <cell r="H606" t="str">
            <v>-</v>
          </cell>
        </row>
        <row r="607">
          <cell r="A607">
            <v>102677</v>
          </cell>
          <cell r="B607" t="str">
            <v>SINAPI</v>
          </cell>
          <cell r="C607"/>
          <cell r="D607" t="str">
            <v>Dreno profundo (seção 0,50 x 1,50 m), com tubo de concreto simples poroso, DN 200 mm, enchimento com areia. AF_07/2021</v>
          </cell>
          <cell r="E607"/>
          <cell r="F607" t="str">
            <v>M</v>
          </cell>
          <cell r="G607">
            <v>137.05000000000001</v>
          </cell>
          <cell r="H607" t="str">
            <v>-</v>
          </cell>
        </row>
        <row r="608">
          <cell r="A608">
            <v>102678</v>
          </cell>
          <cell r="B608" t="str">
            <v>SINAPI</v>
          </cell>
          <cell r="C608"/>
          <cell r="D608" t="str">
            <v>Dreno profundo (seção 0,50 x 1,50 m), cego, enchimento de brita, envolvido com manta geotêxtil, com selo de argila. AF_07/2021</v>
          </cell>
          <cell r="E608"/>
          <cell r="F608" t="str">
            <v>M</v>
          </cell>
          <cell r="G608">
            <v>159.51</v>
          </cell>
          <cell r="H608" t="str">
            <v>-</v>
          </cell>
        </row>
        <row r="609">
          <cell r="A609">
            <v>102679</v>
          </cell>
          <cell r="B609" t="str">
            <v>SINAPI</v>
          </cell>
          <cell r="C609"/>
          <cell r="D609" t="str">
            <v>Dreno profundo (seção 0,50 x 1,50 m), cego, enchimento de brita, envolvido com manta geotêxtil. AF_07/2021</v>
          </cell>
          <cell r="E609"/>
          <cell r="F609" t="str">
            <v>M</v>
          </cell>
          <cell r="G609">
            <v>169.8</v>
          </cell>
          <cell r="H609" t="str">
            <v>-</v>
          </cell>
        </row>
        <row r="610">
          <cell r="A610">
            <v>102680</v>
          </cell>
          <cell r="B610" t="str">
            <v>SINAPI</v>
          </cell>
          <cell r="C610"/>
          <cell r="D610" t="str">
            <v>Dreno profundo (seção 0,50 x 1,50 m), com tubo de PEAD corrugado perfurado, DN 100 mm, enchimento com brita, envolvido com manta geotêxtil, com selo de argila. AF_07/2021</v>
          </cell>
          <cell r="E610"/>
          <cell r="F610" t="str">
            <v>M</v>
          </cell>
          <cell r="G610">
            <v>172.11</v>
          </cell>
          <cell r="H610" t="str">
            <v>-</v>
          </cell>
        </row>
        <row r="611">
          <cell r="A611">
            <v>102683</v>
          </cell>
          <cell r="B611" t="str">
            <v>SINAPI</v>
          </cell>
          <cell r="C611"/>
          <cell r="D611" t="str">
            <v>Dreno profundo (seção 0,50 x 1,50 m), com tubo de concreto simples poroso, DN 200 mm, enchimento com brita, envolvido com manta geotêxtil, com selo de argila. AF_07/2021</v>
          </cell>
          <cell r="E611"/>
          <cell r="F611" t="str">
            <v>M</v>
          </cell>
          <cell r="G611">
            <v>209</v>
          </cell>
          <cell r="H611" t="str">
            <v>-</v>
          </cell>
        </row>
        <row r="612">
          <cell r="A612">
            <v>102684</v>
          </cell>
          <cell r="B612" t="str">
            <v>SINAPI</v>
          </cell>
          <cell r="C612"/>
          <cell r="D612" t="str">
            <v>Dreno profundo (seção 0,50 x 1,50 m), com tubo de PEAD corrugado perfurado, DN 100 mm, enchimento com brita, envolvido com manta geotêxtil. AF_07/2021</v>
          </cell>
          <cell r="E612"/>
          <cell r="F612" t="str">
            <v>M</v>
          </cell>
          <cell r="G612">
            <v>182.39</v>
          </cell>
          <cell r="H612" t="str">
            <v>-</v>
          </cell>
        </row>
        <row r="613">
          <cell r="A613">
            <v>102687</v>
          </cell>
          <cell r="B613" t="str">
            <v>SINAPI</v>
          </cell>
          <cell r="C613"/>
          <cell r="D613" t="str">
            <v>Dreno profundo (seção 0,50 x 1,50 m), com tubo de concreto simples poroso, DN 200 mm, enchimento com brita, envolvido com manta geotêxtil. AF_07/2021</v>
          </cell>
          <cell r="E613"/>
          <cell r="F613" t="str">
            <v>M</v>
          </cell>
          <cell r="G613">
            <v>214.73</v>
          </cell>
          <cell r="H613" t="str">
            <v>-</v>
          </cell>
        </row>
        <row r="614">
          <cell r="A614">
            <v>102688</v>
          </cell>
          <cell r="B614" t="str">
            <v>SINAPI</v>
          </cell>
          <cell r="C614"/>
          <cell r="D614" t="str">
            <v>Dreno espinha de peixe (seção (0,40 x 0,40 m), com tubo de PEAD corrugado perfurado, DN 100 mm, enchimento com areia, inclusive conexões. AF_07/2021</v>
          </cell>
          <cell r="E614"/>
          <cell r="F614" t="str">
            <v>M</v>
          </cell>
          <cell r="G614">
            <v>38.729999999999997</v>
          </cell>
          <cell r="H614" t="str">
            <v>-</v>
          </cell>
        </row>
        <row r="615">
          <cell r="A615">
            <v>102690</v>
          </cell>
          <cell r="B615" t="str">
            <v>SINAPI</v>
          </cell>
          <cell r="C615"/>
          <cell r="D615" t="str">
            <v>Dreno espinha de peixe (seção (0,40 x 0,40 m), com tubo de PEAD corrugado perfurado, DN 100 mm, enchimento com brita, envolvido com manta geotêxtil, inclusive conexões. AF_07/2021</v>
          </cell>
          <cell r="E615"/>
          <cell r="F615" t="str">
            <v>M</v>
          </cell>
          <cell r="G615">
            <v>76.02</v>
          </cell>
          <cell r="H615" t="str">
            <v>-</v>
          </cell>
        </row>
        <row r="616">
          <cell r="A616">
            <v>102694</v>
          </cell>
          <cell r="B616" t="str">
            <v>SINAPI</v>
          </cell>
          <cell r="C616"/>
          <cell r="D616" t="str">
            <v>Dreno espinha de peixe seção (0,50 x 0,80 m), com tubo de PEAD corrugado perfurado, DN 100 mm, enchimento com areia, inclusive conexões. AF_07/2021</v>
          </cell>
          <cell r="E616"/>
          <cell r="F616" t="str">
            <v>M</v>
          </cell>
          <cell r="G616">
            <v>71.540000000000006</v>
          </cell>
          <cell r="H616" t="str">
            <v>-</v>
          </cell>
        </row>
        <row r="617">
          <cell r="A617">
            <v>102697</v>
          </cell>
          <cell r="B617" t="str">
            <v>SINAPI</v>
          </cell>
          <cell r="C617"/>
          <cell r="D617" t="str">
            <v>Dreno espinha de peixe seção (0,50 x 0,80 m), com tubo de PEAD corrugado perfurado, DN 100 mm, enchimento com brita, envolvido com manta geotêxtil, inclusive conexões. AF_07/2021</v>
          </cell>
          <cell r="E617"/>
          <cell r="F617" t="str">
            <v>M</v>
          </cell>
          <cell r="G617">
            <v>123.7</v>
          </cell>
          <cell r="H617" t="str">
            <v>-</v>
          </cell>
        </row>
        <row r="618">
          <cell r="A618" t="str">
            <v>EC/0043</v>
          </cell>
          <cell r="B618" t="str">
            <v>COMPOSIÇÃO</v>
          </cell>
          <cell r="C618">
            <v>83669</v>
          </cell>
          <cell r="D618" t="str">
            <v>Manta de geotêxtil tecida com resistência à tração longitudinal de 16 kN/m e à tração transversal de 14 kN/m,  RT-16, incluindo perda do transpasse (REF. SINAPI COD. 73881/3 2020-08)</v>
          </cell>
          <cell r="E618"/>
          <cell r="F618" t="str">
            <v>M3</v>
          </cell>
          <cell r="G618">
            <v>20</v>
          </cell>
          <cell r="H618" t="str">
            <v>-</v>
          </cell>
        </row>
        <row r="619">
          <cell r="A619">
            <v>4012</v>
          </cell>
          <cell r="B619" t="str">
            <v>COTAÇÃO - SINAPI</v>
          </cell>
          <cell r="C619" t="str">
            <v>73881/3</v>
          </cell>
          <cell r="D619" t="str">
            <v>Geotêxtil não tecido agulhado de filamentos contínuos 100% poliéster, resistência a tração = 21 kn/m</v>
          </cell>
          <cell r="E619"/>
          <cell r="F619" t="str">
            <v xml:space="preserve">M2    </v>
          </cell>
          <cell r="G619">
            <v>25.1</v>
          </cell>
          <cell r="H619" t="str">
            <v>-</v>
          </cell>
        </row>
        <row r="620">
          <cell r="A620">
            <v>101173</v>
          </cell>
          <cell r="B620" t="str">
            <v>SINAPI</v>
          </cell>
          <cell r="C620">
            <v>98228</v>
          </cell>
          <cell r="D620" t="str">
            <v>Estaca broca de concreto, diâmetro nominal de 20 cm, escavação manual com trado concha, com armadura de arranque. AF_05/2020</v>
          </cell>
          <cell r="E620"/>
          <cell r="F620" t="str">
            <v>M</v>
          </cell>
          <cell r="G620">
            <v>55.63</v>
          </cell>
          <cell r="H620" t="str">
            <v>-</v>
          </cell>
        </row>
        <row r="621">
          <cell r="A621">
            <v>101174</v>
          </cell>
          <cell r="B621" t="str">
            <v>SINAPI</v>
          </cell>
          <cell r="C621">
            <v>98229</v>
          </cell>
          <cell r="D621" t="str">
            <v>Estaca broca de concreto, diâmetro nominal de 25 cm, escavação manual com trado concha, com armadura de arranque. AF_05/2020</v>
          </cell>
          <cell r="E621"/>
          <cell r="F621" t="str">
            <v>M</v>
          </cell>
          <cell r="G621">
            <v>76.45</v>
          </cell>
          <cell r="H621" t="str">
            <v>-</v>
          </cell>
        </row>
        <row r="622">
          <cell r="A622">
            <v>101175</v>
          </cell>
          <cell r="B622" t="str">
            <v>SINAPI</v>
          </cell>
          <cell r="C622">
            <v>98230</v>
          </cell>
          <cell r="D622" t="str">
            <v>Estaca broca de concreto, diâmetro nominal de 30 cm, escavação manual com trado concha, com armadura de arranque. AF_05/2020</v>
          </cell>
          <cell r="E622"/>
          <cell r="F622" t="str">
            <v>M</v>
          </cell>
          <cell r="G622">
            <v>104.48</v>
          </cell>
          <cell r="H622" t="str">
            <v>-</v>
          </cell>
        </row>
        <row r="623">
          <cell r="A623">
            <v>89480</v>
          </cell>
          <cell r="B623" t="str">
            <v>SINAPI</v>
          </cell>
          <cell r="C623"/>
          <cell r="D623" t="str">
            <v>Alvenaria de blocos de concreto estrutural 14x19x29 cm, (espessura 14 cm) FBK = 14,0 MPA, para paredes com área líquida menor que 6 m², sem vãos, utilizando colher de pedreiro. AF_12/2014</v>
          </cell>
          <cell r="E623"/>
          <cell r="F623" t="str">
            <v>M2</v>
          </cell>
          <cell r="G623">
            <v>141.83000000000001</v>
          </cell>
          <cell r="H623" t="str">
            <v>-</v>
          </cell>
        </row>
        <row r="624">
          <cell r="A624">
            <v>103320</v>
          </cell>
          <cell r="B624" t="str">
            <v>SINAPI</v>
          </cell>
          <cell r="C624">
            <v>87452</v>
          </cell>
          <cell r="D624" t="str">
            <v>Alvenaria de vedação de blocos vazados de concreto de 19x19x39 cm (espessura 19 cm) e argamassa de assentamento com preparo em betoneira. AF_12/2021</v>
          </cell>
          <cell r="E624"/>
          <cell r="F624" t="str">
            <v>M2</v>
          </cell>
          <cell r="G624">
            <v>108.2</v>
          </cell>
          <cell r="H624" t="str">
            <v>-</v>
          </cell>
        </row>
        <row r="625">
          <cell r="A625">
            <v>101159</v>
          </cell>
          <cell r="B625" t="str">
            <v>SINAPI</v>
          </cell>
          <cell r="C625">
            <v>72132</v>
          </cell>
          <cell r="D625" t="str">
            <v>Alvenaria de vedação de blocos cerâmicos maciços de 5x10x20 cm (espessura 10 cm) e argamassa de assentamento com preparo em betoneira. AF_05/2020</v>
          </cell>
          <cell r="E625"/>
          <cell r="F625" t="str">
            <v>M2</v>
          </cell>
          <cell r="G625">
            <v>126.19</v>
          </cell>
          <cell r="H625" t="str">
            <v>-</v>
          </cell>
        </row>
        <row r="626">
          <cell r="A626" t="str">
            <v>EC/0044</v>
          </cell>
          <cell r="B626" t="str">
            <v>COMPOSIÇÃO</v>
          </cell>
          <cell r="C626">
            <v>72131</v>
          </cell>
          <cell r="D626" t="str">
            <v>Alvenaria em tijolo cerâmico maciço 5x10x20cm 1 vez (espessura 20cm), assentado com argamassa de betoneira, traço 1:2:8 (cimento, cal e areia), REF SINAPI 72131, DATA 04/2020</v>
          </cell>
          <cell r="E626"/>
          <cell r="F626" t="str">
            <v>M2</v>
          </cell>
          <cell r="G626">
            <v>189.92</v>
          </cell>
          <cell r="H626" t="str">
            <v>-</v>
          </cell>
        </row>
        <row r="627">
          <cell r="A627">
            <v>101159</v>
          </cell>
          <cell r="B627" t="str">
            <v>SINAPI</v>
          </cell>
          <cell r="C627">
            <v>72133</v>
          </cell>
          <cell r="D627" t="str">
            <v>Alvenaria de vedação de blocos cerâmicos maciços de 5x10x20cm (espessura 10cm) e argamassa de assentamento com preparo em betoneira. AF_05/2020</v>
          </cell>
          <cell r="E627"/>
          <cell r="F627" t="str">
            <v>M2</v>
          </cell>
          <cell r="G627">
            <v>126.19</v>
          </cell>
          <cell r="H627" t="str">
            <v>-</v>
          </cell>
        </row>
        <row r="628">
          <cell r="A628">
            <v>87878</v>
          </cell>
          <cell r="B628" t="str">
            <v>SINAPI</v>
          </cell>
          <cell r="C628"/>
          <cell r="D628" t="str">
            <v>Chapisco aplicado em alvenarias e estruturas de concreto internas, com colher de pedreiro. Argamassa traço 1:3 com preparo manual. AF_06/2014</v>
          </cell>
          <cell r="E628"/>
          <cell r="F628" t="str">
            <v>M2</v>
          </cell>
          <cell r="G628">
            <v>4.1399999999999997</v>
          </cell>
          <cell r="H628" t="str">
            <v>-</v>
          </cell>
        </row>
        <row r="629">
          <cell r="A629">
            <v>87897</v>
          </cell>
          <cell r="B629" t="str">
            <v>SINAPI</v>
          </cell>
          <cell r="C629"/>
          <cell r="D629" t="str">
            <v>Chapisco aplicado em alvenaria (sem presença de vãos) e estruturas de concreto de fachada, com equipamento de projeção. Argamassa traço 1:3 com preparo em betoneira 400 l. AF_06/2014</v>
          </cell>
          <cell r="E629"/>
          <cell r="F629" t="str">
            <v>M2</v>
          </cell>
          <cell r="G629">
            <v>4.3499999999999996</v>
          </cell>
          <cell r="H629" t="str">
            <v>-</v>
          </cell>
        </row>
        <row r="630">
          <cell r="A630">
            <v>87530</v>
          </cell>
          <cell r="B630" t="str">
            <v>SINAPI</v>
          </cell>
          <cell r="C630"/>
          <cell r="D630" t="str">
            <v>Massa única, para recebimento de pintura, em argamassa traço 1:2:8, preparo manual, aplicada manualmente em faces internas de paredes, espessura de 20mm, com execução de taliscas. AF_06/2014</v>
          </cell>
          <cell r="E630"/>
          <cell r="F630" t="str">
            <v>M2</v>
          </cell>
          <cell r="G630">
            <v>37.4</v>
          </cell>
          <cell r="H630" t="str">
            <v>-</v>
          </cell>
        </row>
        <row r="631">
          <cell r="A631">
            <v>87313</v>
          </cell>
          <cell r="B631" t="str">
            <v>SINAPI</v>
          </cell>
          <cell r="C631"/>
          <cell r="D631" t="str">
            <v>Argamassa traço 1:3 (em volume de cimento e areia grossa úmida) para chapisco convencional, preparo mecânico com betoneira 400 l. AF_08/2019</v>
          </cell>
          <cell r="E631"/>
          <cell r="F631" t="str">
            <v>M3</v>
          </cell>
          <cell r="G631">
            <v>519.44000000000005</v>
          </cell>
          <cell r="H631" t="str">
            <v>-</v>
          </cell>
        </row>
        <row r="632">
          <cell r="A632">
            <v>88629</v>
          </cell>
          <cell r="B632" t="str">
            <v>SINAPI</v>
          </cell>
          <cell r="C632"/>
          <cell r="D632" t="str">
            <v>Argamassa traço 1:3 (em volume de cimento e areia média úmida), preparo manual. AF_08/2019</v>
          </cell>
          <cell r="E632"/>
          <cell r="F632" t="str">
            <v>M3</v>
          </cell>
          <cell r="G632">
            <v>633.52</v>
          </cell>
          <cell r="H632" t="str">
            <v>-</v>
          </cell>
        </row>
        <row r="633">
          <cell r="A633">
            <v>98560</v>
          </cell>
          <cell r="B633" t="str">
            <v>SINAPI</v>
          </cell>
          <cell r="C633"/>
          <cell r="D633" t="str">
            <v>Impermeabilização de piso com argamassa de cimento e areia, com aditivo impermeabilizante, e = 2 cm. AF_06/2018</v>
          </cell>
          <cell r="E633"/>
          <cell r="F633" t="str">
            <v>M2</v>
          </cell>
          <cell r="G633">
            <v>42.79</v>
          </cell>
          <cell r="H633" t="str">
            <v>-</v>
          </cell>
        </row>
        <row r="634">
          <cell r="A634">
            <v>10931</v>
          </cell>
          <cell r="B634" t="str">
            <v>COTAÇÃO - SINAPI</v>
          </cell>
          <cell r="C634"/>
          <cell r="D634" t="str">
            <v>Tela de arame galvanizada, hexagonal, fio 0,56 mm (24 bwg), malha 1/2", h = 1 m</v>
          </cell>
          <cell r="E634"/>
          <cell r="F634" t="str">
            <v xml:space="preserve">M2    </v>
          </cell>
          <cell r="G634">
            <v>14.09</v>
          </cell>
          <cell r="H634" t="str">
            <v>-</v>
          </cell>
        </row>
        <row r="635">
          <cell r="A635" t="str">
            <v>EC/0045</v>
          </cell>
          <cell r="B635" t="str">
            <v>COMPOSIÇÃO</v>
          </cell>
          <cell r="C635"/>
          <cell r="D635" t="str">
            <v>Muro de Arrimo com bloco de concreto estrutural FBK 14,0 Mpa de 19x19x39 cm com acabamento aparente, incluindo concreto armado 25 mpa, com cintas baldrame/intermediária/respaldo, pilares (19x20 cm) e brocas (Ø 20cm x 1,80 m) a cada 2m</v>
          </cell>
          <cell r="E635"/>
          <cell r="F635" t="str">
            <v>M2</v>
          </cell>
          <cell r="G635">
            <v>340.12</v>
          </cell>
          <cell r="H635" t="str">
            <v>-</v>
          </cell>
        </row>
        <row r="636">
          <cell r="A636" t="str">
            <v>EC/0050</v>
          </cell>
          <cell r="B636" t="str">
            <v>COMPOSIÇÃO</v>
          </cell>
          <cell r="C636"/>
          <cell r="D636" t="str">
            <v>Geocélula de PEAD, paredes perfuradas, soldadas - altura de 200 mm e 250 cm² de área de célula, conforme NBR 12553 da ABNT, incluindo 2 grampos tipo U em aço CA-50 Ø 6,3mm para cada 1,00m². Exclusive preparo do terreno e material de enchimento</v>
          </cell>
          <cell r="E636"/>
          <cell r="F636" t="str">
            <v>M2</v>
          </cell>
          <cell r="G636">
            <v>82.24</v>
          </cell>
          <cell r="H636" t="str">
            <v>-</v>
          </cell>
        </row>
        <row r="637">
          <cell r="A637" t="str">
            <v>EC/0051</v>
          </cell>
          <cell r="B637" t="str">
            <v>COMPOSIÇÃO</v>
          </cell>
          <cell r="C637"/>
          <cell r="D637" t="str">
            <v>Geocélula de PEAD, paredes perfuradas, soldadas - altura de 125 mm e 250 cm² de área de célula, conforme NBR 12553 da ABNT, incluindo 2 grampos tipo U em aço CA-50 Ø 6,3mm para cada 1,00m². Exclusive preparo do terreno e material de enchimento. (REF SICRO 1516305, DB 04-2021)</v>
          </cell>
          <cell r="E637"/>
          <cell r="F637" t="str">
            <v>M2</v>
          </cell>
          <cell r="G637">
            <v>71.42</v>
          </cell>
          <cell r="H637" t="str">
            <v>-</v>
          </cell>
        </row>
        <row r="638">
          <cell r="A638" t="str">
            <v>EC/0052</v>
          </cell>
          <cell r="B638" t="str">
            <v>COMPOSIÇÃO</v>
          </cell>
          <cell r="C638"/>
          <cell r="D638" t="str">
            <v>Geocélula de PEAD, paredes perfuradas, soldadas - altura de 100 mm e 250 cm² de área de célula, conforme NBR 12553 da ABNT, incluindo 2 grampos tipo U em aço CA-50 Ø 6,3mm para cada 1,00m². Exclusive preparo do terreno e material de enchimento. (REF SICRO 1516304, DB 01-2021)</v>
          </cell>
          <cell r="E638"/>
          <cell r="F638" t="str">
            <v>M2</v>
          </cell>
          <cell r="G638">
            <v>61.05</v>
          </cell>
          <cell r="H638" t="str">
            <v>-</v>
          </cell>
        </row>
        <row r="639">
          <cell r="A639" t="str">
            <v>EC/0053</v>
          </cell>
          <cell r="B639" t="str">
            <v>COMPOSIÇÃO</v>
          </cell>
          <cell r="C639"/>
          <cell r="D639" t="str">
            <v>Geocélula de PEAD, paredes perfuradas, soldadas - altura de 75 mm e 1206 cm² de área de célula, conforme NBR 12553 da ABNT, incluindo 2 grampos tipo U em aço CA-50 Ø 6,3mm para cada 1,00m². Exclusive preparo do terreno e material de enchimento. (REF SICRO 1516311, DB 01-2021)</v>
          </cell>
          <cell r="E639"/>
          <cell r="F639" t="str">
            <v>M2</v>
          </cell>
          <cell r="G639">
            <v>40.14</v>
          </cell>
          <cell r="H639" t="str">
            <v>-</v>
          </cell>
        </row>
        <row r="640">
          <cell r="A640" t="str">
            <v>EC/0055</v>
          </cell>
          <cell r="B640" t="str">
            <v>COMPOSIÇÃO</v>
          </cell>
          <cell r="C640"/>
          <cell r="D640" t="str">
            <v>RIP-RAP de saco com solo de jazida. Exclusive fornecimento e transporte de solo</v>
          </cell>
          <cell r="E640"/>
          <cell r="F640" t="str">
            <v>M3</v>
          </cell>
          <cell r="G640">
            <v>308.27999999999997</v>
          </cell>
          <cell r="H640" t="str">
            <v>-</v>
          </cell>
        </row>
        <row r="641">
          <cell r="A641" t="str">
            <v>EC/0060</v>
          </cell>
          <cell r="B641" t="str">
            <v>COMPOSIÇÃO</v>
          </cell>
          <cell r="C641"/>
          <cell r="D641" t="str">
            <v>Contenção (RIP-RAP) em solo-cimento ensacado com mistura de solo de jazida com 8% de cimento,  inclusive confecção e assentamento. Exclusive fornecimento e transporte de solo. Ref SICRO CÓD. 1513940</v>
          </cell>
          <cell r="E641"/>
          <cell r="F641" t="str">
            <v>M3</v>
          </cell>
          <cell r="G641">
            <v>373.31</v>
          </cell>
          <cell r="H641" t="str">
            <v>-</v>
          </cell>
        </row>
        <row r="642">
          <cell r="A642" t="str">
            <v>EC/0065</v>
          </cell>
          <cell r="B642" t="str">
            <v>COMPOSIÇÃO</v>
          </cell>
          <cell r="C642"/>
          <cell r="D642" t="str">
            <v>Cabo de aço 1/2" (13mm) 6x25 AF/AFA, incluindo esticador e grampos (clips)</v>
          </cell>
          <cell r="E642"/>
          <cell r="F642" t="str">
            <v>M</v>
          </cell>
          <cell r="G642">
            <v>48.3</v>
          </cell>
          <cell r="H642" t="str">
            <v>-</v>
          </cell>
        </row>
        <row r="643">
          <cell r="A643" t="str">
            <v>EC/0070</v>
          </cell>
          <cell r="B643" t="str">
            <v>COMPOSIÇÃO</v>
          </cell>
          <cell r="C643"/>
          <cell r="D643" t="str">
            <v>Trilho tipo ferrovia semi-novo para estacas, aquisição. Exclusive transporte, aplicação e perdas</v>
          </cell>
          <cell r="E643"/>
          <cell r="F643" t="str">
            <v>KG</v>
          </cell>
          <cell r="G643">
            <v>5.16</v>
          </cell>
          <cell r="H643" t="str">
            <v>-</v>
          </cell>
        </row>
        <row r="644">
          <cell r="A644" t="str">
            <v>EC/0075</v>
          </cell>
          <cell r="B644" t="str">
            <v>COMPOSIÇÃO</v>
          </cell>
          <cell r="C644"/>
          <cell r="D644" t="str">
            <v>Escora de eucalípto tratado D = 20 cm, fornecimento e aplicação sem emenda</v>
          </cell>
          <cell r="E644"/>
          <cell r="F644" t="str">
            <v>M</v>
          </cell>
          <cell r="G644">
            <v>79.400000000000006</v>
          </cell>
          <cell r="H644" t="str">
            <v>-</v>
          </cell>
        </row>
        <row r="645">
          <cell r="A645" t="str">
            <v>EC/0080</v>
          </cell>
          <cell r="B645" t="str">
            <v>COMPOSIÇÃO</v>
          </cell>
          <cell r="C645"/>
          <cell r="D645" t="str">
            <v>Escora de eucalípto tratado  D = 8 cm a 11 cm, fornecimento e aplicação sem emenda</v>
          </cell>
          <cell r="E645"/>
          <cell r="F645" t="str">
            <v>M</v>
          </cell>
          <cell r="G645">
            <v>10.52</v>
          </cell>
          <cell r="H645" t="str">
            <v>-</v>
          </cell>
        </row>
        <row r="646">
          <cell r="A646" t="str">
            <v>EC/0085</v>
          </cell>
          <cell r="B646" t="str">
            <v>COMPOSIÇÃO</v>
          </cell>
          <cell r="C646"/>
          <cell r="D646" t="str">
            <v>Cravação de estaca de madeira com escavadeira hidráulica com martelo hidráulico em solo de baixa resistência. Exclusive fornecimento de estaca (escora)</v>
          </cell>
          <cell r="E646"/>
          <cell r="F646" t="str">
            <v>M</v>
          </cell>
          <cell r="G646">
            <v>22.2</v>
          </cell>
          <cell r="H646" t="str">
            <v>-</v>
          </cell>
        </row>
        <row r="647">
          <cell r="A647" t="str">
            <v>EC/0090</v>
          </cell>
          <cell r="B647" t="str">
            <v>COMPOSIÇÃO</v>
          </cell>
          <cell r="C647"/>
          <cell r="D647" t="str">
            <v>Cravação com bate-estaca de estaca metálica, prancha ou trilho TR, em terreno de media resistencia a penetracao, inclusive um corte ao maçarico. Exclusive fornecimento da estaca</v>
          </cell>
          <cell r="E647"/>
          <cell r="F647" t="str">
            <v>M</v>
          </cell>
          <cell r="G647">
            <v>70.95</v>
          </cell>
          <cell r="H647" t="str">
            <v>-</v>
          </cell>
        </row>
        <row r="648">
          <cell r="A648">
            <v>100656</v>
          </cell>
          <cell r="B648" t="str">
            <v>SINAPI</v>
          </cell>
          <cell r="D648" t="str">
            <v>Estaca pré-moldada de concreto, seção quadrada, capacidade de 25 toneladas, incluso emenda (exclusive mobilização e desmobilização). AF_12/2019</v>
          </cell>
          <cell r="E648" t="str">
            <v>25 x 25 cm²</v>
          </cell>
          <cell r="F648" t="str">
            <v>M</v>
          </cell>
          <cell r="G648">
            <v>114.42</v>
          </cell>
          <cell r="H648" t="str">
            <v>-</v>
          </cell>
        </row>
        <row r="649">
          <cell r="A649">
            <v>95601</v>
          </cell>
          <cell r="B649" t="str">
            <v>SINAPI</v>
          </cell>
          <cell r="C649"/>
          <cell r="D649" t="str">
            <v>Arrasamento mecânico de estaca de concreto armado, diâmetros de até 40 cm. AF_11/2016</v>
          </cell>
          <cell r="E649"/>
          <cell r="F649" t="str">
            <v>UN</v>
          </cell>
          <cell r="G649">
            <v>15.8</v>
          </cell>
          <cell r="H649" t="str">
            <v>-</v>
          </cell>
        </row>
        <row r="650">
          <cell r="A650">
            <v>43082</v>
          </cell>
          <cell r="B650" t="str">
            <v>COTAÇÃO - SINAPI</v>
          </cell>
          <cell r="C650"/>
          <cell r="D650" t="str">
            <v>Perfil "I" de aço laminado, abas paralelas, "W", qualquer bitola</v>
          </cell>
          <cell r="E650"/>
          <cell r="F650" t="str">
            <v xml:space="preserve">KG    </v>
          </cell>
          <cell r="G650">
            <v>12.77</v>
          </cell>
          <cell r="H650" t="str">
            <v>-</v>
          </cell>
        </row>
        <row r="651">
          <cell r="A651">
            <v>98746</v>
          </cell>
          <cell r="B651" t="str">
            <v>SINAPI</v>
          </cell>
          <cell r="C651"/>
          <cell r="D651" t="str">
            <v>Solda de topo em chapa/perfil/tubo de aço chanfrado, espessura = 1/4''. AF_06/2018</v>
          </cell>
          <cell r="E651"/>
          <cell r="F651" t="str">
            <v>M</v>
          </cell>
          <cell r="G651">
            <v>64.95</v>
          </cell>
          <cell r="H651" t="str">
            <v>-</v>
          </cell>
        </row>
        <row r="652">
          <cell r="A652">
            <v>92341</v>
          </cell>
          <cell r="B652" t="str">
            <v>SINAPI</v>
          </cell>
          <cell r="C652"/>
          <cell r="D652" t="str">
            <v>Tubo de aço galvanizado com costura, classe média, diâmetro nominal de 50 (2"), conexão rosqueada, instalado em prumadas - fornecimento e instalação. AF_10/2020</v>
          </cell>
          <cell r="E652"/>
          <cell r="F652" t="str">
            <v>M</v>
          </cell>
          <cell r="G652">
            <v>102.3</v>
          </cell>
          <cell r="H652" t="str">
            <v>-</v>
          </cell>
        </row>
        <row r="653">
          <cell r="A653" t="str">
            <v>EC/0100</v>
          </cell>
          <cell r="B653" t="str">
            <v>COMPOSIÇÃO</v>
          </cell>
          <cell r="C653"/>
          <cell r="D653" t="str">
            <v>Fornecimento e aplicação de adesivo estrutural à base de resina epóxi. (REF SICRO COD 2407972, DB 04-2021)</v>
          </cell>
          <cell r="E653"/>
          <cell r="F653" t="str">
            <v>KG</v>
          </cell>
          <cell r="G653">
            <v>63.96</v>
          </cell>
          <cell r="H653" t="str">
            <v>-</v>
          </cell>
        </row>
        <row r="654">
          <cell r="A654" t="str">
            <v>EC/0110</v>
          </cell>
          <cell r="B654" t="str">
            <v>COMPOSIÇÃO</v>
          </cell>
          <cell r="C654"/>
          <cell r="D654" t="str">
            <v># # #REVER COTAÇÃO DE TRILHO# # # Estacas trilho TR 68 - com emenda - fornecimento e cravação. REF SICRO CÓD 2306113, DATA 04/2021</v>
          </cell>
          <cell r="E654"/>
          <cell r="F654" t="str">
            <v>m</v>
          </cell>
          <cell r="G654">
            <v>27.07</v>
          </cell>
          <cell r="H654" t="str">
            <v>-</v>
          </cell>
        </row>
        <row r="655">
          <cell r="A655" t="str">
            <v>EC/0130</v>
          </cell>
          <cell r="B655" t="str">
            <v>COMPOSIÇÃO</v>
          </cell>
          <cell r="C655"/>
          <cell r="D655" t="str">
            <v>Fôrma metálica em chapa 3/16" reforçada com nervuras de 40 mm x 3/16" dispostas em grelhas de 40 x 60 cm - utilização de 100 vezes - confecção, instalação e retirada. REF SICRO CÓD 3108072, DATA 04/2021</v>
          </cell>
          <cell r="E655"/>
          <cell r="F655" t="str">
            <v>M²</v>
          </cell>
          <cell r="G655">
            <v>13.09</v>
          </cell>
          <cell r="H655" t="str">
            <v>-</v>
          </cell>
        </row>
        <row r="656">
          <cell r="A656" t="str">
            <v>EC/0135</v>
          </cell>
          <cell r="B656" t="str">
            <v>COMPOSIÇÃO</v>
          </cell>
          <cell r="C656"/>
          <cell r="D656" t="str">
            <v>Corte de chapas de aço com espessura de 5 mm com maçarico oxiacetileno. REF SICRO CÓD 1400974, DATA 04/2021</v>
          </cell>
          <cell r="E656"/>
          <cell r="F656" t="str">
            <v>M</v>
          </cell>
          <cell r="G656">
            <v>3.6</v>
          </cell>
          <cell r="H656" t="str">
            <v>-</v>
          </cell>
        </row>
        <row r="657">
          <cell r="A657" t="str">
            <v>EC/0136</v>
          </cell>
          <cell r="B657" t="str">
            <v>COMPOSIÇÃO</v>
          </cell>
          <cell r="C657"/>
          <cell r="D657" t="str">
            <v>Corte de barras de aço CA-50 com maçarico oxiacetileno. REF SICRO CÓD 1416201, DATA 01/2023</v>
          </cell>
          <cell r="E657"/>
          <cell r="F657" t="str">
            <v>CM²</v>
          </cell>
          <cell r="G657">
            <v>0.2</v>
          </cell>
          <cell r="H657" t="str">
            <v>-</v>
          </cell>
        </row>
        <row r="658">
          <cell r="A658" t="str">
            <v>EC/0145</v>
          </cell>
          <cell r="B658" t="str">
            <v>COMPOSIÇÃO</v>
          </cell>
          <cell r="C658"/>
          <cell r="D658" t="str">
            <v>Geogrelha unidirecional com resistência à tração de 100 kN/m - fornecimento e instalação. REF SICRO CÓD 1516298, DATA 01/2023</v>
          </cell>
          <cell r="E658"/>
          <cell r="F658" t="str">
            <v>M²</v>
          </cell>
          <cell r="G658">
            <v>28.71</v>
          </cell>
          <cell r="H658" t="str">
            <v>-</v>
          </cell>
        </row>
        <row r="659">
          <cell r="A659" t="str">
            <v>EC/0150</v>
          </cell>
          <cell r="B659" t="str">
            <v>COMPOSIÇÃO</v>
          </cell>
          <cell r="C659"/>
          <cell r="D659" t="str">
            <v>Geogrelha unidirecional com resistência à tração de 150 kN/m - fornecimento e instalação. REF SICRO CÓD 1516299, DATA 01/2023</v>
          </cell>
          <cell r="E659"/>
          <cell r="F659" t="str">
            <v>M²</v>
          </cell>
          <cell r="G659">
            <v>30.81</v>
          </cell>
          <cell r="H659" t="str">
            <v>-</v>
          </cell>
        </row>
        <row r="660">
          <cell r="A660" t="str">
            <v>EC/0155</v>
          </cell>
          <cell r="B660" t="str">
            <v>COMPOSIÇÃO</v>
          </cell>
          <cell r="C660"/>
          <cell r="D660" t="str">
            <v>Geogrelha unidirecional com resistência à tração de 200 kN/m - fornecimento e instalação. REF SICRO CÓD 1516300, DATA 01/2023</v>
          </cell>
          <cell r="E660"/>
          <cell r="F660" t="str">
            <v>M²</v>
          </cell>
          <cell r="G660">
            <v>40.799999999999997</v>
          </cell>
          <cell r="H660" t="str">
            <v>-</v>
          </cell>
        </row>
        <row r="661">
          <cell r="A661" t="str">
            <v>EC/0165</v>
          </cell>
          <cell r="B661" t="str">
            <v>COMPOSIÇÃO</v>
          </cell>
          <cell r="C661"/>
          <cell r="D661" t="str">
            <v>Muro de face em tela metálica dobrada em L para solo reforçado - C = 2,0 m, L = 0,4 m e H = 0,4 m - fornecimento e instalação. REF SICRO CÓD 1516318, DATA 01/2023</v>
          </cell>
          <cell r="E661"/>
          <cell r="F661" t="str">
            <v>M²</v>
          </cell>
          <cell r="G661">
            <v>471.93</v>
          </cell>
          <cell r="H661" t="str">
            <v>-</v>
          </cell>
        </row>
        <row r="662">
          <cell r="A662" t="str">
            <v>EC/0170</v>
          </cell>
          <cell r="B662" t="str">
            <v>COMPOSIÇÃO</v>
          </cell>
          <cell r="C662"/>
          <cell r="D662" t="str">
            <v>Escoramento com pontaletes D = 15 cm - utilização de 1 vez - confecção e instalação. Ref SICRO cód 2108169</v>
          </cell>
          <cell r="E662"/>
          <cell r="F662" t="str">
            <v>M³</v>
          </cell>
          <cell r="G662">
            <v>48.94</v>
          </cell>
          <cell r="H662" t="str">
            <v>-</v>
          </cell>
        </row>
        <row r="663">
          <cell r="A663" t="str">
            <v>EC/0180</v>
          </cell>
          <cell r="B663" t="str">
            <v>COMPOSIÇÃO</v>
          </cell>
          <cell r="C663"/>
          <cell r="D663" t="str">
            <v>Cordoalha CP 190 RB D = 15,2 mm - fornecimento e instalação (REF. SICRO COD. 4507957, DB 01-2023)</v>
          </cell>
          <cell r="E663"/>
          <cell r="F663" t="str">
            <v>KG</v>
          </cell>
          <cell r="G663">
            <v>13.34</v>
          </cell>
          <cell r="H663" t="str">
            <v>-</v>
          </cell>
        </row>
        <row r="664">
          <cell r="A664" t="str">
            <v>EC/0190</v>
          </cell>
          <cell r="B664" t="str">
            <v>COMPOSIÇÃO</v>
          </cell>
          <cell r="C664"/>
          <cell r="D664" t="str">
            <v>Lançamento de viga pré-moldada de 980 a 1.225 kN com utilização de treliça lançadeira (REF. SICRO COD. 3806425, DB 01-2023)</v>
          </cell>
          <cell r="E664"/>
          <cell r="F664" t="str">
            <v>UN</v>
          </cell>
          <cell r="G664">
            <v>3564.35</v>
          </cell>
          <cell r="H664" t="str">
            <v>-</v>
          </cell>
        </row>
        <row r="665">
          <cell r="A665" t="str">
            <v>EC/0200</v>
          </cell>
          <cell r="B665" t="str">
            <v>COMPOSIÇÃO</v>
          </cell>
          <cell r="C665"/>
          <cell r="D665" t="str">
            <v>Ancoragem ativa com 12 cordoalhas aderentes D = 15,2 mm - fornecimento e instalação (REF. SICRO COD. 4507756, DB 01-2023)</v>
          </cell>
          <cell r="E665"/>
          <cell r="F665" t="str">
            <v>UN</v>
          </cell>
          <cell r="G665">
            <v>1485.31</v>
          </cell>
          <cell r="H665" t="str">
            <v>-</v>
          </cell>
        </row>
        <row r="666">
          <cell r="A666" t="str">
            <v>EC/0210</v>
          </cell>
          <cell r="B666" t="str">
            <v>COMPOSIÇÃO</v>
          </cell>
          <cell r="C666"/>
          <cell r="D666" t="str">
            <v>Nicho de madeira para dispositivo de ancoragem de protensão - confecção e instalação (REF. SICRO COD. 4516137, DB 01-2023)</v>
          </cell>
          <cell r="E666"/>
          <cell r="F666" t="str">
            <v>M²</v>
          </cell>
          <cell r="G666">
            <v>115.98</v>
          </cell>
          <cell r="H666" t="str">
            <v>-</v>
          </cell>
        </row>
        <row r="667">
          <cell r="A667" t="str">
            <v>EC/0220</v>
          </cell>
          <cell r="B667" t="str">
            <v>COMPOSIÇÃO</v>
          </cell>
          <cell r="C667"/>
          <cell r="D667" t="str">
            <v>Bainha metálica redonda D = 80 mm para 12 cordoalhas D = 15,2 mm - fornecimento, instalação e injeção de nata de cimento (REF. SICRO COD. 4507842, DB 01-2023)</v>
          </cell>
          <cell r="E667"/>
          <cell r="F667" t="str">
            <v>M</v>
          </cell>
          <cell r="G667">
            <v>118.42</v>
          </cell>
          <cell r="H667" t="str">
            <v>-</v>
          </cell>
        </row>
        <row r="668">
          <cell r="A668" t="str">
            <v>EC/0230</v>
          </cell>
          <cell r="B668" t="str">
            <v>COMPOSIÇÃO</v>
          </cell>
          <cell r="C668"/>
          <cell r="D668" t="str">
            <v>Junta de dilatação em elastômero  de EPDM modelo  TJ2030W OAE - fornecimento e instalação (REF. SICRO COD. 0307733, DB 01-2023)</v>
          </cell>
          <cell r="E668"/>
          <cell r="F668" t="str">
            <v>M</v>
          </cell>
          <cell r="G668">
            <v>154.61000000000001</v>
          </cell>
          <cell r="H668" t="str">
            <v>-</v>
          </cell>
        </row>
        <row r="669">
          <cell r="A669" t="str">
            <v>EC/0240</v>
          </cell>
          <cell r="B669" t="str">
            <v>COMPOSIÇÃO</v>
          </cell>
          <cell r="C669"/>
          <cell r="D669" t="str">
            <v>Lábios poliméricos em junta de pavimento de concreto - L = 50 mm e H = 30 mm - confecção e assentamento (REF. SICRO COD. 0307084, DB 01-2023)</v>
          </cell>
          <cell r="E669"/>
          <cell r="F669" t="str">
            <v>M</v>
          </cell>
          <cell r="G669">
            <v>43.99</v>
          </cell>
          <cell r="H669" t="str">
            <v>-</v>
          </cell>
        </row>
        <row r="670">
          <cell r="A670" t="str">
            <v>SEL -128</v>
          </cell>
          <cell r="B670" t="str">
            <v>COTAÇÃO - SEL</v>
          </cell>
          <cell r="C670"/>
          <cell r="D670" t="str">
            <v>Fabricação de viga pré-moldada armada tipo PROT 19,2/45- h = 107 cm, conforme projeto.</v>
          </cell>
          <cell r="E670" t="str">
            <v>SEL -128</v>
          </cell>
          <cell r="F670" t="str">
            <v>UN</v>
          </cell>
          <cell r="G670">
            <v>0</v>
          </cell>
          <cell r="H670" t="str">
            <v>ERRO</v>
          </cell>
        </row>
        <row r="671">
          <cell r="A671" t="str">
            <v>SEL -129</v>
          </cell>
          <cell r="B671" t="str">
            <v>COTAÇÃO - SEL</v>
          </cell>
          <cell r="C671"/>
          <cell r="D671" t="str">
            <v>Transporte com carreta ls de viga pré-moldada armada tipo PCT 9,20/45 – h = 107cm.</v>
          </cell>
          <cell r="E671" t="str">
            <v>SEL -129</v>
          </cell>
          <cell r="F671" t="str">
            <v>UN</v>
          </cell>
          <cell r="G671">
            <v>0</v>
          </cell>
          <cell r="H671" t="str">
            <v>ERRO</v>
          </cell>
        </row>
        <row r="672">
          <cell r="A672" t="str">
            <v>SEL -130</v>
          </cell>
          <cell r="B672" t="str">
            <v>COTAÇÃO - SEL</v>
          </cell>
          <cell r="C672"/>
          <cell r="D672" t="str">
            <v>Transporte com carreta extensiva de viga pré moldada armada tipo PROT 19,2/45 - h = 107 cm</v>
          </cell>
          <cell r="E672" t="str">
            <v>SEL -130</v>
          </cell>
          <cell r="F672" t="str">
            <v>UN</v>
          </cell>
          <cell r="G672">
            <v>0</v>
          </cell>
          <cell r="H672" t="str">
            <v>ERRO</v>
          </cell>
        </row>
        <row r="673">
          <cell r="A673" t="str">
            <v>SEL -131</v>
          </cell>
          <cell r="B673" t="str">
            <v>COTAÇÃO - SEL</v>
          </cell>
          <cell r="C673"/>
          <cell r="D673" t="str">
            <v>Lançamento com treliça lançadeira de 44 vigas pré-moldada armadas tipo pct 9,20/45 – h = 107cm e 22 vigas pré-moldada tipo PROT 19,20/45 – h = 107cm – 3 tramo - incluso guindauto de 45. Incluso transporte da treliça lançadeira carreta especial com guindauto, inclusive montagem e desmontagem da treliça.</v>
          </cell>
          <cell r="E673" t="str">
            <v>SEL -131</v>
          </cell>
          <cell r="F673" t="str">
            <v>UN</v>
          </cell>
          <cell r="G673">
            <v>0</v>
          </cell>
          <cell r="H673" t="str">
            <v>ERRO</v>
          </cell>
        </row>
        <row r="674">
          <cell r="A674" t="str">
            <v>SEL-301</v>
          </cell>
          <cell r="B674" t="str">
            <v>COTAÇÃO - SEL</v>
          </cell>
          <cell r="C674"/>
          <cell r="D674" t="str">
            <v>Fabricação das Vigas pré-fabricadas protendidas 19,20m – H = 100cm. COTAÇÃO MARACAJU/MS</v>
          </cell>
          <cell r="E674" t="str">
            <v>SEL-301</v>
          </cell>
          <cell r="F674" t="str">
            <v>UN</v>
          </cell>
          <cell r="G674">
            <v>30236</v>
          </cell>
          <cell r="H674" t="str">
            <v>-</v>
          </cell>
        </row>
        <row r="675">
          <cell r="A675" t="str">
            <v>SEL-302</v>
          </cell>
          <cell r="B675" t="str">
            <v>COTAÇÃO - SEL</v>
          </cell>
          <cell r="C675"/>
          <cell r="D675" t="str">
            <v>Transporte com carreta extensiva das Vigas Pré-fabricadas 19,20m – H = 100cm. COTAÇÃO MARACAJU/MS</v>
          </cell>
          <cell r="E675" t="str">
            <v>SEL-302</v>
          </cell>
          <cell r="F675" t="str">
            <v>UN</v>
          </cell>
          <cell r="G675">
            <v>2600</v>
          </cell>
          <cell r="H675" t="str">
            <v>-</v>
          </cell>
        </row>
        <row r="676">
          <cell r="A676" t="str">
            <v>SEL-303</v>
          </cell>
          <cell r="B676" t="str">
            <v>COTAÇÃO - SEL</v>
          </cell>
          <cell r="C676"/>
          <cell r="D676" t="str">
            <v>Lançamento das vigas Pré-fabricadas – H = 100cm – 2 tramos – Guindastes com mobilização. COTAÇÃO MARACAJU/MS</v>
          </cell>
          <cell r="E676" t="str">
            <v>SEL-303</v>
          </cell>
          <cell r="F676" t="str">
            <v>UN</v>
          </cell>
          <cell r="G676">
            <v>4895</v>
          </cell>
          <cell r="H676" t="str">
            <v>-</v>
          </cell>
        </row>
        <row r="677">
          <cell r="A677" t="str">
            <v>SEL-304</v>
          </cell>
          <cell r="B677" t="str">
            <v>COTAÇÃO - SEL</v>
          </cell>
          <cell r="C677"/>
          <cell r="D677" t="str">
            <v>Vigas T (20/102x5/150x1920) cm TB 45</v>
          </cell>
          <cell r="E677" t="str">
            <v>SEL-304</v>
          </cell>
          <cell r="F677" t="str">
            <v>UN</v>
          </cell>
          <cell r="G677">
            <v>36644.5</v>
          </cell>
          <cell r="H677" t="str">
            <v>-</v>
          </cell>
        </row>
        <row r="678">
          <cell r="A678" t="str">
            <v>SEL-305</v>
          </cell>
          <cell r="B678" t="str">
            <v>COTAÇÃO - SEL</v>
          </cell>
          <cell r="C678"/>
          <cell r="D678" t="str">
            <v>Transporte com carreta extensiva das Vigas T (20/102x5/150x1920) cm TB 45</v>
          </cell>
          <cell r="E678" t="str">
            <v>SEL-305</v>
          </cell>
          <cell r="F678" t="str">
            <v>UN</v>
          </cell>
          <cell r="G678">
            <v>3663.5</v>
          </cell>
          <cell r="H678" t="str">
            <v>-</v>
          </cell>
        </row>
        <row r="679">
          <cell r="A679" t="str">
            <v>SEL-306</v>
          </cell>
          <cell r="B679" t="str">
            <v>COTAÇÃO - SEL</v>
          </cell>
          <cell r="C679"/>
          <cell r="D679" t="str">
            <v>Lançamento das vigas Pré-fabricadas – H = 150cm – 2 tramos – Guindastes com mobilização.</v>
          </cell>
          <cell r="E679" t="str">
            <v>SEL-306</v>
          </cell>
          <cell r="F679" t="str">
            <v>UN</v>
          </cell>
          <cell r="G679">
            <v>5395</v>
          </cell>
          <cell r="H679" t="str">
            <v>-</v>
          </cell>
        </row>
        <row r="680">
          <cell r="A680" t="str">
            <v>SEL-307</v>
          </cell>
          <cell r="B680" t="str">
            <v>COTAÇÃO - SEL</v>
          </cell>
          <cell r="C680"/>
          <cell r="D680" t="str">
            <v>CONCRETO USINADO BOMBEAVEL, CLASSE DE RESISTENCIA C30, BRITA 0 E 1, SLUMP = 100 +/- 20 MM, COM BOMBEAMENTO (DISPONIBILIZACAO DE BOMBA), SEM O LANCAMENTO (NBR 8953). POSTO MARACAJU MS</v>
          </cell>
          <cell r="E680" t="str">
            <v>SEL-307</v>
          </cell>
          <cell r="F680" t="str">
            <v>M3</v>
          </cell>
          <cell r="G680">
            <v>700</v>
          </cell>
          <cell r="H680" t="str">
            <v>-</v>
          </cell>
        </row>
        <row r="681">
          <cell r="A681" t="str">
            <v>SEL-308</v>
          </cell>
          <cell r="B681" t="str">
            <v>COTAÇÃO - SEL</v>
          </cell>
          <cell r="C681"/>
          <cell r="D681" t="str">
            <v>CONCRETO USINADO BOMBEAVEL, CLASSE DE RESISTENCIA C40, BRITA 0 E 1, SLUMP = 100 +/- 20 MM, COM BOMBEAMENTO (DISPONIBILIZACAO DE BOMBA), SEM O LANCAMENTO (NBR 8953). POSTO MARACAJU MS</v>
          </cell>
          <cell r="E681" t="str">
            <v>SEL-308</v>
          </cell>
          <cell r="F681" t="str">
            <v>M3</v>
          </cell>
          <cell r="G681">
            <v>730</v>
          </cell>
          <cell r="H681" t="str">
            <v>-</v>
          </cell>
        </row>
        <row r="682">
          <cell r="A682"/>
          <cell r="B682"/>
          <cell r="C682"/>
          <cell r="D682"/>
          <cell r="E682"/>
          <cell r="F682"/>
          <cell r="G682"/>
          <cell r="H682"/>
        </row>
        <row r="683">
          <cell r="A683"/>
          <cell r="B683"/>
          <cell r="C683" t="str">
            <v>8.0</v>
          </cell>
          <cell r="D683" t="str">
            <v>PAVIMENTAÇÃO - RESTAURAÇÃO, REMENDO E FRESAGEM</v>
          </cell>
          <cell r="E683"/>
          <cell r="F683"/>
          <cell r="G683"/>
          <cell r="H683" t="str">
            <v/>
          </cell>
        </row>
        <row r="684">
          <cell r="A684">
            <v>96001</v>
          </cell>
          <cell r="B684" t="str">
            <v>SINAPI</v>
          </cell>
          <cell r="C684"/>
          <cell r="D684" t="str">
            <v>Fresagem de pavimento asfáltico (profundidade até 5,0 cm) - exclusive transporte. AF_11/2019</v>
          </cell>
          <cell r="E684"/>
          <cell r="F684" t="str">
            <v>M2</v>
          </cell>
          <cell r="G684">
            <v>7.18</v>
          </cell>
          <cell r="H684" t="str">
            <v>-</v>
          </cell>
        </row>
        <row r="685">
          <cell r="A685"/>
          <cell r="B685" t="str">
            <v>REPETIDO</v>
          </cell>
          <cell r="C685">
            <v>95875</v>
          </cell>
          <cell r="D685" t="str">
            <v>Transporte com caminhão basculante de 10 m3, em via urbana pavimentada, DMT até 30 km. AF_12/2016</v>
          </cell>
          <cell r="E685" t="str">
            <v>ATENÇÃO
medir empolado
com 50%</v>
          </cell>
          <cell r="F685" t="str">
            <v>-</v>
          </cell>
          <cell r="G685" t="str">
            <v>-</v>
          </cell>
          <cell r="H685" t="str">
            <v/>
          </cell>
        </row>
        <row r="686">
          <cell r="A686" t="str">
            <v>RE/0005</v>
          </cell>
          <cell r="B686" t="str">
            <v>COMPOSIÇÃO</v>
          </cell>
          <cell r="C686">
            <v>30.39</v>
          </cell>
          <cell r="D686" t="str">
            <v>Fresagem de pavimento asfáltico para abertura de vala, profundidade até 30 cm, em locais com nível baixo de interferência (REF. SICRO COD. 4011480, data 01/2020 e SINAPI 96001, data 08/2020)</v>
          </cell>
          <cell r="E686"/>
          <cell r="F686" t="str">
            <v>M3</v>
          </cell>
          <cell r="G686">
            <v>75.05</v>
          </cell>
          <cell r="H686" t="str">
            <v>-</v>
          </cell>
        </row>
        <row r="687">
          <cell r="A687" t="str">
            <v>RE/0010</v>
          </cell>
          <cell r="B687" t="str">
            <v>COMPOSIÇÃO</v>
          </cell>
          <cell r="C687"/>
          <cell r="D687" t="str">
            <v>Correção de defeitos por fresagem descontínua, com emprego de fresadora e minicarregadeira (REF. SICRO COD. 4915705, data 01/2020)</v>
          </cell>
          <cell r="E687"/>
          <cell r="F687" t="str">
            <v>M3</v>
          </cell>
          <cell r="G687">
            <v>304.73</v>
          </cell>
          <cell r="H687" t="str">
            <v>-</v>
          </cell>
        </row>
        <row r="688">
          <cell r="A688" t="str">
            <v>RE/0015</v>
          </cell>
          <cell r="B688" t="str">
            <v>COMPOSIÇÃO</v>
          </cell>
          <cell r="C688"/>
          <cell r="D688" t="str">
            <v>Remendo superfcial (tapa buraco), com requadramento mecânico, escavação, compactação da mistura betuminosa e carga do entulho. Exclusive materiais e bota-fora (REF. SICRO COD. 4915757)</v>
          </cell>
          <cell r="E688"/>
          <cell r="F688" t="str">
            <v>M3</v>
          </cell>
          <cell r="G688">
            <v>192.16</v>
          </cell>
          <cell r="H688" t="str">
            <v>-</v>
          </cell>
        </row>
        <row r="689">
          <cell r="A689" t="str">
            <v>RE/0020</v>
          </cell>
          <cell r="B689" t="str">
            <v>COMPOSIÇÃO</v>
          </cell>
          <cell r="C689"/>
          <cell r="D689" t="str">
            <v>Remendo profundo, com requadramento mecânico, escavação, compactação do material de base e da mistura betuminosa e carga do entulho. Exclusive materiais e bota-fora (REF. SICRO COD. 4915746)</v>
          </cell>
          <cell r="E689"/>
          <cell r="F689" t="str">
            <v>M3</v>
          </cell>
          <cell r="G689">
            <v>111.76</v>
          </cell>
          <cell r="H689" t="str">
            <v>-</v>
          </cell>
        </row>
        <row r="690">
          <cell r="A690" t="str">
            <v>RE/0025</v>
          </cell>
          <cell r="B690" t="str">
            <v>COMPOSIÇÃO</v>
          </cell>
          <cell r="C690"/>
          <cell r="D690" t="str">
            <v>Remoção mecanizada de revestimento betuminoso, com motoniveladora. Exclusive carga e bota-fora (REF. SICRO COD. 4915667)</v>
          </cell>
          <cell r="E690"/>
          <cell r="F690" t="str">
            <v>M3</v>
          </cell>
          <cell r="G690">
            <v>14.15</v>
          </cell>
          <cell r="H690" t="str">
            <v>-</v>
          </cell>
        </row>
        <row r="691">
          <cell r="A691" t="str">
            <v>RE/0030</v>
          </cell>
          <cell r="B691" t="str">
            <v>COMPOSIÇÃO</v>
          </cell>
          <cell r="C691"/>
          <cell r="D691" t="str">
            <v>Remoção mecanizada de camada granular do pavimento, com mototoniveladora. Exclusive carga e bota-fora (REF. SICRO COD. 4915669)</v>
          </cell>
          <cell r="E691"/>
          <cell r="F691" t="str">
            <v>M3</v>
          </cell>
          <cell r="G691">
            <v>13.79</v>
          </cell>
          <cell r="H691" t="str">
            <v>-</v>
          </cell>
        </row>
        <row r="692">
          <cell r="A692">
            <v>94319</v>
          </cell>
          <cell r="B692" t="str">
            <v>SINAPI</v>
          </cell>
          <cell r="C692"/>
          <cell r="D692" t="str">
            <v>Aterro manual de valas com solo argilo-arenoso e compactação mecanizada. AF_05/2016</v>
          </cell>
          <cell r="E692"/>
          <cell r="F692" t="str">
            <v>M3</v>
          </cell>
          <cell r="G692">
            <v>69.59</v>
          </cell>
          <cell r="H692" t="str">
            <v>-</v>
          </cell>
        </row>
        <row r="693">
          <cell r="A693">
            <v>101835</v>
          </cell>
          <cell r="B693" t="str">
            <v>SINAPI</v>
          </cell>
          <cell r="C693"/>
          <cell r="D693" t="str">
            <v>Recomposição de base e ou sub-base para remendo profundo de brita graduada simples - incluso retirada e colocação do material. AF_12/2020</v>
          </cell>
          <cell r="E693"/>
          <cell r="F693" t="str">
            <v>M3</v>
          </cell>
          <cell r="G693">
            <v>251.48</v>
          </cell>
          <cell r="H693" t="str">
            <v>-</v>
          </cell>
        </row>
        <row r="694">
          <cell r="A694">
            <v>101827</v>
          </cell>
          <cell r="B694" t="str">
            <v>SINAPI</v>
          </cell>
          <cell r="C694"/>
          <cell r="D694" t="str">
            <v>Recomposição de base e ou sub-base para remendo profundo de solo brita (40/60) - incluso retirada e colocação do material. AF_12/2020</v>
          </cell>
          <cell r="E694"/>
          <cell r="F694" t="str">
            <v>M3</v>
          </cell>
          <cell r="G694">
            <v>178.1</v>
          </cell>
          <cell r="H694" t="str">
            <v>-</v>
          </cell>
        </row>
        <row r="695">
          <cell r="A695">
            <v>101849</v>
          </cell>
          <cell r="B695" t="str">
            <v>SINAPI</v>
          </cell>
          <cell r="C695"/>
          <cell r="D695" t="str">
            <v>Recomposição de base e ou sub-base para fechamento de valas de brita graduada simples - incluso retirada e colocação do material. AF_12/2020</v>
          </cell>
          <cell r="E695"/>
          <cell r="F695" t="str">
            <v>M3</v>
          </cell>
          <cell r="G695">
            <v>176.79</v>
          </cell>
          <cell r="H695" t="str">
            <v>-</v>
          </cell>
        </row>
        <row r="696">
          <cell r="A696">
            <v>95606</v>
          </cell>
          <cell r="B696" t="str">
            <v>SINAPI</v>
          </cell>
          <cell r="C696"/>
          <cell r="D696" t="str">
            <v>Umidificação de material para valas com caminhão pipa 10000l. AF_11/2016</v>
          </cell>
          <cell r="E696"/>
          <cell r="F696" t="str">
            <v>M3</v>
          </cell>
          <cell r="G696">
            <v>1.98</v>
          </cell>
          <cell r="H696" t="str">
            <v>-</v>
          </cell>
        </row>
        <row r="697">
          <cell r="A697" t="str">
            <v>RE/0035</v>
          </cell>
          <cell r="B697" t="str">
            <v>COMPOSIÇÃO</v>
          </cell>
          <cell r="C697"/>
          <cell r="D697" t="str">
            <v>Recomposição manual de base para pavimentação - execução. Exclusive fornecimento de material e transporte</v>
          </cell>
          <cell r="E697" t="str">
            <v>ATENÇÃO
medir volume geométrico</v>
          </cell>
          <cell r="F697" t="str">
            <v>M3</v>
          </cell>
          <cell r="G697">
            <v>32.93</v>
          </cell>
          <cell r="H697" t="str">
            <v>-</v>
          </cell>
        </row>
        <row r="698">
          <cell r="A698" t="str">
            <v>RE/0040</v>
          </cell>
          <cell r="B698" t="str">
            <v>COMPOSIÇÃO</v>
          </cell>
          <cell r="C698"/>
          <cell r="D698" t="str">
            <v>Execução de pré-misturado a frio - PMF, faixa C (semidenso), com emulsão asfáltica RL-1C, aplicação manual em fechamento de vala e remendos. Incluindo fornecimento dos materiais, usinagem e compactação com rolo tandem compacto. Exclusive transporte</v>
          </cell>
          <cell r="E698" t="str">
            <v>B: 1,02222 m³/m²
A: 0,37968 m³/m²
CAL: 87,61905 kg/m²
E = 0,18254 T/m³</v>
          </cell>
          <cell r="F698" t="str">
            <v>M3</v>
          </cell>
          <cell r="G698">
            <v>994</v>
          </cell>
          <cell r="H698" t="str">
            <v>-</v>
          </cell>
        </row>
        <row r="699">
          <cell r="A699" t="str">
            <v>RE/0045</v>
          </cell>
          <cell r="B699" t="str">
            <v>COMPOSIÇÃO</v>
          </cell>
          <cell r="C699"/>
          <cell r="D699" t="str">
            <v>Execução de pré-misturado a frio - PMF, faixa C (semidenso), com emulsão asfáltica RL-1C, aplicação com motoniveladora (reperfilamento). Incluindo fornecimento de materiais. Exclusive transporte</v>
          </cell>
          <cell r="E699"/>
          <cell r="F699" t="str">
            <v>M3</v>
          </cell>
          <cell r="G699">
            <v>1017.88</v>
          </cell>
          <cell r="H699" t="str">
            <v>-</v>
          </cell>
        </row>
        <row r="700">
          <cell r="A700" t="str">
            <v>RE/0050</v>
          </cell>
          <cell r="B700" t="str">
            <v>COMPOSIÇÃO</v>
          </cell>
          <cell r="C700"/>
          <cell r="D700" t="str">
            <v>CBUQ (usina comercial) - aplicação manual em fechamento de vala e remendos. Incluindo fornecimento dos materiais e compactação com rolo tandem compacto. Exclusive transporte. Ref BP 09.05.0500 RIO SCO</v>
          </cell>
          <cell r="E700"/>
          <cell r="F700" t="str">
            <v>M3</v>
          </cell>
          <cell r="G700">
            <v>1516.18</v>
          </cell>
          <cell r="H700" t="str">
            <v>-</v>
          </cell>
        </row>
        <row r="701">
          <cell r="A701" t="str">
            <v>RE/0051</v>
          </cell>
          <cell r="B701" t="str">
            <v>COMPOSIÇÃO</v>
          </cell>
          <cell r="C701"/>
          <cell r="D701" t="str">
            <v>CBUQ (usina comercial) - aplicação manual em fechamento de vala e remendos. Incluindo fornecimento dos materiais e compactação com rolo tandem compacto. Exclusive transporte</v>
          </cell>
          <cell r="E701"/>
          <cell r="F701" t="str">
            <v>M3</v>
          </cell>
          <cell r="G701">
            <v>1109.8599999999999</v>
          </cell>
          <cell r="H701" t="str">
            <v>-</v>
          </cell>
        </row>
        <row r="702">
          <cell r="A702" t="str">
            <v>RE/0052</v>
          </cell>
          <cell r="B702" t="str">
            <v>COMPOSIÇÃO</v>
          </cell>
          <cell r="C702"/>
          <cell r="D702" t="str">
            <v>CBUQ (usina comercial) - aplicação manual em fechamento de vala e remendos. Incluindo fornecimento dos materiais e compactação com rolo tandem compacto. Exclusive transporte</v>
          </cell>
          <cell r="E702"/>
          <cell r="F702" t="str">
            <v>M3</v>
          </cell>
          <cell r="G702">
            <v>1487.36</v>
          </cell>
          <cell r="H702" t="str">
            <v>-</v>
          </cell>
        </row>
        <row r="703">
          <cell r="A703" t="str">
            <v>RE/0053</v>
          </cell>
          <cell r="B703" t="str">
            <v>COMPOSIÇÃO</v>
          </cell>
          <cell r="C703"/>
          <cell r="D703" t="str">
            <v>CBUQ (usina comercial) - aplicação manual em fechamento de vala e remendos. Incluindo fornecimento dos materiais e compactação com rolo tandem compacto. Exclusive transporte</v>
          </cell>
          <cell r="E703"/>
          <cell r="F703" t="str">
            <v>M3</v>
          </cell>
          <cell r="G703">
            <v>1212.18</v>
          </cell>
          <cell r="H703" t="str">
            <v>-</v>
          </cell>
        </row>
        <row r="704">
          <cell r="A704" t="str">
            <v>RE/0055</v>
          </cell>
          <cell r="B704" t="str">
            <v>COMPOSIÇÃO</v>
          </cell>
          <cell r="C704"/>
          <cell r="D704" t="str">
            <v>CBUQ (usina comercial) - aplicação com motoniveladora (reperfilamento). Incluindo fornecimento de materiais. Exclusive transporte</v>
          </cell>
          <cell r="E704"/>
          <cell r="F704" t="str">
            <v>M3</v>
          </cell>
          <cell r="G704">
            <v>1542.55</v>
          </cell>
          <cell r="H704" t="str">
            <v>-</v>
          </cell>
        </row>
        <row r="705">
          <cell r="A705" t="str">
            <v>RE/0056</v>
          </cell>
          <cell r="B705" t="str">
            <v>COMPOSIÇÃO</v>
          </cell>
          <cell r="C705"/>
          <cell r="D705" t="str">
            <v>CBUQ (usina comercial) - aplicação com motoniveladora (reperfilamento). Incluindo fornecimento de materiais. Exclusive transporte</v>
          </cell>
          <cell r="E705"/>
          <cell r="F705" t="str">
            <v>M3</v>
          </cell>
          <cell r="G705">
            <v>1136.24</v>
          </cell>
          <cell r="H705" t="str">
            <v>-</v>
          </cell>
        </row>
        <row r="706">
          <cell r="A706" t="str">
            <v>RE/0057</v>
          </cell>
          <cell r="B706" t="str">
            <v>COMPOSIÇÃO</v>
          </cell>
          <cell r="C706"/>
          <cell r="D706" t="str">
            <v>CBUQ (usina comercial) - aplicação com motoniveladora (reperfilamento). Incluindo fornecimento de materiais. Exclusive transporte</v>
          </cell>
          <cell r="E706"/>
          <cell r="F706" t="str">
            <v>M3</v>
          </cell>
          <cell r="G706">
            <v>1513.73</v>
          </cell>
          <cell r="H706" t="str">
            <v>-</v>
          </cell>
        </row>
        <row r="707">
          <cell r="A707" t="str">
            <v>RE/0058</v>
          </cell>
          <cell r="B707" t="str">
            <v>COMPOSIÇÃO</v>
          </cell>
          <cell r="C707"/>
          <cell r="D707" t="str">
            <v>CBUQ (usina comercial) - aplicação com motoniveladora (reperfilamento). Incluindo fornecimento de materiais. Exclusive transporte</v>
          </cell>
          <cell r="E707"/>
          <cell r="F707" t="str">
            <v>M3</v>
          </cell>
          <cell r="G707">
            <v>1238.56</v>
          </cell>
          <cell r="H707" t="str">
            <v>-</v>
          </cell>
        </row>
        <row r="708">
          <cell r="A708" t="str">
            <v>RE/0060</v>
          </cell>
          <cell r="B708" t="str">
            <v>COMPOSIÇÃO</v>
          </cell>
          <cell r="C708"/>
          <cell r="D708" t="str">
            <v>Reciclagem simples com incorporação do revestimento asfáltico à base (REF. SICRO COD. 4011481)</v>
          </cell>
          <cell r="E708" t="str">
            <v>ATENÇÃO
medir volume geométrico</v>
          </cell>
          <cell r="F708" t="str">
            <v>M3</v>
          </cell>
          <cell r="G708">
            <v>38.1</v>
          </cell>
          <cell r="H708" t="str">
            <v>-</v>
          </cell>
        </row>
        <row r="709">
          <cell r="A709" t="str">
            <v>RE/0065</v>
          </cell>
          <cell r="B709" t="str">
            <v>COMPOSIÇÃO</v>
          </cell>
          <cell r="C709"/>
          <cell r="D709" t="str">
            <v>Reciclagem com adição de cimento e incorporação do revestimento asfáltico à base. Exclusive fornecimento de cimento (REF. SICRO COD. 4011482)</v>
          </cell>
          <cell r="E709"/>
          <cell r="F709" t="str">
            <v>M3</v>
          </cell>
          <cell r="G709">
            <v>39.619999999999997</v>
          </cell>
          <cell r="H709" t="str">
            <v>-</v>
          </cell>
        </row>
        <row r="710">
          <cell r="A710" t="str">
            <v>RE/0070</v>
          </cell>
          <cell r="B710" t="str">
            <v>COMPOSIÇÃO</v>
          </cell>
          <cell r="C710"/>
          <cell r="D710" t="str">
            <v>Reciclagem com adição de brita e incorporação do revestimento asfáltico à base. Exclusive fornecimento de brita (REF. SICRO COD. 4011484)</v>
          </cell>
          <cell r="E710"/>
          <cell r="F710" t="str">
            <v>M3</v>
          </cell>
          <cell r="G710">
            <v>40.72</v>
          </cell>
          <cell r="H710" t="str">
            <v>-</v>
          </cell>
        </row>
        <row r="711">
          <cell r="A711" t="str">
            <v>RE/0075</v>
          </cell>
          <cell r="B711" t="str">
            <v>COMPOSIÇÃO</v>
          </cell>
          <cell r="C711"/>
          <cell r="D711" t="str">
            <v>Microrrevestimento a frio - Microflex, espessura 0,8 cm, com emulsão asfáltica polimerizada RC-1C-E, execução e fornecimento de materiais. Exclusive transportes de insumos e do ligante betuminoso (REF. SICRO COD. 4011408)</v>
          </cell>
          <cell r="E711" t="str">
            <v>pó pedra: 0,012m³/m²
emulsão:0,00194T/m²
calcário: 0,00012m³/m²</v>
          </cell>
          <cell r="F711" t="str">
            <v>M2</v>
          </cell>
          <cell r="G711">
            <v>10.43</v>
          </cell>
          <cell r="H711" t="str">
            <v>-</v>
          </cell>
        </row>
        <row r="712">
          <cell r="A712" t="str">
            <v>RE/0080</v>
          </cell>
          <cell r="B712" t="str">
            <v>COMPOSIÇÃO</v>
          </cell>
          <cell r="C712"/>
          <cell r="D712" t="str">
            <v>Microrrevestimento a frio - Microflex, espessura 1,5 cm, com emulsão asfáltica polimerizada RC-1C-E, execução e fornecimento de materiais. Exclusive transportes de insumos e do ligante betuminoso (REF. SICRO COD. 4011410)</v>
          </cell>
          <cell r="E712" t="str">
            <v>pó pedra: 0,0225m³/m² emulsão:0,0032T/m² calcário: 0,000225m³/m²</v>
          </cell>
          <cell r="F712" t="str">
            <v>M2</v>
          </cell>
          <cell r="G712">
            <v>17.440000000000001</v>
          </cell>
          <cell r="H712" t="str">
            <v>-</v>
          </cell>
        </row>
        <row r="713">
          <cell r="A713" t="str">
            <v>RE/0085</v>
          </cell>
          <cell r="B713" t="str">
            <v>COMPOSIÇÃO</v>
          </cell>
          <cell r="C713"/>
          <cell r="D713" t="str">
            <v>Microrrevestimento a frio - Microflex, espessura 2,0 cm, com emulsão asfáltica polimerizada RC-1C-E, execução e fornecimento de materiais. Exclusive transportes de insumos e do ligante betuminoso (REF. SICRO COD. 4011412)</v>
          </cell>
          <cell r="E713"/>
          <cell r="F713" t="str">
            <v>M2</v>
          </cell>
          <cell r="G713">
            <v>21.68</v>
          </cell>
          <cell r="H713" t="str">
            <v>-</v>
          </cell>
        </row>
        <row r="714">
          <cell r="A714" t="str">
            <v>RE/0090</v>
          </cell>
          <cell r="B714" t="str">
            <v>COMPOSIÇÃO</v>
          </cell>
          <cell r="C714"/>
          <cell r="D714" t="str">
            <v>Reciclagem com adição de cimento e incorporação do revestimento asfáltico à base. Exclusive fornecimento de cimento (REF. SICRO COD. 4011482, DB 01/2020)</v>
          </cell>
          <cell r="E714"/>
          <cell r="F714" t="str">
            <v>M3</v>
          </cell>
          <cell r="G714">
            <v>35.9</v>
          </cell>
          <cell r="H714" t="str">
            <v>-</v>
          </cell>
        </row>
        <row r="715">
          <cell r="A715">
            <v>1379</v>
          </cell>
          <cell r="B715" t="str">
            <v>COTAÇÃO - SINAPI</v>
          </cell>
          <cell r="C715"/>
          <cell r="D715" t="str">
            <v>Cimento portland composto CP II-32</v>
          </cell>
          <cell r="E715"/>
          <cell r="F715" t="str">
            <v xml:space="preserve">KG    </v>
          </cell>
          <cell r="G715">
            <v>0.81</v>
          </cell>
          <cell r="H715" t="str">
            <v>-</v>
          </cell>
        </row>
        <row r="716">
          <cell r="A716">
            <v>4721</v>
          </cell>
          <cell r="B716" t="str">
            <v>COTAÇÃO - SINAPI</v>
          </cell>
          <cell r="C716"/>
          <cell r="D716" t="str">
            <v>Pedra britada n. 1 (9,5 A 19 mm) posto pedreira/fornecedor, sem frete</v>
          </cell>
          <cell r="E716"/>
          <cell r="F716" t="str">
            <v xml:space="preserve">M3    </v>
          </cell>
          <cell r="G716">
            <v>96.99</v>
          </cell>
          <cell r="H716" t="str">
            <v>-</v>
          </cell>
        </row>
        <row r="717">
          <cell r="A717">
            <v>4730</v>
          </cell>
          <cell r="B717" t="str">
            <v>COTAÇÃO - SINAPI</v>
          </cell>
          <cell r="C717"/>
          <cell r="D717" t="str">
            <v>Pedra de mão ou pedra rachão para arrimo/fundação (posto pedreira/fornecedor, sem frete)</v>
          </cell>
          <cell r="E717"/>
          <cell r="F717" t="str">
            <v xml:space="preserve">M3    </v>
          </cell>
          <cell r="G717">
            <v>91.16</v>
          </cell>
          <cell r="H717" t="str">
            <v>-</v>
          </cell>
        </row>
        <row r="718">
          <cell r="A718"/>
          <cell r="B718"/>
          <cell r="C718"/>
          <cell r="D718"/>
          <cell r="E718"/>
          <cell r="F718"/>
          <cell r="G718"/>
          <cell r="H718"/>
        </row>
        <row r="719">
          <cell r="A719"/>
          <cell r="B719"/>
          <cell r="C719" t="str">
            <v>9.0</v>
          </cell>
          <cell r="D719" t="str">
            <v>IMPLANTAÇÃO ASFÁLTICA - TERRAPLENAGEM</v>
          </cell>
          <cell r="E719"/>
          <cell r="F719"/>
          <cell r="G719"/>
          <cell r="H719" t="str">
            <v/>
          </cell>
        </row>
        <row r="720">
          <cell r="A720" t="str">
            <v>PA/0005</v>
          </cell>
          <cell r="B720" t="str">
            <v>COMPOSIÇÃO</v>
          </cell>
          <cell r="C720">
            <v>42</v>
          </cell>
          <cell r="D720" t="str">
            <v>Preparo do subleito, escavação e carga. Exclusive transporte</v>
          </cell>
          <cell r="E720"/>
          <cell r="F720" t="str">
            <v>M3</v>
          </cell>
          <cell r="G720">
            <v>5.31</v>
          </cell>
          <cell r="H720" t="str">
            <v>-</v>
          </cell>
        </row>
        <row r="721">
          <cell r="A721" t="str">
            <v>PA/0006</v>
          </cell>
          <cell r="B721" t="str">
            <v>COMPOSIÇÃO</v>
          </cell>
          <cell r="C721"/>
          <cell r="D721" t="str">
            <v>Reforço do subleito com material de jazida. Ref SICRO cód 4011211, db 01-23</v>
          </cell>
          <cell r="E721"/>
          <cell r="F721" t="str">
            <v>M3</v>
          </cell>
          <cell r="G721">
            <v>14.29</v>
          </cell>
          <cell r="H721" t="str">
            <v>-</v>
          </cell>
        </row>
        <row r="722">
          <cell r="A722"/>
          <cell r="B722" t="str">
            <v>REPETIDO</v>
          </cell>
          <cell r="C722" t="str">
            <v>74205/1</v>
          </cell>
          <cell r="D722" t="str">
            <v>Escavação mecânica de material 1a categoria, proveniente de corte de subleito (com trator esteiras 160HP). Exclusive carga e transporte</v>
          </cell>
          <cell r="E722" t="str">
            <v>ATENÇÃO
medir empolado
com 30%</v>
          </cell>
          <cell r="F722" t="str">
            <v>-</v>
          </cell>
          <cell r="G722" t="str">
            <v>-</v>
          </cell>
          <cell r="H722" t="str">
            <v/>
          </cell>
        </row>
        <row r="723">
          <cell r="A723" t="str">
            <v>PA/0010</v>
          </cell>
          <cell r="B723" t="str">
            <v>COMPOSIÇÃO</v>
          </cell>
          <cell r="C723">
            <v>34.479999999999997</v>
          </cell>
          <cell r="D723" t="str">
            <v>Colchão de rachão e/ou pedra-de-mão, com camada final de pedra brita. Fornecimento e execução. Exclusive transporte da pedra</v>
          </cell>
          <cell r="E723" t="str">
            <v>ATENÇÃO
não medir
com empolado</v>
          </cell>
          <cell r="F723" t="str">
            <v>M3</v>
          </cell>
          <cell r="G723">
            <v>137.07</v>
          </cell>
          <cell r="H723" t="str">
            <v>-</v>
          </cell>
        </row>
        <row r="724">
          <cell r="A724" t="str">
            <v>PA/0015</v>
          </cell>
          <cell r="B724" t="str">
            <v>COMPOSIÇÃO</v>
          </cell>
          <cell r="C724"/>
          <cell r="D724" t="str">
            <v>Escavação, carga e transporte de solos moles em campo aberto com escavadeira hidráulica com esteira e caminhão basculante, DMT de 50 a 200m em leito natural (REF. SICRO2 COD. 5502899)</v>
          </cell>
          <cell r="E724"/>
          <cell r="F724" t="str">
            <v>M3</v>
          </cell>
          <cell r="G724">
            <v>15.77</v>
          </cell>
          <cell r="H724" t="str">
            <v>-</v>
          </cell>
        </row>
        <row r="725">
          <cell r="A725">
            <v>101115</v>
          </cell>
          <cell r="B725" t="str">
            <v>SINAPI</v>
          </cell>
          <cell r="C725"/>
          <cell r="D725" t="str">
            <v>Escavação horizontal em solo de 1a categoria com trator de esteiras (150 HP /lâmina: 3,18 m3). AF_07/2020</v>
          </cell>
          <cell r="E725"/>
          <cell r="F725" t="str">
            <v>M3</v>
          </cell>
          <cell r="G725">
            <v>2.9</v>
          </cell>
          <cell r="H725" t="str">
            <v>-</v>
          </cell>
        </row>
        <row r="726">
          <cell r="A726">
            <v>101125</v>
          </cell>
          <cell r="B726" t="str">
            <v>SINAPI</v>
          </cell>
          <cell r="C726" t="str">
            <v>74151/1</v>
          </cell>
          <cell r="D726" t="str">
            <v>Escavação horizontal, incluindo carga e descarga em solo de 1a categoria com trator de esteiras (150 HP / lâmina: 3,18 m3). AF_07/2020</v>
          </cell>
          <cell r="E726"/>
          <cell r="F726" t="str">
            <v>M3</v>
          </cell>
          <cell r="G726">
            <v>12.28</v>
          </cell>
          <cell r="H726" t="str">
            <v>-</v>
          </cell>
        </row>
        <row r="727">
          <cell r="A727">
            <v>101135</v>
          </cell>
          <cell r="B727" t="str">
            <v>SINAPI</v>
          </cell>
          <cell r="C727"/>
          <cell r="D727" t="str">
            <v>Escavação horizontal, incluindo carga, descarga e transporte em solo de 1a categoria com trator de esteiras (150HP/lâmina: 3,18m3) e caminhão basculante de 10m3, DMT até 200m. AF_07/2020</v>
          </cell>
          <cell r="E727"/>
          <cell r="F727" t="str">
            <v>M3</v>
          </cell>
          <cell r="G727">
            <v>12.86</v>
          </cell>
          <cell r="H727" t="str">
            <v>-</v>
          </cell>
        </row>
        <row r="728">
          <cell r="A728">
            <v>101147</v>
          </cell>
          <cell r="B728" t="str">
            <v>SINAPI</v>
          </cell>
          <cell r="C728"/>
          <cell r="D728" t="str">
            <v>Escavação horizontal, incluindo carga, descarga e transporte em solo de 1a categoria com trator de esteiras (347HP/lâmina: 8,70m3) e caminhão basculante de 14m3, DMT até 200m. AF_07/2020</v>
          </cell>
          <cell r="E728"/>
          <cell r="F728" t="str">
            <v>M3</v>
          </cell>
          <cell r="G728">
            <v>12.7</v>
          </cell>
          <cell r="H728" t="str">
            <v>-</v>
          </cell>
        </row>
        <row r="729">
          <cell r="A729" t="str">
            <v>PA/00xx</v>
          </cell>
          <cell r="B729" t="str">
            <v>CRIAR COMPOSIÇÃO</v>
          </cell>
          <cell r="C729"/>
          <cell r="D729" t="str">
            <v>Escavação vertical a céu aberto, em obras de infraestrutura, incluindo carga, descarga e transporte, em solo de 1a categoria com escavadeira hidráulica (caçamba: 0,80 m3 / 111HP), frota de 3 caminhões basculantes de 6 m3, DMT até 1 km e velocidade média 14km/h. AF_05/2020</v>
          </cell>
          <cell r="E729"/>
          <cell r="F729" t="str">
            <v>-</v>
          </cell>
          <cell r="G729" t="str">
            <v>-</v>
          </cell>
          <cell r="H729" t="str">
            <v>-</v>
          </cell>
        </row>
        <row r="730">
          <cell r="A730">
            <v>101266</v>
          </cell>
          <cell r="B730" t="str">
            <v>SINAPI</v>
          </cell>
          <cell r="C730">
            <v>74.63</v>
          </cell>
          <cell r="D730" t="str">
    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    </cell>
          <cell r="E730"/>
          <cell r="F730" t="str">
            <v>M3</v>
          </cell>
          <cell r="G730">
            <v>9.93</v>
          </cell>
          <cell r="H730" t="str">
            <v>-</v>
          </cell>
        </row>
        <row r="731">
          <cell r="A731">
            <v>101268</v>
          </cell>
          <cell r="B731" t="str">
            <v>SINAPI</v>
          </cell>
          <cell r="C731">
            <v>74.63</v>
          </cell>
          <cell r="D731" t="str">
            <v>Escavação vertical a céu aberto, em obras de infraestrutura, incluindo carga, descarga e transporte, em solo de 1a categoria com escavadeira hidráulica (caçamba: 0,80 m3 / 111 HP), frota de 5 caminhões basculantes de 10 m3, DMT de 1,50 km e velocidade média 18 km/h. AF_05/2020</v>
          </cell>
          <cell r="E731"/>
          <cell r="F731" t="str">
            <v>M3</v>
          </cell>
          <cell r="G731">
            <v>15.67</v>
          </cell>
          <cell r="H731" t="str">
            <v>-</v>
          </cell>
        </row>
        <row r="732">
          <cell r="A732">
            <v>101269</v>
          </cell>
          <cell r="B732" t="str">
            <v>SINAPI</v>
          </cell>
          <cell r="C732">
            <v>74.63</v>
          </cell>
          <cell r="D732" t="str">
            <v>Escavação vertical a céu aberto, em obras de infraestrutura, incluindo carga, descarga e transporte, em solo de 1a categoria com escavadeira hidráulica (caçamba: 0,80 m3 / 111 HP), frota de 6 caminhões basculantes de 10 m3, DMT de 2 km e velocidade média 19 km/h. AF_05/2020</v>
          </cell>
          <cell r="E732"/>
          <cell r="F732" t="str">
            <v>M3</v>
          </cell>
          <cell r="G732">
            <v>17.440000000000001</v>
          </cell>
          <cell r="H732" t="str">
            <v>-</v>
          </cell>
        </row>
        <row r="733">
          <cell r="A733">
            <v>101270</v>
          </cell>
          <cell r="B733" t="str">
            <v>SINAPI</v>
          </cell>
          <cell r="C733">
            <v>74.63</v>
          </cell>
          <cell r="D733" t="str">
            <v>Escavação vertical a céu aberto, em obras de infraestrutura, incluindo carga, descarga e transporte, em solo de 1a categoria com escavadeira hidráulica (caçamba: 0,80 m3 / 111 HP), frota de 7 caminhões basculantes de 10 m3, DMT de 3 km e velocidade média 20 km/h. AF_05/2020</v>
          </cell>
          <cell r="E733"/>
          <cell r="F733" t="str">
            <v>M3</v>
          </cell>
          <cell r="G733">
            <v>20.2</v>
          </cell>
          <cell r="H733" t="str">
            <v>-</v>
          </cell>
        </row>
        <row r="734">
          <cell r="A734">
            <v>101271</v>
          </cell>
          <cell r="B734" t="str">
            <v>SINAPI</v>
          </cell>
          <cell r="C734">
            <v>74.63</v>
          </cell>
          <cell r="D734" t="str">
            <v>Escavação vertical a céu aberto, em obras de infraestrutura, incluindo carga, descarga e transporte, em solo de 1a categoria com escavadeira hidráulica (caçamba: 0,80 m3 / 111 HP), frota de 8 caminhões basculantes de 10 m3, DMT de 4 km e velocidade média 22 km/h. AF_05/2020</v>
          </cell>
          <cell r="E734"/>
          <cell r="F734" t="str">
            <v>M3</v>
          </cell>
          <cell r="G734">
            <v>22.4</v>
          </cell>
          <cell r="H734" t="str">
            <v>-</v>
          </cell>
        </row>
        <row r="735">
          <cell r="A735">
            <v>101272</v>
          </cell>
          <cell r="B735" t="str">
            <v>SINAPI</v>
          </cell>
          <cell r="C735">
            <v>74.63</v>
          </cell>
          <cell r="D735" t="str">
            <v>Escavação vertical a céu aberto, em obras de infraestrutura, incluindo carga, descarga e transporte, em solo de 1a categoria com escavadeira hidráulica (caçamba: 0,80 m3 / 111 HP), frota de 10 caminhões basculantes de 10 m3, DMT de 6 km e velocidade média 22 km/h. AF_05/2020</v>
          </cell>
          <cell r="E735"/>
          <cell r="F735" t="str">
            <v>M3</v>
          </cell>
          <cell r="G735">
            <v>27.96</v>
          </cell>
          <cell r="H735" t="str">
            <v>-</v>
          </cell>
        </row>
        <row r="736">
          <cell r="A736">
            <v>101230</v>
          </cell>
          <cell r="B736" t="str">
            <v>SINAPI</v>
          </cell>
          <cell r="C736" t="str">
            <v>83338
52,08 m3/h</v>
          </cell>
          <cell r="D736" t="str">
    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    </cell>
          <cell r="E736" t="str">
            <v>ATENÇÃO
usar em jazida</v>
          </cell>
          <cell r="F736" t="str">
            <v>M3</v>
          </cell>
          <cell r="G736">
            <v>9.8699999999999992</v>
          </cell>
          <cell r="H736" t="str">
            <v>-</v>
          </cell>
        </row>
        <row r="737">
          <cell r="A737">
            <v>101232</v>
          </cell>
          <cell r="B737" t="str">
            <v>SINAPI</v>
          </cell>
          <cell r="C737">
            <v>109.89</v>
          </cell>
          <cell r="D737" t="str">
    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    </cell>
          <cell r="E737"/>
          <cell r="F737" t="str">
            <v>M3</v>
          </cell>
          <cell r="G737">
            <v>8.4499999999999993</v>
          </cell>
          <cell r="H737" t="str">
            <v>-</v>
          </cell>
        </row>
        <row r="738">
          <cell r="A738">
            <v>101244</v>
          </cell>
          <cell r="B738" t="str">
            <v>SINAPI</v>
          </cell>
          <cell r="C738">
            <v>109.89</v>
          </cell>
          <cell r="D738" t="str">
            <v>Escavação vertical a céu aberto, em obras de infraestrutura, incluindo carga, descarga e transporte, em solo de 1a categoria com escavadeira hidráulica (caçamba: 1,20 m3 / 155 HP), frota de 6 caminhões basculantes de 14 m3, DMT de 1,50 km e velocidade média 18 km/h. AF_05/2020</v>
          </cell>
          <cell r="E738"/>
          <cell r="F738" t="str">
            <v>M3</v>
          </cell>
          <cell r="G738">
            <v>14.22</v>
          </cell>
          <cell r="H738" t="str">
            <v>-</v>
          </cell>
        </row>
        <row r="739">
          <cell r="A739">
            <v>101245</v>
          </cell>
          <cell r="B739" t="str">
            <v>SINAPI</v>
          </cell>
          <cell r="C739">
            <v>109.89</v>
          </cell>
          <cell r="D739" t="str">
            <v>Escavação vertical a céu aberto, em obras de infraestrutura, incluindo carga, descarga e transporte, em solo de 1a categoria com escavadeira hidráulica (caçamba: 1,20 m3 / 155 HP), frota de 6 caminhões basculantes de 14 m3, DMT de 2 km e velocidade média 19 km/h. AF_05/2020</v>
          </cell>
          <cell r="E739"/>
          <cell r="F739" t="str">
            <v>M3</v>
          </cell>
          <cell r="G739">
            <v>15.06</v>
          </cell>
          <cell r="H739" t="str">
            <v>-</v>
          </cell>
        </row>
        <row r="740">
          <cell r="A740">
            <v>101246</v>
          </cell>
          <cell r="B740" t="str">
            <v>SINAPI</v>
          </cell>
          <cell r="C740">
            <v>109.89</v>
          </cell>
          <cell r="D740" t="str">
            <v>Escavação vertical a céu aberto, em obras de infraestrutura, incluindo carga, descarga e transporte, em solo de 1a categoria com escavadeira hidráulica (caçamba: 1,20 m3 / 155 HP), frota de 7 caminhões basculantes de 14 m3, DMT de 3 km e velocidade média 20 km/h. AF_05/2020</v>
          </cell>
          <cell r="E740"/>
          <cell r="F740" t="str">
            <v>M3</v>
          </cell>
          <cell r="G740">
            <v>17.510000000000002</v>
          </cell>
          <cell r="H740" t="str">
            <v>-</v>
          </cell>
        </row>
        <row r="741">
          <cell r="A741">
            <v>101247</v>
          </cell>
          <cell r="B741" t="str">
            <v>SINAPI</v>
          </cell>
          <cell r="C741">
            <v>109.89</v>
          </cell>
          <cell r="D741" t="str">
            <v>Escavação vertical a céu aberto, em obras de infraestrutura, incluindo carga, descarga e transporte, em solo de 1a categoria com escavadeira hidráulica (caçamba: 1,20 m3 / 155 HP), frota de 8 caminhões basculantes de 14 m3, DMT de 4 km e velocidade média 22 km/h. AF_05/2020</v>
          </cell>
          <cell r="E741"/>
          <cell r="F741" t="str">
            <v>M3</v>
          </cell>
          <cell r="G741">
            <v>19.440000000000001</v>
          </cell>
          <cell r="H741" t="str">
            <v>-</v>
          </cell>
        </row>
        <row r="742">
          <cell r="A742">
            <v>101248</v>
          </cell>
          <cell r="B742" t="str">
            <v>SINAPI</v>
          </cell>
          <cell r="C742">
            <v>109.89</v>
          </cell>
          <cell r="D742" t="str">
            <v>Escavação vertical a céu aberto, em obras de infraestrutura, incluindo carga, descarga e transporte, em solo de 1a categoria com escavadeira hidráulica (caçamba: 1,20 m3 / 155 HP), frota de 10 caminhões basculantes de 14 m3, DMT de 6 km e velocidade média 22km/h. AF_05/2020</v>
          </cell>
          <cell r="E742"/>
          <cell r="F742" t="str">
            <v>M3</v>
          </cell>
          <cell r="G742">
            <v>24.35</v>
          </cell>
          <cell r="H742" t="str">
            <v>-</v>
          </cell>
        </row>
        <row r="743">
          <cell r="A743">
            <v>96385</v>
          </cell>
          <cell r="B743" t="str">
            <v>SINAPI</v>
          </cell>
          <cell r="C743">
            <v>30.3</v>
          </cell>
          <cell r="D743" t="str">
            <v>Execução e compactação de aterro com solo predominantemente argiloso - exclusive solo, escavação, carga e transporte. AF_11/2019</v>
          </cell>
          <cell r="E743"/>
          <cell r="F743" t="str">
            <v>M3</v>
          </cell>
          <cell r="G743">
            <v>10.47</v>
          </cell>
          <cell r="H743" t="str">
            <v>-</v>
          </cell>
        </row>
        <row r="744">
          <cell r="A744">
            <v>96386</v>
          </cell>
          <cell r="B744" t="str">
            <v>SINAPI</v>
          </cell>
          <cell r="C744">
            <v>47.62</v>
          </cell>
          <cell r="D744" t="str">
            <v>Execução e compactação de aterro com solo predominantemente arenoso - exclusive solo, escavação, carga e transporte. AF_11/2019</v>
          </cell>
          <cell r="E744"/>
          <cell r="F744" t="str">
            <v>M3</v>
          </cell>
          <cell r="G744">
            <v>7.56</v>
          </cell>
          <cell r="H744" t="str">
            <v>-</v>
          </cell>
        </row>
        <row r="745">
          <cell r="A745"/>
          <cell r="B745" t="str">
            <v>REPETIDO</v>
          </cell>
          <cell r="C745">
            <v>100574</v>
          </cell>
          <cell r="D745" t="str">
            <v>Espalhamento de material, com utilização de trator de esteiras de 165 HP</v>
          </cell>
          <cell r="E745"/>
          <cell r="F745" t="str">
            <v>-</v>
          </cell>
          <cell r="G745" t="str">
            <v>-</v>
          </cell>
          <cell r="H745" t="str">
            <v/>
          </cell>
        </row>
        <row r="746">
          <cell r="A746"/>
          <cell r="B746" t="str">
            <v>REPETIDO</v>
          </cell>
          <cell r="C746">
            <v>6079</v>
          </cell>
          <cell r="D746" t="str">
            <v>Argila, argila vermelha, argila arenosa ou arenito  (posto jazida / fornecedor, sem frete)</v>
          </cell>
          <cell r="E746" t="str">
            <v>ATENÇÃO
medir empolado com 25%</v>
          </cell>
          <cell r="F746" t="str">
            <v>-</v>
          </cell>
          <cell r="G746" t="str">
            <v>-</v>
          </cell>
          <cell r="H746" t="str">
            <v/>
          </cell>
        </row>
        <row r="747">
          <cell r="A747">
            <v>4746</v>
          </cell>
          <cell r="B747" t="str">
            <v>COTAÇÃO - SINAPI</v>
          </cell>
          <cell r="C747"/>
          <cell r="D747" t="str">
            <v>Pedregulho ou piçarra de jazida, ao natural, para base de pavimentação (retirado na jazida, sem transporte)</v>
          </cell>
          <cell r="E747" t="str">
            <v>ATENÇÃO
medir empolado com 30%</v>
          </cell>
          <cell r="F747" t="str">
            <v xml:space="preserve">M3    </v>
          </cell>
          <cell r="G747">
            <v>68.09</v>
          </cell>
          <cell r="H747" t="str">
            <v>-</v>
          </cell>
        </row>
        <row r="748">
          <cell r="A748"/>
          <cell r="B748" t="str">
            <v>REPETIDO</v>
          </cell>
          <cell r="C748">
            <v>368</v>
          </cell>
          <cell r="D748" t="str">
            <v>Areia para aterro - posto jazida / fornecedor (sem frete)</v>
          </cell>
          <cell r="E748"/>
          <cell r="F748" t="str">
            <v>-</v>
          </cell>
          <cell r="G748" t="str">
            <v>-</v>
          </cell>
          <cell r="H748" t="str">
            <v/>
          </cell>
        </row>
        <row r="749">
          <cell r="A749"/>
          <cell r="B749"/>
          <cell r="C749"/>
          <cell r="D749"/>
          <cell r="E749"/>
          <cell r="F749"/>
          <cell r="G749"/>
          <cell r="H749"/>
        </row>
        <row r="750">
          <cell r="A750"/>
          <cell r="B750"/>
          <cell r="C750" t="str">
            <v>10.0</v>
          </cell>
          <cell r="D750" t="str">
            <v>IMPLANTAÇÃO ASFÁLTICA - PAVIMENTAÇÃO</v>
          </cell>
          <cell r="E750"/>
          <cell r="F750"/>
          <cell r="G750"/>
          <cell r="H750" t="str">
            <v/>
          </cell>
        </row>
        <row r="751">
          <cell r="A751">
            <v>100576</v>
          </cell>
          <cell r="B751" t="str">
            <v>SINAPI</v>
          </cell>
          <cell r="C751">
            <v>125</v>
          </cell>
          <cell r="D751" t="str">
            <v>Regularização e compactação de subleito de solo predominantemente argiloso. AF_11/2019</v>
          </cell>
          <cell r="E751"/>
          <cell r="F751" t="str">
            <v>M2</v>
          </cell>
          <cell r="G751">
            <v>2.25</v>
          </cell>
          <cell r="H751" t="str">
            <v>-</v>
          </cell>
        </row>
        <row r="752">
          <cell r="A752">
            <v>100577</v>
          </cell>
          <cell r="B752" t="str">
            <v>SINAPI</v>
          </cell>
          <cell r="C752">
            <v>333.33</v>
          </cell>
          <cell r="D752" t="str">
            <v>Regularização e compactação de subleito de solo predominantemente arenoso. AF_11/2019</v>
          </cell>
          <cell r="E752"/>
          <cell r="F752" t="str">
            <v>M2</v>
          </cell>
          <cell r="G752">
            <v>1.07</v>
          </cell>
          <cell r="H752" t="str">
            <v>-</v>
          </cell>
        </row>
        <row r="753">
          <cell r="A753" t="str">
            <v>PA/0007</v>
          </cell>
          <cell r="B753" t="str">
            <v>COMPOSIÇÃO</v>
          </cell>
          <cell r="C753"/>
          <cell r="D753" t="str">
            <v>Regularização do subleito. Ref  SICRO cód 4011209, db 01-23</v>
          </cell>
          <cell r="E753"/>
          <cell r="F753" t="str">
            <v>M²</v>
          </cell>
          <cell r="G753">
            <v>0.92</v>
          </cell>
          <cell r="H753" t="str">
            <v>-</v>
          </cell>
        </row>
        <row r="754">
          <cell r="A754" t="str">
            <v>PA/0008</v>
          </cell>
          <cell r="B754" t="str">
            <v>COMPOSIÇÃO</v>
          </cell>
          <cell r="C754">
            <v>125</v>
          </cell>
          <cell r="D754" t="str">
            <v>Regularização e compactação de subleito de solo predominantemente argiloso. Ref  SICRO cód 4011209 e SINAPI CÓD 100576, db 01-23</v>
          </cell>
          <cell r="E754"/>
          <cell r="F754" t="str">
            <v>M²</v>
          </cell>
          <cell r="G754">
            <v>2.46</v>
          </cell>
          <cell r="H754" t="str">
            <v>-</v>
          </cell>
        </row>
        <row r="755">
          <cell r="A755"/>
          <cell r="B755" t="str">
            <v>REPETIDO</v>
          </cell>
          <cell r="C755">
            <v>4746</v>
          </cell>
          <cell r="D755" t="str">
            <v>Pedregulho ou piçarra de jazida, ao natural, para base de pavimentação (posto jazida / fornecedor, sem frete)</v>
          </cell>
          <cell r="E755" t="str">
            <v>ATENÇÃO
medir empolado com 30%</v>
          </cell>
          <cell r="F755" t="str">
            <v>-</v>
          </cell>
          <cell r="G755" t="str">
            <v>-</v>
          </cell>
          <cell r="H755" t="str">
            <v/>
          </cell>
        </row>
        <row r="756">
          <cell r="A756">
            <v>4729</v>
          </cell>
          <cell r="B756" t="str">
            <v>COTAÇÃO - SINAPI</v>
          </cell>
          <cell r="C756"/>
          <cell r="D756" t="str">
            <v>Pedra britada graduada, classificada (posto pedreira/fornecedor, sem frete)</v>
          </cell>
          <cell r="E756" t="str">
            <v>ATENÇÃO
medir empolado com 46,67%</v>
          </cell>
          <cell r="F756" t="str">
            <v xml:space="preserve">M3    </v>
          </cell>
          <cell r="G756">
            <v>97.72</v>
          </cell>
          <cell r="H756" t="str">
            <v>-</v>
          </cell>
        </row>
        <row r="757">
          <cell r="A757">
            <v>4743</v>
          </cell>
          <cell r="B757" t="str">
            <v>COTAÇÃO - SINAPI</v>
          </cell>
          <cell r="C757"/>
          <cell r="D757" t="str">
            <v>Cascalho de cava</v>
          </cell>
          <cell r="E757" t="str">
            <v>ATENÇÃO
medir empolado com 25%</v>
          </cell>
          <cell r="F757" t="str">
            <v xml:space="preserve">M3    </v>
          </cell>
          <cell r="G757">
            <v>56.55</v>
          </cell>
          <cell r="H757" t="str">
            <v>-</v>
          </cell>
        </row>
        <row r="758">
          <cell r="A758">
            <v>4748</v>
          </cell>
          <cell r="B758" t="str">
            <v>COTAÇÃO - SINAPI</v>
          </cell>
          <cell r="C758"/>
          <cell r="D758" t="str">
            <v>Pedra britada ou bica corrida, não classificada (posto pedreira/fornecedor, sem frete)</v>
          </cell>
          <cell r="E758" t="str">
            <v>ATENÇÃO
medir empolado com 37,5%</v>
          </cell>
          <cell r="F758" t="str">
            <v xml:space="preserve">M3    </v>
          </cell>
          <cell r="G758">
            <v>89.58</v>
          </cell>
          <cell r="H758" t="str">
            <v>-</v>
          </cell>
        </row>
        <row r="759">
          <cell r="A759">
            <v>96396</v>
          </cell>
          <cell r="B759" t="str">
            <v>SINAPI</v>
          </cell>
          <cell r="C759">
            <v>33.33</v>
          </cell>
          <cell r="D759" t="str">
            <v>Execução e compactação de base e ou sub base para pavimentação de brita graduada simples - exclusive carga e transporte. AF_11/2019</v>
          </cell>
          <cell r="E759"/>
          <cell r="F759" t="str">
            <v>M3</v>
          </cell>
          <cell r="G759">
            <v>165.35</v>
          </cell>
          <cell r="H759" t="str">
            <v>-</v>
          </cell>
        </row>
        <row r="760">
          <cell r="A760" t="str">
            <v>PA/0018</v>
          </cell>
          <cell r="B760" t="str">
            <v>COMPOSIÇÃO</v>
          </cell>
          <cell r="C760">
            <v>33.33</v>
          </cell>
          <cell r="D760" t="str">
            <v>Usinagem de brita graduada simples, exclusive fornecimento de materiais (REF. SINAPI COD. 96393, DB 05-2021)</v>
          </cell>
          <cell r="E760"/>
          <cell r="F760" t="str">
            <v>M3</v>
          </cell>
          <cell r="G760">
            <v>5.97</v>
          </cell>
          <cell r="H760" t="str">
            <v>-</v>
          </cell>
        </row>
        <row r="761">
          <cell r="A761" t="str">
            <v>PA/0020</v>
          </cell>
          <cell r="B761" t="str">
            <v>COMPOSIÇÃO</v>
          </cell>
          <cell r="C761">
            <v>33.33</v>
          </cell>
          <cell r="D761" t="str">
            <v>Execução e compactação de base e ou sub-base com material produto de britagem. Exclusive fornecimento e transporte de materiais (REF. SINAPI COD. 96396)</v>
          </cell>
          <cell r="E761"/>
          <cell r="F761" t="str">
            <v>M3</v>
          </cell>
          <cell r="G761">
            <v>11.99</v>
          </cell>
          <cell r="H761" t="str">
            <v>-</v>
          </cell>
        </row>
        <row r="762">
          <cell r="A762">
            <v>96397</v>
          </cell>
          <cell r="B762" t="str">
            <v>SINAPI</v>
          </cell>
          <cell r="C762">
            <v>28.57</v>
          </cell>
          <cell r="D762" t="str">
            <v>Execução e compactação de base e ou sub base para pavimentação de brita graduada simples tratada com cimento - exclusive carga e transporte. AF_11/2019</v>
          </cell>
          <cell r="E762"/>
          <cell r="F762" t="str">
            <v>M3</v>
          </cell>
          <cell r="G762">
            <v>235.04</v>
          </cell>
          <cell r="H762" t="str">
            <v>-</v>
          </cell>
        </row>
        <row r="763">
          <cell r="A763" t="str">
            <v>PA/0019</v>
          </cell>
          <cell r="B763" t="str">
            <v>COMPOSIÇÃO</v>
          </cell>
          <cell r="C763"/>
          <cell r="D763" t="str">
            <v>Execução e compactação de base e ou sub-base com material produto de britagem, tratada com cimento. Exclusive transporte de materiais e fornecimento de brita (REF. SINAPI COD. 96397/96394)</v>
          </cell>
          <cell r="E763"/>
          <cell r="F763" t="str">
            <v>M3</v>
          </cell>
          <cell r="G763">
            <v>89.34</v>
          </cell>
          <cell r="H763" t="str">
            <v>-</v>
          </cell>
        </row>
        <row r="764">
          <cell r="A764">
            <v>96388</v>
          </cell>
          <cell r="B764" t="str">
            <v>SINAPI</v>
          </cell>
          <cell r="C764">
            <v>38.46</v>
          </cell>
          <cell r="D764" t="str">
            <v>Execução e compactação de base e ou sub base para pavimentação de solos de comportamento laterítico (arenoso) - exclusive solo, escavação, carga e transporte. AF_11/2019</v>
          </cell>
          <cell r="E764"/>
          <cell r="F764" t="str">
            <v>M3</v>
          </cell>
          <cell r="G764">
            <v>10.71</v>
          </cell>
          <cell r="H764" t="str">
            <v>-</v>
          </cell>
        </row>
        <row r="765">
          <cell r="A765">
            <v>96389</v>
          </cell>
          <cell r="B765" t="str">
            <v>SINAPI</v>
          </cell>
          <cell r="C765">
            <v>38.46</v>
          </cell>
          <cell r="D765" t="str">
            <v>Execução e compactação de base e ou sub base para pavimentação de solo (predominantemente arenoso) com cimento (teor de 2%) - exclusive solo, escavação, carga e transporte. AF_11/2019</v>
          </cell>
          <cell r="E765" t="str">
            <v>???
48,1741</v>
          </cell>
          <cell r="F765" t="str">
            <v>M3</v>
          </cell>
          <cell r="G765">
            <v>53.96</v>
          </cell>
          <cell r="H765" t="str">
            <v>-</v>
          </cell>
        </row>
        <row r="766">
          <cell r="A766">
            <v>96390</v>
          </cell>
          <cell r="B766" t="str">
            <v>SINAPI</v>
          </cell>
          <cell r="C766">
            <v>38.46</v>
          </cell>
          <cell r="D766" t="str">
            <v>Execução e compactação de base e ou sub base para pavimentação de solo (predominantemente arenoso) com cimento (teor de 4%) - exclusive solo, escavação, carga e transporte. AF_11/2019</v>
          </cell>
          <cell r="E766" t="str">
            <v>???
93,0233</v>
          </cell>
          <cell r="F766" t="str">
            <v>M3</v>
          </cell>
          <cell r="G766">
            <v>88.61</v>
          </cell>
          <cell r="H766" t="str">
            <v>-</v>
          </cell>
        </row>
        <row r="767">
          <cell r="A767">
            <v>96391</v>
          </cell>
          <cell r="B767" t="str">
            <v>SINAPI</v>
          </cell>
          <cell r="C767">
            <v>38.46</v>
          </cell>
          <cell r="D767" t="str">
            <v>Execução e compactação de base e ou sub base para pavimentação de solo (predominantemente arenoso) com cimento (teor de 6%) - exclusive solo, escavação, carga e transporte. AF_11/2019</v>
          </cell>
          <cell r="E767" t="str">
            <v>???
136,6637</v>
          </cell>
          <cell r="F767" t="str">
            <v>M3</v>
          </cell>
          <cell r="G767">
            <v>124.67</v>
          </cell>
          <cell r="H767" t="str">
            <v>-</v>
          </cell>
        </row>
        <row r="768">
          <cell r="A768">
            <v>96392</v>
          </cell>
          <cell r="B768" t="str">
            <v>SINAPI</v>
          </cell>
          <cell r="C768">
            <v>38.46</v>
          </cell>
          <cell r="D768" t="str">
            <v>Execução e compactação de base e ou sub base para pavimentação de solo (predominantemente arenoso) com cimento (teor de 8%) - exclusive solo, escavação, carga e transporte. AF_11/2019</v>
          </cell>
          <cell r="E768" t="str">
            <v>???
188,2884</v>
          </cell>
          <cell r="F768" t="str">
            <v>M3</v>
          </cell>
          <cell r="G768">
            <v>159.56</v>
          </cell>
          <cell r="H768" t="str">
            <v>-</v>
          </cell>
        </row>
        <row r="769">
          <cell r="A769">
            <v>96398</v>
          </cell>
          <cell r="B769" t="str">
            <v>SINAPI</v>
          </cell>
          <cell r="C769"/>
          <cell r="D769" t="str">
            <v>Execução e compactação de base e ou sub base para pavimentação de concreto coMPActado com rolo - exclusive carga e transporte. AF_11/2019</v>
          </cell>
          <cell r="E769"/>
          <cell r="F769" t="str">
            <v>M3</v>
          </cell>
          <cell r="G769">
            <v>326.43</v>
          </cell>
          <cell r="H769" t="str">
            <v>-</v>
          </cell>
        </row>
        <row r="770">
          <cell r="A770">
            <v>96399</v>
          </cell>
          <cell r="B770" t="str">
            <v>SINAPI</v>
          </cell>
          <cell r="C770"/>
          <cell r="D770" t="str">
            <v>Execução e compactação de base e ou sub base para pavimentação de pedra rachão  - exclusive carga e transporte. AF_11/2019</v>
          </cell>
          <cell r="E770"/>
          <cell r="F770" t="str">
            <v>M3</v>
          </cell>
          <cell r="G770">
            <v>113.56</v>
          </cell>
          <cell r="H770" t="str">
            <v>-</v>
          </cell>
        </row>
        <row r="771">
          <cell r="A771">
            <v>96400</v>
          </cell>
          <cell r="B771" t="str">
            <v>SINAPI</v>
          </cell>
          <cell r="C771"/>
          <cell r="D771" t="str">
            <v>Execução e compactação de base e ou sub base para pavimentação de macadame seco - exclusive carga e transporte. AF_11/2019</v>
          </cell>
          <cell r="E771"/>
          <cell r="F771" t="str">
            <v>M3</v>
          </cell>
          <cell r="G771">
            <v>147.49</v>
          </cell>
          <cell r="H771" t="str">
            <v>-</v>
          </cell>
        </row>
        <row r="772">
          <cell r="A772">
            <v>100564</v>
          </cell>
          <cell r="B772" t="str">
            <v>SINAPI</v>
          </cell>
          <cell r="C772"/>
          <cell r="D772" t="str">
            <v>Execução e compactação de base e ou sub-base para pavimentação de solo (predominantemente arenoso) brita - 40/60 - exclusive solo, escavação, carga e transporte. AF_11/2019</v>
          </cell>
          <cell r="E772"/>
          <cell r="F772" t="str">
            <v>M3</v>
          </cell>
          <cell r="G772">
            <v>100.12</v>
          </cell>
          <cell r="H772" t="str">
            <v>-</v>
          </cell>
        </row>
        <row r="773">
          <cell r="A773">
            <v>100565</v>
          </cell>
          <cell r="B773" t="str">
            <v>SINAPI</v>
          </cell>
          <cell r="C773"/>
          <cell r="D773" t="str">
            <v>Execução e compactação de base e ou sub-base para pavimentação de solo (predominantemente arenoso) brita - 50/50 - exclusive solo, escavação, carga e transporte. AF_11/2019</v>
          </cell>
          <cell r="E773"/>
          <cell r="F773" t="str">
            <v>M3</v>
          </cell>
          <cell r="G773">
            <v>86.83</v>
          </cell>
          <cell r="H773" t="str">
            <v>-</v>
          </cell>
        </row>
        <row r="774">
          <cell r="A774">
            <v>100566</v>
          </cell>
          <cell r="B774" t="str">
            <v>SINAPI</v>
          </cell>
          <cell r="C774"/>
          <cell r="D774" t="str">
            <v>Execução e compactação de base e ou sub-base para pavimentação de solo (predominantemente arenoso) brita - 40/60 com cimento (teor de 4%) - exclusive solo, escavação, carga e transporte. AF_11/2019</v>
          </cell>
          <cell r="E774"/>
          <cell r="F774" t="str">
            <v>M3</v>
          </cell>
          <cell r="G774">
            <v>172.26</v>
          </cell>
          <cell r="H774" t="str">
            <v>-</v>
          </cell>
        </row>
        <row r="775">
          <cell r="A775">
            <v>100567</v>
          </cell>
          <cell r="B775" t="str">
            <v>SINAPI</v>
          </cell>
          <cell r="C775"/>
          <cell r="D775" t="str">
            <v>Execução e compactação de base e ou sub-base para pavimentação de solo (predominantemente arenoso) brita - 40/60 com cimento (teor de 6%) - exclusive solo, escavação, carga e transporte. AF_11/2019</v>
          </cell>
          <cell r="E775"/>
          <cell r="F775" t="str">
            <v>M3</v>
          </cell>
          <cell r="G775">
            <v>206.06</v>
          </cell>
          <cell r="H775" t="str">
            <v>-</v>
          </cell>
        </row>
        <row r="776">
          <cell r="A776">
            <v>100568</v>
          </cell>
          <cell r="B776" t="str">
            <v>SINAPI</v>
          </cell>
          <cell r="C776"/>
          <cell r="D776" t="str">
            <v>Execução e compactação de base e ou sub-base para pavimentação de solo (predominantemente arenoso) brita - 40/60 com cimento (teor de 8%) - exclusive solo, escavação, carga e transporte. AF_11/2019</v>
          </cell>
          <cell r="E776"/>
          <cell r="F776" t="str">
            <v>M3</v>
          </cell>
          <cell r="G776">
            <v>239.3</v>
          </cell>
          <cell r="H776" t="str">
            <v>-</v>
          </cell>
        </row>
        <row r="777">
          <cell r="A777">
            <v>100569</v>
          </cell>
          <cell r="B777" t="str">
            <v>SINAPI</v>
          </cell>
          <cell r="C777"/>
          <cell r="D777" t="str">
            <v>Execução e compactação de base e ou sub-base para pavimentação de solo (predominantemente arenoso) brita - 50/50 com cimento (teor de 4%)  - exclusive solo, escavação, carga e transporte. AF_11/2019</v>
          </cell>
          <cell r="E777"/>
          <cell r="F777" t="str">
            <v>M3</v>
          </cell>
          <cell r="G777">
            <v>159.46</v>
          </cell>
          <cell r="H777" t="str">
            <v>-</v>
          </cell>
        </row>
        <row r="778">
          <cell r="A778">
            <v>100570</v>
          </cell>
          <cell r="B778" t="str">
            <v>SINAPI</v>
          </cell>
          <cell r="C778"/>
          <cell r="D778" t="str">
            <v>Execução e compactação de base e ou sub-base para pavimentação de solo (predominantemente arenoso) brita - 50/50 com cimento (teor de 6%) - exclusive solo, escavação, carga e transporte. AF_11/2019</v>
          </cell>
          <cell r="E778"/>
          <cell r="F778" t="str">
            <v>M3</v>
          </cell>
          <cell r="G778">
            <v>195.54</v>
          </cell>
          <cell r="H778" t="str">
            <v>-</v>
          </cell>
        </row>
        <row r="779">
          <cell r="A779">
            <v>100571</v>
          </cell>
          <cell r="B779" t="str">
            <v>SINAPI</v>
          </cell>
          <cell r="C779"/>
          <cell r="D779" t="str">
            <v>Execução e compactação de base e ou sub-base para pavimentação de solo (predominantemente arenoso) brita - 50/50 com cimento (teor de 8%) - exclusive solo, escavação, carga e transporte. AF_11/2019</v>
          </cell>
          <cell r="E779"/>
          <cell r="F779" t="str">
            <v>M3</v>
          </cell>
          <cell r="G779">
            <v>227.08</v>
          </cell>
          <cell r="H779" t="str">
            <v>-</v>
          </cell>
        </row>
        <row r="780">
          <cell r="A780">
            <v>100572</v>
          </cell>
          <cell r="B780" t="str">
            <v>SINAPI</v>
          </cell>
          <cell r="C780"/>
          <cell r="D780" t="str">
            <v>Execução e compactação de base e ou sub-base para pavimentação de solo (predominantemente argiloso) brita - 40/60 - exclusive solo, escavação, carga e transporte. AF_11/2019</v>
          </cell>
          <cell r="E780"/>
          <cell r="F780" t="str">
            <v>M3</v>
          </cell>
          <cell r="G780">
            <v>105</v>
          </cell>
          <cell r="H780" t="str">
            <v>-</v>
          </cell>
        </row>
        <row r="781">
          <cell r="A781">
            <v>100573</v>
          </cell>
          <cell r="B781" t="str">
            <v>SINAPI</v>
          </cell>
          <cell r="C781"/>
          <cell r="D781" t="str">
            <v>Execução e compactação de base e ou sub-base para pavimentação de solo (predominantemente argiloso) brita - 50/50 - exclusive solo, escavação, carga e transporte. AF_11/2019</v>
          </cell>
          <cell r="E781"/>
          <cell r="F781" t="str">
            <v>M3</v>
          </cell>
          <cell r="G781">
            <v>91.71</v>
          </cell>
          <cell r="H781" t="str">
            <v>-</v>
          </cell>
        </row>
        <row r="782">
          <cell r="A782">
            <v>101767</v>
          </cell>
          <cell r="B782" t="str">
            <v>SINAPI</v>
          </cell>
          <cell r="C782" t="str">
            <v>PA/0022
20 m3/h</v>
          </cell>
          <cell r="D782" t="str">
            <v>Execução e compactação de base e ou sub base para pavimentação de solos estabilizados granulometricamente com mistura de solos em pista - exclusive solo, escavação, carga e transporte. AF_11/2019</v>
          </cell>
          <cell r="E782"/>
          <cell r="F782" t="str">
            <v>M3</v>
          </cell>
          <cell r="G782">
            <v>24.96</v>
          </cell>
          <cell r="H782" t="str">
            <v>-</v>
          </cell>
        </row>
        <row r="783">
          <cell r="A783">
            <v>101768</v>
          </cell>
          <cell r="B783" t="str">
            <v>SINAPI</v>
          </cell>
          <cell r="C783"/>
          <cell r="D783" t="str">
            <v>Execução e compactação de base e ou sub base para pavimentação de solo estabilizado granulometricamente sem mistura de solos - exclusive solo, escavação, carga e transporte. AF_11/2019</v>
          </cell>
          <cell r="E783"/>
          <cell r="F783" t="str">
            <v>M3</v>
          </cell>
          <cell r="G783">
            <v>38.909999999999997</v>
          </cell>
          <cell r="H783" t="str">
            <v>-</v>
          </cell>
        </row>
        <row r="784">
          <cell r="A784" t="str">
            <v>PA/0021</v>
          </cell>
          <cell r="B784" t="str">
            <v>COMPOSIÇÃO</v>
          </cell>
          <cell r="C784">
            <v>28.75</v>
          </cell>
          <cell r="D784" t="str">
            <v>Execução e compactação de base e ou sub-base, estabilizado granulometricamente, sem mistura, com material de jazida. Exclusive fornecimento e transporte (REF. SINAPI COD. 4011219)</v>
          </cell>
          <cell r="E784"/>
          <cell r="F784" t="str">
            <v>M3</v>
          </cell>
          <cell r="G784">
            <v>17.73</v>
          </cell>
          <cell r="H784" t="str">
            <v>-</v>
          </cell>
        </row>
        <row r="785">
          <cell r="A785" t="str">
            <v>PA/0025</v>
          </cell>
          <cell r="B785" t="str">
            <v>COMPOSIÇÃO</v>
          </cell>
          <cell r="C785">
            <v>96401</v>
          </cell>
          <cell r="D785" t="str">
            <v>Imprimação da base, execução e fornecimento de emulsão asfáltica EAI (REF. SINAPI COD. 102470)</v>
          </cell>
          <cell r="E785"/>
          <cell r="F785" t="str">
            <v>M2</v>
          </cell>
          <cell r="G785">
            <v>5.09</v>
          </cell>
          <cell r="H785" t="str">
            <v>-</v>
          </cell>
        </row>
        <row r="786">
          <cell r="A786" t="str">
            <v>PA/0025</v>
          </cell>
          <cell r="B786" t="str">
            <v>COMPOSIÇÃO</v>
          </cell>
          <cell r="C786">
            <v>102100</v>
          </cell>
          <cell r="D786" t="str">
            <v>Imprimação da base, execução e fornecimento de emulsão asfáltica EAI (REF. SINAPI COD. 102470)</v>
          </cell>
          <cell r="E786"/>
          <cell r="F786" t="str">
            <v>M2</v>
          </cell>
          <cell r="G786">
            <v>5.09</v>
          </cell>
          <cell r="H786" t="str">
            <v>-</v>
          </cell>
        </row>
        <row r="787">
          <cell r="A787" t="str">
            <v>PA/0025</v>
          </cell>
          <cell r="B787" t="str">
            <v>COMPOSIÇÃO</v>
          </cell>
          <cell r="C787"/>
          <cell r="D787" t="str">
            <v>Imprimação da base, execução e fornecimento de emulsão asfáltica EAI (REF. SINAPI COD. 102470)</v>
          </cell>
          <cell r="E787"/>
          <cell r="F787" t="str">
            <v>M2</v>
          </cell>
          <cell r="G787">
            <v>5.09</v>
          </cell>
          <cell r="H787" t="str">
            <v>-</v>
          </cell>
        </row>
        <row r="788">
          <cell r="A788" t="str">
            <v>PA/0023</v>
          </cell>
          <cell r="B788" t="str">
            <v>COMPOSIÇÃO</v>
          </cell>
          <cell r="C788"/>
          <cell r="D788" t="str">
            <v>Pintura de ligação, execução e fornecimento de emulsão asfáltica RR-1C (ref SINAPI cód 104375)</v>
          </cell>
          <cell r="E788"/>
          <cell r="F788" t="str">
            <v>M2</v>
          </cell>
          <cell r="G788">
            <v>2.4300000000000002</v>
          </cell>
          <cell r="H788" t="str">
            <v>-</v>
          </cell>
        </row>
        <row r="789">
          <cell r="A789">
            <v>96402</v>
          </cell>
          <cell r="B789" t="str">
            <v>SINAPI</v>
          </cell>
          <cell r="C789"/>
          <cell r="D789" t="str">
            <v>Execução de pintura de ligação com emulsão asfáltica RR-2C. AF_11/2019</v>
          </cell>
          <cell r="E789"/>
          <cell r="F789" t="e">
            <v>#N/A</v>
          </cell>
          <cell r="G789" t="e">
            <v>#N/A</v>
          </cell>
          <cell r="H789" t="str">
            <v>VER COMP</v>
          </cell>
        </row>
        <row r="790">
          <cell r="A790">
            <v>102101</v>
          </cell>
          <cell r="B790" t="str">
            <v>SINAPI</v>
          </cell>
          <cell r="C790"/>
          <cell r="D790" t="str">
            <v>Execução de pintura de ligação com emulsão asfáltica RR-2C, para o fechamento de valas. AF_12/2020</v>
          </cell>
          <cell r="E790"/>
          <cell r="F790" t="e">
            <v>#N/A</v>
          </cell>
          <cell r="G790" t="e">
            <v>#N/A</v>
          </cell>
          <cell r="H790" t="str">
            <v>VER COMP</v>
          </cell>
        </row>
        <row r="791">
          <cell r="A791" t="str">
            <v>PA/0030</v>
          </cell>
          <cell r="B791" t="str">
            <v>COMPOSIÇÃO</v>
          </cell>
          <cell r="C791"/>
          <cell r="D791" t="str">
            <v>Selagem de trincas mecanizada em pavimento flexível com emulsão, incluindo fornecimentos e execução. Exclusive transporte (REF. SICRO COD. 4915626)</v>
          </cell>
          <cell r="E791" t="str">
            <v>ATENÇÃO
areia
0,00064m³/m</v>
          </cell>
          <cell r="F791" t="str">
            <v>M</v>
          </cell>
          <cell r="G791">
            <v>3.8</v>
          </cell>
          <cell r="H791" t="str">
            <v>-</v>
          </cell>
        </row>
        <row r="792">
          <cell r="A792" t="str">
            <v>PA/0035</v>
          </cell>
          <cell r="B792" t="str">
            <v>COMPOSIÇÃO</v>
          </cell>
          <cell r="C792"/>
          <cell r="D792" t="str">
            <v>Capa selante para agulhamento na base, execução e fornecimento de emulsão asfáltica RR-2C. Exclusive transporte (REF. SICRO COD. 4915636)</v>
          </cell>
          <cell r="E792" t="str">
            <v>ATENÇÃO
pedrisco
0,006m³/m²</v>
          </cell>
          <cell r="F792" t="str">
            <v>M2</v>
          </cell>
          <cell r="G792">
            <v>4.8</v>
          </cell>
          <cell r="H792" t="str">
            <v>-</v>
          </cell>
        </row>
        <row r="793">
          <cell r="A793">
            <v>34770</v>
          </cell>
          <cell r="B793" t="str">
            <v>COTAÇÃO - SINAPI</v>
          </cell>
          <cell r="C793"/>
          <cell r="D793" t="str">
            <v>Concreto betuminoso usinado a quente (CBUQ) para pavimentação asfáltica, padrão DNIT, faixa C, com CAP 30/45 - Aquisição posto usina</v>
          </cell>
          <cell r="E793"/>
          <cell r="F793" t="str">
            <v xml:space="preserve">T     </v>
          </cell>
          <cell r="G793">
            <v>578.72</v>
          </cell>
          <cell r="H793" t="str">
            <v>-</v>
          </cell>
        </row>
        <row r="794">
          <cell r="A794">
            <v>1518</v>
          </cell>
          <cell r="B794" t="str">
            <v>COTAÇÃO - SINAPI</v>
          </cell>
          <cell r="C794"/>
          <cell r="D794" t="str">
            <v>Concreto betuminoso usinado a quente (CBUQ) para pavimentação asfáltica, padrão DNIT, faixa C, com CAP 50/70 - Aquisição posto usina</v>
          </cell>
          <cell r="E794"/>
          <cell r="F794" t="str">
            <v xml:space="preserve">T     </v>
          </cell>
          <cell r="G794">
            <v>590</v>
          </cell>
          <cell r="H794" t="str">
            <v>-</v>
          </cell>
        </row>
        <row r="795">
          <cell r="A795">
            <v>41965</v>
          </cell>
          <cell r="B795" t="str">
            <v>COTAÇÃO - SINAPI</v>
          </cell>
          <cell r="C795"/>
          <cell r="D795" t="str">
            <v>Concreto betuminoso usinado a quente (CBUQ) para pavimentação asfáltica, padrão DNIT, para binder, com CAP 50/70 - Aquisição posto usina</v>
          </cell>
          <cell r="E795"/>
          <cell r="F795" t="str">
            <v xml:space="preserve">T     </v>
          </cell>
          <cell r="G795">
            <v>517.33000000000004</v>
          </cell>
          <cell r="H795" t="str">
            <v>-</v>
          </cell>
        </row>
        <row r="796">
          <cell r="A796">
            <v>101020</v>
          </cell>
          <cell r="B796" t="str">
            <v>SINAPI</v>
          </cell>
          <cell r="C796"/>
          <cell r="D796" t="str">
            <v>Usinagem de concreto asfáltico com CAP 50/70, para camada de binder, padrão DNIT faixa B, em usina de asfalto contínua de 80 ton/h. AF_03/2020</v>
          </cell>
          <cell r="E796"/>
          <cell r="F796" t="e">
            <v>#N/A</v>
          </cell>
          <cell r="G796" t="e">
            <v>#N/A</v>
          </cell>
          <cell r="H796" t="str">
            <v>VER COMP</v>
          </cell>
        </row>
        <row r="797">
          <cell r="A797">
            <v>97802</v>
          </cell>
          <cell r="B797" t="str">
            <v>SINAPI</v>
          </cell>
          <cell r="C797"/>
          <cell r="D797" t="str">
            <v>SUBSTITUIR PELA COMPOSIÇÃO PA/0140</v>
          </cell>
          <cell r="E797"/>
          <cell r="F797" t="e">
            <v>#N/A</v>
          </cell>
          <cell r="G797" t="e">
            <v>#N/A</v>
          </cell>
          <cell r="H797" t="str">
            <v>VER COMP</v>
          </cell>
        </row>
        <row r="798">
          <cell r="A798" t="str">
            <v>PA/0140</v>
          </cell>
          <cell r="B798" t="str">
            <v>COMPOSIÇÃO</v>
          </cell>
          <cell r="C798"/>
          <cell r="D798" t="str">
            <v>PAVIMENTO COM TRATAMENTO SUPERFICIAL SIMPLES, COM EMULSÃO ASFÁLTICA RR-2C (REF. SINAPI COD. 03.PAVI.TSUP.002/01-104376 DB 09-21)</v>
          </cell>
          <cell r="E798"/>
          <cell r="F798" t="str">
            <v>M2</v>
          </cell>
          <cell r="G798">
            <v>6.78</v>
          </cell>
          <cell r="H798" t="str">
            <v>-</v>
          </cell>
        </row>
        <row r="799">
          <cell r="A799">
            <v>97805</v>
          </cell>
          <cell r="B799" t="str">
            <v>SINAPI</v>
          </cell>
          <cell r="C799"/>
          <cell r="D799" t="str">
            <v>SUBSTITUIR PELA COMPOSIÇÃO PA/0150</v>
          </cell>
          <cell r="E799"/>
          <cell r="F799" t="e">
            <v>#N/A</v>
          </cell>
          <cell r="G799" t="e">
            <v>#N/A</v>
          </cell>
          <cell r="H799" t="str">
            <v>VER COMP</v>
          </cell>
        </row>
        <row r="800">
          <cell r="A800" t="str">
            <v>PA/0150</v>
          </cell>
          <cell r="B800" t="str">
            <v>COMPOSIÇÃO</v>
          </cell>
          <cell r="C800"/>
          <cell r="D800" t="str">
            <v>PAVIMENTO COM TRATAMENTO SUPERFICIAL DUPLO, COM EMULSÃO ASFÁLTICA RR-2C (REF. SINAPI COD. 03.PAVI.TSUP.005/01-104389 DB 09-21)</v>
          </cell>
          <cell r="E800"/>
          <cell r="F800" t="str">
            <v>M2</v>
          </cell>
          <cell r="G800">
            <v>15.59</v>
          </cell>
          <cell r="H800" t="str">
            <v>-</v>
          </cell>
        </row>
        <row r="801">
          <cell r="A801" t="str">
            <v>PA/0160</v>
          </cell>
          <cell r="B801" t="str">
            <v>COMPOSIÇÃO</v>
          </cell>
          <cell r="C801"/>
          <cell r="D801" t="str">
            <v>PAVIMENTO COM TRATAMENTO SUPERFICIAL TRIPLO, COM EMULSÃO ASFÁLTICA RR-2C (REF. SINAPI COD. 03.PAVI.TSUP.009/01-104380 DB 09-21)</v>
          </cell>
          <cell r="E801"/>
          <cell r="F801" t="str">
            <v>M2</v>
          </cell>
          <cell r="G801">
            <v>19.05</v>
          </cell>
          <cell r="H801" t="str">
            <v>-</v>
          </cell>
        </row>
        <row r="802">
          <cell r="A802">
            <v>97807</v>
          </cell>
          <cell r="B802" t="str">
            <v>SINAPI</v>
          </cell>
          <cell r="C802"/>
          <cell r="D802" t="str">
            <v>Pavimento com tratamento superficial duplo, com emulsão asfáltica RR-2C, com capa selante. AF_01/2020</v>
          </cell>
          <cell r="E802" t="str">
            <v>ATENÇÃO
0,0247 m³/m²
2,3 kg/m²</v>
          </cell>
          <cell r="F802" t="e">
            <v>#N/A</v>
          </cell>
          <cell r="G802" t="e">
            <v>#N/A</v>
          </cell>
          <cell r="H802" t="str">
            <v>VER COMP</v>
          </cell>
        </row>
        <row r="803">
          <cell r="A803">
            <v>101021</v>
          </cell>
          <cell r="B803" t="str">
            <v>SINAPI</v>
          </cell>
          <cell r="C803"/>
          <cell r="D803" t="str">
            <v>Usinagem de concreto asfáltico com cap 50/70, para camada de rolamento, padrão DNit faixa C, em usina de asfalto contínua de 80 ton/h. AF_03/2020</v>
          </cell>
          <cell r="E803"/>
          <cell r="F803" t="e">
            <v>#N/A</v>
          </cell>
          <cell r="G803" t="e">
            <v>#N/A</v>
          </cell>
          <cell r="H803" t="str">
            <v>VER COMP</v>
          </cell>
        </row>
        <row r="804">
          <cell r="A804" t="str">
            <v>PA/0036</v>
          </cell>
          <cell r="B804" t="str">
            <v>COMPOSIÇÃO</v>
          </cell>
          <cell r="C804"/>
          <cell r="D804" t="str">
            <v>Usinagem de Concreto Betuminoso Usinado à Quente - CBUQ - FAIXA "C" - para revestimento asfáltico, CAP 50-70, posto usina comercial. Exclusive mobilização, instalação, desmobilização e transporte dos insumos (REF. SINAPI COD. 101021)</v>
          </cell>
          <cell r="E804"/>
          <cell r="F804" t="str">
            <v>T</v>
          </cell>
          <cell r="G804">
            <v>430.96</v>
          </cell>
          <cell r="H804" t="str">
            <v>-</v>
          </cell>
        </row>
        <row r="805">
          <cell r="A805">
            <v>101025</v>
          </cell>
          <cell r="B805" t="str">
            <v>SINAPI</v>
          </cell>
          <cell r="C805"/>
          <cell r="D805" t="str">
            <v>Usinagem de concreto asfáltico com CAP 50/70 para camada de rolamento, padrão DNIT faixa C, em usina de asfalto gravimétrica de 150 ton/h. AF_03/2020_P</v>
          </cell>
          <cell r="E805"/>
          <cell r="F805" t="e">
            <v>#N/A</v>
          </cell>
          <cell r="G805" t="e">
            <v>#N/A</v>
          </cell>
          <cell r="H805" t="str">
            <v>VER COMP</v>
          </cell>
        </row>
        <row r="806">
          <cell r="A806" t="str">
            <v>PA/0037</v>
          </cell>
          <cell r="B806" t="str">
            <v>COMPOSIÇÃO</v>
          </cell>
          <cell r="C806"/>
          <cell r="D806" t="str">
            <v>Usinagem de Concreto Betuminoso Usinado à Quente - CBUQ - FAIXA "C" - para revestimento asfáltico, CAP 30-45, em usina de asfalto contínua de 80 TON/H. Exclusive mobilização, instalação, desmobilização e transporte dos insumos (REF. SINAPI COD. 104359)</v>
          </cell>
          <cell r="E806"/>
          <cell r="F806" t="str">
            <v>T</v>
          </cell>
          <cell r="G806">
            <v>471.01</v>
          </cell>
          <cell r="H806" t="str">
            <v>-</v>
          </cell>
        </row>
        <row r="807">
          <cell r="A807" t="str">
            <v>PA/0040</v>
          </cell>
          <cell r="B807" t="str">
            <v>COMPOSIÇÃO</v>
          </cell>
          <cell r="C807"/>
          <cell r="D807" t="str">
            <v>Construção de pavimento com aplicação de concreto betuminoso usinado à quente (CBUQ - faixa C - CAP 30/45 - usina comercial), camada de rolamento, exclusive transporte da mistura (REF. SINAPI COD. 95995)</v>
          </cell>
          <cell r="E807"/>
          <cell r="F807" t="str">
            <v>M3</v>
          </cell>
          <cell r="G807">
            <v>1586.06</v>
          </cell>
          <cell r="H807" t="str">
            <v>-</v>
          </cell>
        </row>
        <row r="808">
          <cell r="A808" t="str">
            <v>PA/0041</v>
          </cell>
          <cell r="B808" t="str">
            <v>COMPOSIÇÃO</v>
          </cell>
          <cell r="C808"/>
          <cell r="D808" t="str">
            <v>Construção de pavimento com aplicação de concreto betuminoso usinado à quente (CBUQ - faixa C - CAP 30/45 - usina comercial), camada de rolamento, exclusive transporte da mistura (REF. SINAPI COD. 95995)</v>
          </cell>
          <cell r="E808"/>
          <cell r="F808" t="str">
            <v>M3</v>
          </cell>
          <cell r="G808">
            <v>1322.49</v>
          </cell>
          <cell r="H808" t="str">
            <v>-</v>
          </cell>
        </row>
        <row r="809">
          <cell r="A809" t="str">
            <v>PA/0042</v>
          </cell>
          <cell r="B809" t="str">
            <v>COMPOSIÇÃO</v>
          </cell>
          <cell r="C809"/>
          <cell r="D809" t="str">
            <v>Construção de pavimento com aplicação de concreto betuminoso usinado à quente (CBUQ - faixa C - CAP 50/70 - usina comercial), camada de rolamento, exclusive transporte da mistura (REF. SINAPI COD. 95995)</v>
          </cell>
          <cell r="E809"/>
          <cell r="F809" t="str">
            <v>M3</v>
          </cell>
          <cell r="G809">
            <v>1220.17</v>
          </cell>
          <cell r="H809" t="str">
            <v>-</v>
          </cell>
        </row>
        <row r="810">
          <cell r="A810" t="str">
            <v>PA/0045</v>
          </cell>
          <cell r="B810" t="str">
            <v>COMPOSIÇÃO</v>
          </cell>
          <cell r="C810"/>
          <cell r="D810" t="str">
            <v>Construção de pavimento com aplicação de concreto betuminoso usinado à quente modificado por polímero elastomérico - CBUQ (p) - CAP 60-85-E - FAIXA "C", camada de rolamento. Exclusive transporte da mistura (REF. SINAPI COD. 95995)</v>
          </cell>
          <cell r="E810"/>
          <cell r="F810" t="str">
            <v>M3</v>
          </cell>
          <cell r="G810">
            <v>1935.31</v>
          </cell>
          <cell r="H810" t="str">
            <v>-</v>
          </cell>
        </row>
        <row r="811">
          <cell r="A811">
            <v>95995</v>
          </cell>
          <cell r="B811" t="str">
            <v>SINAPI</v>
          </cell>
          <cell r="C811"/>
          <cell r="D811" t="str">
            <v>Construção de pavimento com aplicação de concreto betuminoso usinado à quente (CBUQ - faixa C - CAP 50/70 - usina comercial), camada de rolamento. Exclusive transporte da mistura. Af_11/2019</v>
          </cell>
          <cell r="E811"/>
          <cell r="F811" t="str">
            <v>M3</v>
          </cell>
          <cell r="G811">
            <v>1614.82</v>
          </cell>
          <cell r="H811" t="str">
            <v>-</v>
          </cell>
        </row>
        <row r="812">
          <cell r="A812">
            <v>95996</v>
          </cell>
          <cell r="B812" t="str">
            <v>SINAPI</v>
          </cell>
          <cell r="C812"/>
          <cell r="D812" t="str">
            <v>Execução de pavimento com aplicação de concreto asfáltico, camada de binder - exclusive carga e transporte. AF_11/2019</v>
          </cell>
          <cell r="E812"/>
          <cell r="F812" t="str">
            <v>M3</v>
          </cell>
          <cell r="G812">
            <v>1399.19</v>
          </cell>
          <cell r="H812" t="str">
            <v>-</v>
          </cell>
        </row>
        <row r="813">
          <cell r="A813" t="str">
            <v>PA/0050</v>
          </cell>
          <cell r="B813" t="str">
            <v>COMPOSIÇÃO</v>
          </cell>
          <cell r="C813"/>
          <cell r="D813" t="str">
            <v>Aplicação com vibroacabadora de massa asfáltica quente. Exclusive fornecimento e transporte da mistura betuminosa (REF. SINAPI COD. 95995)</v>
          </cell>
          <cell r="E813"/>
          <cell r="F813" t="str">
            <v>M3</v>
          </cell>
          <cell r="G813">
            <v>119.15</v>
          </cell>
          <cell r="H813" t="str">
            <v>-</v>
          </cell>
        </row>
        <row r="814">
          <cell r="A814">
            <v>101027</v>
          </cell>
          <cell r="B814" t="str">
            <v>SINAPI</v>
          </cell>
          <cell r="C814"/>
          <cell r="D814" t="str">
            <v>Usinagem de pré misturado a frio, para camada de rolamento, padrão DNIT faixa C. AF_03/2020_P</v>
          </cell>
          <cell r="E814"/>
          <cell r="F814" t="e">
            <v>#N/A</v>
          </cell>
          <cell r="G814" t="e">
            <v>#N/A</v>
          </cell>
          <cell r="H814" t="str">
            <v>VER COMP</v>
          </cell>
        </row>
        <row r="815">
          <cell r="A815" t="str">
            <v>PA/0055</v>
          </cell>
          <cell r="B815" t="str">
            <v>COMPOSIÇÃO</v>
          </cell>
          <cell r="C815"/>
          <cell r="D815" t="str">
            <v>Execução de pré-misturado a frio - PMF, faixa C (semidenso), com emulsão asfáltica RL-1C, para revestimento, aplicação com vibroacabadora. Exclusive transporte</v>
          </cell>
          <cell r="E815" t="str">
            <v>B: 0,94921 m³/m²
A: 0,44527 m³/m²
CAL: 87,61905 kg/m²
E = 0,18254 T/m³</v>
          </cell>
          <cell r="F815" t="str">
            <v>M3</v>
          </cell>
          <cell r="G815">
            <v>1071.73</v>
          </cell>
          <cell r="H815" t="str">
            <v>-</v>
          </cell>
        </row>
        <row r="816">
          <cell r="A816">
            <v>100624</v>
          </cell>
          <cell r="B816" t="str">
            <v>SINAPI</v>
          </cell>
          <cell r="C816"/>
          <cell r="D816" t="str">
            <v>Execução de pavimento com aplicação de pré-misturado a frio, camada de rolamento - exclusive carga e transporte. AF_11/2019</v>
          </cell>
          <cell r="E816"/>
          <cell r="F816" t="e">
            <v>#N/A</v>
          </cell>
          <cell r="G816" t="e">
            <v>#N/A</v>
          </cell>
          <cell r="H816" t="str">
            <v>VER COMP</v>
          </cell>
        </row>
        <row r="817">
          <cell r="A817">
            <v>100625</v>
          </cell>
          <cell r="B817" t="str">
            <v>SINAPI</v>
          </cell>
          <cell r="C817"/>
          <cell r="D817" t="str">
            <v>Execução de pavimento com aplicação de pré-misturado a frio, camada de binder - exclusive carga e transporte. AF_11/2019</v>
          </cell>
          <cell r="E817"/>
          <cell r="F817" t="e">
            <v>#N/A</v>
          </cell>
          <cell r="G817" t="e">
            <v>#N/A</v>
          </cell>
          <cell r="H817" t="str">
            <v>VER COMP</v>
          </cell>
        </row>
        <row r="818">
          <cell r="A818">
            <v>92393</v>
          </cell>
          <cell r="B818" t="str">
            <v>SINAPI</v>
          </cell>
          <cell r="C818" t="str">
            <v>PISO SEXTAVADO</v>
          </cell>
          <cell r="D818" t="str">
            <v>Execução de pavimento em piso intertravado, com bloco sextavado de 25 x 25 cm, espessura 6 cm. AF_12/2015</v>
          </cell>
          <cell r="E818" t="str">
            <v>areia empolada
0,082 m³/m²</v>
          </cell>
          <cell r="F818" t="str">
            <v>M2</v>
          </cell>
          <cell r="G818">
            <v>62.68</v>
          </cell>
          <cell r="H818" t="str">
            <v>-</v>
          </cell>
        </row>
        <row r="819">
          <cell r="A819">
            <v>92394</v>
          </cell>
          <cell r="B819" t="str">
            <v>SINAPI</v>
          </cell>
          <cell r="C819"/>
          <cell r="D819" t="str">
            <v>Execução de pavimento em piso intertravado, com bloco sextavado de 25 x 25 cm, espessura 8 cm. AF_12/2015</v>
          </cell>
          <cell r="E819" t="str">
            <v>areia empolada
0,085 m³/m²</v>
          </cell>
          <cell r="F819" t="str">
            <v>M2</v>
          </cell>
          <cell r="G819">
            <v>77.94</v>
          </cell>
          <cell r="H819" t="str">
            <v>-</v>
          </cell>
        </row>
        <row r="820">
          <cell r="A820">
            <v>92395</v>
          </cell>
          <cell r="B820" t="str">
            <v>SINAPI</v>
          </cell>
          <cell r="C820"/>
          <cell r="D820" t="str">
            <v>Execução de pavimento em piso intertravado, com bloco sextavado de 25 x 25 cm, espessura 10 cm. AF_12/2015</v>
          </cell>
          <cell r="E820" t="str">
            <v>areia empolada
0,088 m³/m²</v>
          </cell>
          <cell r="F820" t="str">
            <v>M2</v>
          </cell>
          <cell r="G820">
            <v>93.46</v>
          </cell>
          <cell r="H820" t="str">
            <v>-</v>
          </cell>
        </row>
        <row r="821">
          <cell r="A821">
            <v>101820</v>
          </cell>
          <cell r="B821" t="str">
            <v>SINAPI</v>
          </cell>
          <cell r="C821"/>
          <cell r="D821" t="str">
            <v>Recomposição de pavimento em piso intertravado sextavado, com reaproveitamento dos blocos sextavado, para o fechamento de valas. AF_12/2020</v>
          </cell>
          <cell r="E821"/>
          <cell r="F821" t="str">
            <v>M2</v>
          </cell>
          <cell r="G821">
            <v>32.979999999999997</v>
          </cell>
          <cell r="H821" t="str">
            <v>-</v>
          </cell>
        </row>
        <row r="822">
          <cell r="A822">
            <v>101857</v>
          </cell>
          <cell r="B822" t="str">
            <v>SINAPI</v>
          </cell>
          <cell r="C822"/>
          <cell r="D822" t="str">
            <v>Reassentamento de blocos sextavado para piso intertravado, espessura de 6 cm, em calçada, com reaproveitamento dos blocos sextavados. AF_12/2020</v>
          </cell>
          <cell r="E822"/>
          <cell r="F822" t="str">
            <v>M2</v>
          </cell>
          <cell r="G822">
            <v>25.82</v>
          </cell>
          <cell r="H822" t="str">
            <v>-</v>
          </cell>
        </row>
        <row r="823">
          <cell r="A823">
            <v>101858</v>
          </cell>
          <cell r="B823" t="str">
            <v>SINAPI</v>
          </cell>
          <cell r="C823"/>
          <cell r="D823" t="str">
            <v>Reassentamento de blocos sextavado para piso intertravado, espessura de 6 cm, em via/estacionamento, com reaproveitamento dos blocos sextavado. AF_12/2020</v>
          </cell>
          <cell r="E823"/>
          <cell r="F823" t="str">
            <v>M2</v>
          </cell>
          <cell r="G823">
            <v>21.13</v>
          </cell>
          <cell r="H823" t="str">
            <v>-</v>
          </cell>
        </row>
        <row r="824">
          <cell r="A824">
            <v>101859</v>
          </cell>
          <cell r="B824" t="str">
            <v>SINAPI</v>
          </cell>
          <cell r="C824"/>
          <cell r="D824" t="str">
            <v>Reassentamento de blocos sextavado para piso intertravado, espessura de 8 cm, em via/estacionamento, com reaproveitamento dos blocos sextavado. AF_12/2020</v>
          </cell>
          <cell r="E824"/>
          <cell r="F824" t="str">
            <v>M2</v>
          </cell>
          <cell r="G824">
            <v>23.32</v>
          </cell>
          <cell r="H824" t="str">
            <v>-</v>
          </cell>
        </row>
        <row r="825">
          <cell r="A825">
            <v>101860</v>
          </cell>
          <cell r="B825" t="str">
            <v>SINAPI</v>
          </cell>
          <cell r="C825"/>
          <cell r="D825" t="str">
            <v>Reassentamento de blocos sextavado para piso intertravado, espessura de 10 cm, em via/estacionamento, com reaproveitamento dos blocos sextavado. AF_12/2020</v>
          </cell>
          <cell r="E825"/>
          <cell r="F825" t="str">
            <v>M2</v>
          </cell>
          <cell r="G825">
            <v>26.79</v>
          </cell>
          <cell r="H825" t="str">
            <v>-</v>
          </cell>
        </row>
        <row r="826">
          <cell r="A826">
            <v>92400</v>
          </cell>
          <cell r="B826" t="str">
            <v>SINAPI</v>
          </cell>
          <cell r="C826" t="str">
            <v>PISO PARA PÁTIO / ESTACIONAMENTO</v>
          </cell>
          <cell r="D826" t="str">
            <v>Execução de pavimento em piso intertravado, com bloco retangular de 20 x 10 cm, espessura 10 cm. AF_10/2022</v>
          </cell>
          <cell r="E826" t="str">
            <v>areia empolada
0,088 m³/m²</v>
          </cell>
          <cell r="F826" t="str">
            <v>M2</v>
          </cell>
          <cell r="G826">
            <v>95.62</v>
          </cell>
          <cell r="H826" t="str">
            <v>-</v>
          </cell>
        </row>
        <row r="827">
          <cell r="A827">
            <v>93680</v>
          </cell>
          <cell r="B827" t="str">
            <v>SINAPI</v>
          </cell>
          <cell r="C827"/>
          <cell r="D827" t="str">
            <v>Execução de pavimento em piso intertravado, com bloco retangular colorido de 20 x 10 cm, espessura 6 cm. AF_10/2022</v>
          </cell>
          <cell r="E827" t="str">
            <v>areia empolada
0,082 m³/m²</v>
          </cell>
          <cell r="F827" t="str">
            <v>M2</v>
          </cell>
          <cell r="G827">
            <v>73.77</v>
          </cell>
          <cell r="H827" t="str">
            <v>-</v>
          </cell>
        </row>
        <row r="828">
          <cell r="A828">
            <v>93681</v>
          </cell>
          <cell r="B828" t="str">
            <v>SINAPI</v>
          </cell>
          <cell r="C828"/>
          <cell r="D828" t="str">
            <v>Execução de pavimento em piso intertravado, com bloco retangular colorido de 20 x 10 cm, espessura 8 cm. AF_10/2022</v>
          </cell>
          <cell r="E828" t="str">
            <v>areia empolada
0,085 m³/m²</v>
          </cell>
          <cell r="F828" t="str">
            <v>M2</v>
          </cell>
          <cell r="G828">
            <v>88.13</v>
          </cell>
          <cell r="H828" t="str">
            <v>-</v>
          </cell>
        </row>
        <row r="829">
          <cell r="A829">
            <v>92397</v>
          </cell>
          <cell r="B829" t="str">
            <v>SINAPI</v>
          </cell>
          <cell r="C829"/>
          <cell r="D829" t="str">
            <v>Execução de pavimento em piso intertravado, com bloco retangular cor natural de 20 x 10 cm, espessura 6 cm. AF_10/2022</v>
          </cell>
          <cell r="E829" t="str">
            <v>areia empolada
0,082 m³/m²</v>
          </cell>
          <cell r="F829" t="str">
            <v>M2</v>
          </cell>
          <cell r="G829">
            <v>65.540000000000006</v>
          </cell>
          <cell r="H829" t="str">
            <v>-</v>
          </cell>
        </row>
        <row r="830">
          <cell r="A830">
            <v>92398</v>
          </cell>
          <cell r="B830" t="str">
            <v>SINAPI</v>
          </cell>
          <cell r="C830"/>
          <cell r="D830" t="str">
            <v>Execução de pavimento em piso intertravado, com bloco retangular cor natural de 20 x 10 cm, espessura 8 cm. AF_10/2022</v>
          </cell>
          <cell r="E830" t="str">
            <v>areia empolada
0,085 m³/m²</v>
          </cell>
          <cell r="F830" t="str">
            <v>M2</v>
          </cell>
          <cell r="G830">
            <v>81.540000000000006</v>
          </cell>
          <cell r="H830" t="str">
            <v>-</v>
          </cell>
        </row>
        <row r="831">
          <cell r="A831">
            <v>92403</v>
          </cell>
          <cell r="B831" t="str">
            <v>SINAPI</v>
          </cell>
          <cell r="C831"/>
          <cell r="D831" t="str">
            <v>Execução de pavimento em piso intertravado, com bloco 16 faces de 22 x 11 cm, espessura 6 cm. AF_10/2022</v>
          </cell>
          <cell r="E831" t="str">
            <v>areia empolada
 0,082 m³/m²</v>
          </cell>
          <cell r="F831" t="str">
            <v>M2</v>
          </cell>
          <cell r="G831">
            <v>63.64</v>
          </cell>
          <cell r="H831" t="str">
            <v>-</v>
          </cell>
        </row>
        <row r="832">
          <cell r="A832">
            <v>92404</v>
          </cell>
          <cell r="B832" t="str">
            <v>SINAPI</v>
          </cell>
          <cell r="C832"/>
          <cell r="D832" t="str">
            <v>Execução de pavimento em piso intertravado, com bloco 16 faces de 22 x 11 cm, espessura 8 cm. AF_10/2022</v>
          </cell>
          <cell r="E832" t="str">
            <v>areia empolada
0,085 m³/m²</v>
          </cell>
          <cell r="F832" t="str">
            <v>M2</v>
          </cell>
          <cell r="G832">
            <v>79.64</v>
          </cell>
          <cell r="H832" t="str">
            <v>-</v>
          </cell>
        </row>
        <row r="833">
          <cell r="A833">
            <v>92406</v>
          </cell>
          <cell r="B833" t="str">
            <v>SINAPI</v>
          </cell>
          <cell r="C833"/>
          <cell r="D833" t="str">
            <v>Execução de pavimento em piso intertravado, com bloco 16 faces de 22 x 11 cm, espessura 10 cm. AF_10/2022</v>
          </cell>
          <cell r="E833" t="str">
            <v>areia empolada
0,088 m³/m²</v>
          </cell>
          <cell r="F833" t="str">
            <v>M2</v>
          </cell>
          <cell r="G833">
            <v>95.43</v>
          </cell>
          <cell r="H833" t="str">
            <v>-</v>
          </cell>
        </row>
        <row r="834">
          <cell r="A834">
            <v>93681</v>
          </cell>
          <cell r="B834" t="str">
            <v>SINAPI</v>
          </cell>
          <cell r="C834">
            <v>93682</v>
          </cell>
          <cell r="D834" t="str">
            <v>Execução de pavimento em piso intertravado, com bloco retangular colorido de 20 x 10 cm, espessura 8 cm. AF_10/2022</v>
          </cell>
          <cell r="E834" t="str">
            <v>areia empolada
0,085 m³/m²</v>
          </cell>
          <cell r="F834" t="str">
            <v>M2</v>
          </cell>
          <cell r="G834">
            <v>88.13</v>
          </cell>
          <cell r="H834" t="str">
            <v>-</v>
          </cell>
        </row>
        <row r="835">
          <cell r="A835">
            <v>92398</v>
          </cell>
          <cell r="B835" t="str">
            <v>SINAPI</v>
          </cell>
          <cell r="C835">
            <v>92399</v>
          </cell>
          <cell r="D835" t="str">
            <v>Execução de pavimento em piso intertravado, com bloco retangular cor natural de 20 x 10 cm, espessura 8 cm. AF_10/2022</v>
          </cell>
          <cell r="E835" t="str">
            <v>areia empolada
0,085 m³/m²</v>
          </cell>
          <cell r="F835" t="str">
            <v>M2</v>
          </cell>
          <cell r="G835">
            <v>81.540000000000006</v>
          </cell>
          <cell r="H835" t="str">
            <v>-</v>
          </cell>
        </row>
        <row r="836">
          <cell r="A836">
            <v>92400</v>
          </cell>
          <cell r="B836" t="str">
            <v>SINAPI</v>
          </cell>
          <cell r="C836">
            <v>92401</v>
          </cell>
          <cell r="D836" t="str">
            <v>Execução de pavimento em piso intertravado, com bloco retangular de 20 x 10 cm, espessura 10 cm. AF_10/2022</v>
          </cell>
          <cell r="E836" t="str">
            <v>areia empolada
0,088 m³/m²</v>
          </cell>
          <cell r="F836" t="str">
            <v>M2</v>
          </cell>
          <cell r="G836">
            <v>95.62</v>
          </cell>
          <cell r="H836" t="str">
            <v>-</v>
          </cell>
        </row>
        <row r="837">
          <cell r="A837">
            <v>92404</v>
          </cell>
          <cell r="B837" t="str">
            <v>SINAPI</v>
          </cell>
          <cell r="C837">
            <v>92405</v>
          </cell>
          <cell r="D837" t="str">
            <v>Execução de pavimento em piso intertravado, com bloco 16 faces de 22 x 11 cm, espessura 8 cm. AF_12/2015</v>
          </cell>
          <cell r="E837" t="str">
            <v>areia empolada
0,085 m³/m²</v>
          </cell>
          <cell r="F837" t="str">
            <v>M2</v>
          </cell>
          <cell r="G837">
            <v>79.64</v>
          </cell>
          <cell r="H837" t="str">
            <v>-</v>
          </cell>
        </row>
        <row r="838">
          <cell r="A838">
            <v>92406</v>
          </cell>
          <cell r="B838" t="str">
            <v>SINAPI</v>
          </cell>
          <cell r="C838">
            <v>92406</v>
          </cell>
          <cell r="D838" t="str">
            <v>Execução de pavimento em piso intertravado, com bloco 16 faces de 22 x 11 cm, espessura 10 cm. AF_12/2015</v>
          </cell>
          <cell r="E838" t="str">
            <v>areia empolada
0,088 m³/m²</v>
          </cell>
          <cell r="F838" t="str">
            <v>M2</v>
          </cell>
          <cell r="G838">
            <v>95.43</v>
          </cell>
          <cell r="H838" t="str">
            <v>-</v>
          </cell>
        </row>
        <row r="839">
          <cell r="A839">
            <v>101863</v>
          </cell>
          <cell r="B839" t="str">
            <v>SINAPI</v>
          </cell>
          <cell r="D839" t="str">
            <v>Reassentamento de blocos retangular para piso intertravado, espessura de 6 cm, em via/estacionamento, com reaproveitamento dos blocos retangular. AF_12/2020</v>
          </cell>
          <cell r="E839"/>
          <cell r="F839" t="str">
            <v>M2</v>
          </cell>
          <cell r="G839">
            <v>21.43</v>
          </cell>
          <cell r="H839" t="str">
            <v>-</v>
          </cell>
        </row>
        <row r="840">
          <cell r="A840">
            <v>101864</v>
          </cell>
          <cell r="B840" t="str">
            <v>SINAPI</v>
          </cell>
          <cell r="D840" t="str">
            <v>Reassentamento de blocos retangular para piso intertravado, espessura de 8 cm, em via/estacionamento, com reaproveitamento dos blocos retangular. AF_12/2020</v>
          </cell>
          <cell r="E840"/>
          <cell r="F840" t="str">
            <v>M2</v>
          </cell>
          <cell r="G840">
            <v>24.89</v>
          </cell>
          <cell r="H840" t="str">
            <v>-</v>
          </cell>
        </row>
        <row r="841">
          <cell r="A841">
            <v>101865</v>
          </cell>
          <cell r="B841" t="str">
            <v>SINAPI</v>
          </cell>
          <cell r="D841" t="str">
            <v>Reassentamento de blocos retangular para piso intertravado, espessura de 10 cm, em via/estacionamento, com reaproveitamento dos blocos retangular. AF_12/2020</v>
          </cell>
          <cell r="E841"/>
          <cell r="F841" t="str">
            <v>M2</v>
          </cell>
          <cell r="G841">
            <v>28.37</v>
          </cell>
          <cell r="H841" t="str">
            <v>-</v>
          </cell>
        </row>
        <row r="842">
          <cell r="A842">
            <v>101868</v>
          </cell>
          <cell r="B842" t="str">
            <v>SINAPI</v>
          </cell>
          <cell r="D842" t="str">
            <v>Reassentamento de blocos 16 faces para piso intertravado, espessura de 6 cm, em via/estacionamento, com reaproveitamento dos blocos 16 faces. AF_12/2020</v>
          </cell>
          <cell r="E842"/>
          <cell r="F842" t="str">
            <v>M2</v>
          </cell>
          <cell r="G842">
            <v>22.82</v>
          </cell>
          <cell r="H842" t="str">
            <v>-</v>
          </cell>
        </row>
        <row r="843">
          <cell r="A843">
            <v>101869</v>
          </cell>
          <cell r="B843" t="str">
            <v>SINAPI</v>
          </cell>
          <cell r="D843" t="str">
            <v>Reassentamento de blocos 16 faces para piso intertravado, espessura de 8 cm, em via/estacionamento, com reaproveitamento dos blocos 16 faces. AF_12/2020</v>
          </cell>
          <cell r="E843"/>
          <cell r="F843" t="str">
            <v>M2</v>
          </cell>
          <cell r="G843">
            <v>26.29</v>
          </cell>
          <cell r="H843" t="str">
            <v>-</v>
          </cell>
        </row>
        <row r="844">
          <cell r="A844">
            <v>101870</v>
          </cell>
          <cell r="B844" t="str">
            <v>SINAPI</v>
          </cell>
          <cell r="D844" t="str">
            <v>Reassentamento de blocos 16 faces para piso intertravado, espessura de 10 cm, em via/estacionamento, com reaproveitamento dos blocos 16 faces. AF_12/2020</v>
          </cell>
          <cell r="E844"/>
          <cell r="F844" t="str">
            <v>M2</v>
          </cell>
          <cell r="G844">
            <v>29.75</v>
          </cell>
          <cell r="H844" t="str">
            <v>-</v>
          </cell>
        </row>
        <row r="845">
          <cell r="A845" t="str">
            <v>PA/0060</v>
          </cell>
          <cell r="B845" t="str">
            <v>COMPOSIÇÃO</v>
          </cell>
          <cell r="C845">
            <v>25.91</v>
          </cell>
          <cell r="D845" t="str">
            <v>Execução de pavimento de concreto simples (PCS), FCK = 40 mpa, camada com espessura de 20 cm. Incluindo cordão de polietileno expandido, selante elástico, barra de transferência e treliça (03.PAVI.PAVC.005/01)</v>
          </cell>
          <cell r="E845"/>
          <cell r="F845" t="str">
            <v>M2</v>
          </cell>
          <cell r="G845">
            <v>177.14</v>
          </cell>
          <cell r="H845" t="str">
            <v>-</v>
          </cell>
        </row>
        <row r="846">
          <cell r="A846" t="str">
            <v>PA/0070</v>
          </cell>
          <cell r="B846" t="str">
            <v>COMPOSIÇÃO</v>
          </cell>
          <cell r="C846"/>
          <cell r="D846" t="str">
            <v>Construção de pavimento com aplicação de concreto betuminoso usinado à quente (CBUQ - faixa B - CAP 30/45 - usina comercial), camada de rolamento, exclusive transporte da mistura (REF. SICRO COD.4011459, data 01/2021)</v>
          </cell>
          <cell r="E846"/>
          <cell r="F846" t="str">
            <v>T</v>
          </cell>
          <cell r="G846">
            <v>489.39</v>
          </cell>
          <cell r="H846" t="str">
            <v>-</v>
          </cell>
        </row>
        <row r="847">
          <cell r="A847" t="str">
            <v>PA/0080</v>
          </cell>
          <cell r="B847" t="str">
            <v>COMPOSIÇÃO</v>
          </cell>
          <cell r="C847"/>
          <cell r="D847" t="str">
            <v>Usinagem de Concreto Betuminoso Usinado à Quente - CBUQ - FAIXA "B" - para revestimento asfáltico, CAP 30-45, posto usina comercial. Exclusive mobilização, instalação, desmobilização e transporte dos insumos (REF. SICRO COD. 6416143, DB 01/2021)</v>
          </cell>
          <cell r="E847"/>
          <cell r="F847" t="str">
            <v>T</v>
          </cell>
          <cell r="G847">
            <v>471.38</v>
          </cell>
          <cell r="H847" t="str">
            <v>-</v>
          </cell>
        </row>
        <row r="848">
          <cell r="A848" t="str">
            <v>PA/0090</v>
          </cell>
          <cell r="B848" t="str">
            <v>COMPOSIÇÃO</v>
          </cell>
          <cell r="C848"/>
          <cell r="D848" t="str">
            <v>Construção de pavimento com aplicação de concreto betuminoso usinado à quente (CBUQ - faixa B - CAP 60/85 E - usina comercial), camada de rolamento, exclusive transporte da mistura (REF. SICRO COD.4011461, data 01/2021)</v>
          </cell>
          <cell r="E848"/>
          <cell r="F848" t="str">
            <v>T</v>
          </cell>
          <cell r="G848">
            <v>569.33000000000004</v>
          </cell>
          <cell r="H848" t="str">
            <v>-</v>
          </cell>
        </row>
        <row r="849">
          <cell r="A849" t="str">
            <v>PA/0100</v>
          </cell>
          <cell r="B849" t="str">
            <v>COMPOSIÇÃO</v>
          </cell>
          <cell r="C849"/>
          <cell r="D849" t="str">
            <v>Usinagem de Concreto Betuminoso Usinado à Quente - CBUQ - FAIXA "B" - para revestimento asfáltico com asfalto polímero, CAP 60-85 E, posto usina comercial. Exclusive mobilização, instalação, desmobilização e transporte dos insumos (REF. SICRO COD. 6416246, DB 01/2021)</v>
          </cell>
          <cell r="E849"/>
          <cell r="F849" t="str">
            <v>T</v>
          </cell>
          <cell r="G849">
            <v>549.76</v>
          </cell>
          <cell r="H849" t="str">
            <v>-</v>
          </cell>
        </row>
        <row r="850">
          <cell r="A850" t="str">
            <v>PA/0110</v>
          </cell>
          <cell r="B850" t="str">
            <v>COMPOSIÇÃO</v>
          </cell>
          <cell r="C850"/>
          <cell r="D850" t="str">
            <v>Construção de pavimento com aplicação de concreto betuminoso usinado à quente (CBUQ - faixa B - CAP 30/45 - usina comercial), camada de rolamento, exclusive transporte da mistura (REF. SINAPI COD. 95995, DB 04-2021)</v>
          </cell>
          <cell r="E850"/>
          <cell r="F850" t="str">
            <v>M3</v>
          </cell>
          <cell r="G850">
            <v>107.55</v>
          </cell>
          <cell r="H850" t="str">
            <v>-</v>
          </cell>
        </row>
        <row r="851">
          <cell r="A851" t="str">
            <v>PA/0120</v>
          </cell>
          <cell r="B851" t="str">
            <v>COMPOSIÇÃO</v>
          </cell>
          <cell r="C851"/>
          <cell r="D851" t="str">
            <v>Construção de pavimento com aplicação de concreto betuminoso usinado à quente modificado por polímero elastomérico - CBUQ (p) - CAP 60-85-E - FAIXA "B", camada de rolamento. Exclusive transporte da mistura (REF. SINAPI COD. 95995, DB 04-2021)</v>
          </cell>
          <cell r="E851"/>
          <cell r="F851" t="str">
            <v>M3</v>
          </cell>
          <cell r="G851">
            <v>107.55</v>
          </cell>
          <cell r="H851" t="str">
            <v>-</v>
          </cell>
        </row>
        <row r="852">
          <cell r="A852" t="str">
            <v>PA/0130</v>
          </cell>
          <cell r="B852" t="str">
            <v>COMPOSIÇÃO</v>
          </cell>
          <cell r="C852"/>
          <cell r="D852" t="str">
            <v>Construção de pavimento com aplicação de concreto betuminoso usinado à quente (CBUQ -usina comercial), camada de rolamento, exclusive transporte e fornecimento de mistura de CBUQ (REF. SINAPI COD. 95995, DB 04-2021)</v>
          </cell>
          <cell r="E852"/>
          <cell r="F852" t="str">
            <v>M3</v>
          </cell>
          <cell r="G852">
            <v>107.55</v>
          </cell>
          <cell r="H852" t="str">
            <v>-</v>
          </cell>
        </row>
        <row r="853">
          <cell r="A853" t="str">
            <v>SEL -134</v>
          </cell>
          <cell r="B853" t="str">
            <v>COTAÇÃO - SEL</v>
          </cell>
          <cell r="C853"/>
          <cell r="D853" t="str">
            <v>Fornecimento de concreto betuminoso usinado a quente (CBUQ) para pavimentacao asfaltica, padrao DNIT, faixa B, com CAP 30/45 - aquisicao posto usina</v>
          </cell>
          <cell r="E853" t="str">
            <v>SEL -134</v>
          </cell>
          <cell r="F853" t="str">
            <v>T</v>
          </cell>
          <cell r="G853">
            <v>0</v>
          </cell>
          <cell r="H853" t="str">
            <v>ERRO</v>
          </cell>
        </row>
        <row r="854">
          <cell r="A854" t="str">
            <v>SEL -135</v>
          </cell>
          <cell r="B854" t="str">
            <v>COTAÇÃO - SEL</v>
          </cell>
          <cell r="C854"/>
          <cell r="D854" t="str">
            <v>Fornecimento de concreto betuminoso usinado a quente (CBUQ) para pavimentacao asfaltica, padrao DNIT, faixa B, com CAP 60-85-E (Cimento Asfáltico de Petróleo modificado por polímeros elastomérico), camada de rolamento - aquisicao posto usina</v>
          </cell>
          <cell r="E854" t="str">
            <v>SEL -135</v>
          </cell>
          <cell r="F854" t="str">
            <v>T</v>
          </cell>
          <cell r="G854">
            <v>0</v>
          </cell>
          <cell r="H854" t="str">
            <v>ERRO</v>
          </cell>
        </row>
        <row r="855">
          <cell r="A855">
            <v>97104</v>
          </cell>
          <cell r="B855" t="str">
            <v>SINAPI</v>
          </cell>
          <cell r="C855"/>
          <cell r="D855" t="str">
            <v>Execução de pavimento de concreto simples (PCS), FCK = 40 MPA, camada com espessura de 15,0 cm. AF_11/2017</v>
          </cell>
          <cell r="E855" t="str">
            <v>ATENÇÃO
verificar barras de transferência</v>
          </cell>
          <cell r="F855" t="str">
            <v>M2</v>
          </cell>
          <cell r="G855">
            <v>139.78</v>
          </cell>
          <cell r="H855" t="str">
            <v>-</v>
          </cell>
        </row>
        <row r="856">
          <cell r="A856">
            <v>97105</v>
          </cell>
          <cell r="B856" t="str">
            <v>SINAPI</v>
          </cell>
          <cell r="C856"/>
          <cell r="D856" t="str">
            <v>Execução de pavimento de concreto simples (PCS), FCK = 40 MPA, camada com espessura de 17,5 cm. AF_11/2017</v>
          </cell>
          <cell r="E856"/>
          <cell r="F856" t="str">
            <v>M2</v>
          </cell>
          <cell r="G856">
            <v>158.54</v>
          </cell>
          <cell r="H856" t="str">
            <v>-</v>
          </cell>
        </row>
        <row r="857">
          <cell r="A857">
            <v>97106</v>
          </cell>
          <cell r="B857" t="str">
            <v>SINAPI</v>
          </cell>
          <cell r="C857"/>
          <cell r="D857" t="str">
            <v>Execução de pavimento de concreto simples (PCS), FCK = 40 MPA, camada com espessura de 20,0 cm. AF_11/2017</v>
          </cell>
          <cell r="E857"/>
          <cell r="F857" t="str">
            <v>M2</v>
          </cell>
          <cell r="G857">
            <v>176.42</v>
          </cell>
          <cell r="H857" t="str">
            <v>-</v>
          </cell>
        </row>
        <row r="858">
          <cell r="A858">
            <v>97107</v>
          </cell>
          <cell r="B858" t="str">
            <v>SINAPI</v>
          </cell>
          <cell r="C858"/>
          <cell r="D858" t="str">
            <v>Execução de pavimento de concreto simples (PCS), FCK = 40 MPA, camada com espessura de 22,5 cm. AF_11/2017</v>
          </cell>
          <cell r="E858"/>
          <cell r="F858" t="str">
            <v>M2</v>
          </cell>
          <cell r="G858">
            <v>201.87</v>
          </cell>
          <cell r="H858" t="str">
            <v>-</v>
          </cell>
        </row>
        <row r="859">
          <cell r="A859">
            <v>97108</v>
          </cell>
          <cell r="B859" t="str">
            <v>SINAPI</v>
          </cell>
          <cell r="C859"/>
          <cell r="D859" t="str">
            <v>Execução de pavimento de concreto simples (PCS), FCK = 40 MPA, camada com espessura de 25,0 cm. AF_11/2017</v>
          </cell>
          <cell r="E859"/>
          <cell r="F859" t="str">
            <v>M2</v>
          </cell>
          <cell r="G859">
            <v>231.35</v>
          </cell>
          <cell r="H859" t="str">
            <v>-</v>
          </cell>
        </row>
        <row r="860">
          <cell r="A860">
            <v>97109</v>
          </cell>
          <cell r="B860" t="str">
            <v>SINAPI</v>
          </cell>
          <cell r="C860"/>
          <cell r="D860" t="str">
            <v>Execução de pavimento de concreto simples (PCS), FCK = 40 MPA, camada com espessura de 27,5 cm. AF_11/2017</v>
          </cell>
          <cell r="E860"/>
          <cell r="F860" t="str">
            <v>M2</v>
          </cell>
          <cell r="G860">
            <v>255.97</v>
          </cell>
          <cell r="H860" t="str">
            <v>-</v>
          </cell>
        </row>
        <row r="861">
          <cell r="A861">
            <v>97111</v>
          </cell>
          <cell r="B861" t="str">
            <v>SINAPI</v>
          </cell>
          <cell r="C861"/>
          <cell r="D861" t="str">
            <v>Execução de pavimento de concreto armado (PCA), FCK = 40 MPA, camada com espessura de 15,0 cm. AF_11/2017</v>
          </cell>
          <cell r="E861"/>
          <cell r="F861" t="str">
            <v>M2</v>
          </cell>
          <cell r="G861">
            <v>261.04000000000002</v>
          </cell>
          <cell r="H861" t="str">
            <v>-</v>
          </cell>
        </row>
        <row r="862">
          <cell r="A862">
            <v>97112</v>
          </cell>
          <cell r="B862" t="str">
            <v>SINAPI</v>
          </cell>
          <cell r="C862"/>
          <cell r="D862" t="str">
            <v>Execução de pavimento de concreto armado (PCA), FCK = 40 MPA, camada com espessura de 17,5 cm. AF_11/2017</v>
          </cell>
          <cell r="E862"/>
          <cell r="F862" t="str">
            <v>M2</v>
          </cell>
          <cell r="G862">
            <v>231.03</v>
          </cell>
          <cell r="H862" t="str">
            <v>-</v>
          </cell>
        </row>
        <row r="863">
          <cell r="A863"/>
          <cell r="B863"/>
          <cell r="C863"/>
          <cell r="D863"/>
          <cell r="E863"/>
          <cell r="F863"/>
          <cell r="G863"/>
          <cell r="H863"/>
        </row>
        <row r="864">
          <cell r="A864"/>
          <cell r="B864"/>
          <cell r="C864" t="str">
            <v>11.0</v>
          </cell>
          <cell r="D864" t="str">
            <v>SERVIÇOS COMPLEMENTARES, PASSEIOS E ACESSIBILIDADE</v>
          </cell>
          <cell r="E864"/>
          <cell r="F864"/>
          <cell r="G864"/>
          <cell r="H864" t="str">
            <v/>
          </cell>
        </row>
        <row r="865">
          <cell r="A865" t="str">
            <v>SC/0005</v>
          </cell>
          <cell r="B865" t="str">
            <v>COMPOSIÇÃO</v>
          </cell>
          <cell r="C865">
            <v>11.06</v>
          </cell>
          <cell r="D865" t="str">
            <v>Meio-fio (guia) com sarjeta, concreto FCK = 15mpa, seção 615 cm², moldado no local, inclusive escavação e pintura a cal em uma demão</v>
          </cell>
          <cell r="E865" t="str">
            <v>MANUAL</v>
          </cell>
          <cell r="F865" t="str">
            <v>M</v>
          </cell>
          <cell r="G865">
            <v>49.66</v>
          </cell>
          <cell r="H865" t="str">
            <v>-</v>
          </cell>
        </row>
        <row r="866">
          <cell r="A866" t="str">
            <v>SC/0007</v>
          </cell>
          <cell r="B866" t="str">
            <v>COMPOSIÇÃO</v>
          </cell>
          <cell r="C866">
            <v>11.06</v>
          </cell>
          <cell r="D866" t="str">
            <v>Meio-fio (guia) com sarjeta, concreto FCK = 15mpa, seção 615 cm², concreto usinado, inclusive escavação e pintura a cal em uma demão</v>
          </cell>
          <cell r="E866"/>
          <cell r="F866" t="str">
            <v>M</v>
          </cell>
          <cell r="G866">
            <v>46.12</v>
          </cell>
          <cell r="H866" t="str">
            <v>-</v>
          </cell>
        </row>
        <row r="867">
          <cell r="A867" t="str">
            <v>SC/0006</v>
          </cell>
          <cell r="B867" t="str">
            <v>COMPOSIÇÃO</v>
          </cell>
          <cell r="C867">
            <v>11.06</v>
          </cell>
          <cell r="D867" t="str">
            <v>Meio-fio (guia tipo americana) com sarjeta, concreto FCK = 15mpa, seção 470 cm², moldado no local, inclusive escavação e pintura a cal em uma demão</v>
          </cell>
          <cell r="E867"/>
          <cell r="F867" t="str">
            <v>M</v>
          </cell>
          <cell r="G867">
            <v>37.74</v>
          </cell>
          <cell r="H867" t="str">
            <v>-</v>
          </cell>
        </row>
        <row r="868">
          <cell r="A868" t="str">
            <v>SC/0008</v>
          </cell>
          <cell r="B868" t="str">
            <v>COMPOSIÇÃO</v>
          </cell>
          <cell r="C868">
            <v>11.06</v>
          </cell>
          <cell r="D868" t="str">
            <v>Meio-fio (guia tipo americana) com sarjeta, concreto FCK = 15mpa, seção 470 cm², concreto usinado, inclusive escavação e pintura a cal em uma demão</v>
          </cell>
          <cell r="E868"/>
          <cell r="F868" t="str">
            <v>M</v>
          </cell>
          <cell r="G868">
            <v>35.04</v>
          </cell>
          <cell r="H868" t="str">
            <v>-</v>
          </cell>
        </row>
        <row r="869">
          <cell r="A869" t="str">
            <v>SC/0010</v>
          </cell>
          <cell r="B869" t="str">
            <v>COMPOSIÇÃO</v>
          </cell>
          <cell r="C869">
            <v>23.86</v>
          </cell>
          <cell r="D869" t="str">
            <v>Meio-fio (guia) simples, concreto FCK = 15mpa, seção 285cm2, moldado no local, inclusive escavação e pintura a cal em uma demão</v>
          </cell>
          <cell r="E869"/>
          <cell r="F869" t="str">
            <v>M</v>
          </cell>
          <cell r="G869">
            <v>23.88</v>
          </cell>
          <cell r="H869" t="str">
            <v>-</v>
          </cell>
        </row>
        <row r="870">
          <cell r="A870" t="str">
            <v>SC/0011</v>
          </cell>
          <cell r="B870" t="str">
            <v>COMPOSIÇÃO</v>
          </cell>
          <cell r="C870">
            <v>11.06</v>
          </cell>
          <cell r="D870" t="str">
            <v>Meio-fio (guia) simples, concreto FCK = 15mpa, seção 285cm2, concreto usinado, inclusive escavação e pintura a cal em uma demão</v>
          </cell>
          <cell r="E870"/>
          <cell r="F870" t="str">
            <v>M</v>
          </cell>
          <cell r="G870">
            <v>22.24</v>
          </cell>
          <cell r="H870" t="str">
            <v>-</v>
          </cell>
        </row>
        <row r="871">
          <cell r="A871" t="str">
            <v>SC/0015</v>
          </cell>
          <cell r="B871" t="str">
            <v>COMPOSIÇÃO</v>
          </cell>
          <cell r="C871">
            <v>13.6</v>
          </cell>
          <cell r="D871" t="str">
            <v>Meio-fio (guia) para estação de embarque, concreto FCK = 15mpa, seção 500cm2, moldado no local, inclusive escavação e pintura a cal em uma demão</v>
          </cell>
          <cell r="E871"/>
          <cell r="F871" t="str">
            <v>M</v>
          </cell>
          <cell r="G871">
            <v>42.21</v>
          </cell>
          <cell r="H871" t="str">
            <v>-</v>
          </cell>
        </row>
        <row r="872">
          <cell r="A872" t="str">
            <v>SC/0016</v>
          </cell>
          <cell r="B872" t="str">
            <v>COMPOSIÇÃO</v>
          </cell>
          <cell r="C872">
            <v>13.6</v>
          </cell>
          <cell r="D872" t="str">
            <v>Meio-fio (guia) para estação de embarque, concreto FCK = 15mpa, seção 500cm2, concreto usinado, inclusive escavação e pintura a cal em uma demão</v>
          </cell>
          <cell r="E872"/>
          <cell r="F872" t="str">
            <v>M</v>
          </cell>
          <cell r="G872">
            <v>39.340000000000003</v>
          </cell>
          <cell r="H872" t="str">
            <v>-</v>
          </cell>
        </row>
        <row r="873">
          <cell r="A873" t="str">
            <v>SC/0020</v>
          </cell>
          <cell r="B873" t="str">
            <v>COMPOSIÇÃO</v>
          </cell>
          <cell r="C873">
            <v>7.77</v>
          </cell>
          <cell r="D873" t="str">
            <v>Meio-fio (guia) para rotatórias e ilhas, concreto FCK = 15mpa, seção 875cm2, moldado no local, inclusive escavação e pintura a cal em uma demão</v>
          </cell>
          <cell r="E873"/>
          <cell r="F873" t="str">
            <v>M</v>
          </cell>
          <cell r="G873">
            <v>72.150000000000006</v>
          </cell>
          <cell r="H873" t="str">
            <v>-</v>
          </cell>
        </row>
        <row r="874">
          <cell r="A874" t="str">
            <v>SC/0021</v>
          </cell>
          <cell r="B874" t="str">
            <v>COMPOSIÇÃO</v>
          </cell>
          <cell r="C874">
            <v>7.77</v>
          </cell>
          <cell r="D874" t="str">
            <v>Meio-fio (guia) para rotatórias e ilhas, concreto FCK = 15mpa, seção 875cm2, concreto usinado, inclusive escavação e pintura a cal em uma demão</v>
          </cell>
          <cell r="E874"/>
          <cell r="F874" t="str">
            <v>M</v>
          </cell>
          <cell r="G874">
            <v>67.12</v>
          </cell>
          <cell r="H874" t="str">
            <v>-</v>
          </cell>
        </row>
        <row r="875">
          <cell r="A875" t="str">
            <v>SC/0025</v>
          </cell>
          <cell r="B875" t="str">
            <v>COMPOSIÇÃO</v>
          </cell>
          <cell r="C875">
            <v>45.33</v>
          </cell>
          <cell r="D875" t="str">
            <v>Guia para canteiro e ciclovia, concreto FCK = 15mpa, seção 150cm2, moldado no local, inclusive escavação e pintura a cal em uma demão</v>
          </cell>
          <cell r="E875"/>
          <cell r="F875" t="str">
            <v>M</v>
          </cell>
          <cell r="G875">
            <v>26.18</v>
          </cell>
          <cell r="H875" t="str">
            <v>-</v>
          </cell>
        </row>
        <row r="876">
          <cell r="A876" t="str">
            <v>SC/0026</v>
          </cell>
          <cell r="B876" t="str">
            <v>COMPOSIÇÃO</v>
          </cell>
          <cell r="C876">
            <v>45.33</v>
          </cell>
          <cell r="D876" t="str">
            <v>Guia para canteiro e ciclovia, concreto FCK = 15mpa, seção 150cm2, concreto usinado, inclusive escavação e pintura a cal em uma demão</v>
          </cell>
          <cell r="E876"/>
          <cell r="F876" t="str">
            <v>M</v>
          </cell>
          <cell r="G876">
            <v>25.32</v>
          </cell>
          <cell r="H876" t="str">
            <v>-</v>
          </cell>
        </row>
        <row r="877">
          <cell r="A877" t="str">
            <v>SC/0030</v>
          </cell>
          <cell r="B877" t="str">
            <v>COMPOSIÇÃO</v>
          </cell>
          <cell r="C877">
            <v>20.61</v>
          </cell>
          <cell r="D877" t="str">
            <v xml:space="preserve">Tento (acabamento de limpa-rodas), concreto FCK = 15 mpa, seção 330cm², moldado no local, inclusive escavação </v>
          </cell>
          <cell r="E877"/>
          <cell r="F877" t="str">
            <v>M</v>
          </cell>
          <cell r="G877">
            <v>26.68</v>
          </cell>
          <cell r="H877" t="str">
            <v>-</v>
          </cell>
        </row>
        <row r="878">
          <cell r="A878" t="str">
            <v>SC/0031</v>
          </cell>
          <cell r="B878" t="str">
            <v>COMPOSIÇÃO</v>
          </cell>
          <cell r="C878">
            <v>20.61</v>
          </cell>
          <cell r="D878" t="str">
            <v xml:space="preserve">Tento (acabamento de limpa-rodas), concreto FCK = 15 mpa, seção 330cm², concreto usinado, inclusive escavação </v>
          </cell>
          <cell r="E878"/>
          <cell r="F878" t="str">
            <v>M</v>
          </cell>
          <cell r="G878">
            <v>24.78</v>
          </cell>
          <cell r="H878" t="str">
            <v>-</v>
          </cell>
        </row>
        <row r="879">
          <cell r="A879" t="str">
            <v>SC/0035</v>
          </cell>
          <cell r="B879" t="str">
            <v>COMPOSIÇÃO</v>
          </cell>
          <cell r="C879">
            <v>20.61</v>
          </cell>
          <cell r="D879" t="str">
            <v>Sarjeta em concreto FCK = 15mpa, seção 330cm², moldada no local, exclusive escavação</v>
          </cell>
          <cell r="E879"/>
          <cell r="F879" t="str">
            <v>M</v>
          </cell>
          <cell r="G879">
            <v>28.76</v>
          </cell>
          <cell r="H879" t="str">
            <v>-</v>
          </cell>
        </row>
        <row r="880">
          <cell r="A880" t="str">
            <v>SC/0036</v>
          </cell>
          <cell r="B880" t="str">
            <v>COMPOSIÇÃO</v>
          </cell>
          <cell r="C880">
            <v>20.61</v>
          </cell>
          <cell r="D880" t="str">
            <v>Sarjeta em concreto FCK = 15mpa, seção 330cm², concreto usinado, exclusive escavação</v>
          </cell>
          <cell r="E880"/>
          <cell r="F880" t="str">
            <v>M</v>
          </cell>
          <cell r="G880">
            <v>26.86</v>
          </cell>
          <cell r="H880" t="str">
            <v>-</v>
          </cell>
        </row>
        <row r="881">
          <cell r="A881" t="str">
            <v>SC/0040</v>
          </cell>
          <cell r="B881" t="str">
            <v>COMPOSIÇÃO</v>
          </cell>
          <cell r="C881">
            <v>15.11</v>
          </cell>
          <cell r="D881" t="str">
            <v>Sarjeta tipo americana em concreto FCK = 15mpa, seção 455cm², moldada no local, exclusive escavação</v>
          </cell>
          <cell r="E881"/>
          <cell r="F881" t="str">
            <v>M</v>
          </cell>
          <cell r="G881">
            <v>38.08</v>
          </cell>
          <cell r="H881" t="str">
            <v>-</v>
          </cell>
        </row>
        <row r="882">
          <cell r="A882" t="str">
            <v>SC/0045</v>
          </cell>
          <cell r="B882" t="str">
            <v>COMPOSIÇÃO</v>
          </cell>
          <cell r="C882">
            <v>9.26</v>
          </cell>
          <cell r="D882" t="str">
            <v>Meio-fio (guia) com sarjeta, concreto FCK = 20mpa, seção 615 cm², moldado no local com extrusora, inclusive e pintura a cal em uma demão</v>
          </cell>
          <cell r="E882" t="str">
            <v>EXTRUSÃO</v>
          </cell>
          <cell r="F882" t="str">
            <v>M</v>
          </cell>
          <cell r="G882">
            <v>59.77</v>
          </cell>
          <cell r="H882" t="str">
            <v>-</v>
          </cell>
        </row>
        <row r="883">
          <cell r="A883" t="str">
            <v>SC/0050</v>
          </cell>
          <cell r="B883" t="str">
            <v>COMPOSIÇÃO</v>
          </cell>
          <cell r="C883">
            <v>6.41</v>
          </cell>
          <cell r="D883" t="str">
            <v>Meio-fio (guia) com sarjeta, concreto FCK = 20mpa, seção 615 cm², moldado no local em trecho curvo (R≤10 m) com extrusora, inclusive pintura a cal em uma demão</v>
          </cell>
          <cell r="E883"/>
          <cell r="F883" t="str">
            <v>M</v>
          </cell>
          <cell r="G883">
            <v>63.49</v>
          </cell>
          <cell r="H883" t="str">
            <v>-</v>
          </cell>
        </row>
        <row r="884">
          <cell r="A884" t="str">
            <v>SC/0055</v>
          </cell>
          <cell r="B884" t="str">
            <v>COMPOSIÇÃO</v>
          </cell>
          <cell r="C884">
            <v>11.9</v>
          </cell>
          <cell r="D884" t="str">
            <v>Meio-fio (guia) simples, concreto FCK = 20mpa, seção 285 cm², moldado no local em trecho reto com extrusora, inclusive pintura a cal em uma demão</v>
          </cell>
          <cell r="E884"/>
          <cell r="F884" t="str">
            <v>M</v>
          </cell>
          <cell r="G884">
            <v>34.89</v>
          </cell>
          <cell r="H884" t="str">
            <v>-</v>
          </cell>
        </row>
        <row r="885">
          <cell r="A885" t="str">
            <v>SC/0060</v>
          </cell>
          <cell r="B885" t="str">
            <v>COMPOSIÇÃO</v>
          </cell>
          <cell r="C885">
            <v>7.94</v>
          </cell>
          <cell r="D885" t="str">
            <v>Meio-fio (guia) simples, concreto FCK = 20mpa, seção 285 cm², moldado no local em trecho curvo (R≤10 m) com extrusora, inclusive pintura a cal em uma demão</v>
          </cell>
          <cell r="E885"/>
          <cell r="F885" t="str">
            <v>M</v>
          </cell>
          <cell r="G885">
            <v>37.89</v>
          </cell>
          <cell r="H885" t="str">
            <v>-</v>
          </cell>
        </row>
        <row r="886">
          <cell r="A886" t="str">
            <v>SC/0065</v>
          </cell>
          <cell r="B886" t="str">
            <v>COMPOSIÇÃO</v>
          </cell>
          <cell r="C886">
            <v>26.88</v>
          </cell>
          <cell r="D886" t="str">
            <v>Guia para canteiro e ciclovia, concreto FCK = 15mpa, seção 150cm², moldado no local com extrusora, inclusive pintura a cal em uma demão</v>
          </cell>
          <cell r="E886"/>
          <cell r="F886" t="str">
            <v>M</v>
          </cell>
          <cell r="G886">
            <v>15.42</v>
          </cell>
          <cell r="H886" t="str">
            <v>-</v>
          </cell>
        </row>
        <row r="887">
          <cell r="A887">
            <v>96995</v>
          </cell>
          <cell r="B887" t="str">
            <v>SINAPI</v>
          </cell>
          <cell r="C887">
            <v>0.42</v>
          </cell>
          <cell r="D887" t="str">
            <v>Reaterro manual apiloado com soquete. AF_10/2017</v>
          </cell>
          <cell r="E887"/>
          <cell r="F887" t="str">
            <v>M3</v>
          </cell>
          <cell r="G887">
            <v>40.869999999999997</v>
          </cell>
          <cell r="H887" t="str">
            <v>-</v>
          </cell>
        </row>
        <row r="888">
          <cell r="A888" t="str">
            <v>SC/0067</v>
          </cell>
          <cell r="B888" t="str">
            <v>COMPOSIÇÃO</v>
          </cell>
          <cell r="C888">
            <v>119.63076</v>
          </cell>
          <cell r="D888" t="str">
            <v>Execução e compactação de aterro com solo predominantemente argiloso, utilizando minicarregadeira sobre rodas - exclusive solo, escavação, carga e transporte.</v>
          </cell>
          <cell r="E888"/>
          <cell r="F888" t="str">
            <v>M3</v>
          </cell>
          <cell r="G888">
            <v>13.55</v>
          </cell>
          <cell r="H888" t="str">
            <v>-</v>
          </cell>
        </row>
        <row r="889">
          <cell r="A889">
            <v>97084</v>
          </cell>
          <cell r="B889" t="str">
            <v>SINAPI</v>
          </cell>
          <cell r="C889">
            <v>52.63</v>
          </cell>
          <cell r="D889" t="str">
            <v>Compactação mecânica de solo para execução de radier, com compactador de solos tipo placa vibratória. AF_09/2021</v>
          </cell>
          <cell r="E889"/>
          <cell r="F889" t="str">
            <v>M2</v>
          </cell>
          <cell r="G889">
            <v>0.55000000000000004</v>
          </cell>
          <cell r="H889" t="str">
            <v>-</v>
          </cell>
        </row>
        <row r="890">
          <cell r="A890" t="str">
            <v>SC/0068</v>
          </cell>
          <cell r="B890" t="str">
            <v>COMPOSIÇÃO</v>
          </cell>
          <cell r="C890">
            <v>79472</v>
          </cell>
          <cell r="D890" t="str">
            <v>Revestimento de pátio com pedra britada com espessura de 5 cm com regularização do terreno com motoniveladora. Exclusive transporte. (REF SINAPI COD 100575)</v>
          </cell>
          <cell r="E890"/>
          <cell r="F890" t="str">
            <v>M2</v>
          </cell>
          <cell r="G890">
            <v>5.05</v>
          </cell>
          <cell r="H890" t="str">
            <v>-</v>
          </cell>
        </row>
        <row r="891">
          <cell r="A891" t="str">
            <v>SC/0069</v>
          </cell>
          <cell r="B891" t="str">
            <v>COMPOSIÇÃO</v>
          </cell>
          <cell r="C891">
            <v>79472</v>
          </cell>
          <cell r="D891" t="str">
            <v>Lastro de brita comercial - espalhamento mecânico. (REF SICRO COD 0903845)</v>
          </cell>
          <cell r="E891"/>
          <cell r="F891" t="str">
            <v>M3</v>
          </cell>
          <cell r="G891">
            <v>103.49</v>
          </cell>
          <cell r="H891" t="str">
            <v>-</v>
          </cell>
        </row>
        <row r="892">
          <cell r="A892">
            <v>100575</v>
          </cell>
          <cell r="B892" t="str">
            <v>SINAPI</v>
          </cell>
          <cell r="C892">
            <v>909.09</v>
          </cell>
          <cell r="D892" t="str">
            <v>Regularização de superfícies com motoniveladora. AF_11/2019</v>
          </cell>
          <cell r="E892"/>
          <cell r="F892" t="str">
            <v>M2</v>
          </cell>
          <cell r="G892">
            <v>0.11</v>
          </cell>
          <cell r="H892" t="str">
            <v>-</v>
          </cell>
        </row>
        <row r="893">
          <cell r="A893"/>
          <cell r="B893" t="str">
            <v>REPETIDO</v>
          </cell>
          <cell r="C893">
            <v>94962</v>
          </cell>
          <cell r="D893" t="str">
            <v>Concreto magro para lastro, traço 1:4,5:4,5 (cimento/ areia média/ brita 1) - preparo mecânico com betoneira 400 l. AF_07/2016</v>
          </cell>
          <cell r="E893"/>
          <cell r="F893" t="str">
            <v>-</v>
          </cell>
          <cell r="G893" t="str">
            <v>-</v>
          </cell>
          <cell r="H893" t="str">
            <v/>
          </cell>
        </row>
        <row r="894">
          <cell r="A894">
            <v>94968</v>
          </cell>
          <cell r="B894" t="str">
            <v>SINAPI</v>
          </cell>
          <cell r="C894"/>
          <cell r="D894" t="str">
            <v>Concreto magro para lastro, traço 1:4,5:4,5 (cimento/ areia média/ brita 1) - preparo mecânico com betoneira 600 l. AF_07/2016</v>
          </cell>
          <cell r="E894"/>
          <cell r="F894" t="str">
            <v>M3</v>
          </cell>
          <cell r="G894">
            <v>370.6</v>
          </cell>
          <cell r="H894" t="str">
            <v>-</v>
          </cell>
        </row>
        <row r="895">
          <cell r="A895">
            <v>94974</v>
          </cell>
          <cell r="B895" t="str">
            <v>SINAPI</v>
          </cell>
          <cell r="C895"/>
          <cell r="D895" t="str">
            <v>Concreto magro para lastro, traço 1:4,5:4,5 (cimento/ areia média/ brita 1)  - preparo manual. AF_07/2016</v>
          </cell>
          <cell r="E895"/>
          <cell r="F895" t="str">
            <v>M3</v>
          </cell>
          <cell r="G895">
            <v>419.19</v>
          </cell>
          <cell r="H895" t="str">
            <v>-</v>
          </cell>
        </row>
        <row r="896">
          <cell r="A896">
            <v>100324</v>
          </cell>
          <cell r="B896" t="str">
            <v>SINAPI</v>
          </cell>
          <cell r="C896"/>
          <cell r="D896" t="str">
            <v>Lastro com material granular (pedra britada n.1 e pedra britada n.2), aplicado em pisos ou radiers, espessura de *10 cm*. AF_07/2019</v>
          </cell>
          <cell r="E896"/>
          <cell r="F896" t="str">
            <v>M3</v>
          </cell>
          <cell r="G896">
            <v>137.78</v>
          </cell>
          <cell r="H896" t="str">
            <v>-</v>
          </cell>
        </row>
        <row r="897">
          <cell r="A897"/>
          <cell r="B897" t="str">
            <v>REPETIDO</v>
          </cell>
          <cell r="C897">
            <v>96620</v>
          </cell>
          <cell r="D897" t="str">
            <v>Lastro de concreto magro, aplicado em pisos ou radiers. AF_08/2017</v>
          </cell>
          <cell r="E897"/>
          <cell r="F897" t="str">
            <v>-</v>
          </cell>
          <cell r="G897" t="str">
            <v>-</v>
          </cell>
          <cell r="H897" t="str">
            <v/>
          </cell>
        </row>
        <row r="898">
          <cell r="A898">
            <v>92396</v>
          </cell>
          <cell r="B898" t="str">
            <v>SINAPI</v>
          </cell>
          <cell r="C898" t="str">
            <v>PISO INTERTRAVADO</v>
          </cell>
          <cell r="D898" t="str">
            <v>Execução de passeio em piso intertravado, com bloco retangular cor natural de 20 x 10 cm, espessura 6 cm. AF_12/2015</v>
          </cell>
          <cell r="E898" t="str">
            <v>areia empolada
0,082 m³/m²</v>
          </cell>
          <cell r="F898" t="str">
            <v>M2</v>
          </cell>
          <cell r="G898">
            <v>73.7</v>
          </cell>
          <cell r="H898" t="str">
            <v>-</v>
          </cell>
        </row>
        <row r="899">
          <cell r="A899">
            <v>93679</v>
          </cell>
          <cell r="B899" t="str">
            <v>SINAPI</v>
          </cell>
          <cell r="C899"/>
          <cell r="D899" t="str">
            <v>Execução de passeio em piso intertravado, com bloco retangular colorido de 20 x 10 cm, espessura 6 cm. AF_12/2015</v>
          </cell>
          <cell r="E899"/>
          <cell r="F899" t="str">
            <v>M2</v>
          </cell>
          <cell r="G899">
            <v>82.14</v>
          </cell>
          <cell r="H899" t="str">
            <v>-</v>
          </cell>
        </row>
        <row r="900">
          <cell r="A900">
            <v>92402</v>
          </cell>
          <cell r="B900" t="str">
            <v>SINAPI</v>
          </cell>
          <cell r="C900"/>
          <cell r="D900" t="str">
            <v>Execução de passeio em piso intertravado, com bloco 16 faces de 22 x 11 cm, espessura 6 cm. AF_12/2015</v>
          </cell>
          <cell r="E900"/>
          <cell r="F900" t="str">
            <v>M2</v>
          </cell>
          <cell r="G900">
            <v>72.12</v>
          </cell>
          <cell r="H900" t="str">
            <v>-</v>
          </cell>
        </row>
        <row r="901">
          <cell r="A901">
            <v>101862</v>
          </cell>
          <cell r="B901" t="str">
            <v>SINAPI</v>
          </cell>
          <cell r="C901"/>
          <cell r="D901" t="str">
            <v>Reassentamento de blocos retangular para piso intertravado, espessura de 6 cm, em calçada, com reaproveitamento dos blocos retangular. AF_12/2020</v>
          </cell>
          <cell r="E901"/>
          <cell r="F901" t="str">
            <v>M2</v>
          </cell>
          <cell r="G901">
            <v>27.31</v>
          </cell>
          <cell r="H901" t="str">
            <v>-</v>
          </cell>
        </row>
        <row r="902">
          <cell r="A902">
            <v>101867</v>
          </cell>
          <cell r="B902" t="str">
            <v>SINAPI</v>
          </cell>
          <cell r="C902"/>
          <cell r="D902" t="str">
            <v>Reassentamento de blocos 16 faces para piso intertravado, espessura de 6 cm, em calçada, com reaproveitamento dos blocos 16 faces. AF_12/2020</v>
          </cell>
          <cell r="E902"/>
          <cell r="F902" t="str">
            <v>M2</v>
          </cell>
          <cell r="G902">
            <v>28.7</v>
          </cell>
          <cell r="H902" t="str">
            <v>-</v>
          </cell>
        </row>
        <row r="903">
          <cell r="A903">
            <v>94990</v>
          </cell>
          <cell r="B903" t="str">
            <v>SINAPI</v>
          </cell>
          <cell r="C903" t="str">
            <v>CALÇADA</v>
          </cell>
          <cell r="D903" t="str">
            <v>Execução de passeio (calçada) ou piso de concreto com concreto moldado in loco, feito em obra, acabamento convencional, não armado. AF_07/2016</v>
          </cell>
          <cell r="E903" t="str">
            <v>ATENÇÃO
M3</v>
          </cell>
          <cell r="F903" t="str">
            <v>M3</v>
          </cell>
          <cell r="G903">
            <v>711.55</v>
          </cell>
          <cell r="H903" t="str">
            <v>-</v>
          </cell>
        </row>
        <row r="904">
          <cell r="A904">
            <v>94991</v>
          </cell>
          <cell r="B904" t="str">
            <v>SINAPI</v>
          </cell>
          <cell r="C904"/>
          <cell r="D904" t="str">
            <v>Execução de passeio (calçada) ou piso de concreto com concreto moldado in loco, usinado, acabamento convencional, não armado. AF_07/2016</v>
          </cell>
          <cell r="E904"/>
          <cell r="F904" t="str">
            <v>M3</v>
          </cell>
          <cell r="G904">
            <v>764.5</v>
          </cell>
          <cell r="H904" t="str">
            <v>-</v>
          </cell>
        </row>
        <row r="905">
          <cell r="A905">
            <v>94994</v>
          </cell>
          <cell r="B905" t="str">
            <v>SINAPI</v>
          </cell>
          <cell r="C905"/>
          <cell r="D905" t="str">
            <v>Execução de passeio (calçada) ou piso de concreto com concreto moldado in loco, feito em obra, acabamento convencional, espessura 8 cm, armado. AF_07/2016</v>
          </cell>
          <cell r="E905" t="str">
            <v>ATENÇÃO
concreto armado</v>
          </cell>
          <cell r="F905" t="str">
            <v>M2</v>
          </cell>
          <cell r="G905">
            <v>91.14</v>
          </cell>
          <cell r="H905" t="str">
            <v>-</v>
          </cell>
        </row>
        <row r="906">
          <cell r="A906">
            <v>94995</v>
          </cell>
          <cell r="B906" t="str">
            <v>SINAPI</v>
          </cell>
          <cell r="C906"/>
          <cell r="D906" t="str">
            <v>Execução de passeio (calçada) ou piso de concreto com concreto moldado in loco, usinado, acabamento convencional, espessura 8 cm, armado. AF_07/2016</v>
          </cell>
          <cell r="E906"/>
          <cell r="F906" t="str">
            <v>M2</v>
          </cell>
          <cell r="G906">
            <v>95.36</v>
          </cell>
          <cell r="H906" t="str">
            <v>-</v>
          </cell>
        </row>
        <row r="907">
          <cell r="A907">
            <v>94994</v>
          </cell>
          <cell r="B907" t="str">
            <v>SINAPI</v>
          </cell>
          <cell r="C907"/>
          <cell r="D907" t="str">
            <v>Execução de passeio (calçada) ou piso de concreto com concreto moldado in loco, feito em obra, acabamento convencional, espessura 10 cm, armado. AF_07/2016</v>
          </cell>
          <cell r="E907"/>
          <cell r="F907" t="str">
            <v>M2</v>
          </cell>
          <cell r="G907">
            <v>91.14</v>
          </cell>
          <cell r="H907" t="str">
            <v>-</v>
          </cell>
        </row>
        <row r="908">
          <cell r="A908">
            <v>94995</v>
          </cell>
          <cell r="B908" t="str">
            <v>SINAPI</v>
          </cell>
          <cell r="C908"/>
          <cell r="D908" t="str">
            <v>Execução de passeio (calçada) ou piso de concreto com concreto moldado in loco, usinado, acabamento convencional, espessura 10 cm, armado. AF_07/2016</v>
          </cell>
          <cell r="E908"/>
          <cell r="F908" t="str">
            <v>M2</v>
          </cell>
          <cell r="G908">
            <v>95.36</v>
          </cell>
          <cell r="H908" t="str">
            <v>-</v>
          </cell>
        </row>
        <row r="909">
          <cell r="A909">
            <v>101747</v>
          </cell>
          <cell r="B909" t="str">
            <v>SINAPI</v>
          </cell>
          <cell r="C909">
            <v>68333</v>
          </cell>
          <cell r="D909" t="str">
            <v>Piso em concreto 20 MPA preparo mecânico, espessura 7cm. AF_09/2020</v>
          </cell>
          <cell r="E909"/>
          <cell r="F909" t="str">
            <v>M2</v>
          </cell>
          <cell r="G909">
            <v>84.97</v>
          </cell>
          <cell r="H909" t="str">
            <v>-</v>
          </cell>
        </row>
        <row r="910">
          <cell r="A910" t="str">
            <v>SC/0070</v>
          </cell>
          <cell r="B910" t="str">
            <v>COMPOSIÇÃO</v>
          </cell>
          <cell r="C910"/>
          <cell r="D910" t="str">
            <v>Acabamento sobre superfícies em concreto, argamassa e outros com pigmento com 210g/m² de pó para coloração (REF. SINAPI COD. 73676)</v>
          </cell>
          <cell r="E910"/>
          <cell r="F910" t="str">
            <v>M2</v>
          </cell>
          <cell r="G910" t="e">
            <v>#N/A</v>
          </cell>
          <cell r="H910" t="str">
            <v>VER COMP</v>
          </cell>
        </row>
        <row r="911">
          <cell r="A911" t="str">
            <v>SC/0075</v>
          </cell>
          <cell r="B911" t="str">
            <v>COMPOSIÇÃO</v>
          </cell>
          <cell r="C911"/>
          <cell r="D911" t="str">
            <v>Piso tátil de alerta ou direcional com lajota cimentícia  25x25x2cm, nas cores da NBR 16537, assentado com argamassa de cimento e areia 1:3</v>
          </cell>
          <cell r="E911"/>
          <cell r="F911" t="str">
            <v>M</v>
          </cell>
          <cell r="G911">
            <v>35.97</v>
          </cell>
          <cell r="H911" t="str">
            <v>-</v>
          </cell>
        </row>
        <row r="912">
          <cell r="A912" t="str">
            <v>SC/0080</v>
          </cell>
          <cell r="B912" t="str">
            <v>COMPOSIÇÃO</v>
          </cell>
          <cell r="C912"/>
          <cell r="D912" t="str">
            <v>Piso tátil de alerta ou direcional com lajota cimentícia  40x40x2,5cm, nas cores da NBR 16537, assentado com argamassa de cimento e areia 1:3</v>
          </cell>
          <cell r="E912"/>
          <cell r="F912" t="str">
            <v>M</v>
          </cell>
          <cell r="G912">
            <v>59.2</v>
          </cell>
          <cell r="H912" t="str">
            <v>-</v>
          </cell>
        </row>
        <row r="913">
          <cell r="A913">
            <v>101094</v>
          </cell>
          <cell r="B913" t="str">
            <v>SINAPI</v>
          </cell>
          <cell r="C913"/>
          <cell r="D913" t="str">
            <v>Piso podotátil, direcional ou alerta, assentado sobre argamassa. AF_05/2020</v>
          </cell>
          <cell r="E913"/>
          <cell r="F913" t="str">
            <v>M</v>
          </cell>
          <cell r="G913">
            <v>171.27</v>
          </cell>
          <cell r="H913" t="str">
            <v>-</v>
          </cell>
        </row>
        <row r="914">
          <cell r="A914">
            <v>92391</v>
          </cell>
          <cell r="B914" t="str">
            <v>SINAPI</v>
          </cell>
          <cell r="C914"/>
          <cell r="D914" t="str">
            <v>Execução de pavimento em piso intertravado, com bloco pisograma de 35 x 25 cm, espessura 6 cm. AF_12/2015</v>
          </cell>
          <cell r="E914"/>
          <cell r="F914" t="str">
            <v>M2</v>
          </cell>
          <cell r="G914">
            <v>63.89</v>
          </cell>
          <cell r="H914" t="str">
            <v>-</v>
          </cell>
        </row>
        <row r="915">
          <cell r="A915">
            <v>92392</v>
          </cell>
          <cell r="B915" t="str">
            <v>SINAPI</v>
          </cell>
          <cell r="C915"/>
          <cell r="D915" t="str">
            <v>Execução de pavimento em piso intertravado, com bloco pisograma de 35 x 25 cm, espessura 8 cm. AF_12/2015</v>
          </cell>
          <cell r="E915"/>
          <cell r="F915" t="str">
            <v>M2</v>
          </cell>
          <cell r="G915">
            <v>133.15</v>
          </cell>
          <cell r="H915" t="str">
            <v>-</v>
          </cell>
        </row>
        <row r="916">
          <cell r="A916">
            <v>101856</v>
          </cell>
          <cell r="B916" t="str">
            <v>SINAPI</v>
          </cell>
          <cell r="C916"/>
          <cell r="D916" t="str">
            <v>Reassentamento de blocos pisograma para piso intertravado, com reaproveitamento dos blocos pisograma. AF_12/2020</v>
          </cell>
          <cell r="E916"/>
          <cell r="F916" t="str">
            <v>M2</v>
          </cell>
          <cell r="G916">
            <v>20.69</v>
          </cell>
          <cell r="H916" t="str">
            <v>-</v>
          </cell>
        </row>
        <row r="917">
          <cell r="A917">
            <v>98503</v>
          </cell>
          <cell r="B917" t="str">
            <v>SINAPI</v>
          </cell>
          <cell r="C917"/>
          <cell r="D917" t="str">
            <v>Plantio de grama em pavimento concregrama. AF_05/2018</v>
          </cell>
          <cell r="E917"/>
          <cell r="F917" t="str">
            <v>M2</v>
          </cell>
          <cell r="G917">
            <v>23.99</v>
          </cell>
          <cell r="H917" t="str">
            <v>-</v>
          </cell>
        </row>
        <row r="918">
          <cell r="A918">
            <v>98504</v>
          </cell>
          <cell r="B918" t="str">
            <v>SINAPI</v>
          </cell>
          <cell r="C918"/>
          <cell r="D918" t="str">
            <v>Plantio de grama em placas. AF_05/2018</v>
          </cell>
          <cell r="E918"/>
          <cell r="F918" t="str">
            <v>M2</v>
          </cell>
          <cell r="G918">
            <v>9.5399999999999991</v>
          </cell>
          <cell r="H918" t="str">
            <v>-</v>
          </cell>
        </row>
        <row r="919">
          <cell r="A919">
            <v>98505</v>
          </cell>
          <cell r="B919" t="str">
            <v>SINAPI</v>
          </cell>
          <cell r="C919"/>
          <cell r="D919" t="str">
            <v>Plantio de forração. Af_05/2018</v>
          </cell>
          <cell r="E919"/>
          <cell r="F919" t="str">
            <v>M2</v>
          </cell>
          <cell r="G919">
            <v>64.56</v>
          </cell>
          <cell r="H919" t="str">
            <v>-</v>
          </cell>
        </row>
        <row r="920">
          <cell r="A920">
            <v>98520</v>
          </cell>
          <cell r="B920" t="str">
            <v>SINAPI</v>
          </cell>
          <cell r="C920"/>
          <cell r="D920" t="str">
            <v>Aplicação de adubo em solo. AF_05/2018</v>
          </cell>
          <cell r="E920"/>
          <cell r="F920" t="str">
            <v>M2</v>
          </cell>
          <cell r="G920">
            <v>8.0399999999999991</v>
          </cell>
          <cell r="H920" t="str">
            <v>-</v>
          </cell>
        </row>
        <row r="921">
          <cell r="A921" t="str">
            <v>SC/0082</v>
          </cell>
          <cell r="B921" t="str">
            <v>COMPOSIÇÃO</v>
          </cell>
          <cell r="C921">
            <v>85180</v>
          </cell>
          <cell r="D921" t="str">
            <v>Grama em placas, tipo esmeralda, incluindo plantio, adubo, fertilizante, calcário, terra orgânica e irrigação</v>
          </cell>
          <cell r="E921"/>
          <cell r="F921" t="str">
            <v>M2</v>
          </cell>
          <cell r="G921">
            <v>21.88</v>
          </cell>
          <cell r="H921" t="str">
            <v>-</v>
          </cell>
        </row>
        <row r="922">
          <cell r="A922">
            <v>98509</v>
          </cell>
          <cell r="B922" t="str">
            <v>SINAPI</v>
          </cell>
          <cell r="C922"/>
          <cell r="D922" t="str">
            <v>Plantio de arbusto ou cerca viva. AF_05/2018</v>
          </cell>
          <cell r="E922"/>
          <cell r="F922" t="str">
            <v>UN</v>
          </cell>
          <cell r="G922">
            <v>44.94</v>
          </cell>
          <cell r="H922" t="str">
            <v>-</v>
          </cell>
        </row>
        <row r="923">
          <cell r="A923">
            <v>98510</v>
          </cell>
          <cell r="B923" t="str">
            <v>SINAPI</v>
          </cell>
          <cell r="C923"/>
          <cell r="D923" t="str">
            <v>Plantio de árvore ornamental com altura de muda menor ou igual a 2,00 m. AF_05/2018</v>
          </cell>
          <cell r="E923"/>
          <cell r="F923" t="str">
            <v>UN</v>
          </cell>
          <cell r="G923">
            <v>66.760000000000005</v>
          </cell>
          <cell r="H923" t="str">
            <v>-</v>
          </cell>
        </row>
        <row r="924">
          <cell r="A924">
            <v>98511</v>
          </cell>
          <cell r="B924" t="str">
            <v>SINAPI</v>
          </cell>
          <cell r="C924"/>
          <cell r="D924" t="str">
            <v>Plantio de árvore ornamental com altura de muda maior que 2,00 m e menor ou igual a 4,00 m. AF_05/2018</v>
          </cell>
          <cell r="E924"/>
          <cell r="F924" t="str">
            <v>UN</v>
          </cell>
          <cell r="G924">
            <v>127.32</v>
          </cell>
          <cell r="H924" t="str">
            <v>-</v>
          </cell>
        </row>
        <row r="925">
          <cell r="A925">
            <v>98516</v>
          </cell>
          <cell r="B925" t="str">
            <v>SINAPI</v>
          </cell>
          <cell r="C925"/>
          <cell r="D925" t="str">
            <v>Plantio de palmeira com altura de muda menor ou igual a 2,00 m. AF_05/2018</v>
          </cell>
          <cell r="E925"/>
          <cell r="F925" t="str">
            <v>UN</v>
          </cell>
          <cell r="G925">
            <v>320</v>
          </cell>
          <cell r="H925" t="str">
            <v>-</v>
          </cell>
        </row>
        <row r="926">
          <cell r="A926" t="str">
            <v>SC/0085</v>
          </cell>
          <cell r="B926" t="str">
            <v>COMPOSIÇÃO</v>
          </cell>
          <cell r="C926"/>
          <cell r="D926" t="str">
            <v>Dispositivo de segurança na travessia de pedestre - guarda corpo em tubo de aço galvanizado Ø 3", pintado com esmalte sintético em duas demãos</v>
          </cell>
          <cell r="E926"/>
          <cell r="F926" t="str">
            <v xml:space="preserve">UN </v>
          </cell>
          <cell r="G926">
            <v>1397.47</v>
          </cell>
          <cell r="H926" t="str">
            <v>-</v>
          </cell>
        </row>
        <row r="927">
          <cell r="A927" t="str">
            <v>SC/0090</v>
          </cell>
          <cell r="B927" t="str">
            <v>COMPOSIÇÃO</v>
          </cell>
          <cell r="C927"/>
          <cell r="D927" t="str">
            <v>Defensa metálica semi-maleável tipo simples, em chapa de aço, padrão DNIT, incluindo fornecimento, montagem e refletivos (30x5cm) (REF. SICRO COD. 3713604)</v>
          </cell>
          <cell r="E927"/>
          <cell r="F927" t="str">
            <v>M</v>
          </cell>
          <cell r="G927">
            <v>494.67</v>
          </cell>
          <cell r="H927" t="str">
            <v>-</v>
          </cell>
        </row>
        <row r="928">
          <cell r="A928" t="str">
            <v>SC/0091</v>
          </cell>
          <cell r="B928" t="str">
            <v>COMPOSIÇÃO</v>
          </cell>
          <cell r="C928"/>
          <cell r="D928" t="str">
            <v>Implantação de Defensa metálica semi-maleável tipo simples, em chapa de aço, padrão DNIT, excluindo fornecimento e refletivos (30x5cm) (REF. SICRO COD. 3713604, DB 01/2021)</v>
          </cell>
          <cell r="E928"/>
          <cell r="F928" t="str">
            <v>M</v>
          </cell>
          <cell r="G928">
            <v>5.49</v>
          </cell>
          <cell r="H928" t="str">
            <v>-</v>
          </cell>
        </row>
        <row r="929">
          <cell r="A929" t="str">
            <v>SC/0092</v>
          </cell>
          <cell r="B929" t="str">
            <v>COMPOSIÇÃO</v>
          </cell>
          <cell r="C929"/>
          <cell r="D929" t="str">
            <v>Fornecimento de Defensa metálica semi-maleável tipo simples, em chapa de aço, padrão DNIT, incluindo fornecimento e refletivos (30x5cm), excluindo montagem (REF. SICRO COD. 3713604, DB 01/2021)</v>
          </cell>
          <cell r="E929"/>
          <cell r="F929" t="str">
            <v>M</v>
          </cell>
          <cell r="G929">
            <v>488.92</v>
          </cell>
          <cell r="H929" t="str">
            <v>-</v>
          </cell>
        </row>
        <row r="930">
          <cell r="A930" t="str">
            <v>SC/0095</v>
          </cell>
          <cell r="B930" t="str">
            <v>COMPOSIÇÃO</v>
          </cell>
          <cell r="C930"/>
          <cell r="D930" t="str">
            <v>Defensa metálica semi-maleável tipo dupla, em chapa de aço, padrão DNIT, incluindo fornecimento, montagem e refletivos (30x5cm) (REF. SICRO COD. 3713606)</v>
          </cell>
          <cell r="E930"/>
          <cell r="F930" t="str">
            <v>M</v>
          </cell>
          <cell r="G930">
            <v>687.55</v>
          </cell>
          <cell r="H930" t="str">
            <v>-</v>
          </cell>
        </row>
        <row r="931">
          <cell r="A931" t="str">
            <v>SC/0096</v>
          </cell>
          <cell r="B931" t="str">
            <v>COMPOSIÇÃO</v>
          </cell>
          <cell r="C931"/>
          <cell r="D931" t="str">
            <v>Instalação de Defensa metálica semi-maleável tipo dupla, em chapa de aço, padrão DNIT, excluindo fornecimento e refletivos (30x5cm) (REF. SICRO COD. 3713606, DB 01/2021)</v>
          </cell>
          <cell r="E931"/>
          <cell r="F931" t="str">
            <v>M</v>
          </cell>
          <cell r="G931">
            <v>13.17</v>
          </cell>
          <cell r="H931" t="str">
            <v>-</v>
          </cell>
        </row>
        <row r="932">
          <cell r="A932" t="str">
            <v>SC/0097</v>
          </cell>
          <cell r="B932" t="str">
            <v>COMPOSIÇÃO</v>
          </cell>
          <cell r="C932"/>
          <cell r="D932" t="str">
            <v>Fornecimento de Defensa metálica semi-maleável tipo dupla, em chapa de aço, padrão DNIT, incluindo fornecimento e refletivos (30x5cm) (REF. SICRO COD. 3713606, DB 01/2021), excluindo montagem e transporte</v>
          </cell>
          <cell r="E932"/>
          <cell r="F932" t="str">
            <v>M</v>
          </cell>
          <cell r="G932">
            <v>674.38</v>
          </cell>
          <cell r="H932" t="str">
            <v>-</v>
          </cell>
        </row>
        <row r="933">
          <cell r="A933" t="str">
            <v>SC/0100</v>
          </cell>
          <cell r="B933" t="str">
            <v>COMPOSIÇÃO</v>
          </cell>
          <cell r="C933"/>
          <cell r="D933" t="str">
            <v>Tubo aço galvanizado com costura para guarda-corpo, classe leve, DN 40 mm (1 1/2"),  DIN 2440 / NBR 5580 classe leve, espessura 3,00 mm, *3,48* kg/m</v>
          </cell>
          <cell r="E933"/>
          <cell r="F933" t="str">
            <v>M</v>
          </cell>
          <cell r="G933">
            <v>60.71</v>
          </cell>
          <cell r="H933" t="str">
            <v>-</v>
          </cell>
        </row>
        <row r="934">
          <cell r="A934" t="str">
            <v>SC/0105</v>
          </cell>
          <cell r="B934" t="str">
            <v>COMPOSIÇÃO</v>
          </cell>
          <cell r="C934"/>
          <cell r="D934" t="str">
            <v>Tubo aço galvanizado com costura para guarda-corpo, classe leve, DN 50 mm (2"),  DIN 2440 / NBR 5580 classe leve, espessura 3,00 mm, *4,40* kg/m</v>
          </cell>
          <cell r="E934"/>
          <cell r="F934" t="str">
            <v>M</v>
          </cell>
          <cell r="G934">
            <v>79.260000000000005</v>
          </cell>
          <cell r="H934" t="str">
            <v>-</v>
          </cell>
        </row>
        <row r="935">
          <cell r="A935">
            <v>89512</v>
          </cell>
          <cell r="B935" t="str">
            <v>SINAPI</v>
          </cell>
          <cell r="C935"/>
          <cell r="D935" t="str">
            <v>Tubo pvc, série r, água pluvial, diâmetro nominal de 100 mm, fornecido e instalado em ramal de encaminhamento. AF_12/2014</v>
          </cell>
          <cell r="E935"/>
          <cell r="F935" t="str">
            <v>M</v>
          </cell>
          <cell r="G935">
            <v>50.23</v>
          </cell>
          <cell r="H935" t="str">
            <v>-</v>
          </cell>
        </row>
        <row r="936">
          <cell r="A936" t="str">
            <v>SC/0130</v>
          </cell>
          <cell r="B936" t="str">
            <v>COMPOSIÇÃO</v>
          </cell>
          <cell r="C936">
            <v>3.5</v>
          </cell>
          <cell r="D936" t="str">
            <v>Tampão fofo articulado, classe A15, carga máxima 1,5 T, 200 x 200 mm. Incluindo fornecimento, assentamento e requadro com argamassa</v>
          </cell>
          <cell r="E936"/>
          <cell r="F936" t="str">
            <v xml:space="preserve">UN </v>
          </cell>
          <cell r="G936">
            <v>124.08</v>
          </cell>
          <cell r="H936" t="str">
            <v>-</v>
          </cell>
        </row>
        <row r="937">
          <cell r="A937" t="str">
            <v>SC/0135</v>
          </cell>
          <cell r="B937" t="str">
            <v>COMPOSIÇÃO</v>
          </cell>
          <cell r="C937">
            <v>5.8</v>
          </cell>
          <cell r="D937" t="str">
            <v>Tampão fofo simples com base, classe A15, carga máxima 1,5 T, 300 x 300 mm. Incluindo fornecimento, assentamento e requadro com argamassa</v>
          </cell>
          <cell r="E937"/>
          <cell r="F937" t="str">
            <v xml:space="preserve">UN </v>
          </cell>
          <cell r="G937">
            <v>187.43</v>
          </cell>
          <cell r="H937" t="str">
            <v>-</v>
          </cell>
        </row>
        <row r="938">
          <cell r="A938" t="str">
            <v>SC/0140</v>
          </cell>
          <cell r="B938" t="str">
            <v>COMPOSIÇÃO</v>
          </cell>
          <cell r="C938">
            <v>9</v>
          </cell>
          <cell r="D938" t="str">
            <v>Tampão fofo simples com base, classe A15, carga máxima 1,5 T, 400 x 400 mm. Incluindo fornecimento, assentamento e requadro com argamassa</v>
          </cell>
          <cell r="E938"/>
          <cell r="F938" t="str">
            <v xml:space="preserve">UN </v>
          </cell>
          <cell r="G938">
            <v>273.17</v>
          </cell>
          <cell r="H938" t="str">
            <v>-</v>
          </cell>
        </row>
        <row r="939">
          <cell r="A939" t="str">
            <v>SC/0145</v>
          </cell>
          <cell r="B939" t="str">
            <v>COMPOSIÇÃO</v>
          </cell>
          <cell r="C939">
            <v>12</v>
          </cell>
          <cell r="D939" t="str">
            <v>Tampão fofo simples com base, classe A15, carga máxima 1,5 T, 400 x 400 mm. Incluindo fornecimento, assentamento e requadro com argamassa</v>
          </cell>
          <cell r="E939"/>
          <cell r="F939" t="str">
            <v xml:space="preserve">UN </v>
          </cell>
          <cell r="G939">
            <v>279.14999999999998</v>
          </cell>
          <cell r="H939" t="str">
            <v>-</v>
          </cell>
        </row>
        <row r="940">
          <cell r="A940" t="str">
            <v>SC/0150</v>
          </cell>
          <cell r="B940" t="str">
            <v>COMPOSIÇÃO</v>
          </cell>
          <cell r="C940">
            <v>15</v>
          </cell>
          <cell r="D940" t="str">
            <v>Tampão fofo simples com base, classe A15, carga máxima 1,5 T, 400 x 600 mm. Incluindo fornecimento, assentamento e requadro com argamassa</v>
          </cell>
          <cell r="E940"/>
          <cell r="F940" t="str">
            <v xml:space="preserve">UN </v>
          </cell>
          <cell r="G940">
            <v>376.39</v>
          </cell>
          <cell r="H940" t="str">
            <v>-</v>
          </cell>
        </row>
        <row r="941">
          <cell r="A941">
            <v>101798</v>
          </cell>
          <cell r="B941" t="str">
            <v>SINAPI</v>
          </cell>
          <cell r="C941" t="str">
            <v>84798
18 kg/un</v>
          </cell>
          <cell r="D941" t="str">
            <v>Tampão fofo p/ caixa R1 padrão telebrás completo - fornecimento e instalação</v>
          </cell>
          <cell r="E941"/>
          <cell r="F941" t="str">
            <v>UN</v>
          </cell>
          <cell r="G941">
            <v>358.91</v>
          </cell>
          <cell r="H941" t="str">
            <v>-</v>
          </cell>
        </row>
        <row r="942">
          <cell r="A942">
            <v>101799</v>
          </cell>
          <cell r="B942" t="str">
            <v>SINAPI</v>
          </cell>
          <cell r="C942" t="str">
            <v>84796
45,375 kg/un</v>
          </cell>
          <cell r="D942" t="str">
            <v>tampão fofo p/ caixa R2 padrão telebrás completo - fornecimento e instalação</v>
          </cell>
          <cell r="E942"/>
          <cell r="F942" t="str">
            <v>UN</v>
          </cell>
          <cell r="G942">
            <v>877.53</v>
          </cell>
          <cell r="H942" t="str">
            <v>-</v>
          </cell>
        </row>
        <row r="943">
          <cell r="A943" t="str">
            <v>SC/0155</v>
          </cell>
          <cell r="B943" t="str">
            <v>COMPOSIÇÃO</v>
          </cell>
          <cell r="C943"/>
          <cell r="D943" t="str">
            <v>Tampão completo para TIL, em PVC,  DN 100 mm, para rede coletora de esgoto. Incluindo fornecimento, assentamento e requadro com argamassa</v>
          </cell>
          <cell r="E943"/>
          <cell r="F943" t="str">
            <v xml:space="preserve">UN </v>
          </cell>
          <cell r="G943" t="e">
            <v>#N/A</v>
          </cell>
          <cell r="H943" t="str">
            <v>VER COMP</v>
          </cell>
        </row>
        <row r="944">
          <cell r="A944" t="str">
            <v>SC/0160</v>
          </cell>
          <cell r="B944" t="str">
            <v>COMPOSIÇÃO</v>
          </cell>
          <cell r="C944"/>
          <cell r="D944" t="str">
            <v>Tampa de concreto armado para caixa de passeio, na espessura de 5cm (REF. SINAPI COD. 6171)</v>
          </cell>
          <cell r="E944"/>
          <cell r="F944" t="str">
            <v>M2</v>
          </cell>
          <cell r="G944">
            <v>109.01</v>
          </cell>
          <cell r="H944" t="str">
            <v>-</v>
          </cell>
        </row>
        <row r="945">
          <cell r="A945">
            <v>101166</v>
          </cell>
          <cell r="B945" t="str">
            <v>SINAPI</v>
          </cell>
          <cell r="C945">
            <v>95474</v>
          </cell>
          <cell r="D945" t="str">
            <v>Alvenaria de embasamento com bloco estrutural de cerâmica, de 14x19x29cm e argamassa de assentamento com preparo em betoneira. AF_05/2020</v>
          </cell>
          <cell r="E945"/>
          <cell r="F945" t="str">
            <v>M3</v>
          </cell>
          <cell r="G945">
            <v>609.29</v>
          </cell>
          <cell r="H945" t="str">
            <v>-</v>
          </cell>
        </row>
        <row r="946">
          <cell r="A946">
            <v>94964</v>
          </cell>
          <cell r="B946" t="str">
            <v>SINAPI</v>
          </cell>
          <cell r="C946"/>
          <cell r="D946" t="str">
            <v>Concreto FCK = 20MPA, traço 1:2,7:3 (cimento/ areia média/ brita 1) - preparo mecânico com betoneira 400 l. AF_07/2016</v>
          </cell>
          <cell r="E946"/>
          <cell r="F946" t="str">
            <v>M3</v>
          </cell>
          <cell r="G946">
            <v>462.95</v>
          </cell>
          <cell r="H946" t="str">
            <v>-</v>
          </cell>
        </row>
        <row r="947">
          <cell r="A947">
            <v>98524</v>
          </cell>
          <cell r="B947" t="str">
            <v>SINAPI</v>
          </cell>
          <cell r="C947">
            <v>85422</v>
          </cell>
          <cell r="D947" t="str">
            <v>Limpeza manual de vegetação em terreno com enxada. AF_05/2018</v>
          </cell>
          <cell r="E947"/>
          <cell r="F947" t="str">
            <v>M2</v>
          </cell>
          <cell r="G947">
            <v>2.54</v>
          </cell>
          <cell r="H947" t="str">
            <v>-</v>
          </cell>
        </row>
        <row r="948">
          <cell r="A948">
            <v>96542</v>
          </cell>
          <cell r="B948" t="str">
            <v>SINAPI</v>
          </cell>
          <cell r="C948"/>
          <cell r="D948" t="str">
            <v>Fabricação, montagem e desmontagem de fôrma para viga baldrame, em chapa de madeira compensada resinada, e=17 mm, 4 utilizações. AF_06/2017</v>
          </cell>
          <cell r="E948"/>
          <cell r="F948" t="str">
            <v>M2</v>
          </cell>
          <cell r="G948">
            <v>81.41</v>
          </cell>
          <cell r="H948" t="str">
            <v>-</v>
          </cell>
        </row>
        <row r="949">
          <cell r="A949" t="str">
            <v>SC/0210</v>
          </cell>
          <cell r="B949" t="str">
            <v>COMPOSIÇÃO</v>
          </cell>
          <cell r="C949">
            <v>83693</v>
          </cell>
          <cell r="D949" t="str">
            <v>Caiação com fixador de cal. Ref SICRO CÓD  4915723, DB 01-2021</v>
          </cell>
          <cell r="E949"/>
          <cell r="F949" t="str">
            <v>M2</v>
          </cell>
          <cell r="G949">
            <v>3.08</v>
          </cell>
          <cell r="H949" t="str">
            <v>-</v>
          </cell>
        </row>
        <row r="950">
          <cell r="A950">
            <v>102218</v>
          </cell>
          <cell r="B950" t="str">
            <v>SINAPI</v>
          </cell>
          <cell r="C950">
            <v>84659</v>
          </cell>
          <cell r="D950" t="str">
            <v>Pintura esmalte fosco em madeira, duas demãos</v>
          </cell>
          <cell r="E950"/>
          <cell r="F950" t="str">
            <v>M2</v>
          </cell>
          <cell r="G950">
            <v>13.19</v>
          </cell>
          <cell r="H950" t="str">
            <v>-</v>
          </cell>
        </row>
        <row r="951">
          <cell r="A951">
            <v>100749</v>
          </cell>
          <cell r="B951" t="str">
            <v>SINAPI</v>
          </cell>
          <cell r="C951"/>
          <cell r="D951" t="str">
            <v>Pintura com tinta alquídica de acabamento (esmalte sintético fosco) pulverizada sobre superfícies metálicas (exceto perfil) executado em obra (por demão). AF_01/2020</v>
          </cell>
          <cell r="E951"/>
          <cell r="F951" t="str">
            <v>M2</v>
          </cell>
          <cell r="G951">
            <v>19.95</v>
          </cell>
          <cell r="H951" t="str">
            <v>-</v>
          </cell>
        </row>
        <row r="952">
          <cell r="A952">
            <v>100750</v>
          </cell>
          <cell r="B952" t="str">
            <v>SINAPI</v>
          </cell>
          <cell r="C952"/>
          <cell r="D952" t="str">
            <v>Pintura com tinta alquídica de acabamento (esmalte sintético fosco) aplicada a rolo ou pincel sobre superfícies metálicas (exceto perfil) executado em obra (por demão). AF_01/2020</v>
          </cell>
          <cell r="E952"/>
          <cell r="F952" t="str">
            <v>M2</v>
          </cell>
          <cell r="G952">
            <v>19.75</v>
          </cell>
          <cell r="H952" t="str">
            <v>-</v>
          </cell>
        </row>
        <row r="953">
          <cell r="A953">
            <v>88489</v>
          </cell>
          <cell r="B953" t="str">
            <v>SINAPI</v>
          </cell>
          <cell r="C953"/>
          <cell r="D953" t="str">
            <v>APLICAÇÃO MANUAL DE PINTURA COM TINTA LÁTEX ACRÍLICA EM PAREDES, DUAS DEMÃOS. AF_06/2014</v>
          </cell>
          <cell r="E953"/>
          <cell r="F953" t="str">
            <v>M2</v>
          </cell>
          <cell r="G953">
            <v>11.33</v>
          </cell>
          <cell r="H953" t="str">
            <v>-</v>
          </cell>
        </row>
        <row r="954">
          <cell r="A954">
            <v>101190</v>
          </cell>
          <cell r="B954" t="str">
            <v>SINAPI</v>
          </cell>
          <cell r="C954"/>
          <cell r="D954" t="str">
            <v>Cerca com mourões de concreto, reto, h=3,00 m, espaçamento de 2,50 m, cravados 0,5 m, com 4 fios de arame de aço ovalado 15x17 - fornecimento e instalação. AF_05/2020</v>
          </cell>
          <cell r="E954"/>
          <cell r="F954" t="str">
            <v>M</v>
          </cell>
          <cell r="G954">
            <v>57.57</v>
          </cell>
          <cell r="H954" t="str">
            <v>-</v>
          </cell>
        </row>
        <row r="955">
          <cell r="A955">
            <v>101193</v>
          </cell>
          <cell r="B955" t="str">
            <v>SINAPI</v>
          </cell>
          <cell r="C955"/>
          <cell r="D955" t="str">
            <v>Cerca com mourões de concreto, reto, h=2,30 m, espaçamento de 2,50 m, cravados 0,5 m, com 4 fios de arame de aço ovalado 15x17 - fornecimento e instalação. AF_05/2020</v>
          </cell>
          <cell r="E955"/>
          <cell r="F955" t="str">
            <v>M</v>
          </cell>
          <cell r="G955">
            <v>52.32</v>
          </cell>
          <cell r="H955" t="str">
            <v>-</v>
          </cell>
        </row>
        <row r="956">
          <cell r="A956">
            <v>101199</v>
          </cell>
          <cell r="B956" t="str">
            <v>SINAPI</v>
          </cell>
          <cell r="C956"/>
          <cell r="D956" t="str">
            <v>Cerca com mourões de concreto, seção "t" ponta inclinada, 10x10cm, espaçamento de 2,5m, cravados 0,5m, com 11 fios de arame misto - fornecimento e instalação. AF_05/2020</v>
          </cell>
          <cell r="E956"/>
          <cell r="F956" t="str">
            <v>M</v>
          </cell>
          <cell r="G956">
            <v>78.930000000000007</v>
          </cell>
          <cell r="H956" t="str">
            <v>-</v>
          </cell>
        </row>
        <row r="957">
          <cell r="A957">
            <v>102362</v>
          </cell>
          <cell r="B957" t="str">
            <v>SINAPI</v>
          </cell>
          <cell r="C957"/>
          <cell r="D957" t="str">
            <v>Alambrado para quadra poliesportiva, estruturado por tubos de aco galvanizado, (montantes com diametro 2", travessas e escoras com diâmetro 1 ¼), com tela de arame galvanizado, fio 14 bwg e malha quadrada 5x5cm (exceto mureta). AF_03/2021</v>
          </cell>
          <cell r="E957"/>
          <cell r="F957" t="str">
            <v>M2</v>
          </cell>
          <cell r="G957">
            <v>161.53</v>
          </cell>
          <cell r="H957" t="str">
            <v>-</v>
          </cell>
        </row>
        <row r="958">
          <cell r="A958">
            <v>102364</v>
          </cell>
          <cell r="B958" t="str">
            <v>SINAPI</v>
          </cell>
          <cell r="C958"/>
          <cell r="D958" t="str">
            <v>Alambrado para quadra poliesportiva, estruturado por tubos de aco galvanizado, (montantes com diametro 2", travessas e escoras com diâmetro 1 ¼), com tela de arame galvanizado, fio 10 bwg e malha quadrada 5x5cm (exceto mureta). af_03/2021</v>
          </cell>
          <cell r="E958"/>
          <cell r="F958" t="str">
            <v>M2</v>
          </cell>
          <cell r="G958">
            <v>198.45</v>
          </cell>
          <cell r="H958" t="str">
            <v>-</v>
          </cell>
        </row>
        <row r="959">
          <cell r="A959" t="str">
            <v>SC/0110</v>
          </cell>
          <cell r="B959" t="str">
            <v>COMPOSIÇÃO</v>
          </cell>
          <cell r="C959" t="str">
            <v>74142/3
SC/0120</v>
          </cell>
          <cell r="D959" t="str">
            <v>Cerca com mourões de madeira roliça Ø 11cm, espaçamento de 2,00m, altura livre de 1,50m, cravado 0,50m, com 5 fios de arame liso ovalado 15x17, conforme projeto</v>
          </cell>
          <cell r="E959"/>
          <cell r="F959" t="str">
            <v>M</v>
          </cell>
          <cell r="G959">
            <v>34.28</v>
          </cell>
          <cell r="H959" t="str">
            <v>-</v>
          </cell>
        </row>
        <row r="960">
          <cell r="A960" t="str">
            <v>SC/0115</v>
          </cell>
          <cell r="B960" t="str">
            <v>COMPOSIÇÃO</v>
          </cell>
          <cell r="C960" t="str">
            <v>SC/0110</v>
          </cell>
          <cell r="D960" t="str">
            <v>Alambrado com tela de aço galvanizado, fio 14, malha 1½" , três fios de arame liso, poste curvo de concreto com altura livre de 1,80m, mureta de alvenaria com altura de 30cm, conforme projeto</v>
          </cell>
          <cell r="E960"/>
          <cell r="F960" t="str">
            <v>M</v>
          </cell>
          <cell r="G960">
            <v>199.79</v>
          </cell>
          <cell r="H960" t="str">
            <v>-</v>
          </cell>
        </row>
        <row r="961">
          <cell r="A961" t="str">
            <v>SC/0120</v>
          </cell>
          <cell r="B961" t="str">
            <v>COMPOSIÇÃO</v>
          </cell>
          <cell r="C961" t="str">
            <v>SC/0125</v>
          </cell>
          <cell r="D961" t="str">
            <v>Portão para veículos em tela arame galvanizado n.12 malha 2" e moldura em tubos de aco com duas folhas de abrir, incluso ferragens (REF. SINAPI COD. 74238/2 - Descontinuado)</v>
          </cell>
          <cell r="E961"/>
          <cell r="F961" t="str">
            <v>M2</v>
          </cell>
          <cell r="G961">
            <v>975.13</v>
          </cell>
          <cell r="H961" t="str">
            <v>-</v>
          </cell>
        </row>
        <row r="962">
          <cell r="A962" t="str">
            <v>SC/0125</v>
          </cell>
          <cell r="B962" t="str">
            <v>COMPOSIÇÃO</v>
          </cell>
          <cell r="C962" t="str">
            <v>SC/0130</v>
          </cell>
          <cell r="D962" t="str">
            <v>Orla de madeira de 2,5 x 5 cm, para grama, fornecimento e aplicação em áreas inclinadas</v>
          </cell>
          <cell r="E962"/>
          <cell r="F962" t="str">
            <v>M</v>
          </cell>
          <cell r="G962">
            <v>10.61</v>
          </cell>
          <cell r="H962" t="str">
            <v>-</v>
          </cell>
        </row>
        <row r="963">
          <cell r="A963" t="str">
            <v>SC/0200</v>
          </cell>
          <cell r="B963" t="str">
            <v>COMPOSIÇÃO</v>
          </cell>
          <cell r="C963" t="str">
            <v>SC/0130</v>
          </cell>
          <cell r="D963" t="str">
            <v>Meio fio de concreto - MFC 03 - areia e brita comerciais - fôrma de madeira.Ref SICRO CÓD  2003373, DB 07-2020</v>
          </cell>
          <cell r="E963"/>
          <cell r="F963" t="str">
            <v>M</v>
          </cell>
          <cell r="G963">
            <v>38.409999999999997</v>
          </cell>
          <cell r="H963" t="str">
            <v>-</v>
          </cell>
        </row>
        <row r="964">
          <cell r="A964" t="str">
            <v>SC/0205</v>
          </cell>
          <cell r="B964" t="str">
            <v>COMPOSIÇÃO</v>
          </cell>
          <cell r="C964" t="str">
            <v>SC/0205</v>
          </cell>
          <cell r="D964" t="str">
            <v>Enchimento de junta de concreto com argamassa asfáltica de densidade 1.700 kg/m³ - espessura de 1 cm.Ref SICRO CÓD  2003842, DB 07-2020</v>
          </cell>
          <cell r="E964"/>
          <cell r="F964" t="str">
            <v>KG</v>
          </cell>
          <cell r="G964">
            <v>83.95</v>
          </cell>
          <cell r="H964" t="str">
            <v>-</v>
          </cell>
        </row>
        <row r="965">
          <cell r="A965" t="str">
            <v>SC/0210</v>
          </cell>
          <cell r="B965" t="str">
            <v>COMPOSIÇÃO</v>
          </cell>
          <cell r="C965" t="str">
            <v>SC/0210</v>
          </cell>
          <cell r="D965" t="str">
            <v>Caiação com fixador de cal. Ref SICRO CÓD  4915723, DB 01-2021</v>
          </cell>
          <cell r="E965"/>
          <cell r="F965" t="str">
            <v>M2</v>
          </cell>
          <cell r="G965">
            <v>3.08</v>
          </cell>
          <cell r="H965" t="str">
            <v>-</v>
          </cell>
        </row>
        <row r="966">
          <cell r="A966" t="str">
            <v>SC/0220</v>
          </cell>
          <cell r="B966" t="str">
            <v>COMPOSIÇÃO</v>
          </cell>
          <cell r="C966" t="str">
            <v>SC/0220</v>
          </cell>
          <cell r="D966" t="str">
            <v>Balizador de concreto - areia e brita comerciais - fornecimento e implantação. Ref SICRO CÓD  5213368, DB 01-2021</v>
          </cell>
          <cell r="E966"/>
          <cell r="F966" t="str">
            <v>UN</v>
          </cell>
          <cell r="G966">
            <v>24.72</v>
          </cell>
          <cell r="H966" t="str">
            <v>-</v>
          </cell>
        </row>
        <row r="967">
          <cell r="A967" t="str">
            <v>SC/0230</v>
          </cell>
          <cell r="B967" t="str">
            <v>COMPOSIÇÃO</v>
          </cell>
          <cell r="C967" t="str">
            <v>SC/0230</v>
          </cell>
          <cell r="D967" t="str">
            <v>Fabricação de balizador de concreto - seção circular de 10 cm - areia e brita comerciais. Ref SICRO CÓD  5216116, DB 01-2021</v>
          </cell>
          <cell r="E967"/>
          <cell r="F967" t="str">
            <v>UN</v>
          </cell>
          <cell r="G967">
            <v>13.82</v>
          </cell>
          <cell r="H967" t="str">
            <v>-</v>
          </cell>
        </row>
        <row r="968">
          <cell r="A968" t="str">
            <v>SC/0240</v>
          </cell>
          <cell r="B968" t="str">
            <v>COMPOSIÇÃO</v>
          </cell>
          <cell r="C968" t="str">
            <v>SC/0230</v>
          </cell>
          <cell r="D968" t="str">
            <v>Barreira simples de concreto, não armada, moldada no local (perfil New Jersey) - H = 810 + 100 mm. Ref SICRO CÓD  3713617, DB 01-2021</v>
          </cell>
          <cell r="E968"/>
          <cell r="F968" t="str">
            <v>M</v>
          </cell>
          <cell r="G968">
            <v>218.15</v>
          </cell>
          <cell r="H968" t="str">
            <v>-</v>
          </cell>
        </row>
        <row r="969">
          <cell r="A969" t="str">
            <v>SC/0250</v>
          </cell>
          <cell r="B969" t="str">
            <v>COMPOSIÇÃO</v>
          </cell>
          <cell r="C969" t="str">
            <v>SC/0230</v>
          </cell>
          <cell r="D969" t="str">
            <v>Hidrossemeadura. Ref SICRO CÓD  4413905, DB 04-2021</v>
          </cell>
          <cell r="E969"/>
          <cell r="F969" t="str">
            <v>M2</v>
          </cell>
          <cell r="G969">
            <v>6.55</v>
          </cell>
          <cell r="H969" t="str">
            <v>-</v>
          </cell>
        </row>
        <row r="970">
          <cell r="A970" t="str">
            <v>SC/0260</v>
          </cell>
          <cell r="B970" t="str">
            <v>COMPOSIÇÃO</v>
          </cell>
          <cell r="C970" t="str">
            <v>SC/0230</v>
          </cell>
          <cell r="D970" t="str">
            <v>Banco concreto armado pré moldado, acabamento com silicone, dimensões 120x50x45cm, apoiado em bloco de concreto moldado in loco à 5 cm acima do nível do piso intertravado, com pintura na parte externa em tinta acrílica para piso acabamento fosco, cor preta, dimensões 110x40x11cm</v>
          </cell>
          <cell r="E970"/>
          <cell r="F970" t="str">
            <v>UN</v>
          </cell>
          <cell r="G970">
            <v>612.55999999999995</v>
          </cell>
          <cell r="H970" t="str">
            <v>-</v>
          </cell>
        </row>
        <row r="971">
          <cell r="A971" t="str">
            <v>SC/0270</v>
          </cell>
          <cell r="B971" t="str">
            <v>COMPOSIÇÃO</v>
          </cell>
          <cell r="C971" t="str">
            <v>SC/0230</v>
          </cell>
          <cell r="D971" t="str">
            <v>Floreira concreto armado 60x60x70cm, apoiado no pavimento e paredes e fundo interno com 3 demãos de impermeabilizante base cimento polimerico inclusive dreno com brita</v>
          </cell>
          <cell r="E971"/>
          <cell r="F971" t="str">
            <v>UN</v>
          </cell>
          <cell r="G971">
            <v>683.78</v>
          </cell>
          <cell r="H971" t="str">
            <v>-</v>
          </cell>
        </row>
        <row r="972">
          <cell r="A972"/>
          <cell r="B972"/>
          <cell r="C972"/>
          <cell r="D972"/>
          <cell r="E972"/>
          <cell r="F972"/>
          <cell r="G972"/>
          <cell r="H972"/>
        </row>
        <row r="973">
          <cell r="A973"/>
          <cell r="B973"/>
          <cell r="C973" t="str">
            <v>12.0</v>
          </cell>
          <cell r="D973" t="str">
            <v>DRENAGEM DE LENÇOL FREÁTICO</v>
          </cell>
          <cell r="E973"/>
          <cell r="F973"/>
          <cell r="G973"/>
          <cell r="H973" t="str">
            <v/>
          </cell>
        </row>
        <row r="974">
          <cell r="A974"/>
          <cell r="B974" t="str">
            <v>REPETIDO</v>
          </cell>
          <cell r="C974">
            <v>101570</v>
          </cell>
          <cell r="D974" t="str">
            <v>Escoramento de vala, tipo pontaleteamento, com profundidade de 0,00 a 1,50 m, largura menor que 1,50 m. AF_08/2020</v>
          </cell>
          <cell r="E974"/>
          <cell r="F974" t="str">
            <v>-</v>
          </cell>
          <cell r="G974" t="str">
            <v>-</v>
          </cell>
          <cell r="H974" t="str">
            <v/>
          </cell>
        </row>
        <row r="975">
          <cell r="A975"/>
          <cell r="B975" t="str">
            <v>REPETIDO</v>
          </cell>
          <cell r="C975" t="str">
            <v>90106
14,99 m3/h</v>
          </cell>
          <cell r="D975" t="str">
            <v>Escavação mecanizada de vala com profundidade até 1,50 m (média entre montante e jusante/uma composição por trecho), com retroescavadeira (0,26 m3/88 HP), largura de 0,80 m a 1,50 m, em solo de 1a categoria, em locais com baixo nível de interferência. AF_01/2015</v>
          </cell>
          <cell r="E975"/>
          <cell r="F975" t="str">
            <v>-</v>
          </cell>
          <cell r="G975" t="str">
            <v>-</v>
          </cell>
          <cell r="H975" t="str">
            <v/>
          </cell>
        </row>
        <row r="976">
          <cell r="A976" t="str">
            <v>LF/0005</v>
          </cell>
          <cell r="B976" t="str">
            <v>COMPOSIÇÃO</v>
          </cell>
          <cell r="C976">
            <v>2.33</v>
          </cell>
          <cell r="D976" t="str">
            <v>Escavação mecânica de vala para drenagem com mimiescavadeira em material de 1a categoria (REF. SINAPI COD. 96525)</v>
          </cell>
          <cell r="E976"/>
          <cell r="F976" t="str">
            <v>M3</v>
          </cell>
          <cell r="G976">
            <v>41.91</v>
          </cell>
          <cell r="H976" t="str">
            <v>-</v>
          </cell>
        </row>
        <row r="977">
          <cell r="A977" t="str">
            <v>DR/0050</v>
          </cell>
          <cell r="B977" t="str">
            <v>COMPOSIÇÃO</v>
          </cell>
          <cell r="C977"/>
          <cell r="D977" t="str">
            <v>Esgotamento de água com bomba submersa (REF. SICRO COD. 2003864)</v>
          </cell>
          <cell r="E977"/>
          <cell r="F977" t="str">
            <v>H</v>
          </cell>
          <cell r="G977">
            <v>21.96</v>
          </cell>
          <cell r="H977" t="str">
            <v>-</v>
          </cell>
        </row>
        <row r="978">
          <cell r="A978"/>
          <cell r="B978" t="str">
            <v>REPETIDO</v>
          </cell>
          <cell r="C978">
            <v>93382</v>
          </cell>
          <cell r="D978" t="str">
            <v>Reaterro manual de valas com compactação mecanizada. AF_04/2016</v>
          </cell>
          <cell r="E978"/>
          <cell r="F978" t="str">
            <v>-</v>
          </cell>
          <cell r="G978" t="str">
            <v>-</v>
          </cell>
          <cell r="H978" t="str">
            <v/>
          </cell>
        </row>
        <row r="979">
          <cell r="A979" t="str">
            <v>LF/0006</v>
          </cell>
          <cell r="B979" t="str">
            <v>CRIAR COMPOSIÇÃO</v>
          </cell>
          <cell r="C979" t="str">
            <v>73883/1</v>
          </cell>
          <cell r="D979" t="str">
            <v>Execução de dreno francês (vertical) com areia média. Exclusive transporte da areia  e bota-fora</v>
          </cell>
          <cell r="E979"/>
          <cell r="F979" t="str">
            <v>-</v>
          </cell>
          <cell r="G979" t="str">
            <v>-</v>
          </cell>
          <cell r="H979" t="str">
            <v>-</v>
          </cell>
        </row>
        <row r="980">
          <cell r="A980" t="str">
            <v>73883/2</v>
          </cell>
          <cell r="B980" t="str">
            <v>SINAPI</v>
          </cell>
          <cell r="C980"/>
          <cell r="D980" t="str">
            <v>VERIFICAR CÓDIGOS:  102670 a 102697. Execução de dreno francês com brita num 2</v>
          </cell>
          <cell r="E980"/>
          <cell r="F980" t="e">
            <v>#N/A</v>
          </cell>
          <cell r="G980" t="e">
            <v>#N/A</v>
          </cell>
          <cell r="H980" t="str">
            <v>VER COMP</v>
          </cell>
        </row>
        <row r="981">
          <cell r="A981" t="str">
            <v>73881/1</v>
          </cell>
          <cell r="B981" t="str">
            <v>SINAPI</v>
          </cell>
          <cell r="C981"/>
          <cell r="D981" t="str">
            <v>VERIFICAR CÓDIGOS: 102712, 10713, 102715. Execução de dreno com manta geotêxtil 200 g/m2</v>
          </cell>
          <cell r="E981" t="str">
            <v>200 g/m²</v>
          </cell>
          <cell r="F981" t="e">
            <v>#N/A</v>
          </cell>
          <cell r="G981" t="e">
            <v>#N/A</v>
          </cell>
          <cell r="H981" t="str">
            <v>VER COMP</v>
          </cell>
        </row>
        <row r="982">
          <cell r="A982">
            <v>44507</v>
          </cell>
          <cell r="B982" t="str">
            <v>SINAPI</v>
          </cell>
          <cell r="C982">
            <v>25863</v>
          </cell>
          <cell r="D982" t="str">
            <v>Manta termoplastica, PEAD, geomembrana lisa, e = 1,00 mm ( NBR 15352)</v>
          </cell>
          <cell r="E982" t="str">
            <v>200 g/m²</v>
          </cell>
          <cell r="F982" t="str">
            <v xml:space="preserve">M2    </v>
          </cell>
          <cell r="G982">
            <v>28.23</v>
          </cell>
          <cell r="H982" t="str">
            <v>-</v>
          </cell>
        </row>
        <row r="983">
          <cell r="A983" t="str">
            <v>LF/0007</v>
          </cell>
          <cell r="B983" t="str">
            <v>COMPOSIÇÃO</v>
          </cell>
          <cell r="C983">
            <v>88549</v>
          </cell>
          <cell r="D983" t="str">
            <v>Brita n. 2 para dreno, lançamento manual, em local com nível baixo de interferência. Fornecimento, exclusive transporte</v>
          </cell>
          <cell r="E983"/>
          <cell r="F983" t="str">
            <v>M3</v>
          </cell>
          <cell r="G983">
            <v>172.32</v>
          </cell>
          <cell r="H983" t="str">
            <v>-</v>
          </cell>
        </row>
        <row r="984">
          <cell r="A984" t="str">
            <v>LF/0008</v>
          </cell>
          <cell r="B984" t="str">
            <v>COMPOSIÇÃO</v>
          </cell>
          <cell r="C984">
            <v>83680</v>
          </cell>
          <cell r="D984" t="str">
            <v>Barbacã em tubo de PVC diâmetro nominal de 75 mm (3"), incluindo material drenante. Exclusive transporte da pedra</v>
          </cell>
          <cell r="E984"/>
          <cell r="F984" t="str">
            <v>M</v>
          </cell>
          <cell r="G984">
            <v>26.54</v>
          </cell>
          <cell r="H984" t="str">
            <v>-</v>
          </cell>
        </row>
        <row r="985">
          <cell r="A985" t="str">
            <v>LF/0010</v>
          </cell>
          <cell r="B985" t="str">
            <v>COMPOSIÇÃO</v>
          </cell>
          <cell r="C985">
            <v>16.600000000000001</v>
          </cell>
          <cell r="D985" t="str">
            <v>Dreno sub-horizontal profundo, incluindo tubo de PVC soldável DN 50 mm, perfuração sub-horizontal, geossintético RT-14</v>
          </cell>
          <cell r="E985"/>
          <cell r="F985" t="str">
            <v>M</v>
          </cell>
          <cell r="G985">
            <v>121.16</v>
          </cell>
          <cell r="H985" t="str">
            <v>-</v>
          </cell>
        </row>
        <row r="986">
          <cell r="A986" t="str">
            <v>LF/0015</v>
          </cell>
          <cell r="B986" t="str">
            <v>COMPOSIÇÃO</v>
          </cell>
          <cell r="C986">
            <v>173</v>
          </cell>
          <cell r="D986" t="str">
            <v>Dreno longitudinal de pavimento, Tipo GH040, altura 0,40 m, com brita (20x20cm), geocomposto drenante e tubo PEAD corrugado perfurado DN 100 mm, inclusive escavação e reaterro (REF. SICRO COD. 2004509)</v>
          </cell>
          <cell r="E986"/>
          <cell r="F986" t="str">
            <v>M</v>
          </cell>
          <cell r="G986">
            <v>35.090000000000003</v>
          </cell>
          <cell r="H986" t="str">
            <v>-</v>
          </cell>
        </row>
        <row r="987">
          <cell r="A987" t="str">
            <v>LF/0020</v>
          </cell>
          <cell r="B987" t="str">
            <v>COMPOSIÇÃO</v>
          </cell>
          <cell r="C987">
            <v>132</v>
          </cell>
          <cell r="D987" t="str">
            <v>Dreno longitudinal de pavimento, Tipo GH100, altura 1,00 m, com brita (20x20cm), geocomposto drenante e tubo PEAD corrugado perfurado DN 100 mm, inclusive escavação e reaterro (REF. SICRO COD. 2004511)</v>
          </cell>
          <cell r="E987"/>
          <cell r="F987" t="str">
            <v>M</v>
          </cell>
          <cell r="G987">
            <v>61.11</v>
          </cell>
          <cell r="H987" t="str">
            <v>-</v>
          </cell>
        </row>
        <row r="988">
          <cell r="A988" t="str">
            <v>LF/0025</v>
          </cell>
          <cell r="B988" t="str">
            <v>COMPOSIÇÃO</v>
          </cell>
          <cell r="C988">
            <v>113</v>
          </cell>
          <cell r="D988" t="str">
            <v>Dreno longitudinal de pavimento, Tipo GH150, altura 1,50 m, com brita (20x20cm), geocomposto drenante e tubo PEAD corrugado perfurado DN 100 mm, inclusive escavação e reaterro (REF. SICRO COD. 2004512)</v>
          </cell>
          <cell r="E988"/>
          <cell r="F988" t="str">
            <v>M</v>
          </cell>
          <cell r="G988">
            <v>82.76</v>
          </cell>
          <cell r="H988" t="str">
            <v>-</v>
          </cell>
        </row>
        <row r="989">
          <cell r="A989" t="str">
            <v>LF/0030</v>
          </cell>
          <cell r="B989" t="str">
            <v>COMPOSIÇÃO</v>
          </cell>
          <cell r="C989">
            <v>29.98</v>
          </cell>
          <cell r="D989" t="str">
            <v>Dreno francês de lençol freático, Tipo FH100, com tubo PEAD Ø 100mm e brita (50x50cm), incluindo escavação (h=100cm), reaterro e geotextil RT-09. Exclusive transporte e bota-fora</v>
          </cell>
          <cell r="E989"/>
          <cell r="F989" t="str">
            <v>M</v>
          </cell>
          <cell r="G989">
            <v>98.66</v>
          </cell>
          <cell r="H989" t="str">
            <v>-</v>
          </cell>
        </row>
        <row r="990">
          <cell r="A990" t="str">
            <v>LF/0035</v>
          </cell>
          <cell r="B990" t="str">
            <v>COMPOSIÇÃO</v>
          </cell>
          <cell r="C990">
            <v>19.989999999999998</v>
          </cell>
          <cell r="D990" t="str">
            <v>Dreno francês de lençol freático, Tipo FH150, com tubo PEAD Ø 150mm e brita (50x100cm), incluindo escavação (h=150cm), reaterro e geotextil RT-09. Exclusive transporte e bota-fora</v>
          </cell>
          <cell r="E990"/>
          <cell r="F990" t="str">
            <v>M</v>
          </cell>
          <cell r="G990">
            <v>173.89</v>
          </cell>
          <cell r="H990" t="str">
            <v>-</v>
          </cell>
        </row>
        <row r="991">
          <cell r="A991" t="str">
            <v>LF/0040</v>
          </cell>
          <cell r="B991" t="str">
            <v>COMPOSIÇÃO</v>
          </cell>
          <cell r="C991">
            <v>83651</v>
          </cell>
          <cell r="D991" t="str">
            <v>Tubo dreno, corrugado, espiralado, flexível, perfurado, em polietileno de alta densidade (PEAD), DN 100 mm para drenagem – fornecimento e assentamento em vala</v>
          </cell>
          <cell r="E991"/>
          <cell r="F991" t="str">
            <v>M</v>
          </cell>
          <cell r="G991">
            <v>29.96</v>
          </cell>
          <cell r="H991" t="str">
            <v>-</v>
          </cell>
        </row>
        <row r="992">
          <cell r="A992" t="str">
            <v>LF/0045</v>
          </cell>
          <cell r="B992" t="str">
            <v>COMPOSIÇÃO</v>
          </cell>
          <cell r="C992" t="str">
            <v>75029/1</v>
          </cell>
          <cell r="D992" t="str">
            <v>Tubo dreno, corrugado, espiralado, flexível, perfurado, em polietileno de alta densidade (PEAD), DN 150 mm para drenagem – fornecimento e assentamento em vala</v>
          </cell>
          <cell r="E992"/>
          <cell r="F992" t="str">
            <v>M</v>
          </cell>
          <cell r="G992">
            <v>42.67</v>
          </cell>
          <cell r="H992" t="str">
            <v>-</v>
          </cell>
        </row>
        <row r="993">
          <cell r="A993">
            <v>38052</v>
          </cell>
          <cell r="B993" t="str">
            <v>COTAÇÃO - SINAPI</v>
          </cell>
          <cell r="C993">
            <v>9833</v>
          </cell>
          <cell r="D993" t="str">
            <v>Tubo dreno, corrugado, espiralado, flexivel, perfurado, em polietileno de alta densidade (PEAD), DN 100 mm, (4") para drenagem - em rolo (norma DNIT 093/2006 - E.M)</v>
          </cell>
          <cell r="E993"/>
          <cell r="F993" t="str">
            <v xml:space="preserve">M     </v>
          </cell>
          <cell r="G993">
            <v>11.93</v>
          </cell>
          <cell r="H993" t="str">
            <v>-</v>
          </cell>
        </row>
        <row r="994">
          <cell r="A994">
            <v>38053</v>
          </cell>
          <cell r="B994" t="str">
            <v>COTAÇÃO - SINAPI</v>
          </cell>
          <cell r="C994">
            <v>9834</v>
          </cell>
          <cell r="D994" t="str">
            <v>Tubo dreno, corrugado, espiralado, flexivel, perfurado, em polietileno de alta densidade (PEAD), DN *160* mm, (6") para drenagem - em barra (norma DNIT 093/2006 - E.M.)</v>
          </cell>
          <cell r="E994"/>
          <cell r="F994" t="str">
            <v xml:space="preserve">M     </v>
          </cell>
          <cell r="G994">
            <v>24.64</v>
          </cell>
          <cell r="H994" t="str">
            <v>-</v>
          </cell>
        </row>
        <row r="995">
          <cell r="A995">
            <v>89578</v>
          </cell>
          <cell r="B995" t="str">
            <v>SINAPI</v>
          </cell>
          <cell r="C995"/>
          <cell r="D995" t="str">
            <v>Tubo pvc, série R4, água pluvial, diâmetro nominal de 100 mm, fornecido e instalado em condutores verticais de águas pluviais. AF_12/2014</v>
          </cell>
          <cell r="E995"/>
          <cell r="F995" t="str">
            <v>M</v>
          </cell>
          <cell r="G995">
            <v>37.93</v>
          </cell>
          <cell r="H995" t="str">
            <v>-</v>
          </cell>
        </row>
        <row r="996">
          <cell r="A996">
            <v>89580</v>
          </cell>
          <cell r="B996" t="str">
            <v>SINAPI</v>
          </cell>
          <cell r="C996"/>
          <cell r="D996" t="str">
            <v>Tubo PVC, série R, água pluvial, diâmetro nominal de 150 mm, fornecido e instalado em condutores verticais de águas pluviais. AF_12/2014</v>
          </cell>
          <cell r="E996"/>
          <cell r="F996" t="str">
            <v>M</v>
          </cell>
          <cell r="G996">
            <v>79</v>
          </cell>
          <cell r="H996" t="str">
            <v>-</v>
          </cell>
        </row>
        <row r="997">
          <cell r="A997">
            <v>89571</v>
          </cell>
          <cell r="B997" t="str">
            <v>SINAPI</v>
          </cell>
          <cell r="C997"/>
          <cell r="D997" t="str">
            <v>Tê, PVC, serie R, água pluvial, diâmetro nominal de 100 x 100 mm, junta elástica, fornecido e instalado em ramal de encaminhamento. AF_12/2014</v>
          </cell>
          <cell r="E997"/>
          <cell r="F997" t="str">
            <v>UN</v>
          </cell>
          <cell r="G997">
            <v>74.91</v>
          </cell>
          <cell r="H997" t="str">
            <v>-</v>
          </cell>
        </row>
        <row r="998">
          <cell r="A998">
            <v>89704</v>
          </cell>
          <cell r="B998" t="str">
            <v>SINAPI</v>
          </cell>
          <cell r="C998"/>
          <cell r="D998" t="str">
            <v>Tê, PVC, serie R, água pluvial, diâmetro nominal de 150 x 100 mm, junta elástica, fornecido e instalado em condutores verticais de águas pluviais. AF_12/2014</v>
          </cell>
          <cell r="E998"/>
          <cell r="F998" t="str">
            <v>UN</v>
          </cell>
          <cell r="G998">
            <v>159.51</v>
          </cell>
          <cell r="H998" t="str">
            <v>-</v>
          </cell>
        </row>
        <row r="999">
          <cell r="A999"/>
          <cell r="B999"/>
          <cell r="C999"/>
          <cell r="D999"/>
          <cell r="E999"/>
          <cell r="F999"/>
          <cell r="G999"/>
          <cell r="H999"/>
        </row>
        <row r="1000">
          <cell r="A1000"/>
          <cell r="B1000"/>
          <cell r="C1000" t="str">
            <v>13.0</v>
          </cell>
          <cell r="D1000" t="str">
            <v>SINALIZAÇÃO VIÁRIA DEFINITIVA</v>
          </cell>
          <cell r="E1000"/>
          <cell r="F1000"/>
          <cell r="G1000"/>
          <cell r="H1000" t="str">
            <v/>
          </cell>
        </row>
        <row r="1001">
          <cell r="A1001" t="str">
            <v>SV/0005</v>
          </cell>
          <cell r="B1001" t="str">
            <v>COMPOSIÇÃO</v>
          </cell>
          <cell r="C1001"/>
          <cell r="D1001" t="str">
            <v>Pintura de faixas de pedestres e retenção e de zebrados - termoplástico por extrusão - espessura de 3,0 mm (REF. SICRO COD. 5213408 e 5213409)</v>
          </cell>
          <cell r="E1001"/>
          <cell r="F1001" t="str">
            <v>M2</v>
          </cell>
          <cell r="G1001">
            <v>85.2</v>
          </cell>
          <cell r="H1001" t="str">
            <v>-</v>
          </cell>
        </row>
        <row r="1002">
          <cell r="A1002" t="str">
            <v>SV/0010</v>
          </cell>
          <cell r="B1002" t="str">
            <v>COMPOSIÇÃO</v>
          </cell>
          <cell r="C1002"/>
          <cell r="D1002" t="str">
            <v>Pintura de setas e legendas - termoplástico por extrusão - espessura de 3,0 mm (REF. SICRO COD. 5213409, DB 04-21)</v>
          </cell>
          <cell r="E1002"/>
          <cell r="F1002" t="str">
            <v>M2</v>
          </cell>
          <cell r="G1002">
            <v>96.66</v>
          </cell>
          <cell r="H1002" t="str">
            <v>-</v>
          </cell>
        </row>
        <row r="1003">
          <cell r="A1003" t="str">
            <v>SV/0012</v>
          </cell>
          <cell r="B1003" t="str">
            <v>COMPOSIÇÃO</v>
          </cell>
          <cell r="C1003"/>
          <cell r="D1003" t="str">
            <v>Pintura de setas e legendas - tinta base acrílica emulsionada em água - espessura de 0,5 mm (REF. SICRO COD. 5213407, DB 04-21)</v>
          </cell>
          <cell r="E1003" t="str">
            <v>ATENÇÃO
indicado para as
cidades do interior</v>
          </cell>
          <cell r="F1003" t="str">
            <v>M2</v>
          </cell>
          <cell r="G1003">
            <v>36.619999999999997</v>
          </cell>
          <cell r="H1003" t="str">
            <v>-</v>
          </cell>
        </row>
        <row r="1004">
          <cell r="A1004" t="str">
            <v>SV/0015</v>
          </cell>
          <cell r="B1004" t="str">
            <v>COMPOSIÇÃO</v>
          </cell>
          <cell r="C1004"/>
          <cell r="D1004" t="str">
            <v>Pintura de faixa - termoplástico por aspersão Hot Spray - espessura de 1,5 mm (REF. SICRO COD. 5213408, DB 04-21)</v>
          </cell>
          <cell r="E1004"/>
          <cell r="F1004" t="str">
            <v>M2</v>
          </cell>
          <cell r="G1004">
            <v>50.05</v>
          </cell>
          <cell r="H1004" t="str">
            <v>-</v>
          </cell>
        </row>
        <row r="1005">
          <cell r="A1005" t="str">
            <v>SV/0020</v>
          </cell>
          <cell r="B1005" t="str">
            <v>COMPOSIÇÃO</v>
          </cell>
          <cell r="C1005"/>
          <cell r="D1005" t="str">
            <v>Pintura de faixa - termoplástico em alto relevo tipo II - relevo simples ranhurado - base (REF. SICRO COD. 5214004, DB 04-21)</v>
          </cell>
          <cell r="E1005"/>
          <cell r="F1005" t="str">
            <v>M2</v>
          </cell>
          <cell r="G1005">
            <v>171.5</v>
          </cell>
          <cell r="H1005" t="str">
            <v>-</v>
          </cell>
        </row>
        <row r="1006">
          <cell r="A1006" t="str">
            <v>SV/0025</v>
          </cell>
          <cell r="B1006" t="str">
            <v>COMPOSIÇÃO</v>
          </cell>
          <cell r="C1006"/>
          <cell r="D1006" t="str">
            <v>Pintura de piso para ciclofaixa - plástico a frio bicomponente à base de resinas metacrílicas - espessura de 1,5 mm - plano (REF. SICRO COD. 5214009, DB 04-21)</v>
          </cell>
          <cell r="E1006"/>
          <cell r="F1006" t="str">
            <v>M2</v>
          </cell>
          <cell r="G1006">
            <v>113.79</v>
          </cell>
          <cell r="H1006" t="str">
            <v>-</v>
          </cell>
        </row>
        <row r="1007">
          <cell r="A1007" t="str">
            <v>SV/0030</v>
          </cell>
          <cell r="B1007" t="str">
            <v>COMPOSIÇÃO</v>
          </cell>
          <cell r="C1007"/>
          <cell r="D1007" t="str">
            <v>Pintura de faixa para ciclovia - tinta base acrílica emulsionada em água - espessura de 0,3 mm (REF. SICRO COD. 5214001, DB 04-21)</v>
          </cell>
          <cell r="E1007"/>
          <cell r="F1007" t="str">
            <v>M2</v>
          </cell>
          <cell r="G1007">
            <v>14.87</v>
          </cell>
          <cell r="H1007" t="str">
            <v>-</v>
          </cell>
        </row>
        <row r="1008">
          <cell r="A1008" t="str">
            <v>SV/0035</v>
          </cell>
          <cell r="B1008" t="str">
            <v>COMPOSIÇÃO</v>
          </cell>
          <cell r="C1008"/>
          <cell r="D1008" t="str">
            <v>Pintura de piso de ciclovia - tinta base acrílica emulsionada em água - espessura de 0,3 mm (REF. SICRO COD. 5214002, DB 04-21)</v>
          </cell>
          <cell r="E1008"/>
          <cell r="F1008" t="str">
            <v>M2</v>
          </cell>
          <cell r="G1008">
            <v>31.52</v>
          </cell>
          <cell r="H1008" t="str">
            <v>-</v>
          </cell>
        </row>
        <row r="1009">
          <cell r="A1009" t="str">
            <v>SV/0037</v>
          </cell>
          <cell r="B1009" t="str">
            <v>COMPOSIÇÃO</v>
          </cell>
          <cell r="C1009"/>
          <cell r="D1009" t="str">
            <v>Pintura de faixa - tinta base acrílica emulsionada em água - espessura de 0,5 mm (REF. SICRO COD. 5213403, DB 04-21)</v>
          </cell>
          <cell r="E1009" t="str">
            <v>ATENÇÃO
indicado para as
cidades do interior</v>
          </cell>
          <cell r="F1009" t="str">
            <v>M2</v>
          </cell>
          <cell r="G1009">
            <v>20.49</v>
          </cell>
          <cell r="H1009" t="str">
            <v>-</v>
          </cell>
        </row>
        <row r="1010">
          <cell r="A1010" t="str">
            <v>SV/0040</v>
          </cell>
          <cell r="B1010" t="str">
            <v>COMPOSIÇÃO</v>
          </cell>
          <cell r="C1010"/>
          <cell r="D1010" t="str">
            <v>Laminado elastoplástico para legendas, com 1,5mm de espessura e com medidas diversas, em cores, com micro-esferas de vidro. Em projetos que utilizem entre 150 e 500m2 do material. Fornecimento e aplicação (REF. SCO/RJ COD. ST 75.15.0050)</v>
          </cell>
          <cell r="E1010"/>
          <cell r="F1010" t="str">
            <v>M2</v>
          </cell>
          <cell r="G1010">
            <v>365.92</v>
          </cell>
          <cell r="H1010" t="str">
            <v>-</v>
          </cell>
        </row>
        <row r="1011">
          <cell r="A1011" t="str">
            <v>SV/0045</v>
          </cell>
          <cell r="B1011" t="str">
            <v>COMPOSIÇÃO</v>
          </cell>
          <cell r="C1011"/>
          <cell r="D1011" t="str">
    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    </cell>
          <cell r="E1011"/>
          <cell r="F1011" t="str">
            <v>M2</v>
          </cell>
          <cell r="G1011">
            <v>28.5</v>
          </cell>
          <cell r="H1011" t="str">
            <v>-</v>
          </cell>
        </row>
        <row r="1012">
          <cell r="A1012" t="str">
            <v>SV/0050</v>
          </cell>
          <cell r="B1012" t="str">
            <v>COMPOSIÇÃO</v>
          </cell>
          <cell r="C1012"/>
          <cell r="D1012" t="str">
            <v>Retirada de pintura a base de resina acrilica (CET-RIO COD. ST 74.05.0550)</v>
          </cell>
          <cell r="E1012"/>
          <cell r="F1012" t="str">
            <v>M2</v>
          </cell>
          <cell r="G1012">
            <v>6.49</v>
          </cell>
          <cell r="H1012" t="str">
            <v>-</v>
          </cell>
        </row>
        <row r="1013">
          <cell r="A1013" t="str">
            <v>SV/0055</v>
          </cell>
          <cell r="B1013" t="str">
            <v>COMPOSIÇÃO</v>
          </cell>
          <cell r="C1013"/>
          <cell r="D1013" t="str">
            <v>Tacha refletiva em plástico injetado - monodirecional tipo I - com um pino - fornecimento e colocação, padrão DNIT, fixada com cola polister (REF. SICRO COD. 5219627, DB 04-21)</v>
          </cell>
          <cell r="E1013"/>
          <cell r="F1013" t="str">
            <v xml:space="preserve">UN </v>
          </cell>
          <cell r="G1013">
            <v>43.32</v>
          </cell>
          <cell r="H1013" t="str">
            <v>-</v>
          </cell>
        </row>
        <row r="1014">
          <cell r="A1014" t="str">
            <v>SV/0060</v>
          </cell>
          <cell r="B1014" t="str">
            <v>COMPOSIÇÃO</v>
          </cell>
          <cell r="C1014"/>
          <cell r="D1014" t="str">
            <v>Tachão refletivo monodirecional, padrão DNIT, fornecimento e fixada com cola polister (REF. SICRO COD. 5219644)</v>
          </cell>
          <cell r="E1014"/>
          <cell r="F1014" t="str">
            <v xml:space="preserve">UN </v>
          </cell>
          <cell r="G1014">
            <v>76.69</v>
          </cell>
          <cell r="H1014" t="str">
            <v>-</v>
          </cell>
        </row>
        <row r="1015">
          <cell r="A1015" t="str">
            <v>SV/0065</v>
          </cell>
          <cell r="B1015" t="str">
            <v>COMPOSIÇÃO</v>
          </cell>
          <cell r="C1015"/>
          <cell r="D1015" t="str">
            <v>Tacha refletiva bidirecional, padrão DNIT, fornecimento e fixada com cola polister (REF. SICRO COD. 5219619)</v>
          </cell>
          <cell r="E1015"/>
          <cell r="F1015" t="str">
            <v xml:space="preserve">UN </v>
          </cell>
          <cell r="G1015">
            <v>42.09</v>
          </cell>
          <cell r="H1015" t="str">
            <v>-</v>
          </cell>
        </row>
        <row r="1016">
          <cell r="A1016" t="str">
            <v>SV/0070</v>
          </cell>
          <cell r="B1016" t="str">
            <v>COMPOSIÇÃO</v>
          </cell>
          <cell r="C1016"/>
          <cell r="D1016" t="str">
            <v>Tachão refletivo bidirecional, padrão DNIT, fornecimento e fixada com cola polister (REF. SICRO COD. 5219643)</v>
          </cell>
          <cell r="E1016"/>
          <cell r="F1016" t="str">
            <v xml:space="preserve">UN </v>
          </cell>
          <cell r="G1016">
            <v>78.42</v>
          </cell>
          <cell r="H1016" t="str">
            <v>-</v>
          </cell>
        </row>
        <row r="1017">
          <cell r="A1017" t="str">
            <v>SV/0075</v>
          </cell>
          <cell r="B1017" t="str">
            <v>COMPOSIÇÃO</v>
          </cell>
          <cell r="C1017"/>
          <cell r="D1017" t="str">
    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    </cell>
          <cell r="E1017"/>
          <cell r="F1017" t="str">
            <v xml:space="preserve">UN </v>
          </cell>
          <cell r="G1017">
            <v>8163.26</v>
          </cell>
          <cell r="H1017" t="str">
            <v>-</v>
          </cell>
        </row>
        <row r="1018">
          <cell r="A1018" t="str">
            <v>SV/0080</v>
          </cell>
          <cell r="B1018" t="str">
            <v>COMPOSIÇÃO</v>
          </cell>
          <cell r="C1018"/>
          <cell r="D1018" t="str">
    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    </cell>
          <cell r="E1018"/>
          <cell r="F1018" t="str">
            <v xml:space="preserve">UN </v>
          </cell>
          <cell r="G1018">
            <v>5819.84</v>
          </cell>
          <cell r="H1018" t="str">
            <v>-</v>
          </cell>
        </row>
        <row r="1019">
          <cell r="A1019" t="str">
            <v>SV/0085</v>
          </cell>
          <cell r="B1019" t="str">
            <v>COMPOSIÇÃO</v>
          </cell>
          <cell r="C1019"/>
          <cell r="D1019" t="str">
    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    </cell>
          <cell r="E1019"/>
          <cell r="F1019" t="str">
            <v xml:space="preserve">UN </v>
          </cell>
          <cell r="G1019">
            <v>222.45</v>
          </cell>
          <cell r="H1019" t="str">
            <v>-</v>
          </cell>
        </row>
        <row r="1020">
          <cell r="A1020" t="str">
            <v>SV/0090</v>
          </cell>
          <cell r="B1020" t="str">
            <v>COMPOSIÇÃO</v>
          </cell>
          <cell r="C1020"/>
          <cell r="D1020" t="str">
            <v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v>
          </cell>
          <cell r="E1020"/>
          <cell r="F1020" t="str">
            <v xml:space="preserve">UN </v>
          </cell>
          <cell r="G1020">
            <v>429.59</v>
          </cell>
          <cell r="H1020" t="str">
            <v>-</v>
          </cell>
        </row>
        <row r="1021">
          <cell r="A1021" t="str">
            <v>SV/0091</v>
          </cell>
          <cell r="B1021" t="str">
            <v>COMPOSIÇÃO</v>
          </cell>
          <cell r="C1021"/>
          <cell r="D1021" t="str">
            <v>Coluna simples de 50,8 mm (2") de diâmetro, espessura da parede 3,00mm, altura total de 3500mm, em aço galvanizado por imersão à quente para suporte de placa de sinalização e fixado em base de concreto estrutural  - fornecimento e implantação. Inclusive serviço de implantação da placa de sinalização e elementos de fixação, exclusive fornecimento da placa. Ref SICRO 5213863 e 5213464</v>
          </cell>
          <cell r="E1021"/>
          <cell r="F1021" t="str">
            <v xml:space="preserve">UN </v>
          </cell>
          <cell r="G1021">
            <v>394.23</v>
          </cell>
          <cell r="H1021" t="str">
            <v>-</v>
          </cell>
        </row>
        <row r="1022">
          <cell r="A1022" t="str">
            <v>SV/0095</v>
          </cell>
          <cell r="B1022" t="str">
            <v>COMPOSIÇÃO</v>
          </cell>
          <cell r="C1022"/>
          <cell r="D1022" t="str">
            <v>Implantação de placa de sinalização em poste de energia elétrica, incluindo elementos de fixação</v>
          </cell>
          <cell r="E1022"/>
          <cell r="F1022" t="str">
            <v xml:space="preserve">UN </v>
          </cell>
          <cell r="G1022">
            <v>76.41</v>
          </cell>
          <cell r="H1022" t="str">
            <v>-</v>
          </cell>
        </row>
        <row r="1023">
          <cell r="A1023" t="str">
            <v>SV/0100</v>
          </cell>
          <cell r="B1023" t="str">
            <v>COMPOSIÇÃO</v>
          </cell>
          <cell r="C1023"/>
          <cell r="D1023" t="str">
            <v>Implantação de placa de sinalização em braço projetado, incluindo elementos de fixação</v>
          </cell>
          <cell r="E1023"/>
          <cell r="F1023" t="str">
            <v xml:space="preserve">UN </v>
          </cell>
          <cell r="G1023">
            <v>635.02</v>
          </cell>
          <cell r="H1023" t="str">
            <v>-</v>
          </cell>
        </row>
        <row r="1024">
          <cell r="A1024" t="str">
            <v>SV/0105</v>
          </cell>
          <cell r="B1024" t="str">
            <v>COMPOSIÇÃO</v>
          </cell>
          <cell r="C1024"/>
          <cell r="D1024" t="str">
            <v>Placa de sinalização de alumínio, espessura 1,5 mm, com fundo, símbolos e tarjas em película refletiva com esferas inclusas tipo I-A da NBR 14644 (GT/GT), inclusive elementos de fixação, conforme especificação AGETRAN/PMCG - Incluso fornecimento</v>
          </cell>
          <cell r="E1024"/>
          <cell r="F1024" t="str">
            <v>M2</v>
          </cell>
          <cell r="G1024">
            <v>758.2</v>
          </cell>
          <cell r="H1024" t="str">
            <v>-</v>
          </cell>
        </row>
        <row r="1025">
          <cell r="A1025" t="str">
            <v>SV/0106</v>
          </cell>
          <cell r="B1025" t="str">
            <v>COMPOSIÇÃO</v>
          </cell>
          <cell r="C1025"/>
          <cell r="D1025" t="str">
            <v>Placa de sinalização de alumínio, espessura 2mm, com fundo, símbolos e tarjas em película refletiva com esferas inclusas tipo I-A da NBR 14644 (GT/GT), inclusive elementos de fixação, conforme especificação AGETRAN/PMCG - fornecimento</v>
          </cell>
          <cell r="E1025"/>
          <cell r="F1025" t="str">
            <v>M2</v>
          </cell>
          <cell r="G1025">
            <v>720</v>
          </cell>
          <cell r="H1025" t="str">
            <v>-</v>
          </cell>
        </row>
        <row r="1026">
          <cell r="A1026" t="str">
            <v>SV/0110</v>
          </cell>
          <cell r="B1026" t="str">
            <v>COMPOSIÇÃO</v>
          </cell>
          <cell r="C1026"/>
          <cell r="D1026" t="str">
    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    </cell>
          <cell r="E1026"/>
          <cell r="F1026" t="str">
            <v>M2</v>
          </cell>
          <cell r="G1026">
            <v>1062.8</v>
          </cell>
          <cell r="H1026" t="str">
            <v>-</v>
          </cell>
        </row>
        <row r="1027">
          <cell r="A1027">
            <v>13521</v>
          </cell>
          <cell r="B1027" t="str">
            <v>COTAÇÃO - SINAPI</v>
          </cell>
          <cell r="C1027"/>
          <cell r="D1027" t="str">
            <v>Placa de aço esmaltada para identificação de rua, dimensões *45x20* cm</v>
          </cell>
          <cell r="E1027"/>
          <cell r="F1027" t="str">
            <v xml:space="preserve">UN    </v>
          </cell>
          <cell r="G1027">
            <v>82.5</v>
          </cell>
          <cell r="H1027" t="str">
            <v>-</v>
          </cell>
        </row>
        <row r="1028">
          <cell r="A1028" t="str">
            <v>SV/0115</v>
          </cell>
          <cell r="B1028" t="str">
            <v>COMPOSIÇÃO</v>
          </cell>
          <cell r="C1028"/>
          <cell r="D1028" t="str">
            <v>Fornecimento e implantação de linha de duto espiral flexível em polietileno de alta densidade, tipo Kanalex ou similar, diâmetro de 75mm (3"), lançado diretamente ao solo com arame-guia galvanizado revestido em PVC&gt; Inclusive emendas e tamponamento, recorte do pavimento, escavação, reaterro, envelopamento de duto com concreto (30x30cm), base de brita graduada, remoção e bota-fora de entulhos</v>
          </cell>
          <cell r="E1028"/>
          <cell r="F1028" t="str">
            <v>M</v>
          </cell>
          <cell r="G1028">
            <v>126.61</v>
          </cell>
          <cell r="H1028" t="str">
            <v>-</v>
          </cell>
        </row>
        <row r="1029">
          <cell r="A1029" t="str">
            <v>SV/0120</v>
          </cell>
          <cell r="B1029" t="str">
            <v>COMPOSIÇÃO</v>
          </cell>
          <cell r="C1029"/>
          <cell r="D1029" t="str">
            <v>Caixa enterrada elétrica retangular, em alvenaria com tijolos cerâmicos maciços, 1/2 vez, fundo com brita, dimensões internas: 0,40x0,40x0,40 m; Tampão fofo simples com base, classe A15 carga máxima 1,5 t, 400 x 400 mm (REF. SINAPI COD. 97887)</v>
          </cell>
          <cell r="E1029"/>
          <cell r="F1029" t="str">
            <v xml:space="preserve">UN </v>
          </cell>
          <cell r="G1029">
            <v>423.06</v>
          </cell>
          <cell r="H1029" t="str">
            <v>-</v>
          </cell>
        </row>
        <row r="1030">
          <cell r="A1030">
            <v>99837</v>
          </cell>
          <cell r="B1030" t="str">
            <v>SINAPI</v>
          </cell>
          <cell r="C1030"/>
          <cell r="D1030" t="str">
            <v>Guarda-corpo de aço galvanizado de 1,10m, montantes tubulares de 1.1/4" espaçados de 1,20m, travessa superior de 1.1/2", gradil formado por tubos horizontais de 1" e verticais de 3/4", fixado com chumbador mecânico. AF_04/2019_P</v>
          </cell>
          <cell r="E1030"/>
          <cell r="F1030" t="str">
            <v>M</v>
          </cell>
          <cell r="G1030">
            <v>557.6</v>
          </cell>
          <cell r="H1030" t="str">
            <v>-</v>
          </cell>
        </row>
        <row r="1031">
          <cell r="A1031">
            <v>99855</v>
          </cell>
          <cell r="B1031" t="str">
            <v>SINAPI</v>
          </cell>
          <cell r="C1031"/>
          <cell r="D1031" t="str">
            <v>Corrimão simples, diâmetro externo = 1 1/2", em aço galvanizado. AF_04/2019_p</v>
          </cell>
          <cell r="E1031"/>
          <cell r="F1031" t="str">
            <v>M</v>
          </cell>
          <cell r="G1031">
            <v>99.38</v>
          </cell>
          <cell r="H1031" t="str">
            <v>-</v>
          </cell>
        </row>
        <row r="1032">
          <cell r="A1032" t="str">
            <v>SV/0125</v>
          </cell>
          <cell r="B1032" t="str">
            <v>COMPOSIÇÃO</v>
          </cell>
          <cell r="C1032"/>
          <cell r="D1032" t="str">
            <v>Retirada de tachão em resina para sinalização horizontal, inclusive bota fora. Ref SICRO CÓD  5219623, DB 01-2021</v>
          </cell>
          <cell r="E1032"/>
          <cell r="F1032" t="str">
            <v>UN</v>
          </cell>
          <cell r="G1032">
            <v>8.2799999999999994</v>
          </cell>
          <cell r="H1032" t="str">
            <v>-</v>
          </cell>
        </row>
        <row r="1033">
          <cell r="A1033" t="str">
            <v>SV/0130</v>
          </cell>
          <cell r="B1033" t="str">
            <v>COMPOSIÇÃO</v>
          </cell>
          <cell r="C1033"/>
          <cell r="D1033" t="str">
            <v>Instalação e fornecimento de delineador refletivo para defensa metálica. Ref SICRO CÓD  5219623, DB 01-2021</v>
          </cell>
          <cell r="E1033"/>
          <cell r="F1033" t="str">
            <v>UN</v>
          </cell>
          <cell r="G1033">
            <v>8.2799999999999994</v>
          </cell>
          <cell r="H1033" t="str">
            <v>-</v>
          </cell>
        </row>
        <row r="1034">
          <cell r="A1034" t="str">
            <v>SV/0140</v>
          </cell>
          <cell r="B1034" t="str">
            <v>COMPOSIÇÃO</v>
          </cell>
          <cell r="C1034"/>
          <cell r="D1034" t="str">
            <v>Remoção de defensa metálica. Ref SICRO CÓD  3713705, DB 01-2021</v>
          </cell>
          <cell r="E1034"/>
          <cell r="F1034" t="str">
            <v>M</v>
          </cell>
          <cell r="G1034">
            <v>21.29</v>
          </cell>
          <cell r="H1034" t="str">
            <v>-</v>
          </cell>
        </row>
        <row r="1035">
          <cell r="A1035" t="str">
            <v>SV/0150</v>
          </cell>
          <cell r="B1035" t="str">
            <v>COMPOSIÇÃO</v>
          </cell>
          <cell r="C1035"/>
          <cell r="D1035" t="str">
            <v>Guarda-corpo de aço galvanizado de 1,10m, duplo corrimão, montantes tubulares de 1.1/4" espaçados 1,20m, travessa superior de 1.1/2", fixado com chumbador mecânico. Ref SINAPI CÓD  01.ESQV.GCFE.011/01, DB 04-2021</v>
          </cell>
          <cell r="E1035"/>
          <cell r="F1035" t="str">
            <v>M</v>
          </cell>
          <cell r="G1035">
            <v>324.07</v>
          </cell>
          <cell r="H1035" t="str">
            <v>-</v>
          </cell>
        </row>
        <row r="1036">
          <cell r="A1036" t="str">
            <v>SV/0160</v>
          </cell>
          <cell r="B1036" t="str">
            <v>COMPOSIÇÃO</v>
          </cell>
          <cell r="C1036"/>
          <cell r="D1036" t="str">
            <v>Pórtico metálico com vão de 15,9 m, vento de 40 m/s, área de exposição de até 23,85 m², tensão admissível solo &gt; 200 kN/m²- fornecimento e implantação - areia e brita comerciais. Ref SICRO CÓD  5213718, DB 04-2021</v>
          </cell>
          <cell r="E1036"/>
          <cell r="F1036" t="str">
            <v>UN</v>
          </cell>
          <cell r="G1036">
            <v>125290.48</v>
          </cell>
          <cell r="H1036" t="str">
            <v>-</v>
          </cell>
        </row>
        <row r="1037">
          <cell r="A1037" t="str">
            <v>SV/0170</v>
          </cell>
          <cell r="B1037" t="str">
            <v>COMPOSIÇÃO</v>
          </cell>
          <cell r="C1037"/>
          <cell r="D1037" t="str">
            <v>Remoção de placa de sinalização. Ref SICRO CÓD  5213364, DB 01-2021</v>
          </cell>
          <cell r="E1037"/>
          <cell r="F1037" t="str">
            <v>M2</v>
          </cell>
          <cell r="G1037">
            <v>25.02</v>
          </cell>
          <cell r="H1037" t="str">
            <v>-</v>
          </cell>
        </row>
        <row r="1038">
          <cell r="A1038" t="str">
            <v>SV/0180</v>
          </cell>
          <cell r="B1038" t="str">
            <v>COMPOSIÇÃO</v>
          </cell>
          <cell r="C1038"/>
          <cell r="D1038" t="str">
            <v>Guarda-corpo com altura 1,15m, pilares espaçados a cada 2m, com tubos de aço galvanizado na horizontal, fixados em peças metalicas de aço pintado a esmalte e parafusados.</v>
          </cell>
          <cell r="E1038"/>
          <cell r="F1038" t="str">
            <v>M</v>
          </cell>
          <cell r="G1038">
            <v>397.16</v>
          </cell>
          <cell r="H1038" t="str">
            <v>-</v>
          </cell>
        </row>
        <row r="1039">
          <cell r="A1039"/>
          <cell r="B1039"/>
          <cell r="C1039"/>
          <cell r="D1039"/>
          <cell r="E1039"/>
          <cell r="F1039"/>
          <cell r="G1039"/>
          <cell r="H1039"/>
        </row>
        <row r="1040">
          <cell r="A1040"/>
          <cell r="B1040"/>
          <cell r="C1040" t="str">
            <v>14.0</v>
          </cell>
          <cell r="D1040" t="str">
            <v>ADMINISTRAÇÃO LOCAL</v>
          </cell>
          <cell r="E1040"/>
          <cell r="F1040"/>
          <cell r="G1040"/>
          <cell r="H1040" t="str">
            <v/>
          </cell>
        </row>
        <row r="1041">
          <cell r="A1041">
            <v>90766</v>
          </cell>
          <cell r="B1041" t="str">
            <v>SINAPI</v>
          </cell>
          <cell r="C1041"/>
          <cell r="D1041" t="str">
            <v>Almoxarife com encargos complementares (horista)</v>
          </cell>
          <cell r="E1041"/>
          <cell r="F1041" t="str">
            <v>H</v>
          </cell>
          <cell r="G1041">
            <v>17.75</v>
          </cell>
          <cell r="H1041" t="str">
            <v>-</v>
          </cell>
        </row>
        <row r="1042">
          <cell r="A1042">
            <v>93563</v>
          </cell>
          <cell r="B1042" t="str">
            <v>SINAPI</v>
          </cell>
          <cell r="C1042"/>
          <cell r="D1042" t="str">
            <v>Almoxarife com encargos complementares (mensalista)</v>
          </cell>
          <cell r="E1042"/>
          <cell r="F1042" t="str">
            <v>MES</v>
          </cell>
          <cell r="G1042">
            <v>3127.74</v>
          </cell>
          <cell r="H1042" t="str">
            <v>-</v>
          </cell>
        </row>
        <row r="1043">
          <cell r="A1043">
            <v>90767</v>
          </cell>
          <cell r="B1043" t="str">
            <v>SINAPI</v>
          </cell>
          <cell r="C1043"/>
          <cell r="D1043" t="str">
            <v>Apontador ou apropriador com encargos complementares (horista)</v>
          </cell>
          <cell r="E1043"/>
          <cell r="F1043" t="str">
            <v>H</v>
          </cell>
          <cell r="G1043">
            <v>17.41</v>
          </cell>
          <cell r="H1043" t="str">
            <v>-</v>
          </cell>
        </row>
        <row r="1044">
          <cell r="A1044">
            <v>93564</v>
          </cell>
          <cell r="B1044" t="str">
            <v>SINAPI</v>
          </cell>
          <cell r="C1044"/>
          <cell r="D1044" t="str">
            <v>Apontador ou apropriador com encargos complementares (mensalista)</v>
          </cell>
          <cell r="E1044"/>
          <cell r="F1044" t="str">
            <v>MES</v>
          </cell>
          <cell r="G1044">
            <v>3058.15</v>
          </cell>
          <cell r="H1044" t="str">
            <v>-</v>
          </cell>
        </row>
        <row r="1045">
          <cell r="A1045">
            <v>93566</v>
          </cell>
          <cell r="B1045" t="str">
            <v>SINAPI</v>
          </cell>
          <cell r="C1045"/>
          <cell r="D1045" t="str">
            <v>Auxiliar de escritorio com encargos complementares</v>
          </cell>
          <cell r="E1045"/>
          <cell r="F1045" t="str">
            <v>MES</v>
          </cell>
          <cell r="G1045">
            <v>2726.11</v>
          </cell>
          <cell r="H1045" t="str">
            <v>-</v>
          </cell>
        </row>
        <row r="1046">
          <cell r="A1046">
            <v>93562</v>
          </cell>
          <cell r="B1046" t="str">
            <v>SINAPI</v>
          </cell>
          <cell r="C1046"/>
          <cell r="D1046" t="str">
            <v>Auxiliar de desenhista com encargos complementares</v>
          </cell>
          <cell r="E1046"/>
          <cell r="F1046" t="str">
            <v>MES</v>
          </cell>
          <cell r="G1046">
            <v>2565.1799999999998</v>
          </cell>
          <cell r="H1046" t="str">
            <v>-</v>
          </cell>
        </row>
        <row r="1047">
          <cell r="A1047">
            <v>101385</v>
          </cell>
          <cell r="B1047" t="str">
            <v>SINAPI</v>
          </cell>
          <cell r="C1047"/>
          <cell r="D1047" t="str">
            <v>Auxiliar de laboratorista de solos e de concreto com encargos complementares (mensalista)</v>
          </cell>
          <cell r="E1047"/>
          <cell r="F1047" t="str">
            <v>MES</v>
          </cell>
          <cell r="G1047">
            <v>3823.46</v>
          </cell>
          <cell r="H1047" t="str">
            <v>-</v>
          </cell>
        </row>
        <row r="1048">
          <cell r="A1048">
            <v>88249</v>
          </cell>
          <cell r="B1048" t="str">
            <v>SINAPI</v>
          </cell>
          <cell r="C1048"/>
          <cell r="D1048" t="str">
            <v>Auxiliar de laboratório com encargos complementares (horista)</v>
          </cell>
          <cell r="E1048"/>
          <cell r="F1048" t="str">
            <v>H</v>
          </cell>
          <cell r="G1048">
            <v>21.75</v>
          </cell>
          <cell r="H1048" t="str">
            <v>-</v>
          </cell>
        </row>
        <row r="1049">
          <cell r="A1049">
            <v>41090</v>
          </cell>
          <cell r="B1049" t="str">
            <v>SINAPI</v>
          </cell>
          <cell r="C1049"/>
          <cell r="D1049" t="str">
            <v>Auxiliar de laboratório com encargos complementares (mensalista)</v>
          </cell>
          <cell r="E1049"/>
          <cell r="F1049" t="str">
            <v xml:space="preserve">MES   </v>
          </cell>
          <cell r="G1049">
            <v>3421.25</v>
          </cell>
          <cell r="H1049" t="str">
            <v>-</v>
          </cell>
        </row>
        <row r="1050">
          <cell r="A1050">
            <v>88253</v>
          </cell>
          <cell r="B1050" t="str">
            <v>SINAPI</v>
          </cell>
          <cell r="C1050"/>
          <cell r="D1050" t="str">
            <v>Auxiliar de topografia com encargos complementares (horista)</v>
          </cell>
          <cell r="E1050"/>
          <cell r="F1050" t="str">
            <v>H</v>
          </cell>
          <cell r="G1050">
            <v>10.71</v>
          </cell>
          <cell r="H1050" t="str">
            <v>-</v>
          </cell>
        </row>
        <row r="1051">
          <cell r="A1051">
            <v>41093</v>
          </cell>
          <cell r="B1051" t="str">
            <v>SINAPI</v>
          </cell>
          <cell r="C1051"/>
          <cell r="D1051" t="str">
            <v>Auxiliar de topografia com encargos complementares (mensalista)</v>
          </cell>
          <cell r="E1051"/>
          <cell r="F1051" t="str">
            <v xml:space="preserve">MES   </v>
          </cell>
          <cell r="G1051">
            <v>1521.79</v>
          </cell>
          <cell r="H1051" t="str">
            <v>-</v>
          </cell>
        </row>
        <row r="1052">
          <cell r="A1052">
            <v>101389</v>
          </cell>
          <cell r="B1052" t="str">
            <v>SINAPI</v>
          </cell>
          <cell r="C1052"/>
          <cell r="D1052" t="str">
            <v>Auxiliar de topógrafo com encargos complementares (mensalista)</v>
          </cell>
          <cell r="E1052"/>
          <cell r="F1052" t="str">
            <v>MES</v>
          </cell>
          <cell r="G1052">
            <v>1902.11</v>
          </cell>
          <cell r="H1052" t="str">
            <v>-</v>
          </cell>
        </row>
        <row r="1053">
          <cell r="A1053">
            <v>101390</v>
          </cell>
          <cell r="B1053" t="str">
            <v>SINAPI</v>
          </cell>
          <cell r="C1053"/>
          <cell r="D1053" t="str">
            <v>Auxiliar técnico / assistente de engenharia com encargos complementares</v>
          </cell>
          <cell r="E1053"/>
          <cell r="F1053" t="str">
            <v>MES</v>
          </cell>
          <cell r="G1053">
            <v>5738.49</v>
          </cell>
          <cell r="H1053" t="str">
            <v>-</v>
          </cell>
        </row>
        <row r="1054">
          <cell r="A1054">
            <v>100317</v>
          </cell>
          <cell r="B1054" t="str">
            <v>SINAPI</v>
          </cell>
          <cell r="C1054"/>
          <cell r="D1054" t="str">
            <v>Coordenador / gerente de obra com encargos complementares</v>
          </cell>
          <cell r="E1054"/>
          <cell r="F1054" t="str">
            <v>MES</v>
          </cell>
          <cell r="G1054">
            <v>24677.43</v>
          </cell>
          <cell r="H1054" t="str">
            <v>-</v>
          </cell>
        </row>
        <row r="1055">
          <cell r="A1055">
            <v>93559</v>
          </cell>
          <cell r="B1055" t="str">
            <v>SINAPI</v>
          </cell>
          <cell r="C1055"/>
          <cell r="D1055" t="str">
            <v>Desenhista detalhista com encargos complementares</v>
          </cell>
          <cell r="E1055"/>
          <cell r="F1055" t="str">
            <v>MES</v>
          </cell>
          <cell r="G1055">
            <v>3590.09</v>
          </cell>
          <cell r="H1055" t="str">
            <v>-</v>
          </cell>
        </row>
        <row r="1056">
          <cell r="A1056">
            <v>90777</v>
          </cell>
          <cell r="B1056" t="str">
            <v>SINAPI</v>
          </cell>
          <cell r="C1056"/>
          <cell r="D1056" t="str">
            <v>Engenheiro civil de obra júnior com encargos complementares (horista)</v>
          </cell>
          <cell r="E1056"/>
          <cell r="F1056" t="str">
            <v>H</v>
          </cell>
          <cell r="G1056">
            <v>97.88</v>
          </cell>
          <cell r="H1056" t="str">
            <v>-</v>
          </cell>
        </row>
        <row r="1057">
          <cell r="A1057">
            <v>93565</v>
          </cell>
          <cell r="B1057" t="str">
            <v>SINAPI</v>
          </cell>
          <cell r="C1057"/>
          <cell r="D1057" t="str">
            <v>Engenheiro civil de obra júnior com encargos complementares (mensalista)</v>
          </cell>
          <cell r="E1057"/>
          <cell r="F1057" t="str">
            <v>MES</v>
          </cell>
          <cell r="G1057">
            <v>17076.25</v>
          </cell>
          <cell r="H1057" t="str">
            <v>-</v>
          </cell>
        </row>
        <row r="1058">
          <cell r="A1058">
            <v>90778</v>
          </cell>
          <cell r="B1058" t="str">
            <v>SINAPI</v>
          </cell>
          <cell r="C1058"/>
          <cell r="D1058" t="str">
            <v>Engenheiro civil de obra pleno com encargos complementares (horista)</v>
          </cell>
          <cell r="E1058"/>
          <cell r="F1058" t="str">
            <v>H</v>
          </cell>
          <cell r="G1058">
            <v>111.12</v>
          </cell>
          <cell r="H1058" t="str">
            <v>-</v>
          </cell>
        </row>
        <row r="1059">
          <cell r="A1059">
            <v>93567</v>
          </cell>
          <cell r="B1059" t="str">
            <v>SINAPI</v>
          </cell>
          <cell r="C1059"/>
          <cell r="D1059" t="str">
            <v>Engenheiro civil de obra pleno com encargos complementares (mensalista)</v>
          </cell>
          <cell r="E1059"/>
          <cell r="F1059" t="str">
            <v>MES</v>
          </cell>
          <cell r="G1059">
            <v>19385.919999999998</v>
          </cell>
          <cell r="H1059" t="str">
            <v>-</v>
          </cell>
        </row>
        <row r="1060">
          <cell r="A1060">
            <v>90779</v>
          </cell>
          <cell r="B1060" t="str">
            <v>SINAPI</v>
          </cell>
          <cell r="C1060"/>
          <cell r="D1060" t="str">
            <v>Engenheiro civil de obra sênior com encargos complementares (horista)</v>
          </cell>
          <cell r="E1060"/>
          <cell r="F1060" t="str">
            <v>H</v>
          </cell>
          <cell r="G1060">
            <v>151.21</v>
          </cell>
          <cell r="H1060" t="str">
            <v>-</v>
          </cell>
        </row>
        <row r="1061">
          <cell r="A1061">
            <v>93568</v>
          </cell>
          <cell r="B1061" t="str">
            <v>SINAPI</v>
          </cell>
          <cell r="C1061"/>
          <cell r="D1061" t="str">
            <v>Engenheiro civil de obra sênior com encargos complementares (mensalista)</v>
          </cell>
          <cell r="E1061"/>
          <cell r="F1061" t="str">
            <v>MES</v>
          </cell>
          <cell r="G1061">
            <v>26366.29</v>
          </cell>
          <cell r="H1061" t="str">
            <v>-</v>
          </cell>
        </row>
        <row r="1062">
          <cell r="A1062">
            <v>100319</v>
          </cell>
          <cell r="B1062" t="str">
            <v>SINAPI</v>
          </cell>
          <cell r="C1062"/>
          <cell r="D1062" t="str">
            <v>Engenheiro civil júnior com encargos complementares</v>
          </cell>
          <cell r="E1062"/>
          <cell r="F1062" t="str">
            <v>MES</v>
          </cell>
          <cell r="G1062">
            <v>17277.310000000001</v>
          </cell>
          <cell r="H1062" t="str">
            <v>-</v>
          </cell>
        </row>
        <row r="1063">
          <cell r="A1063">
            <v>101403</v>
          </cell>
          <cell r="B1063" t="str">
            <v>SINAPI</v>
          </cell>
          <cell r="C1063"/>
          <cell r="D1063" t="str">
            <v>Engenheiro civil sênior com encargos complementares</v>
          </cell>
          <cell r="E1063"/>
          <cell r="F1063" t="str">
            <v>MES</v>
          </cell>
          <cell r="G1063">
            <v>26513.21</v>
          </cell>
          <cell r="H1063" t="str">
            <v>-</v>
          </cell>
        </row>
        <row r="1064">
          <cell r="A1064">
            <v>90780</v>
          </cell>
          <cell r="B1064" t="str">
            <v>SINAPI</v>
          </cell>
          <cell r="C1064"/>
          <cell r="D1064" t="str">
            <v>Mestre de obras com encargos complementares (horista)</v>
          </cell>
          <cell r="E1064"/>
          <cell r="F1064" t="str">
            <v>H</v>
          </cell>
          <cell r="G1064">
            <v>29.76</v>
          </cell>
          <cell r="H1064" t="str">
            <v>-</v>
          </cell>
        </row>
        <row r="1065">
          <cell r="A1065">
            <v>94295</v>
          </cell>
          <cell r="B1065" t="str">
            <v>SINAPI</v>
          </cell>
          <cell r="C1065"/>
          <cell r="D1065" t="str">
            <v>Mestre de obras com encargos complementares (mensalista)</v>
          </cell>
          <cell r="E1065"/>
          <cell r="F1065" t="str">
            <v>MES</v>
          </cell>
          <cell r="G1065">
            <v>5214.4399999999996</v>
          </cell>
          <cell r="H1065" t="str">
            <v>-</v>
          </cell>
        </row>
        <row r="1066">
          <cell r="A1066">
            <v>88288</v>
          </cell>
          <cell r="B1066" t="str">
            <v>SINAPI</v>
          </cell>
          <cell r="C1066"/>
          <cell r="D1066" t="str">
            <v>Nivelador/Greidista com encargos complementares (horista)</v>
          </cell>
          <cell r="E1066"/>
          <cell r="F1066" t="str">
            <v>H</v>
          </cell>
          <cell r="G1066">
            <v>13.14</v>
          </cell>
          <cell r="H1066" t="str">
            <v>-</v>
          </cell>
        </row>
        <row r="1067">
          <cell r="A1067">
            <v>41024</v>
          </cell>
          <cell r="B1067" t="str">
            <v>SINAPI</v>
          </cell>
          <cell r="C1067"/>
          <cell r="D1067" t="str">
            <v>Nivelador/Greidista com encargos complementares (mensalista)</v>
          </cell>
          <cell r="E1067"/>
          <cell r="F1067" t="str">
            <v xml:space="preserve">MES   </v>
          </cell>
          <cell r="G1067">
            <v>4161.5200000000004</v>
          </cell>
          <cell r="H1067" t="str">
            <v>-</v>
          </cell>
        </row>
        <row r="1068">
          <cell r="A1068">
            <v>88321</v>
          </cell>
          <cell r="B1068" t="str">
            <v>SINAPI</v>
          </cell>
          <cell r="C1068"/>
          <cell r="D1068" t="str">
            <v>Técnico de laboratório com encargos complementares (horista)</v>
          </cell>
          <cell r="E1068"/>
          <cell r="F1068" t="str">
            <v>H</v>
          </cell>
          <cell r="G1068">
            <v>25.78</v>
          </cell>
          <cell r="H1068" t="str">
            <v>-</v>
          </cell>
        </row>
        <row r="1069">
          <cell r="A1069">
            <v>101456</v>
          </cell>
          <cell r="B1069" t="str">
            <v>SINAPI</v>
          </cell>
          <cell r="C1069"/>
          <cell r="D1069" t="str">
            <v>Técnico de laboratório e campo de construção com encargos complementares (mensalista)</v>
          </cell>
          <cell r="E1069"/>
          <cell r="F1069" t="str">
            <v>MES</v>
          </cell>
          <cell r="G1069">
            <v>4529.43</v>
          </cell>
          <cell r="H1069" t="str">
            <v>-</v>
          </cell>
        </row>
        <row r="1070">
          <cell r="A1070">
            <v>40943</v>
          </cell>
          <cell r="B1070" t="str">
            <v>SINAPI</v>
          </cell>
          <cell r="C1070"/>
          <cell r="D1070" t="str">
            <v>Técnico de segurança do trabalho (horista)</v>
          </cell>
          <cell r="E1070"/>
          <cell r="F1070" t="str">
            <v xml:space="preserve">H     </v>
          </cell>
          <cell r="G1070">
            <v>22.65</v>
          </cell>
          <cell r="H1070" t="str">
            <v>-</v>
          </cell>
        </row>
        <row r="1071">
          <cell r="A1071">
            <v>100321</v>
          </cell>
          <cell r="B1071" t="str">
            <v>SINAPI</v>
          </cell>
          <cell r="C1071"/>
          <cell r="D1071" t="str">
            <v>Técnico de segurança do trabalho com encargos complementares (mensalista)</v>
          </cell>
          <cell r="E1071"/>
          <cell r="F1071" t="str">
            <v>MES</v>
          </cell>
          <cell r="G1071">
            <v>4400.0600000000004</v>
          </cell>
          <cell r="H1071" t="str">
            <v>-</v>
          </cell>
        </row>
        <row r="1072">
          <cell r="A1072">
            <v>90781</v>
          </cell>
          <cell r="B1072" t="str">
            <v>SINAPI</v>
          </cell>
          <cell r="C1072"/>
          <cell r="D1072" t="str">
            <v>Topografo com encargos complementares (horista)</v>
          </cell>
          <cell r="E1072"/>
          <cell r="F1072" t="str">
            <v>H</v>
          </cell>
          <cell r="G1072">
            <v>21.46</v>
          </cell>
          <cell r="H1072" t="str">
            <v>-</v>
          </cell>
        </row>
        <row r="1073">
          <cell r="A1073">
            <v>94296</v>
          </cell>
          <cell r="B1073" t="str">
            <v>SINAPI</v>
          </cell>
          <cell r="C1073"/>
          <cell r="D1073" t="str">
            <v>Topografo com encargos complementares (mensalista)</v>
          </cell>
          <cell r="E1073"/>
          <cell r="F1073" t="str">
            <v>MES</v>
          </cell>
          <cell r="G1073">
            <v>3774.11</v>
          </cell>
          <cell r="H1073" t="str">
            <v>-</v>
          </cell>
        </row>
        <row r="1074">
          <cell r="A1074">
            <v>41096</v>
          </cell>
          <cell r="B1074" t="str">
            <v>SINAPI</v>
          </cell>
          <cell r="C1074"/>
          <cell r="D1074" t="str">
            <v>Vigia Diurno com encargos complementares (mensalista)</v>
          </cell>
          <cell r="E1074"/>
          <cell r="F1074" t="str">
            <v xml:space="preserve">MES   </v>
          </cell>
          <cell r="G1074">
            <v>1982.3</v>
          </cell>
          <cell r="H1074" t="str">
            <v>-</v>
          </cell>
        </row>
        <row r="1075">
          <cell r="A1075">
            <v>101460</v>
          </cell>
          <cell r="B1075" t="str">
            <v>SINAPI</v>
          </cell>
          <cell r="C1075"/>
          <cell r="D1075" t="str">
            <v>Vigia Diurno com encargos complementares (mensalista)</v>
          </cell>
          <cell r="E1075"/>
          <cell r="F1075" t="str">
            <v>MES</v>
          </cell>
          <cell r="G1075">
            <v>3019.64</v>
          </cell>
          <cell r="H1075" t="str">
            <v>-</v>
          </cell>
        </row>
        <row r="1076">
          <cell r="A1076">
            <v>88326</v>
          </cell>
          <cell r="B1076" t="str">
            <v>SINAPI</v>
          </cell>
          <cell r="C1076"/>
          <cell r="D1076" t="str">
            <v>Vigia Noturno com encargos complementares (horista)</v>
          </cell>
          <cell r="E1076"/>
          <cell r="F1076" t="str">
            <v>H</v>
          </cell>
          <cell r="G1076">
            <v>21.08</v>
          </cell>
          <cell r="H1076" t="str">
            <v>-</v>
          </cell>
        </row>
        <row r="1077">
          <cell r="A1077" t="str">
            <v>AD/0001</v>
          </cell>
          <cell r="B1077" t="str">
            <v>COMPOSIÇÃO</v>
          </cell>
          <cell r="C1077"/>
          <cell r="D1077" t="str">
            <v>Entrada provisória de energia elétrica aérea, trifásica 40A, em poste de madeira</v>
          </cell>
          <cell r="E1077"/>
          <cell r="F1077" t="str">
            <v>UN</v>
          </cell>
          <cell r="G1077">
            <v>2658.95</v>
          </cell>
          <cell r="H1077" t="str">
            <v>-</v>
          </cell>
        </row>
        <row r="1078">
          <cell r="A1078">
            <v>14250</v>
          </cell>
          <cell r="B1078" t="str">
            <v>SINAPI</v>
          </cell>
          <cell r="C1078"/>
          <cell r="D1078" t="str">
            <v>Tarifa de consumo de energia elétrica comercial, baixa tensão</v>
          </cell>
          <cell r="E1078" t="str">
            <v>500 kW/h/mês</v>
          </cell>
          <cell r="F1078" t="str">
            <v xml:space="preserve">KWH   </v>
          </cell>
          <cell r="G1078">
            <v>1.1200000000000001</v>
          </cell>
          <cell r="H1078" t="str">
            <v>-</v>
          </cell>
        </row>
        <row r="1079">
          <cell r="A1079">
            <v>44480</v>
          </cell>
          <cell r="B1079" t="str">
            <v>SINAPI</v>
          </cell>
          <cell r="C1079"/>
          <cell r="D1079" t="str">
            <v>Tarifa "A" entre 0,00 a 20m3/mês, fornecimento de água</v>
          </cell>
          <cell r="E1079"/>
          <cell r="F1079" t="str">
            <v xml:space="preserve">M3    </v>
          </cell>
          <cell r="G1079">
            <v>21.19</v>
          </cell>
          <cell r="H1079" t="str">
            <v>-</v>
          </cell>
        </row>
        <row r="1080">
          <cell r="A1080" t="str">
            <v>AD/0002</v>
          </cell>
          <cell r="B1080" t="str">
            <v>COMPOSIÇÃO</v>
          </cell>
          <cell r="C1080" t="str">
            <v>V0</v>
          </cell>
          <cell r="D1080" t="str">
            <v xml:space="preserve"> VEÍCULO LEVE - 53 KW (SEM MOTORISTA) (116,49h CPI + 66h CHP - 182,49h MDO)(REF. SICRO COD. E9512)</v>
          </cell>
          <cell r="E1080"/>
          <cell r="F1080" t="str">
            <v>UN.MÊS</v>
          </cell>
          <cell r="G1080">
            <v>2914.22</v>
          </cell>
          <cell r="H1080" t="str">
            <v>-</v>
          </cell>
        </row>
        <row r="1081">
          <cell r="A1081" t="str">
            <v>AD/0003</v>
          </cell>
          <cell r="B1081" t="str">
            <v>COMPOSIÇÃO</v>
          </cell>
          <cell r="C1081" t="str">
            <v>V1</v>
          </cell>
          <cell r="D1081" t="str">
            <v xml:space="preserve"> CAMINHONETE - 71 A 115 CV (SEM MOTORISTA) (116,49h CPI + 66h CHP - 182,49h MDO)(REF. SINAPI COD. 92145)</v>
          </cell>
          <cell r="E1081"/>
          <cell r="F1081" t="str">
            <v>UN.MÊS</v>
          </cell>
          <cell r="G1081">
            <v>3809.44</v>
          </cell>
          <cell r="H1081" t="str">
            <v>-</v>
          </cell>
        </row>
        <row r="1082">
          <cell r="A1082" t="str">
            <v>AD/0004</v>
          </cell>
          <cell r="B1082" t="str">
            <v>COMPOSIÇÃO</v>
          </cell>
          <cell r="C1082" t="str">
            <v>V2</v>
          </cell>
          <cell r="D1082" t="str">
            <v xml:space="preserve"> VEÍCULO LEVE - 53 KW (SEM MOTORISTA) (116,49h CPI + 66h CHP - 182,49h MDO)(REF. SICRO COD. E9512)</v>
          </cell>
          <cell r="E1082"/>
          <cell r="F1082" t="str">
            <v>UN.MÊS</v>
          </cell>
          <cell r="G1082">
            <v>9112.98</v>
          </cell>
          <cell r="H1082" t="str">
            <v>-</v>
          </cell>
        </row>
        <row r="1083">
          <cell r="A1083" t="str">
            <v>AD/0005</v>
          </cell>
          <cell r="B1083" t="str">
            <v>COMPOSIÇÃO</v>
          </cell>
          <cell r="C1083" t="str">
            <v>V3</v>
          </cell>
          <cell r="D1083" t="str">
            <v xml:space="preserve"> VAN - 120 A 140 CV (COM MOTORISTA) (116,49h CPI + 66h CHP) (REF. SICRO COD. E9125)</v>
          </cell>
          <cell r="E1083"/>
          <cell r="F1083" t="str">
            <v>UN.MÊS</v>
          </cell>
          <cell r="G1083">
            <v>9532.91</v>
          </cell>
          <cell r="H1083" t="str">
            <v>-</v>
          </cell>
        </row>
        <row r="1084">
          <cell r="A1084" t="str">
            <v>B8958</v>
          </cell>
          <cell r="B1084" t="str">
            <v>DNIT/Consultoria</v>
          </cell>
          <cell r="C1084"/>
          <cell r="D1084" t="str">
            <v xml:space="preserve">Topografia </v>
          </cell>
          <cell r="E1084"/>
          <cell r="F1084" t="str">
            <v>mês</v>
          </cell>
          <cell r="G1084">
            <v>3200.23</v>
          </cell>
          <cell r="H1084" t="str">
            <v>-</v>
          </cell>
        </row>
        <row r="1085">
          <cell r="A1085" t="str">
            <v>B8957</v>
          </cell>
          <cell r="B1085" t="str">
            <v>DNIT/Consultoria</v>
          </cell>
          <cell r="C1085"/>
          <cell r="D1085" t="str">
            <v xml:space="preserve">Laboratório de solos </v>
          </cell>
          <cell r="E1085"/>
          <cell r="F1085" t="str">
            <v>mês</v>
          </cell>
          <cell r="G1085">
            <v>4402.2299999999996</v>
          </cell>
          <cell r="H1085" t="str">
            <v>-</v>
          </cell>
        </row>
        <row r="1086">
          <cell r="A1086" t="str">
            <v>E9512</v>
          </cell>
          <cell r="B1086" t="str">
            <v>SICRO</v>
          </cell>
          <cell r="C1086"/>
          <cell r="D1086" t="str">
            <v>Veículo leve - 53 kW (CHI)</v>
          </cell>
          <cell r="E1086"/>
          <cell r="F1086" t="str">
            <v>CHI</v>
          </cell>
          <cell r="G1086">
            <v>29.601299999999998</v>
          </cell>
          <cell r="H1086" t="str">
            <v>-</v>
          </cell>
        </row>
        <row r="1087">
          <cell r="A1087" t="str">
            <v>E9512</v>
          </cell>
          <cell r="B1087" t="str">
            <v>SICRO</v>
          </cell>
          <cell r="C1087"/>
          <cell r="D1087" t="str">
            <v>Veículo leve - 53 kW (CHP)</v>
          </cell>
          <cell r="E1087"/>
          <cell r="F1087" t="str">
            <v>CHP</v>
          </cell>
          <cell r="G1087">
            <v>56.1327</v>
          </cell>
          <cell r="H1087" t="str">
            <v>-</v>
          </cell>
        </row>
        <row r="1088">
          <cell r="A1088" t="str">
            <v>E9512</v>
          </cell>
          <cell r="B1088" t="str">
            <v>SICRO</v>
          </cell>
          <cell r="C1088"/>
          <cell r="D1088" t="str">
            <v>Veículo leve - 53 kW (MDO)</v>
          </cell>
          <cell r="E1088"/>
          <cell r="F1088" t="str">
            <v>H</v>
          </cell>
          <cell r="G1088">
            <v>23.227499999999999</v>
          </cell>
          <cell r="H1088" t="str">
            <v>-</v>
          </cell>
        </row>
        <row r="1089">
          <cell r="A1089" t="str">
            <v>E9684</v>
          </cell>
          <cell r="B1089" t="str">
            <v>SICRO</v>
          </cell>
          <cell r="C1089"/>
          <cell r="D1089" t="str">
            <v>Veículo leve Pick Up 4 x 4 - 147 kW (CHI)</v>
          </cell>
          <cell r="E1089"/>
          <cell r="F1089" t="str">
            <v>CHI</v>
          </cell>
          <cell r="G1089">
            <v>51.284100000000002</v>
          </cell>
          <cell r="H1089" t="str">
            <v>-</v>
          </cell>
        </row>
        <row r="1090">
          <cell r="A1090" t="str">
            <v>E9684</v>
          </cell>
          <cell r="B1090" t="str">
            <v>SICRO</v>
          </cell>
          <cell r="C1090"/>
          <cell r="D1090" t="str">
            <v>Veículo leve Pick Up 4 x 4 - 147 kW (CHP)</v>
          </cell>
          <cell r="E1090"/>
          <cell r="F1090" t="str">
            <v>CHP</v>
          </cell>
          <cell r="G1090">
            <v>111.78319999999999</v>
          </cell>
          <cell r="H1090" t="str">
            <v>-</v>
          </cell>
        </row>
        <row r="1091">
          <cell r="A1091" t="str">
            <v>E9684</v>
          </cell>
          <cell r="B1091" t="str">
            <v>SICRO</v>
          </cell>
          <cell r="C1091"/>
          <cell r="D1091" t="str">
            <v>Veículo leve Pick Up 4 x 4 - 147 kW (MDO)</v>
          </cell>
          <cell r="E1091"/>
          <cell r="F1091" t="str">
            <v>H</v>
          </cell>
          <cell r="G1091">
            <v>23.227499999999999</v>
          </cell>
          <cell r="H1091" t="str">
            <v>-</v>
          </cell>
        </row>
        <row r="1092">
          <cell r="A1092" t="str">
            <v>E9125</v>
          </cell>
          <cell r="B1092" t="str">
            <v>SICRO</v>
          </cell>
          <cell r="C1092"/>
          <cell r="D1092" t="str">
            <v>Van furgão - 93 kW (CHI)</v>
          </cell>
          <cell r="E1092"/>
          <cell r="F1092" t="str">
            <v>CHI</v>
          </cell>
          <cell r="G1092">
            <v>39.0687</v>
          </cell>
          <cell r="H1092" t="str">
            <v>-</v>
          </cell>
        </row>
        <row r="1093">
          <cell r="A1093" t="str">
            <v>E9125</v>
          </cell>
          <cell r="B1093" t="str">
            <v>SICRO</v>
          </cell>
          <cell r="C1093"/>
          <cell r="D1093" t="str">
            <v>Van furgão - 93 kW (CHP)</v>
          </cell>
          <cell r="E1093"/>
          <cell r="F1093" t="str">
            <v>CHP</v>
          </cell>
          <cell r="G1093">
            <v>75.481800000000007</v>
          </cell>
          <cell r="H1093" t="str">
            <v>-</v>
          </cell>
        </row>
        <row r="1094">
          <cell r="A1094">
            <v>92145</v>
          </cell>
          <cell r="B1094" t="str">
            <v>SINAPI</v>
          </cell>
          <cell r="C1094"/>
          <cell r="D1094" t="str">
            <v>Caminhonete cabine simples com motor 1.6 FLEX, câmbio manual, potência 101/104 CV, 2 portas - CHP diurno. AF_11/2015</v>
          </cell>
          <cell r="E1094"/>
          <cell r="F1094" t="str">
            <v>CHP</v>
          </cell>
          <cell r="G1094">
            <v>65.64</v>
          </cell>
          <cell r="H1094" t="str">
            <v>-</v>
          </cell>
        </row>
        <row r="1095">
          <cell r="A1095">
            <v>92146</v>
          </cell>
          <cell r="B1095" t="str">
            <v>SINAPI</v>
          </cell>
          <cell r="C1095"/>
          <cell r="D1095" t="str">
            <v>Caminhonete cabine simples com motor 1.6 FLEX, câmbio manual, potência 101/104 CV, 2 portas - CHI diurno. AF_11/2015</v>
          </cell>
          <cell r="E1095"/>
          <cell r="F1095" t="str">
            <v>CHI</v>
          </cell>
          <cell r="G1095">
            <v>25.23</v>
          </cell>
          <cell r="H1095" t="str">
            <v>-</v>
          </cell>
        </row>
        <row r="1096">
          <cell r="A1096">
            <v>88284</v>
          </cell>
          <cell r="B1096" t="str">
            <v>SINAPI</v>
          </cell>
          <cell r="C1096"/>
          <cell r="D1096" t="str">
            <v>Motorista de veículo leve com encargos complementares</v>
          </cell>
          <cell r="E1096"/>
          <cell r="F1096" t="str">
            <v>H</v>
          </cell>
          <cell r="G1096">
            <v>18.97</v>
          </cell>
          <cell r="H1096" t="str">
            <v>-</v>
          </cell>
        </row>
        <row r="1097">
          <cell r="A1097"/>
          <cell r="B1097"/>
          <cell r="C1097"/>
          <cell r="D1097"/>
          <cell r="E1097"/>
          <cell r="F1097"/>
          <cell r="G1097"/>
          <cell r="H1097"/>
        </row>
        <row r="1098">
          <cell r="A1098"/>
          <cell r="B1098"/>
          <cell r="C1098" t="str">
            <v>15.0</v>
          </cell>
          <cell r="D1098" t="str">
            <v>SERVIÇOS DE ENGENHARIA DE PROJETOS DE INFRAESTRUTURA URBANA</v>
          </cell>
          <cell r="E1098"/>
          <cell r="F1098"/>
          <cell r="G1098" t="str">
            <v>junho/2023</v>
          </cell>
          <cell r="H1098" t="str">
            <v/>
          </cell>
        </row>
        <row r="1099">
          <cell r="A1099" t="str">
            <v>ADM0002</v>
          </cell>
          <cell r="B1099" t="str">
            <v>COMPOSIÇÃO</v>
          </cell>
          <cell r="C1099" t="str">
            <v>AGESUL</v>
          </cell>
          <cell r="D1099" t="str">
            <v>Reprografia e montagem de relatório (texto e desenho)</v>
          </cell>
          <cell r="E1099">
            <v>0</v>
          </cell>
          <cell r="F1099" t="str">
            <v xml:space="preserve">un </v>
          </cell>
          <cell r="G1099">
            <v>675.66</v>
          </cell>
          <cell r="H1099" t="str">
            <v>-</v>
          </cell>
        </row>
        <row r="1100">
          <cell r="A1100" t="str">
            <v>ADM0001</v>
          </cell>
          <cell r="B1100" t="str">
            <v>COMPOSIÇÃO</v>
          </cell>
          <cell r="C1100" t="str">
            <v>AGESUL</v>
          </cell>
          <cell r="D1100" t="str">
            <v>Mobilização e desmobilização de equipe de técnica, distância acima de 20km</v>
          </cell>
          <cell r="E1100" t="str">
            <v>ATENÇÃO
Distância da Sede à obra</v>
          </cell>
          <cell r="F1100" t="str">
            <v>km</v>
          </cell>
          <cell r="G1100">
            <v>15.1</v>
          </cell>
          <cell r="H1100" t="str">
            <v>-</v>
          </cell>
        </row>
        <row r="1101">
          <cell r="A1101" t="str">
            <v>EG0005</v>
          </cell>
          <cell r="B1101" t="str">
            <v>COMPOSIÇÃO</v>
          </cell>
          <cell r="C1101" t="str">
            <v>AGESUL</v>
          </cell>
          <cell r="D1101" t="str">
            <v>Mobilização e desmobilização de equipe de geotecnia, distância maior que 20km</v>
          </cell>
          <cell r="E1101" t="str">
            <v>ATENÇÃO
Distância da Sede à obra</v>
          </cell>
          <cell r="F1101" t="str">
            <v>km</v>
          </cell>
          <cell r="G1101">
            <v>7.66</v>
          </cell>
          <cell r="H1101" t="str">
            <v>-</v>
          </cell>
        </row>
        <row r="1102">
          <cell r="A1102" t="str">
            <v>ET0003</v>
          </cell>
          <cell r="B1102" t="str">
            <v>COMPOSIÇÃO</v>
          </cell>
          <cell r="C1102" t="str">
            <v>AGESUL</v>
          </cell>
          <cell r="D1102" t="str">
            <v>Mobilização e desmobilização de equipe de topografia, distância maior que 20km</v>
          </cell>
          <cell r="E1102" t="str">
            <v>ATENÇÃO
Distância da Sede à obra</v>
          </cell>
          <cell r="F1102" t="str">
            <v>km</v>
          </cell>
          <cell r="G1102">
            <v>5.98</v>
          </cell>
          <cell r="H1102" t="str">
            <v>-</v>
          </cell>
        </row>
        <row r="1103">
          <cell r="A1103" t="str">
            <v>ARQ0003</v>
          </cell>
          <cell r="B1103" t="str">
            <v>COMPOSIÇÃO</v>
          </cell>
          <cell r="C1103" t="str">
            <v>AGESUL</v>
          </cell>
          <cell r="D1103" t="str">
            <v>Estudo conceitual para implantação de parque público - master plan</v>
          </cell>
          <cell r="E1103">
            <v>0</v>
          </cell>
          <cell r="F1103" t="str">
            <v xml:space="preserve">ha </v>
          </cell>
          <cell r="G1103">
            <v>1539.47</v>
          </cell>
          <cell r="H1103" t="str">
            <v>-</v>
          </cell>
        </row>
        <row r="1104">
          <cell r="A1104" t="str">
            <v>PFIU001</v>
          </cell>
          <cell r="B1104" t="str">
            <v>COMPOSIÇÃO</v>
          </cell>
          <cell r="C1104" t="str">
            <v>AGESUL</v>
          </cell>
          <cell r="D1104" t="str">
            <v>Elaboração de estudos de viabilidade para projetos de pavimentação, drenagem, sinalização viária, acessibilidade e orçamento</v>
          </cell>
          <cell r="E1104">
            <v>0</v>
          </cell>
          <cell r="F1104" t="str">
            <v>m²</v>
          </cell>
          <cell r="G1104">
            <v>0.48359999999999997</v>
          </cell>
          <cell r="H1104" t="str">
            <v>-</v>
          </cell>
        </row>
        <row r="1105">
          <cell r="A1105" t="str">
            <v>PFIU002</v>
          </cell>
          <cell r="B1105" t="str">
            <v>COMPOSIÇÃO</v>
          </cell>
          <cell r="C1105" t="str">
            <v>AGESUL</v>
          </cell>
          <cell r="D1105" t="str">
            <v>Elaboração de estudos de viabilidade para projetos de pavimentação, drenagem, sinalização viária, acessibilidade e orçamento</v>
          </cell>
          <cell r="E1105">
            <v>0</v>
          </cell>
          <cell r="F1105" t="str">
            <v>km</v>
          </cell>
          <cell r="G1105">
            <v>3387.1632</v>
          </cell>
          <cell r="H1105" t="str">
            <v>-</v>
          </cell>
        </row>
        <row r="1106">
          <cell r="A1106" t="str">
            <v>PBPC001</v>
          </cell>
          <cell r="B1106" t="str">
            <v>COMPOSIÇÃO</v>
          </cell>
          <cell r="C1106" t="str">
            <v>AGESUL</v>
          </cell>
          <cell r="D1106" t="str">
            <v>Elaboração de estudos de viabilidade para projeto funcional de OAE (ponte) em concreto armado inclusive estudos hidrológico e projeto de acessibilidade e sinalização viária. Exclusive serviços topográficos e geotécnicos</v>
          </cell>
          <cell r="E1106">
            <v>0</v>
          </cell>
          <cell r="F1106" t="str">
            <v>m</v>
          </cell>
          <cell r="G1106">
            <v>610.55999999999995</v>
          </cell>
          <cell r="H1106" t="str">
            <v>-</v>
          </cell>
        </row>
        <row r="1107">
          <cell r="A1107" t="str">
            <v>EHAU001</v>
          </cell>
          <cell r="B1107" t="str">
            <v>COMPOSIÇÃO</v>
          </cell>
          <cell r="C1107" t="str">
            <v>AGESUL</v>
          </cell>
          <cell r="D1107" t="str">
            <v>Elaboração de estudo hidrológico de área urbanizada</v>
          </cell>
          <cell r="E1107">
            <v>0</v>
          </cell>
          <cell r="F1107" t="str">
            <v xml:space="preserve">ha </v>
          </cell>
          <cell r="G1107">
            <v>22.16</v>
          </cell>
          <cell r="H1107" t="str">
            <v>-</v>
          </cell>
        </row>
        <row r="1108">
          <cell r="A1108" t="str">
            <v>EHAU002</v>
          </cell>
          <cell r="B1108" t="str">
            <v>COMPOSIÇÃO</v>
          </cell>
          <cell r="C1108" t="str">
            <v>AGESUL</v>
          </cell>
          <cell r="D1108" t="str">
            <v>Elaboração de estudo hidrológico de área rural</v>
          </cell>
          <cell r="E1108">
            <v>0</v>
          </cell>
          <cell r="F1108" t="str">
            <v>km²</v>
          </cell>
          <cell r="G1108">
            <v>1274.3599999999999</v>
          </cell>
          <cell r="H1108" t="str">
            <v>-</v>
          </cell>
        </row>
        <row r="1109">
          <cell r="A1109" t="str">
            <v>EG0001</v>
          </cell>
          <cell r="B1109" t="str">
            <v>COMPOSIÇÃO</v>
          </cell>
          <cell r="C1109" t="str">
            <v>AGESUL</v>
          </cell>
          <cell r="D1109" t="str">
            <v>Serviços geotécnicos de sondagem à trado ( 1 un com 2m de prof.) e ensaios de solo de granulometria por peneiramento, limites de liquidez e plasticidade, compactação e ISC na energia modificada (1 cj)</v>
          </cell>
          <cell r="E1109">
            <v>0</v>
          </cell>
          <cell r="F1109" t="str">
            <v xml:space="preserve">un </v>
          </cell>
          <cell r="G1109">
            <v>946.08</v>
          </cell>
          <cell r="H1109" t="str">
            <v>-</v>
          </cell>
        </row>
        <row r="1110">
          <cell r="A1110" t="str">
            <v>EG0012</v>
          </cell>
          <cell r="B1110" t="str">
            <v>COMPOSIÇÃO</v>
          </cell>
          <cell r="C1110" t="str">
            <v>AGESUL</v>
          </cell>
          <cell r="D1110" t="str">
            <v>Serviços geotécnicos de sondagem à trado (1un com 2m de prof.) e ensaios de solo de granulometria por peneiramento, limites de liquidez e plasticidade, compactação e ISC na energia intermediária (1cj)</v>
          </cell>
          <cell r="E1110">
            <v>0</v>
          </cell>
          <cell r="F1110" t="str">
            <v xml:space="preserve">un </v>
          </cell>
          <cell r="G1110">
            <v>788.08</v>
          </cell>
          <cell r="H1110" t="str">
            <v>-</v>
          </cell>
        </row>
        <row r="1111">
          <cell r="A1111" t="str">
            <v>EG0014</v>
          </cell>
          <cell r="B1111" t="str">
            <v>COMPOSIÇÃO</v>
          </cell>
          <cell r="C1111" t="str">
            <v>AGESUL</v>
          </cell>
          <cell r="D1111" t="str">
            <v>Serviços geotécnicos de sondagem à trado (1un com 2m de prof.) e ensaios de solo de granulometria por peneiramento, limites de liquidez e plasticidade, compactação e ISC na energia intermediária, com reuso de material (1cj)</v>
          </cell>
          <cell r="E1111">
            <v>0</v>
          </cell>
          <cell r="F1111" t="str">
            <v xml:space="preserve">un </v>
          </cell>
          <cell r="G1111">
            <v>591.04</v>
          </cell>
          <cell r="H1111" t="str">
            <v>-</v>
          </cell>
        </row>
        <row r="1112">
          <cell r="A1112" t="str">
            <v>EG0006</v>
          </cell>
          <cell r="B1112" t="str">
            <v>COMPOSIÇÃO</v>
          </cell>
          <cell r="C1112" t="str">
            <v>AGESUL</v>
          </cell>
          <cell r="D1112" t="str">
            <v>Deslocamento de equipamento entre furos em terreno plano, considerando a distância até 100m</v>
          </cell>
          <cell r="E1112"/>
          <cell r="F1112" t="str">
            <v xml:space="preserve">un </v>
          </cell>
          <cell r="G1112">
            <v>120.06</v>
          </cell>
          <cell r="H1112" t="str">
            <v>-</v>
          </cell>
        </row>
        <row r="1113">
          <cell r="A1113" t="str">
            <v>EG0007</v>
          </cell>
          <cell r="B1113" t="str">
            <v>COMPOSIÇÃO</v>
          </cell>
          <cell r="C1113" t="str">
            <v>AGESUL</v>
          </cell>
          <cell r="D1113" t="str">
            <v>Sondagem à percussão (SPT) com lavagem</v>
          </cell>
          <cell r="E1113">
            <v>0</v>
          </cell>
          <cell r="F1113" t="str">
            <v>m</v>
          </cell>
          <cell r="G1113">
            <v>170.21</v>
          </cell>
          <cell r="H1113" t="str">
            <v>-</v>
          </cell>
        </row>
        <row r="1114">
          <cell r="A1114" t="str">
            <v>EG0011</v>
          </cell>
          <cell r="B1114" t="str">
            <v>COMPOSIÇÃO</v>
          </cell>
          <cell r="C1114" t="str">
            <v>AGESUL</v>
          </cell>
          <cell r="D1114" t="str">
            <v>Avaliação e análise geotécnica de taludes e estabilidade de maciços em terra. Exclusive ensaios geotécnicos</v>
          </cell>
          <cell r="E1114">
            <v>0</v>
          </cell>
          <cell r="F1114" t="str">
            <v xml:space="preserve">un </v>
          </cell>
          <cell r="G1114">
            <v>15277.16</v>
          </cell>
          <cell r="H1114" t="str">
            <v>-</v>
          </cell>
        </row>
        <row r="1115">
          <cell r="A1115" t="str">
            <v>ETG0001</v>
          </cell>
          <cell r="B1115" t="str">
            <v>COMPOSIÇÃO</v>
          </cell>
          <cell r="C1115" t="str">
            <v>AGESUL</v>
          </cell>
          <cell r="D1115" t="str">
            <v>Elaboração de estudos topográficos e geotécnicos</v>
          </cell>
          <cell r="E1115">
            <v>0</v>
          </cell>
          <cell r="F1115" t="str">
            <v>km</v>
          </cell>
          <cell r="G1115">
            <v>11695.738200000002</v>
          </cell>
          <cell r="H1115" t="str">
            <v>-</v>
          </cell>
        </row>
        <row r="1116">
          <cell r="A1116" t="str">
            <v>ET0001</v>
          </cell>
          <cell r="B1116" t="str">
            <v>COMPOSIÇÃO</v>
          </cell>
          <cell r="C1116" t="str">
            <v>AGESUL</v>
          </cell>
          <cell r="D1116" t="str">
            <v>Levantamento topográfico por GPS ou voo aerofotogramétrico em áreas de difícil acesso, relevo acidentado e pouco habitada</v>
          </cell>
          <cell r="E1116">
            <v>0</v>
          </cell>
          <cell r="F1116" t="str">
            <v xml:space="preserve">ha </v>
          </cell>
          <cell r="G1116">
            <v>82.26</v>
          </cell>
          <cell r="H1116" t="str">
            <v>-</v>
          </cell>
        </row>
        <row r="1117">
          <cell r="A1117" t="str">
            <v>ET0002</v>
          </cell>
          <cell r="B1117" t="str">
            <v>COMPOSIÇÃO</v>
          </cell>
          <cell r="C1117" t="str">
            <v>AGESUL</v>
          </cell>
          <cell r="D1117" t="str">
            <v>Levantamento topográfico planialtimétrico semi-cadastral</v>
          </cell>
          <cell r="E1117">
            <v>0</v>
          </cell>
          <cell r="F1117" t="str">
            <v xml:space="preserve">ha </v>
          </cell>
          <cell r="G1117">
            <v>7697.75</v>
          </cell>
          <cell r="H1117" t="str">
            <v>-</v>
          </cell>
        </row>
        <row r="1118">
          <cell r="A1118" t="str">
            <v>PIU0001</v>
          </cell>
          <cell r="B1118" t="str">
            <v>COMPOSIÇÃO</v>
          </cell>
          <cell r="C1118" t="str">
            <v>AGESUL</v>
          </cell>
          <cell r="D1118" t="str">
            <v>Elaboração de projetos executivos geométrico, terraplenagem, pavimentação, drenagem superficial, galeria de água pluvial, sinalização viária e acessibilidade</v>
          </cell>
          <cell r="E1118" t="str">
            <v>ATENÇÃO                              Projeto com Drenagem</v>
          </cell>
          <cell r="F1118" t="str">
            <v>m²</v>
          </cell>
          <cell r="G1118">
            <v>3.31</v>
          </cell>
          <cell r="H1118" t="str">
            <v>-</v>
          </cell>
        </row>
        <row r="1119">
          <cell r="A1119" t="str">
            <v>PIU0006</v>
          </cell>
          <cell r="B1119" t="str">
            <v>COMPOSIÇÃO</v>
          </cell>
          <cell r="C1119" t="str">
            <v>AGESUL</v>
          </cell>
          <cell r="D1119" t="str">
            <v>Projeto executivo de terraplenagem, geométrico, pavimentação, sinalização viária e acessibilidade. Exclusive projeto de galeria de água pluvial</v>
          </cell>
          <cell r="E1119" t="str">
            <v>ATENÇÃO                              Projeto sem Drenagem</v>
          </cell>
          <cell r="F1119" t="str">
            <v>m²</v>
          </cell>
          <cell r="G1119">
            <v>2.56</v>
          </cell>
          <cell r="H1119" t="str">
            <v>-</v>
          </cell>
        </row>
        <row r="1120">
          <cell r="A1120" t="str">
            <v>PIU0004</v>
          </cell>
          <cell r="B1120" t="str">
            <v>COMPOSIÇÃO</v>
          </cell>
          <cell r="C1120" t="str">
            <v>AGESUL</v>
          </cell>
          <cell r="D1120" t="str">
            <v>Elaboração de projeto executivo de galerias de drenagem de águas pluviais. Exclusive serviços topográficos e geotécnicos</v>
          </cell>
          <cell r="E1120" t="str">
            <v>ATENÇÃO                                                trechos fora da pavimentação e em recapeamento</v>
          </cell>
          <cell r="F1120" t="str">
            <v>m</v>
          </cell>
          <cell r="G1120">
            <v>7.61</v>
          </cell>
          <cell r="H1120" t="str">
            <v>-</v>
          </cell>
        </row>
        <row r="1121">
          <cell r="A1121" t="str">
            <v>PIU0003</v>
          </cell>
          <cell r="B1121" t="str">
            <v>COMPOSIÇÃO</v>
          </cell>
          <cell r="C1121" t="str">
            <v>AGESUL</v>
          </cell>
          <cell r="D1121" t="str">
    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    </cell>
          <cell r="E1121">
            <v>0</v>
          </cell>
          <cell r="F1121" t="str">
            <v xml:space="preserve">un </v>
          </cell>
          <cell r="G1121">
            <v>37247.769999999997</v>
          </cell>
          <cell r="H1121" t="str">
            <v>-</v>
          </cell>
        </row>
        <row r="1122">
          <cell r="A1122" t="str">
            <v>PIU0014</v>
          </cell>
          <cell r="B1122" t="str">
            <v>COMPOSIÇÃO</v>
          </cell>
          <cell r="C1122" t="str">
            <v>AGESUL</v>
          </cell>
          <cell r="D1122" t="str">
            <v>Elaboração projeto executivo de calçada em via urbana, incluindo estudos topográficos e acessibilidade</v>
          </cell>
          <cell r="E1122">
            <v>0</v>
          </cell>
          <cell r="F1122" t="str">
            <v>km</v>
          </cell>
          <cell r="G1122">
            <v>3213.93</v>
          </cell>
          <cell r="H1122" t="str">
            <v>-</v>
          </cell>
        </row>
        <row r="1123">
          <cell r="A1123" t="str">
            <v>PIU0015</v>
          </cell>
          <cell r="B1123" t="str">
            <v>COMPOSIÇÃO</v>
          </cell>
          <cell r="C1123" t="str">
            <v>AGESUL</v>
          </cell>
          <cell r="D1123" t="str">
            <v>Elaboração projeto executivo de ciclovia e ciclofaixa em via urbana, incluindo estudos topográficos e projeto de sinalização viária e acessibilidade</v>
          </cell>
          <cell r="E1123">
            <v>0</v>
          </cell>
          <cell r="F1123" t="str">
            <v>km</v>
          </cell>
          <cell r="G1123">
            <v>3623.39</v>
          </cell>
          <cell r="H1123" t="str">
            <v>-</v>
          </cell>
        </row>
        <row r="1124">
          <cell r="A1124" t="str">
            <v>PRIU003</v>
          </cell>
          <cell r="B1124" t="str">
            <v>COMPOSIÇÃO</v>
          </cell>
          <cell r="C1124" t="str">
            <v>AGESUL</v>
          </cell>
          <cell r="D1124" t="str">
            <v>Elaboração de estudo de avaliação estrutural do pavimento – viga benkelman e/ou Falling Weight Deflectometer - FWD. Extensão mínima 20 km</v>
          </cell>
          <cell r="E1124">
            <v>0</v>
          </cell>
          <cell r="F1124" t="str">
            <v>km.faixa</v>
          </cell>
          <cell r="G1124">
            <v>330.62</v>
          </cell>
          <cell r="H1124" t="str">
            <v>-</v>
          </cell>
        </row>
        <row r="1125">
          <cell r="A1125" t="str">
            <v>PRIU002</v>
          </cell>
          <cell r="B1125" t="str">
            <v>COMPOSIÇÃO</v>
          </cell>
          <cell r="C1125" t="str">
            <v>AGESUL</v>
          </cell>
          <cell r="D1125" t="str">
            <v>Elaboração projeto de restauração funcional do pavimento, incluindo estudos topográficos e geotécnicos, projetos drenagem superficial, sinalização viária e acessibilidade</v>
          </cell>
          <cell r="E1125">
            <v>0</v>
          </cell>
          <cell r="F1125" t="str">
            <v>m²</v>
          </cell>
          <cell r="G1125">
            <v>2.0299999999999998</v>
          </cell>
          <cell r="H1125" t="str">
            <v>-</v>
          </cell>
        </row>
        <row r="1126">
          <cell r="A1126" t="str">
            <v>PIP001</v>
          </cell>
          <cell r="B1126" t="str">
            <v>COMPOSIÇÃO</v>
          </cell>
          <cell r="C1126" t="str">
            <v>AGESUL</v>
          </cell>
          <cell r="D1126" t="str">
            <v>Elaboração projeto executivo de iluminação pública</v>
          </cell>
          <cell r="E1126">
            <v>0</v>
          </cell>
          <cell r="F1126" t="str">
            <v>km</v>
          </cell>
          <cell r="G1126">
            <v>3544.59</v>
          </cell>
          <cell r="H1126" t="str">
            <v>-</v>
          </cell>
        </row>
        <row r="1127">
          <cell r="A1127" t="str">
            <v>PEPC001</v>
          </cell>
          <cell r="B1127" t="str">
            <v>COMPOSIÇÃO</v>
          </cell>
          <cell r="C1127" t="str">
            <v>AGESUL</v>
          </cell>
          <cell r="D1127" t="str">
            <v>Elaboração de projeto estrutural de OAE (ponte) em concreto armado inclusive estudos hidrológico e projeto de acessibilidade e sinalização viária. Exclusive serviços topográficos e geotécnicos</v>
          </cell>
          <cell r="E1127">
            <v>0</v>
          </cell>
          <cell r="F1127" t="str">
            <v>m²</v>
          </cell>
          <cell r="G1127">
            <v>118.57</v>
          </cell>
          <cell r="H1127" t="str">
            <v>-</v>
          </cell>
        </row>
        <row r="1128">
          <cell r="A1128" t="str">
            <v>PIU0008</v>
          </cell>
          <cell r="B1128" t="str">
            <v>COMPOSIÇÃO</v>
          </cell>
          <cell r="C1128" t="str">
            <v>AGESUL</v>
          </cell>
          <cell r="D1128" t="str">
    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    </cell>
          <cell r="E1128">
            <v>0</v>
          </cell>
          <cell r="F1128" t="str">
            <v xml:space="preserve">ha </v>
          </cell>
          <cell r="G1128">
            <v>11254.43</v>
          </cell>
          <cell r="H1128" t="str">
            <v>-</v>
          </cell>
        </row>
        <row r="1129">
          <cell r="A1129" t="str">
            <v>PIU0011</v>
          </cell>
          <cell r="B1129" t="str">
            <v>COMPOSIÇÃO</v>
          </cell>
          <cell r="C1129" t="str">
            <v>AGESUL</v>
          </cell>
          <cell r="D1129" t="str">
            <v>Elaboração de projeto executivo de bacia de amortecimento de drenagem de águas pluviais. Exclusive serviços topográficos e geotécnicos e projeto estrutural de contenção de talude</v>
          </cell>
          <cell r="E1129">
            <v>0</v>
          </cell>
          <cell r="F1129" t="str">
            <v>m³</v>
          </cell>
          <cell r="G1129">
            <v>2.17</v>
          </cell>
          <cell r="H1129" t="str">
            <v>-</v>
          </cell>
        </row>
        <row r="1130">
          <cell r="A1130" t="str">
            <v>PIU0005</v>
          </cell>
          <cell r="B1130" t="str">
            <v>COMPOSIÇÃO</v>
          </cell>
          <cell r="C1130" t="str">
            <v>AGESUL</v>
          </cell>
          <cell r="D1130" t="str">
            <v>Elaboração de projeto executivo estrutural e hidráulico de dispositivos de controle de velocidade e vazão de águas pluviais em concreto ou similar, até 50 m³</v>
          </cell>
          <cell r="E1130">
            <v>0</v>
          </cell>
          <cell r="F1130" t="str">
            <v>m³</v>
          </cell>
          <cell r="G1130">
            <v>186.36</v>
          </cell>
          <cell r="H1130" t="str">
            <v>-</v>
          </cell>
        </row>
        <row r="1131">
          <cell r="A1131" t="str">
            <v>PIU0009</v>
          </cell>
          <cell r="B1131" t="str">
            <v>COMPOSIÇÃO</v>
          </cell>
          <cell r="C1131" t="str">
            <v>AGESUL</v>
          </cell>
          <cell r="D1131" t="str">
            <v>Elaboração de projeto estrutural de estabilização de taludes através de muro de arrimo de peso e/ou gabião. Exclusive serviços topográficos e geotécnicos</v>
          </cell>
          <cell r="E1131">
            <v>0</v>
          </cell>
          <cell r="F1131" t="str">
            <v>m²</v>
          </cell>
          <cell r="G1131">
            <v>12.04</v>
          </cell>
          <cell r="H1131" t="str">
            <v>-</v>
          </cell>
        </row>
        <row r="1132">
          <cell r="A1132" t="str">
            <v>PIU0010</v>
          </cell>
          <cell r="B1132" t="str">
            <v>COMPOSIÇÃO</v>
          </cell>
          <cell r="C1132" t="str">
            <v>AGESUL</v>
          </cell>
          <cell r="D1132" t="str">
            <v>Elaboração de projeto estrutural de estabilização de taludes através de muro em concreto armado e/ou cortina atirantada. Exclusive serviços topográficos e geotécnicos</v>
          </cell>
          <cell r="E1132">
            <v>0</v>
          </cell>
          <cell r="F1132" t="str">
            <v>m²</v>
          </cell>
          <cell r="G1132">
            <v>38.53</v>
          </cell>
          <cell r="H1132" t="str">
            <v>-</v>
          </cell>
        </row>
        <row r="1133">
          <cell r="A1133" t="str">
            <v>PIU0013</v>
          </cell>
          <cell r="B1133" t="str">
            <v>COMPOSIÇÃO</v>
          </cell>
          <cell r="C1133" t="str">
            <v>AGESUL</v>
          </cell>
          <cell r="D1133" t="str">
            <v>Elaboração de estudos e projetos executivo de adequação de capacidade hidráulica e estrutural de bueiro rodoviário. Exclusive serviços topográficos e geotécnicos</v>
          </cell>
          <cell r="E1133">
            <v>0</v>
          </cell>
          <cell r="F1133" t="str">
            <v xml:space="preserve">un </v>
          </cell>
          <cell r="G1133">
            <v>6505.18</v>
          </cell>
          <cell r="H1133" t="str">
            <v>-</v>
          </cell>
        </row>
        <row r="1134">
          <cell r="A1134" t="str">
            <v>ORINF</v>
          </cell>
          <cell r="B1134" t="str">
            <v>COMPOSIÇÃO</v>
          </cell>
          <cell r="C1134" t="str">
            <v>AGESUL</v>
          </cell>
          <cell r="D1134" t="str">
            <v>Orçamento de obras, cronograma, composições, cotações e plano de execução das obras</v>
          </cell>
          <cell r="E1134">
            <v>0</v>
          </cell>
          <cell r="F1134" t="str">
            <v>km</v>
          </cell>
          <cell r="G1134">
            <v>1267.1500000000001</v>
          </cell>
          <cell r="H1134" t="str">
            <v>-</v>
          </cell>
        </row>
        <row r="1135">
          <cell r="A1135" t="str">
            <v>LI-AMB</v>
          </cell>
          <cell r="B1135" t="str">
            <v>COMPOSIÇÃO</v>
          </cell>
          <cell r="C1135" t="str">
            <v>AGESUL</v>
          </cell>
          <cell r="D1135" t="str">
            <v>Licenciamento Ambiental para projeto de lançamento de drenagem de águas pluviais</v>
          </cell>
          <cell r="E1135">
            <v>0</v>
          </cell>
          <cell r="F1135" t="str">
            <v xml:space="preserve">un </v>
          </cell>
          <cell r="G1135">
            <v>25624.13</v>
          </cell>
          <cell r="H1135" t="str">
            <v>-</v>
          </cell>
        </row>
        <row r="1136">
          <cell r="A1136" t="str">
            <v>PIU0007</v>
          </cell>
          <cell r="B1136" t="str">
            <v>COMPOSIÇÃO</v>
          </cell>
          <cell r="C1136" t="str">
            <v>AGESUL</v>
          </cell>
          <cell r="D1136" t="str">
            <v>Elaboração de projeto executivo de combate e controle de erosão, compreendendo terraplenagem, geometria e drenagem. Exclusive projeto estrutural</v>
          </cell>
          <cell r="E1136">
            <v>0</v>
          </cell>
          <cell r="F1136" t="str">
            <v>m</v>
          </cell>
          <cell r="G1136" t="str">
            <v>descontinuada</v>
          </cell>
          <cell r="H1136" t="str">
            <v>-</v>
          </cell>
        </row>
        <row r="1137">
          <cell r="A1137" t="str">
            <v>PIU0012</v>
          </cell>
          <cell r="B1137" t="str">
            <v>COMPOSIÇÃO</v>
          </cell>
          <cell r="C1137" t="str">
            <v>AGESUL</v>
          </cell>
          <cell r="D1137" t="str">
            <v>Elaboração de projeto básico de controle de erosão, compreendendo concepção de obras estruturantes, terraplenagem, geometria e drenagem. Exclusive projeto estrutural</v>
          </cell>
          <cell r="E1137">
            <v>0</v>
          </cell>
          <cell r="F1137" t="str">
            <v>m</v>
          </cell>
          <cell r="G1137" t="str">
            <v>descontinuada</v>
          </cell>
          <cell r="H1137" t="str">
            <v>-</v>
          </cell>
        </row>
        <row r="1138">
          <cell r="A1138" t="str">
            <v>PIU0002</v>
          </cell>
          <cell r="B1138" t="str">
            <v>COMPOSIÇÃO</v>
          </cell>
          <cell r="C1138" t="str">
            <v>AGESUL</v>
          </cell>
          <cell r="D1138" t="str">
            <v>Elaboração de projeto executivo de drenagem em área de inundação</v>
          </cell>
          <cell r="E1138">
            <v>0</v>
          </cell>
          <cell r="F1138" t="str">
            <v>ha</v>
          </cell>
          <cell r="G1138" t="str">
            <v>descontinuada</v>
          </cell>
          <cell r="H1138" t="str">
            <v>-</v>
          </cell>
        </row>
        <row r="1154">
          <cell r="D1154"/>
          <cell r="E1154"/>
          <cell r="F1154"/>
          <cell r="G1154"/>
        </row>
        <row r="1155">
          <cell r="D1155"/>
          <cell r="E1155"/>
          <cell r="F1155"/>
          <cell r="G1155"/>
        </row>
        <row r="1156">
          <cell r="D1156"/>
          <cell r="E1156"/>
          <cell r="F1156"/>
          <cell r="G1156"/>
        </row>
        <row r="1157">
          <cell r="D1157"/>
          <cell r="E1157"/>
          <cell r="F1157"/>
          <cell r="G1157"/>
        </row>
        <row r="1158">
          <cell r="D1158"/>
          <cell r="E1158"/>
          <cell r="F1158"/>
          <cell r="G1158"/>
        </row>
        <row r="1159">
          <cell r="D1159"/>
          <cell r="E1159"/>
          <cell r="F1159"/>
          <cell r="G1159"/>
        </row>
        <row r="1160">
          <cell r="D1160"/>
          <cell r="E1160"/>
          <cell r="F1160"/>
          <cell r="G1160"/>
        </row>
        <row r="1161">
          <cell r="D1161"/>
          <cell r="E1161"/>
          <cell r="F1161"/>
          <cell r="G1161"/>
        </row>
        <row r="1162">
          <cell r="D1162"/>
          <cell r="E1162"/>
          <cell r="F1162"/>
          <cell r="G1162"/>
        </row>
        <row r="1163">
          <cell r="D1163"/>
          <cell r="E1163"/>
          <cell r="F1163"/>
          <cell r="G1163"/>
        </row>
        <row r="1164">
          <cell r="D1164"/>
          <cell r="E1164"/>
          <cell r="F1164"/>
          <cell r="G1164"/>
        </row>
        <row r="1165">
          <cell r="D1165"/>
          <cell r="E1165"/>
          <cell r="F1165"/>
          <cell r="G1165"/>
        </row>
        <row r="1166">
          <cell r="D1166"/>
          <cell r="E1166"/>
          <cell r="F1166"/>
          <cell r="G1166"/>
        </row>
        <row r="1167">
          <cell r="D1167"/>
          <cell r="E1167"/>
          <cell r="F1167"/>
          <cell r="G1167"/>
        </row>
        <row r="1168">
          <cell r="D1168"/>
          <cell r="E1168"/>
          <cell r="F1168"/>
          <cell r="G1168"/>
        </row>
        <row r="1169">
          <cell r="D1169"/>
          <cell r="E1169"/>
          <cell r="F1169"/>
          <cell r="G1169"/>
        </row>
        <row r="1170">
          <cell r="D1170"/>
          <cell r="E1170"/>
          <cell r="F1170"/>
          <cell r="G1170"/>
        </row>
        <row r="1171">
          <cell r="D1171"/>
          <cell r="E1171"/>
          <cell r="F1171"/>
          <cell r="G1171"/>
        </row>
        <row r="1172">
          <cell r="D1172"/>
          <cell r="E1172"/>
          <cell r="F1172"/>
          <cell r="G1172"/>
        </row>
        <row r="1173">
          <cell r="D1173"/>
          <cell r="E1173"/>
          <cell r="F1173"/>
          <cell r="G1173"/>
        </row>
        <row r="1174">
          <cell r="D1174"/>
          <cell r="E1174"/>
          <cell r="F1174"/>
          <cell r="G1174"/>
        </row>
        <row r="1175">
          <cell r="D1175"/>
          <cell r="E1175"/>
          <cell r="F1175"/>
          <cell r="G1175"/>
        </row>
        <row r="1176">
          <cell r="D1176"/>
          <cell r="E1176"/>
          <cell r="F1176"/>
          <cell r="G1176"/>
        </row>
        <row r="1177">
          <cell r="D1177"/>
          <cell r="E1177"/>
          <cell r="F1177"/>
          <cell r="G1177"/>
        </row>
        <row r="1178">
          <cell r="D1178"/>
          <cell r="E1178"/>
          <cell r="F1178"/>
          <cell r="G1178"/>
        </row>
        <row r="1179">
          <cell r="D1179"/>
          <cell r="E1179"/>
          <cell r="F1179"/>
          <cell r="G1179"/>
        </row>
        <row r="1180">
          <cell r="D1180"/>
          <cell r="E1180"/>
          <cell r="F1180"/>
          <cell r="G1180"/>
        </row>
        <row r="1181">
          <cell r="D1181"/>
          <cell r="E1181"/>
          <cell r="F1181"/>
          <cell r="G1181"/>
        </row>
        <row r="1182">
          <cell r="D1182"/>
          <cell r="E1182"/>
          <cell r="F1182"/>
          <cell r="G1182"/>
        </row>
        <row r="1183">
          <cell r="D1183"/>
          <cell r="E1183"/>
          <cell r="F1183"/>
          <cell r="G1183"/>
        </row>
        <row r="1184">
          <cell r="D1184"/>
          <cell r="E1184"/>
          <cell r="F1184"/>
          <cell r="G1184"/>
        </row>
        <row r="1185">
          <cell r="D1185"/>
          <cell r="E1185"/>
          <cell r="F1185"/>
          <cell r="G1185"/>
        </row>
        <row r="1186">
          <cell r="D1186"/>
          <cell r="E1186"/>
          <cell r="F1186"/>
          <cell r="G1186"/>
        </row>
        <row r="1187">
          <cell r="D1187"/>
          <cell r="E1187"/>
          <cell r="F1187"/>
          <cell r="G1187"/>
        </row>
        <row r="1188">
          <cell r="D1188"/>
          <cell r="E1188"/>
          <cell r="F1188"/>
          <cell r="G1188"/>
        </row>
        <row r="1189">
          <cell r="D1189"/>
          <cell r="E1189"/>
          <cell r="F1189"/>
          <cell r="G1189"/>
        </row>
        <row r="1190">
          <cell r="D1190"/>
          <cell r="E1190"/>
          <cell r="F1190"/>
          <cell r="G1190"/>
        </row>
        <row r="1191">
          <cell r="D1191"/>
          <cell r="E1191"/>
          <cell r="F1191"/>
          <cell r="G1191"/>
        </row>
        <row r="1192">
          <cell r="D1192"/>
          <cell r="E1192"/>
          <cell r="F1192"/>
          <cell r="G1192"/>
        </row>
        <row r="1193">
          <cell r="D1193"/>
          <cell r="E1193"/>
          <cell r="F1193"/>
          <cell r="G1193"/>
        </row>
        <row r="1194">
          <cell r="D1194"/>
          <cell r="E1194"/>
          <cell r="F1194"/>
          <cell r="G1194"/>
        </row>
        <row r="1195">
          <cell r="D1195"/>
          <cell r="E1195"/>
          <cell r="F1195"/>
          <cell r="G1195"/>
        </row>
        <row r="1196">
          <cell r="D1196"/>
          <cell r="E1196"/>
          <cell r="F1196"/>
          <cell r="G1196"/>
        </row>
        <row r="1197">
          <cell r="D1197"/>
          <cell r="E1197"/>
          <cell r="F1197"/>
          <cell r="G1197"/>
        </row>
        <row r="1198">
          <cell r="D1198"/>
          <cell r="E1198"/>
          <cell r="F1198"/>
          <cell r="G1198"/>
        </row>
        <row r="1199">
          <cell r="D1199"/>
          <cell r="E1199"/>
          <cell r="F1199"/>
          <cell r="G1199"/>
        </row>
        <row r="1200">
          <cell r="D1200"/>
          <cell r="E1200"/>
          <cell r="F1200"/>
          <cell r="G1200"/>
        </row>
        <row r="1201">
          <cell r="D1201"/>
          <cell r="E1201"/>
          <cell r="F1201"/>
          <cell r="G1201"/>
        </row>
        <row r="1202">
          <cell r="D1202"/>
          <cell r="E1202"/>
          <cell r="F1202"/>
          <cell r="G1202"/>
        </row>
        <row r="1203">
          <cell r="D1203"/>
          <cell r="E1203"/>
          <cell r="F1203"/>
          <cell r="G1203"/>
        </row>
        <row r="1204">
          <cell r="D1204"/>
          <cell r="E1204"/>
          <cell r="F1204"/>
          <cell r="G1204"/>
        </row>
        <row r="1205">
          <cell r="D1205"/>
          <cell r="E1205"/>
          <cell r="F1205"/>
          <cell r="G1205"/>
        </row>
        <row r="1206">
          <cell r="D1206"/>
          <cell r="E1206"/>
          <cell r="F1206"/>
          <cell r="G1206"/>
        </row>
        <row r="1207">
          <cell r="D1207"/>
          <cell r="E1207"/>
          <cell r="F1207"/>
          <cell r="G1207"/>
        </row>
        <row r="1208">
          <cell r="D1208"/>
          <cell r="E1208"/>
          <cell r="F1208"/>
          <cell r="G1208"/>
        </row>
        <row r="1209">
          <cell r="D1209"/>
          <cell r="E1209"/>
          <cell r="F1209"/>
          <cell r="G1209"/>
        </row>
        <row r="1210">
          <cell r="D1210"/>
          <cell r="E1210"/>
          <cell r="F1210"/>
          <cell r="G1210"/>
        </row>
        <row r="1211">
          <cell r="D1211"/>
          <cell r="E1211"/>
          <cell r="F1211"/>
          <cell r="G1211"/>
        </row>
        <row r="1212">
          <cell r="D1212"/>
          <cell r="E1212"/>
          <cell r="F1212"/>
          <cell r="G1212"/>
        </row>
        <row r="1213">
          <cell r="D1213"/>
          <cell r="E1213"/>
          <cell r="F1213"/>
          <cell r="G1213"/>
        </row>
        <row r="1214">
          <cell r="D1214"/>
          <cell r="E1214"/>
          <cell r="F1214"/>
          <cell r="G1214"/>
        </row>
        <row r="1215">
          <cell r="D1215"/>
          <cell r="E1215"/>
          <cell r="F1215"/>
          <cell r="G1215"/>
        </row>
        <row r="1216">
          <cell r="D1216"/>
          <cell r="E1216"/>
          <cell r="F1216"/>
          <cell r="G1216"/>
        </row>
        <row r="1217">
          <cell r="D1217"/>
          <cell r="E1217"/>
          <cell r="F1217"/>
          <cell r="G1217"/>
        </row>
        <row r="1218">
          <cell r="D1218"/>
          <cell r="E1218"/>
          <cell r="F1218"/>
          <cell r="G1218"/>
        </row>
        <row r="1219">
          <cell r="D1219"/>
          <cell r="E1219"/>
          <cell r="F1219"/>
          <cell r="G1219"/>
        </row>
        <row r="1220">
          <cell r="D1220"/>
          <cell r="E1220"/>
          <cell r="F1220"/>
          <cell r="G1220"/>
        </row>
        <row r="1221">
          <cell r="D1221"/>
          <cell r="E1221"/>
          <cell r="F1221"/>
          <cell r="G1221"/>
        </row>
        <row r="1222">
          <cell r="D1222"/>
          <cell r="E1222"/>
          <cell r="F1222"/>
          <cell r="G1222"/>
        </row>
        <row r="1223">
          <cell r="D1223"/>
          <cell r="E1223"/>
          <cell r="F1223"/>
          <cell r="G1223"/>
        </row>
        <row r="1224">
          <cell r="D1224"/>
          <cell r="E1224"/>
          <cell r="F1224"/>
          <cell r="G1224"/>
        </row>
        <row r="1225">
          <cell r="D1225"/>
          <cell r="E1225"/>
          <cell r="F1225"/>
          <cell r="G1225"/>
        </row>
        <row r="1226">
          <cell r="D1226"/>
          <cell r="E1226"/>
          <cell r="F1226"/>
          <cell r="G1226"/>
        </row>
        <row r="1227">
          <cell r="D1227"/>
          <cell r="E1227"/>
          <cell r="F1227"/>
          <cell r="G1227"/>
        </row>
        <row r="1228">
          <cell r="D1228"/>
          <cell r="E1228"/>
          <cell r="F1228"/>
          <cell r="G1228"/>
        </row>
        <row r="1229">
          <cell r="D1229"/>
          <cell r="E1229"/>
          <cell r="F1229"/>
          <cell r="G1229"/>
        </row>
        <row r="1230">
          <cell r="D1230"/>
          <cell r="E1230"/>
          <cell r="F1230"/>
          <cell r="G1230"/>
        </row>
        <row r="1231">
          <cell r="D1231"/>
          <cell r="E1231"/>
          <cell r="F1231"/>
          <cell r="G1231"/>
        </row>
        <row r="1232">
          <cell r="D1232"/>
          <cell r="E1232"/>
          <cell r="F1232"/>
          <cell r="G1232"/>
        </row>
        <row r="1233">
          <cell r="D1233"/>
          <cell r="E1233"/>
          <cell r="F1233"/>
          <cell r="G1233"/>
        </row>
        <row r="1234">
          <cell r="D1234"/>
          <cell r="E1234"/>
          <cell r="F1234"/>
          <cell r="G1234"/>
        </row>
        <row r="1235">
          <cell r="D1235"/>
          <cell r="E1235"/>
          <cell r="F1235"/>
          <cell r="G1235"/>
        </row>
        <row r="1236">
          <cell r="D1236"/>
          <cell r="E1236"/>
          <cell r="F1236"/>
          <cell r="G1236"/>
        </row>
        <row r="1237">
          <cell r="D1237"/>
          <cell r="E1237"/>
          <cell r="F1237"/>
          <cell r="G1237"/>
        </row>
        <row r="1238">
          <cell r="D1238"/>
          <cell r="E1238"/>
          <cell r="F1238"/>
          <cell r="G1238"/>
        </row>
        <row r="1239">
          <cell r="D1239"/>
          <cell r="E1239"/>
          <cell r="F1239"/>
          <cell r="G1239"/>
        </row>
        <row r="1240">
          <cell r="D1240"/>
          <cell r="E1240"/>
          <cell r="F1240"/>
          <cell r="G1240"/>
        </row>
        <row r="1241">
          <cell r="D1241"/>
          <cell r="E1241"/>
          <cell r="F1241"/>
          <cell r="G1241"/>
        </row>
        <row r="1242">
          <cell r="D1242"/>
          <cell r="E1242"/>
          <cell r="F1242"/>
          <cell r="G1242"/>
        </row>
        <row r="1243">
          <cell r="D1243"/>
          <cell r="E1243"/>
          <cell r="F1243"/>
          <cell r="G1243"/>
        </row>
        <row r="1244">
          <cell r="D1244"/>
          <cell r="E1244"/>
          <cell r="F1244"/>
          <cell r="G1244"/>
        </row>
        <row r="1245">
          <cell r="D1245"/>
          <cell r="E1245"/>
          <cell r="F1245"/>
          <cell r="G1245"/>
        </row>
        <row r="1246">
          <cell r="D1246"/>
          <cell r="E1246"/>
          <cell r="F1246"/>
          <cell r="G1246"/>
        </row>
        <row r="1247">
          <cell r="D1247"/>
          <cell r="E1247"/>
          <cell r="F1247"/>
          <cell r="G1247"/>
        </row>
        <row r="1248">
          <cell r="D1248"/>
          <cell r="E1248"/>
          <cell r="F1248"/>
          <cell r="G1248"/>
        </row>
        <row r="1249">
          <cell r="D1249"/>
          <cell r="E1249"/>
          <cell r="F1249"/>
          <cell r="G1249"/>
        </row>
        <row r="1250">
          <cell r="D1250"/>
          <cell r="E1250"/>
          <cell r="F1250"/>
          <cell r="G1250"/>
        </row>
        <row r="1251">
          <cell r="D1251"/>
          <cell r="E1251"/>
          <cell r="F1251"/>
          <cell r="G1251"/>
        </row>
        <row r="1252">
          <cell r="D1252"/>
          <cell r="E1252"/>
          <cell r="F1252"/>
          <cell r="G1252"/>
        </row>
        <row r="1253">
          <cell r="D1253"/>
          <cell r="E1253"/>
          <cell r="F1253"/>
          <cell r="G1253"/>
        </row>
        <row r="1254">
          <cell r="D1254"/>
          <cell r="E1254"/>
          <cell r="F1254"/>
          <cell r="G1254"/>
        </row>
        <row r="1255">
          <cell r="D1255"/>
          <cell r="E1255"/>
          <cell r="F1255"/>
          <cell r="G1255"/>
        </row>
        <row r="1256">
          <cell r="D1256"/>
          <cell r="E1256"/>
          <cell r="F1256"/>
          <cell r="G1256"/>
        </row>
        <row r="1257">
          <cell r="D1257"/>
          <cell r="E1257"/>
          <cell r="F1257"/>
          <cell r="G1257"/>
        </row>
        <row r="1258">
          <cell r="D1258"/>
          <cell r="E1258"/>
          <cell r="F1258"/>
          <cell r="G1258"/>
        </row>
        <row r="1259">
          <cell r="D1259"/>
          <cell r="E1259"/>
          <cell r="F1259"/>
          <cell r="G1259"/>
        </row>
        <row r="1260">
          <cell r="D1260"/>
          <cell r="E1260"/>
          <cell r="F1260"/>
          <cell r="G1260"/>
        </row>
        <row r="1261">
          <cell r="D1261"/>
          <cell r="E1261"/>
          <cell r="F1261"/>
          <cell r="G1261"/>
        </row>
        <row r="1262">
          <cell r="D1262"/>
          <cell r="E1262"/>
          <cell r="F1262"/>
          <cell r="G1262"/>
        </row>
        <row r="1263">
          <cell r="D1263"/>
          <cell r="E1263"/>
          <cell r="F1263"/>
          <cell r="G1263"/>
        </row>
        <row r="1264">
          <cell r="D1264"/>
          <cell r="E1264"/>
          <cell r="F1264"/>
          <cell r="G1264"/>
        </row>
        <row r="1265">
          <cell r="D1265"/>
          <cell r="E1265"/>
          <cell r="F1265"/>
          <cell r="G1265"/>
        </row>
        <row r="1266">
          <cell r="D1266"/>
          <cell r="E1266"/>
          <cell r="F1266"/>
          <cell r="G1266"/>
        </row>
        <row r="1267">
          <cell r="D1267"/>
          <cell r="E1267"/>
          <cell r="F1267"/>
          <cell r="G1267"/>
        </row>
        <row r="1268">
          <cell r="D1268"/>
          <cell r="E1268"/>
          <cell r="F1268"/>
          <cell r="G1268"/>
        </row>
        <row r="1269">
          <cell r="D1269"/>
          <cell r="E1269"/>
          <cell r="F1269"/>
          <cell r="G1269"/>
        </row>
        <row r="1270">
          <cell r="D1270"/>
          <cell r="E1270"/>
          <cell r="F1270"/>
          <cell r="G1270"/>
        </row>
        <row r="1271">
          <cell r="D1271"/>
          <cell r="E1271"/>
          <cell r="F1271"/>
          <cell r="G1271"/>
        </row>
        <row r="1272">
          <cell r="D1272"/>
          <cell r="E1272"/>
          <cell r="F1272"/>
          <cell r="G1272"/>
        </row>
        <row r="1273">
          <cell r="D1273"/>
          <cell r="E1273"/>
          <cell r="F1273"/>
          <cell r="G1273"/>
        </row>
        <row r="1274">
          <cell r="D1274"/>
          <cell r="E1274"/>
          <cell r="F1274"/>
          <cell r="G1274"/>
        </row>
        <row r="1275">
          <cell r="D1275"/>
          <cell r="E1275"/>
          <cell r="F1275"/>
          <cell r="G1275"/>
        </row>
        <row r="1276">
          <cell r="D1276"/>
          <cell r="E1276"/>
          <cell r="F1276"/>
          <cell r="G1276"/>
        </row>
        <row r="1277">
          <cell r="D1277"/>
          <cell r="E1277"/>
          <cell r="F1277"/>
          <cell r="G1277"/>
        </row>
        <row r="1278">
          <cell r="D1278"/>
          <cell r="E1278"/>
          <cell r="F1278"/>
          <cell r="G1278"/>
        </row>
        <row r="1279">
          <cell r="D1279"/>
          <cell r="E1279"/>
          <cell r="F1279"/>
          <cell r="G1279"/>
        </row>
        <row r="1280">
          <cell r="D1280"/>
          <cell r="E1280"/>
          <cell r="F1280"/>
          <cell r="G1280"/>
        </row>
        <row r="1281">
          <cell r="D1281"/>
          <cell r="E1281"/>
          <cell r="F1281"/>
          <cell r="G1281"/>
        </row>
        <row r="1282">
          <cell r="D1282"/>
          <cell r="E1282"/>
          <cell r="F1282"/>
          <cell r="G1282"/>
        </row>
        <row r="1283">
          <cell r="D1283"/>
          <cell r="E1283"/>
          <cell r="F1283"/>
          <cell r="G1283"/>
        </row>
        <row r="1284">
          <cell r="D1284"/>
          <cell r="E1284"/>
          <cell r="F1284"/>
          <cell r="G1284"/>
        </row>
        <row r="1285">
          <cell r="D1285"/>
          <cell r="E1285"/>
          <cell r="F1285"/>
          <cell r="G1285"/>
        </row>
        <row r="1286">
          <cell r="D1286"/>
          <cell r="E1286"/>
          <cell r="F1286"/>
          <cell r="G1286"/>
        </row>
        <row r="1287">
          <cell r="D1287"/>
          <cell r="E1287"/>
          <cell r="F1287"/>
          <cell r="G1287"/>
        </row>
        <row r="1288">
          <cell r="D1288"/>
          <cell r="E1288"/>
          <cell r="F1288"/>
          <cell r="G1288"/>
        </row>
        <row r="1289">
          <cell r="D1289"/>
          <cell r="E1289"/>
          <cell r="F1289"/>
          <cell r="G1289"/>
        </row>
        <row r="1290">
          <cell r="D1290"/>
          <cell r="E1290"/>
          <cell r="F1290"/>
          <cell r="G1290"/>
        </row>
        <row r="1291">
          <cell r="D1291"/>
          <cell r="E1291"/>
          <cell r="F1291"/>
          <cell r="G1291"/>
        </row>
        <row r="1292">
          <cell r="D1292"/>
          <cell r="E1292"/>
          <cell r="F1292"/>
          <cell r="G1292"/>
        </row>
        <row r="1293">
          <cell r="D1293"/>
          <cell r="E1293"/>
          <cell r="F1293"/>
          <cell r="G1293"/>
        </row>
        <row r="1294">
          <cell r="D1294"/>
          <cell r="E1294"/>
          <cell r="F1294"/>
          <cell r="G1294"/>
        </row>
        <row r="1295">
          <cell r="D1295"/>
          <cell r="E1295"/>
          <cell r="F1295"/>
          <cell r="G1295"/>
        </row>
        <row r="1296">
          <cell r="D1296"/>
          <cell r="E1296"/>
          <cell r="F1296"/>
          <cell r="G1296"/>
        </row>
        <row r="1297">
          <cell r="D1297"/>
          <cell r="E1297"/>
          <cell r="F1297"/>
          <cell r="G1297"/>
        </row>
        <row r="1298">
          <cell r="D1298"/>
          <cell r="E1298"/>
          <cell r="F1298"/>
          <cell r="G1298"/>
        </row>
        <row r="1299">
          <cell r="D1299"/>
          <cell r="E1299"/>
          <cell r="F1299"/>
          <cell r="G1299"/>
        </row>
        <row r="1300">
          <cell r="D1300"/>
          <cell r="E1300"/>
          <cell r="F1300"/>
          <cell r="G1300"/>
        </row>
        <row r="1301">
          <cell r="D1301"/>
          <cell r="E1301"/>
          <cell r="F1301"/>
          <cell r="G1301"/>
        </row>
        <row r="1302">
          <cell r="D1302"/>
          <cell r="E1302"/>
          <cell r="F1302"/>
          <cell r="G1302"/>
        </row>
        <row r="1303">
          <cell r="D1303"/>
          <cell r="E1303"/>
          <cell r="F1303"/>
          <cell r="G1303"/>
        </row>
        <row r="1304">
          <cell r="D1304"/>
          <cell r="E1304"/>
          <cell r="F1304"/>
          <cell r="G1304"/>
        </row>
        <row r="1305">
          <cell r="D1305"/>
          <cell r="E1305"/>
          <cell r="F1305"/>
          <cell r="G1305"/>
        </row>
        <row r="1306">
          <cell r="D1306"/>
          <cell r="E1306"/>
          <cell r="F1306"/>
          <cell r="G1306"/>
        </row>
        <row r="1307">
          <cell r="D1307"/>
          <cell r="E1307"/>
          <cell r="F1307"/>
          <cell r="G1307"/>
        </row>
        <row r="1308">
          <cell r="D1308"/>
          <cell r="E1308"/>
          <cell r="F1308"/>
          <cell r="G1308"/>
        </row>
        <row r="1309">
          <cell r="D1309"/>
          <cell r="E1309"/>
          <cell r="F1309"/>
          <cell r="G1309"/>
        </row>
        <row r="1310">
          <cell r="D1310"/>
          <cell r="E1310"/>
          <cell r="F1310"/>
          <cell r="G1310"/>
        </row>
        <row r="1311">
          <cell r="D1311"/>
          <cell r="E1311"/>
          <cell r="F1311"/>
          <cell r="G1311"/>
        </row>
        <row r="1312">
          <cell r="D1312"/>
          <cell r="E1312"/>
          <cell r="F1312"/>
          <cell r="G1312"/>
        </row>
        <row r="1313">
          <cell r="D1313"/>
          <cell r="E1313"/>
          <cell r="F1313"/>
          <cell r="G1313"/>
        </row>
        <row r="1314">
          <cell r="D1314"/>
          <cell r="E1314"/>
          <cell r="F1314"/>
          <cell r="G1314"/>
        </row>
        <row r="1315">
          <cell r="D1315"/>
          <cell r="E1315"/>
          <cell r="F1315"/>
          <cell r="G1315"/>
        </row>
        <row r="1316">
          <cell r="D1316"/>
          <cell r="E1316"/>
          <cell r="F1316"/>
          <cell r="G1316"/>
        </row>
        <row r="1317">
          <cell r="D1317"/>
          <cell r="E1317"/>
          <cell r="F1317"/>
          <cell r="G1317"/>
        </row>
        <row r="1318">
          <cell r="D1318"/>
          <cell r="E1318"/>
          <cell r="F1318"/>
          <cell r="G1318"/>
        </row>
        <row r="1319">
          <cell r="D1319"/>
          <cell r="E1319"/>
          <cell r="F1319"/>
          <cell r="G1319"/>
        </row>
        <row r="1320">
          <cell r="D1320"/>
          <cell r="E1320"/>
          <cell r="F1320"/>
          <cell r="G1320"/>
        </row>
        <row r="1321">
          <cell r="D1321"/>
          <cell r="E1321"/>
          <cell r="F1321"/>
          <cell r="G1321"/>
        </row>
        <row r="1322">
          <cell r="D1322"/>
          <cell r="E1322"/>
          <cell r="F1322"/>
          <cell r="G1322"/>
        </row>
        <row r="1323">
          <cell r="D1323"/>
          <cell r="E1323"/>
          <cell r="F1323"/>
          <cell r="G1323"/>
        </row>
        <row r="1324">
          <cell r="D1324"/>
          <cell r="E1324"/>
          <cell r="F1324"/>
          <cell r="G1324"/>
        </row>
        <row r="1325">
          <cell r="D1325"/>
          <cell r="E1325"/>
          <cell r="F1325"/>
          <cell r="G1325"/>
        </row>
        <row r="1326">
          <cell r="D1326"/>
          <cell r="E1326"/>
          <cell r="F1326"/>
          <cell r="G1326"/>
        </row>
        <row r="1327">
          <cell r="D1327"/>
          <cell r="E1327"/>
          <cell r="F1327"/>
          <cell r="G1327"/>
        </row>
        <row r="1328">
          <cell r="D1328"/>
          <cell r="E1328"/>
          <cell r="F1328"/>
          <cell r="G1328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 refreshError="1"/>
      <sheetData sheetId="40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TA SILVA" id="{98EDF642-4B36-4D24-AA47-5833063B2A3E}" userId="RITA SILVA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iel Roland Amaral" refreshedDate="45167.451561805552" createdVersion="6" refreshedVersion="8" minRefreshableVersion="3" recordCount="121" xr:uid="{00000000-000A-0000-FFFF-FFFF00000000}">
  <cacheSource type="worksheet">
    <worksheetSource ref="A1:F122" sheet="Orçamento auxliar"/>
  </cacheSource>
  <cacheFields count="6">
    <cacheField name="CÓDIGO" numFmtId="0">
      <sharedItems containsMixedTypes="1" containsNumber="1" containsInteger="1" minValue="1379" maxValue="3009086" count="273">
        <s v="SP/0001"/>
        <n v="10775"/>
        <n v="10776"/>
        <n v="10777"/>
        <n v="93585"/>
        <s v="SP/0004"/>
        <n v="98459"/>
        <n v="98525"/>
        <s v="SC/0068"/>
        <s v="SC/0110"/>
        <s v="SC/0120"/>
        <s v="SP/0020"/>
        <s v="SP/0025"/>
        <s v="SP/0030"/>
        <n v="13244"/>
        <s v="SP/0050"/>
        <s v="SP/0060"/>
        <n v="100575"/>
        <n v="100979"/>
        <n v="95876"/>
        <n v="93593"/>
        <s v="SR/0020"/>
        <n v="97636"/>
        <s v="SR/0100"/>
        <n v="98526"/>
        <n v="98527"/>
        <n v="98529"/>
        <n v="98530"/>
        <n v="98533"/>
        <n v="98534"/>
        <n v="100983"/>
        <s v="ST/0070"/>
        <n v="100947"/>
        <s v="DR/0040"/>
        <n v="90100"/>
        <n v="90102"/>
        <n v="102278"/>
        <n v="90087"/>
        <n v="93358"/>
        <n v="101570"/>
        <n v="101573"/>
        <s v="ES/0010"/>
        <s v="ES/0015"/>
        <n v="101616"/>
        <n v="101617"/>
        <n v="93375"/>
        <n v="93377"/>
        <n v="93362"/>
        <n v="93364"/>
        <n v="100939"/>
        <n v="7781"/>
        <n v="7791"/>
        <n v="7750"/>
        <n v="7753"/>
        <n v="92821"/>
        <n v="92824"/>
        <n v="92826"/>
        <n v="92828"/>
        <s v="DR/0135"/>
        <s v="DR/0170"/>
        <n v="98051"/>
        <s v="DR/0355"/>
        <s v="DR/0205"/>
        <s v="DR/0265"/>
        <s v="DR/0275"/>
        <n v="100953"/>
        <n v="90105"/>
        <n v="6079"/>
        <n v="4721"/>
        <n v="101767"/>
        <s v="PA/0025"/>
        <s v="RE/0050"/>
        <s v="RE/0055"/>
        <n v="100978"/>
        <n v="95875"/>
        <n v="93599"/>
        <n v="102333"/>
        <s v="PA/0005"/>
        <n v="96385"/>
        <n v="100576"/>
        <s v="PA/0023"/>
        <s v="PA/0040"/>
        <s v="SC/0005"/>
        <s v="SC/0010"/>
        <s v="SC/0030"/>
        <s v="SC/0082"/>
        <n v="97084"/>
        <s v="SC/0080"/>
        <n v="94962"/>
        <n v="94991"/>
        <n v="100948"/>
        <s v="SV/0005"/>
        <s v="SV/0010"/>
        <s v="SV/0015"/>
        <s v="SV/0090"/>
        <s v="SV/0105"/>
        <n v="13521"/>
        <s v="CPU Adm Local"/>
        <n v="97807" u="1"/>
        <n v="92765" u="1"/>
        <n v="96547" u="1"/>
        <n v="92766" u="1"/>
        <n v="96548" u="1"/>
        <n v="96549" u="1"/>
        <n v="1379" u="1"/>
        <n v="92768" u="1"/>
        <n v="92769" u="1"/>
        <n v="92770" u="1"/>
        <n v="92772" u="1"/>
        <n v="100716" u="1"/>
        <n v="92396" u="1"/>
        <n v="96557" u="1"/>
        <n v="92397" u="1"/>
        <n v="94037" u="1"/>
        <n v="100342" u="1"/>
        <n v="94039" u="1"/>
        <n v="90762" u="1"/>
        <n v="100343" u="1"/>
        <n v="94040" u="1"/>
        <n v="100974" u="1"/>
        <n v="100344" u="1"/>
        <n v="100975" u="1"/>
        <n v="100345" u="1"/>
        <n v="100725" u="1"/>
        <n v="101230" u="1"/>
        <n v="92785" u="1"/>
        <n v="101232" u="1"/>
        <n v="92786" u="1"/>
        <n v="92787" u="1"/>
        <n v="100982" u="1"/>
        <n v="92788" u="1"/>
        <n v="7757" u="1"/>
        <n v="89511" u="1"/>
        <n v="92411" u="1"/>
        <n v="89512" u="1"/>
        <n v="92916" u="1"/>
        <n v="94051" u="1"/>
        <n v="83336" u="1"/>
        <n v="92917" u="1"/>
        <n v="94052" u="1"/>
        <n v="83338" u="1"/>
        <n v="92919" u="1"/>
        <n v="92415" u="1"/>
        <n v="87878" u="1"/>
        <n v="92921" u="1"/>
        <n v="92417" u="1"/>
        <n v="92922" u="1"/>
        <n v="92923" u="1"/>
        <n v="101622" u="1"/>
        <n v="92924" u="1"/>
        <n v="101623" u="1"/>
        <n v="93177" u="1"/>
        <n v="101624" u="1"/>
        <n v="4748" u="1"/>
        <n v="101625" u="1"/>
        <n v="7758" u="1"/>
        <n v="72131" u="1"/>
        <n v="94319" u="1"/>
        <n v="92809" u="1"/>
        <n v="100751" u="1"/>
        <n v="97096" u="1"/>
        <n v="92811" u="1"/>
        <n v="92813" u="1"/>
        <n v="72897" u="1"/>
        <n v="92815" u="1"/>
        <n v="3009086" u="1"/>
        <n v="92817" u="1"/>
        <n v="92819" u="1"/>
        <n v="101266" u="1"/>
        <n v="94963" u="1"/>
        <n v="101268" u="1"/>
        <n v="94965" u="1"/>
        <n v="102281" u="1"/>
        <n v="95474" u="1"/>
        <n v="93584" u="1"/>
        <n v="34493" u="1"/>
        <n v="103670" u="1"/>
        <n v="93207" u="1"/>
        <n v="100897" u="1"/>
        <n v="92830" u="1"/>
        <n v="34494" u="1"/>
        <n v="97747" u="1"/>
        <n v="98504" u="1"/>
        <n v="103673" u="1"/>
        <n v="92832" u="1"/>
        <n v="34495" u="1"/>
        <n v="97624" u="1"/>
        <n v="93212" u="1"/>
        <n v="96616" u="1"/>
        <n v="96995" u="1"/>
        <n v="96619" u="1"/>
        <n v="98510" u="1"/>
        <n v="94098" u="1"/>
        <n v="96620" u="1"/>
        <n v="94099" u="1"/>
        <n v="92335" u="1"/>
        <n v="73301" u="1"/>
        <n v="96623" u="1"/>
        <n v="101792" u="1"/>
        <n v="94103" u="1"/>
        <n v="101793" u="1"/>
        <n v="94104" u="1"/>
        <n v="95995" u="1"/>
        <n v="94105" u="1"/>
        <n v="94106" u="1"/>
        <n v="4743" u="1"/>
        <n v="94108" u="1"/>
        <n v="94110" u="1"/>
        <n v="96001" u="1"/>
        <n v="94994" u="1"/>
        <n v="94995" u="1"/>
        <n v="95878" u="1"/>
        <n v="95879" u="1"/>
        <n v="91593" u="1"/>
        <n v="98528" u="1"/>
        <n v="90082" u="1"/>
        <n v="94116" u="1"/>
        <n v="93360" u="1"/>
        <n v="96386" u="1"/>
        <n v="98531" u="1"/>
        <n v="90085" u="1"/>
        <n v="94876" u="1"/>
        <n v="98532" u="1"/>
        <n v="96389" u="1"/>
        <n v="87313" u="1"/>
        <n v="94878" u="1"/>
        <n v="98535" u="1"/>
        <n v="93367" u="1"/>
        <n v="94880" u="1"/>
        <n v="84796" u="1"/>
        <n v="90091" u="1"/>
        <n v="93369" u="1"/>
        <n v="94882" u="1"/>
        <n v="11145" u="1"/>
        <n v="84798" u="1"/>
        <n v="96396" u="1"/>
        <n v="90093" u="1"/>
        <n v="93371" u="1"/>
        <n v="94884" u="1"/>
        <n v="90095" u="1"/>
        <n v="93374" u="1"/>
        <n v="100938" u="1"/>
        <n v="96401" u="1"/>
        <n v="90099" u="1"/>
        <n v="101193" u="1"/>
        <n v="92873" u="1"/>
        <n v="92874" u="1"/>
        <n v="4729" u="1"/>
        <n v="93379" u="1"/>
        <n v="94892" u="1"/>
        <n v="94894" u="1"/>
        <n v="102332" u="1"/>
        <n v="93382" u="1"/>
        <n v="94896" u="1"/>
        <n v="90106" u="1"/>
        <n v="96537" u="1"/>
        <n v="94900" u="1"/>
        <n v="96539" u="1"/>
        <n v="72840" u="1"/>
        <n v="100952" u="1"/>
        <n v="100574" u="1"/>
        <n v="92885" u="1"/>
        <n v="92759" u="1"/>
        <n v="92760" u="1"/>
        <n v="96542" u="1"/>
        <n v="100324" u="1"/>
        <n v="92761" u="1"/>
        <n v="100577" u="1"/>
        <n v="92762" u="1"/>
        <n v="92763" u="1"/>
        <n v="96545" u="1"/>
        <n v="90747" u="1"/>
        <n v="96546" u="1"/>
      </sharedItems>
    </cacheField>
    <cacheField name="DISCRIMINAÇÃO" numFmtId="0">
      <sharedItems longText="1"/>
    </cacheField>
    <cacheField name="UNID." numFmtId="0">
      <sharedItems/>
    </cacheField>
    <cacheField name="QUANT." numFmtId="165">
      <sharedItems containsSemiMixedTypes="0" containsString="0" containsNumber="1" minValue="0.84" maxValue="881423.05"/>
    </cacheField>
    <cacheField name="PREÇO UNITÁRIO (R$)" numFmtId="165">
      <sharedItems containsSemiMixedTypes="0" containsString="0" containsNumber="1" minValue="0.13" maxValue="625998.32999999996"/>
    </cacheField>
    <cacheField name="PREÇO TOTAL (R$)" numFmtId="165">
      <sharedItems containsSemiMixedTypes="0" containsString="0" containsNumber="1" minValue="18.7" maxValue="3564753.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">
  <r>
    <x v="0"/>
    <s v="Placa de identificação de obra pública, inclusive pintura e adesivos, estrutura e suporte de madeira. Incluso fornecimento de material e instalação. Ref SINAPI, CÓD 74209/001, DB 01/2020"/>
    <s v="M2"/>
    <n v="8"/>
    <n v="430.35"/>
    <n v="3442.8"/>
  </r>
  <r>
    <x v="1"/>
    <s v="Locação de container 2,30  x  6,00 m, alt. 2,50 m, com 1 sanitário, para escritório, completo, sem divisórias internas"/>
    <s v="MES   "/>
    <n v="12"/>
    <n v="1017.5"/>
    <n v="12210"/>
  </r>
  <r>
    <x v="2"/>
    <s v="Locação de container 2,30  x  6,00 m, alt. 2,50 m, para escritório, sem divisórias internas e sem sanitário"/>
    <s v="MES   "/>
    <n v="24"/>
    <n v="794.91"/>
    <n v="19077.84"/>
  </r>
  <r>
    <x v="3"/>
    <s v="Locação de container 2,30 x 4,30 m, alt. 2,50 m, para sanitário, com 3 bacias, 4 chuveiros, 1 lavatório e 1 mictório"/>
    <s v="MES   "/>
    <n v="12"/>
    <n v="1155.28"/>
    <n v="13863.36"/>
  </r>
  <r>
    <x v="4"/>
    <s v="Execução de guarita em canteiro de obra em chapa de madeira compensada, não incluso mobiliário. AF_04/2016"/>
    <s v="M2"/>
    <n v="4"/>
    <n v="1573.79"/>
    <n v="6295.16"/>
  </r>
  <r>
    <x v="5"/>
    <s v="Aluguel de banheiro quimico, incluindo transporte de ida e volta, manutencao e higienizacao 3 vezes por semana. Modelo Luxo, dimensões 2,31 x 1,15 x 1,15m. Cidade: Campo Grande/MS"/>
    <s v="UN.MÊS"/>
    <n v="12"/>
    <n v="2414"/>
    <n v="28968"/>
  </r>
  <r>
    <x v="6"/>
    <s v="Tapume com telha metálica, sem pintura, trapezoidal espessura 0,5 mm, colunas, bases e parafusos"/>
    <s v="M2"/>
    <n v="400"/>
    <n v="147"/>
    <n v="58800"/>
  </r>
  <r>
    <x v="7"/>
    <s v="Limpeza mecanizada de camada vegetal, vegetação e pequenas árvores (diâmetro nominal de tronco menor que 0,20 m), com trator de esteiras. AF_05/2018"/>
    <s v="M2"/>
    <n v="10000"/>
    <n v="0.41"/>
    <n v="4100"/>
  </r>
  <r>
    <x v="8"/>
    <s v="Revestimento de pátio com pedra britada com espessura de 5 cm com regularização do terreno com motoniveladora. Exclusive transporte. (REF SINAPI COD 100575)"/>
    <s v="M2"/>
    <n v="2500"/>
    <n v="6.09"/>
    <n v="15225"/>
  </r>
  <r>
    <x v="9"/>
    <s v="Cerca com mourões de madeira roliça Ø 11cm, espaçamento de 2,00m, altura livre de 1,50m, cravado 0,50m, com 5 fios de arame liso ovalado 15x17, conforme projeto"/>
    <s v="M"/>
    <n v="400"/>
    <n v="42.73"/>
    <n v="17092"/>
  </r>
  <r>
    <x v="10"/>
    <s v="Portão para veículos em tela arame galvanizado n.12 malha 2&quot; e moldura em tubos de aco com duas folhas de abrir, incluso ferragens (REF. SINAPI COD. 74238/2 - Descontinuado)"/>
    <s v="M2"/>
    <n v="14.4"/>
    <n v="1239.06"/>
    <n v="17842.46"/>
  </r>
  <r>
    <x v="11"/>
    <s v="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"/>
    <s v="M2"/>
    <n v="62"/>
    <n v="164.71"/>
    <n v="10212.02"/>
  </r>
  <r>
    <x v="12"/>
    <s v="Segurança de trânsito - sinalização de advertência de obra com elemento luminoso (balde vermelho)"/>
    <s v="M"/>
    <n v="1463.44"/>
    <n v="4.0599999999999996"/>
    <n v="5941.56"/>
  </r>
  <r>
    <x v="13"/>
    <s v="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"/>
    <s v="M"/>
    <n v="2949.66"/>
    <n v="12.58"/>
    <n v="37106.720000000001"/>
  </r>
  <r>
    <x v="14"/>
    <s v="Segurança de trânsito - cone de sinalização em pvc rígido com faixa refletiva, h = 70 / 76 cm"/>
    <s v="UN    "/>
    <n v="126"/>
    <n v="62.64"/>
    <n v="7892.64"/>
  </r>
  <r>
    <x v="15"/>
    <s v="Sondagem de investigação de interferências subterrâneas, incluindo escavações mecânica e manual e reaterro"/>
    <s v="UN "/>
    <n v="26"/>
    <n v="368.78"/>
    <n v="9588.2800000000007"/>
  </r>
  <r>
    <x v="16"/>
    <s v="Reparo em ramal de ligação predial de água"/>
    <s v="UN "/>
    <n v="52"/>
    <n v="314.37"/>
    <n v="16347.24"/>
  </r>
  <r>
    <x v="17"/>
    <s v="Regularização de superfícies com motoniveladora. AF_11/2019"/>
    <s v="M2"/>
    <n v="14153.09"/>
    <n v="0.13"/>
    <n v="1839.9"/>
  </r>
  <r>
    <x v="18"/>
    <s v="Carga, manobra e descarga de solos e materiais granulares em caminhão basculante 14 m3 - carga com escavadeira hidráulica (capacidade da caçamba: 1,20 m3 / potência: 155 HP) e descarga livre (unidade: m3). AF_07/2020"/>
    <s v="M3"/>
    <n v="2000"/>
    <n v="7.25"/>
    <n v="14500"/>
  </r>
  <r>
    <x v="19"/>
    <s v="Transporte com caminhão basculante de 14 m3, em via urbana pavimentada, DMT até 30,00 km (unidade: m3xkm). AF_07/2020"/>
    <s v="M3XKM"/>
    <n v="8000"/>
    <n v="2.3199999999999998"/>
    <n v="18560"/>
  </r>
  <r>
    <x v="20"/>
    <s v="Transporte com caminhão basculante de 14 m3, em via urbana pavimentada, adicional para DMT excedente a 30,00 km (unidade: m3xkm). AF_07/2020"/>
    <s v="M3XKM"/>
    <n v="14987.5"/>
    <n v="0.94"/>
    <n v="14088.25"/>
  </r>
  <r>
    <x v="21"/>
    <s v="Demolição de concreto simples, de forma mecanizada, sem reaproveitamento (REF. SICRO COD. 1600989, db 01-2023)"/>
    <s v="M3"/>
    <n v="251.09"/>
    <n v="288.07"/>
    <n v="72331.490000000005"/>
  </r>
  <r>
    <x v="22"/>
    <s v="Demolição parcial de pavimento asfáltico, de forma mecanizada, sem reaproveitamento. AF_12/2017"/>
    <s v="M2"/>
    <n v="712.25"/>
    <n v="21.38"/>
    <n v="15227.9"/>
  </r>
  <r>
    <x v="23"/>
    <s v="Recorte mecânico de pavimento asfáltico ou piso de concreto, com serra de disco diamantado para piso/asfalto"/>
    <s v="M"/>
    <n v="3859.97"/>
    <n v="3.98"/>
    <n v="15362.68"/>
  </r>
  <r>
    <x v="24"/>
    <s v="Remoção de raízes remanescentes de tronco de árvore com diâmetro maior ou igual a 0,20 m e menor que 0,40 m. AF_05/2018"/>
    <s v="UN"/>
    <n v="104"/>
    <n v="92.38"/>
    <n v="9607.52"/>
  </r>
  <r>
    <x v="25"/>
    <s v="Remoção de raízes remanescentes de tronco de árvore com diâmetro maior ou igual a 0,40 m e menor que 0,60 m. AF_05/2018"/>
    <s v="UN"/>
    <n v="3"/>
    <n v="198.91"/>
    <n v="596.73"/>
  </r>
  <r>
    <x v="26"/>
    <s v="Corte raso e recorte de árvore com diâmetro nominal de tronco maior ou igual a 0,20 m e menor que 0,40 m. AF_05/2018"/>
    <s v="UN"/>
    <n v="104"/>
    <n v="73.430000000000007"/>
    <n v="7636.72"/>
  </r>
  <r>
    <x v="27"/>
    <s v="Corte raso e recorte de árvore com diâmetro nominal de tronco maior ou igual a 0,40 m e menor que 0,60 m. AF_05/2018"/>
    <s v="UN"/>
    <n v="3"/>
    <n v="130.81"/>
    <n v="392.43"/>
  </r>
  <r>
    <x v="28"/>
    <s v="Poda em altura de árvore com diâmetro nominal de tronco maior ou igual a 0,20 m e menor que 0,40 m. AF_05/2018"/>
    <s v="UN"/>
    <n v="104"/>
    <n v="350.35"/>
    <n v="36436.400000000001"/>
  </r>
  <r>
    <x v="29"/>
    <s v="Poda em altura de árvore com diâmetro nominal de tronco maior ou igual a 0,40 m e menor que 0,60 m. AF_05/2018"/>
    <s v="UN"/>
    <n v="3"/>
    <n v="898.59"/>
    <n v="2695.77"/>
  </r>
  <r>
    <x v="30"/>
    <s v="Carga, manobra e descarga de entulho em caminhão basculante 14 m3 - carga com escavadeira hidráulica  (capacidade da caçamba: 0,80 m3 / potência: 111 HP) e descarga livre (unidade: m3). AF_07/2020"/>
    <s v="M3"/>
    <n v="345.12"/>
    <n v="9.82"/>
    <n v="3389.07"/>
  </r>
  <r>
    <x v="31"/>
    <s v="Carga, manobra e descarga de materiais diversos em caminhão carroceria - carga e descaga manuais (REF. SICRO COD. 5915474)"/>
    <s v="T"/>
    <n v="107"/>
    <n v="34.31"/>
    <n v="3671.17"/>
  </r>
  <r>
    <x v="19"/>
    <s v="Transporte com caminhão basculante de 14 m3, em via urbana pavimentada, DMT até 30,00 km (unidade: m3xkm). AF_07/2020"/>
    <s v="M3XKM"/>
    <n v="1380.48"/>
    <n v="2.3199999999999998"/>
    <n v="3202.71"/>
  </r>
  <r>
    <x v="32"/>
    <s v="Transporte com caminhão carroceria 9t, em via urbana pavimentada, DMT até 30,00 km (unidade: txkm). AF_07/2020"/>
    <s v="TXKM"/>
    <n v="428"/>
    <n v="2.36"/>
    <n v="1010.08"/>
  </r>
  <r>
    <x v="33"/>
    <s v="Arrancamento e remoção de canalização, Ø ≤ 60 cm. Exclusive bota-fora"/>
    <s v="M"/>
    <n v="24.93"/>
    <n v="89.3"/>
    <n v="2226.2399999999998"/>
  </r>
  <r>
    <x v="34"/>
    <s v="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"/>
    <s v="M3"/>
    <n v="1141.33"/>
    <n v="14.84"/>
    <n v="16937.330000000002"/>
  </r>
  <r>
    <x v="35"/>
    <s v="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"/>
    <s v="M3"/>
    <n v="3278.74"/>
    <n v="13.36"/>
    <n v="43803.96"/>
  </r>
  <r>
    <x v="36"/>
    <s v="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"/>
    <s v="M3"/>
    <n v="4953.38"/>
    <n v="10.79"/>
    <n v="53446.97"/>
  </r>
  <r>
    <x v="37"/>
    <s v="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"/>
    <s v="M3"/>
    <n v="515.21"/>
    <n v="10.34"/>
    <n v="5327.27"/>
  </r>
  <r>
    <x v="38"/>
    <s v="Escavação manual de vala com profundidade menor ou igual a 1,30 m. AF_03/2016"/>
    <s v="M3"/>
    <n v="494.43"/>
    <n v="90.38"/>
    <n v="44686.58"/>
  </r>
  <r>
    <x v="39"/>
    <s v="Escoramento de vala, tipo pontaleteamento, com profundidade de 0,00 a 1,50 m, largura menor que 1,50 m. AF_08/2020"/>
    <s v="M2"/>
    <n v="2139.73"/>
    <n v="26.59"/>
    <n v="56895.42"/>
  </r>
  <r>
    <x v="40"/>
    <s v="Escoramento de vala, tipo pontaleteamento, com profundidade de 1,50 a 3,00 m, largura maior ou igual a 1,50 m e menor que 2,50 m. AF_08/2020"/>
    <s v="M2"/>
    <n v="201.43"/>
    <n v="30.27"/>
    <n v="6097.28"/>
  </r>
  <r>
    <x v="41"/>
    <s v="Escoramento de vala, tipo blindado, com profundidade de 1,5 a 3,0 m, largura maior ou igual a 1,5 m e menor que 2,5 m. Altura do escoramento igual a 2,4 m.  Execução e fornecimento, inclui material. (REF. SINAPI COD. 03.ESCO.VALA.040/01)"/>
    <s v="M2"/>
    <n v="9535.8700000000008"/>
    <n v="26.52"/>
    <n v="252891.27"/>
  </r>
  <r>
    <x v="42"/>
    <s v="Escoramento de vala, tipo blindado, com profundidade de 3,0 a 4,5 m, largura maior ou igual a 1,5 m e menor que 2,5 m. Altura do escoramento igual a 2,4 m.  Execução e fornecimento, inclui material. (REF. SINAPI COD. 03.ESCO.VALA.042/01)"/>
    <s v="M2"/>
    <n v="346.7"/>
    <n v="22.81"/>
    <n v="7908.22"/>
  </r>
  <r>
    <x v="43"/>
    <s v="Preparo de fundo de vala com largura menor que 1,50 m (acerto do solo natural). AF_08/2020"/>
    <s v="M2"/>
    <n v="2173.7399999999998"/>
    <n v="6.65"/>
    <n v="14455.37"/>
  </r>
  <r>
    <x v="44"/>
    <s v="Preparo de fundo de vala com largura maior ou igual a 1,50 m e menor que 2,50 m (acerto do solo natural). AF_08/2020"/>
    <s v="M2"/>
    <n v="1978.65"/>
    <n v="3.28"/>
    <n v="6489.97"/>
  </r>
  <r>
    <x v="45"/>
    <s v="Reaterro mecanizado de vala com retroescavadeira (capacidade da caçamba da retro: 0,26 m3 / potência: 88 HP), largura de 0,80 a 1,50 m, profundidade até 1,50 m, com solo (sem substituição) de 1a categoria em locais com alto nível de interferência. AF_04/2016"/>
    <s v="M3"/>
    <n v="996.2"/>
    <n v="23.29"/>
    <n v="23201.49"/>
  </r>
  <r>
    <x v="46"/>
    <s v="Reaterro mecanizado de vala com retroescavadeira (capacidade da caçamba da retro: 0,26 m3 / potência: 88 HP), largura de 0,80 a 1,50 m, profundidade de 1,50 a 3,00 m, com solo (sem substituição) de 1a categoria em locais com alto nível de interferência. AF_04/2016"/>
    <s v="M3"/>
    <n v="2884.36"/>
    <n v="12.7"/>
    <n v="36631.370000000003"/>
  </r>
  <r>
    <x v="47"/>
    <s v="Reaterro mecanizado de vala com escavadeira hidráulica (capacidade da caçamba: 0,80 m3 / potência: 111 HP), largura de 1,50 a 2,50 m, profundidade de 1,50 a 3,00 m, com solo (sem substituição) de 1a categoria em locais com alto nível de interferência. AF_04/2016"/>
    <s v="M3"/>
    <n v="3980.6"/>
    <n v="15.35"/>
    <n v="61102.21"/>
  </r>
  <r>
    <x v="48"/>
    <s v="Reaterro mecanizado de vala com escavadeira hidráulica (capacidade da caçamba: 0,80 m3 / potência: 111 HP), largura de 1,50 a 2,50 m, profundidade de 3,00  a 4,50 m, com solo (sem substituição) de 1a categoria em locais com alto nível de interferência. AF_04/2016"/>
    <s v="M3"/>
    <n v="433.52"/>
    <n v="13.14"/>
    <n v="5696.45"/>
  </r>
  <r>
    <x v="18"/>
    <s v="Carga, manobra e descarga de solos e materiais granulares em caminhão basculante 14 m3 - carga com escavadeira hidráulica (capacidade da caçamba: 1,20 m3 / potência: 155 HP) e descarga livre (unidade: m3). AF_07/2020"/>
    <s v="M3"/>
    <n v="270.95"/>
    <n v="7.25"/>
    <n v="1964.38"/>
  </r>
  <r>
    <x v="49"/>
    <s v="Transporte com caminhão basculante de 14 m3, em via interna (dentro do canteiro - unidade:m3xkm). AF_07/2020"/>
    <s v="M3XKM"/>
    <n v="487.71"/>
    <n v="7.1"/>
    <n v="3462.74"/>
  </r>
  <r>
    <x v="19"/>
    <s v="Transporte com caminhão basculante de 14 m3, em via urbana pavimentada, DMT até 30,00 km (unidade: m3xkm). AF_07/2020"/>
    <s v="M3XKM"/>
    <n v="7969.84"/>
    <n v="2.3199999999999998"/>
    <n v="18490.02"/>
  </r>
  <r>
    <x v="50"/>
    <s v="Aquisição de tubo de concreto simples para aguas pluviais, classe PS-1, com encaixe ponta e bolsa, diâmetro nominal de 0,40 m (180 kg/m) - Aquisição"/>
    <s v="M     "/>
    <n v="802"/>
    <n v="81.72"/>
    <n v="65539.44"/>
  </r>
  <r>
    <x v="51"/>
    <s v="Aquisição de tubo de concreto simples para aguas pluviais, classe PS-1, com encaixe ponta e bolsa, diâmetro nominal de 0,60 m (347 kg/m) - Aquisição"/>
    <s v="M     "/>
    <n v="1034.6300000000001"/>
    <n v="145.6"/>
    <n v="150642.12"/>
  </r>
  <r>
    <x v="52"/>
    <s v="Tubo de concreto armado para aguas pluviais, classe PA-1, com encaixe ponta e bolsa, diâmetro nominal de 0,80 m (533,00 kg/m) - Aquisição"/>
    <s v="M     "/>
    <n v="504.57"/>
    <n v="473.72"/>
    <n v="239024.9"/>
  </r>
  <r>
    <x v="53"/>
    <s v="Tubo de concreto armado para aguas pluviais, classe PA-1, com encaixe ponta e bolsa, diâmetro nominal de 1,00 m (800,00 kg/m) - Aquisição"/>
    <s v="M     "/>
    <n v="585.66999999999996"/>
    <n v="555.07000000000005"/>
    <n v="325087.84000000003"/>
  </r>
  <r>
    <x v="54"/>
    <s v="Assentamento de tubo de concreto para redes coletoras de águas pluviais, diâmetro nominal de 0,40 m, junta rígida em argamassa 1:3 cimento:areia, instalado em local com alto nível de interferências (não inclui fornecimento). AF_12/2015"/>
    <s v="M"/>
    <n v="802"/>
    <n v="74.180000000000007"/>
    <n v="59492.36"/>
  </r>
  <r>
    <x v="55"/>
    <s v="Assentamento de tubo de concreto para redes coletoras de águas pluviais, diâmetro nominal de 0,60 m, junta rígida em argamassa 1:3 cimento:areia, instalado em local com alto nível de interferências (não inclui fornecimento). AF_12/2015"/>
    <s v="M"/>
    <n v="1034.6300000000001"/>
    <n v="107.6"/>
    <n v="111326.18"/>
  </r>
  <r>
    <x v="56"/>
    <s v="Assentamento de tubo de concreto para redes coletoras de águas pluviais, diâmetro nominal de 0,80 m, junta rígida em argamassa 1:3 cimento:areia, instalado em local com alto nível de interferências (não inclui fornecimento). AF_12/2015"/>
    <s v="M"/>
    <n v="504.57"/>
    <n v="144.01"/>
    <n v="72663.12"/>
  </r>
  <r>
    <x v="57"/>
    <s v="Assentamento de tubo de concreto para redes coletoras de águas pluviais, diâmetro nominal de 1,00 m, junta rígida em argamassa 1:3 cimento:areia, instalado em local com alto nível de interferências (não inclui fornecimento). AF_12/2015"/>
    <s v="M"/>
    <n v="585.66999999999996"/>
    <n v="187.6"/>
    <n v="109871.69"/>
  </r>
  <r>
    <x v="58"/>
    <s v="PV-1 - Poço de Visita, com dimensões internas de 1,98m x 1,98m x 1,50m (bxbxh), em alvenaria de bloco de concreto estrutural FBK 14mpa, conforme projeto tipo. Exclusive pescoço e tampão"/>
    <s v="UN"/>
    <n v="29"/>
    <n v="8069.78"/>
    <n v="234023.62"/>
  </r>
  <r>
    <x v="59"/>
    <s v="APV-1 - Acréscimo para Poço de Visita, com dimensões internas de 1,98m x 1,98m, em alvenaria de bloco de concreto estrutural FBK 14mpa, conforme projeto tipo"/>
    <s v="M"/>
    <n v="0.96"/>
    <n v="1992.73"/>
    <n v="1913.02"/>
  </r>
  <r>
    <x v="60"/>
    <s v="Chaminé circular para poço de visita para esgoto, em alvenaria com tijolos cerâmicos maciços, diâmetro interno = 0,6 m. af_12/2020"/>
    <s v="M"/>
    <n v="10.84"/>
    <n v="1123.23"/>
    <n v="12175.81"/>
  </r>
  <r>
    <x v="61"/>
    <s v="Tampão F°F° articulado, classe D400, carga máxima 40 T, redondo tampa 600 mm para rede pluvial/esgoto. Incluindo fornecimento, assentamento e requadro em concreto FCK 20mpa, de 1,00m x 1,00m x 0,20m"/>
    <s v="UN "/>
    <n v="29"/>
    <n v="928.96"/>
    <n v="26939.84"/>
  </r>
  <r>
    <x v="62"/>
    <s v="CP-1 - Caixa de Passagem, com dimensões internas de  1,92m x 1,92m x 1,60m (bxbxh), em alvenaria de bloco de concreto estrutural FBK 8 MPa, conforme projeto tipo"/>
    <s v="UN"/>
    <n v="5"/>
    <n v="7683.31"/>
    <n v="38416.550000000003"/>
  </r>
  <r>
    <x v="63"/>
    <s v="BLSC - Boca-de-lobo simples em concreto simples FCK 20 mpa, incluindo forma, escavação, sarjeta de contorno (chama) em concreto e grelha em F°F° tipo pesada, conforme projeto "/>
    <s v="UN"/>
    <n v="49"/>
    <n v="2084.06"/>
    <n v="102118.94"/>
  </r>
  <r>
    <x v="64"/>
    <s v="BLTC - Boca-de-lobo tripla em concreto simples FCK 20 mpa, incluindo forma, escavação, sarjeta de contorno (chama) em concreto e grelhas em F°F° tipo pesada, conforme projeto "/>
    <s v="UN"/>
    <n v="27"/>
    <n v="5735.71"/>
    <n v="154864.17000000001"/>
  </r>
  <r>
    <x v="20"/>
    <s v="Transporte com caminhão basculante de 14 m3, em via urbana pavimentada, adicional para DMT excedente a 30,00 km (unidade: m3xkm). AF_07/2020"/>
    <s v="M3XKM"/>
    <n v="15778.84"/>
    <n v="0.94"/>
    <n v="14832.1"/>
  </r>
  <r>
    <x v="65"/>
    <s v="Transporte com caminhão carroceria com guindauto (munck), momento máximo de carga 11,7 tm, em via urbana pavimentada, adicional para DMT excedente a 30,00 km (unidade: txkm). AF_07/2020"/>
    <s v="TXKM"/>
    <n v="124085"/>
    <n v="1.18"/>
    <n v="146420.29999999999"/>
  </r>
  <r>
    <x v="66"/>
    <s v="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"/>
    <s v="M3"/>
    <n v="32.78"/>
    <n v="9.64"/>
    <n v="315.99"/>
  </r>
  <r>
    <x v="67"/>
    <s v="Argila, argila vermelha ou argila arenosa (retirada na jazida, sem transporte)"/>
    <s v="M3    "/>
    <n v="13.66"/>
    <n v="38.840000000000003"/>
    <n v="530.54999999999995"/>
  </r>
  <r>
    <x v="68"/>
    <s v="Pedra britada n. 1 (9,5 A 19 mm) posto pedreira/fornecedor, sem frete"/>
    <s v="M3    "/>
    <n v="22.53"/>
    <n v="111.8"/>
    <n v="2518.85"/>
  </r>
  <r>
    <x v="69"/>
    <s v="Execução e compactação de base e ou sub base para pavimentação de solos estabilizados granulometricamente com mistura de solos em pista - exclusive solo, escavação, carga e transporte. AF_11/2019"/>
    <s v="M3"/>
    <n v="27.31"/>
    <n v="31.63"/>
    <n v="863.81"/>
  </r>
  <r>
    <x v="70"/>
    <s v="Imprimação da base, execução e fornecimento de emulsão asfáltica EAI (REF. SINAPI COD. 102470)"/>
    <s v="M2"/>
    <n v="182.08"/>
    <n v="6.19"/>
    <n v="1127.07"/>
  </r>
  <r>
    <x v="71"/>
    <s v="CBUQ (usina comercial) - aplicação manual em fechamento de vala e remendos. Incluindo fornecimento dos materiais e compactação com rolo tandem compacto. Exclusive transporte. Ref BP 09.05.0500 RIO SCO"/>
    <s v="M3"/>
    <n v="4.63"/>
    <n v="1830.58"/>
    <n v="8475.58"/>
  </r>
  <r>
    <x v="72"/>
    <s v="CBUQ (usina comercial) - aplicação com motoniveladora (reperfilamento). Incluindo fornecimento de materiais. Exclusive transporte"/>
    <s v="M3"/>
    <n v="0.84"/>
    <n v="1863.48"/>
    <n v="1565.32"/>
  </r>
  <r>
    <x v="73"/>
    <s v="Carga, manobra e descarga de solos e materiais granulares em caminhão basculante 10 m3 - carga com escavadeira hidráulica (capacidade da caçamba: 1,20 m3 / potência: 155 HP) e descarga livre (unidade: m3). AF_07/2020"/>
    <s v="M3"/>
    <n v="37.549999999999997"/>
    <n v="7.44"/>
    <n v="279.37"/>
  </r>
  <r>
    <x v="19"/>
    <s v="Transporte com caminhão basculante de 14 m3, em via urbana pavimentada, DMT até 30,00 km (unidade: m3xkm). AF_07/2020"/>
    <s v="M3XKM"/>
    <n v="163.88"/>
    <n v="2.3199999999999998"/>
    <n v="380.2"/>
  </r>
  <r>
    <x v="74"/>
    <s v="Transporte com caminhão basculante de 10 m3, em via urbana pavimentada, DMT até 30,00 km (unidade: m3xkm). AF_07/2020"/>
    <s v="M3XKM"/>
    <n v="54.64"/>
    <n v="2.63"/>
    <n v="143.69999999999999"/>
  </r>
  <r>
    <x v="49"/>
    <s v="Transporte com caminhão basculante de 14 m3, em via interna (dentro do canteiro - unidade:m3xkm). AF_07/2020"/>
    <s v="M3XKM"/>
    <n v="37.549999999999997"/>
    <n v="7.1"/>
    <n v="266.60000000000002"/>
  </r>
  <r>
    <x v="20"/>
    <s v="Transporte com caminhão basculante de 14 m3, em via urbana pavimentada, adicional para DMT excedente a 30,00 km (unidade: m3xkm). AF_07/2020"/>
    <s v="M3XKM"/>
    <n v="2455.77"/>
    <n v="0.94"/>
    <n v="2308.42"/>
  </r>
  <r>
    <x v="75"/>
    <s v="Transporte com caminhão basculante de 14 m3, em via urbana pavimentada, adicional para DMT excedente a 30,00 km (unidade: txkm). AF_07/2020"/>
    <s v="TXKM"/>
    <n v="1521.64"/>
    <n v="0.62"/>
    <n v="943.41"/>
  </r>
  <r>
    <x v="76"/>
    <s v="Transporte com caminhão tanque de transporte de material asfáltico de 20.000 l, em via urbana pavimentada, adicional para DMT excedente a 30,00 km (unidade: txkm). AF_07/2020"/>
    <s v="TXKM"/>
    <n v="23.98"/>
    <n v="0.78"/>
    <n v="18.7"/>
  </r>
  <r>
    <x v="77"/>
    <s v="Preparo do subleito, escavação e carga. Exclusive transporte"/>
    <s v="M3"/>
    <n v="7392.66"/>
    <n v="6.65"/>
    <n v="49161.18"/>
  </r>
  <r>
    <x v="78"/>
    <s v="Execução e compactação de aterro com solo predominantemente argiloso - exclusive solo, escavação, carga e transporte. AF_11/2019"/>
    <s v="M3"/>
    <n v="3633.19"/>
    <n v="13.15"/>
    <n v="47776.44"/>
  </r>
  <r>
    <x v="67"/>
    <s v="Argila, argila vermelha ou argila arenosa (retirada na jazida, sem transporte)"/>
    <s v="M3    "/>
    <n v="1903.15"/>
    <n v="38.840000000000003"/>
    <n v="73918.34"/>
  </r>
  <r>
    <x v="18"/>
    <s v="Carga, manobra e descarga de solos e materiais granulares em caminhão basculante 14 m3 - carga com escavadeira hidráulica (capacidade da caçamba: 1,20 m3 / potência: 155 HP) e descarga livre (unidade: m3). AF_07/2020"/>
    <s v="M3"/>
    <n v="2638.33"/>
    <n v="7.25"/>
    <n v="19127.89"/>
  </r>
  <r>
    <x v="49"/>
    <s v="Transporte com caminhão basculante de 14 m3, em via interna (dentro do canteiro - unidade:m3xkm). AF_07/2020"/>
    <s v="M3XKM"/>
    <n v="5276.66"/>
    <n v="7.1"/>
    <n v="37464.28"/>
  </r>
  <r>
    <x v="19"/>
    <s v="Transporte com caminhão basculante de 14 m3, em via urbana pavimentada, DMT até 30,00 km (unidade: m3xkm). AF_07/2020"/>
    <s v="M3XKM"/>
    <n v="26409.96"/>
    <n v="2.3199999999999998"/>
    <n v="61271.1"/>
  </r>
  <r>
    <x v="19"/>
    <s v="Transporte com caminhão basculante de 14 m3, em via urbana pavimentada, DMT até 30,00 km (unidade: m3xkm). AF_07/2020"/>
    <s v="M3XKM"/>
    <n v="7612.6"/>
    <n v="2.3199999999999998"/>
    <n v="17661.23"/>
  </r>
  <r>
    <x v="79"/>
    <s v="Regularização e compactação de subleito de solo predominantemente argiloso. AF_11/2019"/>
    <s v="M2"/>
    <n v="63804.74"/>
    <n v="2.84"/>
    <n v="181205.46"/>
  </r>
  <r>
    <x v="69"/>
    <s v="Execução e compactação de base e ou sub base para pavimentação de solos estabilizados granulometricamente com mistura de solos em pista - exclusive solo, escavação, carga e transporte. AF_11/2019"/>
    <s v="M3"/>
    <n v="9801.76"/>
    <n v="31.63"/>
    <n v="310029.65999999997"/>
  </r>
  <r>
    <x v="70"/>
    <s v="Imprimação da base, execução e fornecimento de emulsão asfáltica EAI (REF. SINAPI COD. 102470)"/>
    <s v="M2"/>
    <n v="56628.68"/>
    <n v="6.19"/>
    <n v="350531.52"/>
  </r>
  <r>
    <x v="80"/>
    <s v="Pintura de ligação, execução e fornecimento de emulsão asfáltica RR-1C (ref SINAPI cód 104375)"/>
    <s v="M2"/>
    <n v="56628.68"/>
    <n v="2.98"/>
    <n v="168753.46"/>
  </r>
  <r>
    <x v="81"/>
    <s v="Construção de pavimento com aplicação de concreto betuminoso usinado à quente (CBUQ - faixa C - CAP 30/45 - usina comercial), camada de rolamento, exclusive transporte da mistura (REF. SINAPI COD. 95995)"/>
    <s v="M3"/>
    <n v="1857.01"/>
    <n v="1919.62"/>
    <n v="3564753.53"/>
  </r>
  <r>
    <x v="67"/>
    <s v="Argila, argila vermelha ou argila arenosa (retirada na jazida, sem transporte)"/>
    <s v="M3    "/>
    <n v="4900.88"/>
    <n v="38.840000000000003"/>
    <n v="190350.17"/>
  </r>
  <r>
    <x v="68"/>
    <s v="Pedra britada n. 1 (9,5 A 19 mm) posto pedreira/fornecedor, sem frete"/>
    <s v="M3    "/>
    <n v="8086.45"/>
    <n v="111.8"/>
    <n v="904065.11"/>
  </r>
  <r>
    <x v="73"/>
    <s v="Carga, manobra e descarga de solos e materiais granulares em caminhão basculante 10 m3 - carga com escavadeira hidráulica (capacidade da caçamba: 1,20 m3 / potência: 155 HP) e descarga livre (unidade: m3). AF_07/2020"/>
    <s v="M3"/>
    <n v="13477.42"/>
    <n v="7.44"/>
    <n v="100272"/>
  </r>
  <r>
    <x v="19"/>
    <s v="Transporte com caminhão basculante de 14 m3, em via urbana pavimentada, DMT até 30,00 km (unidade: m3xkm). AF_07/2020"/>
    <s v="M3XKM"/>
    <n v="19603.52"/>
    <n v="2.3199999999999998"/>
    <n v="45480.160000000003"/>
  </r>
  <r>
    <x v="49"/>
    <s v="Transporte com caminhão basculante de 14 m3, em via interna (dentro do canteiro - unidade:m3xkm). AF_07/2020"/>
    <s v="M3XKM"/>
    <n v="13477.42"/>
    <n v="7.1"/>
    <n v="95689.68"/>
  </r>
  <r>
    <x v="20"/>
    <s v="Transporte com caminhão basculante de 14 m3, em via urbana pavimentada, adicional para DMT excedente a 30,00 km (unidade: m3xkm). AF_07/2020"/>
    <s v="M3XKM"/>
    <n v="881423.05"/>
    <n v="0.94"/>
    <n v="828537.66"/>
  </r>
  <r>
    <x v="75"/>
    <s v="Transporte com caminhão basculante de 14 m3, em via urbana pavimentada, adicional para DMT excedente a 30,00 km (unidade: txkm). AF_07/2020"/>
    <s v="TXKM"/>
    <n v="517127.61"/>
    <n v="0.62"/>
    <n v="320619.11"/>
  </r>
  <r>
    <x v="76"/>
    <s v="Transporte com caminhão tanque de transporte de material asfáltico de 20.000 l, em via urbana pavimentada, adicional para DMT excedente a 30,00 km (unidade: txkm). AF_07/2020"/>
    <s v="TXKM"/>
    <n v="10492.34"/>
    <n v="0.78"/>
    <n v="8184.02"/>
  </r>
  <r>
    <x v="82"/>
    <s v="Meio-fio (guia) com sarjeta, concreto FCK = 15mpa, seção 615 cm², moldado no local, inclusive escavação e pintura a cal em uma demão"/>
    <s v="M"/>
    <n v="13324.31"/>
    <n v="63.23"/>
    <n v="842496.12"/>
  </r>
  <r>
    <x v="83"/>
    <s v="Meio-fio (guia) simples, concreto FCK = 15mpa, seção 285cm2, moldado no local, inclusive escavação e pintura a cal em uma demão"/>
    <s v="M"/>
    <n v="1124.6500000000001"/>
    <n v="30.36"/>
    <n v="34144.370000000003"/>
  </r>
  <r>
    <x v="84"/>
    <s v="Tento (acabamento de limpa-rodas), concreto FCK = 15 mpa, seção 330cm², moldado no local, inclusive escavação "/>
    <s v="M"/>
    <n v="53"/>
    <n v="34.01"/>
    <n v="1802.53"/>
  </r>
  <r>
    <x v="17"/>
    <s v="Regularização de superfícies com motoniveladora. AF_11/2019"/>
    <s v="M2"/>
    <n v="3528.21"/>
    <n v="0.13"/>
    <n v="458.66"/>
  </r>
  <r>
    <x v="85"/>
    <s v="Grama em placas, tipo esmeralda, incluindo plantio, adubo, fertilizante, calcário, terra orgânica e irrigação"/>
    <s v="M2"/>
    <n v="4064.81"/>
    <n v="26.89"/>
    <n v="109302.74"/>
  </r>
  <r>
    <x v="86"/>
    <s v="Compactação mecânica de solo para execução de radier, com compactador de solos tipo placa vibratória. AF_09/2021"/>
    <s v="M2"/>
    <n v="15489.17"/>
    <n v="0.72"/>
    <n v="11152.2"/>
  </r>
  <r>
    <x v="87"/>
    <s v="Piso tátil de alerta ou direcional com lajota cimentícia  40x40x2,5cm, nas cores da NBR 16537, assentado com argamassa de cimento e areia 1:3"/>
    <s v="M"/>
    <n v="702"/>
    <n v="74.47"/>
    <n v="52277.94"/>
  </r>
  <r>
    <x v="88"/>
    <s v="Concreto magro para lastro, traço 1:4,5:4,5 (cimento/ areia média/ brita 1) - preparo mecânico com betoneira 400 l. AF_07/2016"/>
    <s v="M3"/>
    <n v="8.42"/>
    <n v="459.68"/>
    <n v="3870.5"/>
  </r>
  <r>
    <x v="89"/>
    <s v="Execução de passeio (calçada) ou piso de concreto com concreto moldado in loco, usinado, acabamento convencional, não armado. AF_07/2016"/>
    <s v="M3"/>
    <n v="1064.58"/>
    <n v="932.21"/>
    <n v="992412.12"/>
  </r>
  <r>
    <x v="90"/>
    <s v="Transporte com caminhão carroceria 9t, em via urbana pavimentada, adicional para DMT excedente a 30,00 km (unidade: txkm). AF_07/2020"/>
    <s v="TXKM"/>
    <n v="1347"/>
    <n v="0.94"/>
    <n v="1266.18"/>
  </r>
  <r>
    <x v="91"/>
    <s v="Pintura de faixas de pedestres e retenção e de zebrados - termoplástico por extrusão - espessura de 3,0 mm (REF. SICRO COD. 5213408 e 5213409)"/>
    <s v="M2"/>
    <n v="388.22"/>
    <n v="103.13"/>
    <n v="40037.120000000003"/>
  </r>
  <r>
    <x v="92"/>
    <s v="Pintura de setas e legendas - termoplástico por extrusão - espessura de 3,0 mm (REF. SICRO COD. 5213409, DB 04-21)"/>
    <s v="M2"/>
    <n v="288.58999999999997"/>
    <n v="117.29"/>
    <n v="33848.720000000001"/>
  </r>
  <r>
    <x v="93"/>
    <s v="Pintura de faixa - termoplástico por aspersão Hot Spray - espessura de 1,5 mm (REF. SICRO COD. 5213408, DB 04-21)"/>
    <s v="M2"/>
    <n v="390.6"/>
    <n v="60.67"/>
    <n v="23697.7"/>
  </r>
  <r>
    <x v="94"/>
    <s v="Coluna simples de 50,8 mm (2&quot;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"/>
    <s v="UN "/>
    <n v="263"/>
    <n v="523.6"/>
    <n v="137706.79999999999"/>
  </r>
  <r>
    <x v="95"/>
    <s v="Placa de sinalização de alumínio, espessura 1,5 mm, com fundo, símbolos e tarjas em película refletiva com esferas inclusas tipo I-A da NBR 14644 (GT/GT), inclusive elementos de fixação, conforme especificação AGETRAN/PMCG - Incluso fornecimento"/>
    <s v="M2"/>
    <n v="47.93"/>
    <n v="915.14"/>
    <n v="43862.66"/>
  </r>
  <r>
    <x v="96"/>
    <s v="Placa de aço esmaltada para identificação de rua, dimensões *45x20* cm"/>
    <s v="UN    "/>
    <n v="202"/>
    <n v="99.57"/>
    <n v="20113.14"/>
  </r>
  <r>
    <x v="97"/>
    <s v="Administração local do canteiro de obras"/>
    <s v="UN "/>
    <n v="1"/>
    <n v="625998.32999999996"/>
    <n v="625998.32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dinâ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02" firstHeaderRow="0" firstDataRow="1" firstDataCol="1"/>
  <pivotFields count="6">
    <pivotField axis="axisRow" showAll="0" sortType="descending">
      <items count="274">
        <item m="1" x="104"/>
        <item x="68"/>
        <item m="1" x="247"/>
        <item m="1" x="205"/>
        <item m="1" x="153"/>
        <item x="67"/>
        <item x="52"/>
        <item x="53"/>
        <item m="1" x="131"/>
        <item m="1" x="155"/>
        <item x="50"/>
        <item x="51"/>
        <item x="1"/>
        <item x="2"/>
        <item x="3"/>
        <item x="14"/>
        <item m="1" x="185"/>
        <item m="1" x="156"/>
        <item m="1" x="258"/>
        <item m="1" x="163"/>
        <item m="1" x="196"/>
        <item m="1" x="140"/>
        <item m="1" x="229"/>
        <item m="1" x="234"/>
        <item m="1" x="224"/>
        <item m="1" x="143"/>
        <item m="1" x="134"/>
        <item m="1" x="215"/>
        <item m="1" x="220"/>
        <item x="37"/>
        <item m="1" x="243"/>
        <item x="66"/>
        <item m="1" x="116"/>
        <item m="1" x="213"/>
        <item m="1" x="112"/>
        <item m="1" x="133"/>
        <item m="1" x="142"/>
        <item x="54"/>
        <item x="55"/>
        <item x="56"/>
        <item x="57"/>
        <item m="1" x="179"/>
        <item m="1" x="184"/>
        <item m="1" x="151"/>
        <item m="1" x="177"/>
        <item m="1" x="187"/>
        <item x="38"/>
        <item m="1" x="217"/>
        <item x="47"/>
        <item x="48"/>
        <item m="1" x="240"/>
        <item m="1" x="252"/>
        <item m="1" x="174"/>
        <item x="4"/>
        <item m="1" x="113"/>
        <item m="1" x="139"/>
        <item m="1" x="201"/>
        <item m="1" x="203"/>
        <item m="1" x="206"/>
        <item m="1" x="207"/>
        <item m="1" x="157"/>
        <item m="1" x="249"/>
        <item m="1" x="250"/>
        <item m="1" x="253"/>
        <item x="88"/>
        <item m="1" x="169"/>
        <item m="1" x="171"/>
        <item x="89"/>
        <item m="1" x="209"/>
        <item m="1" x="210"/>
        <item m="1" x="173"/>
        <item x="74"/>
        <item x="19"/>
        <item m="1" x="211"/>
        <item m="1" x="212"/>
        <item m="1" x="202"/>
        <item m="1" x="208"/>
        <item x="78"/>
        <item m="1" x="218"/>
        <item m="1" x="223"/>
        <item m="1" x="242"/>
        <item m="1" x="189"/>
        <item x="86"/>
        <item x="22"/>
        <item m="1" x="98"/>
        <item x="60"/>
        <item x="6"/>
        <item x="7"/>
        <item m="1" x="265"/>
        <item m="1" x="114"/>
        <item m="1" x="117"/>
        <item m="1" x="120"/>
        <item m="1" x="122"/>
        <item x="17"/>
        <item x="79"/>
        <item m="1" x="267"/>
        <item x="58"/>
        <item x="63"/>
        <item x="64"/>
        <item x="61"/>
        <item x="77"/>
        <item x="80"/>
        <item x="84"/>
        <item x="0"/>
        <item x="11"/>
        <item x="12"/>
        <item x="13"/>
        <item x="23"/>
        <item m="1" x="121"/>
        <item x="24"/>
        <item x="25"/>
        <item m="1" x="214"/>
        <item x="26"/>
        <item x="27"/>
        <item m="1" x="219"/>
        <item m="1" x="222"/>
        <item x="28"/>
        <item x="29"/>
        <item m="1" x="226"/>
        <item m="1" x="129"/>
        <item x="30"/>
        <item x="32"/>
        <item x="35"/>
        <item m="1" x="230"/>
        <item m="1" x="236"/>
        <item m="1" x="239"/>
        <item m="1" x="115"/>
        <item m="1" x="118"/>
        <item m="1" x="136"/>
        <item m="1" x="192"/>
        <item m="1" x="194"/>
        <item m="1" x="199"/>
        <item m="1" x="216"/>
        <item m="1" x="204"/>
        <item x="46"/>
        <item m="1" x="227"/>
        <item m="1" x="231"/>
        <item m="1" x="237"/>
        <item m="1" x="119"/>
        <item x="20"/>
        <item m="1" x="158"/>
        <item m="1" x="161"/>
        <item m="1" x="162"/>
        <item m="1" x="164"/>
        <item m="1" x="166"/>
        <item m="1" x="167"/>
        <item m="1" x="256"/>
        <item m="1" x="221"/>
        <item m="1" x="228"/>
        <item m="1" x="238"/>
        <item m="1" x="259"/>
        <item n="103670" m="1" x="245"/>
        <item x="70"/>
        <item m="1" x="241"/>
        <item m="1" x="244"/>
        <item m="1" x="110"/>
        <item x="18"/>
        <item x="73"/>
        <item m="1" x="168"/>
        <item m="1" x="137"/>
        <item m="1" x="260"/>
        <item m="1" x="182"/>
        <item m="1" x="191"/>
        <item m="1" x="170"/>
        <item x="43"/>
        <item m="1" x="150"/>
        <item m="1" x="152"/>
        <item m="1" x="154"/>
        <item m="1" x="198"/>
        <item x="81"/>
        <item x="95"/>
        <item x="97"/>
        <item x="36"/>
        <item m="1" x="172"/>
        <item m="1" x="148"/>
        <item m="1" x="188"/>
        <item x="49"/>
        <item m="1" x="271"/>
        <item m="1" x="225"/>
        <item m="1" x="235"/>
        <item m="1" x="251"/>
        <item m="1" x="124"/>
        <item m="1" x="126"/>
        <item x="87"/>
        <item m="1" x="200"/>
        <item m="1" x="145"/>
        <item m="1" x="141"/>
        <item m="1" x="144"/>
        <item m="1" x="146"/>
        <item m="1" x="147"/>
        <item m="1" x="111"/>
        <item m="1" x="255"/>
        <item m="1" x="272"/>
        <item m="1" x="100"/>
        <item m="1" x="103"/>
        <item m="1" x="190"/>
        <item m="1" x="197"/>
        <item m="1" x="180"/>
        <item n="103673" m="1" x="246"/>
        <item m="1" x="181"/>
        <item m="1" x="263"/>
        <item m="1" x="99"/>
        <item m="1" x="257"/>
        <item m="1" x="268"/>
        <item m="1" x="269"/>
        <item m="1" x="101"/>
        <item m="1" x="266"/>
        <item m="1" x="264"/>
        <item m="1" x="125"/>
        <item m="1" x="127"/>
        <item m="1" x="128"/>
        <item m="1" x="130"/>
        <item m="1" x="160"/>
        <item m="1" x="193"/>
        <item m="1" x="149"/>
        <item m="1" x="262"/>
        <item m="1" x="195"/>
        <item x="94"/>
        <item x="96"/>
        <item m="1" x="175"/>
        <item x="34"/>
        <item x="39"/>
        <item x="40"/>
        <item x="44"/>
        <item x="45"/>
        <item x="65"/>
        <item x="69"/>
        <item x="75"/>
        <item x="76"/>
        <item x="90"/>
        <item m="1" x="232"/>
        <item x="59"/>
        <item m="1" x="183"/>
        <item x="82"/>
        <item x="8"/>
        <item x="9"/>
        <item x="10"/>
        <item x="21"/>
        <item m="1" x="186"/>
        <item x="31"/>
        <item m="1" x="254"/>
        <item m="1" x="248"/>
        <item x="62"/>
        <item m="1" x="176"/>
        <item x="71"/>
        <item m="1" x="165"/>
        <item x="83"/>
        <item x="85"/>
        <item m="1" x="178"/>
        <item m="1" x="138"/>
        <item m="1" x="270"/>
        <item m="1" x="102"/>
        <item m="1" x="261"/>
        <item m="1" x="233"/>
        <item m="1" x="107"/>
        <item m="1" x="108"/>
        <item m="1" x="105"/>
        <item m="1" x="132"/>
        <item m="1" x="106"/>
        <item m="1" x="135"/>
        <item m="1" x="109"/>
        <item m="1" x="159"/>
        <item m="1" x="123"/>
        <item x="5"/>
        <item x="15"/>
        <item x="16"/>
        <item x="33"/>
        <item x="41"/>
        <item x="42"/>
        <item x="72"/>
        <item x="91"/>
        <item x="92"/>
        <item x="93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ubtotalTop="0" showAll="0"/>
    <pivotField subtotalTop="0" showAll="0"/>
    <pivotField dataField="1" subtotalTop="0" showAll="0"/>
    <pivotField numFmtId="165" subtotalTop="0" showAll="0"/>
    <pivotField dataField="1" numFmtId="165" subtotalTop="0" showAll="0"/>
  </pivotFields>
  <rowFields count="1">
    <field x="0"/>
  </rowFields>
  <rowItems count="99">
    <i>
      <x v="169"/>
    </i>
    <i>
      <x v="67"/>
    </i>
    <i>
      <x v="1"/>
    </i>
    <i>
      <x v="139"/>
    </i>
    <i>
      <x v="233"/>
    </i>
    <i>
      <x v="171"/>
    </i>
    <i>
      <x v="152"/>
    </i>
    <i>
      <x v="7"/>
    </i>
    <i>
      <x v="227"/>
    </i>
    <i>
      <x v="226"/>
    </i>
    <i>
      <x v="5"/>
    </i>
    <i>
      <x v="267"/>
    </i>
    <i>
      <x v="6"/>
    </i>
    <i>
      <x v="96"/>
    </i>
    <i>
      <x v="94"/>
    </i>
    <i>
      <x v="101"/>
    </i>
    <i>
      <x v="72"/>
    </i>
    <i>
      <x v="98"/>
    </i>
    <i>
      <x v="11"/>
    </i>
    <i>
      <x v="225"/>
    </i>
    <i>
      <x v="217"/>
    </i>
    <i>
      <x v="176"/>
    </i>
    <i>
      <x v="38"/>
    </i>
    <i>
      <x v="40"/>
    </i>
    <i>
      <x v="247"/>
    </i>
    <i>
      <x v="97"/>
    </i>
    <i>
      <x v="157"/>
    </i>
    <i>
      <x v="39"/>
    </i>
    <i>
      <x v="237"/>
    </i>
    <i>
      <x v="10"/>
    </i>
    <i>
      <x v="48"/>
    </i>
    <i>
      <x v="37"/>
    </i>
    <i>
      <x v="86"/>
    </i>
    <i>
      <x v="221"/>
    </i>
    <i>
      <x v="172"/>
    </i>
    <i>
      <x v="183"/>
    </i>
    <i>
      <x v="100"/>
    </i>
    <i>
      <x v="77"/>
    </i>
    <i>
      <x v="46"/>
    </i>
    <i>
      <x v="170"/>
    </i>
    <i>
      <x v="122"/>
    </i>
    <i>
      <x v="270"/>
    </i>
    <i>
      <x v="242"/>
    </i>
    <i>
      <x v="106"/>
    </i>
    <i>
      <x v="134"/>
    </i>
    <i>
      <x v="116"/>
    </i>
    <i>
      <x v="156"/>
    </i>
    <i>
      <x v="246"/>
    </i>
    <i>
      <x v="271"/>
    </i>
    <i>
      <x v="263"/>
    </i>
    <i>
      <x v="99"/>
    </i>
    <i>
      <x v="272"/>
    </i>
    <i>
      <x v="224"/>
    </i>
    <i>
      <x v="218"/>
    </i>
    <i>
      <x v="13"/>
    </i>
    <i>
      <x v="236"/>
    </i>
    <i>
      <x v="235"/>
    </i>
    <i>
      <x v="220"/>
    </i>
    <i>
      <x v="265"/>
    </i>
    <i>
      <x v="107"/>
    </i>
    <i>
      <x v="83"/>
    </i>
    <i>
      <x v="234"/>
    </i>
    <i>
      <x v="164"/>
    </i>
    <i>
      <x v="14"/>
    </i>
    <i>
      <x v="12"/>
    </i>
    <i>
      <x v="85"/>
    </i>
    <i>
      <x v="82"/>
    </i>
    <i>
      <x v="104"/>
    </i>
    <i>
      <x v="109"/>
    </i>
    <i>
      <x v="264"/>
    </i>
    <i>
      <x v="244"/>
    </i>
    <i>
      <x v="228"/>
    </i>
    <i>
      <x v="268"/>
    </i>
    <i>
      <x v="15"/>
    </i>
    <i>
      <x v="112"/>
    </i>
    <i>
      <x v="223"/>
    </i>
    <i>
      <x v="53"/>
    </i>
    <i>
      <x v="222"/>
    </i>
    <i>
      <x v="105"/>
    </i>
    <i>
      <x v="49"/>
    </i>
    <i>
      <x v="29"/>
    </i>
    <i>
      <x v="87"/>
    </i>
    <i>
      <x v="64"/>
    </i>
    <i>
      <x v="239"/>
    </i>
    <i>
      <x v="103"/>
    </i>
    <i>
      <x v="120"/>
    </i>
    <i>
      <x v="117"/>
    </i>
    <i>
      <x v="93"/>
    </i>
    <i>
      <x v="266"/>
    </i>
    <i>
      <x v="231"/>
    </i>
    <i>
      <x v="102"/>
    </i>
    <i>
      <x v="269"/>
    </i>
    <i>
      <x v="229"/>
    </i>
    <i>
      <x v="121"/>
    </i>
    <i>
      <x v="110"/>
    </i>
    <i>
      <x v="113"/>
    </i>
    <i>
      <x v="31"/>
    </i>
    <i>
      <x v="7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ntagem de QUANT." fld="3" subtotal="count" baseField="0" baseItem="4" numFmtId="167"/>
    <dataField name="Soma de QUANT.2" fld="3" baseField="0" baseItem="0" numFmtId="167"/>
    <dataField name="Soma de PREÇO TOTAL (R$)" fld="5" baseField="0" baseItem="0" numFmtId="167"/>
  </dataFields>
  <formats count="6">
    <format dxfId="720">
      <pivotArea field="0" type="button" dataOnly="0" labelOnly="1" outline="0" axis="axisRow" fieldPosition="0"/>
    </format>
    <format dxfId="71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18">
      <pivotArea dataOnly="0" labelOnly="1" fieldPosition="0">
        <references count="1">
          <reference field="0" count="46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717">
      <pivotArea dataOnly="0" labelOnly="1" fieldPosition="0">
        <references count="1">
          <reference field="0" count="6">
            <x v="96"/>
            <x v="97"/>
            <x v="98"/>
            <x v="99"/>
            <x v="100"/>
            <x v="101"/>
          </reference>
        </references>
      </pivotArea>
    </format>
    <format dxfId="716">
      <pivotArea dataOnly="0" labelOnly="1" fieldPosition="0">
        <references count="1">
          <reference field="0" count="6">
            <x v="102"/>
            <x v="103"/>
            <x v="104"/>
            <x v="105"/>
            <x v="106"/>
            <x v="107"/>
          </reference>
        </references>
      </pivotArea>
    </format>
    <format dxfId="71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674" dT="2021-07-05T18:35:11.30" personId="{98EDF642-4B36-4D24-AA47-5833063B2A3E}" id="{33B34369-EDB1-4A5D-BD38-901EDB0BD66C}">
    <text>pode excluir?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208" dT="2021-05-20T17:12:05.77" personId="{98EDF642-4B36-4D24-AA47-5833063B2A3E}" id="{D6C78E67-F792-4BED-97F9-FA98DD7EEB4E}">
    <text>ITEM ALTERADO</text>
  </threadedComment>
  <threadedComment ref="F413" dT="2021-05-20T17:16:33.57" personId="{98EDF642-4B36-4D24-AA47-5833063B2A3E}" id="{F41E0493-AB36-47DC-88BA-B86AAF59DD26}">
    <text>PRANCHA 8</text>
  </threadedComment>
  <threadedComment ref="A502" dT="2021-05-20T17:19:22.90" personId="{98EDF642-4B36-4D24-AA47-5833063B2A3E}" id="{EF185630-6B6A-41F6-9197-11D42D0CEDBB}">
    <text>ESTAVA 16 UN, DAÍ FOI CORRIGIDO</text>
  </threadedComment>
  <threadedComment ref="F572" dT="2021-05-20T17:34:47.73" personId="{98EDF642-4B36-4D24-AA47-5833063B2A3E}" id="{EADCF8F0-C3F9-4F32-A9C7-B542AA7D7D4D}">
    <text>era 4,7</text>
  </threadedComment>
  <threadedComment ref="F577" dT="2021-05-20T17:34:37.18" personId="{98EDF642-4B36-4D24-AA47-5833063B2A3E}" id="{33411486-F9D4-48A8-9BA8-7C41BC3BBA49}">
    <text>era=4,7m</text>
  </threadedComment>
  <threadedComment ref="E582" dT="2021-05-20T17:33:46.79" personId="{98EDF642-4B36-4D24-AA47-5833063B2A3E}" id="{B9F00A82-ECAC-49F2-9993-41291C4C4C6E}">
    <text>era 3,5 m e foi alterado pois não correspondia com o projeto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4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1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3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fitToPage="1"/>
  </sheetPr>
  <dimension ref="A1:N74"/>
  <sheetViews>
    <sheetView showGridLines="0" showZeros="0" workbookViewId="0">
      <selection activeCell="D1" sqref="D1"/>
    </sheetView>
  </sheetViews>
  <sheetFormatPr defaultColWidth="9" defaultRowHeight="12.75" customHeight="1" x14ac:dyDescent="0.2"/>
  <cols>
    <col min="1" max="13" width="9" customWidth="1"/>
    <col min="14" max="14" width="17.125" customWidth="1"/>
    <col min="15" max="18" width="9" customWidth="1"/>
  </cols>
  <sheetData>
    <row r="1" spans="1:14" ht="13.5" thickTop="1" x14ac:dyDescent="0.2">
      <c r="A1" s="267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9"/>
    </row>
    <row r="2" spans="1:14" ht="12.75" customHeight="1" x14ac:dyDescent="0.2">
      <c r="A2" s="461"/>
      <c r="N2" s="270"/>
    </row>
    <row r="3" spans="1:14" ht="12.75" customHeight="1" x14ac:dyDescent="0.2">
      <c r="A3" s="461"/>
      <c r="N3" s="270"/>
    </row>
    <row r="4" spans="1:14" ht="12.75" customHeight="1" x14ac:dyDescent="0.2">
      <c r="A4" s="461"/>
      <c r="N4" s="270"/>
    </row>
    <row r="5" spans="1:14" ht="12.75" customHeight="1" x14ac:dyDescent="0.2">
      <c r="A5" s="461"/>
      <c r="N5" s="270"/>
    </row>
    <row r="6" spans="1:14" ht="12.75" customHeight="1" x14ac:dyDescent="0.2">
      <c r="A6" s="461"/>
      <c r="N6" s="270"/>
    </row>
    <row r="7" spans="1:14" ht="12.75" customHeight="1" x14ac:dyDescent="0.2">
      <c r="A7" s="461"/>
      <c r="N7" s="270"/>
    </row>
    <row r="8" spans="1:14" ht="12.75" customHeight="1" x14ac:dyDescent="0.2">
      <c r="A8" s="461"/>
      <c r="N8" s="270"/>
    </row>
    <row r="9" spans="1:14" ht="12.75" customHeight="1" x14ac:dyDescent="0.2">
      <c r="A9" s="461"/>
      <c r="N9" s="270"/>
    </row>
    <row r="10" spans="1:14" ht="12.75" customHeight="1" x14ac:dyDescent="0.2">
      <c r="A10" s="461"/>
      <c r="N10" s="270"/>
    </row>
    <row r="11" spans="1:14" ht="12.75" customHeight="1" x14ac:dyDescent="0.2">
      <c r="A11" s="461"/>
      <c r="N11" s="270"/>
    </row>
    <row r="12" spans="1:14" ht="12.75" customHeight="1" x14ac:dyDescent="0.2">
      <c r="A12" s="461"/>
      <c r="N12" s="270"/>
    </row>
    <row r="13" spans="1:14" ht="12.75" customHeight="1" x14ac:dyDescent="0.2">
      <c r="A13" s="461"/>
      <c r="N13" s="270"/>
    </row>
    <row r="14" spans="1:14" ht="12.75" customHeight="1" x14ac:dyDescent="0.2">
      <c r="A14" s="461"/>
      <c r="N14" s="270"/>
    </row>
    <row r="15" spans="1:14" ht="12.75" customHeight="1" x14ac:dyDescent="0.2">
      <c r="A15" s="461"/>
      <c r="N15" s="270"/>
    </row>
    <row r="16" spans="1:14" ht="12.75" customHeight="1" x14ac:dyDescent="0.2">
      <c r="A16" s="461"/>
      <c r="N16" s="270"/>
    </row>
    <row r="17" spans="1:14" ht="12.75" customHeight="1" x14ac:dyDescent="0.2">
      <c r="A17" s="461"/>
      <c r="N17" s="270"/>
    </row>
    <row r="18" spans="1:14" ht="12.75" customHeight="1" x14ac:dyDescent="0.2">
      <c r="A18" s="461"/>
      <c r="N18" s="270"/>
    </row>
    <row r="19" spans="1:14" ht="12.75" customHeight="1" x14ac:dyDescent="0.2">
      <c r="A19" s="461"/>
      <c r="N19" s="270"/>
    </row>
    <row r="20" spans="1:14" ht="12.75" customHeight="1" x14ac:dyDescent="0.2">
      <c r="A20" s="461"/>
      <c r="N20" s="270"/>
    </row>
    <row r="21" spans="1:14" ht="12.75" customHeight="1" x14ac:dyDescent="0.2">
      <c r="A21" s="461"/>
      <c r="N21" s="270"/>
    </row>
    <row r="22" spans="1:14" ht="12.75" customHeight="1" x14ac:dyDescent="0.2">
      <c r="A22" s="461"/>
      <c r="N22" s="270"/>
    </row>
    <row r="23" spans="1:14" ht="12.75" customHeight="1" x14ac:dyDescent="0.2">
      <c r="A23" s="461"/>
      <c r="N23" s="270"/>
    </row>
    <row r="24" spans="1:14" ht="12.75" customHeight="1" x14ac:dyDescent="0.2">
      <c r="A24" s="461"/>
      <c r="N24" s="270"/>
    </row>
    <row r="25" spans="1:14" ht="12.75" customHeight="1" x14ac:dyDescent="0.2">
      <c r="A25" s="461"/>
      <c r="N25" s="270"/>
    </row>
    <row r="26" spans="1:14" ht="12.75" customHeight="1" x14ac:dyDescent="0.2">
      <c r="A26" s="461"/>
      <c r="N26" s="270"/>
    </row>
    <row r="27" spans="1:14" ht="12.75" customHeight="1" x14ac:dyDescent="0.2">
      <c r="A27" s="461"/>
      <c r="N27" s="270"/>
    </row>
    <row r="28" spans="1:14" ht="12.75" customHeight="1" x14ac:dyDescent="0.2">
      <c r="A28" s="461"/>
      <c r="N28" s="270"/>
    </row>
    <row r="29" spans="1:14" ht="12.75" customHeight="1" x14ac:dyDescent="0.2">
      <c r="A29" s="461"/>
      <c r="N29" s="270"/>
    </row>
    <row r="30" spans="1:14" ht="12.75" customHeight="1" x14ac:dyDescent="0.2">
      <c r="A30" s="461"/>
      <c r="N30" s="270"/>
    </row>
    <row r="31" spans="1:14" ht="12.75" customHeight="1" x14ac:dyDescent="0.2">
      <c r="A31" s="461"/>
      <c r="N31" s="270"/>
    </row>
    <row r="32" spans="1:14" ht="12.75" customHeight="1" x14ac:dyDescent="0.2">
      <c r="A32" s="461"/>
      <c r="N32" s="270"/>
    </row>
    <row r="33" spans="1:14" ht="12.75" customHeight="1" x14ac:dyDescent="0.2">
      <c r="A33" s="461"/>
      <c r="N33" s="270"/>
    </row>
    <row r="34" spans="1:14" ht="12.75" customHeight="1" x14ac:dyDescent="0.2">
      <c r="A34" s="461"/>
      <c r="N34" s="270"/>
    </row>
    <row r="35" spans="1:14" ht="12.75" customHeight="1" x14ac:dyDescent="0.2">
      <c r="A35" s="461"/>
      <c r="N35" s="270"/>
    </row>
    <row r="36" spans="1:14" ht="12.75" customHeight="1" x14ac:dyDescent="0.2">
      <c r="A36" s="461"/>
      <c r="N36" s="270"/>
    </row>
    <row r="37" spans="1:14" ht="12.75" customHeight="1" x14ac:dyDescent="0.2">
      <c r="A37" s="461"/>
      <c r="N37" s="270"/>
    </row>
    <row r="38" spans="1:14" ht="12.75" customHeight="1" x14ac:dyDescent="0.2">
      <c r="A38" s="461"/>
      <c r="N38" s="270"/>
    </row>
    <row r="39" spans="1:14" ht="12.75" customHeight="1" x14ac:dyDescent="0.2">
      <c r="A39" s="461"/>
      <c r="N39" s="270"/>
    </row>
    <row r="40" spans="1:14" ht="12.75" customHeight="1" x14ac:dyDescent="0.2">
      <c r="A40" s="461"/>
      <c r="N40" s="270"/>
    </row>
    <row r="41" spans="1:14" ht="12.75" customHeight="1" x14ac:dyDescent="0.2">
      <c r="A41" s="461"/>
      <c r="N41" s="270"/>
    </row>
    <row r="42" spans="1:14" ht="12.75" customHeight="1" x14ac:dyDescent="0.2">
      <c r="A42" s="461"/>
      <c r="N42" s="270"/>
    </row>
    <row r="43" spans="1:14" ht="12.75" customHeight="1" x14ac:dyDescent="0.2">
      <c r="A43" s="461"/>
      <c r="N43" s="270"/>
    </row>
    <row r="44" spans="1:14" ht="12.75" customHeight="1" x14ac:dyDescent="0.2">
      <c r="A44" s="461"/>
      <c r="N44" s="270"/>
    </row>
    <row r="45" spans="1:14" ht="12.75" customHeight="1" x14ac:dyDescent="0.2">
      <c r="A45" s="461"/>
      <c r="N45" s="270"/>
    </row>
    <row r="46" spans="1:14" ht="12.75" customHeight="1" x14ac:dyDescent="0.2">
      <c r="A46" s="461"/>
      <c r="N46" s="270"/>
    </row>
    <row r="47" spans="1:14" ht="12.75" customHeight="1" x14ac:dyDescent="0.2">
      <c r="A47" s="461"/>
      <c r="N47" s="270"/>
    </row>
    <row r="48" spans="1:14" ht="12.75" customHeight="1" x14ac:dyDescent="0.2">
      <c r="A48" s="461"/>
      <c r="N48" s="270"/>
    </row>
    <row r="49" spans="1:14" ht="12.75" customHeight="1" x14ac:dyDescent="0.2">
      <c r="A49" s="461"/>
      <c r="N49" s="270"/>
    </row>
    <row r="50" spans="1:14" ht="12.75" customHeight="1" x14ac:dyDescent="0.2">
      <c r="A50" s="461"/>
      <c r="N50" s="270"/>
    </row>
    <row r="51" spans="1:14" ht="12.75" customHeight="1" x14ac:dyDescent="0.2">
      <c r="A51" s="461"/>
      <c r="N51" s="270"/>
    </row>
    <row r="52" spans="1:14" ht="12.75" customHeight="1" x14ac:dyDescent="0.2">
      <c r="A52" s="461"/>
      <c r="N52" s="270"/>
    </row>
    <row r="53" spans="1:14" x14ac:dyDescent="0.2">
      <c r="A53" s="461"/>
      <c r="N53" s="270"/>
    </row>
    <row r="54" spans="1:14" x14ac:dyDescent="0.2">
      <c r="A54" s="461"/>
      <c r="N54" s="270"/>
    </row>
    <row r="55" spans="1:14" ht="12.75" customHeight="1" x14ac:dyDescent="0.2">
      <c r="A55" s="461"/>
      <c r="N55" s="270"/>
    </row>
    <row r="56" spans="1:14" ht="12.75" customHeight="1" x14ac:dyDescent="0.2">
      <c r="A56" s="461"/>
      <c r="N56" s="270"/>
    </row>
    <row r="57" spans="1:14" ht="12.75" customHeight="1" x14ac:dyDescent="0.2">
      <c r="A57" s="461"/>
      <c r="N57" s="270"/>
    </row>
    <row r="58" spans="1:14" ht="12.75" customHeight="1" x14ac:dyDescent="0.2">
      <c r="A58" s="461"/>
      <c r="N58" s="270"/>
    </row>
    <row r="59" spans="1:14" ht="12.75" customHeight="1" x14ac:dyDescent="0.2">
      <c r="A59" s="461"/>
      <c r="N59" s="270"/>
    </row>
    <row r="60" spans="1:14" ht="12.75" customHeight="1" x14ac:dyDescent="0.2">
      <c r="A60" s="461"/>
      <c r="N60" s="270"/>
    </row>
    <row r="61" spans="1:14" ht="12.75" customHeight="1" x14ac:dyDescent="0.2">
      <c r="A61" s="461"/>
      <c r="N61" s="270"/>
    </row>
    <row r="62" spans="1:14" ht="12.75" customHeight="1" x14ac:dyDescent="0.2">
      <c r="A62" s="461"/>
      <c r="N62" s="270"/>
    </row>
    <row r="63" spans="1:14" ht="12.75" customHeight="1" x14ac:dyDescent="0.2">
      <c r="A63" s="461"/>
      <c r="N63" s="270"/>
    </row>
    <row r="64" spans="1:14" ht="12.75" customHeight="1" x14ac:dyDescent="0.2">
      <c r="A64" s="461"/>
      <c r="N64" s="270"/>
    </row>
    <row r="65" spans="1:14" ht="12.75" customHeight="1" x14ac:dyDescent="0.2">
      <c r="A65" s="461"/>
      <c r="N65" s="270"/>
    </row>
    <row r="66" spans="1:14" ht="12.75" customHeight="1" x14ac:dyDescent="0.2">
      <c r="A66" s="461"/>
      <c r="N66" s="270"/>
    </row>
    <row r="67" spans="1:14" ht="12.75" customHeight="1" x14ac:dyDescent="0.2">
      <c r="A67" s="461"/>
      <c r="N67" s="270"/>
    </row>
    <row r="68" spans="1:14" ht="12.75" customHeight="1" x14ac:dyDescent="0.2">
      <c r="A68" s="461"/>
      <c r="N68" s="270"/>
    </row>
    <row r="69" spans="1:14" ht="12.75" customHeight="1" x14ac:dyDescent="0.2">
      <c r="A69" s="461"/>
      <c r="N69" s="270"/>
    </row>
    <row r="70" spans="1:14" ht="12.75" customHeight="1" x14ac:dyDescent="0.2">
      <c r="A70" s="461"/>
      <c r="N70" s="270"/>
    </row>
    <row r="71" spans="1:14" ht="12.75" customHeight="1" x14ac:dyDescent="0.2">
      <c r="A71" s="461"/>
      <c r="N71" s="270"/>
    </row>
    <row r="72" spans="1:14" ht="12.75" customHeight="1" x14ac:dyDescent="0.2">
      <c r="A72" s="461"/>
      <c r="N72" s="270"/>
    </row>
    <row r="73" spans="1:14" ht="13.5" thickBot="1" x14ac:dyDescent="0.25">
      <c r="A73" s="271"/>
      <c r="B73" s="527"/>
      <c r="C73" s="527"/>
      <c r="D73" s="527"/>
      <c r="E73" s="527"/>
      <c r="F73" s="527"/>
      <c r="G73" s="527"/>
      <c r="H73" s="527"/>
      <c r="I73" s="527"/>
      <c r="J73" s="527"/>
      <c r="K73" s="527"/>
      <c r="L73" s="527"/>
      <c r="M73" s="527"/>
      <c r="N73" s="272"/>
    </row>
    <row r="74" spans="1:14" ht="13.5" thickTop="1" x14ac:dyDescent="0.2">
      <c r="A74" s="268"/>
      <c r="B74" s="268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</row>
  </sheetData>
  <pageMargins left="0.51181102362204722" right="0.51181102362204722" top="0.78740157480314965" bottom="0.78740157480314965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3">
    <tabColor rgb="FF00B0F0"/>
  </sheetPr>
  <dimension ref="A1:AD167"/>
  <sheetViews>
    <sheetView showZeros="0" zoomScale="80" zoomScaleNormal="80" zoomScaleSheetLayoutView="80" workbookViewId="0">
      <selection activeCell="G42" sqref="G42"/>
    </sheetView>
  </sheetViews>
  <sheetFormatPr defaultColWidth="9" defaultRowHeight="12" x14ac:dyDescent="0.15"/>
  <cols>
    <col min="1" max="1" width="10.625" style="104" customWidth="1"/>
    <col min="2" max="2" width="45.625" style="104" customWidth="1"/>
    <col min="3" max="3" width="11.25" style="104" hidden="1" customWidth="1"/>
    <col min="4" max="4" width="14.625" style="104" customWidth="1"/>
    <col min="5" max="5" width="14.625" style="128" customWidth="1"/>
    <col min="6" max="17" width="14.625" style="104" customWidth="1"/>
    <col min="18" max="23" width="14.625" style="104" hidden="1" customWidth="1"/>
    <col min="24" max="24" width="16.625" style="104" customWidth="1"/>
    <col min="25" max="25" width="12.375" style="104" hidden="1" customWidth="1"/>
    <col min="26" max="26" width="10.5" style="104" hidden="1" customWidth="1"/>
    <col min="27" max="30" width="9" style="104" hidden="1" customWidth="1"/>
    <col min="31" max="31" width="0" style="104" hidden="1" customWidth="1"/>
    <col min="32" max="32" width="18.125" style="104" customWidth="1"/>
    <col min="33" max="16384" width="9" style="104"/>
  </cols>
  <sheetData>
    <row r="1" spans="1:28" s="97" customFormat="1" ht="24.95" customHeight="1" x14ac:dyDescent="0.15">
      <c r="A1" s="539" t="str">
        <f>Orçamento_Deson!B1</f>
        <v>PREFEITURA MUNICIPAL DE RIBAS DO RIO PARDO / MS</v>
      </c>
      <c r="B1" s="94"/>
      <c r="C1" s="94"/>
      <c r="D1" s="95"/>
      <c r="E1" s="96"/>
      <c r="F1" s="96"/>
      <c r="G1" s="2259" t="str">
        <f>Orçamento_Deson!B5</f>
        <v>OBRA :</v>
      </c>
      <c r="H1" s="2260" t="str">
        <f>Orçamento_Deson!C5</f>
        <v xml:space="preserve">INFRAESTRUTURA URBANA - PAVIMENTAÇÃO ASFÁLTICA E DRENAGEM DE ÁGUAS PLUVIAIS </v>
      </c>
      <c r="I1" s="164"/>
      <c r="J1" s="164"/>
      <c r="K1" s="164"/>
      <c r="M1" s="164"/>
      <c r="N1" s="87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8" s="97" customFormat="1" ht="24.95" customHeight="1" x14ac:dyDescent="0.15">
      <c r="A2" s="460" t="str">
        <f>Orçamento_Deson!B2</f>
        <v>ESTADO DE MATO GROSSO DO SUL</v>
      </c>
      <c r="B2" s="94"/>
      <c r="C2" s="94"/>
      <c r="D2" s="95"/>
      <c r="E2" s="96"/>
      <c r="F2" s="96"/>
      <c r="G2" s="2259" t="str">
        <f>Orçamento_Deson!B6</f>
        <v>LOCAL :</v>
      </c>
      <c r="H2" s="2260" t="str">
        <f>Orçamento_Deson!C6</f>
        <v>PARQUE ESTORIL - ETAPAS 03 E 04</v>
      </c>
      <c r="I2" s="164"/>
      <c r="J2" s="164"/>
      <c r="K2" s="164"/>
      <c r="M2" s="164"/>
      <c r="N2" s="874"/>
      <c r="X2" s="164"/>
    </row>
    <row r="3" spans="1:28" s="98" customFormat="1" ht="18" customHeight="1" x14ac:dyDescent="0.2">
      <c r="A3" s="189"/>
      <c r="E3" s="99"/>
      <c r="F3" s="100"/>
      <c r="G3" s="129"/>
      <c r="H3" s="164"/>
      <c r="I3" s="164"/>
      <c r="J3" s="164"/>
      <c r="K3" s="164"/>
      <c r="M3" s="164"/>
      <c r="N3" s="164"/>
      <c r="X3" s="164"/>
    </row>
    <row r="4" spans="1:28" s="98" customFormat="1" ht="18" customHeight="1" x14ac:dyDescent="0.2">
      <c r="A4" s="189"/>
      <c r="E4" s="99"/>
      <c r="F4" s="100"/>
      <c r="G4" s="129"/>
      <c r="H4" s="164"/>
      <c r="I4" s="164"/>
      <c r="J4" s="164"/>
      <c r="K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</row>
    <row r="5" spans="1:28" s="98" customFormat="1" ht="24.95" customHeight="1" x14ac:dyDescent="0.2">
      <c r="A5" s="189" t="s">
        <v>137</v>
      </c>
      <c r="B5" s="101"/>
      <c r="C5" s="101"/>
      <c r="D5" s="101"/>
      <c r="E5" s="101"/>
      <c r="F5" s="102"/>
      <c r="G5" s="1672" t="s">
        <v>114</v>
      </c>
      <c r="H5" s="1699" t="str">
        <f>Orçamento_Deson!J1</f>
        <v>Junho/2023</v>
      </c>
      <c r="I5" s="129"/>
      <c r="J5" s="164"/>
      <c r="M5" s="101"/>
      <c r="N5" s="129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8" ht="18" customHeight="1" thickBot="1" x14ac:dyDescent="0.2">
      <c r="A6" s="103"/>
      <c r="D6" s="105"/>
      <c r="E6" s="106"/>
      <c r="G6" s="1672" t="s">
        <v>420</v>
      </c>
      <c r="H6" s="1686" t="str">
        <f>Orçamento_Deson!J2</f>
        <v>DESONERADA</v>
      </c>
      <c r="I6" s="103"/>
      <c r="N6" s="130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8" s="110" customFormat="1" ht="24.95" customHeight="1" x14ac:dyDescent="0.15">
      <c r="A7" s="2526" t="s">
        <v>31</v>
      </c>
      <c r="B7" s="2528" t="s">
        <v>1963</v>
      </c>
      <c r="C7" s="1668" t="s">
        <v>1959</v>
      </c>
      <c r="D7" s="2530" t="s">
        <v>138</v>
      </c>
      <c r="E7" s="2531"/>
      <c r="F7" s="107">
        <v>1</v>
      </c>
      <c r="G7" s="108">
        <v>2</v>
      </c>
      <c r="H7" s="108">
        <v>3</v>
      </c>
      <c r="I7" s="108">
        <v>4</v>
      </c>
      <c r="J7" s="107">
        <v>5</v>
      </c>
      <c r="K7" s="108">
        <v>6</v>
      </c>
      <c r="L7" s="107">
        <v>7</v>
      </c>
      <c r="M7" s="108">
        <v>8</v>
      </c>
      <c r="N7" s="108">
        <v>9</v>
      </c>
      <c r="O7" s="108">
        <v>10</v>
      </c>
      <c r="P7" s="107">
        <v>11</v>
      </c>
      <c r="Q7" s="108">
        <v>12</v>
      </c>
      <c r="R7" s="108">
        <v>13</v>
      </c>
      <c r="S7" s="108">
        <v>14</v>
      </c>
      <c r="T7" s="108">
        <v>15</v>
      </c>
      <c r="U7" s="108">
        <v>16</v>
      </c>
      <c r="V7" s="108">
        <v>17</v>
      </c>
      <c r="W7" s="108">
        <v>18</v>
      </c>
      <c r="X7" s="2518" t="s">
        <v>139</v>
      </c>
      <c r="Y7" s="109"/>
      <c r="Z7" s="446" t="s">
        <v>599</v>
      </c>
      <c r="AA7" s="447"/>
      <c r="AB7" s="447"/>
    </row>
    <row r="8" spans="1:28" s="114" customFormat="1" ht="24.95" customHeight="1" thickBot="1" x14ac:dyDescent="0.2">
      <c r="A8" s="2527"/>
      <c r="B8" s="2529"/>
      <c r="C8" s="1669" t="s">
        <v>1964</v>
      </c>
      <c r="D8" s="2520" t="s">
        <v>140</v>
      </c>
      <c r="E8" s="2521"/>
      <c r="F8" s="111">
        <v>30</v>
      </c>
      <c r="G8" s="112">
        <v>60</v>
      </c>
      <c r="H8" s="112">
        <v>90</v>
      </c>
      <c r="I8" s="112">
        <v>120</v>
      </c>
      <c r="J8" s="111">
        <v>150</v>
      </c>
      <c r="K8" s="112">
        <v>180</v>
      </c>
      <c r="L8" s="111">
        <v>210</v>
      </c>
      <c r="M8" s="112">
        <v>240</v>
      </c>
      <c r="N8" s="112">
        <v>270</v>
      </c>
      <c r="O8" s="112">
        <v>300</v>
      </c>
      <c r="P8" s="111">
        <v>330</v>
      </c>
      <c r="Q8" s="112">
        <v>360</v>
      </c>
      <c r="R8" s="112">
        <v>390</v>
      </c>
      <c r="S8" s="112">
        <v>420</v>
      </c>
      <c r="T8" s="112">
        <v>450</v>
      </c>
      <c r="U8" s="112">
        <v>480</v>
      </c>
      <c r="V8" s="112">
        <v>510</v>
      </c>
      <c r="W8" s="112">
        <v>540</v>
      </c>
      <c r="X8" s="2519"/>
      <c r="Y8" s="113"/>
      <c r="Z8" s="794">
        <f ca="1">+Orçamento_Deson!J36+Orçamento_Deson!J42+Orçamento_Deson!J44+Orçamento_Deson!J45</f>
        <v>109297.32</v>
      </c>
      <c r="AA8" s="449" t="s">
        <v>600</v>
      </c>
      <c r="AB8" s="448">
        <f ca="1">+Z8/D10</f>
        <v>0.31987883523787369</v>
      </c>
    </row>
    <row r="9" spans="1:28" s="119" customFormat="1" ht="9.9499999999999993" customHeight="1" x14ac:dyDescent="0.15">
      <c r="A9" s="2500">
        <f>Orçamento_Deson!B13</f>
        <v>1</v>
      </c>
      <c r="B9" s="2503" t="str">
        <f>Orçamento_Deson!C13</f>
        <v>SERVIÇOS PRELIMINARES</v>
      </c>
      <c r="C9" s="1662"/>
      <c r="D9" s="115"/>
      <c r="E9" s="116"/>
      <c r="F9" s="871">
        <f t="shared" ref="F9:M9" si="0">F10</f>
        <v>0.5</v>
      </c>
      <c r="G9" s="871">
        <f t="shared" si="0"/>
        <v>0.05</v>
      </c>
      <c r="H9" s="871">
        <f t="shared" si="0"/>
        <v>0.05</v>
      </c>
      <c r="I9" s="871">
        <f t="shared" si="0"/>
        <v>0.05</v>
      </c>
      <c r="J9" s="871">
        <f t="shared" si="0"/>
        <v>0.05</v>
      </c>
      <c r="K9" s="871">
        <f t="shared" si="0"/>
        <v>0.05</v>
      </c>
      <c r="L9" s="871">
        <f t="shared" si="0"/>
        <v>0.05</v>
      </c>
      <c r="M9" s="871">
        <f t="shared" si="0"/>
        <v>0.05</v>
      </c>
      <c r="N9" s="871">
        <f>N10</f>
        <v>0.04</v>
      </c>
      <c r="O9" s="871">
        <f t="shared" ref="O9:W9" si="1">O10</f>
        <v>0.04</v>
      </c>
      <c r="P9" s="871">
        <f t="shared" si="1"/>
        <v>0.04</v>
      </c>
      <c r="Q9" s="871">
        <f t="shared" si="1"/>
        <v>0.03</v>
      </c>
      <c r="R9" s="871">
        <f t="shared" si="1"/>
        <v>0</v>
      </c>
      <c r="S9" s="871">
        <f t="shared" si="1"/>
        <v>0</v>
      </c>
      <c r="T9" s="871">
        <f t="shared" si="1"/>
        <v>0</v>
      </c>
      <c r="U9" s="871">
        <f t="shared" si="1"/>
        <v>0</v>
      </c>
      <c r="V9" s="871">
        <f t="shared" si="1"/>
        <v>0</v>
      </c>
      <c r="W9" s="871">
        <f t="shared" si="1"/>
        <v>0</v>
      </c>
      <c r="X9" s="117"/>
      <c r="Y9" s="708">
        <f ca="1">+D10-X11-X12</f>
        <v>0</v>
      </c>
    </row>
    <row r="10" spans="1:28" s="119" customFormat="1" ht="18" customHeight="1" x14ac:dyDescent="0.15">
      <c r="A10" s="2501"/>
      <c r="B10" s="2504"/>
      <c r="C10" s="1663" t="str">
        <f>CONCATENATE(Orçamento_Deson!H13," ",Orçamento_Deson!I13)</f>
        <v>8 M2</v>
      </c>
      <c r="D10" s="2522">
        <f ca="1">Orçamento_Deson!J13</f>
        <v>341683.5</v>
      </c>
      <c r="E10" s="2523"/>
      <c r="F10" s="695">
        <f>Cronograma_Não_Deson!F10</f>
        <v>0.5</v>
      </c>
      <c r="G10" s="695">
        <f>Cronograma_Não_Deson!G10</f>
        <v>0.05</v>
      </c>
      <c r="H10" s="695">
        <f>Cronograma_Não_Deson!H10</f>
        <v>0.05</v>
      </c>
      <c r="I10" s="695">
        <f>Cronograma_Não_Deson!I10</f>
        <v>0.05</v>
      </c>
      <c r="J10" s="695">
        <f>Cronograma_Não_Deson!J10</f>
        <v>0.05</v>
      </c>
      <c r="K10" s="695">
        <f>Cronograma_Não_Deson!K10</f>
        <v>0.05</v>
      </c>
      <c r="L10" s="695">
        <f>Cronograma_Não_Deson!L10</f>
        <v>0.05</v>
      </c>
      <c r="M10" s="695">
        <f>Cronograma_Não_Deson!M10</f>
        <v>0.05</v>
      </c>
      <c r="N10" s="695">
        <f>Cronograma_Não_Deson!N10</f>
        <v>0.04</v>
      </c>
      <c r="O10" s="695">
        <f>Cronograma_Não_Deson!O10</f>
        <v>0.04</v>
      </c>
      <c r="P10" s="695">
        <f>Cronograma_Não_Deson!P10</f>
        <v>0.04</v>
      </c>
      <c r="Q10" s="695">
        <f>+Cronograma_Não_Deson!Q10</f>
        <v>0.03</v>
      </c>
      <c r="R10" s="695">
        <f>+Cronograma_Não_Deson!R10</f>
        <v>0</v>
      </c>
      <c r="S10" s="695">
        <f>+Cronograma_Não_Deson!S10</f>
        <v>0</v>
      </c>
      <c r="T10" s="695">
        <f>+Cronograma_Não_Deson!T10</f>
        <v>0</v>
      </c>
      <c r="U10" s="695">
        <f>+Cronograma_Não_Deson!U10</f>
        <v>0</v>
      </c>
      <c r="V10" s="695">
        <f>+Cronograma_Não_Deson!V10</f>
        <v>0</v>
      </c>
      <c r="W10" s="695">
        <f>+Cronograma_Não_Deson!W10</f>
        <v>0</v>
      </c>
      <c r="X10" s="120">
        <f>SUM(F10:W10)</f>
        <v>1.0000000000000004</v>
      </c>
      <c r="Y10" s="586">
        <f>1-X10</f>
        <v>0</v>
      </c>
      <c r="AA10" s="711">
        <f>+COUNT(F10:W10)</f>
        <v>18</v>
      </c>
    </row>
    <row r="11" spans="1:28" s="119" customFormat="1" ht="18" customHeight="1" thickBot="1" x14ac:dyDescent="0.2">
      <c r="A11" s="2501"/>
      <c r="B11" s="2504"/>
      <c r="C11" s="1663"/>
      <c r="D11" s="1694" t="s">
        <v>141</v>
      </c>
      <c r="E11" s="1695">
        <f>D$92</f>
        <v>1</v>
      </c>
      <c r="F11" s="870">
        <f t="shared" ref="F11:W11" ca="1" si="2">IF($D10=0,0,IF(F10=0,0,($E11*$D10*F10)+$AA$96))</f>
        <v>170841.75</v>
      </c>
      <c r="G11" s="870">
        <f t="shared" ca="1" si="2"/>
        <v>17084.174999999999</v>
      </c>
      <c r="H11" s="870">
        <f t="shared" ca="1" si="2"/>
        <v>17084.174999999999</v>
      </c>
      <c r="I11" s="870">
        <f t="shared" ca="1" si="2"/>
        <v>17084.174999999999</v>
      </c>
      <c r="J11" s="870">
        <f t="shared" ca="1" si="2"/>
        <v>17084.174999999999</v>
      </c>
      <c r="K11" s="870">
        <f t="shared" ca="1" si="2"/>
        <v>17084.174999999999</v>
      </c>
      <c r="L11" s="870">
        <f t="shared" ca="1" si="2"/>
        <v>17084.174999999999</v>
      </c>
      <c r="M11" s="870">
        <f t="shared" ca="1" si="2"/>
        <v>17084.174999999999</v>
      </c>
      <c r="N11" s="870">
        <f t="shared" ca="1" si="2"/>
        <v>13667.34</v>
      </c>
      <c r="O11" s="870">
        <f t="shared" ca="1" si="2"/>
        <v>13667.34</v>
      </c>
      <c r="P11" s="870">
        <f t="shared" ca="1" si="2"/>
        <v>13667.34</v>
      </c>
      <c r="Q11" s="870">
        <f t="shared" ca="1" si="2"/>
        <v>10250.504999999999</v>
      </c>
      <c r="R11" s="870">
        <f t="shared" ca="1" si="2"/>
        <v>0</v>
      </c>
      <c r="S11" s="870">
        <f t="shared" ca="1" si="2"/>
        <v>0</v>
      </c>
      <c r="T11" s="870">
        <f t="shared" ca="1" si="2"/>
        <v>0</v>
      </c>
      <c r="U11" s="870">
        <f t="shared" ca="1" si="2"/>
        <v>0</v>
      </c>
      <c r="V11" s="870">
        <f t="shared" ca="1" si="2"/>
        <v>0</v>
      </c>
      <c r="W11" s="870">
        <f t="shared" ca="1" si="2"/>
        <v>0</v>
      </c>
      <c r="X11" s="121">
        <f ca="1">SUM(F11:W11)</f>
        <v>341683.5</v>
      </c>
      <c r="Y11" s="118">
        <f ca="1">TRUNC(X11-D10*E11,2)</f>
        <v>0</v>
      </c>
      <c r="Z11" s="710">
        <f ca="1">+X11/D10</f>
        <v>1</v>
      </c>
    </row>
    <row r="12" spans="1:28" s="119" customFormat="1" ht="18" hidden="1" customHeight="1" thickBot="1" x14ac:dyDescent="0.2">
      <c r="A12" s="2502"/>
      <c r="B12" s="2505"/>
      <c r="C12" s="1664"/>
      <c r="D12" s="1658" t="s">
        <v>142</v>
      </c>
      <c r="E12" s="709">
        <f>1-E11</f>
        <v>0</v>
      </c>
      <c r="F12" s="869">
        <f ca="1">($D10*F10-F11)</f>
        <v>0</v>
      </c>
      <c r="G12" s="869">
        <f t="shared" ref="G12:W12" ca="1" si="3">($D10*G10-G11)</f>
        <v>0</v>
      </c>
      <c r="H12" s="869">
        <f t="shared" ca="1" si="3"/>
        <v>0</v>
      </c>
      <c r="I12" s="869">
        <f t="shared" ca="1" si="3"/>
        <v>0</v>
      </c>
      <c r="J12" s="869">
        <f t="shared" ca="1" si="3"/>
        <v>0</v>
      </c>
      <c r="K12" s="869">
        <f t="shared" ca="1" si="3"/>
        <v>0</v>
      </c>
      <c r="L12" s="869">
        <f t="shared" ca="1" si="3"/>
        <v>0</v>
      </c>
      <c r="M12" s="869">
        <f t="shared" ca="1" si="3"/>
        <v>0</v>
      </c>
      <c r="N12" s="869">
        <f t="shared" ca="1" si="3"/>
        <v>0</v>
      </c>
      <c r="O12" s="869">
        <f t="shared" ca="1" si="3"/>
        <v>0</v>
      </c>
      <c r="P12" s="869">
        <f t="shared" ca="1" si="3"/>
        <v>0</v>
      </c>
      <c r="Q12" s="869">
        <f t="shared" ca="1" si="3"/>
        <v>0</v>
      </c>
      <c r="R12" s="869">
        <f t="shared" ca="1" si="3"/>
        <v>0</v>
      </c>
      <c r="S12" s="869">
        <f t="shared" ca="1" si="3"/>
        <v>0</v>
      </c>
      <c r="T12" s="869">
        <f t="shared" ca="1" si="3"/>
        <v>0</v>
      </c>
      <c r="U12" s="869">
        <f t="shared" ca="1" si="3"/>
        <v>0</v>
      </c>
      <c r="V12" s="869">
        <f t="shared" ca="1" si="3"/>
        <v>0</v>
      </c>
      <c r="W12" s="869">
        <f t="shared" ca="1" si="3"/>
        <v>0</v>
      </c>
      <c r="X12" s="122">
        <f ca="1">SUM(F12:W12)</f>
        <v>0</v>
      </c>
      <c r="Y12" s="118">
        <f ca="1">+D10-X11-X12</f>
        <v>0</v>
      </c>
    </row>
    <row r="13" spans="1:28" s="119" customFormat="1" ht="9.9499999999999993" customHeight="1" x14ac:dyDescent="0.15">
      <c r="A13" s="2500">
        <f ca="1">Orçamento_Deson!B14</f>
        <v>2</v>
      </c>
      <c r="B13" s="2503" t="str">
        <f>Orçamento_Deson!C14</f>
        <v>REMOÇÕES, DEMOLIÇÕES E SUPRESSÕES</v>
      </c>
      <c r="C13" s="1663"/>
      <c r="D13" s="1659"/>
      <c r="E13" s="116"/>
      <c r="F13" s="871">
        <f t="shared" ref="F13:M13" si="4">F14</f>
        <v>0.3</v>
      </c>
      <c r="G13" s="871">
        <f t="shared" si="4"/>
        <v>0.4</v>
      </c>
      <c r="H13" s="871">
        <f t="shared" si="4"/>
        <v>0.3</v>
      </c>
      <c r="I13" s="871">
        <f t="shared" si="4"/>
        <v>0</v>
      </c>
      <c r="J13" s="871">
        <f t="shared" si="4"/>
        <v>0</v>
      </c>
      <c r="K13" s="871">
        <f t="shared" si="4"/>
        <v>0</v>
      </c>
      <c r="L13" s="871">
        <f t="shared" si="4"/>
        <v>0</v>
      </c>
      <c r="M13" s="871">
        <f t="shared" si="4"/>
        <v>0</v>
      </c>
      <c r="N13" s="871">
        <f>N14</f>
        <v>0</v>
      </c>
      <c r="O13" s="871">
        <f t="shared" ref="O13:W13" si="5">O14</f>
        <v>0</v>
      </c>
      <c r="P13" s="871">
        <f t="shared" si="5"/>
        <v>0</v>
      </c>
      <c r="Q13" s="871">
        <f t="shared" si="5"/>
        <v>0</v>
      </c>
      <c r="R13" s="871">
        <f t="shared" si="5"/>
        <v>0</v>
      </c>
      <c r="S13" s="871">
        <f t="shared" si="5"/>
        <v>0</v>
      </c>
      <c r="T13" s="871">
        <f t="shared" si="5"/>
        <v>0</v>
      </c>
      <c r="U13" s="871">
        <f t="shared" si="5"/>
        <v>0</v>
      </c>
      <c r="V13" s="871">
        <f t="shared" si="5"/>
        <v>0</v>
      </c>
      <c r="W13" s="871">
        <f t="shared" si="5"/>
        <v>0</v>
      </c>
      <c r="X13" s="117"/>
      <c r="Y13" s="708">
        <f ca="1">+D14-X15-X16</f>
        <v>0</v>
      </c>
    </row>
    <row r="14" spans="1:28" s="119" customFormat="1" ht="18" customHeight="1" x14ac:dyDescent="0.15">
      <c r="A14" s="2501"/>
      <c r="B14" s="2504"/>
      <c r="C14" s="1663" t="str">
        <f>CONCATENATE(Orçamento_Deson!H14," ",Orçamento_Deson!I14)</f>
        <v>3859,97 M</v>
      </c>
      <c r="D14" s="2522">
        <f ca="1">Orçamento_Deson!J14</f>
        <v>171817.56000000003</v>
      </c>
      <c r="E14" s="2523"/>
      <c r="F14" s="695">
        <f>Cronograma_Não_Deson!F14</f>
        <v>0.3</v>
      </c>
      <c r="G14" s="695">
        <f>Cronograma_Não_Deson!G14</f>
        <v>0.4</v>
      </c>
      <c r="H14" s="695">
        <f>Cronograma_Não_Deson!H14</f>
        <v>0.3</v>
      </c>
      <c r="I14" s="695">
        <f>Cronograma_Não_Deson!I14</f>
        <v>0</v>
      </c>
      <c r="J14" s="695">
        <f>Cronograma_Não_Deson!J14</f>
        <v>0</v>
      </c>
      <c r="K14" s="695">
        <f>Cronograma_Não_Deson!K14</f>
        <v>0</v>
      </c>
      <c r="L14" s="695">
        <f>Cronograma_Não_Deson!L14</f>
        <v>0</v>
      </c>
      <c r="M14" s="695">
        <f>Cronograma_Não_Deson!M14</f>
        <v>0</v>
      </c>
      <c r="N14" s="695">
        <f>Cronograma_Não_Deson!N14</f>
        <v>0</v>
      </c>
      <c r="O14" s="695">
        <f>Cronograma_Não_Deson!O14</f>
        <v>0</v>
      </c>
      <c r="P14" s="695">
        <f>Cronograma_Não_Deson!P14</f>
        <v>0</v>
      </c>
      <c r="Q14" s="695">
        <f>+Cronograma_Não_Deson!Q14</f>
        <v>0</v>
      </c>
      <c r="R14" s="695">
        <f>+Cronograma_Não_Deson!R14</f>
        <v>0</v>
      </c>
      <c r="S14" s="695">
        <f>+Cronograma_Não_Deson!S14</f>
        <v>0</v>
      </c>
      <c r="T14" s="695">
        <f>+Cronograma_Não_Deson!T14</f>
        <v>0</v>
      </c>
      <c r="U14" s="695">
        <f>+Cronograma_Não_Deson!U14</f>
        <v>0</v>
      </c>
      <c r="V14" s="695">
        <f>+Cronograma_Não_Deson!V14</f>
        <v>0</v>
      </c>
      <c r="W14" s="695">
        <f>+Cronograma_Não_Deson!W14</f>
        <v>0</v>
      </c>
      <c r="X14" s="120">
        <f>SUM(F14:W14)</f>
        <v>1</v>
      </c>
      <c r="Y14" s="586">
        <f>1-X14</f>
        <v>0</v>
      </c>
      <c r="AA14" s="711">
        <f>+COUNT(F14:W14)</f>
        <v>18</v>
      </c>
    </row>
    <row r="15" spans="1:28" s="119" customFormat="1" ht="18" customHeight="1" thickBot="1" x14ac:dyDescent="0.2">
      <c r="A15" s="2501"/>
      <c r="B15" s="2504"/>
      <c r="C15" s="1665">
        <f ca="1">INT(SUM(Orçamento_Deson!O65:O74)/240)+1</f>
        <v>4</v>
      </c>
      <c r="D15" s="1694" t="s">
        <v>141</v>
      </c>
      <c r="E15" s="1695">
        <f>D$92</f>
        <v>1</v>
      </c>
      <c r="F15" s="870">
        <f t="shared" ref="F15:W15" ca="1" si="6">IF($D14=0,0,IF(F14=0,0,($E15*$D14*F14)+$AA$96))</f>
        <v>51545.268000000004</v>
      </c>
      <c r="G15" s="870">
        <f t="shared" ca="1" si="6"/>
        <v>68727.024000000019</v>
      </c>
      <c r="H15" s="870">
        <f t="shared" ca="1" si="6"/>
        <v>51545.268000000004</v>
      </c>
      <c r="I15" s="870">
        <f t="shared" ca="1" si="6"/>
        <v>0</v>
      </c>
      <c r="J15" s="870">
        <f t="shared" ca="1" si="6"/>
        <v>0</v>
      </c>
      <c r="K15" s="870">
        <f t="shared" ca="1" si="6"/>
        <v>0</v>
      </c>
      <c r="L15" s="870">
        <f t="shared" ca="1" si="6"/>
        <v>0</v>
      </c>
      <c r="M15" s="870">
        <f t="shared" ca="1" si="6"/>
        <v>0</v>
      </c>
      <c r="N15" s="870">
        <f t="shared" ca="1" si="6"/>
        <v>0</v>
      </c>
      <c r="O15" s="870">
        <f t="shared" ca="1" si="6"/>
        <v>0</v>
      </c>
      <c r="P15" s="870">
        <f t="shared" ca="1" si="6"/>
        <v>0</v>
      </c>
      <c r="Q15" s="870">
        <f t="shared" ca="1" si="6"/>
        <v>0</v>
      </c>
      <c r="R15" s="870">
        <f t="shared" ca="1" si="6"/>
        <v>0</v>
      </c>
      <c r="S15" s="870">
        <f t="shared" ca="1" si="6"/>
        <v>0</v>
      </c>
      <c r="T15" s="870">
        <f t="shared" ca="1" si="6"/>
        <v>0</v>
      </c>
      <c r="U15" s="870">
        <f t="shared" ca="1" si="6"/>
        <v>0</v>
      </c>
      <c r="V15" s="870">
        <f t="shared" ca="1" si="6"/>
        <v>0</v>
      </c>
      <c r="W15" s="870">
        <f t="shared" ca="1" si="6"/>
        <v>0</v>
      </c>
      <c r="X15" s="121">
        <f ca="1">SUM(F15:W15)</f>
        <v>171817.56000000003</v>
      </c>
      <c r="Y15" s="118">
        <f ca="1">TRUNC(X15-D14*E15,2)</f>
        <v>0</v>
      </c>
      <c r="Z15" s="710">
        <f ca="1">+X15/D14</f>
        <v>1</v>
      </c>
    </row>
    <row r="16" spans="1:28" s="119" customFormat="1" ht="18" hidden="1" customHeight="1" thickBot="1" x14ac:dyDescent="0.2">
      <c r="A16" s="2502"/>
      <c r="B16" s="2505"/>
      <c r="C16" s="1664"/>
      <c r="D16" s="1658" t="s">
        <v>142</v>
      </c>
      <c r="E16" s="709">
        <f>1-E15</f>
        <v>0</v>
      </c>
      <c r="F16" s="869">
        <f ca="1">($D14*F14-F15)</f>
        <v>0</v>
      </c>
      <c r="G16" s="869">
        <f t="shared" ref="G16:W16" ca="1" si="7">($D14*G14-G15)</f>
        <v>0</v>
      </c>
      <c r="H16" s="869">
        <f t="shared" ca="1" si="7"/>
        <v>0</v>
      </c>
      <c r="I16" s="869">
        <f t="shared" ca="1" si="7"/>
        <v>0</v>
      </c>
      <c r="J16" s="869">
        <f t="shared" ca="1" si="7"/>
        <v>0</v>
      </c>
      <c r="K16" s="869">
        <f t="shared" ca="1" si="7"/>
        <v>0</v>
      </c>
      <c r="L16" s="869">
        <f t="shared" ca="1" si="7"/>
        <v>0</v>
      </c>
      <c r="M16" s="869">
        <f t="shared" ca="1" si="7"/>
        <v>0</v>
      </c>
      <c r="N16" s="869">
        <f t="shared" ca="1" si="7"/>
        <v>0</v>
      </c>
      <c r="O16" s="869">
        <f t="shared" ca="1" si="7"/>
        <v>0</v>
      </c>
      <c r="P16" s="869">
        <f t="shared" ca="1" si="7"/>
        <v>0</v>
      </c>
      <c r="Q16" s="869">
        <f t="shared" ca="1" si="7"/>
        <v>0</v>
      </c>
      <c r="R16" s="869">
        <f t="shared" ca="1" si="7"/>
        <v>0</v>
      </c>
      <c r="S16" s="869">
        <f t="shared" ca="1" si="7"/>
        <v>0</v>
      </c>
      <c r="T16" s="869">
        <f t="shared" ca="1" si="7"/>
        <v>0</v>
      </c>
      <c r="U16" s="869">
        <f t="shared" ca="1" si="7"/>
        <v>0</v>
      </c>
      <c r="V16" s="869">
        <f t="shared" ca="1" si="7"/>
        <v>0</v>
      </c>
      <c r="W16" s="869">
        <f t="shared" ca="1" si="7"/>
        <v>0</v>
      </c>
      <c r="X16" s="122">
        <f ca="1">SUM(F16:W16)</f>
        <v>0</v>
      </c>
      <c r="Y16" s="118">
        <f ca="1">+D14-X15-X16</f>
        <v>0</v>
      </c>
    </row>
    <row r="17" spans="1:27" s="119" customFormat="1" ht="9.9499999999999993" customHeight="1" x14ac:dyDescent="0.15">
      <c r="A17" s="2500">
        <f ca="1">Orçamento_Deson!B15</f>
        <v>3</v>
      </c>
      <c r="B17" s="2503" t="str">
        <f>Orçamento_Deson!C15</f>
        <v>MICRODRENAGEM - TERRAPLENAGEM</v>
      </c>
      <c r="C17" s="1663"/>
      <c r="D17" s="1659"/>
      <c r="E17" s="116"/>
      <c r="F17" s="871">
        <f t="shared" ref="F17:M17" si="8">F18</f>
        <v>0.15</v>
      </c>
      <c r="G17" s="871">
        <f t="shared" si="8"/>
        <v>0.15</v>
      </c>
      <c r="H17" s="871">
        <f t="shared" si="8"/>
        <v>0.15</v>
      </c>
      <c r="I17" s="871">
        <f t="shared" si="8"/>
        <v>0.1</v>
      </c>
      <c r="J17" s="871">
        <f t="shared" si="8"/>
        <v>0.1</v>
      </c>
      <c r="K17" s="871">
        <f t="shared" si="8"/>
        <v>0.1</v>
      </c>
      <c r="L17" s="871">
        <f t="shared" si="8"/>
        <v>0.05</v>
      </c>
      <c r="M17" s="871">
        <f t="shared" si="8"/>
        <v>0.05</v>
      </c>
      <c r="N17" s="871">
        <f>N18</f>
        <v>0.05</v>
      </c>
      <c r="O17" s="871">
        <f t="shared" ref="O17:W17" si="9">O18</f>
        <v>0.04</v>
      </c>
      <c r="P17" s="871">
        <f t="shared" si="9"/>
        <v>0.04</v>
      </c>
      <c r="Q17" s="871">
        <f t="shared" si="9"/>
        <v>0.02</v>
      </c>
      <c r="R17" s="871">
        <f t="shared" si="9"/>
        <v>0</v>
      </c>
      <c r="S17" s="871">
        <f t="shared" si="9"/>
        <v>0</v>
      </c>
      <c r="T17" s="871">
        <f t="shared" si="9"/>
        <v>0</v>
      </c>
      <c r="U17" s="871">
        <f t="shared" si="9"/>
        <v>0</v>
      </c>
      <c r="V17" s="871">
        <f t="shared" si="9"/>
        <v>0</v>
      </c>
      <c r="W17" s="871">
        <f t="shared" si="9"/>
        <v>0</v>
      </c>
      <c r="X17" s="117"/>
      <c r="Y17" s="708">
        <f ca="1">+D18-X19-X20</f>
        <v>1.1641532182693481E-10</v>
      </c>
    </row>
    <row r="18" spans="1:27" s="119" customFormat="1" ht="18" customHeight="1" x14ac:dyDescent="0.15">
      <c r="A18" s="2501"/>
      <c r="B18" s="2504"/>
      <c r="C18" s="1663" t="str">
        <f>CONCATENATE(Orçamento_Deson!H15," ",Orçamento_Deson!I15)</f>
        <v>759,82 M3</v>
      </c>
      <c r="D18" s="2522">
        <f ca="1">Orçamento_Deson!J15</f>
        <v>659020.42000000004</v>
      </c>
      <c r="E18" s="2523"/>
      <c r="F18" s="695">
        <f>Cronograma_Não_Deson!F18</f>
        <v>0.15</v>
      </c>
      <c r="G18" s="695">
        <f>Cronograma_Não_Deson!G18</f>
        <v>0.15</v>
      </c>
      <c r="H18" s="695">
        <f>Cronograma_Não_Deson!H18</f>
        <v>0.15</v>
      </c>
      <c r="I18" s="695">
        <f>Cronograma_Não_Deson!I18</f>
        <v>0.1</v>
      </c>
      <c r="J18" s="695">
        <f>Cronograma_Não_Deson!J18</f>
        <v>0.1</v>
      </c>
      <c r="K18" s="695">
        <f>Cronograma_Não_Deson!K18</f>
        <v>0.1</v>
      </c>
      <c r="L18" s="695">
        <f>Cronograma_Não_Deson!L18</f>
        <v>0.05</v>
      </c>
      <c r="M18" s="695">
        <f>Cronograma_Não_Deson!M18</f>
        <v>0.05</v>
      </c>
      <c r="N18" s="695">
        <f>Cronograma_Não_Deson!N18</f>
        <v>0.05</v>
      </c>
      <c r="O18" s="695">
        <f>Cronograma_Não_Deson!O18</f>
        <v>0.04</v>
      </c>
      <c r="P18" s="695">
        <f>Cronograma_Não_Deson!P18</f>
        <v>0.04</v>
      </c>
      <c r="Q18" s="695">
        <f>+Cronograma_Não_Deson!Q18</f>
        <v>0.02</v>
      </c>
      <c r="R18" s="695">
        <f>+Cronograma_Não_Deson!R18</f>
        <v>0</v>
      </c>
      <c r="S18" s="695">
        <f>+Cronograma_Não_Deson!S18</f>
        <v>0</v>
      </c>
      <c r="T18" s="695">
        <f>+Cronograma_Não_Deson!T18</f>
        <v>0</v>
      </c>
      <c r="U18" s="695">
        <f>+Cronograma_Não_Deson!U18</f>
        <v>0</v>
      </c>
      <c r="V18" s="695">
        <f>+Cronograma_Não_Deson!V18</f>
        <v>0</v>
      </c>
      <c r="W18" s="695">
        <f>+Cronograma_Não_Deson!W18</f>
        <v>0</v>
      </c>
      <c r="X18" s="120">
        <f>SUM(F18:W18)</f>
        <v>1</v>
      </c>
      <c r="Y18" s="586">
        <f>1-X18</f>
        <v>0</v>
      </c>
      <c r="AA18" s="711">
        <f>+COUNT(F18:W18)</f>
        <v>18</v>
      </c>
    </row>
    <row r="19" spans="1:27" s="119" customFormat="1" ht="18" customHeight="1" thickBot="1" x14ac:dyDescent="0.2">
      <c r="A19" s="2501"/>
      <c r="B19" s="2504"/>
      <c r="C19" s="1665">
        <f ca="1">ROUND(SUM(Orçamento_Deson!O104:O125)/240,1)</f>
        <v>3.4</v>
      </c>
      <c r="D19" s="1694" t="s">
        <v>141</v>
      </c>
      <c r="E19" s="1695">
        <f>D$92</f>
        <v>1</v>
      </c>
      <c r="F19" s="870">
        <f t="shared" ref="F19:W19" ca="1" si="10">IF($D18=0,0,IF(F18=0,0,($E19*$D18*F18)+$AA$96))</f>
        <v>98853.063000000009</v>
      </c>
      <c r="G19" s="870">
        <f t="shared" ca="1" si="10"/>
        <v>98853.063000000009</v>
      </c>
      <c r="H19" s="870">
        <f t="shared" ca="1" si="10"/>
        <v>98853.063000000009</v>
      </c>
      <c r="I19" s="870">
        <f t="shared" ca="1" si="10"/>
        <v>65902.042000000001</v>
      </c>
      <c r="J19" s="870">
        <f t="shared" ca="1" si="10"/>
        <v>65902.042000000001</v>
      </c>
      <c r="K19" s="870">
        <f t="shared" ca="1" si="10"/>
        <v>65902.042000000001</v>
      </c>
      <c r="L19" s="870">
        <f t="shared" ca="1" si="10"/>
        <v>32951.021000000001</v>
      </c>
      <c r="M19" s="870">
        <f t="shared" ca="1" si="10"/>
        <v>32951.021000000001</v>
      </c>
      <c r="N19" s="870">
        <f t="shared" ca="1" si="10"/>
        <v>32951.021000000001</v>
      </c>
      <c r="O19" s="870">
        <f t="shared" ca="1" si="10"/>
        <v>26360.816800000001</v>
      </c>
      <c r="P19" s="870">
        <f t="shared" ca="1" si="10"/>
        <v>26360.816800000001</v>
      </c>
      <c r="Q19" s="870">
        <f t="shared" ca="1" si="10"/>
        <v>13180.4084</v>
      </c>
      <c r="R19" s="870">
        <f t="shared" ca="1" si="10"/>
        <v>0</v>
      </c>
      <c r="S19" s="870">
        <f t="shared" ca="1" si="10"/>
        <v>0</v>
      </c>
      <c r="T19" s="870">
        <f t="shared" ca="1" si="10"/>
        <v>0</v>
      </c>
      <c r="U19" s="870">
        <f t="shared" ca="1" si="10"/>
        <v>0</v>
      </c>
      <c r="V19" s="870">
        <f t="shared" ca="1" si="10"/>
        <v>0</v>
      </c>
      <c r="W19" s="870">
        <f t="shared" ca="1" si="10"/>
        <v>0</v>
      </c>
      <c r="X19" s="121">
        <f ca="1">SUM(F19:W19)</f>
        <v>659020.41999999993</v>
      </c>
      <c r="Y19" s="118">
        <f ca="1">TRUNC(X19-D18*E19,2)</f>
        <v>0</v>
      </c>
      <c r="Z19" s="710">
        <f ca="1">+X19/D18</f>
        <v>0.99999999999999978</v>
      </c>
    </row>
    <row r="20" spans="1:27" s="119" customFormat="1" ht="18" hidden="1" customHeight="1" thickBot="1" x14ac:dyDescent="0.2">
      <c r="A20" s="2502"/>
      <c r="B20" s="2505"/>
      <c r="C20" s="1664"/>
      <c r="D20" s="1658" t="s">
        <v>142</v>
      </c>
      <c r="E20" s="709">
        <f>1-E19</f>
        <v>0</v>
      </c>
      <c r="F20" s="869">
        <f ca="1">($D18*F18-F19)</f>
        <v>0</v>
      </c>
      <c r="G20" s="869">
        <f t="shared" ref="G20:W20" ca="1" si="11">($D18*G18-G19)</f>
        <v>0</v>
      </c>
      <c r="H20" s="869">
        <f t="shared" ca="1" si="11"/>
        <v>0</v>
      </c>
      <c r="I20" s="869">
        <f t="shared" ca="1" si="11"/>
        <v>0</v>
      </c>
      <c r="J20" s="869">
        <f t="shared" ca="1" si="11"/>
        <v>0</v>
      </c>
      <c r="K20" s="869">
        <f t="shared" ca="1" si="11"/>
        <v>0</v>
      </c>
      <c r="L20" s="869">
        <f t="shared" ca="1" si="11"/>
        <v>0</v>
      </c>
      <c r="M20" s="869">
        <f t="shared" ca="1" si="11"/>
        <v>0</v>
      </c>
      <c r="N20" s="869">
        <f t="shared" ca="1" si="11"/>
        <v>0</v>
      </c>
      <c r="O20" s="869">
        <f t="shared" ca="1" si="11"/>
        <v>0</v>
      </c>
      <c r="P20" s="869">
        <f t="shared" ca="1" si="11"/>
        <v>0</v>
      </c>
      <c r="Q20" s="869">
        <f t="shared" ca="1" si="11"/>
        <v>0</v>
      </c>
      <c r="R20" s="869">
        <f t="shared" ca="1" si="11"/>
        <v>0</v>
      </c>
      <c r="S20" s="869">
        <f t="shared" ca="1" si="11"/>
        <v>0</v>
      </c>
      <c r="T20" s="869">
        <f t="shared" ca="1" si="11"/>
        <v>0</v>
      </c>
      <c r="U20" s="869">
        <f t="shared" ca="1" si="11"/>
        <v>0</v>
      </c>
      <c r="V20" s="869">
        <f t="shared" ca="1" si="11"/>
        <v>0</v>
      </c>
      <c r="W20" s="869">
        <f t="shared" ca="1" si="11"/>
        <v>0</v>
      </c>
      <c r="X20" s="122">
        <f ca="1">SUM(F20:W20)</f>
        <v>0</v>
      </c>
      <c r="Y20" s="118">
        <f ca="1">+D18-X19-X20</f>
        <v>1.1641532182693481E-10</v>
      </c>
    </row>
    <row r="21" spans="1:27" s="119" customFormat="1" ht="9.9499999999999993" customHeight="1" x14ac:dyDescent="0.15">
      <c r="A21" s="2500">
        <f ca="1">Orçamento_Deson!B16</f>
        <v>4</v>
      </c>
      <c r="B21" s="2503" t="str">
        <f>Orçamento_Deson!C16</f>
        <v>MICRODRENAGEM - GALERIAS</v>
      </c>
      <c r="C21" s="1663"/>
      <c r="D21" s="1659"/>
      <c r="E21" s="116"/>
      <c r="F21" s="871">
        <f t="shared" ref="F21:M21" si="12">F22</f>
        <v>0.15</v>
      </c>
      <c r="G21" s="871">
        <f t="shared" si="12"/>
        <v>0.15</v>
      </c>
      <c r="H21" s="871">
        <f t="shared" si="12"/>
        <v>0.15</v>
      </c>
      <c r="I21" s="871">
        <f t="shared" si="12"/>
        <v>0.1</v>
      </c>
      <c r="J21" s="871">
        <f t="shared" si="12"/>
        <v>0.1</v>
      </c>
      <c r="K21" s="871">
        <f t="shared" si="12"/>
        <v>0.1</v>
      </c>
      <c r="L21" s="871">
        <f t="shared" si="12"/>
        <v>0.05</v>
      </c>
      <c r="M21" s="871">
        <f t="shared" si="12"/>
        <v>0.05</v>
      </c>
      <c r="N21" s="871">
        <f>N22</f>
        <v>0.05</v>
      </c>
      <c r="O21" s="871">
        <f t="shared" ref="O21:W21" si="13">O22</f>
        <v>0.04</v>
      </c>
      <c r="P21" s="871">
        <f t="shared" si="13"/>
        <v>0.04</v>
      </c>
      <c r="Q21" s="871">
        <f t="shared" si="13"/>
        <v>0.02</v>
      </c>
      <c r="R21" s="871">
        <f t="shared" si="13"/>
        <v>0</v>
      </c>
      <c r="S21" s="871">
        <f t="shared" si="13"/>
        <v>0</v>
      </c>
      <c r="T21" s="871">
        <f t="shared" si="13"/>
        <v>0</v>
      </c>
      <c r="U21" s="871">
        <f t="shared" si="13"/>
        <v>0</v>
      </c>
      <c r="V21" s="871">
        <f t="shared" si="13"/>
        <v>0</v>
      </c>
      <c r="W21" s="871">
        <f t="shared" si="13"/>
        <v>0</v>
      </c>
      <c r="X21" s="117"/>
      <c r="Y21" s="708">
        <f ca="1">+D22-X23-X24</f>
        <v>0</v>
      </c>
    </row>
    <row r="22" spans="1:27" s="119" customFormat="1" ht="18" customHeight="1" x14ac:dyDescent="0.15">
      <c r="A22" s="2501"/>
      <c r="B22" s="2504"/>
      <c r="C22" s="1663" t="str">
        <f ca="1">CONCATENATE(Orçamento_Deson!H16," ",Orçamento_Deson!I16)</f>
        <v>2926,87 M</v>
      </c>
      <c r="D22" s="2522">
        <f ca="1">Orçamento_Deson!J16</f>
        <v>1127683.8500000001</v>
      </c>
      <c r="E22" s="2523"/>
      <c r="F22" s="695">
        <f>Cronograma_Não_Deson!F22</f>
        <v>0.15</v>
      </c>
      <c r="G22" s="695">
        <f>Cronograma_Não_Deson!G22</f>
        <v>0.15</v>
      </c>
      <c r="H22" s="695">
        <f>Cronograma_Não_Deson!H22</f>
        <v>0.15</v>
      </c>
      <c r="I22" s="695">
        <f>Cronograma_Não_Deson!I22</f>
        <v>0.1</v>
      </c>
      <c r="J22" s="695">
        <f>Cronograma_Não_Deson!J22</f>
        <v>0.1</v>
      </c>
      <c r="K22" s="695">
        <f>Cronograma_Não_Deson!K22</f>
        <v>0.1</v>
      </c>
      <c r="L22" s="695">
        <f>Cronograma_Não_Deson!L22</f>
        <v>0.05</v>
      </c>
      <c r="M22" s="695">
        <f>Cronograma_Não_Deson!M22</f>
        <v>0.05</v>
      </c>
      <c r="N22" s="695">
        <f>Cronograma_Não_Deson!N22</f>
        <v>0.05</v>
      </c>
      <c r="O22" s="695">
        <f>Cronograma_Não_Deson!O22</f>
        <v>0.04</v>
      </c>
      <c r="P22" s="695">
        <f>Cronograma_Não_Deson!P22</f>
        <v>0.04</v>
      </c>
      <c r="Q22" s="695">
        <f>+Cronograma_Não_Deson!Q22</f>
        <v>0.02</v>
      </c>
      <c r="R22" s="695">
        <f>+Cronograma_Não_Deson!R22</f>
        <v>0</v>
      </c>
      <c r="S22" s="695">
        <f>+Cronograma_Não_Deson!S22</f>
        <v>0</v>
      </c>
      <c r="T22" s="695">
        <f>+Cronograma_Não_Deson!T22</f>
        <v>0</v>
      </c>
      <c r="U22" s="695">
        <f>+Cronograma_Não_Deson!U22</f>
        <v>0</v>
      </c>
      <c r="V22" s="695">
        <f>+Cronograma_Não_Deson!V22</f>
        <v>0</v>
      </c>
      <c r="W22" s="695">
        <f>+Cronograma_Não_Deson!W22</f>
        <v>0</v>
      </c>
      <c r="X22" s="120">
        <f>SUM(F22:W22)</f>
        <v>1</v>
      </c>
      <c r="Y22" s="586">
        <f>1-X22</f>
        <v>0</v>
      </c>
      <c r="AA22" s="711">
        <f>+COUNT(F22:W22)</f>
        <v>18</v>
      </c>
    </row>
    <row r="23" spans="1:27" s="119" customFormat="1" ht="18" customHeight="1" thickBot="1" x14ac:dyDescent="0.2">
      <c r="A23" s="2501"/>
      <c r="B23" s="2504"/>
      <c r="C23" s="1665" t="e">
        <f>ROUND((SUM(Orçamento_Deson!O196:O207)+SUM(Orçamento_Deson!O217:O241))/240,1)</f>
        <v>#VALUE!</v>
      </c>
      <c r="D23" s="1694" t="s">
        <v>141</v>
      </c>
      <c r="E23" s="1695">
        <f>D$92</f>
        <v>1</v>
      </c>
      <c r="F23" s="870">
        <f t="shared" ref="F23:W23" ca="1" si="14">IF($D22=0,0,IF(F22=0,0,($E23*$D22*F22)+$AA$96))</f>
        <v>169152.57750000001</v>
      </c>
      <c r="G23" s="870">
        <f t="shared" ca="1" si="14"/>
        <v>169152.57750000001</v>
      </c>
      <c r="H23" s="870">
        <f t="shared" ca="1" si="14"/>
        <v>169152.57750000001</v>
      </c>
      <c r="I23" s="870">
        <f t="shared" ca="1" si="14"/>
        <v>112768.38500000001</v>
      </c>
      <c r="J23" s="870">
        <f t="shared" ca="1" si="14"/>
        <v>112768.38500000001</v>
      </c>
      <c r="K23" s="870">
        <f t="shared" ca="1" si="14"/>
        <v>112768.38500000001</v>
      </c>
      <c r="L23" s="870">
        <f t="shared" ca="1" si="14"/>
        <v>56384.192500000005</v>
      </c>
      <c r="M23" s="870">
        <f t="shared" ca="1" si="14"/>
        <v>56384.192500000005</v>
      </c>
      <c r="N23" s="870">
        <f t="shared" ca="1" si="14"/>
        <v>56384.192500000005</v>
      </c>
      <c r="O23" s="870">
        <f t="shared" ca="1" si="14"/>
        <v>45107.354000000007</v>
      </c>
      <c r="P23" s="870">
        <f t="shared" ca="1" si="14"/>
        <v>45107.354000000007</v>
      </c>
      <c r="Q23" s="870">
        <f t="shared" ca="1" si="14"/>
        <v>22553.677000000003</v>
      </c>
      <c r="R23" s="870">
        <f t="shared" ca="1" si="14"/>
        <v>0</v>
      </c>
      <c r="S23" s="870">
        <f t="shared" ca="1" si="14"/>
        <v>0</v>
      </c>
      <c r="T23" s="870">
        <f t="shared" ca="1" si="14"/>
        <v>0</v>
      </c>
      <c r="U23" s="870">
        <f t="shared" ca="1" si="14"/>
        <v>0</v>
      </c>
      <c r="V23" s="870">
        <f t="shared" ca="1" si="14"/>
        <v>0</v>
      </c>
      <c r="W23" s="870">
        <f t="shared" ca="1" si="14"/>
        <v>0</v>
      </c>
      <c r="X23" s="121">
        <f ca="1">SUM(F23:W23)</f>
        <v>1127683.8500000001</v>
      </c>
      <c r="Y23" s="118">
        <f ca="1">TRUNC(X23-D22*E23,2)</f>
        <v>0</v>
      </c>
      <c r="Z23" s="710">
        <f ca="1">+X23/D22</f>
        <v>1</v>
      </c>
    </row>
    <row r="24" spans="1:27" s="119" customFormat="1" ht="18" hidden="1" customHeight="1" thickBot="1" x14ac:dyDescent="0.2">
      <c r="A24" s="2502"/>
      <c r="B24" s="2505"/>
      <c r="C24" s="1664"/>
      <c r="D24" s="1658" t="s">
        <v>142</v>
      </c>
      <c r="E24" s="709">
        <f>1-E23</f>
        <v>0</v>
      </c>
      <c r="F24" s="869">
        <f ca="1">($D22*F22-F23)</f>
        <v>0</v>
      </c>
      <c r="G24" s="869">
        <f t="shared" ref="G24:W24" ca="1" si="15">($D22*G22-G23)</f>
        <v>0</v>
      </c>
      <c r="H24" s="869">
        <f t="shared" ca="1" si="15"/>
        <v>0</v>
      </c>
      <c r="I24" s="869">
        <f t="shared" ca="1" si="15"/>
        <v>0</v>
      </c>
      <c r="J24" s="869">
        <f t="shared" ca="1" si="15"/>
        <v>0</v>
      </c>
      <c r="K24" s="869">
        <f t="shared" ca="1" si="15"/>
        <v>0</v>
      </c>
      <c r="L24" s="869">
        <f t="shared" ca="1" si="15"/>
        <v>0</v>
      </c>
      <c r="M24" s="869">
        <f t="shared" ca="1" si="15"/>
        <v>0</v>
      </c>
      <c r="N24" s="869">
        <f t="shared" ca="1" si="15"/>
        <v>0</v>
      </c>
      <c r="O24" s="869">
        <f t="shared" ca="1" si="15"/>
        <v>0</v>
      </c>
      <c r="P24" s="869">
        <f t="shared" ca="1" si="15"/>
        <v>0</v>
      </c>
      <c r="Q24" s="869">
        <f t="shared" ca="1" si="15"/>
        <v>0</v>
      </c>
      <c r="R24" s="869">
        <f t="shared" ca="1" si="15"/>
        <v>0</v>
      </c>
      <c r="S24" s="869">
        <f t="shared" ca="1" si="15"/>
        <v>0</v>
      </c>
      <c r="T24" s="869">
        <f t="shared" ca="1" si="15"/>
        <v>0</v>
      </c>
      <c r="U24" s="869">
        <f t="shared" ca="1" si="15"/>
        <v>0</v>
      </c>
      <c r="V24" s="869">
        <f t="shared" ca="1" si="15"/>
        <v>0</v>
      </c>
      <c r="W24" s="869">
        <f t="shared" ca="1" si="15"/>
        <v>0</v>
      </c>
      <c r="X24" s="122">
        <f ca="1">SUM(F24:W24)</f>
        <v>0</v>
      </c>
      <c r="Y24" s="118">
        <f ca="1">+D22-X23-X24</f>
        <v>0</v>
      </c>
    </row>
    <row r="25" spans="1:27" s="119" customFormat="1" ht="9.9499999999999993" customHeight="1" x14ac:dyDescent="0.15">
      <c r="A25" s="2500">
        <f ca="1">Orçamento_Deson!B17</f>
        <v>5</v>
      </c>
      <c r="B25" s="2503" t="str">
        <f>Orçamento_Deson!C17</f>
        <v>MICRODRENAGEM - DISPOSITIVOS AUXILIARES</v>
      </c>
      <c r="C25" s="1663"/>
      <c r="D25" s="1659"/>
      <c r="E25" s="116"/>
      <c r="F25" s="871">
        <f t="shared" ref="F25:M25" si="16">F26</f>
        <v>0.15</v>
      </c>
      <c r="G25" s="871">
        <f t="shared" si="16"/>
        <v>0.15</v>
      </c>
      <c r="H25" s="871">
        <f t="shared" si="16"/>
        <v>0.15</v>
      </c>
      <c r="I25" s="871">
        <f t="shared" si="16"/>
        <v>0.1</v>
      </c>
      <c r="J25" s="871">
        <f t="shared" si="16"/>
        <v>0.1</v>
      </c>
      <c r="K25" s="871">
        <f t="shared" si="16"/>
        <v>0.1</v>
      </c>
      <c r="L25" s="871">
        <f t="shared" si="16"/>
        <v>0.05</v>
      </c>
      <c r="M25" s="871">
        <f t="shared" si="16"/>
        <v>0.05</v>
      </c>
      <c r="N25" s="871">
        <f>N26</f>
        <v>0.05</v>
      </c>
      <c r="O25" s="871">
        <f t="shared" ref="O25:W25" si="17">O26</f>
        <v>0.04</v>
      </c>
      <c r="P25" s="871">
        <f t="shared" si="17"/>
        <v>0.04</v>
      </c>
      <c r="Q25" s="871">
        <f t="shared" si="17"/>
        <v>0.02</v>
      </c>
      <c r="R25" s="871">
        <f t="shared" si="17"/>
        <v>0</v>
      </c>
      <c r="S25" s="871">
        <f t="shared" si="17"/>
        <v>0</v>
      </c>
      <c r="T25" s="871">
        <f t="shared" si="17"/>
        <v>0</v>
      </c>
      <c r="U25" s="871">
        <f t="shared" si="17"/>
        <v>0</v>
      </c>
      <c r="V25" s="871">
        <f t="shared" si="17"/>
        <v>0</v>
      </c>
      <c r="W25" s="871">
        <f t="shared" si="17"/>
        <v>0</v>
      </c>
      <c r="X25" s="117"/>
      <c r="Y25" s="708">
        <f ca="1">+D26-X27-X28</f>
        <v>-1.1641532182693481E-10</v>
      </c>
    </row>
    <row r="26" spans="1:27" s="119" customFormat="1" ht="18" customHeight="1" x14ac:dyDescent="0.15">
      <c r="A26" s="2501"/>
      <c r="B26" s="2504"/>
      <c r="C26" s="1663" t="str">
        <f>CONCATENATE(Orçamento_Deson!H17," ",Orçamento_Deson!I17)</f>
        <v>110 UN</v>
      </c>
      <c r="D26" s="2522">
        <f ca="1">Orçamento_Deson!J17</f>
        <v>747257.42999999993</v>
      </c>
      <c r="E26" s="2523"/>
      <c r="F26" s="695">
        <f>Cronograma_Não_Deson!F26</f>
        <v>0.15</v>
      </c>
      <c r="G26" s="695">
        <f>Cronograma_Não_Deson!G26</f>
        <v>0.15</v>
      </c>
      <c r="H26" s="695">
        <f>Cronograma_Não_Deson!H26</f>
        <v>0.15</v>
      </c>
      <c r="I26" s="695">
        <f>Cronograma_Não_Deson!I26</f>
        <v>0.1</v>
      </c>
      <c r="J26" s="695">
        <f>Cronograma_Não_Deson!J26</f>
        <v>0.1</v>
      </c>
      <c r="K26" s="695">
        <f>Cronograma_Não_Deson!K26</f>
        <v>0.1</v>
      </c>
      <c r="L26" s="695">
        <f>Cronograma_Não_Deson!L26</f>
        <v>0.05</v>
      </c>
      <c r="M26" s="695">
        <f>Cronograma_Não_Deson!M26</f>
        <v>0.05</v>
      </c>
      <c r="N26" s="695">
        <f>Cronograma_Não_Deson!N26</f>
        <v>0.05</v>
      </c>
      <c r="O26" s="695">
        <f>Cronograma_Não_Deson!O26</f>
        <v>0.04</v>
      </c>
      <c r="P26" s="695">
        <f>Cronograma_Não_Deson!P26</f>
        <v>0.04</v>
      </c>
      <c r="Q26" s="695">
        <f>+Cronograma_Não_Deson!Q26</f>
        <v>0.02</v>
      </c>
      <c r="R26" s="695">
        <f>+Cronograma_Não_Deson!R26</f>
        <v>0</v>
      </c>
      <c r="S26" s="695">
        <f>+Cronograma_Não_Deson!S26</f>
        <v>0</v>
      </c>
      <c r="T26" s="695">
        <f>+Cronograma_Não_Deson!T26</f>
        <v>0</v>
      </c>
      <c r="U26" s="695">
        <f>+Cronograma_Não_Deson!U26</f>
        <v>0</v>
      </c>
      <c r="V26" s="695">
        <f>+Cronograma_Não_Deson!V26</f>
        <v>0</v>
      </c>
      <c r="W26" s="695">
        <f>+Cronograma_Não_Deson!W26</f>
        <v>0</v>
      </c>
      <c r="X26" s="120">
        <f>SUM(F26:W26)</f>
        <v>1</v>
      </c>
      <c r="Y26" s="586">
        <f>1-X26</f>
        <v>0</v>
      </c>
      <c r="AA26" s="711">
        <f>+COUNT(F26:W26)</f>
        <v>18</v>
      </c>
    </row>
    <row r="27" spans="1:27" s="119" customFormat="1" ht="18" customHeight="1" thickBot="1" x14ac:dyDescent="0.2">
      <c r="A27" s="2501"/>
      <c r="B27" s="2504"/>
      <c r="C27" s="1665" t="e">
        <f>Orçamento_Deson!N17</f>
        <v>#VALUE!</v>
      </c>
      <c r="D27" s="1694" t="s">
        <v>141</v>
      </c>
      <c r="E27" s="1695">
        <f>D$92</f>
        <v>1</v>
      </c>
      <c r="F27" s="870">
        <f t="shared" ref="F27:W27" ca="1" si="18">IF($D26=0,0,IF(F26=0,0,($E27*$D26*F26)+$AA$96))</f>
        <v>112088.61449999998</v>
      </c>
      <c r="G27" s="870">
        <f t="shared" ca="1" si="18"/>
        <v>112088.61449999998</v>
      </c>
      <c r="H27" s="870">
        <f t="shared" ca="1" si="18"/>
        <v>112088.61449999998</v>
      </c>
      <c r="I27" s="870">
        <f t="shared" ca="1" si="18"/>
        <v>74725.743000000002</v>
      </c>
      <c r="J27" s="870">
        <f t="shared" ca="1" si="18"/>
        <v>74725.743000000002</v>
      </c>
      <c r="K27" s="870">
        <f t="shared" ca="1" si="18"/>
        <v>74725.743000000002</v>
      </c>
      <c r="L27" s="870">
        <f t="shared" ca="1" si="18"/>
        <v>37362.871500000001</v>
      </c>
      <c r="M27" s="870">
        <f t="shared" ca="1" si="18"/>
        <v>37362.871500000001</v>
      </c>
      <c r="N27" s="870">
        <f t="shared" ca="1" si="18"/>
        <v>37362.871500000001</v>
      </c>
      <c r="O27" s="870">
        <f t="shared" ca="1" si="18"/>
        <v>29890.297199999997</v>
      </c>
      <c r="P27" s="870">
        <f t="shared" ca="1" si="18"/>
        <v>29890.297199999997</v>
      </c>
      <c r="Q27" s="870">
        <f t="shared" ca="1" si="18"/>
        <v>14945.148599999999</v>
      </c>
      <c r="R27" s="870">
        <f t="shared" ca="1" si="18"/>
        <v>0</v>
      </c>
      <c r="S27" s="870">
        <f t="shared" ca="1" si="18"/>
        <v>0</v>
      </c>
      <c r="T27" s="870">
        <f t="shared" ca="1" si="18"/>
        <v>0</v>
      </c>
      <c r="U27" s="870">
        <f t="shared" ca="1" si="18"/>
        <v>0</v>
      </c>
      <c r="V27" s="870">
        <f t="shared" ca="1" si="18"/>
        <v>0</v>
      </c>
      <c r="W27" s="870">
        <f t="shared" ca="1" si="18"/>
        <v>0</v>
      </c>
      <c r="X27" s="121">
        <f ca="1">SUM(F27:W27)</f>
        <v>747257.43</v>
      </c>
      <c r="Y27" s="118">
        <f ca="1">TRUNC(X27-D26*E27,2)</f>
        <v>0</v>
      </c>
      <c r="Z27" s="710">
        <f ca="1">+X27/D26</f>
        <v>1.0000000000000002</v>
      </c>
    </row>
    <row r="28" spans="1:27" s="119" customFormat="1" ht="18" hidden="1" customHeight="1" thickBot="1" x14ac:dyDescent="0.2">
      <c r="A28" s="2502"/>
      <c r="B28" s="2505"/>
      <c r="C28" s="1664"/>
      <c r="D28" s="1658" t="s">
        <v>142</v>
      </c>
      <c r="E28" s="709">
        <f>1-E27</f>
        <v>0</v>
      </c>
      <c r="F28" s="869">
        <f ca="1">($D26*F26-F27)</f>
        <v>0</v>
      </c>
      <c r="G28" s="869">
        <f t="shared" ref="G28:W28" ca="1" si="19">($D26*G26-G27)</f>
        <v>0</v>
      </c>
      <c r="H28" s="869">
        <f t="shared" ca="1" si="19"/>
        <v>0</v>
      </c>
      <c r="I28" s="869">
        <f t="shared" ca="1" si="19"/>
        <v>0</v>
      </c>
      <c r="J28" s="869">
        <f t="shared" ca="1" si="19"/>
        <v>0</v>
      </c>
      <c r="K28" s="869">
        <f t="shared" ca="1" si="19"/>
        <v>0</v>
      </c>
      <c r="L28" s="869">
        <f t="shared" ca="1" si="19"/>
        <v>0</v>
      </c>
      <c r="M28" s="869">
        <f t="shared" ca="1" si="19"/>
        <v>0</v>
      </c>
      <c r="N28" s="869">
        <f t="shared" ca="1" si="19"/>
        <v>0</v>
      </c>
      <c r="O28" s="869">
        <f t="shared" ca="1" si="19"/>
        <v>0</v>
      </c>
      <c r="P28" s="869">
        <f t="shared" ca="1" si="19"/>
        <v>0</v>
      </c>
      <c r="Q28" s="869">
        <f t="shared" ca="1" si="19"/>
        <v>0</v>
      </c>
      <c r="R28" s="869">
        <f t="shared" ca="1" si="19"/>
        <v>0</v>
      </c>
      <c r="S28" s="869">
        <f t="shared" ca="1" si="19"/>
        <v>0</v>
      </c>
      <c r="T28" s="869">
        <f t="shared" ca="1" si="19"/>
        <v>0</v>
      </c>
      <c r="U28" s="869">
        <f t="shared" ca="1" si="19"/>
        <v>0</v>
      </c>
      <c r="V28" s="869">
        <f t="shared" ca="1" si="19"/>
        <v>0</v>
      </c>
      <c r="W28" s="869">
        <f t="shared" ca="1" si="19"/>
        <v>0</v>
      </c>
      <c r="X28" s="122">
        <f ca="1">SUM(F28:W28)</f>
        <v>0</v>
      </c>
      <c r="Y28" s="118">
        <f ca="1">+D26-X27-X28</f>
        <v>-1.1641532182693481E-10</v>
      </c>
    </row>
    <row r="29" spans="1:27" s="119" customFormat="1" ht="9.9499999999999993" hidden="1" customHeight="1" x14ac:dyDescent="0.15">
      <c r="A29" s="2500">
        <f ca="1">Orçamento_Deson!B18</f>
        <v>5</v>
      </c>
      <c r="B29" s="2503" t="str">
        <f>Orçamento_Deson!C18</f>
        <v>MICRODRENAGEM - SERVIÇOS DE ESTRUTURAS</v>
      </c>
      <c r="C29" s="1663"/>
      <c r="D29" s="1659"/>
      <c r="E29" s="116"/>
      <c r="F29" s="871">
        <f t="shared" ref="F29:M29" si="20">F30</f>
        <v>0.3</v>
      </c>
      <c r="G29" s="871">
        <f t="shared" si="20"/>
        <v>0.3</v>
      </c>
      <c r="H29" s="871">
        <f t="shared" si="20"/>
        <v>0.3</v>
      </c>
      <c r="I29" s="871">
        <f t="shared" si="20"/>
        <v>0.1</v>
      </c>
      <c r="J29" s="871">
        <f t="shared" si="20"/>
        <v>0</v>
      </c>
      <c r="K29" s="871">
        <f t="shared" si="20"/>
        <v>0</v>
      </c>
      <c r="L29" s="871">
        <f t="shared" si="20"/>
        <v>0</v>
      </c>
      <c r="M29" s="871">
        <f t="shared" si="20"/>
        <v>0</v>
      </c>
      <c r="N29" s="871">
        <f>N30</f>
        <v>0</v>
      </c>
      <c r="O29" s="871">
        <f t="shared" ref="O29:W29" si="21">O30</f>
        <v>0</v>
      </c>
      <c r="P29" s="871">
        <f t="shared" si="21"/>
        <v>0</v>
      </c>
      <c r="Q29" s="871">
        <f t="shared" si="21"/>
        <v>0</v>
      </c>
      <c r="R29" s="871">
        <f t="shared" si="21"/>
        <v>0</v>
      </c>
      <c r="S29" s="871">
        <f t="shared" si="21"/>
        <v>0</v>
      </c>
      <c r="T29" s="871">
        <f t="shared" si="21"/>
        <v>0</v>
      </c>
      <c r="U29" s="871">
        <f t="shared" si="21"/>
        <v>0</v>
      </c>
      <c r="V29" s="871">
        <f t="shared" si="21"/>
        <v>0</v>
      </c>
      <c r="W29" s="871">
        <f t="shared" si="21"/>
        <v>0</v>
      </c>
      <c r="X29" s="117"/>
      <c r="Y29" s="708">
        <f>+D30-X31-X32</f>
        <v>0</v>
      </c>
    </row>
    <row r="30" spans="1:27" s="119" customFormat="1" ht="18" hidden="1" customHeight="1" x14ac:dyDescent="0.15">
      <c r="A30" s="2501"/>
      <c r="B30" s="2504"/>
      <c r="C30" s="1663" t="str">
        <f>CONCATENATE(Orçamento_Deson!H18," ",Orçamento_Deson!I18)</f>
        <v>0 M3</v>
      </c>
      <c r="D30" s="2522">
        <f>Orçamento_Deson!J18</f>
        <v>0</v>
      </c>
      <c r="E30" s="2523"/>
      <c r="F30" s="695">
        <f>Cronograma_Não_Deson!F30</f>
        <v>0.3</v>
      </c>
      <c r="G30" s="695">
        <f>Cronograma_Não_Deson!G30</f>
        <v>0.3</v>
      </c>
      <c r="H30" s="695">
        <f>Cronograma_Não_Deson!H30</f>
        <v>0.3</v>
      </c>
      <c r="I30" s="695">
        <f>Cronograma_Não_Deson!I30</f>
        <v>0.1</v>
      </c>
      <c r="J30" s="695">
        <f>Cronograma_Não_Deson!J30</f>
        <v>0</v>
      </c>
      <c r="K30" s="695">
        <f>Cronograma_Não_Deson!K30</f>
        <v>0</v>
      </c>
      <c r="L30" s="695">
        <f>Cronograma_Não_Deson!L30</f>
        <v>0</v>
      </c>
      <c r="M30" s="695">
        <f>Cronograma_Não_Deson!M30</f>
        <v>0</v>
      </c>
      <c r="N30" s="695">
        <f>Cronograma_Não_Deson!N30</f>
        <v>0</v>
      </c>
      <c r="O30" s="695">
        <f>Cronograma_Não_Deson!O30</f>
        <v>0</v>
      </c>
      <c r="P30" s="695">
        <f>Cronograma_Não_Deson!P30</f>
        <v>0</v>
      </c>
      <c r="Q30" s="695">
        <f>+Cronograma_Não_Deson!Q30</f>
        <v>0</v>
      </c>
      <c r="R30" s="695">
        <f>+Cronograma_Não_Deson!R30</f>
        <v>0</v>
      </c>
      <c r="S30" s="695">
        <f>+Cronograma_Não_Deson!S30</f>
        <v>0</v>
      </c>
      <c r="T30" s="695">
        <f>+Cronograma_Não_Deson!T30</f>
        <v>0</v>
      </c>
      <c r="U30" s="695">
        <f>+Cronograma_Não_Deson!U30</f>
        <v>0</v>
      </c>
      <c r="V30" s="695">
        <f>+Cronograma_Não_Deson!V30</f>
        <v>0</v>
      </c>
      <c r="W30" s="695">
        <f>+Cronograma_Não_Deson!W30</f>
        <v>0</v>
      </c>
      <c r="X30" s="120">
        <f>SUM(F30:W30)</f>
        <v>0.99999999999999989</v>
      </c>
      <c r="Y30" s="586">
        <f>1-X30</f>
        <v>0</v>
      </c>
      <c r="AA30" s="711">
        <f>+COUNT(F30:W30)</f>
        <v>18</v>
      </c>
    </row>
    <row r="31" spans="1:27" s="119" customFormat="1" ht="18" hidden="1" customHeight="1" thickBot="1" x14ac:dyDescent="0.2">
      <c r="A31" s="2501"/>
      <c r="B31" s="2504"/>
      <c r="C31" s="1663"/>
      <c r="D31" s="1694" t="s">
        <v>141</v>
      </c>
      <c r="E31" s="1695">
        <f>D$92</f>
        <v>1</v>
      </c>
      <c r="F31" s="870">
        <f t="shared" ref="F31:W31" si="22">IF($D30=0,0,IF(F30=0,0,($E31*$D30*F30)+$AA$96))</f>
        <v>0</v>
      </c>
      <c r="G31" s="870">
        <f t="shared" si="22"/>
        <v>0</v>
      </c>
      <c r="H31" s="870">
        <f t="shared" si="22"/>
        <v>0</v>
      </c>
      <c r="I31" s="870">
        <f t="shared" si="22"/>
        <v>0</v>
      </c>
      <c r="J31" s="870">
        <f t="shared" si="22"/>
        <v>0</v>
      </c>
      <c r="K31" s="870">
        <f t="shared" si="22"/>
        <v>0</v>
      </c>
      <c r="L31" s="870">
        <f t="shared" si="22"/>
        <v>0</v>
      </c>
      <c r="M31" s="870">
        <f t="shared" si="22"/>
        <v>0</v>
      </c>
      <c r="N31" s="870">
        <f t="shared" si="22"/>
        <v>0</v>
      </c>
      <c r="O31" s="870">
        <f t="shared" si="22"/>
        <v>0</v>
      </c>
      <c r="P31" s="870">
        <f t="shared" si="22"/>
        <v>0</v>
      </c>
      <c r="Q31" s="870">
        <f t="shared" si="22"/>
        <v>0</v>
      </c>
      <c r="R31" s="870">
        <f t="shared" si="22"/>
        <v>0</v>
      </c>
      <c r="S31" s="870">
        <f t="shared" si="22"/>
        <v>0</v>
      </c>
      <c r="T31" s="870">
        <f t="shared" si="22"/>
        <v>0</v>
      </c>
      <c r="U31" s="870">
        <f t="shared" si="22"/>
        <v>0</v>
      </c>
      <c r="V31" s="870">
        <f t="shared" si="22"/>
        <v>0</v>
      </c>
      <c r="W31" s="870">
        <f t="shared" si="22"/>
        <v>0</v>
      </c>
      <c r="X31" s="121">
        <f>SUM(F31:W31)</f>
        <v>0</v>
      </c>
      <c r="Y31" s="118">
        <f>TRUNC(X31-D30*E31,2)</f>
        <v>0</v>
      </c>
      <c r="Z31" s="710" t="e">
        <f>+X31/D30</f>
        <v>#DIV/0!</v>
      </c>
    </row>
    <row r="32" spans="1:27" s="119" customFormat="1" ht="18" hidden="1" customHeight="1" thickBot="1" x14ac:dyDescent="0.2">
      <c r="A32" s="2502"/>
      <c r="B32" s="2505"/>
      <c r="C32" s="1664"/>
      <c r="D32" s="1658" t="s">
        <v>142</v>
      </c>
      <c r="E32" s="709">
        <f>1-E31</f>
        <v>0</v>
      </c>
      <c r="F32" s="869">
        <f>($D30*F30-F31)</f>
        <v>0</v>
      </c>
      <c r="G32" s="869">
        <f t="shared" ref="G32:W32" si="23">($D30*G30-G31)</f>
        <v>0</v>
      </c>
      <c r="H32" s="869">
        <f t="shared" si="23"/>
        <v>0</v>
      </c>
      <c r="I32" s="869">
        <f t="shared" si="23"/>
        <v>0</v>
      </c>
      <c r="J32" s="869">
        <f t="shared" si="23"/>
        <v>0</v>
      </c>
      <c r="K32" s="869">
        <f t="shared" si="23"/>
        <v>0</v>
      </c>
      <c r="L32" s="869">
        <f t="shared" si="23"/>
        <v>0</v>
      </c>
      <c r="M32" s="869">
        <f t="shared" si="23"/>
        <v>0</v>
      </c>
      <c r="N32" s="869">
        <f t="shared" si="23"/>
        <v>0</v>
      </c>
      <c r="O32" s="869">
        <f t="shared" si="23"/>
        <v>0</v>
      </c>
      <c r="P32" s="869">
        <f t="shared" si="23"/>
        <v>0</v>
      </c>
      <c r="Q32" s="869">
        <f t="shared" si="23"/>
        <v>0</v>
      </c>
      <c r="R32" s="869">
        <f t="shared" si="23"/>
        <v>0</v>
      </c>
      <c r="S32" s="869">
        <f t="shared" si="23"/>
        <v>0</v>
      </c>
      <c r="T32" s="869">
        <f t="shared" si="23"/>
        <v>0</v>
      </c>
      <c r="U32" s="869">
        <f t="shared" si="23"/>
        <v>0</v>
      </c>
      <c r="V32" s="869">
        <f t="shared" si="23"/>
        <v>0</v>
      </c>
      <c r="W32" s="869">
        <f t="shared" si="23"/>
        <v>0</v>
      </c>
      <c r="X32" s="122">
        <f>SUM(F32:W32)</f>
        <v>0</v>
      </c>
      <c r="Y32" s="118">
        <f>+D30-X31-X32</f>
        <v>0</v>
      </c>
    </row>
    <row r="33" spans="1:27" s="119" customFormat="1" ht="9.9499999999999993" hidden="1" customHeight="1" x14ac:dyDescent="0.15">
      <c r="A33" s="2500">
        <f ca="1">Orçamento_Deson!B19</f>
        <v>5</v>
      </c>
      <c r="B33" s="2503" t="str">
        <f>Orçamento_Deson!C19</f>
        <v>MICRODRENAGEM - BACIA DE AMORTECIMENTO</v>
      </c>
      <c r="C33" s="1663"/>
      <c r="D33" s="1659"/>
      <c r="E33" s="116"/>
      <c r="F33" s="871">
        <f t="shared" ref="F33:W33" si="24">F34</f>
        <v>0</v>
      </c>
      <c r="G33" s="871">
        <f t="shared" si="24"/>
        <v>0</v>
      </c>
      <c r="H33" s="871">
        <f t="shared" si="24"/>
        <v>0</v>
      </c>
      <c r="I33" s="871">
        <f t="shared" si="24"/>
        <v>0</v>
      </c>
      <c r="J33" s="871">
        <f t="shared" si="24"/>
        <v>0</v>
      </c>
      <c r="K33" s="871">
        <f t="shared" si="24"/>
        <v>0</v>
      </c>
      <c r="L33" s="871">
        <f t="shared" si="24"/>
        <v>0</v>
      </c>
      <c r="M33" s="871">
        <f t="shared" si="24"/>
        <v>0</v>
      </c>
      <c r="N33" s="871">
        <f t="shared" si="24"/>
        <v>0</v>
      </c>
      <c r="O33" s="871">
        <f t="shared" si="24"/>
        <v>0</v>
      </c>
      <c r="P33" s="871">
        <f t="shared" si="24"/>
        <v>0</v>
      </c>
      <c r="Q33" s="871">
        <f t="shared" si="24"/>
        <v>0</v>
      </c>
      <c r="R33" s="871">
        <f t="shared" si="24"/>
        <v>0</v>
      </c>
      <c r="S33" s="871">
        <f t="shared" si="24"/>
        <v>0</v>
      </c>
      <c r="T33" s="871">
        <f t="shared" si="24"/>
        <v>0</v>
      </c>
      <c r="U33" s="871">
        <f t="shared" si="24"/>
        <v>0</v>
      </c>
      <c r="V33" s="871">
        <f t="shared" si="24"/>
        <v>0</v>
      </c>
      <c r="W33" s="871">
        <f t="shared" si="24"/>
        <v>0</v>
      </c>
      <c r="X33" s="117"/>
      <c r="Y33" s="708">
        <f>+D34-X35-X36</f>
        <v>0</v>
      </c>
    </row>
    <row r="34" spans="1:27" s="119" customFormat="1" ht="18" hidden="1" customHeight="1" x14ac:dyDescent="0.15">
      <c r="A34" s="2501"/>
      <c r="B34" s="2504"/>
      <c r="C34" s="1663" t="str">
        <f>CONCATENATE(Orçamento_Deson!H19," ",Orçamento_Deson!I19)</f>
        <v>0 M3</v>
      </c>
      <c r="D34" s="2522">
        <f>Orçamento_Deson!J19</f>
        <v>0</v>
      </c>
      <c r="E34" s="2523"/>
      <c r="F34" s="695">
        <f>Cronograma_Não_Deson!F34</f>
        <v>0</v>
      </c>
      <c r="G34" s="695">
        <f>Cronograma_Não_Deson!G34</f>
        <v>0</v>
      </c>
      <c r="H34" s="695">
        <f>Cronograma_Não_Deson!H34</f>
        <v>0</v>
      </c>
      <c r="I34" s="695">
        <f>Cronograma_Não_Deson!I34</f>
        <v>0</v>
      </c>
      <c r="J34" s="695">
        <f>Cronograma_Não_Deson!J34</f>
        <v>0</v>
      </c>
      <c r="K34" s="695">
        <f>Cronograma_Não_Deson!K34</f>
        <v>0</v>
      </c>
      <c r="L34" s="695">
        <f>Cronograma_Não_Deson!L34</f>
        <v>0</v>
      </c>
      <c r="M34" s="695">
        <f>Cronograma_Não_Deson!M34</f>
        <v>0</v>
      </c>
      <c r="N34" s="695">
        <f>Cronograma_Não_Deson!N34</f>
        <v>0</v>
      </c>
      <c r="O34" s="695">
        <f>Cronograma_Não_Deson!O34</f>
        <v>0</v>
      </c>
      <c r="P34" s="695">
        <f>Cronograma_Não_Deson!P34</f>
        <v>0</v>
      </c>
      <c r="Q34" s="695">
        <f>+Cronograma_Não_Deson!Q34</f>
        <v>0</v>
      </c>
      <c r="R34" s="695">
        <f>+Cronograma_Não_Deson!R34</f>
        <v>0</v>
      </c>
      <c r="S34" s="695">
        <f>+Cronograma_Não_Deson!S34</f>
        <v>0</v>
      </c>
      <c r="T34" s="695">
        <f>+Cronograma_Não_Deson!T34</f>
        <v>0</v>
      </c>
      <c r="U34" s="695">
        <f>+Cronograma_Não_Deson!U34</f>
        <v>0</v>
      </c>
      <c r="V34" s="695">
        <f>+Cronograma_Não_Deson!V34</f>
        <v>0</v>
      </c>
      <c r="W34" s="695">
        <f>+Cronograma_Não_Deson!W34</f>
        <v>0</v>
      </c>
      <c r="X34" s="120">
        <f>SUM(F34:W34)</f>
        <v>0</v>
      </c>
      <c r="Y34" s="586">
        <f>1-X34</f>
        <v>1</v>
      </c>
      <c r="AA34" s="711">
        <f>+COUNT(F34:W34)</f>
        <v>18</v>
      </c>
    </row>
    <row r="35" spans="1:27" s="119" customFormat="1" ht="18" hidden="1" customHeight="1" thickBot="1" x14ac:dyDescent="0.2">
      <c r="A35" s="2501"/>
      <c r="B35" s="2504"/>
      <c r="C35" s="1665">
        <f>Orçamento_Deson!N19</f>
        <v>0</v>
      </c>
      <c r="D35" s="1694" t="s">
        <v>141</v>
      </c>
      <c r="E35" s="1695">
        <f>D$92</f>
        <v>1</v>
      </c>
      <c r="F35" s="870">
        <f t="shared" ref="F35:W35" si="25">IF($D34=0,0,IF(F34=0,0,($E35*$D34*F34)+$AA$96))</f>
        <v>0</v>
      </c>
      <c r="G35" s="870">
        <f t="shared" si="25"/>
        <v>0</v>
      </c>
      <c r="H35" s="870">
        <f t="shared" si="25"/>
        <v>0</v>
      </c>
      <c r="I35" s="870">
        <f t="shared" si="25"/>
        <v>0</v>
      </c>
      <c r="J35" s="870">
        <f t="shared" si="25"/>
        <v>0</v>
      </c>
      <c r="K35" s="870">
        <f t="shared" si="25"/>
        <v>0</v>
      </c>
      <c r="L35" s="870">
        <f t="shared" si="25"/>
        <v>0</v>
      </c>
      <c r="M35" s="870">
        <f t="shared" si="25"/>
        <v>0</v>
      </c>
      <c r="N35" s="870">
        <f t="shared" si="25"/>
        <v>0</v>
      </c>
      <c r="O35" s="870">
        <f t="shared" si="25"/>
        <v>0</v>
      </c>
      <c r="P35" s="870">
        <f t="shared" si="25"/>
        <v>0</v>
      </c>
      <c r="Q35" s="870">
        <f t="shared" si="25"/>
        <v>0</v>
      </c>
      <c r="R35" s="870">
        <f t="shared" si="25"/>
        <v>0</v>
      </c>
      <c r="S35" s="870">
        <f t="shared" si="25"/>
        <v>0</v>
      </c>
      <c r="T35" s="870">
        <f t="shared" si="25"/>
        <v>0</v>
      </c>
      <c r="U35" s="870">
        <f t="shared" si="25"/>
        <v>0</v>
      </c>
      <c r="V35" s="870">
        <f t="shared" si="25"/>
        <v>0</v>
      </c>
      <c r="W35" s="870">
        <f t="shared" si="25"/>
        <v>0</v>
      </c>
      <c r="X35" s="121">
        <f>SUM(F35:W35)</f>
        <v>0</v>
      </c>
      <c r="Y35" s="118">
        <f>TRUNC(X35-D34*E35,2)</f>
        <v>0</v>
      </c>
      <c r="Z35" s="710" t="e">
        <f>+X35/D34</f>
        <v>#DIV/0!</v>
      </c>
    </row>
    <row r="36" spans="1:27" s="119" customFormat="1" ht="18" hidden="1" customHeight="1" thickBot="1" x14ac:dyDescent="0.2">
      <c r="A36" s="2502"/>
      <c r="B36" s="2505"/>
      <c r="C36" s="1664"/>
      <c r="D36" s="1658" t="s">
        <v>142</v>
      </c>
      <c r="E36" s="709">
        <f>1-E35</f>
        <v>0</v>
      </c>
      <c r="F36" s="869">
        <f>($D34*F34-F35)</f>
        <v>0</v>
      </c>
      <c r="G36" s="869">
        <f t="shared" ref="G36:W36" si="26">($D34*G34-G35)</f>
        <v>0</v>
      </c>
      <c r="H36" s="869">
        <f t="shared" si="26"/>
        <v>0</v>
      </c>
      <c r="I36" s="869">
        <f t="shared" si="26"/>
        <v>0</v>
      </c>
      <c r="J36" s="869">
        <f t="shared" si="26"/>
        <v>0</v>
      </c>
      <c r="K36" s="869">
        <f t="shared" si="26"/>
        <v>0</v>
      </c>
      <c r="L36" s="869">
        <f t="shared" si="26"/>
        <v>0</v>
      </c>
      <c r="M36" s="869">
        <f t="shared" si="26"/>
        <v>0</v>
      </c>
      <c r="N36" s="869">
        <f t="shared" si="26"/>
        <v>0</v>
      </c>
      <c r="O36" s="869">
        <f t="shared" si="26"/>
        <v>0</v>
      </c>
      <c r="P36" s="869">
        <f t="shared" si="26"/>
        <v>0</v>
      </c>
      <c r="Q36" s="869">
        <f t="shared" si="26"/>
        <v>0</v>
      </c>
      <c r="R36" s="869">
        <f t="shared" si="26"/>
        <v>0</v>
      </c>
      <c r="S36" s="869">
        <f t="shared" si="26"/>
        <v>0</v>
      </c>
      <c r="T36" s="869">
        <f t="shared" si="26"/>
        <v>0</v>
      </c>
      <c r="U36" s="869">
        <f t="shared" si="26"/>
        <v>0</v>
      </c>
      <c r="V36" s="869">
        <f t="shared" si="26"/>
        <v>0</v>
      </c>
      <c r="W36" s="869">
        <f t="shared" si="26"/>
        <v>0</v>
      </c>
      <c r="X36" s="122">
        <f>SUM(F36:W36)</f>
        <v>0</v>
      </c>
      <c r="Y36" s="118">
        <f>+D34-X35-X36</f>
        <v>0</v>
      </c>
    </row>
    <row r="37" spans="1:27" s="119" customFormat="1" ht="9.9499999999999993" hidden="1" customHeight="1" x14ac:dyDescent="0.15">
      <c r="A37" s="2500">
        <f ca="1">Orçamento_Deson!B20</f>
        <v>5</v>
      </c>
      <c r="B37" s="2503" t="str">
        <f>Orçamento_Deson!C20</f>
        <v>DRENAGEM DE LENÇOL FREÁTICO</v>
      </c>
      <c r="C37" s="1663"/>
      <c r="D37" s="1659"/>
      <c r="E37" s="116"/>
      <c r="F37" s="871">
        <f t="shared" ref="F37:M37" si="27">F38</f>
        <v>0.02</v>
      </c>
      <c r="G37" s="871">
        <f t="shared" si="27"/>
        <v>0.06</v>
      </c>
      <c r="H37" s="871">
        <f t="shared" si="27"/>
        <v>0.08</v>
      </c>
      <c r="I37" s="871">
        <f t="shared" si="27"/>
        <v>0.1</v>
      </c>
      <c r="J37" s="871">
        <f t="shared" si="27"/>
        <v>0</v>
      </c>
      <c r="K37" s="871">
        <f t="shared" si="27"/>
        <v>0</v>
      </c>
      <c r="L37" s="871">
        <f t="shared" si="27"/>
        <v>0</v>
      </c>
      <c r="M37" s="871">
        <f t="shared" si="27"/>
        <v>0</v>
      </c>
      <c r="N37" s="871">
        <f>N38</f>
        <v>0</v>
      </c>
      <c r="O37" s="871">
        <f t="shared" ref="O37:W37" si="28">O38</f>
        <v>0</v>
      </c>
      <c r="P37" s="871">
        <f t="shared" si="28"/>
        <v>0</v>
      </c>
      <c r="Q37" s="871">
        <f t="shared" si="28"/>
        <v>0</v>
      </c>
      <c r="R37" s="871">
        <f t="shared" si="28"/>
        <v>0</v>
      </c>
      <c r="S37" s="871">
        <f t="shared" si="28"/>
        <v>0</v>
      </c>
      <c r="T37" s="871">
        <f t="shared" si="28"/>
        <v>0</v>
      </c>
      <c r="U37" s="871">
        <f t="shared" si="28"/>
        <v>0</v>
      </c>
      <c r="V37" s="871">
        <f t="shared" si="28"/>
        <v>0</v>
      </c>
      <c r="W37" s="871">
        <f t="shared" si="28"/>
        <v>0</v>
      </c>
      <c r="X37" s="117"/>
      <c r="Y37" s="708">
        <f>+D38-X39-X40</f>
        <v>0</v>
      </c>
    </row>
    <row r="38" spans="1:27" s="119" customFormat="1" ht="18" hidden="1" customHeight="1" x14ac:dyDescent="0.15">
      <c r="A38" s="2501"/>
      <c r="B38" s="2504"/>
      <c r="C38" s="1663" t="str">
        <f>CONCATENATE(Orçamento_Deson!H20," ",Orçamento_Deson!I20)</f>
        <v>0 M</v>
      </c>
      <c r="D38" s="2522">
        <f>Orçamento_Deson!J20</f>
        <v>0</v>
      </c>
      <c r="E38" s="2523"/>
      <c r="F38" s="695">
        <f>Cronograma_Não_Deson!F38</f>
        <v>0.02</v>
      </c>
      <c r="G38" s="695">
        <f>Cronograma_Não_Deson!G38</f>
        <v>0.06</v>
      </c>
      <c r="H38" s="695">
        <f>Cronograma_Não_Deson!H38</f>
        <v>0.08</v>
      </c>
      <c r="I38" s="695">
        <f>Cronograma_Não_Deson!I38</f>
        <v>0.1</v>
      </c>
      <c r="J38" s="695">
        <f>Cronograma_Não_Deson!J38</f>
        <v>0</v>
      </c>
      <c r="K38" s="695">
        <f>Cronograma_Não_Deson!K38</f>
        <v>0</v>
      </c>
      <c r="L38" s="695">
        <f>Cronograma_Não_Deson!L38</f>
        <v>0</v>
      </c>
      <c r="M38" s="695">
        <f>Cronograma_Não_Deson!M38</f>
        <v>0</v>
      </c>
      <c r="N38" s="695">
        <f>Cronograma_Não_Deson!N38</f>
        <v>0</v>
      </c>
      <c r="O38" s="695">
        <f>Cronograma_Não_Deson!O38</f>
        <v>0</v>
      </c>
      <c r="P38" s="695">
        <f>Cronograma_Não_Deson!P38</f>
        <v>0</v>
      </c>
      <c r="Q38" s="695">
        <f>+Cronograma_Não_Deson!Q38</f>
        <v>0</v>
      </c>
      <c r="R38" s="695">
        <f>+Cronograma_Não_Deson!R38</f>
        <v>0</v>
      </c>
      <c r="S38" s="695">
        <f>+Cronograma_Não_Deson!S38</f>
        <v>0</v>
      </c>
      <c r="T38" s="695">
        <f>+Cronograma_Não_Deson!T38</f>
        <v>0</v>
      </c>
      <c r="U38" s="695">
        <f>+Cronograma_Não_Deson!U38</f>
        <v>0</v>
      </c>
      <c r="V38" s="695">
        <f>+Cronograma_Não_Deson!V38</f>
        <v>0</v>
      </c>
      <c r="W38" s="695">
        <f>+Cronograma_Não_Deson!W38</f>
        <v>0</v>
      </c>
      <c r="X38" s="120">
        <f>SUM(F38:W38)</f>
        <v>0.26</v>
      </c>
      <c r="Y38" s="586">
        <f>1-X38</f>
        <v>0.74</v>
      </c>
      <c r="AA38" s="711">
        <f>+COUNT(F38:W38)</f>
        <v>18</v>
      </c>
    </row>
    <row r="39" spans="1:27" s="119" customFormat="1" ht="18" hidden="1" customHeight="1" thickBot="1" x14ac:dyDescent="0.2">
      <c r="A39" s="2501"/>
      <c r="B39" s="2504"/>
      <c r="C39" s="1665">
        <f>ROUND(SUM(Orçamento_Deson!O414:O423)/240,1)</f>
        <v>0</v>
      </c>
      <c r="D39" s="1694" t="s">
        <v>141</v>
      </c>
      <c r="E39" s="1695">
        <f>D$92</f>
        <v>1</v>
      </c>
      <c r="F39" s="870">
        <f t="shared" ref="F39:W39" si="29">IF($D38=0,0,IF(F38=0,0,($E39*$D38*F38)+$AA$96))</f>
        <v>0</v>
      </c>
      <c r="G39" s="870">
        <f t="shared" si="29"/>
        <v>0</v>
      </c>
      <c r="H39" s="870">
        <f t="shared" si="29"/>
        <v>0</v>
      </c>
      <c r="I39" s="870">
        <f t="shared" si="29"/>
        <v>0</v>
      </c>
      <c r="J39" s="870">
        <f t="shared" si="29"/>
        <v>0</v>
      </c>
      <c r="K39" s="870">
        <f t="shared" si="29"/>
        <v>0</v>
      </c>
      <c r="L39" s="870">
        <f t="shared" si="29"/>
        <v>0</v>
      </c>
      <c r="M39" s="870">
        <f t="shared" si="29"/>
        <v>0</v>
      </c>
      <c r="N39" s="870">
        <f t="shared" si="29"/>
        <v>0</v>
      </c>
      <c r="O39" s="870">
        <f t="shared" si="29"/>
        <v>0</v>
      </c>
      <c r="P39" s="870">
        <f t="shared" si="29"/>
        <v>0</v>
      </c>
      <c r="Q39" s="870">
        <f t="shared" si="29"/>
        <v>0</v>
      </c>
      <c r="R39" s="870">
        <f t="shared" si="29"/>
        <v>0</v>
      </c>
      <c r="S39" s="870">
        <f t="shared" si="29"/>
        <v>0</v>
      </c>
      <c r="T39" s="870">
        <f t="shared" si="29"/>
        <v>0</v>
      </c>
      <c r="U39" s="870">
        <f t="shared" si="29"/>
        <v>0</v>
      </c>
      <c r="V39" s="870">
        <f t="shared" si="29"/>
        <v>0</v>
      </c>
      <c r="W39" s="870">
        <f t="shared" si="29"/>
        <v>0</v>
      </c>
      <c r="X39" s="121">
        <f>SUM(F39:W39)</f>
        <v>0</v>
      </c>
      <c r="Y39" s="118">
        <f>TRUNC(X39-D38*E39,2)</f>
        <v>0</v>
      </c>
      <c r="Z39" s="710" t="e">
        <f>+X39/D38</f>
        <v>#DIV/0!</v>
      </c>
    </row>
    <row r="40" spans="1:27" s="119" customFormat="1" ht="18" hidden="1" customHeight="1" thickBot="1" x14ac:dyDescent="0.2">
      <c r="A40" s="2502"/>
      <c r="B40" s="2505"/>
      <c r="C40" s="1664"/>
      <c r="D40" s="1658" t="s">
        <v>142</v>
      </c>
      <c r="E40" s="709">
        <f>1-E39</f>
        <v>0</v>
      </c>
      <c r="F40" s="869">
        <f>($D38*F38-F39)</f>
        <v>0</v>
      </c>
      <c r="G40" s="869">
        <f t="shared" ref="G40:W40" si="30">($D38*G38-G39)</f>
        <v>0</v>
      </c>
      <c r="H40" s="869">
        <f t="shared" si="30"/>
        <v>0</v>
      </c>
      <c r="I40" s="869">
        <f t="shared" si="30"/>
        <v>0</v>
      </c>
      <c r="J40" s="869">
        <f t="shared" si="30"/>
        <v>0</v>
      </c>
      <c r="K40" s="869">
        <f t="shared" si="30"/>
        <v>0</v>
      </c>
      <c r="L40" s="869">
        <f t="shared" si="30"/>
        <v>0</v>
      </c>
      <c r="M40" s="869">
        <f t="shared" si="30"/>
        <v>0</v>
      </c>
      <c r="N40" s="869">
        <f t="shared" si="30"/>
        <v>0</v>
      </c>
      <c r="O40" s="869">
        <f t="shared" si="30"/>
        <v>0</v>
      </c>
      <c r="P40" s="869">
        <f t="shared" si="30"/>
        <v>0</v>
      </c>
      <c r="Q40" s="869">
        <f t="shared" si="30"/>
        <v>0</v>
      </c>
      <c r="R40" s="869">
        <f t="shared" si="30"/>
        <v>0</v>
      </c>
      <c r="S40" s="869">
        <f t="shared" si="30"/>
        <v>0</v>
      </c>
      <c r="T40" s="869">
        <f t="shared" si="30"/>
        <v>0</v>
      </c>
      <c r="U40" s="869">
        <f t="shared" si="30"/>
        <v>0</v>
      </c>
      <c r="V40" s="869">
        <f t="shared" si="30"/>
        <v>0</v>
      </c>
      <c r="W40" s="869">
        <f t="shared" si="30"/>
        <v>0</v>
      </c>
      <c r="X40" s="122">
        <f>SUM(F40:W40)</f>
        <v>0</v>
      </c>
      <c r="Y40" s="118">
        <f>+D38-X39-X40</f>
        <v>0</v>
      </c>
    </row>
    <row r="41" spans="1:27" s="119" customFormat="1" ht="9.9499999999999993" customHeight="1" x14ac:dyDescent="0.15">
      <c r="A41" s="2500">
        <f ca="1">Orçamento_Deson!B21</f>
        <v>6</v>
      </c>
      <c r="B41" s="2503" t="str">
        <f>Orçamento_Deson!C21</f>
        <v>MICRODRENAGEM - RECOMPOSIÇÃO DO PAVIMENTO</v>
      </c>
      <c r="C41" s="1663"/>
      <c r="D41" s="1659"/>
      <c r="E41" s="116"/>
      <c r="F41" s="871">
        <f t="shared" ref="F41:M41" si="31">F42</f>
        <v>0</v>
      </c>
      <c r="G41" s="871">
        <f t="shared" si="31"/>
        <v>0</v>
      </c>
      <c r="H41" s="871">
        <f t="shared" si="31"/>
        <v>0</v>
      </c>
      <c r="I41" s="871">
        <f t="shared" si="31"/>
        <v>0</v>
      </c>
      <c r="J41" s="871">
        <f t="shared" si="31"/>
        <v>0</v>
      </c>
      <c r="K41" s="871">
        <f t="shared" si="31"/>
        <v>0.3</v>
      </c>
      <c r="L41" s="871">
        <f t="shared" si="31"/>
        <v>0.3</v>
      </c>
      <c r="M41" s="871">
        <f t="shared" si="31"/>
        <v>0.2</v>
      </c>
      <c r="N41" s="871">
        <f>N42</f>
        <v>0.2</v>
      </c>
      <c r="O41" s="871">
        <f t="shared" ref="O41:W41" si="32">O42</f>
        <v>0</v>
      </c>
      <c r="P41" s="871">
        <f t="shared" si="32"/>
        <v>0</v>
      </c>
      <c r="Q41" s="871">
        <f t="shared" si="32"/>
        <v>0</v>
      </c>
      <c r="R41" s="871">
        <f t="shared" si="32"/>
        <v>0</v>
      </c>
      <c r="S41" s="871">
        <f t="shared" si="32"/>
        <v>0</v>
      </c>
      <c r="T41" s="871">
        <f t="shared" si="32"/>
        <v>0</v>
      </c>
      <c r="U41" s="871">
        <f t="shared" si="32"/>
        <v>0</v>
      </c>
      <c r="V41" s="871">
        <f t="shared" si="32"/>
        <v>0</v>
      </c>
      <c r="W41" s="871">
        <f t="shared" si="32"/>
        <v>0</v>
      </c>
      <c r="X41" s="117"/>
      <c r="Y41" s="708">
        <f ca="1">+D42-X43-X44</f>
        <v>0</v>
      </c>
    </row>
    <row r="42" spans="1:27" s="119" customFormat="1" ht="18" customHeight="1" x14ac:dyDescent="0.15">
      <c r="A42" s="2501"/>
      <c r="B42" s="2504"/>
      <c r="C42" s="1663" t="str">
        <f ca="1">CONCATENATE(Orçamento_Deson!H21," ",Orçamento_Deson!I21)</f>
        <v>182,08 M2</v>
      </c>
      <c r="D42" s="2512">
        <f ca="1">Orçamento_Deson!J21</f>
        <v>20442.95</v>
      </c>
      <c r="E42" s="2513"/>
      <c r="F42" s="695">
        <f>Cronograma_Não_Deson!F42</f>
        <v>0</v>
      </c>
      <c r="G42" s="695">
        <f>Cronograma_Não_Deson!G42</f>
        <v>0</v>
      </c>
      <c r="H42" s="695">
        <f>Cronograma_Não_Deson!H42</f>
        <v>0</v>
      </c>
      <c r="I42" s="695">
        <f>Cronograma_Não_Deson!I42</f>
        <v>0</v>
      </c>
      <c r="J42" s="695">
        <f>Cronograma_Não_Deson!J42</f>
        <v>0</v>
      </c>
      <c r="K42" s="695">
        <f>Cronograma_Não_Deson!K42</f>
        <v>0.3</v>
      </c>
      <c r="L42" s="695">
        <f>Cronograma_Não_Deson!L42</f>
        <v>0.3</v>
      </c>
      <c r="M42" s="695">
        <f>Cronograma_Não_Deson!M42</f>
        <v>0.2</v>
      </c>
      <c r="N42" s="695">
        <f>Cronograma_Não_Deson!N42</f>
        <v>0.2</v>
      </c>
      <c r="O42" s="695">
        <f>Cronograma_Não_Deson!O42</f>
        <v>0</v>
      </c>
      <c r="P42" s="695">
        <f>Cronograma_Não_Deson!P42</f>
        <v>0</v>
      </c>
      <c r="Q42" s="695">
        <f>+Cronograma_Não_Deson!Q42</f>
        <v>0</v>
      </c>
      <c r="R42" s="695">
        <f>+Cronograma_Não_Deson!R42</f>
        <v>0</v>
      </c>
      <c r="S42" s="695">
        <f>+Cronograma_Não_Deson!S42</f>
        <v>0</v>
      </c>
      <c r="T42" s="695">
        <f>+Cronograma_Não_Deson!T42</f>
        <v>0</v>
      </c>
      <c r="U42" s="695">
        <f>+Cronograma_Não_Deson!U42</f>
        <v>0</v>
      </c>
      <c r="V42" s="695">
        <f>+Cronograma_Não_Deson!V42</f>
        <v>0</v>
      </c>
      <c r="W42" s="695">
        <f>+Cronograma_Não_Deson!W42</f>
        <v>0</v>
      </c>
      <c r="X42" s="120">
        <f>SUM(F42:W42)</f>
        <v>1</v>
      </c>
      <c r="Y42" s="586">
        <f>1-X42</f>
        <v>0</v>
      </c>
      <c r="AA42" s="711">
        <f>+COUNT(F42:W42)</f>
        <v>18</v>
      </c>
    </row>
    <row r="43" spans="1:27" s="119" customFormat="1" ht="18" customHeight="1" thickBot="1" x14ac:dyDescent="0.2">
      <c r="A43" s="2501"/>
      <c r="B43" s="2504"/>
      <c r="C43" s="1663"/>
      <c r="D43" s="1694" t="s">
        <v>141</v>
      </c>
      <c r="E43" s="1695">
        <f>D$92</f>
        <v>1</v>
      </c>
      <c r="F43" s="870">
        <f t="shared" ref="F43:W43" ca="1" si="33">IF($D42=0,0,IF(F42=0,0,($E43*$D42*F42)+$AA$96))</f>
        <v>0</v>
      </c>
      <c r="G43" s="870">
        <f t="shared" ca="1" si="33"/>
        <v>0</v>
      </c>
      <c r="H43" s="870">
        <f t="shared" ca="1" si="33"/>
        <v>0</v>
      </c>
      <c r="I43" s="870">
        <f t="shared" ca="1" si="33"/>
        <v>0</v>
      </c>
      <c r="J43" s="870">
        <f t="shared" ca="1" si="33"/>
        <v>0</v>
      </c>
      <c r="K43" s="870">
        <f t="shared" ca="1" si="33"/>
        <v>6132.8850000000002</v>
      </c>
      <c r="L43" s="870">
        <f t="shared" ca="1" si="33"/>
        <v>6132.8850000000002</v>
      </c>
      <c r="M43" s="870">
        <f t="shared" ca="1" si="33"/>
        <v>4088.59</v>
      </c>
      <c r="N43" s="870">
        <f t="shared" ca="1" si="33"/>
        <v>4088.59</v>
      </c>
      <c r="O43" s="870">
        <f t="shared" ca="1" si="33"/>
        <v>0</v>
      </c>
      <c r="P43" s="870">
        <f t="shared" ca="1" si="33"/>
        <v>0</v>
      </c>
      <c r="Q43" s="870">
        <f t="shared" ca="1" si="33"/>
        <v>0</v>
      </c>
      <c r="R43" s="870">
        <f t="shared" ca="1" si="33"/>
        <v>0</v>
      </c>
      <c r="S43" s="870">
        <f t="shared" ca="1" si="33"/>
        <v>0</v>
      </c>
      <c r="T43" s="870">
        <f t="shared" ca="1" si="33"/>
        <v>0</v>
      </c>
      <c r="U43" s="870">
        <f t="shared" ca="1" si="33"/>
        <v>0</v>
      </c>
      <c r="V43" s="870">
        <f t="shared" ca="1" si="33"/>
        <v>0</v>
      </c>
      <c r="W43" s="870">
        <f t="shared" ca="1" si="33"/>
        <v>0</v>
      </c>
      <c r="X43" s="121">
        <f ca="1">SUM(F43:W43)</f>
        <v>20442.95</v>
      </c>
      <c r="Y43" s="118">
        <f ca="1">TRUNC(X43-D42*E43,2)</f>
        <v>0</v>
      </c>
      <c r="Z43" s="710">
        <f ca="1">+X43/D42</f>
        <v>1</v>
      </c>
    </row>
    <row r="44" spans="1:27" s="119" customFormat="1" ht="18" hidden="1" customHeight="1" thickBot="1" x14ac:dyDescent="0.2">
      <c r="A44" s="2502"/>
      <c r="B44" s="2505"/>
      <c r="C44" s="1664"/>
      <c r="D44" s="1660" t="s">
        <v>142</v>
      </c>
      <c r="E44" s="709">
        <f>1-E43</f>
        <v>0</v>
      </c>
      <c r="F44" s="869">
        <f ca="1">($D42*F42-F43)</f>
        <v>0</v>
      </c>
      <c r="G44" s="869">
        <f t="shared" ref="G44:W44" ca="1" si="34">($D42*G42-G43)</f>
        <v>0</v>
      </c>
      <c r="H44" s="869">
        <f t="shared" ca="1" si="34"/>
        <v>0</v>
      </c>
      <c r="I44" s="869">
        <f t="shared" ca="1" si="34"/>
        <v>0</v>
      </c>
      <c r="J44" s="869">
        <f t="shared" ca="1" si="34"/>
        <v>0</v>
      </c>
      <c r="K44" s="869">
        <f t="shared" ca="1" si="34"/>
        <v>0</v>
      </c>
      <c r="L44" s="869">
        <f t="shared" ca="1" si="34"/>
        <v>0</v>
      </c>
      <c r="M44" s="869">
        <f t="shared" ca="1" si="34"/>
        <v>0</v>
      </c>
      <c r="N44" s="869">
        <f t="shared" ca="1" si="34"/>
        <v>0</v>
      </c>
      <c r="O44" s="869">
        <f t="shared" ca="1" si="34"/>
        <v>0</v>
      </c>
      <c r="P44" s="869">
        <f t="shared" ca="1" si="34"/>
        <v>0</v>
      </c>
      <c r="Q44" s="869">
        <f t="shared" ca="1" si="34"/>
        <v>0</v>
      </c>
      <c r="R44" s="869">
        <f t="shared" ca="1" si="34"/>
        <v>0</v>
      </c>
      <c r="S44" s="869">
        <f t="shared" ca="1" si="34"/>
        <v>0</v>
      </c>
      <c r="T44" s="869">
        <f t="shared" ca="1" si="34"/>
        <v>0</v>
      </c>
      <c r="U44" s="869">
        <f t="shared" ca="1" si="34"/>
        <v>0</v>
      </c>
      <c r="V44" s="869">
        <f t="shared" ca="1" si="34"/>
        <v>0</v>
      </c>
      <c r="W44" s="869">
        <f t="shared" ca="1" si="34"/>
        <v>0</v>
      </c>
      <c r="X44" s="122">
        <f ca="1">SUM(F44:W44)</f>
        <v>0</v>
      </c>
      <c r="Y44" s="118">
        <f ca="1">+D42-X43-X44</f>
        <v>0</v>
      </c>
    </row>
    <row r="45" spans="1:27" s="119" customFormat="1" ht="9.9499999999999993" hidden="1" customHeight="1" x14ac:dyDescent="0.15">
      <c r="A45" s="2500">
        <f ca="1">Orçamento_Deson!B22</f>
        <v>6</v>
      </c>
      <c r="B45" s="2503" t="str">
        <f>Orçamento_Deson!C22</f>
        <v>RESTAURAÇÃO DO PAVIMENTO - RECUPERAÇÃO PRÉVIA DO PAVIMENTO</v>
      </c>
      <c r="C45" s="1663"/>
      <c r="D45" s="1659"/>
      <c r="E45" s="116"/>
      <c r="F45" s="871">
        <f t="shared" ref="F45:M45" si="35">F46</f>
        <v>0</v>
      </c>
      <c r="G45" s="871">
        <f t="shared" si="35"/>
        <v>0</v>
      </c>
      <c r="H45" s="871">
        <f t="shared" si="35"/>
        <v>0</v>
      </c>
      <c r="I45" s="871">
        <f t="shared" si="35"/>
        <v>0</v>
      </c>
      <c r="J45" s="871">
        <f t="shared" si="35"/>
        <v>0</v>
      </c>
      <c r="K45" s="871">
        <f t="shared" si="35"/>
        <v>0</v>
      </c>
      <c r="L45" s="871">
        <f t="shared" si="35"/>
        <v>0</v>
      </c>
      <c r="M45" s="871">
        <f t="shared" si="35"/>
        <v>0</v>
      </c>
      <c r="N45" s="871">
        <f>N46</f>
        <v>0</v>
      </c>
      <c r="O45" s="871">
        <f t="shared" ref="O45:W45" si="36">O46</f>
        <v>0</v>
      </c>
      <c r="P45" s="871">
        <f t="shared" si="36"/>
        <v>0</v>
      </c>
      <c r="Q45" s="871">
        <f t="shared" si="36"/>
        <v>0</v>
      </c>
      <c r="R45" s="871">
        <f t="shared" si="36"/>
        <v>0</v>
      </c>
      <c r="S45" s="871">
        <f t="shared" si="36"/>
        <v>0</v>
      </c>
      <c r="T45" s="871">
        <f t="shared" si="36"/>
        <v>0</v>
      </c>
      <c r="U45" s="871">
        <f t="shared" si="36"/>
        <v>0</v>
      </c>
      <c r="V45" s="871">
        <f t="shared" si="36"/>
        <v>0</v>
      </c>
      <c r="W45" s="871">
        <f t="shared" si="36"/>
        <v>0</v>
      </c>
      <c r="X45" s="117"/>
      <c r="Y45" s="708">
        <f>+D46-X47-X48</f>
        <v>0</v>
      </c>
    </row>
    <row r="46" spans="1:27" s="119" customFormat="1" ht="18" hidden="1" customHeight="1" x14ac:dyDescent="0.15">
      <c r="A46" s="2501"/>
      <c r="B46" s="2504"/>
      <c r="C46" s="1663" t="str">
        <f>CONCATENATE(Orçamento_Deson!H22," ",Orçamento_Deson!I22)</f>
        <v>0 M2</v>
      </c>
      <c r="D46" s="2512">
        <f>Orçamento_Deson!J22</f>
        <v>0</v>
      </c>
      <c r="E46" s="2513"/>
      <c r="F46" s="695">
        <f>Cronograma_Não_Deson!F46</f>
        <v>0</v>
      </c>
      <c r="G46" s="695">
        <f>Cronograma_Não_Deson!G46</f>
        <v>0</v>
      </c>
      <c r="H46" s="695">
        <f>Cronograma_Não_Deson!H46</f>
        <v>0</v>
      </c>
      <c r="I46" s="695">
        <f>Cronograma_Não_Deson!I46</f>
        <v>0</v>
      </c>
      <c r="J46" s="695">
        <f>Cronograma_Não_Deson!J46</f>
        <v>0</v>
      </c>
      <c r="K46" s="695">
        <f>Cronograma_Não_Deson!K46</f>
        <v>0</v>
      </c>
      <c r="L46" s="695">
        <f>Cronograma_Não_Deson!L46</f>
        <v>0</v>
      </c>
      <c r="M46" s="695">
        <f>Cronograma_Não_Deson!M46</f>
        <v>0</v>
      </c>
      <c r="N46" s="695">
        <f>Cronograma_Não_Deson!N46</f>
        <v>0</v>
      </c>
      <c r="O46" s="695">
        <f>Cronograma_Não_Deson!O46</f>
        <v>0</v>
      </c>
      <c r="P46" s="695">
        <f>Cronograma_Não_Deson!P46</f>
        <v>0</v>
      </c>
      <c r="Q46" s="695">
        <f>+Cronograma_Não_Deson!Q46</f>
        <v>0</v>
      </c>
      <c r="R46" s="695">
        <f>+Cronograma_Não_Deson!R46</f>
        <v>0</v>
      </c>
      <c r="S46" s="695">
        <f>+Cronograma_Não_Deson!S46</f>
        <v>0</v>
      </c>
      <c r="T46" s="695">
        <f>+Cronograma_Não_Deson!T46</f>
        <v>0</v>
      </c>
      <c r="U46" s="695">
        <f>+Cronograma_Não_Deson!U46</f>
        <v>0</v>
      </c>
      <c r="V46" s="695">
        <f>+Cronograma_Não_Deson!V46</f>
        <v>0</v>
      </c>
      <c r="W46" s="695">
        <f>+Cronograma_Não_Deson!W46</f>
        <v>0</v>
      </c>
      <c r="X46" s="120">
        <f>SUM(F46:W46)</f>
        <v>0</v>
      </c>
      <c r="Y46" s="586">
        <f>1-X46</f>
        <v>1</v>
      </c>
      <c r="AA46" s="711">
        <f>+COUNT(F46:W46)</f>
        <v>18</v>
      </c>
    </row>
    <row r="47" spans="1:27" s="119" customFormat="1" ht="18" hidden="1" customHeight="1" thickBot="1" x14ac:dyDescent="0.2">
      <c r="A47" s="2501"/>
      <c r="B47" s="2504"/>
      <c r="C47" s="1663"/>
      <c r="D47" s="1694" t="s">
        <v>141</v>
      </c>
      <c r="E47" s="1695">
        <f>D$92</f>
        <v>1</v>
      </c>
      <c r="F47" s="870">
        <f t="shared" ref="F47:W47" si="37">IF($D46=0,0,IF(F46=0,0,($E47*$D46*F46)+$AA$96))</f>
        <v>0</v>
      </c>
      <c r="G47" s="870">
        <f t="shared" si="37"/>
        <v>0</v>
      </c>
      <c r="H47" s="870">
        <f t="shared" si="37"/>
        <v>0</v>
      </c>
      <c r="I47" s="870">
        <f t="shared" si="37"/>
        <v>0</v>
      </c>
      <c r="J47" s="870">
        <f t="shared" si="37"/>
        <v>0</v>
      </c>
      <c r="K47" s="870">
        <f t="shared" si="37"/>
        <v>0</v>
      </c>
      <c r="L47" s="870">
        <f t="shared" si="37"/>
        <v>0</v>
      </c>
      <c r="M47" s="870">
        <f t="shared" si="37"/>
        <v>0</v>
      </c>
      <c r="N47" s="870">
        <f t="shared" si="37"/>
        <v>0</v>
      </c>
      <c r="O47" s="870">
        <f t="shared" si="37"/>
        <v>0</v>
      </c>
      <c r="P47" s="870">
        <f t="shared" si="37"/>
        <v>0</v>
      </c>
      <c r="Q47" s="870">
        <f t="shared" si="37"/>
        <v>0</v>
      </c>
      <c r="R47" s="870">
        <f t="shared" si="37"/>
        <v>0</v>
      </c>
      <c r="S47" s="870">
        <f t="shared" si="37"/>
        <v>0</v>
      </c>
      <c r="T47" s="870">
        <f t="shared" si="37"/>
        <v>0</v>
      </c>
      <c r="U47" s="870">
        <f t="shared" si="37"/>
        <v>0</v>
      </c>
      <c r="V47" s="870">
        <f t="shared" si="37"/>
        <v>0</v>
      </c>
      <c r="W47" s="870">
        <f t="shared" si="37"/>
        <v>0</v>
      </c>
      <c r="X47" s="121">
        <f>SUM(F47:W47)</f>
        <v>0</v>
      </c>
      <c r="Y47" s="118">
        <f>TRUNC(X47-D46*E47,2)</f>
        <v>0</v>
      </c>
      <c r="Z47" s="710" t="e">
        <f>+X47/D46</f>
        <v>#DIV/0!</v>
      </c>
    </row>
    <row r="48" spans="1:27" s="119" customFormat="1" ht="18" hidden="1" customHeight="1" thickBot="1" x14ac:dyDescent="0.2">
      <c r="A48" s="2502"/>
      <c r="B48" s="2505"/>
      <c r="C48" s="1664"/>
      <c r="D48" s="1660" t="s">
        <v>142</v>
      </c>
      <c r="E48" s="709">
        <f>1-E47</f>
        <v>0</v>
      </c>
      <c r="F48" s="869">
        <f>($D46*F46-F47)</f>
        <v>0</v>
      </c>
      <c r="G48" s="869">
        <f t="shared" ref="G48:W48" si="38">($D46*G46-G47)</f>
        <v>0</v>
      </c>
      <c r="H48" s="869">
        <f t="shared" si="38"/>
        <v>0</v>
      </c>
      <c r="I48" s="869">
        <f t="shared" si="38"/>
        <v>0</v>
      </c>
      <c r="J48" s="869">
        <f t="shared" si="38"/>
        <v>0</v>
      </c>
      <c r="K48" s="869">
        <f t="shared" si="38"/>
        <v>0</v>
      </c>
      <c r="L48" s="869">
        <f t="shared" si="38"/>
        <v>0</v>
      </c>
      <c r="M48" s="869">
        <f t="shared" si="38"/>
        <v>0</v>
      </c>
      <c r="N48" s="869">
        <f t="shared" si="38"/>
        <v>0</v>
      </c>
      <c r="O48" s="869">
        <f t="shared" si="38"/>
        <v>0</v>
      </c>
      <c r="P48" s="869">
        <f t="shared" si="38"/>
        <v>0</v>
      </c>
      <c r="Q48" s="869">
        <f t="shared" si="38"/>
        <v>0</v>
      </c>
      <c r="R48" s="869">
        <f t="shared" si="38"/>
        <v>0</v>
      </c>
      <c r="S48" s="869">
        <f t="shared" si="38"/>
        <v>0</v>
      </c>
      <c r="T48" s="869">
        <f t="shared" si="38"/>
        <v>0</v>
      </c>
      <c r="U48" s="869">
        <f t="shared" si="38"/>
        <v>0</v>
      </c>
      <c r="V48" s="869">
        <f t="shared" si="38"/>
        <v>0</v>
      </c>
      <c r="W48" s="869">
        <f t="shared" si="38"/>
        <v>0</v>
      </c>
      <c r="X48" s="122">
        <f>SUM(F48:W48)</f>
        <v>0</v>
      </c>
      <c r="Y48" s="118">
        <f>+D46-X47-X48</f>
        <v>0</v>
      </c>
    </row>
    <row r="49" spans="1:27" s="119" customFormat="1" ht="9.9499999999999993" hidden="1" customHeight="1" x14ac:dyDescent="0.15">
      <c r="A49" s="2500">
        <f ca="1">Orçamento_Deson!B23</f>
        <v>6</v>
      </c>
      <c r="B49" s="2503" t="str">
        <f>Orçamento_Deson!C23</f>
        <v>RESTAURAÇÃO DO PAVIMENTO - RECAPEAMENTO ASFÁLTICO</v>
      </c>
      <c r="C49" s="1663"/>
      <c r="D49" s="1659"/>
      <c r="E49" s="116"/>
      <c r="F49" s="871">
        <f t="shared" ref="F49:M49" si="39">F50</f>
        <v>0</v>
      </c>
      <c r="G49" s="871">
        <f t="shared" si="39"/>
        <v>0</v>
      </c>
      <c r="H49" s="871">
        <f t="shared" si="39"/>
        <v>0</v>
      </c>
      <c r="I49" s="871">
        <f t="shared" si="39"/>
        <v>0</v>
      </c>
      <c r="J49" s="871">
        <f t="shared" si="39"/>
        <v>0</v>
      </c>
      <c r="K49" s="871">
        <f t="shared" si="39"/>
        <v>0</v>
      </c>
      <c r="L49" s="871">
        <f t="shared" si="39"/>
        <v>0</v>
      </c>
      <c r="M49" s="871">
        <f t="shared" si="39"/>
        <v>0</v>
      </c>
      <c r="N49" s="871">
        <f>N50</f>
        <v>0</v>
      </c>
      <c r="O49" s="871">
        <f t="shared" ref="O49:W49" si="40">O50</f>
        <v>0</v>
      </c>
      <c r="P49" s="871">
        <f t="shared" si="40"/>
        <v>0</v>
      </c>
      <c r="Q49" s="871">
        <f t="shared" si="40"/>
        <v>0</v>
      </c>
      <c r="R49" s="871">
        <f t="shared" si="40"/>
        <v>0</v>
      </c>
      <c r="S49" s="871">
        <f t="shared" si="40"/>
        <v>0</v>
      </c>
      <c r="T49" s="871">
        <f t="shared" si="40"/>
        <v>0</v>
      </c>
      <c r="U49" s="871">
        <f t="shared" si="40"/>
        <v>0</v>
      </c>
      <c r="V49" s="871">
        <f t="shared" si="40"/>
        <v>0</v>
      </c>
      <c r="W49" s="871">
        <f t="shared" si="40"/>
        <v>0</v>
      </c>
      <c r="X49" s="117"/>
      <c r="Y49" s="708">
        <f>+D50-X51-X52</f>
        <v>0</v>
      </c>
    </row>
    <row r="50" spans="1:27" s="119" customFormat="1" ht="18" hidden="1" customHeight="1" x14ac:dyDescent="0.15">
      <c r="A50" s="2501"/>
      <c r="B50" s="2504"/>
      <c r="C50" s="1663" t="str">
        <f>CONCATENATE(Orçamento_Deson!H23," ",Orçamento_Deson!I23)</f>
        <v>0 M2</v>
      </c>
      <c r="D50" s="2512">
        <f>Orçamento_Deson!J23</f>
        <v>0</v>
      </c>
      <c r="E50" s="2513"/>
      <c r="F50" s="695">
        <f>Cronograma_Não_Deson!F50</f>
        <v>0</v>
      </c>
      <c r="G50" s="695">
        <f>Cronograma_Não_Deson!G50</f>
        <v>0</v>
      </c>
      <c r="H50" s="695">
        <f>Cronograma_Não_Deson!H50</f>
        <v>0</v>
      </c>
      <c r="I50" s="695">
        <f>Cronograma_Não_Deson!I50</f>
        <v>0</v>
      </c>
      <c r="J50" s="695">
        <f>Cronograma_Não_Deson!J50</f>
        <v>0</v>
      </c>
      <c r="K50" s="695">
        <f>Cronograma_Não_Deson!K50</f>
        <v>0</v>
      </c>
      <c r="L50" s="695">
        <f>Cronograma_Não_Deson!L50</f>
        <v>0</v>
      </c>
      <c r="M50" s="695">
        <f>Cronograma_Não_Deson!M50</f>
        <v>0</v>
      </c>
      <c r="N50" s="695">
        <f>Cronograma_Não_Deson!N50</f>
        <v>0</v>
      </c>
      <c r="O50" s="695">
        <f>Cronograma_Não_Deson!O50</f>
        <v>0</v>
      </c>
      <c r="P50" s="695">
        <f>Cronograma_Não_Deson!P50</f>
        <v>0</v>
      </c>
      <c r="Q50" s="695">
        <f>+Cronograma_Não_Deson!Q50</f>
        <v>0</v>
      </c>
      <c r="R50" s="695">
        <f>+Cronograma_Não_Deson!R50</f>
        <v>0</v>
      </c>
      <c r="S50" s="695">
        <f>+Cronograma_Não_Deson!S50</f>
        <v>0</v>
      </c>
      <c r="T50" s="695">
        <f>+Cronograma_Não_Deson!T50</f>
        <v>0</v>
      </c>
      <c r="U50" s="695">
        <f>+Cronograma_Não_Deson!U50</f>
        <v>0</v>
      </c>
      <c r="V50" s="695">
        <f>+Cronograma_Não_Deson!V50</f>
        <v>0</v>
      </c>
      <c r="W50" s="695">
        <f>+Cronograma_Não_Deson!W50</f>
        <v>0</v>
      </c>
      <c r="X50" s="120">
        <f>SUM(F50:W50)</f>
        <v>0</v>
      </c>
      <c r="Y50" s="586">
        <f>1-X50</f>
        <v>1</v>
      </c>
      <c r="AA50" s="711">
        <f>+COUNT(F50:W50)</f>
        <v>18</v>
      </c>
    </row>
    <row r="51" spans="1:27" s="119" customFormat="1" ht="18" hidden="1" customHeight="1" thickBot="1" x14ac:dyDescent="0.2">
      <c r="A51" s="2501"/>
      <c r="B51" s="2504"/>
      <c r="C51" s="1665">
        <f>INT(+Orçamento_Deson!H23/C52)+1</f>
        <v>1</v>
      </c>
      <c r="D51" s="1694" t="s">
        <v>141</v>
      </c>
      <c r="E51" s="1695">
        <f>D$92</f>
        <v>1</v>
      </c>
      <c r="F51" s="870">
        <f t="shared" ref="F51:W51" si="41">IF($D50=0,0,IF(F50=0,0,($E51*$D50*F50)+$AA$96))</f>
        <v>0</v>
      </c>
      <c r="G51" s="870">
        <f t="shared" si="41"/>
        <v>0</v>
      </c>
      <c r="H51" s="870">
        <f t="shared" si="41"/>
        <v>0</v>
      </c>
      <c r="I51" s="870">
        <f t="shared" si="41"/>
        <v>0</v>
      </c>
      <c r="J51" s="870">
        <f t="shared" si="41"/>
        <v>0</v>
      </c>
      <c r="K51" s="870">
        <f t="shared" si="41"/>
        <v>0</v>
      </c>
      <c r="L51" s="870">
        <f t="shared" si="41"/>
        <v>0</v>
      </c>
      <c r="M51" s="870">
        <f t="shared" si="41"/>
        <v>0</v>
      </c>
      <c r="N51" s="870">
        <f t="shared" si="41"/>
        <v>0</v>
      </c>
      <c r="O51" s="870">
        <f t="shared" si="41"/>
        <v>0</v>
      </c>
      <c r="P51" s="870">
        <f t="shared" si="41"/>
        <v>0</v>
      </c>
      <c r="Q51" s="870">
        <f t="shared" si="41"/>
        <v>0</v>
      </c>
      <c r="R51" s="870">
        <f t="shared" si="41"/>
        <v>0</v>
      </c>
      <c r="S51" s="870">
        <f t="shared" si="41"/>
        <v>0</v>
      </c>
      <c r="T51" s="870">
        <f t="shared" si="41"/>
        <v>0</v>
      </c>
      <c r="U51" s="870">
        <f t="shared" si="41"/>
        <v>0</v>
      </c>
      <c r="V51" s="870">
        <f t="shared" si="41"/>
        <v>0</v>
      </c>
      <c r="W51" s="870">
        <f t="shared" si="41"/>
        <v>0</v>
      </c>
      <c r="X51" s="121">
        <f>SUM(F51:W51)</f>
        <v>0</v>
      </c>
      <c r="Y51" s="118">
        <f>TRUNC(X51-D50*E51,2)</f>
        <v>0</v>
      </c>
      <c r="Z51" s="710" t="e">
        <f>+X51/D50</f>
        <v>#DIV/0!</v>
      </c>
    </row>
    <row r="52" spans="1:27" s="119" customFormat="1" ht="18" hidden="1" customHeight="1" thickBot="1" x14ac:dyDescent="0.2">
      <c r="A52" s="2502"/>
      <c r="B52" s="2505"/>
      <c r="C52" s="1666">
        <v>30000</v>
      </c>
      <c r="D52" s="1660" t="s">
        <v>142</v>
      </c>
      <c r="E52" s="709">
        <f>1-E51</f>
        <v>0</v>
      </c>
      <c r="F52" s="869">
        <f>($D50*F50-F51)</f>
        <v>0</v>
      </c>
      <c r="G52" s="869">
        <f t="shared" ref="G52:W52" si="42">($D50*G50-G51)</f>
        <v>0</v>
      </c>
      <c r="H52" s="869">
        <f t="shared" si="42"/>
        <v>0</v>
      </c>
      <c r="I52" s="869">
        <f t="shared" si="42"/>
        <v>0</v>
      </c>
      <c r="J52" s="869">
        <f t="shared" si="42"/>
        <v>0</v>
      </c>
      <c r="K52" s="869">
        <f t="shared" si="42"/>
        <v>0</v>
      </c>
      <c r="L52" s="869">
        <f t="shared" si="42"/>
        <v>0</v>
      </c>
      <c r="M52" s="869">
        <f t="shared" si="42"/>
        <v>0</v>
      </c>
      <c r="N52" s="869">
        <f t="shared" si="42"/>
        <v>0</v>
      </c>
      <c r="O52" s="869">
        <f t="shared" si="42"/>
        <v>0</v>
      </c>
      <c r="P52" s="869">
        <f t="shared" si="42"/>
        <v>0</v>
      </c>
      <c r="Q52" s="869">
        <f t="shared" si="42"/>
        <v>0</v>
      </c>
      <c r="R52" s="869">
        <f t="shared" si="42"/>
        <v>0</v>
      </c>
      <c r="S52" s="869">
        <f t="shared" si="42"/>
        <v>0</v>
      </c>
      <c r="T52" s="869">
        <f t="shared" si="42"/>
        <v>0</v>
      </c>
      <c r="U52" s="869">
        <f t="shared" si="42"/>
        <v>0</v>
      </c>
      <c r="V52" s="869">
        <f t="shared" si="42"/>
        <v>0</v>
      </c>
      <c r="W52" s="869">
        <f t="shared" si="42"/>
        <v>0</v>
      </c>
      <c r="X52" s="122">
        <f>SUM(F52:W52)</f>
        <v>0</v>
      </c>
      <c r="Y52" s="118">
        <f>+D50-X51-X52</f>
        <v>0</v>
      </c>
    </row>
    <row r="53" spans="1:27" s="119" customFormat="1" ht="9.9499999999999993" customHeight="1" x14ac:dyDescent="0.15">
      <c r="A53" s="2500">
        <f ca="1">Orçamento_Deson!B24</f>
        <v>7</v>
      </c>
      <c r="B53" s="2503" t="str">
        <f>Orçamento_Deson!C24</f>
        <v>IMPLANTAÇÃO ASFÁLTICA - TERRAPLENAGEM</v>
      </c>
      <c r="C53" s="1663"/>
      <c r="D53" s="1659"/>
      <c r="E53" s="116"/>
      <c r="F53" s="871">
        <f t="shared" ref="F53:M53" si="43">F54</f>
        <v>0.03</v>
      </c>
      <c r="G53" s="871">
        <f t="shared" si="43"/>
        <v>0.04</v>
      </c>
      <c r="H53" s="871">
        <f t="shared" si="43"/>
        <v>0.08</v>
      </c>
      <c r="I53" s="871">
        <f t="shared" si="43"/>
        <v>0.09</v>
      </c>
      <c r="J53" s="871">
        <f t="shared" si="43"/>
        <v>0.1</v>
      </c>
      <c r="K53" s="871">
        <f t="shared" si="43"/>
        <v>0.1</v>
      </c>
      <c r="L53" s="871">
        <f t="shared" si="43"/>
        <v>0.1</v>
      </c>
      <c r="M53" s="871">
        <f t="shared" si="43"/>
        <v>0.1</v>
      </c>
      <c r="N53" s="871">
        <f>N54</f>
        <v>0.1</v>
      </c>
      <c r="O53" s="871">
        <f t="shared" ref="O53:W53" si="44">O54</f>
        <v>0.1</v>
      </c>
      <c r="P53" s="871">
        <f t="shared" si="44"/>
        <v>0.1</v>
      </c>
      <c r="Q53" s="871">
        <f t="shared" si="44"/>
        <v>0.06</v>
      </c>
      <c r="R53" s="871">
        <f t="shared" si="44"/>
        <v>0</v>
      </c>
      <c r="S53" s="871">
        <f t="shared" si="44"/>
        <v>0</v>
      </c>
      <c r="T53" s="871">
        <f t="shared" si="44"/>
        <v>0</v>
      </c>
      <c r="U53" s="871">
        <f t="shared" si="44"/>
        <v>0</v>
      </c>
      <c r="V53" s="871">
        <f t="shared" si="44"/>
        <v>0</v>
      </c>
      <c r="W53" s="871">
        <f t="shared" si="44"/>
        <v>0</v>
      </c>
      <c r="X53" s="117"/>
      <c r="Y53" s="708">
        <f>+D54-X55-X56</f>
        <v>-5.8207660913467407E-11</v>
      </c>
    </row>
    <row r="54" spans="1:27" s="119" customFormat="1" ht="18" customHeight="1" x14ac:dyDescent="0.15">
      <c r="A54" s="2501"/>
      <c r="B54" s="2504"/>
      <c r="C54" s="1663" t="str">
        <f>CONCATENATE(Orçamento_Deson!H24," ",Orçamento_Deson!I24)</f>
        <v>11025,85 M3</v>
      </c>
      <c r="D54" s="2512">
        <f>Orçamento_Deson!J24</f>
        <v>312810.52999999997</v>
      </c>
      <c r="E54" s="2513"/>
      <c r="F54" s="695">
        <f>Cronograma_Não_Deson!F54</f>
        <v>0.03</v>
      </c>
      <c r="G54" s="695">
        <f>Cronograma_Não_Deson!G54</f>
        <v>0.04</v>
      </c>
      <c r="H54" s="695">
        <f>Cronograma_Não_Deson!H54</f>
        <v>0.08</v>
      </c>
      <c r="I54" s="695">
        <f>Cronograma_Não_Deson!I54</f>
        <v>0.09</v>
      </c>
      <c r="J54" s="695">
        <f>Cronograma_Não_Deson!J54</f>
        <v>0.1</v>
      </c>
      <c r="K54" s="695">
        <f>Cronograma_Não_Deson!K54</f>
        <v>0.1</v>
      </c>
      <c r="L54" s="695">
        <f>Cronograma_Não_Deson!L54</f>
        <v>0.1</v>
      </c>
      <c r="M54" s="695">
        <f>Cronograma_Não_Deson!M54</f>
        <v>0.1</v>
      </c>
      <c r="N54" s="695">
        <f>Cronograma_Não_Deson!N54</f>
        <v>0.1</v>
      </c>
      <c r="O54" s="695">
        <f>Cronograma_Não_Deson!O54</f>
        <v>0.1</v>
      </c>
      <c r="P54" s="695">
        <f>Cronograma_Não_Deson!P54</f>
        <v>0.1</v>
      </c>
      <c r="Q54" s="695">
        <f>+Cronograma_Não_Deson!Q54</f>
        <v>0.06</v>
      </c>
      <c r="R54" s="695">
        <f>+Cronograma_Não_Deson!R54</f>
        <v>0</v>
      </c>
      <c r="S54" s="695">
        <f>+Cronograma_Não_Deson!S54</f>
        <v>0</v>
      </c>
      <c r="T54" s="695">
        <f>+Cronograma_Não_Deson!T54</f>
        <v>0</v>
      </c>
      <c r="U54" s="695">
        <f>+Cronograma_Não_Deson!U54</f>
        <v>0</v>
      </c>
      <c r="V54" s="695">
        <f>+Cronograma_Não_Deson!V54</f>
        <v>0</v>
      </c>
      <c r="W54" s="695">
        <f>+Cronograma_Não_Deson!W54</f>
        <v>0</v>
      </c>
      <c r="X54" s="120">
        <f>SUM(F54:W54)</f>
        <v>1</v>
      </c>
      <c r="Y54" s="586">
        <f>1-X54</f>
        <v>0</v>
      </c>
      <c r="AA54" s="711">
        <f>+COUNT(F54:W54)</f>
        <v>18</v>
      </c>
    </row>
    <row r="55" spans="1:27" s="119" customFormat="1" ht="18" customHeight="1" thickBot="1" x14ac:dyDescent="0.2">
      <c r="A55" s="2501"/>
      <c r="B55" s="2504"/>
      <c r="C55" s="1665">
        <f>Orçamento_Deson!N24</f>
        <v>1</v>
      </c>
      <c r="D55" s="1694" t="s">
        <v>141</v>
      </c>
      <c r="E55" s="1695">
        <f>D$92</f>
        <v>1</v>
      </c>
      <c r="F55" s="870">
        <f t="shared" ref="F55:W55" si="45">IF($D54=0,0,IF(F54=0,0,($E55*$D54*F54)+$AA$96))</f>
        <v>9384.3158999999996</v>
      </c>
      <c r="G55" s="870">
        <f t="shared" si="45"/>
        <v>12512.421199999999</v>
      </c>
      <c r="H55" s="870">
        <f t="shared" si="45"/>
        <v>25024.842399999998</v>
      </c>
      <c r="I55" s="870">
        <f t="shared" si="45"/>
        <v>28152.947699999997</v>
      </c>
      <c r="J55" s="870">
        <f t="shared" si="45"/>
        <v>31281.053</v>
      </c>
      <c r="K55" s="870">
        <f t="shared" si="45"/>
        <v>31281.053</v>
      </c>
      <c r="L55" s="870">
        <f t="shared" si="45"/>
        <v>31281.053</v>
      </c>
      <c r="M55" s="870">
        <f t="shared" si="45"/>
        <v>31281.053</v>
      </c>
      <c r="N55" s="870">
        <f t="shared" si="45"/>
        <v>31281.053</v>
      </c>
      <c r="O55" s="870">
        <f t="shared" si="45"/>
        <v>31281.053</v>
      </c>
      <c r="P55" s="870">
        <f t="shared" si="45"/>
        <v>31281.053</v>
      </c>
      <c r="Q55" s="870">
        <f t="shared" si="45"/>
        <v>18768.631799999999</v>
      </c>
      <c r="R55" s="870">
        <f t="shared" si="45"/>
        <v>0</v>
      </c>
      <c r="S55" s="870">
        <f t="shared" si="45"/>
        <v>0</v>
      </c>
      <c r="T55" s="870">
        <f t="shared" si="45"/>
        <v>0</v>
      </c>
      <c r="U55" s="870">
        <f t="shared" si="45"/>
        <v>0</v>
      </c>
      <c r="V55" s="870">
        <f t="shared" si="45"/>
        <v>0</v>
      </c>
      <c r="W55" s="870">
        <f t="shared" si="45"/>
        <v>0</v>
      </c>
      <c r="X55" s="121">
        <f>SUM(F55:W55)</f>
        <v>312810.53000000003</v>
      </c>
      <c r="Y55" s="118">
        <f>TRUNC(X55-D54*E55,2)</f>
        <v>0</v>
      </c>
      <c r="Z55" s="710">
        <f>+X55/D54</f>
        <v>1.0000000000000002</v>
      </c>
    </row>
    <row r="56" spans="1:27" s="119" customFormat="1" ht="18" hidden="1" customHeight="1" thickBot="1" x14ac:dyDescent="0.2">
      <c r="A56" s="2502"/>
      <c r="B56" s="2505"/>
      <c r="C56" s="1664"/>
      <c r="D56" s="1660" t="s">
        <v>142</v>
      </c>
      <c r="E56" s="709">
        <f>1-E55</f>
        <v>0</v>
      </c>
      <c r="F56" s="869">
        <f>($D54*F54-F55)</f>
        <v>0</v>
      </c>
      <c r="G56" s="869">
        <f t="shared" ref="G56:W56" si="46">($D54*G54-G55)</f>
        <v>0</v>
      </c>
      <c r="H56" s="869">
        <f t="shared" si="46"/>
        <v>0</v>
      </c>
      <c r="I56" s="869">
        <f t="shared" si="46"/>
        <v>0</v>
      </c>
      <c r="J56" s="869">
        <f t="shared" si="46"/>
        <v>0</v>
      </c>
      <c r="K56" s="869">
        <f t="shared" si="46"/>
        <v>0</v>
      </c>
      <c r="L56" s="869">
        <f t="shared" si="46"/>
        <v>0</v>
      </c>
      <c r="M56" s="869">
        <f t="shared" si="46"/>
        <v>0</v>
      </c>
      <c r="N56" s="869">
        <f t="shared" si="46"/>
        <v>0</v>
      </c>
      <c r="O56" s="869">
        <f t="shared" si="46"/>
        <v>0</v>
      </c>
      <c r="P56" s="869">
        <f t="shared" si="46"/>
        <v>0</v>
      </c>
      <c r="Q56" s="869">
        <f t="shared" si="46"/>
        <v>0</v>
      </c>
      <c r="R56" s="869">
        <f t="shared" si="46"/>
        <v>0</v>
      </c>
      <c r="S56" s="869">
        <f t="shared" si="46"/>
        <v>0</v>
      </c>
      <c r="T56" s="869">
        <f t="shared" si="46"/>
        <v>0</v>
      </c>
      <c r="U56" s="869">
        <f t="shared" si="46"/>
        <v>0</v>
      </c>
      <c r="V56" s="869">
        <f t="shared" si="46"/>
        <v>0</v>
      </c>
      <c r="W56" s="869">
        <f t="shared" si="46"/>
        <v>0</v>
      </c>
      <c r="X56" s="122">
        <f>SUM(F56:W56)</f>
        <v>0</v>
      </c>
      <c r="Y56" s="118">
        <f>+D54-X55-X56</f>
        <v>-5.8207660913467407E-11</v>
      </c>
    </row>
    <row r="57" spans="1:27" s="119" customFormat="1" ht="9.9499999999999993" customHeight="1" x14ac:dyDescent="0.15">
      <c r="A57" s="2500">
        <f ca="1">Orçamento_Deson!B25</f>
        <v>8</v>
      </c>
      <c r="B57" s="2503" t="str">
        <f>Orçamento_Deson!C25</f>
        <v>IMPLANTAÇÃO ASFÁLTICA - PAVIMENTAÇÃO</v>
      </c>
      <c r="C57" s="1663"/>
      <c r="D57" s="1659"/>
      <c r="E57" s="116"/>
      <c r="F57" s="871">
        <f t="shared" ref="F57:M57" si="47">F58</f>
        <v>0.03</v>
      </c>
      <c r="G57" s="871">
        <f t="shared" si="47"/>
        <v>0.04</v>
      </c>
      <c r="H57" s="871">
        <f t="shared" si="47"/>
        <v>0.08</v>
      </c>
      <c r="I57" s="871">
        <f t="shared" si="47"/>
        <v>0.09</v>
      </c>
      <c r="J57" s="871">
        <f t="shared" si="47"/>
        <v>0.1</v>
      </c>
      <c r="K57" s="871">
        <f t="shared" si="47"/>
        <v>0.1</v>
      </c>
      <c r="L57" s="871">
        <f t="shared" si="47"/>
        <v>0.1</v>
      </c>
      <c r="M57" s="871">
        <f t="shared" si="47"/>
        <v>0.1</v>
      </c>
      <c r="N57" s="871">
        <f>N58</f>
        <v>0.1</v>
      </c>
      <c r="O57" s="871">
        <f t="shared" ref="O57:W57" si="48">O58</f>
        <v>0.1</v>
      </c>
      <c r="P57" s="871">
        <f t="shared" si="48"/>
        <v>0.1</v>
      </c>
      <c r="Q57" s="871">
        <f t="shared" si="48"/>
        <v>0.06</v>
      </c>
      <c r="R57" s="871">
        <f t="shared" si="48"/>
        <v>0</v>
      </c>
      <c r="S57" s="871">
        <f t="shared" si="48"/>
        <v>0</v>
      </c>
      <c r="T57" s="871">
        <f t="shared" si="48"/>
        <v>0</v>
      </c>
      <c r="U57" s="871">
        <f t="shared" si="48"/>
        <v>0</v>
      </c>
      <c r="V57" s="871">
        <f t="shared" si="48"/>
        <v>0</v>
      </c>
      <c r="W57" s="871">
        <f t="shared" si="48"/>
        <v>0</v>
      </c>
      <c r="X57" s="117"/>
      <c r="Y57" s="708">
        <f>+D58-X59-X60</f>
        <v>-9.3132257461547852E-10</v>
      </c>
    </row>
    <row r="58" spans="1:27" s="119" customFormat="1" ht="18" customHeight="1" x14ac:dyDescent="0.15">
      <c r="A58" s="2501"/>
      <c r="B58" s="2504"/>
      <c r="C58" s="1663" t="str">
        <f>CONCATENATE(Orçamento_Deson!H25," ",Orçamento_Deson!I25)</f>
        <v>56628,68 M2</v>
      </c>
      <c r="D58" s="2512">
        <f>Orçamento_Deson!J25</f>
        <v>7307917.4499999993</v>
      </c>
      <c r="E58" s="2513"/>
      <c r="F58" s="695">
        <f>Cronograma_Não_Deson!F58</f>
        <v>0.03</v>
      </c>
      <c r="G58" s="695">
        <f>Cronograma_Não_Deson!G58</f>
        <v>0.04</v>
      </c>
      <c r="H58" s="695">
        <f>Cronograma_Não_Deson!H58</f>
        <v>0.08</v>
      </c>
      <c r="I58" s="695">
        <f>Cronograma_Não_Deson!I58</f>
        <v>0.09</v>
      </c>
      <c r="J58" s="695">
        <f>Cronograma_Não_Deson!J58</f>
        <v>0.1</v>
      </c>
      <c r="K58" s="695">
        <f>Cronograma_Não_Deson!K58</f>
        <v>0.1</v>
      </c>
      <c r="L58" s="695">
        <f>Cronograma_Não_Deson!L58</f>
        <v>0.1</v>
      </c>
      <c r="M58" s="695">
        <f>Cronograma_Não_Deson!M58</f>
        <v>0.1</v>
      </c>
      <c r="N58" s="695">
        <f>Cronograma_Não_Deson!N58</f>
        <v>0.1</v>
      </c>
      <c r="O58" s="695">
        <f>Cronograma_Não_Deson!O58</f>
        <v>0.1</v>
      </c>
      <c r="P58" s="695">
        <f>Cronograma_Não_Deson!P58</f>
        <v>0.1</v>
      </c>
      <c r="Q58" s="695">
        <f>+Cronograma_Não_Deson!Q58</f>
        <v>0.06</v>
      </c>
      <c r="R58" s="695">
        <f>+Cronograma_Não_Deson!R58</f>
        <v>0</v>
      </c>
      <c r="S58" s="695">
        <f>+Cronograma_Não_Deson!S58</f>
        <v>0</v>
      </c>
      <c r="T58" s="695">
        <f>+Cronograma_Não_Deson!T58</f>
        <v>0</v>
      </c>
      <c r="U58" s="695">
        <f>+Cronograma_Não_Deson!U58</f>
        <v>0</v>
      </c>
      <c r="V58" s="695">
        <f>+Cronograma_Não_Deson!V58</f>
        <v>0</v>
      </c>
      <c r="W58" s="695">
        <f>+Cronograma_Não_Deson!W58</f>
        <v>0</v>
      </c>
      <c r="X58" s="120">
        <f>SUM(F58:W58)</f>
        <v>1</v>
      </c>
      <c r="Y58" s="586">
        <f>1-X58</f>
        <v>0</v>
      </c>
      <c r="AA58" s="711">
        <f>+COUNT(F58:W58)</f>
        <v>18</v>
      </c>
    </row>
    <row r="59" spans="1:27" s="119" customFormat="1" ht="18" customHeight="1" thickBot="1" x14ac:dyDescent="0.2">
      <c r="A59" s="2501"/>
      <c r="B59" s="2504"/>
      <c r="C59" s="1665">
        <f>Orçamento_Deson!N25</f>
        <v>2</v>
      </c>
      <c r="D59" s="1694" t="s">
        <v>141</v>
      </c>
      <c r="E59" s="1695">
        <f>D$92</f>
        <v>1</v>
      </c>
      <c r="F59" s="870">
        <f t="shared" ref="F59:W59" si="49">IF($D58=0,0,IF(F58=0,0,($E59*$D58*F58)+$AA$96))</f>
        <v>219237.52349999998</v>
      </c>
      <c r="G59" s="870">
        <f t="shared" si="49"/>
        <v>292316.69799999997</v>
      </c>
      <c r="H59" s="870">
        <f t="shared" si="49"/>
        <v>584633.39599999995</v>
      </c>
      <c r="I59" s="870">
        <f t="shared" si="49"/>
        <v>657712.57049999991</v>
      </c>
      <c r="J59" s="870">
        <f t="shared" si="49"/>
        <v>730791.745</v>
      </c>
      <c r="K59" s="870">
        <f t="shared" si="49"/>
        <v>730791.745</v>
      </c>
      <c r="L59" s="870">
        <f t="shared" si="49"/>
        <v>730791.745</v>
      </c>
      <c r="M59" s="870">
        <f t="shared" si="49"/>
        <v>730791.745</v>
      </c>
      <c r="N59" s="870">
        <f t="shared" si="49"/>
        <v>730791.745</v>
      </c>
      <c r="O59" s="870">
        <f t="shared" si="49"/>
        <v>730791.745</v>
      </c>
      <c r="P59" s="870">
        <f t="shared" si="49"/>
        <v>730791.745</v>
      </c>
      <c r="Q59" s="870">
        <f t="shared" si="49"/>
        <v>438475.04699999996</v>
      </c>
      <c r="R59" s="870">
        <f t="shared" si="49"/>
        <v>0</v>
      </c>
      <c r="S59" s="870">
        <f t="shared" si="49"/>
        <v>0</v>
      </c>
      <c r="T59" s="870">
        <f t="shared" si="49"/>
        <v>0</v>
      </c>
      <c r="U59" s="870">
        <f t="shared" si="49"/>
        <v>0</v>
      </c>
      <c r="V59" s="870">
        <f t="shared" si="49"/>
        <v>0</v>
      </c>
      <c r="W59" s="870">
        <f t="shared" si="49"/>
        <v>0</v>
      </c>
      <c r="X59" s="121">
        <f>SUM(F59:W59)</f>
        <v>7307917.4500000002</v>
      </c>
      <c r="Y59" s="118">
        <f>+X59-D58*E59</f>
        <v>0</v>
      </c>
      <c r="Z59" s="710">
        <f>+X59/D58</f>
        <v>1.0000000000000002</v>
      </c>
    </row>
    <row r="60" spans="1:27" s="119" customFormat="1" ht="18" hidden="1" customHeight="1" thickBot="1" x14ac:dyDescent="0.2">
      <c r="A60" s="2502"/>
      <c r="B60" s="2505"/>
      <c r="C60" s="1666">
        <v>15000</v>
      </c>
      <c r="D60" s="1660" t="s">
        <v>142</v>
      </c>
      <c r="E60" s="709">
        <f>1-E59</f>
        <v>0</v>
      </c>
      <c r="F60" s="869">
        <f>($D58*F58-F59)</f>
        <v>0</v>
      </c>
      <c r="G60" s="869">
        <f t="shared" ref="G60:W60" si="50">($D58*G58-G59)</f>
        <v>0</v>
      </c>
      <c r="H60" s="869">
        <f t="shared" si="50"/>
        <v>0</v>
      </c>
      <c r="I60" s="869">
        <f t="shared" si="50"/>
        <v>0</v>
      </c>
      <c r="J60" s="869">
        <f t="shared" si="50"/>
        <v>0</v>
      </c>
      <c r="K60" s="869">
        <f t="shared" si="50"/>
        <v>0</v>
      </c>
      <c r="L60" s="869">
        <f t="shared" si="50"/>
        <v>0</v>
      </c>
      <c r="M60" s="869">
        <f t="shared" si="50"/>
        <v>0</v>
      </c>
      <c r="N60" s="869">
        <f t="shared" si="50"/>
        <v>0</v>
      </c>
      <c r="O60" s="869">
        <f t="shared" si="50"/>
        <v>0</v>
      </c>
      <c r="P60" s="869">
        <f t="shared" si="50"/>
        <v>0</v>
      </c>
      <c r="Q60" s="869">
        <f t="shared" si="50"/>
        <v>0</v>
      </c>
      <c r="R60" s="869">
        <f t="shared" si="50"/>
        <v>0</v>
      </c>
      <c r="S60" s="869">
        <f t="shared" si="50"/>
        <v>0</v>
      </c>
      <c r="T60" s="869">
        <f t="shared" si="50"/>
        <v>0</v>
      </c>
      <c r="U60" s="869">
        <f t="shared" si="50"/>
        <v>0</v>
      </c>
      <c r="V60" s="869">
        <f t="shared" si="50"/>
        <v>0</v>
      </c>
      <c r="W60" s="869">
        <f t="shared" si="50"/>
        <v>0</v>
      </c>
      <c r="X60" s="122">
        <f>SUM(F60:W60)</f>
        <v>0</v>
      </c>
      <c r="Y60" s="118">
        <f>+X60-E60*D58</f>
        <v>0</v>
      </c>
    </row>
    <row r="61" spans="1:27" s="119" customFormat="1" ht="9.9499999999999993" customHeight="1" x14ac:dyDescent="0.15">
      <c r="A61" s="2500">
        <f ca="1">Orçamento_Deson!B26</f>
        <v>9</v>
      </c>
      <c r="B61" s="2503" t="str">
        <f>Orçamento_Deson!C26</f>
        <v>SERVIÇOS COMPLEMENTARES</v>
      </c>
      <c r="C61" s="1663"/>
      <c r="D61" s="1659"/>
      <c r="E61" s="116"/>
      <c r="F61" s="871">
        <f t="shared" ref="F61:M61" si="51">F62</f>
        <v>0</v>
      </c>
      <c r="G61" s="871">
        <f t="shared" si="51"/>
        <v>0</v>
      </c>
      <c r="H61" s="871">
        <f t="shared" si="51"/>
        <v>0</v>
      </c>
      <c r="I61" s="871">
        <f t="shared" si="51"/>
        <v>0.02</v>
      </c>
      <c r="J61" s="871">
        <f t="shared" si="51"/>
        <v>0.03</v>
      </c>
      <c r="K61" s="871">
        <f t="shared" si="51"/>
        <v>0.05</v>
      </c>
      <c r="L61" s="871">
        <f t="shared" si="51"/>
        <v>0.05</v>
      </c>
      <c r="M61" s="871">
        <f t="shared" si="51"/>
        <v>0.2</v>
      </c>
      <c r="N61" s="871">
        <f>N62</f>
        <v>0.2</v>
      </c>
      <c r="O61" s="871">
        <f t="shared" ref="O61:W61" si="52">O62</f>
        <v>0.15</v>
      </c>
      <c r="P61" s="871">
        <f t="shared" si="52"/>
        <v>0.15</v>
      </c>
      <c r="Q61" s="871">
        <f t="shared" si="52"/>
        <v>0.15</v>
      </c>
      <c r="R61" s="871">
        <f t="shared" si="52"/>
        <v>0</v>
      </c>
      <c r="S61" s="871">
        <f t="shared" si="52"/>
        <v>0</v>
      </c>
      <c r="T61" s="871">
        <f t="shared" si="52"/>
        <v>0</v>
      </c>
      <c r="U61" s="871">
        <f t="shared" si="52"/>
        <v>0</v>
      </c>
      <c r="V61" s="871">
        <f t="shared" si="52"/>
        <v>0</v>
      </c>
      <c r="W61" s="871">
        <f t="shared" si="52"/>
        <v>0</v>
      </c>
      <c r="X61" s="117"/>
      <c r="Y61" s="708">
        <f ca="1">+D62-X63-X64</f>
        <v>0</v>
      </c>
    </row>
    <row r="62" spans="1:27" s="119" customFormat="1" ht="18" customHeight="1" x14ac:dyDescent="0.15">
      <c r="A62" s="2501"/>
      <c r="B62" s="2504"/>
      <c r="C62" s="1663" t="str">
        <f ca="1">CONCATENATE(Orçamento_Deson!H26," ",Orçamento_Deson!I26)</f>
        <v>14501,96 M</v>
      </c>
      <c r="D62" s="2512">
        <f ca="1">Orçamento_Deson!J26</f>
        <v>987498.49</v>
      </c>
      <c r="E62" s="2513"/>
      <c r="F62" s="695">
        <f>Cronograma_Não_Deson!F62</f>
        <v>0</v>
      </c>
      <c r="G62" s="695">
        <f>Cronograma_Não_Deson!G62</f>
        <v>0</v>
      </c>
      <c r="H62" s="695">
        <f>Cronograma_Não_Deson!H62</f>
        <v>0</v>
      </c>
      <c r="I62" s="695">
        <f>Cronograma_Não_Deson!I62</f>
        <v>0.02</v>
      </c>
      <c r="J62" s="695">
        <f>Cronograma_Não_Deson!J62</f>
        <v>0.03</v>
      </c>
      <c r="K62" s="695">
        <f>Cronograma_Não_Deson!K62</f>
        <v>0.05</v>
      </c>
      <c r="L62" s="695">
        <f>Cronograma_Não_Deson!L62</f>
        <v>0.05</v>
      </c>
      <c r="M62" s="695">
        <f>Cronograma_Não_Deson!M62</f>
        <v>0.2</v>
      </c>
      <c r="N62" s="695">
        <f>Cronograma_Não_Deson!N62</f>
        <v>0.2</v>
      </c>
      <c r="O62" s="695">
        <f>Cronograma_Não_Deson!O62</f>
        <v>0.15</v>
      </c>
      <c r="P62" s="695">
        <f>Cronograma_Não_Deson!P62</f>
        <v>0.15</v>
      </c>
      <c r="Q62" s="695">
        <f>+Cronograma_Não_Deson!Q62</f>
        <v>0.15</v>
      </c>
      <c r="R62" s="695">
        <f>+Cronograma_Não_Deson!R62</f>
        <v>0</v>
      </c>
      <c r="S62" s="695">
        <f>+Cronograma_Não_Deson!S62</f>
        <v>0</v>
      </c>
      <c r="T62" s="695">
        <f>+Cronograma_Não_Deson!T62</f>
        <v>0</v>
      </c>
      <c r="U62" s="695">
        <f>+Cronograma_Não_Deson!U62</f>
        <v>0</v>
      </c>
      <c r="V62" s="695">
        <f>+Cronograma_Não_Deson!V62</f>
        <v>0</v>
      </c>
      <c r="W62" s="695">
        <f>+Cronograma_Não_Deson!W62</f>
        <v>0</v>
      </c>
      <c r="X62" s="120">
        <f>SUM(F62:W62)</f>
        <v>1</v>
      </c>
      <c r="Y62" s="586">
        <f>1-X62</f>
        <v>0</v>
      </c>
      <c r="AA62" s="711">
        <f>+COUNT(F62:W62)</f>
        <v>18</v>
      </c>
    </row>
    <row r="63" spans="1:27" s="119" customFormat="1" ht="18" customHeight="1" thickBot="1" x14ac:dyDescent="0.2">
      <c r="A63" s="2501"/>
      <c r="B63" s="2504"/>
      <c r="C63" s="1665">
        <f ca="1">ROUND(SUM(Orçamento_Deson!O720:O726)/240,1)</f>
        <v>5.2</v>
      </c>
      <c r="D63" s="1694" t="s">
        <v>141</v>
      </c>
      <c r="E63" s="1695">
        <f>D$92</f>
        <v>1</v>
      </c>
      <c r="F63" s="870">
        <f t="shared" ref="F63:W63" ca="1" si="53">IF($D62=0,0,IF(F62=0,0,($E63*$D62*F62)+$AA$96))</f>
        <v>0</v>
      </c>
      <c r="G63" s="870">
        <f t="shared" ca="1" si="53"/>
        <v>0</v>
      </c>
      <c r="H63" s="870">
        <f t="shared" ca="1" si="53"/>
        <v>0</v>
      </c>
      <c r="I63" s="870">
        <f t="shared" ca="1" si="53"/>
        <v>19749.969799999999</v>
      </c>
      <c r="J63" s="870">
        <f t="shared" ca="1" si="53"/>
        <v>29624.954699999998</v>
      </c>
      <c r="K63" s="870">
        <f t="shared" ca="1" si="53"/>
        <v>49374.924500000001</v>
      </c>
      <c r="L63" s="870">
        <f t="shared" ca="1" si="53"/>
        <v>49374.924500000001</v>
      </c>
      <c r="M63" s="870">
        <f t="shared" ca="1" si="53"/>
        <v>197499.698</v>
      </c>
      <c r="N63" s="870">
        <f t="shared" ca="1" si="53"/>
        <v>197499.698</v>
      </c>
      <c r="O63" s="870">
        <f t="shared" ca="1" si="53"/>
        <v>148124.77349999998</v>
      </c>
      <c r="P63" s="870">
        <f t="shared" ca="1" si="53"/>
        <v>148124.77349999998</v>
      </c>
      <c r="Q63" s="870">
        <f t="shared" ca="1" si="53"/>
        <v>148124.77349999998</v>
      </c>
      <c r="R63" s="870">
        <f t="shared" ca="1" si="53"/>
        <v>0</v>
      </c>
      <c r="S63" s="870">
        <f t="shared" ca="1" si="53"/>
        <v>0</v>
      </c>
      <c r="T63" s="870">
        <f t="shared" ca="1" si="53"/>
        <v>0</v>
      </c>
      <c r="U63" s="870">
        <f t="shared" ca="1" si="53"/>
        <v>0</v>
      </c>
      <c r="V63" s="870">
        <f t="shared" ca="1" si="53"/>
        <v>0</v>
      </c>
      <c r="W63" s="870">
        <f t="shared" ca="1" si="53"/>
        <v>0</v>
      </c>
      <c r="X63" s="121">
        <f ca="1">SUM(F63:W63)</f>
        <v>987498.49</v>
      </c>
      <c r="Y63" s="118">
        <f ca="1">TRUNC(X63-D62*E63,2)</f>
        <v>0</v>
      </c>
      <c r="Z63" s="710">
        <f ca="1">+X63/D62</f>
        <v>1</v>
      </c>
    </row>
    <row r="64" spans="1:27" s="119" customFormat="1" ht="18" hidden="1" customHeight="1" thickBot="1" x14ac:dyDescent="0.2">
      <c r="A64" s="2502"/>
      <c r="B64" s="2505"/>
      <c r="C64" s="1664"/>
      <c r="D64" s="1660" t="s">
        <v>142</v>
      </c>
      <c r="E64" s="709">
        <f>1-E63</f>
        <v>0</v>
      </c>
      <c r="F64" s="869">
        <f ca="1">($D62*F62-F63)</f>
        <v>0</v>
      </c>
      <c r="G64" s="869">
        <f t="shared" ref="G64:W64" ca="1" si="54">($D62*G62-G63)</f>
        <v>0</v>
      </c>
      <c r="H64" s="869">
        <f t="shared" ca="1" si="54"/>
        <v>0</v>
      </c>
      <c r="I64" s="869">
        <f t="shared" ca="1" si="54"/>
        <v>0</v>
      </c>
      <c r="J64" s="869">
        <f t="shared" ca="1" si="54"/>
        <v>0</v>
      </c>
      <c r="K64" s="869">
        <f t="shared" ca="1" si="54"/>
        <v>0</v>
      </c>
      <c r="L64" s="869">
        <f t="shared" ca="1" si="54"/>
        <v>0</v>
      </c>
      <c r="M64" s="869">
        <f t="shared" ca="1" si="54"/>
        <v>0</v>
      </c>
      <c r="N64" s="869">
        <f t="shared" ca="1" si="54"/>
        <v>0</v>
      </c>
      <c r="O64" s="869">
        <f t="shared" ca="1" si="54"/>
        <v>0</v>
      </c>
      <c r="P64" s="869">
        <f t="shared" ca="1" si="54"/>
        <v>0</v>
      </c>
      <c r="Q64" s="869">
        <f t="shared" ca="1" si="54"/>
        <v>0</v>
      </c>
      <c r="R64" s="869">
        <f t="shared" ca="1" si="54"/>
        <v>0</v>
      </c>
      <c r="S64" s="869">
        <f t="shared" ca="1" si="54"/>
        <v>0</v>
      </c>
      <c r="T64" s="869">
        <f t="shared" ca="1" si="54"/>
        <v>0</v>
      </c>
      <c r="U64" s="869">
        <f t="shared" ca="1" si="54"/>
        <v>0</v>
      </c>
      <c r="V64" s="869">
        <f t="shared" ca="1" si="54"/>
        <v>0</v>
      </c>
      <c r="W64" s="869">
        <f t="shared" ca="1" si="54"/>
        <v>0</v>
      </c>
      <c r="X64" s="122">
        <f ca="1">SUM(F64:W64)</f>
        <v>0</v>
      </c>
      <c r="Y64" s="118">
        <f ca="1">+D62-X63-X64</f>
        <v>0</v>
      </c>
    </row>
    <row r="65" spans="1:27" s="119" customFormat="1" ht="9.9499999999999993" customHeight="1" x14ac:dyDescent="0.15">
      <c r="A65" s="2500">
        <f ca="1">Orçamento_Deson!B27</f>
        <v>10</v>
      </c>
      <c r="B65" s="2503" t="str">
        <f>Orçamento_Deson!C27</f>
        <v>PASSEIO COM ACESSIBILIDADE</v>
      </c>
      <c r="C65" s="1663"/>
      <c r="D65" s="1659"/>
      <c r="E65" s="116"/>
      <c r="F65" s="871">
        <f t="shared" ref="F65:M65" si="55">F66</f>
        <v>0</v>
      </c>
      <c r="G65" s="871">
        <f t="shared" si="55"/>
        <v>0</v>
      </c>
      <c r="H65" s="871">
        <f t="shared" si="55"/>
        <v>0</v>
      </c>
      <c r="I65" s="871">
        <f t="shared" si="55"/>
        <v>0.02</v>
      </c>
      <c r="J65" s="871">
        <f t="shared" si="55"/>
        <v>0.03</v>
      </c>
      <c r="K65" s="871">
        <f t="shared" si="55"/>
        <v>0.05</v>
      </c>
      <c r="L65" s="871">
        <f t="shared" si="55"/>
        <v>0.05</v>
      </c>
      <c r="M65" s="871">
        <f t="shared" si="55"/>
        <v>0.2</v>
      </c>
      <c r="N65" s="871">
        <f>N66</f>
        <v>0.2</v>
      </c>
      <c r="O65" s="871">
        <f t="shared" ref="O65:W65" si="56">O66</f>
        <v>0.15</v>
      </c>
      <c r="P65" s="871">
        <f t="shared" si="56"/>
        <v>0.15</v>
      </c>
      <c r="Q65" s="871">
        <f t="shared" si="56"/>
        <v>0.15</v>
      </c>
      <c r="R65" s="871">
        <f t="shared" si="56"/>
        <v>0</v>
      </c>
      <c r="S65" s="871">
        <f t="shared" si="56"/>
        <v>0</v>
      </c>
      <c r="T65" s="871">
        <f t="shared" si="56"/>
        <v>0</v>
      </c>
      <c r="U65" s="871">
        <f t="shared" si="56"/>
        <v>0</v>
      </c>
      <c r="V65" s="871">
        <f t="shared" si="56"/>
        <v>0</v>
      </c>
      <c r="W65" s="871">
        <f t="shared" si="56"/>
        <v>0</v>
      </c>
      <c r="X65" s="117"/>
      <c r="Y65" s="708">
        <f>+D66-X67-X68</f>
        <v>0</v>
      </c>
    </row>
    <row r="66" spans="1:27" s="119" customFormat="1" ht="18" customHeight="1" x14ac:dyDescent="0.15">
      <c r="A66" s="2501"/>
      <c r="B66" s="2504"/>
      <c r="C66" s="1663" t="str">
        <f>CONCATENATE(Orçamento_Deson!H27," ",Orçamento_Deson!I27)</f>
        <v>15489,17 M2</v>
      </c>
      <c r="D66" s="2512">
        <f>Orçamento_Deson!J27</f>
        <v>1100122.74</v>
      </c>
      <c r="E66" s="2513"/>
      <c r="F66" s="695">
        <f>Cronograma_Não_Deson!F66</f>
        <v>0</v>
      </c>
      <c r="G66" s="695">
        <f>Cronograma_Não_Deson!G66</f>
        <v>0</v>
      </c>
      <c r="H66" s="695">
        <f>Cronograma_Não_Deson!H66</f>
        <v>0</v>
      </c>
      <c r="I66" s="695">
        <f>Cronograma_Não_Deson!I66</f>
        <v>0.02</v>
      </c>
      <c r="J66" s="695">
        <f>Cronograma_Não_Deson!J66</f>
        <v>0.03</v>
      </c>
      <c r="K66" s="695">
        <f>Cronograma_Não_Deson!K66</f>
        <v>0.05</v>
      </c>
      <c r="L66" s="695">
        <f>Cronograma_Não_Deson!L66</f>
        <v>0.05</v>
      </c>
      <c r="M66" s="695">
        <f>Cronograma_Não_Deson!M66</f>
        <v>0.2</v>
      </c>
      <c r="N66" s="695">
        <f>Cronograma_Não_Deson!N66</f>
        <v>0.2</v>
      </c>
      <c r="O66" s="695">
        <f>Cronograma_Não_Deson!O66</f>
        <v>0.15</v>
      </c>
      <c r="P66" s="695">
        <f>Cronograma_Não_Deson!P66</f>
        <v>0.15</v>
      </c>
      <c r="Q66" s="695">
        <f>+Cronograma_Não_Deson!Q66</f>
        <v>0.15</v>
      </c>
      <c r="R66" s="695">
        <f>+Cronograma_Não_Deson!R66</f>
        <v>0</v>
      </c>
      <c r="S66" s="695">
        <f>+Cronograma_Não_Deson!S66</f>
        <v>0</v>
      </c>
      <c r="T66" s="695">
        <f>+Cronograma_Não_Deson!T66</f>
        <v>0</v>
      </c>
      <c r="U66" s="695">
        <f>+Cronograma_Não_Deson!U66</f>
        <v>0</v>
      </c>
      <c r="V66" s="695">
        <f>+Cronograma_Não_Deson!V66</f>
        <v>0</v>
      </c>
      <c r="W66" s="695">
        <f>+Cronograma_Não_Deson!W66</f>
        <v>0</v>
      </c>
      <c r="X66" s="120">
        <f>SUM(F66:W66)</f>
        <v>1</v>
      </c>
      <c r="Y66" s="586">
        <f>1-X66</f>
        <v>0</v>
      </c>
      <c r="AA66" s="711">
        <f>+COUNT(F66:W66)</f>
        <v>18</v>
      </c>
    </row>
    <row r="67" spans="1:27" s="119" customFormat="1" ht="18" customHeight="1" thickBot="1" x14ac:dyDescent="0.2">
      <c r="A67" s="2501"/>
      <c r="B67" s="2504"/>
      <c r="C67" s="1665" t="e">
        <f>Orçamento_Deson!N27</f>
        <v>#DIV/0!</v>
      </c>
      <c r="D67" s="1694" t="s">
        <v>141</v>
      </c>
      <c r="E67" s="1695">
        <f>D$92</f>
        <v>1</v>
      </c>
      <c r="F67" s="870">
        <f t="shared" ref="F67:W67" si="57">IF($D66=0,0,IF(F66=0,0,($E67*$D66*F66)+$AA$96))</f>
        <v>0</v>
      </c>
      <c r="G67" s="870">
        <f t="shared" si="57"/>
        <v>0</v>
      </c>
      <c r="H67" s="870">
        <f t="shared" si="57"/>
        <v>0</v>
      </c>
      <c r="I67" s="870">
        <f t="shared" si="57"/>
        <v>22002.4548</v>
      </c>
      <c r="J67" s="870">
        <f t="shared" si="57"/>
        <v>33003.682199999996</v>
      </c>
      <c r="K67" s="870">
        <f t="shared" si="57"/>
        <v>55006.137000000002</v>
      </c>
      <c r="L67" s="870">
        <f t="shared" si="57"/>
        <v>55006.137000000002</v>
      </c>
      <c r="M67" s="870">
        <f t="shared" si="57"/>
        <v>220024.54800000001</v>
      </c>
      <c r="N67" s="870">
        <f t="shared" si="57"/>
        <v>220024.54800000001</v>
      </c>
      <c r="O67" s="870">
        <f t="shared" si="57"/>
        <v>165018.41099999999</v>
      </c>
      <c r="P67" s="870">
        <f t="shared" si="57"/>
        <v>165018.41099999999</v>
      </c>
      <c r="Q67" s="870">
        <f t="shared" si="57"/>
        <v>165018.41099999999</v>
      </c>
      <c r="R67" s="870">
        <f t="shared" si="57"/>
        <v>0</v>
      </c>
      <c r="S67" s="870">
        <f t="shared" si="57"/>
        <v>0</v>
      </c>
      <c r="T67" s="870">
        <f t="shared" si="57"/>
        <v>0</v>
      </c>
      <c r="U67" s="870">
        <f t="shared" si="57"/>
        <v>0</v>
      </c>
      <c r="V67" s="870">
        <f t="shared" si="57"/>
        <v>0</v>
      </c>
      <c r="W67" s="870">
        <f t="shared" si="57"/>
        <v>0</v>
      </c>
      <c r="X67" s="121">
        <f>SUM(F67:W67)</f>
        <v>1100122.74</v>
      </c>
      <c r="Y67" s="118">
        <f>TRUNC(X67-D66*E67,2)</f>
        <v>0</v>
      </c>
      <c r="Z67" s="710">
        <f>+X67/D66</f>
        <v>1</v>
      </c>
    </row>
    <row r="68" spans="1:27" s="119" customFormat="1" ht="18" hidden="1" customHeight="1" thickBot="1" x14ac:dyDescent="0.2">
      <c r="A68" s="2502"/>
      <c r="B68" s="2505"/>
      <c r="C68" s="1664"/>
      <c r="D68" s="1660" t="s">
        <v>142</v>
      </c>
      <c r="E68" s="709">
        <f>1-E67</f>
        <v>0</v>
      </c>
      <c r="F68" s="869">
        <f>($D66*F66-F67)</f>
        <v>0</v>
      </c>
      <c r="G68" s="869">
        <f t="shared" ref="G68:W68" si="58">($D66*G66-G67)</f>
        <v>0</v>
      </c>
      <c r="H68" s="869">
        <f t="shared" si="58"/>
        <v>0</v>
      </c>
      <c r="I68" s="869">
        <f t="shared" si="58"/>
        <v>0</v>
      </c>
      <c r="J68" s="869">
        <f t="shared" si="58"/>
        <v>0</v>
      </c>
      <c r="K68" s="869">
        <f t="shared" si="58"/>
        <v>0</v>
      </c>
      <c r="L68" s="869">
        <f t="shared" si="58"/>
        <v>0</v>
      </c>
      <c r="M68" s="869">
        <f t="shared" si="58"/>
        <v>0</v>
      </c>
      <c r="N68" s="869">
        <f t="shared" si="58"/>
        <v>0</v>
      </c>
      <c r="O68" s="869">
        <f t="shared" si="58"/>
        <v>0</v>
      </c>
      <c r="P68" s="869">
        <f t="shared" si="58"/>
        <v>0</v>
      </c>
      <c r="Q68" s="869">
        <f t="shared" si="58"/>
        <v>0</v>
      </c>
      <c r="R68" s="869">
        <f t="shared" si="58"/>
        <v>0</v>
      </c>
      <c r="S68" s="869">
        <f t="shared" si="58"/>
        <v>0</v>
      </c>
      <c r="T68" s="869">
        <f t="shared" si="58"/>
        <v>0</v>
      </c>
      <c r="U68" s="869">
        <f t="shared" si="58"/>
        <v>0</v>
      </c>
      <c r="V68" s="869">
        <f t="shared" si="58"/>
        <v>0</v>
      </c>
      <c r="W68" s="869">
        <f t="shared" si="58"/>
        <v>0</v>
      </c>
      <c r="X68" s="122">
        <f>SUM(F68:W68)</f>
        <v>0</v>
      </c>
      <c r="Y68" s="118">
        <f>+D66-X67-X68</f>
        <v>0</v>
      </c>
    </row>
    <row r="69" spans="1:27" s="119" customFormat="1" ht="9.9499999999999993" hidden="1" customHeight="1" x14ac:dyDescent="0.15">
      <c r="A69" s="2500">
        <f ca="1">Orçamento_Deson!B28</f>
        <v>10</v>
      </c>
      <c r="B69" s="2503" t="str">
        <f>Orçamento_Deson!C28</f>
        <v>PARADA DE ÔNIBUS - PAVIMENTO RÍGIDO E PLATAFORMA</v>
      </c>
      <c r="C69" s="1663"/>
      <c r="D69" s="1659"/>
      <c r="E69" s="116"/>
      <c r="F69" s="871">
        <f t="shared" ref="F69:M69" si="59">F70</f>
        <v>0</v>
      </c>
      <c r="G69" s="871">
        <f t="shared" si="59"/>
        <v>0</v>
      </c>
      <c r="H69" s="871">
        <f t="shared" si="59"/>
        <v>0</v>
      </c>
      <c r="I69" s="871">
        <f t="shared" si="59"/>
        <v>0</v>
      </c>
      <c r="J69" s="871">
        <f t="shared" si="59"/>
        <v>0</v>
      </c>
      <c r="K69" s="871">
        <f t="shared" si="59"/>
        <v>0</v>
      </c>
      <c r="L69" s="871">
        <f t="shared" si="59"/>
        <v>0</v>
      </c>
      <c r="M69" s="871">
        <f t="shared" si="59"/>
        <v>0</v>
      </c>
      <c r="N69" s="871">
        <f>N70</f>
        <v>0</v>
      </c>
      <c r="O69" s="871">
        <f t="shared" ref="O69:W69" si="60">O70</f>
        <v>0</v>
      </c>
      <c r="P69" s="871">
        <f t="shared" si="60"/>
        <v>0</v>
      </c>
      <c r="Q69" s="871">
        <f t="shared" si="60"/>
        <v>0</v>
      </c>
      <c r="R69" s="871">
        <f t="shared" si="60"/>
        <v>0</v>
      </c>
      <c r="S69" s="871">
        <f t="shared" si="60"/>
        <v>0</v>
      </c>
      <c r="T69" s="871">
        <f t="shared" si="60"/>
        <v>0</v>
      </c>
      <c r="U69" s="871">
        <f t="shared" si="60"/>
        <v>0</v>
      </c>
      <c r="V69" s="871">
        <f t="shared" si="60"/>
        <v>0</v>
      </c>
      <c r="W69" s="871">
        <f t="shared" si="60"/>
        <v>0</v>
      </c>
      <c r="X69" s="117"/>
      <c r="Y69" s="708">
        <f>+D70-X71-X72</f>
        <v>0</v>
      </c>
    </row>
    <row r="70" spans="1:27" s="119" customFormat="1" ht="18" hidden="1" customHeight="1" x14ac:dyDescent="0.15">
      <c r="A70" s="2501"/>
      <c r="B70" s="2504"/>
      <c r="C70" s="1663" t="str">
        <f>CONCATENATE(Orçamento_Deson!H28," ",Orçamento_Deson!I28)</f>
        <v xml:space="preserve">0 UN </v>
      </c>
      <c r="D70" s="2512">
        <f>Orçamento_Deson!J28</f>
        <v>0</v>
      </c>
      <c r="E70" s="2513"/>
      <c r="F70" s="695">
        <f>Cronograma_Não_Deson!F70</f>
        <v>0</v>
      </c>
      <c r="G70" s="695">
        <f>Cronograma_Não_Deson!G70</f>
        <v>0</v>
      </c>
      <c r="H70" s="695">
        <f>Cronograma_Não_Deson!H70</f>
        <v>0</v>
      </c>
      <c r="I70" s="695">
        <f>Cronograma_Não_Deson!I70</f>
        <v>0</v>
      </c>
      <c r="J70" s="695">
        <f>Cronograma_Não_Deson!J70</f>
        <v>0</v>
      </c>
      <c r="K70" s="695">
        <f>Cronograma_Não_Deson!K70</f>
        <v>0</v>
      </c>
      <c r="L70" s="695">
        <f>Cronograma_Não_Deson!L70</f>
        <v>0</v>
      </c>
      <c r="M70" s="695">
        <f>Cronograma_Não_Deson!M70</f>
        <v>0</v>
      </c>
      <c r="N70" s="695">
        <f>Cronograma_Não_Deson!N70</f>
        <v>0</v>
      </c>
      <c r="O70" s="695">
        <f>Cronograma_Não_Deson!O70</f>
        <v>0</v>
      </c>
      <c r="P70" s="695">
        <f>Cronograma_Não_Deson!P70</f>
        <v>0</v>
      </c>
      <c r="Q70" s="695">
        <f>+Cronograma_Não_Deson!Q70</f>
        <v>0</v>
      </c>
      <c r="R70" s="695">
        <f>+Cronograma_Não_Deson!R70</f>
        <v>0</v>
      </c>
      <c r="S70" s="695">
        <f>+Cronograma_Não_Deson!S70</f>
        <v>0</v>
      </c>
      <c r="T70" s="695">
        <f>+Cronograma_Não_Deson!T70</f>
        <v>0</v>
      </c>
      <c r="U70" s="695">
        <f>+Cronograma_Não_Deson!U70</f>
        <v>0</v>
      </c>
      <c r="V70" s="695">
        <f>+Cronograma_Não_Deson!V70</f>
        <v>0</v>
      </c>
      <c r="W70" s="695">
        <f>+Cronograma_Não_Deson!W70</f>
        <v>0</v>
      </c>
      <c r="X70" s="120">
        <f>SUM(F70:W70)</f>
        <v>0</v>
      </c>
      <c r="Y70" s="586">
        <f>1-X70</f>
        <v>1</v>
      </c>
      <c r="AA70" s="711">
        <f>+COUNT(F70:W70)</f>
        <v>18</v>
      </c>
    </row>
    <row r="71" spans="1:27" s="119" customFormat="1" ht="18" hidden="1" customHeight="1" thickBot="1" x14ac:dyDescent="0.2">
      <c r="A71" s="2501"/>
      <c r="B71" s="2504"/>
      <c r="C71" s="1665" t="e">
        <f>INT(SUM(Orçamento_Deson!O797:O808)/240)+1</f>
        <v>#VALUE!</v>
      </c>
      <c r="D71" s="1694" t="s">
        <v>141</v>
      </c>
      <c r="E71" s="1695">
        <f>D$92</f>
        <v>1</v>
      </c>
      <c r="F71" s="870">
        <f>IF($D70=0,0,IF(F70=0,0,($E71*$D70*F70)+$AA$96))</f>
        <v>0</v>
      </c>
      <c r="G71" s="870">
        <f t="shared" ref="G71:W71" si="61">IF($D70=0,0,IF(G70=0,0,($E71*$D70*G70)+$AA$96))</f>
        <v>0</v>
      </c>
      <c r="H71" s="870">
        <f t="shared" si="61"/>
        <v>0</v>
      </c>
      <c r="I71" s="870">
        <f t="shared" si="61"/>
        <v>0</v>
      </c>
      <c r="J71" s="870">
        <f t="shared" si="61"/>
        <v>0</v>
      </c>
      <c r="K71" s="870">
        <f t="shared" si="61"/>
        <v>0</v>
      </c>
      <c r="L71" s="870">
        <f t="shared" si="61"/>
        <v>0</v>
      </c>
      <c r="M71" s="870">
        <f t="shared" si="61"/>
        <v>0</v>
      </c>
      <c r="N71" s="870">
        <f t="shared" si="61"/>
        <v>0</v>
      </c>
      <c r="O71" s="870">
        <f t="shared" si="61"/>
        <v>0</v>
      </c>
      <c r="P71" s="870">
        <f t="shared" si="61"/>
        <v>0</v>
      </c>
      <c r="Q71" s="870">
        <f t="shared" si="61"/>
        <v>0</v>
      </c>
      <c r="R71" s="870">
        <f t="shared" si="61"/>
        <v>0</v>
      </c>
      <c r="S71" s="870">
        <f t="shared" si="61"/>
        <v>0</v>
      </c>
      <c r="T71" s="870">
        <f t="shared" si="61"/>
        <v>0</v>
      </c>
      <c r="U71" s="870">
        <f t="shared" si="61"/>
        <v>0</v>
      </c>
      <c r="V71" s="870">
        <f t="shared" si="61"/>
        <v>0</v>
      </c>
      <c r="W71" s="870">
        <f t="shared" si="61"/>
        <v>0</v>
      </c>
      <c r="X71" s="121">
        <f>SUM(F71:W71)</f>
        <v>0</v>
      </c>
      <c r="Y71" s="118">
        <f>+X71-D70*E71</f>
        <v>0</v>
      </c>
      <c r="Z71" s="710" t="e">
        <f>+X71/D70</f>
        <v>#DIV/0!</v>
      </c>
    </row>
    <row r="72" spans="1:27" s="119" customFormat="1" ht="18" hidden="1" customHeight="1" thickBot="1" x14ac:dyDescent="0.2">
      <c r="A72" s="2502"/>
      <c r="B72" s="2505"/>
      <c r="C72" s="1664"/>
      <c r="D72" s="1660" t="s">
        <v>142</v>
      </c>
      <c r="E72" s="709">
        <f>1-E71</f>
        <v>0</v>
      </c>
      <c r="F72" s="869">
        <f>($D70*F70-F71)</f>
        <v>0</v>
      </c>
      <c r="G72" s="869">
        <f t="shared" ref="G72:W72" si="62">($D70*G70-G71)</f>
        <v>0</v>
      </c>
      <c r="H72" s="869">
        <f t="shared" si="62"/>
        <v>0</v>
      </c>
      <c r="I72" s="869">
        <f t="shared" si="62"/>
        <v>0</v>
      </c>
      <c r="J72" s="869">
        <f t="shared" si="62"/>
        <v>0</v>
      </c>
      <c r="K72" s="869">
        <f t="shared" si="62"/>
        <v>0</v>
      </c>
      <c r="L72" s="869">
        <f t="shared" si="62"/>
        <v>0</v>
      </c>
      <c r="M72" s="869">
        <f t="shared" si="62"/>
        <v>0</v>
      </c>
      <c r="N72" s="869">
        <f t="shared" si="62"/>
        <v>0</v>
      </c>
      <c r="O72" s="869">
        <f t="shared" si="62"/>
        <v>0</v>
      </c>
      <c r="P72" s="869">
        <f t="shared" si="62"/>
        <v>0</v>
      </c>
      <c r="Q72" s="869">
        <f t="shared" si="62"/>
        <v>0</v>
      </c>
      <c r="R72" s="869">
        <f t="shared" si="62"/>
        <v>0</v>
      </c>
      <c r="S72" s="869">
        <f t="shared" si="62"/>
        <v>0</v>
      </c>
      <c r="T72" s="869">
        <f t="shared" si="62"/>
        <v>0</v>
      </c>
      <c r="U72" s="869">
        <f t="shared" si="62"/>
        <v>0</v>
      </c>
      <c r="V72" s="869">
        <f t="shared" si="62"/>
        <v>0</v>
      </c>
      <c r="W72" s="869">
        <f t="shared" si="62"/>
        <v>0</v>
      </c>
      <c r="X72" s="122">
        <f>SUM(F72:W72)</f>
        <v>0</v>
      </c>
      <c r="Y72" s="118">
        <f>+X72-E72*D70</f>
        <v>0</v>
      </c>
    </row>
    <row r="73" spans="1:27" s="119" customFormat="1" ht="9.9499999999999993" hidden="1" customHeight="1" x14ac:dyDescent="0.15">
      <c r="A73" s="2500">
        <f ca="1">Orçamento_Deson!B29</f>
        <v>10</v>
      </c>
      <c r="B73" s="2503" t="str">
        <f>Orçamento_Deson!C29</f>
        <v>IMPLANTAÇÃO / ADEQUAÇÃO GEOMÉTRICA DE CICLOVIA</v>
      </c>
      <c r="C73" s="1663"/>
      <c r="D73" s="1659"/>
      <c r="E73" s="116"/>
      <c r="F73" s="871">
        <f t="shared" ref="F73:M73" si="63">F74</f>
        <v>0</v>
      </c>
      <c r="G73" s="871">
        <f t="shared" si="63"/>
        <v>0</v>
      </c>
      <c r="H73" s="871">
        <f t="shared" si="63"/>
        <v>0</v>
      </c>
      <c r="I73" s="871">
        <f t="shared" si="63"/>
        <v>0</v>
      </c>
      <c r="J73" s="871">
        <f t="shared" si="63"/>
        <v>0</v>
      </c>
      <c r="K73" s="871">
        <f t="shared" si="63"/>
        <v>0</v>
      </c>
      <c r="L73" s="871">
        <f t="shared" si="63"/>
        <v>0</v>
      </c>
      <c r="M73" s="871">
        <f t="shared" si="63"/>
        <v>0</v>
      </c>
      <c r="N73" s="871">
        <f>N74</f>
        <v>0</v>
      </c>
      <c r="O73" s="871">
        <f t="shared" ref="O73:W73" si="64">O74</f>
        <v>0</v>
      </c>
      <c r="P73" s="871">
        <f t="shared" si="64"/>
        <v>0</v>
      </c>
      <c r="Q73" s="871">
        <f t="shared" si="64"/>
        <v>0</v>
      </c>
      <c r="R73" s="871">
        <f t="shared" si="64"/>
        <v>0</v>
      </c>
      <c r="S73" s="871">
        <f t="shared" si="64"/>
        <v>0</v>
      </c>
      <c r="T73" s="871">
        <f t="shared" si="64"/>
        <v>0</v>
      </c>
      <c r="U73" s="871">
        <f t="shared" si="64"/>
        <v>0</v>
      </c>
      <c r="V73" s="871">
        <f t="shared" si="64"/>
        <v>0</v>
      </c>
      <c r="W73" s="871">
        <f t="shared" si="64"/>
        <v>0</v>
      </c>
      <c r="X73" s="117"/>
      <c r="Y73" s="708">
        <f>+D74-X75-X76</f>
        <v>0</v>
      </c>
    </row>
    <row r="74" spans="1:27" s="119" customFormat="1" ht="18" hidden="1" customHeight="1" x14ac:dyDescent="0.15">
      <c r="A74" s="2501"/>
      <c r="B74" s="2504"/>
      <c r="C74" s="1663" t="str">
        <f>CONCATENATE(Orçamento_Deson!H29," ",Orçamento_Deson!I29)</f>
        <v>0 M</v>
      </c>
      <c r="D74" s="2512">
        <f>Orçamento_Deson!J29</f>
        <v>0</v>
      </c>
      <c r="E74" s="2513"/>
      <c r="F74" s="695">
        <f>Cronograma_Não_Deson!F74</f>
        <v>0</v>
      </c>
      <c r="G74" s="695">
        <f>Cronograma_Não_Deson!G74</f>
        <v>0</v>
      </c>
      <c r="H74" s="695">
        <f>Cronograma_Não_Deson!H74</f>
        <v>0</v>
      </c>
      <c r="I74" s="695">
        <f>Cronograma_Não_Deson!I74</f>
        <v>0</v>
      </c>
      <c r="J74" s="695">
        <f>Cronograma_Não_Deson!J74</f>
        <v>0</v>
      </c>
      <c r="K74" s="695">
        <f>Cronograma_Não_Deson!K74</f>
        <v>0</v>
      </c>
      <c r="L74" s="695">
        <f>Cronograma_Não_Deson!L74</f>
        <v>0</v>
      </c>
      <c r="M74" s="695">
        <f>Cronograma_Não_Deson!M74</f>
        <v>0</v>
      </c>
      <c r="N74" s="695">
        <f>Cronograma_Não_Deson!N74</f>
        <v>0</v>
      </c>
      <c r="O74" s="695">
        <f>Cronograma_Não_Deson!O74</f>
        <v>0</v>
      </c>
      <c r="P74" s="695">
        <f>Cronograma_Não_Deson!P74</f>
        <v>0</v>
      </c>
      <c r="Q74" s="695">
        <f>+Cronograma_Não_Deson!Q74</f>
        <v>0</v>
      </c>
      <c r="R74" s="695">
        <f>+Cronograma_Não_Deson!R74</f>
        <v>0</v>
      </c>
      <c r="S74" s="695">
        <f>+Cronograma_Não_Deson!S74</f>
        <v>0</v>
      </c>
      <c r="T74" s="695">
        <f>+Cronograma_Não_Deson!T74</f>
        <v>0</v>
      </c>
      <c r="U74" s="695">
        <f>+Cronograma_Não_Deson!U74</f>
        <v>0</v>
      </c>
      <c r="V74" s="695">
        <f>+Cronograma_Não_Deson!V74</f>
        <v>0</v>
      </c>
      <c r="W74" s="695">
        <f>+Cronograma_Não_Deson!W74</f>
        <v>0</v>
      </c>
      <c r="X74" s="120">
        <f>SUM(F74:W74)</f>
        <v>0</v>
      </c>
      <c r="Y74" s="586">
        <f>1-X74</f>
        <v>1</v>
      </c>
      <c r="AA74" s="711">
        <f>+COUNT(F74:W74)</f>
        <v>18</v>
      </c>
    </row>
    <row r="75" spans="1:27" s="119" customFormat="1" ht="18" hidden="1" customHeight="1" thickBot="1" x14ac:dyDescent="0.2">
      <c r="A75" s="2501"/>
      <c r="B75" s="2504"/>
      <c r="C75" s="1665" t="e">
        <f>Orçamento_Deson!N29</f>
        <v>#VALUE!</v>
      </c>
      <c r="D75" s="1694" t="s">
        <v>141</v>
      </c>
      <c r="E75" s="1695">
        <f>D$92</f>
        <v>1</v>
      </c>
      <c r="F75" s="870">
        <f>IF($D74=0,0,IF(F74=0,0,($E75*$D74*F74)+$AA$96))</f>
        <v>0</v>
      </c>
      <c r="G75" s="870">
        <f t="shared" ref="G75:W75" si="65">IF($D74=0,0,IF(G74=0,0,($E75*$D74*G74)+$AA$96))</f>
        <v>0</v>
      </c>
      <c r="H75" s="870">
        <f t="shared" si="65"/>
        <v>0</v>
      </c>
      <c r="I75" s="870">
        <f t="shared" si="65"/>
        <v>0</v>
      </c>
      <c r="J75" s="870">
        <f t="shared" si="65"/>
        <v>0</v>
      </c>
      <c r="K75" s="870">
        <f t="shared" si="65"/>
        <v>0</v>
      </c>
      <c r="L75" s="870">
        <f t="shared" si="65"/>
        <v>0</v>
      </c>
      <c r="M75" s="870">
        <f t="shared" si="65"/>
        <v>0</v>
      </c>
      <c r="N75" s="870">
        <f t="shared" si="65"/>
        <v>0</v>
      </c>
      <c r="O75" s="870">
        <f t="shared" si="65"/>
        <v>0</v>
      </c>
      <c r="P75" s="870">
        <f t="shared" si="65"/>
        <v>0</v>
      </c>
      <c r="Q75" s="870">
        <f t="shared" si="65"/>
        <v>0</v>
      </c>
      <c r="R75" s="870">
        <f t="shared" si="65"/>
        <v>0</v>
      </c>
      <c r="S75" s="870">
        <f t="shared" si="65"/>
        <v>0</v>
      </c>
      <c r="T75" s="870">
        <f t="shared" si="65"/>
        <v>0</v>
      </c>
      <c r="U75" s="870">
        <f t="shared" si="65"/>
        <v>0</v>
      </c>
      <c r="V75" s="870">
        <f t="shared" si="65"/>
        <v>0</v>
      </c>
      <c r="W75" s="870">
        <f t="shared" si="65"/>
        <v>0</v>
      </c>
      <c r="X75" s="121">
        <f>SUM(F75:W75)</f>
        <v>0</v>
      </c>
      <c r="Y75" s="118">
        <f>+X75-D74*E75</f>
        <v>0</v>
      </c>
      <c r="Z75" s="710" t="e">
        <f>+X75/D74</f>
        <v>#DIV/0!</v>
      </c>
    </row>
    <row r="76" spans="1:27" s="119" customFormat="1" ht="18" hidden="1" customHeight="1" thickBot="1" x14ac:dyDescent="0.2">
      <c r="A76" s="2502"/>
      <c r="B76" s="2505"/>
      <c r="C76" s="1664"/>
      <c r="D76" s="1660" t="s">
        <v>142</v>
      </c>
      <c r="E76" s="709">
        <f>1-E75</f>
        <v>0</v>
      </c>
      <c r="F76" s="869">
        <f>($D74*F74-F75)</f>
        <v>0</v>
      </c>
      <c r="G76" s="869">
        <f t="shared" ref="G76:W76" si="66">($D74*G74-G75)</f>
        <v>0</v>
      </c>
      <c r="H76" s="869">
        <f t="shared" si="66"/>
        <v>0</v>
      </c>
      <c r="I76" s="869">
        <f t="shared" si="66"/>
        <v>0</v>
      </c>
      <c r="J76" s="869">
        <f t="shared" si="66"/>
        <v>0</v>
      </c>
      <c r="K76" s="869">
        <f t="shared" si="66"/>
        <v>0</v>
      </c>
      <c r="L76" s="869">
        <f t="shared" si="66"/>
        <v>0</v>
      </c>
      <c r="M76" s="869">
        <f t="shared" si="66"/>
        <v>0</v>
      </c>
      <c r="N76" s="869">
        <f t="shared" si="66"/>
        <v>0</v>
      </c>
      <c r="O76" s="869">
        <f t="shared" si="66"/>
        <v>0</v>
      </c>
      <c r="P76" s="869">
        <f t="shared" si="66"/>
        <v>0</v>
      </c>
      <c r="Q76" s="869">
        <f t="shared" si="66"/>
        <v>0</v>
      </c>
      <c r="R76" s="869">
        <f t="shared" si="66"/>
        <v>0</v>
      </c>
      <c r="S76" s="869">
        <f t="shared" si="66"/>
        <v>0</v>
      </c>
      <c r="T76" s="869">
        <f t="shared" si="66"/>
        <v>0</v>
      </c>
      <c r="U76" s="869">
        <f t="shared" si="66"/>
        <v>0</v>
      </c>
      <c r="V76" s="869">
        <f t="shared" si="66"/>
        <v>0</v>
      </c>
      <c r="W76" s="869">
        <f t="shared" si="66"/>
        <v>0</v>
      </c>
      <c r="X76" s="122">
        <f>SUM(F76:W76)</f>
        <v>0</v>
      </c>
      <c r="Y76" s="118">
        <f>+X76-E76*D74</f>
        <v>0</v>
      </c>
    </row>
    <row r="77" spans="1:27" s="119" customFormat="1" ht="9.9499999999999993" customHeight="1" x14ac:dyDescent="0.15">
      <c r="A77" s="2500">
        <f ca="1">Orçamento_Deson!B30</f>
        <v>11</v>
      </c>
      <c r="B77" s="2503" t="str">
        <f>Orçamento_Deson!C30</f>
        <v>SINALIZAÇÃO VIÁRIA DEFINITIVA HORIZONTAL E VERTICAL E DISPOSITIVOS DE SEGURANÇA</v>
      </c>
      <c r="C77" s="1663"/>
      <c r="D77" s="1659"/>
      <c r="E77" s="116"/>
      <c r="F77" s="871">
        <f t="shared" ref="F77:M77" si="67">F78</f>
        <v>0</v>
      </c>
      <c r="G77" s="871">
        <f t="shared" si="67"/>
        <v>0</v>
      </c>
      <c r="H77" s="871">
        <f t="shared" si="67"/>
        <v>0</v>
      </c>
      <c r="I77" s="871">
        <f t="shared" si="67"/>
        <v>0.02</v>
      </c>
      <c r="J77" s="871">
        <f t="shared" si="67"/>
        <v>0.03</v>
      </c>
      <c r="K77" s="871">
        <f t="shared" si="67"/>
        <v>0.05</v>
      </c>
      <c r="L77" s="871">
        <f t="shared" si="67"/>
        <v>0.05</v>
      </c>
      <c r="M77" s="871">
        <f t="shared" si="67"/>
        <v>0.2</v>
      </c>
      <c r="N77" s="871">
        <f>N78</f>
        <v>0.2</v>
      </c>
      <c r="O77" s="871">
        <f t="shared" ref="O77:W77" si="68">O78</f>
        <v>0.15</v>
      </c>
      <c r="P77" s="871">
        <f t="shared" si="68"/>
        <v>0.15</v>
      </c>
      <c r="Q77" s="871">
        <f t="shared" si="68"/>
        <v>0.15</v>
      </c>
      <c r="R77" s="871">
        <f t="shared" si="68"/>
        <v>0</v>
      </c>
      <c r="S77" s="871">
        <f t="shared" si="68"/>
        <v>0</v>
      </c>
      <c r="T77" s="871">
        <f t="shared" si="68"/>
        <v>0</v>
      </c>
      <c r="U77" s="871">
        <f t="shared" si="68"/>
        <v>0</v>
      </c>
      <c r="V77" s="871">
        <f t="shared" si="68"/>
        <v>0</v>
      </c>
      <c r="W77" s="871">
        <f t="shared" si="68"/>
        <v>0</v>
      </c>
      <c r="X77" s="117"/>
      <c r="Y77" s="708">
        <f>+D78-X79-X80</f>
        <v>-5.8207660913467407E-11</v>
      </c>
    </row>
    <row r="78" spans="1:27" s="119" customFormat="1" ht="18" customHeight="1" x14ac:dyDescent="0.15">
      <c r="A78" s="2501"/>
      <c r="B78" s="2504"/>
      <c r="C78" s="1663"/>
      <c r="D78" s="2512">
        <f>Orçamento_Deson!J30</f>
        <v>312419.95999999996</v>
      </c>
      <c r="E78" s="2513"/>
      <c r="F78" s="695">
        <f>Cronograma_Não_Deson!F78</f>
        <v>0</v>
      </c>
      <c r="G78" s="695">
        <f>Cronograma_Não_Deson!G78</f>
        <v>0</v>
      </c>
      <c r="H78" s="695">
        <f>Cronograma_Não_Deson!H78</f>
        <v>0</v>
      </c>
      <c r="I78" s="695">
        <f>Cronograma_Não_Deson!I78</f>
        <v>0.02</v>
      </c>
      <c r="J78" s="695">
        <f>Cronograma_Não_Deson!J78</f>
        <v>0.03</v>
      </c>
      <c r="K78" s="695">
        <f>Cronograma_Não_Deson!K78</f>
        <v>0.05</v>
      </c>
      <c r="L78" s="695">
        <f>Cronograma_Não_Deson!L78</f>
        <v>0.05</v>
      </c>
      <c r="M78" s="695">
        <f>Cronograma_Não_Deson!M78</f>
        <v>0.2</v>
      </c>
      <c r="N78" s="695">
        <f>Cronograma_Não_Deson!N78</f>
        <v>0.2</v>
      </c>
      <c r="O78" s="695">
        <f>Cronograma_Não_Deson!O78</f>
        <v>0.15</v>
      </c>
      <c r="P78" s="695">
        <f>Cronograma_Não_Deson!P78</f>
        <v>0.15</v>
      </c>
      <c r="Q78" s="695">
        <f>+Cronograma_Não_Deson!Q78</f>
        <v>0.15</v>
      </c>
      <c r="R78" s="695">
        <f>+Cronograma_Não_Deson!R78</f>
        <v>0</v>
      </c>
      <c r="S78" s="695">
        <f>+Cronograma_Não_Deson!S78</f>
        <v>0</v>
      </c>
      <c r="T78" s="695">
        <f>+Cronograma_Não_Deson!T78</f>
        <v>0</v>
      </c>
      <c r="U78" s="695">
        <f>+Cronograma_Não_Deson!U78</f>
        <v>0</v>
      </c>
      <c r="V78" s="695">
        <f>+Cronograma_Não_Deson!V78</f>
        <v>0</v>
      </c>
      <c r="W78" s="695">
        <f>+Cronograma_Não_Deson!W78</f>
        <v>0</v>
      </c>
      <c r="X78" s="120">
        <f>SUM(F78:W78)</f>
        <v>1</v>
      </c>
      <c r="Y78" s="586">
        <f>1-X78</f>
        <v>0</v>
      </c>
      <c r="AA78" s="711">
        <f>+COUNT(F78:W78)</f>
        <v>18</v>
      </c>
    </row>
    <row r="79" spans="1:27" s="119" customFormat="1" ht="18" customHeight="1" thickBot="1" x14ac:dyDescent="0.2">
      <c r="A79" s="2501"/>
      <c r="B79" s="2504"/>
      <c r="C79" s="1663"/>
      <c r="D79" s="1694" t="s">
        <v>141</v>
      </c>
      <c r="E79" s="1695">
        <f>D$92</f>
        <v>1</v>
      </c>
      <c r="F79" s="870">
        <f>IF($D78=0,0,IF(F78=0,0,($E79*$D78*F78)+$AA$96))</f>
        <v>0</v>
      </c>
      <c r="G79" s="870">
        <f t="shared" ref="G79:W79" si="69">IF($D78=0,0,IF(G78=0,0,($E79*$D78*G78)+$AA$96))</f>
        <v>0</v>
      </c>
      <c r="H79" s="870">
        <f t="shared" si="69"/>
        <v>0</v>
      </c>
      <c r="I79" s="870">
        <f t="shared" si="69"/>
        <v>6248.3991999999998</v>
      </c>
      <c r="J79" s="870">
        <f t="shared" si="69"/>
        <v>9372.5987999999979</v>
      </c>
      <c r="K79" s="870">
        <f t="shared" si="69"/>
        <v>15620.998</v>
      </c>
      <c r="L79" s="870">
        <f t="shared" si="69"/>
        <v>15620.998</v>
      </c>
      <c r="M79" s="870">
        <f t="shared" si="69"/>
        <v>62483.991999999998</v>
      </c>
      <c r="N79" s="870">
        <f t="shared" si="69"/>
        <v>62483.991999999998</v>
      </c>
      <c r="O79" s="870">
        <f t="shared" si="69"/>
        <v>46862.993999999992</v>
      </c>
      <c r="P79" s="870">
        <f t="shared" si="69"/>
        <v>46862.993999999992</v>
      </c>
      <c r="Q79" s="870">
        <f t="shared" si="69"/>
        <v>46862.993999999992</v>
      </c>
      <c r="R79" s="870">
        <f t="shared" si="69"/>
        <v>0</v>
      </c>
      <c r="S79" s="870">
        <f t="shared" si="69"/>
        <v>0</v>
      </c>
      <c r="T79" s="870">
        <f t="shared" si="69"/>
        <v>0</v>
      </c>
      <c r="U79" s="870">
        <f t="shared" si="69"/>
        <v>0</v>
      </c>
      <c r="V79" s="870">
        <f t="shared" si="69"/>
        <v>0</v>
      </c>
      <c r="W79" s="870">
        <f t="shared" si="69"/>
        <v>0</v>
      </c>
      <c r="X79" s="121">
        <f>SUM(F79:W79)</f>
        <v>312419.96000000002</v>
      </c>
      <c r="Y79" s="118">
        <f>+X79-D78*E79</f>
        <v>0</v>
      </c>
      <c r="Z79" s="710">
        <f>+X79/D78</f>
        <v>1.0000000000000002</v>
      </c>
    </row>
    <row r="80" spans="1:27" s="119" customFormat="1" ht="18" hidden="1" customHeight="1" thickBot="1" x14ac:dyDescent="0.2">
      <c r="A80" s="2502"/>
      <c r="B80" s="2505"/>
      <c r="C80" s="1664"/>
      <c r="D80" s="1660" t="s">
        <v>142</v>
      </c>
      <c r="E80" s="709">
        <f>1-E79</f>
        <v>0</v>
      </c>
      <c r="F80" s="869">
        <f>($D78*F78-F79)</f>
        <v>0</v>
      </c>
      <c r="G80" s="869">
        <f t="shared" ref="G80:W80" si="70">($D78*G78-G79)</f>
        <v>0</v>
      </c>
      <c r="H80" s="869">
        <f t="shared" si="70"/>
        <v>0</v>
      </c>
      <c r="I80" s="869">
        <f t="shared" si="70"/>
        <v>0</v>
      </c>
      <c r="J80" s="869">
        <f t="shared" si="70"/>
        <v>0</v>
      </c>
      <c r="K80" s="869">
        <f t="shared" si="70"/>
        <v>0</v>
      </c>
      <c r="L80" s="869">
        <f t="shared" si="70"/>
        <v>0</v>
      </c>
      <c r="M80" s="869">
        <f t="shared" si="70"/>
        <v>0</v>
      </c>
      <c r="N80" s="869">
        <f t="shared" si="70"/>
        <v>0</v>
      </c>
      <c r="O80" s="869">
        <f t="shared" si="70"/>
        <v>0</v>
      </c>
      <c r="P80" s="869">
        <f t="shared" si="70"/>
        <v>0</v>
      </c>
      <c r="Q80" s="869">
        <f t="shared" si="70"/>
        <v>0</v>
      </c>
      <c r="R80" s="869">
        <f t="shared" si="70"/>
        <v>0</v>
      </c>
      <c r="S80" s="869">
        <f t="shared" si="70"/>
        <v>0</v>
      </c>
      <c r="T80" s="869">
        <f t="shared" si="70"/>
        <v>0</v>
      </c>
      <c r="U80" s="869">
        <f t="shared" si="70"/>
        <v>0</v>
      </c>
      <c r="V80" s="869">
        <f t="shared" si="70"/>
        <v>0</v>
      </c>
      <c r="W80" s="869">
        <f t="shared" si="70"/>
        <v>0</v>
      </c>
      <c r="X80" s="122">
        <f>SUM(F80:W80)</f>
        <v>0</v>
      </c>
      <c r="Y80" s="118">
        <f>+X80-E80*D78</f>
        <v>0</v>
      </c>
    </row>
    <row r="81" spans="1:27" s="119" customFormat="1" ht="9.9499999999999993" customHeight="1" x14ac:dyDescent="0.15">
      <c r="A81" s="2500">
        <f ca="1">Orçamento_Deson!B31</f>
        <v>12</v>
      </c>
      <c r="B81" s="2503" t="str">
        <f>Orçamento_Deson!C31</f>
        <v>ADMINISTRAÇÃO LOCAL</v>
      </c>
      <c r="C81" s="1663"/>
      <c r="D81" s="1659"/>
      <c r="E81" s="116"/>
      <c r="F81" s="871">
        <f t="shared" ref="F81:M81" si="71">F82</f>
        <v>7.847574604670482E-2</v>
      </c>
      <c r="G81" s="871">
        <f t="shared" si="71"/>
        <v>6.9416177078240951E-2</v>
      </c>
      <c r="H81" s="871">
        <f t="shared" si="71"/>
        <v>9.3430335951916785E-2</v>
      </c>
      <c r="I81" s="871">
        <f t="shared" si="71"/>
        <v>7.5672715883151206E-2</v>
      </c>
      <c r="J81" s="871">
        <f t="shared" si="71"/>
        <v>8.2419575146354576E-2</v>
      </c>
      <c r="K81" s="871">
        <f t="shared" si="71"/>
        <v>8.593863736015428E-2</v>
      </c>
      <c r="L81" s="871">
        <f t="shared" si="71"/>
        <v>7.3742648959879031E-2</v>
      </c>
      <c r="M81" s="871">
        <f t="shared" si="71"/>
        <v>9.7830861057288013E-2</v>
      </c>
      <c r="N81" s="871">
        <f>N82</f>
        <v>9.9894039579089669E-2</v>
      </c>
      <c r="O81" s="871">
        <f t="shared" ref="O81:W81" si="72">O82</f>
        <v>8.9196596993619967E-2</v>
      </c>
      <c r="P81" s="871">
        <f t="shared" si="72"/>
        <v>8.9196596993619967E-2</v>
      </c>
      <c r="Q81" s="871">
        <f t="shared" si="72"/>
        <v>6.4786068949980832E-2</v>
      </c>
      <c r="R81" s="871">
        <f t="shared" si="72"/>
        <v>0</v>
      </c>
      <c r="S81" s="871">
        <f t="shared" si="72"/>
        <v>0</v>
      </c>
      <c r="T81" s="871">
        <f t="shared" si="72"/>
        <v>0</v>
      </c>
      <c r="U81" s="871">
        <f t="shared" si="72"/>
        <v>0</v>
      </c>
      <c r="V81" s="871">
        <f t="shared" si="72"/>
        <v>0</v>
      </c>
      <c r="W81" s="871">
        <f t="shared" si="72"/>
        <v>0</v>
      </c>
      <c r="X81" s="117"/>
      <c r="Y81" s="708">
        <f>+D82-X83-X84</f>
        <v>0</v>
      </c>
    </row>
    <row r="82" spans="1:27" s="119" customFormat="1" ht="18" customHeight="1" x14ac:dyDescent="0.15">
      <c r="A82" s="2501"/>
      <c r="B82" s="2504"/>
      <c r="C82" s="1663" t="str">
        <f>CONCATENATE(Orçamento_Deson!H31," ",Orçamento_Deson!I31)</f>
        <v>12 MÊS</v>
      </c>
      <c r="D82" s="2512">
        <f>Orçamento_Deson!J31</f>
        <v>643162.96</v>
      </c>
      <c r="E82" s="2513"/>
      <c r="F82" s="695">
        <f>Cronograma_Não_Deson!F82</f>
        <v>7.847574604670482E-2</v>
      </c>
      <c r="G82" s="695">
        <f>Cronograma_Não_Deson!G82</f>
        <v>6.9416177078240951E-2</v>
      </c>
      <c r="H82" s="695">
        <f>Cronograma_Não_Deson!H82</f>
        <v>9.3430335951916785E-2</v>
      </c>
      <c r="I82" s="695">
        <f>Cronograma_Não_Deson!I82</f>
        <v>7.5672715883151206E-2</v>
      </c>
      <c r="J82" s="695">
        <f>Cronograma_Não_Deson!J82</f>
        <v>8.2419575146354576E-2</v>
      </c>
      <c r="K82" s="695">
        <f>Cronograma_Não_Deson!K82</f>
        <v>8.593863736015428E-2</v>
      </c>
      <c r="L82" s="695">
        <f>Cronograma_Não_Deson!L82</f>
        <v>7.3742648959879031E-2</v>
      </c>
      <c r="M82" s="695">
        <f>Cronograma_Não_Deson!M82</f>
        <v>9.7830861057288013E-2</v>
      </c>
      <c r="N82" s="695">
        <f>Cronograma_Não_Deson!N82</f>
        <v>9.9894039579089669E-2</v>
      </c>
      <c r="O82" s="695">
        <f>Cronograma_Não_Deson!O82</f>
        <v>8.9196596993619967E-2</v>
      </c>
      <c r="P82" s="695">
        <f>Cronograma_Não_Deson!P82</f>
        <v>8.9196596993619967E-2</v>
      </c>
      <c r="Q82" s="695">
        <f>+Cronograma_Não_Deson!Q82</f>
        <v>6.4786068949980832E-2</v>
      </c>
      <c r="R82" s="695">
        <f>+Cronograma_Não_Deson!R82</f>
        <v>0</v>
      </c>
      <c r="S82" s="695">
        <f>+Cronograma_Não_Deson!S82</f>
        <v>0</v>
      </c>
      <c r="T82" s="695">
        <f>+Cronograma_Não_Deson!T82</f>
        <v>0</v>
      </c>
      <c r="U82" s="695">
        <f>+Cronograma_Não_Deson!U82</f>
        <v>0</v>
      </c>
      <c r="V82" s="695">
        <f>+Cronograma_Não_Deson!V82</f>
        <v>0</v>
      </c>
      <c r="W82" s="695">
        <f>+Cronograma_Não_Deson!W82</f>
        <v>0</v>
      </c>
      <c r="X82" s="120">
        <f>SUM(F82:W82)</f>
        <v>1</v>
      </c>
      <c r="Y82" s="586">
        <f>1-X82</f>
        <v>0</v>
      </c>
      <c r="AA82" s="711">
        <f>+COUNT(F82:W82)</f>
        <v>18</v>
      </c>
    </row>
    <row r="83" spans="1:27" s="119" customFormat="1" ht="18" customHeight="1" thickBot="1" x14ac:dyDescent="0.2">
      <c r="A83" s="2501"/>
      <c r="B83" s="2504"/>
      <c r="C83" s="1663"/>
      <c r="D83" s="1694" t="s">
        <v>141</v>
      </c>
      <c r="E83" s="1695">
        <f>D$92</f>
        <v>1</v>
      </c>
      <c r="F83" s="870">
        <f>IF($D82=0,0,IF(F82=0,0,($E83*$D82*F82)+$AA$96))</f>
        <v>50472.69311560697</v>
      </c>
      <c r="G83" s="870">
        <f t="shared" ref="G83:W83" si="73">IF($D82=0,0,IF(G82=0,0,($E83*$D82*G82)+$AA$96))</f>
        <v>44645.9139215256</v>
      </c>
      <c r="H83" s="870">
        <f t="shared" si="73"/>
        <v>60090.931424629212</v>
      </c>
      <c r="I83" s="870">
        <f t="shared" si="73"/>
        <v>48669.887938646541</v>
      </c>
      <c r="J83" s="870">
        <f t="shared" si="73"/>
        <v>53009.217913071836</v>
      </c>
      <c r="K83" s="870">
        <f t="shared" si="73"/>
        <v>55272.548382923407</v>
      </c>
      <c r="L83" s="870">
        <f t="shared" si="73"/>
        <v>47428.540383276719</v>
      </c>
      <c r="M83" s="870">
        <f t="shared" si="73"/>
        <v>62921.186176954085</v>
      </c>
      <c r="N83" s="870">
        <f t="shared" si="73"/>
        <v>64248.14618204446</v>
      </c>
      <c r="O83" s="870">
        <f t="shared" si="73"/>
        <v>57367.947344343716</v>
      </c>
      <c r="P83" s="870">
        <f t="shared" si="73"/>
        <v>57367.947344343716</v>
      </c>
      <c r="Q83" s="870">
        <f t="shared" si="73"/>
        <v>41667.999872633758</v>
      </c>
      <c r="R83" s="870">
        <f t="shared" si="73"/>
        <v>0</v>
      </c>
      <c r="S83" s="870">
        <f t="shared" si="73"/>
        <v>0</v>
      </c>
      <c r="T83" s="870">
        <f t="shared" si="73"/>
        <v>0</v>
      </c>
      <c r="U83" s="870">
        <f t="shared" si="73"/>
        <v>0</v>
      </c>
      <c r="V83" s="870">
        <f t="shared" si="73"/>
        <v>0</v>
      </c>
      <c r="W83" s="870">
        <f t="shared" si="73"/>
        <v>0</v>
      </c>
      <c r="X83" s="121">
        <f>SUM(F83:W83)</f>
        <v>643162.96</v>
      </c>
      <c r="Y83" s="118">
        <f>TRUNC(X83-D82*E83,2)</f>
        <v>0</v>
      </c>
      <c r="Z83" s="710">
        <f>+X83/D82</f>
        <v>1</v>
      </c>
    </row>
    <row r="84" spans="1:27" s="119" customFormat="1" ht="18" hidden="1" customHeight="1" thickBot="1" x14ac:dyDescent="0.2">
      <c r="A84" s="2502"/>
      <c r="B84" s="2505"/>
      <c r="C84" s="1664"/>
      <c r="D84" s="1660" t="s">
        <v>142</v>
      </c>
      <c r="E84" s="709">
        <f>1-E83</f>
        <v>0</v>
      </c>
      <c r="F84" s="869">
        <f>($D82*F82-F83)</f>
        <v>0</v>
      </c>
      <c r="G84" s="869">
        <f t="shared" ref="G84:W84" si="74">($D82*G82-G83)</f>
        <v>0</v>
      </c>
      <c r="H84" s="869">
        <f t="shared" si="74"/>
        <v>0</v>
      </c>
      <c r="I84" s="869">
        <f t="shared" si="74"/>
        <v>0</v>
      </c>
      <c r="J84" s="869">
        <f t="shared" si="74"/>
        <v>0</v>
      </c>
      <c r="K84" s="869">
        <f t="shared" si="74"/>
        <v>0</v>
      </c>
      <c r="L84" s="869">
        <f t="shared" si="74"/>
        <v>0</v>
      </c>
      <c r="M84" s="869">
        <f t="shared" si="74"/>
        <v>0</v>
      </c>
      <c r="N84" s="869">
        <f t="shared" si="74"/>
        <v>0</v>
      </c>
      <c r="O84" s="869">
        <f t="shared" si="74"/>
        <v>0</v>
      </c>
      <c r="P84" s="869">
        <f t="shared" si="74"/>
        <v>0</v>
      </c>
      <c r="Q84" s="869">
        <f t="shared" si="74"/>
        <v>0</v>
      </c>
      <c r="R84" s="869">
        <f t="shared" si="74"/>
        <v>0</v>
      </c>
      <c r="S84" s="869">
        <f t="shared" si="74"/>
        <v>0</v>
      </c>
      <c r="T84" s="869">
        <f t="shared" si="74"/>
        <v>0</v>
      </c>
      <c r="U84" s="869">
        <f t="shared" si="74"/>
        <v>0</v>
      </c>
      <c r="V84" s="869">
        <f t="shared" si="74"/>
        <v>0</v>
      </c>
      <c r="W84" s="869">
        <f t="shared" si="74"/>
        <v>0</v>
      </c>
      <c r="X84" s="122">
        <f>SUM(F84:W84)</f>
        <v>0</v>
      </c>
      <c r="Y84" s="118">
        <f>+D82-X83-X84</f>
        <v>0</v>
      </c>
    </row>
    <row r="85" spans="1:27" s="119" customFormat="1" ht="9.9499999999999993" hidden="1" customHeight="1" x14ac:dyDescent="0.15">
      <c r="A85" s="2500">
        <f ca="1">Orçamento_Deson!B32</f>
        <v>12</v>
      </c>
      <c r="B85" s="2503" t="str">
        <f>Orçamento_Deson!C32</f>
        <v>SERVIÇOS DE ENGENHARIA</v>
      </c>
      <c r="C85" s="1667"/>
      <c r="D85" s="1659"/>
      <c r="E85" s="116"/>
      <c r="F85" s="871">
        <f t="shared" ref="F85:M85" si="75">F86</f>
        <v>0.3</v>
      </c>
      <c r="G85" s="871">
        <f t="shared" si="75"/>
        <v>0.3</v>
      </c>
      <c r="H85" s="871">
        <f t="shared" si="75"/>
        <v>0.4</v>
      </c>
      <c r="I85" s="871">
        <f t="shared" si="75"/>
        <v>0</v>
      </c>
      <c r="J85" s="871">
        <f t="shared" si="75"/>
        <v>0</v>
      </c>
      <c r="K85" s="871">
        <f t="shared" si="75"/>
        <v>0</v>
      </c>
      <c r="L85" s="871">
        <f t="shared" si="75"/>
        <v>0</v>
      </c>
      <c r="M85" s="871">
        <f t="shared" si="75"/>
        <v>0</v>
      </c>
      <c r="N85" s="871">
        <f>N86</f>
        <v>0</v>
      </c>
      <c r="O85" s="871">
        <f t="shared" ref="O85:W85" si="76">O86</f>
        <v>0</v>
      </c>
      <c r="P85" s="871">
        <f t="shared" si="76"/>
        <v>0</v>
      </c>
      <c r="Q85" s="871">
        <f t="shared" si="76"/>
        <v>0</v>
      </c>
      <c r="R85" s="871">
        <f t="shared" si="76"/>
        <v>0</v>
      </c>
      <c r="S85" s="871">
        <f t="shared" si="76"/>
        <v>0</v>
      </c>
      <c r="T85" s="871">
        <f t="shared" si="76"/>
        <v>0</v>
      </c>
      <c r="U85" s="871">
        <f t="shared" si="76"/>
        <v>0</v>
      </c>
      <c r="V85" s="871">
        <f t="shared" si="76"/>
        <v>0</v>
      </c>
      <c r="W85" s="871">
        <f t="shared" si="76"/>
        <v>0</v>
      </c>
      <c r="X85" s="117"/>
      <c r="Y85" s="708">
        <f>+D86-X87-X88</f>
        <v>0</v>
      </c>
    </row>
    <row r="86" spans="1:27" s="119" customFormat="1" ht="18" hidden="1" customHeight="1" x14ac:dyDescent="0.15">
      <c r="A86" s="2501"/>
      <c r="B86" s="2504"/>
      <c r="C86" s="1663" t="str">
        <f>CONCATENATE(Orçamento_Deson!H32," ",Orçamento_Deson!I32)</f>
        <v>0 m²</v>
      </c>
      <c r="D86" s="2512">
        <f>Orçamento_Deson!J32</f>
        <v>0</v>
      </c>
      <c r="E86" s="2513"/>
      <c r="F86" s="695">
        <f>Cronograma_Não_Deson!F86</f>
        <v>0.3</v>
      </c>
      <c r="G86" s="695">
        <f>Cronograma_Não_Deson!G86</f>
        <v>0.3</v>
      </c>
      <c r="H86" s="695">
        <f>Cronograma_Não_Deson!H86</f>
        <v>0.4</v>
      </c>
      <c r="I86" s="695">
        <f>Cronograma_Não_Deson!I86</f>
        <v>0</v>
      </c>
      <c r="J86" s="695">
        <f>Cronograma_Não_Deson!J86</f>
        <v>0</v>
      </c>
      <c r="K86" s="695">
        <f>Cronograma_Não_Deson!K86</f>
        <v>0</v>
      </c>
      <c r="L86" s="695">
        <f>Cronograma_Não_Deson!L86</f>
        <v>0</v>
      </c>
      <c r="M86" s="695">
        <f>Cronograma_Não_Deson!M86</f>
        <v>0</v>
      </c>
      <c r="N86" s="695">
        <f>Cronograma_Não_Deson!N86</f>
        <v>0</v>
      </c>
      <c r="O86" s="695">
        <f>Cronograma_Não_Deson!O86</f>
        <v>0</v>
      </c>
      <c r="P86" s="695">
        <f>Cronograma_Não_Deson!P86</f>
        <v>0</v>
      </c>
      <c r="Q86" s="695">
        <f>+Cronograma_Não_Deson!Q86</f>
        <v>0</v>
      </c>
      <c r="R86" s="695">
        <f>+Cronograma_Não_Deson!R86</f>
        <v>0</v>
      </c>
      <c r="S86" s="695">
        <f>+Cronograma_Não_Deson!S86</f>
        <v>0</v>
      </c>
      <c r="T86" s="695">
        <f>+Cronograma_Não_Deson!T86</f>
        <v>0</v>
      </c>
      <c r="U86" s="695">
        <f>+Cronograma_Não_Deson!U86</f>
        <v>0</v>
      </c>
      <c r="V86" s="695">
        <f>+Cronograma_Não_Deson!V86</f>
        <v>0</v>
      </c>
      <c r="W86" s="695">
        <f>+Cronograma_Não_Deson!W86</f>
        <v>0</v>
      </c>
      <c r="X86" s="120">
        <f>SUM(F86:W86)</f>
        <v>1</v>
      </c>
      <c r="Y86" s="586">
        <f>1-X86</f>
        <v>0</v>
      </c>
      <c r="AA86" s="711">
        <f>+COUNT(F86:W86)</f>
        <v>18</v>
      </c>
    </row>
    <row r="87" spans="1:27" s="119" customFormat="1" ht="18" hidden="1" customHeight="1" thickBot="1" x14ac:dyDescent="0.2">
      <c r="A87" s="2501"/>
      <c r="B87" s="2504"/>
      <c r="C87" s="1663"/>
      <c r="D87" s="1694" t="s">
        <v>141</v>
      </c>
      <c r="E87" s="1695">
        <f>D$92</f>
        <v>1</v>
      </c>
      <c r="F87" s="870">
        <f>IF($D86=0,0,IF(F86=0,0,($E87*$D86*F86)+$AA$96))</f>
        <v>0</v>
      </c>
      <c r="G87" s="870">
        <f t="shared" ref="G87:W87" si="77">IF($D86=0,0,IF(G86=0,0,($E87*$D86*G86)+$AA$96))</f>
        <v>0</v>
      </c>
      <c r="H87" s="870">
        <f t="shared" si="77"/>
        <v>0</v>
      </c>
      <c r="I87" s="870">
        <f t="shared" si="77"/>
        <v>0</v>
      </c>
      <c r="J87" s="870">
        <f t="shared" si="77"/>
        <v>0</v>
      </c>
      <c r="K87" s="870">
        <f t="shared" si="77"/>
        <v>0</v>
      </c>
      <c r="L87" s="870">
        <f t="shared" si="77"/>
        <v>0</v>
      </c>
      <c r="M87" s="870">
        <f t="shared" si="77"/>
        <v>0</v>
      </c>
      <c r="N87" s="870">
        <f t="shared" si="77"/>
        <v>0</v>
      </c>
      <c r="O87" s="870">
        <f t="shared" si="77"/>
        <v>0</v>
      </c>
      <c r="P87" s="870">
        <f t="shared" si="77"/>
        <v>0</v>
      </c>
      <c r="Q87" s="870">
        <f t="shared" si="77"/>
        <v>0</v>
      </c>
      <c r="R87" s="870">
        <f t="shared" si="77"/>
        <v>0</v>
      </c>
      <c r="S87" s="870">
        <f t="shared" si="77"/>
        <v>0</v>
      </c>
      <c r="T87" s="870">
        <f t="shared" si="77"/>
        <v>0</v>
      </c>
      <c r="U87" s="870">
        <f t="shared" si="77"/>
        <v>0</v>
      </c>
      <c r="V87" s="870">
        <f t="shared" si="77"/>
        <v>0</v>
      </c>
      <c r="W87" s="870">
        <f t="shared" si="77"/>
        <v>0</v>
      </c>
      <c r="X87" s="121">
        <f>SUM(F87:W87)</f>
        <v>0</v>
      </c>
      <c r="Y87" s="118">
        <f>TRUNC(X87-D86*E87,2)</f>
        <v>0</v>
      </c>
      <c r="Z87" s="710" t="e">
        <f>+X87/D86</f>
        <v>#DIV/0!</v>
      </c>
    </row>
    <row r="88" spans="1:27" s="119" customFormat="1" ht="18" hidden="1" customHeight="1" thickBot="1" x14ac:dyDescent="0.2">
      <c r="A88" s="2502"/>
      <c r="B88" s="2505"/>
      <c r="C88" s="1664"/>
      <c r="D88" s="1660" t="s">
        <v>142</v>
      </c>
      <c r="E88" s="709">
        <f>1-E87</f>
        <v>0</v>
      </c>
      <c r="F88" s="869">
        <f>($D86*F86-F87)</f>
        <v>0</v>
      </c>
      <c r="G88" s="869">
        <f t="shared" ref="G88:W88" si="78">($D86*G86-G87)</f>
        <v>0</v>
      </c>
      <c r="H88" s="869">
        <f t="shared" si="78"/>
        <v>0</v>
      </c>
      <c r="I88" s="869">
        <f t="shared" si="78"/>
        <v>0</v>
      </c>
      <c r="J88" s="869">
        <f t="shared" si="78"/>
        <v>0</v>
      </c>
      <c r="K88" s="869">
        <f t="shared" si="78"/>
        <v>0</v>
      </c>
      <c r="L88" s="869">
        <f t="shared" si="78"/>
        <v>0</v>
      </c>
      <c r="M88" s="869">
        <f t="shared" si="78"/>
        <v>0</v>
      </c>
      <c r="N88" s="869">
        <f t="shared" si="78"/>
        <v>0</v>
      </c>
      <c r="O88" s="869">
        <f t="shared" si="78"/>
        <v>0</v>
      </c>
      <c r="P88" s="869">
        <f t="shared" si="78"/>
        <v>0</v>
      </c>
      <c r="Q88" s="869">
        <f t="shared" si="78"/>
        <v>0</v>
      </c>
      <c r="R88" s="869">
        <f t="shared" si="78"/>
        <v>0</v>
      </c>
      <c r="S88" s="869">
        <f t="shared" si="78"/>
        <v>0</v>
      </c>
      <c r="T88" s="869">
        <f t="shared" si="78"/>
        <v>0</v>
      </c>
      <c r="U88" s="869">
        <f t="shared" si="78"/>
        <v>0</v>
      </c>
      <c r="V88" s="869">
        <f t="shared" si="78"/>
        <v>0</v>
      </c>
      <c r="W88" s="869">
        <f t="shared" si="78"/>
        <v>0</v>
      </c>
      <c r="X88" s="122">
        <f>SUM(F88:W88)</f>
        <v>0</v>
      </c>
      <c r="Y88" s="118">
        <f>+D86-X87-X88</f>
        <v>0</v>
      </c>
    </row>
    <row r="89" spans="1:27" s="123" customFormat="1" ht="18" customHeight="1" x14ac:dyDescent="0.15">
      <c r="A89" s="178"/>
      <c r="B89" s="2514" t="s">
        <v>70</v>
      </c>
      <c r="C89" s="1688"/>
      <c r="D89" s="2516">
        <f ca="1">SUM(D10:D88)</f>
        <v>13731837.84</v>
      </c>
      <c r="E89" s="2517"/>
      <c r="F89" s="131">
        <f t="shared" ref="F89:W89" ca="1" si="79">F91+F93</f>
        <v>881575.80551560712</v>
      </c>
      <c r="G89" s="131">
        <f t="shared" ca="1" si="79"/>
        <v>815380.48712152557</v>
      </c>
      <c r="H89" s="131">
        <f t="shared" ca="1" si="79"/>
        <v>1118472.8678246292</v>
      </c>
      <c r="I89" s="131">
        <f t="shared" ca="1" si="79"/>
        <v>1053016.5749386465</v>
      </c>
      <c r="J89" s="131">
        <f t="shared" ca="1" si="79"/>
        <v>1157563.5966130719</v>
      </c>
      <c r="K89" s="131">
        <f t="shared" ca="1" si="79"/>
        <v>1213960.6358829236</v>
      </c>
      <c r="L89" s="131">
        <f t="shared" ca="1" si="79"/>
        <v>1079418.5428832767</v>
      </c>
      <c r="M89" s="131">
        <f t="shared" ca="1" si="79"/>
        <v>1452873.0721769542</v>
      </c>
      <c r="N89" s="131">
        <f t="shared" ca="1" si="79"/>
        <v>1450783.1971820446</v>
      </c>
      <c r="O89" s="131">
        <f t="shared" ca="1" si="79"/>
        <v>1294472.7318443437</v>
      </c>
      <c r="P89" s="131">
        <f t="shared" ca="1" si="79"/>
        <v>1294472.7318443437</v>
      </c>
      <c r="Q89" s="131">
        <f t="shared" ca="1" si="79"/>
        <v>919847.59617263358</v>
      </c>
      <c r="R89" s="131">
        <f t="shared" ca="1" si="79"/>
        <v>0</v>
      </c>
      <c r="S89" s="131">
        <f t="shared" ca="1" si="79"/>
        <v>0</v>
      </c>
      <c r="T89" s="131">
        <f t="shared" ca="1" si="79"/>
        <v>0</v>
      </c>
      <c r="U89" s="131">
        <f t="shared" ca="1" si="79"/>
        <v>0</v>
      </c>
      <c r="V89" s="131">
        <f t="shared" ca="1" si="79"/>
        <v>0</v>
      </c>
      <c r="W89" s="131">
        <f t="shared" ca="1" si="79"/>
        <v>0</v>
      </c>
      <c r="X89" s="181">
        <f t="shared" ref="X89:X94" ca="1" si="80">SUM(F89:W89)</f>
        <v>13731837.84</v>
      </c>
      <c r="Y89" s="118">
        <f ca="1">+X89-D89</f>
        <v>0</v>
      </c>
    </row>
    <row r="90" spans="1:27" s="123" customFormat="1" ht="18" customHeight="1" x14ac:dyDescent="0.15">
      <c r="A90" s="179"/>
      <c r="B90" s="2515"/>
      <c r="C90" s="1689"/>
      <c r="D90" s="2510">
        <v>1</v>
      </c>
      <c r="E90" s="2511"/>
      <c r="F90" s="186">
        <f t="shared" ref="F90:W90" ca="1" si="81">F89/$D89</f>
        <v>6.4199404026431983E-2</v>
      </c>
      <c r="G90" s="186">
        <f t="shared" ca="1" si="81"/>
        <v>5.9378831633619525E-2</v>
      </c>
      <c r="H90" s="186">
        <f t="shared" ca="1" si="81"/>
        <v>8.1451068739436056E-2</v>
      </c>
      <c r="I90" s="186">
        <f t="shared" ca="1" si="81"/>
        <v>7.6684314744183329E-2</v>
      </c>
      <c r="J90" s="186">
        <f t="shared" ca="1" si="81"/>
        <v>8.4297791024094404E-2</v>
      </c>
      <c r="K90" s="186">
        <f t="shared" ca="1" si="81"/>
        <v>8.8404818788839087E-2</v>
      </c>
      <c r="L90" s="186">
        <f t="shared" ca="1" si="81"/>
        <v>7.8606997509029483E-2</v>
      </c>
      <c r="M90" s="186">
        <f t="shared" ca="1" si="81"/>
        <v>0.10580325001689317</v>
      </c>
      <c r="N90" s="186">
        <f t="shared" ca="1" si="81"/>
        <v>0.10565105808022306</v>
      </c>
      <c r="O90" s="186">
        <f t="shared" ca="1" si="81"/>
        <v>9.4267988518887416E-2</v>
      </c>
      <c r="P90" s="186">
        <f t="shared" ca="1" si="81"/>
        <v>9.4267988518887416E-2</v>
      </c>
      <c r="Q90" s="186">
        <f t="shared" ca="1" si="81"/>
        <v>6.698648839947513E-2</v>
      </c>
      <c r="R90" s="186">
        <f t="shared" ca="1" si="81"/>
        <v>0</v>
      </c>
      <c r="S90" s="186">
        <f t="shared" ca="1" si="81"/>
        <v>0</v>
      </c>
      <c r="T90" s="186">
        <f t="shared" ca="1" si="81"/>
        <v>0</v>
      </c>
      <c r="U90" s="186">
        <f t="shared" ca="1" si="81"/>
        <v>0</v>
      </c>
      <c r="V90" s="186">
        <f t="shared" ca="1" si="81"/>
        <v>0</v>
      </c>
      <c r="W90" s="186">
        <f t="shared" ca="1" si="81"/>
        <v>0</v>
      </c>
      <c r="X90" s="182">
        <f t="shared" ca="1" si="80"/>
        <v>1</v>
      </c>
      <c r="Y90" s="118"/>
    </row>
    <row r="91" spans="1:27" s="123" customFormat="1" ht="18" hidden="1" customHeight="1" x14ac:dyDescent="0.15">
      <c r="A91" s="180"/>
      <c r="B91" s="2508" t="s">
        <v>68</v>
      </c>
      <c r="C91" s="1690"/>
      <c r="D91" s="2506">
        <f ca="1">TRUNC(D89*D92,2)</f>
        <v>13731837.84</v>
      </c>
      <c r="E91" s="2507"/>
      <c r="F91" s="177">
        <f ca="1">+F11+F15+F19+F23+F27+F31+F35+F39+F43+F47+F51+F55+F59+F63+F67+F71+F75+F79+F83+F87</f>
        <v>881575.80551560712</v>
      </c>
      <c r="G91" s="177">
        <f t="shared" ref="G91:Q91" ca="1" si="82">+G11+G15+G19+G23+G27+G31+G35+G39+G43+G47+G51+G55+G59+G63+G67+G71+G75+G79+G83+G87</f>
        <v>815380.48712152557</v>
      </c>
      <c r="H91" s="177">
        <f t="shared" ca="1" si="82"/>
        <v>1118472.8678246292</v>
      </c>
      <c r="I91" s="177">
        <f t="shared" ca="1" si="82"/>
        <v>1053016.5749386465</v>
      </c>
      <c r="J91" s="177">
        <f t="shared" ca="1" si="82"/>
        <v>1157563.5966130719</v>
      </c>
      <c r="K91" s="177">
        <f t="shared" ca="1" si="82"/>
        <v>1213960.6358829236</v>
      </c>
      <c r="L91" s="177">
        <f t="shared" ca="1" si="82"/>
        <v>1079418.5428832767</v>
      </c>
      <c r="M91" s="177">
        <f t="shared" ca="1" si="82"/>
        <v>1452873.0721769542</v>
      </c>
      <c r="N91" s="177">
        <f t="shared" ca="1" si="82"/>
        <v>1450783.1971820446</v>
      </c>
      <c r="O91" s="177">
        <f t="shared" ca="1" si="82"/>
        <v>1294472.7318443437</v>
      </c>
      <c r="P91" s="177">
        <f t="shared" ca="1" si="82"/>
        <v>1294472.7318443437</v>
      </c>
      <c r="Q91" s="177">
        <f t="shared" ca="1" si="82"/>
        <v>919847.59617263358</v>
      </c>
      <c r="R91" s="177">
        <f ca="1">+R11+R15+R19+R23+R27+R31+R35+R39+R43+R47+R51+R55+R59+R63+R67+R71+R75+R79+R83+R87</f>
        <v>0</v>
      </c>
      <c r="S91" s="177">
        <f t="shared" ref="S91:W91" ca="1" si="83">+S11+S15+S19+S23+S27+S31+S35+S39+S43+S47+S51+S55+S59+S63+S67+S71+S75+S79+S83+S87</f>
        <v>0</v>
      </c>
      <c r="T91" s="177">
        <f t="shared" ca="1" si="83"/>
        <v>0</v>
      </c>
      <c r="U91" s="177">
        <f t="shared" ca="1" si="83"/>
        <v>0</v>
      </c>
      <c r="V91" s="177">
        <f t="shared" ca="1" si="83"/>
        <v>0</v>
      </c>
      <c r="W91" s="177">
        <f t="shared" ca="1" si="83"/>
        <v>0</v>
      </c>
      <c r="X91" s="124">
        <f t="shared" ca="1" si="80"/>
        <v>13731837.84</v>
      </c>
      <c r="Y91" s="118">
        <f ca="1">+X91-D91</f>
        <v>0</v>
      </c>
      <c r="Z91" s="710">
        <f ca="1">+X91/X89</f>
        <v>1</v>
      </c>
      <c r="AA91" s="712">
        <f>SUM(AA10:AA87)</f>
        <v>360</v>
      </c>
    </row>
    <row r="92" spans="1:27" s="123" customFormat="1" ht="18" hidden="1" customHeight="1" x14ac:dyDescent="0.15">
      <c r="A92" s="179"/>
      <c r="B92" s="2509"/>
      <c r="C92" s="1691"/>
      <c r="D92" s="2532">
        <v>1</v>
      </c>
      <c r="E92" s="2533"/>
      <c r="F92" s="186">
        <f t="shared" ref="F92:W92" ca="1" si="84">F91/$D91</f>
        <v>6.4199404026431983E-2</v>
      </c>
      <c r="G92" s="186">
        <f t="shared" ca="1" si="84"/>
        <v>5.9378831633619525E-2</v>
      </c>
      <c r="H92" s="186">
        <f t="shared" ca="1" si="84"/>
        <v>8.1451068739436056E-2</v>
      </c>
      <c r="I92" s="186">
        <f t="shared" ca="1" si="84"/>
        <v>7.6684314744183329E-2</v>
      </c>
      <c r="J92" s="186">
        <f t="shared" ca="1" si="84"/>
        <v>8.4297791024094404E-2</v>
      </c>
      <c r="K92" s="186">
        <f t="shared" ca="1" si="84"/>
        <v>8.8404818788839087E-2</v>
      </c>
      <c r="L92" s="186">
        <f t="shared" ca="1" si="84"/>
        <v>7.8606997509029483E-2</v>
      </c>
      <c r="M92" s="186">
        <f t="shared" ca="1" si="84"/>
        <v>0.10580325001689317</v>
      </c>
      <c r="N92" s="186">
        <f t="shared" ca="1" si="84"/>
        <v>0.10565105808022306</v>
      </c>
      <c r="O92" s="186">
        <f t="shared" ca="1" si="84"/>
        <v>9.4267988518887416E-2</v>
      </c>
      <c r="P92" s="186">
        <f t="shared" ca="1" si="84"/>
        <v>9.4267988518887416E-2</v>
      </c>
      <c r="Q92" s="186">
        <f t="shared" ca="1" si="84"/>
        <v>6.698648839947513E-2</v>
      </c>
      <c r="R92" s="186">
        <f t="shared" ca="1" si="84"/>
        <v>0</v>
      </c>
      <c r="S92" s="186">
        <f t="shared" ca="1" si="84"/>
        <v>0</v>
      </c>
      <c r="T92" s="186">
        <f t="shared" ca="1" si="84"/>
        <v>0</v>
      </c>
      <c r="U92" s="186">
        <f t="shared" ca="1" si="84"/>
        <v>0</v>
      </c>
      <c r="V92" s="186">
        <f t="shared" ca="1" si="84"/>
        <v>0</v>
      </c>
      <c r="W92" s="186">
        <f t="shared" ca="1" si="84"/>
        <v>0</v>
      </c>
      <c r="X92" s="182">
        <f t="shared" ca="1" si="80"/>
        <v>1</v>
      </c>
      <c r="Y92" s="118"/>
      <c r="Z92" s="713">
        <f ca="1">+Y91/AA91</f>
        <v>0</v>
      </c>
      <c r="AA92" s="712"/>
    </row>
    <row r="93" spans="1:27" s="123" customFormat="1" ht="18" hidden="1" customHeight="1" x14ac:dyDescent="0.15">
      <c r="A93" s="180"/>
      <c r="B93" s="2508" t="s">
        <v>67</v>
      </c>
      <c r="C93" s="1690"/>
      <c r="D93" s="2506">
        <f ca="1">D89-D91</f>
        <v>0</v>
      </c>
      <c r="E93" s="2507"/>
      <c r="F93" s="177">
        <f t="shared" ref="F93:W93" ca="1" si="85">+F12+F16+F20+F24+F28+F32+F36+F40+F44+F48+F52+F56+F60+F64+F68+F72+F76+F80+F84+F88</f>
        <v>0</v>
      </c>
      <c r="G93" s="177">
        <f t="shared" ca="1" si="85"/>
        <v>0</v>
      </c>
      <c r="H93" s="177">
        <f t="shared" ca="1" si="85"/>
        <v>0</v>
      </c>
      <c r="I93" s="177">
        <f t="shared" ca="1" si="85"/>
        <v>0</v>
      </c>
      <c r="J93" s="177">
        <f t="shared" ca="1" si="85"/>
        <v>0</v>
      </c>
      <c r="K93" s="177">
        <f t="shared" ca="1" si="85"/>
        <v>0</v>
      </c>
      <c r="L93" s="177">
        <f t="shared" ca="1" si="85"/>
        <v>0</v>
      </c>
      <c r="M93" s="177">
        <f t="shared" ca="1" si="85"/>
        <v>0</v>
      </c>
      <c r="N93" s="177">
        <f t="shared" ca="1" si="85"/>
        <v>0</v>
      </c>
      <c r="O93" s="177">
        <f t="shared" ca="1" si="85"/>
        <v>0</v>
      </c>
      <c r="P93" s="177">
        <f t="shared" ca="1" si="85"/>
        <v>0</v>
      </c>
      <c r="Q93" s="177">
        <f t="shared" ca="1" si="85"/>
        <v>0</v>
      </c>
      <c r="R93" s="177">
        <f t="shared" ca="1" si="85"/>
        <v>0</v>
      </c>
      <c r="S93" s="177">
        <f t="shared" ca="1" si="85"/>
        <v>0</v>
      </c>
      <c r="T93" s="177">
        <f t="shared" ca="1" si="85"/>
        <v>0</v>
      </c>
      <c r="U93" s="177">
        <f t="shared" ca="1" si="85"/>
        <v>0</v>
      </c>
      <c r="V93" s="177">
        <f t="shared" ca="1" si="85"/>
        <v>0</v>
      </c>
      <c r="W93" s="177">
        <f t="shared" ca="1" si="85"/>
        <v>0</v>
      </c>
      <c r="X93" s="124">
        <f t="shared" ca="1" si="80"/>
        <v>0</v>
      </c>
      <c r="Y93" s="118">
        <f ca="1">+X93-D93</f>
        <v>0</v>
      </c>
    </row>
    <row r="94" spans="1:27" s="123" customFormat="1" ht="18" hidden="1" customHeight="1" x14ac:dyDescent="0.15">
      <c r="A94" s="179"/>
      <c r="B94" s="2509"/>
      <c r="C94" s="1691"/>
      <c r="D94" s="2532">
        <f>D90-D92</f>
        <v>0</v>
      </c>
      <c r="E94" s="2533"/>
      <c r="F94" s="186">
        <f t="shared" ref="F94:W94" ca="1" si="86">IF(F93=0,0,F93/$D93)</f>
        <v>0</v>
      </c>
      <c r="G94" s="186">
        <f t="shared" ca="1" si="86"/>
        <v>0</v>
      </c>
      <c r="H94" s="186">
        <f t="shared" ca="1" si="86"/>
        <v>0</v>
      </c>
      <c r="I94" s="186">
        <f t="shared" ca="1" si="86"/>
        <v>0</v>
      </c>
      <c r="J94" s="186">
        <f t="shared" ca="1" si="86"/>
        <v>0</v>
      </c>
      <c r="K94" s="186">
        <f t="shared" ca="1" si="86"/>
        <v>0</v>
      </c>
      <c r="L94" s="186">
        <f t="shared" ca="1" si="86"/>
        <v>0</v>
      </c>
      <c r="M94" s="186">
        <f t="shared" ca="1" si="86"/>
        <v>0</v>
      </c>
      <c r="N94" s="186">
        <f t="shared" ca="1" si="86"/>
        <v>0</v>
      </c>
      <c r="O94" s="186">
        <f t="shared" ca="1" si="86"/>
        <v>0</v>
      </c>
      <c r="P94" s="186">
        <f t="shared" ca="1" si="86"/>
        <v>0</v>
      </c>
      <c r="Q94" s="186">
        <f t="shared" ca="1" si="86"/>
        <v>0</v>
      </c>
      <c r="R94" s="186">
        <f t="shared" ca="1" si="86"/>
        <v>0</v>
      </c>
      <c r="S94" s="186">
        <f t="shared" ca="1" si="86"/>
        <v>0</v>
      </c>
      <c r="T94" s="186">
        <f t="shared" ca="1" si="86"/>
        <v>0</v>
      </c>
      <c r="U94" s="186">
        <f t="shared" ca="1" si="86"/>
        <v>0</v>
      </c>
      <c r="V94" s="186">
        <f t="shared" ca="1" si="86"/>
        <v>0</v>
      </c>
      <c r="W94" s="186">
        <f t="shared" ca="1" si="86"/>
        <v>0</v>
      </c>
      <c r="X94" s="182">
        <f t="shared" ca="1" si="80"/>
        <v>0</v>
      </c>
      <c r="Y94" s="118"/>
    </row>
    <row r="95" spans="1:27" s="123" customFormat="1" ht="18" customHeight="1" thickBot="1" x14ac:dyDescent="0.2">
      <c r="A95" s="180"/>
      <c r="B95" s="2508" t="s">
        <v>69</v>
      </c>
      <c r="C95" s="1692"/>
      <c r="D95" s="125"/>
      <c r="E95" s="184" t="s">
        <v>199</v>
      </c>
      <c r="F95" s="177">
        <f ca="1">F89</f>
        <v>881575.80551560712</v>
      </c>
      <c r="G95" s="177">
        <f t="shared" ref="G95:W95" ca="1" si="87">G89</f>
        <v>815380.48712152557</v>
      </c>
      <c r="H95" s="177">
        <f t="shared" ca="1" si="87"/>
        <v>1118472.8678246292</v>
      </c>
      <c r="I95" s="177">
        <f t="shared" ca="1" si="87"/>
        <v>1053016.5749386465</v>
      </c>
      <c r="J95" s="177">
        <f t="shared" ca="1" si="87"/>
        <v>1157563.5966130719</v>
      </c>
      <c r="K95" s="177">
        <f t="shared" ca="1" si="87"/>
        <v>1213960.6358829236</v>
      </c>
      <c r="L95" s="177">
        <f t="shared" ca="1" si="87"/>
        <v>1079418.5428832767</v>
      </c>
      <c r="M95" s="177">
        <f t="shared" ca="1" si="87"/>
        <v>1452873.0721769542</v>
      </c>
      <c r="N95" s="177">
        <f t="shared" ca="1" si="87"/>
        <v>1450783.1971820446</v>
      </c>
      <c r="O95" s="177">
        <f t="shared" ca="1" si="87"/>
        <v>1294472.7318443437</v>
      </c>
      <c r="P95" s="177">
        <f t="shared" ca="1" si="87"/>
        <v>1294472.7318443437</v>
      </c>
      <c r="Q95" s="177">
        <f t="shared" ca="1" si="87"/>
        <v>919847.59617263358</v>
      </c>
      <c r="R95" s="177">
        <f t="shared" ca="1" si="87"/>
        <v>0</v>
      </c>
      <c r="S95" s="177">
        <f t="shared" ca="1" si="87"/>
        <v>0</v>
      </c>
      <c r="T95" s="177">
        <f t="shared" ca="1" si="87"/>
        <v>0</v>
      </c>
      <c r="U95" s="177">
        <f t="shared" ca="1" si="87"/>
        <v>0</v>
      </c>
      <c r="V95" s="177">
        <f t="shared" ca="1" si="87"/>
        <v>0</v>
      </c>
      <c r="W95" s="177">
        <f t="shared" ca="1" si="87"/>
        <v>0</v>
      </c>
      <c r="X95" s="126"/>
      <c r="Y95" s="118">
        <f ca="1">+X93+X91-X89</f>
        <v>0</v>
      </c>
    </row>
    <row r="96" spans="1:27" ht="18" customHeight="1" thickBot="1" x14ac:dyDescent="0.2">
      <c r="A96" s="183"/>
      <c r="B96" s="2534"/>
      <c r="C96" s="1693"/>
      <c r="D96" s="125"/>
      <c r="E96" s="185" t="s">
        <v>200</v>
      </c>
      <c r="F96" s="2261">
        <f t="shared" ref="F96:W96" ca="1" si="88">F95/$D89</f>
        <v>6.4199404026431983E-2</v>
      </c>
      <c r="G96" s="2261">
        <f t="shared" ca="1" si="88"/>
        <v>5.9378831633619525E-2</v>
      </c>
      <c r="H96" s="2261">
        <f t="shared" ca="1" si="88"/>
        <v>8.1451068739436056E-2</v>
      </c>
      <c r="I96" s="2261">
        <f t="shared" ca="1" si="88"/>
        <v>7.6684314744183329E-2</v>
      </c>
      <c r="J96" s="2261">
        <f t="shared" ca="1" si="88"/>
        <v>8.4297791024094404E-2</v>
      </c>
      <c r="K96" s="2261">
        <f t="shared" ca="1" si="88"/>
        <v>8.8404818788839087E-2</v>
      </c>
      <c r="L96" s="2261">
        <f t="shared" ca="1" si="88"/>
        <v>7.8606997509029483E-2</v>
      </c>
      <c r="M96" s="2261">
        <f t="shared" ca="1" si="88"/>
        <v>0.10580325001689317</v>
      </c>
      <c r="N96" s="2261">
        <f t="shared" ca="1" si="88"/>
        <v>0.10565105808022306</v>
      </c>
      <c r="O96" s="2261">
        <f t="shared" ca="1" si="88"/>
        <v>9.4267988518887416E-2</v>
      </c>
      <c r="P96" s="2261">
        <f t="shared" ca="1" si="88"/>
        <v>9.4267988518887416E-2</v>
      </c>
      <c r="Q96" s="2261">
        <f t="shared" ca="1" si="88"/>
        <v>6.698648839947513E-2</v>
      </c>
      <c r="R96" s="2261">
        <f t="shared" ca="1" si="88"/>
        <v>0</v>
      </c>
      <c r="S96" s="2261">
        <f t="shared" ca="1" si="88"/>
        <v>0</v>
      </c>
      <c r="T96" s="2261">
        <f t="shared" ca="1" si="88"/>
        <v>0</v>
      </c>
      <c r="U96" s="2261">
        <f t="shared" ca="1" si="88"/>
        <v>0</v>
      </c>
      <c r="V96" s="2261">
        <f t="shared" ca="1" si="88"/>
        <v>0</v>
      </c>
      <c r="W96" s="2261">
        <f t="shared" ca="1" si="88"/>
        <v>0</v>
      </c>
      <c r="X96" s="126"/>
    </row>
    <row r="97" spans="1:25" s="110" customFormat="1" ht="18" hidden="1" customHeight="1" x14ac:dyDescent="0.15">
      <c r="A97" s="109"/>
      <c r="B97" s="109"/>
      <c r="C97" s="109"/>
      <c r="D97" s="109"/>
      <c r="E97" s="127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18"/>
    </row>
    <row r="98" spans="1:25" s="110" customFormat="1" ht="18" hidden="1" customHeight="1" x14ac:dyDescent="0.15">
      <c r="A98" s="109"/>
      <c r="B98" s="109"/>
      <c r="C98" s="109"/>
      <c r="D98" s="109"/>
      <c r="E98" s="127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18"/>
    </row>
    <row r="99" spans="1:25" s="110" customFormat="1" ht="18" hidden="1" customHeight="1" x14ac:dyDescent="0.15">
      <c r="F99" s="2524" t="s">
        <v>669</v>
      </c>
      <c r="G99" s="2524"/>
      <c r="H99" s="2524"/>
      <c r="I99" s="2524"/>
      <c r="J99" s="2525" t="s">
        <v>201</v>
      </c>
      <c r="K99" s="2525"/>
      <c r="L99" s="2525"/>
      <c r="M99" s="2525"/>
    </row>
    <row r="100" spans="1:25" s="110" customFormat="1" ht="18" hidden="1" customHeight="1" x14ac:dyDescent="0.15">
      <c r="B100" s="163" t="str">
        <f>IF(B99=B88,"PLANILHA CORRETA","PLANILHA ERRADA")</f>
        <v>PLANILHA CORRETA</v>
      </c>
      <c r="C100" s="163"/>
      <c r="D100" s="123">
        <f ca="1">Orçamento_Deson!J12</f>
        <v>13731837.84</v>
      </c>
      <c r="F100" s="2524"/>
      <c r="G100" s="2524"/>
      <c r="H100" s="2524"/>
      <c r="I100" s="2524"/>
      <c r="J100" s="2525"/>
      <c r="K100" s="2525"/>
      <c r="L100" s="2525"/>
      <c r="M100" s="2525"/>
    </row>
    <row r="101" spans="1:25" s="110" customFormat="1" ht="18" hidden="1" customHeight="1" x14ac:dyDescent="0.15"/>
    <row r="102" spans="1:25" ht="18" hidden="1" customHeight="1" x14ac:dyDescent="0.15">
      <c r="E102" s="104"/>
    </row>
    <row r="103" spans="1:25" x14ac:dyDescent="0.15">
      <c r="E103" s="104"/>
    </row>
    <row r="104" spans="1:25" x14ac:dyDescent="0.15">
      <c r="E104" s="104"/>
    </row>
    <row r="105" spans="1:25" x14ac:dyDescent="0.15">
      <c r="E105" s="104"/>
    </row>
    <row r="106" spans="1:25" x14ac:dyDescent="0.15">
      <c r="E106" s="104"/>
    </row>
    <row r="107" spans="1:25" x14ac:dyDescent="0.15">
      <c r="E107" s="104"/>
    </row>
    <row r="108" spans="1:25" x14ac:dyDescent="0.15">
      <c r="D108" s="1657"/>
    </row>
    <row r="109" spans="1:25" x14ac:dyDescent="0.15">
      <c r="D109" s="1657"/>
    </row>
    <row r="110" spans="1:25" ht="12.75" x14ac:dyDescent="0.15">
      <c r="E110" s="851"/>
    </row>
    <row r="111" spans="1:25" ht="12.75" x14ac:dyDescent="0.15">
      <c r="D111" s="851"/>
      <c r="E111" s="851"/>
    </row>
    <row r="112" spans="1:25" ht="12.75" x14ac:dyDescent="0.15">
      <c r="D112" s="851"/>
      <c r="E112" s="851"/>
    </row>
    <row r="113" spans="4:5" ht="12.75" x14ac:dyDescent="0.15">
      <c r="D113" s="851"/>
      <c r="E113" s="851"/>
    </row>
    <row r="114" spans="4:5" ht="12.75" x14ac:dyDescent="0.15">
      <c r="E114" s="851"/>
    </row>
    <row r="115" spans="4:5" ht="12.75" x14ac:dyDescent="0.15">
      <c r="D115" s="851"/>
      <c r="E115" s="851"/>
    </row>
    <row r="116" spans="4:5" ht="12.75" x14ac:dyDescent="0.15">
      <c r="D116" s="851"/>
      <c r="E116" s="851"/>
    </row>
    <row r="117" spans="4:5" ht="12.75" x14ac:dyDescent="0.15">
      <c r="D117" s="851"/>
      <c r="E117" s="851"/>
    </row>
    <row r="118" spans="4:5" ht="12.75" x14ac:dyDescent="0.15">
      <c r="D118" s="833"/>
      <c r="E118" s="816"/>
    </row>
    <row r="119" spans="4:5" ht="12.75" x14ac:dyDescent="0.15">
      <c r="D119" s="833"/>
      <c r="E119" s="816"/>
    </row>
    <row r="120" spans="4:5" ht="12.75" x14ac:dyDescent="0.15">
      <c r="D120" s="833"/>
      <c r="E120" s="816"/>
    </row>
    <row r="121" spans="4:5" ht="12.75" x14ac:dyDescent="0.15">
      <c r="D121" s="833"/>
      <c r="E121" s="816"/>
    </row>
    <row r="122" spans="4:5" ht="12.75" x14ac:dyDescent="0.15">
      <c r="E122" s="816"/>
    </row>
    <row r="123" spans="4:5" ht="12.75" x14ac:dyDescent="0.15">
      <c r="D123" s="851"/>
      <c r="E123" s="816"/>
    </row>
    <row r="124" spans="4:5" ht="12.75" x14ac:dyDescent="0.15">
      <c r="D124" s="851"/>
      <c r="E124" s="816"/>
    </row>
    <row r="125" spans="4:5" ht="12.75" x14ac:dyDescent="0.15">
      <c r="D125" s="851"/>
      <c r="E125" s="816"/>
    </row>
    <row r="126" spans="4:5" ht="12.75" x14ac:dyDescent="0.15">
      <c r="D126" s="816"/>
      <c r="E126" s="816"/>
    </row>
    <row r="127" spans="4:5" ht="12.75" x14ac:dyDescent="0.15">
      <c r="D127" s="816"/>
      <c r="E127" s="816"/>
    </row>
    <row r="128" spans="4:5" ht="12.75" x14ac:dyDescent="0.15">
      <c r="D128" s="816"/>
      <c r="E128" s="816"/>
    </row>
    <row r="129" spans="4:5" ht="12.75" x14ac:dyDescent="0.15">
      <c r="D129" s="816"/>
      <c r="E129" s="816"/>
    </row>
    <row r="130" spans="4:5" ht="12.75" x14ac:dyDescent="0.15">
      <c r="D130" s="816"/>
      <c r="E130" s="816"/>
    </row>
    <row r="131" spans="4:5" ht="12.75" x14ac:dyDescent="0.15">
      <c r="D131" s="816"/>
      <c r="E131" s="816"/>
    </row>
    <row r="132" spans="4:5" ht="12.75" x14ac:dyDescent="0.15">
      <c r="D132" s="816"/>
      <c r="E132" s="816"/>
    </row>
    <row r="133" spans="4:5" ht="12.75" x14ac:dyDescent="0.15">
      <c r="D133" s="816"/>
      <c r="E133" s="816"/>
    </row>
    <row r="134" spans="4:5" x14ac:dyDescent="0.15">
      <c r="E134" s="104"/>
    </row>
    <row r="135" spans="4:5" ht="12.75" x14ac:dyDescent="0.15">
      <c r="D135" s="852"/>
      <c r="E135" s="851"/>
    </row>
    <row r="136" spans="4:5" ht="12.75" x14ac:dyDescent="0.15">
      <c r="D136" s="852"/>
      <c r="E136" s="851"/>
    </row>
    <row r="137" spans="4:5" ht="12.75" x14ac:dyDescent="0.15">
      <c r="D137" s="852"/>
      <c r="E137" s="851"/>
    </row>
    <row r="138" spans="4:5" ht="12.75" x14ac:dyDescent="0.15">
      <c r="D138" s="816"/>
      <c r="E138" s="816"/>
    </row>
    <row r="139" spans="4:5" ht="12.75" x14ac:dyDescent="0.15">
      <c r="D139" s="816"/>
      <c r="E139" s="816"/>
    </row>
    <row r="140" spans="4:5" ht="12.75" x14ac:dyDescent="0.15">
      <c r="D140" s="816"/>
      <c r="E140" s="816"/>
    </row>
    <row r="141" spans="4:5" ht="12.75" x14ac:dyDescent="0.15">
      <c r="D141" s="816"/>
      <c r="E141" s="816"/>
    </row>
    <row r="142" spans="4:5" x14ac:dyDescent="0.15">
      <c r="E142" s="104"/>
    </row>
    <row r="143" spans="4:5" ht="12.75" x14ac:dyDescent="0.15">
      <c r="D143" s="852"/>
      <c r="E143" s="851"/>
    </row>
    <row r="144" spans="4:5" ht="12.75" x14ac:dyDescent="0.15">
      <c r="D144" s="852"/>
      <c r="E144" s="851"/>
    </row>
    <row r="145" spans="4:5" ht="12.75" x14ac:dyDescent="0.15">
      <c r="D145" s="852"/>
      <c r="E145" s="851"/>
    </row>
    <row r="146" spans="4:5" x14ac:dyDescent="0.15">
      <c r="D146" s="1621"/>
    </row>
    <row r="147" spans="4:5" x14ac:dyDescent="0.15">
      <c r="D147" s="1621"/>
    </row>
    <row r="148" spans="4:5" x14ac:dyDescent="0.15">
      <c r="D148" s="1621"/>
    </row>
    <row r="149" spans="4:5" x14ac:dyDescent="0.15">
      <c r="D149" s="1621"/>
    </row>
    <row r="150" spans="4:5" x14ac:dyDescent="0.15">
      <c r="D150" s="1621"/>
    </row>
    <row r="151" spans="4:5" x14ac:dyDescent="0.15">
      <c r="D151" s="1621"/>
    </row>
    <row r="152" spans="4:5" x14ac:dyDescent="0.15">
      <c r="D152" s="1621"/>
    </row>
    <row r="153" spans="4:5" x14ac:dyDescent="0.15">
      <c r="D153" s="1621"/>
    </row>
    <row r="154" spans="4:5" x14ac:dyDescent="0.15">
      <c r="D154" s="1621"/>
    </row>
    <row r="155" spans="4:5" x14ac:dyDescent="0.15">
      <c r="D155" s="1621"/>
    </row>
    <row r="156" spans="4:5" x14ac:dyDescent="0.15">
      <c r="D156" s="1621"/>
    </row>
    <row r="157" spans="4:5" x14ac:dyDescent="0.15">
      <c r="D157" s="1621"/>
    </row>
    <row r="158" spans="4:5" x14ac:dyDescent="0.15">
      <c r="D158" s="1621"/>
    </row>
    <row r="159" spans="4:5" x14ac:dyDescent="0.15">
      <c r="D159" s="1621"/>
    </row>
    <row r="160" spans="4:5" x14ac:dyDescent="0.15">
      <c r="D160" s="1621"/>
    </row>
    <row r="161" spans="4:4" x14ac:dyDescent="0.15">
      <c r="D161" s="1621"/>
    </row>
    <row r="162" spans="4:4" x14ac:dyDescent="0.15">
      <c r="D162" s="1621"/>
    </row>
    <row r="163" spans="4:4" x14ac:dyDescent="0.15">
      <c r="D163" s="1621"/>
    </row>
    <row r="164" spans="4:4" x14ac:dyDescent="0.15">
      <c r="D164" s="1621"/>
    </row>
    <row r="165" spans="4:4" x14ac:dyDescent="0.15">
      <c r="D165" s="1621"/>
    </row>
    <row r="166" spans="4:4" x14ac:dyDescent="0.15">
      <c r="D166" s="1621"/>
    </row>
    <row r="167" spans="4:4" x14ac:dyDescent="0.15">
      <c r="D167" s="1621"/>
    </row>
  </sheetData>
  <mergeCells count="77">
    <mergeCell ref="X7:X8"/>
    <mergeCell ref="D8:E8"/>
    <mergeCell ref="A13:A16"/>
    <mergeCell ref="B13:B16"/>
    <mergeCell ref="D14:E14"/>
    <mergeCell ref="A9:A12"/>
    <mergeCell ref="B9:B12"/>
    <mergeCell ref="D10:E10"/>
    <mergeCell ref="A7:A8"/>
    <mergeCell ref="B7:B8"/>
    <mergeCell ref="D7:E7"/>
    <mergeCell ref="A17:A20"/>
    <mergeCell ref="B17:B20"/>
    <mergeCell ref="D18:E18"/>
    <mergeCell ref="A21:A24"/>
    <mergeCell ref="B21:B24"/>
    <mergeCell ref="D22:E22"/>
    <mergeCell ref="A25:A28"/>
    <mergeCell ref="B25:B28"/>
    <mergeCell ref="D26:E26"/>
    <mergeCell ref="A29:A32"/>
    <mergeCell ref="B29:B32"/>
    <mergeCell ref="D30:E30"/>
    <mergeCell ref="A33:A36"/>
    <mergeCell ref="B33:B36"/>
    <mergeCell ref="D34:E34"/>
    <mergeCell ref="A37:A40"/>
    <mergeCell ref="B37:B40"/>
    <mergeCell ref="D38:E38"/>
    <mergeCell ref="A41:A44"/>
    <mergeCell ref="B41:B44"/>
    <mergeCell ref="D42:E42"/>
    <mergeCell ref="A45:A48"/>
    <mergeCell ref="B45:B48"/>
    <mergeCell ref="D46:E46"/>
    <mergeCell ref="A49:A52"/>
    <mergeCell ref="B49:B52"/>
    <mergeCell ref="D50:E50"/>
    <mergeCell ref="A53:A56"/>
    <mergeCell ref="B53:B56"/>
    <mergeCell ref="D54:E54"/>
    <mergeCell ref="A57:A60"/>
    <mergeCell ref="B57:B60"/>
    <mergeCell ref="D58:E58"/>
    <mergeCell ref="A61:A64"/>
    <mergeCell ref="B61:B64"/>
    <mergeCell ref="D62:E62"/>
    <mergeCell ref="A65:A68"/>
    <mergeCell ref="B65:B68"/>
    <mergeCell ref="D66:E66"/>
    <mergeCell ref="A69:A72"/>
    <mergeCell ref="B69:B72"/>
    <mergeCell ref="D70:E70"/>
    <mergeCell ref="A73:A76"/>
    <mergeCell ref="B73:B76"/>
    <mergeCell ref="D74:E74"/>
    <mergeCell ref="A77:A80"/>
    <mergeCell ref="B77:B80"/>
    <mergeCell ref="D78:E78"/>
    <mergeCell ref="A81:A84"/>
    <mergeCell ref="B81:B84"/>
    <mergeCell ref="D82:E82"/>
    <mergeCell ref="A85:A88"/>
    <mergeCell ref="B85:B88"/>
    <mergeCell ref="D86:E86"/>
    <mergeCell ref="B89:B90"/>
    <mergeCell ref="D89:E89"/>
    <mergeCell ref="D90:E90"/>
    <mergeCell ref="B95:B96"/>
    <mergeCell ref="F99:I100"/>
    <mergeCell ref="J99:M100"/>
    <mergeCell ref="B91:B92"/>
    <mergeCell ref="D91:E91"/>
    <mergeCell ref="D92:E92"/>
    <mergeCell ref="B93:B94"/>
    <mergeCell ref="D93:E93"/>
    <mergeCell ref="D94:E94"/>
  </mergeCells>
  <conditionalFormatting sqref="F9:W9">
    <cfRule type="cellIs" dxfId="161" priority="29" operator="greaterThan">
      <formula>0</formula>
    </cfRule>
  </conditionalFormatting>
  <conditionalFormatting sqref="F13:W13">
    <cfRule type="cellIs" dxfId="160" priority="28" operator="greaterThan">
      <formula>0</formula>
    </cfRule>
  </conditionalFormatting>
  <conditionalFormatting sqref="F17:W17">
    <cfRule type="cellIs" dxfId="159" priority="27" operator="greaterThan">
      <formula>0</formula>
    </cfRule>
  </conditionalFormatting>
  <conditionalFormatting sqref="F21:W21">
    <cfRule type="cellIs" dxfId="158" priority="26" operator="greaterThan">
      <formula>0</formula>
    </cfRule>
  </conditionalFormatting>
  <conditionalFormatting sqref="F25:W25">
    <cfRule type="cellIs" dxfId="157" priority="25" operator="greaterThan">
      <formula>0</formula>
    </cfRule>
  </conditionalFormatting>
  <conditionalFormatting sqref="F29:W29">
    <cfRule type="cellIs" dxfId="156" priority="24" operator="greaterThan">
      <formula>0</formula>
    </cfRule>
  </conditionalFormatting>
  <conditionalFormatting sqref="F33:W33">
    <cfRule type="cellIs" dxfId="155" priority="23" operator="greaterThan">
      <formula>0</formula>
    </cfRule>
  </conditionalFormatting>
  <conditionalFormatting sqref="F37:W37">
    <cfRule type="cellIs" dxfId="154" priority="22" operator="greaterThan">
      <formula>0</formula>
    </cfRule>
  </conditionalFormatting>
  <conditionalFormatting sqref="F41:W41">
    <cfRule type="cellIs" dxfId="153" priority="21" operator="greaterThan">
      <formula>0</formula>
    </cfRule>
  </conditionalFormatting>
  <conditionalFormatting sqref="F45:W45">
    <cfRule type="cellIs" dxfId="152" priority="20" operator="greaterThan">
      <formula>0</formula>
    </cfRule>
  </conditionalFormatting>
  <conditionalFormatting sqref="F49:W49">
    <cfRule type="cellIs" dxfId="151" priority="19" operator="greaterThan">
      <formula>0</formula>
    </cfRule>
  </conditionalFormatting>
  <conditionalFormatting sqref="F53:W53">
    <cfRule type="cellIs" dxfId="150" priority="18" operator="greaterThan">
      <formula>0</formula>
    </cfRule>
  </conditionalFormatting>
  <conditionalFormatting sqref="F57:W57">
    <cfRule type="cellIs" dxfId="149" priority="17" operator="greaterThan">
      <formula>0</formula>
    </cfRule>
  </conditionalFormatting>
  <conditionalFormatting sqref="F61:W61">
    <cfRule type="cellIs" dxfId="148" priority="16" operator="greaterThan">
      <formula>0</formula>
    </cfRule>
  </conditionalFormatting>
  <conditionalFormatting sqref="F65:W65">
    <cfRule type="cellIs" dxfId="147" priority="15" operator="greaterThan">
      <formula>0</formula>
    </cfRule>
  </conditionalFormatting>
  <conditionalFormatting sqref="F69:W69">
    <cfRule type="cellIs" dxfId="146" priority="13" operator="greaterThan">
      <formula>0</formula>
    </cfRule>
  </conditionalFormatting>
  <conditionalFormatting sqref="F73:W73">
    <cfRule type="cellIs" dxfId="145" priority="12" operator="greaterThan">
      <formula>0</formula>
    </cfRule>
  </conditionalFormatting>
  <conditionalFormatting sqref="F77:W77">
    <cfRule type="cellIs" dxfId="144" priority="11" operator="greaterThan">
      <formula>0</formula>
    </cfRule>
  </conditionalFormatting>
  <conditionalFormatting sqref="F81:W81">
    <cfRule type="cellIs" dxfId="143" priority="10" operator="greaterThan">
      <formula>0</formula>
    </cfRule>
  </conditionalFormatting>
  <conditionalFormatting sqref="F85:W85">
    <cfRule type="cellIs" dxfId="142" priority="9" operator="greaterThan">
      <formula>0</formula>
    </cfRule>
  </conditionalFormatting>
  <conditionalFormatting sqref="Y12 Y16 Y20 Y24 Y32 Y40 Y44 Y48 Y52 Y56 Y60 Y64 Y68 Y72 Y84 Y88">
    <cfRule type="cellIs" dxfId="141" priority="82" operator="lessThan">
      <formula>0</formula>
    </cfRule>
    <cfRule type="cellIs" dxfId="140" priority="83" operator="greaterThan">
      <formula>0</formula>
    </cfRule>
  </conditionalFormatting>
  <conditionalFormatting sqref="Y28">
    <cfRule type="cellIs" dxfId="139" priority="40" operator="lessThan">
      <formula>0</formula>
    </cfRule>
    <cfRule type="cellIs" dxfId="138" priority="41" operator="greaterThan">
      <formula>0</formula>
    </cfRule>
  </conditionalFormatting>
  <conditionalFormatting sqref="Y36">
    <cfRule type="cellIs" dxfId="137" priority="36" operator="lessThan">
      <formula>0</formula>
    </cfRule>
    <cfRule type="cellIs" dxfId="136" priority="37" operator="greaterThan">
      <formula>0</formula>
    </cfRule>
  </conditionalFormatting>
  <conditionalFormatting sqref="Y76">
    <cfRule type="cellIs" dxfId="135" priority="80" operator="lessThan">
      <formula>0</formula>
    </cfRule>
    <cfRule type="cellIs" dxfId="134" priority="81" operator="greaterThan">
      <formula>0</formula>
    </cfRule>
  </conditionalFormatting>
  <conditionalFormatting sqref="Y80">
    <cfRule type="cellIs" dxfId="133" priority="78" operator="lessThan">
      <formula>0</formula>
    </cfRule>
    <cfRule type="cellIs" dxfId="132" priority="79" operator="greaterThan">
      <formula>0</formula>
    </cfRule>
  </conditionalFormatting>
  <hyperlinks>
    <hyperlink ref="A7:A8" location="PAINEL!A1" display="ITEM" xr:uid="{00000000-0004-0000-0900-000000000000}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60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X91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4">
    <tabColor rgb="FF00B0F0"/>
    <pageSetUpPr fitToPage="1"/>
  </sheetPr>
  <dimension ref="A1:Q70"/>
  <sheetViews>
    <sheetView showZeros="0" zoomScaleNormal="100" workbookViewId="0">
      <selection activeCell="N26" sqref="N26"/>
    </sheetView>
  </sheetViews>
  <sheetFormatPr defaultColWidth="10" defaultRowHeight="12.75" x14ac:dyDescent="0.2"/>
  <cols>
    <col min="1" max="1" width="9.875" style="378" customWidth="1"/>
    <col min="2" max="2" width="41.5" style="375" customWidth="1"/>
    <col min="3" max="3" width="7.875" style="409" customWidth="1"/>
    <col min="4" max="4" width="11.625" style="409" customWidth="1"/>
    <col min="5" max="5" width="8.5" style="410" customWidth="1"/>
    <col min="6" max="6" width="9.875" style="375" customWidth="1"/>
    <col min="7" max="7" width="9.875" style="409" customWidth="1"/>
    <col min="8" max="8" width="12.625" style="409" customWidth="1"/>
    <col min="9" max="16384" width="10" style="375"/>
  </cols>
  <sheetData>
    <row r="1" spans="1:17" s="35" customFormat="1" ht="21.95" customHeight="1" x14ac:dyDescent="0.15">
      <c r="A1" s="369" t="s">
        <v>520</v>
      </c>
      <c r="B1" s="369"/>
      <c r="C1" s="369"/>
      <c r="D1" s="369"/>
      <c r="E1" s="369"/>
      <c r="F1" s="369"/>
      <c r="G1" s="369"/>
      <c r="H1" s="369"/>
    </row>
    <row r="2" spans="1:17" s="35" customFormat="1" ht="18" customHeight="1" x14ac:dyDescent="0.15">
      <c r="A2" s="35" t="s">
        <v>596</v>
      </c>
      <c r="B2" s="35" t="s">
        <v>597</v>
      </c>
      <c r="C2" s="370"/>
      <c r="D2" s="370"/>
      <c r="E2" s="371"/>
    </row>
    <row r="3" spans="1:17" s="35" customFormat="1" ht="18" customHeight="1" x14ac:dyDescent="0.15">
      <c r="A3" s="35" t="s">
        <v>595</v>
      </c>
      <c r="B3" s="35" t="str">
        <f>+CCU_Adm_Local_Não_Deson!B3</f>
        <v>Ribas do Rio Pardo/MS</v>
      </c>
      <c r="C3" s="2538" t="str">
        <f>Orçamento_Deson!J2</f>
        <v>DESONERADA</v>
      </c>
      <c r="D3" s="2538"/>
      <c r="E3" s="2538"/>
    </row>
    <row r="4" spans="1:17" s="35" customFormat="1" ht="18" customHeight="1" x14ac:dyDescent="0.15">
      <c r="A4" s="35" t="s">
        <v>594</v>
      </c>
      <c r="B4" s="1698" t="str">
        <f>Orçamento_Deson!$J$1</f>
        <v>Junho/2023</v>
      </c>
      <c r="C4" s="47"/>
      <c r="D4" s="372" t="s">
        <v>521</v>
      </c>
      <c r="E4" s="373">
        <f>Orçamento_Deson!J3</f>
        <v>0.8528</v>
      </c>
    </row>
    <row r="5" spans="1:17" s="35" customFormat="1" ht="18" customHeight="1" thickBot="1" x14ac:dyDescent="0.2">
      <c r="D5" s="372" t="s">
        <v>699</v>
      </c>
      <c r="E5" s="373">
        <f>Orçamento_Deson!J4</f>
        <v>0.4723</v>
      </c>
    </row>
    <row r="6" spans="1:17" s="377" customFormat="1" ht="18" customHeight="1" thickTop="1" x14ac:dyDescent="0.15">
      <c r="A6" s="374" t="s">
        <v>186</v>
      </c>
      <c r="B6" s="2539" t="s">
        <v>522</v>
      </c>
      <c r="C6" s="2540"/>
      <c r="D6" s="2541"/>
      <c r="E6" s="2547" t="s">
        <v>523</v>
      </c>
      <c r="F6" s="2548"/>
      <c r="G6" s="2549"/>
      <c r="H6" s="857" t="s">
        <v>536</v>
      </c>
      <c r="J6" s="35"/>
      <c r="K6" s="35"/>
      <c r="L6" s="35"/>
      <c r="M6" s="35"/>
      <c r="N6" s="35"/>
      <c r="O6" s="35"/>
      <c r="P6" s="35"/>
      <c r="Q6" s="35"/>
    </row>
    <row r="7" spans="1:17" s="377" customFormat="1" ht="35.1" customHeight="1" thickBot="1" x14ac:dyDescent="0.2">
      <c r="A7" s="413" t="s">
        <v>535</v>
      </c>
      <c r="B7" s="2542" t="s">
        <v>537</v>
      </c>
      <c r="C7" s="2543"/>
      <c r="D7" s="2544"/>
      <c r="E7" s="2550" t="s">
        <v>534</v>
      </c>
      <c r="F7" s="2551"/>
      <c r="G7" s="411">
        <f>CCU_Adm_Local_Não_Deson!G7</f>
        <v>12</v>
      </c>
      <c r="H7" s="376" t="s">
        <v>205</v>
      </c>
      <c r="J7" s="35"/>
      <c r="K7" s="35"/>
      <c r="L7" s="35"/>
      <c r="M7" s="35"/>
      <c r="N7" s="35"/>
      <c r="O7" s="35"/>
      <c r="P7" s="35"/>
      <c r="Q7" s="35"/>
    </row>
    <row r="8" spans="1:17" ht="18" customHeight="1" thickTop="1" thickBot="1" x14ac:dyDescent="0.25">
      <c r="C8" s="375"/>
      <c r="D8" s="375"/>
      <c r="E8" s="375"/>
      <c r="G8" s="375"/>
      <c r="H8" s="375"/>
      <c r="J8" s="35"/>
      <c r="K8" s="35"/>
      <c r="L8" s="35"/>
      <c r="M8" s="35"/>
      <c r="N8" s="35"/>
      <c r="O8" s="35"/>
      <c r="P8" s="35"/>
      <c r="Q8" s="35"/>
    </row>
    <row r="9" spans="1:17" s="35" customFormat="1" ht="18" customHeight="1" thickTop="1" x14ac:dyDescent="0.15">
      <c r="A9" s="2556" t="s">
        <v>186</v>
      </c>
      <c r="B9" s="2552" t="s">
        <v>524</v>
      </c>
      <c r="C9" s="2553"/>
      <c r="D9" s="2545" t="s">
        <v>187</v>
      </c>
      <c r="E9" s="2545" t="s">
        <v>33</v>
      </c>
      <c r="F9" s="2545" t="s">
        <v>526</v>
      </c>
      <c r="G9" s="2571" t="s">
        <v>336</v>
      </c>
      <c r="H9" s="2568" t="s">
        <v>920</v>
      </c>
    </row>
    <row r="10" spans="1:17" s="35" customFormat="1" ht="18" customHeight="1" x14ac:dyDescent="0.15">
      <c r="A10" s="2557"/>
      <c r="B10" s="2554"/>
      <c r="C10" s="2555"/>
      <c r="D10" s="2546"/>
      <c r="E10" s="2546"/>
      <c r="F10" s="2546"/>
      <c r="G10" s="2546"/>
      <c r="H10" s="2569"/>
    </row>
    <row r="11" spans="1:17" s="382" customFormat="1" ht="30" hidden="1" customHeight="1" x14ac:dyDescent="0.15">
      <c r="A11" s="412" t="str">
        <f>CCU_Adm_Local_Não_Deson!A11</f>
        <v>AD/0002</v>
      </c>
      <c r="B11" s="802" t="str">
        <f>VLOOKUP($A11,[5]BOLETIM_SEL!$A:$G,4,0)</f>
        <v xml:space="preserve"> VEÍCULO LEVE - 53 KW (SEM MOTORISTA) (116,49h CPI + 66h CHP - 182,49h MDO)(REF. SICRO COD. E9512)</v>
      </c>
      <c r="C11" s="803"/>
      <c r="D11" s="806" t="str">
        <f>VLOOKUP($A11,[5]BOLETIM_SEL!$A:$G,2,0)</f>
        <v>COMPOSIÇÃO</v>
      </c>
      <c r="E11" s="805" t="str">
        <f>VLOOKUP($A11,[5]BOLETIM_SEL!$A:$G,6,0)</f>
        <v>UN.MÊS</v>
      </c>
      <c r="F11" s="805">
        <f>VLOOKUP($A11,[5]BOLETIM_SEL!$A:$G,7,0)</f>
        <v>2914.22</v>
      </c>
      <c r="G11" s="805">
        <f>CCU_Adm_Local_Não_Deson!G11</f>
        <v>0</v>
      </c>
      <c r="H11" s="663">
        <f>F11*G11</f>
        <v>0</v>
      </c>
    </row>
    <row r="12" spans="1:17" s="382" customFormat="1" ht="30" customHeight="1" x14ac:dyDescent="0.15">
      <c r="A12" s="412" t="str">
        <f>CCU_Adm_Local_Não_Deson!A12</f>
        <v>AD/0003</v>
      </c>
      <c r="B12" s="802" t="str">
        <f>VLOOKUP($A12,[5]BOLETIM_SEL!$A:$G,4,0)</f>
        <v xml:space="preserve"> CAMINHONETE - 71 A 115 CV (SEM MOTORISTA) (116,49h CPI + 66h CHP - 182,49h MDO)(REF. SINAPI COD. 92145)</v>
      </c>
      <c r="C12" s="803"/>
      <c r="D12" s="806" t="str">
        <f>VLOOKUP($A12,[5]BOLETIM_SEL!$A:$G,2,0)</f>
        <v>COMPOSIÇÃO</v>
      </c>
      <c r="E12" s="805" t="str">
        <f>VLOOKUP($A12,[5]BOLETIM_SEL!$A:$G,6,0)</f>
        <v>UN.MÊS</v>
      </c>
      <c r="F12" s="805">
        <f>VLOOKUP($A12,[5]BOLETIM_SEL!$A:$G,7,0)</f>
        <v>3809.44</v>
      </c>
      <c r="G12" s="805">
        <v>12</v>
      </c>
      <c r="H12" s="663">
        <f t="shared" ref="H12:H13" si="0">F12*G12</f>
        <v>45713.279999999999</v>
      </c>
    </row>
    <row r="13" spans="1:17" s="382" customFormat="1" ht="30" hidden="1" customHeight="1" x14ac:dyDescent="0.15">
      <c r="A13" s="412" t="str">
        <f>CCU_Adm_Local_Não_Deson!A13</f>
        <v>AD/0005</v>
      </c>
      <c r="B13" s="802" t="str">
        <f>VLOOKUP($A13,[5]BOLETIM_SEL!$A:$G,4,0)</f>
        <v xml:space="preserve"> VAN - 120 A 140 CV (COM MOTORISTA) (116,49h CPI + 66h CHP) (REF. SICRO COD. E9125)</v>
      </c>
      <c r="C13" s="803"/>
      <c r="D13" s="806" t="str">
        <f>VLOOKUP($A13,[5]BOLETIM_SEL!$A:$G,2,0)</f>
        <v>COMPOSIÇÃO</v>
      </c>
      <c r="E13" s="805" t="str">
        <f>VLOOKUP($A13,[5]BOLETIM_SEL!$A:$G,6,0)</f>
        <v>UN.MÊS</v>
      </c>
      <c r="F13" s="805">
        <f>VLOOKUP($A13,[5]BOLETIM_SEL!$A:$G,7,0)</f>
        <v>9532.91</v>
      </c>
      <c r="G13" s="805"/>
      <c r="H13" s="663">
        <f t="shared" si="0"/>
        <v>0</v>
      </c>
    </row>
    <row r="14" spans="1:17" s="382" customFormat="1" ht="30" customHeight="1" x14ac:dyDescent="0.15">
      <c r="A14" s="412" t="str">
        <f>CCU_Adm_Local_Não_Deson!A14</f>
        <v>B8958</v>
      </c>
      <c r="B14" s="802" t="str">
        <f>VLOOKUP($A14,[5]BOLETIM_SEL!$A:$G,4,0)</f>
        <v xml:space="preserve">Topografia </v>
      </c>
      <c r="C14" s="803"/>
      <c r="D14" s="806" t="str">
        <f>VLOOKUP($A14,[5]BOLETIM_SEL!$A:$G,2,0)</f>
        <v>DNIT/Consultoria</v>
      </c>
      <c r="E14" s="805" t="str">
        <f>VLOOKUP($A14,[5]BOLETIM_SEL!$A:$G,6,0)</f>
        <v>mês</v>
      </c>
      <c r="F14" s="805">
        <f>VLOOKUP($A14,[5]BOLETIM_SEL!$A:$G,7,0)</f>
        <v>3200.23</v>
      </c>
      <c r="G14" s="805">
        <f>G27</f>
        <v>12</v>
      </c>
      <c r="H14" s="663">
        <f>F14*G14</f>
        <v>38402.76</v>
      </c>
    </row>
    <row r="15" spans="1:17" s="382" customFormat="1" ht="30" customHeight="1" x14ac:dyDescent="0.15">
      <c r="A15" s="412" t="str">
        <f>CCU_Adm_Local_Não_Deson!A15</f>
        <v>B8957</v>
      </c>
      <c r="B15" s="802" t="str">
        <f>VLOOKUP($A15,[5]BOLETIM_SEL!$A:$G,4,0)</f>
        <v xml:space="preserve">Laboratório de solos </v>
      </c>
      <c r="C15" s="803"/>
      <c r="D15" s="806" t="str">
        <f>VLOOKUP($A15,[5]BOLETIM_SEL!$A:$G,2,0)</f>
        <v>DNIT/Consultoria</v>
      </c>
      <c r="E15" s="805" t="str">
        <f>VLOOKUP($A15,[5]BOLETIM_SEL!$A:$G,6,0)</f>
        <v>mês</v>
      </c>
      <c r="F15" s="805">
        <f>VLOOKUP($A15,[5]BOLETIM_SEL!$A:$G,7,0)</f>
        <v>4402.2299999999996</v>
      </c>
      <c r="G15" s="805">
        <f>G28</f>
        <v>12</v>
      </c>
      <c r="H15" s="663">
        <f>F15*G15</f>
        <v>52826.759999999995</v>
      </c>
    </row>
    <row r="16" spans="1:17" s="35" customFormat="1" ht="15.95" customHeight="1" thickBot="1" x14ac:dyDescent="0.2">
      <c r="A16" s="384"/>
      <c r="B16" s="385"/>
      <c r="C16" s="1700"/>
      <c r="D16" s="1701"/>
      <c r="E16" s="386"/>
      <c r="F16" s="387"/>
      <c r="G16" s="388"/>
      <c r="H16" s="389"/>
    </row>
    <row r="17" spans="1:15" s="35" customFormat="1" ht="18" customHeight="1" thickTop="1" x14ac:dyDescent="0.15">
      <c r="A17" s="390"/>
      <c r="B17" s="391"/>
      <c r="C17" s="31"/>
      <c r="D17" s="31" t="s">
        <v>527</v>
      </c>
      <c r="E17" s="393"/>
      <c r="F17" s="393"/>
      <c r="G17" s="392"/>
      <c r="H17" s="392">
        <f>SUM(H11:H16)</f>
        <v>136942.79999999999</v>
      </c>
    </row>
    <row r="18" spans="1:15" s="35" customFormat="1" ht="18" customHeight="1" thickBot="1" x14ac:dyDescent="0.2">
      <c r="A18" s="394"/>
      <c r="B18" s="371"/>
      <c r="C18" s="31"/>
      <c r="D18" s="31"/>
      <c r="G18" s="31"/>
      <c r="H18" s="31"/>
    </row>
    <row r="19" spans="1:15" s="35" customFormat="1" ht="18" customHeight="1" thickTop="1" x14ac:dyDescent="0.15">
      <c r="A19" s="2556" t="s">
        <v>186</v>
      </c>
      <c r="B19" s="2558" t="s">
        <v>528</v>
      </c>
      <c r="C19" s="2559"/>
      <c r="D19" s="2560"/>
      <c r="E19" s="2571" t="s">
        <v>33</v>
      </c>
      <c r="F19" s="2570" t="s">
        <v>919</v>
      </c>
      <c r="G19" s="2571" t="s">
        <v>336</v>
      </c>
      <c r="H19" s="2568" t="s">
        <v>918</v>
      </c>
      <c r="J19" s="515">
        <f ca="1">Orçamento_Deson!K926</f>
        <v>4.6837354729496274E-2</v>
      </c>
    </row>
    <row r="20" spans="1:15" s="35" customFormat="1" ht="18" customHeight="1" x14ac:dyDescent="0.15">
      <c r="A20" s="2557"/>
      <c r="B20" s="2561"/>
      <c r="C20" s="2562"/>
      <c r="D20" s="2563"/>
      <c r="E20" s="2546"/>
      <c r="F20" s="2546"/>
      <c r="G20" s="2546"/>
      <c r="H20" s="2569"/>
      <c r="I20" s="382"/>
      <c r="J20" s="382"/>
      <c r="K20" s="382"/>
      <c r="L20" s="382"/>
      <c r="M20" s="395"/>
      <c r="N20" s="396"/>
      <c r="O20" s="397"/>
    </row>
    <row r="21" spans="1:15" s="382" customFormat="1" ht="18" customHeight="1" x14ac:dyDescent="0.15">
      <c r="A21" s="379">
        <v>93567</v>
      </c>
      <c r="B21" s="2564" t="str">
        <f>VLOOKUP($A21,[5]BOLETIM_SEL!$A:$G,4,0)</f>
        <v>Engenheiro civil de obra pleno com encargos complementares (mensalista)</v>
      </c>
      <c r="C21" s="2565"/>
      <c r="D21" s="2565"/>
      <c r="E21" s="805" t="str">
        <f>VLOOKUP($A21,[5]BOLETIM_SEL!$A:$G,6,0)</f>
        <v>MES</v>
      </c>
      <c r="F21" s="380">
        <f>VLOOKUP(A21,[5]BOLETIM_SEL!$A:$G,7,0)</f>
        <v>19385.919999999998</v>
      </c>
      <c r="G21" s="380">
        <v>1</v>
      </c>
      <c r="H21" s="581">
        <f t="shared" ref="H21:H31" si="1">F21*G21</f>
        <v>19385.919999999998</v>
      </c>
      <c r="I21" s="692"/>
      <c r="J21" s="692"/>
      <c r="K21" s="692"/>
      <c r="L21" s="692"/>
    </row>
    <row r="22" spans="1:15" s="382" customFormat="1" ht="18" hidden="1" customHeight="1" x14ac:dyDescent="0.15">
      <c r="A22" s="379">
        <v>93565</v>
      </c>
      <c r="B22" s="2535" t="str">
        <f>VLOOKUP($A22,[5]BOLETIM_SEL!$A:$G,4,0)</f>
        <v>Engenheiro civil de obra júnior com encargos complementares (mensalista)</v>
      </c>
      <c r="C22" s="2536"/>
      <c r="D22" s="2537"/>
      <c r="E22" s="805" t="str">
        <f>VLOOKUP($A22,[5]BOLETIM_SEL!$A:$G,6,0)</f>
        <v>MES</v>
      </c>
      <c r="F22" s="380">
        <f>VLOOKUP(A22,[5]BOLETIM_SEL!$A:$G,7,0)</f>
        <v>17076.25</v>
      </c>
      <c r="G22" s="380"/>
      <c r="H22" s="381">
        <f t="shared" si="1"/>
        <v>0</v>
      </c>
      <c r="I22" s="692"/>
      <c r="J22" s="692"/>
      <c r="K22" s="692"/>
      <c r="L22" s="692"/>
    </row>
    <row r="23" spans="1:15" s="382" customFormat="1" ht="18" customHeight="1" x14ac:dyDescent="0.15">
      <c r="A23" s="379">
        <v>93563</v>
      </c>
      <c r="B23" s="2535" t="str">
        <f>VLOOKUP($A23,[5]BOLETIM_SEL!$A:$G,4,0)</f>
        <v>Almoxarife com encargos complementares (mensalista)</v>
      </c>
      <c r="C23" s="2536"/>
      <c r="D23" s="2537"/>
      <c r="E23" s="805" t="str">
        <f>VLOOKUP($A23,[5]BOLETIM_SEL!$A:$G,6,0)</f>
        <v>MES</v>
      </c>
      <c r="F23" s="380">
        <f>VLOOKUP(A23,[5]BOLETIM_SEL!$A:$G,7,0)</f>
        <v>3127.74</v>
      </c>
      <c r="G23" s="380">
        <v>10</v>
      </c>
      <c r="H23" s="381">
        <f t="shared" si="1"/>
        <v>31277.399999999998</v>
      </c>
      <c r="I23" s="692"/>
      <c r="J23" s="692"/>
      <c r="K23" s="692"/>
      <c r="L23" s="692"/>
    </row>
    <row r="24" spans="1:15" s="382" customFormat="1" ht="18" customHeight="1" x14ac:dyDescent="0.15">
      <c r="A24" s="379">
        <v>93564</v>
      </c>
      <c r="B24" s="2535" t="str">
        <f>VLOOKUP($A24,[5]BOLETIM_SEL!$A:$G,4,0)</f>
        <v>Apontador ou apropriador com encargos complementares (mensalista)</v>
      </c>
      <c r="C24" s="2536"/>
      <c r="D24" s="2537"/>
      <c r="E24" s="805" t="str">
        <f>VLOOKUP($A24,[5]BOLETIM_SEL!$A:$G,6,0)</f>
        <v>MES</v>
      </c>
      <c r="F24" s="380">
        <f>VLOOKUP(A24,[5]BOLETIM_SEL!$A:$G,7,0)</f>
        <v>3058.15</v>
      </c>
      <c r="G24" s="380">
        <v>10</v>
      </c>
      <c r="H24" s="381">
        <f t="shared" si="1"/>
        <v>30581.5</v>
      </c>
      <c r="I24" s="692"/>
      <c r="J24" s="692"/>
      <c r="K24" s="692"/>
      <c r="L24" s="692"/>
    </row>
    <row r="25" spans="1:15" s="382" customFormat="1" ht="18" customHeight="1" x14ac:dyDescent="0.15">
      <c r="A25" s="379">
        <v>94295</v>
      </c>
      <c r="B25" s="2535" t="str">
        <f>VLOOKUP($A25,[5]BOLETIM_SEL!$A:$G,4,0)</f>
        <v>Mestre de obras com encargos complementares (mensalista)</v>
      </c>
      <c r="C25" s="2536"/>
      <c r="D25" s="2537"/>
      <c r="E25" s="805" t="str">
        <f>VLOOKUP($A25,[5]BOLETIM_SEL!$A:$G,6,0)</f>
        <v>MES</v>
      </c>
      <c r="F25" s="380">
        <f>VLOOKUP(A25,[5]BOLETIM_SEL!$A:$G,7,0)</f>
        <v>5214.4399999999996</v>
      </c>
      <c r="G25" s="380">
        <v>10</v>
      </c>
      <c r="H25" s="381">
        <f t="shared" si="1"/>
        <v>52144.399999999994</v>
      </c>
      <c r="I25" s="692"/>
      <c r="J25" s="692"/>
      <c r="K25" s="692"/>
      <c r="L25" s="692"/>
    </row>
    <row r="26" spans="1:15" s="382" customFormat="1" ht="18" customHeight="1" x14ac:dyDescent="0.15">
      <c r="A26" s="379">
        <v>100321</v>
      </c>
      <c r="B26" s="2535" t="str">
        <f>VLOOKUP($A26,[5]BOLETIM_SEL!$A:$G,4,0)</f>
        <v>Técnico de segurança do trabalho com encargos complementares (mensalista)</v>
      </c>
      <c r="C26" s="2536"/>
      <c r="D26" s="2537"/>
      <c r="E26" s="805" t="str">
        <f>VLOOKUP($A26,[5]BOLETIM_SEL!$A:$G,6,0)</f>
        <v>MES</v>
      </c>
      <c r="F26" s="380">
        <f>VLOOKUP(A26,[5]BOLETIM_SEL!$A:$G,7,0)</f>
        <v>4400.0600000000004</v>
      </c>
      <c r="G26" s="380">
        <v>10</v>
      </c>
      <c r="H26" s="381">
        <f>F26*G26</f>
        <v>44000.600000000006</v>
      </c>
      <c r="I26" s="692"/>
      <c r="J26" s="692"/>
      <c r="K26" s="692"/>
      <c r="L26" s="692"/>
    </row>
    <row r="27" spans="1:15" s="382" customFormat="1" ht="18" customHeight="1" x14ac:dyDescent="0.15">
      <c r="A27" s="379">
        <v>94296</v>
      </c>
      <c r="B27" s="2535" t="str">
        <f>VLOOKUP($A27,[5]BOLETIM_SEL!$A:$G,4,0)</f>
        <v>Topografo com encargos complementares (mensalista)</v>
      </c>
      <c r="C27" s="2536"/>
      <c r="D27" s="2537"/>
      <c r="E27" s="805" t="str">
        <f>VLOOKUP($A27,[5]BOLETIM_SEL!$A:$G,6,0)</f>
        <v>MES</v>
      </c>
      <c r="F27" s="380">
        <f>VLOOKUP(A27,[5]BOLETIM_SEL!$A:$G,7,0)</f>
        <v>3774.11</v>
      </c>
      <c r="G27" s="380">
        <v>12</v>
      </c>
      <c r="H27" s="381">
        <f t="shared" si="1"/>
        <v>45289.32</v>
      </c>
      <c r="I27" s="692"/>
      <c r="J27" s="692"/>
      <c r="K27" s="692"/>
      <c r="L27" s="692"/>
    </row>
    <row r="28" spans="1:15" s="382" customFormat="1" ht="18" customHeight="1" x14ac:dyDescent="0.15">
      <c r="A28" s="379">
        <v>101456</v>
      </c>
      <c r="B28" s="2535" t="str">
        <f>VLOOKUP($A28,[5]BOLETIM_SEL!$A:$G,4,0)</f>
        <v>Técnico de laboratório e campo de construção com encargos complementares (mensalista)</v>
      </c>
      <c r="C28" s="2536"/>
      <c r="D28" s="2537"/>
      <c r="E28" s="805" t="str">
        <f>VLOOKUP($A28,[5]BOLETIM_SEL!$A:$G,6,0)</f>
        <v>MES</v>
      </c>
      <c r="F28" s="380">
        <f>VLOOKUP(A28,[5]BOLETIM_SEL!$A:$G,7,0)</f>
        <v>4529.43</v>
      </c>
      <c r="G28" s="380">
        <v>12</v>
      </c>
      <c r="H28" s="381">
        <f t="shared" si="1"/>
        <v>54353.16</v>
      </c>
      <c r="I28" s="692"/>
      <c r="J28" s="692"/>
      <c r="K28" s="692"/>
      <c r="L28" s="692"/>
    </row>
    <row r="29" spans="1:15" s="382" customFormat="1" ht="18" customHeight="1" x14ac:dyDescent="0.15">
      <c r="A29" s="379">
        <v>101389</v>
      </c>
      <c r="B29" s="2535" t="str">
        <f>VLOOKUP($A29,[5]BOLETIM_SEL!$A:$G,4,0)</f>
        <v>Auxiliar de topógrafo com encargos complementares (mensalista)</v>
      </c>
      <c r="C29" s="2536"/>
      <c r="D29" s="2537"/>
      <c r="E29" s="805" t="str">
        <f>VLOOKUP($A29,[5]BOLETIM_SEL!$A:$G,6,0)</f>
        <v>MES</v>
      </c>
      <c r="F29" s="380">
        <f>VLOOKUP(A29,[5]BOLETIM_SEL!$A:$G,7,0)</f>
        <v>1902.11</v>
      </c>
      <c r="G29" s="380">
        <v>10</v>
      </c>
      <c r="H29" s="381">
        <f t="shared" si="1"/>
        <v>19021.099999999999</v>
      </c>
      <c r="I29" s="692"/>
      <c r="J29" s="692"/>
      <c r="K29" s="692"/>
      <c r="L29" s="692"/>
    </row>
    <row r="30" spans="1:15" s="382" customFormat="1" ht="18" customHeight="1" x14ac:dyDescent="0.15">
      <c r="A30" s="379">
        <v>101385</v>
      </c>
      <c r="B30" s="2535" t="str">
        <f>VLOOKUP($A30,[5]BOLETIM_SEL!$A:$G,4,0)</f>
        <v>Auxiliar de laboratorista de solos e de concreto com encargos complementares (mensalista)</v>
      </c>
      <c r="C30" s="2536"/>
      <c r="D30" s="2537"/>
      <c r="E30" s="805" t="str">
        <f>VLOOKUP($A30,[5]BOLETIM_SEL!$A:$G,6,0)</f>
        <v>MES</v>
      </c>
      <c r="F30" s="380">
        <f>VLOOKUP(A30,[5]BOLETIM_SEL!$A:$G,7,0)</f>
        <v>3823.46</v>
      </c>
      <c r="G30" s="380">
        <v>10</v>
      </c>
      <c r="H30" s="381">
        <f t="shared" si="1"/>
        <v>38234.6</v>
      </c>
      <c r="I30" s="692"/>
      <c r="J30" s="692"/>
      <c r="K30" s="692"/>
      <c r="L30" s="692"/>
    </row>
    <row r="31" spans="1:15" s="382" customFormat="1" ht="18" customHeight="1" x14ac:dyDescent="0.15">
      <c r="A31" s="383">
        <v>101460</v>
      </c>
      <c r="B31" s="2535" t="str">
        <f>VLOOKUP($A31,[5]BOLETIM_SEL!$A:$G,4,0)</f>
        <v>Vigia Diurno com encargos complementares (mensalista)</v>
      </c>
      <c r="C31" s="2536"/>
      <c r="D31" s="2537"/>
      <c r="E31" s="805" t="str">
        <f>VLOOKUP($A31,[5]BOLETIM_SEL!$A:$G,6,0)</f>
        <v>MES</v>
      </c>
      <c r="F31" s="380">
        <f>VLOOKUP(A31,[5]BOLETIM_SEL!$A:$G,7,0)</f>
        <v>3019.64</v>
      </c>
      <c r="G31" s="380">
        <v>12</v>
      </c>
      <c r="H31" s="381">
        <f t="shared" si="1"/>
        <v>36235.68</v>
      </c>
      <c r="I31" s="692"/>
      <c r="J31" s="692"/>
      <c r="K31" s="692"/>
      <c r="L31" s="692"/>
    </row>
    <row r="32" spans="1:15" s="382" customFormat="1" ht="18" hidden="1" customHeight="1" x14ac:dyDescent="0.15">
      <c r="A32" s="383"/>
      <c r="B32" s="2021"/>
      <c r="C32" s="2026"/>
      <c r="D32" s="2026"/>
      <c r="E32" s="804"/>
      <c r="F32" s="380"/>
      <c r="G32" s="380"/>
      <c r="H32" s="381"/>
      <c r="I32" s="692"/>
      <c r="J32" s="692"/>
      <c r="K32" s="692"/>
      <c r="L32" s="692"/>
    </row>
    <row r="33" spans="1:12" s="382" customFormat="1" ht="18" hidden="1" customHeight="1" x14ac:dyDescent="0.15">
      <c r="A33" s="383"/>
      <c r="B33" s="2021"/>
      <c r="C33" s="2026"/>
      <c r="D33" s="2026"/>
      <c r="E33" s="804"/>
      <c r="F33" s="380"/>
      <c r="G33" s="380"/>
      <c r="H33" s="381"/>
      <c r="I33" s="692"/>
      <c r="J33" s="692"/>
      <c r="K33" s="692"/>
      <c r="L33" s="692"/>
    </row>
    <row r="34" spans="1:12" s="382" customFormat="1" ht="18" hidden="1" customHeight="1" x14ac:dyDescent="0.15">
      <c r="A34" s="383"/>
      <c r="B34" s="2021"/>
      <c r="C34" s="2026"/>
      <c r="D34" s="2026"/>
      <c r="E34" s="804"/>
      <c r="F34" s="380"/>
      <c r="G34" s="380"/>
      <c r="H34" s="381"/>
      <c r="I34" s="692"/>
      <c r="J34" s="692"/>
      <c r="K34" s="692"/>
      <c r="L34" s="692"/>
    </row>
    <row r="35" spans="1:12" s="382" customFormat="1" ht="18" hidden="1" customHeight="1" x14ac:dyDescent="0.15">
      <c r="A35" s="383"/>
      <c r="B35" s="2021"/>
      <c r="C35" s="2026"/>
      <c r="D35" s="2026"/>
      <c r="E35" s="804"/>
      <c r="F35" s="380"/>
      <c r="G35" s="380"/>
      <c r="H35" s="381"/>
      <c r="I35" s="692"/>
      <c r="J35" s="692"/>
      <c r="K35" s="692"/>
      <c r="L35" s="692"/>
    </row>
    <row r="36" spans="1:12" s="382" customFormat="1" ht="18" hidden="1" customHeight="1" x14ac:dyDescent="0.15">
      <c r="A36" s="383"/>
      <c r="B36" s="2021"/>
      <c r="C36" s="2026"/>
      <c r="D36" s="2026"/>
      <c r="E36" s="804"/>
      <c r="F36" s="380"/>
      <c r="G36" s="380"/>
      <c r="H36" s="381"/>
      <c r="I36" s="692"/>
      <c r="J36" s="692"/>
      <c r="K36" s="692"/>
      <c r="L36" s="692"/>
    </row>
    <row r="37" spans="1:12" s="382" customFormat="1" ht="18" hidden="1" customHeight="1" x14ac:dyDescent="0.15">
      <c r="A37" s="383"/>
      <c r="B37" s="2021"/>
      <c r="C37" s="2026"/>
      <c r="D37" s="2026"/>
      <c r="E37" s="804"/>
      <c r="F37" s="380"/>
      <c r="G37" s="380"/>
      <c r="H37" s="381"/>
      <c r="I37" s="692"/>
      <c r="J37" s="692"/>
      <c r="K37" s="692"/>
      <c r="L37" s="692"/>
    </row>
    <row r="38" spans="1:12" s="382" customFormat="1" ht="18" hidden="1" customHeight="1" x14ac:dyDescent="0.15">
      <c r="A38" s="383"/>
      <c r="B38" s="2021"/>
      <c r="C38" s="2026"/>
      <c r="D38" s="2026"/>
      <c r="E38" s="804"/>
      <c r="F38" s="380"/>
      <c r="G38" s="380"/>
      <c r="H38" s="381"/>
      <c r="I38" s="692"/>
      <c r="J38" s="692"/>
      <c r="K38" s="692"/>
      <c r="L38" s="692"/>
    </row>
    <row r="39" spans="1:12" s="382" customFormat="1" ht="18" hidden="1" customHeight="1" x14ac:dyDescent="0.15">
      <c r="A39" s="383"/>
      <c r="B39" s="2021"/>
      <c r="C39" s="2026"/>
      <c r="D39" s="2026"/>
      <c r="E39" s="804"/>
      <c r="F39" s="380"/>
      <c r="G39" s="380"/>
      <c r="H39" s="381"/>
      <c r="I39" s="692"/>
      <c r="J39" s="692"/>
      <c r="K39" s="692"/>
      <c r="L39" s="692"/>
    </row>
    <row r="40" spans="1:12" s="382" customFormat="1" ht="18" hidden="1" customHeight="1" x14ac:dyDescent="0.15">
      <c r="A40" s="383"/>
      <c r="B40" s="2021"/>
      <c r="C40" s="2026"/>
      <c r="D40" s="2026"/>
      <c r="E40" s="804"/>
      <c r="F40" s="380"/>
      <c r="G40" s="380"/>
      <c r="H40" s="381"/>
      <c r="I40" s="692"/>
      <c r="J40" s="692"/>
      <c r="K40" s="692"/>
      <c r="L40" s="692"/>
    </row>
    <row r="41" spans="1:12" s="382" customFormat="1" ht="18" hidden="1" customHeight="1" x14ac:dyDescent="0.15">
      <c r="A41" s="383"/>
      <c r="B41" s="2021"/>
      <c r="C41" s="2026"/>
      <c r="D41" s="2026"/>
      <c r="E41" s="804"/>
      <c r="F41" s="380"/>
      <c r="G41" s="380"/>
      <c r="H41" s="381"/>
      <c r="I41" s="692"/>
      <c r="J41" s="692"/>
      <c r="K41" s="692"/>
      <c r="L41" s="692"/>
    </row>
    <row r="42" spans="1:12" s="382" customFormat="1" ht="18" hidden="1" customHeight="1" x14ac:dyDescent="0.15">
      <c r="A42" s="383"/>
      <c r="B42" s="2021"/>
      <c r="C42" s="2026"/>
      <c r="D42" s="2026"/>
      <c r="E42" s="804"/>
      <c r="F42" s="380"/>
      <c r="G42" s="380"/>
      <c r="H42" s="381"/>
      <c r="I42" s="692"/>
      <c r="J42" s="692"/>
      <c r="K42" s="692"/>
      <c r="L42" s="692"/>
    </row>
    <row r="43" spans="1:12" s="382" customFormat="1" ht="18" hidden="1" customHeight="1" x14ac:dyDescent="0.15">
      <c r="A43" s="383"/>
      <c r="B43" s="2021"/>
      <c r="C43" s="2026"/>
      <c r="D43" s="2026"/>
      <c r="E43" s="804"/>
      <c r="F43" s="380"/>
      <c r="G43" s="380"/>
      <c r="H43" s="381"/>
      <c r="I43" s="692"/>
      <c r="J43" s="692"/>
      <c r="K43" s="692"/>
      <c r="L43" s="692"/>
    </row>
    <row r="44" spans="1:12" s="382" customFormat="1" ht="18" hidden="1" customHeight="1" x14ac:dyDescent="0.15">
      <c r="A44" s="383"/>
      <c r="B44" s="2021"/>
      <c r="C44" s="2026"/>
      <c r="D44" s="2026"/>
      <c r="E44" s="804"/>
      <c r="F44" s="380"/>
      <c r="G44" s="380"/>
      <c r="H44" s="381"/>
      <c r="I44" s="692"/>
      <c r="J44" s="692"/>
      <c r="K44" s="692"/>
      <c r="L44" s="692"/>
    </row>
    <row r="45" spans="1:12" s="382" customFormat="1" ht="18" hidden="1" customHeight="1" x14ac:dyDescent="0.15">
      <c r="A45" s="383"/>
      <c r="B45" s="2021"/>
      <c r="C45" s="2026"/>
      <c r="D45" s="2026"/>
      <c r="E45" s="804"/>
      <c r="F45" s="380"/>
      <c r="G45" s="380"/>
      <c r="H45" s="381"/>
      <c r="I45" s="692"/>
      <c r="J45" s="692"/>
      <c r="K45" s="692"/>
      <c r="L45" s="692"/>
    </row>
    <row r="46" spans="1:12" s="382" customFormat="1" ht="18" hidden="1" customHeight="1" x14ac:dyDescent="0.15">
      <c r="A46" s="383"/>
      <c r="B46" s="2021"/>
      <c r="C46" s="2026"/>
      <c r="D46" s="2026"/>
      <c r="E46" s="804"/>
      <c r="F46" s="380"/>
      <c r="G46" s="380"/>
      <c r="H46" s="381"/>
      <c r="I46" s="692"/>
      <c r="J46" s="692"/>
      <c r="K46" s="692"/>
      <c r="L46" s="692"/>
    </row>
    <row r="47" spans="1:12" s="382" customFormat="1" ht="18" hidden="1" customHeight="1" x14ac:dyDescent="0.15">
      <c r="A47" s="383"/>
      <c r="B47" s="2021"/>
      <c r="C47" s="2026"/>
      <c r="D47" s="2026"/>
      <c r="E47" s="804"/>
      <c r="F47" s="380"/>
      <c r="G47" s="380"/>
      <c r="H47" s="381"/>
      <c r="I47" s="692"/>
      <c r="J47" s="692"/>
      <c r="K47" s="692"/>
      <c r="L47" s="692"/>
    </row>
    <row r="48" spans="1:12" s="382" customFormat="1" ht="18" hidden="1" customHeight="1" x14ac:dyDescent="0.15">
      <c r="A48" s="383"/>
      <c r="B48" s="2021"/>
      <c r="C48" s="2026"/>
      <c r="D48" s="2026"/>
      <c r="E48" s="804"/>
      <c r="F48" s="380"/>
      <c r="G48" s="380"/>
      <c r="H48" s="381"/>
      <c r="I48" s="692"/>
      <c r="J48" s="692"/>
      <c r="K48" s="692"/>
      <c r="L48" s="692"/>
    </row>
    <row r="49" spans="1:12" s="382" customFormat="1" ht="18" hidden="1" customHeight="1" x14ac:dyDescent="0.15">
      <c r="A49" s="383"/>
      <c r="B49" s="2021"/>
      <c r="C49" s="2026"/>
      <c r="D49" s="2026"/>
      <c r="E49" s="804"/>
      <c r="F49" s="380"/>
      <c r="G49" s="380"/>
      <c r="H49" s="381"/>
      <c r="I49" s="692"/>
      <c r="J49" s="692"/>
      <c r="K49" s="692"/>
      <c r="L49" s="692"/>
    </row>
    <row r="50" spans="1:12" s="382" customFormat="1" ht="18" hidden="1" customHeight="1" x14ac:dyDescent="0.15">
      <c r="A50" s="383"/>
      <c r="B50" s="2021"/>
      <c r="C50" s="2026"/>
      <c r="D50" s="2026"/>
      <c r="E50" s="804"/>
      <c r="F50" s="380"/>
      <c r="G50" s="380"/>
      <c r="H50" s="381"/>
      <c r="I50" s="692"/>
      <c r="J50" s="692"/>
      <c r="K50" s="692"/>
      <c r="L50" s="692"/>
    </row>
    <row r="51" spans="1:12" s="382" customFormat="1" ht="18" hidden="1" customHeight="1" x14ac:dyDescent="0.15">
      <c r="A51" s="383"/>
      <c r="B51" s="2021"/>
      <c r="C51" s="2026"/>
      <c r="D51" s="2026"/>
      <c r="E51" s="804"/>
      <c r="F51" s="380"/>
      <c r="G51" s="380"/>
      <c r="H51" s="381"/>
      <c r="I51" s="692"/>
      <c r="J51" s="692"/>
      <c r="K51" s="692"/>
      <c r="L51" s="692"/>
    </row>
    <row r="52" spans="1:12" s="382" customFormat="1" ht="18" hidden="1" customHeight="1" x14ac:dyDescent="0.15">
      <c r="A52" s="383"/>
      <c r="B52" s="2021"/>
      <c r="C52" s="2026"/>
      <c r="D52" s="2026"/>
      <c r="E52" s="804"/>
      <c r="F52" s="380"/>
      <c r="G52" s="380"/>
      <c r="H52" s="381"/>
      <c r="I52" s="692"/>
      <c r="J52" s="692"/>
      <c r="K52" s="692"/>
      <c r="L52" s="692"/>
    </row>
    <row r="53" spans="1:12" s="382" customFormat="1" ht="18" hidden="1" customHeight="1" x14ac:dyDescent="0.15">
      <c r="A53" s="383"/>
      <c r="B53" s="2021"/>
      <c r="C53" s="2026"/>
      <c r="D53" s="2026"/>
      <c r="E53" s="804"/>
      <c r="F53" s="380"/>
      <c r="G53" s="380"/>
      <c r="H53" s="381"/>
      <c r="I53" s="692"/>
      <c r="J53" s="692"/>
      <c r="K53" s="692"/>
      <c r="L53" s="692"/>
    </row>
    <row r="54" spans="1:12" s="382" customFormat="1" ht="18" hidden="1" customHeight="1" x14ac:dyDescent="0.15">
      <c r="A54" s="383"/>
      <c r="B54" s="2021"/>
      <c r="C54" s="2026"/>
      <c r="D54" s="2026"/>
      <c r="E54" s="804"/>
      <c r="F54" s="380"/>
      <c r="G54" s="380"/>
      <c r="H54" s="381"/>
      <c r="I54" s="692"/>
      <c r="J54" s="692"/>
      <c r="K54" s="692"/>
      <c r="L54" s="692"/>
    </row>
    <row r="55" spans="1:12" s="382" customFormat="1" ht="18" hidden="1" customHeight="1" x14ac:dyDescent="0.15">
      <c r="A55" s="383"/>
      <c r="B55" s="2021"/>
      <c r="C55" s="2026"/>
      <c r="D55" s="2026"/>
      <c r="E55" s="804"/>
      <c r="F55" s="380"/>
      <c r="G55" s="380"/>
      <c r="H55" s="381"/>
      <c r="I55" s="692"/>
      <c r="J55" s="692"/>
      <c r="K55" s="692"/>
      <c r="L55" s="692"/>
    </row>
    <row r="56" spans="1:12" s="382" customFormat="1" ht="18" hidden="1" customHeight="1" x14ac:dyDescent="0.15">
      <c r="A56" s="383"/>
      <c r="B56" s="2021"/>
      <c r="C56" s="2026"/>
      <c r="D56" s="2026"/>
      <c r="E56" s="804"/>
      <c r="F56" s="380"/>
      <c r="G56" s="380"/>
      <c r="H56" s="381"/>
      <c r="I56" s="692"/>
      <c r="J56" s="692"/>
      <c r="K56" s="692"/>
      <c r="L56" s="692"/>
    </row>
    <row r="57" spans="1:12" s="382" customFormat="1" ht="18" hidden="1" customHeight="1" x14ac:dyDescent="0.15">
      <c r="A57" s="383"/>
      <c r="B57" s="2021"/>
      <c r="C57" s="2026"/>
      <c r="D57" s="2026"/>
      <c r="E57" s="804"/>
      <c r="F57" s="380"/>
      <c r="G57" s="380"/>
      <c r="H57" s="381"/>
      <c r="I57" s="692"/>
      <c r="J57" s="692"/>
      <c r="K57" s="692"/>
      <c r="L57" s="692"/>
    </row>
    <row r="58" spans="1:12" s="382" customFormat="1" ht="18" hidden="1" customHeight="1" x14ac:dyDescent="0.15">
      <c r="A58" s="383"/>
      <c r="B58" s="2021"/>
      <c r="C58" s="2026"/>
      <c r="D58" s="2026"/>
      <c r="E58" s="804"/>
      <c r="F58" s="380"/>
      <c r="G58" s="380"/>
      <c r="H58" s="381"/>
      <c r="I58" s="692"/>
      <c r="J58" s="692"/>
      <c r="K58" s="692"/>
      <c r="L58" s="692"/>
    </row>
    <row r="59" spans="1:12" s="382" customFormat="1" ht="18" hidden="1" customHeight="1" x14ac:dyDescent="0.15">
      <c r="A59" s="383"/>
      <c r="B59" s="2021"/>
      <c r="C59" s="2026"/>
      <c r="D59" s="2026"/>
      <c r="E59" s="804"/>
      <c r="F59" s="380"/>
      <c r="G59" s="380"/>
      <c r="H59" s="381"/>
      <c r="I59" s="692"/>
      <c r="J59" s="692"/>
      <c r="K59" s="692"/>
      <c r="L59" s="692"/>
    </row>
    <row r="60" spans="1:12" s="382" customFormat="1" ht="18" hidden="1" customHeight="1" x14ac:dyDescent="0.15">
      <c r="A60" s="383"/>
      <c r="B60" s="2021"/>
      <c r="C60" s="2026"/>
      <c r="D60" s="2026"/>
      <c r="E60" s="804"/>
      <c r="F60" s="380"/>
      <c r="G60" s="380"/>
      <c r="H60" s="381"/>
      <c r="I60" s="692"/>
      <c r="J60" s="692"/>
      <c r="K60" s="692"/>
      <c r="L60" s="692"/>
    </row>
    <row r="61" spans="1:12" s="382" customFormat="1" ht="18" customHeight="1" x14ac:dyDescent="0.15">
      <c r="A61" s="383"/>
      <c r="B61" s="2021"/>
      <c r="C61" s="2026"/>
      <c r="D61" s="2026"/>
      <c r="E61" s="804"/>
      <c r="F61" s="380"/>
      <c r="G61" s="380"/>
      <c r="H61" s="381"/>
      <c r="I61" s="692"/>
      <c r="J61" s="692"/>
      <c r="K61" s="692"/>
      <c r="L61" s="692"/>
    </row>
    <row r="62" spans="1:12" s="382" customFormat="1" ht="18" customHeight="1" x14ac:dyDescent="0.15">
      <c r="A62" s="383"/>
      <c r="B62" s="2021"/>
      <c r="C62" s="2026"/>
      <c r="D62" s="2026"/>
      <c r="E62" s="804"/>
      <c r="F62" s="380"/>
      <c r="G62" s="380"/>
      <c r="H62" s="381"/>
      <c r="I62" s="692"/>
      <c r="J62" s="692"/>
      <c r="K62" s="692"/>
      <c r="L62" s="692"/>
    </row>
    <row r="63" spans="1:12" s="382" customFormat="1" ht="18" customHeight="1" thickBot="1" x14ac:dyDescent="0.2">
      <c r="A63" s="398"/>
      <c r="B63" s="2566"/>
      <c r="C63" s="2567"/>
      <c r="D63" s="2567"/>
      <c r="E63" s="1702"/>
      <c r="F63" s="1703"/>
      <c r="G63" s="1703"/>
      <c r="H63" s="1704"/>
      <c r="I63" s="692"/>
      <c r="J63" s="692"/>
      <c r="K63" s="692"/>
      <c r="L63" s="692"/>
    </row>
    <row r="64" spans="1:12" s="35" customFormat="1" ht="18" customHeight="1" thickTop="1" x14ac:dyDescent="0.15">
      <c r="A64" s="203"/>
      <c r="B64" s="371"/>
      <c r="C64" s="399"/>
      <c r="D64" s="400" t="s">
        <v>529</v>
      </c>
      <c r="G64" s="399"/>
      <c r="H64" s="370">
        <f>SUM(H21:H63)</f>
        <v>370523.67999999993</v>
      </c>
      <c r="I64" s="382"/>
      <c r="J64" s="382"/>
      <c r="K64" s="382"/>
      <c r="L64" s="382"/>
    </row>
    <row r="65" spans="1:12" s="35" customFormat="1" ht="18" customHeight="1" x14ac:dyDescent="0.15">
      <c r="A65" s="394"/>
      <c r="B65" s="371"/>
      <c r="D65" s="46" t="s">
        <v>530</v>
      </c>
      <c r="G65" s="370"/>
      <c r="H65" s="370">
        <f>H17+H64</f>
        <v>507466.47999999992</v>
      </c>
      <c r="I65" s="382"/>
      <c r="J65" s="382"/>
      <c r="K65" s="382"/>
      <c r="L65" s="382"/>
    </row>
    <row r="66" spans="1:12" s="35" customFormat="1" ht="18" customHeight="1" x14ac:dyDescent="0.2">
      <c r="A66" s="203"/>
      <c r="B66" s="371"/>
      <c r="C66" s="401"/>
      <c r="D66" s="46" t="s">
        <v>531</v>
      </c>
      <c r="H66" s="402">
        <f>H65/G7</f>
        <v>42288.873333333329</v>
      </c>
      <c r="I66" s="382"/>
      <c r="J66" s="382"/>
      <c r="K66" s="382"/>
      <c r="L66" s="382"/>
    </row>
    <row r="67" spans="1:12" s="35" customFormat="1" ht="19.5" customHeight="1" thickBot="1" x14ac:dyDescent="0.2">
      <c r="A67" s="203"/>
      <c r="B67" s="2027"/>
      <c r="C67" s="2027"/>
      <c r="D67" s="2027"/>
      <c r="E67" s="2027"/>
      <c r="F67" s="2027"/>
      <c r="G67" s="1705"/>
      <c r="H67" s="1706"/>
    </row>
    <row r="68" spans="1:12" s="35" customFormat="1" ht="18" customHeight="1" thickTop="1" thickBot="1" x14ac:dyDescent="0.2">
      <c r="A68" s="403" t="s">
        <v>754</v>
      </c>
      <c r="B68" s="404"/>
      <c r="C68" s="405"/>
      <c r="D68" s="405"/>
      <c r="E68" s="405"/>
      <c r="F68" s="406"/>
      <c r="G68" s="407" t="s">
        <v>199</v>
      </c>
      <c r="H68" s="408">
        <f>TRUNC(H66,2)</f>
        <v>42288.87</v>
      </c>
    </row>
    <row r="69" spans="1:12" s="35" customFormat="1" ht="18" customHeight="1" thickTop="1" thickBot="1" x14ac:dyDescent="0.2">
      <c r="A69" s="403" t="str">
        <f>CONCATENATE("CUSTO DIRETO TOTAL PARA ",G7," MESES DE OBRA:")</f>
        <v>CUSTO DIRETO TOTAL PARA 12 MESES DE OBRA:</v>
      </c>
      <c r="B69" s="404"/>
      <c r="C69" s="405"/>
      <c r="D69" s="405"/>
      <c r="E69" s="405"/>
      <c r="F69" s="406"/>
      <c r="G69" s="407" t="s">
        <v>199</v>
      </c>
      <c r="H69" s="408">
        <f>TRUNC(+H68*G7,2)</f>
        <v>507466.44</v>
      </c>
    </row>
    <row r="70" spans="1:12" s="35" customFormat="1" ht="18" customHeight="1" thickTop="1" x14ac:dyDescent="0.15">
      <c r="A70" s="856" t="s">
        <v>533</v>
      </c>
      <c r="C70" s="370"/>
      <c r="D70" s="370"/>
      <c r="E70" s="371"/>
      <c r="G70" s="370"/>
      <c r="H70" s="370"/>
    </row>
  </sheetData>
  <mergeCells count="30">
    <mergeCell ref="B21:D21"/>
    <mergeCell ref="B22:D22"/>
    <mergeCell ref="C3:E3"/>
    <mergeCell ref="B6:D6"/>
    <mergeCell ref="E6:G6"/>
    <mergeCell ref="B7:D7"/>
    <mergeCell ref="E7:F7"/>
    <mergeCell ref="G9:G10"/>
    <mergeCell ref="B9:C10"/>
    <mergeCell ref="H9:H10"/>
    <mergeCell ref="A19:A20"/>
    <mergeCell ref="B19:D20"/>
    <mergeCell ref="E19:E20"/>
    <mergeCell ref="F19:F20"/>
    <mergeCell ref="G19:G20"/>
    <mergeCell ref="H19:H20"/>
    <mergeCell ref="A9:A10"/>
    <mergeCell ref="D9:D10"/>
    <mergeCell ref="E9:E10"/>
    <mergeCell ref="F9:F10"/>
    <mergeCell ref="B23:D23"/>
    <mergeCell ref="B24:D24"/>
    <mergeCell ref="B25:D25"/>
    <mergeCell ref="B27:D27"/>
    <mergeCell ref="B28:D28"/>
    <mergeCell ref="B29:D29"/>
    <mergeCell ref="B30:D30"/>
    <mergeCell ref="B31:D31"/>
    <mergeCell ref="B26:D26"/>
    <mergeCell ref="B63:D63"/>
  </mergeCells>
  <printOptions horizontalCentered="1"/>
  <pageMargins left="0.39370078740157483" right="0.39370078740157483" top="0.59055118110236227" bottom="0.59055118110236227" header="0.23622047244094491" footer="0.23622047244094491"/>
  <pageSetup paperSize="9" scale="87" orientation="portrait" r:id="rId1"/>
  <headerFooter>
    <oddFooter>&amp;L&amp;"Arial,Normal"&amp;8&amp;F&amp;C&amp;"Arial,Normal"&amp;8&amp;P/&amp;N&amp;R&amp;"+,Regular"&amp;8Ricardo Schettini Figueiredo
Eng. Civil - CREA-RJ 52.656/D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9"/>
  <dimension ref="A1:O35"/>
  <sheetViews>
    <sheetView showGridLines="0" showZeros="0" zoomScale="85" zoomScaleNormal="85" workbookViewId="0">
      <selection activeCell="H34" sqref="H34"/>
    </sheetView>
  </sheetViews>
  <sheetFormatPr defaultRowHeight="34.5" customHeight="1" x14ac:dyDescent="0.2"/>
  <cols>
    <col min="1" max="1" width="24" bestFit="1" customWidth="1"/>
    <col min="2" max="2" width="7.375" customWidth="1"/>
    <col min="3" max="3" width="23.625" customWidth="1"/>
    <col min="4" max="4" width="7.375" customWidth="1"/>
    <col min="5" max="5" width="18.25" customWidth="1"/>
    <col min="6" max="6" width="7.375" customWidth="1"/>
    <col min="7" max="7" width="18.5" customWidth="1"/>
    <col min="8" max="8" width="7.375" customWidth="1"/>
    <col min="9" max="9" width="12.625" customWidth="1"/>
    <col min="10" max="10" width="7.375" customWidth="1"/>
    <col min="11" max="11" width="12.625" customWidth="1"/>
    <col min="12" max="12" width="7.375" customWidth="1"/>
    <col min="13" max="13" width="7.5" customWidth="1"/>
  </cols>
  <sheetData>
    <row r="1" spans="1:15" ht="24.95" customHeight="1" x14ac:dyDescent="0.2">
      <c r="A1" s="854" t="str">
        <f>Orçamento_Não_Deson!B1</f>
        <v>PREFEITURA MUNICIPAL DE RIBAS DO RIO PARDO / MS</v>
      </c>
      <c r="B1" s="811"/>
    </row>
    <row r="2" spans="1:15" ht="24.95" customHeight="1" x14ac:dyDescent="0.2">
      <c r="A2" s="460" t="str">
        <f>Orçamento_Não_Deson!B2</f>
        <v>ESTADO DE MATO GROSSO DO SUL</v>
      </c>
      <c r="B2" s="817"/>
    </row>
    <row r="3" spans="1:15" ht="20.100000000000001" customHeight="1" x14ac:dyDescent="0.2">
      <c r="A3" s="817"/>
      <c r="B3" s="819"/>
    </row>
    <row r="4" spans="1:15" ht="20.100000000000001" customHeight="1" x14ac:dyDescent="0.2">
      <c r="A4" s="866">
        <f>Orçamento_Não_Deson!B4</f>
        <v>0</v>
      </c>
      <c r="B4" s="875">
        <f>Orçamento_Não_Deson!C4</f>
        <v>0</v>
      </c>
    </row>
    <row r="5" spans="1:15" ht="20.100000000000001" customHeight="1" x14ac:dyDescent="0.2">
      <c r="A5" s="866" t="str">
        <f>Orçamento_Não_Deson!B5</f>
        <v>OBRA :</v>
      </c>
      <c r="B5" s="875" t="str">
        <f>Orçamento_Não_Deson!C5</f>
        <v xml:space="preserve">INFRAESTRUTURA URBANA - PAVIMENTAÇÃO ASFÁLTICA E DRENAGEM DE ÁGUAS PLUVIAIS </v>
      </c>
    </row>
    <row r="6" spans="1:15" ht="20.100000000000001" customHeight="1" x14ac:dyDescent="0.2">
      <c r="A6" s="866" t="str">
        <f>Orçamento_Não_Deson!B6</f>
        <v>LOCAL :</v>
      </c>
      <c r="B6" s="875" t="str">
        <f>Orçamento_Não_Deson!C6</f>
        <v>PARQUE ESTORIL - ETAPAS 03 E 04</v>
      </c>
    </row>
    <row r="7" spans="1:15" ht="20.100000000000001" customHeight="1" x14ac:dyDescent="0.2">
      <c r="A7" s="866" t="str">
        <f>Orçamento_Não_Deson!B7</f>
        <v>MUNICÍPIO :</v>
      </c>
      <c r="B7" s="875" t="str">
        <f>Orçamento_Não_Deson!C7</f>
        <v>RIBAS DO RIO PARDO / MS</v>
      </c>
    </row>
    <row r="8" spans="1:15" ht="20.100000000000001" customHeight="1" x14ac:dyDescent="0.2">
      <c r="A8" s="866"/>
      <c r="B8" s="875"/>
    </row>
    <row r="9" spans="1:15" ht="20.100000000000001" customHeight="1" x14ac:dyDescent="0.2">
      <c r="A9" s="1624" t="s">
        <v>1960</v>
      </c>
      <c r="B9" s="1622"/>
      <c r="C9" s="1623"/>
      <c r="D9" s="1623"/>
      <c r="E9" s="1623"/>
      <c r="F9" s="1623"/>
      <c r="G9" s="1623"/>
      <c r="H9" s="1623"/>
      <c r="I9" s="1623"/>
      <c r="J9" s="1623"/>
      <c r="K9" s="1623"/>
      <c r="L9" s="1623"/>
    </row>
    <row r="10" spans="1:15" ht="20.100000000000001" customHeight="1" thickBot="1" x14ac:dyDescent="0.25"/>
    <row r="11" spans="1:15" ht="20.100000000000001" customHeight="1" thickTop="1" x14ac:dyDescent="0.2">
      <c r="A11" s="2583" t="s">
        <v>1667</v>
      </c>
      <c r="B11" s="2585" t="s">
        <v>1707</v>
      </c>
      <c r="C11" s="2582" t="s">
        <v>1344</v>
      </c>
      <c r="D11" s="2580"/>
      <c r="E11" s="2580" t="s">
        <v>1709</v>
      </c>
      <c r="F11" s="2580"/>
      <c r="G11" s="2580" t="s">
        <v>1710</v>
      </c>
      <c r="H11" s="2580"/>
      <c r="I11" s="2580" t="s">
        <v>1711</v>
      </c>
      <c r="J11" s="2580"/>
      <c r="K11" s="2580" t="s">
        <v>1712</v>
      </c>
      <c r="L11" s="2581"/>
      <c r="M11" s="816"/>
      <c r="N11" s="813"/>
      <c r="O11" s="813"/>
    </row>
    <row r="12" spans="1:15" ht="20.100000000000001" customHeight="1" thickBot="1" x14ac:dyDescent="0.25">
      <c r="A12" s="2584"/>
      <c r="B12" s="2586"/>
      <c r="C12" s="1625" t="s">
        <v>1708</v>
      </c>
      <c r="D12" s="1626" t="s">
        <v>532</v>
      </c>
      <c r="E12" s="1626" t="s">
        <v>1708</v>
      </c>
      <c r="F12" s="1626" t="s">
        <v>532</v>
      </c>
      <c r="G12" s="1626" t="s">
        <v>1708</v>
      </c>
      <c r="H12" s="1626" t="s">
        <v>532</v>
      </c>
      <c r="I12" s="1626" t="s">
        <v>1708</v>
      </c>
      <c r="J12" s="1626" t="s">
        <v>532</v>
      </c>
      <c r="K12" s="1626" t="s">
        <v>1708</v>
      </c>
      <c r="L12" s="1627" t="s">
        <v>532</v>
      </c>
      <c r="M12" s="813"/>
      <c r="N12" s="813"/>
      <c r="O12" s="813"/>
    </row>
    <row r="13" spans="1:15" ht="34.5" customHeight="1" thickTop="1" x14ac:dyDescent="0.2">
      <c r="A13" s="1707" t="s">
        <v>713</v>
      </c>
      <c r="B13" s="1628">
        <f>IF(D13=0,0,TRUNC(AVERAGE(C13:L13),1))</f>
        <v>100</v>
      </c>
      <c r="C13" s="2234" t="s">
        <v>2733</v>
      </c>
      <c r="D13" s="1629">
        <v>100</v>
      </c>
      <c r="E13" s="1629"/>
      <c r="F13" s="1629"/>
      <c r="G13" s="1629"/>
      <c r="H13" s="1629"/>
      <c r="I13" s="1629"/>
      <c r="J13" s="1629"/>
      <c r="K13" s="1630"/>
      <c r="L13" s="1708"/>
      <c r="M13" s="816" t="s">
        <v>1686</v>
      </c>
      <c r="N13" s="813"/>
      <c r="O13" s="813"/>
    </row>
    <row r="14" spans="1:15" ht="34.5" customHeight="1" x14ac:dyDescent="0.2">
      <c r="A14" s="1424" t="s">
        <v>1947</v>
      </c>
      <c r="B14" s="1425">
        <f t="shared" ref="B14:B35" si="0">IF(D14=0,0,TRUNC(AVERAGE(C14:L14),1))</f>
        <v>4</v>
      </c>
      <c r="C14" s="205" t="s">
        <v>1708</v>
      </c>
      <c r="D14" s="1426">
        <v>4</v>
      </c>
      <c r="E14" s="1426"/>
      <c r="F14" s="1426"/>
      <c r="G14" s="1426"/>
      <c r="H14" s="1426"/>
      <c r="I14" s="1426"/>
      <c r="J14" s="1426"/>
      <c r="K14" s="1427"/>
      <c r="L14" s="1428"/>
      <c r="M14" s="816" t="s">
        <v>1687</v>
      </c>
      <c r="N14" s="813"/>
      <c r="O14" s="813"/>
    </row>
    <row r="15" spans="1:15" ht="34.5" customHeight="1" x14ac:dyDescent="0.2">
      <c r="A15" s="1429" t="s">
        <v>1674</v>
      </c>
      <c r="B15" s="1425">
        <f t="shared" si="0"/>
        <v>1</v>
      </c>
      <c r="C15" s="205" t="s">
        <v>1708</v>
      </c>
      <c r="D15" s="1426">
        <v>1</v>
      </c>
      <c r="E15" s="1426"/>
      <c r="F15" s="1426"/>
      <c r="G15" s="1426"/>
      <c r="H15" s="1426"/>
      <c r="I15" s="1426"/>
      <c r="J15" s="1426"/>
      <c r="K15" s="1427"/>
      <c r="L15" s="1428"/>
      <c r="M15" s="816" t="s">
        <v>1688</v>
      </c>
      <c r="N15" s="813"/>
      <c r="O15" s="813"/>
    </row>
    <row r="16" spans="1:15" ht="34.5" hidden="1" customHeight="1" x14ac:dyDescent="0.2">
      <c r="A16" s="1424" t="s">
        <v>2652</v>
      </c>
      <c r="B16" s="1425">
        <f t="shared" ref="B16" si="1">IF(D16=0,0,TRUNC(AVERAGE(C16:L16),1))</f>
        <v>0</v>
      </c>
      <c r="C16" s="205"/>
      <c r="D16" s="1426"/>
      <c r="E16" s="1426"/>
      <c r="F16" s="1426"/>
      <c r="G16" s="1426"/>
      <c r="H16" s="1426"/>
      <c r="I16" s="1426"/>
      <c r="J16" s="1426"/>
      <c r="K16" s="1427"/>
      <c r="L16" s="1428"/>
      <c r="M16" s="816" t="s">
        <v>1689</v>
      </c>
      <c r="N16" s="813"/>
      <c r="O16" s="813"/>
    </row>
    <row r="17" spans="1:15" ht="34.5" customHeight="1" x14ac:dyDescent="0.2">
      <c r="A17" s="1430" t="s">
        <v>1798</v>
      </c>
      <c r="B17" s="1425">
        <f t="shared" si="0"/>
        <v>4</v>
      </c>
      <c r="C17" s="205" t="s">
        <v>1708</v>
      </c>
      <c r="D17" s="1426">
        <v>4</v>
      </c>
      <c r="E17" s="1426"/>
      <c r="F17" s="1426"/>
      <c r="G17" s="1426"/>
      <c r="H17" s="1426"/>
      <c r="I17" s="1426"/>
      <c r="J17" s="1426"/>
      <c r="K17" s="1427"/>
      <c r="L17" s="1428"/>
      <c r="M17" s="816" t="s">
        <v>1690</v>
      </c>
      <c r="N17" s="813"/>
      <c r="O17" s="813"/>
    </row>
    <row r="18" spans="1:15" ht="34.5" hidden="1" customHeight="1" x14ac:dyDescent="0.2">
      <c r="A18" s="1430" t="s">
        <v>1799</v>
      </c>
      <c r="B18" s="1425">
        <f t="shared" si="0"/>
        <v>0</v>
      </c>
      <c r="C18" s="205"/>
      <c r="D18" s="1426"/>
      <c r="E18" s="1426"/>
      <c r="F18" s="1426"/>
      <c r="G18" s="1426"/>
      <c r="H18" s="1426"/>
      <c r="I18" s="1426"/>
      <c r="J18" s="1426"/>
      <c r="K18" s="1427"/>
      <c r="L18" s="1428"/>
      <c r="M18" s="816" t="s">
        <v>1691</v>
      </c>
      <c r="N18" s="813"/>
      <c r="O18" s="813"/>
    </row>
    <row r="19" spans="1:15" ht="34.5" hidden="1" customHeight="1" x14ac:dyDescent="0.2">
      <c r="A19" s="1430" t="s">
        <v>1800</v>
      </c>
      <c r="B19" s="1425"/>
      <c r="C19" s="205"/>
      <c r="D19" s="1426"/>
      <c r="E19" s="1426"/>
      <c r="F19" s="1426"/>
      <c r="G19" s="1426"/>
      <c r="H19" s="1426"/>
      <c r="I19" s="1426"/>
      <c r="J19" s="1426"/>
      <c r="K19" s="1427"/>
      <c r="L19" s="1428"/>
      <c r="M19" s="816" t="s">
        <v>1692</v>
      </c>
      <c r="N19" s="813"/>
      <c r="O19" s="813"/>
    </row>
    <row r="20" spans="1:15" ht="34.5" hidden="1" customHeight="1" x14ac:dyDescent="0.2">
      <c r="A20" s="1430" t="s">
        <v>1801</v>
      </c>
      <c r="B20" s="1425">
        <f t="shared" si="0"/>
        <v>0</v>
      </c>
      <c r="C20" s="205"/>
      <c r="D20" s="1426"/>
      <c r="E20" s="1426"/>
      <c r="F20" s="1426"/>
      <c r="G20" s="1426"/>
      <c r="H20" s="1426"/>
      <c r="I20" s="1426"/>
      <c r="J20" s="1426"/>
      <c r="K20" s="1427"/>
      <c r="L20" s="1428"/>
      <c r="M20" s="816" t="s">
        <v>1693</v>
      </c>
      <c r="N20" s="813"/>
      <c r="O20" s="813"/>
    </row>
    <row r="21" spans="1:15" ht="34.5" hidden="1" customHeight="1" x14ac:dyDescent="0.2">
      <c r="A21" s="1429" t="s">
        <v>1934</v>
      </c>
      <c r="B21" s="1425">
        <f t="shared" si="0"/>
        <v>0</v>
      </c>
      <c r="C21" s="205"/>
      <c r="D21" s="1426"/>
      <c r="E21" s="1426"/>
      <c r="F21" s="1426"/>
      <c r="G21" s="1426"/>
      <c r="H21" s="1426"/>
      <c r="I21" s="1426"/>
      <c r="J21" s="1426"/>
      <c r="K21" s="1427"/>
      <c r="L21" s="1428"/>
      <c r="M21" s="816" t="s">
        <v>1694</v>
      </c>
      <c r="N21" s="813"/>
      <c r="O21" s="813"/>
    </row>
    <row r="22" spans="1:15" ht="34.5" hidden="1" customHeight="1" x14ac:dyDescent="0.2">
      <c r="A22" s="1429" t="s">
        <v>1935</v>
      </c>
      <c r="B22" s="1425">
        <f t="shared" si="0"/>
        <v>0</v>
      </c>
      <c r="C22" s="205"/>
      <c r="D22" s="1426"/>
      <c r="E22" s="1426"/>
      <c r="F22" s="1426"/>
      <c r="G22" s="1426"/>
      <c r="H22" s="1426"/>
      <c r="I22" s="1426"/>
      <c r="J22" s="1426"/>
      <c r="K22" s="1427"/>
      <c r="L22" s="1428"/>
      <c r="M22" s="816" t="s">
        <v>1695</v>
      </c>
      <c r="N22" s="813"/>
      <c r="O22" s="813"/>
    </row>
    <row r="23" spans="1:15" ht="34.5" hidden="1" customHeight="1" x14ac:dyDescent="0.2">
      <c r="A23" s="1429" t="s">
        <v>1936</v>
      </c>
      <c r="B23" s="1425">
        <f t="shared" si="0"/>
        <v>0</v>
      </c>
      <c r="C23" s="205"/>
      <c r="D23" s="1426"/>
      <c r="E23" s="1426"/>
      <c r="F23" s="1426"/>
      <c r="G23" s="1426"/>
      <c r="H23" s="1426"/>
      <c r="I23" s="1426"/>
      <c r="J23" s="1426"/>
      <c r="K23" s="1427"/>
      <c r="L23" s="1428"/>
      <c r="M23" s="816" t="s">
        <v>1696</v>
      </c>
      <c r="N23" s="813"/>
      <c r="O23" s="833"/>
    </row>
    <row r="24" spans="1:15" ht="34.5" hidden="1" customHeight="1" x14ac:dyDescent="0.2">
      <c r="A24" s="1424" t="s">
        <v>1961</v>
      </c>
      <c r="B24" s="1425">
        <f t="shared" si="0"/>
        <v>0</v>
      </c>
      <c r="C24" s="205"/>
      <c r="D24" s="1426"/>
      <c r="E24" s="1426"/>
      <c r="F24" s="1426"/>
      <c r="G24" s="1426"/>
      <c r="H24" s="1426"/>
      <c r="I24" s="1426"/>
      <c r="J24" s="1426"/>
      <c r="K24" s="1431"/>
      <c r="L24" s="1432"/>
      <c r="M24" s="816" t="s">
        <v>1697</v>
      </c>
      <c r="N24" s="833"/>
      <c r="O24" s="833"/>
    </row>
    <row r="25" spans="1:15" ht="34.5" customHeight="1" x14ac:dyDescent="0.2">
      <c r="A25" s="2233" t="s">
        <v>2758</v>
      </c>
      <c r="B25" s="1425">
        <f t="shared" si="0"/>
        <v>109</v>
      </c>
      <c r="C25" s="205" t="s">
        <v>2783</v>
      </c>
      <c r="D25" s="1426">
        <v>109</v>
      </c>
      <c r="E25" s="1426"/>
      <c r="F25" s="1426"/>
      <c r="G25" s="1426"/>
      <c r="H25" s="1426"/>
      <c r="I25" s="1426"/>
      <c r="J25" s="1426"/>
      <c r="K25" s="1427"/>
      <c r="L25" s="1428"/>
      <c r="M25" s="1418" t="s">
        <v>1698</v>
      </c>
      <c r="N25" s="833"/>
      <c r="O25" s="833"/>
    </row>
    <row r="26" spans="1:15" ht="34.5" hidden="1" customHeight="1" x14ac:dyDescent="0.2">
      <c r="A26" s="1424" t="s">
        <v>1937</v>
      </c>
      <c r="B26" s="1425">
        <f t="shared" si="0"/>
        <v>0</v>
      </c>
      <c r="C26" s="205"/>
      <c r="D26" s="1426"/>
      <c r="E26" s="1426"/>
      <c r="F26" s="1426"/>
      <c r="G26" s="1426"/>
      <c r="H26" s="1426"/>
      <c r="I26" s="1426"/>
      <c r="J26" s="1426"/>
      <c r="K26" s="1431"/>
      <c r="L26" s="1432"/>
      <c r="M26" s="1418" t="s">
        <v>1699</v>
      </c>
      <c r="N26" s="813"/>
      <c r="O26" s="833"/>
    </row>
    <row r="27" spans="1:15" ht="34.5" hidden="1" customHeight="1" x14ac:dyDescent="0.2">
      <c r="A27" s="1424" t="s">
        <v>1938</v>
      </c>
      <c r="B27" s="1425">
        <f t="shared" si="0"/>
        <v>0</v>
      </c>
      <c r="C27" s="205"/>
      <c r="D27" s="1426"/>
      <c r="E27" s="1426"/>
      <c r="F27" s="1426"/>
      <c r="G27" s="1426"/>
      <c r="H27" s="1426"/>
      <c r="I27" s="1426"/>
      <c r="J27" s="1426"/>
      <c r="K27" s="1431"/>
      <c r="L27" s="1432"/>
      <c r="M27" s="1418" t="s">
        <v>1700</v>
      </c>
      <c r="N27" s="813"/>
      <c r="O27" s="833"/>
    </row>
    <row r="28" spans="1:15" ht="34.5" hidden="1" customHeight="1" x14ac:dyDescent="0.2">
      <c r="A28" s="1424" t="s">
        <v>1939</v>
      </c>
      <c r="B28" s="1425">
        <f t="shared" si="0"/>
        <v>0</v>
      </c>
      <c r="C28" s="205"/>
      <c r="D28" s="1426"/>
      <c r="E28" s="1426"/>
      <c r="F28" s="1426"/>
      <c r="G28" s="1426"/>
      <c r="H28" s="1426"/>
      <c r="I28" s="1426"/>
      <c r="J28" s="1426"/>
      <c r="K28" s="1431"/>
      <c r="L28" s="1432"/>
      <c r="M28" s="1418" t="s">
        <v>1701</v>
      </c>
      <c r="N28" s="813"/>
      <c r="O28" s="833"/>
    </row>
    <row r="29" spans="1:15" ht="34.5" hidden="1" customHeight="1" x14ac:dyDescent="0.2">
      <c r="A29" s="1424" t="s">
        <v>1940</v>
      </c>
      <c r="B29" s="1425">
        <f t="shared" si="0"/>
        <v>0</v>
      </c>
      <c r="C29" s="205"/>
      <c r="D29" s="1426"/>
      <c r="E29" s="1426"/>
      <c r="F29" s="1426"/>
      <c r="G29" s="1426"/>
      <c r="H29" s="1426"/>
      <c r="I29" s="1426"/>
      <c r="J29" s="1426"/>
      <c r="K29" s="1431"/>
      <c r="L29" s="1432"/>
      <c r="M29" s="1418" t="s">
        <v>1702</v>
      </c>
      <c r="N29" s="813"/>
      <c r="O29" s="833"/>
    </row>
    <row r="30" spans="1:15" ht="34.5" customHeight="1" x14ac:dyDescent="0.2">
      <c r="A30" s="1424" t="s">
        <v>1941</v>
      </c>
      <c r="B30" s="1425">
        <f t="shared" si="0"/>
        <v>109</v>
      </c>
      <c r="C30" s="205" t="s">
        <v>2783</v>
      </c>
      <c r="D30" s="1426">
        <v>109</v>
      </c>
      <c r="E30" s="1426"/>
      <c r="F30" s="1426"/>
      <c r="G30" s="1426"/>
      <c r="H30" s="1426"/>
      <c r="I30" s="1426"/>
      <c r="J30" s="1426"/>
      <c r="K30" s="1431"/>
      <c r="L30" s="1432"/>
      <c r="M30" s="816" t="s">
        <v>1703</v>
      </c>
      <c r="N30" s="813"/>
      <c r="O30" s="833"/>
    </row>
    <row r="31" spans="1:15" ht="34.5" hidden="1" customHeight="1" x14ac:dyDescent="0.2">
      <c r="A31" s="1424" t="s">
        <v>1942</v>
      </c>
      <c r="B31" s="1425">
        <f t="shared" si="0"/>
        <v>0</v>
      </c>
      <c r="C31" s="205"/>
      <c r="D31" s="1426"/>
      <c r="E31" s="1426"/>
      <c r="F31" s="1426"/>
      <c r="G31" s="1426"/>
      <c r="H31" s="1426"/>
      <c r="I31" s="1426"/>
      <c r="J31" s="1426"/>
      <c r="K31" s="1431"/>
      <c r="L31" s="1432"/>
      <c r="M31" s="816" t="s">
        <v>1704</v>
      </c>
      <c r="N31" s="813"/>
      <c r="O31" s="833"/>
    </row>
    <row r="32" spans="1:15" ht="34.5" hidden="1" customHeight="1" x14ac:dyDescent="0.2">
      <c r="A32" s="1424" t="s">
        <v>1943</v>
      </c>
      <c r="B32" s="1425">
        <f t="shared" si="0"/>
        <v>0</v>
      </c>
      <c r="C32" s="205"/>
      <c r="D32" s="1426"/>
      <c r="E32" s="1426"/>
      <c r="F32" s="1426"/>
      <c r="G32" s="1426"/>
      <c r="H32" s="1426"/>
      <c r="I32" s="1426"/>
      <c r="J32" s="1426"/>
      <c r="K32" s="1431"/>
      <c r="L32" s="1432"/>
      <c r="M32" s="816" t="s">
        <v>1705</v>
      </c>
      <c r="N32" s="813"/>
      <c r="O32" s="833"/>
    </row>
    <row r="33" spans="1:15" ht="34.5" hidden="1" customHeight="1" x14ac:dyDescent="0.2">
      <c r="A33" s="1424" t="s">
        <v>1944</v>
      </c>
      <c r="B33" s="1425">
        <f t="shared" si="0"/>
        <v>0</v>
      </c>
      <c r="C33" s="205"/>
      <c r="D33" s="1426"/>
      <c r="E33" s="1426"/>
      <c r="F33" s="1426"/>
      <c r="G33" s="1426"/>
      <c r="H33" s="1426"/>
      <c r="I33" s="1426"/>
      <c r="J33" s="1426"/>
      <c r="K33" s="1431"/>
      <c r="L33" s="1432"/>
      <c r="M33" s="816" t="s">
        <v>1706</v>
      </c>
      <c r="N33" s="813"/>
      <c r="O33" s="833"/>
    </row>
    <row r="34" spans="1:15" ht="34.5" customHeight="1" thickBot="1" x14ac:dyDescent="0.25">
      <c r="A34" s="1795" t="s">
        <v>1945</v>
      </c>
      <c r="B34" s="1433">
        <f t="shared" si="0"/>
        <v>109</v>
      </c>
      <c r="C34" s="1434" t="s">
        <v>2783</v>
      </c>
      <c r="D34" s="1435">
        <v>109</v>
      </c>
      <c r="E34" s="1435"/>
      <c r="F34" s="1435"/>
      <c r="G34" s="1435"/>
      <c r="H34" s="1435"/>
      <c r="I34" s="1435"/>
      <c r="J34" s="1435"/>
      <c r="K34" s="1436"/>
      <c r="L34" s="1437"/>
      <c r="M34" s="816" t="s">
        <v>1780</v>
      </c>
      <c r="N34" s="813"/>
      <c r="O34" s="833"/>
    </row>
    <row r="35" spans="1:15" ht="34.5" hidden="1" customHeight="1" thickBot="1" x14ac:dyDescent="0.25">
      <c r="A35" s="1795" t="s">
        <v>1946</v>
      </c>
      <c r="B35" s="1433">
        <f t="shared" si="0"/>
        <v>0</v>
      </c>
      <c r="C35" s="1434"/>
      <c r="D35" s="1486"/>
      <c r="E35" s="1435"/>
      <c r="F35" s="1486"/>
      <c r="G35" s="1435"/>
      <c r="H35" s="1486"/>
      <c r="I35" s="1435"/>
      <c r="J35" s="1486"/>
      <c r="K35" s="1436"/>
      <c r="L35" s="1437"/>
      <c r="M35" s="816" t="s">
        <v>2653</v>
      </c>
      <c r="N35" s="813"/>
      <c r="O35" s="833"/>
    </row>
  </sheetData>
  <mergeCells count="7">
    <mergeCell ref="K11:L11"/>
    <mergeCell ref="C11:D11"/>
    <mergeCell ref="A11:A12"/>
    <mergeCell ref="B11:B12"/>
    <mergeCell ref="E11:F11"/>
    <mergeCell ref="G11:H11"/>
    <mergeCell ref="I11:J11"/>
  </mergeCells>
  <phoneticPr fontId="140" type="noConversion"/>
  <pageMargins left="0.511811024" right="0.511811024" top="0.78740157499999996" bottom="0.78740157499999996" header="0.31496062000000002" footer="0.31496062000000002"/>
  <pageSetup paperSize="9" scale="6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20"/>
  <dimension ref="B1:Y37"/>
  <sheetViews>
    <sheetView showZeros="0" zoomScale="85" zoomScaleNormal="85" workbookViewId="0">
      <selection activeCell="D18" sqref="B13:I28"/>
    </sheetView>
  </sheetViews>
  <sheetFormatPr defaultRowHeight="12.75" x14ac:dyDescent="0.2"/>
  <cols>
    <col min="2" max="2" width="16.25" customWidth="1"/>
    <col min="3" max="3" width="53.375" customWidth="1"/>
    <col min="4" max="4" width="12" customWidth="1"/>
    <col min="5" max="5" width="12.375" customWidth="1"/>
    <col min="6" max="7" width="17" customWidth="1"/>
    <col min="8" max="8" width="21.625" customWidth="1"/>
  </cols>
  <sheetData>
    <row r="1" spans="2:25" ht="21" thickTop="1" x14ac:dyDescent="0.2">
      <c r="B1" s="854" t="str">
        <f>Orçamento_Não_Deson!B1</f>
        <v>PREFEITURA MUNICIPAL DE RIBAS DO RIO PARDO / MS</v>
      </c>
      <c r="C1" s="811"/>
      <c r="D1" s="811"/>
      <c r="E1" s="1586"/>
      <c r="F1" s="1751" t="s">
        <v>114</v>
      </c>
      <c r="G1" s="1752" t="str">
        <f>Orçamento_Não_Deson!J1</f>
        <v>Junho/2023</v>
      </c>
      <c r="H1" s="1753"/>
      <c r="I1" s="813"/>
    </row>
    <row r="2" spans="2:25" ht="15.75" x14ac:dyDescent="0.2">
      <c r="B2" s="460" t="str">
        <f>Orçamento_Não_Deson!B2</f>
        <v>ESTADO DE MATO GROSSO DO SUL</v>
      </c>
      <c r="C2" s="817"/>
      <c r="D2" s="817"/>
      <c r="E2" s="1586"/>
      <c r="F2" s="1754" t="s">
        <v>420</v>
      </c>
      <c r="G2" s="1755" t="str">
        <f>Orçamento_Não_Deson!J2</f>
        <v>NÃO DESONERADA</v>
      </c>
      <c r="H2" s="1756" t="str">
        <f>Orçamento_Deson!J2</f>
        <v>DESONERADA</v>
      </c>
      <c r="I2" s="813"/>
    </row>
    <row r="3" spans="2:25" ht="15.75" x14ac:dyDescent="0.2">
      <c r="B3" s="817"/>
      <c r="C3" s="819"/>
      <c r="D3" s="819"/>
      <c r="E3" s="1444"/>
      <c r="F3" s="1754" t="s">
        <v>270</v>
      </c>
      <c r="G3" s="1757">
        <f>Orçamento_Não_Deson!J3</f>
        <v>1.1544000000000001</v>
      </c>
      <c r="H3" s="1758">
        <f>Orçamento_Deson!J3</f>
        <v>0.8528</v>
      </c>
      <c r="I3" s="1685"/>
    </row>
    <row r="4" spans="2:25" x14ac:dyDescent="0.2">
      <c r="B4" s="866" t="s">
        <v>998</v>
      </c>
      <c r="C4" s="875">
        <f>Orçamento_Não_Deson!C4</f>
        <v>0</v>
      </c>
      <c r="D4" s="813"/>
      <c r="E4" s="1444"/>
      <c r="F4" s="1754" t="s">
        <v>269</v>
      </c>
      <c r="G4" s="1757">
        <f>Orçamento_Não_Deson!J4</f>
        <v>0.71260000000000001</v>
      </c>
      <c r="H4" s="1758">
        <f>Orçamento_Deson!J4</f>
        <v>0.4723</v>
      </c>
      <c r="I4" s="813"/>
    </row>
    <row r="5" spans="2:25" x14ac:dyDescent="0.2">
      <c r="B5" s="866" t="s">
        <v>220</v>
      </c>
      <c r="C5" s="875" t="str">
        <f>Orçamento_Não_Deson!C5</f>
        <v xml:space="preserve">INFRAESTRUTURA URBANA - PAVIMENTAÇÃO ASFÁLTICA E DRENAGEM DE ÁGUAS PLUVIAIS </v>
      </c>
      <c r="D5" s="895"/>
      <c r="E5" s="1587"/>
      <c r="F5" s="1754" t="s">
        <v>421</v>
      </c>
      <c r="G5" s="1757">
        <f>Orçamento_Não_Deson!J5</f>
        <v>0.20699999999999999</v>
      </c>
      <c r="H5" s="1758">
        <f>Orçamento_Deson!J5</f>
        <v>0.26740000000000003</v>
      </c>
      <c r="I5" s="813"/>
    </row>
    <row r="6" spans="2:25" ht="13.5" thickBot="1" x14ac:dyDescent="0.25">
      <c r="B6" s="866" t="s">
        <v>1007</v>
      </c>
      <c r="C6" s="875" t="str">
        <f>Orçamento_Não_Deson!C6</f>
        <v>PARQUE ESTORIL - ETAPAS 03 E 04</v>
      </c>
      <c r="D6" s="822"/>
      <c r="E6" s="1444"/>
      <c r="F6" s="1759" t="s">
        <v>940</v>
      </c>
      <c r="G6" s="1760">
        <f>Orçamento_Não_Deson!J6</f>
        <v>0.1527</v>
      </c>
      <c r="H6" s="1761">
        <f>Orçamento_Deson!J6</f>
        <v>0.1527</v>
      </c>
      <c r="I6" s="813"/>
    </row>
    <row r="7" spans="2:25" ht="13.5" thickTop="1" x14ac:dyDescent="0.2">
      <c r="B7" s="866" t="s">
        <v>999</v>
      </c>
      <c r="C7" s="875" t="str">
        <f>Orçamento_Não_Deson!C7</f>
        <v>RIBAS DO RIO PARDO / MS</v>
      </c>
      <c r="D7" s="822"/>
      <c r="E7" s="1444"/>
      <c r="F7" s="824"/>
      <c r="G7" s="824"/>
      <c r="H7" s="820"/>
      <c r="I7" s="813"/>
      <c r="J7" s="813"/>
      <c r="K7" s="813"/>
    </row>
    <row r="10" spans="2:25" s="4" customFormat="1" ht="16.5" x14ac:dyDescent="0.15">
      <c r="B10" s="1744" t="s">
        <v>2030</v>
      </c>
      <c r="C10" s="1731"/>
      <c r="D10" s="1731"/>
      <c r="E10" s="1731"/>
      <c r="F10" s="1731"/>
      <c r="G10" s="1731"/>
      <c r="H10" s="1731"/>
    </row>
    <row r="11" spans="2:25" ht="13.5" thickBot="1" x14ac:dyDescent="0.25">
      <c r="G11" s="536"/>
      <c r="H11" s="537"/>
    </row>
    <row r="12" spans="2:25" s="3" customFormat="1" ht="27" thickTop="1" thickBot="1" x14ac:dyDescent="0.2">
      <c r="B12" s="1682" t="s">
        <v>31</v>
      </c>
      <c r="C12" s="667" t="s">
        <v>38</v>
      </c>
      <c r="D12" s="666" t="s">
        <v>336</v>
      </c>
      <c r="E12" s="667" t="s">
        <v>33</v>
      </c>
      <c r="F12" s="525" t="s">
        <v>2028</v>
      </c>
      <c r="G12" s="525" t="s">
        <v>2027</v>
      </c>
      <c r="H12" s="1749" t="s">
        <v>2029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2:25" s="3" customFormat="1" ht="9.75" customHeight="1" thickTop="1" x14ac:dyDescent="0.15">
      <c r="B13" s="1670"/>
      <c r="C13" s="1670"/>
      <c r="D13" s="1762"/>
      <c r="E13" s="1670"/>
      <c r="F13" s="1763"/>
      <c r="G13" s="1763"/>
      <c r="H13" s="1762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2:25" s="1746" customFormat="1" ht="26.25" customHeight="1" x14ac:dyDescent="0.15">
      <c r="B14" s="1745">
        <f>Orçamento_Não_Deson!B13</f>
        <v>1</v>
      </c>
      <c r="C14" s="1746" t="str">
        <f>Orçamento_Não_Deson!C13</f>
        <v>SERVIÇOS PRELIMINARES</v>
      </c>
      <c r="D14" s="1747">
        <f>Orçamento_Não_Deson!H13</f>
        <v>8</v>
      </c>
      <c r="E14" s="1748" t="str">
        <f>Orçamento_Não_Deson!I13</f>
        <v>M2</v>
      </c>
      <c r="F14" s="1746">
        <f ca="1">Orçamento_Não_Deson!J13</f>
        <v>332993.23000000004</v>
      </c>
      <c r="G14" s="1746">
        <f ca="1">Orçamento_Deson!J13</f>
        <v>341683.5</v>
      </c>
      <c r="H14" s="1750">
        <f ca="1">(F14/G14)-1</f>
        <v>-2.5433683511202454E-2</v>
      </c>
    </row>
    <row r="15" spans="2:25" s="1746" customFormat="1" ht="26.25" customHeight="1" x14ac:dyDescent="0.15">
      <c r="B15" s="1745">
        <f ca="1">Orçamento_Não_Deson!B14</f>
        <v>2</v>
      </c>
      <c r="C15" s="1746" t="str">
        <f>Orçamento_Não_Deson!C14</f>
        <v>REMOÇÕES, DEMOLIÇÕES E SUPRESSÕES</v>
      </c>
      <c r="D15" s="1747">
        <f>Orçamento_Não_Deson!H14</f>
        <v>3859.97</v>
      </c>
      <c r="E15" s="1748" t="str">
        <f>Orçamento_Não_Deson!I14</f>
        <v>M</v>
      </c>
      <c r="F15" s="1746">
        <f ca="1">Orçamento_Não_Deson!J14</f>
        <v>171560.66999999998</v>
      </c>
      <c r="G15" s="1746">
        <f ca="1">Orçamento_Deson!J14</f>
        <v>171817.56000000003</v>
      </c>
      <c r="H15" s="1750">
        <f t="shared" ref="H15:H34" ca="1" si="0">(F15/G15)-1</f>
        <v>-1.4951323950825879E-3</v>
      </c>
    </row>
    <row r="16" spans="2:25" s="1746" customFormat="1" ht="26.25" customHeight="1" x14ac:dyDescent="0.15">
      <c r="B16" s="1745">
        <f ca="1">Orçamento_Não_Deson!B15</f>
        <v>3</v>
      </c>
      <c r="C16" s="1746" t="str">
        <f>Orçamento_Não_Deson!C15</f>
        <v>MICRODRENAGEM - TERRAPLENAGEM</v>
      </c>
      <c r="D16" s="1747">
        <f ca="1">Orçamento_Não_Deson!H15</f>
        <v>9888.66</v>
      </c>
      <c r="E16" s="1748" t="str">
        <f>Orçamento_Não_Deson!I15</f>
        <v>M3</v>
      </c>
      <c r="F16" s="1746">
        <f ca="1">Orçamento_Não_Deson!J15</f>
        <v>661714.53999999992</v>
      </c>
      <c r="G16" s="1746">
        <f ca="1">Orçamento_Deson!J15</f>
        <v>659020.42000000004</v>
      </c>
      <c r="H16" s="1750">
        <f t="shared" ref="H16:H33" ca="1" si="1">(F16/G16)-1</f>
        <v>4.0880675594239246E-3</v>
      </c>
    </row>
    <row r="17" spans="2:8" s="1746" customFormat="1" ht="26.25" customHeight="1" x14ac:dyDescent="0.15">
      <c r="B17" s="1745">
        <f ca="1">Orçamento_Não_Deson!B16</f>
        <v>4</v>
      </c>
      <c r="C17" s="1746" t="str">
        <f>Orçamento_Não_Deson!C16</f>
        <v>MICRODRENAGEM - GALERIAS</v>
      </c>
      <c r="D17" s="1747">
        <f ca="1">Orçamento_Não_Deson!H16</f>
        <v>2926.8700000000003</v>
      </c>
      <c r="E17" s="1748" t="str">
        <f>Orçamento_Não_Deson!I16</f>
        <v>M</v>
      </c>
      <c r="F17" s="1746">
        <f ca="1">Orçamento_Não_Deson!J16</f>
        <v>1133647.6500000001</v>
      </c>
      <c r="G17" s="1746">
        <f ca="1">Orçamento_Deson!J16</f>
        <v>1127683.8500000001</v>
      </c>
      <c r="H17" s="1750">
        <f t="shared" ca="1" si="1"/>
        <v>5.2885389819141704E-3</v>
      </c>
    </row>
    <row r="18" spans="2:8" s="1746" customFormat="1" ht="26.25" customHeight="1" x14ac:dyDescent="0.15">
      <c r="B18" s="1745">
        <f ca="1">Orçamento_Não_Deson!B17</f>
        <v>5</v>
      </c>
      <c r="C18" s="1746" t="str">
        <f>Orçamento_Não_Deson!C17</f>
        <v>MICRODRENAGEM - DISPOSITIVOS AUXILIARES</v>
      </c>
      <c r="D18" s="1747">
        <f>Orçamento_Não_Deson!H17</f>
        <v>110</v>
      </c>
      <c r="E18" s="1748" t="str">
        <f>Orçamento_Não_Deson!I17</f>
        <v>UN</v>
      </c>
      <c r="F18" s="1746">
        <f ca="1">Orçamento_Não_Deson!J17</f>
        <v>731704.34999999986</v>
      </c>
      <c r="G18" s="1746">
        <f ca="1">Orçamento_Deson!J17</f>
        <v>747257.42999999993</v>
      </c>
      <c r="H18" s="1750">
        <f t="shared" ca="1" si="1"/>
        <v>-2.0813550157674721E-2</v>
      </c>
    </row>
    <row r="19" spans="2:8" s="1746" customFormat="1" ht="26.25" customHeight="1" x14ac:dyDescent="0.15">
      <c r="B19" s="1745">
        <f ca="1">Orçamento_Não_Deson!B18</f>
        <v>5</v>
      </c>
      <c r="C19" s="1746" t="str">
        <f>Orçamento_Não_Deson!C18</f>
        <v>MICRODRENAGEM - SERVIÇOS DE ESTRUTURAS</v>
      </c>
      <c r="D19" s="1747">
        <f>Orçamento_Não_Deson!H18</f>
        <v>0</v>
      </c>
      <c r="E19" s="1748" t="str">
        <f>Orçamento_Não_Deson!I18</f>
        <v>M3</v>
      </c>
      <c r="F19" s="1746">
        <f>Orçamento_Não_Deson!J18</f>
        <v>0</v>
      </c>
      <c r="G19" s="1746">
        <f>Orçamento_Deson!J18</f>
        <v>0</v>
      </c>
      <c r="H19" s="1750" t="e">
        <f t="shared" si="1"/>
        <v>#DIV/0!</v>
      </c>
    </row>
    <row r="20" spans="2:8" s="1746" customFormat="1" ht="26.25" customHeight="1" x14ac:dyDescent="0.15">
      <c r="B20" s="1745">
        <f ca="1">Orçamento_Não_Deson!B19</f>
        <v>5</v>
      </c>
      <c r="C20" s="1746" t="str">
        <f>Orçamento_Não_Deson!C19</f>
        <v>MICRODRENAGEM - BACIA DE AMORTECIMENTO</v>
      </c>
      <c r="D20" s="1747">
        <f>Orçamento_Não_Deson!H19</f>
        <v>0</v>
      </c>
      <c r="E20" s="1748" t="str">
        <f>Orçamento_Não_Deson!I19</f>
        <v>M3</v>
      </c>
      <c r="F20" s="1746">
        <f>Orçamento_Não_Deson!J19</f>
        <v>0</v>
      </c>
      <c r="G20" s="1746">
        <f>Orçamento_Deson!J19</f>
        <v>0</v>
      </c>
      <c r="H20" s="1750" t="e">
        <f t="shared" si="1"/>
        <v>#DIV/0!</v>
      </c>
    </row>
    <row r="21" spans="2:8" s="1746" customFormat="1" ht="26.25" customHeight="1" x14ac:dyDescent="0.15">
      <c r="B21" s="1745">
        <f ca="1">Orçamento_Não_Deson!B20</f>
        <v>5</v>
      </c>
      <c r="C21" s="1746" t="str">
        <f>Orçamento_Não_Deson!C20</f>
        <v>DRENAGEM DE LENÇOL FREÁTICO</v>
      </c>
      <c r="D21" s="1747">
        <f>Orçamento_Não_Deson!H20</f>
        <v>0</v>
      </c>
      <c r="E21" s="1748" t="str">
        <f>Orçamento_Não_Deson!I20</f>
        <v>M</v>
      </c>
      <c r="F21" s="1746">
        <f>Orçamento_Não_Deson!J20</f>
        <v>0</v>
      </c>
      <c r="G21" s="1746">
        <f>Orçamento_Deson!J20</f>
        <v>0</v>
      </c>
      <c r="H21" s="1750" t="e">
        <f t="shared" si="1"/>
        <v>#DIV/0!</v>
      </c>
    </row>
    <row r="22" spans="2:8" s="1746" customFormat="1" ht="26.25" customHeight="1" x14ac:dyDescent="0.15">
      <c r="B22" s="1745">
        <f ca="1">Orçamento_Não_Deson!B21</f>
        <v>6</v>
      </c>
      <c r="C22" s="1746" t="str">
        <f>Orçamento_Não_Deson!C21</f>
        <v>MICRODRENAGEM - RECOMPOSIÇÃO DO PAVIMENTO</v>
      </c>
      <c r="D22" s="1747">
        <f ca="1">Orçamento_Não_Deson!H21</f>
        <v>182.08</v>
      </c>
      <c r="E22" s="1748" t="str">
        <f>Orçamento_Não_Deson!I21</f>
        <v>M2</v>
      </c>
      <c r="F22" s="1746">
        <f ca="1">Orçamento_Não_Deson!J21</f>
        <v>19737.57</v>
      </c>
      <c r="G22" s="1746">
        <f ca="1">Orçamento_Deson!J21</f>
        <v>20442.95</v>
      </c>
      <c r="H22" s="1750">
        <f t="shared" ca="1" si="1"/>
        <v>-3.450480483491869E-2</v>
      </c>
    </row>
    <row r="23" spans="2:8" s="1746" customFormat="1" ht="26.25" customHeight="1" x14ac:dyDescent="0.15">
      <c r="B23" s="1745">
        <f ca="1">Orçamento_Não_Deson!B22</f>
        <v>6</v>
      </c>
      <c r="C23" s="1746" t="str">
        <f>Orçamento_Não_Deson!C22</f>
        <v>RESTAURAÇÃO DO PAVIMENTO - RECUPERAÇÃO PRÉVIA DO PAVIMENTO</v>
      </c>
      <c r="D23" s="1747">
        <f>Orçamento_Não_Deson!H22</f>
        <v>0</v>
      </c>
      <c r="E23" s="1748" t="str">
        <f>Orçamento_Não_Deson!I22</f>
        <v>M2</v>
      </c>
      <c r="F23" s="1746">
        <f>Orçamento_Não_Deson!J22</f>
        <v>0</v>
      </c>
      <c r="G23" s="1746">
        <f>Orçamento_Deson!J22</f>
        <v>0</v>
      </c>
      <c r="H23" s="1750" t="e">
        <f t="shared" si="1"/>
        <v>#DIV/0!</v>
      </c>
    </row>
    <row r="24" spans="2:8" s="1746" customFormat="1" ht="26.25" customHeight="1" x14ac:dyDescent="0.15">
      <c r="B24" s="1745">
        <f ca="1">Orçamento_Não_Deson!B23</f>
        <v>6</v>
      </c>
      <c r="C24" s="1746" t="str">
        <f>Orçamento_Não_Deson!C23</f>
        <v>RESTAURAÇÃO DO PAVIMENTO - RECAPEAMENTO ASFÁLTICO</v>
      </c>
      <c r="D24" s="1747">
        <f>Orçamento_Não_Deson!H23</f>
        <v>0</v>
      </c>
      <c r="E24" s="1748" t="str">
        <f>Orçamento_Não_Deson!I23</f>
        <v>M2</v>
      </c>
      <c r="F24" s="1746">
        <f>Orçamento_Não_Deson!J23</f>
        <v>0</v>
      </c>
      <c r="G24" s="1746">
        <f>Orçamento_Deson!J23</f>
        <v>0</v>
      </c>
      <c r="H24" s="1750" t="e">
        <f t="shared" si="1"/>
        <v>#DIV/0!</v>
      </c>
    </row>
    <row r="25" spans="2:8" s="1746" customFormat="1" ht="26.25" customHeight="1" x14ac:dyDescent="0.15">
      <c r="B25" s="1745">
        <f ca="1">Orçamento_Não_Deson!B24</f>
        <v>7</v>
      </c>
      <c r="C25" s="1746" t="str">
        <f>Orçamento_Não_Deson!C24</f>
        <v>IMPLANTAÇÃO ASFÁLTICA - TERRAPLENAGEM</v>
      </c>
      <c r="D25" s="1747">
        <f>Orçamento_Não_Deson!H24</f>
        <v>11025.85</v>
      </c>
      <c r="E25" s="1748" t="str">
        <f>Orçamento_Não_Deson!I24</f>
        <v>M3</v>
      </c>
      <c r="F25" s="1746">
        <f>Orçamento_Não_Deson!J24</f>
        <v>306380.45999999996</v>
      </c>
      <c r="G25" s="1746">
        <f>Orçamento_Deson!J24</f>
        <v>312810.52999999997</v>
      </c>
      <c r="H25" s="1750">
        <f t="shared" si="1"/>
        <v>-2.0555797785963281E-2</v>
      </c>
    </row>
    <row r="26" spans="2:8" s="1746" customFormat="1" ht="26.25" customHeight="1" x14ac:dyDescent="0.15">
      <c r="B26" s="1745">
        <f ca="1">Orçamento_Não_Deson!B25</f>
        <v>8</v>
      </c>
      <c r="C26" s="1746" t="str">
        <f>Orçamento_Não_Deson!C25</f>
        <v>IMPLANTAÇÃO ASFÁLTICA - PAVIMENTAÇÃO</v>
      </c>
      <c r="D26" s="1747">
        <f>Orçamento_Não_Deson!H25</f>
        <v>56628.68</v>
      </c>
      <c r="E26" s="1748" t="str">
        <f>Orçamento_Não_Deson!I25</f>
        <v>M2</v>
      </c>
      <c r="F26" s="1746">
        <f>Orçamento_Não_Deson!J25</f>
        <v>7068471.54</v>
      </c>
      <c r="G26" s="1746">
        <f>Orçamento_Deson!J25</f>
        <v>7307917.4499999993</v>
      </c>
      <c r="H26" s="1750">
        <f t="shared" si="1"/>
        <v>-3.2765272957482439E-2</v>
      </c>
    </row>
    <row r="27" spans="2:8" s="1746" customFormat="1" ht="26.25" customHeight="1" x14ac:dyDescent="0.15">
      <c r="B27" s="1745">
        <f ca="1">Orçamento_Não_Deson!B26</f>
        <v>9</v>
      </c>
      <c r="C27" s="1746" t="str">
        <f>Orçamento_Não_Deson!C26</f>
        <v>SERVIÇOS COMPLEMENTARES</v>
      </c>
      <c r="D27" s="1747">
        <f ca="1">Orçamento_Não_Deson!H26</f>
        <v>14501.96</v>
      </c>
      <c r="E27" s="1748" t="str">
        <f>Orçamento_Não_Deson!I26</f>
        <v>M</v>
      </c>
      <c r="F27" s="1746">
        <f ca="1">Orçamento_Não_Deson!J26</f>
        <v>988204.42</v>
      </c>
      <c r="G27" s="1746">
        <f ca="1">Orçamento_Deson!J26</f>
        <v>987498.49</v>
      </c>
      <c r="H27" s="1750">
        <f t="shared" ca="1" si="1"/>
        <v>7.1486691589783824E-4</v>
      </c>
    </row>
    <row r="28" spans="2:8" s="1746" customFormat="1" ht="26.25" customHeight="1" x14ac:dyDescent="0.15">
      <c r="B28" s="1745">
        <f ca="1">Orçamento_Não_Deson!B27</f>
        <v>10</v>
      </c>
      <c r="C28" s="1746" t="str">
        <f>Orçamento_Não_Deson!C27</f>
        <v>PASSEIO COM ACESSIBILIDADE</v>
      </c>
      <c r="D28" s="1747">
        <f>Orçamento_Não_Deson!H27</f>
        <v>15489.17</v>
      </c>
      <c r="E28" s="1748" t="str">
        <f>Orçamento_Não_Deson!I27</f>
        <v>M2</v>
      </c>
      <c r="F28" s="1746">
        <f>Orçamento_Não_Deson!J27</f>
        <v>1060978.94</v>
      </c>
      <c r="G28" s="1746">
        <f>Orçamento_Deson!J27</f>
        <v>1100122.74</v>
      </c>
      <c r="H28" s="1750">
        <f t="shared" si="1"/>
        <v>-3.5581302500846457E-2</v>
      </c>
    </row>
    <row r="29" spans="2:8" s="1746" customFormat="1" ht="26.25" customHeight="1" x14ac:dyDescent="0.15">
      <c r="B29" s="1745">
        <f ca="1">Orçamento_Não_Deson!B28</f>
        <v>10</v>
      </c>
      <c r="C29" s="1746" t="str">
        <f>Orçamento_Não_Deson!C28</f>
        <v>PARADA DE ÔNIBUS - PAVIMENTO RÍGIDO E PLATAFORMA</v>
      </c>
      <c r="D29" s="1747">
        <f>Orçamento_Não_Deson!H28</f>
        <v>0</v>
      </c>
      <c r="E29" s="1748" t="str">
        <f>Orçamento_Não_Deson!I28</f>
        <v xml:space="preserve">UN </v>
      </c>
      <c r="F29" s="1746">
        <f>Orçamento_Não_Deson!J28</f>
        <v>0</v>
      </c>
      <c r="G29" s="1746">
        <f>Orçamento_Deson!J28</f>
        <v>0</v>
      </c>
      <c r="H29" s="1750" t="e">
        <f t="shared" si="1"/>
        <v>#DIV/0!</v>
      </c>
    </row>
    <row r="30" spans="2:8" s="1746" customFormat="1" ht="26.25" customHeight="1" x14ac:dyDescent="0.15">
      <c r="B30" s="1745">
        <f ca="1">Orçamento_Não_Deson!B29</f>
        <v>10</v>
      </c>
      <c r="C30" s="1746" t="str">
        <f>Orçamento_Não_Deson!C29</f>
        <v>IMPLANTAÇÃO / ADEQUAÇÃO GEOMÉTRICA DE CICLOVIA</v>
      </c>
      <c r="D30" s="1747">
        <f>Orçamento_Não_Deson!H29</f>
        <v>0</v>
      </c>
      <c r="E30" s="1748" t="str">
        <f>Orçamento_Não_Deson!I29</f>
        <v>M</v>
      </c>
      <c r="F30" s="1746">
        <f>Orçamento_Não_Deson!J29</f>
        <v>0</v>
      </c>
      <c r="G30" s="1746">
        <f>Orçamento_Deson!J29</f>
        <v>0</v>
      </c>
      <c r="H30" s="1750" t="e">
        <f t="shared" si="1"/>
        <v>#DIV/0!</v>
      </c>
    </row>
    <row r="31" spans="2:8" s="1746" customFormat="1" ht="26.25" customHeight="1" x14ac:dyDescent="0.15">
      <c r="B31" s="1745">
        <f ca="1">Orçamento_Não_Deson!B30</f>
        <v>11</v>
      </c>
      <c r="C31" s="1746" t="str">
        <f>Orçamento_Não_Deson!C30</f>
        <v>SINALIZAÇÃO VIÁRIA DEFINITIVA HORIZONTAL E VERTICAL E DISPOSITIVOS DE SEGURANÇA</v>
      </c>
      <c r="D31" s="1747">
        <f>Orçamento_Não_Deson!H30</f>
        <v>1067.4099999999999</v>
      </c>
      <c r="E31" s="1748" t="str">
        <f>Orçamento_Não_Deson!I30</f>
        <v>M2</v>
      </c>
      <c r="F31" s="1746">
        <f>Orçamento_Não_Deson!J30</f>
        <v>299266.14</v>
      </c>
      <c r="G31" s="1746">
        <f>Orçamento_Deson!J30</f>
        <v>312419.95999999996</v>
      </c>
      <c r="H31" s="1750">
        <f t="shared" si="1"/>
        <v>-4.2103007759171196E-2</v>
      </c>
    </row>
    <row r="32" spans="2:8" s="1746" customFormat="1" ht="26.25" customHeight="1" x14ac:dyDescent="0.15">
      <c r="B32" s="1745">
        <f ca="1">Orçamento_Não_Deson!B31</f>
        <v>12</v>
      </c>
      <c r="C32" s="1746" t="str">
        <f>Orçamento_Não_Deson!C31</f>
        <v>ADMINISTRAÇÃO LOCAL</v>
      </c>
      <c r="D32" s="1747">
        <f>Orçamento_Não_Deson!H31</f>
        <v>12</v>
      </c>
      <c r="E32" s="1748" t="str">
        <f>Orçamento_Não_Deson!I31</f>
        <v>MÊS</v>
      </c>
      <c r="F32" s="1746">
        <f>Orçamento_Não_Deson!J31</f>
        <v>625998.32999999996</v>
      </c>
      <c r="G32" s="1746">
        <f>Orçamento_Deson!J31</f>
        <v>643162.96</v>
      </c>
      <c r="H32" s="1750">
        <f t="shared" si="1"/>
        <v>-2.6687839735049401E-2</v>
      </c>
    </row>
    <row r="33" spans="2:8" s="1746" customFormat="1" ht="26.25" customHeight="1" x14ac:dyDescent="0.15">
      <c r="B33" s="1745">
        <f ca="1">Orçamento_Não_Deson!B32</f>
        <v>12</v>
      </c>
      <c r="C33" s="1746" t="str">
        <f>Orçamento_Não_Deson!C32</f>
        <v>SERVIÇOS DE ENGENHARIA</v>
      </c>
      <c r="D33" s="1747">
        <f>Orçamento_Não_Deson!H32</f>
        <v>0</v>
      </c>
      <c r="E33" s="1748" t="str">
        <f>Orçamento_Não_Deson!I32</f>
        <v>m²</v>
      </c>
      <c r="F33" s="1746">
        <f>Orçamento_Não_Deson!J32</f>
        <v>0</v>
      </c>
      <c r="G33" s="1746">
        <f>Orçamento_Deson!J32</f>
        <v>0</v>
      </c>
      <c r="H33" s="1750" t="e">
        <f t="shared" si="1"/>
        <v>#DIV/0!</v>
      </c>
    </row>
    <row r="34" spans="2:8" s="1746" customFormat="1" ht="26.25" customHeight="1" x14ac:dyDescent="0.15">
      <c r="B34" s="1745"/>
      <c r="C34" s="1746" t="s">
        <v>37</v>
      </c>
      <c r="D34" s="1747"/>
      <c r="E34" s="1748"/>
      <c r="F34" s="1746">
        <f ca="1">SUM(F14:F33)</f>
        <v>13400657.84</v>
      </c>
      <c r="G34" s="1746">
        <f ca="1">SUM(G14:G33)</f>
        <v>13731837.84</v>
      </c>
      <c r="H34" s="1750">
        <f t="shared" ca="1" si="0"/>
        <v>-2.411767484140348E-2</v>
      </c>
    </row>
    <row r="35" spans="2:8" s="21" customFormat="1" x14ac:dyDescent="0.2"/>
    <row r="36" spans="2:8" s="21" customFormat="1" x14ac:dyDescent="0.2"/>
    <row r="37" spans="2:8" s="21" customFormat="1" x14ac:dyDescent="0.2"/>
  </sheetData>
  <conditionalFormatting sqref="G5:G6">
    <cfRule type="cellIs" dxfId="131" priority="2" operator="equal">
      <formula>H8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21">
    <pageSetUpPr fitToPage="1"/>
  </sheetPr>
  <dimension ref="A1:Y62"/>
  <sheetViews>
    <sheetView showZeros="0" workbookViewId="0">
      <selection activeCell="D18" sqref="B13:I28"/>
    </sheetView>
  </sheetViews>
  <sheetFormatPr defaultColWidth="9" defaultRowHeight="12.75" x14ac:dyDescent="0.15"/>
  <cols>
    <col min="1" max="1" width="15.875" style="325" customWidth="1"/>
    <col min="2" max="2" width="70.5" style="325" customWidth="1"/>
    <col min="3" max="3" width="10.625" style="325" customWidth="1"/>
    <col min="4" max="4" width="5.375" style="325" bestFit="1" customWidth="1"/>
    <col min="5" max="5" width="13" style="325" customWidth="1"/>
    <col min="6" max="6" width="8.625" style="325" bestFit="1" customWidth="1"/>
    <col min="7" max="8" width="16.75" style="325" customWidth="1"/>
    <col min="9" max="9" width="17.75" style="325" customWidth="1"/>
    <col min="10" max="16384" width="9" style="325"/>
  </cols>
  <sheetData>
    <row r="1" spans="1:25" s="4" customFormat="1" ht="23.1" customHeight="1" x14ac:dyDescent="0.15">
      <c r="A1" s="459" t="str">
        <f>Orçamento_Não_Deson!B1</f>
        <v>PREFEITURA MUNICIPAL DE RIBAS DO RIO PARDO / MS</v>
      </c>
      <c r="B1" s="459"/>
      <c r="C1" s="316"/>
      <c r="H1" s="536" t="str">
        <f>Orçamento_Não_Deson!I1</f>
        <v>DATA BASE:</v>
      </c>
      <c r="I1" s="1765" t="str">
        <f>Orçamento_Não_Deson!J1</f>
        <v>Junho/2023</v>
      </c>
    </row>
    <row r="2" spans="1:25" s="4" customFormat="1" ht="23.1" customHeight="1" x14ac:dyDescent="0.15">
      <c r="A2" s="460" t="s">
        <v>612</v>
      </c>
      <c r="B2" s="460"/>
      <c r="C2" s="318"/>
      <c r="D2" s="319"/>
      <c r="H2" s="536" t="str">
        <f>Orçamento_Não_Deson!I2</f>
        <v>E.S.S.M.O.:</v>
      </c>
      <c r="I2" s="537" t="str">
        <f>Orçamento_Não_Deson!J2</f>
        <v>NÃO DESONERADA</v>
      </c>
    </row>
    <row r="3" spans="1:25" s="4" customFormat="1" ht="23.1" customHeight="1" x14ac:dyDescent="0.15">
      <c r="A3" s="437"/>
      <c r="B3" s="437"/>
      <c r="C3" s="318"/>
      <c r="D3" s="319"/>
      <c r="H3" s="536" t="str">
        <f>Orçamento_Não_Deson!I3</f>
        <v>E.S.D. (HORA):</v>
      </c>
      <c r="I3" s="538">
        <f>Orçamento_Não_Deson!J3</f>
        <v>1.1544000000000001</v>
      </c>
    </row>
    <row r="4" spans="1:25" s="4" customFormat="1" ht="23.1" customHeight="1" x14ac:dyDescent="0.15">
      <c r="A4" s="323" t="str">
        <f>Orçamento_Não_Deson!B5</f>
        <v>OBRA :</v>
      </c>
      <c r="B4" s="323" t="str">
        <f>Orçamento_Não_Deson!C5</f>
        <v xml:space="preserve">INFRAESTRUTURA URBANA - PAVIMENTAÇÃO ASFÁLTICA E DRENAGEM DE ÁGUAS PLUVIAIS </v>
      </c>
      <c r="C4" s="438"/>
      <c r="D4" s="323"/>
      <c r="H4" s="536" t="str">
        <f>Orçamento_Não_Deson!I4</f>
        <v>E.S.D. (MÊS):</v>
      </c>
      <c r="I4" s="538">
        <f>Orçamento_Não_Deson!J4</f>
        <v>0.71260000000000001</v>
      </c>
    </row>
    <row r="5" spans="1:25" s="4" customFormat="1" ht="23.1" customHeight="1" x14ac:dyDescent="0.15">
      <c r="A5" s="323" t="str">
        <f>Orçamento_Não_Deson!B6</f>
        <v>LOCAL :</v>
      </c>
      <c r="B5" s="323" t="str">
        <f>Orçamento_Não_Deson!C6</f>
        <v>PARQUE ESTORIL - ETAPAS 03 E 04</v>
      </c>
      <c r="C5" s="438"/>
      <c r="D5" s="321"/>
      <c r="H5" s="536" t="str">
        <f>Orçamento_Não_Deson!I5</f>
        <v>BDI SERVIÇOS:</v>
      </c>
      <c r="I5" s="538">
        <f>Orçamento_Não_Deson!J5</f>
        <v>0.20699999999999999</v>
      </c>
    </row>
    <row r="6" spans="1:25" s="4" customFormat="1" ht="23.1" customHeight="1" x14ac:dyDescent="0.15">
      <c r="A6" s="323" t="str">
        <f>Orçamento_Não_Deson!B7</f>
        <v>MUNICÍPIO :</v>
      </c>
      <c r="B6" s="323" t="str">
        <f>Orçamento_Não_Deson!C7</f>
        <v>RIBAS DO RIO PARDO / MS</v>
      </c>
      <c r="C6" s="439"/>
      <c r="D6" s="321"/>
      <c r="H6" s="536" t="str">
        <f>Orçamento_Não_Deson!I6</f>
        <v>BDI INSUMO (*):</v>
      </c>
      <c r="I6" s="538">
        <f>Orçamento_Não_Deson!J6</f>
        <v>0.1527</v>
      </c>
    </row>
    <row r="7" spans="1:25" s="4" customFormat="1" ht="23.1" customHeight="1" x14ac:dyDescent="0.15">
      <c r="A7" s="323"/>
      <c r="B7" s="323"/>
      <c r="D7" s="322"/>
    </row>
    <row r="8" spans="1:25" s="4" customFormat="1" ht="23.1" customHeight="1" x14ac:dyDescent="0.15">
      <c r="A8" s="2587" t="s">
        <v>615</v>
      </c>
      <c r="B8" s="2587"/>
      <c r="C8" s="2587"/>
      <c r="D8" s="2587"/>
      <c r="E8" s="2587"/>
      <c r="F8" s="2587"/>
      <c r="G8" s="2587"/>
    </row>
    <row r="9" spans="1:25" s="4" customFormat="1" ht="23.1" customHeight="1" thickBot="1" x14ac:dyDescent="0.2">
      <c r="B9" s="479"/>
      <c r="C9" s="479"/>
      <c r="D9" s="479"/>
      <c r="E9" s="479"/>
      <c r="F9" s="479"/>
    </row>
    <row r="10" spans="1:25" s="3" customFormat="1" ht="21.75" customHeight="1" thickTop="1" x14ac:dyDescent="0.15">
      <c r="A10" s="2593" t="s">
        <v>31</v>
      </c>
      <c r="B10" s="2593" t="s">
        <v>40</v>
      </c>
      <c r="C10" s="2590" t="s">
        <v>613</v>
      </c>
      <c r="D10" s="2591"/>
      <c r="E10" s="2591"/>
      <c r="F10" s="2592"/>
      <c r="G10" s="2588" t="s">
        <v>619</v>
      </c>
      <c r="H10" s="2588"/>
      <c r="I10" s="2589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s="3" customFormat="1" ht="24.75" customHeight="1" thickBot="1" x14ac:dyDescent="0.2">
      <c r="A11" s="2594"/>
      <c r="B11" s="2594"/>
      <c r="C11" s="463" t="s">
        <v>336</v>
      </c>
      <c r="D11" s="464" t="s">
        <v>525</v>
      </c>
      <c r="E11" s="465" t="s">
        <v>337</v>
      </c>
      <c r="F11" s="466" t="s">
        <v>614</v>
      </c>
      <c r="G11" s="471" t="str">
        <f>CONCATENATE("EXT. DA OBRA = ",C15,"m"," (R$/m)")</f>
        <v>EXT. DA OBRA = 7431,1m (R$/m)</v>
      </c>
      <c r="H11" s="471" t="str">
        <f ca="1">CONCATENATE("EXT. DA DREN. = ",C22,"m"," (R$/m)")</f>
        <v>EXT. DA DREN. = 2153,87m (R$/m)</v>
      </c>
      <c r="I11" s="472" t="str">
        <f>CONCATENATE("ÁREA DA OBRA = ",C28,"m"," (R$/m²)")</f>
        <v>ÁREA DA OBRA = 56628,68m (R$/m²)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s="3" customFormat="1" ht="21.95" customHeight="1" thickTop="1" x14ac:dyDescent="0.15">
      <c r="A12" s="205">
        <f>Orçamento_Não_Deson!B13</f>
        <v>1</v>
      </c>
      <c r="B12" s="467" t="str">
        <f>Orçamento_Não_Deson!C13</f>
        <v>SERVIÇOS PRELIMINARES</v>
      </c>
      <c r="C12" s="370">
        <f>Orçamento_Não_Deson!H13</f>
        <v>8</v>
      </c>
      <c r="D12" s="703" t="str">
        <f>Orçamento_Não_Deson!I13</f>
        <v>M2</v>
      </c>
      <c r="E12" s="468">
        <f ca="1">Orçamento_Não_Deson!J13</f>
        <v>332993.23000000004</v>
      </c>
      <c r="F12" s="469">
        <f ca="1">Orçamento_Não_Deson!K13</f>
        <v>2.4849021143278437E-2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s="3" customFormat="1" ht="21.95" customHeight="1" x14ac:dyDescent="0.15">
      <c r="A13" s="205">
        <f ca="1">Orçamento_Não_Deson!B31</f>
        <v>12</v>
      </c>
      <c r="B13" s="467" t="str">
        <f>Orçamento_Não_Deson!C31</f>
        <v>ADMINISTRAÇÃO LOCAL</v>
      </c>
      <c r="C13" s="370">
        <f>Orçamento_Não_Deson!H31</f>
        <v>12</v>
      </c>
      <c r="D13" s="703" t="str">
        <f>Orçamento_Não_Deson!I31</f>
        <v>MÊS</v>
      </c>
      <c r="E13" s="468">
        <f>Orçamento_Não_Deson!J31</f>
        <v>625998.32999999996</v>
      </c>
      <c r="F13" s="469">
        <f ca="1">Orçamento_Não_Deson!K31</f>
        <v>4.6713999974795251E-2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s="3" customFormat="1" ht="21.95" customHeight="1" x14ac:dyDescent="0.15">
      <c r="A14" s="205">
        <f ca="1">Orçamento_Não_Deson!B32</f>
        <v>12</v>
      </c>
      <c r="B14" s="467" t="str">
        <f>Orçamento_Não_Deson!C32</f>
        <v>SERVIÇOS DE ENGENHARIA</v>
      </c>
      <c r="C14" s="370">
        <f>Orçamento_Não_Deson!H32</f>
        <v>0</v>
      </c>
      <c r="D14" s="703" t="str">
        <f>Orçamento_Não_Deson!I32</f>
        <v>m²</v>
      </c>
      <c r="E14" s="468">
        <f>Orçamento_Não_Deson!J32</f>
        <v>0</v>
      </c>
      <c r="F14" s="469">
        <f ca="1">Orçamento_Não_Deson!K32</f>
        <v>0</v>
      </c>
      <c r="G14" s="868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s="462" customFormat="1" ht="21.95" customHeight="1" x14ac:dyDescent="0.15">
      <c r="A15" s="477"/>
      <c r="B15" s="478" t="s">
        <v>942</v>
      </c>
      <c r="C15" s="473">
        <f>Pav_Terraplenagem!Y2</f>
        <v>7431.1</v>
      </c>
      <c r="D15" s="704" t="str">
        <f>D22</f>
        <v>M</v>
      </c>
      <c r="E15" s="474">
        <f ca="1">SUM(E12:E14)</f>
        <v>958991.56</v>
      </c>
      <c r="F15" s="475">
        <f ca="1">E15/E$33</f>
        <v>7.1563021118073708E-2</v>
      </c>
      <c r="G15" s="474">
        <f ca="1">E15/C$15</f>
        <v>129.05109068643944</v>
      </c>
      <c r="H15" s="476"/>
      <c r="I15" s="474">
        <f ca="1">E15/$C$28</f>
        <v>16.934732718474102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s="3" customFormat="1" ht="21.95" customHeight="1" x14ac:dyDescent="0.15">
      <c r="A16" s="205">
        <f ca="1">Orçamento_Não_Deson!B15</f>
        <v>3</v>
      </c>
      <c r="B16" s="467" t="str">
        <f>Orçamento_Não_Deson!C15</f>
        <v>MICRODRENAGEM - TERRAPLENAGEM</v>
      </c>
      <c r="C16" s="370">
        <f ca="1">Orçamento_Não_Deson!H15</f>
        <v>9888.66</v>
      </c>
      <c r="D16" s="705" t="str">
        <f>Orçamento_Não_Deson!I15</f>
        <v>M3</v>
      </c>
      <c r="E16" s="468">
        <f ca="1">Orçamento_Não_Deson!J15</f>
        <v>661714.53999999992</v>
      </c>
      <c r="F16" s="469">
        <f ca="1">Orçamento_Não_Deson!K15</f>
        <v>4.9379257936489465E-2</v>
      </c>
      <c r="K16" s="4"/>
      <c r="L16" s="4"/>
      <c r="M16" s="4"/>
      <c r="N16" s="4"/>
      <c r="O16" s="4"/>
    </row>
    <row r="17" spans="1:15" s="3" customFormat="1" ht="21.95" customHeight="1" x14ac:dyDescent="0.15">
      <c r="A17" s="205">
        <f ca="1">Orçamento_Não_Deson!B16</f>
        <v>4</v>
      </c>
      <c r="B17" s="467" t="str">
        <f>Orçamento_Não_Deson!C16</f>
        <v>MICRODRENAGEM - GALERIAS</v>
      </c>
      <c r="C17" s="3">
        <f ca="1">Orçamento_Não_Deson!H16</f>
        <v>2926.8700000000003</v>
      </c>
      <c r="D17" s="705" t="str">
        <f>Orçamento_Não_Deson!I16</f>
        <v>M</v>
      </c>
      <c r="E17" s="468">
        <f ca="1">Orçamento_Não_Deson!J16</f>
        <v>1133647.6500000001</v>
      </c>
      <c r="F17" s="469">
        <f ca="1">Orçamento_Não_Deson!K16</f>
        <v>8.4596417842722843E-2</v>
      </c>
      <c r="K17" s="4"/>
      <c r="L17" s="4"/>
      <c r="M17" s="4"/>
      <c r="N17" s="4"/>
      <c r="O17" s="4"/>
    </row>
    <row r="18" spans="1:15" s="3" customFormat="1" ht="21.95" customHeight="1" x14ac:dyDescent="0.15">
      <c r="A18" s="205">
        <f ca="1">Orçamento_Não_Deson!B17</f>
        <v>5</v>
      </c>
      <c r="B18" s="467" t="str">
        <f>Orçamento_Não_Deson!C17</f>
        <v>MICRODRENAGEM - DISPOSITIVOS AUXILIARES</v>
      </c>
      <c r="C18" s="3">
        <f>Orçamento_Não_Deson!H17</f>
        <v>110</v>
      </c>
      <c r="D18" s="705" t="str">
        <f>Orçamento_Não_Deson!I17</f>
        <v>UN</v>
      </c>
      <c r="E18" s="468">
        <f ca="1">Orçamento_Não_Deson!J17</f>
        <v>731704.34999999986</v>
      </c>
      <c r="F18" s="469">
        <f ca="1">Orçamento_Não_Deson!K17</f>
        <v>5.4602121682109872E-2</v>
      </c>
      <c r="K18" s="4"/>
      <c r="L18" s="4"/>
      <c r="M18" s="4"/>
      <c r="N18" s="4"/>
      <c r="O18" s="4"/>
    </row>
    <row r="19" spans="1:15" s="3" customFormat="1" ht="21.95" customHeight="1" x14ac:dyDescent="0.15">
      <c r="A19" s="205">
        <f ca="1">Orçamento_Não_Deson!B18</f>
        <v>5</v>
      </c>
      <c r="B19" s="467" t="str">
        <f>Orçamento_Não_Deson!C18</f>
        <v>MICRODRENAGEM - SERVIÇOS DE ESTRUTURAS</v>
      </c>
      <c r="C19" s="370">
        <f>Orçamento_Não_Deson!H18</f>
        <v>0</v>
      </c>
      <c r="D19" s="705" t="str">
        <f>Orçamento_Não_Deson!I18</f>
        <v>M3</v>
      </c>
      <c r="E19" s="468">
        <f>Orçamento_Não_Deson!J18</f>
        <v>0</v>
      </c>
      <c r="F19" s="469">
        <f ca="1">Orçamento_Não_Deson!K18</f>
        <v>0</v>
      </c>
      <c r="K19" s="4"/>
      <c r="L19" s="4"/>
      <c r="M19" s="4"/>
      <c r="N19" s="4"/>
      <c r="O19" s="4"/>
    </row>
    <row r="20" spans="1:15" s="3" customFormat="1" ht="21.95" customHeight="1" x14ac:dyDescent="0.15">
      <c r="A20" s="205">
        <f ca="1">Orçamento_Não_Deson!B19</f>
        <v>5</v>
      </c>
      <c r="B20" s="467" t="str">
        <f>Orçamento_Não_Deson!C19</f>
        <v>MICRODRENAGEM - BACIA DE AMORTECIMENTO</v>
      </c>
      <c r="C20" s="370">
        <f>Orçamento_Não_Deson!H19</f>
        <v>0</v>
      </c>
      <c r="D20" s="705" t="str">
        <f>Orçamento_Não_Deson!I19</f>
        <v>M3</v>
      </c>
      <c r="E20" s="468">
        <f>Orçamento_Não_Deson!J19</f>
        <v>0</v>
      </c>
      <c r="F20" s="469">
        <f ca="1">Orçamento_Não_Deson!K19</f>
        <v>0</v>
      </c>
      <c r="K20" s="4"/>
      <c r="L20" s="4"/>
      <c r="M20" s="4"/>
      <c r="N20" s="4"/>
      <c r="O20" s="4"/>
    </row>
    <row r="21" spans="1:15" s="3" customFormat="1" ht="21.95" customHeight="1" x14ac:dyDescent="0.15">
      <c r="A21" s="205">
        <f ca="1">Orçamento_Não_Deson!B21</f>
        <v>6</v>
      </c>
      <c r="B21" s="467" t="str">
        <f>Orçamento_Não_Deson!C21</f>
        <v>MICRODRENAGEM - RECOMPOSIÇÃO DO PAVIMENTO</v>
      </c>
      <c r="C21" s="370">
        <f ca="1">Orçamento_Não_Deson!H21</f>
        <v>182.08</v>
      </c>
      <c r="D21" s="705" t="str">
        <f>Orçamento_Não_Deson!I21</f>
        <v>M2</v>
      </c>
      <c r="E21" s="468">
        <f ca="1">Orçamento_Não_Deson!J21</f>
        <v>19737.57</v>
      </c>
      <c r="F21" s="469">
        <f ca="1">Orçamento_Não_Deson!K21</f>
        <v>1.4728806776250019E-3</v>
      </c>
      <c r="K21" s="4"/>
      <c r="L21" s="4"/>
      <c r="M21" s="4"/>
      <c r="N21" s="4"/>
      <c r="O21" s="4"/>
    </row>
    <row r="22" spans="1:15" s="462" customFormat="1" ht="21.95" customHeight="1" x14ac:dyDescent="0.15">
      <c r="A22" s="477"/>
      <c r="B22" s="478" t="s">
        <v>616</v>
      </c>
      <c r="C22" s="473">
        <f ca="1">SUM(Orçamento_Não_Deson!H197:H249)</f>
        <v>2153.87</v>
      </c>
      <c r="D22" s="706" t="str">
        <f>D17</f>
        <v>M</v>
      </c>
      <c r="E22" s="474">
        <f ca="1">SUM(E16:E21)</f>
        <v>2546804.11</v>
      </c>
      <c r="F22" s="475">
        <f ca="1">E22/E$33</f>
        <v>0.19005067813894724</v>
      </c>
      <c r="G22" s="474">
        <f ca="1">E22/C$15</f>
        <v>342.72235738988843</v>
      </c>
      <c r="H22" s="474">
        <f ca="1">E22/C22</f>
        <v>1182.4316741493219</v>
      </c>
      <c r="I22" s="474">
        <f ca="1">E22/$C$28</f>
        <v>44.97375022691682</v>
      </c>
      <c r="K22" s="4"/>
      <c r="L22" s="4"/>
      <c r="M22" s="4"/>
      <c r="N22" s="4"/>
      <c r="O22" s="4"/>
    </row>
    <row r="23" spans="1:15" s="3" customFormat="1" ht="21.95" customHeight="1" x14ac:dyDescent="0.15">
      <c r="A23" s="205">
        <f ca="1">Orçamento_Não_Deson!B24</f>
        <v>7</v>
      </c>
      <c r="B23" s="467" t="str">
        <f>Orçamento_Não_Deson!C24</f>
        <v>IMPLANTAÇÃO ASFÁLTICA - TERRAPLENAGEM</v>
      </c>
      <c r="C23" s="370">
        <f>Orçamento_Não_Deson!H24</f>
        <v>11025.85</v>
      </c>
      <c r="D23" s="705" t="str">
        <f>Orçamento_Não_Deson!I24</f>
        <v>M3</v>
      </c>
      <c r="E23" s="468">
        <f>Orçamento_Não_Deson!J24</f>
        <v>306380.45999999996</v>
      </c>
      <c r="F23" s="469">
        <f ca="1">Orçamento_Não_Deson!K24</f>
        <v>2.2863091025686535E-2</v>
      </c>
      <c r="K23" s="4"/>
      <c r="L23" s="4"/>
      <c r="M23" s="4"/>
      <c r="N23" s="4"/>
      <c r="O23" s="4"/>
    </row>
    <row r="24" spans="1:15" s="3" customFormat="1" ht="21.95" customHeight="1" x14ac:dyDescent="0.15">
      <c r="A24" s="205">
        <f ca="1">Orçamento_Não_Deson!B25</f>
        <v>8</v>
      </c>
      <c r="B24" s="467" t="str">
        <f>Orçamento_Não_Deson!C25</f>
        <v>IMPLANTAÇÃO ASFÁLTICA - PAVIMENTAÇÃO</v>
      </c>
      <c r="C24" s="370">
        <f>Orçamento_Não_Deson!H25</f>
        <v>56628.68</v>
      </c>
      <c r="D24" s="705" t="str">
        <f>Orçamento_Não_Deson!I25</f>
        <v>M2</v>
      </c>
      <c r="E24" s="468">
        <f>Orçamento_Não_Deson!J25</f>
        <v>7068471.54</v>
      </c>
      <c r="F24" s="469">
        <f ca="1">Orçamento_Não_Deson!K25</f>
        <v>0.52747198118148486</v>
      </c>
      <c r="K24" s="4"/>
      <c r="L24" s="4"/>
      <c r="M24" s="4"/>
      <c r="N24" s="4"/>
      <c r="O24" s="4"/>
    </row>
    <row r="25" spans="1:15" s="3" customFormat="1" ht="21.95" customHeight="1" x14ac:dyDescent="0.15">
      <c r="A25" s="205">
        <f ca="1">Orçamento_Não_Deson!B26</f>
        <v>9</v>
      </c>
      <c r="B25" s="467" t="str">
        <f>Orçamento_Não_Deson!C26</f>
        <v>SERVIÇOS COMPLEMENTARES</v>
      </c>
      <c r="C25" s="370">
        <f ca="1">Orçamento_Não_Deson!H26</f>
        <v>14501.96</v>
      </c>
      <c r="D25" s="705" t="str">
        <f>Orçamento_Não_Deson!I26</f>
        <v>M</v>
      </c>
      <c r="E25" s="468">
        <f ca="1">Orçamento_Não_Deson!J26</f>
        <v>988204.42</v>
      </c>
      <c r="F25" s="469">
        <f ca="1">Orçamento_Não_Deson!K26</f>
        <v>7.374297827754997E-2</v>
      </c>
      <c r="I25" s="470">
        <f ca="1">SUM(E23:E25)/$C$28</f>
        <v>147.68234788449951</v>
      </c>
      <c r="K25" s="4"/>
      <c r="L25" s="4"/>
      <c r="M25" s="4"/>
      <c r="N25" s="4"/>
      <c r="O25" s="4"/>
    </row>
    <row r="26" spans="1:15" s="3" customFormat="1" ht="21.95" customHeight="1" x14ac:dyDescent="0.15">
      <c r="A26" s="205">
        <f ca="1">Orçamento_Não_Deson!B27</f>
        <v>10</v>
      </c>
      <c r="B26" s="467" t="str">
        <f>Orçamento_Não_Deson!C27</f>
        <v>PASSEIO COM ACESSIBILIDADE</v>
      </c>
      <c r="C26" s="370">
        <f>Orçamento_Não_Deson!H27</f>
        <v>15489.17</v>
      </c>
      <c r="D26" s="705" t="str">
        <f>Orçamento_Não_Deson!I27</f>
        <v>M2</v>
      </c>
      <c r="E26" s="468">
        <f>Orçamento_Não_Deson!J27</f>
        <v>1060978.94</v>
      </c>
      <c r="F26" s="469">
        <f ca="1">Orçamento_Não_Deson!K27</f>
        <v>7.9173646000650341E-2</v>
      </c>
      <c r="G26" s="470">
        <f>E26/C$15</f>
        <v>142.77548949684433</v>
      </c>
      <c r="I26" s="470">
        <f>E26/$C$28</f>
        <v>18.735717307908288</v>
      </c>
      <c r="K26" s="4"/>
      <c r="L26" s="4"/>
      <c r="M26" s="4"/>
      <c r="N26" s="4"/>
      <c r="O26" s="4"/>
    </row>
    <row r="27" spans="1:15" s="3" customFormat="1" ht="21.95" customHeight="1" x14ac:dyDescent="0.15">
      <c r="A27" s="205">
        <f ca="1">Orçamento_Não_Deson!B30</f>
        <v>11</v>
      </c>
      <c r="B27" s="467" t="str">
        <f>Orçamento_Não_Deson!C30</f>
        <v>SINALIZAÇÃO VIÁRIA DEFINITIVA HORIZONTAL E VERTICAL E DISPOSITIVOS DE SEGURANÇA</v>
      </c>
      <c r="C27" s="370">
        <f>Orçamento_Não_Deson!H30</f>
        <v>1067.4099999999999</v>
      </c>
      <c r="D27" s="703" t="str">
        <f>Orçamento_Não_Deson!I30</f>
        <v>M2</v>
      </c>
      <c r="E27" s="468">
        <f>Orçamento_Não_Deson!J30</f>
        <v>299266.14</v>
      </c>
      <c r="F27" s="469">
        <f ca="1">Orçamento_Não_Deson!K30</f>
        <v>2.2332197685602569E-2</v>
      </c>
      <c r="G27" s="470">
        <f>E27/C$15</f>
        <v>40.272118528885358</v>
      </c>
      <c r="I27" s="470">
        <f>E27/$C$28</f>
        <v>5.284709797226423</v>
      </c>
      <c r="K27" s="4"/>
      <c r="L27" s="4"/>
      <c r="M27" s="4"/>
      <c r="N27" s="4"/>
      <c r="O27" s="4"/>
    </row>
    <row r="28" spans="1:15" s="462" customFormat="1" ht="21.95" customHeight="1" x14ac:dyDescent="0.15">
      <c r="A28" s="477"/>
      <c r="B28" s="478" t="s">
        <v>618</v>
      </c>
      <c r="C28" s="473">
        <f>C24</f>
        <v>56628.68</v>
      </c>
      <c r="D28" s="706"/>
      <c r="E28" s="474">
        <f ca="1">SUM(E23:E27)</f>
        <v>9723301.5</v>
      </c>
      <c r="F28" s="475">
        <f ca="1">E28/E$33</f>
        <v>0.72558389417097457</v>
      </c>
      <c r="G28" s="474">
        <f ca="1">E28/C$15</f>
        <v>1308.4605912987308</v>
      </c>
      <c r="H28" s="476"/>
      <c r="I28" s="474">
        <f ca="1">E28/$C$28</f>
        <v>171.70277498963424</v>
      </c>
      <c r="J28" s="516">
        <f ca="1">I28+I15</f>
        <v>188.63750770810833</v>
      </c>
      <c r="K28" s="4"/>
      <c r="L28" s="4"/>
      <c r="M28" s="4"/>
      <c r="N28" s="4"/>
      <c r="O28" s="4"/>
    </row>
    <row r="29" spans="1:15" s="462" customFormat="1" ht="21.95" customHeight="1" x14ac:dyDescent="0.15">
      <c r="A29" s="205">
        <f ca="1">Orçamento_Não_Deson!B14</f>
        <v>2</v>
      </c>
      <c r="B29" s="467" t="str">
        <f>Orçamento_Não_Deson!C14</f>
        <v>REMOÇÕES, DEMOLIÇÕES E SUPRESSÕES</v>
      </c>
      <c r="C29" s="370">
        <f>Orçamento_Não_Deson!H14</f>
        <v>3859.97</v>
      </c>
      <c r="D29" s="703" t="str">
        <f>Orçamento_Não_Deson!I14</f>
        <v>M</v>
      </c>
      <c r="E29" s="468">
        <f ca="1">Orçamento_Não_Deson!J14</f>
        <v>171560.66999999998</v>
      </c>
      <c r="F29" s="469">
        <f ca="1">Orçamento_Não_Deson!K14</f>
        <v>1.2802406572004522E-2</v>
      </c>
      <c r="G29" s="470"/>
      <c r="H29" s="3"/>
      <c r="I29" s="470"/>
      <c r="J29" s="516"/>
      <c r="K29" s="4"/>
      <c r="L29" s="4"/>
      <c r="M29" s="4"/>
      <c r="N29" s="4"/>
      <c r="O29" s="4"/>
    </row>
    <row r="30" spans="1:15" s="3" customFormat="1" ht="21.95" customHeight="1" x14ac:dyDescent="0.15">
      <c r="A30" s="205">
        <f ca="1">Orçamento_Não_Deson!B20</f>
        <v>5</v>
      </c>
      <c r="B30" s="467" t="str">
        <f>Orçamento_Não_Deson!C20</f>
        <v>DRENAGEM DE LENÇOL FREÁTICO</v>
      </c>
      <c r="C30" s="370">
        <f>Orçamento_Não_Deson!H20</f>
        <v>0</v>
      </c>
      <c r="D30" s="703" t="str">
        <f>Orçamento_Não_Deson!I20</f>
        <v>M</v>
      </c>
      <c r="E30" s="468">
        <f>Orçamento_Não_Deson!J20</f>
        <v>0</v>
      </c>
      <c r="F30" s="469">
        <f ca="1">Orçamento_Não_Deson!K20</f>
        <v>0</v>
      </c>
      <c r="G30" s="470"/>
      <c r="I30" s="470"/>
      <c r="K30" s="4"/>
      <c r="L30" s="4"/>
      <c r="M30" s="4"/>
      <c r="N30" s="4"/>
      <c r="O30" s="4"/>
    </row>
    <row r="31" spans="1:15" s="3" customFormat="1" ht="21.95" customHeight="1" x14ac:dyDescent="0.15">
      <c r="A31" s="205">
        <f ca="1">Orçamento_Não_Deson!B29</f>
        <v>10</v>
      </c>
      <c r="B31" s="467" t="str">
        <f>Orçamento_Não_Deson!C29</f>
        <v>IMPLANTAÇÃO / ADEQUAÇÃO GEOMÉTRICA DE CICLOVIA</v>
      </c>
      <c r="C31" s="370">
        <f>Orçamento_Não_Deson!H29</f>
        <v>0</v>
      </c>
      <c r="D31" s="705" t="str">
        <f>Orçamento_Não_Deson!I29</f>
        <v>M</v>
      </c>
      <c r="E31" s="468">
        <f>Orçamento_Não_Deson!J29</f>
        <v>0</v>
      </c>
      <c r="F31" s="469">
        <f ca="1">Orçamento_Não_Deson!K29</f>
        <v>0</v>
      </c>
      <c r="G31" s="462"/>
      <c r="I31" s="470"/>
      <c r="K31" s="4"/>
      <c r="L31" s="4"/>
      <c r="M31" s="4"/>
      <c r="N31" s="4"/>
      <c r="O31" s="4"/>
    </row>
    <row r="32" spans="1:15" s="3" customFormat="1" ht="21.95" customHeight="1" x14ac:dyDescent="0.15">
      <c r="A32" s="205">
        <f ca="1">Orçamento_Não_Deson!B28</f>
        <v>10</v>
      </c>
      <c r="B32" s="467" t="str">
        <f>Orçamento_Não_Deson!C28</f>
        <v>PARADA DE ÔNIBUS - PAVIMENTO RÍGIDO E PLATAFORMA</v>
      </c>
      <c r="C32" s="370">
        <f>Orçamento_Não_Deson!H28</f>
        <v>0</v>
      </c>
      <c r="D32" s="705" t="str">
        <f>Orçamento_Não_Deson!I28</f>
        <v xml:space="preserve">UN </v>
      </c>
      <c r="E32" s="468">
        <f>Orçamento_Não_Deson!J28</f>
        <v>0</v>
      </c>
      <c r="F32" s="469">
        <f ca="1">Orçamento_Não_Deson!K28</f>
        <v>0</v>
      </c>
      <c r="G32" s="470"/>
      <c r="I32" s="470"/>
      <c r="K32" s="4"/>
      <c r="L32" s="4"/>
      <c r="M32" s="4"/>
      <c r="N32" s="4"/>
      <c r="O32" s="4"/>
    </row>
    <row r="33" spans="1:15" s="462" customFormat="1" ht="21.95" customHeight="1" x14ac:dyDescent="0.15">
      <c r="A33" s="697"/>
      <c r="B33" s="698" t="s">
        <v>941</v>
      </c>
      <c r="C33" s="699"/>
      <c r="D33" s="707"/>
      <c r="E33" s="700">
        <f ca="1">E15+E22+E28+E29+E30+E31+E32</f>
        <v>13400657.84</v>
      </c>
      <c r="F33" s="701">
        <f ca="1">E33/E37</f>
        <v>1</v>
      </c>
      <c r="G33" s="700">
        <f ca="1">E33/C$15</f>
        <v>1803.3208865443876</v>
      </c>
      <c r="H33" s="702"/>
      <c r="I33" s="700">
        <f ca="1">E33/$C$28</f>
        <v>236.64083005289899</v>
      </c>
      <c r="K33" s="4"/>
      <c r="L33" s="4"/>
      <c r="M33" s="4"/>
      <c r="N33" s="4"/>
      <c r="O33" s="4"/>
    </row>
    <row r="34" spans="1:15" s="3" customFormat="1" ht="30" customHeight="1" x14ac:dyDescent="0.15">
      <c r="A34" s="205">
        <f ca="1">Orçamento_Não_Deson!B22</f>
        <v>6</v>
      </c>
      <c r="B34" s="696" t="str">
        <f>Orçamento_Não_Deson!C22</f>
        <v>RESTAURAÇÃO DO PAVIMENTO - RECUPERAÇÃO PRÉVIA DO PAVIMENTO</v>
      </c>
      <c r="C34" s="370">
        <f>Orçamento_Não_Deson!H22</f>
        <v>0</v>
      </c>
      <c r="D34" s="703" t="str">
        <f>Orçamento_Não_Deson!I22</f>
        <v>M2</v>
      </c>
      <c r="E34" s="468">
        <f>Orçamento_Não_Deson!J22</f>
        <v>0</v>
      </c>
      <c r="F34" s="469">
        <f ca="1">Orçamento_Não_Deson!K22</f>
        <v>0</v>
      </c>
      <c r="K34" s="4"/>
      <c r="L34" s="4"/>
      <c r="M34" s="4"/>
      <c r="N34" s="4"/>
      <c r="O34" s="4"/>
    </row>
    <row r="35" spans="1:15" s="3" customFormat="1" ht="21.95" customHeight="1" x14ac:dyDescent="0.15">
      <c r="A35" s="205">
        <f ca="1">Orçamento_Não_Deson!B23</f>
        <v>6</v>
      </c>
      <c r="B35" s="467" t="str">
        <f>Orçamento_Não_Deson!C23</f>
        <v>RESTAURAÇÃO DO PAVIMENTO - RECAPEAMENTO ASFÁLTICO</v>
      </c>
      <c r="C35" s="370">
        <f>Orçamento_Não_Deson!H23</f>
        <v>0</v>
      </c>
      <c r="D35" s="703" t="str">
        <f>Orçamento_Não_Deson!I23</f>
        <v>M2</v>
      </c>
      <c r="E35" s="468">
        <f>Orçamento_Não_Deson!J23</f>
        <v>0</v>
      </c>
      <c r="F35" s="469">
        <f ca="1">Orçamento_Não_Deson!K23</f>
        <v>0</v>
      </c>
      <c r="K35" s="4"/>
      <c r="L35" s="4"/>
      <c r="M35" s="4"/>
      <c r="N35" s="4"/>
      <c r="O35" s="4"/>
    </row>
    <row r="36" spans="1:15" s="462" customFormat="1" ht="21.95" customHeight="1" x14ac:dyDescent="0.15">
      <c r="A36" s="477"/>
      <c r="B36" s="478" t="s">
        <v>617</v>
      </c>
      <c r="C36" s="473">
        <f>C35</f>
        <v>0</v>
      </c>
      <c r="D36" s="706" t="str">
        <f>D35</f>
        <v>M2</v>
      </c>
      <c r="E36" s="474">
        <f>SUM(E34:E35)</f>
        <v>0</v>
      </c>
      <c r="F36" s="475">
        <f ca="1">E36/E37</f>
        <v>0</v>
      </c>
      <c r="G36" s="474"/>
      <c r="H36" s="476"/>
      <c r="I36" s="474">
        <f>IF(E36=0,0,+E36/C36)</f>
        <v>0</v>
      </c>
    </row>
    <row r="37" spans="1:15" s="462" customFormat="1" ht="21.95" customHeight="1" x14ac:dyDescent="0.15">
      <c r="A37" s="697"/>
      <c r="B37" s="698" t="s">
        <v>770</v>
      </c>
      <c r="C37" s="699"/>
      <c r="D37" s="707"/>
      <c r="E37" s="700">
        <f ca="1">E36+E33</f>
        <v>13400657.84</v>
      </c>
      <c r="F37" s="701">
        <f ca="1">E37/E37</f>
        <v>1</v>
      </c>
      <c r="G37" s="700"/>
      <c r="H37" s="702"/>
      <c r="I37" s="700"/>
    </row>
    <row r="38" spans="1:15" x14ac:dyDescent="0.15">
      <c r="E38" s="526" t="str">
        <f ca="1">IF(E37=E39,"OK","ERRO")</f>
        <v>OK</v>
      </c>
    </row>
    <row r="39" spans="1:15" x14ac:dyDescent="0.15">
      <c r="E39" s="872">
        <f ca="1">Orçamento_Não_Deson!J12</f>
        <v>13400657.84</v>
      </c>
    </row>
    <row r="43" spans="1:15" s="3" customFormat="1" ht="24.95" customHeight="1" x14ac:dyDescent="0.15"/>
    <row r="44" spans="1:15" s="3" customFormat="1" ht="35.1" customHeight="1" x14ac:dyDescent="0.15"/>
    <row r="46" spans="1:15" x14ac:dyDescent="0.15">
      <c r="A46" s="325">
        <v>1</v>
      </c>
    </row>
    <row r="47" spans="1:15" x14ac:dyDescent="0.15">
      <c r="A47" s="325">
        <v>3</v>
      </c>
      <c r="B47" s="325">
        <v>2</v>
      </c>
    </row>
    <row r="48" spans="1:15" x14ac:dyDescent="0.15">
      <c r="A48" s="325">
        <v>4</v>
      </c>
    </row>
    <row r="49" spans="1:2" x14ac:dyDescent="0.15">
      <c r="A49" s="325">
        <v>6</v>
      </c>
      <c r="B49" s="325">
        <v>5</v>
      </c>
    </row>
    <row r="50" spans="1:2" x14ac:dyDescent="0.15">
      <c r="A50" s="325">
        <v>8</v>
      </c>
      <c r="B50" s="325">
        <v>7</v>
      </c>
    </row>
    <row r="51" spans="1:2" x14ac:dyDescent="0.15">
      <c r="A51" s="325">
        <v>9</v>
      </c>
    </row>
    <row r="52" spans="1:2" x14ac:dyDescent="0.15">
      <c r="A52" s="325">
        <v>10</v>
      </c>
    </row>
    <row r="53" spans="1:2" x14ac:dyDescent="0.15">
      <c r="A53" s="325">
        <v>11</v>
      </c>
    </row>
    <row r="54" spans="1:2" x14ac:dyDescent="0.15">
      <c r="A54" s="325">
        <v>12</v>
      </c>
    </row>
    <row r="55" spans="1:2" x14ac:dyDescent="0.15">
      <c r="A55" s="325">
        <v>13</v>
      </c>
    </row>
    <row r="56" spans="1:2" x14ac:dyDescent="0.15">
      <c r="A56" s="325">
        <v>14</v>
      </c>
    </row>
    <row r="57" spans="1:2" x14ac:dyDescent="0.15">
      <c r="A57" s="325">
        <v>15</v>
      </c>
    </row>
    <row r="58" spans="1:2" x14ac:dyDescent="0.15">
      <c r="A58" s="325">
        <v>15</v>
      </c>
    </row>
    <row r="59" spans="1:2" x14ac:dyDescent="0.15">
      <c r="A59" s="325">
        <v>16</v>
      </c>
    </row>
    <row r="60" spans="1:2" x14ac:dyDescent="0.15">
      <c r="A60" s="325">
        <v>17</v>
      </c>
    </row>
    <row r="61" spans="1:2" x14ac:dyDescent="0.15">
      <c r="A61" s="325">
        <v>18</v>
      </c>
    </row>
    <row r="62" spans="1:2" x14ac:dyDescent="0.15">
      <c r="A62" s="325">
        <v>19</v>
      </c>
    </row>
  </sheetData>
  <sortState xmlns:xlrd2="http://schemas.microsoft.com/office/spreadsheetml/2017/richdata2" ref="A46:A66">
    <sortCondition ref="A46:A66"/>
  </sortState>
  <mergeCells count="5">
    <mergeCell ref="A8:G8"/>
    <mergeCell ref="G10:I10"/>
    <mergeCell ref="C10:F10"/>
    <mergeCell ref="A10:A11"/>
    <mergeCell ref="B10:B11"/>
  </mergeCells>
  <printOptions horizontalCentered="1"/>
  <pageMargins left="0.39370078740157483" right="0.39370078740157483" top="0.78740157480314965" bottom="0.55118110236220474" header="0.31496062992125984" footer="0.23622047244094491"/>
  <pageSetup paperSize="9" scale="63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22">
    <tabColor rgb="FFFFFF99"/>
    <pageSetUpPr fitToPage="1"/>
  </sheetPr>
  <dimension ref="A1:N44"/>
  <sheetViews>
    <sheetView showZeros="0" zoomScaleNormal="100" zoomScaleSheetLayoutView="100" workbookViewId="0">
      <selection sqref="A1:A28"/>
    </sheetView>
  </sheetViews>
  <sheetFormatPr defaultColWidth="9" defaultRowHeight="12.75" x14ac:dyDescent="0.15"/>
  <cols>
    <col min="1" max="1" width="9.75" style="5" customWidth="1"/>
    <col min="2" max="2" width="29" style="9" customWidth="1"/>
    <col min="3" max="3" width="30.625" style="9" customWidth="1"/>
    <col min="4" max="9" width="11.875" style="5" customWidth="1"/>
    <col min="10" max="10" width="11.875" style="210" customWidth="1"/>
    <col min="11" max="13" width="11.875" style="5" customWidth="1"/>
    <col min="14" max="14" width="14.625" style="5" customWidth="1"/>
    <col min="15" max="18" width="9" style="5"/>
    <col min="19" max="19" width="30.875" style="5" customWidth="1"/>
    <col min="20" max="16384" width="9" style="5"/>
  </cols>
  <sheetData>
    <row r="1" spans="1:14" s="10" customFormat="1" ht="48" customHeight="1" thickTop="1" thickBot="1" x14ac:dyDescent="0.2">
      <c r="A1" s="2595" t="s">
        <v>288</v>
      </c>
      <c r="B1" s="582" t="s">
        <v>349</v>
      </c>
      <c r="C1" s="585" t="s">
        <v>702</v>
      </c>
      <c r="D1" s="211" t="s">
        <v>993</v>
      </c>
      <c r="E1" s="212" t="s">
        <v>289</v>
      </c>
      <c r="F1" s="212" t="s">
        <v>992</v>
      </c>
      <c r="G1" s="212" t="s">
        <v>290</v>
      </c>
      <c r="H1" s="212" t="s">
        <v>1641</v>
      </c>
      <c r="I1" s="212" t="s">
        <v>1642</v>
      </c>
      <c r="J1" s="213" t="s">
        <v>60</v>
      </c>
      <c r="K1" s="212" t="s">
        <v>58</v>
      </c>
      <c r="L1" s="212" t="s">
        <v>1640</v>
      </c>
      <c r="M1" s="212" t="s">
        <v>64</v>
      </c>
      <c r="N1" s="214" t="s">
        <v>0</v>
      </c>
    </row>
    <row r="2" spans="1:14" ht="37.5" customHeight="1" thickTop="1" x14ac:dyDescent="0.15">
      <c r="A2" s="2596"/>
      <c r="B2" s="583" t="s">
        <v>2439</v>
      </c>
      <c r="C2" s="2276"/>
      <c r="D2" s="431">
        <f ca="1">SUM(Dre_Disp_Estruturais!BM12:BM59)</f>
        <v>2058.87</v>
      </c>
      <c r="E2" s="431">
        <f>Pav_Terraplenagem!Y2</f>
        <v>7431.1</v>
      </c>
      <c r="F2" s="431">
        <f>Dre_Profunda!I2</f>
        <v>0</v>
      </c>
      <c r="G2" s="431">
        <f>Recap_Final!K2</f>
        <v>0</v>
      </c>
      <c r="H2" s="431">
        <f>Passeio!Z3</f>
        <v>0</v>
      </c>
      <c r="I2" s="1408">
        <f>Ciclovia!J2</f>
        <v>0</v>
      </c>
      <c r="J2" s="1406"/>
      <c r="K2" s="2335"/>
      <c r="L2" s="2335"/>
      <c r="M2" s="431"/>
      <c r="N2" s="888">
        <f ca="1">TRUNC(SUM(D2:M2),2)</f>
        <v>9489.9699999999993</v>
      </c>
    </row>
    <row r="3" spans="1:14" ht="37.5" customHeight="1" x14ac:dyDescent="0.15">
      <c r="A3" s="2596"/>
      <c r="B3" s="584" t="s">
        <v>2431</v>
      </c>
      <c r="C3" s="2271" t="s">
        <v>703</v>
      </c>
      <c r="D3" s="911"/>
      <c r="E3" s="911"/>
      <c r="F3" s="911"/>
      <c r="G3" s="911"/>
      <c r="H3" s="911"/>
      <c r="I3" s="911"/>
      <c r="J3" s="2262">
        <v>1</v>
      </c>
      <c r="K3" s="2263">
        <v>4</v>
      </c>
      <c r="L3" s="2263">
        <v>2</v>
      </c>
      <c r="M3" s="432"/>
      <c r="N3" s="889">
        <f>TRUNC(+J3*K3*L3,2)</f>
        <v>8</v>
      </c>
    </row>
    <row r="4" spans="1:14" ht="37.5" customHeight="1" x14ac:dyDescent="0.15">
      <c r="A4" s="2596"/>
      <c r="B4" s="584" t="s">
        <v>2432</v>
      </c>
      <c r="C4" s="2271" t="s">
        <v>704</v>
      </c>
      <c r="D4" s="911"/>
      <c r="E4" s="911"/>
      <c r="F4" s="911"/>
      <c r="G4" s="911"/>
      <c r="H4" s="911"/>
      <c r="I4" s="911"/>
      <c r="J4" s="910"/>
      <c r="K4" s="911"/>
      <c r="L4" s="911"/>
      <c r="M4" s="432"/>
      <c r="N4" s="435">
        <f>TRUNC(COUNTA(Cronograma_Não_Deson!F82:W82),0)</f>
        <v>12</v>
      </c>
    </row>
    <row r="5" spans="1:14" ht="39.950000000000003" hidden="1" customHeight="1" x14ac:dyDescent="0.15">
      <c r="A5" s="2596"/>
      <c r="B5" s="2598" t="s">
        <v>2433</v>
      </c>
      <c r="C5" s="2271" t="s">
        <v>1630</v>
      </c>
      <c r="D5" s="2602" t="s">
        <v>2415</v>
      </c>
      <c r="E5" s="2602"/>
      <c r="F5" s="911"/>
      <c r="G5" s="909"/>
      <c r="H5" s="910"/>
      <c r="I5" s="2601"/>
      <c r="J5" s="910">
        <f>IF(I5="ok",IF(SUM(D2:E2)&lt;=1000,1,2),0)</f>
        <v>0</v>
      </c>
      <c r="K5" s="911">
        <f>IF(J5&gt;0,2.3,0)</f>
        <v>0</v>
      </c>
      <c r="L5" s="911"/>
      <c r="M5" s="432">
        <f>IF(J5&gt;0,6,0)</f>
        <v>0</v>
      </c>
      <c r="N5" s="434">
        <f>J5*K5*M5</f>
        <v>0</v>
      </c>
    </row>
    <row r="6" spans="1:14" ht="39.950000000000003" hidden="1" customHeight="1" x14ac:dyDescent="0.15">
      <c r="A6" s="2596"/>
      <c r="B6" s="2599"/>
      <c r="C6" s="2271" t="s">
        <v>1631</v>
      </c>
      <c r="D6" s="2602" t="s">
        <v>1634</v>
      </c>
      <c r="E6" s="2602"/>
      <c r="F6" s="911"/>
      <c r="G6" s="909"/>
      <c r="H6" s="910"/>
      <c r="I6" s="2601"/>
      <c r="J6" s="910">
        <f>IF(I5="ok",IF(SUM(D2:E2)&lt;5000,1,IF(SUM(D2:E2)&gt;=10000,3,2)),0)</f>
        <v>0</v>
      </c>
      <c r="K6" s="911">
        <f>IF(J6&gt;0,2.3,0)</f>
        <v>0</v>
      </c>
      <c r="L6" s="911"/>
      <c r="M6" s="432">
        <f>IF(J6&gt;0,6,0)</f>
        <v>0</v>
      </c>
      <c r="N6" s="434">
        <f>J6*K6*M6</f>
        <v>0</v>
      </c>
    </row>
    <row r="7" spans="1:14" ht="39.950000000000003" hidden="1" customHeight="1" x14ac:dyDescent="0.15">
      <c r="A7" s="2596"/>
      <c r="B7" s="2600"/>
      <c r="C7" s="2271" t="s">
        <v>1632</v>
      </c>
      <c r="D7" s="2602" t="s">
        <v>1635</v>
      </c>
      <c r="E7" s="2602"/>
      <c r="F7" s="911"/>
      <c r="G7" s="909"/>
      <c r="H7" s="910"/>
      <c r="I7" s="2601"/>
      <c r="J7" s="910">
        <f>IF(I5="ok",IF(SUM(D8:E8)&lt;10000,1,IF(SUM(D8:E8)&gt;=15000,3,2)),0)</f>
        <v>0</v>
      </c>
      <c r="K7" s="911">
        <f>IF(J7&gt;0,2.3,0)</f>
        <v>0</v>
      </c>
      <c r="L7" s="911"/>
      <c r="M7" s="432">
        <f>IF(J7&gt;0,6,0)</f>
        <v>0</v>
      </c>
      <c r="N7" s="434">
        <f>J7*K7*M7</f>
        <v>0</v>
      </c>
    </row>
    <row r="8" spans="1:14" ht="39.950000000000003" customHeight="1" x14ac:dyDescent="0.15">
      <c r="A8" s="2596"/>
      <c r="B8" s="2598" t="s">
        <v>285</v>
      </c>
      <c r="C8" s="2271" t="s">
        <v>1627</v>
      </c>
      <c r="D8" s="2602" t="s">
        <v>2415</v>
      </c>
      <c r="E8" s="2602"/>
      <c r="F8" s="910"/>
      <c r="G8" s="909"/>
      <c r="H8" s="910"/>
      <c r="I8" s="2601" t="s">
        <v>1633</v>
      </c>
      <c r="J8" s="910">
        <f ca="1">IF(I8="ok",IF(SUM(D2:E2)&lt;=10000,1,2),0)</f>
        <v>1</v>
      </c>
      <c r="K8" s="911"/>
      <c r="L8" s="911"/>
      <c r="M8" s="432"/>
      <c r="N8" s="435">
        <f ca="1">TRUNC(+$N$4*J8,0)</f>
        <v>12</v>
      </c>
    </row>
    <row r="9" spans="1:14" ht="39.950000000000003" customHeight="1" x14ac:dyDescent="0.15">
      <c r="A9" s="2596"/>
      <c r="B9" s="2599"/>
      <c r="C9" s="2271" t="s">
        <v>1628</v>
      </c>
      <c r="D9" s="2602" t="s">
        <v>1634</v>
      </c>
      <c r="E9" s="2602"/>
      <c r="F9" s="910"/>
      <c r="G9" s="909"/>
      <c r="H9" s="910"/>
      <c r="I9" s="2601"/>
      <c r="J9" s="910">
        <f ca="1">IF(I8="ok",IF(SUM(D2:E2)&lt;5000,1,IF(SUM(D2:E2)&gt;=10000,3,2)),0)</f>
        <v>2</v>
      </c>
      <c r="K9" s="911"/>
      <c r="L9" s="911"/>
      <c r="M9" s="432"/>
      <c r="N9" s="435">
        <f ca="1">TRUNC(+$N$4*J9,0)</f>
        <v>24</v>
      </c>
    </row>
    <row r="10" spans="1:14" ht="39.950000000000003" customHeight="1" x14ac:dyDescent="0.15">
      <c r="A10" s="2596"/>
      <c r="B10" s="2600"/>
      <c r="C10" s="2271" t="s">
        <v>1629</v>
      </c>
      <c r="D10" s="2602" t="s">
        <v>1635</v>
      </c>
      <c r="E10" s="2602"/>
      <c r="F10" s="910"/>
      <c r="G10" s="909"/>
      <c r="H10" s="910"/>
      <c r="I10" s="2601"/>
      <c r="J10" s="910">
        <f ca="1">IF(I8="ok",IF(SUM(D2:E2)&lt;10000,1,IF(SUM(D2:E2)&gt;=15000,3,2)),0)</f>
        <v>1</v>
      </c>
      <c r="K10" s="911"/>
      <c r="L10" s="911"/>
      <c r="M10" s="432"/>
      <c r="N10" s="435">
        <f ca="1">TRUNC(+$N$4*J10,0)</f>
        <v>12</v>
      </c>
    </row>
    <row r="11" spans="1:14" ht="37.5" customHeight="1" x14ac:dyDescent="0.15">
      <c r="A11" s="2596"/>
      <c r="B11" s="583" t="s">
        <v>1639</v>
      </c>
      <c r="C11" s="2270" t="s">
        <v>1639</v>
      </c>
      <c r="D11" s="911"/>
      <c r="E11" s="911"/>
      <c r="F11" s="911"/>
      <c r="G11" s="911"/>
      <c r="H11" s="911"/>
      <c r="I11" s="911"/>
      <c r="J11" s="910">
        <v>1</v>
      </c>
      <c r="K11" s="2263">
        <v>2</v>
      </c>
      <c r="L11" s="911"/>
      <c r="M11" s="433">
        <v>2</v>
      </c>
      <c r="N11" s="434">
        <f>J11*K11*M11</f>
        <v>4</v>
      </c>
    </row>
    <row r="12" spans="1:14" ht="37.5" customHeight="1" x14ac:dyDescent="0.15">
      <c r="A12" s="2596"/>
      <c r="B12" s="584" t="s">
        <v>2434</v>
      </c>
      <c r="C12" s="2270" t="s">
        <v>2434</v>
      </c>
      <c r="D12" s="2377"/>
      <c r="E12" s="2377"/>
      <c r="F12" s="911"/>
      <c r="G12" s="911"/>
      <c r="H12" s="911"/>
      <c r="I12" s="911"/>
      <c r="J12" s="910">
        <v>1</v>
      </c>
      <c r="K12" s="911"/>
      <c r="L12" s="911"/>
      <c r="M12" s="432"/>
      <c r="N12" s="435">
        <f>N4*J12</f>
        <v>12</v>
      </c>
    </row>
    <row r="13" spans="1:14" ht="37.5" customHeight="1" x14ac:dyDescent="0.15">
      <c r="A13" s="2596"/>
      <c r="B13" s="584" t="s">
        <v>1031</v>
      </c>
      <c r="C13" s="2270" t="s">
        <v>1031</v>
      </c>
      <c r="D13" s="911"/>
      <c r="E13" s="911"/>
      <c r="F13" s="911"/>
      <c r="G13" s="911"/>
      <c r="H13" s="911"/>
      <c r="I13" s="911"/>
      <c r="J13" s="910"/>
      <c r="K13" s="2263">
        <v>100</v>
      </c>
      <c r="L13" s="911"/>
      <c r="M13" s="433">
        <v>100</v>
      </c>
      <c r="N13" s="889">
        <f>(K13+M13)*2</f>
        <v>400</v>
      </c>
    </row>
    <row r="14" spans="1:14" ht="37.5" customHeight="1" x14ac:dyDescent="0.15">
      <c r="A14" s="2596"/>
      <c r="B14" s="584" t="s">
        <v>2050</v>
      </c>
      <c r="C14" s="2271" t="s">
        <v>2050</v>
      </c>
      <c r="D14" s="911"/>
      <c r="E14" s="911"/>
      <c r="F14" s="911"/>
      <c r="G14" s="911"/>
      <c r="H14" s="911"/>
      <c r="I14" s="911"/>
      <c r="J14" s="2263">
        <v>2</v>
      </c>
      <c r="K14" s="2263">
        <v>4</v>
      </c>
      <c r="L14" s="2263">
        <v>1.8</v>
      </c>
      <c r="M14" s="432"/>
      <c r="N14" s="889">
        <f>L14*K14*J14</f>
        <v>14.4</v>
      </c>
    </row>
    <row r="15" spans="1:14" ht="37.5" customHeight="1" x14ac:dyDescent="0.15">
      <c r="A15" s="2596"/>
      <c r="B15" s="584" t="s">
        <v>994</v>
      </c>
      <c r="C15" s="2271" t="s">
        <v>994</v>
      </c>
      <c r="D15" s="911"/>
      <c r="E15" s="911"/>
      <c r="F15" s="911"/>
      <c r="G15" s="911"/>
      <c r="H15" s="911"/>
      <c r="I15" s="911"/>
      <c r="J15" s="910"/>
      <c r="K15" s="2263">
        <f>K13</f>
        <v>100</v>
      </c>
      <c r="L15" s="911"/>
      <c r="M15" s="433">
        <f>+M13</f>
        <v>100</v>
      </c>
      <c r="N15" s="889">
        <f>M15*K15</f>
        <v>10000</v>
      </c>
    </row>
    <row r="16" spans="1:14" ht="37.5" customHeight="1" x14ac:dyDescent="0.15">
      <c r="A16" s="2596"/>
      <c r="B16" s="584" t="s">
        <v>2109</v>
      </c>
      <c r="C16" s="2271" t="s">
        <v>2109</v>
      </c>
      <c r="D16" s="911"/>
      <c r="E16" s="911"/>
      <c r="F16" s="911"/>
      <c r="G16" s="911"/>
      <c r="H16" s="911"/>
      <c r="I16" s="911"/>
      <c r="J16" s="910"/>
      <c r="K16" s="2263">
        <v>50</v>
      </c>
      <c r="L16" s="911"/>
      <c r="M16" s="433">
        <v>50</v>
      </c>
      <c r="N16" s="889">
        <f>M16*K16</f>
        <v>2500</v>
      </c>
    </row>
    <row r="17" spans="1:14" ht="50.1" customHeight="1" x14ac:dyDescent="0.15">
      <c r="A17" s="2596"/>
      <c r="B17" s="584" t="s">
        <v>2108</v>
      </c>
      <c r="C17" s="2271" t="s">
        <v>2108</v>
      </c>
      <c r="D17" s="911"/>
      <c r="E17" s="911"/>
      <c r="F17" s="911"/>
      <c r="G17" s="911"/>
      <c r="H17" s="911"/>
      <c r="I17" s="911"/>
      <c r="J17" s="910"/>
      <c r="K17" s="2263">
        <f>K16</f>
        <v>50</v>
      </c>
      <c r="L17" s="2263">
        <v>0.05</v>
      </c>
      <c r="M17" s="433">
        <f>+M16</f>
        <v>50</v>
      </c>
      <c r="N17" s="889">
        <f>ROUND(K17*L17*M17,2)</f>
        <v>125</v>
      </c>
    </row>
    <row r="18" spans="1:14" ht="39.950000000000003" customHeight="1" x14ac:dyDescent="0.15">
      <c r="A18" s="2596"/>
      <c r="B18" s="584" t="s">
        <v>286</v>
      </c>
      <c r="C18" s="2271" t="s">
        <v>1643</v>
      </c>
      <c r="D18" s="910">
        <f t="shared" ref="D18:I18" ca="1" si="0">INT(D2/150)</f>
        <v>13</v>
      </c>
      <c r="E18" s="910">
        <f t="shared" si="0"/>
        <v>49</v>
      </c>
      <c r="F18" s="910">
        <f t="shared" si="0"/>
        <v>0</v>
      </c>
      <c r="G18" s="910">
        <f t="shared" si="0"/>
        <v>0</v>
      </c>
      <c r="H18" s="910">
        <f t="shared" si="0"/>
        <v>0</v>
      </c>
      <c r="I18" s="910">
        <f t="shared" si="0"/>
        <v>0</v>
      </c>
      <c r="J18" s="910">
        <f ca="1">SUM(D18:I18)</f>
        <v>62</v>
      </c>
      <c r="K18" s="2263">
        <v>1</v>
      </c>
      <c r="L18" s="2263">
        <v>1</v>
      </c>
      <c r="M18" s="432"/>
      <c r="N18" s="889">
        <f ca="1">TRUNC(J18*K18*L18,2)</f>
        <v>62</v>
      </c>
    </row>
    <row r="19" spans="1:14" ht="39.950000000000003" customHeight="1" x14ac:dyDescent="0.15">
      <c r="A19" s="2596"/>
      <c r="B19" s="584" t="s">
        <v>287</v>
      </c>
      <c r="C19" s="2271" t="s">
        <v>995</v>
      </c>
      <c r="D19" s="911">
        <f ca="1">D20</f>
        <v>1463.44</v>
      </c>
      <c r="E19" s="911"/>
      <c r="F19" s="911"/>
      <c r="G19" s="911"/>
      <c r="H19" s="911"/>
      <c r="I19" s="911"/>
      <c r="J19" s="910"/>
      <c r="K19" s="911"/>
      <c r="L19" s="911"/>
      <c r="M19" s="432"/>
      <c r="N19" s="889">
        <f t="shared" ref="N19:N24" ca="1" si="1">ROUND(SUM(D19:I19),2)</f>
        <v>1463.44</v>
      </c>
    </row>
    <row r="20" spans="1:14" ht="54.95" customHeight="1" x14ac:dyDescent="0.15">
      <c r="A20" s="2596"/>
      <c r="B20" s="584" t="s">
        <v>2435</v>
      </c>
      <c r="C20" s="2271" t="s">
        <v>1644</v>
      </c>
      <c r="D20" s="911">
        <f ca="1">Dre_Ser_Prelim!BM8</f>
        <v>1463.44</v>
      </c>
      <c r="E20" s="911">
        <f>ROUND(E2*20%,2)</f>
        <v>1486.22</v>
      </c>
      <c r="F20" s="911">
        <f>Dre_Profunda!I59</f>
        <v>0</v>
      </c>
      <c r="G20" s="911">
        <f>ROUND(G2*20%,2)</f>
        <v>0</v>
      </c>
      <c r="H20" s="911">
        <f>Passeio!Z5</f>
        <v>0</v>
      </c>
      <c r="I20" s="911">
        <f>Ciclovia!J9</f>
        <v>0</v>
      </c>
      <c r="J20" s="910"/>
      <c r="K20" s="911"/>
      <c r="L20" s="911"/>
      <c r="M20" s="432"/>
      <c r="N20" s="889">
        <f ca="1">ROUND(SUM(D20:I20),2)</f>
        <v>2949.66</v>
      </c>
    </row>
    <row r="21" spans="1:14" ht="39.950000000000003" customHeight="1" x14ac:dyDescent="0.15">
      <c r="A21" s="2596"/>
      <c r="B21" s="584" t="s">
        <v>2436</v>
      </c>
      <c r="C21" s="2271" t="s">
        <v>2430</v>
      </c>
      <c r="D21" s="910">
        <f t="shared" ref="D21:I21" ca="1" si="2">INT(D2/75)</f>
        <v>27</v>
      </c>
      <c r="E21" s="910">
        <f t="shared" si="2"/>
        <v>99</v>
      </c>
      <c r="F21" s="910">
        <f t="shared" si="2"/>
        <v>0</v>
      </c>
      <c r="G21" s="910">
        <f t="shared" si="2"/>
        <v>0</v>
      </c>
      <c r="H21" s="910">
        <f t="shared" si="2"/>
        <v>0</v>
      </c>
      <c r="I21" s="910">
        <f t="shared" si="2"/>
        <v>0</v>
      </c>
      <c r="J21" s="910"/>
      <c r="K21" s="911"/>
      <c r="L21" s="911"/>
      <c r="M21" s="432"/>
      <c r="N21" s="889">
        <f t="shared" ca="1" si="1"/>
        <v>126</v>
      </c>
    </row>
    <row r="22" spans="1:14" ht="39.950000000000003" customHeight="1" x14ac:dyDescent="0.15">
      <c r="A22" s="2596"/>
      <c r="B22" s="1355" t="s">
        <v>2437</v>
      </c>
      <c r="C22" s="1354" t="s">
        <v>1646</v>
      </c>
      <c r="D22" s="910">
        <f ca="1">Dre_Ser_Prelim!BM40</f>
        <v>26</v>
      </c>
      <c r="E22" s="910"/>
      <c r="F22" s="910"/>
      <c r="G22" s="910"/>
      <c r="H22" s="910"/>
      <c r="I22" s="910"/>
      <c r="J22" s="910"/>
      <c r="K22" s="911"/>
      <c r="L22" s="911"/>
      <c r="M22" s="1412"/>
      <c r="N22" s="435">
        <f t="shared" ca="1" si="1"/>
        <v>26</v>
      </c>
    </row>
    <row r="23" spans="1:14" ht="39.950000000000003" customHeight="1" x14ac:dyDescent="0.15">
      <c r="A23" s="2596"/>
      <c r="B23" s="1355" t="s">
        <v>2438</v>
      </c>
      <c r="C23" s="1354" t="s">
        <v>1647</v>
      </c>
      <c r="D23" s="910">
        <f ca="1">Dre_Ser_Prelim!BM41</f>
        <v>52</v>
      </c>
      <c r="E23" s="910"/>
      <c r="F23" s="910"/>
      <c r="G23" s="910"/>
      <c r="H23" s="910"/>
      <c r="I23" s="910"/>
      <c r="J23" s="910"/>
      <c r="K23" s="911"/>
      <c r="L23" s="911"/>
      <c r="M23" s="432"/>
      <c r="N23" s="435">
        <f ca="1">ROUND(SUM(D23:I23),2)</f>
        <v>52</v>
      </c>
    </row>
    <row r="24" spans="1:14" ht="50.1" customHeight="1" x14ac:dyDescent="0.15">
      <c r="A24" s="2596"/>
      <c r="B24" s="1355" t="s">
        <v>1649</v>
      </c>
      <c r="C24" s="2271" t="s">
        <v>1650</v>
      </c>
      <c r="D24" s="911">
        <f ca="1">Dre_Ser_Prelim!BM39</f>
        <v>14153.09</v>
      </c>
      <c r="E24" s="910"/>
      <c r="F24" s="910"/>
      <c r="G24" s="910"/>
      <c r="H24" s="910"/>
      <c r="I24" s="910"/>
      <c r="J24" s="910"/>
      <c r="K24" s="911"/>
      <c r="L24" s="911"/>
      <c r="M24" s="1412"/>
      <c r="N24" s="889">
        <f t="shared" ca="1" si="1"/>
        <v>14153.09</v>
      </c>
    </row>
    <row r="25" spans="1:14" ht="39.950000000000003" customHeight="1" thickBot="1" x14ac:dyDescent="0.2">
      <c r="A25" s="2596"/>
      <c r="B25" s="1355" t="s">
        <v>1648</v>
      </c>
      <c r="C25" s="1354" t="s">
        <v>2126</v>
      </c>
      <c r="D25" s="1405"/>
      <c r="E25" s="911"/>
      <c r="F25" s="910"/>
      <c r="G25" s="910"/>
      <c r="H25" s="910"/>
      <c r="I25" s="910"/>
      <c r="J25" s="910"/>
      <c r="K25" s="911"/>
      <c r="L25" s="911"/>
      <c r="M25" s="1412"/>
      <c r="N25" s="889">
        <f>ROUND(0.2*N15,2)</f>
        <v>2000</v>
      </c>
    </row>
    <row r="26" spans="1:14" ht="37.5" hidden="1" customHeight="1" x14ac:dyDescent="0.15">
      <c r="A26" s="2596"/>
      <c r="B26" s="1355"/>
      <c r="C26" s="1354"/>
      <c r="D26" s="1411"/>
      <c r="E26" s="1411"/>
      <c r="F26" s="1411"/>
      <c r="G26" s="1411"/>
      <c r="H26" s="1411"/>
      <c r="I26" s="1411"/>
      <c r="J26" s="1411"/>
      <c r="K26" s="1411"/>
      <c r="L26" s="1411"/>
      <c r="M26" s="1411"/>
      <c r="N26" s="1413"/>
    </row>
    <row r="27" spans="1:14" ht="37.5" hidden="1" customHeight="1" thickBot="1" x14ac:dyDescent="0.2">
      <c r="A27" s="2596"/>
      <c r="B27" s="2092"/>
      <c r="C27" s="1354"/>
      <c r="D27" s="1412"/>
      <c r="E27" s="1412"/>
      <c r="F27" s="1412"/>
      <c r="G27" s="1412"/>
      <c r="H27" s="1412"/>
      <c r="I27" s="1412"/>
      <c r="J27" s="1411"/>
      <c r="K27" s="1412"/>
      <c r="L27" s="1412"/>
      <c r="M27" s="1412"/>
      <c r="N27" s="2093"/>
    </row>
    <row r="28" spans="1:14" s="9" customFormat="1" ht="50.1" customHeight="1" thickBot="1" x14ac:dyDescent="0.2">
      <c r="A28" s="2597"/>
      <c r="B28" s="2091" t="s">
        <v>12</v>
      </c>
      <c r="C28" s="2094"/>
      <c r="D28" s="2095"/>
      <c r="E28" s="2095"/>
      <c r="F28" s="2095"/>
      <c r="G28" s="2095"/>
      <c r="H28" s="2095"/>
      <c r="I28" s="2095"/>
      <c r="J28" s="2096"/>
      <c r="K28" s="2095"/>
      <c r="L28" s="2095"/>
      <c r="M28" s="2095"/>
      <c r="N28" s="2097"/>
    </row>
    <row r="29" spans="1:14" s="47" customFormat="1" ht="13.5" thickTop="1" x14ac:dyDescent="0.15">
      <c r="B29" s="161"/>
      <c r="C29" s="161"/>
      <c r="J29" s="209"/>
    </row>
    <row r="30" spans="1:14" s="47" customFormat="1" x14ac:dyDescent="0.15">
      <c r="B30" s="161"/>
      <c r="C30" s="161"/>
      <c r="J30" s="209"/>
    </row>
    <row r="31" spans="1:14" s="47" customFormat="1" x14ac:dyDescent="0.15">
      <c r="B31" s="161"/>
      <c r="C31" s="161"/>
      <c r="J31" s="209"/>
    </row>
    <row r="32" spans="1:14" s="47" customFormat="1" x14ac:dyDescent="0.15">
      <c r="B32" s="161"/>
      <c r="C32" s="161"/>
      <c r="J32" s="209"/>
    </row>
    <row r="33" spans="1:10" s="47" customFormat="1" x14ac:dyDescent="0.15">
      <c r="B33" s="161"/>
      <c r="C33" s="161"/>
      <c r="J33" s="209"/>
    </row>
    <row r="34" spans="1:10" s="47" customFormat="1" x14ac:dyDescent="0.15">
      <c r="B34" s="161"/>
      <c r="C34" s="161"/>
      <c r="J34" s="209"/>
    </row>
    <row r="35" spans="1:10" s="47" customFormat="1" x14ac:dyDescent="0.15">
      <c r="B35" s="161"/>
      <c r="C35" s="161"/>
      <c r="J35" s="209"/>
    </row>
    <row r="36" spans="1:10" s="47" customFormat="1" x14ac:dyDescent="0.15">
      <c r="B36" s="161"/>
      <c r="C36" s="161"/>
      <c r="J36" s="209"/>
    </row>
    <row r="37" spans="1:10" s="47" customFormat="1" x14ac:dyDescent="0.15">
      <c r="B37" s="161"/>
      <c r="C37" s="161"/>
      <c r="J37" s="209"/>
    </row>
    <row r="38" spans="1:10" s="47" customFormat="1" x14ac:dyDescent="0.15">
      <c r="B38" s="161"/>
      <c r="C38" s="161"/>
      <c r="J38" s="209"/>
    </row>
    <row r="39" spans="1:10" s="47" customFormat="1" x14ac:dyDescent="0.15">
      <c r="A39" s="46"/>
      <c r="B39" s="161"/>
      <c r="C39" s="161"/>
      <c r="J39" s="209"/>
    </row>
    <row r="40" spans="1:10" s="47" customFormat="1" x14ac:dyDescent="0.15">
      <c r="A40" s="46"/>
      <c r="B40" s="161"/>
      <c r="C40" s="161"/>
      <c r="J40" s="209"/>
    </row>
    <row r="41" spans="1:10" x14ac:dyDescent="0.15">
      <c r="A41" s="46"/>
    </row>
    <row r="42" spans="1:10" x14ac:dyDescent="0.15">
      <c r="A42" s="46"/>
    </row>
    <row r="43" spans="1:10" x14ac:dyDescent="0.15">
      <c r="A43" s="46"/>
    </row>
    <row r="44" spans="1:10" x14ac:dyDescent="0.15">
      <c r="A44" s="46"/>
    </row>
  </sheetData>
  <mergeCells count="11">
    <mergeCell ref="A1:A28"/>
    <mergeCell ref="B8:B10"/>
    <mergeCell ref="B5:B7"/>
    <mergeCell ref="I8:I10"/>
    <mergeCell ref="I5:I7"/>
    <mergeCell ref="D9:E9"/>
    <mergeCell ref="D10:E10"/>
    <mergeCell ref="D6:E6"/>
    <mergeCell ref="D7:E7"/>
    <mergeCell ref="D5:E5"/>
    <mergeCell ref="D8:E8"/>
  </mergeCells>
  <hyperlinks>
    <hyperlink ref="B1" location="PAINEL!A1" display="OBRAS / SERVIÇOS" xr:uid="{00000000-0004-0000-0E00-000000000000}"/>
  </hyperlinks>
  <printOptions horizontalCentered="1"/>
  <pageMargins left="0.59055118110236227" right="0.59055118110236227" top="0.59055118110236227" bottom="0.59055118110236227" header="0.31496062992125984" footer="0.23622047244094491"/>
  <pageSetup paperSize="9" scale="52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F20" formula="1"/>
  </ignoredError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23" filterMode="1">
    <tabColor rgb="FFFFFFCC"/>
  </sheetPr>
  <dimension ref="A1:N77"/>
  <sheetViews>
    <sheetView showZeros="0" zoomScaleNormal="100" workbookViewId="0">
      <pane xSplit="5" ySplit="1" topLeftCell="F10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S66" sqref="S66"/>
    </sheetView>
  </sheetViews>
  <sheetFormatPr defaultColWidth="9" defaultRowHeight="18.75" x14ac:dyDescent="0.15"/>
  <cols>
    <col min="1" max="1" width="25.5" style="133" customWidth="1"/>
    <col min="2" max="2" width="12.625" style="13" customWidth="1"/>
    <col min="3" max="3" width="35.625" style="13" customWidth="1"/>
    <col min="4" max="4" width="3.125" style="986" hidden="1" customWidth="1"/>
    <col min="5" max="5" width="8.375" style="13" hidden="1" customWidth="1"/>
    <col min="6" max="6" width="12.625" style="590" customWidth="1"/>
    <col min="7" max="7" width="12.625" style="590" hidden="1" customWidth="1"/>
    <col min="8" max="10" width="12.625" style="590" customWidth="1"/>
    <col min="11" max="12" width="12.625" style="590" hidden="1" customWidth="1"/>
    <col min="13" max="13" width="12.625" style="1353" customWidth="1"/>
    <col min="14" max="14" width="21.875" style="133" customWidth="1"/>
    <col min="15" max="18" width="10.75" style="133" customWidth="1"/>
    <col min="19" max="19" width="15.625" style="133" customWidth="1"/>
    <col min="20" max="16384" width="9" style="133"/>
  </cols>
  <sheetData>
    <row r="1" spans="1:14" s="16" customFormat="1" ht="60" customHeight="1" thickTop="1" thickBot="1" x14ac:dyDescent="0.2">
      <c r="A1" s="2595" t="s">
        <v>1224</v>
      </c>
      <c r="B1" s="2608" t="s">
        <v>346</v>
      </c>
      <c r="C1" s="2609"/>
      <c r="D1" s="991"/>
      <c r="E1" s="974" t="s">
        <v>587</v>
      </c>
      <c r="F1" s="1350" t="s">
        <v>1351</v>
      </c>
      <c r="G1" s="1350" t="s">
        <v>1839</v>
      </c>
      <c r="H1" s="1350" t="s">
        <v>1352</v>
      </c>
      <c r="I1" s="1350" t="s">
        <v>1353</v>
      </c>
      <c r="J1" s="1350" t="s">
        <v>2846</v>
      </c>
      <c r="K1" s="1350" t="s">
        <v>1618</v>
      </c>
      <c r="L1" s="1350"/>
      <c r="M1" s="1351" t="s">
        <v>0</v>
      </c>
      <c r="N1" s="578" t="s">
        <v>695</v>
      </c>
    </row>
    <row r="2" spans="1:14" ht="21.95" hidden="1" customHeight="1" thickTop="1" x14ac:dyDescent="0.15">
      <c r="A2" s="2596"/>
      <c r="B2" s="2605" t="s">
        <v>1219</v>
      </c>
      <c r="C2" s="550" t="s">
        <v>164</v>
      </c>
      <c r="D2" s="1356"/>
      <c r="E2" s="1357"/>
      <c r="F2" s="238"/>
      <c r="G2" s="238"/>
      <c r="H2" s="238"/>
      <c r="I2" s="238"/>
      <c r="J2" s="238"/>
      <c r="K2" s="238"/>
      <c r="L2" s="238"/>
      <c r="M2" s="593"/>
      <c r="N2" s="579">
        <f t="shared" ref="N2:N33" si="0">SUM(F2:M2)</f>
        <v>0</v>
      </c>
    </row>
    <row r="3" spans="1:14" ht="21.95" hidden="1" customHeight="1" x14ac:dyDescent="0.15">
      <c r="A3" s="2596"/>
      <c r="B3" s="2606"/>
      <c r="C3" s="567" t="s">
        <v>1246</v>
      </c>
      <c r="E3" s="1358"/>
      <c r="F3" s="1419"/>
      <c r="G3" s="1419"/>
      <c r="H3" s="1419"/>
      <c r="I3" s="1419"/>
      <c r="J3" s="1419"/>
      <c r="K3" s="1419"/>
      <c r="L3" s="1419"/>
      <c r="M3" s="595"/>
      <c r="N3" s="579">
        <f t="shared" si="0"/>
        <v>0</v>
      </c>
    </row>
    <row r="4" spans="1:14" ht="21.95" hidden="1" customHeight="1" x14ac:dyDescent="0.15">
      <c r="A4" s="2596"/>
      <c r="B4" s="2606"/>
      <c r="C4" s="567" t="s">
        <v>1233</v>
      </c>
      <c r="E4" s="1358"/>
      <c r="F4" s="158"/>
      <c r="G4" s="158"/>
      <c r="H4" s="158"/>
      <c r="I4" s="158"/>
      <c r="J4" s="158"/>
      <c r="K4" s="158"/>
      <c r="L4" s="158"/>
      <c r="M4" s="595"/>
      <c r="N4" s="579">
        <f t="shared" si="0"/>
        <v>0</v>
      </c>
    </row>
    <row r="5" spans="1:14" ht="21.95" hidden="1" customHeight="1" x14ac:dyDescent="0.15">
      <c r="A5" s="2596"/>
      <c r="B5" s="2606"/>
      <c r="C5" s="567" t="s">
        <v>472</v>
      </c>
      <c r="E5" s="1358"/>
      <c r="F5" s="158">
        <f>F4*F3*F2</f>
        <v>0</v>
      </c>
      <c r="G5" s="158"/>
      <c r="H5" s="158"/>
      <c r="I5" s="158"/>
      <c r="J5" s="158"/>
      <c r="K5" s="158">
        <f>Ciclovia!J109</f>
        <v>0</v>
      </c>
      <c r="L5" s="158"/>
      <c r="M5" s="350">
        <f>ROUND(SUM(F5:L5),2)</f>
        <v>0</v>
      </c>
      <c r="N5" s="579">
        <f t="shared" si="0"/>
        <v>0</v>
      </c>
    </row>
    <row r="6" spans="1:14" ht="21.95" hidden="1" customHeight="1" thickBot="1" x14ac:dyDescent="0.2">
      <c r="A6" s="2596"/>
      <c r="B6" s="2607"/>
      <c r="C6" s="566" t="s">
        <v>1612</v>
      </c>
      <c r="D6" s="987"/>
      <c r="E6" s="564"/>
      <c r="F6" s="1401"/>
      <c r="G6" s="1401"/>
      <c r="H6" s="1401"/>
      <c r="I6" s="1401"/>
      <c r="J6" s="1401"/>
      <c r="K6" s="1401"/>
      <c r="L6" s="1401"/>
      <c r="M6" s="1402"/>
      <c r="N6" s="579">
        <f t="shared" si="0"/>
        <v>0</v>
      </c>
    </row>
    <row r="7" spans="1:14" ht="21.95" hidden="1" customHeight="1" x14ac:dyDescent="0.15">
      <c r="A7" s="2596"/>
      <c r="B7" s="2605" t="s">
        <v>1220</v>
      </c>
      <c r="C7" s="550" t="s">
        <v>164</v>
      </c>
      <c r="D7" s="985"/>
      <c r="E7" s="1358"/>
      <c r="F7" s="238"/>
      <c r="G7" s="238"/>
      <c r="H7" s="238"/>
      <c r="I7" s="238"/>
      <c r="J7" s="238"/>
      <c r="K7" s="238"/>
      <c r="L7" s="238"/>
      <c r="M7" s="593"/>
      <c r="N7" s="579">
        <f t="shared" si="0"/>
        <v>0</v>
      </c>
    </row>
    <row r="8" spans="1:14" ht="21.95" hidden="1" customHeight="1" x14ac:dyDescent="0.15">
      <c r="A8" s="2596"/>
      <c r="B8" s="2606"/>
      <c r="C8" s="567" t="s">
        <v>1240</v>
      </c>
      <c r="E8" s="1358"/>
      <c r="F8" s="158"/>
      <c r="G8" s="158"/>
      <c r="H8" s="158"/>
      <c r="I8" s="158"/>
      <c r="J8" s="158"/>
      <c r="K8" s="158"/>
      <c r="L8" s="158"/>
      <c r="M8" s="595"/>
      <c r="N8" s="579">
        <f t="shared" si="0"/>
        <v>0</v>
      </c>
    </row>
    <row r="9" spans="1:14" ht="21.95" hidden="1" customHeight="1" x14ac:dyDescent="0.15">
      <c r="A9" s="2596"/>
      <c r="B9" s="2606"/>
      <c r="C9" s="567" t="s">
        <v>1246</v>
      </c>
      <c r="E9" s="1358"/>
      <c r="F9" s="1419"/>
      <c r="G9" s="1419"/>
      <c r="H9" s="1419"/>
      <c r="I9" s="1419"/>
      <c r="J9" s="1419"/>
      <c r="K9" s="1419"/>
      <c r="L9" s="1419"/>
      <c r="M9" s="595"/>
      <c r="N9" s="579">
        <f t="shared" si="0"/>
        <v>0</v>
      </c>
    </row>
    <row r="10" spans="1:14" ht="21.95" customHeight="1" thickTop="1" x14ac:dyDescent="0.15">
      <c r="A10" s="2596"/>
      <c r="B10" s="2606"/>
      <c r="C10" s="567" t="s">
        <v>472</v>
      </c>
      <c r="E10" s="1358"/>
      <c r="F10" s="158">
        <f>F9*F8*F7</f>
        <v>0</v>
      </c>
      <c r="G10" s="158"/>
      <c r="H10" s="158">
        <f>Recap_Final!K76</f>
        <v>0</v>
      </c>
      <c r="I10" s="158">
        <f>Pav_Terraplenagem!Y28</f>
        <v>9.8000000000000007</v>
      </c>
      <c r="J10" s="158">
        <f>Passeio!Z188</f>
        <v>241.29</v>
      </c>
      <c r="K10" s="158">
        <f>Ciclovia!J109</f>
        <v>0</v>
      </c>
      <c r="L10" s="158"/>
      <c r="M10" s="350">
        <f>ROUND(SUM(F10:L10),2)</f>
        <v>251.09</v>
      </c>
      <c r="N10" s="579">
        <f>SUM(F10:M10)</f>
        <v>502.18</v>
      </c>
    </row>
    <row r="11" spans="1:14" ht="21.95" customHeight="1" thickBot="1" x14ac:dyDescent="0.2">
      <c r="A11" s="2596"/>
      <c r="B11" s="2607"/>
      <c r="C11" s="566" t="s">
        <v>1612</v>
      </c>
      <c r="D11" s="987"/>
      <c r="E11" s="564"/>
      <c r="F11" s="1401"/>
      <c r="G11" s="1401"/>
      <c r="H11" s="1401"/>
      <c r="I11" s="1401">
        <v>2</v>
      </c>
      <c r="J11" s="1401">
        <v>2</v>
      </c>
      <c r="K11" s="1401"/>
      <c r="L11" s="1401"/>
      <c r="M11" s="1402"/>
      <c r="N11" s="579">
        <f t="shared" si="0"/>
        <v>4</v>
      </c>
    </row>
    <row r="12" spans="1:14" ht="21.95" hidden="1" customHeight="1" x14ac:dyDescent="0.15">
      <c r="A12" s="2596"/>
      <c r="B12" s="2605" t="s">
        <v>1221</v>
      </c>
      <c r="C12" s="550" t="s">
        <v>164</v>
      </c>
      <c r="D12" s="985"/>
      <c r="E12" s="1358"/>
      <c r="F12" s="238"/>
      <c r="G12" s="238"/>
      <c r="H12" s="238"/>
      <c r="I12" s="238"/>
      <c r="J12" s="238"/>
      <c r="K12" s="238"/>
      <c r="L12" s="238"/>
      <c r="M12" s="593"/>
      <c r="N12" s="579">
        <f t="shared" si="0"/>
        <v>0</v>
      </c>
    </row>
    <row r="13" spans="1:14" ht="21.95" hidden="1" customHeight="1" x14ac:dyDescent="0.15">
      <c r="A13" s="2596"/>
      <c r="B13" s="2606"/>
      <c r="C13" s="567" t="s">
        <v>1240</v>
      </c>
      <c r="E13" s="1358"/>
      <c r="F13" s="158"/>
      <c r="G13" s="158"/>
      <c r="H13" s="158"/>
      <c r="I13" s="158"/>
      <c r="J13" s="158"/>
      <c r="K13" s="158"/>
      <c r="L13" s="158"/>
      <c r="M13" s="595"/>
      <c r="N13" s="579">
        <f t="shared" si="0"/>
        <v>0</v>
      </c>
    </row>
    <row r="14" spans="1:14" ht="21.95" hidden="1" customHeight="1" x14ac:dyDescent="0.15">
      <c r="A14" s="2596"/>
      <c r="B14" s="2606"/>
      <c r="C14" s="567" t="s">
        <v>1246</v>
      </c>
      <c r="E14" s="1358"/>
      <c r="F14" s="1419"/>
      <c r="G14" s="1419"/>
      <c r="H14" s="1419"/>
      <c r="I14" s="1419"/>
      <c r="J14" s="1419"/>
      <c r="K14" s="1419"/>
      <c r="L14" s="1419"/>
      <c r="M14" s="595"/>
      <c r="N14" s="579">
        <f t="shared" si="0"/>
        <v>0</v>
      </c>
    </row>
    <row r="15" spans="1:14" ht="21.95" hidden="1" customHeight="1" x14ac:dyDescent="0.15">
      <c r="A15" s="2596"/>
      <c r="B15" s="2606"/>
      <c r="C15" s="567" t="s">
        <v>472</v>
      </c>
      <c r="E15" s="1358"/>
      <c r="F15" s="158">
        <f>F14*F13*F12</f>
        <v>0</v>
      </c>
      <c r="G15" s="158"/>
      <c r="H15" s="158">
        <f>H14*H13*H12</f>
        <v>0</v>
      </c>
      <c r="I15" s="158">
        <f>I14*I13*I12</f>
        <v>0</v>
      </c>
      <c r="J15" s="158">
        <f>Passeio!Z192</f>
        <v>0</v>
      </c>
      <c r="K15" s="158">
        <f t="shared" ref="K15" si="1">K14*K13*K12</f>
        <v>0</v>
      </c>
      <c r="L15" s="158"/>
      <c r="M15" s="350">
        <f>ROUND(SUM(F15:L15),2)</f>
        <v>0</v>
      </c>
      <c r="N15" s="579">
        <f t="shared" si="0"/>
        <v>0</v>
      </c>
    </row>
    <row r="16" spans="1:14" ht="21.95" hidden="1" customHeight="1" thickBot="1" x14ac:dyDescent="0.2">
      <c r="A16" s="2596"/>
      <c r="B16" s="2607"/>
      <c r="C16" s="566" t="s">
        <v>1612</v>
      </c>
      <c r="D16" s="987"/>
      <c r="E16" s="564"/>
      <c r="F16" s="1401"/>
      <c r="G16" s="1401"/>
      <c r="H16" s="1401"/>
      <c r="I16" s="1401"/>
      <c r="J16" s="1401"/>
      <c r="K16" s="1401"/>
      <c r="L16" s="1401"/>
      <c r="M16" s="1402"/>
      <c r="N16" s="579">
        <f t="shared" si="0"/>
        <v>0</v>
      </c>
    </row>
    <row r="17" spans="1:14" ht="21.95" hidden="1" customHeight="1" x14ac:dyDescent="0.15">
      <c r="A17" s="2596"/>
      <c r="B17" s="2605" t="s">
        <v>1222</v>
      </c>
      <c r="C17" s="550" t="s">
        <v>164</v>
      </c>
      <c r="D17" s="985"/>
      <c r="E17" s="1358"/>
      <c r="F17" s="238"/>
      <c r="G17" s="238"/>
      <c r="H17" s="238"/>
      <c r="I17" s="238"/>
      <c r="J17" s="238"/>
      <c r="K17" s="238"/>
      <c r="L17" s="238"/>
      <c r="M17" s="593"/>
      <c r="N17" s="579">
        <f t="shared" si="0"/>
        <v>0</v>
      </c>
    </row>
    <row r="18" spans="1:14" ht="21.95" hidden="1" customHeight="1" x14ac:dyDescent="0.15">
      <c r="A18" s="2596"/>
      <c r="B18" s="2606"/>
      <c r="C18" s="567" t="s">
        <v>1240</v>
      </c>
      <c r="E18" s="1358"/>
      <c r="F18" s="158"/>
      <c r="G18" s="158"/>
      <c r="H18" s="158"/>
      <c r="I18" s="158"/>
      <c r="J18" s="158"/>
      <c r="K18" s="158"/>
      <c r="L18" s="158"/>
      <c r="M18" s="595"/>
      <c r="N18" s="579">
        <f t="shared" si="0"/>
        <v>0</v>
      </c>
    </row>
    <row r="19" spans="1:14" ht="21.95" hidden="1" customHeight="1" x14ac:dyDescent="0.15">
      <c r="A19" s="2596"/>
      <c r="B19" s="2606"/>
      <c r="C19" s="567" t="s">
        <v>1246</v>
      </c>
      <c r="E19" s="1358"/>
      <c r="F19" s="1419"/>
      <c r="G19" s="1419"/>
      <c r="H19" s="1419"/>
      <c r="I19" s="1419"/>
      <c r="J19" s="1419"/>
      <c r="K19" s="1419"/>
      <c r="L19" s="1419"/>
      <c r="M19" s="595"/>
      <c r="N19" s="579">
        <f t="shared" si="0"/>
        <v>0</v>
      </c>
    </row>
    <row r="20" spans="1:14" ht="21.95" hidden="1" customHeight="1" x14ac:dyDescent="0.15">
      <c r="A20" s="2596"/>
      <c r="B20" s="2606"/>
      <c r="C20" s="567" t="s">
        <v>472</v>
      </c>
      <c r="E20" s="1358"/>
      <c r="F20" s="158">
        <f>F19*F18*F17</f>
        <v>0</v>
      </c>
      <c r="G20" s="158"/>
      <c r="H20" s="158">
        <f>H19*H18*H17</f>
        <v>0</v>
      </c>
      <c r="I20" s="158">
        <f>I19*I18*I17</f>
        <v>0</v>
      </c>
      <c r="J20" s="158">
        <f>Passeio!Z192</f>
        <v>0</v>
      </c>
      <c r="K20" s="158">
        <f t="shared" ref="K20" si="2">K19*K18*K17</f>
        <v>0</v>
      </c>
      <c r="L20" s="158"/>
      <c r="M20" s="350">
        <f>ROUND(SUM(F20:L20),2)</f>
        <v>0</v>
      </c>
      <c r="N20" s="579">
        <f t="shared" si="0"/>
        <v>0</v>
      </c>
    </row>
    <row r="21" spans="1:14" ht="21.95" hidden="1" customHeight="1" thickBot="1" x14ac:dyDescent="0.2">
      <c r="A21" s="2596"/>
      <c r="B21" s="2607"/>
      <c r="C21" s="566" t="s">
        <v>1612</v>
      </c>
      <c r="D21" s="987"/>
      <c r="E21" s="564"/>
      <c r="F21" s="1401"/>
      <c r="G21" s="1401"/>
      <c r="H21" s="1401"/>
      <c r="I21" s="1401"/>
      <c r="J21" s="1401"/>
      <c r="K21" s="1401"/>
      <c r="L21" s="1401"/>
      <c r="M21" s="1402"/>
      <c r="N21" s="579">
        <f t="shared" si="0"/>
        <v>0</v>
      </c>
    </row>
    <row r="22" spans="1:14" ht="21.95" hidden="1" customHeight="1" x14ac:dyDescent="0.15">
      <c r="A22" s="2596"/>
      <c r="B22" s="2605" t="s">
        <v>473</v>
      </c>
      <c r="C22" s="550" t="s">
        <v>164</v>
      </c>
      <c r="D22" s="985"/>
      <c r="E22" s="1358"/>
      <c r="F22" s="238"/>
      <c r="G22" s="238"/>
      <c r="H22" s="238"/>
      <c r="I22" s="238"/>
      <c r="J22" s="238"/>
      <c r="K22" s="238"/>
      <c r="L22" s="238"/>
      <c r="M22" s="593"/>
      <c r="N22" s="579">
        <f t="shared" si="0"/>
        <v>0</v>
      </c>
    </row>
    <row r="23" spans="1:14" ht="21.95" hidden="1" customHeight="1" x14ac:dyDescent="0.15">
      <c r="A23" s="2596"/>
      <c r="B23" s="2606"/>
      <c r="C23" s="567" t="s">
        <v>1240</v>
      </c>
      <c r="E23" s="1358"/>
      <c r="F23" s="158"/>
      <c r="G23" s="158"/>
      <c r="H23" s="158"/>
      <c r="I23" s="158"/>
      <c r="J23" s="158"/>
      <c r="K23" s="158"/>
      <c r="L23" s="158"/>
      <c r="M23" s="595"/>
      <c r="N23" s="579">
        <f t="shared" si="0"/>
        <v>0</v>
      </c>
    </row>
    <row r="24" spans="1:14" ht="21.95" hidden="1" customHeight="1" x14ac:dyDescent="0.15">
      <c r="A24" s="2596"/>
      <c r="B24" s="2606"/>
      <c r="C24" s="567" t="s">
        <v>1246</v>
      </c>
      <c r="E24" s="1358"/>
      <c r="F24" s="1419"/>
      <c r="G24" s="1419"/>
      <c r="H24" s="1419"/>
      <c r="I24" s="1419"/>
      <c r="J24" s="1419"/>
      <c r="K24" s="1419"/>
      <c r="L24" s="1419"/>
      <c r="M24" s="595"/>
      <c r="N24" s="579">
        <f t="shared" si="0"/>
        <v>0</v>
      </c>
    </row>
    <row r="25" spans="1:14" ht="21.95" hidden="1" customHeight="1" x14ac:dyDescent="0.15">
      <c r="A25" s="2596"/>
      <c r="B25" s="2606"/>
      <c r="C25" s="567" t="s">
        <v>472</v>
      </c>
      <c r="E25" s="1358"/>
      <c r="F25" s="158">
        <f>F24*F23*F22</f>
        <v>0</v>
      </c>
      <c r="G25" s="158"/>
      <c r="H25" s="158">
        <f t="shared" ref="H25:K25" si="3">H24*H23*H22</f>
        <v>0</v>
      </c>
      <c r="I25" s="158"/>
      <c r="J25" s="158">
        <f t="shared" si="3"/>
        <v>0</v>
      </c>
      <c r="K25" s="158">
        <f t="shared" si="3"/>
        <v>0</v>
      </c>
      <c r="L25" s="158"/>
      <c r="M25" s="350">
        <f>ROUND(SUM(F25:L25),2)</f>
        <v>0</v>
      </c>
      <c r="N25" s="579">
        <f t="shared" si="0"/>
        <v>0</v>
      </c>
    </row>
    <row r="26" spans="1:14" ht="21.95" hidden="1" customHeight="1" thickBot="1" x14ac:dyDescent="0.2">
      <c r="A26" s="2596"/>
      <c r="B26" s="2607"/>
      <c r="C26" s="566" t="s">
        <v>1612</v>
      </c>
      <c r="D26" s="987"/>
      <c r="E26" s="564"/>
      <c r="F26" s="1401"/>
      <c r="G26" s="1401"/>
      <c r="H26" s="1401"/>
      <c r="I26" s="1401"/>
      <c r="J26" s="1401"/>
      <c r="K26" s="1401"/>
      <c r="L26" s="1401"/>
      <c r="M26" s="1402"/>
      <c r="N26" s="579">
        <f t="shared" si="0"/>
        <v>0</v>
      </c>
    </row>
    <row r="27" spans="1:14" ht="21.95" hidden="1" customHeight="1" x14ac:dyDescent="0.15">
      <c r="A27" s="2596"/>
      <c r="B27" s="2605" t="s">
        <v>320</v>
      </c>
      <c r="C27" s="550" t="s">
        <v>164</v>
      </c>
      <c r="D27" s="985"/>
      <c r="E27" s="1358"/>
      <c r="F27" s="238"/>
      <c r="G27" s="238"/>
      <c r="H27" s="238"/>
      <c r="I27" s="238"/>
      <c r="J27" s="238"/>
      <c r="K27" s="238"/>
      <c r="L27" s="238"/>
      <c r="M27" s="593"/>
      <c r="N27" s="579">
        <f t="shared" si="0"/>
        <v>0</v>
      </c>
    </row>
    <row r="28" spans="1:14" ht="21.95" hidden="1" customHeight="1" x14ac:dyDescent="0.15">
      <c r="A28" s="2596"/>
      <c r="B28" s="2606"/>
      <c r="C28" s="567" t="s">
        <v>1240</v>
      </c>
      <c r="E28" s="1358"/>
      <c r="F28" s="158"/>
      <c r="G28" s="158"/>
      <c r="H28" s="158"/>
      <c r="I28" s="158"/>
      <c r="J28" s="158"/>
      <c r="K28" s="158"/>
      <c r="L28" s="158"/>
      <c r="M28" s="595"/>
      <c r="N28" s="579">
        <f t="shared" si="0"/>
        <v>0</v>
      </c>
    </row>
    <row r="29" spans="1:14" ht="21.95" hidden="1" customHeight="1" x14ac:dyDescent="0.15">
      <c r="A29" s="2596"/>
      <c r="B29" s="2606"/>
      <c r="C29" s="567" t="s">
        <v>1246</v>
      </c>
      <c r="E29" s="1358"/>
      <c r="F29" s="1419"/>
      <c r="G29" s="1419"/>
      <c r="H29" s="1419"/>
      <c r="I29" s="1419"/>
      <c r="J29" s="1419"/>
      <c r="K29" s="1419"/>
      <c r="L29" s="1419"/>
      <c r="M29" s="595"/>
      <c r="N29" s="579">
        <f t="shared" si="0"/>
        <v>0</v>
      </c>
    </row>
    <row r="30" spans="1:14" ht="21.95" hidden="1" customHeight="1" x14ac:dyDescent="0.15">
      <c r="A30" s="2596"/>
      <c r="B30" s="2606"/>
      <c r="C30" s="567" t="s">
        <v>472</v>
      </c>
      <c r="E30" s="1358"/>
      <c r="F30" s="158">
        <f t="shared" ref="F30:K30" si="4">F29*F28*F27</f>
        <v>0</v>
      </c>
      <c r="G30" s="158"/>
      <c r="H30" s="158">
        <f t="shared" si="4"/>
        <v>0</v>
      </c>
      <c r="I30" s="158">
        <f t="shared" si="4"/>
        <v>0</v>
      </c>
      <c r="J30" s="158">
        <f t="shared" si="4"/>
        <v>0</v>
      </c>
      <c r="K30" s="158">
        <f t="shared" si="4"/>
        <v>0</v>
      </c>
      <c r="L30" s="158"/>
      <c r="M30" s="350">
        <f>ROUND(SUM(F30:L30),2)</f>
        <v>0</v>
      </c>
      <c r="N30" s="579">
        <f t="shared" si="0"/>
        <v>0</v>
      </c>
    </row>
    <row r="31" spans="1:14" ht="21.95" hidden="1" customHeight="1" thickBot="1" x14ac:dyDescent="0.2">
      <c r="A31" s="2596"/>
      <c r="B31" s="2607"/>
      <c r="C31" s="566" t="s">
        <v>1612</v>
      </c>
      <c r="D31" s="987"/>
      <c r="E31" s="564"/>
      <c r="F31" s="1401"/>
      <c r="G31" s="1401"/>
      <c r="H31" s="1401"/>
      <c r="I31" s="1401"/>
      <c r="J31" s="1401"/>
      <c r="K31" s="1401"/>
      <c r="L31" s="1401"/>
      <c r="M31" s="1402"/>
      <c r="N31" s="579">
        <f t="shared" si="0"/>
        <v>0</v>
      </c>
    </row>
    <row r="32" spans="1:14" ht="21.95" hidden="1" customHeight="1" x14ac:dyDescent="0.15">
      <c r="A32" s="2596"/>
      <c r="B32" s="2605" t="s">
        <v>1615</v>
      </c>
      <c r="C32" s="550" t="s">
        <v>164</v>
      </c>
      <c r="D32" s="985"/>
      <c r="E32" s="1358"/>
      <c r="F32" s="238"/>
      <c r="G32" s="238"/>
      <c r="H32" s="238"/>
      <c r="I32" s="238"/>
      <c r="J32" s="238"/>
      <c r="K32" s="238"/>
      <c r="L32" s="238"/>
      <c r="M32" s="593"/>
      <c r="N32" s="579">
        <f t="shared" si="0"/>
        <v>0</v>
      </c>
    </row>
    <row r="33" spans="1:14" ht="21.95" hidden="1" customHeight="1" x14ac:dyDescent="0.15">
      <c r="A33" s="2596"/>
      <c r="B33" s="2606"/>
      <c r="C33" s="567" t="s">
        <v>1240</v>
      </c>
      <c r="E33" s="1358"/>
      <c r="F33" s="158"/>
      <c r="G33" s="158"/>
      <c r="H33" s="158"/>
      <c r="I33" s="158"/>
      <c r="J33" s="158"/>
      <c r="K33" s="158"/>
      <c r="L33" s="158"/>
      <c r="M33" s="595"/>
      <c r="N33" s="579">
        <f t="shared" si="0"/>
        <v>0</v>
      </c>
    </row>
    <row r="34" spans="1:14" ht="21.95" hidden="1" customHeight="1" x14ac:dyDescent="0.15">
      <c r="A34" s="2596"/>
      <c r="B34" s="2606"/>
      <c r="C34" s="567" t="s">
        <v>1225</v>
      </c>
      <c r="E34" s="1358"/>
      <c r="F34" s="158">
        <f>F32*F33</f>
        <v>0</v>
      </c>
      <c r="G34" s="158"/>
      <c r="H34" s="158"/>
      <c r="I34" s="158"/>
      <c r="J34" s="158">
        <f>Passeio!Z196</f>
        <v>0</v>
      </c>
      <c r="K34" s="158"/>
      <c r="L34" s="158"/>
      <c r="M34" s="350">
        <f>ROUND(SUM(F34:L34),2)</f>
        <v>0</v>
      </c>
      <c r="N34" s="579">
        <f t="shared" ref="N34:N56" si="5">SUM(F34:M34)</f>
        <v>0</v>
      </c>
    </row>
    <row r="35" spans="1:14" ht="21.95" hidden="1" customHeight="1" x14ac:dyDescent="0.15">
      <c r="A35" s="2596"/>
      <c r="B35" s="2606"/>
      <c r="C35" s="567" t="s">
        <v>1246</v>
      </c>
      <c r="E35" s="1358"/>
      <c r="F35" s="1419"/>
      <c r="G35" s="1419"/>
      <c r="H35" s="1419"/>
      <c r="I35" s="1419"/>
      <c r="J35" s="1419"/>
      <c r="K35" s="1419"/>
      <c r="L35" s="1419"/>
      <c r="M35" s="595"/>
      <c r="N35" s="579">
        <f t="shared" si="5"/>
        <v>0</v>
      </c>
    </row>
    <row r="36" spans="1:14" ht="21.95" hidden="1" customHeight="1" x14ac:dyDescent="0.15">
      <c r="A36" s="2596"/>
      <c r="B36" s="2606"/>
      <c r="C36" s="567" t="s">
        <v>472</v>
      </c>
      <c r="E36" s="1358"/>
      <c r="F36" s="158">
        <f>F35*F34/100</f>
        <v>0</v>
      </c>
      <c r="G36" s="158"/>
      <c r="H36" s="158">
        <f t="shared" ref="H36:K36" si="6">H35*H33*H32</f>
        <v>0</v>
      </c>
      <c r="I36" s="158">
        <f t="shared" si="6"/>
        <v>0</v>
      </c>
      <c r="J36" s="158">
        <f>Passeio!Z197</f>
        <v>0</v>
      </c>
      <c r="K36" s="158">
        <f t="shared" si="6"/>
        <v>0</v>
      </c>
      <c r="L36" s="158"/>
      <c r="M36" s="595">
        <f>ROUND(SUM(F36:L36),2)</f>
        <v>0</v>
      </c>
      <c r="N36" s="579">
        <f t="shared" si="5"/>
        <v>0</v>
      </c>
    </row>
    <row r="37" spans="1:14" ht="21.95" hidden="1" customHeight="1" thickBot="1" x14ac:dyDescent="0.2">
      <c r="A37" s="2596"/>
      <c r="B37" s="2607"/>
      <c r="C37" s="566" t="s">
        <v>1612</v>
      </c>
      <c r="D37" s="987"/>
      <c r="E37" s="564"/>
      <c r="F37" s="1401"/>
      <c r="G37" s="1401"/>
      <c r="H37" s="1401"/>
      <c r="I37" s="1401"/>
      <c r="J37" s="1401"/>
      <c r="K37" s="1401"/>
      <c r="L37" s="1401"/>
      <c r="M37" s="1402"/>
      <c r="N37" s="579">
        <f t="shared" si="5"/>
        <v>0</v>
      </c>
    </row>
    <row r="38" spans="1:14" ht="21.95" hidden="1" customHeight="1" x14ac:dyDescent="0.15">
      <c r="A38" s="2596"/>
      <c r="B38" s="2605" t="s">
        <v>1616</v>
      </c>
      <c r="C38" s="550" t="s">
        <v>164</v>
      </c>
      <c r="D38" s="985"/>
      <c r="E38" s="1358"/>
      <c r="F38" s="238"/>
      <c r="G38" s="238"/>
      <c r="H38" s="238"/>
      <c r="I38" s="238"/>
      <c r="J38" s="238"/>
      <c r="K38" s="238"/>
      <c r="L38" s="238"/>
      <c r="M38" s="593"/>
      <c r="N38" s="579">
        <f t="shared" si="5"/>
        <v>0</v>
      </c>
    </row>
    <row r="39" spans="1:14" ht="21.95" customHeight="1" x14ac:dyDescent="0.15">
      <c r="A39" s="2596"/>
      <c r="B39" s="2606"/>
      <c r="C39" s="567" t="s">
        <v>1240</v>
      </c>
      <c r="E39" s="1358"/>
      <c r="F39" s="158">
        <f>Dre_Fecha_Vala!AZ7+Dre_Fecha_Vala!AZ10+Dre_Fecha_Vala!AZ13</f>
        <v>97</v>
      </c>
      <c r="G39" s="158">
        <f>Dre_Profunda!I90</f>
        <v>0</v>
      </c>
      <c r="H39" s="158"/>
      <c r="I39" s="158"/>
      <c r="J39" s="158"/>
      <c r="K39" s="158"/>
      <c r="L39" s="158"/>
      <c r="M39" s="595"/>
      <c r="N39" s="579">
        <f t="shared" si="5"/>
        <v>97</v>
      </c>
    </row>
    <row r="40" spans="1:14" ht="21.95" customHeight="1" x14ac:dyDescent="0.15">
      <c r="A40" s="2596"/>
      <c r="B40" s="2606"/>
      <c r="C40" s="567" t="s">
        <v>1225</v>
      </c>
      <c r="E40" s="1358"/>
      <c r="F40" s="158">
        <f ca="1">Dre_Ser_Prelim!BM31</f>
        <v>182.08</v>
      </c>
      <c r="G40" s="158">
        <f>Dre_Profunda!I92</f>
        <v>0</v>
      </c>
      <c r="H40" s="158"/>
      <c r="I40" s="158">
        <f>Pav_Terraplenagem!Y25</f>
        <v>530.16999999999996</v>
      </c>
      <c r="J40" s="158">
        <f t="shared" ref="J40" si="7">J38*J39</f>
        <v>0</v>
      </c>
      <c r="K40" s="158">
        <f>Ciclovia!J106</f>
        <v>0</v>
      </c>
      <c r="L40" s="158"/>
      <c r="M40" s="350">
        <f ca="1">ROUND(SUM(F40:L40),2)</f>
        <v>712.25</v>
      </c>
      <c r="N40" s="579">
        <f t="shared" ca="1" si="5"/>
        <v>1424.5</v>
      </c>
    </row>
    <row r="41" spans="1:14" ht="21.95" customHeight="1" x14ac:dyDescent="0.15">
      <c r="A41" s="2596"/>
      <c r="B41" s="2606"/>
      <c r="C41" s="567" t="s">
        <v>1246</v>
      </c>
      <c r="E41" s="1358"/>
      <c r="F41" s="1419">
        <v>3</v>
      </c>
      <c r="G41" s="1419"/>
      <c r="H41" s="1419"/>
      <c r="I41" s="1419">
        <v>3</v>
      </c>
      <c r="J41" s="1419"/>
      <c r="K41" s="1419"/>
      <c r="L41" s="1419"/>
      <c r="M41" s="595"/>
      <c r="N41" s="579">
        <f t="shared" si="5"/>
        <v>6</v>
      </c>
    </row>
    <row r="42" spans="1:14" ht="21.95" customHeight="1" x14ac:dyDescent="0.15">
      <c r="A42" s="2596"/>
      <c r="B42" s="2606"/>
      <c r="C42" s="567" t="s">
        <v>472</v>
      </c>
      <c r="E42" s="1358"/>
      <c r="F42" s="158">
        <f ca="1">Dre_Ser_Prelim!BM32</f>
        <v>9.1</v>
      </c>
      <c r="G42" s="158">
        <f>Dre_Profunda!I94</f>
        <v>0</v>
      </c>
      <c r="H42" s="158"/>
      <c r="I42" s="158">
        <f t="shared" ref="I42:J42" si="8">I41*I40/100</f>
        <v>15.905099999999997</v>
      </c>
      <c r="J42" s="158">
        <f t="shared" si="8"/>
        <v>0</v>
      </c>
      <c r="K42" s="158"/>
      <c r="L42" s="158"/>
      <c r="M42" s="595">
        <f ca="1">ROUND(SUM(F42:L42),2)</f>
        <v>25.01</v>
      </c>
      <c r="N42" s="579">
        <f t="shared" ca="1" si="5"/>
        <v>50.015100000000004</v>
      </c>
    </row>
    <row r="43" spans="1:14" ht="21.95" customHeight="1" thickBot="1" x14ac:dyDescent="0.2">
      <c r="A43" s="2596"/>
      <c r="B43" s="2607"/>
      <c r="C43" s="566" t="s">
        <v>1612</v>
      </c>
      <c r="D43" s="987"/>
      <c r="E43" s="564"/>
      <c r="F43" s="1401">
        <v>2</v>
      </c>
      <c r="G43" s="1401"/>
      <c r="H43" s="1401"/>
      <c r="I43" s="1401">
        <v>2</v>
      </c>
      <c r="J43" s="1401"/>
      <c r="K43" s="1401"/>
      <c r="L43" s="1401"/>
      <c r="M43" s="1402"/>
      <c r="N43" s="579">
        <f t="shared" si="5"/>
        <v>4</v>
      </c>
    </row>
    <row r="44" spans="1:14" ht="21.95" hidden="1" customHeight="1" x14ac:dyDescent="0.15">
      <c r="A44" s="2596"/>
      <c r="B44" s="2605" t="s">
        <v>1227</v>
      </c>
      <c r="C44" s="550" t="s">
        <v>164</v>
      </c>
      <c r="D44" s="985"/>
      <c r="E44" s="1359"/>
      <c r="F44" s="238"/>
      <c r="G44" s="238"/>
      <c r="H44" s="238"/>
      <c r="I44" s="238"/>
      <c r="J44" s="238"/>
      <c r="K44" s="238"/>
      <c r="L44" s="238"/>
      <c r="M44" s="593"/>
      <c r="N44" s="579">
        <f t="shared" si="5"/>
        <v>0</v>
      </c>
    </row>
    <row r="45" spans="1:14" ht="21.95" hidden="1" customHeight="1" x14ac:dyDescent="0.15">
      <c r="A45" s="2596"/>
      <c r="B45" s="2606"/>
      <c r="C45" s="567" t="s">
        <v>1240</v>
      </c>
      <c r="E45" s="1358"/>
      <c r="F45" s="158"/>
      <c r="G45" s="158"/>
      <c r="H45" s="158"/>
      <c r="I45" s="158"/>
      <c r="J45" s="158"/>
      <c r="K45" s="158"/>
      <c r="L45" s="158"/>
      <c r="M45" s="595"/>
      <c r="N45" s="579">
        <f t="shared" si="5"/>
        <v>0</v>
      </c>
    </row>
    <row r="46" spans="1:14" ht="21.95" hidden="1" customHeight="1" x14ac:dyDescent="0.15">
      <c r="A46" s="2596"/>
      <c r="B46" s="2606"/>
      <c r="C46" s="567" t="s">
        <v>1223</v>
      </c>
      <c r="E46" s="1358"/>
      <c r="F46" s="158">
        <f>F45*F44</f>
        <v>0</v>
      </c>
      <c r="G46" s="158"/>
      <c r="H46" s="158">
        <f t="shared" ref="H46:K46" si="9">H45*H44</f>
        <v>0</v>
      </c>
      <c r="I46" s="158">
        <f t="shared" si="9"/>
        <v>0</v>
      </c>
      <c r="J46" s="158">
        <f t="shared" si="9"/>
        <v>0</v>
      </c>
      <c r="K46" s="158">
        <f t="shared" si="9"/>
        <v>0</v>
      </c>
      <c r="L46" s="158"/>
      <c r="M46" s="350">
        <f>ROUND(SUM(F46:L46),2)</f>
        <v>0</v>
      </c>
      <c r="N46" s="579">
        <f t="shared" si="5"/>
        <v>0</v>
      </c>
    </row>
    <row r="47" spans="1:14" ht="21.95" hidden="1" customHeight="1" x14ac:dyDescent="0.15">
      <c r="A47" s="2596"/>
      <c r="B47" s="2606"/>
      <c r="C47" s="567" t="s">
        <v>1246</v>
      </c>
      <c r="E47" s="1358"/>
      <c r="F47" s="1419"/>
      <c r="G47" s="1419"/>
      <c r="H47" s="1419"/>
      <c r="I47" s="1419"/>
      <c r="J47" s="1419"/>
      <c r="K47" s="1419"/>
      <c r="L47" s="1419"/>
      <c r="M47" s="595"/>
      <c r="N47" s="579">
        <f t="shared" si="5"/>
        <v>0</v>
      </c>
    </row>
    <row r="48" spans="1:14" ht="21.95" hidden="1" customHeight="1" thickBot="1" x14ac:dyDescent="0.2">
      <c r="A48" s="2596"/>
      <c r="B48" s="2607"/>
      <c r="C48" s="566" t="s">
        <v>1669</v>
      </c>
      <c r="D48" s="987"/>
      <c r="E48" s="564"/>
      <c r="F48" s="239">
        <f>F47*F46/100</f>
        <v>0</v>
      </c>
      <c r="G48" s="239"/>
      <c r="H48" s="239">
        <f t="shared" ref="H48:K48" si="10">H47*H46/100</f>
        <v>0</v>
      </c>
      <c r="I48" s="239">
        <f t="shared" si="10"/>
        <v>0</v>
      </c>
      <c r="J48" s="239">
        <f t="shared" si="10"/>
        <v>0</v>
      </c>
      <c r="K48" s="239">
        <f t="shared" si="10"/>
        <v>0</v>
      </c>
      <c r="L48" s="239"/>
      <c r="M48" s="1403">
        <f t="shared" ref="M48:M66" si="11">ROUND(SUM(F48:L48),2)</f>
        <v>0</v>
      </c>
      <c r="N48" s="579">
        <f t="shared" si="5"/>
        <v>0</v>
      </c>
    </row>
    <row r="49" spans="1:14" ht="21.95" hidden="1" customHeight="1" x14ac:dyDescent="0.15">
      <c r="A49" s="2596"/>
      <c r="B49" s="2614" t="s">
        <v>1307</v>
      </c>
      <c r="C49" s="559" t="s">
        <v>1613</v>
      </c>
      <c r="E49" s="1358"/>
      <c r="F49" s="158">
        <f>IF(F6=1,F5,0)+IF(F11=1,F10,0)+IF(F16=1,F15,0)+IF(F21=1,F20,0)+IF(F26=1,F25,0)+IF(F31=1,F30,0)+IF(F37=1,F36,0)+IF(F43=1,F42,0)</f>
        <v>0</v>
      </c>
      <c r="G49" s="158">
        <f>IF(G6=1,G5,0)+IF(G11=1,G10,0)+IF(G16=1,G15,0)+IF(G21=1,G20,0)+IF(G26=1,G25,0)+IF(G31=1,G30,0)+IF(G37=1,G36,0)+IF(G43=1,G42,0)</f>
        <v>0</v>
      </c>
      <c r="H49" s="158">
        <f t="shared" ref="H49:K49" si="12">IF(H6=1,H5,0)+IF(H11=1,H10,0)+IF(H16=1,H15,0)+IF(H21=1,H20,0)+IF(H26=1,H25,0)+IF(H31=1,H30,0)+IF(H37=1,H36,0)+IF(H43=1,H42,0)</f>
        <v>0</v>
      </c>
      <c r="I49" s="158">
        <f t="shared" si="12"/>
        <v>0</v>
      </c>
      <c r="J49" s="158">
        <f t="shared" si="12"/>
        <v>0</v>
      </c>
      <c r="K49" s="158">
        <f t="shared" si="12"/>
        <v>0</v>
      </c>
      <c r="L49" s="158"/>
      <c r="M49" s="595">
        <f t="shared" si="11"/>
        <v>0</v>
      </c>
      <c r="N49" s="579">
        <f t="shared" si="5"/>
        <v>0</v>
      </c>
    </row>
    <row r="50" spans="1:14" ht="21.95" hidden="1" customHeight="1" x14ac:dyDescent="0.15">
      <c r="A50" s="2596"/>
      <c r="B50" s="2614"/>
      <c r="C50" s="567" t="s">
        <v>1610</v>
      </c>
      <c r="E50" s="1358"/>
      <c r="F50" s="158">
        <f>F49*1.25</f>
        <v>0</v>
      </c>
      <c r="G50" s="158">
        <f>G49*1.25</f>
        <v>0</v>
      </c>
      <c r="H50" s="158">
        <f t="shared" ref="H50:K50" si="13">H49*1.25</f>
        <v>0</v>
      </c>
      <c r="I50" s="158">
        <f t="shared" si="13"/>
        <v>0</v>
      </c>
      <c r="J50" s="158">
        <f t="shared" si="13"/>
        <v>0</v>
      </c>
      <c r="K50" s="158">
        <f t="shared" si="13"/>
        <v>0</v>
      </c>
      <c r="L50" s="158"/>
      <c r="M50" s="350">
        <f t="shared" si="11"/>
        <v>0</v>
      </c>
      <c r="N50" s="579">
        <f t="shared" si="5"/>
        <v>0</v>
      </c>
    </row>
    <row r="51" spans="1:14" ht="21.95" customHeight="1" x14ac:dyDescent="0.15">
      <c r="A51" s="2596"/>
      <c r="B51" s="2614"/>
      <c r="C51" s="567" t="s">
        <v>1614</v>
      </c>
      <c r="E51" s="1358"/>
      <c r="F51" s="158">
        <f ca="1">IF(F6=2,F5,0)+IF(F11=2,F10,0)+IF(F16=2,F15,0)+IF(F21=2,F20,0)+IF(F26=2,F25,0)+IF(F31=2,F30,0)+IF(F37=2,F36,0)+IF(F43=2,F42,0)+F48</f>
        <v>9.1</v>
      </c>
      <c r="G51" s="158">
        <f>IF(G6=2,G5,0)+IF(G11=2,G10,0)+IF(G16=2,G15,0)+IF(G21=2,G20,0)+IF(G26=2,G25,0)+IF(G31=2,G30,0)+IF(G37=2,G36,0)+IF(G43=2,G42,0)+G48</f>
        <v>0</v>
      </c>
      <c r="H51" s="158">
        <f t="shared" ref="H51:K51" si="14">IF(H6=2,H5,0)+IF(H11=2,H10,0)+IF(H16=2,H15,0)+IF(H21=2,H20,0)+IF(H26=2,H25,0)+IF(H31=2,H30,0)+IF(H37=2,H36,0)+IF(H43=2,H42,0)+H48</f>
        <v>0</v>
      </c>
      <c r="I51" s="158">
        <f t="shared" si="14"/>
        <v>25.705099999999998</v>
      </c>
      <c r="J51" s="158">
        <f t="shared" si="14"/>
        <v>241.29</v>
      </c>
      <c r="K51" s="158">
        <f t="shared" si="14"/>
        <v>0</v>
      </c>
      <c r="L51" s="158"/>
      <c r="M51" s="595">
        <f t="shared" ca="1" si="11"/>
        <v>276.10000000000002</v>
      </c>
      <c r="N51" s="579">
        <f t="shared" ca="1" si="5"/>
        <v>552.19510000000002</v>
      </c>
    </row>
    <row r="52" spans="1:14" ht="21.95" customHeight="1" thickBot="1" x14ac:dyDescent="0.2">
      <c r="A52" s="2596"/>
      <c r="B52" s="2615"/>
      <c r="C52" s="569" t="s">
        <v>1611</v>
      </c>
      <c r="E52" s="1358"/>
      <c r="F52" s="158">
        <f ca="1">F51*1.25</f>
        <v>11.375</v>
      </c>
      <c r="G52" s="158">
        <f>G51*1.25</f>
        <v>0</v>
      </c>
      <c r="H52" s="158">
        <f t="shared" ref="H52:K52" si="15">H51*1.25</f>
        <v>0</v>
      </c>
      <c r="I52" s="158">
        <f t="shared" si="15"/>
        <v>32.131374999999998</v>
      </c>
      <c r="J52" s="158">
        <f t="shared" si="15"/>
        <v>301.61250000000001</v>
      </c>
      <c r="K52" s="158">
        <f t="shared" si="15"/>
        <v>0</v>
      </c>
      <c r="L52" s="158"/>
      <c r="M52" s="350">
        <f t="shared" ca="1" si="11"/>
        <v>345.12</v>
      </c>
      <c r="N52" s="579">
        <f t="shared" ca="1" si="5"/>
        <v>690.23887500000001</v>
      </c>
    </row>
    <row r="53" spans="1:14" ht="21.95" customHeight="1" x14ac:dyDescent="0.15">
      <c r="A53" s="2596"/>
      <c r="B53" s="2619" t="s">
        <v>2046</v>
      </c>
      <c r="C53" s="550" t="s">
        <v>2044</v>
      </c>
      <c r="D53" s="985"/>
      <c r="E53" s="1361"/>
      <c r="F53" s="238">
        <f>Dre_Ser_Prelim!BM30</f>
        <v>194</v>
      </c>
      <c r="G53" s="238"/>
      <c r="H53" s="238"/>
      <c r="I53" s="238">
        <f>Pav_Terraplenagem!Y24</f>
        <v>0</v>
      </c>
      <c r="J53" s="238"/>
      <c r="K53" s="238">
        <f>Ciclovia!J105</f>
        <v>0</v>
      </c>
      <c r="L53" s="238"/>
      <c r="M53" s="362">
        <f t="shared" si="11"/>
        <v>194</v>
      </c>
      <c r="N53" s="579">
        <f t="shared" si="5"/>
        <v>388</v>
      </c>
    </row>
    <row r="54" spans="1:14" ht="21.95" customHeight="1" thickBot="1" x14ac:dyDescent="0.2">
      <c r="A54" s="2596"/>
      <c r="B54" s="2615"/>
      <c r="C54" s="566" t="s">
        <v>2045</v>
      </c>
      <c r="D54" s="987"/>
      <c r="E54" s="414"/>
      <c r="F54" s="133"/>
      <c r="G54" s="239"/>
      <c r="H54" s="239"/>
      <c r="I54" s="239"/>
      <c r="J54" s="239">
        <f>Passeio!Z180</f>
        <v>3665.97</v>
      </c>
      <c r="K54" s="239"/>
      <c r="L54" s="239"/>
      <c r="M54" s="361">
        <f t="shared" si="11"/>
        <v>3665.97</v>
      </c>
      <c r="N54" s="579">
        <f t="shared" si="5"/>
        <v>7331.94</v>
      </c>
    </row>
    <row r="55" spans="1:14" ht="21.95" hidden="1" customHeight="1" thickBot="1" x14ac:dyDescent="0.2">
      <c r="A55" s="2596"/>
      <c r="B55" s="2612" t="s">
        <v>1664</v>
      </c>
      <c r="C55" s="2613"/>
      <c r="D55" s="994"/>
      <c r="E55" s="1360"/>
      <c r="F55" s="228">
        <f>Dre_Ser_Prelim!BM33</f>
        <v>0</v>
      </c>
      <c r="G55" s="228"/>
      <c r="H55" s="228"/>
      <c r="I55" s="228"/>
      <c r="J55" s="228"/>
      <c r="K55" s="228"/>
      <c r="L55" s="228"/>
      <c r="M55" s="360">
        <f t="shared" si="11"/>
        <v>0</v>
      </c>
      <c r="N55" s="579">
        <f t="shared" si="5"/>
        <v>0</v>
      </c>
    </row>
    <row r="56" spans="1:14" ht="21.95" hidden="1" customHeight="1" thickBot="1" x14ac:dyDescent="0.2">
      <c r="A56" s="2596"/>
      <c r="B56" s="2612" t="s">
        <v>1665</v>
      </c>
      <c r="C56" s="2613"/>
      <c r="D56" s="994"/>
      <c r="E56" s="1360"/>
      <c r="F56" s="228">
        <f>Dre_Ser_Prelim!BM34</f>
        <v>0</v>
      </c>
      <c r="G56" s="228">
        <f>Dre_Ser_Prelim!BN34</f>
        <v>0</v>
      </c>
      <c r="H56" s="228"/>
      <c r="I56" s="228"/>
      <c r="J56" s="228"/>
      <c r="K56" s="228"/>
      <c r="L56" s="228"/>
      <c r="M56" s="360">
        <f t="shared" si="11"/>
        <v>0</v>
      </c>
      <c r="N56" s="579">
        <f t="shared" si="5"/>
        <v>0</v>
      </c>
    </row>
    <row r="57" spans="1:14" ht="21.95" customHeight="1" x14ac:dyDescent="0.15">
      <c r="A57" s="2596"/>
      <c r="B57" s="2616" t="s">
        <v>1234</v>
      </c>
      <c r="C57" s="550" t="s">
        <v>1257</v>
      </c>
      <c r="E57" s="1361"/>
      <c r="F57" s="1394"/>
      <c r="G57" s="1394"/>
      <c r="H57" s="1394"/>
      <c r="I57" s="1394"/>
      <c r="J57" s="1394">
        <f>Passeio!Z212</f>
        <v>104</v>
      </c>
      <c r="K57" s="1394">
        <f>Ciclovia!J16</f>
        <v>0</v>
      </c>
      <c r="L57" s="1394"/>
      <c r="M57" s="350">
        <f t="shared" si="11"/>
        <v>104</v>
      </c>
      <c r="N57" s="579">
        <v>1</v>
      </c>
    </row>
    <row r="58" spans="1:14" ht="21.95" customHeight="1" x14ac:dyDescent="0.15">
      <c r="A58" s="2596"/>
      <c r="B58" s="2617"/>
      <c r="C58" s="567" t="s">
        <v>1258</v>
      </c>
      <c r="E58" s="344"/>
      <c r="F58" s="1395"/>
      <c r="G58" s="1395"/>
      <c r="H58" s="1395"/>
      <c r="I58" s="1395"/>
      <c r="J58" s="1395">
        <f>Passeio!Z213</f>
        <v>3</v>
      </c>
      <c r="K58" s="1395">
        <f>Ciclovia!J17</f>
        <v>0</v>
      </c>
      <c r="L58" s="1395"/>
      <c r="M58" s="350">
        <f t="shared" si="11"/>
        <v>3</v>
      </c>
      <c r="N58" s="579">
        <v>1</v>
      </c>
    </row>
    <row r="59" spans="1:14" ht="21.95" customHeight="1" thickBot="1" x14ac:dyDescent="0.2">
      <c r="A59" s="2596"/>
      <c r="B59" s="2618"/>
      <c r="C59" s="566" t="s">
        <v>1259</v>
      </c>
      <c r="D59" s="987"/>
      <c r="E59" s="414"/>
      <c r="F59" s="1396"/>
      <c r="G59" s="1396"/>
      <c r="H59" s="1396"/>
      <c r="I59" s="1396">
        <f>Pav_Terraplenagem!Y16</f>
        <v>0</v>
      </c>
      <c r="J59" s="1396">
        <f>Passeio!Z214</f>
        <v>0</v>
      </c>
      <c r="K59" s="1396">
        <f>Ciclovia!J18</f>
        <v>0</v>
      </c>
      <c r="L59" s="1396"/>
      <c r="M59" s="361">
        <f t="shared" si="11"/>
        <v>0</v>
      </c>
      <c r="N59" s="579">
        <v>1</v>
      </c>
    </row>
    <row r="60" spans="1:14" ht="21.95" customHeight="1" x14ac:dyDescent="0.15">
      <c r="A60" s="2596"/>
      <c r="B60" s="2616" t="s">
        <v>1228</v>
      </c>
      <c r="C60" s="550" t="s">
        <v>1257</v>
      </c>
      <c r="E60" s="1358"/>
      <c r="F60" s="1395"/>
      <c r="G60" s="1395"/>
      <c r="H60" s="1395"/>
      <c r="I60" s="1395"/>
      <c r="J60" s="1395">
        <f>Passeio!Z215</f>
        <v>104</v>
      </c>
      <c r="K60" s="1395">
        <f>Ciclovia!J19</f>
        <v>0</v>
      </c>
      <c r="L60" s="1395"/>
      <c r="M60" s="350">
        <f t="shared" si="11"/>
        <v>104</v>
      </c>
      <c r="N60" s="579">
        <v>1</v>
      </c>
    </row>
    <row r="61" spans="1:14" ht="21.95" customHeight="1" x14ac:dyDescent="0.15">
      <c r="A61" s="2596"/>
      <c r="B61" s="2617"/>
      <c r="C61" s="567" t="s">
        <v>1258</v>
      </c>
      <c r="E61" s="1358"/>
      <c r="F61" s="1395"/>
      <c r="G61" s="1395"/>
      <c r="H61" s="1395"/>
      <c r="I61" s="1395"/>
      <c r="J61" s="1395">
        <f>Passeio!Z216</f>
        <v>3</v>
      </c>
      <c r="K61" s="1395">
        <f>Ciclovia!J20</f>
        <v>0</v>
      </c>
      <c r="L61" s="1395"/>
      <c r="M61" s="350">
        <f t="shared" si="11"/>
        <v>3</v>
      </c>
      <c r="N61" s="579">
        <v>1</v>
      </c>
    </row>
    <row r="62" spans="1:14" ht="21.95" customHeight="1" thickBot="1" x14ac:dyDescent="0.2">
      <c r="A62" s="2596"/>
      <c r="B62" s="2618"/>
      <c r="C62" s="566" t="s">
        <v>1259</v>
      </c>
      <c r="D62" s="987"/>
      <c r="E62" s="564"/>
      <c r="F62" s="1396"/>
      <c r="G62" s="1396"/>
      <c r="H62" s="1396"/>
      <c r="I62" s="1396">
        <f>Pav_Terraplenagem!Y19</f>
        <v>0</v>
      </c>
      <c r="J62" s="1396">
        <f>Passeio!Z217</f>
        <v>0</v>
      </c>
      <c r="K62" s="1396">
        <f>Ciclovia!J21</f>
        <v>0</v>
      </c>
      <c r="L62" s="1396"/>
      <c r="M62" s="361">
        <f t="shared" si="11"/>
        <v>0</v>
      </c>
      <c r="N62" s="579">
        <v>1</v>
      </c>
    </row>
    <row r="63" spans="1:14" ht="21.95" customHeight="1" x14ac:dyDescent="0.15">
      <c r="A63" s="2596"/>
      <c r="B63" s="2605" t="s">
        <v>1230</v>
      </c>
      <c r="C63" s="550" t="s">
        <v>1229</v>
      </c>
      <c r="D63" s="985"/>
      <c r="E63" s="1359"/>
      <c r="F63" s="1394"/>
      <c r="G63" s="1394"/>
      <c r="H63" s="1394"/>
      <c r="I63" s="1394">
        <f>Pav_Terraplenagem!Y20</f>
        <v>0</v>
      </c>
      <c r="J63" s="1394">
        <f>Passeio!Z218</f>
        <v>0</v>
      </c>
      <c r="K63" s="1395">
        <f>Ciclovia!J22</f>
        <v>0</v>
      </c>
      <c r="L63" s="1394"/>
      <c r="M63" s="362">
        <f t="shared" si="11"/>
        <v>0</v>
      </c>
      <c r="N63" s="579">
        <v>1</v>
      </c>
    </row>
    <row r="64" spans="1:14" ht="21.95" customHeight="1" x14ac:dyDescent="0.15">
      <c r="A64" s="2596"/>
      <c r="B64" s="2606"/>
      <c r="C64" s="567" t="s">
        <v>1257</v>
      </c>
      <c r="E64" s="1358"/>
      <c r="F64" s="1395"/>
      <c r="G64" s="1395"/>
      <c r="H64" s="1395"/>
      <c r="I64" s="1395"/>
      <c r="J64" s="1395">
        <f>Passeio!Z219</f>
        <v>104</v>
      </c>
      <c r="K64" s="1395">
        <f>Ciclovia!J23</f>
        <v>0</v>
      </c>
      <c r="L64" s="1395"/>
      <c r="M64" s="350">
        <f t="shared" si="11"/>
        <v>104</v>
      </c>
      <c r="N64" s="579">
        <v>1</v>
      </c>
    </row>
    <row r="65" spans="1:14" ht="21.95" customHeight="1" x14ac:dyDescent="0.15">
      <c r="A65" s="2596"/>
      <c r="B65" s="2606"/>
      <c r="C65" s="567" t="s">
        <v>1258</v>
      </c>
      <c r="E65" s="344"/>
      <c r="F65" s="1395"/>
      <c r="G65" s="1395"/>
      <c r="H65" s="1395"/>
      <c r="I65" s="1395"/>
      <c r="J65" s="1395">
        <f>Passeio!Z220</f>
        <v>3</v>
      </c>
      <c r="K65" s="1395">
        <f>Ciclovia!J24</f>
        <v>0</v>
      </c>
      <c r="L65" s="1395"/>
      <c r="M65" s="350">
        <f t="shared" si="11"/>
        <v>3</v>
      </c>
      <c r="N65" s="579">
        <v>1</v>
      </c>
    </row>
    <row r="66" spans="1:14" ht="21.95" customHeight="1" thickBot="1" x14ac:dyDescent="0.2">
      <c r="A66" s="2596"/>
      <c r="B66" s="2607"/>
      <c r="C66" s="566" t="s">
        <v>1259</v>
      </c>
      <c r="D66" s="987"/>
      <c r="E66" s="414"/>
      <c r="F66" s="1396"/>
      <c r="G66" s="1396"/>
      <c r="H66" s="1396"/>
      <c r="I66" s="1396">
        <f>Pav_Terraplenagem!Y23</f>
        <v>0</v>
      </c>
      <c r="J66" s="1396">
        <f>Passeio!Z221</f>
        <v>0</v>
      </c>
      <c r="K66" s="1396">
        <f>Ciclovia!J25</f>
        <v>0</v>
      </c>
      <c r="L66" s="1396"/>
      <c r="M66" s="361">
        <f t="shared" si="11"/>
        <v>0</v>
      </c>
      <c r="N66" s="579">
        <v>1</v>
      </c>
    </row>
    <row r="67" spans="1:14" ht="21.95" hidden="1" customHeight="1" x14ac:dyDescent="0.15">
      <c r="A67" s="2596"/>
      <c r="B67" s="2605" t="s">
        <v>1226</v>
      </c>
      <c r="C67" s="567" t="s">
        <v>1666</v>
      </c>
      <c r="E67" s="1358"/>
      <c r="F67" s="933"/>
      <c r="G67" s="933"/>
      <c r="H67" s="933"/>
      <c r="I67" s="933"/>
      <c r="J67" s="933"/>
      <c r="K67" s="933"/>
      <c r="L67" s="933"/>
      <c r="M67" s="1417"/>
      <c r="N67" s="1017"/>
    </row>
    <row r="68" spans="1:14" ht="21.95" hidden="1" customHeight="1" x14ac:dyDescent="0.15">
      <c r="A68" s="2596"/>
      <c r="B68" s="2606"/>
      <c r="C68" s="567" t="s">
        <v>1668</v>
      </c>
      <c r="D68" s="1420"/>
      <c r="E68" s="1392"/>
      <c r="F68" s="933"/>
      <c r="G68" s="937"/>
      <c r="H68" s="937"/>
      <c r="I68" s="937"/>
      <c r="J68" s="937"/>
      <c r="K68" s="937"/>
      <c r="L68" s="937"/>
      <c r="M68" s="1421"/>
      <c r="N68" s="1017"/>
    </row>
    <row r="69" spans="1:14" ht="21.95" customHeight="1" x14ac:dyDescent="0.15">
      <c r="A69" s="2596"/>
      <c r="B69" s="2606"/>
      <c r="C69" s="559" t="s">
        <v>1671</v>
      </c>
      <c r="E69" s="1358"/>
      <c r="F69" s="458">
        <f ca="1">F50+F52</f>
        <v>11.375</v>
      </c>
      <c r="G69" s="158">
        <f>G50+G52</f>
        <v>0</v>
      </c>
      <c r="H69" s="158">
        <f>H50+H52</f>
        <v>0</v>
      </c>
      <c r="I69" s="158">
        <f t="shared" ref="I69:K69" si="16">I50+I52</f>
        <v>32.131374999999998</v>
      </c>
      <c r="J69" s="158">
        <f t="shared" si="16"/>
        <v>301.61250000000001</v>
      </c>
      <c r="K69" s="158">
        <f t="shared" si="16"/>
        <v>0</v>
      </c>
      <c r="L69" s="158"/>
      <c r="M69" s="595">
        <f t="shared" ref="M69:M75" ca="1" si="17">ROUND(SUM(F69:L69),2)</f>
        <v>345.12</v>
      </c>
      <c r="N69" s="579">
        <f t="shared" ref="N69:N75" ca="1" si="18">SUM(F69:M69)</f>
        <v>690.23887500000001</v>
      </c>
    </row>
    <row r="70" spans="1:14" ht="21.95" customHeight="1" x14ac:dyDescent="0.15">
      <c r="A70" s="2596"/>
      <c r="B70" s="2606"/>
      <c r="C70" s="559" t="s">
        <v>1676</v>
      </c>
      <c r="F70" s="158">
        <f t="shared" ref="F70:K70" ca="1" si="19">F69-F71</f>
        <v>11.375</v>
      </c>
      <c r="G70" s="158">
        <f t="shared" si="19"/>
        <v>0</v>
      </c>
      <c r="H70" s="158">
        <f t="shared" si="19"/>
        <v>0</v>
      </c>
      <c r="I70" s="158">
        <f t="shared" si="19"/>
        <v>32.131374999999998</v>
      </c>
      <c r="J70" s="158">
        <f t="shared" si="19"/>
        <v>301.61250000000001</v>
      </c>
      <c r="K70" s="158">
        <f t="shared" si="19"/>
        <v>0</v>
      </c>
      <c r="L70" s="158"/>
      <c r="M70" s="595">
        <f t="shared" ca="1" si="17"/>
        <v>345.12</v>
      </c>
      <c r="N70" s="579">
        <f t="shared" ca="1" si="18"/>
        <v>690.23887500000001</v>
      </c>
    </row>
    <row r="71" spans="1:14" ht="21.95" hidden="1" customHeight="1" x14ac:dyDescent="0.15">
      <c r="A71" s="2596"/>
      <c r="B71" s="2606"/>
      <c r="C71" s="567" t="s">
        <v>1673</v>
      </c>
      <c r="D71" s="133"/>
      <c r="E71" s="133"/>
      <c r="F71" s="158">
        <f>IF(F67="SIM",F69,0)</f>
        <v>0</v>
      </c>
      <c r="G71" s="158">
        <f>IF(G67="SIM",G69,0)</f>
        <v>0</v>
      </c>
      <c r="H71" s="158">
        <f>IF(H67="SIM",H69,0)</f>
        <v>0</v>
      </c>
      <c r="I71" s="158">
        <f t="shared" ref="I71:K71" si="20">IF(I67="SIM",I69,0)</f>
        <v>0</v>
      </c>
      <c r="J71" s="158">
        <f t="shared" si="20"/>
        <v>0</v>
      </c>
      <c r="K71" s="158">
        <f t="shared" si="20"/>
        <v>0</v>
      </c>
      <c r="L71" s="158"/>
      <c r="M71" s="350">
        <f t="shared" si="17"/>
        <v>0</v>
      </c>
      <c r="N71" s="579">
        <f t="shared" si="18"/>
        <v>0</v>
      </c>
    </row>
    <row r="72" spans="1:14" ht="32.1" hidden="1" customHeight="1" x14ac:dyDescent="0.15">
      <c r="A72" s="2596"/>
      <c r="B72" s="2606"/>
      <c r="C72" s="567" t="s">
        <v>2757</v>
      </c>
      <c r="E72" s="1358"/>
      <c r="F72" s="158">
        <f>IF(F67="SIM",F69,0)</f>
        <v>0</v>
      </c>
      <c r="G72" s="158">
        <f>IF(G67="SIM",G69,0)</f>
        <v>0</v>
      </c>
      <c r="H72" s="158">
        <f>IF(H67="SIM",H69,0)</f>
        <v>0</v>
      </c>
      <c r="I72" s="158">
        <f t="shared" ref="I72:K72" si="21">IF(I67="SIM",I69,0)</f>
        <v>0</v>
      </c>
      <c r="J72" s="158">
        <f t="shared" si="21"/>
        <v>0</v>
      </c>
      <c r="K72" s="158">
        <f t="shared" si="21"/>
        <v>0</v>
      </c>
      <c r="L72" s="158"/>
      <c r="M72" s="350">
        <f t="shared" si="17"/>
        <v>0</v>
      </c>
      <c r="N72" s="579">
        <f t="shared" si="18"/>
        <v>0</v>
      </c>
    </row>
    <row r="73" spans="1:14" ht="21.95" hidden="1" customHeight="1" x14ac:dyDescent="0.15">
      <c r="A73" s="2596"/>
      <c r="B73" s="2606"/>
      <c r="C73" s="567" t="s">
        <v>1670</v>
      </c>
      <c r="E73" s="1358"/>
      <c r="F73" s="158">
        <f>IF(F68="SIM",F69,0)</f>
        <v>0</v>
      </c>
      <c r="G73" s="158">
        <f>IF(G68="SIM",G69,0)</f>
        <v>0</v>
      </c>
      <c r="H73" s="158">
        <f>IF(H68="SIM",H69,0)</f>
        <v>0</v>
      </c>
      <c r="I73" s="158">
        <f t="shared" ref="I73:K73" si="22">IF(I68="SIM",I69,0)</f>
        <v>0</v>
      </c>
      <c r="J73" s="158">
        <f t="shared" si="22"/>
        <v>0</v>
      </c>
      <c r="K73" s="158">
        <f t="shared" si="22"/>
        <v>0</v>
      </c>
      <c r="L73" s="158"/>
      <c r="M73" s="350">
        <f t="shared" si="17"/>
        <v>0</v>
      </c>
      <c r="N73" s="579">
        <f t="shared" si="18"/>
        <v>0</v>
      </c>
    </row>
    <row r="74" spans="1:14" ht="21.95" customHeight="1" thickBot="1" x14ac:dyDescent="0.2">
      <c r="A74" s="2596"/>
      <c r="B74" s="2607"/>
      <c r="C74" s="566" t="s">
        <v>1672</v>
      </c>
      <c r="D74" s="987"/>
      <c r="E74" s="414"/>
      <c r="F74" s="239">
        <f ca="1">IF(F73=0,F69,0)</f>
        <v>11.375</v>
      </c>
      <c r="G74" s="239">
        <f>IF(G73=0,G69,0)</f>
        <v>0</v>
      </c>
      <c r="H74" s="239">
        <f>IF(H73=0,H69,0)</f>
        <v>0</v>
      </c>
      <c r="I74" s="239">
        <f t="shared" ref="I74:K74" si="23">IF(I73=0,I69,0)</f>
        <v>32.131374999999998</v>
      </c>
      <c r="J74" s="239">
        <f t="shared" si="23"/>
        <v>301.61250000000001</v>
      </c>
      <c r="K74" s="239">
        <f t="shared" si="23"/>
        <v>0</v>
      </c>
      <c r="L74" s="239"/>
      <c r="M74" s="361">
        <f t="shared" ca="1" si="17"/>
        <v>345.12</v>
      </c>
      <c r="N74" s="579">
        <f t="shared" ca="1" si="18"/>
        <v>690.23887500000001</v>
      </c>
    </row>
    <row r="75" spans="1:14" ht="21.95" customHeight="1" thickBot="1" x14ac:dyDescent="0.2">
      <c r="A75" s="2596"/>
      <c r="B75" s="2603" t="s">
        <v>1852</v>
      </c>
      <c r="C75" s="2604"/>
      <c r="D75" s="994"/>
      <c r="E75" s="1360"/>
      <c r="F75" s="365">
        <f>(F66+F61+F59)*1</f>
        <v>0</v>
      </c>
      <c r="G75" s="365">
        <f t="shared" ref="G75:K75" si="24">(G66+G61+G59)*1</f>
        <v>0</v>
      </c>
      <c r="H75" s="365">
        <f t="shared" si="24"/>
        <v>0</v>
      </c>
      <c r="I75" s="365">
        <f t="shared" si="24"/>
        <v>0</v>
      </c>
      <c r="J75" s="365">
        <f>(J66+J61+J57)*1</f>
        <v>107</v>
      </c>
      <c r="K75" s="365">
        <f t="shared" si="24"/>
        <v>0</v>
      </c>
      <c r="L75" s="365"/>
      <c r="M75" s="366">
        <f t="shared" si="17"/>
        <v>107</v>
      </c>
      <c r="N75" s="579">
        <f t="shared" si="18"/>
        <v>214</v>
      </c>
    </row>
    <row r="76" spans="1:14" ht="50.1" customHeight="1" thickBot="1" x14ac:dyDescent="0.2">
      <c r="A76" s="2597"/>
      <c r="B76" s="2610" t="s">
        <v>12</v>
      </c>
      <c r="C76" s="2611"/>
      <c r="D76" s="990"/>
      <c r="E76" s="565"/>
      <c r="F76" s="1352"/>
      <c r="G76" s="1352"/>
      <c r="H76" s="1352"/>
      <c r="I76" s="1352"/>
      <c r="J76" s="1352"/>
      <c r="K76" s="1352"/>
      <c r="L76" s="1352"/>
      <c r="M76" s="1404"/>
      <c r="N76" s="668">
        <v>1</v>
      </c>
    </row>
    <row r="77" spans="1:14" ht="19.5" thickTop="1" x14ac:dyDescent="0.15"/>
  </sheetData>
  <autoFilter ref="N1:N76" xr:uid="{00000000-0009-0000-0000-00000F000000}">
    <filterColumn colId="0">
      <customFilters>
        <customFilter operator="notEqual" val=" "/>
      </customFilters>
    </filterColumn>
  </autoFilter>
  <mergeCells count="21">
    <mergeCell ref="B57:B59"/>
    <mergeCell ref="B60:B62"/>
    <mergeCell ref="B63:B66"/>
    <mergeCell ref="B67:B74"/>
    <mergeCell ref="B53:B54"/>
    <mergeCell ref="B75:C75"/>
    <mergeCell ref="B22:B26"/>
    <mergeCell ref="A1:A76"/>
    <mergeCell ref="B1:C1"/>
    <mergeCell ref="B32:B37"/>
    <mergeCell ref="B2:B6"/>
    <mergeCell ref="B7:B11"/>
    <mergeCell ref="B12:B16"/>
    <mergeCell ref="B17:B21"/>
    <mergeCell ref="B76:C76"/>
    <mergeCell ref="B27:B31"/>
    <mergeCell ref="B44:B48"/>
    <mergeCell ref="B38:B43"/>
    <mergeCell ref="B55:C55"/>
    <mergeCell ref="B56:C56"/>
    <mergeCell ref="B49:B52"/>
  </mergeCells>
  <conditionalFormatting sqref="F6:L6 F11:L11 F16:L16 F21:L21 F26:L26 F31:L31 F37:L37 F43:L43">
    <cfRule type="expression" dxfId="130" priority="45">
      <formula>F5&gt;0</formula>
    </cfRule>
  </conditionalFormatting>
  <conditionalFormatting sqref="F6:L6 F11:L11 F16:L16 F21:L21 F26:L26 F31:L31 F37:L37 F43:L48">
    <cfRule type="expression" dxfId="129" priority="23">
      <formula>F6&gt;0</formula>
    </cfRule>
  </conditionalFormatting>
  <conditionalFormatting sqref="I41 L41">
    <cfRule type="expression" dxfId="128" priority="3">
      <formula>I41&gt;0</formula>
    </cfRule>
    <cfRule type="expression" dxfId="127" priority="4">
      <formula>I40&gt;0</formula>
    </cfRule>
  </conditionalFormatting>
  <hyperlinks>
    <hyperlink ref="B1:C1" location="PAINEL!A1" display="TRECHOS" xr:uid="{00000000-0004-0000-0F00-000000000000}"/>
  </hyperlinks>
  <pageMargins left="0.51181102362204722" right="0.51181102362204722" top="0.78740157480314965" bottom="0.78740157480314965" header="0.31496062992125984" footer="0.31496062992125984"/>
  <pageSetup paperSize="9" scale="62" orientation="landscape" r:id="rId1"/>
  <headerFooter>
    <oddFooter>&amp;L&amp;"Arial,Normal"&amp;8&amp;F&amp;C&amp;"Arial,Normal"&amp;8&amp;P/&amp;N&amp;R&amp;"+,Regular"&amp;8Ricardo Schettini Figueiredo
Eng. Civil - CREA-RJ 52.656/D</oddFooter>
  </headerFooter>
  <ignoredErrors>
    <ignoredError sqref="F51:K51 J15:J20 J36 J75" formula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24">
    <tabColor theme="5" tint="0.59999389629810485"/>
    <pageSetUpPr fitToPage="1"/>
  </sheetPr>
  <dimension ref="A1:BR161"/>
  <sheetViews>
    <sheetView showZeros="0" zoomScaleNormal="100" zoomScaleSheetLayoutView="90" workbookViewId="0">
      <pane xSplit="3" ySplit="1" topLeftCell="E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E2" sqref="E2"/>
    </sheetView>
  </sheetViews>
  <sheetFormatPr defaultColWidth="9" defaultRowHeight="21.75" x14ac:dyDescent="0.15"/>
  <cols>
    <col min="1" max="1" width="9.75" style="133" customWidth="1"/>
    <col min="2" max="2" width="14.25" style="13" customWidth="1"/>
    <col min="3" max="3" width="35.625" style="13" customWidth="1"/>
    <col min="4" max="4" width="12.625" style="133" hidden="1" customWidth="1"/>
    <col min="5" max="7" width="12.625" style="133" customWidth="1"/>
    <col min="8" max="11" width="12.625" style="133" hidden="1" customWidth="1"/>
    <col min="12" max="12" width="2.625" style="133" customWidth="1"/>
    <col min="13" max="20" width="12.625" style="133" customWidth="1"/>
    <col min="21" max="21" width="12.625" style="133" hidden="1" customWidth="1"/>
    <col min="22" max="22" width="2.625" style="133" customWidth="1"/>
    <col min="23" max="32" width="12.625" style="133" customWidth="1"/>
    <col min="33" max="41" width="12.625" style="133" hidden="1" customWidth="1"/>
    <col min="42" max="42" width="2.625" style="133" customWidth="1"/>
    <col min="43" max="63" width="12.625" style="133" customWidth="1"/>
    <col min="64" max="64" width="17" style="920" bestFit="1" customWidth="1"/>
    <col min="65" max="67" width="7.875" style="133" customWidth="1"/>
    <col min="68" max="69" width="10.75" style="133" customWidth="1"/>
    <col min="70" max="70" width="15.625" style="133" customWidth="1"/>
    <col min="71" max="16384" width="9" style="133"/>
  </cols>
  <sheetData>
    <row r="1" spans="1:67" s="16" customFormat="1" ht="60" customHeight="1" thickTop="1" thickBot="1" x14ac:dyDescent="0.2">
      <c r="A1" s="2635" t="s">
        <v>153</v>
      </c>
      <c r="B1" s="2638" t="s">
        <v>221</v>
      </c>
      <c r="C1" s="2639"/>
      <c r="D1" s="156" cm="1">
        <f t="array" aca="1" ref="D1" ca="1">INDIRECT(REPLACE("'Dren_Dim'!a00",13,2,FIXED(Dren_Quantificacao!D2,0)))</f>
        <v>0</v>
      </c>
      <c r="E1" s="156" cm="1">
        <f t="array" aca="1" ref="E1" ca="1">INDIRECT(REPLACE("'Dren_Dim'!a00",13,2,FIXED(Dren_Quantificacao!E2,0)))</f>
        <v>2</v>
      </c>
      <c r="F1" s="156" cm="1">
        <f t="array" aca="1" ref="F1" ca="1">INDIRECT(REPLACE("'Dren_Dim'!a00",13,2,FIXED(Dren_Quantificacao!F2,0)))</f>
        <v>3</v>
      </c>
      <c r="G1" s="156" cm="1">
        <f t="array" aca="1" ref="G1" ca="1">INDIRECT(REPLACE("'Dren_Dim'!a00",13,2,FIXED(Dren_Quantificacao!G2,0)))</f>
        <v>4</v>
      </c>
      <c r="H1" s="156" cm="1">
        <f t="array" aca="1" ref="H1" ca="1">INDIRECT(REPLACE("'Dren_Dim'!a00",13,2,FIXED(Dren_Quantificacao!H2,0)))</f>
        <v>0</v>
      </c>
      <c r="I1" s="156" cm="1">
        <f t="array" aca="1" ref="I1" ca="1">INDIRECT(REPLACE("'Dren_Dim'!a00",13,2,FIXED(Dren_Quantificacao!I2,0)))</f>
        <v>0</v>
      </c>
      <c r="J1" s="156" cm="1">
        <f t="array" aca="1" ref="J1" ca="1">INDIRECT(REPLACE("'Dren_Dim'!a00",13,2,FIXED(Dren_Quantificacao!J2,0)))</f>
        <v>0</v>
      </c>
      <c r="K1" s="156" cm="1">
        <f t="array" aca="1" ref="K1" ca="1">INDIRECT(REPLACE("'Dren_Dim'!a00",13,2,FIXED(Dren_Quantificacao!K2,0)))</f>
        <v>0</v>
      </c>
      <c r="L1" s="2397" cm="1">
        <f t="array" aca="1" ref="L1" ca="1">INDIRECT(REPLACE("'Dren_Dim'!a00",13,2,FIXED(Dren_Quantificacao!L2,0)))</f>
        <v>0</v>
      </c>
      <c r="M1" s="156" cm="1">
        <f t="array" aca="1" ref="M1" ca="1">INDIRECT(REPLACE("'Dren_Dim'!a00",13,2,FIXED(Dren_Quantificacao!M2,0)))</f>
        <v>10</v>
      </c>
      <c r="N1" s="156" cm="1">
        <f t="array" aca="1" ref="N1" ca="1">INDIRECT(REPLACE("'Dren_Dim'!a00",13,2,FIXED(Dren_Quantificacao!N2,0)))</f>
        <v>11</v>
      </c>
      <c r="O1" s="156" cm="1">
        <f t="array" aca="1" ref="O1" ca="1">INDIRECT(REPLACE("'Dren_Dim'!a00",13,2,FIXED(Dren_Quantificacao!O2,0)))</f>
        <v>12</v>
      </c>
      <c r="P1" s="156" cm="1">
        <f t="array" aca="1" ref="P1" ca="1">INDIRECT(REPLACE("'Dren_Dim'!a00",13,2,FIXED(Dren_Quantificacao!P2,0)))</f>
        <v>13</v>
      </c>
      <c r="Q1" s="156" cm="1">
        <f t="array" aca="1" ref="Q1" ca="1">INDIRECT(REPLACE("'Dren_Dim'!a00",13,2,FIXED(Dren_Quantificacao!Q2,0)))</f>
        <v>14</v>
      </c>
      <c r="R1" s="156" cm="1">
        <f t="array" aca="1" ref="R1" ca="1">INDIRECT(REPLACE("'Dren_Dim'!a00",13,2,FIXED(Dren_Quantificacao!R2,0)))</f>
        <v>15</v>
      </c>
      <c r="S1" s="156" cm="1">
        <f t="array" aca="1" ref="S1" ca="1">INDIRECT(REPLACE("'Dren_Dim'!a00",13,2,FIXED(Dren_Quantificacao!S2,0)))</f>
        <v>16</v>
      </c>
      <c r="T1" s="156" cm="1">
        <f t="array" aca="1" ref="T1" ca="1">INDIRECT(REPLACE("'Dren_Dim'!a00",13,2,FIXED(Dren_Quantificacao!T2,0)))</f>
        <v>17</v>
      </c>
      <c r="U1" s="156" cm="1">
        <f t="array" aca="1" ref="U1" ca="1">INDIRECT(REPLACE("'Dren_Dim'!a00",13,2,FIXED(Dren_Quantificacao!U2,0)))</f>
        <v>0</v>
      </c>
      <c r="V1" s="2397" cm="1">
        <f t="array" aca="1" ref="V1" ca="1">INDIRECT(REPLACE("'Dren_Dim'!a00",13,2,FIXED(Dren_Quantificacao!V2,0)))</f>
        <v>0</v>
      </c>
      <c r="W1" s="156" cm="1">
        <f t="array" aca="1" ref="W1" ca="1">INDIRECT(REPLACE("'Dren_Dim'!a00",13,2,FIXED(Dren_Quantificacao!W2,0)))</f>
        <v>20</v>
      </c>
      <c r="X1" s="156" cm="1">
        <f t="array" aca="1" ref="X1" ca="1">INDIRECT(REPLACE("'Dren_Dim'!a00",13,2,FIXED(Dren_Quantificacao!X2,0)))</f>
        <v>21</v>
      </c>
      <c r="Y1" s="156" cm="1">
        <f t="array" aca="1" ref="Y1" ca="1">INDIRECT(REPLACE("'Dren_Dim'!a00",13,2,FIXED(Dren_Quantificacao!Y2,0)))</f>
        <v>22</v>
      </c>
      <c r="Z1" s="156" cm="1">
        <f t="array" aca="1" ref="Z1" ca="1">INDIRECT(REPLACE("'Dren_Dim'!a00",13,2,FIXED(Dren_Quantificacao!Z2,0)))</f>
        <v>23</v>
      </c>
      <c r="AA1" s="156" cm="1">
        <f t="array" aca="1" ref="AA1" ca="1">INDIRECT(REPLACE("'Dren_Dim'!a00",13,2,FIXED(Dren_Quantificacao!AA2,0)))</f>
        <v>24</v>
      </c>
      <c r="AB1" s="156" cm="1">
        <f t="array" aca="1" ref="AB1" ca="1">INDIRECT(REPLACE("'Dren_Dim'!a00",13,2,FIXED(Dren_Quantificacao!AB2,0)))</f>
        <v>25</v>
      </c>
      <c r="AC1" s="156" cm="1">
        <f t="array" aca="1" ref="AC1" ca="1">INDIRECT(REPLACE("'Dren_Dim'!a00",13,2,FIXED(Dren_Quantificacao!AC2,0)))</f>
        <v>26</v>
      </c>
      <c r="AD1" s="156" cm="1">
        <f t="array" aca="1" ref="AD1" ca="1">INDIRECT(REPLACE("'Dren_Dim'!a00",13,2,FIXED(Dren_Quantificacao!AD2,0)))</f>
        <v>27</v>
      </c>
      <c r="AE1" s="156" cm="1">
        <f t="array" aca="1" ref="AE1" ca="1">INDIRECT(REPLACE("'Dren_Dim'!a00",13,2,FIXED(Dren_Quantificacao!AE2,0)))</f>
        <v>28</v>
      </c>
      <c r="AF1" s="156" cm="1">
        <f t="array" aca="1" ref="AF1" ca="1">INDIRECT(REPLACE("'Dren_Dim'!a00",13,2,FIXED(Dren_Quantificacao!AF2,0)))</f>
        <v>29</v>
      </c>
      <c r="AG1" s="156" cm="1">
        <f t="array" aca="1" ref="AG1" ca="1">INDIRECT(REPLACE("'Dren_Dim'!a00",13,2,FIXED(Dren_Quantificacao!AG2,0)))</f>
        <v>0</v>
      </c>
      <c r="AH1" s="156" cm="1">
        <f t="array" aca="1" ref="AH1" ca="1">INDIRECT(REPLACE("'Dren_Dim'!a00",13,2,FIXED(Dren_Quantificacao!AH2,0)))</f>
        <v>0</v>
      </c>
      <c r="AI1" s="156" cm="1">
        <f t="array" aca="1" ref="AI1" ca="1">INDIRECT(REPLACE("'Dren_Dim'!a00",13,2,FIXED(Dren_Quantificacao!AI2,0)))</f>
        <v>0</v>
      </c>
      <c r="AJ1" s="156" cm="1">
        <f t="array" aca="1" ref="AJ1" ca="1">INDIRECT(REPLACE("'Dren_Dim'!a00",13,2,FIXED(Dren_Quantificacao!AJ2,0)))</f>
        <v>0</v>
      </c>
      <c r="AK1" s="156" cm="1">
        <f t="array" aca="1" ref="AK1" ca="1">INDIRECT(REPLACE("'Dren_Dim'!a00",13,2,FIXED(Dren_Quantificacao!AK2,0)))</f>
        <v>0</v>
      </c>
      <c r="AL1" s="156" cm="1">
        <f t="array" aca="1" ref="AL1" ca="1">INDIRECT(REPLACE("'Dren_Dim'!a00",13,2,FIXED(Dren_Quantificacao!AL2,0)))</f>
        <v>0</v>
      </c>
      <c r="AM1" s="156" cm="1">
        <f t="array" aca="1" ref="AM1" ca="1">INDIRECT(REPLACE("'Dren_Dim'!a00",13,2,FIXED(Dren_Quantificacao!AM2,0)))</f>
        <v>0</v>
      </c>
      <c r="AN1" s="156" cm="1">
        <f t="array" aca="1" ref="AN1" ca="1">INDIRECT(REPLACE("'Dren_Dim'!a00",13,2,FIXED(Dren_Quantificacao!AN2,0)))</f>
        <v>0</v>
      </c>
      <c r="AO1" s="156" cm="1">
        <f t="array" aca="1" ref="AO1" ca="1">INDIRECT(REPLACE("'Dren_Dim'!a00",13,2,FIXED(Dren_Quantificacao!AO2,0)))</f>
        <v>0</v>
      </c>
      <c r="AP1" s="2397" cm="1">
        <f t="array" aca="1" ref="AP1" ca="1">INDIRECT(REPLACE("'Dren_Dim'!a00",13,2,FIXED(Dren_Quantificacao!AP2,0)))</f>
        <v>0</v>
      </c>
      <c r="AQ1" s="156" cm="1">
        <f t="array" aca="1" ref="AQ1" ca="1">INDIRECT(REPLACE("'Dren_Dim'!a00",13,2,FIXED(Dren_Quantificacao!AQ2,0)))</f>
        <v>40</v>
      </c>
      <c r="AR1" s="156" cm="1">
        <f t="array" aca="1" ref="AR1" ca="1">INDIRECT(REPLACE("'Dren_Dim'!a00",13,2,FIXED(Dren_Quantificacao!AR2,0)))</f>
        <v>41</v>
      </c>
      <c r="AS1" s="156" cm="1">
        <f t="array" aca="1" ref="AS1" ca="1">INDIRECT(REPLACE("'Dren_Dim'!a00",13,2,FIXED(Dren_Quantificacao!AS2,0)))</f>
        <v>42</v>
      </c>
      <c r="AT1" s="156" cm="1">
        <f t="array" aca="1" ref="AT1" ca="1">INDIRECT(REPLACE("'Dren_Dim'!a00",13,2,FIXED(Dren_Quantificacao!AT2,0)))</f>
        <v>43</v>
      </c>
      <c r="AU1" s="156" cm="1">
        <f t="array" aca="1" ref="AU1" ca="1">INDIRECT(REPLACE("'Dren_Dim'!a00",13,2,FIXED(Dren_Quantificacao!AU2,0)))</f>
        <v>44</v>
      </c>
      <c r="AV1" s="156"/>
      <c r="AW1" s="156" t="s">
        <v>1087</v>
      </c>
      <c r="AX1" s="156" t="s">
        <v>1088</v>
      </c>
      <c r="AY1" s="156" t="s">
        <v>1089</v>
      </c>
      <c r="AZ1" s="156" t="s">
        <v>1090</v>
      </c>
      <c r="BA1" s="156" t="s">
        <v>894</v>
      </c>
      <c r="BB1" s="156" t="s">
        <v>895</v>
      </c>
      <c r="BC1" s="156" t="s">
        <v>1091</v>
      </c>
      <c r="BD1" s="156" t="s">
        <v>1092</v>
      </c>
      <c r="BE1" s="156" t="s">
        <v>1568</v>
      </c>
      <c r="BF1" s="156" t="s">
        <v>1569</v>
      </c>
      <c r="BG1" s="156" t="s">
        <v>898</v>
      </c>
      <c r="BH1" s="156" t="s">
        <v>1570</v>
      </c>
      <c r="BI1" s="17" t="s">
        <v>143</v>
      </c>
      <c r="BJ1" s="17" t="s">
        <v>143</v>
      </c>
      <c r="BK1" s="17" t="s">
        <v>143</v>
      </c>
      <c r="BL1" s="917"/>
      <c r="BM1" s="61"/>
      <c r="BN1" s="62"/>
      <c r="BO1" s="62"/>
    </row>
    <row r="2" spans="1:67" s="16" customFormat="1" ht="21.95" customHeight="1" thickTop="1" x14ac:dyDescent="0.15">
      <c r="A2" s="2635"/>
      <c r="B2" s="2629" t="s">
        <v>111</v>
      </c>
      <c r="C2" s="2630"/>
      <c r="D2" s="330">
        <v>11</v>
      </c>
      <c r="E2" s="330">
        <f t="shared" ref="E2" si="0">D2+1</f>
        <v>12</v>
      </c>
      <c r="F2" s="330">
        <f t="shared" ref="F2" si="1">E2+1</f>
        <v>13</v>
      </c>
      <c r="G2" s="330">
        <f t="shared" ref="G2" si="2">F2+1</f>
        <v>14</v>
      </c>
      <c r="H2" s="330">
        <f t="shared" ref="H2" si="3">G2+1</f>
        <v>15</v>
      </c>
      <c r="I2" s="330">
        <f t="shared" ref="I2" si="4">H2+1</f>
        <v>16</v>
      </c>
      <c r="J2" s="330">
        <f t="shared" ref="J2" si="5">I2+1</f>
        <v>17</v>
      </c>
      <c r="K2" s="330">
        <f t="shared" ref="K2" si="6">J2+1</f>
        <v>18</v>
      </c>
      <c r="L2" s="2398">
        <f t="shared" ref="L2" si="7">K2+1</f>
        <v>19</v>
      </c>
      <c r="M2" s="330">
        <f t="shared" ref="M2" si="8">L2+1</f>
        <v>20</v>
      </c>
      <c r="N2" s="330">
        <f t="shared" ref="N2" si="9">M2+1</f>
        <v>21</v>
      </c>
      <c r="O2" s="330">
        <f t="shared" ref="O2" si="10">N2+1</f>
        <v>22</v>
      </c>
      <c r="P2" s="330">
        <f t="shared" ref="P2" si="11">O2+1</f>
        <v>23</v>
      </c>
      <c r="Q2" s="330">
        <f t="shared" ref="Q2" si="12">P2+1</f>
        <v>24</v>
      </c>
      <c r="R2" s="330">
        <f t="shared" ref="R2" si="13">Q2+1</f>
        <v>25</v>
      </c>
      <c r="S2" s="330">
        <f t="shared" ref="S2" si="14">R2+1</f>
        <v>26</v>
      </c>
      <c r="T2" s="330">
        <f t="shared" ref="T2" si="15">S2+1</f>
        <v>27</v>
      </c>
      <c r="U2" s="330">
        <f t="shared" ref="U2" si="16">T2+1</f>
        <v>28</v>
      </c>
      <c r="V2" s="2398">
        <f t="shared" ref="V2" si="17">U2+1</f>
        <v>29</v>
      </c>
      <c r="W2" s="330">
        <f t="shared" ref="W2" si="18">V2+1</f>
        <v>30</v>
      </c>
      <c r="X2" s="330">
        <f t="shared" ref="X2" si="19">W2+1</f>
        <v>31</v>
      </c>
      <c r="Y2" s="330">
        <f t="shared" ref="Y2" si="20">X2+1</f>
        <v>32</v>
      </c>
      <c r="Z2" s="330">
        <f t="shared" ref="Z2" si="21">Y2+1</f>
        <v>33</v>
      </c>
      <c r="AA2" s="330">
        <f t="shared" ref="AA2" si="22">Z2+1</f>
        <v>34</v>
      </c>
      <c r="AB2" s="330">
        <f t="shared" ref="AB2" si="23">AA2+1</f>
        <v>35</v>
      </c>
      <c r="AC2" s="330">
        <f t="shared" ref="AC2" si="24">AB2+1</f>
        <v>36</v>
      </c>
      <c r="AD2" s="330">
        <f t="shared" ref="AD2" si="25">AC2+1</f>
        <v>37</v>
      </c>
      <c r="AE2" s="330">
        <f t="shared" ref="AE2" si="26">AD2+1</f>
        <v>38</v>
      </c>
      <c r="AF2" s="330">
        <f t="shared" ref="AF2" si="27">AE2+1</f>
        <v>39</v>
      </c>
      <c r="AG2" s="330">
        <f t="shared" ref="AG2" si="28">AF2+1</f>
        <v>40</v>
      </c>
      <c r="AH2" s="330">
        <f t="shared" ref="AH2" si="29">AG2+1</f>
        <v>41</v>
      </c>
      <c r="AI2" s="330">
        <f t="shared" ref="AI2" si="30">AH2+1</f>
        <v>42</v>
      </c>
      <c r="AJ2" s="330">
        <f t="shared" ref="AJ2" si="31">AI2+1</f>
        <v>43</v>
      </c>
      <c r="AK2" s="330">
        <f t="shared" ref="AK2" si="32">AJ2+1</f>
        <v>44</v>
      </c>
      <c r="AL2" s="330">
        <f t="shared" ref="AL2" si="33">AK2+1</f>
        <v>45</v>
      </c>
      <c r="AM2" s="330">
        <f t="shared" ref="AM2" si="34">AL2+1</f>
        <v>46</v>
      </c>
      <c r="AN2" s="330">
        <f t="shared" ref="AN2" si="35">AM2+1</f>
        <v>47</v>
      </c>
      <c r="AO2" s="330">
        <f t="shared" ref="AO2" si="36">AN2+1</f>
        <v>48</v>
      </c>
      <c r="AP2" s="2398">
        <f t="shared" ref="AP2" si="37">AO2+1</f>
        <v>49</v>
      </c>
      <c r="AQ2" s="330">
        <f t="shared" ref="AQ2" si="38">AP2+1</f>
        <v>50</v>
      </c>
      <c r="AR2" s="330">
        <f t="shared" ref="AR2" si="39">AQ2+1</f>
        <v>51</v>
      </c>
      <c r="AS2" s="330">
        <f t="shared" ref="AS2" si="40">AR2+1</f>
        <v>52</v>
      </c>
      <c r="AT2" s="330">
        <f t="shared" ref="AT2" si="41">AS2+1</f>
        <v>53</v>
      </c>
      <c r="AU2" s="330">
        <f t="shared" ref="AU2" si="42">AT2+1</f>
        <v>54</v>
      </c>
      <c r="AV2" s="330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917"/>
      <c r="BM2" s="59"/>
      <c r="BN2" s="59"/>
      <c r="BO2" s="59"/>
    </row>
    <row r="3" spans="1:67" ht="21.95" customHeight="1" x14ac:dyDescent="0.15">
      <c r="A3" s="2635"/>
      <c r="B3" s="2629" t="s">
        <v>3</v>
      </c>
      <c r="C3" s="2630"/>
      <c r="D3" s="332"/>
      <c r="E3" s="332" cm="1">
        <f t="array" aca="1" ref="E3" ca="1">INDIRECT(REPLACE("'Dren_Dim'!n00",13,2,FIXED(E2,0)))</f>
        <v>72.02</v>
      </c>
      <c r="F3" s="332" cm="1">
        <f t="array" aca="1" ref="F3" ca="1">INDIRECT(REPLACE("'Dren_Dim'!n00",13,2,FIXED(F2,0)))</f>
        <v>59.18</v>
      </c>
      <c r="G3" s="332" cm="1">
        <f t="array" aca="1" ref="G3" ca="1">INDIRECT(REPLACE("'Dren_Dim'!n00",13,2,FIXED(G2,0)))</f>
        <v>59.18</v>
      </c>
      <c r="H3" s="332"/>
      <c r="I3" s="332"/>
      <c r="J3" s="332"/>
      <c r="K3" s="332"/>
      <c r="L3" s="2399"/>
      <c r="M3" s="332" cm="1">
        <f t="array" aca="1" ref="M3" ca="1">INDIRECT(REPLACE("'Dren_Dim'!n00",13,2,FIXED(M2,0)))</f>
        <v>66.88</v>
      </c>
      <c r="N3" s="332" cm="1">
        <f t="array" aca="1" ref="N3" ca="1">INDIRECT(REPLACE("'Dren_Dim'!n00",13,2,FIXED(N2,0)))</f>
        <v>87.75</v>
      </c>
      <c r="O3" s="332" cm="1">
        <f t="array" aca="1" ref="O3" ca="1">INDIRECT(REPLACE("'Dren_Dim'!n00",13,2,FIXED(O2,0)))</f>
        <v>89.12</v>
      </c>
      <c r="P3" s="332" cm="1">
        <f t="array" aca="1" ref="P3" ca="1">INDIRECT(REPLACE("'Dren_Dim'!n00",13,2,FIXED(P2,0)))</f>
        <v>91.12</v>
      </c>
      <c r="Q3" s="332" cm="1">
        <f t="array" aca="1" ref="Q3" ca="1">INDIRECT(REPLACE("'Dren_Dim'!n00",13,2,FIXED(Q2,0)))</f>
        <v>87.12</v>
      </c>
      <c r="R3" s="332" cm="1">
        <f t="array" aca="1" ref="R3" ca="1">INDIRECT(REPLACE("'Dren_Dim'!n00",13,2,FIXED(R2,0)))</f>
        <v>94.76</v>
      </c>
      <c r="S3" s="332" cm="1">
        <f t="array" aca="1" ref="S3" ca="1">INDIRECT(REPLACE("'Dren_Dim'!n00",13,2,FIXED(S2,0)))</f>
        <v>94.76</v>
      </c>
      <c r="T3" s="332" cm="1">
        <f t="array" aca="1" ref="T3" ca="1">INDIRECT(REPLACE("'Dren_Dim'!n00",13,2,FIXED(T2,0)))</f>
        <v>54.76</v>
      </c>
      <c r="U3" s="332"/>
      <c r="V3" s="2399"/>
      <c r="W3" s="332" cm="1">
        <f t="array" aca="1" ref="W3" ca="1">INDIRECT(REPLACE("'Dren_Dim'!n00",13,2,FIXED(W2,0)))</f>
        <v>72.03</v>
      </c>
      <c r="X3" s="332" cm="1">
        <f t="array" aca="1" ref="X3" ca="1">INDIRECT(REPLACE("'Dren_Dim'!n00",13,2,FIXED(X2,0)))</f>
        <v>94.68</v>
      </c>
      <c r="Y3" s="332" cm="1">
        <f t="array" aca="1" ref="Y3" ca="1">INDIRECT(REPLACE("'Dren_Dim'!n00",13,2,FIXED(Y2,0)))</f>
        <v>94.68</v>
      </c>
      <c r="Z3" s="332" cm="1">
        <f t="array" aca="1" ref="Z3" ca="1">INDIRECT(REPLACE("'Dren_Dim'!n00",13,2,FIXED(Z2,0)))</f>
        <v>94.68</v>
      </c>
      <c r="AA3" s="332" cm="1">
        <f t="array" aca="1" ref="AA3" ca="1">INDIRECT(REPLACE("'Dren_Dim'!n00",13,2,FIXED(AA2,0)))</f>
        <v>72.12</v>
      </c>
      <c r="AB3" s="332" cm="1">
        <f t="array" aca="1" ref="AB3" ca="1">INDIRECT(REPLACE("'Dren_Dim'!n00",13,2,FIXED(AB2,0)))</f>
        <v>72.05</v>
      </c>
      <c r="AC3" s="332" cm="1">
        <f t="array" aca="1" ref="AC3" ca="1">INDIRECT(REPLACE("'Dren_Dim'!n00",13,2,FIXED(AC2,0)))</f>
        <v>72.3</v>
      </c>
      <c r="AD3" s="332" cm="1">
        <f t="array" aca="1" ref="AD3" ca="1">INDIRECT(REPLACE("'Dren_Dim'!n00",13,2,FIXED(AD2,0)))</f>
        <v>84.78</v>
      </c>
      <c r="AE3" s="332" cm="1">
        <f t="array" aca="1" ref="AE3" ca="1">INDIRECT(REPLACE("'Dren_Dim'!n00",13,2,FIXED(AE2,0)))</f>
        <v>92.19</v>
      </c>
      <c r="AF3" s="332" cm="1">
        <f t="array" aca="1" ref="AF3" ca="1">INDIRECT(REPLACE("'Dren_Dim'!n00",13,2,FIXED(AF2,0)))</f>
        <v>92.19</v>
      </c>
      <c r="AG3" s="332"/>
      <c r="AH3" s="332"/>
      <c r="AI3" s="332"/>
      <c r="AJ3" s="332"/>
      <c r="AK3" s="332"/>
      <c r="AL3" s="332"/>
      <c r="AM3" s="332"/>
      <c r="AN3" s="332"/>
      <c r="AO3" s="332"/>
      <c r="AP3" s="2399"/>
      <c r="AQ3" s="332" cm="1">
        <f t="array" aca="1" ref="AQ3" ca="1">INDIRECT(REPLACE("'Dren_Dim'!n00",13,2,FIXED(AQ2,0)))</f>
        <v>72.22</v>
      </c>
      <c r="AR3" s="332" cm="1">
        <f t="array" aca="1" ref="AR3" ca="1">INDIRECT(REPLACE("'Dren_Dim'!n00",13,2,FIXED(AR2,0)))</f>
        <v>72.040000000000006</v>
      </c>
      <c r="AS3" s="332" cm="1">
        <f t="array" aca="1" ref="AS3" ca="1">INDIRECT(REPLACE("'Dren_Dim'!n00",13,2,FIXED(AS2,0)))</f>
        <v>72.02</v>
      </c>
      <c r="AT3" s="332" cm="1">
        <f t="array" aca="1" ref="AT3" ca="1">INDIRECT(REPLACE("'Dren_Dim'!n00",13,2,FIXED(AT2,0)))</f>
        <v>72.010000000000005</v>
      </c>
      <c r="AU3" s="332" cm="1">
        <f t="array" aca="1" ref="AU3" ca="1">INDIRECT(REPLACE("'Dren_Dim'!n00",13,2,FIXED(AU2,0)))</f>
        <v>72.23</v>
      </c>
      <c r="AV3" s="332"/>
      <c r="AW3" s="332">
        <f>SUM(AW143:AW154)</f>
        <v>0</v>
      </c>
      <c r="AX3" s="332">
        <f t="shared" ref="AX3:BF3" si="43">SUM(AX143:AX154)</f>
        <v>802</v>
      </c>
      <c r="AY3" s="332">
        <f t="shared" si="43"/>
        <v>0</v>
      </c>
      <c r="AZ3" s="332">
        <f t="shared" si="43"/>
        <v>66</v>
      </c>
      <c r="BA3" s="332">
        <f t="shared" si="43"/>
        <v>0</v>
      </c>
      <c r="BB3" s="332">
        <f t="shared" si="43"/>
        <v>0</v>
      </c>
      <c r="BC3" s="332">
        <f t="shared" si="43"/>
        <v>0</v>
      </c>
      <c r="BD3" s="332">
        <f t="shared" si="43"/>
        <v>0</v>
      </c>
      <c r="BE3" s="332">
        <f t="shared" si="43"/>
        <v>0</v>
      </c>
      <c r="BF3" s="332">
        <f t="shared" si="43"/>
        <v>0</v>
      </c>
      <c r="BG3" s="332">
        <f>SUM(BG143:BG154)</f>
        <v>0</v>
      </c>
      <c r="BH3" s="332">
        <f>SUM(BH143:BH154)</f>
        <v>0</v>
      </c>
      <c r="BI3" s="332">
        <f>BI113</f>
        <v>0</v>
      </c>
      <c r="BJ3" s="332">
        <f>BJ113</f>
        <v>0</v>
      </c>
      <c r="BK3" s="332">
        <f>BK113</f>
        <v>0</v>
      </c>
      <c r="BL3" s="63">
        <f ca="1">SUMPRODUCT(D3:BH3,D4:BH4)</f>
        <v>2926.87</v>
      </c>
      <c r="BM3" s="59"/>
      <c r="BN3" s="59"/>
      <c r="BO3" s="59"/>
    </row>
    <row r="4" spans="1:67" s="68" customFormat="1" ht="21.95" customHeight="1" x14ac:dyDescent="0.15">
      <c r="A4" s="2635"/>
      <c r="B4" s="2629" t="s">
        <v>4</v>
      </c>
      <c r="C4" s="1296" t="s">
        <v>41</v>
      </c>
      <c r="D4" s="1297"/>
      <c r="E4" s="1297" cm="1">
        <f t="array" aca="1" ref="E4" ca="1">INDIRECT(REPLACE("'Dren_Dim'!ac00",14,2,FIXED(E2,0)))</f>
        <v>1</v>
      </c>
      <c r="F4" s="1297" cm="1">
        <f t="array" aca="1" ref="F4" ca="1">INDIRECT(REPLACE("'Dren_Dim'!ac00",14,2,FIXED(F2,0)))</f>
        <v>1</v>
      </c>
      <c r="G4" s="1297" cm="1">
        <f t="array" aca="1" ref="G4" ca="1">INDIRECT(REPLACE("'Dren_Dim'!ac00",14,2,FIXED(G2,0)))</f>
        <v>1</v>
      </c>
      <c r="H4" s="1297"/>
      <c r="I4" s="1297"/>
      <c r="J4" s="1297"/>
      <c r="K4" s="1297"/>
      <c r="L4" s="2400"/>
      <c r="M4" s="1297" cm="1">
        <f t="array" aca="1" ref="M4" ca="1">INDIRECT(REPLACE("'Dren_Dim'!ac00",14,2,FIXED(M2,0)))</f>
        <v>1</v>
      </c>
      <c r="N4" s="1297" cm="1">
        <f t="array" aca="1" ref="N4" ca="1">INDIRECT(REPLACE("'Dren_Dim'!ac00",14,2,FIXED(N2,0)))</f>
        <v>1</v>
      </c>
      <c r="O4" s="1297" cm="1">
        <f t="array" aca="1" ref="O4" ca="1">INDIRECT(REPLACE("'Dren_Dim'!ac00",14,2,FIXED(O2,0)))</f>
        <v>1</v>
      </c>
      <c r="P4" s="1297" cm="1">
        <f t="array" aca="1" ref="P4" ca="1">INDIRECT(REPLACE("'Dren_Dim'!ac00",14,2,FIXED(P2,0)))</f>
        <v>1</v>
      </c>
      <c r="Q4" s="1297" cm="1">
        <f t="array" aca="1" ref="Q4" ca="1">INDIRECT(REPLACE("'Dren_Dim'!ac00",14,2,FIXED(Q2,0)))</f>
        <v>1</v>
      </c>
      <c r="R4" s="1297" cm="1">
        <f t="array" aca="1" ref="R4" ca="1">INDIRECT(REPLACE("'Dren_Dim'!ac00",14,2,FIXED(R2,0)))</f>
        <v>1</v>
      </c>
      <c r="S4" s="1297" cm="1">
        <f t="array" aca="1" ref="S4" ca="1">INDIRECT(REPLACE("'Dren_Dim'!ac00",14,2,FIXED(S2,0)))</f>
        <v>1</v>
      </c>
      <c r="T4" s="1297" cm="1">
        <f t="array" aca="1" ref="T4" ca="1">INDIRECT(REPLACE("'Dren_Dim'!ac00",14,2,FIXED(T2,0)))</f>
        <v>1</v>
      </c>
      <c r="U4" s="1297"/>
      <c r="V4" s="2400"/>
      <c r="W4" s="1297" cm="1">
        <f t="array" aca="1" ref="W4" ca="1">INDIRECT(REPLACE("'Dren_Dim'!ac00",14,2,FIXED(W2,0)))</f>
        <v>1</v>
      </c>
      <c r="X4" s="1297" cm="1">
        <f t="array" aca="1" ref="X4" ca="1">INDIRECT(REPLACE("'Dren_Dim'!ac00",14,2,FIXED(X2,0)))</f>
        <v>1</v>
      </c>
      <c r="Y4" s="1297" cm="1">
        <f t="array" aca="1" ref="Y4" ca="1">INDIRECT(REPLACE("'Dren_Dim'!ac00",14,2,FIXED(Y2,0)))</f>
        <v>1</v>
      </c>
      <c r="Z4" s="1297" cm="1">
        <f t="array" aca="1" ref="Z4" ca="1">INDIRECT(REPLACE("'Dren_Dim'!ac00",14,2,FIXED(Z2,0)))</f>
        <v>1</v>
      </c>
      <c r="AA4" s="1297" cm="1">
        <f t="array" aca="1" ref="AA4" ca="1">INDIRECT(REPLACE("'Dren_Dim'!ac00",14,2,FIXED(AA2,0)))</f>
        <v>1</v>
      </c>
      <c r="AB4" s="1297" cm="1">
        <f t="array" aca="1" ref="AB4" ca="1">INDIRECT(REPLACE("'Dren_Dim'!ac00",14,2,FIXED(AB2,0)))</f>
        <v>1</v>
      </c>
      <c r="AC4" s="1297" cm="1">
        <f t="array" aca="1" ref="AC4" ca="1">INDIRECT(REPLACE("'Dren_Dim'!ac00",14,2,FIXED(AC2,0)))</f>
        <v>1</v>
      </c>
      <c r="AD4" s="1297" cm="1">
        <f t="array" aca="1" ref="AD4" ca="1">INDIRECT(REPLACE("'Dren_Dim'!ac00",14,2,FIXED(AD2,0)))</f>
        <v>1</v>
      </c>
      <c r="AE4" s="1297" cm="1">
        <f t="array" aca="1" ref="AE4" ca="1">INDIRECT(REPLACE("'Dren_Dim'!ac00",14,2,FIXED(AE2,0)))</f>
        <v>1</v>
      </c>
      <c r="AF4" s="1297" cm="1">
        <f t="array" aca="1" ref="AF4" ca="1">INDIRECT(REPLACE("'Dren_Dim'!ac00",14,2,FIXED(AF2,0)))</f>
        <v>1</v>
      </c>
      <c r="AG4" s="1297"/>
      <c r="AH4" s="1297"/>
      <c r="AI4" s="1297"/>
      <c r="AJ4" s="1297"/>
      <c r="AK4" s="1297"/>
      <c r="AL4" s="1297"/>
      <c r="AM4" s="1297"/>
      <c r="AN4" s="1297"/>
      <c r="AO4" s="1297"/>
      <c r="AP4" s="2400"/>
      <c r="AQ4" s="1297" cm="1">
        <f t="array" aca="1" ref="AQ4" ca="1">INDIRECT(REPLACE("'Dren_Dim'!ac00",14,2,FIXED(AQ2,0)))</f>
        <v>1</v>
      </c>
      <c r="AR4" s="1297" cm="1">
        <f t="array" aca="1" ref="AR4" ca="1">INDIRECT(REPLACE("'Dren_Dim'!ac00",14,2,FIXED(AR2,0)))</f>
        <v>1</v>
      </c>
      <c r="AS4" s="1297" cm="1">
        <f t="array" aca="1" ref="AS4" ca="1">INDIRECT(REPLACE("'Dren_Dim'!ac00",14,2,FIXED(AS2,0)))</f>
        <v>1</v>
      </c>
      <c r="AT4" s="1297" cm="1">
        <f t="array" aca="1" ref="AT4" ca="1">INDIRECT(REPLACE("'Dren_Dim'!ac00",14,2,FIXED(AT2,0)))</f>
        <v>1</v>
      </c>
      <c r="AU4" s="1297" cm="1">
        <f t="array" aca="1" ref="AU4" ca="1">INDIRECT(REPLACE("'Dren_Dim'!ac00",14,2,FIXED(AU2,0)))</f>
        <v>1</v>
      </c>
      <c r="AV4" s="1297"/>
      <c r="AW4" s="1297">
        <v>1</v>
      </c>
      <c r="AX4" s="1297">
        <v>1</v>
      </c>
      <c r="AY4" s="1297">
        <v>1</v>
      </c>
      <c r="AZ4" s="1297">
        <v>1</v>
      </c>
      <c r="BA4" s="1297">
        <v>1</v>
      </c>
      <c r="BB4" s="1297">
        <v>1</v>
      </c>
      <c r="BC4" s="1297">
        <v>1</v>
      </c>
      <c r="BD4" s="1297">
        <v>1</v>
      </c>
      <c r="BE4" s="1297">
        <v>1</v>
      </c>
      <c r="BF4" s="1297">
        <v>1</v>
      </c>
      <c r="BG4" s="1297">
        <v>1</v>
      </c>
      <c r="BH4" s="1297">
        <v>1</v>
      </c>
      <c r="BI4" s="1298"/>
      <c r="BJ4" s="1298"/>
      <c r="BK4" s="1298"/>
      <c r="BL4" s="917"/>
      <c r="BM4" s="65"/>
      <c r="BN4" s="66"/>
      <c r="BO4" s="66"/>
    </row>
    <row r="5" spans="1:67" s="15" customFormat="1" ht="21.95" customHeight="1" x14ac:dyDescent="0.15">
      <c r="A5" s="2635"/>
      <c r="B5" s="2629"/>
      <c r="C5" s="187" t="s">
        <v>71</v>
      </c>
      <c r="D5" s="335"/>
      <c r="E5" s="335" cm="1">
        <f t="array" aca="1" ref="E5" ca="1">INDIRECT(REPLACE("'Dren_Dim'!ad00",14,2,FIXED(E2,0)))</f>
        <v>0.6</v>
      </c>
      <c r="F5" s="335" cm="1">
        <f t="array" aca="1" ref="F5" ca="1">INDIRECT(REPLACE("'Dren_Dim'!ad00",14,2,FIXED(F2,0)))</f>
        <v>0.6</v>
      </c>
      <c r="G5" s="335" cm="1">
        <f t="array" aca="1" ref="G5" ca="1">INDIRECT(REPLACE("'Dren_Dim'!ad00",14,2,FIXED(G2,0)))</f>
        <v>0.6</v>
      </c>
      <c r="H5" s="335"/>
      <c r="I5" s="335"/>
      <c r="J5" s="335"/>
      <c r="K5" s="335"/>
      <c r="L5" s="2401"/>
      <c r="M5" s="335" cm="1">
        <f t="array" aca="1" ref="M5" ca="1">INDIRECT(REPLACE("'Dren_Dim'!ad00",14,2,FIXED(M2,0)))</f>
        <v>0.6</v>
      </c>
      <c r="N5" s="335" cm="1">
        <f t="array" aca="1" ref="N5" ca="1">INDIRECT(REPLACE("'Dren_Dim'!ad00",14,2,FIXED(N2,0)))</f>
        <v>0.6</v>
      </c>
      <c r="O5" s="335" cm="1">
        <f t="array" aca="1" ref="O5" ca="1">INDIRECT(REPLACE("'Dren_Dim'!ad00",14,2,FIXED(O2,0)))</f>
        <v>0.6</v>
      </c>
      <c r="P5" s="335" cm="1">
        <f t="array" aca="1" ref="P5" ca="1">INDIRECT(REPLACE("'Dren_Dim'!ad00",14,2,FIXED(P2,0)))</f>
        <v>0.6</v>
      </c>
      <c r="Q5" s="335" cm="1">
        <f t="array" aca="1" ref="Q5" ca="1">INDIRECT(REPLACE("'Dren_Dim'!ad00",14,2,FIXED(Q2,0)))</f>
        <v>0.6</v>
      </c>
      <c r="R5" s="335" cm="1">
        <f t="array" aca="1" ref="R5" ca="1">INDIRECT(REPLACE("'Dren_Dim'!ad00",14,2,FIXED(R2,0)))</f>
        <v>1</v>
      </c>
      <c r="S5" s="335" cm="1">
        <f t="array" aca="1" ref="S5" ca="1">INDIRECT(REPLACE("'Dren_Dim'!ad00",14,2,FIXED(S2,0)))</f>
        <v>1</v>
      </c>
      <c r="T5" s="335" cm="1">
        <f t="array" aca="1" ref="T5" ca="1">INDIRECT(REPLACE("'Dren_Dim'!ad00",14,2,FIXED(T2,0)))</f>
        <v>1</v>
      </c>
      <c r="U5" s="335"/>
      <c r="V5" s="2401"/>
      <c r="W5" s="335" cm="1">
        <f t="array" aca="1" ref="W5" ca="1">INDIRECT(REPLACE("'Dren_Dim'!ad00",14,2,FIXED(W2,0)))</f>
        <v>0.8</v>
      </c>
      <c r="X5" s="335" cm="1">
        <f t="array" aca="1" ref="X5" ca="1">INDIRECT(REPLACE("'Dren_Dim'!ad00",14,2,FIXED(X2,0)))</f>
        <v>0.6</v>
      </c>
      <c r="Y5" s="335" cm="1">
        <f t="array" aca="1" ref="Y5" ca="1">INDIRECT(REPLACE("'Dren_Dim'!ad00",14,2,FIXED(Y2,0)))</f>
        <v>0.6</v>
      </c>
      <c r="Z5" s="335" cm="1">
        <f t="array" aca="1" ref="Z5" ca="1">INDIRECT(REPLACE("'Dren_Dim'!ad00",14,2,FIXED(Z2,0)))</f>
        <v>0.6</v>
      </c>
      <c r="AA5" s="335" cm="1">
        <f t="array" aca="1" ref="AA5" ca="1">INDIRECT(REPLACE("'Dren_Dim'!ad00",14,2,FIXED(AA2,0)))</f>
        <v>0.8</v>
      </c>
      <c r="AB5" s="335" cm="1">
        <f t="array" aca="1" ref="AB5" ca="1">INDIRECT(REPLACE("'Dren_Dim'!ad00",14,2,FIXED(AB2,0)))</f>
        <v>0.8</v>
      </c>
      <c r="AC5" s="335" cm="1">
        <f t="array" aca="1" ref="AC5" ca="1">INDIRECT(REPLACE("'Dren_Dim'!ad00",14,2,FIXED(AC2,0)))</f>
        <v>0.8</v>
      </c>
      <c r="AD5" s="335" cm="1">
        <f t="array" aca="1" ref="AD5" ca="1">INDIRECT(REPLACE("'Dren_Dim'!ad00",14,2,FIXED(AD2,0)))</f>
        <v>1</v>
      </c>
      <c r="AE5" s="335" cm="1">
        <f t="array" aca="1" ref="AE5" ca="1">INDIRECT(REPLACE("'Dren_Dim'!ad00",14,2,FIXED(AE2,0)))</f>
        <v>1</v>
      </c>
      <c r="AF5" s="335" cm="1">
        <f t="array" aca="1" ref="AF5" ca="1">INDIRECT(REPLACE("'Dren_Dim'!ad00",14,2,FIXED(AF2,0)))</f>
        <v>1</v>
      </c>
      <c r="AG5" s="335"/>
      <c r="AH5" s="335"/>
      <c r="AI5" s="335"/>
      <c r="AJ5" s="335"/>
      <c r="AK5" s="335"/>
      <c r="AL5" s="335"/>
      <c r="AM5" s="335"/>
      <c r="AN5" s="335"/>
      <c r="AO5" s="335"/>
      <c r="AP5" s="2401"/>
      <c r="AQ5" s="335" cm="1">
        <f t="array" aca="1" ref="AQ5" ca="1">INDIRECT(REPLACE("'Dren_Dim'!ad00",14,2,FIXED(AQ2,0)))</f>
        <v>0.6</v>
      </c>
      <c r="AR5" s="335" cm="1">
        <f t="array" aca="1" ref="AR5" ca="1">INDIRECT(REPLACE("'Dren_Dim'!ad00",14,2,FIXED(AR2,0)))</f>
        <v>0.8</v>
      </c>
      <c r="AS5" s="335" cm="1">
        <f t="array" aca="1" ref="AS5" ca="1">INDIRECT(REPLACE("'Dren_Dim'!ad00",14,2,FIXED(AS2,0)))</f>
        <v>0.8</v>
      </c>
      <c r="AT5" s="335" cm="1">
        <f t="array" aca="1" ref="AT5" ca="1">INDIRECT(REPLACE("'Dren_Dim'!ad00",14,2,FIXED(AT2,0)))</f>
        <v>0.8</v>
      </c>
      <c r="AU5" s="335" cm="1">
        <f t="array" aca="1" ref="AU5" ca="1">INDIRECT(REPLACE("'Dren_Dim'!ad00",14,2,FIXED(AU2,0)))</f>
        <v>1</v>
      </c>
      <c r="AV5" s="335"/>
      <c r="AW5" s="335">
        <f>IF(AW6="P",0.45,0.4)</f>
        <v>0.4</v>
      </c>
      <c r="AX5" s="335">
        <f>IF(AX6="P",0.45,0.4)</f>
        <v>0.4</v>
      </c>
      <c r="AY5" s="335">
        <v>0.6</v>
      </c>
      <c r="AZ5" s="335">
        <v>0.6</v>
      </c>
      <c r="BA5" s="335">
        <f>IF(BA6="P",0.45,0.4)</f>
        <v>0.4</v>
      </c>
      <c r="BB5" s="335">
        <v>0.6</v>
      </c>
      <c r="BC5" s="335">
        <v>0.4</v>
      </c>
      <c r="BD5" s="335">
        <v>0.4</v>
      </c>
      <c r="BE5" s="335">
        <v>0.5</v>
      </c>
      <c r="BF5" s="335">
        <v>0.5</v>
      </c>
      <c r="BG5" s="335">
        <v>0.4</v>
      </c>
      <c r="BH5" s="335">
        <v>0.5</v>
      </c>
      <c r="BI5" s="11"/>
      <c r="BJ5" s="11"/>
      <c r="BK5" s="11"/>
      <c r="BL5" s="918"/>
    </row>
    <row r="6" spans="1:67" s="15" customFormat="1" ht="21.95" customHeight="1" x14ac:dyDescent="0.15">
      <c r="A6" s="2635"/>
      <c r="B6" s="2629"/>
      <c r="C6" s="187" t="s">
        <v>2755</v>
      </c>
      <c r="D6" s="335"/>
      <c r="E6" s="335" t="str" cm="1">
        <f t="array" aca="1" ref="E6" ca="1">INDIRECT(REPLACE("'Dren_Dim'!aa00",14,2,FIXED(E2,0)))</f>
        <v>C</v>
      </c>
      <c r="F6" s="335" t="str" cm="1">
        <f t="array" aca="1" ref="F6" ca="1">INDIRECT(REPLACE("'Dren_Dim'!aa00",14,2,FIXED(F2,0)))</f>
        <v>C</v>
      </c>
      <c r="G6" s="335" t="str" cm="1">
        <f t="array" aca="1" ref="G6" ca="1">INDIRECT(REPLACE("'Dren_Dim'!aa00",14,2,FIXED(G2,0)))</f>
        <v>C</v>
      </c>
      <c r="H6" s="335"/>
      <c r="I6" s="335"/>
      <c r="J6" s="335"/>
      <c r="K6" s="335"/>
      <c r="L6" s="2401"/>
      <c r="M6" s="335" t="str" cm="1">
        <f t="array" aca="1" ref="M6" ca="1">INDIRECT(REPLACE("'Dren_Dim'!aa00",14,2,FIXED(M2,0)))</f>
        <v>C</v>
      </c>
      <c r="N6" s="335" t="str" cm="1">
        <f t="array" aca="1" ref="N6" ca="1">INDIRECT(REPLACE("'Dren_Dim'!aa00",14,2,FIXED(N2,0)))</f>
        <v>C</v>
      </c>
      <c r="O6" s="335" t="str" cm="1">
        <f t="array" aca="1" ref="O6" ca="1">INDIRECT(REPLACE("'Dren_Dim'!aa00",14,2,FIXED(O2,0)))</f>
        <v>C</v>
      </c>
      <c r="P6" s="335" t="str" cm="1">
        <f t="array" aca="1" ref="P6" ca="1">INDIRECT(REPLACE("'Dren_Dim'!aa00",14,2,FIXED(P2,0)))</f>
        <v>C</v>
      </c>
      <c r="Q6" s="335" t="str" cm="1">
        <f t="array" aca="1" ref="Q6" ca="1">INDIRECT(REPLACE("'Dren_Dim'!aa00",14,2,FIXED(Q2,0)))</f>
        <v>C</v>
      </c>
      <c r="R6" s="335" t="str" cm="1">
        <f t="array" aca="1" ref="R6" ca="1">INDIRECT(REPLACE("'Dren_Dim'!aa00",14,2,FIXED(R2,0)))</f>
        <v>C</v>
      </c>
      <c r="S6" s="335" t="str" cm="1">
        <f t="array" aca="1" ref="S6" ca="1">INDIRECT(REPLACE("'Dren_Dim'!aa00",14,2,FIXED(S2,0)))</f>
        <v>C</v>
      </c>
      <c r="T6" s="335" t="str" cm="1">
        <f t="array" aca="1" ref="T6" ca="1">INDIRECT(REPLACE("'Dren_Dim'!aa00",14,2,FIXED(T2,0)))</f>
        <v>C</v>
      </c>
      <c r="U6" s="335"/>
      <c r="V6" s="2401"/>
      <c r="W6" s="335" t="str" cm="1">
        <f t="array" aca="1" ref="W6" ca="1">INDIRECT(REPLACE("'Dren_Dim'!aa00",14,2,FIXED(W2,0)))</f>
        <v>C</v>
      </c>
      <c r="X6" s="335" t="str" cm="1">
        <f t="array" aca="1" ref="X6" ca="1">INDIRECT(REPLACE("'Dren_Dim'!aa00",14,2,FIXED(X2,0)))</f>
        <v>C</v>
      </c>
      <c r="Y6" s="335" t="str" cm="1">
        <f t="array" aca="1" ref="Y6" ca="1">INDIRECT(REPLACE("'Dren_Dim'!aa00",14,2,FIXED(Y2,0)))</f>
        <v>C</v>
      </c>
      <c r="Z6" s="335" t="str" cm="1">
        <f t="array" aca="1" ref="Z6" ca="1">INDIRECT(REPLACE("'Dren_Dim'!aa00",14,2,FIXED(Z2,0)))</f>
        <v>C</v>
      </c>
      <c r="AA6" s="335" t="str" cm="1">
        <f t="array" aca="1" ref="AA6" ca="1">INDIRECT(REPLACE("'Dren_Dim'!aa00",14,2,FIXED(AA2,0)))</f>
        <v>C</v>
      </c>
      <c r="AB6" s="335" t="str" cm="1">
        <f t="array" aca="1" ref="AB6" ca="1">INDIRECT(REPLACE("'Dren_Dim'!aa00",14,2,FIXED(AB2,0)))</f>
        <v>C</v>
      </c>
      <c r="AC6" s="335" t="str" cm="1">
        <f t="array" aca="1" ref="AC6" ca="1">INDIRECT(REPLACE("'Dren_Dim'!aa00",14,2,FIXED(AC2,0)))</f>
        <v>C</v>
      </c>
      <c r="AD6" s="335" t="str" cm="1">
        <f t="array" aca="1" ref="AD6" ca="1">INDIRECT(REPLACE("'Dren_Dim'!aa00",14,2,FIXED(AD2,0)))</f>
        <v>C</v>
      </c>
      <c r="AE6" s="335" t="str" cm="1">
        <f t="array" aca="1" ref="AE6" ca="1">INDIRECT(REPLACE("'Dren_Dim'!aa00",14,2,FIXED(AE2,0)))</f>
        <v>C</v>
      </c>
      <c r="AF6" s="335" t="str" cm="1">
        <f t="array" aca="1" ref="AF6" ca="1">INDIRECT(REPLACE("'Dren_Dim'!aa00",14,2,FIXED(AF2,0)))</f>
        <v>C</v>
      </c>
      <c r="AG6" s="335"/>
      <c r="AH6" s="335"/>
      <c r="AI6" s="335"/>
      <c r="AJ6" s="335"/>
      <c r="AK6" s="335"/>
      <c r="AL6" s="335"/>
      <c r="AM6" s="335"/>
      <c r="AN6" s="335"/>
      <c r="AO6" s="335"/>
      <c r="AP6" s="2401"/>
      <c r="AQ6" s="335" t="str" cm="1">
        <f t="array" aca="1" ref="AQ6" ca="1">INDIRECT(REPLACE("'Dren_Dim'!aa00",14,2,FIXED(AQ2,0)))</f>
        <v>C</v>
      </c>
      <c r="AR6" s="335" t="str" cm="1">
        <f t="array" aca="1" ref="AR6" ca="1">INDIRECT(REPLACE("'Dren_Dim'!aa00",14,2,FIXED(AR2,0)))</f>
        <v>C</v>
      </c>
      <c r="AS6" s="335" t="str" cm="1">
        <f t="array" aca="1" ref="AS6" ca="1">INDIRECT(REPLACE("'Dren_Dim'!aa00",14,2,FIXED(AS2,0)))</f>
        <v>C</v>
      </c>
      <c r="AT6" s="335" t="str" cm="1">
        <f t="array" aca="1" ref="AT6" ca="1">INDIRECT(REPLACE("'Dren_Dim'!aa00",14,2,FIXED(AT2,0)))</f>
        <v>C</v>
      </c>
      <c r="AU6" s="335" t="str" cm="1">
        <f t="array" aca="1" ref="AU6" ca="1">INDIRECT(REPLACE("'Dren_Dim'!aa00",14,2,FIXED(AU2,0)))</f>
        <v>C</v>
      </c>
      <c r="AV6" s="335"/>
      <c r="AW6" s="335" t="s">
        <v>72</v>
      </c>
      <c r="AX6" s="335" t="s">
        <v>72</v>
      </c>
      <c r="AY6" s="335" t="s">
        <v>72</v>
      </c>
      <c r="AZ6" s="335" t="s">
        <v>72</v>
      </c>
      <c r="BA6" s="335" t="s">
        <v>72</v>
      </c>
      <c r="BB6" s="335" t="s">
        <v>72</v>
      </c>
      <c r="BC6" s="335" t="s">
        <v>899</v>
      </c>
      <c r="BD6" s="335" t="s">
        <v>899</v>
      </c>
      <c r="BE6" s="335" t="s">
        <v>899</v>
      </c>
      <c r="BF6" s="335" t="s">
        <v>899</v>
      </c>
      <c r="BG6" s="335" t="s">
        <v>899</v>
      </c>
      <c r="BH6" s="335" t="s">
        <v>899</v>
      </c>
      <c r="BI6" s="11"/>
      <c r="BJ6" s="11"/>
      <c r="BK6" s="11"/>
      <c r="BL6" s="918"/>
    </row>
    <row r="7" spans="1:67" s="15" customFormat="1" ht="21.95" customHeight="1" x14ac:dyDescent="0.15">
      <c r="A7" s="2635"/>
      <c r="B7" s="2629"/>
      <c r="C7" s="187" t="s">
        <v>207</v>
      </c>
      <c r="D7" s="335"/>
      <c r="E7" s="335" cm="1">
        <f t="array" aca="1" ref="E7" ca="1">INDIRECT(REPLACE("'Dren_Dim'!ae00",14,2,FIXED(E2,0)))</f>
        <v>0</v>
      </c>
      <c r="F7" s="335" cm="1">
        <f t="array" aca="1" ref="F7" ca="1">INDIRECT(REPLACE("'Dren_Dim'!ae00",14,2,FIXED(F2,0)))</f>
        <v>0</v>
      </c>
      <c r="G7" s="335" cm="1">
        <f t="array" aca="1" ref="G7" ca="1">INDIRECT(REPLACE("'Dren_Dim'!ae00",14,2,FIXED(G2,0)))</f>
        <v>0</v>
      </c>
      <c r="H7" s="335"/>
      <c r="I7" s="335"/>
      <c r="J7" s="335"/>
      <c r="K7" s="335"/>
      <c r="L7" s="2401"/>
      <c r="M7" s="335" cm="1">
        <f t="array" aca="1" ref="M7" ca="1">INDIRECT(REPLACE("'Dren_Dim'!ae00",14,2,FIXED(M2,0)))</f>
        <v>0</v>
      </c>
      <c r="N7" s="335" cm="1">
        <f t="array" aca="1" ref="N7" ca="1">INDIRECT(REPLACE("'Dren_Dim'!ae00",14,2,FIXED(N2,0)))</f>
        <v>0</v>
      </c>
      <c r="O7" s="335" cm="1">
        <f t="array" aca="1" ref="O7" ca="1">INDIRECT(REPLACE("'Dren_Dim'!ae00",14,2,FIXED(O2,0)))</f>
        <v>0</v>
      </c>
      <c r="P7" s="335" cm="1">
        <f t="array" aca="1" ref="P7" ca="1">INDIRECT(REPLACE("'Dren_Dim'!ae00",14,2,FIXED(P2,0)))</f>
        <v>0</v>
      </c>
      <c r="Q7" s="335" cm="1">
        <f t="array" aca="1" ref="Q7" ca="1">INDIRECT(REPLACE("'Dren_Dim'!ae00",14,2,FIXED(Q2,0)))</f>
        <v>0</v>
      </c>
      <c r="R7" s="335" cm="1">
        <f t="array" aca="1" ref="R7" ca="1">INDIRECT(REPLACE("'Dren_Dim'!ae00",14,2,FIXED(R2,0)))</f>
        <v>0</v>
      </c>
      <c r="S7" s="335" cm="1">
        <f t="array" aca="1" ref="S7" ca="1">INDIRECT(REPLACE("'Dren_Dim'!ae00",14,2,FIXED(S2,0)))</f>
        <v>0</v>
      </c>
      <c r="T7" s="335" cm="1">
        <f t="array" aca="1" ref="T7" ca="1">INDIRECT(REPLACE("'Dren_Dim'!ae00",14,2,FIXED(T2,0)))</f>
        <v>0</v>
      </c>
      <c r="U7" s="335"/>
      <c r="V7" s="2401"/>
      <c r="W7" s="335" cm="1">
        <f t="array" aca="1" ref="W7" ca="1">INDIRECT(REPLACE("'Dren_Dim'!ae00",14,2,FIXED(W2,0)))</f>
        <v>0</v>
      </c>
      <c r="X7" s="335" cm="1">
        <f t="array" aca="1" ref="X7" ca="1">INDIRECT(REPLACE("'Dren_Dim'!ae00",14,2,FIXED(X2,0)))</f>
        <v>0</v>
      </c>
      <c r="Y7" s="335" cm="1">
        <f t="array" aca="1" ref="Y7" ca="1">INDIRECT(REPLACE("'Dren_Dim'!ae00",14,2,FIXED(Y2,0)))</f>
        <v>0</v>
      </c>
      <c r="Z7" s="335" cm="1">
        <f t="array" aca="1" ref="Z7" ca="1">INDIRECT(REPLACE("'Dren_Dim'!ae00",14,2,FIXED(Z2,0)))</f>
        <v>0</v>
      </c>
      <c r="AA7" s="335" cm="1">
        <f t="array" aca="1" ref="AA7" ca="1">INDIRECT(REPLACE("'Dren_Dim'!ae00",14,2,FIXED(AA2,0)))</f>
        <v>0</v>
      </c>
      <c r="AB7" s="335" cm="1">
        <f t="array" aca="1" ref="AB7" ca="1">INDIRECT(REPLACE("'Dren_Dim'!ae00",14,2,FIXED(AB2,0)))</f>
        <v>0</v>
      </c>
      <c r="AC7" s="335" cm="1">
        <f t="array" aca="1" ref="AC7" ca="1">INDIRECT(REPLACE("'Dren_Dim'!ae00",14,2,FIXED(AC2,0)))</f>
        <v>0</v>
      </c>
      <c r="AD7" s="335" cm="1">
        <f t="array" aca="1" ref="AD7" ca="1">INDIRECT(REPLACE("'Dren_Dim'!ae00",14,2,FIXED(AD2,0)))</f>
        <v>0</v>
      </c>
      <c r="AE7" s="335" cm="1">
        <f t="array" aca="1" ref="AE7" ca="1">INDIRECT(REPLACE("'Dren_Dim'!ae00",14,2,FIXED(AE2,0)))</f>
        <v>0</v>
      </c>
      <c r="AF7" s="335" cm="1">
        <f t="array" aca="1" ref="AF7" ca="1">INDIRECT(REPLACE("'Dren_Dim'!ae00",14,2,FIXED(AF2,0)))</f>
        <v>0</v>
      </c>
      <c r="AG7" s="335"/>
      <c r="AH7" s="335"/>
      <c r="AI7" s="335"/>
      <c r="AJ7" s="335"/>
      <c r="AK7" s="335"/>
      <c r="AL7" s="335"/>
      <c r="AM7" s="335"/>
      <c r="AN7" s="335"/>
      <c r="AO7" s="335"/>
      <c r="AP7" s="2401"/>
      <c r="AQ7" s="335" cm="1">
        <f t="array" aca="1" ref="AQ7" ca="1">INDIRECT(REPLACE("'Dren_Dim'!ae00",14,2,FIXED(AQ2,0)))</f>
        <v>0</v>
      </c>
      <c r="AR7" s="335" cm="1">
        <f t="array" aca="1" ref="AR7" ca="1">INDIRECT(REPLACE("'Dren_Dim'!ae00",14,2,FIXED(AR2,0)))</f>
        <v>0</v>
      </c>
      <c r="AS7" s="335" cm="1">
        <f t="array" aca="1" ref="AS7" ca="1">INDIRECT(REPLACE("'Dren_Dim'!ae00",14,2,FIXED(AS2,0)))</f>
        <v>0</v>
      </c>
      <c r="AT7" s="335" cm="1">
        <f t="array" aca="1" ref="AT7" ca="1">INDIRECT(REPLACE("'Dren_Dim'!ae00",14,2,FIXED(AT2,0)))</f>
        <v>0</v>
      </c>
      <c r="AU7" s="335" cm="1">
        <f t="array" aca="1" ref="AU7" ca="1">INDIRECT(REPLACE("'Dren_Dim'!ae00",14,2,FIXED(AU2,0)))</f>
        <v>0</v>
      </c>
      <c r="AV7" s="335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918"/>
    </row>
    <row r="8" spans="1:67" s="15" customFormat="1" ht="21.95" customHeight="1" x14ac:dyDescent="0.15">
      <c r="A8" s="2635"/>
      <c r="B8" s="2629"/>
      <c r="C8" s="187" t="s">
        <v>208</v>
      </c>
      <c r="D8" s="335"/>
      <c r="E8" s="335">
        <f t="shared" ref="E8" ca="1" si="44">E7</f>
        <v>0</v>
      </c>
      <c r="F8" s="335">
        <f t="shared" ref="F8:AF8" ca="1" si="45">F7</f>
        <v>0</v>
      </c>
      <c r="G8" s="335">
        <f t="shared" ca="1" si="45"/>
        <v>0</v>
      </c>
      <c r="H8" s="335"/>
      <c r="I8" s="335"/>
      <c r="J8" s="335"/>
      <c r="K8" s="335"/>
      <c r="L8" s="2401"/>
      <c r="M8" s="335">
        <f t="shared" ca="1" si="45"/>
        <v>0</v>
      </c>
      <c r="N8" s="335">
        <f t="shared" ca="1" si="45"/>
        <v>0</v>
      </c>
      <c r="O8" s="335">
        <f t="shared" ca="1" si="45"/>
        <v>0</v>
      </c>
      <c r="P8" s="335">
        <f t="shared" ca="1" si="45"/>
        <v>0</v>
      </c>
      <c r="Q8" s="335">
        <f t="shared" ca="1" si="45"/>
        <v>0</v>
      </c>
      <c r="R8" s="335">
        <f t="shared" ca="1" si="45"/>
        <v>0</v>
      </c>
      <c r="S8" s="335">
        <f t="shared" ca="1" si="45"/>
        <v>0</v>
      </c>
      <c r="T8" s="335">
        <f t="shared" ca="1" si="45"/>
        <v>0</v>
      </c>
      <c r="U8" s="335"/>
      <c r="V8" s="2401"/>
      <c r="W8" s="335">
        <f t="shared" ca="1" si="45"/>
        <v>0</v>
      </c>
      <c r="X8" s="335">
        <f t="shared" ca="1" si="45"/>
        <v>0</v>
      </c>
      <c r="Y8" s="335">
        <f t="shared" ca="1" si="45"/>
        <v>0</v>
      </c>
      <c r="Z8" s="335">
        <f t="shared" ca="1" si="45"/>
        <v>0</v>
      </c>
      <c r="AA8" s="335">
        <f t="shared" ca="1" si="45"/>
        <v>0</v>
      </c>
      <c r="AB8" s="335">
        <f t="shared" ca="1" si="45"/>
        <v>0</v>
      </c>
      <c r="AC8" s="335">
        <f t="shared" ca="1" si="45"/>
        <v>0</v>
      </c>
      <c r="AD8" s="335">
        <f t="shared" ca="1" si="45"/>
        <v>0</v>
      </c>
      <c r="AE8" s="335">
        <f t="shared" ca="1" si="45"/>
        <v>0</v>
      </c>
      <c r="AF8" s="335">
        <f t="shared" ca="1" si="45"/>
        <v>0</v>
      </c>
      <c r="AG8" s="335"/>
      <c r="AH8" s="335"/>
      <c r="AI8" s="335"/>
      <c r="AJ8" s="335"/>
      <c r="AK8" s="335"/>
      <c r="AL8" s="335"/>
      <c r="AM8" s="335"/>
      <c r="AN8" s="335"/>
      <c r="AO8" s="335"/>
      <c r="AP8" s="2401"/>
      <c r="AQ8" s="335">
        <f t="shared" ref="AQ8:AU8" ca="1" si="46">AQ7</f>
        <v>0</v>
      </c>
      <c r="AR8" s="335">
        <f t="shared" ca="1" si="46"/>
        <v>0</v>
      </c>
      <c r="AS8" s="335">
        <f t="shared" ca="1" si="46"/>
        <v>0</v>
      </c>
      <c r="AT8" s="335">
        <f t="shared" ca="1" si="46"/>
        <v>0</v>
      </c>
      <c r="AU8" s="335">
        <f t="shared" ca="1" si="46"/>
        <v>0</v>
      </c>
      <c r="AV8" s="335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918"/>
    </row>
    <row r="9" spans="1:67" s="15" customFormat="1" ht="21.95" customHeight="1" x14ac:dyDescent="0.15">
      <c r="A9" s="2635"/>
      <c r="B9" s="2629"/>
      <c r="C9" s="187" t="s">
        <v>916</v>
      </c>
      <c r="D9" s="332"/>
      <c r="E9" s="332" t="str">
        <f t="shared" ref="E9" ca="1" si="47">IF(E4=0,0,IF(E6="P","P",IF(E12&lt;3,IF(E5&gt;0.7,"PA-1","PS-1"), IF(E5&gt;0.7,"PA-2","PA-1"))))</f>
        <v>PS-1</v>
      </c>
      <c r="F9" s="332" t="str">
        <f t="shared" ref="F9:AF9" ca="1" si="48">IF(F4=0,0,IF(F6="P","P",IF(F12&lt;3,IF(F5&gt;0.7,"PA-1","PS-1"), IF(F5&gt;0.7,"PA-2","PA-1"))))</f>
        <v>PS-1</v>
      </c>
      <c r="G9" s="332" t="str">
        <f t="shared" ca="1" si="48"/>
        <v>PS-1</v>
      </c>
      <c r="H9" s="332"/>
      <c r="I9" s="332"/>
      <c r="J9" s="332"/>
      <c r="K9" s="332"/>
      <c r="L9" s="2399"/>
      <c r="M9" s="332" t="str">
        <f t="shared" ca="1" si="48"/>
        <v>PS-1</v>
      </c>
      <c r="N9" s="332" t="str">
        <f t="shared" ca="1" si="48"/>
        <v>PS-1</v>
      </c>
      <c r="O9" s="332" t="str">
        <f t="shared" ca="1" si="48"/>
        <v>PS-1</v>
      </c>
      <c r="P9" s="332" t="str">
        <f t="shared" ca="1" si="48"/>
        <v>PS-1</v>
      </c>
      <c r="Q9" s="332" t="str">
        <f t="shared" ca="1" si="48"/>
        <v>PS-1</v>
      </c>
      <c r="R9" s="332" t="str">
        <f t="shared" ca="1" si="48"/>
        <v>PA-1</v>
      </c>
      <c r="S9" s="332" t="str">
        <f t="shared" ca="1" si="48"/>
        <v>PA-1</v>
      </c>
      <c r="T9" s="332" t="str">
        <f t="shared" ca="1" si="48"/>
        <v>PA-1</v>
      </c>
      <c r="U9" s="332"/>
      <c r="V9" s="2399"/>
      <c r="W9" s="332" t="str">
        <f t="shared" ca="1" si="48"/>
        <v>PA-1</v>
      </c>
      <c r="X9" s="332" t="str">
        <f t="shared" ca="1" si="48"/>
        <v>PS-1</v>
      </c>
      <c r="Y9" s="332" t="str">
        <f t="shared" ca="1" si="48"/>
        <v>PS-1</v>
      </c>
      <c r="Z9" s="332" t="str">
        <f t="shared" ca="1" si="48"/>
        <v>PS-1</v>
      </c>
      <c r="AA9" s="332" t="str">
        <f t="shared" ca="1" si="48"/>
        <v>PA-1</v>
      </c>
      <c r="AB9" s="332" t="str">
        <f t="shared" ca="1" si="48"/>
        <v>PA-1</v>
      </c>
      <c r="AC9" s="332" t="str">
        <f t="shared" ca="1" si="48"/>
        <v>PA-1</v>
      </c>
      <c r="AD9" s="332" t="str">
        <f t="shared" ca="1" si="48"/>
        <v>PA-1</v>
      </c>
      <c r="AE9" s="332" t="str">
        <f t="shared" ca="1" si="48"/>
        <v>PA-1</v>
      </c>
      <c r="AF9" s="332" t="str">
        <f t="shared" ca="1" si="48"/>
        <v>PA-1</v>
      </c>
      <c r="AG9" s="332"/>
      <c r="AH9" s="332"/>
      <c r="AI9" s="332"/>
      <c r="AJ9" s="332"/>
      <c r="AK9" s="332"/>
      <c r="AL9" s="332"/>
      <c r="AM9" s="332"/>
      <c r="AN9" s="332"/>
      <c r="AO9" s="332"/>
      <c r="AP9" s="2399"/>
      <c r="AQ9" s="332" t="str">
        <f t="shared" ref="AQ9:AU9" ca="1" si="49">IF(AQ4=0,0,IF(AQ6="P","P",IF(AQ12&lt;3,IF(AQ5&gt;0.7,"PA-1","PS-1"), IF(AQ5&gt;0.7,"PA-2","PA-1"))))</f>
        <v>PS-1</v>
      </c>
      <c r="AR9" s="332" t="str">
        <f t="shared" ca="1" si="49"/>
        <v>PA-1</v>
      </c>
      <c r="AS9" s="332" t="str">
        <f t="shared" ca="1" si="49"/>
        <v>PA-1</v>
      </c>
      <c r="AT9" s="332" t="str">
        <f t="shared" ca="1" si="49"/>
        <v>PA-1</v>
      </c>
      <c r="AU9" s="332" t="str">
        <f t="shared" ca="1" si="49"/>
        <v>PA-1</v>
      </c>
      <c r="AV9" s="332"/>
      <c r="AW9" s="332" t="str">
        <f t="shared" ref="AW9:BB9" si="50">IF(AW4=0,0,IF(AW6="P","P",IF(AW12&lt;3,IF(AW5&gt;0.7,"PA-1","PS-1"), IF(AW5&gt;0.7,"PA-2","PA-1"))))</f>
        <v>PS-1</v>
      </c>
      <c r="AX9" s="332" t="str">
        <f t="shared" si="50"/>
        <v>PS-1</v>
      </c>
      <c r="AY9" s="332" t="str">
        <f t="shared" si="50"/>
        <v>PS-1</v>
      </c>
      <c r="AZ9" s="332" t="str">
        <f t="shared" si="50"/>
        <v>PS-1</v>
      </c>
      <c r="BA9" s="332" t="str">
        <f t="shared" si="50"/>
        <v>PS-1</v>
      </c>
      <c r="BB9" s="332" t="str">
        <f t="shared" si="50"/>
        <v>PS-1</v>
      </c>
      <c r="BC9" s="332" t="s">
        <v>896</v>
      </c>
      <c r="BD9" s="332" t="s">
        <v>896</v>
      </c>
      <c r="BE9" s="332" t="s">
        <v>896</v>
      </c>
      <c r="BF9" s="332" t="s">
        <v>896</v>
      </c>
      <c r="BG9" s="332" t="s">
        <v>896</v>
      </c>
      <c r="BH9" s="332" t="s">
        <v>896</v>
      </c>
      <c r="BI9" s="190"/>
      <c r="BJ9" s="190"/>
      <c r="BK9" s="190"/>
      <c r="BL9" s="918"/>
    </row>
    <row r="10" spans="1:67" s="15" customFormat="1" ht="21.95" customHeight="1" x14ac:dyDescent="0.15">
      <c r="A10" s="2635"/>
      <c r="B10" s="2629" t="s">
        <v>310</v>
      </c>
      <c r="C10" s="2630"/>
      <c r="D10" s="333"/>
      <c r="E10" s="333">
        <f ca="1">VLOOKUP(E1,Dren_Dim!$A:$H,5,0)</f>
        <v>2.1000000000000227</v>
      </c>
      <c r="F10" s="333">
        <f ca="1">VLOOKUP(F1,Dren_Dim!$A:$H,5,0)</f>
        <v>2.1203600000000051</v>
      </c>
      <c r="G10" s="333">
        <f ca="1">VLOOKUP(G1,Dren_Dim!$A:$H,5,0)</f>
        <v>2.1070399999999836</v>
      </c>
      <c r="H10" s="333"/>
      <c r="I10" s="333"/>
      <c r="J10" s="333"/>
      <c r="K10" s="333"/>
      <c r="L10" s="2402"/>
      <c r="M10" s="333">
        <f ca="1">VLOOKUP(M1,Dren_Dim!$A:$H,5,0)</f>
        <v>2.1000000000000227</v>
      </c>
      <c r="N10" s="333">
        <f ca="1">VLOOKUP(N1,Dren_Dim!$A:$H,5,0)</f>
        <v>2.1008400000000051</v>
      </c>
      <c r="O10" s="333">
        <f ca="1">VLOOKUP(O1,Dren_Dim!$A:$H,5,0)</f>
        <v>2.2045900000000529</v>
      </c>
      <c r="P10" s="333">
        <f ca="1">VLOOKUP(P1,Dren_Dim!$A:$H,5,0)</f>
        <v>2.2407900000001177</v>
      </c>
      <c r="Q10" s="333">
        <f ca="1">VLOOKUP(Q1,Dren_Dim!$A:$H,5,0)</f>
        <v>2.2721900000001369</v>
      </c>
      <c r="R10" s="333">
        <f ca="1">VLOOKUP(R1,Dren_Dim!$A:$H,5,0)</f>
        <v>2.4396700000000919</v>
      </c>
      <c r="S10" s="333">
        <f ca="1">VLOOKUP(S1,Dren_Dim!$A:$H,5,0)</f>
        <v>2.4037100000001033</v>
      </c>
      <c r="T10" s="333">
        <f ca="1">VLOOKUP(T1,Dren_Dim!$A:$H,5,0)</f>
        <v>2.5164300000000708</v>
      </c>
      <c r="U10" s="333"/>
      <c r="V10" s="2402"/>
      <c r="W10" s="333">
        <f ca="1">VLOOKUP(W1,Dren_Dim!$A:$H,5,0)</f>
        <v>2.3000000000000114</v>
      </c>
      <c r="X10" s="333">
        <f ca="1">VLOOKUP(X1,Dren_Dim!$A:$H,5,0)</f>
        <v>2.1000000000000227</v>
      </c>
      <c r="Y10" s="333">
        <f ca="1">VLOOKUP(Y1,Dren_Dim!$A:$H,5,0)</f>
        <v>2.117240000000038</v>
      </c>
      <c r="Z10" s="333">
        <f ca="1">VLOOKUP(Z1,Dren_Dim!$A:$H,5,0)</f>
        <v>2.1244400000000496</v>
      </c>
      <c r="AA10" s="333">
        <f ca="1">VLOOKUP(AA1,Dren_Dim!$A:$H,5,0)</f>
        <v>2.3283900000000699</v>
      </c>
      <c r="AB10" s="333">
        <f ca="1">VLOOKUP(AB1,Dren_Dim!$A:$H,5,0)</f>
        <v>2.2335500000000366</v>
      </c>
      <c r="AC10" s="333">
        <f ca="1">VLOOKUP(AC1,Dren_Dim!$A:$H,5,0)</f>
        <v>2.22300000000007</v>
      </c>
      <c r="AD10" s="333">
        <f ca="1">VLOOKUP(AD1,Dren_Dim!$A:$H,5,0)</f>
        <v>2.4305000000000518</v>
      </c>
      <c r="AE10" s="333">
        <f ca="1">VLOOKUP(AE1,Dren_Dim!$A:$H,5,0)</f>
        <v>2.5145400000000677</v>
      </c>
      <c r="AF10" s="333">
        <f ca="1">VLOOKUP(AF1,Dren_Dim!$A:$H,5,0)</f>
        <v>2.4038200000001098</v>
      </c>
      <c r="AG10" s="333"/>
      <c r="AH10" s="333"/>
      <c r="AI10" s="333"/>
      <c r="AJ10" s="333"/>
      <c r="AK10" s="333"/>
      <c r="AL10" s="333"/>
      <c r="AM10" s="333"/>
      <c r="AN10" s="333"/>
      <c r="AO10" s="333"/>
      <c r="AP10" s="2402"/>
      <c r="AQ10" s="333">
        <f ca="1">VLOOKUP(AQ1,Dren_Dim!$A:$H,5,0)</f>
        <v>2.1000000000000227</v>
      </c>
      <c r="AR10" s="333">
        <f ca="1">VLOOKUP(AR1,Dren_Dim!$A:$H,5,0)</f>
        <v>2.1514199999999732</v>
      </c>
      <c r="AS10" s="333">
        <f ca="1">VLOOKUP(AS1,Dren_Dim!$A:$H,5,0)</f>
        <v>2.1730600000000209</v>
      </c>
      <c r="AT10" s="333">
        <f ca="1">VLOOKUP(AT1,Dren_Dim!$A:$H,5,0)</f>
        <v>2.1774600000000532</v>
      </c>
      <c r="AU10" s="333">
        <f ca="1">VLOOKUP(AU1,Dren_Dim!$A:$H,5,0)</f>
        <v>3.4462400000001026</v>
      </c>
      <c r="AV10" s="333"/>
      <c r="AW10" s="333">
        <v>1</v>
      </c>
      <c r="AX10" s="333">
        <v>1</v>
      </c>
      <c r="AY10" s="333">
        <v>1.3</v>
      </c>
      <c r="AZ10" s="333">
        <v>1.3</v>
      </c>
      <c r="BA10" s="333">
        <v>1</v>
      </c>
      <c r="BB10" s="333">
        <v>1.3</v>
      </c>
      <c r="BC10" s="333">
        <v>1</v>
      </c>
      <c r="BD10" s="333">
        <v>1</v>
      </c>
      <c r="BE10" s="333">
        <v>1.3</v>
      </c>
      <c r="BF10" s="333">
        <v>1.3</v>
      </c>
      <c r="BG10" s="333">
        <v>1</v>
      </c>
      <c r="BH10" s="333">
        <v>1.3</v>
      </c>
      <c r="BI10" s="334"/>
      <c r="BJ10" s="334"/>
      <c r="BK10" s="334"/>
      <c r="BL10" s="918"/>
    </row>
    <row r="11" spans="1:67" s="15" customFormat="1" ht="21.95" customHeight="1" x14ac:dyDescent="0.15">
      <c r="A11" s="2635"/>
      <c r="B11" s="2629" t="s">
        <v>311</v>
      </c>
      <c r="C11" s="2630"/>
      <c r="D11" s="332"/>
      <c r="E11" s="332">
        <f ca="1">ABS(VLOOKUP(E1,Dren_Dim!$A:$H,8,0))</f>
        <v>2.1203600000000051</v>
      </c>
      <c r="F11" s="332">
        <f ca="1">ABS(VLOOKUP(F1,Dren_Dim!$A:$H,8,0))</f>
        <v>2.1070399999999836</v>
      </c>
      <c r="G11" s="332">
        <f ca="1">ABS(VLOOKUP(G1,Dren_Dim!$A:$H,8,0))</f>
        <v>1.5467199999999934</v>
      </c>
      <c r="H11" s="332"/>
      <c r="I11" s="332"/>
      <c r="J11" s="332"/>
      <c r="K11" s="332"/>
      <c r="L11" s="2399"/>
      <c r="M11" s="332">
        <f ca="1">ABS(VLOOKUP(M1,Dren_Dim!$A:$H,8,0))</f>
        <v>2.1008400000000051</v>
      </c>
      <c r="N11" s="332">
        <f ca="1">ABS(VLOOKUP(N1,Dren_Dim!$A:$H,8,0))</f>
        <v>2.1045900000000302</v>
      </c>
      <c r="O11" s="332">
        <f ca="1">ABS(VLOOKUP(O1,Dren_Dim!$A:$H,8,0))</f>
        <v>2.2407900000001177</v>
      </c>
      <c r="P11" s="332">
        <f ca="1">ABS(VLOOKUP(P1,Dren_Dim!$A:$H,8,0))</f>
        <v>2.2721900000001369</v>
      </c>
      <c r="Q11" s="332">
        <f ca="1">ABS(VLOOKUP(Q1,Dren_Dim!$A:$H,8,0))</f>
        <v>2.2396700000001033</v>
      </c>
      <c r="R11" s="332">
        <f ca="1">ABS(VLOOKUP(R1,Dren_Dim!$A:$H,8,0))</f>
        <v>2.4037100000001033</v>
      </c>
      <c r="S11" s="332">
        <f ca="1">ABS(VLOOKUP(S1,Dren_Dim!$A:$H,8,0))</f>
        <v>2.4264300000000958</v>
      </c>
      <c r="T11" s="332">
        <f ca="1">ABS(VLOOKUP(T1,Dren_Dim!$A:$H,8,0))</f>
        <v>1.901830000000075</v>
      </c>
      <c r="U11" s="332"/>
      <c r="V11" s="2399"/>
      <c r="W11" s="332">
        <f ca="1">ABS(VLOOKUP(W1,Dren_Dim!$A:$H,8,0))</f>
        <v>2.3283900000000699</v>
      </c>
      <c r="X11" s="332">
        <f ca="1">ABS(VLOOKUP(X1,Dren_Dim!$A:$H,8,0))</f>
        <v>2.117240000000038</v>
      </c>
      <c r="Y11" s="332">
        <f ca="1">ABS(VLOOKUP(Y1,Dren_Dim!$A:$H,8,0))</f>
        <v>2.1244400000000496</v>
      </c>
      <c r="Z11" s="332">
        <f ca="1">ABS(VLOOKUP(Z1,Dren_Dim!$A:$H,8,0))</f>
        <v>2.0879600000000664</v>
      </c>
      <c r="AA11" s="332">
        <f ca="1">ABS(VLOOKUP(AA1,Dren_Dim!$A:$H,8,0))</f>
        <v>2.2335500000000366</v>
      </c>
      <c r="AB11" s="332">
        <f ca="1">ABS(VLOOKUP(AB1,Dren_Dim!$A:$H,8,0))</f>
        <v>2.22300000000007</v>
      </c>
      <c r="AC11" s="332">
        <f ca="1">ABS(VLOOKUP(AC1,Dren_Dim!$A:$H,8,0))</f>
        <v>2.2305000000000632</v>
      </c>
      <c r="AD11" s="332">
        <f ca="1">ABS(VLOOKUP(AD1,Dren_Dim!$A:$H,8,0))</f>
        <v>2.5145400000000677</v>
      </c>
      <c r="AE11" s="332">
        <f ca="1">ABS(VLOOKUP(AE1,Dren_Dim!$A:$H,8,0))</f>
        <v>2.4038200000001098</v>
      </c>
      <c r="AF11" s="332">
        <f ca="1">ABS(VLOOKUP(AF1,Dren_Dim!$A:$H,8,0))</f>
        <v>2.9462400000001026</v>
      </c>
      <c r="AG11" s="332"/>
      <c r="AH11" s="332"/>
      <c r="AI11" s="332"/>
      <c r="AJ11" s="332"/>
      <c r="AK11" s="332"/>
      <c r="AL11" s="332"/>
      <c r="AM11" s="332"/>
      <c r="AN11" s="332"/>
      <c r="AO11" s="332"/>
      <c r="AP11" s="2399"/>
      <c r="AQ11" s="332">
        <f ca="1">ABS(VLOOKUP(AQ1,Dren_Dim!$A:$H,8,0))</f>
        <v>2.1514199999999732</v>
      </c>
      <c r="AR11" s="332">
        <f ca="1">ABS(VLOOKUP(AR1,Dren_Dim!$A:$H,8,0))</f>
        <v>2.1730600000000209</v>
      </c>
      <c r="AS11" s="332">
        <f ca="1">ABS(VLOOKUP(AS1,Dren_Dim!$A:$H,8,0))</f>
        <v>2.1774600000000532</v>
      </c>
      <c r="AT11" s="332">
        <f ca="1">ABS(VLOOKUP(AT1,Dren_Dim!$A:$H,8,0))</f>
        <v>2.1397300000000428</v>
      </c>
      <c r="AU11" s="332">
        <f ca="1">ABS(VLOOKUP(AU1,Dren_Dim!$A:$H,8,0))</f>
        <v>2.9334500000001071</v>
      </c>
      <c r="AV11" s="332"/>
      <c r="AW11" s="332">
        <v>1.5</v>
      </c>
      <c r="AX11" s="332">
        <v>1.5</v>
      </c>
      <c r="AY11" s="332">
        <v>1.5</v>
      </c>
      <c r="AZ11" s="332">
        <v>1.5</v>
      </c>
      <c r="BA11" s="332">
        <v>1.5</v>
      </c>
      <c r="BB11" s="332">
        <v>1.5</v>
      </c>
      <c r="BC11" s="332">
        <v>1.5</v>
      </c>
      <c r="BD11" s="332">
        <v>1.5</v>
      </c>
      <c r="BE11" s="332">
        <v>1.5</v>
      </c>
      <c r="BF11" s="332">
        <v>1.5</v>
      </c>
      <c r="BG11" s="332">
        <v>1.5</v>
      </c>
      <c r="BH11" s="332">
        <v>1.5</v>
      </c>
      <c r="BI11" s="190"/>
      <c r="BJ11" s="190"/>
      <c r="BK11" s="190"/>
      <c r="BL11" s="918"/>
    </row>
    <row r="12" spans="1:67" s="15" customFormat="1" ht="21.95" customHeight="1" x14ac:dyDescent="0.15">
      <c r="A12" s="2635"/>
      <c r="B12" s="2641" t="s">
        <v>493</v>
      </c>
      <c r="C12" s="2642"/>
      <c r="D12" s="345"/>
      <c r="E12" s="345">
        <f t="shared" ref="E12" ca="1" si="51">IF(E10=0,0,AVERAGE(E10:E11)-E5)</f>
        <v>1.5101800000000138</v>
      </c>
      <c r="F12" s="345">
        <f t="shared" ref="F12:AF12" ca="1" si="52">IF(F10=0,0,AVERAGE(F10:F11)-F5)</f>
        <v>1.5136999999999943</v>
      </c>
      <c r="G12" s="345">
        <f t="shared" ca="1" si="52"/>
        <v>1.2268799999999884</v>
      </c>
      <c r="H12" s="345"/>
      <c r="I12" s="345"/>
      <c r="J12" s="345"/>
      <c r="K12" s="345"/>
      <c r="L12" s="2403"/>
      <c r="M12" s="345">
        <f t="shared" ca="1" si="52"/>
        <v>1.5004200000000139</v>
      </c>
      <c r="N12" s="345">
        <f t="shared" ca="1" si="52"/>
        <v>1.5027150000000176</v>
      </c>
      <c r="O12" s="345">
        <f t="shared" ca="1" si="52"/>
        <v>1.6226900000000852</v>
      </c>
      <c r="P12" s="345">
        <f t="shared" ca="1" si="52"/>
        <v>1.6564900000001272</v>
      </c>
      <c r="Q12" s="345">
        <f t="shared" ca="1" si="52"/>
        <v>1.65593000000012</v>
      </c>
      <c r="R12" s="345">
        <f t="shared" ca="1" si="52"/>
        <v>1.4216900000000976</v>
      </c>
      <c r="S12" s="345">
        <f t="shared" ca="1" si="52"/>
        <v>1.4150700000000995</v>
      </c>
      <c r="T12" s="345">
        <f t="shared" ca="1" si="52"/>
        <v>1.2091300000000729</v>
      </c>
      <c r="U12" s="345"/>
      <c r="V12" s="2403"/>
      <c r="W12" s="345">
        <f t="shared" ca="1" si="52"/>
        <v>1.5141950000000406</v>
      </c>
      <c r="X12" s="345">
        <f t="shared" ca="1" si="52"/>
        <v>1.5086200000000303</v>
      </c>
      <c r="Y12" s="345">
        <f t="shared" ca="1" si="52"/>
        <v>1.5208400000000437</v>
      </c>
      <c r="Z12" s="345">
        <f t="shared" ca="1" si="52"/>
        <v>1.5062000000000579</v>
      </c>
      <c r="AA12" s="345">
        <f t="shared" ca="1" si="52"/>
        <v>1.4809700000000532</v>
      </c>
      <c r="AB12" s="345">
        <f t="shared" ca="1" si="52"/>
        <v>1.4282750000000533</v>
      </c>
      <c r="AC12" s="345">
        <f t="shared" ca="1" si="52"/>
        <v>1.4267500000000666</v>
      </c>
      <c r="AD12" s="345">
        <f t="shared" ca="1" si="52"/>
        <v>1.4725200000000598</v>
      </c>
      <c r="AE12" s="345">
        <f t="shared" ca="1" si="52"/>
        <v>1.4591800000000887</v>
      </c>
      <c r="AF12" s="345">
        <f t="shared" ca="1" si="52"/>
        <v>1.6750300000001062</v>
      </c>
      <c r="AG12" s="345"/>
      <c r="AH12" s="345"/>
      <c r="AI12" s="345"/>
      <c r="AJ12" s="345"/>
      <c r="AK12" s="345"/>
      <c r="AL12" s="345"/>
      <c r="AM12" s="345"/>
      <c r="AN12" s="345"/>
      <c r="AO12" s="345"/>
      <c r="AP12" s="2403"/>
      <c r="AQ12" s="345">
        <f t="shared" ref="AQ12:AU12" ca="1" si="53">IF(AQ10=0,0,AVERAGE(AQ10:AQ11)-AQ5)</f>
        <v>1.5257099999999979</v>
      </c>
      <c r="AR12" s="345">
        <f t="shared" ca="1" si="53"/>
        <v>1.362239999999997</v>
      </c>
      <c r="AS12" s="345">
        <f t="shared" ca="1" si="53"/>
        <v>1.375260000000037</v>
      </c>
      <c r="AT12" s="345">
        <f t="shared" ca="1" si="53"/>
        <v>1.358595000000048</v>
      </c>
      <c r="AU12" s="345">
        <f t="shared" ca="1" si="53"/>
        <v>2.1898450000001048</v>
      </c>
      <c r="AV12" s="345"/>
      <c r="AW12" s="345">
        <f>IF(AW10=0,0,AVERAGE(AW10:AW11)-AW5)</f>
        <v>0.85</v>
      </c>
      <c r="AX12" s="345">
        <f t="shared" ref="AX12:BF12" si="54">IF(AX10=0,0,AVERAGE(AX10:AX11)-AX5)</f>
        <v>0.85</v>
      </c>
      <c r="AY12" s="345">
        <f t="shared" si="54"/>
        <v>0.79999999999999993</v>
      </c>
      <c r="AZ12" s="345">
        <f t="shared" si="54"/>
        <v>0.79999999999999993</v>
      </c>
      <c r="BA12" s="345">
        <f t="shared" si="54"/>
        <v>0.85</v>
      </c>
      <c r="BB12" s="345">
        <f t="shared" si="54"/>
        <v>0.79999999999999993</v>
      </c>
      <c r="BC12" s="345">
        <f t="shared" si="54"/>
        <v>0.85</v>
      </c>
      <c r="BD12" s="345">
        <f t="shared" si="54"/>
        <v>0.85</v>
      </c>
      <c r="BE12" s="345">
        <f t="shared" si="54"/>
        <v>0.89999999999999991</v>
      </c>
      <c r="BF12" s="345">
        <f t="shared" si="54"/>
        <v>0.89999999999999991</v>
      </c>
      <c r="BG12" s="345">
        <f>IF(BG10=0,0,AVERAGE(BG10:BG11)-BG5)</f>
        <v>0.85</v>
      </c>
      <c r="BH12" s="345">
        <f>IF(BH10=0,0,AVERAGE(BH10:BH11)-BH5)</f>
        <v>0.89999999999999991</v>
      </c>
      <c r="BI12" s="190"/>
      <c r="BJ12" s="190"/>
      <c r="BK12" s="190"/>
      <c r="BL12" s="918"/>
    </row>
    <row r="13" spans="1:67" ht="21.95" customHeight="1" x14ac:dyDescent="0.15">
      <c r="A13" s="2635"/>
      <c r="B13" s="2641" t="s">
        <v>1086</v>
      </c>
      <c r="C13" s="2643"/>
      <c r="D13" s="925"/>
      <c r="E13" s="925">
        <v>1</v>
      </c>
      <c r="F13" s="925">
        <v>1</v>
      </c>
      <c r="G13" s="925">
        <v>1</v>
      </c>
      <c r="H13" s="925"/>
      <c r="I13" s="925"/>
      <c r="J13" s="925"/>
      <c r="K13" s="925"/>
      <c r="L13" s="2404"/>
      <c r="M13" s="925">
        <v>1</v>
      </c>
      <c r="N13" s="925">
        <v>1</v>
      </c>
      <c r="O13" s="925">
        <v>1</v>
      </c>
      <c r="P13" s="925">
        <v>1</v>
      </c>
      <c r="Q13" s="925">
        <v>1</v>
      </c>
      <c r="R13" s="925">
        <v>1</v>
      </c>
      <c r="S13" s="925">
        <v>1</v>
      </c>
      <c r="T13" s="925">
        <v>1</v>
      </c>
      <c r="U13" s="925"/>
      <c r="V13" s="2404"/>
      <c r="W13" s="925">
        <v>1</v>
      </c>
      <c r="X13" s="925">
        <v>1</v>
      </c>
      <c r="Y13" s="925">
        <v>1</v>
      </c>
      <c r="Z13" s="925">
        <v>1</v>
      </c>
      <c r="AA13" s="925">
        <v>1</v>
      </c>
      <c r="AB13" s="925">
        <v>1</v>
      </c>
      <c r="AC13" s="925">
        <v>1</v>
      </c>
      <c r="AD13" s="925">
        <v>1</v>
      </c>
      <c r="AE13" s="925">
        <v>1</v>
      </c>
      <c r="AF13" s="925">
        <v>1</v>
      </c>
      <c r="AG13" s="925"/>
      <c r="AH13" s="925"/>
      <c r="AI13" s="925"/>
      <c r="AJ13" s="925"/>
      <c r="AK13" s="925"/>
      <c r="AL13" s="925"/>
      <c r="AM13" s="925"/>
      <c r="AN13" s="925"/>
      <c r="AO13" s="925"/>
      <c r="AP13" s="2404"/>
      <c r="AQ13" s="925">
        <v>1</v>
      </c>
      <c r="AR13" s="925">
        <v>1</v>
      </c>
      <c r="AS13" s="925">
        <v>1</v>
      </c>
      <c r="AT13" s="925">
        <v>1</v>
      </c>
      <c r="AU13" s="925">
        <v>1</v>
      </c>
      <c r="AV13" s="925"/>
      <c r="AW13" s="925">
        <v>2</v>
      </c>
      <c r="AX13" s="925">
        <v>1</v>
      </c>
      <c r="AY13" s="925">
        <v>2</v>
      </c>
      <c r="AZ13" s="925">
        <v>1</v>
      </c>
      <c r="BA13" s="925">
        <v>1</v>
      </c>
      <c r="BB13" s="925">
        <v>1</v>
      </c>
      <c r="BC13" s="925">
        <v>1</v>
      </c>
      <c r="BD13" s="925">
        <v>1</v>
      </c>
      <c r="BE13" s="925">
        <v>1</v>
      </c>
      <c r="BF13" s="925">
        <v>1</v>
      </c>
      <c r="BG13" s="925">
        <v>1</v>
      </c>
      <c r="BH13" s="925">
        <v>1</v>
      </c>
      <c r="BI13" s="924"/>
      <c r="BJ13" s="924"/>
      <c r="BK13" s="924"/>
    </row>
    <row r="14" spans="1:67" s="1780" customFormat="1" ht="21.95" customHeight="1" x14ac:dyDescent="0.15">
      <c r="A14" s="2635"/>
      <c r="B14" s="2640" t="s">
        <v>62</v>
      </c>
      <c r="C14" s="188" t="s">
        <v>479</v>
      </c>
      <c r="D14" s="1778"/>
      <c r="E14" s="1778" t="s">
        <v>2048</v>
      </c>
      <c r="F14" s="1778" t="s">
        <v>2048</v>
      </c>
      <c r="G14" s="1778" t="s">
        <v>2048</v>
      </c>
      <c r="H14" s="1778"/>
      <c r="I14" s="1778"/>
      <c r="J14" s="1778"/>
      <c r="K14" s="1778"/>
      <c r="L14" s="2405"/>
      <c r="M14" s="1778" t="s">
        <v>2048</v>
      </c>
      <c r="N14" s="1778" t="s">
        <v>2048</v>
      </c>
      <c r="O14" s="1778" t="s">
        <v>2048</v>
      </c>
      <c r="P14" s="1778" t="s">
        <v>2048</v>
      </c>
      <c r="Q14" s="1778" t="s">
        <v>2048</v>
      </c>
      <c r="R14" s="1778" t="s">
        <v>2048</v>
      </c>
      <c r="S14" s="1778" t="s">
        <v>2048</v>
      </c>
      <c r="T14" s="1778" t="s">
        <v>2048</v>
      </c>
      <c r="U14" s="1778"/>
      <c r="V14" s="2405"/>
      <c r="W14" s="1778" t="s">
        <v>2048</v>
      </c>
      <c r="X14" s="1778" t="s">
        <v>2048</v>
      </c>
      <c r="Y14" s="1778" t="s">
        <v>2048</v>
      </c>
      <c r="Z14" s="1778" t="s">
        <v>2048</v>
      </c>
      <c r="AA14" s="1778" t="s">
        <v>2048</v>
      </c>
      <c r="AB14" s="1778" t="s">
        <v>2048</v>
      </c>
      <c r="AC14" s="1778" t="s">
        <v>2048</v>
      </c>
      <c r="AD14" s="1778" t="s">
        <v>2048</v>
      </c>
      <c r="AE14" s="1778" t="s">
        <v>2048</v>
      </c>
      <c r="AF14" s="1778" t="s">
        <v>2048</v>
      </c>
      <c r="AG14" s="1778"/>
      <c r="AH14" s="1778"/>
      <c r="AI14" s="1778"/>
      <c r="AJ14" s="1778"/>
      <c r="AK14" s="1778"/>
      <c r="AL14" s="1778"/>
      <c r="AM14" s="1778"/>
      <c r="AN14" s="1778"/>
      <c r="AO14" s="1778"/>
      <c r="AP14" s="2405"/>
      <c r="AQ14" s="1778" t="s">
        <v>2048</v>
      </c>
      <c r="AR14" s="1778" t="s">
        <v>2048</v>
      </c>
      <c r="AS14" s="1778" t="s">
        <v>2048</v>
      </c>
      <c r="AT14" s="1778" t="s">
        <v>2048</v>
      </c>
      <c r="AU14" s="1778" t="s">
        <v>2048</v>
      </c>
      <c r="AV14" s="1778"/>
      <c r="AW14" s="1778" t="s">
        <v>2048</v>
      </c>
      <c r="AX14" s="1778" t="s">
        <v>2048</v>
      </c>
      <c r="AY14" s="1778" t="s">
        <v>2048</v>
      </c>
      <c r="AZ14" s="1778" t="s">
        <v>2048</v>
      </c>
      <c r="BA14" s="1779" t="s">
        <v>692</v>
      </c>
      <c r="BB14" s="1779" t="s">
        <v>692</v>
      </c>
      <c r="BC14" s="1778" t="s">
        <v>762</v>
      </c>
      <c r="BD14" s="1778" t="s">
        <v>762</v>
      </c>
      <c r="BE14" s="1778" t="s">
        <v>762</v>
      </c>
      <c r="BF14" s="1778" t="s">
        <v>762</v>
      </c>
      <c r="BG14" s="1779" t="s">
        <v>692</v>
      </c>
      <c r="BH14" s="1779" t="s">
        <v>692</v>
      </c>
      <c r="BI14" s="1778"/>
      <c r="BJ14" s="1778"/>
      <c r="BK14" s="1778"/>
    </row>
    <row r="15" spans="1:67" s="14" customFormat="1" ht="21.95" customHeight="1" x14ac:dyDescent="0.15">
      <c r="A15" s="2635"/>
      <c r="B15" s="2606"/>
      <c r="C15" s="418" t="s">
        <v>563</v>
      </c>
      <c r="D15" s="134"/>
      <c r="E15" s="134"/>
      <c r="F15" s="134"/>
      <c r="G15" s="134"/>
      <c r="H15" s="134"/>
      <c r="I15" s="134"/>
      <c r="J15" s="134"/>
      <c r="K15" s="134"/>
      <c r="L15" s="2406"/>
      <c r="M15" s="134"/>
      <c r="N15" s="134"/>
      <c r="O15" s="134"/>
      <c r="P15" s="134"/>
      <c r="Q15" s="134"/>
      <c r="R15" s="134"/>
      <c r="S15" s="134"/>
      <c r="T15" s="134"/>
      <c r="U15" s="134"/>
      <c r="V15" s="2406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2406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919"/>
    </row>
    <row r="16" spans="1:67" ht="21.95" customHeight="1" x14ac:dyDescent="0.15">
      <c r="A16" s="2635"/>
      <c r="B16" s="2606"/>
      <c r="C16" s="187" t="s">
        <v>736</v>
      </c>
      <c r="D16" s="134"/>
      <c r="E16" s="134"/>
      <c r="F16" s="134"/>
      <c r="G16" s="134"/>
      <c r="H16" s="134"/>
      <c r="I16" s="134"/>
      <c r="J16" s="134"/>
      <c r="K16" s="134"/>
      <c r="L16" s="2406"/>
      <c r="M16" s="134"/>
      <c r="N16" s="134"/>
      <c r="O16" s="134"/>
      <c r="P16" s="134"/>
      <c r="Q16" s="134"/>
      <c r="R16" s="134"/>
      <c r="S16" s="134"/>
      <c r="T16" s="134"/>
      <c r="U16" s="134"/>
      <c r="V16" s="2406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2406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</row>
    <row r="17" spans="1:64" ht="21.95" customHeight="1" x14ac:dyDescent="0.15">
      <c r="A17" s="2635"/>
      <c r="B17" s="2606"/>
      <c r="C17" s="187" t="s">
        <v>674</v>
      </c>
      <c r="D17" s="535"/>
      <c r="E17" s="535"/>
      <c r="F17" s="535"/>
      <c r="G17" s="535"/>
      <c r="H17" s="535"/>
      <c r="I17" s="535"/>
      <c r="J17" s="535"/>
      <c r="K17" s="535"/>
      <c r="L17" s="2407"/>
      <c r="M17" s="535"/>
      <c r="N17" s="535"/>
      <c r="O17" s="535"/>
      <c r="P17" s="535"/>
      <c r="Q17" s="535"/>
      <c r="R17" s="535"/>
      <c r="S17" s="535"/>
      <c r="T17" s="535"/>
      <c r="U17" s="535"/>
      <c r="V17" s="2407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2407"/>
      <c r="AQ17" s="535"/>
      <c r="AR17" s="535"/>
      <c r="AS17" s="535"/>
      <c r="AT17" s="535"/>
      <c r="AU17" s="535"/>
      <c r="AV17" s="535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</row>
    <row r="18" spans="1:64" ht="21.95" customHeight="1" x14ac:dyDescent="0.15">
      <c r="A18" s="2635"/>
      <c r="B18" s="2606"/>
      <c r="C18" s="187" t="s">
        <v>671</v>
      </c>
      <c r="D18" s="134"/>
      <c r="E18" s="134"/>
      <c r="F18" s="134"/>
      <c r="G18" s="134"/>
      <c r="H18" s="134"/>
      <c r="I18" s="134"/>
      <c r="J18" s="134"/>
      <c r="K18" s="134"/>
      <c r="L18" s="2406"/>
      <c r="M18" s="134"/>
      <c r="N18" s="134"/>
      <c r="O18" s="134"/>
      <c r="P18" s="134"/>
      <c r="Q18" s="134"/>
      <c r="R18" s="134"/>
      <c r="S18" s="134"/>
      <c r="T18" s="134"/>
      <c r="U18" s="134"/>
      <c r="V18" s="2406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2406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</row>
    <row r="19" spans="1:64" ht="21.95" customHeight="1" x14ac:dyDescent="0.15">
      <c r="A19" s="2635"/>
      <c r="B19" s="2606"/>
      <c r="C19" s="187" t="s">
        <v>672</v>
      </c>
      <c r="D19" s="335"/>
      <c r="E19" s="335">
        <f t="shared" ref="E19" si="55">IF(E18=0,0,E3)</f>
        <v>0</v>
      </c>
      <c r="F19" s="335">
        <f t="shared" ref="F19:AF19" si="56">IF(F18=0,0,F3)</f>
        <v>0</v>
      </c>
      <c r="G19" s="335">
        <f t="shared" si="56"/>
        <v>0</v>
      </c>
      <c r="H19" s="335"/>
      <c r="I19" s="335"/>
      <c r="J19" s="335"/>
      <c r="K19" s="335"/>
      <c r="L19" s="2401"/>
      <c r="M19" s="335">
        <f t="shared" si="56"/>
        <v>0</v>
      </c>
      <c r="N19" s="335">
        <f t="shared" si="56"/>
        <v>0</v>
      </c>
      <c r="O19" s="335">
        <f t="shared" si="56"/>
        <v>0</v>
      </c>
      <c r="P19" s="335">
        <f t="shared" si="56"/>
        <v>0</v>
      </c>
      <c r="Q19" s="335">
        <f t="shared" si="56"/>
        <v>0</v>
      </c>
      <c r="R19" s="335">
        <f t="shared" si="56"/>
        <v>0</v>
      </c>
      <c r="S19" s="335">
        <f t="shared" si="56"/>
        <v>0</v>
      </c>
      <c r="T19" s="335">
        <f t="shared" si="56"/>
        <v>0</v>
      </c>
      <c r="U19" s="335"/>
      <c r="V19" s="2401"/>
      <c r="W19" s="335">
        <f t="shared" si="56"/>
        <v>0</v>
      </c>
      <c r="X19" s="335">
        <f t="shared" si="56"/>
        <v>0</v>
      </c>
      <c r="Y19" s="335">
        <f t="shared" si="56"/>
        <v>0</v>
      </c>
      <c r="Z19" s="335">
        <f t="shared" si="56"/>
        <v>0</v>
      </c>
      <c r="AA19" s="335">
        <f t="shared" si="56"/>
        <v>0</v>
      </c>
      <c r="AB19" s="335">
        <f t="shared" si="56"/>
        <v>0</v>
      </c>
      <c r="AC19" s="335">
        <f t="shared" si="56"/>
        <v>0</v>
      </c>
      <c r="AD19" s="335">
        <f t="shared" si="56"/>
        <v>0</v>
      </c>
      <c r="AE19" s="335">
        <f t="shared" si="56"/>
        <v>0</v>
      </c>
      <c r="AF19" s="335">
        <f t="shared" si="56"/>
        <v>0</v>
      </c>
      <c r="AG19" s="335"/>
      <c r="AH19" s="335"/>
      <c r="AI19" s="335"/>
      <c r="AJ19" s="335"/>
      <c r="AK19" s="335"/>
      <c r="AL19" s="335"/>
      <c r="AM19" s="335"/>
      <c r="AN19" s="335"/>
      <c r="AO19" s="335"/>
      <c r="AP19" s="2401"/>
      <c r="AQ19" s="335">
        <f t="shared" ref="AQ19:AU19" si="57">IF(AQ18=0,0,AQ3)</f>
        <v>0</v>
      </c>
      <c r="AR19" s="335">
        <f t="shared" si="57"/>
        <v>0</v>
      </c>
      <c r="AS19" s="335">
        <f t="shared" si="57"/>
        <v>0</v>
      </c>
      <c r="AT19" s="335">
        <f t="shared" si="57"/>
        <v>0</v>
      </c>
      <c r="AU19" s="335">
        <f t="shared" si="57"/>
        <v>0</v>
      </c>
      <c r="AV19" s="335"/>
      <c r="AW19" s="335">
        <f>IF(AW18=0,0,AW3)</f>
        <v>0</v>
      </c>
      <c r="AX19" s="335">
        <f t="shared" ref="AX19:BH19" si="58">IF(AX18=0,0,AX3)</f>
        <v>0</v>
      </c>
      <c r="AY19" s="335">
        <f t="shared" si="58"/>
        <v>0</v>
      </c>
      <c r="AZ19" s="335">
        <f t="shared" si="58"/>
        <v>0</v>
      </c>
      <c r="BA19" s="335">
        <f t="shared" si="58"/>
        <v>0</v>
      </c>
      <c r="BB19" s="335">
        <f t="shared" si="58"/>
        <v>0</v>
      </c>
      <c r="BC19" s="335">
        <f t="shared" si="58"/>
        <v>0</v>
      </c>
      <c r="BD19" s="335">
        <f t="shared" si="58"/>
        <v>0</v>
      </c>
      <c r="BE19" s="335">
        <f t="shared" si="58"/>
        <v>0</v>
      </c>
      <c r="BF19" s="335">
        <f t="shared" si="58"/>
        <v>0</v>
      </c>
      <c r="BG19" s="335">
        <f t="shared" si="58"/>
        <v>0</v>
      </c>
      <c r="BH19" s="335">
        <f t="shared" si="58"/>
        <v>0</v>
      </c>
      <c r="BI19" s="134"/>
      <c r="BJ19" s="134"/>
      <c r="BK19" s="134"/>
    </row>
    <row r="20" spans="1:64" ht="21.95" customHeight="1" x14ac:dyDescent="0.15">
      <c r="A20" s="2635"/>
      <c r="B20" s="2606"/>
      <c r="C20" s="187" t="s">
        <v>108</v>
      </c>
      <c r="D20" s="134"/>
      <c r="E20" s="134"/>
      <c r="F20" s="134"/>
      <c r="G20" s="134"/>
      <c r="H20" s="134"/>
      <c r="I20" s="134"/>
      <c r="J20" s="134"/>
      <c r="K20" s="134"/>
      <c r="L20" s="2406"/>
      <c r="M20" s="134"/>
      <c r="N20" s="134"/>
      <c r="O20" s="134"/>
      <c r="P20" s="134"/>
      <c r="Q20" s="134"/>
      <c r="R20" s="134"/>
      <c r="S20" s="134"/>
      <c r="T20" s="134"/>
      <c r="U20" s="134"/>
      <c r="V20" s="2406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2406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</row>
    <row r="21" spans="1:64" s="15" customFormat="1" ht="21.95" customHeight="1" x14ac:dyDescent="0.15">
      <c r="A21" s="2635"/>
      <c r="B21" s="2606"/>
      <c r="C21" s="187" t="s">
        <v>112</v>
      </c>
      <c r="D21" s="335"/>
      <c r="E21" s="335">
        <f t="shared" ref="E21" si="59">IF(E20=0,0,E3)</f>
        <v>0</v>
      </c>
      <c r="F21" s="335">
        <f t="shared" ref="F21:AF21" si="60">IF(F20=0,0,F3)</f>
        <v>0</v>
      </c>
      <c r="G21" s="335">
        <f t="shared" si="60"/>
        <v>0</v>
      </c>
      <c r="H21" s="335"/>
      <c r="I21" s="335"/>
      <c r="J21" s="335"/>
      <c r="K21" s="335"/>
      <c r="L21" s="2401"/>
      <c r="M21" s="335">
        <f t="shared" si="60"/>
        <v>0</v>
      </c>
      <c r="N21" s="335">
        <f t="shared" si="60"/>
        <v>0</v>
      </c>
      <c r="O21" s="335">
        <f t="shared" si="60"/>
        <v>0</v>
      </c>
      <c r="P21" s="335">
        <f t="shared" si="60"/>
        <v>0</v>
      </c>
      <c r="Q21" s="335">
        <f t="shared" si="60"/>
        <v>0</v>
      </c>
      <c r="R21" s="335">
        <f t="shared" si="60"/>
        <v>0</v>
      </c>
      <c r="S21" s="335">
        <f t="shared" si="60"/>
        <v>0</v>
      </c>
      <c r="T21" s="335">
        <f t="shared" si="60"/>
        <v>0</v>
      </c>
      <c r="U21" s="335"/>
      <c r="V21" s="2401"/>
      <c r="W21" s="335">
        <f t="shared" si="60"/>
        <v>0</v>
      </c>
      <c r="X21" s="335">
        <f t="shared" si="60"/>
        <v>0</v>
      </c>
      <c r="Y21" s="335">
        <f t="shared" si="60"/>
        <v>0</v>
      </c>
      <c r="Z21" s="335">
        <f t="shared" si="60"/>
        <v>0</v>
      </c>
      <c r="AA21" s="335">
        <f t="shared" si="60"/>
        <v>0</v>
      </c>
      <c r="AB21" s="335">
        <f t="shared" si="60"/>
        <v>0</v>
      </c>
      <c r="AC21" s="335">
        <f t="shared" si="60"/>
        <v>0</v>
      </c>
      <c r="AD21" s="335">
        <f t="shared" si="60"/>
        <v>0</v>
      </c>
      <c r="AE21" s="335">
        <f t="shared" si="60"/>
        <v>0</v>
      </c>
      <c r="AF21" s="335">
        <f t="shared" si="60"/>
        <v>0</v>
      </c>
      <c r="AG21" s="335"/>
      <c r="AH21" s="335"/>
      <c r="AI21" s="335"/>
      <c r="AJ21" s="335"/>
      <c r="AK21" s="335"/>
      <c r="AL21" s="335"/>
      <c r="AM21" s="335"/>
      <c r="AN21" s="335"/>
      <c r="AO21" s="335"/>
      <c r="AP21" s="2401"/>
      <c r="AQ21" s="335">
        <f t="shared" ref="AQ21:AU21" si="61">IF(AQ20=0,0,AQ3)</f>
        <v>0</v>
      </c>
      <c r="AR21" s="335">
        <f t="shared" si="61"/>
        <v>0</v>
      </c>
      <c r="AS21" s="335">
        <f t="shared" si="61"/>
        <v>0</v>
      </c>
      <c r="AT21" s="335">
        <f t="shared" si="61"/>
        <v>0</v>
      </c>
      <c r="AU21" s="335">
        <f t="shared" si="61"/>
        <v>0</v>
      </c>
      <c r="AV21" s="335"/>
      <c r="AW21" s="335">
        <f>IF(AW20=0,0,AW3)</f>
        <v>0</v>
      </c>
      <c r="AX21" s="335">
        <f t="shared" ref="AX21:BH21" si="62">IF(AX20=0,0,AX3)</f>
        <v>0</v>
      </c>
      <c r="AY21" s="335">
        <f t="shared" si="62"/>
        <v>0</v>
      </c>
      <c r="AZ21" s="335">
        <f t="shared" si="62"/>
        <v>0</v>
      </c>
      <c r="BA21" s="335">
        <f t="shared" si="62"/>
        <v>0</v>
      </c>
      <c r="BB21" s="335">
        <f t="shared" si="62"/>
        <v>0</v>
      </c>
      <c r="BC21" s="335">
        <f t="shared" si="62"/>
        <v>0</v>
      </c>
      <c r="BD21" s="335">
        <f t="shared" si="62"/>
        <v>0</v>
      </c>
      <c r="BE21" s="335">
        <f t="shared" si="62"/>
        <v>0</v>
      </c>
      <c r="BF21" s="335">
        <f t="shared" si="62"/>
        <v>0</v>
      </c>
      <c r="BG21" s="335">
        <f t="shared" si="62"/>
        <v>0</v>
      </c>
      <c r="BH21" s="335">
        <f t="shared" si="62"/>
        <v>0</v>
      </c>
      <c r="BI21" s="134"/>
      <c r="BJ21" s="134"/>
      <c r="BK21" s="134"/>
      <c r="BL21" s="918"/>
    </row>
    <row r="22" spans="1:64" ht="21.95" customHeight="1" x14ac:dyDescent="0.15">
      <c r="A22" s="2635"/>
      <c r="B22" s="2606"/>
      <c r="C22" s="187" t="s">
        <v>109</v>
      </c>
      <c r="D22" s="134"/>
      <c r="E22" s="134"/>
      <c r="F22" s="134"/>
      <c r="G22" s="134"/>
      <c r="H22" s="134"/>
      <c r="I22" s="134"/>
      <c r="J22" s="134"/>
      <c r="K22" s="134"/>
      <c r="L22" s="2406"/>
      <c r="M22" s="134"/>
      <c r="N22" s="134"/>
      <c r="O22" s="134"/>
      <c r="P22" s="134"/>
      <c r="Q22" s="134"/>
      <c r="R22" s="134"/>
      <c r="S22" s="134"/>
      <c r="T22" s="134"/>
      <c r="U22" s="134"/>
      <c r="V22" s="2406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2406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</row>
    <row r="23" spans="1:64" s="15" customFormat="1" ht="21.95" customHeight="1" x14ac:dyDescent="0.15">
      <c r="A23" s="2635"/>
      <c r="B23" s="2632"/>
      <c r="C23" s="187" t="s">
        <v>113</v>
      </c>
      <c r="D23" s="335"/>
      <c r="E23" s="335">
        <f t="shared" ref="E23" si="63">IF(E22=0,0,E3)</f>
        <v>0</v>
      </c>
      <c r="F23" s="335">
        <f t="shared" ref="F23:AF23" si="64">IF(F22=0,0,F3)</f>
        <v>0</v>
      </c>
      <c r="G23" s="335">
        <f t="shared" si="64"/>
        <v>0</v>
      </c>
      <c r="H23" s="335"/>
      <c r="I23" s="335"/>
      <c r="J23" s="335"/>
      <c r="K23" s="335"/>
      <c r="L23" s="2401"/>
      <c r="M23" s="335">
        <f t="shared" si="64"/>
        <v>0</v>
      </c>
      <c r="N23" s="335">
        <f t="shared" si="64"/>
        <v>0</v>
      </c>
      <c r="O23" s="335">
        <f t="shared" si="64"/>
        <v>0</v>
      </c>
      <c r="P23" s="335">
        <f t="shared" si="64"/>
        <v>0</v>
      </c>
      <c r="Q23" s="335">
        <f t="shared" si="64"/>
        <v>0</v>
      </c>
      <c r="R23" s="335">
        <f t="shared" si="64"/>
        <v>0</v>
      </c>
      <c r="S23" s="335">
        <f t="shared" si="64"/>
        <v>0</v>
      </c>
      <c r="T23" s="335">
        <f t="shared" si="64"/>
        <v>0</v>
      </c>
      <c r="U23" s="335"/>
      <c r="V23" s="2401"/>
      <c r="W23" s="335">
        <f t="shared" si="64"/>
        <v>0</v>
      </c>
      <c r="X23" s="335">
        <f t="shared" si="64"/>
        <v>0</v>
      </c>
      <c r="Y23" s="335">
        <f t="shared" si="64"/>
        <v>0</v>
      </c>
      <c r="Z23" s="335">
        <f t="shared" si="64"/>
        <v>0</v>
      </c>
      <c r="AA23" s="335">
        <f t="shared" si="64"/>
        <v>0</v>
      </c>
      <c r="AB23" s="335">
        <f t="shared" si="64"/>
        <v>0</v>
      </c>
      <c r="AC23" s="335">
        <f t="shared" si="64"/>
        <v>0</v>
      </c>
      <c r="AD23" s="335">
        <f t="shared" si="64"/>
        <v>0</v>
      </c>
      <c r="AE23" s="335">
        <f t="shared" si="64"/>
        <v>0</v>
      </c>
      <c r="AF23" s="335">
        <f t="shared" si="64"/>
        <v>0</v>
      </c>
      <c r="AG23" s="335"/>
      <c r="AH23" s="335"/>
      <c r="AI23" s="335"/>
      <c r="AJ23" s="335"/>
      <c r="AK23" s="335"/>
      <c r="AL23" s="335"/>
      <c r="AM23" s="335"/>
      <c r="AN23" s="335"/>
      <c r="AO23" s="335"/>
      <c r="AP23" s="2401"/>
      <c r="AQ23" s="335">
        <f t="shared" ref="AQ23:AU23" si="65">IF(AQ22=0,0,AQ3)</f>
        <v>0</v>
      </c>
      <c r="AR23" s="335">
        <f t="shared" si="65"/>
        <v>0</v>
      </c>
      <c r="AS23" s="335">
        <f t="shared" si="65"/>
        <v>0</v>
      </c>
      <c r="AT23" s="335">
        <f t="shared" si="65"/>
        <v>0</v>
      </c>
      <c r="AU23" s="335">
        <f t="shared" si="65"/>
        <v>0</v>
      </c>
      <c r="AV23" s="335"/>
      <c r="AW23" s="335">
        <f>IF(AW22=0,0,AW3)</f>
        <v>0</v>
      </c>
      <c r="AX23" s="335">
        <f t="shared" ref="AX23:BH23" si="66">IF(AX22=0,0,AX3)</f>
        <v>0</v>
      </c>
      <c r="AY23" s="335">
        <f t="shared" si="66"/>
        <v>0</v>
      </c>
      <c r="AZ23" s="335">
        <f t="shared" si="66"/>
        <v>0</v>
      </c>
      <c r="BA23" s="335">
        <f t="shared" si="66"/>
        <v>0</v>
      </c>
      <c r="BB23" s="335">
        <f t="shared" si="66"/>
        <v>0</v>
      </c>
      <c r="BC23" s="335">
        <f t="shared" si="66"/>
        <v>0</v>
      </c>
      <c r="BD23" s="335">
        <f t="shared" si="66"/>
        <v>0</v>
      </c>
      <c r="BE23" s="335">
        <f t="shared" si="66"/>
        <v>0</v>
      </c>
      <c r="BF23" s="335">
        <f t="shared" si="66"/>
        <v>0</v>
      </c>
      <c r="BG23" s="335">
        <f t="shared" si="66"/>
        <v>0</v>
      </c>
      <c r="BH23" s="335">
        <f t="shared" si="66"/>
        <v>0</v>
      </c>
      <c r="BI23" s="19"/>
      <c r="BJ23" s="19"/>
      <c r="BK23" s="19"/>
      <c r="BL23" s="918"/>
    </row>
    <row r="24" spans="1:64" s="15" customFormat="1" ht="21.95" customHeight="1" x14ac:dyDescent="0.15">
      <c r="A24" s="2635"/>
      <c r="B24" s="2631" t="s">
        <v>304</v>
      </c>
      <c r="C24" s="187" t="s">
        <v>13</v>
      </c>
      <c r="D24" s="336"/>
      <c r="E24" s="336"/>
      <c r="F24" s="336"/>
      <c r="G24" s="336"/>
      <c r="H24" s="336"/>
      <c r="I24" s="336"/>
      <c r="J24" s="336"/>
      <c r="K24" s="336"/>
      <c r="L24" s="2408"/>
      <c r="M24" s="336"/>
      <c r="N24" s="336"/>
      <c r="O24" s="336"/>
      <c r="P24" s="336"/>
      <c r="Q24" s="336"/>
      <c r="R24" s="336"/>
      <c r="S24" s="336"/>
      <c r="T24" s="336"/>
      <c r="U24" s="336"/>
      <c r="V24" s="2408"/>
      <c r="W24" s="336"/>
      <c r="X24" s="336"/>
      <c r="Y24" s="336"/>
      <c r="Z24" s="336"/>
      <c r="AA24" s="336"/>
      <c r="AB24" s="336"/>
      <c r="AC24" s="336"/>
      <c r="AD24" s="336"/>
      <c r="AE24" s="336"/>
      <c r="AF24" s="336"/>
      <c r="AG24" s="336"/>
      <c r="AH24" s="336"/>
      <c r="AI24" s="336"/>
      <c r="AJ24" s="336"/>
      <c r="AK24" s="336"/>
      <c r="AL24" s="336"/>
      <c r="AM24" s="336"/>
      <c r="AN24" s="336"/>
      <c r="AO24" s="336"/>
      <c r="AP24" s="2408"/>
      <c r="AQ24" s="336"/>
      <c r="AR24" s="336"/>
      <c r="AS24" s="336"/>
      <c r="AT24" s="336"/>
      <c r="AU24" s="336"/>
      <c r="AV24" s="336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34"/>
      <c r="BJ24" s="334"/>
      <c r="BK24" s="334"/>
      <c r="BL24" s="918"/>
    </row>
    <row r="25" spans="1:64" s="15" customFormat="1" ht="21.95" customHeight="1" x14ac:dyDescent="0.15">
      <c r="A25" s="2635"/>
      <c r="B25" s="2632"/>
      <c r="C25" s="187" t="s">
        <v>477</v>
      </c>
      <c r="D25" s="157"/>
      <c r="E25" s="157"/>
      <c r="F25" s="157"/>
      <c r="G25" s="157"/>
      <c r="H25" s="157"/>
      <c r="I25" s="157"/>
      <c r="J25" s="157"/>
      <c r="K25" s="157"/>
      <c r="L25" s="2409"/>
      <c r="M25" s="157"/>
      <c r="N25" s="157"/>
      <c r="O25" s="157"/>
      <c r="P25" s="157"/>
      <c r="Q25" s="157"/>
      <c r="R25" s="157"/>
      <c r="S25" s="157"/>
      <c r="T25" s="157"/>
      <c r="U25" s="157"/>
      <c r="V25" s="2409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2409"/>
      <c r="AQ25" s="157"/>
      <c r="AR25" s="157"/>
      <c r="AS25" s="157"/>
      <c r="AT25" s="157"/>
      <c r="AU25" s="157"/>
      <c r="AV25" s="157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918"/>
    </row>
    <row r="26" spans="1:64" ht="21.95" customHeight="1" x14ac:dyDescent="0.15">
      <c r="A26" s="2635"/>
      <c r="B26" s="2631" t="s">
        <v>14</v>
      </c>
      <c r="C26" s="421" t="s">
        <v>156</v>
      </c>
      <c r="D26" s="227"/>
      <c r="E26" s="227"/>
      <c r="F26" s="227"/>
      <c r="G26" s="227"/>
      <c r="H26" s="227"/>
      <c r="I26" s="227"/>
      <c r="J26" s="227"/>
      <c r="K26" s="227"/>
      <c r="L26" s="2410"/>
      <c r="M26" s="227"/>
      <c r="N26" s="227"/>
      <c r="O26" s="227"/>
      <c r="P26" s="227"/>
      <c r="Q26" s="227"/>
      <c r="R26" s="227">
        <v>8</v>
      </c>
      <c r="S26" s="227"/>
      <c r="T26" s="227"/>
      <c r="U26" s="227"/>
      <c r="V26" s="2410"/>
      <c r="W26" s="227"/>
      <c r="X26" s="227"/>
      <c r="Y26" s="227"/>
      <c r="Z26" s="227"/>
      <c r="AA26" s="227"/>
      <c r="AB26" s="227"/>
      <c r="AC26" s="227"/>
      <c r="AD26" s="227">
        <f>+AD37</f>
        <v>25</v>
      </c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410"/>
      <c r="AQ26" s="227"/>
      <c r="AR26" s="227"/>
      <c r="AS26" s="227"/>
      <c r="AT26" s="227"/>
      <c r="AU26" s="227"/>
      <c r="AV26" s="227"/>
      <c r="AW26" s="334"/>
      <c r="AX26" s="334"/>
      <c r="AY26" s="334"/>
      <c r="AZ26" s="334"/>
      <c r="BA26" s="334"/>
      <c r="BB26" s="334"/>
      <c r="BC26" s="334"/>
      <c r="BD26" s="334"/>
      <c r="BE26" s="334"/>
      <c r="BF26" s="334"/>
      <c r="BG26" s="334"/>
      <c r="BH26" s="334"/>
      <c r="BI26" s="334"/>
      <c r="BJ26" s="334"/>
      <c r="BK26" s="334"/>
    </row>
    <row r="27" spans="1:64" ht="21.95" customHeight="1" x14ac:dyDescent="0.15">
      <c r="A27" s="2635"/>
      <c r="B27" s="2606"/>
      <c r="C27" s="421" t="s">
        <v>157</v>
      </c>
      <c r="D27" s="134"/>
      <c r="E27" s="134"/>
      <c r="F27" s="134"/>
      <c r="G27" s="134"/>
      <c r="H27" s="134"/>
      <c r="I27" s="134"/>
      <c r="J27" s="134"/>
      <c r="K27" s="134"/>
      <c r="L27" s="2406"/>
      <c r="M27" s="134"/>
      <c r="N27" s="134"/>
      <c r="O27" s="134"/>
      <c r="P27" s="134"/>
      <c r="Q27" s="134"/>
      <c r="R27" s="134"/>
      <c r="S27" s="134"/>
      <c r="T27" s="134"/>
      <c r="U27" s="134"/>
      <c r="V27" s="2406"/>
      <c r="W27" s="134"/>
      <c r="X27" s="134"/>
      <c r="Y27" s="134"/>
      <c r="Z27" s="134"/>
      <c r="AA27" s="134"/>
      <c r="AB27" s="134"/>
      <c r="AC27" s="134"/>
      <c r="AD27" s="134">
        <f>+AD38</f>
        <v>27</v>
      </c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2406"/>
      <c r="AQ27" s="134"/>
      <c r="AR27" s="134"/>
      <c r="AS27" s="134"/>
      <c r="AT27" s="134"/>
      <c r="AU27" s="134"/>
      <c r="AV27" s="134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</row>
    <row r="28" spans="1:64" ht="21.95" customHeight="1" x14ac:dyDescent="0.15">
      <c r="A28" s="2635"/>
      <c r="B28" s="2606"/>
      <c r="C28" s="187" t="s">
        <v>63</v>
      </c>
      <c r="D28" s="134"/>
      <c r="E28" s="134"/>
      <c r="F28" s="134"/>
      <c r="G28" s="134"/>
      <c r="H28" s="134"/>
      <c r="I28" s="134"/>
      <c r="J28" s="134"/>
      <c r="K28" s="134"/>
      <c r="L28" s="2406"/>
      <c r="M28" s="134"/>
      <c r="N28" s="134"/>
      <c r="O28" s="134"/>
      <c r="P28" s="134"/>
      <c r="Q28" s="134"/>
      <c r="R28" s="134"/>
      <c r="S28" s="134"/>
      <c r="T28" s="134"/>
      <c r="U28" s="134"/>
      <c r="V28" s="2406"/>
      <c r="W28" s="134"/>
      <c r="X28" s="134"/>
      <c r="Y28" s="134"/>
      <c r="Z28" s="134"/>
      <c r="AA28" s="134"/>
      <c r="AB28" s="134"/>
      <c r="AC28" s="134">
        <v>27</v>
      </c>
      <c r="AD28" s="134">
        <v>10</v>
      </c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2406"/>
      <c r="AQ28" s="134"/>
      <c r="AR28" s="134"/>
      <c r="AS28" s="134"/>
      <c r="AT28" s="134"/>
      <c r="AU28" s="134"/>
      <c r="AV28" s="134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</row>
    <row r="29" spans="1:64" ht="21.95" customHeight="1" x14ac:dyDescent="0.15">
      <c r="A29" s="2635"/>
      <c r="B29" s="2606"/>
      <c r="C29" s="187" t="s">
        <v>633</v>
      </c>
      <c r="D29" s="134"/>
      <c r="E29" s="134"/>
      <c r="F29" s="134"/>
      <c r="G29" s="134"/>
      <c r="H29" s="134"/>
      <c r="I29" s="134"/>
      <c r="J29" s="134"/>
      <c r="K29" s="134"/>
      <c r="L29" s="2406"/>
      <c r="M29" s="134"/>
      <c r="N29" s="134"/>
      <c r="O29" s="134"/>
      <c r="P29" s="134"/>
      <c r="Q29" s="134"/>
      <c r="R29" s="134">
        <v>3</v>
      </c>
      <c r="S29" s="134"/>
      <c r="T29" s="134"/>
      <c r="U29" s="134"/>
      <c r="V29" s="2406"/>
      <c r="W29" s="134"/>
      <c r="X29" s="134"/>
      <c r="Y29" s="134"/>
      <c r="Z29" s="134"/>
      <c r="AA29" s="134"/>
      <c r="AB29" s="134"/>
      <c r="AC29" s="134">
        <v>3</v>
      </c>
      <c r="AD29" s="134">
        <v>3</v>
      </c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2406"/>
      <c r="AQ29" s="134"/>
      <c r="AR29" s="134"/>
      <c r="AS29" s="134"/>
      <c r="AT29" s="134"/>
      <c r="AU29" s="134"/>
      <c r="AV29" s="134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</row>
    <row r="30" spans="1:64" ht="21.95" customHeight="1" x14ac:dyDescent="0.15">
      <c r="A30" s="2635"/>
      <c r="B30" s="2606"/>
      <c r="C30" s="187" t="s">
        <v>685</v>
      </c>
      <c r="D30" s="134"/>
      <c r="E30" s="134"/>
      <c r="F30" s="134"/>
      <c r="G30" s="134"/>
      <c r="H30" s="134"/>
      <c r="I30" s="134"/>
      <c r="J30" s="134"/>
      <c r="K30" s="134"/>
      <c r="L30" s="2406"/>
      <c r="M30" s="134"/>
      <c r="N30" s="134"/>
      <c r="O30" s="134"/>
      <c r="P30" s="134"/>
      <c r="Q30" s="134"/>
      <c r="R30" s="134"/>
      <c r="S30" s="134"/>
      <c r="T30" s="134"/>
      <c r="U30" s="134"/>
      <c r="V30" s="2406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2406"/>
      <c r="AQ30" s="134"/>
      <c r="AR30" s="134"/>
      <c r="AS30" s="134"/>
      <c r="AT30" s="134"/>
      <c r="AU30" s="134"/>
      <c r="AV30" s="134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</row>
    <row r="31" spans="1:64" ht="21.95" customHeight="1" x14ac:dyDescent="0.15">
      <c r="A31" s="2635"/>
      <c r="B31" s="2606"/>
      <c r="C31" s="187" t="s">
        <v>476</v>
      </c>
      <c r="D31" s="134"/>
      <c r="E31" s="134"/>
      <c r="F31" s="134"/>
      <c r="G31" s="134"/>
      <c r="H31" s="134"/>
      <c r="I31" s="134"/>
      <c r="J31" s="134"/>
      <c r="K31" s="134"/>
      <c r="L31" s="2406"/>
      <c r="M31" s="134"/>
      <c r="N31" s="134"/>
      <c r="O31" s="134"/>
      <c r="P31" s="134"/>
      <c r="Q31" s="134"/>
      <c r="R31" s="134">
        <v>15</v>
      </c>
      <c r="S31" s="134"/>
      <c r="T31" s="134"/>
      <c r="U31" s="134"/>
      <c r="V31" s="2406"/>
      <c r="W31" s="134"/>
      <c r="X31" s="134"/>
      <c r="Y31" s="134"/>
      <c r="Z31" s="134"/>
      <c r="AA31" s="134"/>
      <c r="AB31" s="134"/>
      <c r="AC31" s="134">
        <v>15</v>
      </c>
      <c r="AD31" s="134">
        <v>15</v>
      </c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2406"/>
      <c r="AQ31" s="134"/>
      <c r="AR31" s="134"/>
      <c r="AS31" s="134"/>
      <c r="AT31" s="134"/>
      <c r="AU31" s="134"/>
      <c r="AV31" s="134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</row>
    <row r="32" spans="1:64" s="505" customFormat="1" ht="21.95" customHeight="1" x14ac:dyDescent="0.15">
      <c r="A32" s="2635"/>
      <c r="B32" s="2606"/>
      <c r="C32" s="187" t="s">
        <v>328</v>
      </c>
      <c r="D32" s="157"/>
      <c r="E32" s="157"/>
      <c r="F32" s="157"/>
      <c r="G32" s="157"/>
      <c r="H32" s="157"/>
      <c r="I32" s="157"/>
      <c r="J32" s="157"/>
      <c r="K32" s="157"/>
      <c r="L32" s="2409"/>
      <c r="M32" s="157"/>
      <c r="N32" s="157"/>
      <c r="O32" s="157"/>
      <c r="P32" s="157"/>
      <c r="Q32" s="157"/>
      <c r="R32" s="157">
        <v>0.4</v>
      </c>
      <c r="S32" s="157"/>
      <c r="T32" s="157"/>
      <c r="U32" s="157"/>
      <c r="V32" s="2409"/>
      <c r="W32" s="157"/>
      <c r="X32" s="157"/>
      <c r="Y32" s="157"/>
      <c r="Z32" s="157"/>
      <c r="AA32" s="157"/>
      <c r="AB32" s="157"/>
      <c r="AC32" s="157">
        <v>0.4</v>
      </c>
      <c r="AD32" s="157">
        <v>0.4</v>
      </c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2409"/>
      <c r="AQ32" s="157"/>
      <c r="AR32" s="157"/>
      <c r="AS32" s="157"/>
      <c r="AT32" s="157"/>
      <c r="AU32" s="157"/>
      <c r="AV32" s="157"/>
      <c r="AW32" s="504"/>
      <c r="AX32" s="504"/>
      <c r="AY32" s="504"/>
      <c r="AZ32" s="504"/>
      <c r="BA32" s="504"/>
      <c r="BB32" s="504"/>
      <c r="BC32" s="504"/>
      <c r="BD32" s="504"/>
      <c r="BE32" s="504"/>
      <c r="BF32" s="504"/>
      <c r="BG32" s="504"/>
      <c r="BH32" s="504"/>
      <c r="BI32" s="504"/>
      <c r="BJ32" s="504"/>
      <c r="BK32" s="504"/>
      <c r="BL32" s="921"/>
    </row>
    <row r="33" spans="1:64" s="505" customFormat="1" ht="21.95" customHeight="1" x14ac:dyDescent="0.15">
      <c r="A33" s="2635"/>
      <c r="B33" s="2606"/>
      <c r="C33" s="421" t="s">
        <v>1303</v>
      </c>
      <c r="D33" s="157"/>
      <c r="E33" s="157"/>
      <c r="F33" s="157"/>
      <c r="G33" s="157"/>
      <c r="H33" s="157"/>
      <c r="I33" s="157"/>
      <c r="J33" s="157"/>
      <c r="K33" s="157"/>
      <c r="L33" s="2409"/>
      <c r="M33" s="157"/>
      <c r="N33" s="157"/>
      <c r="O33" s="157"/>
      <c r="P33" s="157"/>
      <c r="Q33" s="157"/>
      <c r="R33" s="157">
        <v>0.6</v>
      </c>
      <c r="S33" s="157"/>
      <c r="T33" s="157"/>
      <c r="U33" s="157"/>
      <c r="V33" s="2409"/>
      <c r="W33" s="157"/>
      <c r="X33" s="157"/>
      <c r="Y33" s="157"/>
      <c r="Z33" s="157"/>
      <c r="AA33" s="157"/>
      <c r="AB33" s="157"/>
      <c r="AC33" s="157">
        <v>0.6</v>
      </c>
      <c r="AD33" s="157">
        <v>0.6</v>
      </c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2409"/>
      <c r="AQ33" s="157"/>
      <c r="AR33" s="157"/>
      <c r="AS33" s="157"/>
      <c r="AT33" s="157"/>
      <c r="AU33" s="157"/>
      <c r="AV33" s="157"/>
      <c r="AW33" s="504"/>
      <c r="AX33" s="504"/>
      <c r="AY33" s="504"/>
      <c r="AZ33" s="504"/>
      <c r="BA33" s="504"/>
      <c r="BB33" s="504"/>
      <c r="BC33" s="504"/>
      <c r="BD33" s="504"/>
      <c r="BE33" s="504"/>
      <c r="BF33" s="504"/>
      <c r="BG33" s="504"/>
      <c r="BH33" s="504"/>
      <c r="BI33" s="504"/>
      <c r="BJ33" s="504"/>
      <c r="BK33" s="504"/>
      <c r="BL33" s="921"/>
    </row>
    <row r="34" spans="1:64" s="505" customFormat="1" ht="21.95" customHeight="1" x14ac:dyDescent="0.15">
      <c r="A34" s="2635"/>
      <c r="B34" s="2606"/>
      <c r="C34" s="187" t="s">
        <v>329</v>
      </c>
      <c r="D34" s="157"/>
      <c r="E34" s="157"/>
      <c r="F34" s="157"/>
      <c r="G34" s="157"/>
      <c r="H34" s="157"/>
      <c r="I34" s="157"/>
      <c r="J34" s="157"/>
      <c r="K34" s="157"/>
      <c r="L34" s="2409"/>
      <c r="M34" s="157"/>
      <c r="N34" s="157"/>
      <c r="O34" s="157"/>
      <c r="P34" s="157"/>
      <c r="Q34" s="157"/>
      <c r="R34" s="157"/>
      <c r="S34" s="157"/>
      <c r="T34" s="157"/>
      <c r="U34" s="157"/>
      <c r="V34" s="2409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2409"/>
      <c r="AQ34" s="157"/>
      <c r="AR34" s="157"/>
      <c r="AS34" s="157"/>
      <c r="AT34" s="157"/>
      <c r="AU34" s="157"/>
      <c r="AV34" s="157"/>
      <c r="AW34" s="504"/>
      <c r="AX34" s="504"/>
      <c r="AY34" s="504"/>
      <c r="AZ34" s="504"/>
      <c r="BA34" s="504"/>
      <c r="BB34" s="504"/>
      <c r="BC34" s="504"/>
      <c r="BD34" s="504"/>
      <c r="BE34" s="504"/>
      <c r="BF34" s="504"/>
      <c r="BG34" s="504"/>
      <c r="BH34" s="504"/>
      <c r="BI34" s="504"/>
      <c r="BJ34" s="504"/>
      <c r="BK34" s="504"/>
      <c r="BL34" s="921"/>
    </row>
    <row r="35" spans="1:64" s="505" customFormat="1" ht="21.95" customHeight="1" x14ac:dyDescent="0.15">
      <c r="A35" s="2635"/>
      <c r="B35" s="2606"/>
      <c r="C35" s="421" t="s">
        <v>1302</v>
      </c>
      <c r="D35" s="157"/>
      <c r="E35" s="157"/>
      <c r="F35" s="157"/>
      <c r="G35" s="157"/>
      <c r="H35" s="157"/>
      <c r="I35" s="157"/>
      <c r="J35" s="157"/>
      <c r="K35" s="157"/>
      <c r="L35" s="2409"/>
      <c r="M35" s="157"/>
      <c r="N35" s="157"/>
      <c r="O35" s="157"/>
      <c r="P35" s="157"/>
      <c r="Q35" s="157"/>
      <c r="R35" s="157"/>
      <c r="S35" s="157"/>
      <c r="T35" s="157"/>
      <c r="U35" s="157"/>
      <c r="V35" s="2409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2409"/>
      <c r="AQ35" s="157"/>
      <c r="AR35" s="157"/>
      <c r="AS35" s="157"/>
      <c r="AT35" s="157"/>
      <c r="AU35" s="157"/>
      <c r="AV35" s="157"/>
      <c r="AW35" s="504"/>
      <c r="AX35" s="504"/>
      <c r="AY35" s="504"/>
      <c r="AZ35" s="504"/>
      <c r="BA35" s="504"/>
      <c r="BB35" s="504"/>
      <c r="BC35" s="504"/>
      <c r="BD35" s="504"/>
      <c r="BE35" s="504"/>
      <c r="BF35" s="504"/>
      <c r="BG35" s="504"/>
      <c r="BH35" s="504"/>
      <c r="BI35" s="504"/>
      <c r="BJ35" s="504"/>
      <c r="BK35" s="504"/>
      <c r="BL35" s="921"/>
    </row>
    <row r="36" spans="1:64" s="505" customFormat="1" ht="21.95" customHeight="1" x14ac:dyDescent="0.15">
      <c r="A36" s="2635"/>
      <c r="B36" s="2632"/>
      <c r="C36" s="187" t="s">
        <v>1058</v>
      </c>
      <c r="D36" s="337"/>
      <c r="E36" s="337"/>
      <c r="F36" s="337"/>
      <c r="G36" s="337"/>
      <c r="H36" s="337"/>
      <c r="I36" s="337"/>
      <c r="J36" s="337"/>
      <c r="K36" s="337"/>
      <c r="L36" s="2411"/>
      <c r="M36" s="337"/>
      <c r="N36" s="337"/>
      <c r="O36" s="337"/>
      <c r="P36" s="337"/>
      <c r="Q36" s="337"/>
      <c r="R36" s="337"/>
      <c r="S36" s="337"/>
      <c r="T36" s="337"/>
      <c r="U36" s="337"/>
      <c r="V36" s="2411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2411"/>
      <c r="AQ36" s="337"/>
      <c r="AR36" s="337"/>
      <c r="AS36" s="337"/>
      <c r="AT36" s="337"/>
      <c r="AU36" s="337"/>
      <c r="AV36" s="337"/>
      <c r="AW36" s="506"/>
      <c r="AX36" s="506"/>
      <c r="AY36" s="506"/>
      <c r="AZ36" s="506"/>
      <c r="BA36" s="506"/>
      <c r="BB36" s="506"/>
      <c r="BC36" s="506"/>
      <c r="BD36" s="506"/>
      <c r="BE36" s="506"/>
      <c r="BF36" s="506"/>
      <c r="BG36" s="506"/>
      <c r="BH36" s="506"/>
      <c r="BI36" s="506"/>
      <c r="BJ36" s="506"/>
      <c r="BK36" s="506"/>
      <c r="BL36" s="921"/>
    </row>
    <row r="37" spans="1:64" ht="21.95" customHeight="1" x14ac:dyDescent="0.15">
      <c r="A37" s="2635"/>
      <c r="B37" s="2622" t="s">
        <v>892</v>
      </c>
      <c r="C37" s="421">
        <v>0.4</v>
      </c>
      <c r="D37" s="134"/>
      <c r="E37" s="134">
        <v>20</v>
      </c>
      <c r="F37" s="134">
        <v>21</v>
      </c>
      <c r="G37" s="134">
        <v>7</v>
      </c>
      <c r="H37" s="134"/>
      <c r="I37" s="134"/>
      <c r="J37" s="134"/>
      <c r="K37" s="134"/>
      <c r="L37" s="2406"/>
      <c r="M37" s="134">
        <v>48</v>
      </c>
      <c r="N37" s="134">
        <v>83</v>
      </c>
      <c r="O37" s="134">
        <v>10</v>
      </c>
      <c r="P37" s="134">
        <v>22</v>
      </c>
      <c r="Q37" s="134">
        <v>22</v>
      </c>
      <c r="R37" s="134">
        <v>38</v>
      </c>
      <c r="S37" s="134">
        <v>22</v>
      </c>
      <c r="T37" s="134">
        <v>22</v>
      </c>
      <c r="U37" s="134"/>
      <c r="V37" s="2406"/>
      <c r="W37" s="134">
        <v>45</v>
      </c>
      <c r="X37" s="134">
        <v>19</v>
      </c>
      <c r="Y37" s="134">
        <v>3</v>
      </c>
      <c r="Z37" s="134">
        <v>20</v>
      </c>
      <c r="AA37" s="134">
        <v>10</v>
      </c>
      <c r="AB37" s="134">
        <v>46</v>
      </c>
      <c r="AC37" s="134">
        <v>46</v>
      </c>
      <c r="AD37" s="134">
        <v>25</v>
      </c>
      <c r="AE37" s="134">
        <v>3</v>
      </c>
      <c r="AF37" s="134">
        <v>3</v>
      </c>
      <c r="AG37" s="134"/>
      <c r="AH37" s="134"/>
      <c r="AI37" s="134"/>
      <c r="AJ37" s="134"/>
      <c r="AK37" s="134"/>
      <c r="AL37" s="134"/>
      <c r="AM37" s="134"/>
      <c r="AN37" s="134"/>
      <c r="AO37" s="134"/>
      <c r="AP37" s="2406"/>
      <c r="AQ37" s="134">
        <v>50</v>
      </c>
      <c r="AR37" s="134">
        <v>48</v>
      </c>
      <c r="AS37" s="134">
        <v>48</v>
      </c>
      <c r="AT37" s="134">
        <v>38</v>
      </c>
      <c r="AU37" s="134">
        <v>83</v>
      </c>
      <c r="AV37" s="1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34"/>
      <c r="BJ37" s="334"/>
      <c r="BK37" s="334"/>
    </row>
    <row r="38" spans="1:64" ht="21.95" customHeight="1" x14ac:dyDescent="0.15">
      <c r="A38" s="2635"/>
      <c r="B38" s="2622"/>
      <c r="C38" s="421">
        <v>0.6</v>
      </c>
      <c r="D38" s="19"/>
      <c r="E38" s="19"/>
      <c r="F38" s="19"/>
      <c r="G38" s="19"/>
      <c r="H38" s="19"/>
      <c r="I38" s="19"/>
      <c r="J38" s="19"/>
      <c r="K38" s="19"/>
      <c r="L38" s="2412"/>
      <c r="M38" s="19"/>
      <c r="N38" s="19"/>
      <c r="O38" s="19"/>
      <c r="P38" s="19"/>
      <c r="Q38" s="19"/>
      <c r="R38" s="19"/>
      <c r="S38" s="19"/>
      <c r="T38" s="19"/>
      <c r="U38" s="19"/>
      <c r="V38" s="2412"/>
      <c r="W38" s="19">
        <v>20</v>
      </c>
      <c r="X38" s="19"/>
      <c r="Y38" s="19"/>
      <c r="Z38" s="19"/>
      <c r="AA38" s="19"/>
      <c r="AB38" s="19"/>
      <c r="AC38" s="19">
        <v>19</v>
      </c>
      <c r="AD38" s="19">
        <v>27</v>
      </c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2412"/>
      <c r="AQ38" s="19"/>
      <c r="AR38" s="19"/>
      <c r="AS38" s="19"/>
      <c r="AT38" s="19"/>
      <c r="AU38" s="19"/>
      <c r="AV38" s="19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</row>
    <row r="39" spans="1:64" ht="21.95" hidden="1" customHeight="1" x14ac:dyDescent="0.15">
      <c r="A39" s="2635"/>
      <c r="B39" s="2622" t="s">
        <v>893</v>
      </c>
      <c r="C39" s="421">
        <v>0.4</v>
      </c>
      <c r="D39" s="134"/>
      <c r="E39" s="134"/>
      <c r="F39" s="134"/>
      <c r="G39" s="134"/>
      <c r="H39" s="134"/>
      <c r="I39" s="134"/>
      <c r="J39" s="134"/>
      <c r="K39" s="134"/>
      <c r="L39" s="2406"/>
      <c r="M39" s="134"/>
      <c r="N39" s="134"/>
      <c r="O39" s="134"/>
      <c r="P39" s="134"/>
      <c r="Q39" s="134"/>
      <c r="R39" s="134"/>
      <c r="S39" s="134"/>
      <c r="T39" s="134"/>
      <c r="U39" s="134"/>
      <c r="V39" s="2406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2406"/>
      <c r="AQ39" s="134"/>
      <c r="AR39" s="134"/>
      <c r="AS39" s="134"/>
      <c r="AT39" s="134"/>
      <c r="AU39" s="134"/>
      <c r="AV39" s="134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</row>
    <row r="40" spans="1:64" ht="21.95" hidden="1" customHeight="1" x14ac:dyDescent="0.15">
      <c r="A40" s="2635"/>
      <c r="B40" s="2622"/>
      <c r="C40" s="421">
        <v>0.5</v>
      </c>
      <c r="D40" s="134"/>
      <c r="E40" s="134"/>
      <c r="F40" s="134"/>
      <c r="G40" s="134"/>
      <c r="H40" s="134"/>
      <c r="I40" s="134"/>
      <c r="J40" s="134"/>
      <c r="K40" s="134"/>
      <c r="L40" s="2406"/>
      <c r="M40" s="134"/>
      <c r="N40" s="134"/>
      <c r="O40" s="134"/>
      <c r="P40" s="134"/>
      <c r="Q40" s="134"/>
      <c r="R40" s="134"/>
      <c r="S40" s="134"/>
      <c r="T40" s="134"/>
      <c r="U40" s="134"/>
      <c r="V40" s="2406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2406"/>
      <c r="AQ40" s="134"/>
      <c r="AR40" s="134"/>
      <c r="AS40" s="134"/>
      <c r="AT40" s="134"/>
      <c r="AU40" s="134"/>
      <c r="AV40" s="134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</row>
    <row r="41" spans="1:64" s="14" customFormat="1" ht="21.95" customHeight="1" x14ac:dyDescent="0.15">
      <c r="A41" s="2635"/>
      <c r="B41" s="2628" t="s">
        <v>498</v>
      </c>
      <c r="C41" s="418" t="s">
        <v>17</v>
      </c>
      <c r="D41" s="338"/>
      <c r="E41" s="338">
        <v>1</v>
      </c>
      <c r="F41" s="338">
        <v>1</v>
      </c>
      <c r="G41" s="338">
        <v>1</v>
      </c>
      <c r="H41" s="338"/>
      <c r="I41" s="338"/>
      <c r="J41" s="338"/>
      <c r="K41" s="338"/>
      <c r="L41" s="2413"/>
      <c r="M41" s="338">
        <v>1</v>
      </c>
      <c r="N41" s="338">
        <v>1</v>
      </c>
      <c r="O41" s="338">
        <v>1</v>
      </c>
      <c r="P41" s="338">
        <v>1</v>
      </c>
      <c r="Q41" s="338">
        <v>1</v>
      </c>
      <c r="R41" s="338">
        <v>1</v>
      </c>
      <c r="S41" s="338">
        <v>1</v>
      </c>
      <c r="T41" s="338">
        <v>2</v>
      </c>
      <c r="U41" s="338"/>
      <c r="V41" s="2413"/>
      <c r="W41" s="338">
        <v>2</v>
      </c>
      <c r="X41" s="338">
        <v>1</v>
      </c>
      <c r="Y41" s="338">
        <v>1</v>
      </c>
      <c r="Z41" s="338">
        <v>1</v>
      </c>
      <c r="AA41" s="338">
        <v>1</v>
      </c>
      <c r="AB41" s="338">
        <v>1</v>
      </c>
      <c r="AC41" s="338">
        <v>2</v>
      </c>
      <c r="AD41" s="338">
        <v>1</v>
      </c>
      <c r="AE41" s="338">
        <v>1</v>
      </c>
      <c r="AF41" s="338">
        <v>1</v>
      </c>
      <c r="AG41" s="338"/>
      <c r="AH41" s="338"/>
      <c r="AI41" s="338"/>
      <c r="AJ41" s="338"/>
      <c r="AK41" s="338"/>
      <c r="AL41" s="338"/>
      <c r="AM41" s="338"/>
      <c r="AN41" s="338"/>
      <c r="AO41" s="338"/>
      <c r="AP41" s="2413"/>
      <c r="AQ41" s="338">
        <v>1</v>
      </c>
      <c r="AR41" s="338">
        <v>1</v>
      </c>
      <c r="AS41" s="338">
        <v>1</v>
      </c>
      <c r="AT41" s="338">
        <v>1</v>
      </c>
      <c r="AU41" s="338">
        <v>1</v>
      </c>
      <c r="AV41" s="338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919"/>
    </row>
    <row r="42" spans="1:64" s="14" customFormat="1" ht="21.95" customHeight="1" x14ac:dyDescent="0.15">
      <c r="A42" s="2635"/>
      <c r="B42" s="2628"/>
      <c r="C42" s="418" t="s">
        <v>18</v>
      </c>
      <c r="D42" s="18"/>
      <c r="E42" s="18"/>
      <c r="F42" s="18"/>
      <c r="G42" s="18"/>
      <c r="H42" s="18"/>
      <c r="I42" s="18"/>
      <c r="J42" s="18"/>
      <c r="K42" s="18"/>
      <c r="L42" s="2414"/>
      <c r="M42" s="18"/>
      <c r="N42" s="18"/>
      <c r="O42" s="18"/>
      <c r="P42" s="18"/>
      <c r="Q42" s="18"/>
      <c r="R42" s="18"/>
      <c r="S42" s="18"/>
      <c r="T42" s="18"/>
      <c r="U42" s="18"/>
      <c r="V42" s="2414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2414"/>
      <c r="AQ42" s="18"/>
      <c r="AR42" s="18"/>
      <c r="AS42" s="18"/>
      <c r="AT42" s="18"/>
      <c r="AU42" s="18"/>
      <c r="AV42" s="18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919"/>
    </row>
    <row r="43" spans="1:64" s="14" customFormat="1" ht="21.95" customHeight="1" x14ac:dyDescent="0.15">
      <c r="A43" s="2635"/>
      <c r="B43" s="2628"/>
      <c r="C43" s="418" t="s">
        <v>19</v>
      </c>
      <c r="D43" s="18"/>
      <c r="E43" s="18"/>
      <c r="F43" s="18"/>
      <c r="G43" s="18"/>
      <c r="H43" s="18"/>
      <c r="I43" s="18"/>
      <c r="J43" s="18"/>
      <c r="K43" s="18"/>
      <c r="L43" s="2414"/>
      <c r="M43" s="18"/>
      <c r="N43" s="18"/>
      <c r="O43" s="18"/>
      <c r="P43" s="18"/>
      <c r="Q43" s="18"/>
      <c r="R43" s="18"/>
      <c r="S43" s="18"/>
      <c r="T43" s="18"/>
      <c r="U43" s="18"/>
      <c r="V43" s="2414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2414"/>
      <c r="AQ43" s="18"/>
      <c r="AR43" s="18"/>
      <c r="AS43" s="18"/>
      <c r="AT43" s="18"/>
      <c r="AU43" s="18"/>
      <c r="AV43" s="18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919"/>
    </row>
    <row r="44" spans="1:64" s="14" customFormat="1" ht="21.95" customHeight="1" x14ac:dyDescent="0.15">
      <c r="A44" s="2635"/>
      <c r="B44" s="2628"/>
      <c r="C44" s="418" t="s">
        <v>20</v>
      </c>
      <c r="D44" s="18"/>
      <c r="E44" s="18"/>
      <c r="F44" s="18"/>
      <c r="G44" s="18"/>
      <c r="H44" s="18"/>
      <c r="I44" s="18"/>
      <c r="J44" s="18"/>
      <c r="K44" s="18"/>
      <c r="L44" s="2414"/>
      <c r="M44" s="18"/>
      <c r="N44" s="18"/>
      <c r="O44" s="18"/>
      <c r="P44" s="18"/>
      <c r="Q44" s="18"/>
      <c r="R44" s="18"/>
      <c r="S44" s="18"/>
      <c r="T44" s="18"/>
      <c r="U44" s="18"/>
      <c r="V44" s="2414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2414"/>
      <c r="AQ44" s="18"/>
      <c r="AR44" s="18"/>
      <c r="AS44" s="18"/>
      <c r="AT44" s="18"/>
      <c r="AU44" s="18"/>
      <c r="AV44" s="18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919"/>
    </row>
    <row r="45" spans="1:64" s="14" customFormat="1" ht="21.95" customHeight="1" x14ac:dyDescent="0.15">
      <c r="A45" s="2635"/>
      <c r="B45" s="2628"/>
      <c r="C45" s="418" t="s">
        <v>21</v>
      </c>
      <c r="D45" s="18"/>
      <c r="E45" s="18"/>
      <c r="F45" s="18"/>
      <c r="G45" s="18"/>
      <c r="H45" s="18"/>
      <c r="I45" s="18"/>
      <c r="J45" s="18"/>
      <c r="K45" s="18"/>
      <c r="L45" s="2414"/>
      <c r="M45" s="18"/>
      <c r="N45" s="18"/>
      <c r="O45" s="18"/>
      <c r="P45" s="18"/>
      <c r="Q45" s="18"/>
      <c r="R45" s="18"/>
      <c r="S45" s="18"/>
      <c r="T45" s="18"/>
      <c r="U45" s="18"/>
      <c r="V45" s="2414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2414"/>
      <c r="AQ45" s="18"/>
      <c r="AR45" s="18"/>
      <c r="AS45" s="18"/>
      <c r="AT45" s="18"/>
      <c r="AU45" s="18"/>
      <c r="AV45" s="18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919"/>
    </row>
    <row r="46" spans="1:64" s="14" customFormat="1" ht="21.95" customHeight="1" x14ac:dyDescent="0.15">
      <c r="A46" s="2635"/>
      <c r="B46" s="2628"/>
      <c r="C46" s="418" t="s">
        <v>22</v>
      </c>
      <c r="D46" s="18"/>
      <c r="E46" s="18"/>
      <c r="F46" s="18"/>
      <c r="G46" s="18"/>
      <c r="H46" s="18"/>
      <c r="I46" s="18"/>
      <c r="J46" s="18"/>
      <c r="K46" s="18"/>
      <c r="L46" s="2414"/>
      <c r="M46" s="18"/>
      <c r="N46" s="18"/>
      <c r="O46" s="18"/>
      <c r="P46" s="18"/>
      <c r="Q46" s="18"/>
      <c r="R46" s="18"/>
      <c r="S46" s="18"/>
      <c r="T46" s="18"/>
      <c r="U46" s="18"/>
      <c r="V46" s="2414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2414"/>
      <c r="AQ46" s="18"/>
      <c r="AR46" s="18"/>
      <c r="AS46" s="18"/>
      <c r="AT46" s="18"/>
      <c r="AU46" s="18"/>
      <c r="AV46" s="18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919"/>
    </row>
    <row r="47" spans="1:64" s="14" customFormat="1" ht="21.95" customHeight="1" x14ac:dyDescent="0.15">
      <c r="A47" s="2635"/>
      <c r="B47" s="2624"/>
      <c r="C47" s="968" t="s">
        <v>467</v>
      </c>
      <c r="D47" s="18"/>
      <c r="E47" s="18"/>
      <c r="F47" s="18"/>
      <c r="G47" s="18"/>
      <c r="H47" s="18"/>
      <c r="I47" s="18"/>
      <c r="J47" s="18"/>
      <c r="K47" s="18"/>
      <c r="L47" s="2414"/>
      <c r="M47" s="18"/>
      <c r="N47" s="18"/>
      <c r="O47" s="18"/>
      <c r="P47" s="18"/>
      <c r="Q47" s="18"/>
      <c r="R47" s="18"/>
      <c r="S47" s="18"/>
      <c r="T47" s="18"/>
      <c r="U47" s="18"/>
      <c r="V47" s="2414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2414"/>
      <c r="AQ47" s="18"/>
      <c r="AR47" s="18"/>
      <c r="AS47" s="18"/>
      <c r="AT47" s="18"/>
      <c r="AU47" s="18"/>
      <c r="AV47" s="18"/>
      <c r="AW47" s="11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919"/>
    </row>
    <row r="48" spans="1:64" s="14" customFormat="1" ht="32.1" hidden="1" customHeight="1" x14ac:dyDescent="0.15">
      <c r="A48" s="2635"/>
      <c r="B48" s="2628" t="s">
        <v>2689</v>
      </c>
      <c r="C48" s="2644"/>
      <c r="D48" s="338"/>
      <c r="E48" s="338"/>
      <c r="F48" s="338"/>
      <c r="G48" s="338"/>
      <c r="H48" s="338"/>
      <c r="I48" s="338"/>
      <c r="J48" s="338"/>
      <c r="K48" s="338"/>
      <c r="L48" s="2413"/>
      <c r="M48" s="338"/>
      <c r="N48" s="338"/>
      <c r="O48" s="338"/>
      <c r="P48" s="338"/>
      <c r="Q48" s="338"/>
      <c r="R48" s="338"/>
      <c r="S48" s="338"/>
      <c r="T48" s="338"/>
      <c r="U48" s="338"/>
      <c r="V48" s="2413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2413"/>
      <c r="AQ48" s="338"/>
      <c r="AR48" s="338"/>
      <c r="AS48" s="338"/>
      <c r="AT48" s="338"/>
      <c r="AU48" s="338"/>
      <c r="AV48" s="338"/>
      <c r="AW48" s="334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919"/>
    </row>
    <row r="49" spans="1:64" s="14" customFormat="1" ht="32.1" hidden="1" customHeight="1" x14ac:dyDescent="0.15">
      <c r="A49" s="2635"/>
      <c r="B49" s="2628" t="s">
        <v>2690</v>
      </c>
      <c r="C49" s="2644"/>
      <c r="D49" s="18"/>
      <c r="E49" s="18"/>
      <c r="F49" s="18"/>
      <c r="G49" s="18"/>
      <c r="H49" s="18"/>
      <c r="I49" s="18"/>
      <c r="J49" s="18"/>
      <c r="K49" s="18"/>
      <c r="L49" s="2414"/>
      <c r="M49" s="18"/>
      <c r="N49" s="18"/>
      <c r="O49" s="18"/>
      <c r="P49" s="18"/>
      <c r="Q49" s="18"/>
      <c r="R49" s="18"/>
      <c r="S49" s="18"/>
      <c r="T49" s="18"/>
      <c r="U49" s="18"/>
      <c r="V49" s="2414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2414"/>
      <c r="AQ49" s="18"/>
      <c r="AR49" s="18"/>
      <c r="AS49" s="18"/>
      <c r="AT49" s="18"/>
      <c r="AU49" s="18"/>
      <c r="AV49" s="18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919"/>
    </row>
    <row r="50" spans="1:64" s="14" customFormat="1" ht="32.1" hidden="1" customHeight="1" x14ac:dyDescent="0.15">
      <c r="A50" s="2635"/>
      <c r="B50" s="2628" t="s">
        <v>2693</v>
      </c>
      <c r="C50" s="2644"/>
      <c r="D50" s="18"/>
      <c r="E50" s="18"/>
      <c r="F50" s="18"/>
      <c r="G50" s="18"/>
      <c r="H50" s="18"/>
      <c r="I50" s="18"/>
      <c r="J50" s="18"/>
      <c r="K50" s="18"/>
      <c r="L50" s="2414"/>
      <c r="M50" s="18"/>
      <c r="N50" s="18"/>
      <c r="O50" s="18"/>
      <c r="P50" s="18"/>
      <c r="Q50" s="18"/>
      <c r="R50" s="18"/>
      <c r="S50" s="18"/>
      <c r="T50" s="18"/>
      <c r="U50" s="18"/>
      <c r="V50" s="2414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2414"/>
      <c r="AQ50" s="18"/>
      <c r="AR50" s="18"/>
      <c r="AS50" s="18"/>
      <c r="AT50" s="18"/>
      <c r="AU50" s="18"/>
      <c r="AV50" s="18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919"/>
    </row>
    <row r="51" spans="1:64" s="14" customFormat="1" ht="32.1" hidden="1" customHeight="1" x14ac:dyDescent="0.15">
      <c r="A51" s="2635"/>
      <c r="B51" s="2628" t="s">
        <v>2691</v>
      </c>
      <c r="C51" s="2644"/>
      <c r="D51" s="18"/>
      <c r="E51" s="18"/>
      <c r="F51" s="18"/>
      <c r="G51" s="18"/>
      <c r="H51" s="18"/>
      <c r="I51" s="18"/>
      <c r="J51" s="18"/>
      <c r="K51" s="18"/>
      <c r="L51" s="2414"/>
      <c r="M51" s="18"/>
      <c r="N51" s="18"/>
      <c r="O51" s="18"/>
      <c r="P51" s="18"/>
      <c r="Q51" s="18"/>
      <c r="R51" s="18"/>
      <c r="S51" s="18"/>
      <c r="T51" s="18"/>
      <c r="U51" s="18"/>
      <c r="V51" s="2414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2414"/>
      <c r="AQ51" s="18"/>
      <c r="AR51" s="18"/>
      <c r="AS51" s="18"/>
      <c r="AT51" s="18"/>
      <c r="AU51" s="18"/>
      <c r="AV51" s="18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919"/>
    </row>
    <row r="52" spans="1:64" s="14" customFormat="1" ht="32.1" hidden="1" customHeight="1" x14ac:dyDescent="0.15">
      <c r="A52" s="2635"/>
      <c r="B52" s="2628" t="s">
        <v>2692</v>
      </c>
      <c r="C52" s="2644"/>
      <c r="D52" s="18"/>
      <c r="E52" s="18"/>
      <c r="F52" s="18"/>
      <c r="G52" s="18"/>
      <c r="H52" s="18"/>
      <c r="I52" s="18"/>
      <c r="J52" s="18"/>
      <c r="K52" s="18"/>
      <c r="L52" s="2414"/>
      <c r="M52" s="18"/>
      <c r="N52" s="18"/>
      <c r="O52" s="18"/>
      <c r="P52" s="18"/>
      <c r="Q52" s="18"/>
      <c r="R52" s="18"/>
      <c r="S52" s="18"/>
      <c r="T52" s="18"/>
      <c r="U52" s="18"/>
      <c r="V52" s="2414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2414"/>
      <c r="AQ52" s="18"/>
      <c r="AR52" s="18"/>
      <c r="AS52" s="18"/>
      <c r="AT52" s="18"/>
      <c r="AU52" s="18"/>
      <c r="AV52" s="18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919"/>
    </row>
    <row r="53" spans="1:64" s="14" customFormat="1" ht="21.95" hidden="1" customHeight="1" x14ac:dyDescent="0.15">
      <c r="A53" s="2635"/>
      <c r="B53" s="2628" t="s">
        <v>2694</v>
      </c>
      <c r="C53" s="2644"/>
      <c r="D53" s="18"/>
      <c r="E53" s="18"/>
      <c r="F53" s="18"/>
      <c r="G53" s="18"/>
      <c r="H53" s="18"/>
      <c r="I53" s="18"/>
      <c r="J53" s="18"/>
      <c r="K53" s="18"/>
      <c r="L53" s="2414"/>
      <c r="M53" s="18"/>
      <c r="N53" s="18"/>
      <c r="O53" s="18"/>
      <c r="P53" s="18"/>
      <c r="Q53" s="18"/>
      <c r="R53" s="18"/>
      <c r="S53" s="18"/>
      <c r="T53" s="18"/>
      <c r="U53" s="18"/>
      <c r="V53" s="2414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2414"/>
      <c r="AQ53" s="18"/>
      <c r="AR53" s="18"/>
      <c r="AS53" s="18"/>
      <c r="AT53" s="18"/>
      <c r="AU53" s="18"/>
      <c r="AV53" s="18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919"/>
    </row>
    <row r="54" spans="1:64" s="14" customFormat="1" ht="21.95" hidden="1" customHeight="1" x14ac:dyDescent="0.15">
      <c r="A54" s="2635"/>
      <c r="B54" s="2624" t="s">
        <v>500</v>
      </c>
      <c r="C54" s="418" t="s">
        <v>461</v>
      </c>
      <c r="D54" s="338"/>
      <c r="E54" s="338"/>
      <c r="F54" s="338"/>
      <c r="G54" s="338"/>
      <c r="H54" s="338"/>
      <c r="I54" s="338"/>
      <c r="J54" s="338"/>
      <c r="K54" s="338"/>
      <c r="L54" s="2413"/>
      <c r="M54" s="338"/>
      <c r="N54" s="338"/>
      <c r="O54" s="338"/>
      <c r="P54" s="338"/>
      <c r="Q54" s="338"/>
      <c r="R54" s="338"/>
      <c r="S54" s="338"/>
      <c r="T54" s="338"/>
      <c r="U54" s="338"/>
      <c r="V54" s="2413"/>
      <c r="W54" s="338"/>
      <c r="X54" s="338"/>
      <c r="Y54" s="338"/>
      <c r="Z54" s="338"/>
      <c r="AA54" s="338"/>
      <c r="AB54" s="338"/>
      <c r="AC54" s="338"/>
      <c r="AD54" s="338"/>
      <c r="AE54" s="338"/>
      <c r="AF54" s="338"/>
      <c r="AG54" s="338"/>
      <c r="AH54" s="338"/>
      <c r="AI54" s="338"/>
      <c r="AJ54" s="338"/>
      <c r="AK54" s="338"/>
      <c r="AL54" s="338"/>
      <c r="AM54" s="338"/>
      <c r="AN54" s="338"/>
      <c r="AO54" s="338"/>
      <c r="AP54" s="2413"/>
      <c r="AQ54" s="338"/>
      <c r="AR54" s="338"/>
      <c r="AS54" s="338"/>
      <c r="AT54" s="338"/>
      <c r="AU54" s="338"/>
      <c r="AV54" s="338"/>
      <c r="AW54" s="334"/>
      <c r="AX54" s="334"/>
      <c r="AY54" s="334"/>
      <c r="AZ54" s="334"/>
      <c r="BA54" s="334"/>
      <c r="BB54" s="334"/>
      <c r="BC54" s="334"/>
      <c r="BD54" s="334"/>
      <c r="BE54" s="334"/>
      <c r="BF54" s="334"/>
      <c r="BG54" s="334"/>
      <c r="BH54" s="334"/>
      <c r="BI54" s="334"/>
      <c r="BJ54" s="334"/>
      <c r="BK54" s="334"/>
      <c r="BL54" s="919"/>
    </row>
    <row r="55" spans="1:64" s="14" customFormat="1" ht="21.95" hidden="1" customHeight="1" x14ac:dyDescent="0.15">
      <c r="A55" s="2635"/>
      <c r="B55" s="2625"/>
      <c r="C55" s="418" t="s">
        <v>462</v>
      </c>
      <c r="D55" s="18"/>
      <c r="E55" s="18"/>
      <c r="F55" s="18"/>
      <c r="G55" s="18"/>
      <c r="H55" s="18"/>
      <c r="I55" s="18"/>
      <c r="J55" s="18"/>
      <c r="K55" s="18"/>
      <c r="L55" s="2414"/>
      <c r="M55" s="18"/>
      <c r="N55" s="18"/>
      <c r="O55" s="18"/>
      <c r="P55" s="18"/>
      <c r="Q55" s="18"/>
      <c r="R55" s="18"/>
      <c r="S55" s="18"/>
      <c r="T55" s="18"/>
      <c r="U55" s="18"/>
      <c r="V55" s="2414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2414"/>
      <c r="AQ55" s="18"/>
      <c r="AR55" s="18"/>
      <c r="AS55" s="18"/>
      <c r="AT55" s="18"/>
      <c r="AU55" s="18"/>
      <c r="AV55" s="18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919"/>
    </row>
    <row r="56" spans="1:64" s="14" customFormat="1" ht="21.95" hidden="1" customHeight="1" x14ac:dyDescent="0.15">
      <c r="A56" s="2635"/>
      <c r="B56" s="2625"/>
      <c r="C56" s="418" t="s">
        <v>463</v>
      </c>
      <c r="D56" s="208"/>
      <c r="E56" s="208"/>
      <c r="F56" s="208"/>
      <c r="G56" s="208"/>
      <c r="H56" s="208"/>
      <c r="I56" s="208"/>
      <c r="J56" s="208"/>
      <c r="K56" s="208"/>
      <c r="L56" s="2415"/>
      <c r="M56" s="208"/>
      <c r="N56" s="208"/>
      <c r="O56" s="208"/>
      <c r="P56" s="208"/>
      <c r="Q56" s="208"/>
      <c r="R56" s="208"/>
      <c r="S56" s="208"/>
      <c r="T56" s="208"/>
      <c r="U56" s="208"/>
      <c r="V56" s="2415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415"/>
      <c r="AQ56" s="208"/>
      <c r="AR56" s="208"/>
      <c r="AS56" s="208"/>
      <c r="AT56" s="208"/>
      <c r="AU56" s="208"/>
      <c r="AV56" s="208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919"/>
    </row>
    <row r="57" spans="1:64" s="14" customFormat="1" ht="21.95" customHeight="1" x14ac:dyDescent="0.15">
      <c r="A57" s="2635"/>
      <c r="B57" s="2625"/>
      <c r="C57" s="418" t="s">
        <v>464</v>
      </c>
      <c r="D57" s="338"/>
      <c r="E57" s="338"/>
      <c r="F57" s="338">
        <v>3</v>
      </c>
      <c r="G57" s="338">
        <v>2</v>
      </c>
      <c r="H57" s="338"/>
      <c r="I57" s="338"/>
      <c r="J57" s="338"/>
      <c r="K57" s="338"/>
      <c r="L57" s="2413"/>
      <c r="M57" s="338">
        <v>2</v>
      </c>
      <c r="N57" s="338">
        <v>7</v>
      </c>
      <c r="O57" s="338">
        <v>1</v>
      </c>
      <c r="P57" s="338">
        <v>2</v>
      </c>
      <c r="Q57" s="338">
        <v>2</v>
      </c>
      <c r="R57" s="338">
        <v>4</v>
      </c>
      <c r="S57" s="338">
        <v>2</v>
      </c>
      <c r="T57" s="338">
        <v>2</v>
      </c>
      <c r="U57" s="338"/>
      <c r="V57" s="2413"/>
      <c r="W57" s="338"/>
      <c r="X57" s="338"/>
      <c r="Y57" s="338">
        <v>1</v>
      </c>
      <c r="Z57" s="338">
        <v>3</v>
      </c>
      <c r="AA57" s="338">
        <v>1</v>
      </c>
      <c r="AB57" s="338">
        <v>2</v>
      </c>
      <c r="AC57" s="338"/>
      <c r="AD57" s="338">
        <v>2</v>
      </c>
      <c r="AE57" s="338">
        <v>1</v>
      </c>
      <c r="AF57" s="338">
        <v>1</v>
      </c>
      <c r="AG57" s="338"/>
      <c r="AH57" s="338"/>
      <c r="AI57" s="338"/>
      <c r="AJ57" s="338"/>
      <c r="AK57" s="338"/>
      <c r="AL57" s="338"/>
      <c r="AM57" s="338"/>
      <c r="AN57" s="338"/>
      <c r="AO57" s="338"/>
      <c r="AP57" s="2413"/>
      <c r="AQ57" s="338"/>
      <c r="AR57" s="338">
        <v>2</v>
      </c>
      <c r="AS57" s="338">
        <v>2</v>
      </c>
      <c r="AT57" s="338">
        <v>2</v>
      </c>
      <c r="AU57" s="338">
        <v>5</v>
      </c>
      <c r="AV57" s="338"/>
      <c r="AW57" s="334"/>
      <c r="AX57" s="334"/>
      <c r="AY57" s="334"/>
      <c r="AZ57" s="334"/>
      <c r="BA57" s="334"/>
      <c r="BB57" s="334"/>
      <c r="BC57" s="334"/>
      <c r="BD57" s="334"/>
      <c r="BE57" s="334"/>
      <c r="BF57" s="334"/>
      <c r="BG57" s="334"/>
      <c r="BH57" s="334"/>
      <c r="BI57" s="334"/>
      <c r="BJ57" s="334"/>
      <c r="BK57" s="334"/>
      <c r="BL57" s="919"/>
    </row>
    <row r="58" spans="1:64" s="14" customFormat="1" ht="21.95" customHeight="1" x14ac:dyDescent="0.15">
      <c r="A58" s="2635"/>
      <c r="B58" s="2625"/>
      <c r="C58" s="418" t="s">
        <v>465</v>
      </c>
      <c r="D58" s="18"/>
      <c r="E58" s="18"/>
      <c r="F58" s="18"/>
      <c r="G58" s="18"/>
      <c r="H58" s="18"/>
      <c r="I58" s="18"/>
      <c r="J58" s="18"/>
      <c r="K58" s="18"/>
      <c r="L58" s="2414"/>
      <c r="M58" s="18"/>
      <c r="N58" s="18"/>
      <c r="O58" s="18"/>
      <c r="P58" s="18"/>
      <c r="Q58" s="18"/>
      <c r="R58" s="18"/>
      <c r="S58" s="18"/>
      <c r="T58" s="18"/>
      <c r="U58" s="18"/>
      <c r="V58" s="2414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2414"/>
      <c r="AQ58" s="18"/>
      <c r="AR58" s="18"/>
      <c r="AS58" s="18"/>
      <c r="AT58" s="18"/>
      <c r="AU58" s="18"/>
      <c r="AV58" s="18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919"/>
    </row>
    <row r="59" spans="1:64" s="14" customFormat="1" ht="21.95" customHeight="1" x14ac:dyDescent="0.15">
      <c r="A59" s="2635"/>
      <c r="B59" s="2625"/>
      <c r="C59" s="418" t="s">
        <v>466</v>
      </c>
      <c r="D59" s="208"/>
      <c r="E59" s="208">
        <v>2</v>
      </c>
      <c r="F59" s="208"/>
      <c r="G59" s="208"/>
      <c r="H59" s="208"/>
      <c r="I59" s="208"/>
      <c r="J59" s="208"/>
      <c r="K59" s="208"/>
      <c r="L59" s="2415"/>
      <c r="M59" s="208">
        <v>2</v>
      </c>
      <c r="N59" s="208"/>
      <c r="O59" s="208"/>
      <c r="P59" s="208"/>
      <c r="Q59" s="208"/>
      <c r="R59" s="208"/>
      <c r="S59" s="208"/>
      <c r="T59" s="208"/>
      <c r="U59" s="208"/>
      <c r="V59" s="2415"/>
      <c r="W59" s="208">
        <v>4</v>
      </c>
      <c r="X59" s="208">
        <v>2</v>
      </c>
      <c r="Y59" s="208"/>
      <c r="Z59" s="208"/>
      <c r="AA59" s="208"/>
      <c r="AB59" s="208">
        <v>1</v>
      </c>
      <c r="AC59" s="208">
        <v>4</v>
      </c>
      <c r="AD59" s="208">
        <v>2</v>
      </c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415"/>
      <c r="AQ59" s="208">
        <v>4</v>
      </c>
      <c r="AR59" s="208">
        <v>2</v>
      </c>
      <c r="AS59" s="208">
        <v>2</v>
      </c>
      <c r="AT59" s="208">
        <v>1</v>
      </c>
      <c r="AU59" s="208">
        <v>1</v>
      </c>
      <c r="AV59" s="208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919"/>
    </row>
    <row r="60" spans="1:64" s="14" customFormat="1" ht="21.95" customHeight="1" x14ac:dyDescent="0.15">
      <c r="A60" s="2635"/>
      <c r="B60" s="2625"/>
      <c r="C60" s="418" t="s">
        <v>1123</v>
      </c>
      <c r="D60" s="338"/>
      <c r="E60" s="338"/>
      <c r="F60" s="338"/>
      <c r="G60" s="338"/>
      <c r="H60" s="338"/>
      <c r="I60" s="338"/>
      <c r="J60" s="338"/>
      <c r="K60" s="338"/>
      <c r="L60" s="2413"/>
      <c r="M60" s="338"/>
      <c r="N60" s="338"/>
      <c r="O60" s="338"/>
      <c r="P60" s="338"/>
      <c r="Q60" s="338"/>
      <c r="R60" s="338"/>
      <c r="S60" s="338"/>
      <c r="T60" s="338"/>
      <c r="U60" s="338"/>
      <c r="V60" s="2413"/>
      <c r="W60" s="338"/>
      <c r="X60" s="338"/>
      <c r="Y60" s="338"/>
      <c r="Z60" s="338"/>
      <c r="AA60" s="338"/>
      <c r="AB60" s="338"/>
      <c r="AC60" s="338"/>
      <c r="AD60" s="338"/>
      <c r="AE60" s="338"/>
      <c r="AF60" s="338"/>
      <c r="AG60" s="338"/>
      <c r="AH60" s="338"/>
      <c r="AI60" s="338"/>
      <c r="AJ60" s="338"/>
      <c r="AK60" s="338"/>
      <c r="AL60" s="338"/>
      <c r="AM60" s="338"/>
      <c r="AN60" s="338"/>
      <c r="AO60" s="338"/>
      <c r="AP60" s="2413"/>
      <c r="AQ60" s="338"/>
      <c r="AR60" s="338"/>
      <c r="AS60" s="338"/>
      <c r="AT60" s="338"/>
      <c r="AU60" s="338"/>
      <c r="AV60" s="338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34"/>
      <c r="BJ60" s="334"/>
      <c r="BK60" s="334"/>
    </row>
    <row r="61" spans="1:64" s="14" customFormat="1" ht="21.95" customHeight="1" x14ac:dyDescent="0.15">
      <c r="A61" s="2635"/>
      <c r="B61" s="2625"/>
      <c r="C61" s="418" t="s">
        <v>1124</v>
      </c>
      <c r="D61" s="18"/>
      <c r="E61" s="18"/>
      <c r="F61" s="18"/>
      <c r="G61" s="18"/>
      <c r="H61" s="18"/>
      <c r="I61" s="18"/>
      <c r="J61" s="18"/>
      <c r="K61" s="18"/>
      <c r="L61" s="2414"/>
      <c r="M61" s="18"/>
      <c r="N61" s="18"/>
      <c r="O61" s="18"/>
      <c r="P61" s="18"/>
      <c r="Q61" s="18"/>
      <c r="R61" s="18"/>
      <c r="S61" s="18"/>
      <c r="T61" s="18"/>
      <c r="U61" s="18"/>
      <c r="V61" s="2414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2414"/>
      <c r="AQ61" s="18"/>
      <c r="AR61" s="18"/>
      <c r="AS61" s="18"/>
      <c r="AT61" s="18"/>
      <c r="AU61" s="18"/>
      <c r="AV61" s="18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</row>
    <row r="62" spans="1:64" s="14" customFormat="1" ht="21.95" customHeight="1" x14ac:dyDescent="0.15">
      <c r="A62" s="2635"/>
      <c r="B62" s="2626"/>
      <c r="C62" s="418" t="s">
        <v>1125</v>
      </c>
      <c r="D62" s="208"/>
      <c r="E62" s="208"/>
      <c r="F62" s="208"/>
      <c r="G62" s="208"/>
      <c r="H62" s="208"/>
      <c r="I62" s="208"/>
      <c r="J62" s="208"/>
      <c r="K62" s="208"/>
      <c r="L62" s="2415"/>
      <c r="M62" s="208"/>
      <c r="N62" s="208"/>
      <c r="O62" s="208"/>
      <c r="P62" s="208"/>
      <c r="Q62" s="208"/>
      <c r="R62" s="208"/>
      <c r="S62" s="208"/>
      <c r="T62" s="208"/>
      <c r="U62" s="208"/>
      <c r="V62" s="2415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415"/>
      <c r="AQ62" s="208"/>
      <c r="AR62" s="208"/>
      <c r="AS62" s="208"/>
      <c r="AT62" s="208"/>
      <c r="AU62" s="208"/>
      <c r="AV62" s="208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</row>
    <row r="63" spans="1:64" s="14" customFormat="1" ht="21.95" customHeight="1" x14ac:dyDescent="0.15">
      <c r="A63" s="2635"/>
      <c r="B63" s="2645" t="s">
        <v>2233</v>
      </c>
      <c r="C63" s="2646"/>
      <c r="D63" s="158"/>
      <c r="E63" s="158" cm="1">
        <f t="array" aca="1" ref="E63" ca="1">INDIRECT(REPLACE("'Dren_Dim'!be00",57,2,FIXED(E2,0)))</f>
        <v>424.90800000000002</v>
      </c>
      <c r="F63" s="158" cm="1">
        <f t="array" aca="1" ref="F63" ca="1">INDIRECT(REPLACE("'Dren_Dim'!be00",57,2,FIXED(F2,0)))</f>
        <v>423.63200000000001</v>
      </c>
      <c r="G63" s="158" cm="1">
        <f t="array" aca="1" ref="G63" ca="1">INDIRECT(REPLACE("'Dren_Dim'!be00",57,2,FIXED(G2,0)))</f>
        <v>422.08</v>
      </c>
      <c r="H63" s="158"/>
      <c r="I63" s="158"/>
      <c r="J63" s="158"/>
      <c r="K63" s="158"/>
      <c r="L63" s="2416"/>
      <c r="M63" s="158" cm="1">
        <f t="array" aca="1" ref="M63" ca="1">INDIRECT(REPLACE("'Dren_Dim'!be00",57,2,FIXED(M2,0)))</f>
        <v>438.44200000000001</v>
      </c>
      <c r="N63" s="158" cm="1">
        <f t="array" aca="1" ref="N63" ca="1">INDIRECT(REPLACE("'Dren_Dim'!be00",57,2,FIXED(N2,0)))</f>
        <v>437.23899999999998</v>
      </c>
      <c r="O63" s="158" cm="1">
        <f t="array" aca="1" ref="O63" ca="1">INDIRECT(REPLACE("'Dren_Dim'!be00",57,2,FIXED(O2,0)))</f>
        <v>435.4</v>
      </c>
      <c r="P63" s="158" cm="1">
        <f t="array" aca="1" ref="P63" ca="1">INDIRECT(REPLACE("'Dren_Dim'!be00",57,2,FIXED(P2,0)))</f>
        <v>434.54500000000002</v>
      </c>
      <c r="Q63" s="158" cm="1">
        <f t="array" aca="1" ref="Q63" ca="1">INDIRECT(REPLACE("'Dren_Dim'!be00",57,2,FIXED(Q2,0)))</f>
        <v>432.75400000000002</v>
      </c>
      <c r="R63" s="158" cm="1">
        <f t="array" aca="1" ref="R63" ca="1">INDIRECT(REPLACE("'Dren_Dim'!be00",57,2,FIXED(R2,0)))</f>
        <v>430.19499999999999</v>
      </c>
      <c r="S63" s="158" cm="1">
        <f t="array" aca="1" ref="S63" ca="1">INDIRECT(REPLACE("'Dren_Dim'!be00",57,2,FIXED(S2,0)))</f>
        <v>427.411</v>
      </c>
      <c r="T63" s="158" cm="1">
        <f t="array" aca="1" ref="T63" ca="1">INDIRECT(REPLACE("'Dren_Dim'!be00",57,2,FIXED(T2,0)))</f>
        <v>425.34899999999999</v>
      </c>
      <c r="U63" s="158"/>
      <c r="V63" s="2416"/>
      <c r="W63" s="158" cm="1">
        <f t="array" aca="1" ref="W63" ca="1">INDIRECT(REPLACE("'Dren_Dim'!be00",57,2,FIXED(W2,0)))</f>
        <v>433.76799999999997</v>
      </c>
      <c r="X63" s="158" cm="1">
        <f t="array" aca="1" ref="X63" ca="1">INDIRECT(REPLACE("'Dren_Dim'!be00",57,2,FIXED(X2,0)))</f>
        <v>437.322</v>
      </c>
      <c r="Y63" s="158" cm="1">
        <f t="array" aca="1" ref="Y63" ca="1">INDIRECT(REPLACE("'Dren_Dim'!be00",57,2,FIXED(Y2,0)))</f>
        <v>435.63499999999999</v>
      </c>
      <c r="Z63" s="158" cm="1">
        <f t="array" aca="1" ref="Z63" ca="1">INDIRECT(REPLACE("'Dren_Dim'!be00",57,2,FIXED(Z2,0)))</f>
        <v>434.22199999999998</v>
      </c>
      <c r="AA63" s="158" cm="1">
        <f t="array" aca="1" ref="AA63" ca="1">INDIRECT(REPLACE("'Dren_Dim'!be00",57,2,FIXED(AA2,0)))</f>
        <v>432.86</v>
      </c>
      <c r="AB63" s="158" cm="1">
        <f t="array" aca="1" ref="AB63" ca="1">INDIRECT(REPLACE("'Dren_Dim'!be00",57,2,FIXED(AB2,0)))</f>
        <v>431.46699999999998</v>
      </c>
      <c r="AC63" s="158" cm="1">
        <f t="array" aca="1" ref="AC63" ca="1">INDIRECT(REPLACE("'Dren_Dim'!be00",57,2,FIXED(AC2,0)))</f>
        <v>429.36700000000002</v>
      </c>
      <c r="AD63" s="158" cm="1">
        <f t="array" aca="1" ref="AD63" ca="1">INDIRECT(REPLACE("'Dren_Dim'!be00",57,2,FIXED(AD2,0)))</f>
        <v>427.56700000000001</v>
      </c>
      <c r="AE63" s="158" cm="1">
        <f t="array" aca="1" ref="AE63" ca="1">INDIRECT(REPLACE("'Dren_Dim'!be00",57,2,FIXED(AE2,0)))</f>
        <v>426.125</v>
      </c>
      <c r="AF63" s="158" cm="1">
        <f t="array" aca="1" ref="AF63" ca="1">INDIRECT(REPLACE("'Dren_Dim'!be00",57,2,FIXED(AF2,0)))</f>
        <v>424.90800000000002</v>
      </c>
      <c r="AG63" s="158"/>
      <c r="AH63" s="158"/>
      <c r="AI63" s="158"/>
      <c r="AJ63" s="158"/>
      <c r="AK63" s="158"/>
      <c r="AL63" s="158"/>
      <c r="AM63" s="158"/>
      <c r="AN63" s="158"/>
      <c r="AO63" s="158"/>
      <c r="AP63" s="2416"/>
      <c r="AQ63" s="158" cm="1">
        <f t="array" aca="1" ref="AQ63" ca="1">INDIRECT(REPLACE("'Dren_Dim'!be00",57,2,FIXED(AQ2,0)))</f>
        <v>429.08300000000003</v>
      </c>
      <c r="AR63" s="158" cm="1">
        <f t="array" aca="1" ref="AR63" ca="1">INDIRECT(REPLACE("'Dren_Dim'!be00",57,2,FIXED(AR2,0)))</f>
        <v>428.34</v>
      </c>
      <c r="AS63" s="158" cm="1">
        <f t="array" aca="1" ref="AS63" ca="1">INDIRECT(REPLACE("'Dren_Dim'!be00",57,2,FIXED(AS2,0)))</f>
        <v>427.209</v>
      </c>
      <c r="AT63" s="158" cm="1">
        <f t="array" aca="1" ref="AT63" ca="1">INDIRECT(REPLACE("'Dren_Dim'!be00",57,2,FIXED(AT2,0)))</f>
        <v>425.77300000000002</v>
      </c>
      <c r="AU63" s="158" cm="1">
        <f t="array" aca="1" ref="AU63" ca="1">INDIRECT(REPLACE("'Dren_Dim'!be00",57,2,FIXED(AU2,0)))</f>
        <v>423.791</v>
      </c>
      <c r="AV63" s="158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919"/>
    </row>
    <row r="64" spans="1:64" s="14" customFormat="1" ht="21.95" customHeight="1" x14ac:dyDescent="0.15">
      <c r="A64" s="2635"/>
      <c r="B64" s="2645" t="s">
        <v>2234</v>
      </c>
      <c r="C64" s="2646"/>
      <c r="D64" s="158"/>
      <c r="E64" s="158" cm="1">
        <f t="array" aca="1" ref="E64" ca="1">INDIRECT(REPLACE("'Dren_Dim'!bf00",58,2,FIXED(E2,0)))</f>
        <v>424.90800000000002</v>
      </c>
      <c r="F64" s="158" cm="1">
        <f t="array" aca="1" ref="F64" ca="1">INDIRECT(REPLACE("'Dren_Dim'!bf00",58,2,FIXED(F2,0)))</f>
        <v>423.63200000000001</v>
      </c>
      <c r="G64" s="158" cm="1">
        <f t="array" aca="1" ref="G64" ca="1">INDIRECT(REPLACE("'Dren_Dim'!bf00",58,2,FIXED(G2,0)))</f>
        <v>422.08</v>
      </c>
      <c r="H64" s="158"/>
      <c r="I64" s="158"/>
      <c r="J64" s="158"/>
      <c r="K64" s="158"/>
      <c r="L64" s="2416"/>
      <c r="M64" s="158" cm="1">
        <f t="array" aca="1" ref="M64" ca="1">INDIRECT(REPLACE("'Dren_Dim'!bf00",58,2,FIXED(M2,0)))</f>
        <v>438.44200000000001</v>
      </c>
      <c r="N64" s="158" cm="1">
        <f t="array" aca="1" ref="N64" ca="1">INDIRECT(REPLACE("'Dren_Dim'!bf00",58,2,FIXED(N2,0)))</f>
        <v>437.23899999999998</v>
      </c>
      <c r="O64" s="158" cm="1">
        <f t="array" aca="1" ref="O64" ca="1">INDIRECT(REPLACE("'Dren_Dim'!bf00",58,2,FIXED(O2,0)))</f>
        <v>435.4</v>
      </c>
      <c r="P64" s="158" cm="1">
        <f t="array" aca="1" ref="P64" ca="1">INDIRECT(REPLACE("'Dren_Dim'!bf00",58,2,FIXED(P2,0)))</f>
        <v>434.54500000000002</v>
      </c>
      <c r="Q64" s="158" cm="1">
        <f t="array" aca="1" ref="Q64" ca="1">INDIRECT(REPLACE("'Dren_Dim'!bf00",58,2,FIXED(Q2,0)))</f>
        <v>432.75400000000002</v>
      </c>
      <c r="R64" s="158" cm="1">
        <f t="array" aca="1" ref="R64" ca="1">INDIRECT(REPLACE("'Dren_Dim'!bf00",58,2,FIXED(R2,0)))</f>
        <v>430.19499999999999</v>
      </c>
      <c r="S64" s="158" cm="1">
        <f t="array" aca="1" ref="S64" ca="1">INDIRECT(REPLACE("'Dren_Dim'!bf00",58,2,FIXED(S2,0)))</f>
        <v>427.411</v>
      </c>
      <c r="T64" s="158" cm="1">
        <f t="array" aca="1" ref="T64" ca="1">INDIRECT(REPLACE("'Dren_Dim'!bf00",58,2,FIXED(T2,0)))</f>
        <v>425.34899999999999</v>
      </c>
      <c r="U64" s="158"/>
      <c r="V64" s="2416"/>
      <c r="W64" s="158" cm="1">
        <f t="array" aca="1" ref="W64" ca="1">INDIRECT(REPLACE("'Dren_Dim'!bf00",58,2,FIXED(W2,0)))</f>
        <v>433.76799999999997</v>
      </c>
      <c r="X64" s="158" cm="1">
        <f t="array" aca="1" ref="X64" ca="1">INDIRECT(REPLACE("'Dren_Dim'!bf00",58,2,FIXED(X2,0)))</f>
        <v>437.322</v>
      </c>
      <c r="Y64" s="158" cm="1">
        <f t="array" aca="1" ref="Y64" ca="1">INDIRECT(REPLACE("'Dren_Dim'!bf00",58,2,FIXED(Y2,0)))</f>
        <v>435.63499999999999</v>
      </c>
      <c r="Z64" s="158" cm="1">
        <f t="array" aca="1" ref="Z64" ca="1">INDIRECT(REPLACE("'Dren_Dim'!bf00",58,2,FIXED(Z2,0)))</f>
        <v>434.22199999999998</v>
      </c>
      <c r="AA64" s="158" cm="1">
        <f t="array" aca="1" ref="AA64" ca="1">INDIRECT(REPLACE("'Dren_Dim'!bf00",58,2,FIXED(AA2,0)))</f>
        <v>432.86</v>
      </c>
      <c r="AB64" s="158" cm="1">
        <f t="array" aca="1" ref="AB64" ca="1">INDIRECT(REPLACE("'Dren_Dim'!bf00",58,2,FIXED(AB2,0)))</f>
        <v>431.46699999999998</v>
      </c>
      <c r="AC64" s="158" cm="1">
        <f t="array" aca="1" ref="AC64" ca="1">INDIRECT(REPLACE("'Dren_Dim'!bf00",58,2,FIXED(AC2,0)))</f>
        <v>429.36700000000002</v>
      </c>
      <c r="AD64" s="158" cm="1">
        <f t="array" aca="1" ref="AD64" ca="1">INDIRECT(REPLACE("'Dren_Dim'!bf00",58,2,FIXED(AD2,0)))</f>
        <v>427.56700000000001</v>
      </c>
      <c r="AE64" s="158" cm="1">
        <f t="array" aca="1" ref="AE64" ca="1">INDIRECT(REPLACE("'Dren_Dim'!bf00",58,2,FIXED(AE2,0)))</f>
        <v>426.125</v>
      </c>
      <c r="AF64" s="158" cm="1">
        <f t="array" aca="1" ref="AF64" ca="1">INDIRECT(REPLACE("'Dren_Dim'!bf00",58,2,FIXED(AF2,0)))</f>
        <v>424.90800000000002</v>
      </c>
      <c r="AG64" s="158"/>
      <c r="AH64" s="158"/>
      <c r="AI64" s="158"/>
      <c r="AJ64" s="158"/>
      <c r="AK64" s="158"/>
      <c r="AL64" s="158"/>
      <c r="AM64" s="158"/>
      <c r="AN64" s="158"/>
      <c r="AO64" s="158"/>
      <c r="AP64" s="2416"/>
      <c r="AQ64" s="158" cm="1">
        <f t="array" aca="1" ref="AQ64" ca="1">INDIRECT(REPLACE("'Dren_Dim'!bf00",58,2,FIXED(AQ2,0)))</f>
        <v>0</v>
      </c>
      <c r="AR64" s="158" cm="1">
        <f t="array" aca="1" ref="AR64" ca="1">INDIRECT(REPLACE("'Dren_Dim'!bf00",58,2,FIXED(AR2,0)))</f>
        <v>428.34</v>
      </c>
      <c r="AS64" s="158" cm="1">
        <f t="array" aca="1" ref="AS64" ca="1">INDIRECT(REPLACE("'Dren_Dim'!bf00",58,2,FIXED(AS2,0)))</f>
        <v>427.209</v>
      </c>
      <c r="AT64" s="158" cm="1">
        <f t="array" aca="1" ref="AT64" ca="1">INDIRECT(REPLACE("'Dren_Dim'!bf00",58,2,FIXED(AT2,0)))</f>
        <v>425.77300000000002</v>
      </c>
      <c r="AU64" s="158" cm="1">
        <f t="array" aca="1" ref="AU64" ca="1">INDIRECT(REPLACE("'Dren_Dim'!bf00",58,2,FIXED(AU2,0)))</f>
        <v>423.791</v>
      </c>
      <c r="AV64" s="158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919"/>
    </row>
    <row r="65" spans="1:64" s="14" customFormat="1" ht="21.95" customHeight="1" x14ac:dyDescent="0.15">
      <c r="A65" s="2635"/>
      <c r="B65" s="2645" t="s">
        <v>2235</v>
      </c>
      <c r="C65" s="2646"/>
      <c r="D65" s="158"/>
      <c r="E65" s="158" cm="1">
        <f t="array" aca="1" ref="E65" ca="1">INDIRECT(REPLACE("'Dren_Dim'!bg00",59,2,FIXED(E2,0)))</f>
        <v>422.80799999999999</v>
      </c>
      <c r="F65" s="158" cm="1">
        <f t="array" aca="1" ref="F65" ca="1">INDIRECT(REPLACE("'Dren_Dim'!bg00",59,2,FIXED(F2,0)))</f>
        <v>421.51164</v>
      </c>
      <c r="G65" s="158" cm="1">
        <f t="array" aca="1" ref="G65" ca="1">INDIRECT(REPLACE("'Dren_Dim'!bg00",59,2,FIXED(G2,0)))</f>
        <v>419.97296</v>
      </c>
      <c r="H65" s="158"/>
      <c r="I65" s="158"/>
      <c r="J65" s="158"/>
      <c r="K65" s="158"/>
      <c r="L65" s="2416"/>
      <c r="M65" s="158" cm="1">
        <f t="array" aca="1" ref="M65" ca="1">INDIRECT(REPLACE("'Dren_Dim'!bg00",59,2,FIXED(M2,0)))</f>
        <v>436.34199999999998</v>
      </c>
      <c r="N65" s="158" cm="1">
        <f t="array" aca="1" ref="N65" ca="1">INDIRECT(REPLACE("'Dren_Dim'!bg00",59,2,FIXED(N2,0)))</f>
        <v>435.13815999999997</v>
      </c>
      <c r="O65" s="158" cm="1">
        <f t="array" aca="1" ref="O65" ca="1">INDIRECT(REPLACE("'Dren_Dim'!bg00",59,2,FIXED(O2,0)))</f>
        <v>433.19540999999992</v>
      </c>
      <c r="P65" s="158" cm="1">
        <f t="array" aca="1" ref="P65" ca="1">INDIRECT(REPLACE("'Dren_Dim'!bg00",59,2,FIXED(P2,0)))</f>
        <v>432.3042099999999</v>
      </c>
      <c r="Q65" s="158" cm="1">
        <f t="array" aca="1" ref="Q65" ca="1">INDIRECT(REPLACE("'Dren_Dim'!bg00",59,2,FIXED(Q2,0)))</f>
        <v>430.48180999999988</v>
      </c>
      <c r="R65" s="158" cm="1">
        <f t="array" aca="1" ref="R65" ca="1">INDIRECT(REPLACE("'Dren_Dim'!bg00",59,2,FIXED(R2,0)))</f>
        <v>427.7553299999999</v>
      </c>
      <c r="S65" s="158" cm="1">
        <f t="array" aca="1" ref="S65" ca="1">INDIRECT(REPLACE("'Dren_Dim'!bg00",59,2,FIXED(S2,0)))</f>
        <v>425.0072899999999</v>
      </c>
      <c r="T65" s="158" cm="1">
        <f t="array" aca="1" ref="T65" ca="1">INDIRECT(REPLACE("'Dren_Dim'!bg00",59,2,FIXED(T2,0)))</f>
        <v>422.83256999999992</v>
      </c>
      <c r="U65" s="158"/>
      <c r="V65" s="2416"/>
      <c r="W65" s="158" cm="1">
        <f t="array" aca="1" ref="W65" ca="1">INDIRECT(REPLACE("'Dren_Dim'!bg00",59,2,FIXED(W2,0)))</f>
        <v>431.46799999999996</v>
      </c>
      <c r="X65" s="158" cm="1">
        <f t="array" aca="1" ref="X65" ca="1">INDIRECT(REPLACE("'Dren_Dim'!bg00",59,2,FIXED(X2,0)))</f>
        <v>435.22199999999998</v>
      </c>
      <c r="Y65" s="158" cm="1">
        <f t="array" aca="1" ref="Y65" ca="1">INDIRECT(REPLACE("'Dren_Dim'!bg00",59,2,FIXED(Y2,0)))</f>
        <v>433.51775999999995</v>
      </c>
      <c r="Z65" s="158" cm="1">
        <f t="array" aca="1" ref="Z65" ca="1">INDIRECT(REPLACE("'Dren_Dim'!bg00",59,2,FIXED(Z2,0)))</f>
        <v>432.09755999999993</v>
      </c>
      <c r="AA65" s="158" cm="1">
        <f t="array" aca="1" ref="AA65" ca="1">INDIRECT(REPLACE("'Dren_Dim'!bg00",59,2,FIXED(AA2,0)))</f>
        <v>430.53160999999994</v>
      </c>
      <c r="AB65" s="158" cm="1">
        <f t="array" aca="1" ref="AB65" ca="1">INDIRECT(REPLACE("'Dren_Dim'!bg00",59,2,FIXED(AB2,0)))</f>
        <v>429.23344999999995</v>
      </c>
      <c r="AC65" s="158" cm="1">
        <f t="array" aca="1" ref="AC65" ca="1">INDIRECT(REPLACE("'Dren_Dim'!bg00",59,2,FIXED(AC2,0)))</f>
        <v>427.14399999999995</v>
      </c>
      <c r="AD65" s="158" cm="1">
        <f t="array" aca="1" ref="AD65" ca="1">INDIRECT(REPLACE("'Dren_Dim'!bg00",59,2,FIXED(AD2,0)))</f>
        <v>425.13649999999996</v>
      </c>
      <c r="AE65" s="158" cm="1">
        <f t="array" aca="1" ref="AE65" ca="1">INDIRECT(REPLACE("'Dren_Dim'!bg00",59,2,FIXED(AE2,0)))</f>
        <v>423.61045999999993</v>
      </c>
      <c r="AF65" s="158" cm="1">
        <f t="array" aca="1" ref="AF65" ca="1">INDIRECT(REPLACE("'Dren_Dim'!bg00",59,2,FIXED(AF2,0)))</f>
        <v>422.50417999999991</v>
      </c>
      <c r="AG65" s="158"/>
      <c r="AH65" s="158"/>
      <c r="AI65" s="158"/>
      <c r="AJ65" s="158"/>
      <c r="AK65" s="158"/>
      <c r="AL65" s="158"/>
      <c r="AM65" s="158"/>
      <c r="AN65" s="158"/>
      <c r="AO65" s="158"/>
      <c r="AP65" s="2416"/>
      <c r="AQ65" s="158" cm="1">
        <f t="array" aca="1" ref="AQ65" ca="1">INDIRECT(REPLACE("'Dren_Dim'!bg00",59,2,FIXED(AQ2,0)))</f>
        <v>426.983</v>
      </c>
      <c r="AR65" s="158" cm="1">
        <f t="array" aca="1" ref="AR65" ca="1">INDIRECT(REPLACE("'Dren_Dim'!bg00",59,2,FIXED(AR2,0)))</f>
        <v>426.18858</v>
      </c>
      <c r="AS65" s="158" cm="1">
        <f t="array" aca="1" ref="AS65" ca="1">INDIRECT(REPLACE("'Dren_Dim'!bg00",59,2,FIXED(AS2,0)))</f>
        <v>425.03593999999998</v>
      </c>
      <c r="AT65" s="158" cm="1">
        <f t="array" aca="1" ref="AT65" ca="1">INDIRECT(REPLACE("'Dren_Dim'!bg00",59,2,FIXED(AT2,0)))</f>
        <v>423.59553999999997</v>
      </c>
      <c r="AU65" s="158" cm="1">
        <f t="array" aca="1" ref="AU65" ca="1">INDIRECT(REPLACE("'Dren_Dim'!bg00",59,2,FIXED(AU2,0)))</f>
        <v>420.34475999999989</v>
      </c>
      <c r="AV65" s="158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919"/>
    </row>
    <row r="66" spans="1:64" s="14" customFormat="1" ht="21.95" customHeight="1" x14ac:dyDescent="0.15">
      <c r="A66" s="2635"/>
      <c r="B66" s="2645" t="s">
        <v>2237</v>
      </c>
      <c r="C66" s="2646"/>
      <c r="D66" s="158"/>
      <c r="E66" s="158" cm="1">
        <f t="array" aca="1" ref="E66" ca="1">INDIRECT(REPLACE("'Dren_Dim'!bi00",61,2,FIXED(E2,0)))</f>
        <v>422.23764</v>
      </c>
      <c r="F66" s="158" cm="1">
        <f t="array" aca="1" ref="F66" ca="1">INDIRECT(REPLACE("'Dren_Dim'!bi00",61,2,FIXED(F2,0)))</f>
        <v>420.69896</v>
      </c>
      <c r="G66" s="158" cm="1">
        <f t="array" aca="1" ref="G66" ca="1">INDIRECT(REPLACE("'Dren_Dim'!bi00",61,2,FIXED(G2,0)))</f>
        <v>419.16028</v>
      </c>
      <c r="H66" s="158"/>
      <c r="I66" s="158"/>
      <c r="J66" s="158"/>
      <c r="K66" s="158"/>
      <c r="L66" s="2416"/>
      <c r="M66" s="158" cm="1">
        <f t="array" aca="1" ref="M66" ca="1">INDIRECT(REPLACE("'Dren_Dim'!bi00",61,2,FIXED(M2,0)))</f>
        <v>435.86415999999997</v>
      </c>
      <c r="N66" s="158" cm="1">
        <f t="array" aca="1" ref="N66" ca="1">INDIRECT(REPLACE("'Dren_Dim'!bi00",61,2,FIXED(N2,0)))</f>
        <v>434.02140999999995</v>
      </c>
      <c r="O66" s="158" cm="1">
        <f t="array" aca="1" ref="O66" ca="1">INDIRECT(REPLACE("'Dren_Dim'!bi00",61,2,FIXED(O2,0)))</f>
        <v>433.0302099999999</v>
      </c>
      <c r="P66" s="158" cm="1">
        <f t="array" aca="1" ref="P66" ca="1">INDIRECT(REPLACE("'Dren_Dim'!bi00",61,2,FIXED(P2,0)))</f>
        <v>431.20780999999988</v>
      </c>
      <c r="Q66" s="158" cm="1">
        <f t="array" aca="1" ref="Q66" ca="1">INDIRECT(REPLACE("'Dren_Dim'!bi00",61,2,FIXED(Q2,0)))</f>
        <v>428.68132999999989</v>
      </c>
      <c r="R66" s="158" cm="1">
        <f t="array" aca="1" ref="R66" ca="1">INDIRECT(REPLACE("'Dren_Dim'!bi00",61,2,FIXED(R2,0)))</f>
        <v>426.21728999999988</v>
      </c>
      <c r="S66" s="158" cm="1">
        <f t="array" aca="1" ref="S66" ca="1">INDIRECT(REPLACE("'Dren_Dim'!bi00",61,2,FIXED(S2,0)))</f>
        <v>424.13256999999987</v>
      </c>
      <c r="T66" s="158" cm="1">
        <f t="array" aca="1" ref="T66" ca="1">INDIRECT(REPLACE("'Dren_Dim'!bi00",61,2,FIXED(T2,0)))</f>
        <v>423.22116999999992</v>
      </c>
      <c r="U66" s="158"/>
      <c r="V66" s="2416"/>
      <c r="W66" s="158" cm="1">
        <f t="array" aca="1" ref="W66" ca="1">INDIRECT(REPLACE("'Dren_Dim'!bi00",61,2,FIXED(W2,0)))</f>
        <v>431.49960999999996</v>
      </c>
      <c r="X66" s="158" cm="1">
        <f t="array" aca="1" ref="X66" ca="1">INDIRECT(REPLACE("'Dren_Dim'!bi00",61,2,FIXED(X2,0)))</f>
        <v>434.24375999999995</v>
      </c>
      <c r="Y66" s="158" cm="1">
        <f t="array" aca="1" ref="Y66" ca="1">INDIRECT(REPLACE("'Dren_Dim'!bi00",61,2,FIXED(Y2,0)))</f>
        <v>432.82355999999993</v>
      </c>
      <c r="Z66" s="158" cm="1">
        <f t="array" aca="1" ref="Z66" ca="1">INDIRECT(REPLACE("'Dren_Dim'!bi00",61,2,FIXED(Z2,0)))</f>
        <v>431.49803999999995</v>
      </c>
      <c r="AA66" s="158" cm="1">
        <f t="array" aca="1" ref="AA66" ca="1">INDIRECT(REPLACE("'Dren_Dim'!bi00",61,2,FIXED(AA2,0)))</f>
        <v>430.20144999999997</v>
      </c>
      <c r="AB66" s="158" cm="1">
        <f t="array" aca="1" ref="AB66" ca="1">INDIRECT(REPLACE("'Dren_Dim'!bi00",61,2,FIXED(AB2,0)))</f>
        <v>428.11199999999997</v>
      </c>
      <c r="AC66" s="158" cm="1">
        <f t="array" aca="1" ref="AC66" ca="1">INDIRECT(REPLACE("'Dren_Dim'!bi00",61,2,FIXED(AC2,0)))</f>
        <v>426.30449999999996</v>
      </c>
      <c r="AD66" s="158" cm="1">
        <f t="array" aca="1" ref="AD66" ca="1">INDIRECT(REPLACE("'Dren_Dim'!bi00",61,2,FIXED(AD2,0)))</f>
        <v>424.82045999999991</v>
      </c>
      <c r="AE66" s="158" cm="1">
        <f t="array" aca="1" ref="AE66" ca="1">INDIRECT(REPLACE("'Dren_Dim'!bi00",61,2,FIXED(AE2,0)))</f>
        <v>423.71417999999989</v>
      </c>
      <c r="AF66" s="158" cm="1">
        <f t="array" aca="1" ref="AF66" ca="1">INDIRECT(REPLACE("'Dren_Dim'!bi00",61,2,FIXED(AF2,0)))</f>
        <v>422.05475999999987</v>
      </c>
      <c r="AG66" s="158"/>
      <c r="AH66" s="158"/>
      <c r="AI66" s="158"/>
      <c r="AJ66" s="158"/>
      <c r="AK66" s="158"/>
      <c r="AL66" s="158"/>
      <c r="AM66" s="158"/>
      <c r="AN66" s="158"/>
      <c r="AO66" s="158"/>
      <c r="AP66" s="2416"/>
      <c r="AQ66" s="158" cm="1">
        <f t="array" aca="1" ref="AQ66" ca="1">INDIRECT(REPLACE("'Dren_Dim'!bi00",61,2,FIXED(AQ2,0)))</f>
        <v>0</v>
      </c>
      <c r="AR66" s="158" cm="1">
        <f t="array" aca="1" ref="AR66" ca="1">INDIRECT(REPLACE("'Dren_Dim'!bi00",61,2,FIXED(AR2,0)))</f>
        <v>426.00394</v>
      </c>
      <c r="AS66" s="158" cm="1">
        <f t="array" aca="1" ref="AS66" ca="1">INDIRECT(REPLACE("'Dren_Dim'!bi00",61,2,FIXED(AS2,0)))</f>
        <v>424.56353999999999</v>
      </c>
      <c r="AT66" s="158" cm="1">
        <f t="array" aca="1" ref="AT66" ca="1">INDIRECT(REPLACE("'Dren_Dim'!bi00",61,2,FIXED(AT2,0)))</f>
        <v>422.61926999999997</v>
      </c>
      <c r="AU66" s="158" cm="1">
        <f t="array" aca="1" ref="AU66" ca="1">INDIRECT(REPLACE("'Dren_Dim'!bi00",61,2,FIXED(AU2,0)))</f>
        <v>419.60454999999985</v>
      </c>
      <c r="AV66" s="158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919"/>
    </row>
    <row r="67" spans="1:64" s="14" customFormat="1" ht="21.95" customHeight="1" x14ac:dyDescent="0.15">
      <c r="A67" s="2635"/>
      <c r="B67" s="2645" t="s">
        <v>2238</v>
      </c>
      <c r="C67" s="2646"/>
      <c r="D67" s="158"/>
      <c r="E67" s="158" cm="1">
        <f t="array" aca="1" ref="E67" ca="1">INDIRECT(REPLACE("'Dren_Dim'!bj00",62,2,FIXED(E2,0)))</f>
        <v>423.53399999999999</v>
      </c>
      <c r="F67" s="158" cm="1">
        <f t="array" aca="1" ref="F67" ca="1">INDIRECT(REPLACE("'Dren_Dim'!bj00",62,2,FIXED(F2,0)))</f>
        <v>422.23764</v>
      </c>
      <c r="G67" s="158" cm="1">
        <f t="array" aca="1" ref="G67" ca="1">INDIRECT(REPLACE("'Dren_Dim'!bj00",62,2,FIXED(G2,0)))</f>
        <v>420.69896</v>
      </c>
      <c r="H67" s="158"/>
      <c r="I67" s="158"/>
      <c r="J67" s="158"/>
      <c r="K67" s="158"/>
      <c r="L67" s="2416"/>
      <c r="M67" s="158" cm="1">
        <f t="array" aca="1" ref="M67" ca="1">INDIRECT(REPLACE("'Dren_Dim'!bj00",62,2,FIXED(M2,0)))</f>
        <v>437.06799999999998</v>
      </c>
      <c r="N67" s="158" cm="1">
        <f t="array" aca="1" ref="N67" ca="1">INDIRECT(REPLACE("'Dren_Dim'!bj00",62,2,FIXED(N2,0)))</f>
        <v>435.86415999999997</v>
      </c>
      <c r="O67" s="158" cm="1">
        <f t="array" aca="1" ref="O67" ca="1">INDIRECT(REPLACE("'Dren_Dim'!bj00",62,2,FIXED(O2,0)))</f>
        <v>433.92140999999992</v>
      </c>
      <c r="P67" s="158" cm="1">
        <f t="array" aca="1" ref="P67" ca="1">INDIRECT(REPLACE("'Dren_Dim'!bj00",62,2,FIXED(P2,0)))</f>
        <v>433.0302099999999</v>
      </c>
      <c r="Q67" s="158" cm="1">
        <f t="array" aca="1" ref="Q67" ca="1">INDIRECT(REPLACE("'Dren_Dim'!bj00",62,2,FIXED(Q2,0)))</f>
        <v>431.20780999999988</v>
      </c>
      <c r="R67" s="158" cm="1">
        <f t="array" aca="1" ref="R67" ca="1">INDIRECT(REPLACE("'Dren_Dim'!bj00",62,2,FIXED(R2,0)))</f>
        <v>428.96532999999988</v>
      </c>
      <c r="S67" s="158" cm="1">
        <f t="array" aca="1" ref="S67" ca="1">INDIRECT(REPLACE("'Dren_Dim'!bj00",62,2,FIXED(S2,0)))</f>
        <v>426.21728999999988</v>
      </c>
      <c r="T67" s="158" cm="1">
        <f t="array" aca="1" ref="T67" ca="1">INDIRECT(REPLACE("'Dren_Dim'!bj00",62,2,FIXED(T2,0)))</f>
        <v>424.0425699999999</v>
      </c>
      <c r="U67" s="158"/>
      <c r="V67" s="2416"/>
      <c r="W67" s="158" cm="1">
        <f t="array" aca="1" ref="W67" ca="1">INDIRECT(REPLACE("'Dren_Dim'!bj00",62,2,FIXED(W2,0)))</f>
        <v>432.43599999999998</v>
      </c>
      <c r="X67" s="158" cm="1">
        <f t="array" aca="1" ref="X67" ca="1">INDIRECT(REPLACE("'Dren_Dim'!bj00",62,2,FIXED(X2,0)))</f>
        <v>435.94799999999998</v>
      </c>
      <c r="Y67" s="158" cm="1">
        <f t="array" aca="1" ref="Y67" ca="1">INDIRECT(REPLACE("'Dren_Dim'!bj00",62,2,FIXED(Y2,0)))</f>
        <v>434.24375999999995</v>
      </c>
      <c r="Z67" s="158" cm="1">
        <f t="array" aca="1" ref="Z67" ca="1">INDIRECT(REPLACE("'Dren_Dim'!bj00",62,2,FIXED(Z2,0)))</f>
        <v>432.82355999999993</v>
      </c>
      <c r="AA67" s="158" cm="1">
        <f t="array" aca="1" ref="AA67" ca="1">INDIRECT(REPLACE("'Dren_Dim'!bj00",62,2,FIXED(AA2,0)))</f>
        <v>431.49960999999996</v>
      </c>
      <c r="AB67" s="158" cm="1">
        <f t="array" aca="1" ref="AB67" ca="1">INDIRECT(REPLACE("'Dren_Dim'!bj00",62,2,FIXED(AB2,0)))</f>
        <v>430.20144999999997</v>
      </c>
      <c r="AC67" s="158" cm="1">
        <f t="array" aca="1" ref="AC67" ca="1">INDIRECT(REPLACE("'Dren_Dim'!bj00",62,2,FIXED(AC2,0)))</f>
        <v>428.11199999999997</v>
      </c>
      <c r="AD67" s="158" cm="1">
        <f t="array" aca="1" ref="AD67" ca="1">INDIRECT(REPLACE("'Dren_Dim'!bj00",62,2,FIXED(AD2,0)))</f>
        <v>426.34649999999993</v>
      </c>
      <c r="AE67" s="158" cm="1">
        <f t="array" aca="1" ref="AE67" ca="1">INDIRECT(REPLACE("'Dren_Dim'!bj00",62,2,FIXED(AE2,0)))</f>
        <v>424.82045999999991</v>
      </c>
      <c r="AF67" s="158" cm="1">
        <f t="array" aca="1" ref="AF67" ca="1">INDIRECT(REPLACE("'Dren_Dim'!bj00",62,2,FIXED(AF2,0)))</f>
        <v>423.71417999999989</v>
      </c>
      <c r="AG67" s="158"/>
      <c r="AH67" s="158"/>
      <c r="AI67" s="158"/>
      <c r="AJ67" s="158"/>
      <c r="AK67" s="158"/>
      <c r="AL67" s="158"/>
      <c r="AM67" s="158"/>
      <c r="AN67" s="158"/>
      <c r="AO67" s="158"/>
      <c r="AP67" s="2416"/>
      <c r="AQ67" s="158" cm="1">
        <f t="array" aca="1" ref="AQ67" ca="1">INDIRECT(REPLACE("'Dren_Dim'!bj00",62,2,FIXED(AQ2,0)))</f>
        <v>0</v>
      </c>
      <c r="AR67" s="158" cm="1">
        <f t="array" aca="1" ref="AR67" ca="1">INDIRECT(REPLACE("'Dren_Dim'!bj00",62,2,FIXED(AR2,0)))</f>
        <v>427.15658000000002</v>
      </c>
      <c r="AS67" s="158" cm="1">
        <f t="array" aca="1" ref="AS67" ca="1">INDIRECT(REPLACE("'Dren_Dim'!bj00",62,2,FIXED(AS2,0)))</f>
        <v>426.00394</v>
      </c>
      <c r="AT67" s="158" cm="1">
        <f t="array" aca="1" ref="AT67" ca="1">INDIRECT(REPLACE("'Dren_Dim'!bj00",62,2,FIXED(AT2,0)))</f>
        <v>424.56353999999999</v>
      </c>
      <c r="AU67" s="158" cm="1">
        <f t="array" aca="1" ref="AU67" ca="1">INDIRECT(REPLACE("'Dren_Dim'!bj00",62,2,FIXED(AU2,0)))</f>
        <v>421.55475999999987</v>
      </c>
      <c r="AV67" s="158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919"/>
    </row>
    <row r="68" spans="1:64" s="14" customFormat="1" ht="21.95" customHeight="1" x14ac:dyDescent="0.15">
      <c r="A68" s="2635"/>
      <c r="B68" s="2645" t="s">
        <v>2239</v>
      </c>
      <c r="C68" s="2646"/>
      <c r="D68" s="158"/>
      <c r="E68" s="158" cm="1">
        <f t="array" aca="1" ref="E68" ca="1">INDIRECT(REPLACE("'Dren_Dim'!bk00",63,2,FIXED(E2,0)))</f>
        <v>0</v>
      </c>
      <c r="F68" s="158" cm="1">
        <f t="array" aca="1" ref="F68" ca="1">INDIRECT(REPLACE("'Dren_Dim'!bk00",63,2,FIXED(F2,0)))</f>
        <v>422.23764</v>
      </c>
      <c r="G68" s="158" cm="1">
        <f t="array" aca="1" ref="G68" ca="1">INDIRECT(REPLACE("'Dren_Dim'!bk00",63,2,FIXED(G2,0)))</f>
        <v>420.69896</v>
      </c>
      <c r="H68" s="158"/>
      <c r="I68" s="158"/>
      <c r="J68" s="158"/>
      <c r="K68" s="158"/>
      <c r="L68" s="2416"/>
      <c r="M68" s="158" cm="1">
        <f t="array" aca="1" ref="M68" ca="1">INDIRECT(REPLACE("'Dren_Dim'!bk00",63,2,FIXED(M2,0)))</f>
        <v>0</v>
      </c>
      <c r="N68" s="158" cm="1">
        <f t="array" aca="1" ref="N68" ca="1">INDIRECT(REPLACE("'Dren_Dim'!bk00",63,2,FIXED(N2,0)))</f>
        <v>435.86415999999997</v>
      </c>
      <c r="O68" s="158" cm="1">
        <f t="array" aca="1" ref="O68" ca="1">INDIRECT(REPLACE("'Dren_Dim'!bk00",63,2,FIXED(O2,0)))</f>
        <v>434.02140999999995</v>
      </c>
      <c r="P68" s="158" cm="1">
        <f t="array" aca="1" ref="P68" ca="1">INDIRECT(REPLACE("'Dren_Dim'!bk00",63,2,FIXED(P2,0)))</f>
        <v>433.0302099999999</v>
      </c>
      <c r="Q68" s="158" cm="1">
        <f t="array" aca="1" ref="Q68" ca="1">INDIRECT(REPLACE("'Dren_Dim'!bk00",63,2,FIXED(Q2,0)))</f>
        <v>431.20780999999988</v>
      </c>
      <c r="R68" s="158" cm="1">
        <f t="array" aca="1" ref="R68" ca="1">INDIRECT(REPLACE("'Dren_Dim'!bk00",63,2,FIXED(R2,0)))</f>
        <v>428.68132999999989</v>
      </c>
      <c r="S68" s="158" cm="1">
        <f t="array" aca="1" ref="S68" ca="1">INDIRECT(REPLACE("'Dren_Dim'!bk00",63,2,FIXED(S2,0)))</f>
        <v>426.21728999999988</v>
      </c>
      <c r="T68" s="158" cm="1">
        <f t="array" aca="1" ref="T68" ca="1">INDIRECT(REPLACE("'Dren_Dim'!bk00",63,2,FIXED(T2,0)))</f>
        <v>424.13256999999987</v>
      </c>
      <c r="U68" s="158"/>
      <c r="V68" s="2416"/>
      <c r="W68" s="158" cm="1">
        <f t="array" aca="1" ref="W68" ca="1">INDIRECT(REPLACE("'Dren_Dim'!bk00",63,2,FIXED(W2,0)))</f>
        <v>0</v>
      </c>
      <c r="X68" s="158" cm="1">
        <f t="array" aca="1" ref="X68" ca="1">INDIRECT(REPLACE("'Dren_Dim'!bk00",63,2,FIXED(X2,0)))</f>
        <v>0</v>
      </c>
      <c r="Y68" s="158" cm="1">
        <f t="array" aca="1" ref="Y68" ca="1">INDIRECT(REPLACE("'Dren_Dim'!bk00",63,2,FIXED(Y2,0)))</f>
        <v>434.24375999999995</v>
      </c>
      <c r="Z68" s="158" cm="1">
        <f t="array" aca="1" ref="Z68" ca="1">INDIRECT(REPLACE("'Dren_Dim'!bk00",63,2,FIXED(Z2,0)))</f>
        <v>432.82355999999993</v>
      </c>
      <c r="AA68" s="158" cm="1">
        <f t="array" aca="1" ref="AA68" ca="1">INDIRECT(REPLACE("'Dren_Dim'!bk00",63,2,FIXED(AA2,0)))</f>
        <v>431.49960999999996</v>
      </c>
      <c r="AB68" s="158" cm="1">
        <f t="array" aca="1" ref="AB68" ca="1">INDIRECT(REPLACE("'Dren_Dim'!bk00",63,2,FIXED(AB2,0)))</f>
        <v>430.20144999999997</v>
      </c>
      <c r="AC68" s="158" cm="1">
        <f t="array" aca="1" ref="AC68" ca="1">INDIRECT(REPLACE("'Dren_Dim'!bk00",63,2,FIXED(AC2,0)))</f>
        <v>428.11199999999997</v>
      </c>
      <c r="AD68" s="158" cm="1">
        <f t="array" aca="1" ref="AD68" ca="1">INDIRECT(REPLACE("'Dren_Dim'!bk00",63,2,FIXED(AD2,0)))</f>
        <v>426.30449999999996</v>
      </c>
      <c r="AE68" s="158" cm="1">
        <f t="array" aca="1" ref="AE68" ca="1">INDIRECT(REPLACE("'Dren_Dim'!bk00",63,2,FIXED(AE2,0)))</f>
        <v>424.82045999999991</v>
      </c>
      <c r="AF68" s="158" cm="1">
        <f t="array" aca="1" ref="AF68" ca="1">INDIRECT(REPLACE("'Dren_Dim'!bk00",63,2,FIXED(AF2,0)))</f>
        <v>423.71417999999989</v>
      </c>
      <c r="AG68" s="158"/>
      <c r="AH68" s="158"/>
      <c r="AI68" s="158"/>
      <c r="AJ68" s="158"/>
      <c r="AK68" s="158"/>
      <c r="AL68" s="158"/>
      <c r="AM68" s="158"/>
      <c r="AN68" s="158"/>
      <c r="AO68" s="158"/>
      <c r="AP68" s="2416"/>
      <c r="AQ68" s="158" cm="1">
        <f t="array" aca="1" ref="AQ68" ca="1">INDIRECT(REPLACE("'Dren_Dim'!bk00",63,2,FIXED(AQ2,0)))</f>
        <v>0</v>
      </c>
      <c r="AR68" s="158" cm="1">
        <f t="array" aca="1" ref="AR68" ca="1">INDIRECT(REPLACE("'Dren_Dim'!bk00",63,2,FIXED(AR2,0)))</f>
        <v>0</v>
      </c>
      <c r="AS68" s="158" cm="1">
        <f t="array" aca="1" ref="AS68" ca="1">INDIRECT(REPLACE("'Dren_Dim'!bk00",63,2,FIXED(AS2,0)))</f>
        <v>426.00394</v>
      </c>
      <c r="AT68" s="158" cm="1">
        <f t="array" aca="1" ref="AT68" ca="1">INDIRECT(REPLACE("'Dren_Dim'!bk00",63,2,FIXED(AT2,0)))</f>
        <v>424.56353999999999</v>
      </c>
      <c r="AU68" s="158" cm="1">
        <f t="array" aca="1" ref="AU68" ca="1">INDIRECT(REPLACE("'Dren_Dim'!bk00",63,2,FIXED(AU2,0)))</f>
        <v>422.05475999999987</v>
      </c>
      <c r="AV68" s="158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919"/>
    </row>
    <row r="69" spans="1:64" s="14" customFormat="1" ht="21.95" customHeight="1" x14ac:dyDescent="0.15">
      <c r="A69" s="2635"/>
      <c r="B69" s="2645" t="s">
        <v>2240</v>
      </c>
      <c r="C69" s="2646"/>
      <c r="D69" s="158"/>
      <c r="E69" s="158" cm="1">
        <f t="array" aca="1" ref="E69" ca="1">INDIRECT(REPLACE("'Dren_Dim'!bl00",64,2,FIXED(E2,0)))</f>
        <v>0</v>
      </c>
      <c r="F69" s="158" cm="1">
        <f t="array" aca="1" ref="F69" ca="1">INDIRECT(REPLACE("'Dren_Dim'!bl00",64,2,FIXED(F2,0)))</f>
        <v>0</v>
      </c>
      <c r="G69" s="158" cm="1">
        <f t="array" aca="1" ref="G69" ca="1">INDIRECT(REPLACE("'Dren_Dim'!bl00",64,2,FIXED(G2,0)))</f>
        <v>0</v>
      </c>
      <c r="H69" s="158"/>
      <c r="I69" s="158"/>
      <c r="J69" s="158"/>
      <c r="K69" s="158"/>
      <c r="L69" s="2416"/>
      <c r="M69" s="158" cm="1">
        <f t="array" aca="1" ref="M69" ca="1">INDIRECT(REPLACE("'Dren_Dim'!bl00",64,2,FIXED(M2,0)))</f>
        <v>0</v>
      </c>
      <c r="N69" s="158" cm="1">
        <f t="array" aca="1" ref="N69" ca="1">INDIRECT(REPLACE("'Dren_Dim'!bl00",64,2,FIXED(N2,0)))</f>
        <v>0</v>
      </c>
      <c r="O69" s="158" cm="1">
        <f t="array" aca="1" ref="O69" ca="1">INDIRECT(REPLACE("'Dren_Dim'!bl00",64,2,FIXED(O2,0)))</f>
        <v>0</v>
      </c>
      <c r="P69" s="158" cm="1">
        <f t="array" aca="1" ref="P69" ca="1">INDIRECT(REPLACE("'Dren_Dim'!bl00",64,2,FIXED(P2,0)))</f>
        <v>0</v>
      </c>
      <c r="Q69" s="158" cm="1">
        <f t="array" aca="1" ref="Q69" ca="1">INDIRECT(REPLACE("'Dren_Dim'!bl00",64,2,FIXED(Q2,0)))</f>
        <v>0</v>
      </c>
      <c r="R69" s="158" cm="1">
        <f t="array" aca="1" ref="R69" ca="1">INDIRECT(REPLACE("'Dren_Dim'!bl00",64,2,FIXED(R2,0)))</f>
        <v>0</v>
      </c>
      <c r="S69" s="158" cm="1">
        <f t="array" aca="1" ref="S69" ca="1">INDIRECT(REPLACE("'Dren_Dim'!bl00",64,2,FIXED(S2,0)))</f>
        <v>0</v>
      </c>
      <c r="T69" s="158" cm="1">
        <f t="array" aca="1" ref="T69" ca="1">INDIRECT(REPLACE("'Dren_Dim'!bl00",64,2,FIXED(T2,0)))</f>
        <v>0</v>
      </c>
      <c r="U69" s="158"/>
      <c r="V69" s="2416"/>
      <c r="W69" s="158" cm="1">
        <f t="array" aca="1" ref="W69" ca="1">INDIRECT(REPLACE("'Dren_Dim'!bl00",64,2,FIXED(W2,0)))</f>
        <v>0</v>
      </c>
      <c r="X69" s="158" cm="1">
        <f t="array" aca="1" ref="X69" ca="1">INDIRECT(REPLACE("'Dren_Dim'!bl00",64,2,FIXED(X2,0)))</f>
        <v>0</v>
      </c>
      <c r="Y69" s="158" cm="1">
        <f t="array" aca="1" ref="Y69" ca="1">INDIRECT(REPLACE("'Dren_Dim'!bl00",64,2,FIXED(Y2,0)))</f>
        <v>0</v>
      </c>
      <c r="Z69" s="158" cm="1">
        <f t="array" aca="1" ref="Z69" ca="1">INDIRECT(REPLACE("'Dren_Dim'!bl00",64,2,FIXED(Z2,0)))</f>
        <v>0</v>
      </c>
      <c r="AA69" s="158" cm="1">
        <f t="array" aca="1" ref="AA69" ca="1">INDIRECT(REPLACE("'Dren_Dim'!bl00",64,2,FIXED(AA2,0)))</f>
        <v>431.49803999999995</v>
      </c>
      <c r="AB69" s="158" cm="1">
        <f t="array" aca="1" ref="AB69" ca="1">INDIRECT(REPLACE("'Dren_Dim'!bl00",64,2,FIXED(AB2,0)))</f>
        <v>0</v>
      </c>
      <c r="AC69" s="158" cm="1">
        <f t="array" aca="1" ref="AC69" ca="1">INDIRECT(REPLACE("'Dren_Dim'!bl00",64,2,FIXED(AC2,0)))</f>
        <v>0</v>
      </c>
      <c r="AD69" s="158" cm="1">
        <f t="array" aca="1" ref="AD69" ca="1">INDIRECT(REPLACE("'Dren_Dim'!bl00",64,2,FIXED(AD2,0)))</f>
        <v>0</v>
      </c>
      <c r="AE69" s="158" cm="1">
        <f t="array" aca="1" ref="AE69" ca="1">INDIRECT(REPLACE("'Dren_Dim'!bl00",64,2,FIXED(AE2,0)))</f>
        <v>0</v>
      </c>
      <c r="AF69" s="158" cm="1">
        <f t="array" aca="1" ref="AF69" ca="1">INDIRECT(REPLACE("'Dren_Dim'!bl00",64,2,FIXED(AF2,0)))</f>
        <v>0</v>
      </c>
      <c r="AG69" s="158"/>
      <c r="AH69" s="158"/>
      <c r="AI69" s="158"/>
      <c r="AJ69" s="158"/>
      <c r="AK69" s="158"/>
      <c r="AL69" s="158"/>
      <c r="AM69" s="158"/>
      <c r="AN69" s="158"/>
      <c r="AO69" s="158"/>
      <c r="AP69" s="2416"/>
      <c r="AQ69" s="158" cm="1">
        <f t="array" aca="1" ref="AQ69" ca="1">INDIRECT(REPLACE("'Dren_Dim'!bl00",64,2,FIXED(AQ2,0)))</f>
        <v>0</v>
      </c>
      <c r="AR69" s="158" cm="1">
        <f t="array" aca="1" ref="AR69" ca="1">INDIRECT(REPLACE("'Dren_Dim'!bl00",64,2,FIXED(AR2,0)))</f>
        <v>0</v>
      </c>
      <c r="AS69" s="158" cm="1">
        <f t="array" aca="1" ref="AS69" ca="1">INDIRECT(REPLACE("'Dren_Dim'!bl00",64,2,FIXED(AS2,0)))</f>
        <v>0</v>
      </c>
      <c r="AT69" s="158" cm="1">
        <f t="array" aca="1" ref="AT69" ca="1">INDIRECT(REPLACE("'Dren_Dim'!bl00",64,2,FIXED(AT2,0)))</f>
        <v>0</v>
      </c>
      <c r="AU69" s="158" cm="1">
        <f t="array" aca="1" ref="AU69" ca="1">INDIRECT(REPLACE("'Dren_Dim'!bl00",64,2,FIXED(AU2,0)))</f>
        <v>422.61926999999997</v>
      </c>
      <c r="AV69" s="158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919"/>
    </row>
    <row r="70" spans="1:64" s="14" customFormat="1" ht="21.95" customHeight="1" x14ac:dyDescent="0.15">
      <c r="A70" s="2635"/>
      <c r="B70" s="2645" t="s">
        <v>2248</v>
      </c>
      <c r="C70" s="2646"/>
      <c r="D70" s="158"/>
      <c r="E70" s="158" cm="1">
        <f t="array" aca="1" ref="E70" ca="1">INDIRECT(REPLACE("'Dren_Dim'!bP00",68,2,FIXED(E2,0)))</f>
        <v>1.5</v>
      </c>
      <c r="F70" s="158" cm="1">
        <f t="array" aca="1" ref="F70" ca="1">INDIRECT(REPLACE("'Dren_Dim'!bP00",68,2,FIXED(F2,0)))</f>
        <v>1.5</v>
      </c>
      <c r="G70" s="158" cm="1">
        <f t="array" aca="1" ref="G70" ca="1">INDIRECT(REPLACE("'Dren_Dim'!bP00",68,2,FIXED(G2,0)))</f>
        <v>1.5</v>
      </c>
      <c r="H70" s="158"/>
      <c r="I70" s="158"/>
      <c r="J70" s="158"/>
      <c r="K70" s="158"/>
      <c r="L70" s="2416"/>
      <c r="M70" s="158" cm="1">
        <f t="array" aca="1" ref="M70" ca="1">INDIRECT(REPLACE("'Dren_Dim'!bP00",68,2,FIXED(M2,0)))</f>
        <v>1.5</v>
      </c>
      <c r="N70" s="158" cm="1">
        <f t="array" aca="1" ref="N70" ca="1">INDIRECT(REPLACE("'Dren_Dim'!bP00",68,2,FIXED(N2,0)))</f>
        <v>1.5</v>
      </c>
      <c r="O70" s="158" cm="1">
        <f t="array" aca="1" ref="O70" ca="1">INDIRECT(REPLACE("'Dren_Dim'!bP00",68,2,FIXED(O2,0)))</f>
        <v>1.5</v>
      </c>
      <c r="P70" s="158" cm="1">
        <f t="array" aca="1" ref="P70" ca="1">INDIRECT(REPLACE("'Dren_Dim'!bP00",68,2,FIXED(P2,0)))</f>
        <v>1.5</v>
      </c>
      <c r="Q70" s="158" cm="1">
        <f t="array" aca="1" ref="Q70" ca="1">INDIRECT(REPLACE("'Dren_Dim'!bP00",68,2,FIXED(Q2,0)))</f>
        <v>1.5</v>
      </c>
      <c r="R70" s="158" cm="1">
        <f t="array" aca="1" ref="R70" ca="1">INDIRECT(REPLACE("'Dren_Dim'!bP00",68,2,FIXED(R2,0)))</f>
        <v>1.5</v>
      </c>
      <c r="S70" s="158" cm="1">
        <f t="array" aca="1" ref="S70" ca="1">INDIRECT(REPLACE("'Dren_Dim'!bP00",68,2,FIXED(S2,0)))</f>
        <v>1.5</v>
      </c>
      <c r="T70" s="158" cm="1">
        <f t="array" aca="1" ref="T70" ca="1">INDIRECT(REPLACE("'Dren_Dim'!bP00",68,2,FIXED(T2,0)))</f>
        <v>1.5</v>
      </c>
      <c r="U70" s="158"/>
      <c r="V70" s="2416"/>
      <c r="W70" s="158" cm="1">
        <f t="array" aca="1" ref="W70" ca="1">INDIRECT(REPLACE("'Dren_Dim'!bP00",68,2,FIXED(W2,0)))</f>
        <v>1.5</v>
      </c>
      <c r="X70" s="158" cm="1">
        <f t="array" aca="1" ref="X70" ca="1">INDIRECT(REPLACE("'Dren_Dim'!bP00",68,2,FIXED(X2,0)))</f>
        <v>1.5</v>
      </c>
      <c r="Y70" s="158" cm="1">
        <f t="array" aca="1" ref="Y70" ca="1">INDIRECT(REPLACE("'Dren_Dim'!bP00",68,2,FIXED(Y2,0)))</f>
        <v>1.5</v>
      </c>
      <c r="Z70" s="158" cm="1">
        <f t="array" aca="1" ref="Z70" ca="1">INDIRECT(REPLACE("'Dren_Dim'!bP00",68,2,FIXED(Z2,0)))</f>
        <v>1.5</v>
      </c>
      <c r="AA70" s="158" cm="1">
        <f t="array" aca="1" ref="AA70" ca="1">INDIRECT(REPLACE("'Dren_Dim'!bP00",68,2,FIXED(AA2,0)))</f>
        <v>1.5</v>
      </c>
      <c r="AB70" s="158" cm="1">
        <f t="array" aca="1" ref="AB70" ca="1">INDIRECT(REPLACE("'Dren_Dim'!bP00",68,2,FIXED(AB2,0)))</f>
        <v>1.5</v>
      </c>
      <c r="AC70" s="158" cm="1">
        <f t="array" aca="1" ref="AC70" ca="1">INDIRECT(REPLACE("'Dren_Dim'!bP00",68,2,FIXED(AC2,0)))</f>
        <v>1.5</v>
      </c>
      <c r="AD70" s="158" cm="1">
        <f t="array" aca="1" ref="AD70" ca="1">INDIRECT(REPLACE("'Dren_Dim'!bP00",68,2,FIXED(AD2,0)))</f>
        <v>1.5</v>
      </c>
      <c r="AE70" s="158" cm="1">
        <f t="array" aca="1" ref="AE70" ca="1">INDIRECT(REPLACE("'Dren_Dim'!bP00",68,2,FIXED(AE2,0)))</f>
        <v>1.5</v>
      </c>
      <c r="AF70" s="158" cm="1">
        <f t="array" aca="1" ref="AF70" ca="1">INDIRECT(REPLACE("'Dren_Dim'!bP00",68,2,FIXED(AF2,0)))</f>
        <v>1.5</v>
      </c>
      <c r="AG70" s="158"/>
      <c r="AH70" s="158"/>
      <c r="AI70" s="158"/>
      <c r="AJ70" s="158"/>
      <c r="AK70" s="158"/>
      <c r="AL70" s="158"/>
      <c r="AM70" s="158"/>
      <c r="AN70" s="158"/>
      <c r="AO70" s="158"/>
      <c r="AP70" s="2416"/>
      <c r="AQ70" s="158" cm="1">
        <f t="array" aca="1" ref="AQ70" ca="1">INDIRECT(REPLACE("'Dren_Dim'!bP00",68,2,FIXED(AQ2,0)))</f>
        <v>1.5</v>
      </c>
      <c r="AR70" s="158" cm="1">
        <f t="array" aca="1" ref="AR70" ca="1">INDIRECT(REPLACE("'Dren_Dim'!bP00",68,2,FIXED(AR2,0)))</f>
        <v>1.5</v>
      </c>
      <c r="AS70" s="158" cm="1">
        <f t="array" aca="1" ref="AS70" ca="1">INDIRECT(REPLACE("'Dren_Dim'!bP00",68,2,FIXED(AS2,0)))</f>
        <v>1.5</v>
      </c>
      <c r="AT70" s="158" cm="1">
        <f t="array" aca="1" ref="AT70" ca="1">INDIRECT(REPLACE("'Dren_Dim'!bP00",68,2,FIXED(AT2,0)))</f>
        <v>1.5</v>
      </c>
      <c r="AU70" s="158" cm="1">
        <f t="array" aca="1" ref="AU70" ca="1">INDIRECT(REPLACE("'Dren_Dim'!bP00",68,2,FIXED(AU2,0)))</f>
        <v>2.4645100000000775</v>
      </c>
      <c r="AV70" s="158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919"/>
    </row>
    <row r="71" spans="1:64" s="14" customFormat="1" ht="21.95" customHeight="1" x14ac:dyDescent="0.15">
      <c r="A71" s="2635"/>
      <c r="B71" s="2623" t="s">
        <v>2638</v>
      </c>
      <c r="C71" s="2623" t="s">
        <v>17</v>
      </c>
      <c r="D71" s="969"/>
      <c r="E71" s="969" cm="1">
        <f t="array" aca="1" ref="E71" ca="1">INDIRECT(REPLACE("'Dren_Dim'!bQ00",69,2,FIXED(E2,0)))</f>
        <v>0</v>
      </c>
      <c r="F71" s="969" cm="1">
        <f t="array" aca="1" ref="F71" ca="1">INDIRECT(REPLACE("'Dren_Dim'!bQ00",69,2,FIXED(F2,0)))</f>
        <v>0</v>
      </c>
      <c r="G71" s="969" cm="1">
        <f t="array" aca="1" ref="G71" ca="1">INDIRECT(REPLACE("'Dren_Dim'!bQ00",69,2,FIXED(G2,0)))</f>
        <v>0</v>
      </c>
      <c r="H71" s="969"/>
      <c r="I71" s="969"/>
      <c r="J71" s="969"/>
      <c r="K71" s="969"/>
      <c r="L71" s="2417"/>
      <c r="M71" s="969" cm="1">
        <f t="array" aca="1" ref="M71" ca="1">INDIRECT(REPLACE("'Dren_Dim'!bQ00",69,2,FIXED(M2,0)))</f>
        <v>0</v>
      </c>
      <c r="N71" s="969" cm="1">
        <f t="array" aca="1" ref="N71" ca="1">INDIRECT(REPLACE("'Dren_Dim'!bQ00",69,2,FIXED(N2,0)))</f>
        <v>0</v>
      </c>
      <c r="O71" s="969" cm="1">
        <f t="array" aca="1" ref="O71" ca="1">INDIRECT(REPLACE("'Dren_Dim'!bQ00",69,2,FIXED(O2,0)))</f>
        <v>0</v>
      </c>
      <c r="P71" s="969" cm="1">
        <f t="array" aca="1" ref="P71" ca="1">INDIRECT(REPLACE("'Dren_Dim'!bQ00",69,2,FIXED(P2,0)))</f>
        <v>0</v>
      </c>
      <c r="Q71" s="969" cm="1">
        <f t="array" aca="1" ref="Q71" ca="1">INDIRECT(REPLACE("'Dren_Dim'!bQ00",69,2,FIXED(Q2,0)))</f>
        <v>0</v>
      </c>
      <c r="R71" s="969" cm="1">
        <f t="array" aca="1" ref="R71" ca="1">INDIRECT(REPLACE("'Dren_Dim'!bQ00",69,2,FIXED(R2,0)))</f>
        <v>0</v>
      </c>
      <c r="S71" s="969" cm="1">
        <f t="array" aca="1" ref="S71" ca="1">INDIRECT(REPLACE("'Dren_Dim'!bQ00",69,2,FIXED(S2,0)))</f>
        <v>0</v>
      </c>
      <c r="T71" s="969" cm="1">
        <f t="array" aca="1" ref="T71" ca="1">INDIRECT(REPLACE("'Dren_Dim'!bQ00",69,2,FIXED(T2,0)))</f>
        <v>0</v>
      </c>
      <c r="U71" s="969"/>
      <c r="V71" s="2417"/>
      <c r="W71" s="969" cm="1">
        <f t="array" aca="1" ref="W71" ca="1">INDIRECT(REPLACE("'Dren_Dim'!bQ00",69,2,FIXED(W2,0)))</f>
        <v>0</v>
      </c>
      <c r="X71" s="969" cm="1">
        <f t="array" aca="1" ref="X71" ca="1">INDIRECT(REPLACE("'Dren_Dim'!bQ00",69,2,FIXED(X2,0)))</f>
        <v>0</v>
      </c>
      <c r="Y71" s="969" cm="1">
        <f t="array" aca="1" ref="Y71" ca="1">INDIRECT(REPLACE("'Dren_Dim'!bQ00",69,2,FIXED(Y2,0)))</f>
        <v>0</v>
      </c>
      <c r="Z71" s="969" cm="1">
        <f t="array" aca="1" ref="Z71" ca="1">INDIRECT(REPLACE("'Dren_Dim'!bQ00",69,2,FIXED(Z2,0)))</f>
        <v>0</v>
      </c>
      <c r="AA71" s="969" cm="1">
        <f t="array" aca="1" ref="AA71" ca="1">INDIRECT(REPLACE("'Dren_Dim'!bQ00",69,2,FIXED(AA2,0)))</f>
        <v>0</v>
      </c>
      <c r="AB71" s="969" cm="1">
        <f t="array" aca="1" ref="AB71" ca="1">INDIRECT(REPLACE("'Dren_Dim'!bQ00",69,2,FIXED(AB2,0)))</f>
        <v>0</v>
      </c>
      <c r="AC71" s="969" cm="1">
        <f t="array" aca="1" ref="AC71" ca="1">INDIRECT(REPLACE("'Dren_Dim'!bQ00",69,2,FIXED(AC2,0)))</f>
        <v>0</v>
      </c>
      <c r="AD71" s="969" cm="1">
        <f t="array" aca="1" ref="AD71" ca="1">INDIRECT(REPLACE("'Dren_Dim'!bQ00",69,2,FIXED(AD2,0)))</f>
        <v>0</v>
      </c>
      <c r="AE71" s="969" cm="1">
        <f t="array" aca="1" ref="AE71" ca="1">INDIRECT(REPLACE("'Dren_Dim'!bQ00",69,2,FIXED(AE2,0)))</f>
        <v>0</v>
      </c>
      <c r="AF71" s="969" cm="1">
        <f t="array" aca="1" ref="AF71" ca="1">INDIRECT(REPLACE("'Dren_Dim'!bQ00",69,2,FIXED(AF2,0)))</f>
        <v>0</v>
      </c>
      <c r="AG71" s="969"/>
      <c r="AH71" s="969"/>
      <c r="AI71" s="969"/>
      <c r="AJ71" s="969"/>
      <c r="AK71" s="969"/>
      <c r="AL71" s="969"/>
      <c r="AM71" s="969"/>
      <c r="AN71" s="969"/>
      <c r="AO71" s="969"/>
      <c r="AP71" s="2417"/>
      <c r="AQ71" s="969" cm="1">
        <f t="array" aca="1" ref="AQ71" ca="1">INDIRECT(REPLACE("'Dren_Dim'!bQ00",69,2,FIXED(AQ2,0)))</f>
        <v>0</v>
      </c>
      <c r="AR71" s="969" cm="1">
        <f t="array" aca="1" ref="AR71" ca="1">INDIRECT(REPLACE("'Dren_Dim'!bQ00",69,2,FIXED(AR2,0)))</f>
        <v>0</v>
      </c>
      <c r="AS71" s="969" cm="1">
        <f t="array" aca="1" ref="AS71" ca="1">INDIRECT(REPLACE("'Dren_Dim'!bQ00",69,2,FIXED(AS2,0)))</f>
        <v>0</v>
      </c>
      <c r="AT71" s="969" cm="1">
        <f t="array" aca="1" ref="AT71" ca="1">INDIRECT(REPLACE("'Dren_Dim'!bQ00",69,2,FIXED(AT2,0)))</f>
        <v>0</v>
      </c>
      <c r="AU71" s="969" cm="1">
        <f t="array" aca="1" ref="AU71" ca="1">INDIRECT(REPLACE("'Dren_Dim'!bQ00",69,2,FIXED(AU2,0)))</f>
        <v>0.96451000000007747</v>
      </c>
      <c r="AV71" s="969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919"/>
    </row>
    <row r="72" spans="1:64" s="14" customFormat="1" ht="21.95" customHeight="1" x14ac:dyDescent="0.15">
      <c r="A72" s="2635"/>
      <c r="B72" s="2623" t="s">
        <v>1138</v>
      </c>
      <c r="C72" s="2623"/>
      <c r="D72" s="969"/>
      <c r="E72" s="969" cm="1">
        <f t="array" aca="1" ref="E72" ca="1">INDIRECT(REPLACE("'Dren_Dim'!bR00",70,2,FIXED(E2,0)))</f>
        <v>0</v>
      </c>
      <c r="F72" s="969" cm="1">
        <f t="array" aca="1" ref="F72" ca="1">INDIRECT(REPLACE("'Dren_Dim'!bR00",70,2,FIXED(F2,0)))</f>
        <v>0</v>
      </c>
      <c r="G72" s="969" cm="1">
        <f t="array" aca="1" ref="G72" ca="1">INDIRECT(REPLACE("'Dren_Dim'!bR00",70,2,FIXED(G2,0)))</f>
        <v>0</v>
      </c>
      <c r="H72" s="969"/>
      <c r="I72" s="969"/>
      <c r="J72" s="969"/>
      <c r="K72" s="969"/>
      <c r="L72" s="2417"/>
      <c r="M72" s="969" cm="1">
        <f t="array" aca="1" ref="M72" ca="1">INDIRECT(REPLACE("'Dren_Dim'!bR00",70,2,FIXED(M2,0)))</f>
        <v>0</v>
      </c>
      <c r="N72" s="969" cm="1">
        <f t="array" aca="1" ref="N72" ca="1">INDIRECT(REPLACE("'Dren_Dim'!bR00",70,2,FIXED(N2,0)))</f>
        <v>0</v>
      </c>
      <c r="O72" s="969" cm="1">
        <f t="array" aca="1" ref="O72" ca="1">INDIRECT(REPLACE("'Dren_Dim'!bR00",70,2,FIXED(O2,0)))</f>
        <v>0</v>
      </c>
      <c r="P72" s="969" cm="1">
        <f t="array" aca="1" ref="P72" ca="1">INDIRECT(REPLACE("'Dren_Dim'!bR00",70,2,FIXED(P2,0)))</f>
        <v>0</v>
      </c>
      <c r="Q72" s="969" cm="1">
        <f t="array" aca="1" ref="Q72" ca="1">INDIRECT(REPLACE("'Dren_Dim'!bR00",70,2,FIXED(Q2,0)))</f>
        <v>0</v>
      </c>
      <c r="R72" s="969" cm="1">
        <f t="array" aca="1" ref="R72" ca="1">INDIRECT(REPLACE("'Dren_Dim'!bR00",70,2,FIXED(R2,0)))</f>
        <v>0</v>
      </c>
      <c r="S72" s="969" cm="1">
        <f t="array" aca="1" ref="S72" ca="1">INDIRECT(REPLACE("'Dren_Dim'!bR00",70,2,FIXED(S2,0)))</f>
        <v>0</v>
      </c>
      <c r="T72" s="969" cm="1">
        <f t="array" aca="1" ref="T72" ca="1">INDIRECT(REPLACE("'Dren_Dim'!bR00",70,2,FIXED(T2,0)))</f>
        <v>0</v>
      </c>
      <c r="U72" s="969"/>
      <c r="V72" s="2417"/>
      <c r="W72" s="969" cm="1">
        <f t="array" aca="1" ref="W72" ca="1">INDIRECT(REPLACE("'Dren_Dim'!bR00",70,2,FIXED(W2,0)))</f>
        <v>0</v>
      </c>
      <c r="X72" s="969" cm="1">
        <f t="array" aca="1" ref="X72" ca="1">INDIRECT(REPLACE("'Dren_Dim'!bR00",70,2,FIXED(X2,0)))</f>
        <v>0</v>
      </c>
      <c r="Y72" s="969" cm="1">
        <f t="array" aca="1" ref="Y72" ca="1">INDIRECT(REPLACE("'Dren_Dim'!bR00",70,2,FIXED(Y2,0)))</f>
        <v>0</v>
      </c>
      <c r="Z72" s="969" cm="1">
        <f t="array" aca="1" ref="Z72" ca="1">INDIRECT(REPLACE("'Dren_Dim'!bR00",70,2,FIXED(Z2,0)))</f>
        <v>0</v>
      </c>
      <c r="AA72" s="969" cm="1">
        <f t="array" aca="1" ref="AA72" ca="1">INDIRECT(REPLACE("'Dren_Dim'!bR00",70,2,FIXED(AA2,0)))</f>
        <v>0</v>
      </c>
      <c r="AB72" s="969" cm="1">
        <f t="array" aca="1" ref="AB72" ca="1">INDIRECT(REPLACE("'Dren_Dim'!bR00",70,2,FIXED(AB2,0)))</f>
        <v>0</v>
      </c>
      <c r="AC72" s="969" cm="1">
        <f t="array" aca="1" ref="AC72" ca="1">INDIRECT(REPLACE("'Dren_Dim'!bR00",70,2,FIXED(AC2,0)))</f>
        <v>0</v>
      </c>
      <c r="AD72" s="969" cm="1">
        <f t="array" aca="1" ref="AD72" ca="1">INDIRECT(REPLACE("'Dren_Dim'!bR00",70,2,FIXED(AD2,0)))</f>
        <v>0</v>
      </c>
      <c r="AE72" s="969" cm="1">
        <f t="array" aca="1" ref="AE72" ca="1">INDIRECT(REPLACE("'Dren_Dim'!bR00",70,2,FIXED(AE2,0)))</f>
        <v>0</v>
      </c>
      <c r="AF72" s="969" cm="1">
        <f t="array" aca="1" ref="AF72" ca="1">INDIRECT(REPLACE("'Dren_Dim'!bR00",70,2,FIXED(AF2,0)))</f>
        <v>0</v>
      </c>
      <c r="AG72" s="969"/>
      <c r="AH72" s="969"/>
      <c r="AI72" s="969"/>
      <c r="AJ72" s="969"/>
      <c r="AK72" s="969"/>
      <c r="AL72" s="969"/>
      <c r="AM72" s="969"/>
      <c r="AN72" s="969"/>
      <c r="AO72" s="969"/>
      <c r="AP72" s="2417"/>
      <c r="AQ72" s="969" cm="1">
        <f t="array" aca="1" ref="AQ72" ca="1">INDIRECT(REPLACE("'Dren_Dim'!bR00",70,2,FIXED(AQ2,0)))</f>
        <v>0</v>
      </c>
      <c r="AR72" s="969" cm="1">
        <f t="array" aca="1" ref="AR72" ca="1">INDIRECT(REPLACE("'Dren_Dim'!bR00",70,2,FIXED(AR2,0)))</f>
        <v>0</v>
      </c>
      <c r="AS72" s="969" cm="1">
        <f t="array" aca="1" ref="AS72" ca="1">INDIRECT(REPLACE("'Dren_Dim'!bR00",70,2,FIXED(AS2,0)))</f>
        <v>0</v>
      </c>
      <c r="AT72" s="969" cm="1">
        <f t="array" aca="1" ref="AT72" ca="1">INDIRECT(REPLACE("'Dren_Dim'!bR00",70,2,FIXED(AT2,0)))</f>
        <v>0</v>
      </c>
      <c r="AU72" s="969" cm="1">
        <f t="array" aca="1" ref="AU72" ca="1">INDIRECT(REPLACE("'Dren_Dim'!bR00",70,2,FIXED(AU2,0)))</f>
        <v>0</v>
      </c>
      <c r="AV72" s="969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919"/>
    </row>
    <row r="73" spans="1:64" s="14" customFormat="1" ht="21.95" customHeight="1" x14ac:dyDescent="0.15">
      <c r="A73" s="2635"/>
      <c r="B73" s="2623" t="s">
        <v>1140</v>
      </c>
      <c r="C73" s="2623"/>
      <c r="D73" s="969"/>
      <c r="E73" s="969" cm="1">
        <f t="array" aca="1" ref="E73" ca="1">IF(SUM(E41:E46)=0,0,INDIRECT(REPLACE("'Dren_Dim'!bT00",72,2,FIXED(E2,0))))</f>
        <v>0.28000000000002273</v>
      </c>
      <c r="F73" s="969" cm="1">
        <f t="array" aca="1" ref="F73" ca="1">IF(SUM(F41:F46)=0,0,INDIRECT(REPLACE("'Dren_Dim'!bT00",72,2,FIXED(F2,0))))</f>
        <v>0.30036000000000512</v>
      </c>
      <c r="G73" s="969" cm="1">
        <f t="array" aca="1" ref="G73" ca="1">IF(SUM(G41:G46)=0,0,INDIRECT(REPLACE("'Dren_Dim'!bT00",72,2,FIXED(G2,0))))</f>
        <v>0.28703999999998359</v>
      </c>
      <c r="H73" s="969"/>
      <c r="I73" s="969"/>
      <c r="J73" s="969"/>
      <c r="K73" s="969"/>
      <c r="L73" s="2417"/>
      <c r="M73" s="969" cm="1">
        <f t="array" aca="1" ref="M73" ca="1">IF(SUM(M41:M46)=0,0,INDIRECT(REPLACE("'Dren_Dim'!bT00",72,2,FIXED(M2,0))))</f>
        <v>0.28000000000002273</v>
      </c>
      <c r="N73" s="969" cm="1">
        <f t="array" aca="1" ref="N73" ca="1">IF(SUM(N41:N46)=0,0,INDIRECT(REPLACE("'Dren_Dim'!bT00",72,2,FIXED(N2,0))))</f>
        <v>0.28084000000000514</v>
      </c>
      <c r="O73" s="969" cm="1">
        <f t="array" aca="1" ref="O73" ca="1">IF(SUM(O41:O46)=0,0,INDIRECT(REPLACE("'Dren_Dim'!bT00",72,2,FIXED(O2,0))))</f>
        <v>0.38459000000005289</v>
      </c>
      <c r="P73" s="969" cm="1">
        <f t="array" aca="1" ref="P73" ca="1">IF(SUM(P41:P46)=0,0,INDIRECT(REPLACE("'Dren_Dim'!bT00",72,2,FIXED(P2,0))))</f>
        <v>0.42079000000011774</v>
      </c>
      <c r="Q73" s="969" cm="1">
        <f t="array" aca="1" ref="Q73" ca="1">IF(SUM(Q41:Q46)=0,0,INDIRECT(REPLACE("'Dren_Dim'!bT00",72,2,FIXED(Q2,0))))</f>
        <v>0.45219000000013693</v>
      </c>
      <c r="R73" s="969" cm="1">
        <f t="array" aca="1" ref="R73" ca="1">IF(SUM(R41:R46)=0,0,INDIRECT(REPLACE("'Dren_Dim'!bT00",72,2,FIXED(R2,0))))</f>
        <v>0.61967000000009187</v>
      </c>
      <c r="S73" s="969" cm="1">
        <f t="array" aca="1" ref="S73" ca="1">IF(SUM(S41:S46)=0,0,INDIRECT(REPLACE("'Dren_Dim'!bT00",72,2,FIXED(S2,0))))</f>
        <v>0.5837100000001032</v>
      </c>
      <c r="T73" s="969" cm="1">
        <f t="array" aca="1" ref="T73" ca="1">IF(SUM(T41:T46)=0,0,INDIRECT(REPLACE("'Dren_Dim'!bT00",72,2,FIXED(T2,0))))</f>
        <v>0.69643000000007071</v>
      </c>
      <c r="U73" s="969"/>
      <c r="V73" s="2417"/>
      <c r="W73" s="969" cm="1">
        <f t="array" aca="1" ref="W73" ca="1">IF(SUM(W41:W46)=0,0,INDIRECT(REPLACE("'Dren_Dim'!bT00",72,2,FIXED(W2,0))))</f>
        <v>0.48000000000001136</v>
      </c>
      <c r="X73" s="969" cm="1">
        <f t="array" aca="1" ref="X73" ca="1">IF(SUM(X41:X46)=0,0,INDIRECT(REPLACE("'Dren_Dim'!bT00",72,2,FIXED(X2,0))))</f>
        <v>0.28000000000002273</v>
      </c>
      <c r="Y73" s="969" cm="1">
        <f t="array" aca="1" ref="Y73" ca="1">IF(SUM(Y41:Y46)=0,0,INDIRECT(REPLACE("'Dren_Dim'!bT00",72,2,FIXED(Y2,0))))</f>
        <v>0.29724000000003797</v>
      </c>
      <c r="Z73" s="969" cm="1">
        <f t="array" aca="1" ref="Z73" ca="1">IF(SUM(Z41:Z46)=0,0,INDIRECT(REPLACE("'Dren_Dim'!bT00",72,2,FIXED(Z2,0))))</f>
        <v>0.30444000000004962</v>
      </c>
      <c r="AA73" s="969" cm="1">
        <f t="array" aca="1" ref="AA73" ca="1">IF(SUM(AA41:AA46)=0,0,INDIRECT(REPLACE("'Dren_Dim'!bT00",72,2,FIXED(AA2,0))))</f>
        <v>0.50839000000006984</v>
      </c>
      <c r="AB73" s="969" cm="1">
        <f t="array" aca="1" ref="AB73" ca="1">IF(SUM(AB41:AB46)=0,0,INDIRECT(REPLACE("'Dren_Dim'!bT00",72,2,FIXED(AB2,0))))</f>
        <v>0.41355000000003656</v>
      </c>
      <c r="AC73" s="969" cm="1">
        <f t="array" aca="1" ref="AC73" ca="1">IF(SUM(AC41:AC46)=0,0,INDIRECT(REPLACE("'Dren_Dim'!bT00",72,2,FIXED(AC2,0))))</f>
        <v>0.40300000000007002</v>
      </c>
      <c r="AD73" s="969" cm="1">
        <f t="array" aca="1" ref="AD73" ca="1">IF(SUM(AD41:AD46)=0,0,INDIRECT(REPLACE("'Dren_Dim'!bT00",72,2,FIXED(AD2,0))))</f>
        <v>0.61050000000005178</v>
      </c>
      <c r="AE73" s="969" cm="1">
        <f t="array" aca="1" ref="AE73" ca="1">IF(SUM(AE41:AE46)=0,0,INDIRECT(REPLACE("'Dren_Dim'!bT00",72,2,FIXED(AE2,0))))</f>
        <v>0.69454000000006766</v>
      </c>
      <c r="AF73" s="969" cm="1">
        <f t="array" aca="1" ref="AF73" ca="1">IF(SUM(AF41:AF46)=0,0,INDIRECT(REPLACE("'Dren_Dim'!bT00",72,2,FIXED(AF2,0))))</f>
        <v>0.5838200000001097</v>
      </c>
      <c r="AG73" s="969"/>
      <c r="AH73" s="969"/>
      <c r="AI73" s="969"/>
      <c r="AJ73" s="969"/>
      <c r="AK73" s="969"/>
      <c r="AL73" s="969"/>
      <c r="AM73" s="969"/>
      <c r="AN73" s="969"/>
      <c r="AO73" s="969"/>
      <c r="AP73" s="2417"/>
      <c r="AQ73" s="969" cm="1">
        <f t="array" aca="1" ref="AQ73" ca="1">IF(SUM(AQ41:AQ46)=0,0,INDIRECT(REPLACE("'Dren_Dim'!bT00",72,2,FIXED(AQ2,0))))</f>
        <v>0</v>
      </c>
      <c r="AR73" s="969" cm="1">
        <f t="array" aca="1" ref="AR73" ca="1">IF(SUM(AR41:AR46)=0,0,INDIRECT(REPLACE("'Dren_Dim'!bT00",72,2,FIXED(AR2,0))))</f>
        <v>0.33141999999997324</v>
      </c>
      <c r="AS73" s="969" cm="1">
        <f t="array" aca="1" ref="AS73" ca="1">IF(SUM(AS41:AS46)=0,0,INDIRECT(REPLACE("'Dren_Dim'!bT00",72,2,FIXED(AS2,0))))</f>
        <v>0.35306000000002086</v>
      </c>
      <c r="AT73" s="969" cm="1">
        <f t="array" aca="1" ref="AT73" ca="1">IF(SUM(AT41:AT46)=0,0,INDIRECT(REPLACE("'Dren_Dim'!bT00",72,2,FIXED(AT2,0))))</f>
        <v>0.35746000000005324</v>
      </c>
      <c r="AU73" s="969" cm="1">
        <f t="array" aca="1" ref="AU73" ca="1">IF(SUM(AU41:AU46)=0,0,INDIRECT(REPLACE("'Dren_Dim'!bT00",72,2,FIXED(AU2,0))))</f>
        <v>0.66173000000002502</v>
      </c>
      <c r="AV73" s="969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919"/>
    </row>
    <row r="74" spans="1:64" s="14" customFormat="1" ht="21.95" customHeight="1" x14ac:dyDescent="0.15">
      <c r="A74" s="2635"/>
      <c r="B74" s="2634" t="s">
        <v>496</v>
      </c>
      <c r="C74" s="2634"/>
      <c r="D74" s="967"/>
      <c r="E74" s="967"/>
      <c r="F74" s="967"/>
      <c r="G74" s="967"/>
      <c r="H74" s="967"/>
      <c r="I74" s="967"/>
      <c r="J74" s="967"/>
      <c r="K74" s="967"/>
      <c r="L74" s="2418"/>
      <c r="M74" s="967"/>
      <c r="N74" s="967"/>
      <c r="O74" s="967"/>
      <c r="P74" s="967"/>
      <c r="Q74" s="967"/>
      <c r="R74" s="967"/>
      <c r="S74" s="967"/>
      <c r="T74" s="967"/>
      <c r="U74" s="967"/>
      <c r="V74" s="2418"/>
      <c r="W74" s="967"/>
      <c r="X74" s="967"/>
      <c r="Y74" s="967"/>
      <c r="Z74" s="967"/>
      <c r="AA74" s="967"/>
      <c r="AB74" s="967"/>
      <c r="AC74" s="967"/>
      <c r="AD74" s="967"/>
      <c r="AE74" s="967"/>
      <c r="AF74" s="967"/>
      <c r="AG74" s="967"/>
      <c r="AH74" s="967"/>
      <c r="AI74" s="967"/>
      <c r="AJ74" s="967"/>
      <c r="AK74" s="967"/>
      <c r="AL74" s="967"/>
      <c r="AM74" s="967"/>
      <c r="AN74" s="967"/>
      <c r="AO74" s="967"/>
      <c r="AP74" s="2418"/>
      <c r="AQ74" s="967"/>
      <c r="AR74" s="967"/>
      <c r="AS74" s="967"/>
      <c r="AT74" s="967"/>
      <c r="AU74" s="967"/>
      <c r="AV74" s="967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919"/>
    </row>
    <row r="75" spans="1:64" s="14" customFormat="1" ht="21.95" customHeight="1" x14ac:dyDescent="0.15">
      <c r="A75" s="2635"/>
      <c r="B75" s="2629" t="s">
        <v>497</v>
      </c>
      <c r="C75" s="2630"/>
      <c r="D75" s="19"/>
      <c r="E75" s="19"/>
      <c r="F75" s="19"/>
      <c r="G75" s="19"/>
      <c r="H75" s="19"/>
      <c r="I75" s="19"/>
      <c r="J75" s="19"/>
      <c r="K75" s="19"/>
      <c r="L75" s="2412"/>
      <c r="M75" s="19"/>
      <c r="N75" s="19"/>
      <c r="O75" s="19"/>
      <c r="P75" s="19"/>
      <c r="Q75" s="19"/>
      <c r="R75" s="19"/>
      <c r="S75" s="19"/>
      <c r="T75" s="19"/>
      <c r="U75" s="19"/>
      <c r="V75" s="2412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2412"/>
      <c r="AQ75" s="19"/>
      <c r="AR75" s="19"/>
      <c r="AS75" s="19"/>
      <c r="AT75" s="19"/>
      <c r="AU75" s="19"/>
      <c r="AV75" s="19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919"/>
    </row>
    <row r="76" spans="1:64" s="14" customFormat="1" ht="21.95" customHeight="1" x14ac:dyDescent="0.15">
      <c r="A76" s="2635"/>
      <c r="B76" s="2624" t="s">
        <v>503</v>
      </c>
      <c r="C76" s="346" t="s">
        <v>505</v>
      </c>
      <c r="D76" s="18"/>
      <c r="E76" s="18"/>
      <c r="F76" s="18"/>
      <c r="G76" s="18"/>
      <c r="H76" s="18"/>
      <c r="I76" s="18"/>
      <c r="J76" s="18"/>
      <c r="K76" s="18"/>
      <c r="L76" s="2414"/>
      <c r="M76" s="18"/>
      <c r="N76" s="18"/>
      <c r="O76" s="18"/>
      <c r="P76" s="18"/>
      <c r="Q76" s="18"/>
      <c r="R76" s="18"/>
      <c r="S76" s="18"/>
      <c r="T76" s="18"/>
      <c r="U76" s="18"/>
      <c r="V76" s="2414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2414"/>
      <c r="AQ76" s="18"/>
      <c r="AR76" s="18"/>
      <c r="AS76" s="18"/>
      <c r="AT76" s="18"/>
      <c r="AU76" s="18"/>
      <c r="AV76" s="18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919"/>
    </row>
    <row r="77" spans="1:64" s="14" customFormat="1" ht="21.95" customHeight="1" x14ac:dyDescent="0.15">
      <c r="A77" s="2635"/>
      <c r="B77" s="2626"/>
      <c r="C77" s="346" t="s">
        <v>506</v>
      </c>
      <c r="D77" s="208"/>
      <c r="E77" s="208"/>
      <c r="F77" s="208"/>
      <c r="G77" s="208"/>
      <c r="H77" s="208"/>
      <c r="I77" s="208"/>
      <c r="J77" s="208"/>
      <c r="K77" s="208"/>
      <c r="L77" s="2415"/>
      <c r="M77" s="208"/>
      <c r="N77" s="208"/>
      <c r="O77" s="208"/>
      <c r="P77" s="208"/>
      <c r="Q77" s="208"/>
      <c r="R77" s="208"/>
      <c r="S77" s="208"/>
      <c r="T77" s="208"/>
      <c r="U77" s="208"/>
      <c r="V77" s="2415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415"/>
      <c r="AQ77" s="208"/>
      <c r="AR77" s="208"/>
      <c r="AS77" s="208"/>
      <c r="AT77" s="208"/>
      <c r="AU77" s="208"/>
      <c r="AV77" s="208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919"/>
    </row>
    <row r="78" spans="1:64" s="14" customFormat="1" ht="21.95" customHeight="1" x14ac:dyDescent="0.15">
      <c r="A78" s="2635"/>
      <c r="B78" s="2624" t="s">
        <v>504</v>
      </c>
      <c r="C78" s="346" t="s">
        <v>505</v>
      </c>
      <c r="D78" s="18"/>
      <c r="E78" s="18"/>
      <c r="F78" s="18"/>
      <c r="G78" s="18"/>
      <c r="H78" s="18"/>
      <c r="I78" s="18"/>
      <c r="J78" s="18"/>
      <c r="K78" s="18"/>
      <c r="L78" s="2414"/>
      <c r="M78" s="18"/>
      <c r="N78" s="18"/>
      <c r="O78" s="18"/>
      <c r="P78" s="18"/>
      <c r="Q78" s="18"/>
      <c r="R78" s="18"/>
      <c r="S78" s="18"/>
      <c r="T78" s="18"/>
      <c r="U78" s="18"/>
      <c r="V78" s="2414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2414"/>
      <c r="AQ78" s="18"/>
      <c r="AR78" s="18"/>
      <c r="AS78" s="18"/>
      <c r="AT78" s="18"/>
      <c r="AU78" s="18"/>
      <c r="AV78" s="18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919"/>
    </row>
    <row r="79" spans="1:64" s="14" customFormat="1" ht="21.95" customHeight="1" x14ac:dyDescent="0.15">
      <c r="A79" s="2635"/>
      <c r="B79" s="2626"/>
      <c r="C79" s="346" t="s">
        <v>506</v>
      </c>
      <c r="D79" s="18"/>
      <c r="E79" s="18"/>
      <c r="F79" s="18"/>
      <c r="G79" s="18"/>
      <c r="H79" s="18"/>
      <c r="I79" s="18"/>
      <c r="J79" s="18"/>
      <c r="K79" s="18"/>
      <c r="L79" s="2414"/>
      <c r="M79" s="18"/>
      <c r="N79" s="18"/>
      <c r="O79" s="18"/>
      <c r="P79" s="18"/>
      <c r="Q79" s="18"/>
      <c r="R79" s="18"/>
      <c r="S79" s="18"/>
      <c r="T79" s="18"/>
      <c r="U79" s="18"/>
      <c r="V79" s="2414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2414"/>
      <c r="AQ79" s="18"/>
      <c r="AR79" s="18"/>
      <c r="AS79" s="18"/>
      <c r="AT79" s="18"/>
      <c r="AU79" s="18"/>
      <c r="AV79" s="18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919"/>
    </row>
    <row r="80" spans="1:64" s="14" customFormat="1" ht="21.95" customHeight="1" x14ac:dyDescent="0.15">
      <c r="A80" s="2635"/>
      <c r="B80" s="2627" t="s">
        <v>499</v>
      </c>
      <c r="C80" s="188" t="s">
        <v>47</v>
      </c>
      <c r="D80" s="338"/>
      <c r="E80" s="338"/>
      <c r="F80" s="338"/>
      <c r="G80" s="338"/>
      <c r="H80" s="338"/>
      <c r="I80" s="338"/>
      <c r="J80" s="338"/>
      <c r="K80" s="338"/>
      <c r="L80" s="2413"/>
      <c r="M80" s="338"/>
      <c r="N80" s="338">
        <v>1</v>
      </c>
      <c r="O80" s="338"/>
      <c r="P80" s="338"/>
      <c r="Q80" s="338"/>
      <c r="R80" s="338">
        <v>1</v>
      </c>
      <c r="S80" s="338"/>
      <c r="T80" s="338"/>
      <c r="U80" s="338"/>
      <c r="V80" s="2413"/>
      <c r="W80" s="338"/>
      <c r="X80" s="338"/>
      <c r="Y80" s="338"/>
      <c r="Z80" s="338">
        <v>1</v>
      </c>
      <c r="AA80" s="338"/>
      <c r="AB80" s="338">
        <v>1</v>
      </c>
      <c r="AC80" s="338"/>
      <c r="AD80" s="338">
        <v>1</v>
      </c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2413"/>
      <c r="AQ80" s="338"/>
      <c r="AR80" s="338"/>
      <c r="AS80" s="338"/>
      <c r="AT80" s="338"/>
      <c r="AU80" s="338"/>
      <c r="AV80" s="338"/>
      <c r="AW80" s="334"/>
      <c r="AX80" s="334"/>
      <c r="AY80" s="334"/>
      <c r="AZ80" s="334"/>
      <c r="BA80" s="334"/>
      <c r="BB80" s="334"/>
      <c r="BC80" s="334"/>
      <c r="BD80" s="334"/>
      <c r="BE80" s="334"/>
      <c r="BF80" s="334"/>
      <c r="BG80" s="334"/>
      <c r="BH80" s="334"/>
      <c r="BI80" s="334"/>
      <c r="BJ80" s="334"/>
      <c r="BK80" s="334"/>
      <c r="BL80" s="919"/>
    </row>
    <row r="81" spans="1:64" s="14" customFormat="1" ht="21.95" customHeight="1" x14ac:dyDescent="0.15">
      <c r="A81" s="2635"/>
      <c r="B81" s="2628"/>
      <c r="C81" s="188" t="s">
        <v>1191</v>
      </c>
      <c r="D81" s="18"/>
      <c r="E81" s="18"/>
      <c r="F81" s="18"/>
      <c r="G81" s="18"/>
      <c r="H81" s="18"/>
      <c r="I81" s="18"/>
      <c r="J81" s="18"/>
      <c r="K81" s="18"/>
      <c r="L81" s="2414"/>
      <c r="M81" s="18"/>
      <c r="N81" s="18"/>
      <c r="O81" s="18"/>
      <c r="P81" s="18"/>
      <c r="Q81" s="18"/>
      <c r="R81" s="18"/>
      <c r="S81" s="18"/>
      <c r="T81" s="18"/>
      <c r="U81" s="18"/>
      <c r="V81" s="2414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2414"/>
      <c r="AQ81" s="18"/>
      <c r="AR81" s="18"/>
      <c r="AS81" s="18"/>
      <c r="AT81" s="18"/>
      <c r="AU81" s="18"/>
      <c r="AV81" s="18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919"/>
    </row>
    <row r="82" spans="1:64" s="14" customFormat="1" ht="21.95" customHeight="1" x14ac:dyDescent="0.15">
      <c r="A82" s="2635"/>
      <c r="B82" s="2628"/>
      <c r="C82" s="188" t="s">
        <v>1192</v>
      </c>
      <c r="D82" s="18"/>
      <c r="E82" s="18"/>
      <c r="F82" s="18"/>
      <c r="G82" s="18"/>
      <c r="H82" s="18"/>
      <c r="I82" s="18"/>
      <c r="J82" s="18"/>
      <c r="K82" s="18"/>
      <c r="L82" s="2414"/>
      <c r="M82" s="18"/>
      <c r="N82" s="18"/>
      <c r="O82" s="18"/>
      <c r="P82" s="18"/>
      <c r="Q82" s="18"/>
      <c r="R82" s="18"/>
      <c r="S82" s="18"/>
      <c r="T82" s="18"/>
      <c r="U82" s="18"/>
      <c r="V82" s="2414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2414"/>
      <c r="AQ82" s="18"/>
      <c r="AR82" s="18"/>
      <c r="AS82" s="18"/>
      <c r="AT82" s="18"/>
      <c r="AU82" s="18"/>
      <c r="AV82" s="18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919"/>
    </row>
    <row r="83" spans="1:64" s="14" customFormat="1" ht="21.95" customHeight="1" x14ac:dyDescent="0.15">
      <c r="A83" s="2635"/>
      <c r="B83" s="2627"/>
      <c r="C83" s="188" t="s">
        <v>48</v>
      </c>
      <c r="D83" s="18"/>
      <c r="E83" s="18"/>
      <c r="F83" s="18"/>
      <c r="G83" s="18"/>
      <c r="H83" s="18"/>
      <c r="I83" s="18"/>
      <c r="J83" s="18"/>
      <c r="K83" s="18"/>
      <c r="L83" s="2414"/>
      <c r="M83" s="18"/>
      <c r="N83" s="18"/>
      <c r="O83" s="18"/>
      <c r="P83" s="18"/>
      <c r="Q83" s="18"/>
      <c r="R83" s="18"/>
      <c r="S83" s="18"/>
      <c r="T83" s="18"/>
      <c r="U83" s="18"/>
      <c r="V83" s="2414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2414"/>
      <c r="AQ83" s="18"/>
      <c r="AR83" s="18"/>
      <c r="AS83" s="18"/>
      <c r="AT83" s="18"/>
      <c r="AU83" s="18"/>
      <c r="AV83" s="18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919"/>
    </row>
    <row r="84" spans="1:64" s="14" customFormat="1" ht="21.95" customHeight="1" x14ac:dyDescent="0.15">
      <c r="A84" s="2635"/>
      <c r="B84" s="2627"/>
      <c r="C84" s="188" t="s">
        <v>468</v>
      </c>
      <c r="D84" s="208"/>
      <c r="E84" s="208"/>
      <c r="F84" s="208"/>
      <c r="G84" s="208"/>
      <c r="H84" s="208"/>
      <c r="I84" s="208"/>
      <c r="J84" s="208"/>
      <c r="K84" s="208"/>
      <c r="L84" s="2415"/>
      <c r="M84" s="208"/>
      <c r="N84" s="208"/>
      <c r="O84" s="208"/>
      <c r="P84" s="208"/>
      <c r="Q84" s="208"/>
      <c r="R84" s="208"/>
      <c r="S84" s="208"/>
      <c r="T84" s="208"/>
      <c r="U84" s="208"/>
      <c r="V84" s="2415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415"/>
      <c r="AQ84" s="208"/>
      <c r="AR84" s="208"/>
      <c r="AS84" s="208"/>
      <c r="AT84" s="208"/>
      <c r="AU84" s="208"/>
      <c r="AV84" s="208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919"/>
    </row>
    <row r="85" spans="1:64" s="14" customFormat="1" ht="21.95" customHeight="1" x14ac:dyDescent="0.15">
      <c r="A85" s="2635"/>
      <c r="B85" s="2624" t="s">
        <v>501</v>
      </c>
      <c r="C85" s="421">
        <v>0.4</v>
      </c>
      <c r="D85" s="338"/>
      <c r="E85" s="338"/>
      <c r="F85" s="338"/>
      <c r="G85" s="338"/>
      <c r="H85" s="338"/>
      <c r="I85" s="338"/>
      <c r="J85" s="338"/>
      <c r="K85" s="338"/>
      <c r="L85" s="2413"/>
      <c r="M85" s="338"/>
      <c r="N85" s="338"/>
      <c r="O85" s="338"/>
      <c r="P85" s="338"/>
      <c r="Q85" s="338"/>
      <c r="R85" s="338"/>
      <c r="S85" s="338"/>
      <c r="T85" s="338"/>
      <c r="U85" s="338"/>
      <c r="V85" s="2413"/>
      <c r="W85" s="338"/>
      <c r="X85" s="338"/>
      <c r="Y85" s="338"/>
      <c r="Z85" s="338"/>
      <c r="AA85" s="338"/>
      <c r="AB85" s="338"/>
      <c r="AC85" s="338"/>
      <c r="AD85" s="338"/>
      <c r="AE85" s="338"/>
      <c r="AF85" s="338"/>
      <c r="AG85" s="338"/>
      <c r="AH85" s="338"/>
      <c r="AI85" s="338"/>
      <c r="AJ85" s="338"/>
      <c r="AK85" s="338"/>
      <c r="AL85" s="338"/>
      <c r="AM85" s="338"/>
      <c r="AN85" s="338"/>
      <c r="AO85" s="338"/>
      <c r="AP85" s="2413"/>
      <c r="AQ85" s="338"/>
      <c r="AR85" s="338"/>
      <c r="AS85" s="338"/>
      <c r="AT85" s="338"/>
      <c r="AU85" s="338"/>
      <c r="AV85" s="338"/>
      <c r="AW85" s="334"/>
      <c r="AX85" s="334"/>
      <c r="AY85" s="334"/>
      <c r="AZ85" s="334"/>
      <c r="BA85" s="334"/>
      <c r="BB85" s="334"/>
      <c r="BC85" s="334"/>
      <c r="BD85" s="334"/>
      <c r="BE85" s="334"/>
      <c r="BF85" s="334"/>
      <c r="BG85" s="334"/>
      <c r="BH85" s="334"/>
      <c r="BI85" s="334"/>
      <c r="BJ85" s="334"/>
      <c r="BK85" s="334"/>
      <c r="BL85" s="919"/>
    </row>
    <row r="86" spans="1:64" s="14" customFormat="1" ht="21.95" customHeight="1" x14ac:dyDescent="0.15">
      <c r="A86" s="2635"/>
      <c r="B86" s="2625"/>
      <c r="C86" s="421">
        <v>0.6</v>
      </c>
      <c r="D86" s="18"/>
      <c r="E86" s="18"/>
      <c r="F86" s="18"/>
      <c r="G86" s="18"/>
      <c r="H86" s="18"/>
      <c r="I86" s="18"/>
      <c r="J86" s="18"/>
      <c r="K86" s="18"/>
      <c r="L86" s="2414"/>
      <c r="M86" s="18"/>
      <c r="N86" s="18"/>
      <c r="O86" s="18"/>
      <c r="P86" s="18"/>
      <c r="Q86" s="18"/>
      <c r="R86" s="18"/>
      <c r="S86" s="18"/>
      <c r="T86" s="18"/>
      <c r="U86" s="18"/>
      <c r="V86" s="2414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2414"/>
      <c r="AQ86" s="18"/>
      <c r="AR86" s="18"/>
      <c r="AS86" s="18"/>
      <c r="AT86" s="18"/>
      <c r="AU86" s="18"/>
      <c r="AV86" s="18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919"/>
    </row>
    <row r="87" spans="1:64" s="14" customFormat="1" ht="21.95" customHeight="1" x14ac:dyDescent="0.15">
      <c r="A87" s="2635"/>
      <c r="B87" s="2625"/>
      <c r="C87" s="421">
        <v>0.8</v>
      </c>
      <c r="D87" s="18"/>
      <c r="E87" s="18"/>
      <c r="F87" s="18"/>
      <c r="G87" s="18"/>
      <c r="H87" s="18"/>
      <c r="I87" s="18"/>
      <c r="J87" s="18"/>
      <c r="K87" s="18"/>
      <c r="L87" s="2414"/>
      <c r="M87" s="18"/>
      <c r="N87" s="18"/>
      <c r="O87" s="18"/>
      <c r="P87" s="18"/>
      <c r="Q87" s="18"/>
      <c r="R87" s="18"/>
      <c r="S87" s="18"/>
      <c r="T87" s="18"/>
      <c r="U87" s="18"/>
      <c r="V87" s="2414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2414"/>
      <c r="AQ87" s="18"/>
      <c r="AR87" s="18"/>
      <c r="AS87" s="18"/>
      <c r="AT87" s="18"/>
      <c r="AU87" s="18"/>
      <c r="AV87" s="18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919"/>
    </row>
    <row r="88" spans="1:64" s="14" customFormat="1" ht="21.95" customHeight="1" x14ac:dyDescent="0.15">
      <c r="A88" s="2635"/>
      <c r="B88" s="2625"/>
      <c r="C88" s="421">
        <v>1</v>
      </c>
      <c r="D88" s="18"/>
      <c r="E88" s="18"/>
      <c r="F88" s="18"/>
      <c r="G88" s="18"/>
      <c r="H88" s="18"/>
      <c r="I88" s="18"/>
      <c r="J88" s="18"/>
      <c r="K88" s="18"/>
      <c r="L88" s="2414"/>
      <c r="M88" s="18"/>
      <c r="N88" s="18"/>
      <c r="O88" s="18"/>
      <c r="P88" s="18"/>
      <c r="Q88" s="18"/>
      <c r="R88" s="18"/>
      <c r="S88" s="18"/>
      <c r="T88" s="18"/>
      <c r="U88" s="18"/>
      <c r="V88" s="2414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2414"/>
      <c r="AQ88" s="18"/>
      <c r="AR88" s="18"/>
      <c r="AS88" s="18"/>
      <c r="AT88" s="18"/>
      <c r="AU88" s="18"/>
      <c r="AV88" s="18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919"/>
    </row>
    <row r="89" spans="1:64" s="14" customFormat="1" ht="21.95" customHeight="1" x14ac:dyDescent="0.15">
      <c r="A89" s="2635"/>
      <c r="B89" s="2625"/>
      <c r="C89" s="421">
        <v>1.2</v>
      </c>
      <c r="D89" s="18"/>
      <c r="E89" s="18"/>
      <c r="F89" s="18"/>
      <c r="G89" s="18"/>
      <c r="H89" s="18"/>
      <c r="I89" s="18"/>
      <c r="J89" s="18"/>
      <c r="K89" s="18"/>
      <c r="L89" s="2414"/>
      <c r="M89" s="18"/>
      <c r="N89" s="18"/>
      <c r="O89" s="18"/>
      <c r="P89" s="18"/>
      <c r="Q89" s="18"/>
      <c r="R89" s="18"/>
      <c r="S89" s="18"/>
      <c r="T89" s="18"/>
      <c r="U89" s="18"/>
      <c r="V89" s="2414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2414"/>
      <c r="AQ89" s="18"/>
      <c r="AR89" s="18"/>
      <c r="AS89" s="18"/>
      <c r="AT89" s="18"/>
      <c r="AU89" s="18"/>
      <c r="AV89" s="18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919"/>
    </row>
    <row r="90" spans="1:64" s="14" customFormat="1" ht="21.95" customHeight="1" x14ac:dyDescent="0.15">
      <c r="A90" s="2635"/>
      <c r="B90" s="2625"/>
      <c r="C90" s="421">
        <v>1.5</v>
      </c>
      <c r="D90" s="208"/>
      <c r="E90" s="208"/>
      <c r="F90" s="208"/>
      <c r="G90" s="208"/>
      <c r="H90" s="208"/>
      <c r="I90" s="208"/>
      <c r="J90" s="208"/>
      <c r="K90" s="208"/>
      <c r="L90" s="2415"/>
      <c r="M90" s="208"/>
      <c r="N90" s="208"/>
      <c r="O90" s="208"/>
      <c r="P90" s="208"/>
      <c r="Q90" s="208"/>
      <c r="R90" s="208"/>
      <c r="S90" s="208"/>
      <c r="T90" s="208"/>
      <c r="U90" s="208"/>
      <c r="V90" s="2415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415"/>
      <c r="AQ90" s="208"/>
      <c r="AR90" s="208"/>
      <c r="AS90" s="208"/>
      <c r="AT90" s="208"/>
      <c r="AU90" s="208"/>
      <c r="AV90" s="208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919"/>
    </row>
    <row r="91" spans="1:64" s="14" customFormat="1" ht="21.95" customHeight="1" x14ac:dyDescent="0.15">
      <c r="A91" s="2635"/>
      <c r="B91" s="2625"/>
      <c r="C91" s="421" t="s">
        <v>172</v>
      </c>
      <c r="D91" s="18"/>
      <c r="E91" s="18"/>
      <c r="F91" s="18"/>
      <c r="G91" s="18"/>
      <c r="H91" s="18"/>
      <c r="I91" s="18"/>
      <c r="J91" s="18"/>
      <c r="K91" s="18"/>
      <c r="L91" s="2414"/>
      <c r="M91" s="18"/>
      <c r="N91" s="18"/>
      <c r="O91" s="18"/>
      <c r="P91" s="18"/>
      <c r="Q91" s="18"/>
      <c r="R91" s="18"/>
      <c r="S91" s="18"/>
      <c r="T91" s="18"/>
      <c r="U91" s="18"/>
      <c r="V91" s="2414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2414"/>
      <c r="AQ91" s="18"/>
      <c r="AR91" s="18"/>
      <c r="AS91" s="18"/>
      <c r="AT91" s="18"/>
      <c r="AU91" s="18"/>
      <c r="AV91" s="18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919"/>
    </row>
    <row r="92" spans="1:64" s="14" customFormat="1" ht="21.95" customHeight="1" x14ac:dyDescent="0.15">
      <c r="A92" s="2635"/>
      <c r="B92" s="2625"/>
      <c r="C92" s="421" t="s">
        <v>154</v>
      </c>
      <c r="D92" s="18"/>
      <c r="E92" s="18"/>
      <c r="F92" s="18"/>
      <c r="G92" s="18"/>
      <c r="H92" s="18"/>
      <c r="I92" s="18"/>
      <c r="J92" s="18"/>
      <c r="K92" s="18"/>
      <c r="L92" s="2414"/>
      <c r="M92" s="18"/>
      <c r="N92" s="18"/>
      <c r="O92" s="18"/>
      <c r="P92" s="18"/>
      <c r="Q92" s="18"/>
      <c r="R92" s="18"/>
      <c r="S92" s="18"/>
      <c r="T92" s="18"/>
      <c r="U92" s="18"/>
      <c r="V92" s="2414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2414"/>
      <c r="AQ92" s="18"/>
      <c r="AR92" s="18"/>
      <c r="AS92" s="18"/>
      <c r="AT92" s="18"/>
      <c r="AU92" s="18"/>
      <c r="AV92" s="18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919"/>
    </row>
    <row r="93" spans="1:64" s="14" customFormat="1" ht="21.95" customHeight="1" x14ac:dyDescent="0.15">
      <c r="A93" s="2635"/>
      <c r="B93" s="2625"/>
      <c r="C93" s="421" t="s">
        <v>155</v>
      </c>
      <c r="D93" s="18"/>
      <c r="E93" s="18"/>
      <c r="F93" s="18"/>
      <c r="G93" s="18"/>
      <c r="H93" s="18"/>
      <c r="I93" s="18"/>
      <c r="J93" s="18"/>
      <c r="K93" s="18"/>
      <c r="L93" s="2414"/>
      <c r="M93" s="18"/>
      <c r="N93" s="18"/>
      <c r="O93" s="18"/>
      <c r="P93" s="18"/>
      <c r="Q93" s="18"/>
      <c r="R93" s="18"/>
      <c r="S93" s="18"/>
      <c r="T93" s="18"/>
      <c r="U93" s="18"/>
      <c r="V93" s="2414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2414"/>
      <c r="AQ93" s="18"/>
      <c r="AR93" s="18"/>
      <c r="AS93" s="18"/>
      <c r="AT93" s="18"/>
      <c r="AU93" s="18"/>
      <c r="AV93" s="18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919"/>
    </row>
    <row r="94" spans="1:64" s="14" customFormat="1" ht="21.95" customHeight="1" x14ac:dyDescent="0.15">
      <c r="A94" s="2635"/>
      <c r="B94" s="2626"/>
      <c r="C94" s="421" t="s">
        <v>211</v>
      </c>
      <c r="D94" s="18"/>
      <c r="E94" s="18"/>
      <c r="F94" s="18"/>
      <c r="G94" s="18"/>
      <c r="H94" s="18"/>
      <c r="I94" s="18"/>
      <c r="J94" s="18"/>
      <c r="K94" s="18"/>
      <c r="L94" s="2414"/>
      <c r="M94" s="18"/>
      <c r="N94" s="18"/>
      <c r="O94" s="18"/>
      <c r="P94" s="18"/>
      <c r="Q94" s="18"/>
      <c r="R94" s="18"/>
      <c r="S94" s="18"/>
      <c r="T94" s="18"/>
      <c r="U94" s="18"/>
      <c r="V94" s="2414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2414"/>
      <c r="AQ94" s="18"/>
      <c r="AR94" s="18"/>
      <c r="AS94" s="18"/>
      <c r="AT94" s="18"/>
      <c r="AU94" s="18"/>
      <c r="AV94" s="18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919"/>
    </row>
    <row r="95" spans="1:64" s="14" customFormat="1" ht="21.95" customHeight="1" x14ac:dyDescent="0.15">
      <c r="A95" s="2635"/>
      <c r="B95" s="2633" t="s">
        <v>502</v>
      </c>
      <c r="C95" s="418" t="s">
        <v>212</v>
      </c>
      <c r="D95" s="338"/>
      <c r="E95" s="338"/>
      <c r="F95" s="338"/>
      <c r="G95" s="338"/>
      <c r="H95" s="338"/>
      <c r="I95" s="338"/>
      <c r="J95" s="338"/>
      <c r="K95" s="338"/>
      <c r="L95" s="2413"/>
      <c r="M95" s="338"/>
      <c r="N95" s="338"/>
      <c r="O95" s="338"/>
      <c r="P95" s="338"/>
      <c r="Q95" s="338"/>
      <c r="R95" s="338"/>
      <c r="S95" s="338"/>
      <c r="T95" s="338"/>
      <c r="U95" s="338"/>
      <c r="V95" s="2413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2413"/>
      <c r="AQ95" s="338"/>
      <c r="AR95" s="338"/>
      <c r="AS95" s="338"/>
      <c r="AT95" s="338"/>
      <c r="AU95" s="338"/>
      <c r="AV95" s="338"/>
      <c r="AW95" s="334"/>
      <c r="AX95" s="334"/>
      <c r="AY95" s="334"/>
      <c r="AZ95" s="334"/>
      <c r="BA95" s="334"/>
      <c r="BB95" s="334"/>
      <c r="BC95" s="334"/>
      <c r="BD95" s="334"/>
      <c r="BE95" s="334"/>
      <c r="BF95" s="334"/>
      <c r="BG95" s="334"/>
      <c r="BH95" s="334"/>
      <c r="BI95" s="334"/>
      <c r="BJ95" s="334"/>
      <c r="BK95" s="334"/>
      <c r="BL95" s="919"/>
    </row>
    <row r="96" spans="1:64" s="14" customFormat="1" ht="21.95" customHeight="1" x14ac:dyDescent="0.15">
      <c r="A96" s="2635"/>
      <c r="B96" s="2633"/>
      <c r="C96" s="418" t="s">
        <v>213</v>
      </c>
      <c r="D96" s="18"/>
      <c r="E96" s="18"/>
      <c r="F96" s="18"/>
      <c r="G96" s="18"/>
      <c r="H96" s="18"/>
      <c r="I96" s="18"/>
      <c r="J96" s="18"/>
      <c r="K96" s="18"/>
      <c r="L96" s="2414"/>
      <c r="M96" s="18"/>
      <c r="N96" s="18"/>
      <c r="O96" s="18"/>
      <c r="P96" s="18"/>
      <c r="Q96" s="18"/>
      <c r="R96" s="18"/>
      <c r="S96" s="18"/>
      <c r="T96" s="18"/>
      <c r="U96" s="18"/>
      <c r="V96" s="2414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2414"/>
      <c r="AQ96" s="18"/>
      <c r="AR96" s="18"/>
      <c r="AS96" s="18"/>
      <c r="AT96" s="18"/>
      <c r="AU96" s="18"/>
      <c r="AV96" s="18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919"/>
    </row>
    <row r="97" spans="1:64" s="14" customFormat="1" ht="21.95" customHeight="1" x14ac:dyDescent="0.15">
      <c r="A97" s="2635"/>
      <c r="B97" s="2633"/>
      <c r="C97" s="418" t="s">
        <v>214</v>
      </c>
      <c r="D97" s="18"/>
      <c r="E97" s="18"/>
      <c r="F97" s="18"/>
      <c r="G97" s="18"/>
      <c r="H97" s="18"/>
      <c r="I97" s="18"/>
      <c r="J97" s="18"/>
      <c r="K97" s="18"/>
      <c r="L97" s="2414"/>
      <c r="M97" s="18"/>
      <c r="N97" s="18"/>
      <c r="O97" s="18"/>
      <c r="P97" s="18"/>
      <c r="Q97" s="18"/>
      <c r="R97" s="18"/>
      <c r="S97" s="18"/>
      <c r="T97" s="18"/>
      <c r="U97" s="18"/>
      <c r="V97" s="2414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2414"/>
      <c r="AQ97" s="18"/>
      <c r="AR97" s="18"/>
      <c r="AS97" s="18"/>
      <c r="AT97" s="18"/>
      <c r="AU97" s="18"/>
      <c r="AV97" s="18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919"/>
    </row>
    <row r="98" spans="1:64" s="14" customFormat="1" ht="21.95" customHeight="1" x14ac:dyDescent="0.15">
      <c r="A98" s="2635"/>
      <c r="B98" s="2633"/>
      <c r="C98" s="418" t="s">
        <v>215</v>
      </c>
      <c r="D98" s="18"/>
      <c r="E98" s="18"/>
      <c r="F98" s="18"/>
      <c r="G98" s="18"/>
      <c r="H98" s="18"/>
      <c r="I98" s="18"/>
      <c r="J98" s="18"/>
      <c r="K98" s="18"/>
      <c r="L98" s="2414"/>
      <c r="M98" s="18"/>
      <c r="N98" s="18"/>
      <c r="O98" s="18"/>
      <c r="P98" s="18"/>
      <c r="Q98" s="18"/>
      <c r="R98" s="18"/>
      <c r="S98" s="18"/>
      <c r="T98" s="18"/>
      <c r="U98" s="18"/>
      <c r="V98" s="2414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2414"/>
      <c r="AQ98" s="18"/>
      <c r="AR98" s="18"/>
      <c r="AS98" s="18"/>
      <c r="AT98" s="18"/>
      <c r="AU98" s="18"/>
      <c r="AV98" s="18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919"/>
    </row>
    <row r="99" spans="1:64" s="14" customFormat="1" ht="21.95" customHeight="1" x14ac:dyDescent="0.15">
      <c r="A99" s="2635"/>
      <c r="B99" s="2633"/>
      <c r="C99" s="418" t="s">
        <v>216</v>
      </c>
      <c r="D99" s="18"/>
      <c r="E99" s="18"/>
      <c r="F99" s="18"/>
      <c r="G99" s="18"/>
      <c r="H99" s="18"/>
      <c r="I99" s="18"/>
      <c r="J99" s="18"/>
      <c r="K99" s="18"/>
      <c r="L99" s="2414"/>
      <c r="M99" s="18"/>
      <c r="N99" s="18"/>
      <c r="O99" s="18"/>
      <c r="P99" s="18"/>
      <c r="Q99" s="18"/>
      <c r="R99" s="18"/>
      <c r="S99" s="18"/>
      <c r="T99" s="18"/>
      <c r="U99" s="18"/>
      <c r="V99" s="2414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2414"/>
      <c r="AQ99" s="18"/>
      <c r="AR99" s="18"/>
      <c r="AS99" s="18"/>
      <c r="AT99" s="18"/>
      <c r="AU99" s="18"/>
      <c r="AV99" s="18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919"/>
    </row>
    <row r="100" spans="1:64" s="14" customFormat="1" ht="21.95" customHeight="1" x14ac:dyDescent="0.15">
      <c r="A100" s="2635"/>
      <c r="B100" s="2633"/>
      <c r="C100" s="418" t="s">
        <v>217</v>
      </c>
      <c r="D100" s="208"/>
      <c r="E100" s="208"/>
      <c r="F100" s="208"/>
      <c r="G100" s="208"/>
      <c r="H100" s="208"/>
      <c r="I100" s="208"/>
      <c r="J100" s="208"/>
      <c r="K100" s="208"/>
      <c r="L100" s="2415"/>
      <c r="M100" s="208"/>
      <c r="N100" s="208"/>
      <c r="O100" s="208"/>
      <c r="P100" s="208"/>
      <c r="Q100" s="208"/>
      <c r="R100" s="208"/>
      <c r="S100" s="208"/>
      <c r="T100" s="208"/>
      <c r="U100" s="208"/>
      <c r="V100" s="2415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415"/>
      <c r="AQ100" s="208"/>
      <c r="AR100" s="208"/>
      <c r="AS100" s="208"/>
      <c r="AT100" s="208"/>
      <c r="AU100" s="208"/>
      <c r="AV100" s="208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919"/>
    </row>
    <row r="101" spans="1:64" ht="21.95" customHeight="1" x14ac:dyDescent="0.15">
      <c r="A101" s="2635"/>
      <c r="B101" s="2629" t="s">
        <v>25</v>
      </c>
      <c r="C101" s="187" t="s">
        <v>3</v>
      </c>
      <c r="D101" s="227"/>
      <c r="E101" s="227"/>
      <c r="F101" s="227"/>
      <c r="G101" s="227"/>
      <c r="H101" s="227"/>
      <c r="I101" s="227"/>
      <c r="J101" s="227"/>
      <c r="K101" s="227"/>
      <c r="L101" s="2410"/>
      <c r="M101" s="227"/>
      <c r="N101" s="227"/>
      <c r="O101" s="227"/>
      <c r="P101" s="227"/>
      <c r="Q101" s="227"/>
      <c r="R101" s="227"/>
      <c r="S101" s="227"/>
      <c r="T101" s="227"/>
      <c r="U101" s="227"/>
      <c r="V101" s="2410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410"/>
      <c r="AQ101" s="227"/>
      <c r="AR101" s="227"/>
      <c r="AS101" s="227"/>
      <c r="AT101" s="227"/>
      <c r="AU101" s="227"/>
      <c r="AV101" s="227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227"/>
      <c r="BJ101" s="227"/>
      <c r="BK101" s="227"/>
    </row>
    <row r="102" spans="1:64" ht="21.95" customHeight="1" x14ac:dyDescent="0.15">
      <c r="A102" s="2635"/>
      <c r="B102" s="2629"/>
      <c r="C102" s="187" t="s">
        <v>58</v>
      </c>
      <c r="D102" s="208"/>
      <c r="E102" s="208"/>
      <c r="F102" s="208"/>
      <c r="G102" s="208"/>
      <c r="H102" s="208"/>
      <c r="I102" s="208"/>
      <c r="J102" s="208"/>
      <c r="K102" s="208"/>
      <c r="L102" s="2415"/>
      <c r="M102" s="208"/>
      <c r="N102" s="208"/>
      <c r="O102" s="208"/>
      <c r="P102" s="208"/>
      <c r="Q102" s="208"/>
      <c r="R102" s="208"/>
      <c r="S102" s="208"/>
      <c r="T102" s="208"/>
      <c r="U102" s="208"/>
      <c r="V102" s="2415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415"/>
      <c r="AQ102" s="208"/>
      <c r="AR102" s="208"/>
      <c r="AS102" s="208"/>
      <c r="AT102" s="208"/>
      <c r="AU102" s="208"/>
      <c r="AV102" s="208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"/>
      <c r="BJ102" s="19"/>
      <c r="BK102" s="19"/>
    </row>
    <row r="103" spans="1:64" ht="21.95" customHeight="1" x14ac:dyDescent="0.15">
      <c r="A103" s="2635"/>
      <c r="B103" s="2620" t="s">
        <v>325</v>
      </c>
      <c r="C103" s="187" t="s">
        <v>1428</v>
      </c>
      <c r="D103" s="227"/>
      <c r="E103" s="227"/>
      <c r="F103" s="227"/>
      <c r="G103" s="227"/>
      <c r="H103" s="227"/>
      <c r="I103" s="227"/>
      <c r="J103" s="227"/>
      <c r="K103" s="227"/>
      <c r="L103" s="2410"/>
      <c r="M103" s="227"/>
      <c r="N103" s="227"/>
      <c r="O103" s="227"/>
      <c r="P103" s="227"/>
      <c r="Q103" s="227"/>
      <c r="R103" s="227"/>
      <c r="S103" s="227"/>
      <c r="T103" s="227"/>
      <c r="U103" s="227"/>
      <c r="V103" s="2410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410"/>
      <c r="AQ103" s="227"/>
      <c r="AR103" s="227"/>
      <c r="AS103" s="227"/>
      <c r="AT103" s="227"/>
      <c r="AU103" s="227"/>
      <c r="AV103" s="227"/>
      <c r="AW103" s="334"/>
      <c r="AX103" s="334"/>
      <c r="AY103" s="334"/>
      <c r="AZ103" s="334"/>
      <c r="BA103" s="334"/>
      <c r="BB103" s="334"/>
      <c r="BC103" s="334"/>
      <c r="BD103" s="334"/>
      <c r="BE103" s="334"/>
      <c r="BF103" s="334"/>
      <c r="BG103" s="334"/>
      <c r="BH103" s="334"/>
      <c r="BI103" s="227"/>
      <c r="BJ103" s="227"/>
      <c r="BK103" s="227"/>
    </row>
    <row r="104" spans="1:64" ht="21.95" customHeight="1" x14ac:dyDescent="0.15">
      <c r="A104" s="2635"/>
      <c r="B104" s="2636"/>
      <c r="C104" s="187" t="s">
        <v>1429</v>
      </c>
      <c r="D104" s="208"/>
      <c r="E104" s="208"/>
      <c r="F104" s="208"/>
      <c r="G104" s="208"/>
      <c r="H104" s="208"/>
      <c r="I104" s="208"/>
      <c r="J104" s="208"/>
      <c r="K104" s="208"/>
      <c r="L104" s="2415"/>
      <c r="M104" s="208"/>
      <c r="N104" s="208"/>
      <c r="O104" s="208"/>
      <c r="P104" s="208"/>
      <c r="Q104" s="208"/>
      <c r="R104" s="208"/>
      <c r="S104" s="208"/>
      <c r="T104" s="208"/>
      <c r="U104" s="208"/>
      <c r="V104" s="2415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415"/>
      <c r="AQ104" s="208"/>
      <c r="AR104" s="208"/>
      <c r="AS104" s="208"/>
      <c r="AT104" s="208"/>
      <c r="AU104" s="208"/>
      <c r="AV104" s="208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"/>
      <c r="BJ104" s="19"/>
      <c r="BK104" s="19"/>
    </row>
    <row r="105" spans="1:64" ht="21.95" customHeight="1" x14ac:dyDescent="0.15">
      <c r="A105" s="2635"/>
      <c r="B105" s="2622" t="s">
        <v>603</v>
      </c>
      <c r="C105" s="187" t="s">
        <v>16</v>
      </c>
      <c r="D105" s="134"/>
      <c r="E105" s="134"/>
      <c r="F105" s="134"/>
      <c r="G105" s="134"/>
      <c r="H105" s="134"/>
      <c r="I105" s="134"/>
      <c r="J105" s="134"/>
      <c r="K105" s="134"/>
      <c r="L105" s="2406"/>
      <c r="M105" s="134"/>
      <c r="N105" s="134"/>
      <c r="O105" s="134"/>
      <c r="P105" s="134"/>
      <c r="Q105" s="134"/>
      <c r="R105" s="134"/>
      <c r="S105" s="134"/>
      <c r="T105" s="134"/>
      <c r="U105" s="134"/>
      <c r="V105" s="2406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2406"/>
      <c r="AQ105" s="134"/>
      <c r="AR105" s="134"/>
      <c r="AS105" s="134"/>
      <c r="AT105" s="134"/>
      <c r="AU105" s="134"/>
      <c r="AV105" s="134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34"/>
      <c r="BJ105" s="134"/>
      <c r="BK105" s="134"/>
    </row>
    <row r="106" spans="1:64" ht="21.95" customHeight="1" x14ac:dyDescent="0.15">
      <c r="A106" s="2635"/>
      <c r="B106" s="2622"/>
      <c r="C106" s="421" t="s">
        <v>3</v>
      </c>
      <c r="D106" s="134"/>
      <c r="E106" s="134"/>
      <c r="F106" s="134"/>
      <c r="G106" s="134"/>
      <c r="H106" s="134"/>
      <c r="I106" s="134"/>
      <c r="J106" s="134"/>
      <c r="K106" s="134"/>
      <c r="L106" s="2406"/>
      <c r="M106" s="134"/>
      <c r="N106" s="134"/>
      <c r="O106" s="134"/>
      <c r="P106" s="134"/>
      <c r="Q106" s="134"/>
      <c r="R106" s="134"/>
      <c r="S106" s="134"/>
      <c r="T106" s="134"/>
      <c r="U106" s="134"/>
      <c r="V106" s="2406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2406"/>
      <c r="AQ106" s="134"/>
      <c r="AR106" s="134"/>
      <c r="AS106" s="134"/>
      <c r="AT106" s="134"/>
      <c r="AU106" s="134"/>
      <c r="AV106" s="134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34"/>
      <c r="BJ106" s="134"/>
      <c r="BK106" s="134"/>
    </row>
    <row r="107" spans="1:64" ht="21.95" customHeight="1" x14ac:dyDescent="0.15">
      <c r="A107" s="2635"/>
      <c r="B107" s="2622"/>
      <c r="C107" s="421" t="s">
        <v>58</v>
      </c>
      <c r="D107" s="134"/>
      <c r="E107" s="134"/>
      <c r="F107" s="134"/>
      <c r="G107" s="134"/>
      <c r="H107" s="134"/>
      <c r="I107" s="134"/>
      <c r="J107" s="134"/>
      <c r="K107" s="134"/>
      <c r="L107" s="2406"/>
      <c r="M107" s="134"/>
      <c r="N107" s="134"/>
      <c r="O107" s="134"/>
      <c r="P107" s="134"/>
      <c r="Q107" s="134"/>
      <c r="R107" s="134"/>
      <c r="S107" s="134"/>
      <c r="T107" s="134"/>
      <c r="U107" s="134"/>
      <c r="V107" s="2406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2406"/>
      <c r="AQ107" s="134"/>
      <c r="AR107" s="134"/>
      <c r="AS107" s="134"/>
      <c r="AT107" s="134"/>
      <c r="AU107" s="134"/>
      <c r="AV107" s="134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34"/>
      <c r="BJ107" s="134"/>
      <c r="BK107" s="134"/>
    </row>
    <row r="108" spans="1:64" ht="21.95" customHeight="1" x14ac:dyDescent="0.15">
      <c r="A108" s="2635"/>
      <c r="B108" s="2622" t="s">
        <v>604</v>
      </c>
      <c r="C108" s="187" t="s">
        <v>16</v>
      </c>
      <c r="D108" s="227"/>
      <c r="E108" s="227"/>
      <c r="F108" s="227"/>
      <c r="G108" s="227"/>
      <c r="H108" s="227"/>
      <c r="I108" s="227"/>
      <c r="J108" s="227"/>
      <c r="K108" s="227"/>
      <c r="L108" s="2410"/>
      <c r="M108" s="227"/>
      <c r="N108" s="227"/>
      <c r="O108" s="227"/>
      <c r="P108" s="227"/>
      <c r="Q108" s="227"/>
      <c r="R108" s="227"/>
      <c r="S108" s="227"/>
      <c r="T108" s="227"/>
      <c r="U108" s="227"/>
      <c r="V108" s="2410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410"/>
      <c r="AQ108" s="227"/>
      <c r="AR108" s="227"/>
      <c r="AS108" s="227"/>
      <c r="AT108" s="227"/>
      <c r="AU108" s="227"/>
      <c r="AV108" s="227"/>
      <c r="AW108" s="339"/>
      <c r="AX108" s="339"/>
      <c r="AY108" s="339"/>
      <c r="AZ108" s="339"/>
      <c r="BA108" s="339"/>
      <c r="BB108" s="339"/>
      <c r="BC108" s="339"/>
      <c r="BD108" s="339"/>
      <c r="BE108" s="339"/>
      <c r="BF108" s="339"/>
      <c r="BG108" s="339"/>
      <c r="BH108" s="339"/>
      <c r="BI108" s="227"/>
      <c r="BJ108" s="227"/>
      <c r="BK108" s="227"/>
    </row>
    <row r="109" spans="1:64" ht="21.95" customHeight="1" x14ac:dyDescent="0.15">
      <c r="A109" s="2635"/>
      <c r="B109" s="2622"/>
      <c r="C109" s="187" t="s">
        <v>3</v>
      </c>
      <c r="D109" s="134"/>
      <c r="E109" s="134"/>
      <c r="F109" s="134"/>
      <c r="G109" s="134"/>
      <c r="H109" s="134"/>
      <c r="I109" s="134"/>
      <c r="J109" s="134"/>
      <c r="K109" s="134"/>
      <c r="L109" s="2406"/>
      <c r="M109" s="134"/>
      <c r="N109" s="134"/>
      <c r="O109" s="134"/>
      <c r="P109" s="134"/>
      <c r="Q109" s="134"/>
      <c r="R109" s="134"/>
      <c r="S109" s="134"/>
      <c r="T109" s="134"/>
      <c r="U109" s="134"/>
      <c r="V109" s="2406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2406"/>
      <c r="AQ109" s="134"/>
      <c r="AR109" s="134"/>
      <c r="AS109" s="134"/>
      <c r="AT109" s="134"/>
      <c r="AU109" s="134"/>
      <c r="AV109" s="134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34"/>
      <c r="BJ109" s="134"/>
      <c r="BK109" s="134"/>
    </row>
    <row r="110" spans="1:64" ht="21.95" customHeight="1" x14ac:dyDescent="0.15">
      <c r="A110" s="2635"/>
      <c r="B110" s="2622"/>
      <c r="C110" s="187" t="s">
        <v>58</v>
      </c>
      <c r="D110" s="19"/>
      <c r="E110" s="19"/>
      <c r="F110" s="19"/>
      <c r="G110" s="19"/>
      <c r="H110" s="19"/>
      <c r="I110" s="19"/>
      <c r="J110" s="19"/>
      <c r="K110" s="19"/>
      <c r="L110" s="2412"/>
      <c r="M110" s="19"/>
      <c r="N110" s="19"/>
      <c r="O110" s="19"/>
      <c r="P110" s="19"/>
      <c r="Q110" s="19"/>
      <c r="R110" s="19"/>
      <c r="S110" s="19"/>
      <c r="T110" s="19"/>
      <c r="U110" s="19"/>
      <c r="V110" s="2412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2412"/>
      <c r="AQ110" s="19"/>
      <c r="AR110" s="19"/>
      <c r="AS110" s="19"/>
      <c r="AT110" s="19"/>
      <c r="AU110" s="19"/>
      <c r="AV110" s="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19"/>
      <c r="BJ110" s="19"/>
      <c r="BK110" s="19"/>
    </row>
    <row r="111" spans="1:64" ht="21.95" customHeight="1" x14ac:dyDescent="0.15">
      <c r="A111" s="2635"/>
      <c r="B111" s="2631" t="s">
        <v>65</v>
      </c>
      <c r="C111" s="187" t="s">
        <v>66</v>
      </c>
      <c r="D111" s="227"/>
      <c r="E111" s="227"/>
      <c r="F111" s="227"/>
      <c r="G111" s="227"/>
      <c r="H111" s="227"/>
      <c r="I111" s="227"/>
      <c r="J111" s="227"/>
      <c r="K111" s="227"/>
      <c r="L111" s="2410"/>
      <c r="M111" s="227"/>
      <c r="N111" s="227"/>
      <c r="O111" s="227"/>
      <c r="P111" s="227"/>
      <c r="Q111" s="227"/>
      <c r="R111" s="227"/>
      <c r="S111" s="227"/>
      <c r="T111" s="227"/>
      <c r="U111" s="227"/>
      <c r="V111" s="2410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410"/>
      <c r="AQ111" s="227"/>
      <c r="AR111" s="227"/>
      <c r="AS111" s="227"/>
      <c r="AT111" s="227"/>
      <c r="AU111" s="227"/>
      <c r="AV111" s="227"/>
      <c r="AW111" s="339"/>
      <c r="AX111" s="339"/>
      <c r="AY111" s="339"/>
      <c r="AZ111" s="339"/>
      <c r="BA111" s="339"/>
      <c r="BB111" s="339"/>
      <c r="BC111" s="339"/>
      <c r="BD111" s="339"/>
      <c r="BE111" s="339"/>
      <c r="BF111" s="339"/>
      <c r="BG111" s="339"/>
      <c r="BH111" s="339"/>
      <c r="BI111" s="227"/>
      <c r="BJ111" s="227"/>
      <c r="BK111" s="227"/>
    </row>
    <row r="112" spans="1:64" ht="21.95" customHeight="1" x14ac:dyDescent="0.15">
      <c r="A112" s="2635"/>
      <c r="B112" s="2606"/>
      <c r="C112" s="187" t="s">
        <v>631</v>
      </c>
      <c r="D112" s="134"/>
      <c r="E112" s="134"/>
      <c r="F112" s="134"/>
      <c r="G112" s="134"/>
      <c r="H112" s="134"/>
      <c r="I112" s="134"/>
      <c r="J112" s="134"/>
      <c r="K112" s="134"/>
      <c r="L112" s="2406"/>
      <c r="M112" s="134"/>
      <c r="N112" s="134"/>
      <c r="O112" s="134"/>
      <c r="P112" s="134"/>
      <c r="Q112" s="134"/>
      <c r="R112" s="134"/>
      <c r="S112" s="134"/>
      <c r="T112" s="134"/>
      <c r="U112" s="134"/>
      <c r="V112" s="2406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2406"/>
      <c r="AQ112" s="134"/>
      <c r="AR112" s="134"/>
      <c r="AS112" s="134"/>
      <c r="AT112" s="134"/>
      <c r="AU112" s="134"/>
      <c r="AV112" s="134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34"/>
      <c r="BJ112" s="134"/>
      <c r="BK112" s="134"/>
    </row>
    <row r="113" spans="1:70" ht="21.95" customHeight="1" x14ac:dyDescent="0.15">
      <c r="A113" s="2635"/>
      <c r="B113" s="2632"/>
      <c r="C113" s="187" t="s">
        <v>3</v>
      </c>
      <c r="D113" s="19"/>
      <c r="E113" s="19"/>
      <c r="F113" s="19"/>
      <c r="G113" s="19"/>
      <c r="H113" s="19"/>
      <c r="I113" s="19"/>
      <c r="J113" s="19"/>
      <c r="K113" s="19"/>
      <c r="L113" s="2412"/>
      <c r="M113" s="19"/>
      <c r="N113" s="19"/>
      <c r="O113" s="19"/>
      <c r="P113" s="19"/>
      <c r="Q113" s="19"/>
      <c r="R113" s="19"/>
      <c r="S113" s="19"/>
      <c r="T113" s="19"/>
      <c r="U113" s="19"/>
      <c r="V113" s="2412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2412"/>
      <c r="AQ113" s="19"/>
      <c r="AR113" s="19"/>
      <c r="AS113" s="19"/>
      <c r="AT113" s="19"/>
      <c r="AU113" s="19"/>
      <c r="AV113" s="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19"/>
      <c r="BJ113" s="19"/>
      <c r="BK113" s="19"/>
    </row>
    <row r="114" spans="1:70" ht="21.95" customHeight="1" x14ac:dyDescent="0.15">
      <c r="A114" s="2635"/>
      <c r="B114" s="2620" t="s">
        <v>511</v>
      </c>
      <c r="C114" s="187" t="s">
        <v>66</v>
      </c>
      <c r="D114" s="227"/>
      <c r="E114" s="227"/>
      <c r="F114" s="227"/>
      <c r="G114" s="227"/>
      <c r="H114" s="227"/>
      <c r="I114" s="227"/>
      <c r="J114" s="227"/>
      <c r="K114" s="227"/>
      <c r="L114" s="2410"/>
      <c r="M114" s="227"/>
      <c r="N114" s="227"/>
      <c r="O114" s="227"/>
      <c r="P114" s="227"/>
      <c r="Q114" s="227"/>
      <c r="R114" s="227"/>
      <c r="S114" s="227"/>
      <c r="T114" s="227"/>
      <c r="U114" s="227"/>
      <c r="V114" s="2410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410"/>
      <c r="AQ114" s="227"/>
      <c r="AR114" s="227"/>
      <c r="AS114" s="227"/>
      <c r="AT114" s="227"/>
      <c r="AU114" s="227"/>
      <c r="AV114" s="227"/>
      <c r="AW114" s="339"/>
      <c r="AX114" s="339"/>
      <c r="AY114" s="339"/>
      <c r="AZ114" s="339"/>
      <c r="BA114" s="339"/>
      <c r="BB114" s="339"/>
      <c r="BC114" s="339"/>
      <c r="BD114" s="339"/>
      <c r="BE114" s="339"/>
      <c r="BF114" s="339"/>
      <c r="BG114" s="339"/>
      <c r="BH114" s="339"/>
      <c r="BI114" s="227"/>
      <c r="BJ114" s="227"/>
      <c r="BK114" s="227"/>
    </row>
    <row r="115" spans="1:70" ht="21.95" customHeight="1" x14ac:dyDescent="0.15">
      <c r="A115" s="2635"/>
      <c r="B115" s="2614"/>
      <c r="C115" s="187" t="s">
        <v>164</v>
      </c>
      <c r="D115" s="134"/>
      <c r="E115" s="134"/>
      <c r="F115" s="134"/>
      <c r="G115" s="134"/>
      <c r="H115" s="134"/>
      <c r="I115" s="134"/>
      <c r="J115" s="134"/>
      <c r="K115" s="134"/>
      <c r="L115" s="2406"/>
      <c r="M115" s="134"/>
      <c r="N115" s="134"/>
      <c r="O115" s="134"/>
      <c r="P115" s="134"/>
      <c r="Q115" s="134"/>
      <c r="R115" s="134"/>
      <c r="S115" s="134"/>
      <c r="T115" s="134"/>
      <c r="U115" s="134"/>
      <c r="V115" s="2406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2406"/>
      <c r="AQ115" s="134"/>
      <c r="AR115" s="134"/>
      <c r="AS115" s="134"/>
      <c r="AT115" s="134"/>
      <c r="AU115" s="134"/>
      <c r="AV115" s="134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34"/>
      <c r="BJ115" s="134"/>
      <c r="BK115" s="134"/>
    </row>
    <row r="116" spans="1:70" ht="21.95" customHeight="1" x14ac:dyDescent="0.15">
      <c r="A116" s="2635"/>
      <c r="B116" s="2636"/>
      <c r="C116" s="187" t="s">
        <v>3</v>
      </c>
      <c r="D116" s="19"/>
      <c r="E116" s="19"/>
      <c r="F116" s="19"/>
      <c r="G116" s="19"/>
      <c r="H116" s="19"/>
      <c r="I116" s="19"/>
      <c r="J116" s="19"/>
      <c r="K116" s="19"/>
      <c r="L116" s="2412"/>
      <c r="M116" s="19"/>
      <c r="N116" s="19"/>
      <c r="O116" s="19"/>
      <c r="P116" s="19"/>
      <c r="Q116" s="19"/>
      <c r="R116" s="19"/>
      <c r="S116" s="19"/>
      <c r="T116" s="19"/>
      <c r="U116" s="19"/>
      <c r="V116" s="2412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2412"/>
      <c r="AQ116" s="19"/>
      <c r="AR116" s="19"/>
      <c r="AS116" s="19"/>
      <c r="AT116" s="19"/>
      <c r="AU116" s="19"/>
      <c r="AV116" s="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19"/>
      <c r="BJ116" s="19"/>
      <c r="BK116" s="19"/>
    </row>
    <row r="117" spans="1:70" ht="21.95" customHeight="1" x14ac:dyDescent="0.15">
      <c r="A117" s="2635"/>
      <c r="B117" s="2631" t="s">
        <v>150</v>
      </c>
      <c r="C117" s="187" t="s">
        <v>204</v>
      </c>
      <c r="D117" s="227"/>
      <c r="E117" s="227"/>
      <c r="F117" s="227"/>
      <c r="G117" s="227"/>
      <c r="H117" s="227"/>
      <c r="I117" s="227"/>
      <c r="J117" s="227"/>
      <c r="K117" s="227"/>
      <c r="L117" s="2410"/>
      <c r="M117" s="227"/>
      <c r="N117" s="227"/>
      <c r="O117" s="227"/>
      <c r="P117" s="227"/>
      <c r="Q117" s="227"/>
      <c r="R117" s="227"/>
      <c r="S117" s="227"/>
      <c r="T117" s="227"/>
      <c r="U117" s="227"/>
      <c r="V117" s="2410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410"/>
      <c r="AQ117" s="227"/>
      <c r="AR117" s="227"/>
      <c r="AS117" s="227"/>
      <c r="AT117" s="227"/>
      <c r="AU117" s="227"/>
      <c r="AV117" s="227"/>
      <c r="AW117" s="339"/>
      <c r="AX117" s="339"/>
      <c r="AY117" s="339"/>
      <c r="AZ117" s="339"/>
      <c r="BA117" s="339"/>
      <c r="BB117" s="339"/>
      <c r="BC117" s="339"/>
      <c r="BD117" s="339"/>
      <c r="BE117" s="339"/>
      <c r="BF117" s="339"/>
      <c r="BG117" s="339"/>
      <c r="BH117" s="339"/>
      <c r="BI117" s="227"/>
      <c r="BJ117" s="227"/>
      <c r="BK117" s="227"/>
    </row>
    <row r="118" spans="1:70" s="14" customFormat="1" ht="21.95" customHeight="1" x14ac:dyDescent="0.15">
      <c r="A118" s="2635"/>
      <c r="B118" s="2606"/>
      <c r="C118" s="187" t="s">
        <v>151</v>
      </c>
      <c r="D118" s="134"/>
      <c r="E118" s="134"/>
      <c r="F118" s="134"/>
      <c r="G118" s="134"/>
      <c r="H118" s="134"/>
      <c r="I118" s="134"/>
      <c r="J118" s="134"/>
      <c r="K118" s="134"/>
      <c r="L118" s="2406"/>
      <c r="M118" s="134"/>
      <c r="N118" s="134"/>
      <c r="O118" s="134"/>
      <c r="P118" s="134"/>
      <c r="Q118" s="134"/>
      <c r="R118" s="134"/>
      <c r="S118" s="134"/>
      <c r="T118" s="134"/>
      <c r="U118" s="134"/>
      <c r="V118" s="2406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2406"/>
      <c r="AQ118" s="134"/>
      <c r="AR118" s="134"/>
      <c r="AS118" s="134"/>
      <c r="AT118" s="134"/>
      <c r="AU118" s="134"/>
      <c r="AV118" s="134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34"/>
      <c r="BJ118" s="134"/>
      <c r="BK118" s="134"/>
      <c r="BL118" s="920"/>
      <c r="BM118" s="133"/>
      <c r="BN118" s="133"/>
      <c r="BO118" s="133"/>
      <c r="BP118" s="133"/>
      <c r="BQ118" s="133"/>
      <c r="BR118" s="133"/>
    </row>
    <row r="119" spans="1:70" s="14" customFormat="1" ht="21.95" customHeight="1" x14ac:dyDescent="0.15">
      <c r="A119" s="2635"/>
      <c r="B119" s="2606"/>
      <c r="C119" s="187" t="s">
        <v>152</v>
      </c>
      <c r="D119" s="134"/>
      <c r="E119" s="134"/>
      <c r="F119" s="134"/>
      <c r="G119" s="134"/>
      <c r="H119" s="134"/>
      <c r="I119" s="134"/>
      <c r="J119" s="134"/>
      <c r="K119" s="134"/>
      <c r="L119" s="2406"/>
      <c r="M119" s="134"/>
      <c r="N119" s="134"/>
      <c r="O119" s="134"/>
      <c r="P119" s="134"/>
      <c r="Q119" s="134"/>
      <c r="R119" s="134"/>
      <c r="S119" s="134"/>
      <c r="T119" s="134"/>
      <c r="U119" s="134"/>
      <c r="V119" s="2406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2406"/>
      <c r="AQ119" s="134"/>
      <c r="AR119" s="134"/>
      <c r="AS119" s="134"/>
      <c r="AT119" s="134"/>
      <c r="AU119" s="134"/>
      <c r="AV119" s="134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34"/>
      <c r="BJ119" s="134"/>
      <c r="BK119" s="134"/>
      <c r="BL119" s="920"/>
      <c r="BM119" s="133"/>
      <c r="BN119" s="133"/>
      <c r="BO119" s="133"/>
      <c r="BP119" s="133"/>
      <c r="BQ119" s="133"/>
      <c r="BR119" s="133"/>
    </row>
    <row r="120" spans="1:70" s="14" customFormat="1" ht="21.95" customHeight="1" x14ac:dyDescent="0.15">
      <c r="A120" s="2635"/>
      <c r="B120" s="2606"/>
      <c r="C120" s="421" t="s">
        <v>2756</v>
      </c>
      <c r="D120" s="134"/>
      <c r="E120" s="134"/>
      <c r="F120" s="134"/>
      <c r="G120" s="134"/>
      <c r="H120" s="134"/>
      <c r="I120" s="134"/>
      <c r="J120" s="134"/>
      <c r="K120" s="134"/>
      <c r="L120" s="2406"/>
      <c r="M120" s="134"/>
      <c r="N120" s="134"/>
      <c r="O120" s="134"/>
      <c r="P120" s="134"/>
      <c r="Q120" s="134"/>
      <c r="R120" s="134"/>
      <c r="S120" s="134"/>
      <c r="T120" s="134"/>
      <c r="U120" s="134"/>
      <c r="V120" s="2406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2406"/>
      <c r="AQ120" s="134"/>
      <c r="AR120" s="134"/>
      <c r="AS120" s="134"/>
      <c r="AT120" s="134"/>
      <c r="AU120" s="134"/>
      <c r="AV120" s="134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34"/>
      <c r="BJ120" s="134"/>
      <c r="BK120" s="134"/>
      <c r="BL120" s="920"/>
      <c r="BM120" s="133"/>
      <c r="BN120" s="133"/>
      <c r="BO120" s="133"/>
      <c r="BP120" s="133"/>
      <c r="BQ120" s="133"/>
      <c r="BR120" s="133"/>
    </row>
    <row r="121" spans="1:70" s="14" customFormat="1" ht="21.95" customHeight="1" x14ac:dyDescent="0.15">
      <c r="A121" s="2635"/>
      <c r="B121" s="2606"/>
      <c r="C121" s="187" t="s">
        <v>507</v>
      </c>
      <c r="D121" s="134"/>
      <c r="E121" s="134"/>
      <c r="F121" s="134"/>
      <c r="G121" s="134"/>
      <c r="H121" s="134"/>
      <c r="I121" s="134"/>
      <c r="J121" s="134"/>
      <c r="K121" s="134"/>
      <c r="L121" s="2406"/>
      <c r="M121" s="134"/>
      <c r="N121" s="134"/>
      <c r="O121" s="134"/>
      <c r="P121" s="134"/>
      <c r="Q121" s="134"/>
      <c r="R121" s="134"/>
      <c r="S121" s="134"/>
      <c r="T121" s="134"/>
      <c r="U121" s="134"/>
      <c r="V121" s="2406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2406"/>
      <c r="AQ121" s="134"/>
      <c r="AR121" s="134"/>
      <c r="AS121" s="134"/>
      <c r="AT121" s="134"/>
      <c r="AU121" s="134"/>
      <c r="AV121" s="134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34"/>
      <c r="BJ121" s="134"/>
      <c r="BK121" s="134"/>
      <c r="BL121" s="920"/>
      <c r="BM121" s="133"/>
      <c r="BN121" s="133"/>
      <c r="BO121" s="133"/>
      <c r="BP121" s="133"/>
      <c r="BQ121" s="133"/>
      <c r="BR121" s="133"/>
    </row>
    <row r="122" spans="1:70" s="14" customFormat="1" ht="21.95" customHeight="1" x14ac:dyDescent="0.15">
      <c r="A122" s="2635"/>
      <c r="B122" s="2606"/>
      <c r="C122" s="187" t="s">
        <v>492</v>
      </c>
      <c r="D122" s="134"/>
      <c r="E122" s="134"/>
      <c r="F122" s="134"/>
      <c r="G122" s="134"/>
      <c r="H122" s="134"/>
      <c r="I122" s="134"/>
      <c r="J122" s="134"/>
      <c r="K122" s="134"/>
      <c r="L122" s="2406"/>
      <c r="M122" s="134"/>
      <c r="N122" s="134"/>
      <c r="O122" s="134"/>
      <c r="P122" s="134"/>
      <c r="Q122" s="134"/>
      <c r="R122" s="134"/>
      <c r="S122" s="134"/>
      <c r="T122" s="134"/>
      <c r="U122" s="134"/>
      <c r="V122" s="2406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2406"/>
      <c r="AQ122" s="134"/>
      <c r="AR122" s="134"/>
      <c r="AS122" s="134"/>
      <c r="AT122" s="134"/>
      <c r="AU122" s="134"/>
      <c r="AV122" s="134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34"/>
      <c r="BJ122" s="134"/>
      <c r="BK122" s="134"/>
      <c r="BL122" s="920"/>
      <c r="BM122" s="133"/>
      <c r="BN122" s="133"/>
      <c r="BO122" s="133"/>
      <c r="BP122" s="133"/>
      <c r="BQ122" s="133"/>
      <c r="BR122" s="133"/>
    </row>
    <row r="123" spans="1:70" s="14" customFormat="1" ht="21.95" customHeight="1" x14ac:dyDescent="0.15">
      <c r="A123" s="2635"/>
      <c r="B123" s="2606"/>
      <c r="C123" s="187" t="s">
        <v>508</v>
      </c>
      <c r="D123" s="134"/>
      <c r="E123" s="134"/>
      <c r="F123" s="134"/>
      <c r="G123" s="134"/>
      <c r="H123" s="134"/>
      <c r="I123" s="134"/>
      <c r="J123" s="134"/>
      <c r="K123" s="134"/>
      <c r="L123" s="2406"/>
      <c r="M123" s="134"/>
      <c r="N123" s="134"/>
      <c r="O123" s="134"/>
      <c r="P123" s="134"/>
      <c r="Q123" s="134"/>
      <c r="R123" s="134"/>
      <c r="S123" s="134"/>
      <c r="T123" s="134"/>
      <c r="U123" s="134"/>
      <c r="V123" s="2406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2406"/>
      <c r="AQ123" s="134"/>
      <c r="AR123" s="134"/>
      <c r="AS123" s="134"/>
      <c r="AT123" s="134"/>
      <c r="AU123" s="134"/>
      <c r="AV123" s="134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34"/>
      <c r="BJ123" s="134"/>
      <c r="BK123" s="134"/>
      <c r="BL123" s="920"/>
      <c r="BM123" s="133"/>
      <c r="BN123" s="133"/>
      <c r="BO123" s="133"/>
      <c r="BP123" s="133"/>
      <c r="BQ123" s="133"/>
      <c r="BR123" s="133"/>
    </row>
    <row r="124" spans="1:70" s="14" customFormat="1" ht="21.95" customHeight="1" x14ac:dyDescent="0.15">
      <c r="A124" s="2635"/>
      <c r="B124" s="2606"/>
      <c r="C124" s="187" t="s">
        <v>509</v>
      </c>
      <c r="D124" s="134"/>
      <c r="E124" s="134"/>
      <c r="F124" s="134"/>
      <c r="G124" s="134"/>
      <c r="H124" s="134"/>
      <c r="I124" s="134"/>
      <c r="J124" s="134"/>
      <c r="K124" s="134"/>
      <c r="L124" s="2406"/>
      <c r="M124" s="134"/>
      <c r="N124" s="134"/>
      <c r="O124" s="134"/>
      <c r="P124" s="134"/>
      <c r="Q124" s="134"/>
      <c r="R124" s="134"/>
      <c r="S124" s="134"/>
      <c r="T124" s="134"/>
      <c r="U124" s="134"/>
      <c r="V124" s="2406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2406"/>
      <c r="AQ124" s="134"/>
      <c r="AR124" s="134"/>
      <c r="AS124" s="134"/>
      <c r="AT124" s="134"/>
      <c r="AU124" s="134"/>
      <c r="AV124" s="134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34"/>
      <c r="BJ124" s="134"/>
      <c r="BK124" s="134"/>
      <c r="BL124" s="920"/>
      <c r="BM124" s="133"/>
      <c r="BN124" s="133"/>
      <c r="BO124" s="133"/>
      <c r="BP124" s="133"/>
      <c r="BQ124" s="133"/>
      <c r="BR124" s="133"/>
    </row>
    <row r="125" spans="1:70" s="14" customFormat="1" ht="21.95" customHeight="1" x14ac:dyDescent="0.15">
      <c r="A125" s="2635"/>
      <c r="B125" s="2606"/>
      <c r="C125" s="187" t="s">
        <v>510</v>
      </c>
      <c r="D125" s="134"/>
      <c r="E125" s="134"/>
      <c r="F125" s="134"/>
      <c r="G125" s="134"/>
      <c r="H125" s="134"/>
      <c r="I125" s="134"/>
      <c r="J125" s="134"/>
      <c r="K125" s="134"/>
      <c r="L125" s="2406"/>
      <c r="M125" s="134"/>
      <c r="N125" s="134"/>
      <c r="O125" s="134"/>
      <c r="P125" s="134"/>
      <c r="Q125" s="134"/>
      <c r="R125" s="134"/>
      <c r="S125" s="134"/>
      <c r="T125" s="134"/>
      <c r="U125" s="134"/>
      <c r="V125" s="2406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2406"/>
      <c r="AQ125" s="134"/>
      <c r="AR125" s="134"/>
      <c r="AS125" s="134"/>
      <c r="AT125" s="134"/>
      <c r="AU125" s="134"/>
      <c r="AV125" s="134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34"/>
      <c r="BJ125" s="134"/>
      <c r="BK125" s="134"/>
      <c r="BL125" s="920"/>
      <c r="BM125" s="133"/>
      <c r="BN125" s="133"/>
      <c r="BO125" s="133"/>
      <c r="BP125" s="133"/>
      <c r="BQ125" s="133"/>
      <c r="BR125" s="133"/>
    </row>
    <row r="126" spans="1:70" s="14" customFormat="1" ht="21.95" customHeight="1" x14ac:dyDescent="0.15">
      <c r="A126" s="2635"/>
      <c r="B126" s="2632"/>
      <c r="C126" s="187" t="s">
        <v>219</v>
      </c>
      <c r="D126" s="19"/>
      <c r="E126" s="19"/>
      <c r="F126" s="19"/>
      <c r="G126" s="19"/>
      <c r="H126" s="19"/>
      <c r="I126" s="19"/>
      <c r="J126" s="19"/>
      <c r="K126" s="19"/>
      <c r="L126" s="2412"/>
      <c r="M126" s="19"/>
      <c r="N126" s="19"/>
      <c r="O126" s="19"/>
      <c r="P126" s="19"/>
      <c r="Q126" s="19"/>
      <c r="R126" s="19"/>
      <c r="S126" s="19"/>
      <c r="T126" s="19"/>
      <c r="U126" s="19"/>
      <c r="V126" s="2412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2412"/>
      <c r="AQ126" s="19"/>
      <c r="AR126" s="19"/>
      <c r="AS126" s="19"/>
      <c r="AT126" s="19"/>
      <c r="AU126" s="19"/>
      <c r="AV126" s="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19"/>
      <c r="BJ126" s="19"/>
      <c r="BK126" s="19"/>
      <c r="BL126" s="920"/>
      <c r="BM126" s="133"/>
      <c r="BN126" s="133"/>
      <c r="BO126" s="133"/>
      <c r="BP126" s="133"/>
      <c r="BQ126" s="133"/>
      <c r="BR126" s="133"/>
    </row>
    <row r="127" spans="1:70" s="14" customFormat="1" ht="21.95" customHeight="1" x14ac:dyDescent="0.15">
      <c r="A127" s="2635"/>
      <c r="B127" s="2631" t="s">
        <v>319</v>
      </c>
      <c r="C127" s="187" t="s">
        <v>58</v>
      </c>
      <c r="D127" s="227"/>
      <c r="E127" s="227"/>
      <c r="F127" s="227"/>
      <c r="G127" s="227"/>
      <c r="H127" s="227"/>
      <c r="I127" s="227"/>
      <c r="J127" s="227"/>
      <c r="K127" s="227"/>
      <c r="L127" s="2410"/>
      <c r="M127" s="227"/>
      <c r="N127" s="227"/>
      <c r="O127" s="227"/>
      <c r="P127" s="227"/>
      <c r="Q127" s="227"/>
      <c r="R127" s="227"/>
      <c r="S127" s="227"/>
      <c r="T127" s="227"/>
      <c r="U127" s="227"/>
      <c r="V127" s="2410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2410"/>
      <c r="AQ127" s="227"/>
      <c r="AR127" s="227"/>
      <c r="AS127" s="227"/>
      <c r="AT127" s="227"/>
      <c r="AU127" s="227"/>
      <c r="AV127" s="227"/>
      <c r="AW127" s="339"/>
      <c r="AX127" s="339"/>
      <c r="AY127" s="339"/>
      <c r="AZ127" s="339"/>
      <c r="BA127" s="339"/>
      <c r="BB127" s="339"/>
      <c r="BC127" s="339"/>
      <c r="BD127" s="339"/>
      <c r="BE127" s="339"/>
      <c r="BF127" s="339"/>
      <c r="BG127" s="339"/>
      <c r="BH127" s="339"/>
      <c r="BI127" s="227"/>
      <c r="BJ127" s="227"/>
      <c r="BK127" s="227"/>
      <c r="BL127" s="920"/>
      <c r="BM127" s="133"/>
      <c r="BN127" s="133"/>
      <c r="BO127" s="133"/>
      <c r="BP127" s="133"/>
      <c r="BQ127" s="133"/>
      <c r="BR127" s="133"/>
    </row>
    <row r="128" spans="1:70" s="14" customFormat="1" ht="21.95" customHeight="1" x14ac:dyDescent="0.15">
      <c r="A128" s="2635"/>
      <c r="B128" s="2606"/>
      <c r="C128" s="187" t="s">
        <v>3</v>
      </c>
      <c r="D128" s="134"/>
      <c r="E128" s="134"/>
      <c r="F128" s="134"/>
      <c r="G128" s="134"/>
      <c r="H128" s="134"/>
      <c r="I128" s="134"/>
      <c r="J128" s="134"/>
      <c r="K128" s="134"/>
      <c r="L128" s="2406"/>
      <c r="M128" s="134"/>
      <c r="N128" s="134"/>
      <c r="O128" s="134"/>
      <c r="P128" s="134"/>
      <c r="Q128" s="134"/>
      <c r="R128" s="134"/>
      <c r="S128" s="134"/>
      <c r="T128" s="134"/>
      <c r="U128" s="134"/>
      <c r="V128" s="2406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2406"/>
      <c r="AQ128" s="134"/>
      <c r="AR128" s="134"/>
      <c r="AS128" s="134"/>
      <c r="AT128" s="134"/>
      <c r="AU128" s="134"/>
      <c r="AV128" s="134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34"/>
      <c r="BJ128" s="134"/>
      <c r="BK128" s="134"/>
      <c r="BL128" s="920"/>
      <c r="BM128" s="133"/>
      <c r="BN128" s="133"/>
      <c r="BO128" s="133"/>
      <c r="BP128" s="133"/>
      <c r="BQ128" s="133"/>
      <c r="BR128" s="133"/>
    </row>
    <row r="129" spans="1:70" s="14" customFormat="1" ht="21.95" customHeight="1" x14ac:dyDescent="0.15">
      <c r="A129" s="2635"/>
      <c r="B129" s="2606"/>
      <c r="C129" s="187" t="s">
        <v>16</v>
      </c>
      <c r="D129" s="19"/>
      <c r="E129" s="19"/>
      <c r="F129" s="19"/>
      <c r="G129" s="19"/>
      <c r="H129" s="19"/>
      <c r="I129" s="19"/>
      <c r="J129" s="19"/>
      <c r="K129" s="19"/>
      <c r="L129" s="2412"/>
      <c r="M129" s="19"/>
      <c r="N129" s="19"/>
      <c r="O129" s="19"/>
      <c r="P129" s="19"/>
      <c r="Q129" s="19"/>
      <c r="R129" s="19"/>
      <c r="S129" s="19"/>
      <c r="T129" s="19"/>
      <c r="U129" s="19"/>
      <c r="V129" s="2412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2412"/>
      <c r="AQ129" s="19"/>
      <c r="AR129" s="19"/>
      <c r="AS129" s="19"/>
      <c r="AT129" s="19"/>
      <c r="AU129" s="19"/>
      <c r="AV129" s="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19"/>
      <c r="BJ129" s="19"/>
      <c r="BK129" s="19"/>
      <c r="BL129" s="920"/>
      <c r="BM129" s="133"/>
      <c r="BN129" s="133"/>
      <c r="BO129" s="133"/>
      <c r="BP129" s="133"/>
      <c r="BQ129" s="133"/>
      <c r="BR129" s="133"/>
    </row>
    <row r="130" spans="1:70" s="14" customFormat="1" ht="21.95" customHeight="1" x14ac:dyDescent="0.15">
      <c r="A130" s="2635"/>
      <c r="B130" s="2631" t="s">
        <v>473</v>
      </c>
      <c r="C130" s="187" t="s">
        <v>58</v>
      </c>
      <c r="D130" s="134"/>
      <c r="E130" s="134"/>
      <c r="F130" s="134"/>
      <c r="G130" s="134"/>
      <c r="H130" s="134"/>
      <c r="I130" s="134"/>
      <c r="J130" s="134"/>
      <c r="K130" s="134"/>
      <c r="L130" s="2406"/>
      <c r="M130" s="134"/>
      <c r="N130" s="134"/>
      <c r="O130" s="134"/>
      <c r="P130" s="134"/>
      <c r="Q130" s="134"/>
      <c r="R130" s="134"/>
      <c r="S130" s="134"/>
      <c r="T130" s="134"/>
      <c r="U130" s="134"/>
      <c r="V130" s="2406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2406"/>
      <c r="AQ130" s="134"/>
      <c r="AR130" s="134"/>
      <c r="AS130" s="134"/>
      <c r="AT130" s="134"/>
      <c r="AU130" s="134"/>
      <c r="AV130" s="134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34"/>
      <c r="BJ130" s="134"/>
      <c r="BK130" s="134"/>
      <c r="BL130" s="920"/>
      <c r="BM130" s="133"/>
      <c r="BN130" s="133"/>
      <c r="BO130" s="133"/>
      <c r="BP130" s="133"/>
      <c r="BQ130" s="133"/>
      <c r="BR130" s="133"/>
    </row>
    <row r="131" spans="1:70" s="14" customFormat="1" ht="21.95" customHeight="1" x14ac:dyDescent="0.15">
      <c r="A131" s="2635"/>
      <c r="B131" s="2606"/>
      <c r="C131" s="187" t="s">
        <v>3</v>
      </c>
      <c r="D131" s="134"/>
      <c r="E131" s="134"/>
      <c r="F131" s="134"/>
      <c r="G131" s="134"/>
      <c r="H131" s="134"/>
      <c r="I131" s="134"/>
      <c r="J131" s="134"/>
      <c r="K131" s="134"/>
      <c r="L131" s="2406"/>
      <c r="M131" s="134"/>
      <c r="N131" s="134"/>
      <c r="O131" s="134"/>
      <c r="P131" s="134"/>
      <c r="Q131" s="134"/>
      <c r="R131" s="134"/>
      <c r="S131" s="134"/>
      <c r="T131" s="134"/>
      <c r="U131" s="134"/>
      <c r="V131" s="2406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2406"/>
      <c r="AQ131" s="134"/>
      <c r="AR131" s="134"/>
      <c r="AS131" s="134"/>
      <c r="AT131" s="134"/>
      <c r="AU131" s="134"/>
      <c r="AV131" s="134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0"/>
      <c r="BH131" s="160"/>
      <c r="BI131" s="134"/>
      <c r="BJ131" s="134"/>
      <c r="BK131" s="134"/>
      <c r="BL131" s="920"/>
      <c r="BM131" s="133"/>
      <c r="BN131" s="133"/>
      <c r="BO131" s="133"/>
      <c r="BP131" s="133"/>
      <c r="BQ131" s="133"/>
      <c r="BR131" s="133"/>
    </row>
    <row r="132" spans="1:70" s="14" customFormat="1" ht="21.95" customHeight="1" x14ac:dyDescent="0.15">
      <c r="A132" s="2635"/>
      <c r="B132" s="2606"/>
      <c r="C132" s="187" t="s">
        <v>16</v>
      </c>
      <c r="D132" s="134"/>
      <c r="E132" s="134"/>
      <c r="F132" s="134"/>
      <c r="G132" s="134"/>
      <c r="H132" s="134"/>
      <c r="I132" s="134"/>
      <c r="J132" s="134"/>
      <c r="K132" s="134"/>
      <c r="L132" s="2406"/>
      <c r="M132" s="134"/>
      <c r="N132" s="134"/>
      <c r="O132" s="134"/>
      <c r="P132" s="134"/>
      <c r="Q132" s="134"/>
      <c r="R132" s="134"/>
      <c r="S132" s="134"/>
      <c r="T132" s="134"/>
      <c r="U132" s="134"/>
      <c r="V132" s="2406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2406"/>
      <c r="AQ132" s="134"/>
      <c r="AR132" s="134"/>
      <c r="AS132" s="134"/>
      <c r="AT132" s="134"/>
      <c r="AU132" s="134"/>
      <c r="AV132" s="134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34"/>
      <c r="BJ132" s="134"/>
      <c r="BK132" s="134"/>
      <c r="BL132" s="920"/>
      <c r="BM132" s="133"/>
      <c r="BN132" s="133"/>
      <c r="BO132" s="133"/>
      <c r="BP132" s="133"/>
      <c r="BQ132" s="133"/>
      <c r="BR132" s="133"/>
    </row>
    <row r="133" spans="1:70" s="14" customFormat="1" ht="21.95" customHeight="1" x14ac:dyDescent="0.15">
      <c r="A133" s="2635"/>
      <c r="B133" s="2631" t="s">
        <v>320</v>
      </c>
      <c r="C133" s="187" t="s">
        <v>58</v>
      </c>
      <c r="D133" s="227"/>
      <c r="E133" s="227"/>
      <c r="F133" s="227"/>
      <c r="G133" s="227"/>
      <c r="H133" s="227"/>
      <c r="I133" s="227"/>
      <c r="J133" s="227"/>
      <c r="K133" s="227"/>
      <c r="L133" s="2410"/>
      <c r="M133" s="227"/>
      <c r="N133" s="227"/>
      <c r="O133" s="227"/>
      <c r="P133" s="227"/>
      <c r="Q133" s="227"/>
      <c r="R133" s="227"/>
      <c r="S133" s="227"/>
      <c r="T133" s="227"/>
      <c r="U133" s="227"/>
      <c r="V133" s="2410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410"/>
      <c r="AQ133" s="227"/>
      <c r="AR133" s="227"/>
      <c r="AS133" s="227"/>
      <c r="AT133" s="227"/>
      <c r="AU133" s="227"/>
      <c r="AV133" s="227"/>
      <c r="AW133" s="339"/>
      <c r="AX133" s="339"/>
      <c r="AY133" s="339"/>
      <c r="AZ133" s="339"/>
      <c r="BA133" s="339"/>
      <c r="BB133" s="339"/>
      <c r="BC133" s="339"/>
      <c r="BD133" s="339"/>
      <c r="BE133" s="339"/>
      <c r="BF133" s="339"/>
      <c r="BG133" s="339"/>
      <c r="BH133" s="339"/>
      <c r="BI133" s="227"/>
      <c r="BJ133" s="227"/>
      <c r="BK133" s="227"/>
      <c r="BL133" s="920"/>
      <c r="BM133" s="133"/>
      <c r="BN133" s="133"/>
      <c r="BO133" s="133"/>
      <c r="BP133" s="133"/>
      <c r="BQ133" s="133"/>
      <c r="BR133" s="133"/>
    </row>
    <row r="134" spans="1:70" s="14" customFormat="1" ht="21.95" customHeight="1" x14ac:dyDescent="0.15">
      <c r="A134" s="2635"/>
      <c r="B134" s="2606"/>
      <c r="C134" s="187" t="s">
        <v>3</v>
      </c>
      <c r="D134" s="134"/>
      <c r="E134" s="134"/>
      <c r="F134" s="134"/>
      <c r="G134" s="134"/>
      <c r="H134" s="134"/>
      <c r="I134" s="134"/>
      <c r="J134" s="134"/>
      <c r="K134" s="134"/>
      <c r="L134" s="2406"/>
      <c r="M134" s="134"/>
      <c r="N134" s="134"/>
      <c r="O134" s="134"/>
      <c r="P134" s="134"/>
      <c r="Q134" s="134"/>
      <c r="R134" s="134"/>
      <c r="S134" s="134"/>
      <c r="T134" s="134"/>
      <c r="U134" s="134"/>
      <c r="V134" s="2406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2406"/>
      <c r="AQ134" s="134"/>
      <c r="AR134" s="134"/>
      <c r="AS134" s="134"/>
      <c r="AT134" s="134"/>
      <c r="AU134" s="134"/>
      <c r="AV134" s="134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34"/>
      <c r="BJ134" s="134"/>
      <c r="BK134" s="134"/>
      <c r="BL134" s="920"/>
      <c r="BM134" s="133"/>
      <c r="BN134" s="133"/>
      <c r="BO134" s="133"/>
      <c r="BP134" s="133"/>
      <c r="BQ134" s="133"/>
      <c r="BR134" s="133"/>
    </row>
    <row r="135" spans="1:70" s="14" customFormat="1" ht="21.95" customHeight="1" x14ac:dyDescent="0.15">
      <c r="A135" s="2635"/>
      <c r="B135" s="2606"/>
      <c r="C135" s="187" t="s">
        <v>16</v>
      </c>
      <c r="D135" s="19"/>
      <c r="E135" s="19"/>
      <c r="F135" s="19"/>
      <c r="G135" s="19"/>
      <c r="H135" s="19"/>
      <c r="I135" s="19"/>
      <c r="J135" s="19"/>
      <c r="K135" s="19"/>
      <c r="L135" s="2412"/>
      <c r="M135" s="19"/>
      <c r="N135" s="19"/>
      <c r="O135" s="19"/>
      <c r="P135" s="19"/>
      <c r="Q135" s="19"/>
      <c r="R135" s="19"/>
      <c r="S135" s="19"/>
      <c r="T135" s="19"/>
      <c r="U135" s="19"/>
      <c r="V135" s="2412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2412"/>
      <c r="AQ135" s="19"/>
      <c r="AR135" s="19"/>
      <c r="AS135" s="19"/>
      <c r="AT135" s="19"/>
      <c r="AU135" s="19"/>
      <c r="AV135" s="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19"/>
      <c r="BJ135" s="19"/>
      <c r="BK135" s="19"/>
      <c r="BL135" s="920"/>
      <c r="BM135" s="133"/>
      <c r="BN135" s="133"/>
      <c r="BO135" s="133"/>
      <c r="BP135" s="133"/>
      <c r="BQ135" s="133"/>
      <c r="BR135" s="133"/>
    </row>
    <row r="136" spans="1:70" s="14" customFormat="1" ht="21.95" customHeight="1" x14ac:dyDescent="0.15">
      <c r="A136" s="2635"/>
      <c r="B136" s="2631" t="s">
        <v>321</v>
      </c>
      <c r="C136" s="187" t="s">
        <v>58</v>
      </c>
      <c r="D136" s="227"/>
      <c r="E136" s="227"/>
      <c r="F136" s="227"/>
      <c r="G136" s="227"/>
      <c r="H136" s="227"/>
      <c r="I136" s="227"/>
      <c r="J136" s="227"/>
      <c r="K136" s="227"/>
      <c r="L136" s="2410"/>
      <c r="M136" s="227"/>
      <c r="N136" s="227"/>
      <c r="O136" s="227"/>
      <c r="P136" s="227"/>
      <c r="Q136" s="227"/>
      <c r="R136" s="227"/>
      <c r="S136" s="227"/>
      <c r="T136" s="227"/>
      <c r="U136" s="227"/>
      <c r="V136" s="2410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410"/>
      <c r="AQ136" s="227"/>
      <c r="AR136" s="227"/>
      <c r="AS136" s="227"/>
      <c r="AT136" s="227"/>
      <c r="AU136" s="227"/>
      <c r="AV136" s="227"/>
      <c r="AW136" s="339"/>
      <c r="AX136" s="339"/>
      <c r="AY136" s="339"/>
      <c r="AZ136" s="339"/>
      <c r="BA136" s="339"/>
      <c r="BB136" s="339"/>
      <c r="BC136" s="339"/>
      <c r="BD136" s="339"/>
      <c r="BE136" s="339"/>
      <c r="BF136" s="339"/>
      <c r="BG136" s="339"/>
      <c r="BH136" s="339"/>
      <c r="BI136" s="227"/>
      <c r="BJ136" s="227"/>
      <c r="BK136" s="227"/>
      <c r="BL136" s="920"/>
      <c r="BM136" s="133"/>
      <c r="BN136" s="133"/>
      <c r="BO136" s="133"/>
      <c r="BP136" s="133"/>
      <c r="BQ136" s="133"/>
      <c r="BR136" s="133"/>
    </row>
    <row r="137" spans="1:70" s="14" customFormat="1" ht="21.95" customHeight="1" x14ac:dyDescent="0.15">
      <c r="A137" s="2635"/>
      <c r="B137" s="2606"/>
      <c r="C137" s="187" t="s">
        <v>3</v>
      </c>
      <c r="D137" s="134"/>
      <c r="E137" s="134"/>
      <c r="F137" s="134"/>
      <c r="G137" s="134"/>
      <c r="H137" s="134"/>
      <c r="I137" s="134"/>
      <c r="J137" s="134"/>
      <c r="K137" s="134"/>
      <c r="L137" s="2406"/>
      <c r="M137" s="134"/>
      <c r="N137" s="134"/>
      <c r="O137" s="134"/>
      <c r="P137" s="134"/>
      <c r="Q137" s="134"/>
      <c r="R137" s="134"/>
      <c r="S137" s="134"/>
      <c r="T137" s="134"/>
      <c r="U137" s="134"/>
      <c r="V137" s="2406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2406"/>
      <c r="AQ137" s="134"/>
      <c r="AR137" s="134"/>
      <c r="AS137" s="134"/>
      <c r="AT137" s="134"/>
      <c r="AU137" s="134"/>
      <c r="AV137" s="134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34"/>
      <c r="BJ137" s="134"/>
      <c r="BK137" s="134"/>
      <c r="BL137" s="920"/>
      <c r="BM137" s="133"/>
      <c r="BN137" s="133"/>
      <c r="BO137" s="133"/>
      <c r="BP137" s="133"/>
      <c r="BQ137" s="133"/>
      <c r="BR137" s="133"/>
    </row>
    <row r="138" spans="1:70" s="14" customFormat="1" ht="21.95" customHeight="1" x14ac:dyDescent="0.15">
      <c r="A138" s="2635"/>
      <c r="B138" s="2632"/>
      <c r="C138" s="187" t="s">
        <v>16</v>
      </c>
      <c r="D138" s="19"/>
      <c r="E138" s="19"/>
      <c r="F138" s="19"/>
      <c r="G138" s="19"/>
      <c r="H138" s="19"/>
      <c r="I138" s="19"/>
      <c r="J138" s="19"/>
      <c r="K138" s="19"/>
      <c r="L138" s="2412"/>
      <c r="M138" s="19"/>
      <c r="N138" s="19"/>
      <c r="O138" s="19"/>
      <c r="P138" s="19"/>
      <c r="Q138" s="19"/>
      <c r="R138" s="19"/>
      <c r="S138" s="19"/>
      <c r="T138" s="19"/>
      <c r="U138" s="19"/>
      <c r="V138" s="2412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2412"/>
      <c r="AQ138" s="19"/>
      <c r="AR138" s="19"/>
      <c r="AS138" s="19"/>
      <c r="AT138" s="19"/>
      <c r="AU138" s="19"/>
      <c r="AV138" s="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19"/>
      <c r="BJ138" s="19"/>
      <c r="BK138" s="19"/>
      <c r="BL138" s="920"/>
      <c r="BM138" s="133"/>
      <c r="BN138" s="133"/>
      <c r="BO138" s="133"/>
      <c r="BP138" s="133"/>
      <c r="BQ138" s="133"/>
      <c r="BR138" s="133"/>
    </row>
    <row r="139" spans="1:70" s="14" customFormat="1" ht="21.95" customHeight="1" x14ac:dyDescent="0.15">
      <c r="A139" s="2635"/>
      <c r="B139" s="2620" t="s">
        <v>1664</v>
      </c>
      <c r="C139" s="2621"/>
      <c r="D139" s="134"/>
      <c r="E139" s="134"/>
      <c r="F139" s="134"/>
      <c r="G139" s="134"/>
      <c r="H139" s="134"/>
      <c r="I139" s="134"/>
      <c r="J139" s="134"/>
      <c r="K139" s="134"/>
      <c r="L139" s="2406"/>
      <c r="M139" s="134"/>
      <c r="N139" s="134"/>
      <c r="O139" s="134"/>
      <c r="P139" s="134"/>
      <c r="Q139" s="134"/>
      <c r="R139" s="134"/>
      <c r="S139" s="134"/>
      <c r="T139" s="134"/>
      <c r="U139" s="134"/>
      <c r="V139" s="2406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2406"/>
      <c r="AQ139" s="134"/>
      <c r="AR139" s="134"/>
      <c r="AS139" s="134"/>
      <c r="AT139" s="134"/>
      <c r="AU139" s="134"/>
      <c r="AV139" s="134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34"/>
      <c r="BJ139" s="134"/>
      <c r="BK139" s="134"/>
      <c r="BL139" s="920"/>
      <c r="BM139" s="133"/>
      <c r="BN139" s="133"/>
      <c r="BO139" s="133"/>
      <c r="BP139" s="133"/>
      <c r="BQ139" s="133"/>
      <c r="BR139" s="133"/>
    </row>
    <row r="140" spans="1:70" s="14" customFormat="1" ht="21.95" customHeight="1" x14ac:dyDescent="0.15">
      <c r="A140" s="2635"/>
      <c r="B140" s="2620" t="s">
        <v>1665</v>
      </c>
      <c r="C140" s="2621"/>
      <c r="D140" s="134"/>
      <c r="E140" s="134"/>
      <c r="F140" s="134"/>
      <c r="G140" s="134"/>
      <c r="H140" s="134"/>
      <c r="I140" s="134"/>
      <c r="J140" s="134"/>
      <c r="K140" s="134"/>
      <c r="L140" s="2406"/>
      <c r="M140" s="134"/>
      <c r="N140" s="134"/>
      <c r="O140" s="134"/>
      <c r="P140" s="134"/>
      <c r="Q140" s="134"/>
      <c r="R140" s="134"/>
      <c r="S140" s="134"/>
      <c r="T140" s="134"/>
      <c r="U140" s="134"/>
      <c r="V140" s="2406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2406"/>
      <c r="AQ140" s="134"/>
      <c r="AR140" s="134"/>
      <c r="AS140" s="134"/>
      <c r="AT140" s="134"/>
      <c r="AU140" s="134"/>
      <c r="AV140" s="134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34"/>
      <c r="BJ140" s="134"/>
      <c r="BK140" s="134"/>
      <c r="BL140" s="920"/>
      <c r="BM140" s="133"/>
      <c r="BN140" s="133"/>
      <c r="BO140" s="133"/>
      <c r="BP140" s="133"/>
      <c r="BQ140" s="133"/>
      <c r="BR140" s="133"/>
    </row>
    <row r="141" spans="1:70" s="14" customFormat="1" ht="21.95" customHeight="1" x14ac:dyDescent="0.15">
      <c r="A141" s="2635"/>
      <c r="B141" s="2631" t="s">
        <v>626</v>
      </c>
      <c r="C141" s="347" t="s">
        <v>627</v>
      </c>
      <c r="D141" s="227"/>
      <c r="E141" s="227"/>
      <c r="F141" s="227"/>
      <c r="G141" s="227">
        <v>24.93</v>
      </c>
      <c r="H141" s="227"/>
      <c r="I141" s="227"/>
      <c r="J141" s="227"/>
      <c r="K141" s="227"/>
      <c r="L141" s="2410"/>
      <c r="M141" s="227"/>
      <c r="N141" s="227"/>
      <c r="O141" s="227"/>
      <c r="P141" s="227"/>
      <c r="Q141" s="227"/>
      <c r="R141" s="227"/>
      <c r="S141" s="227"/>
      <c r="T141" s="227"/>
      <c r="U141" s="227"/>
      <c r="V141" s="2410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410"/>
      <c r="AQ141" s="227"/>
      <c r="AR141" s="227"/>
      <c r="AS141" s="227"/>
      <c r="AT141" s="227"/>
      <c r="AU141" s="227"/>
      <c r="AV141" s="227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160"/>
      <c r="BH141" s="160"/>
      <c r="BI141" s="134"/>
      <c r="BJ141" s="134"/>
      <c r="BK141" s="134"/>
      <c r="BL141" s="920"/>
      <c r="BM141" s="133"/>
      <c r="BN141" s="133"/>
      <c r="BO141" s="133"/>
      <c r="BP141" s="133"/>
      <c r="BQ141" s="133"/>
      <c r="BR141" s="133"/>
    </row>
    <row r="142" spans="1:70" s="14" customFormat="1" ht="21.95" customHeight="1" x14ac:dyDescent="0.15">
      <c r="A142" s="2635"/>
      <c r="B142" s="2632"/>
      <c r="C142" s="347" t="s">
        <v>628</v>
      </c>
      <c r="D142" s="19"/>
      <c r="E142" s="19"/>
      <c r="F142" s="19"/>
      <c r="G142" s="19"/>
      <c r="H142" s="19"/>
      <c r="I142" s="19"/>
      <c r="J142" s="19"/>
      <c r="K142" s="19"/>
      <c r="L142" s="2412"/>
      <c r="M142" s="19"/>
      <c r="N142" s="19"/>
      <c r="O142" s="19"/>
      <c r="P142" s="19"/>
      <c r="Q142" s="19"/>
      <c r="R142" s="19"/>
      <c r="S142" s="19"/>
      <c r="T142" s="19"/>
      <c r="U142" s="19"/>
      <c r="V142" s="2412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2412"/>
      <c r="AQ142" s="19"/>
      <c r="AR142" s="19"/>
      <c r="AS142" s="19"/>
      <c r="AT142" s="19"/>
      <c r="AU142" s="19"/>
      <c r="AV142" s="19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34"/>
      <c r="BJ142" s="134"/>
      <c r="BK142" s="134"/>
      <c r="BL142" s="920"/>
      <c r="BM142" s="133"/>
      <c r="BN142" s="133"/>
      <c r="BO142" s="133"/>
      <c r="BP142" s="133"/>
      <c r="BQ142" s="133"/>
      <c r="BR142" s="133"/>
    </row>
    <row r="143" spans="1:70" ht="21.95" customHeight="1" x14ac:dyDescent="0.15">
      <c r="A143" s="2635"/>
      <c r="B143" s="2631" t="s">
        <v>897</v>
      </c>
      <c r="C143" s="187" t="s">
        <v>1093</v>
      </c>
      <c r="D143" s="570"/>
      <c r="E143" s="570">
        <f t="shared" ref="E143:AU143" si="67">IF(E$14="ROCHA",0,IF(E$13=2,E$37,0))</f>
        <v>0</v>
      </c>
      <c r="F143" s="570">
        <f t="shared" si="67"/>
        <v>0</v>
      </c>
      <c r="G143" s="570">
        <f t="shared" si="67"/>
        <v>0</v>
      </c>
      <c r="H143" s="570"/>
      <c r="I143" s="570"/>
      <c r="J143" s="570"/>
      <c r="K143" s="570"/>
      <c r="L143" s="2406"/>
      <c r="M143" s="570">
        <f t="shared" si="67"/>
        <v>0</v>
      </c>
      <c r="N143" s="570">
        <f t="shared" si="67"/>
        <v>0</v>
      </c>
      <c r="O143" s="570">
        <f t="shared" si="67"/>
        <v>0</v>
      </c>
      <c r="P143" s="570">
        <f t="shared" si="67"/>
        <v>0</v>
      </c>
      <c r="Q143" s="570">
        <f t="shared" si="67"/>
        <v>0</v>
      </c>
      <c r="R143" s="570">
        <f t="shared" si="67"/>
        <v>0</v>
      </c>
      <c r="S143" s="570">
        <f t="shared" si="67"/>
        <v>0</v>
      </c>
      <c r="T143" s="570">
        <f t="shared" si="67"/>
        <v>0</v>
      </c>
      <c r="U143" s="570"/>
      <c r="V143" s="2406"/>
      <c r="W143" s="570">
        <f t="shared" si="67"/>
        <v>0</v>
      </c>
      <c r="X143" s="570">
        <f t="shared" si="67"/>
        <v>0</v>
      </c>
      <c r="Y143" s="570">
        <f t="shared" si="67"/>
        <v>0</v>
      </c>
      <c r="Z143" s="570">
        <f t="shared" si="67"/>
        <v>0</v>
      </c>
      <c r="AA143" s="570">
        <f t="shared" si="67"/>
        <v>0</v>
      </c>
      <c r="AB143" s="570">
        <f t="shared" si="67"/>
        <v>0</v>
      </c>
      <c r="AC143" s="570">
        <f t="shared" si="67"/>
        <v>0</v>
      </c>
      <c r="AD143" s="570">
        <f t="shared" si="67"/>
        <v>0</v>
      </c>
      <c r="AE143" s="570">
        <f t="shared" si="67"/>
        <v>0</v>
      </c>
      <c r="AF143" s="570">
        <f t="shared" si="67"/>
        <v>0</v>
      </c>
      <c r="AG143" s="570"/>
      <c r="AH143" s="570"/>
      <c r="AI143" s="570"/>
      <c r="AJ143" s="570"/>
      <c r="AK143" s="570"/>
      <c r="AL143" s="570"/>
      <c r="AM143" s="570"/>
      <c r="AN143" s="570"/>
      <c r="AO143" s="570"/>
      <c r="AP143" s="2406"/>
      <c r="AQ143" s="570">
        <f t="shared" si="67"/>
        <v>0</v>
      </c>
      <c r="AR143" s="570">
        <f t="shared" si="67"/>
        <v>0</v>
      </c>
      <c r="AS143" s="570">
        <f t="shared" si="67"/>
        <v>0</v>
      </c>
      <c r="AT143" s="570">
        <f t="shared" si="67"/>
        <v>0</v>
      </c>
      <c r="AU143" s="570">
        <f t="shared" si="67"/>
        <v>0</v>
      </c>
      <c r="AV143" s="570"/>
      <c r="AW143" s="571">
        <f>SUM(D143:AV143)</f>
        <v>0</v>
      </c>
      <c r="AX143" s="339"/>
      <c r="AY143" s="339"/>
      <c r="AZ143" s="339"/>
      <c r="BA143" s="339"/>
      <c r="BB143" s="339"/>
      <c r="BC143" s="339"/>
      <c r="BD143" s="339"/>
      <c r="BE143" s="339"/>
      <c r="BF143" s="339"/>
      <c r="BG143" s="339"/>
      <c r="BH143" s="339"/>
      <c r="BI143" s="334"/>
      <c r="BJ143" s="334"/>
      <c r="BK143" s="334"/>
    </row>
    <row r="144" spans="1:70" ht="21.95" customHeight="1" x14ac:dyDescent="0.15">
      <c r="A144" s="2635"/>
      <c r="B144" s="2606"/>
      <c r="C144" s="187" t="s">
        <v>1094</v>
      </c>
      <c r="D144" s="572"/>
      <c r="E144" s="572">
        <f t="shared" ref="E144:AU144" si="68">IF(E$14="ROCHA",0,IF(E$13=1,E$37,0))</f>
        <v>20</v>
      </c>
      <c r="F144" s="572">
        <f t="shared" si="68"/>
        <v>21</v>
      </c>
      <c r="G144" s="572">
        <f t="shared" si="68"/>
        <v>7</v>
      </c>
      <c r="H144" s="572"/>
      <c r="I144" s="572"/>
      <c r="J144" s="572"/>
      <c r="K144" s="572"/>
      <c r="L144" s="2412"/>
      <c r="M144" s="572">
        <f t="shared" si="68"/>
        <v>48</v>
      </c>
      <c r="N144" s="572">
        <f t="shared" si="68"/>
        <v>83</v>
      </c>
      <c r="O144" s="572">
        <f t="shared" si="68"/>
        <v>10</v>
      </c>
      <c r="P144" s="572">
        <f t="shared" si="68"/>
        <v>22</v>
      </c>
      <c r="Q144" s="572">
        <f t="shared" si="68"/>
        <v>22</v>
      </c>
      <c r="R144" s="572">
        <f t="shared" si="68"/>
        <v>38</v>
      </c>
      <c r="S144" s="572">
        <f t="shared" si="68"/>
        <v>22</v>
      </c>
      <c r="T144" s="572">
        <f t="shared" si="68"/>
        <v>22</v>
      </c>
      <c r="U144" s="572"/>
      <c r="V144" s="2412"/>
      <c r="W144" s="572">
        <f t="shared" si="68"/>
        <v>45</v>
      </c>
      <c r="X144" s="572">
        <f t="shared" si="68"/>
        <v>19</v>
      </c>
      <c r="Y144" s="572">
        <f t="shared" si="68"/>
        <v>3</v>
      </c>
      <c r="Z144" s="572">
        <f t="shared" si="68"/>
        <v>20</v>
      </c>
      <c r="AA144" s="572">
        <f t="shared" si="68"/>
        <v>10</v>
      </c>
      <c r="AB144" s="572">
        <f t="shared" si="68"/>
        <v>46</v>
      </c>
      <c r="AC144" s="572">
        <f t="shared" si="68"/>
        <v>46</v>
      </c>
      <c r="AD144" s="572">
        <f t="shared" si="68"/>
        <v>25</v>
      </c>
      <c r="AE144" s="572">
        <f t="shared" si="68"/>
        <v>3</v>
      </c>
      <c r="AF144" s="572">
        <f t="shared" si="68"/>
        <v>3</v>
      </c>
      <c r="AG144" s="572"/>
      <c r="AH144" s="572"/>
      <c r="AI144" s="572"/>
      <c r="AJ144" s="572"/>
      <c r="AK144" s="572"/>
      <c r="AL144" s="572"/>
      <c r="AM144" s="572"/>
      <c r="AN144" s="572"/>
      <c r="AO144" s="572"/>
      <c r="AP144" s="2412"/>
      <c r="AQ144" s="572">
        <f t="shared" si="68"/>
        <v>50</v>
      </c>
      <c r="AR144" s="572">
        <f t="shared" si="68"/>
        <v>48</v>
      </c>
      <c r="AS144" s="572">
        <f t="shared" si="68"/>
        <v>48</v>
      </c>
      <c r="AT144" s="572">
        <f t="shared" si="68"/>
        <v>38</v>
      </c>
      <c r="AU144" s="572">
        <f t="shared" si="68"/>
        <v>83</v>
      </c>
      <c r="AV144" s="572"/>
      <c r="AW144" s="160"/>
      <c r="AX144" s="923">
        <f>SUM(D144:AV144)</f>
        <v>802</v>
      </c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1"/>
      <c r="BJ144" s="11"/>
      <c r="BK144" s="11"/>
    </row>
    <row r="145" spans="1:70" ht="21.95" customHeight="1" x14ac:dyDescent="0.15">
      <c r="A145" s="2635"/>
      <c r="B145" s="2606"/>
      <c r="C145" s="187" t="s">
        <v>1095</v>
      </c>
      <c r="D145" s="570"/>
      <c r="E145" s="570">
        <f t="shared" ref="E145:AU145" si="69">IF(E$14="ROCHA",0,IF(E$13=2,E$38,0))</f>
        <v>0</v>
      </c>
      <c r="F145" s="570">
        <f t="shared" si="69"/>
        <v>0</v>
      </c>
      <c r="G145" s="570">
        <f t="shared" si="69"/>
        <v>0</v>
      </c>
      <c r="H145" s="570"/>
      <c r="I145" s="570"/>
      <c r="J145" s="570"/>
      <c r="K145" s="570"/>
      <c r="L145" s="2406"/>
      <c r="M145" s="570">
        <f t="shared" si="69"/>
        <v>0</v>
      </c>
      <c r="N145" s="570">
        <f t="shared" si="69"/>
        <v>0</v>
      </c>
      <c r="O145" s="570">
        <f t="shared" si="69"/>
        <v>0</v>
      </c>
      <c r="P145" s="570">
        <f t="shared" si="69"/>
        <v>0</v>
      </c>
      <c r="Q145" s="570">
        <f t="shared" si="69"/>
        <v>0</v>
      </c>
      <c r="R145" s="570">
        <f t="shared" si="69"/>
        <v>0</v>
      </c>
      <c r="S145" s="570">
        <f t="shared" si="69"/>
        <v>0</v>
      </c>
      <c r="T145" s="570">
        <f t="shared" si="69"/>
        <v>0</v>
      </c>
      <c r="U145" s="570"/>
      <c r="V145" s="2406"/>
      <c r="W145" s="570">
        <f t="shared" si="69"/>
        <v>0</v>
      </c>
      <c r="X145" s="570">
        <f t="shared" si="69"/>
        <v>0</v>
      </c>
      <c r="Y145" s="570">
        <f t="shared" si="69"/>
        <v>0</v>
      </c>
      <c r="Z145" s="570">
        <f t="shared" si="69"/>
        <v>0</v>
      </c>
      <c r="AA145" s="570">
        <f t="shared" si="69"/>
        <v>0</v>
      </c>
      <c r="AB145" s="570">
        <f t="shared" si="69"/>
        <v>0</v>
      </c>
      <c r="AC145" s="570">
        <f t="shared" si="69"/>
        <v>0</v>
      </c>
      <c r="AD145" s="570">
        <f t="shared" si="69"/>
        <v>0</v>
      </c>
      <c r="AE145" s="570">
        <f t="shared" si="69"/>
        <v>0</v>
      </c>
      <c r="AF145" s="570">
        <f t="shared" si="69"/>
        <v>0</v>
      </c>
      <c r="AG145" s="570"/>
      <c r="AH145" s="570"/>
      <c r="AI145" s="570"/>
      <c r="AJ145" s="570"/>
      <c r="AK145" s="570"/>
      <c r="AL145" s="570"/>
      <c r="AM145" s="570"/>
      <c r="AN145" s="570"/>
      <c r="AO145" s="570"/>
      <c r="AP145" s="2406"/>
      <c r="AQ145" s="570">
        <f t="shared" si="69"/>
        <v>0</v>
      </c>
      <c r="AR145" s="570">
        <f t="shared" si="69"/>
        <v>0</v>
      </c>
      <c r="AS145" s="570">
        <f t="shared" si="69"/>
        <v>0</v>
      </c>
      <c r="AT145" s="570">
        <f t="shared" si="69"/>
        <v>0</v>
      </c>
      <c r="AU145" s="570">
        <f t="shared" si="69"/>
        <v>0</v>
      </c>
      <c r="AV145" s="570"/>
      <c r="AW145" s="160"/>
      <c r="AX145" s="160"/>
      <c r="AY145" s="923">
        <f>SUM(D145:AV145)</f>
        <v>0</v>
      </c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1"/>
      <c r="BJ145" s="11"/>
      <c r="BK145" s="11"/>
    </row>
    <row r="146" spans="1:70" ht="21.95" customHeight="1" x14ac:dyDescent="0.15">
      <c r="A146" s="2635"/>
      <c r="B146" s="2606"/>
      <c r="C146" s="187" t="s">
        <v>1096</v>
      </c>
      <c r="D146" s="572"/>
      <c r="E146" s="572">
        <f t="shared" ref="E146:AU146" si="70">IF(E$14="ROCHA",0,IF(E$13=1,E$38,0))</f>
        <v>0</v>
      </c>
      <c r="F146" s="572">
        <f t="shared" si="70"/>
        <v>0</v>
      </c>
      <c r="G146" s="572">
        <f t="shared" si="70"/>
        <v>0</v>
      </c>
      <c r="H146" s="572"/>
      <c r="I146" s="572"/>
      <c r="J146" s="572"/>
      <c r="K146" s="572"/>
      <c r="L146" s="2412"/>
      <c r="M146" s="572">
        <f t="shared" si="70"/>
        <v>0</v>
      </c>
      <c r="N146" s="572">
        <f t="shared" si="70"/>
        <v>0</v>
      </c>
      <c r="O146" s="572">
        <f t="shared" si="70"/>
        <v>0</v>
      </c>
      <c r="P146" s="572">
        <f t="shared" si="70"/>
        <v>0</v>
      </c>
      <c r="Q146" s="572">
        <f t="shared" si="70"/>
        <v>0</v>
      </c>
      <c r="R146" s="572">
        <f t="shared" si="70"/>
        <v>0</v>
      </c>
      <c r="S146" s="572">
        <f t="shared" si="70"/>
        <v>0</v>
      </c>
      <c r="T146" s="572">
        <f t="shared" si="70"/>
        <v>0</v>
      </c>
      <c r="U146" s="572"/>
      <c r="V146" s="2412"/>
      <c r="W146" s="572">
        <f t="shared" si="70"/>
        <v>20</v>
      </c>
      <c r="X146" s="572">
        <f t="shared" si="70"/>
        <v>0</v>
      </c>
      <c r="Y146" s="572">
        <f t="shared" si="70"/>
        <v>0</v>
      </c>
      <c r="Z146" s="572">
        <f t="shared" si="70"/>
        <v>0</v>
      </c>
      <c r="AA146" s="572">
        <f t="shared" si="70"/>
        <v>0</v>
      </c>
      <c r="AB146" s="572">
        <f t="shared" si="70"/>
        <v>0</v>
      </c>
      <c r="AC146" s="572">
        <f t="shared" si="70"/>
        <v>19</v>
      </c>
      <c r="AD146" s="572">
        <f t="shared" si="70"/>
        <v>27</v>
      </c>
      <c r="AE146" s="572">
        <f t="shared" si="70"/>
        <v>0</v>
      </c>
      <c r="AF146" s="572">
        <f t="shared" si="70"/>
        <v>0</v>
      </c>
      <c r="AG146" s="572"/>
      <c r="AH146" s="572"/>
      <c r="AI146" s="572"/>
      <c r="AJ146" s="572"/>
      <c r="AK146" s="572"/>
      <c r="AL146" s="572"/>
      <c r="AM146" s="572"/>
      <c r="AN146" s="572"/>
      <c r="AO146" s="572"/>
      <c r="AP146" s="2412"/>
      <c r="AQ146" s="572">
        <f t="shared" si="70"/>
        <v>0</v>
      </c>
      <c r="AR146" s="572">
        <f t="shared" si="70"/>
        <v>0</v>
      </c>
      <c r="AS146" s="572">
        <f t="shared" si="70"/>
        <v>0</v>
      </c>
      <c r="AT146" s="572">
        <f t="shared" si="70"/>
        <v>0</v>
      </c>
      <c r="AU146" s="572">
        <f t="shared" si="70"/>
        <v>0</v>
      </c>
      <c r="AV146" s="572"/>
      <c r="AW146" s="160"/>
      <c r="AX146" s="160"/>
      <c r="AY146" s="160"/>
      <c r="AZ146" s="923">
        <f>SUM(D146:AV146)</f>
        <v>66</v>
      </c>
      <c r="BA146" s="160"/>
      <c r="BB146" s="160"/>
      <c r="BC146" s="160"/>
      <c r="BD146" s="160"/>
      <c r="BE146" s="160"/>
      <c r="BF146" s="160"/>
      <c r="BG146" s="160"/>
      <c r="BH146" s="160"/>
      <c r="BI146" s="11"/>
      <c r="BJ146" s="11"/>
      <c r="BK146" s="11"/>
    </row>
    <row r="147" spans="1:70" s="14" customFormat="1" ht="21.95" customHeight="1" x14ac:dyDescent="0.15">
      <c r="A147" s="2635"/>
      <c r="B147" s="2606"/>
      <c r="C147" s="187" t="s">
        <v>710</v>
      </c>
      <c r="D147" s="795"/>
      <c r="E147" s="795">
        <f t="shared" ref="E147" si="71">IF(E14="ROCHA",E37,0)</f>
        <v>0</v>
      </c>
      <c r="F147" s="795">
        <f t="shared" ref="F147:AF147" si="72">IF(F14="ROCHA",F37,0)</f>
        <v>0</v>
      </c>
      <c r="G147" s="795">
        <f t="shared" si="72"/>
        <v>0</v>
      </c>
      <c r="H147" s="795"/>
      <c r="I147" s="795"/>
      <c r="J147" s="795"/>
      <c r="K147" s="795"/>
      <c r="L147" s="2406"/>
      <c r="M147" s="795">
        <f t="shared" si="72"/>
        <v>0</v>
      </c>
      <c r="N147" s="795">
        <f t="shared" si="72"/>
        <v>0</v>
      </c>
      <c r="O147" s="795">
        <f t="shared" si="72"/>
        <v>0</v>
      </c>
      <c r="P147" s="795">
        <f t="shared" si="72"/>
        <v>0</v>
      </c>
      <c r="Q147" s="795">
        <f t="shared" si="72"/>
        <v>0</v>
      </c>
      <c r="R147" s="795">
        <f t="shared" si="72"/>
        <v>0</v>
      </c>
      <c r="S147" s="795">
        <f t="shared" si="72"/>
        <v>0</v>
      </c>
      <c r="T147" s="795">
        <f t="shared" si="72"/>
        <v>0</v>
      </c>
      <c r="U147" s="795"/>
      <c r="V147" s="2406"/>
      <c r="W147" s="795">
        <f t="shared" si="72"/>
        <v>0</v>
      </c>
      <c r="X147" s="795">
        <f t="shared" si="72"/>
        <v>0</v>
      </c>
      <c r="Y147" s="795">
        <f t="shared" si="72"/>
        <v>0</v>
      </c>
      <c r="Z147" s="795">
        <f t="shared" si="72"/>
        <v>0</v>
      </c>
      <c r="AA147" s="795">
        <f t="shared" si="72"/>
        <v>0</v>
      </c>
      <c r="AB147" s="795">
        <f t="shared" si="72"/>
        <v>0</v>
      </c>
      <c r="AC147" s="795">
        <f t="shared" si="72"/>
        <v>0</v>
      </c>
      <c r="AD147" s="795">
        <f t="shared" si="72"/>
        <v>0</v>
      </c>
      <c r="AE147" s="795">
        <f t="shared" si="72"/>
        <v>0</v>
      </c>
      <c r="AF147" s="795">
        <f t="shared" si="72"/>
        <v>0</v>
      </c>
      <c r="AG147" s="795"/>
      <c r="AH147" s="795"/>
      <c r="AI147" s="795"/>
      <c r="AJ147" s="795"/>
      <c r="AK147" s="795"/>
      <c r="AL147" s="795"/>
      <c r="AM147" s="795"/>
      <c r="AN147" s="795"/>
      <c r="AO147" s="795"/>
      <c r="AP147" s="2406"/>
      <c r="AQ147" s="795">
        <f t="shared" ref="AQ147:AU147" si="73">IF(AQ14="ROCHA",AQ37,0)</f>
        <v>0</v>
      </c>
      <c r="AR147" s="795">
        <f t="shared" si="73"/>
        <v>0</v>
      </c>
      <c r="AS147" s="795">
        <f t="shared" si="73"/>
        <v>0</v>
      </c>
      <c r="AT147" s="795">
        <f t="shared" si="73"/>
        <v>0</v>
      </c>
      <c r="AU147" s="795">
        <f t="shared" si="73"/>
        <v>0</v>
      </c>
      <c r="AV147" s="795"/>
      <c r="AW147" s="160"/>
      <c r="AX147" s="160"/>
      <c r="AY147" s="160"/>
      <c r="AZ147" s="160"/>
      <c r="BA147" s="923">
        <f>SUM(D147:AV147)</f>
        <v>0</v>
      </c>
      <c r="BB147" s="160"/>
      <c r="BC147" s="160"/>
      <c r="BD147" s="160"/>
      <c r="BE147" s="160"/>
      <c r="BF147" s="160"/>
      <c r="BG147" s="160"/>
      <c r="BH147" s="160"/>
      <c r="BI147" s="11"/>
      <c r="BJ147" s="11"/>
      <c r="BK147" s="11"/>
      <c r="BL147" s="920"/>
      <c r="BM147" s="133"/>
      <c r="BN147" s="133"/>
      <c r="BO147" s="133"/>
      <c r="BP147" s="133"/>
      <c r="BQ147" s="133"/>
      <c r="BR147" s="133"/>
    </row>
    <row r="148" spans="1:70" s="14" customFormat="1" ht="21.95" customHeight="1" x14ac:dyDescent="0.15">
      <c r="A148" s="2635"/>
      <c r="B148" s="2632"/>
      <c r="C148" s="187" t="s">
        <v>711</v>
      </c>
      <c r="D148" s="796"/>
      <c r="E148" s="796">
        <f t="shared" ref="E148" si="74">IF(E14="ROCHA",E38,0)</f>
        <v>0</v>
      </c>
      <c r="F148" s="796">
        <f t="shared" ref="F148:AF148" si="75">IF(F14="ROCHA",F38,0)</f>
        <v>0</v>
      </c>
      <c r="G148" s="796">
        <f t="shared" si="75"/>
        <v>0</v>
      </c>
      <c r="H148" s="796"/>
      <c r="I148" s="796"/>
      <c r="J148" s="796"/>
      <c r="K148" s="796"/>
      <c r="L148" s="2412"/>
      <c r="M148" s="796">
        <f t="shared" si="75"/>
        <v>0</v>
      </c>
      <c r="N148" s="796">
        <f t="shared" si="75"/>
        <v>0</v>
      </c>
      <c r="O148" s="796">
        <f t="shared" si="75"/>
        <v>0</v>
      </c>
      <c r="P148" s="796">
        <f t="shared" si="75"/>
        <v>0</v>
      </c>
      <c r="Q148" s="796">
        <f t="shared" si="75"/>
        <v>0</v>
      </c>
      <c r="R148" s="796">
        <f t="shared" si="75"/>
        <v>0</v>
      </c>
      <c r="S148" s="796">
        <f t="shared" si="75"/>
        <v>0</v>
      </c>
      <c r="T148" s="796">
        <f t="shared" si="75"/>
        <v>0</v>
      </c>
      <c r="U148" s="796"/>
      <c r="V148" s="2412"/>
      <c r="W148" s="796">
        <f t="shared" si="75"/>
        <v>0</v>
      </c>
      <c r="X148" s="796">
        <f t="shared" si="75"/>
        <v>0</v>
      </c>
      <c r="Y148" s="796">
        <f t="shared" si="75"/>
        <v>0</v>
      </c>
      <c r="Z148" s="796">
        <f t="shared" si="75"/>
        <v>0</v>
      </c>
      <c r="AA148" s="796">
        <f t="shared" si="75"/>
        <v>0</v>
      </c>
      <c r="AB148" s="796">
        <f t="shared" si="75"/>
        <v>0</v>
      </c>
      <c r="AC148" s="796">
        <f t="shared" si="75"/>
        <v>0</v>
      </c>
      <c r="AD148" s="796">
        <f t="shared" si="75"/>
        <v>0</v>
      </c>
      <c r="AE148" s="796">
        <f t="shared" si="75"/>
        <v>0</v>
      </c>
      <c r="AF148" s="796">
        <f t="shared" si="75"/>
        <v>0</v>
      </c>
      <c r="AG148" s="796"/>
      <c r="AH148" s="796"/>
      <c r="AI148" s="796"/>
      <c r="AJ148" s="796"/>
      <c r="AK148" s="796"/>
      <c r="AL148" s="796"/>
      <c r="AM148" s="796"/>
      <c r="AN148" s="796"/>
      <c r="AO148" s="796"/>
      <c r="AP148" s="2412"/>
      <c r="AQ148" s="796">
        <f t="shared" ref="AQ148:AU148" si="76">IF(AQ14="ROCHA",AQ38,0)</f>
        <v>0</v>
      </c>
      <c r="AR148" s="796">
        <f t="shared" si="76"/>
        <v>0</v>
      </c>
      <c r="AS148" s="796">
        <f t="shared" si="76"/>
        <v>0</v>
      </c>
      <c r="AT148" s="796">
        <f t="shared" si="76"/>
        <v>0</v>
      </c>
      <c r="AU148" s="796">
        <f t="shared" si="76"/>
        <v>0</v>
      </c>
      <c r="AV148" s="796"/>
      <c r="AW148" s="160"/>
      <c r="AX148" s="160"/>
      <c r="AY148" s="160"/>
      <c r="AZ148" s="160"/>
      <c r="BA148" s="160"/>
      <c r="BB148" s="923">
        <f>SUM(D148:AV148)</f>
        <v>0</v>
      </c>
      <c r="BC148" s="160"/>
      <c r="BD148" s="160"/>
      <c r="BE148" s="160"/>
      <c r="BF148" s="160"/>
      <c r="BG148" s="160"/>
      <c r="BH148" s="160"/>
      <c r="BI148" s="11"/>
      <c r="BJ148" s="11"/>
      <c r="BK148" s="11"/>
      <c r="BL148" s="920"/>
      <c r="BM148" s="133"/>
      <c r="BN148" s="133"/>
      <c r="BO148" s="133"/>
      <c r="BP148" s="133"/>
      <c r="BQ148" s="133"/>
      <c r="BR148" s="133"/>
    </row>
    <row r="149" spans="1:70" ht="21.95" customHeight="1" x14ac:dyDescent="0.15">
      <c r="A149" s="2635"/>
      <c r="B149" s="2631" t="s">
        <v>893</v>
      </c>
      <c r="C149" s="187" t="s">
        <v>1093</v>
      </c>
      <c r="D149" s="570"/>
      <c r="E149" s="570">
        <f t="shared" ref="E149:AU149" si="77">IF(E$14="ROCHA",0,IF(E$13=2,E$39,0))</f>
        <v>0</v>
      </c>
      <c r="F149" s="570">
        <f t="shared" si="77"/>
        <v>0</v>
      </c>
      <c r="G149" s="570">
        <f t="shared" si="77"/>
        <v>0</v>
      </c>
      <c r="H149" s="570"/>
      <c r="I149" s="570"/>
      <c r="J149" s="570"/>
      <c r="K149" s="570"/>
      <c r="L149" s="2406"/>
      <c r="M149" s="570">
        <f t="shared" si="77"/>
        <v>0</v>
      </c>
      <c r="N149" s="570">
        <f t="shared" si="77"/>
        <v>0</v>
      </c>
      <c r="O149" s="570">
        <f t="shared" si="77"/>
        <v>0</v>
      </c>
      <c r="P149" s="570">
        <f t="shared" si="77"/>
        <v>0</v>
      </c>
      <c r="Q149" s="570">
        <f t="shared" si="77"/>
        <v>0</v>
      </c>
      <c r="R149" s="570">
        <f t="shared" si="77"/>
        <v>0</v>
      </c>
      <c r="S149" s="570">
        <f t="shared" si="77"/>
        <v>0</v>
      </c>
      <c r="T149" s="570">
        <f t="shared" si="77"/>
        <v>0</v>
      </c>
      <c r="U149" s="570"/>
      <c r="V149" s="2406"/>
      <c r="W149" s="570">
        <f t="shared" si="77"/>
        <v>0</v>
      </c>
      <c r="X149" s="570">
        <f t="shared" si="77"/>
        <v>0</v>
      </c>
      <c r="Y149" s="570">
        <f t="shared" si="77"/>
        <v>0</v>
      </c>
      <c r="Z149" s="570">
        <f t="shared" si="77"/>
        <v>0</v>
      </c>
      <c r="AA149" s="570">
        <f t="shared" si="77"/>
        <v>0</v>
      </c>
      <c r="AB149" s="570">
        <f t="shared" si="77"/>
        <v>0</v>
      </c>
      <c r="AC149" s="570">
        <f t="shared" si="77"/>
        <v>0</v>
      </c>
      <c r="AD149" s="570">
        <f t="shared" si="77"/>
        <v>0</v>
      </c>
      <c r="AE149" s="570">
        <f t="shared" si="77"/>
        <v>0</v>
      </c>
      <c r="AF149" s="570">
        <f t="shared" si="77"/>
        <v>0</v>
      </c>
      <c r="AG149" s="570"/>
      <c r="AH149" s="570"/>
      <c r="AI149" s="570"/>
      <c r="AJ149" s="570"/>
      <c r="AK149" s="570"/>
      <c r="AL149" s="570"/>
      <c r="AM149" s="570"/>
      <c r="AN149" s="570"/>
      <c r="AO149" s="570"/>
      <c r="AP149" s="2406"/>
      <c r="AQ149" s="570">
        <f t="shared" si="77"/>
        <v>0</v>
      </c>
      <c r="AR149" s="570">
        <f t="shared" si="77"/>
        <v>0</v>
      </c>
      <c r="AS149" s="570">
        <f t="shared" si="77"/>
        <v>0</v>
      </c>
      <c r="AT149" s="570">
        <f t="shared" si="77"/>
        <v>0</v>
      </c>
      <c r="AU149" s="570">
        <f t="shared" si="77"/>
        <v>0</v>
      </c>
      <c r="AV149" s="570"/>
      <c r="AW149" s="160"/>
      <c r="AX149" s="160"/>
      <c r="AY149" s="160"/>
      <c r="AZ149" s="160"/>
      <c r="BA149" s="160"/>
      <c r="BB149" s="160"/>
      <c r="BC149" s="923">
        <f>SUM(D149:AV149)</f>
        <v>0</v>
      </c>
      <c r="BD149" s="160"/>
      <c r="BE149" s="160"/>
      <c r="BF149" s="160"/>
      <c r="BG149" s="160"/>
      <c r="BH149" s="160"/>
      <c r="BI149" s="11"/>
      <c r="BJ149" s="11"/>
      <c r="BK149" s="11"/>
    </row>
    <row r="150" spans="1:70" ht="21.95" customHeight="1" x14ac:dyDescent="0.15">
      <c r="A150" s="2635"/>
      <c r="B150" s="2606"/>
      <c r="C150" s="187" t="s">
        <v>1094</v>
      </c>
      <c r="D150" s="572"/>
      <c r="E150" s="572">
        <f t="shared" ref="E150:AU150" si="78">IF(E$14="ROCHA",0,IF(E$13=1,E$39,0))</f>
        <v>0</v>
      </c>
      <c r="F150" s="572">
        <f t="shared" si="78"/>
        <v>0</v>
      </c>
      <c r="G150" s="572">
        <f t="shared" si="78"/>
        <v>0</v>
      </c>
      <c r="H150" s="572"/>
      <c r="I150" s="572"/>
      <c r="J150" s="572"/>
      <c r="K150" s="572"/>
      <c r="L150" s="2412"/>
      <c r="M150" s="572">
        <f t="shared" si="78"/>
        <v>0</v>
      </c>
      <c r="N150" s="572">
        <f t="shared" si="78"/>
        <v>0</v>
      </c>
      <c r="O150" s="572">
        <f t="shared" si="78"/>
        <v>0</v>
      </c>
      <c r="P150" s="572">
        <f t="shared" si="78"/>
        <v>0</v>
      </c>
      <c r="Q150" s="572">
        <f t="shared" si="78"/>
        <v>0</v>
      </c>
      <c r="R150" s="572">
        <f t="shared" si="78"/>
        <v>0</v>
      </c>
      <c r="S150" s="572">
        <f t="shared" si="78"/>
        <v>0</v>
      </c>
      <c r="T150" s="572">
        <f t="shared" si="78"/>
        <v>0</v>
      </c>
      <c r="U150" s="572"/>
      <c r="V150" s="2412"/>
      <c r="W150" s="572">
        <f t="shared" si="78"/>
        <v>0</v>
      </c>
      <c r="X150" s="572">
        <f t="shared" si="78"/>
        <v>0</v>
      </c>
      <c r="Y150" s="572">
        <f t="shared" si="78"/>
        <v>0</v>
      </c>
      <c r="Z150" s="572">
        <f t="shared" si="78"/>
        <v>0</v>
      </c>
      <c r="AA150" s="572">
        <f t="shared" si="78"/>
        <v>0</v>
      </c>
      <c r="AB150" s="572">
        <f t="shared" si="78"/>
        <v>0</v>
      </c>
      <c r="AC150" s="572">
        <f t="shared" si="78"/>
        <v>0</v>
      </c>
      <c r="AD150" s="572">
        <f t="shared" si="78"/>
        <v>0</v>
      </c>
      <c r="AE150" s="572">
        <f t="shared" si="78"/>
        <v>0</v>
      </c>
      <c r="AF150" s="572">
        <f t="shared" si="78"/>
        <v>0</v>
      </c>
      <c r="AG150" s="572"/>
      <c r="AH150" s="572"/>
      <c r="AI150" s="572"/>
      <c r="AJ150" s="572"/>
      <c r="AK150" s="572"/>
      <c r="AL150" s="572"/>
      <c r="AM150" s="572"/>
      <c r="AN150" s="572"/>
      <c r="AO150" s="572"/>
      <c r="AP150" s="2412"/>
      <c r="AQ150" s="572">
        <f t="shared" si="78"/>
        <v>0</v>
      </c>
      <c r="AR150" s="572">
        <f t="shared" si="78"/>
        <v>0</v>
      </c>
      <c r="AS150" s="572">
        <f t="shared" si="78"/>
        <v>0</v>
      </c>
      <c r="AT150" s="572">
        <f t="shared" si="78"/>
        <v>0</v>
      </c>
      <c r="AU150" s="572">
        <f t="shared" si="78"/>
        <v>0</v>
      </c>
      <c r="AV150" s="572"/>
      <c r="AW150" s="160"/>
      <c r="AX150" s="160"/>
      <c r="AY150" s="160"/>
      <c r="AZ150" s="160"/>
      <c r="BA150" s="160"/>
      <c r="BB150" s="160"/>
      <c r="BC150" s="160"/>
      <c r="BD150" s="923">
        <f>SUM(D150:AV150)</f>
        <v>0</v>
      </c>
      <c r="BE150" s="160"/>
      <c r="BF150" s="160"/>
      <c r="BG150" s="160"/>
      <c r="BH150" s="160"/>
      <c r="BI150" s="11"/>
      <c r="BJ150" s="11"/>
      <c r="BK150" s="11"/>
    </row>
    <row r="151" spans="1:70" ht="21.95" customHeight="1" x14ac:dyDescent="0.15">
      <c r="A151" s="2635"/>
      <c r="B151" s="2606"/>
      <c r="C151" s="187" t="s">
        <v>1726</v>
      </c>
      <c r="D151" s="570"/>
      <c r="E151" s="570">
        <f t="shared" ref="E151:AU151" si="79">IF(E$14="ROCHA",0,IF(E$13=2,E$40,0))</f>
        <v>0</v>
      </c>
      <c r="F151" s="570">
        <f t="shared" si="79"/>
        <v>0</v>
      </c>
      <c r="G151" s="570">
        <f t="shared" si="79"/>
        <v>0</v>
      </c>
      <c r="H151" s="570"/>
      <c r="I151" s="570"/>
      <c r="J151" s="570"/>
      <c r="K151" s="570"/>
      <c r="L151" s="2406"/>
      <c r="M151" s="570">
        <f t="shared" si="79"/>
        <v>0</v>
      </c>
      <c r="N151" s="570">
        <f t="shared" si="79"/>
        <v>0</v>
      </c>
      <c r="O151" s="570">
        <f t="shared" si="79"/>
        <v>0</v>
      </c>
      <c r="P151" s="570">
        <f t="shared" si="79"/>
        <v>0</v>
      </c>
      <c r="Q151" s="570">
        <f t="shared" si="79"/>
        <v>0</v>
      </c>
      <c r="R151" s="570">
        <f t="shared" si="79"/>
        <v>0</v>
      </c>
      <c r="S151" s="570">
        <f t="shared" si="79"/>
        <v>0</v>
      </c>
      <c r="T151" s="570">
        <f t="shared" si="79"/>
        <v>0</v>
      </c>
      <c r="U151" s="570"/>
      <c r="V151" s="2406"/>
      <c r="W151" s="570">
        <f t="shared" si="79"/>
        <v>0</v>
      </c>
      <c r="X151" s="570">
        <f t="shared" si="79"/>
        <v>0</v>
      </c>
      <c r="Y151" s="570">
        <f t="shared" si="79"/>
        <v>0</v>
      </c>
      <c r="Z151" s="570">
        <f t="shared" si="79"/>
        <v>0</v>
      </c>
      <c r="AA151" s="570">
        <f t="shared" si="79"/>
        <v>0</v>
      </c>
      <c r="AB151" s="570">
        <f t="shared" si="79"/>
        <v>0</v>
      </c>
      <c r="AC151" s="570">
        <f t="shared" si="79"/>
        <v>0</v>
      </c>
      <c r="AD151" s="570">
        <f t="shared" si="79"/>
        <v>0</v>
      </c>
      <c r="AE151" s="570">
        <f t="shared" si="79"/>
        <v>0</v>
      </c>
      <c r="AF151" s="570">
        <f t="shared" si="79"/>
        <v>0</v>
      </c>
      <c r="AG151" s="570"/>
      <c r="AH151" s="570"/>
      <c r="AI151" s="570"/>
      <c r="AJ151" s="570"/>
      <c r="AK151" s="570"/>
      <c r="AL151" s="570"/>
      <c r="AM151" s="570"/>
      <c r="AN151" s="570"/>
      <c r="AO151" s="570"/>
      <c r="AP151" s="2406"/>
      <c r="AQ151" s="570">
        <f t="shared" si="79"/>
        <v>0</v>
      </c>
      <c r="AR151" s="570">
        <f t="shared" si="79"/>
        <v>0</v>
      </c>
      <c r="AS151" s="570">
        <f t="shared" si="79"/>
        <v>0</v>
      </c>
      <c r="AT151" s="570">
        <f t="shared" si="79"/>
        <v>0</v>
      </c>
      <c r="AU151" s="570">
        <f t="shared" si="79"/>
        <v>0</v>
      </c>
      <c r="AV151" s="570"/>
      <c r="AW151" s="160"/>
      <c r="AX151" s="160"/>
      <c r="AY151" s="160"/>
      <c r="AZ151" s="160"/>
      <c r="BA151" s="160"/>
      <c r="BB151" s="160"/>
      <c r="BC151" s="160"/>
      <c r="BD151" s="160"/>
      <c r="BE151" s="923">
        <f>SUM(D151:AV151)</f>
        <v>0</v>
      </c>
      <c r="BF151" s="160"/>
      <c r="BG151" s="160"/>
      <c r="BH151" s="160"/>
      <c r="BI151" s="11"/>
      <c r="BJ151" s="11"/>
      <c r="BK151" s="11"/>
    </row>
    <row r="152" spans="1:70" ht="21.95" customHeight="1" x14ac:dyDescent="0.15">
      <c r="A152" s="2635"/>
      <c r="B152" s="2606"/>
      <c r="C152" s="187" t="s">
        <v>1727</v>
      </c>
      <c r="D152" s="572"/>
      <c r="E152" s="572">
        <f t="shared" ref="E152:AU152" si="80">IF(E$14="ROCHA",0,IF(E$13=1,E$40,0))</f>
        <v>0</v>
      </c>
      <c r="F152" s="572">
        <f t="shared" si="80"/>
        <v>0</v>
      </c>
      <c r="G152" s="572">
        <f t="shared" si="80"/>
        <v>0</v>
      </c>
      <c r="H152" s="572"/>
      <c r="I152" s="572"/>
      <c r="J152" s="572"/>
      <c r="K152" s="572"/>
      <c r="L152" s="2412"/>
      <c r="M152" s="572">
        <f t="shared" si="80"/>
        <v>0</v>
      </c>
      <c r="N152" s="572">
        <f t="shared" si="80"/>
        <v>0</v>
      </c>
      <c r="O152" s="572">
        <f t="shared" si="80"/>
        <v>0</v>
      </c>
      <c r="P152" s="572">
        <f t="shared" si="80"/>
        <v>0</v>
      </c>
      <c r="Q152" s="572">
        <f t="shared" si="80"/>
        <v>0</v>
      </c>
      <c r="R152" s="572">
        <f t="shared" si="80"/>
        <v>0</v>
      </c>
      <c r="S152" s="572">
        <f t="shared" si="80"/>
        <v>0</v>
      </c>
      <c r="T152" s="572">
        <f t="shared" si="80"/>
        <v>0</v>
      </c>
      <c r="U152" s="572"/>
      <c r="V152" s="2412"/>
      <c r="W152" s="572">
        <f t="shared" si="80"/>
        <v>0</v>
      </c>
      <c r="X152" s="572">
        <f t="shared" si="80"/>
        <v>0</v>
      </c>
      <c r="Y152" s="572">
        <f t="shared" si="80"/>
        <v>0</v>
      </c>
      <c r="Z152" s="572">
        <f t="shared" si="80"/>
        <v>0</v>
      </c>
      <c r="AA152" s="572">
        <f t="shared" si="80"/>
        <v>0</v>
      </c>
      <c r="AB152" s="572">
        <f t="shared" si="80"/>
        <v>0</v>
      </c>
      <c r="AC152" s="572">
        <f t="shared" si="80"/>
        <v>0</v>
      </c>
      <c r="AD152" s="572">
        <f t="shared" si="80"/>
        <v>0</v>
      </c>
      <c r="AE152" s="572">
        <f t="shared" si="80"/>
        <v>0</v>
      </c>
      <c r="AF152" s="572">
        <f t="shared" si="80"/>
        <v>0</v>
      </c>
      <c r="AG152" s="572"/>
      <c r="AH152" s="572"/>
      <c r="AI152" s="572"/>
      <c r="AJ152" s="572"/>
      <c r="AK152" s="572"/>
      <c r="AL152" s="572"/>
      <c r="AM152" s="572"/>
      <c r="AN152" s="572"/>
      <c r="AO152" s="572"/>
      <c r="AP152" s="2412"/>
      <c r="AQ152" s="572">
        <f t="shared" si="80"/>
        <v>0</v>
      </c>
      <c r="AR152" s="572">
        <f t="shared" si="80"/>
        <v>0</v>
      </c>
      <c r="AS152" s="572">
        <f t="shared" si="80"/>
        <v>0</v>
      </c>
      <c r="AT152" s="572">
        <f t="shared" si="80"/>
        <v>0</v>
      </c>
      <c r="AU152" s="572">
        <f t="shared" si="80"/>
        <v>0</v>
      </c>
      <c r="AV152" s="572"/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923">
        <f>SUM(D152:AV152)</f>
        <v>0</v>
      </c>
      <c r="BG152" s="160"/>
      <c r="BH152" s="160"/>
      <c r="BI152" s="11"/>
      <c r="BJ152" s="11"/>
      <c r="BK152" s="11"/>
    </row>
    <row r="153" spans="1:70" s="14" customFormat="1" ht="21.95" customHeight="1" x14ac:dyDescent="0.15">
      <c r="A153" s="2635"/>
      <c r="B153" s="2606"/>
      <c r="C153" s="187" t="s">
        <v>1121</v>
      </c>
      <c r="D153" s="795"/>
      <c r="E153" s="795">
        <f t="shared" ref="E153" si="81">IF(E14="ROCHA",E39,0)</f>
        <v>0</v>
      </c>
      <c r="F153" s="795">
        <f t="shared" ref="F153:AF153" si="82">IF(F14="ROCHA",F39,0)</f>
        <v>0</v>
      </c>
      <c r="G153" s="795">
        <f t="shared" si="82"/>
        <v>0</v>
      </c>
      <c r="H153" s="795"/>
      <c r="I153" s="795"/>
      <c r="J153" s="795"/>
      <c r="K153" s="795"/>
      <c r="L153" s="2406"/>
      <c r="M153" s="795">
        <f t="shared" si="82"/>
        <v>0</v>
      </c>
      <c r="N153" s="795">
        <f t="shared" si="82"/>
        <v>0</v>
      </c>
      <c r="O153" s="795">
        <f t="shared" si="82"/>
        <v>0</v>
      </c>
      <c r="P153" s="795">
        <f t="shared" si="82"/>
        <v>0</v>
      </c>
      <c r="Q153" s="795">
        <f t="shared" si="82"/>
        <v>0</v>
      </c>
      <c r="R153" s="795">
        <f t="shared" si="82"/>
        <v>0</v>
      </c>
      <c r="S153" s="795">
        <f t="shared" si="82"/>
        <v>0</v>
      </c>
      <c r="T153" s="795">
        <f t="shared" si="82"/>
        <v>0</v>
      </c>
      <c r="U153" s="795"/>
      <c r="V153" s="2406"/>
      <c r="W153" s="795">
        <f t="shared" si="82"/>
        <v>0</v>
      </c>
      <c r="X153" s="795">
        <f t="shared" si="82"/>
        <v>0</v>
      </c>
      <c r="Y153" s="795">
        <f t="shared" si="82"/>
        <v>0</v>
      </c>
      <c r="Z153" s="795">
        <f t="shared" si="82"/>
        <v>0</v>
      </c>
      <c r="AA153" s="795">
        <f t="shared" si="82"/>
        <v>0</v>
      </c>
      <c r="AB153" s="795">
        <f t="shared" si="82"/>
        <v>0</v>
      </c>
      <c r="AC153" s="795">
        <f t="shared" si="82"/>
        <v>0</v>
      </c>
      <c r="AD153" s="795">
        <f t="shared" si="82"/>
        <v>0</v>
      </c>
      <c r="AE153" s="795">
        <f t="shared" si="82"/>
        <v>0</v>
      </c>
      <c r="AF153" s="795">
        <f t="shared" si="82"/>
        <v>0</v>
      </c>
      <c r="AG153" s="795"/>
      <c r="AH153" s="795"/>
      <c r="AI153" s="795"/>
      <c r="AJ153" s="795"/>
      <c r="AK153" s="795"/>
      <c r="AL153" s="795"/>
      <c r="AM153" s="795"/>
      <c r="AN153" s="795"/>
      <c r="AO153" s="795"/>
      <c r="AP153" s="2406"/>
      <c r="AQ153" s="795">
        <f t="shared" ref="AQ153:AU153" si="83">IF(AQ14="ROCHA",AQ39,0)</f>
        <v>0</v>
      </c>
      <c r="AR153" s="795">
        <f t="shared" si="83"/>
        <v>0</v>
      </c>
      <c r="AS153" s="795">
        <f t="shared" si="83"/>
        <v>0</v>
      </c>
      <c r="AT153" s="795">
        <f t="shared" si="83"/>
        <v>0</v>
      </c>
      <c r="AU153" s="795">
        <f t="shared" si="83"/>
        <v>0</v>
      </c>
      <c r="AV153" s="795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160"/>
      <c r="BG153" s="923">
        <f>SUM(D153:AW153)</f>
        <v>0</v>
      </c>
      <c r="BH153" s="160"/>
      <c r="BI153" s="11"/>
      <c r="BJ153" s="11"/>
      <c r="BK153" s="11"/>
      <c r="BL153" s="920"/>
      <c r="BM153" s="133"/>
      <c r="BN153" s="133"/>
      <c r="BO153" s="133"/>
      <c r="BP153" s="133"/>
      <c r="BQ153" s="133"/>
      <c r="BR153" s="133"/>
    </row>
    <row r="154" spans="1:70" s="14" customFormat="1" ht="21.95" customHeight="1" x14ac:dyDescent="0.15">
      <c r="A154" s="2635"/>
      <c r="B154" s="2632"/>
      <c r="C154" s="187" t="s">
        <v>1728</v>
      </c>
      <c r="D154" s="796"/>
      <c r="E154" s="796">
        <f t="shared" ref="E154" si="84">IF(E14="ROCHA",E40,0)</f>
        <v>0</v>
      </c>
      <c r="F154" s="796">
        <f t="shared" ref="F154:AF154" si="85">IF(F14="ROCHA",F40,0)</f>
        <v>0</v>
      </c>
      <c r="G154" s="796">
        <f t="shared" si="85"/>
        <v>0</v>
      </c>
      <c r="H154" s="796"/>
      <c r="I154" s="796"/>
      <c r="J154" s="796"/>
      <c r="K154" s="796"/>
      <c r="L154" s="2412"/>
      <c r="M154" s="796">
        <f t="shared" si="85"/>
        <v>0</v>
      </c>
      <c r="N154" s="796">
        <f t="shared" si="85"/>
        <v>0</v>
      </c>
      <c r="O154" s="796">
        <f t="shared" si="85"/>
        <v>0</v>
      </c>
      <c r="P154" s="796">
        <f t="shared" si="85"/>
        <v>0</v>
      </c>
      <c r="Q154" s="796">
        <f t="shared" si="85"/>
        <v>0</v>
      </c>
      <c r="R154" s="796">
        <f t="shared" si="85"/>
        <v>0</v>
      </c>
      <c r="S154" s="796">
        <f t="shared" si="85"/>
        <v>0</v>
      </c>
      <c r="T154" s="796">
        <f t="shared" si="85"/>
        <v>0</v>
      </c>
      <c r="U154" s="796"/>
      <c r="V154" s="2412"/>
      <c r="W154" s="796">
        <f t="shared" si="85"/>
        <v>0</v>
      </c>
      <c r="X154" s="796">
        <f t="shared" si="85"/>
        <v>0</v>
      </c>
      <c r="Y154" s="796">
        <f t="shared" si="85"/>
        <v>0</v>
      </c>
      <c r="Z154" s="796">
        <f t="shared" si="85"/>
        <v>0</v>
      </c>
      <c r="AA154" s="796">
        <f t="shared" si="85"/>
        <v>0</v>
      </c>
      <c r="AB154" s="796">
        <f t="shared" si="85"/>
        <v>0</v>
      </c>
      <c r="AC154" s="796">
        <f t="shared" si="85"/>
        <v>0</v>
      </c>
      <c r="AD154" s="796">
        <f t="shared" si="85"/>
        <v>0</v>
      </c>
      <c r="AE154" s="796">
        <f t="shared" si="85"/>
        <v>0</v>
      </c>
      <c r="AF154" s="796">
        <f t="shared" si="85"/>
        <v>0</v>
      </c>
      <c r="AG154" s="796"/>
      <c r="AH154" s="796"/>
      <c r="AI154" s="796"/>
      <c r="AJ154" s="796"/>
      <c r="AK154" s="796"/>
      <c r="AL154" s="796"/>
      <c r="AM154" s="796"/>
      <c r="AN154" s="796"/>
      <c r="AO154" s="796"/>
      <c r="AP154" s="2412"/>
      <c r="AQ154" s="796">
        <f t="shared" ref="AQ154:AU154" si="86">IF(AQ14="ROCHA",AQ40,0)</f>
        <v>0</v>
      </c>
      <c r="AR154" s="796">
        <f t="shared" si="86"/>
        <v>0</v>
      </c>
      <c r="AS154" s="796">
        <f t="shared" si="86"/>
        <v>0</v>
      </c>
      <c r="AT154" s="796">
        <f t="shared" si="86"/>
        <v>0</v>
      </c>
      <c r="AU154" s="796">
        <f t="shared" si="86"/>
        <v>0</v>
      </c>
      <c r="AV154" s="796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573">
        <f>SUM(D154:AW154)</f>
        <v>0</v>
      </c>
      <c r="BI154" s="190"/>
      <c r="BJ154" s="190"/>
      <c r="BK154" s="190"/>
      <c r="BL154" s="920"/>
      <c r="BM154" s="133"/>
      <c r="BN154" s="133"/>
      <c r="BO154" s="133"/>
      <c r="BP154" s="133"/>
      <c r="BQ154" s="133"/>
      <c r="BR154" s="133"/>
    </row>
    <row r="155" spans="1:70" s="14" customFormat="1" ht="21.95" customHeight="1" x14ac:dyDescent="0.15">
      <c r="A155" s="2635"/>
      <c r="B155" s="220"/>
      <c r="C155" s="187"/>
      <c r="D155" s="223"/>
      <c r="E155" s="223"/>
      <c r="F155" s="223"/>
      <c r="G155" s="223"/>
      <c r="H155" s="223"/>
      <c r="I155" s="223"/>
      <c r="J155" s="223"/>
      <c r="K155" s="223"/>
      <c r="L155" s="2419"/>
      <c r="M155" s="223"/>
      <c r="N155" s="223"/>
      <c r="O155" s="223"/>
      <c r="P155" s="223"/>
      <c r="Q155" s="223"/>
      <c r="R155" s="223"/>
      <c r="S155" s="223"/>
      <c r="T155" s="223"/>
      <c r="U155" s="223"/>
      <c r="V155" s="2419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419"/>
      <c r="AQ155" s="223"/>
      <c r="AR155" s="223"/>
      <c r="AS155" s="223"/>
      <c r="AT155" s="223"/>
      <c r="AU155" s="223"/>
      <c r="AV155" s="223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2"/>
      <c r="BJ155" s="222"/>
      <c r="BK155" s="222"/>
      <c r="BL155" s="920"/>
      <c r="BM155" s="133"/>
      <c r="BN155" s="133"/>
      <c r="BO155" s="133"/>
      <c r="BP155" s="133"/>
      <c r="BQ155" s="133"/>
      <c r="BR155" s="133"/>
    </row>
    <row r="156" spans="1:70" s="14" customFormat="1" ht="21.95" customHeight="1" thickBot="1" x14ac:dyDescent="0.2">
      <c r="A156" s="2635"/>
      <c r="B156" s="328"/>
      <c r="C156" s="230"/>
      <c r="D156" s="340"/>
      <c r="E156" s="340"/>
      <c r="F156" s="340"/>
      <c r="G156" s="340"/>
      <c r="H156" s="340"/>
      <c r="I156" s="340"/>
      <c r="J156" s="340"/>
      <c r="K156" s="340"/>
      <c r="L156" s="2420"/>
      <c r="M156" s="340"/>
      <c r="N156" s="340"/>
      <c r="O156" s="340"/>
      <c r="P156" s="340"/>
      <c r="Q156" s="340"/>
      <c r="R156" s="340"/>
      <c r="S156" s="340"/>
      <c r="T156" s="340"/>
      <c r="U156" s="340"/>
      <c r="V156" s="242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0"/>
      <c r="AI156" s="340"/>
      <c r="AJ156" s="340"/>
      <c r="AK156" s="340"/>
      <c r="AL156" s="340"/>
      <c r="AM156" s="340"/>
      <c r="AN156" s="340"/>
      <c r="AO156" s="340"/>
      <c r="AP156" s="2420"/>
      <c r="AQ156" s="340"/>
      <c r="AR156" s="340"/>
      <c r="AS156" s="340"/>
      <c r="AT156" s="340"/>
      <c r="AU156" s="340"/>
      <c r="AV156" s="340"/>
      <c r="AW156" s="341"/>
      <c r="AX156" s="341"/>
      <c r="AY156" s="341"/>
      <c r="AZ156" s="341"/>
      <c r="BA156" s="341"/>
      <c r="BB156" s="341"/>
      <c r="BC156" s="341"/>
      <c r="BD156" s="341"/>
      <c r="BE156" s="341"/>
      <c r="BF156" s="341"/>
      <c r="BG156" s="341"/>
      <c r="BH156" s="341"/>
      <c r="BI156" s="342"/>
      <c r="BJ156" s="342"/>
      <c r="BK156" s="342"/>
      <c r="BL156" s="920"/>
      <c r="BM156" s="133"/>
      <c r="BN156" s="133"/>
      <c r="BO156" s="133"/>
      <c r="BP156" s="133"/>
      <c r="BQ156" s="133"/>
      <c r="BR156" s="133"/>
    </row>
    <row r="157" spans="1:70" ht="50.1" customHeight="1" thickBot="1" x14ac:dyDescent="0.2">
      <c r="A157" s="2635"/>
      <c r="B157" s="2610" t="s">
        <v>12</v>
      </c>
      <c r="C157" s="2637"/>
      <c r="D157" s="603"/>
      <c r="E157" s="603"/>
      <c r="F157" s="603"/>
      <c r="G157" s="603"/>
      <c r="H157" s="603"/>
      <c r="I157" s="603"/>
      <c r="J157" s="603"/>
      <c r="K157" s="603"/>
      <c r="L157" s="2421"/>
      <c r="M157" s="603"/>
      <c r="N157" s="603"/>
      <c r="O157" s="603"/>
      <c r="P157" s="603"/>
      <c r="Q157" s="603"/>
      <c r="R157" s="603"/>
      <c r="S157" s="603"/>
      <c r="T157" s="603"/>
      <c r="U157" s="603"/>
      <c r="V157" s="2421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2421"/>
      <c r="AQ157" s="603"/>
      <c r="AR157" s="603"/>
      <c r="AS157" s="603"/>
      <c r="AT157" s="603"/>
      <c r="AU157" s="603"/>
      <c r="AV157" s="603"/>
      <c r="AW157" s="135"/>
      <c r="AX157" s="603"/>
      <c r="AY157" s="135"/>
      <c r="AZ157" s="603"/>
      <c r="BA157" s="135"/>
      <c r="BB157" s="135"/>
      <c r="BC157" s="135"/>
      <c r="BD157" s="603"/>
      <c r="BE157" s="135"/>
      <c r="BF157" s="603"/>
      <c r="BG157" s="135"/>
      <c r="BH157" s="135"/>
      <c r="BI157" s="135"/>
      <c r="BJ157" s="135"/>
      <c r="BK157" s="135"/>
    </row>
    <row r="158" spans="1:70" ht="22.5" thickTop="1" x14ac:dyDescent="0.15">
      <c r="BL158" s="918"/>
      <c r="BM158" s="15"/>
      <c r="BN158" s="15"/>
      <c r="BO158" s="15"/>
      <c r="BP158" s="15"/>
      <c r="BQ158" s="15"/>
      <c r="BR158" s="15"/>
    </row>
    <row r="159" spans="1:70" x14ac:dyDescent="0.15">
      <c r="B159" s="133"/>
      <c r="C159" s="133"/>
    </row>
    <row r="160" spans="1:70" x14ac:dyDescent="0.15">
      <c r="B160" s="133"/>
      <c r="C160" s="133"/>
    </row>
    <row r="161" spans="2:3" x14ac:dyDescent="0.15">
      <c r="B161" s="133"/>
      <c r="C161" s="133"/>
    </row>
  </sheetData>
  <mergeCells count="57">
    <mergeCell ref="B73:C73"/>
    <mergeCell ref="B48:C48"/>
    <mergeCell ref="B49:C49"/>
    <mergeCell ref="B50:C50"/>
    <mergeCell ref="B51:C51"/>
    <mergeCell ref="B52:C52"/>
    <mergeCell ref="B70:C70"/>
    <mergeCell ref="B69:C69"/>
    <mergeCell ref="B68:C68"/>
    <mergeCell ref="B64:C64"/>
    <mergeCell ref="B63:C63"/>
    <mergeCell ref="B67:C67"/>
    <mergeCell ref="B66:C66"/>
    <mergeCell ref="B65:C65"/>
    <mergeCell ref="B53:C53"/>
    <mergeCell ref="B1:C1"/>
    <mergeCell ref="B2:C2"/>
    <mergeCell ref="B3:C3"/>
    <mergeCell ref="B4:B9"/>
    <mergeCell ref="B26:B36"/>
    <mergeCell ref="B11:C11"/>
    <mergeCell ref="B14:B23"/>
    <mergeCell ref="B12:C12"/>
    <mergeCell ref="B13:C13"/>
    <mergeCell ref="B24:B25"/>
    <mergeCell ref="A1:A157"/>
    <mergeCell ref="B114:B116"/>
    <mergeCell ref="B105:B107"/>
    <mergeCell ref="B117:B126"/>
    <mergeCell ref="B103:B104"/>
    <mergeCell ref="B157:C157"/>
    <mergeCell ref="B141:B142"/>
    <mergeCell ref="B127:B129"/>
    <mergeCell ref="B133:B135"/>
    <mergeCell ref="B136:B138"/>
    <mergeCell ref="B143:B148"/>
    <mergeCell ref="B149:B154"/>
    <mergeCell ref="B130:B132"/>
    <mergeCell ref="B139:C139"/>
    <mergeCell ref="B37:B38"/>
    <mergeCell ref="B10:C10"/>
    <mergeCell ref="B140:C140"/>
    <mergeCell ref="B108:B110"/>
    <mergeCell ref="B39:B40"/>
    <mergeCell ref="B72:C72"/>
    <mergeCell ref="B85:B94"/>
    <mergeCell ref="B80:B84"/>
    <mergeCell ref="B75:C75"/>
    <mergeCell ref="B111:B113"/>
    <mergeCell ref="B101:B102"/>
    <mergeCell ref="B95:B100"/>
    <mergeCell ref="B41:B47"/>
    <mergeCell ref="B74:C74"/>
    <mergeCell ref="B54:B62"/>
    <mergeCell ref="B76:B77"/>
    <mergeCell ref="B78:B79"/>
    <mergeCell ref="B71:C71"/>
  </mergeCells>
  <conditionalFormatting sqref="D6:AV6">
    <cfRule type="cellIs" dxfId="126" priority="14" operator="equal">
      <formula>"P"</formula>
    </cfRule>
  </conditionalFormatting>
  <conditionalFormatting sqref="D9:AV9">
    <cfRule type="cellIs" dxfId="125" priority="13" operator="equal">
      <formula>"PA-2"</formula>
    </cfRule>
  </conditionalFormatting>
  <conditionalFormatting sqref="D14:AZ14">
    <cfRule type="expression" dxfId="124" priority="8">
      <formula>D$14="rocha"</formula>
    </cfRule>
  </conditionalFormatting>
  <conditionalFormatting sqref="BC6:BH6">
    <cfRule type="cellIs" dxfId="123" priority="264" operator="equal">
      <formula>"P"</formula>
    </cfRule>
  </conditionalFormatting>
  <hyperlinks>
    <hyperlink ref="B1:C1" location="PAINEL!A1" display="TRECHOS Nº" xr:uid="{00000000-0004-0000-1000-000000000000}"/>
  </hyperlinks>
  <pageMargins left="0.51181102362204722" right="0.51181102362204722" top="0.34" bottom="0.56999999999999995" header="0.31496062992125984" footer="0.31496062992125984"/>
  <pageSetup paperSize="8" scale="23" orientation="portrait" verticalDpi="300" r:id="rId1"/>
  <ignoredErrors>
    <ignoredError sqref="C41:C46" numberStoredAsText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25" filterMode="1">
    <tabColor theme="5" tint="0.59999389629810485"/>
  </sheetPr>
  <dimension ref="A1:BN44"/>
  <sheetViews>
    <sheetView showZeros="0" zoomScaleNormal="100" zoomScaleSheetLayoutView="85" workbookViewId="0">
      <pane xSplit="5" ySplit="1" topLeftCell="AF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BN10" sqref="BN10"/>
    </sheetView>
  </sheetViews>
  <sheetFormatPr defaultColWidth="9" defaultRowHeight="18.75" x14ac:dyDescent="0.15"/>
  <cols>
    <col min="1" max="1" width="13.25" style="133" customWidth="1"/>
    <col min="2" max="2" width="14.625" style="13" customWidth="1"/>
    <col min="3" max="3" width="35.625" style="13" customWidth="1"/>
    <col min="4" max="4" width="3.125" style="986" hidden="1" customWidth="1"/>
    <col min="5" max="5" width="8.375" style="13" hidden="1" customWidth="1"/>
    <col min="6" max="6" width="12.625" style="133" hidden="1" customWidth="1"/>
    <col min="7" max="9" width="12.625" style="133" customWidth="1"/>
    <col min="10" max="13" width="12.625" style="133" hidden="1" customWidth="1"/>
    <col min="14" max="14" width="2.625" style="133" customWidth="1"/>
    <col min="15" max="22" width="12.625" style="133" customWidth="1"/>
    <col min="23" max="23" width="12.625" style="133" hidden="1" customWidth="1"/>
    <col min="24" max="24" width="2.625" style="133" customWidth="1"/>
    <col min="25" max="34" width="12.625" style="133" customWidth="1"/>
    <col min="35" max="43" width="12.625" style="133" hidden="1" customWidth="1"/>
    <col min="44" max="44" width="2.625" style="133" customWidth="1"/>
    <col min="45" max="49" width="12.625" style="133" customWidth="1"/>
    <col min="50" max="50" width="12.625" style="133" hidden="1" customWidth="1"/>
    <col min="51" max="51" width="12.625" style="133" customWidth="1"/>
    <col min="52" max="52" width="12.625" style="133" hidden="1" customWidth="1"/>
    <col min="53" max="53" width="12.625" style="133" customWidth="1"/>
    <col min="54" max="64" width="12.625" style="133" hidden="1" customWidth="1"/>
    <col min="65" max="65" width="12.625" style="420" customWidth="1"/>
    <col min="66" max="66" width="18.125" style="133" customWidth="1"/>
    <col min="67" max="70" width="10.75" style="133" customWidth="1"/>
    <col min="71" max="71" width="15.625" style="133" customWidth="1"/>
    <col min="72" max="16384" width="9" style="133"/>
  </cols>
  <sheetData>
    <row r="1" spans="1:66" s="16" customFormat="1" ht="24" customHeight="1" thickTop="1" thickBot="1" x14ac:dyDescent="0.2">
      <c r="A1" s="2595" t="s">
        <v>314</v>
      </c>
      <c r="B1" s="2608" t="s">
        <v>346</v>
      </c>
      <c r="C1" s="2609"/>
      <c r="D1" s="991"/>
      <c r="E1" s="974" t="s">
        <v>587</v>
      </c>
      <c r="F1" s="225">
        <f ca="1">Dren_Quantificacao!D1</f>
        <v>0</v>
      </c>
      <c r="G1" s="225">
        <f ca="1">Dren_Quantificacao!E1</f>
        <v>2</v>
      </c>
      <c r="H1" s="225">
        <f ca="1">Dren_Quantificacao!F1</f>
        <v>3</v>
      </c>
      <c r="I1" s="225">
        <f ca="1">Dren_Quantificacao!G1</f>
        <v>4</v>
      </c>
      <c r="J1" s="225"/>
      <c r="K1" s="225"/>
      <c r="L1" s="225"/>
      <c r="M1" s="225"/>
      <c r="N1" s="2422"/>
      <c r="O1" s="225">
        <f ca="1">Dren_Quantificacao!M1</f>
        <v>10</v>
      </c>
      <c r="P1" s="225">
        <f ca="1">Dren_Quantificacao!N1</f>
        <v>11</v>
      </c>
      <c r="Q1" s="225">
        <f ca="1">Dren_Quantificacao!O1</f>
        <v>12</v>
      </c>
      <c r="R1" s="225">
        <f ca="1">Dren_Quantificacao!P1</f>
        <v>13</v>
      </c>
      <c r="S1" s="225">
        <f ca="1">Dren_Quantificacao!Q1</f>
        <v>14</v>
      </c>
      <c r="T1" s="225">
        <f ca="1">Dren_Quantificacao!R1</f>
        <v>15</v>
      </c>
      <c r="U1" s="225">
        <f ca="1">Dren_Quantificacao!S1</f>
        <v>16</v>
      </c>
      <c r="V1" s="225">
        <f ca="1">Dren_Quantificacao!T1</f>
        <v>17</v>
      </c>
      <c r="W1" s="225"/>
      <c r="X1" s="2422"/>
      <c r="Y1" s="225">
        <f ca="1">Dren_Quantificacao!W1</f>
        <v>20</v>
      </c>
      <c r="Z1" s="225">
        <f ca="1">Dren_Quantificacao!X1</f>
        <v>21</v>
      </c>
      <c r="AA1" s="225">
        <f ca="1">Dren_Quantificacao!Y1</f>
        <v>22</v>
      </c>
      <c r="AB1" s="225">
        <f ca="1">Dren_Quantificacao!Z1</f>
        <v>23</v>
      </c>
      <c r="AC1" s="225">
        <f ca="1">Dren_Quantificacao!AA1</f>
        <v>24</v>
      </c>
      <c r="AD1" s="225">
        <f ca="1">Dren_Quantificacao!AB1</f>
        <v>25</v>
      </c>
      <c r="AE1" s="225">
        <f ca="1">Dren_Quantificacao!AC1</f>
        <v>26</v>
      </c>
      <c r="AF1" s="225">
        <f ca="1">Dren_Quantificacao!AD1</f>
        <v>27</v>
      </c>
      <c r="AG1" s="225">
        <f ca="1">Dren_Quantificacao!AE1</f>
        <v>28</v>
      </c>
      <c r="AH1" s="225">
        <f ca="1">Dren_Quantificacao!AF1</f>
        <v>29</v>
      </c>
      <c r="AI1" s="225"/>
      <c r="AJ1" s="225"/>
      <c r="AK1" s="225"/>
      <c r="AL1" s="225"/>
      <c r="AM1" s="225"/>
      <c r="AN1" s="225"/>
      <c r="AO1" s="225"/>
      <c r="AP1" s="225"/>
      <c r="AQ1" s="225"/>
      <c r="AR1" s="2422"/>
      <c r="AS1" s="225">
        <f ca="1">Dren_Quantificacao!AQ1</f>
        <v>40</v>
      </c>
      <c r="AT1" s="225">
        <f ca="1">Dren_Quantificacao!AR1</f>
        <v>41</v>
      </c>
      <c r="AU1" s="225">
        <f ca="1">Dren_Quantificacao!AS1</f>
        <v>42</v>
      </c>
      <c r="AV1" s="225">
        <f ca="1">Dren_Quantificacao!AT1</f>
        <v>43</v>
      </c>
      <c r="AW1" s="225">
        <f ca="1">Dren_Quantificacao!AU1</f>
        <v>44</v>
      </c>
      <c r="AX1" s="225" t="str">
        <f>Dren_Quantificacao!AW1</f>
        <v>RAMAL CONCRETO Ø 0,40 (m) SOLO baixa inter.</v>
      </c>
      <c r="AY1" s="225" t="str">
        <f>Dren_Quantificacao!AX1</f>
        <v>RAMAL CONCRETO Ø 0,40 (m) SOLO alta inter.</v>
      </c>
      <c r="AZ1" s="225" t="str">
        <f>Dren_Quantificacao!AY1</f>
        <v>RAMAL CONCRETO Ø 0,60 (m) SOLO baixa inter.</v>
      </c>
      <c r="BA1" s="225" t="str">
        <f>Dren_Quantificacao!AZ1</f>
        <v>RAMAL CONCRETO Ø 0,60 (m) SOLO alta inter.</v>
      </c>
      <c r="BB1" s="225" t="str">
        <f>Dren_Quantificacao!BA1</f>
        <v>RAMAL CONCRETO Ø 0,40 (m) ROCHA</v>
      </c>
      <c r="BC1" s="225" t="str">
        <f>Dren_Quantificacao!BB1</f>
        <v>RAMAL CONCRETO Ø 0,60 (m) ROCHA</v>
      </c>
      <c r="BD1" s="225" t="str">
        <f>Dren_Quantificacao!BC1</f>
        <v>RAMAL PEAD Ø 0,40 (m) SOLO baixa inter.</v>
      </c>
      <c r="BE1" s="225" t="str">
        <f>Dren_Quantificacao!BD1</f>
        <v>RAMAL PEAD Ø 0,40 (m) SOLO alta inter.</v>
      </c>
      <c r="BF1" s="225" t="str">
        <f>Dren_Quantificacao!BE1</f>
        <v>RAMAL PEAD Ø 0,50 (m) SOLO baixa inter.</v>
      </c>
      <c r="BG1" s="225" t="str">
        <f>Dren_Quantificacao!BF1</f>
        <v>RAMAL PEAD Ø 0,50 (m) SOLO alta inter.</v>
      </c>
      <c r="BH1" s="225" t="str">
        <f>Dren_Quantificacao!BG1</f>
        <v>RAMAL PEAD Ø 0,40 (m) ROCHA</v>
      </c>
      <c r="BI1" s="225" t="str">
        <f>Dren_Quantificacao!BH1</f>
        <v>RAMAL PEAD Ø 0,50 (m) ROCHA</v>
      </c>
      <c r="BJ1" s="225" t="str">
        <f>Dren_Quantificacao!BI1</f>
        <v>LANÇAMENTO</v>
      </c>
      <c r="BK1" s="225" t="str">
        <f>Dren_Quantificacao!BJ1</f>
        <v>LANÇAMENTO</v>
      </c>
      <c r="BL1" s="225" t="str">
        <f>Dren_Quantificacao!BK1</f>
        <v>LANÇAMENTO</v>
      </c>
      <c r="BM1" s="367" t="s">
        <v>0</v>
      </c>
      <c r="BN1" s="578" t="s">
        <v>695</v>
      </c>
    </row>
    <row r="2" spans="1:66" ht="21.95" customHeight="1" thickTop="1" thickBot="1" x14ac:dyDescent="0.2">
      <c r="A2" s="2596"/>
      <c r="B2" s="2647" t="s">
        <v>3</v>
      </c>
      <c r="C2" s="2648"/>
      <c r="D2" s="992"/>
      <c r="E2" s="445"/>
      <c r="F2" s="1131">
        <f>Dren_Quantificacao!D3</f>
        <v>0</v>
      </c>
      <c r="G2" s="1131">
        <f ca="1">Dren_Quantificacao!E3</f>
        <v>72.02</v>
      </c>
      <c r="H2" s="1131">
        <f ca="1">Dren_Quantificacao!F3</f>
        <v>59.18</v>
      </c>
      <c r="I2" s="1131">
        <f ca="1">Dren_Quantificacao!G3</f>
        <v>59.18</v>
      </c>
      <c r="J2" s="1131"/>
      <c r="K2" s="1131"/>
      <c r="L2" s="1131"/>
      <c r="M2" s="1131"/>
      <c r="N2" s="2423"/>
      <c r="O2" s="1131">
        <f ca="1">Dren_Quantificacao!M3</f>
        <v>66.88</v>
      </c>
      <c r="P2" s="1131">
        <f ca="1">Dren_Quantificacao!N3</f>
        <v>87.75</v>
      </c>
      <c r="Q2" s="1131">
        <f ca="1">Dren_Quantificacao!O3</f>
        <v>89.12</v>
      </c>
      <c r="R2" s="1131">
        <f ca="1">Dren_Quantificacao!P3</f>
        <v>91.12</v>
      </c>
      <c r="S2" s="1131">
        <f ca="1">Dren_Quantificacao!Q3</f>
        <v>87.12</v>
      </c>
      <c r="T2" s="1131">
        <f ca="1">Dren_Quantificacao!R3</f>
        <v>94.76</v>
      </c>
      <c r="U2" s="1131">
        <f ca="1">Dren_Quantificacao!S3</f>
        <v>94.76</v>
      </c>
      <c r="V2" s="1131">
        <f ca="1">Dren_Quantificacao!T3</f>
        <v>54.76</v>
      </c>
      <c r="W2" s="1131"/>
      <c r="X2" s="2423"/>
      <c r="Y2" s="1131">
        <f ca="1">Dren_Quantificacao!W3</f>
        <v>72.03</v>
      </c>
      <c r="Z2" s="1131">
        <f ca="1">Dren_Quantificacao!X3</f>
        <v>94.68</v>
      </c>
      <c r="AA2" s="1131">
        <f ca="1">Dren_Quantificacao!Y3</f>
        <v>94.68</v>
      </c>
      <c r="AB2" s="1131">
        <f ca="1">Dren_Quantificacao!Z3</f>
        <v>94.68</v>
      </c>
      <c r="AC2" s="1131">
        <f ca="1">Dren_Quantificacao!AA3</f>
        <v>72.12</v>
      </c>
      <c r="AD2" s="1131">
        <f ca="1">Dren_Quantificacao!AB3</f>
        <v>72.05</v>
      </c>
      <c r="AE2" s="1131">
        <f ca="1">Dren_Quantificacao!AC3</f>
        <v>72.3</v>
      </c>
      <c r="AF2" s="1131">
        <f ca="1">Dren_Quantificacao!AD3</f>
        <v>84.78</v>
      </c>
      <c r="AG2" s="1131">
        <f ca="1">Dren_Quantificacao!AE3</f>
        <v>92.19</v>
      </c>
      <c r="AH2" s="1131">
        <f ca="1">Dren_Quantificacao!AF3</f>
        <v>92.19</v>
      </c>
      <c r="AI2" s="1131"/>
      <c r="AJ2" s="1131"/>
      <c r="AK2" s="1131"/>
      <c r="AL2" s="1131"/>
      <c r="AM2" s="1131"/>
      <c r="AN2" s="1131"/>
      <c r="AO2" s="1131"/>
      <c r="AP2" s="1131"/>
      <c r="AQ2" s="1131"/>
      <c r="AR2" s="2423"/>
      <c r="AS2" s="1131">
        <f ca="1">Dren_Quantificacao!AQ3</f>
        <v>72.22</v>
      </c>
      <c r="AT2" s="1131">
        <f ca="1">Dren_Quantificacao!AR3</f>
        <v>72.040000000000006</v>
      </c>
      <c r="AU2" s="1131">
        <f ca="1">Dren_Quantificacao!AS3</f>
        <v>72.02</v>
      </c>
      <c r="AV2" s="1131">
        <f ca="1">Dren_Quantificacao!AT3</f>
        <v>72.010000000000005</v>
      </c>
      <c r="AW2" s="1131">
        <f ca="1">Dren_Quantificacao!AU3</f>
        <v>72.23</v>
      </c>
      <c r="AX2" s="1131">
        <f>Dren_Quantificacao!AW3</f>
        <v>0</v>
      </c>
      <c r="AY2" s="1131">
        <f>Dren_Quantificacao!AX3</f>
        <v>802</v>
      </c>
      <c r="AZ2" s="1131">
        <f>Dren_Quantificacao!AY3</f>
        <v>0</v>
      </c>
      <c r="BA2" s="1131">
        <f>Dren_Quantificacao!AZ3</f>
        <v>66</v>
      </c>
      <c r="BB2" s="1131">
        <f>Dren_Quantificacao!BA3</f>
        <v>0</v>
      </c>
      <c r="BC2" s="1131">
        <f>Dren_Quantificacao!BB3</f>
        <v>0</v>
      </c>
      <c r="BD2" s="1131">
        <f>Dren_Quantificacao!BC3</f>
        <v>0</v>
      </c>
      <c r="BE2" s="1131">
        <f>Dren_Quantificacao!BD3</f>
        <v>0</v>
      </c>
      <c r="BF2" s="1131">
        <f>Dren_Quantificacao!BE3</f>
        <v>0</v>
      </c>
      <c r="BG2" s="1131">
        <f>Dren_Quantificacao!BF3</f>
        <v>0</v>
      </c>
      <c r="BH2" s="1131">
        <f>Dren_Quantificacao!BG3</f>
        <v>0</v>
      </c>
      <c r="BI2" s="1131">
        <f>Dren_Quantificacao!BH3</f>
        <v>0</v>
      </c>
      <c r="BJ2" s="1131">
        <f>Dren_Quantificacao!BI3</f>
        <v>0</v>
      </c>
      <c r="BK2" s="1131">
        <f>Dren_Quantificacao!BJ3</f>
        <v>0</v>
      </c>
      <c r="BL2" s="1131">
        <f>Dren_Quantificacao!BK3</f>
        <v>0</v>
      </c>
      <c r="BM2" s="1132">
        <f ca="1">ROUND(SUM(F2:BL2),2)</f>
        <v>2926.87</v>
      </c>
      <c r="BN2" s="579">
        <f t="shared" ref="BN2:BN41" ca="1" si="0">SUM(F2:BM2)</f>
        <v>5853.74</v>
      </c>
    </row>
    <row r="3" spans="1:66" s="14" customFormat="1" ht="21.95" customHeight="1" x14ac:dyDescent="0.15">
      <c r="A3" s="2596"/>
      <c r="B3" s="2605" t="s">
        <v>91</v>
      </c>
      <c r="C3" s="552" t="s">
        <v>41</v>
      </c>
      <c r="D3" s="993"/>
      <c r="E3" s="441"/>
      <c r="F3" s="228">
        <f>Dren_Quantificacao!D4</f>
        <v>0</v>
      </c>
      <c r="G3" s="228">
        <f ca="1">Dren_Quantificacao!E4</f>
        <v>1</v>
      </c>
      <c r="H3" s="228">
        <f ca="1">Dren_Quantificacao!F4</f>
        <v>1</v>
      </c>
      <c r="I3" s="228">
        <f ca="1">Dren_Quantificacao!G4</f>
        <v>1</v>
      </c>
      <c r="J3" s="228"/>
      <c r="K3" s="228"/>
      <c r="L3" s="228"/>
      <c r="M3" s="228"/>
      <c r="N3" s="2424"/>
      <c r="O3" s="228">
        <f ca="1">Dren_Quantificacao!M4</f>
        <v>1</v>
      </c>
      <c r="P3" s="228">
        <f ca="1">Dren_Quantificacao!N4</f>
        <v>1</v>
      </c>
      <c r="Q3" s="228">
        <f ca="1">Dren_Quantificacao!O4</f>
        <v>1</v>
      </c>
      <c r="R3" s="228">
        <f ca="1">Dren_Quantificacao!P4</f>
        <v>1</v>
      </c>
      <c r="S3" s="228">
        <f ca="1">Dren_Quantificacao!Q4</f>
        <v>1</v>
      </c>
      <c r="T3" s="228">
        <f ca="1">Dren_Quantificacao!R4</f>
        <v>1</v>
      </c>
      <c r="U3" s="228">
        <f ca="1">Dren_Quantificacao!S4</f>
        <v>1</v>
      </c>
      <c r="V3" s="228">
        <f ca="1">Dren_Quantificacao!T4</f>
        <v>1</v>
      </c>
      <c r="W3" s="228"/>
      <c r="X3" s="2424"/>
      <c r="Y3" s="228">
        <f ca="1">Dren_Quantificacao!W4</f>
        <v>1</v>
      </c>
      <c r="Z3" s="228">
        <f ca="1">Dren_Quantificacao!X4</f>
        <v>1</v>
      </c>
      <c r="AA3" s="228">
        <f ca="1">Dren_Quantificacao!Y4</f>
        <v>1</v>
      </c>
      <c r="AB3" s="228">
        <f ca="1">Dren_Quantificacao!Z4</f>
        <v>1</v>
      </c>
      <c r="AC3" s="228">
        <f ca="1">Dren_Quantificacao!AA4</f>
        <v>1</v>
      </c>
      <c r="AD3" s="228">
        <f ca="1">Dren_Quantificacao!AB4</f>
        <v>1</v>
      </c>
      <c r="AE3" s="228">
        <f ca="1">Dren_Quantificacao!AC4</f>
        <v>1</v>
      </c>
      <c r="AF3" s="228">
        <f ca="1">Dren_Quantificacao!AD4</f>
        <v>1</v>
      </c>
      <c r="AG3" s="228">
        <f ca="1">Dren_Quantificacao!AE4</f>
        <v>1</v>
      </c>
      <c r="AH3" s="228">
        <f ca="1">Dren_Quantificacao!AF4</f>
        <v>1</v>
      </c>
      <c r="AI3" s="228"/>
      <c r="AJ3" s="228"/>
      <c r="AK3" s="228"/>
      <c r="AL3" s="228"/>
      <c r="AM3" s="228"/>
      <c r="AN3" s="228"/>
      <c r="AO3" s="228"/>
      <c r="AP3" s="228"/>
      <c r="AQ3" s="228"/>
      <c r="AR3" s="2424"/>
      <c r="AS3" s="228">
        <f ca="1">Dren_Quantificacao!AQ4</f>
        <v>1</v>
      </c>
      <c r="AT3" s="228">
        <f ca="1">Dren_Quantificacao!AR4</f>
        <v>1</v>
      </c>
      <c r="AU3" s="228">
        <f ca="1">Dren_Quantificacao!AS4</f>
        <v>1</v>
      </c>
      <c r="AV3" s="228">
        <f ca="1">Dren_Quantificacao!AT4</f>
        <v>1</v>
      </c>
      <c r="AW3" s="228">
        <f ca="1">Dren_Quantificacao!AU4</f>
        <v>1</v>
      </c>
      <c r="AX3" s="228">
        <f>Dren_Quantificacao!AW4</f>
        <v>1</v>
      </c>
      <c r="AY3" s="228">
        <f>Dren_Quantificacao!AX4</f>
        <v>1</v>
      </c>
      <c r="AZ3" s="228">
        <f>Dren_Quantificacao!AY4</f>
        <v>1</v>
      </c>
      <c r="BA3" s="228">
        <f>Dren_Quantificacao!AZ4</f>
        <v>1</v>
      </c>
      <c r="BB3" s="228">
        <f>Dren_Quantificacao!BA4</f>
        <v>1</v>
      </c>
      <c r="BC3" s="228">
        <f>Dren_Quantificacao!BB4</f>
        <v>1</v>
      </c>
      <c r="BD3" s="228">
        <f>Dren_Quantificacao!BC4</f>
        <v>1</v>
      </c>
      <c r="BE3" s="228">
        <f>Dren_Quantificacao!BD4</f>
        <v>1</v>
      </c>
      <c r="BF3" s="228">
        <f>Dren_Quantificacao!BE4</f>
        <v>1</v>
      </c>
      <c r="BG3" s="228">
        <f>Dren_Quantificacao!BF4</f>
        <v>1</v>
      </c>
      <c r="BH3" s="228">
        <f>Dren_Quantificacao!BG4</f>
        <v>1</v>
      </c>
      <c r="BI3" s="228">
        <f>Dren_Quantificacao!BH4</f>
        <v>1</v>
      </c>
      <c r="BJ3" s="228">
        <f>Dren_Quantificacao!BI4</f>
        <v>0</v>
      </c>
      <c r="BK3" s="228">
        <f>Dren_Quantificacao!BJ4</f>
        <v>0</v>
      </c>
      <c r="BL3" s="228">
        <f>Dren_Quantificacao!BK4</f>
        <v>0</v>
      </c>
      <c r="BM3" s="574"/>
      <c r="BN3" s="579">
        <f t="shared" ca="1" si="0"/>
        <v>38</v>
      </c>
    </row>
    <row r="4" spans="1:66" ht="21.95" customHeight="1" thickBot="1" x14ac:dyDescent="0.2">
      <c r="A4" s="2596"/>
      <c r="B4" s="2606"/>
      <c r="C4" s="567" t="s">
        <v>71</v>
      </c>
      <c r="E4" s="442"/>
      <c r="F4" s="134">
        <f>Dren_Quantificacao!D5</f>
        <v>0</v>
      </c>
      <c r="G4" s="134">
        <f ca="1">Dren_Quantificacao!E5</f>
        <v>0.6</v>
      </c>
      <c r="H4" s="134">
        <f ca="1">Dren_Quantificacao!F5</f>
        <v>0.6</v>
      </c>
      <c r="I4" s="134">
        <f ca="1">Dren_Quantificacao!G5</f>
        <v>0.6</v>
      </c>
      <c r="J4" s="134"/>
      <c r="K4" s="134"/>
      <c r="L4" s="134"/>
      <c r="M4" s="134"/>
      <c r="N4" s="2406"/>
      <c r="O4" s="134">
        <f ca="1">Dren_Quantificacao!M5</f>
        <v>0.6</v>
      </c>
      <c r="P4" s="134">
        <f ca="1">Dren_Quantificacao!N5</f>
        <v>0.6</v>
      </c>
      <c r="Q4" s="134">
        <f ca="1">Dren_Quantificacao!O5</f>
        <v>0.6</v>
      </c>
      <c r="R4" s="134">
        <f ca="1">Dren_Quantificacao!P5</f>
        <v>0.6</v>
      </c>
      <c r="S4" s="134">
        <f ca="1">Dren_Quantificacao!Q5</f>
        <v>0.6</v>
      </c>
      <c r="T4" s="134">
        <f ca="1">Dren_Quantificacao!R5</f>
        <v>1</v>
      </c>
      <c r="U4" s="134">
        <f ca="1">Dren_Quantificacao!S5</f>
        <v>1</v>
      </c>
      <c r="V4" s="134">
        <f ca="1">Dren_Quantificacao!T5</f>
        <v>1</v>
      </c>
      <c r="W4" s="134"/>
      <c r="X4" s="2406"/>
      <c r="Y4" s="134">
        <f ca="1">Dren_Quantificacao!W5</f>
        <v>0.8</v>
      </c>
      <c r="Z4" s="134">
        <f ca="1">Dren_Quantificacao!X5</f>
        <v>0.6</v>
      </c>
      <c r="AA4" s="134">
        <f ca="1">Dren_Quantificacao!Y5</f>
        <v>0.6</v>
      </c>
      <c r="AB4" s="134">
        <f ca="1">Dren_Quantificacao!Z5</f>
        <v>0.6</v>
      </c>
      <c r="AC4" s="134">
        <f ca="1">Dren_Quantificacao!AA5</f>
        <v>0.8</v>
      </c>
      <c r="AD4" s="134">
        <f ca="1">Dren_Quantificacao!AB5</f>
        <v>0.8</v>
      </c>
      <c r="AE4" s="134">
        <f ca="1">Dren_Quantificacao!AC5</f>
        <v>0.8</v>
      </c>
      <c r="AF4" s="134">
        <f ca="1">Dren_Quantificacao!AD5</f>
        <v>1</v>
      </c>
      <c r="AG4" s="134">
        <f ca="1">Dren_Quantificacao!AE5</f>
        <v>1</v>
      </c>
      <c r="AH4" s="134">
        <f ca="1">Dren_Quantificacao!AF5</f>
        <v>1</v>
      </c>
      <c r="AI4" s="134"/>
      <c r="AJ4" s="134"/>
      <c r="AK4" s="134"/>
      <c r="AL4" s="134"/>
      <c r="AM4" s="134"/>
      <c r="AN4" s="134"/>
      <c r="AO4" s="134"/>
      <c r="AP4" s="134"/>
      <c r="AQ4" s="134"/>
      <c r="AR4" s="2406"/>
      <c r="AS4" s="134">
        <f ca="1">Dren_Quantificacao!AQ5</f>
        <v>0.6</v>
      </c>
      <c r="AT4" s="134">
        <f ca="1">Dren_Quantificacao!AR5</f>
        <v>0.8</v>
      </c>
      <c r="AU4" s="134">
        <f ca="1">Dren_Quantificacao!AS5</f>
        <v>0.8</v>
      </c>
      <c r="AV4" s="134">
        <f ca="1">Dren_Quantificacao!AT5</f>
        <v>0.8</v>
      </c>
      <c r="AW4" s="134">
        <f ca="1">Dren_Quantificacao!AU5</f>
        <v>1</v>
      </c>
      <c r="AX4" s="134">
        <f>Dren_Quantificacao!AW5</f>
        <v>0.4</v>
      </c>
      <c r="AY4" s="134">
        <f>Dren_Quantificacao!AX5</f>
        <v>0.4</v>
      </c>
      <c r="AZ4" s="134">
        <f>Dren_Quantificacao!AY5</f>
        <v>0.6</v>
      </c>
      <c r="BA4" s="134">
        <f>Dren_Quantificacao!AZ5</f>
        <v>0.6</v>
      </c>
      <c r="BB4" s="134">
        <f>Dren_Quantificacao!BA5</f>
        <v>0.4</v>
      </c>
      <c r="BC4" s="134">
        <f>Dren_Quantificacao!BB5</f>
        <v>0.6</v>
      </c>
      <c r="BD4" s="134">
        <f>Dren_Quantificacao!BC5</f>
        <v>0.4</v>
      </c>
      <c r="BE4" s="134">
        <f>Dren_Quantificacao!BD5</f>
        <v>0.4</v>
      </c>
      <c r="BF4" s="134">
        <f>Dren_Quantificacao!BE5</f>
        <v>0.5</v>
      </c>
      <c r="BG4" s="134">
        <f>Dren_Quantificacao!BF5</f>
        <v>0.5</v>
      </c>
      <c r="BH4" s="134">
        <f>Dren_Quantificacao!BG5</f>
        <v>0.4</v>
      </c>
      <c r="BI4" s="134">
        <f>Dren_Quantificacao!BH5</f>
        <v>0.5</v>
      </c>
      <c r="BJ4" s="134">
        <f>Dren_Quantificacao!BI5</f>
        <v>0</v>
      </c>
      <c r="BK4" s="134">
        <f>Dren_Quantificacao!BJ5</f>
        <v>0</v>
      </c>
      <c r="BL4" s="134">
        <f>Dren_Quantificacao!BK5</f>
        <v>0</v>
      </c>
      <c r="BM4" s="575"/>
      <c r="BN4" s="579">
        <f t="shared" ca="1" si="0"/>
        <v>25.5</v>
      </c>
    </row>
    <row r="5" spans="1:66" ht="21.95" hidden="1" customHeight="1" thickBot="1" x14ac:dyDescent="0.2">
      <c r="A5" s="2596"/>
      <c r="B5" s="2607"/>
      <c r="C5" s="566" t="s">
        <v>469</v>
      </c>
      <c r="D5" s="987"/>
      <c r="E5" s="231"/>
      <c r="F5" s="233">
        <f>Dren_Quantificacao!D7</f>
        <v>0</v>
      </c>
      <c r="G5" s="233">
        <f ca="1">Dren_Quantificacao!E7</f>
        <v>0</v>
      </c>
      <c r="H5" s="233">
        <f ca="1">Dren_Quantificacao!F7</f>
        <v>0</v>
      </c>
      <c r="I5" s="233">
        <f ca="1">Dren_Quantificacao!G7</f>
        <v>0</v>
      </c>
      <c r="J5" s="233"/>
      <c r="K5" s="233"/>
      <c r="L5" s="233"/>
      <c r="M5" s="233"/>
      <c r="N5" s="2425"/>
      <c r="O5" s="233">
        <f ca="1">Dren_Quantificacao!M7</f>
        <v>0</v>
      </c>
      <c r="P5" s="233">
        <f ca="1">Dren_Quantificacao!N7</f>
        <v>0</v>
      </c>
      <c r="Q5" s="233">
        <f ca="1">Dren_Quantificacao!O7</f>
        <v>0</v>
      </c>
      <c r="R5" s="233">
        <f ca="1">Dren_Quantificacao!P7</f>
        <v>0</v>
      </c>
      <c r="S5" s="233">
        <f ca="1">Dren_Quantificacao!Q7</f>
        <v>0</v>
      </c>
      <c r="T5" s="233">
        <f ca="1">Dren_Quantificacao!R7</f>
        <v>0</v>
      </c>
      <c r="U5" s="233">
        <f ca="1">Dren_Quantificacao!S7</f>
        <v>0</v>
      </c>
      <c r="V5" s="233">
        <f ca="1">Dren_Quantificacao!T7</f>
        <v>0</v>
      </c>
      <c r="W5" s="233"/>
      <c r="X5" s="2425"/>
      <c r="Y5" s="233">
        <f ca="1">Dren_Quantificacao!W7</f>
        <v>0</v>
      </c>
      <c r="Z5" s="233">
        <f ca="1">Dren_Quantificacao!X7</f>
        <v>0</v>
      </c>
      <c r="AA5" s="233">
        <f ca="1">Dren_Quantificacao!Y7</f>
        <v>0</v>
      </c>
      <c r="AB5" s="233">
        <f ca="1">Dren_Quantificacao!Z7</f>
        <v>0</v>
      </c>
      <c r="AC5" s="233">
        <f ca="1">Dren_Quantificacao!AA7</f>
        <v>0</v>
      </c>
      <c r="AD5" s="233">
        <f ca="1">Dren_Quantificacao!AB7</f>
        <v>0</v>
      </c>
      <c r="AE5" s="233">
        <f ca="1">Dren_Quantificacao!AC7</f>
        <v>0</v>
      </c>
      <c r="AF5" s="233">
        <f ca="1">Dren_Quantificacao!AD7</f>
        <v>0</v>
      </c>
      <c r="AG5" s="233">
        <f ca="1">Dren_Quantificacao!AE7</f>
        <v>0</v>
      </c>
      <c r="AH5" s="233">
        <f ca="1">Dren_Quantificacao!AF7</f>
        <v>0</v>
      </c>
      <c r="AI5" s="233"/>
      <c r="AJ5" s="233"/>
      <c r="AK5" s="233"/>
      <c r="AL5" s="233"/>
      <c r="AM5" s="233"/>
      <c r="AN5" s="233"/>
      <c r="AO5" s="233"/>
      <c r="AP5" s="233"/>
      <c r="AQ5" s="233"/>
      <c r="AR5" s="2425"/>
      <c r="AS5" s="233">
        <f ca="1">Dren_Quantificacao!AQ7</f>
        <v>0</v>
      </c>
      <c r="AT5" s="233">
        <f ca="1">Dren_Quantificacao!AR7</f>
        <v>0</v>
      </c>
      <c r="AU5" s="233">
        <f ca="1">Dren_Quantificacao!AS7</f>
        <v>0</v>
      </c>
      <c r="AV5" s="233">
        <f ca="1">Dren_Quantificacao!AT7</f>
        <v>0</v>
      </c>
      <c r="AW5" s="233">
        <f ca="1">Dren_Quantificacao!AU7</f>
        <v>0</v>
      </c>
      <c r="AX5" s="233">
        <f>Dren_Quantificacao!AW7</f>
        <v>0</v>
      </c>
      <c r="AY5" s="233">
        <f>Dren_Quantificacao!AX7</f>
        <v>0</v>
      </c>
      <c r="AZ5" s="233">
        <f>Dren_Quantificacao!AY7</f>
        <v>0</v>
      </c>
      <c r="BA5" s="233">
        <f>Dren_Quantificacao!AZ7</f>
        <v>0</v>
      </c>
      <c r="BB5" s="233">
        <f>Dren_Quantificacao!BA7</f>
        <v>0</v>
      </c>
      <c r="BC5" s="233">
        <f>Dren_Quantificacao!BB7</f>
        <v>0</v>
      </c>
      <c r="BD5" s="233">
        <f>Dren_Quantificacao!BC7</f>
        <v>0</v>
      </c>
      <c r="BE5" s="233">
        <f>Dren_Quantificacao!BD7</f>
        <v>0</v>
      </c>
      <c r="BF5" s="233">
        <f>Dren_Quantificacao!BE7</f>
        <v>0</v>
      </c>
      <c r="BG5" s="233">
        <f>Dren_Quantificacao!BF7</f>
        <v>0</v>
      </c>
      <c r="BH5" s="233">
        <f>Dren_Quantificacao!BG7</f>
        <v>0</v>
      </c>
      <c r="BI5" s="233">
        <f>Dren_Quantificacao!BH7</f>
        <v>0</v>
      </c>
      <c r="BJ5" s="233">
        <f>Dren_Quantificacao!BI7</f>
        <v>0</v>
      </c>
      <c r="BK5" s="233">
        <f>Dren_Quantificacao!BJ7</f>
        <v>0</v>
      </c>
      <c r="BL5" s="233">
        <f>Dren_Quantificacao!BK7</f>
        <v>0</v>
      </c>
      <c r="BM5" s="576"/>
      <c r="BN5" s="579">
        <f t="shared" ca="1" si="0"/>
        <v>0</v>
      </c>
    </row>
    <row r="6" spans="1:66" ht="21.95" customHeight="1" x14ac:dyDescent="0.15">
      <c r="A6" s="2596"/>
      <c r="B6" s="2653" t="s">
        <v>470</v>
      </c>
      <c r="C6" s="550" t="s">
        <v>475</v>
      </c>
      <c r="D6" s="985"/>
      <c r="E6" s="441"/>
      <c r="F6" s="424">
        <v>0.5</v>
      </c>
      <c r="G6" s="424">
        <v>0.5</v>
      </c>
      <c r="H6" s="424">
        <v>0.5</v>
      </c>
      <c r="I6" s="424">
        <v>0.5</v>
      </c>
      <c r="J6" s="424"/>
      <c r="K6" s="424"/>
      <c r="L6" s="424"/>
      <c r="M6" s="424"/>
      <c r="N6" s="2426"/>
      <c r="O6" s="424">
        <v>0.5</v>
      </c>
      <c r="P6" s="424">
        <v>0.5</v>
      </c>
      <c r="Q6" s="424">
        <v>0.5</v>
      </c>
      <c r="R6" s="424">
        <v>0.5</v>
      </c>
      <c r="S6" s="424">
        <v>0.5</v>
      </c>
      <c r="T6" s="424">
        <v>0.5</v>
      </c>
      <c r="U6" s="424">
        <v>0.5</v>
      </c>
      <c r="V6" s="424">
        <v>0.5</v>
      </c>
      <c r="W6" s="424"/>
      <c r="X6" s="2426"/>
      <c r="Y6" s="424">
        <v>0.5</v>
      </c>
      <c r="Z6" s="424">
        <v>0.5</v>
      </c>
      <c r="AA6" s="424">
        <v>0.5</v>
      </c>
      <c r="AB6" s="424">
        <v>0.5</v>
      </c>
      <c r="AC6" s="424">
        <v>0.5</v>
      </c>
      <c r="AD6" s="424">
        <v>0.5</v>
      </c>
      <c r="AE6" s="424">
        <v>0.5</v>
      </c>
      <c r="AF6" s="424">
        <v>0.5</v>
      </c>
      <c r="AG6" s="424">
        <v>0.5</v>
      </c>
      <c r="AH6" s="424">
        <v>0.5</v>
      </c>
      <c r="AI6" s="424"/>
      <c r="AJ6" s="424"/>
      <c r="AK6" s="424"/>
      <c r="AL6" s="424"/>
      <c r="AM6" s="424"/>
      <c r="AN6" s="424"/>
      <c r="AO6" s="424"/>
      <c r="AP6" s="424"/>
      <c r="AQ6" s="424"/>
      <c r="AR6" s="2426"/>
      <c r="AS6" s="424">
        <v>0.5</v>
      </c>
      <c r="AT6" s="424">
        <v>0.5</v>
      </c>
      <c r="AU6" s="424">
        <v>0.5</v>
      </c>
      <c r="AV6" s="424">
        <v>0.5</v>
      </c>
      <c r="AW6" s="424">
        <v>0.5</v>
      </c>
      <c r="AX6" s="424">
        <v>0.5</v>
      </c>
      <c r="AY6" s="424">
        <v>0.5</v>
      </c>
      <c r="AZ6" s="424">
        <v>0.5</v>
      </c>
      <c r="BA6" s="424">
        <v>0.5</v>
      </c>
      <c r="BB6" s="424">
        <v>0.5</v>
      </c>
      <c r="BC6" s="424">
        <v>0.5</v>
      </c>
      <c r="BD6" s="424">
        <v>0.5</v>
      </c>
      <c r="BE6" s="424">
        <v>0.5</v>
      </c>
      <c r="BF6" s="424">
        <v>0.5</v>
      </c>
      <c r="BG6" s="424">
        <v>0.5</v>
      </c>
      <c r="BH6" s="424">
        <v>0.5</v>
      </c>
      <c r="BI6" s="424">
        <v>0.5</v>
      </c>
      <c r="BJ6" s="424">
        <v>0.5</v>
      </c>
      <c r="BK6" s="424">
        <v>0.5</v>
      </c>
      <c r="BL6" s="424">
        <v>0.5</v>
      </c>
      <c r="BM6" s="574"/>
      <c r="BN6" s="579">
        <f t="shared" si="0"/>
        <v>21</v>
      </c>
    </row>
    <row r="7" spans="1:66" ht="21.95" customHeight="1" x14ac:dyDescent="0.15">
      <c r="A7" s="2596"/>
      <c r="B7" s="2654"/>
      <c r="C7" s="975" t="s">
        <v>1218</v>
      </c>
      <c r="E7" s="978"/>
      <c r="F7" s="1133">
        <f t="shared" ref="F7" si="1">F13+F20</f>
        <v>0</v>
      </c>
      <c r="G7" s="1133">
        <f t="shared" ref="G7" si="2">G13+G20</f>
        <v>0</v>
      </c>
      <c r="H7" s="1133">
        <f t="shared" ref="H7:I7" si="3">H13+H20</f>
        <v>0</v>
      </c>
      <c r="I7" s="1133">
        <f t="shared" si="3"/>
        <v>0</v>
      </c>
      <c r="J7" s="1133"/>
      <c r="K7" s="1133"/>
      <c r="L7" s="1133"/>
      <c r="M7" s="1133"/>
      <c r="N7" s="2427"/>
      <c r="O7" s="1133">
        <f t="shared" ref="O7:V7" si="4">O13+O20</f>
        <v>0</v>
      </c>
      <c r="P7" s="1133">
        <f t="shared" si="4"/>
        <v>0</v>
      </c>
      <c r="Q7" s="1133">
        <f t="shared" si="4"/>
        <v>0</v>
      </c>
      <c r="R7" s="1133">
        <f t="shared" si="4"/>
        <v>0</v>
      </c>
      <c r="S7" s="1133">
        <f t="shared" si="4"/>
        <v>0</v>
      </c>
      <c r="T7" s="1133">
        <f t="shared" si="4"/>
        <v>8</v>
      </c>
      <c r="U7" s="1133">
        <f t="shared" si="4"/>
        <v>0</v>
      </c>
      <c r="V7" s="1133">
        <f t="shared" si="4"/>
        <v>0</v>
      </c>
      <c r="W7" s="1133"/>
      <c r="X7" s="2427"/>
      <c r="Y7" s="1133">
        <f t="shared" ref="Y7:AH7" si="5">Y13+Y20</f>
        <v>0</v>
      </c>
      <c r="Z7" s="1133">
        <f t="shared" si="5"/>
        <v>0</v>
      </c>
      <c r="AA7" s="1133">
        <f t="shared" si="5"/>
        <v>0</v>
      </c>
      <c r="AB7" s="1133">
        <f t="shared" si="5"/>
        <v>0</v>
      </c>
      <c r="AC7" s="1133">
        <f t="shared" si="5"/>
        <v>0</v>
      </c>
      <c r="AD7" s="1133">
        <f t="shared" si="5"/>
        <v>0</v>
      </c>
      <c r="AE7" s="1133">
        <f t="shared" si="5"/>
        <v>0</v>
      </c>
      <c r="AF7" s="1133">
        <f t="shared" si="5"/>
        <v>52</v>
      </c>
      <c r="AG7" s="1133">
        <f t="shared" si="5"/>
        <v>0</v>
      </c>
      <c r="AH7" s="1133">
        <f t="shared" si="5"/>
        <v>0</v>
      </c>
      <c r="AI7" s="1133"/>
      <c r="AJ7" s="1133"/>
      <c r="AK7" s="1133"/>
      <c r="AL7" s="1133"/>
      <c r="AM7" s="1133"/>
      <c r="AN7" s="1133"/>
      <c r="AO7" s="1133"/>
      <c r="AP7" s="1133"/>
      <c r="AQ7" s="1133"/>
      <c r="AR7" s="2427"/>
      <c r="AS7" s="1133">
        <f t="shared" ref="AS7:AW7" si="6">AS13+AS20</f>
        <v>0</v>
      </c>
      <c r="AT7" s="1133">
        <f t="shared" si="6"/>
        <v>0</v>
      </c>
      <c r="AU7" s="1133">
        <f t="shared" si="6"/>
        <v>0</v>
      </c>
      <c r="AV7" s="1133">
        <f t="shared" si="6"/>
        <v>0</v>
      </c>
      <c r="AW7" s="1133">
        <f t="shared" si="6"/>
        <v>0</v>
      </c>
      <c r="AX7" s="1133">
        <f t="shared" ref="AX7" si="7">AX13+AX20</f>
        <v>0</v>
      </c>
      <c r="AY7" s="1133">
        <f t="shared" ref="AY7:BL7" si="8">AY13+AY20</f>
        <v>0</v>
      </c>
      <c r="AZ7" s="1133">
        <f t="shared" si="8"/>
        <v>0</v>
      </c>
      <c r="BA7" s="1133">
        <f t="shared" si="8"/>
        <v>0</v>
      </c>
      <c r="BB7" s="1133">
        <f t="shared" si="8"/>
        <v>0</v>
      </c>
      <c r="BC7" s="1133">
        <f t="shared" si="8"/>
        <v>0</v>
      </c>
      <c r="BD7" s="1133">
        <f t="shared" si="8"/>
        <v>0</v>
      </c>
      <c r="BE7" s="1133">
        <f t="shared" si="8"/>
        <v>0</v>
      </c>
      <c r="BF7" s="1133">
        <f t="shared" si="8"/>
        <v>0</v>
      </c>
      <c r="BG7" s="1133">
        <f t="shared" si="8"/>
        <v>0</v>
      </c>
      <c r="BH7" s="1133">
        <f t="shared" si="8"/>
        <v>0</v>
      </c>
      <c r="BI7" s="1133">
        <f t="shared" si="8"/>
        <v>0</v>
      </c>
      <c r="BJ7" s="1133">
        <f t="shared" si="8"/>
        <v>0</v>
      </c>
      <c r="BK7" s="1133">
        <f t="shared" si="8"/>
        <v>0</v>
      </c>
      <c r="BL7" s="1133">
        <f t="shared" si="8"/>
        <v>0</v>
      </c>
      <c r="BM7" s="1134"/>
      <c r="BN7" s="579">
        <f t="shared" si="0"/>
        <v>60</v>
      </c>
    </row>
    <row r="8" spans="1:66" ht="21.95" customHeight="1" thickBot="1" x14ac:dyDescent="0.2">
      <c r="A8" s="2596"/>
      <c r="B8" s="2655"/>
      <c r="C8" s="566" t="s">
        <v>1217</v>
      </c>
      <c r="D8" s="987"/>
      <c r="E8" s="231"/>
      <c r="F8" s="1135">
        <f t="shared" ref="F8" si="9">F6*F2</f>
        <v>0</v>
      </c>
      <c r="G8" s="1135">
        <f t="shared" ref="G8" ca="1" si="10">G6*G2</f>
        <v>36.01</v>
      </c>
      <c r="H8" s="1135">
        <f t="shared" ref="H8:I8" ca="1" si="11">H6*H2</f>
        <v>29.59</v>
      </c>
      <c r="I8" s="1135">
        <f t="shared" ca="1" si="11"/>
        <v>29.59</v>
      </c>
      <c r="J8" s="1135"/>
      <c r="K8" s="1135"/>
      <c r="L8" s="1135"/>
      <c r="M8" s="1135"/>
      <c r="N8" s="2428"/>
      <c r="O8" s="1135">
        <f t="shared" ref="O8:V8" ca="1" si="12">O6*O2</f>
        <v>33.44</v>
      </c>
      <c r="P8" s="1135">
        <f t="shared" ca="1" si="12"/>
        <v>43.875</v>
      </c>
      <c r="Q8" s="1135">
        <f t="shared" ca="1" si="12"/>
        <v>44.56</v>
      </c>
      <c r="R8" s="1135">
        <f t="shared" ca="1" si="12"/>
        <v>45.56</v>
      </c>
      <c r="S8" s="1135">
        <f t="shared" ca="1" si="12"/>
        <v>43.56</v>
      </c>
      <c r="T8" s="1135">
        <f t="shared" ca="1" si="12"/>
        <v>47.38</v>
      </c>
      <c r="U8" s="1135">
        <f t="shared" ca="1" si="12"/>
        <v>47.38</v>
      </c>
      <c r="V8" s="1135">
        <f t="shared" ca="1" si="12"/>
        <v>27.38</v>
      </c>
      <c r="W8" s="1135"/>
      <c r="X8" s="2428"/>
      <c r="Y8" s="1135">
        <f t="shared" ref="Y8:AH8" ca="1" si="13">Y6*Y2</f>
        <v>36.015000000000001</v>
      </c>
      <c r="Z8" s="1135">
        <f t="shared" ca="1" si="13"/>
        <v>47.34</v>
      </c>
      <c r="AA8" s="1135">
        <f t="shared" ca="1" si="13"/>
        <v>47.34</v>
      </c>
      <c r="AB8" s="1135">
        <f t="shared" ca="1" si="13"/>
        <v>47.34</v>
      </c>
      <c r="AC8" s="1135">
        <f t="shared" ca="1" si="13"/>
        <v>36.06</v>
      </c>
      <c r="AD8" s="1135">
        <f t="shared" ca="1" si="13"/>
        <v>36.024999999999999</v>
      </c>
      <c r="AE8" s="1135">
        <f t="shared" ca="1" si="13"/>
        <v>36.15</v>
      </c>
      <c r="AF8" s="1135">
        <f t="shared" ca="1" si="13"/>
        <v>42.39</v>
      </c>
      <c r="AG8" s="1135">
        <f t="shared" ca="1" si="13"/>
        <v>46.094999999999999</v>
      </c>
      <c r="AH8" s="1135">
        <f t="shared" ca="1" si="13"/>
        <v>46.094999999999999</v>
      </c>
      <c r="AI8" s="1135"/>
      <c r="AJ8" s="1135"/>
      <c r="AK8" s="1135"/>
      <c r="AL8" s="1135"/>
      <c r="AM8" s="1135"/>
      <c r="AN8" s="1135"/>
      <c r="AO8" s="1135"/>
      <c r="AP8" s="1135"/>
      <c r="AQ8" s="1135"/>
      <c r="AR8" s="2428"/>
      <c r="AS8" s="1135">
        <f t="shared" ref="AS8:AW8" ca="1" si="14">AS6*AS2</f>
        <v>36.11</v>
      </c>
      <c r="AT8" s="1135">
        <f t="shared" ca="1" si="14"/>
        <v>36.020000000000003</v>
      </c>
      <c r="AU8" s="1135">
        <f t="shared" ca="1" si="14"/>
        <v>36.01</v>
      </c>
      <c r="AV8" s="1135">
        <f t="shared" ca="1" si="14"/>
        <v>36.005000000000003</v>
      </c>
      <c r="AW8" s="1135">
        <f t="shared" ca="1" si="14"/>
        <v>36.115000000000002</v>
      </c>
      <c r="AX8" s="1135">
        <f t="shared" ref="AX8" si="15">AX6*AX2</f>
        <v>0</v>
      </c>
      <c r="AY8" s="1135">
        <f t="shared" ref="AY8:BL8" si="16">AY6*AY2</f>
        <v>401</v>
      </c>
      <c r="AZ8" s="1135">
        <f t="shared" si="16"/>
        <v>0</v>
      </c>
      <c r="BA8" s="1135">
        <f t="shared" si="16"/>
        <v>33</v>
      </c>
      <c r="BB8" s="1135">
        <f t="shared" si="16"/>
        <v>0</v>
      </c>
      <c r="BC8" s="1135">
        <f t="shared" si="16"/>
        <v>0</v>
      </c>
      <c r="BD8" s="1135">
        <f t="shared" si="16"/>
        <v>0</v>
      </c>
      <c r="BE8" s="1135">
        <f t="shared" si="16"/>
        <v>0</v>
      </c>
      <c r="BF8" s="1135">
        <f t="shared" si="16"/>
        <v>0</v>
      </c>
      <c r="BG8" s="1135">
        <f t="shared" si="16"/>
        <v>0</v>
      </c>
      <c r="BH8" s="1135">
        <f t="shared" si="16"/>
        <v>0</v>
      </c>
      <c r="BI8" s="1135">
        <f t="shared" si="16"/>
        <v>0</v>
      </c>
      <c r="BJ8" s="1135">
        <f t="shared" si="16"/>
        <v>0</v>
      </c>
      <c r="BK8" s="1135">
        <f t="shared" si="16"/>
        <v>0</v>
      </c>
      <c r="BL8" s="1135">
        <f t="shared" si="16"/>
        <v>0</v>
      </c>
      <c r="BM8" s="1136">
        <f ca="1">ROUND(SUM(F8:BL8),2)</f>
        <v>1463.44</v>
      </c>
      <c r="BN8" s="579">
        <f t="shared" ca="1" si="0"/>
        <v>2926.875</v>
      </c>
    </row>
    <row r="9" spans="1:66" ht="21.95" customHeight="1" x14ac:dyDescent="0.15">
      <c r="A9" s="2596"/>
      <c r="B9" s="2649" t="s">
        <v>1216</v>
      </c>
      <c r="C9" s="550" t="s">
        <v>316</v>
      </c>
      <c r="D9" s="985"/>
      <c r="E9" s="443"/>
      <c r="F9" s="1137">
        <f t="shared" ref="F9" si="17">IF(F13&gt;0,0.8,0)</f>
        <v>0</v>
      </c>
      <c r="G9" s="1137">
        <f t="shared" ref="G9" si="18">IF(G13&gt;0,0.8,0)</f>
        <v>0</v>
      </c>
      <c r="H9" s="1137">
        <f t="shared" ref="H9:I9" si="19">IF(H13&gt;0,0.8,0)</f>
        <v>0</v>
      </c>
      <c r="I9" s="1137">
        <f t="shared" si="19"/>
        <v>0</v>
      </c>
      <c r="J9" s="1137"/>
      <c r="K9" s="1137"/>
      <c r="L9" s="1137"/>
      <c r="M9" s="1137"/>
      <c r="N9" s="2429"/>
      <c r="O9" s="1137">
        <f t="shared" ref="O9:V9" si="20">IF(O13&gt;0,0.8,0)</f>
        <v>0</v>
      </c>
      <c r="P9" s="1137">
        <f t="shared" si="20"/>
        <v>0</v>
      </c>
      <c r="Q9" s="1137">
        <f t="shared" si="20"/>
        <v>0</v>
      </c>
      <c r="R9" s="1137">
        <f t="shared" si="20"/>
        <v>0</v>
      </c>
      <c r="S9" s="1137">
        <f t="shared" si="20"/>
        <v>0</v>
      </c>
      <c r="T9" s="1137">
        <f t="shared" si="20"/>
        <v>0.8</v>
      </c>
      <c r="U9" s="1137">
        <f t="shared" si="20"/>
        <v>0</v>
      </c>
      <c r="V9" s="1137">
        <f t="shared" si="20"/>
        <v>0</v>
      </c>
      <c r="W9" s="1137"/>
      <c r="X9" s="2429"/>
      <c r="Y9" s="1137">
        <f t="shared" ref="Y9:AH9" si="21">IF(Y13&gt;0,0.8,0)</f>
        <v>0</v>
      </c>
      <c r="Z9" s="1137">
        <f t="shared" si="21"/>
        <v>0</v>
      </c>
      <c r="AA9" s="1137">
        <f t="shared" si="21"/>
        <v>0</v>
      </c>
      <c r="AB9" s="1137">
        <f t="shared" si="21"/>
        <v>0</v>
      </c>
      <c r="AC9" s="1137">
        <f t="shared" si="21"/>
        <v>0</v>
      </c>
      <c r="AD9" s="1137">
        <f t="shared" si="21"/>
        <v>0</v>
      </c>
      <c r="AE9" s="1137">
        <f t="shared" si="21"/>
        <v>0</v>
      </c>
      <c r="AF9" s="1137">
        <f t="shared" si="21"/>
        <v>0.8</v>
      </c>
      <c r="AG9" s="1137">
        <f t="shared" si="21"/>
        <v>0</v>
      </c>
      <c r="AH9" s="1137">
        <f t="shared" si="21"/>
        <v>0</v>
      </c>
      <c r="AI9" s="1137"/>
      <c r="AJ9" s="1137"/>
      <c r="AK9" s="1137"/>
      <c r="AL9" s="1137"/>
      <c r="AM9" s="1137"/>
      <c r="AN9" s="1137"/>
      <c r="AO9" s="1137"/>
      <c r="AP9" s="1137"/>
      <c r="AQ9" s="1137"/>
      <c r="AR9" s="2429"/>
      <c r="AS9" s="1137">
        <f t="shared" ref="AS9:AW9" si="22">IF(AS13&gt;0,0.8,0)</f>
        <v>0</v>
      </c>
      <c r="AT9" s="1137">
        <f t="shared" si="22"/>
        <v>0</v>
      </c>
      <c r="AU9" s="1137">
        <f t="shared" si="22"/>
        <v>0</v>
      </c>
      <c r="AV9" s="1137">
        <f t="shared" si="22"/>
        <v>0</v>
      </c>
      <c r="AW9" s="1137">
        <f t="shared" si="22"/>
        <v>0</v>
      </c>
      <c r="AX9" s="1137">
        <f t="shared" ref="AX9" si="23">IF(AX13&gt;0,0.8,0)</f>
        <v>0</v>
      </c>
      <c r="AY9" s="1137">
        <f t="shared" ref="AY9:BL9" si="24">IF(AY13&gt;0,0.8,0)</f>
        <v>0</v>
      </c>
      <c r="AZ9" s="1137">
        <f t="shared" si="24"/>
        <v>0</v>
      </c>
      <c r="BA9" s="1137">
        <f t="shared" si="24"/>
        <v>0</v>
      </c>
      <c r="BB9" s="1137">
        <f t="shared" si="24"/>
        <v>0</v>
      </c>
      <c r="BC9" s="1137">
        <f t="shared" si="24"/>
        <v>0</v>
      </c>
      <c r="BD9" s="1137">
        <f t="shared" si="24"/>
        <v>0</v>
      </c>
      <c r="BE9" s="1137">
        <f t="shared" si="24"/>
        <v>0</v>
      </c>
      <c r="BF9" s="1137">
        <f t="shared" si="24"/>
        <v>0</v>
      </c>
      <c r="BG9" s="1137">
        <f t="shared" si="24"/>
        <v>0</v>
      </c>
      <c r="BH9" s="1137">
        <f t="shared" si="24"/>
        <v>0</v>
      </c>
      <c r="BI9" s="1137">
        <f t="shared" si="24"/>
        <v>0</v>
      </c>
      <c r="BJ9" s="1137">
        <f t="shared" si="24"/>
        <v>0</v>
      </c>
      <c r="BK9" s="1137">
        <f t="shared" si="24"/>
        <v>0</v>
      </c>
      <c r="BL9" s="1137">
        <f t="shared" si="24"/>
        <v>0</v>
      </c>
      <c r="BM9" s="1138"/>
      <c r="BN9" s="579">
        <f t="shared" si="0"/>
        <v>1.6</v>
      </c>
    </row>
    <row r="10" spans="1:66" ht="21.95" customHeight="1" x14ac:dyDescent="0.15">
      <c r="A10" s="2596"/>
      <c r="B10" s="2622"/>
      <c r="C10" s="567" t="s">
        <v>317</v>
      </c>
      <c r="E10" s="442"/>
      <c r="F10" s="1139">
        <f t="shared" ref="F10" si="25">IF(F9&gt;0,0.6,0)</f>
        <v>0</v>
      </c>
      <c r="G10" s="1139">
        <f t="shared" ref="G10" si="26">IF(G9&gt;0,0.6,0)</f>
        <v>0</v>
      </c>
      <c r="H10" s="1139">
        <f t="shared" ref="H10:I10" si="27">IF(H9&gt;0,0.6,0)</f>
        <v>0</v>
      </c>
      <c r="I10" s="1139">
        <f t="shared" si="27"/>
        <v>0</v>
      </c>
      <c r="J10" s="1139"/>
      <c r="K10" s="1139"/>
      <c r="L10" s="1139"/>
      <c r="M10" s="1139"/>
      <c r="N10" s="2430"/>
      <c r="O10" s="1139">
        <f t="shared" ref="O10:V10" si="28">IF(O9&gt;0,0.6,0)</f>
        <v>0</v>
      </c>
      <c r="P10" s="1139">
        <f t="shared" si="28"/>
        <v>0</v>
      </c>
      <c r="Q10" s="1139">
        <f t="shared" si="28"/>
        <v>0</v>
      </c>
      <c r="R10" s="1139">
        <f t="shared" si="28"/>
        <v>0</v>
      </c>
      <c r="S10" s="1139">
        <f t="shared" si="28"/>
        <v>0</v>
      </c>
      <c r="T10" s="1139">
        <f t="shared" si="28"/>
        <v>0.6</v>
      </c>
      <c r="U10" s="1139">
        <f t="shared" si="28"/>
        <v>0</v>
      </c>
      <c r="V10" s="1139">
        <f t="shared" si="28"/>
        <v>0</v>
      </c>
      <c r="W10" s="1139"/>
      <c r="X10" s="2430"/>
      <c r="Y10" s="1139">
        <f t="shared" ref="Y10:AH10" si="29">IF(Y9&gt;0,0.6,0)</f>
        <v>0</v>
      </c>
      <c r="Z10" s="1139">
        <f t="shared" si="29"/>
        <v>0</v>
      </c>
      <c r="AA10" s="1139">
        <f t="shared" si="29"/>
        <v>0</v>
      </c>
      <c r="AB10" s="1139">
        <f t="shared" si="29"/>
        <v>0</v>
      </c>
      <c r="AC10" s="1139">
        <f t="shared" si="29"/>
        <v>0</v>
      </c>
      <c r="AD10" s="1139">
        <f t="shared" si="29"/>
        <v>0</v>
      </c>
      <c r="AE10" s="1139">
        <f t="shared" si="29"/>
        <v>0</v>
      </c>
      <c r="AF10" s="1139">
        <f t="shared" si="29"/>
        <v>0.6</v>
      </c>
      <c r="AG10" s="1139">
        <f t="shared" si="29"/>
        <v>0</v>
      </c>
      <c r="AH10" s="1139">
        <f t="shared" si="29"/>
        <v>0</v>
      </c>
      <c r="AI10" s="1139"/>
      <c r="AJ10" s="1139"/>
      <c r="AK10" s="1139"/>
      <c r="AL10" s="1139"/>
      <c r="AM10" s="1139"/>
      <c r="AN10" s="1139"/>
      <c r="AO10" s="1139"/>
      <c r="AP10" s="1139"/>
      <c r="AQ10" s="1139"/>
      <c r="AR10" s="2430"/>
      <c r="AS10" s="1139">
        <f t="shared" ref="AS10:AW10" si="30">IF(AS9&gt;0,0.6,0)</f>
        <v>0</v>
      </c>
      <c r="AT10" s="1139">
        <f t="shared" si="30"/>
        <v>0</v>
      </c>
      <c r="AU10" s="1139">
        <f t="shared" si="30"/>
        <v>0</v>
      </c>
      <c r="AV10" s="1139">
        <f t="shared" si="30"/>
        <v>0</v>
      </c>
      <c r="AW10" s="1139">
        <f t="shared" si="30"/>
        <v>0</v>
      </c>
      <c r="AX10" s="1139">
        <f t="shared" ref="AX10" si="31">IF(AX9&gt;0,0.6,0)</f>
        <v>0</v>
      </c>
      <c r="AY10" s="1139">
        <f t="shared" ref="AY10:BL10" si="32">IF(AY9&gt;0,0.6,0)</f>
        <v>0</v>
      </c>
      <c r="AZ10" s="1139">
        <f t="shared" si="32"/>
        <v>0</v>
      </c>
      <c r="BA10" s="1139">
        <f t="shared" si="32"/>
        <v>0</v>
      </c>
      <c r="BB10" s="1139">
        <f t="shared" si="32"/>
        <v>0</v>
      </c>
      <c r="BC10" s="1139">
        <f t="shared" si="32"/>
        <v>0</v>
      </c>
      <c r="BD10" s="1139">
        <f t="shared" si="32"/>
        <v>0</v>
      </c>
      <c r="BE10" s="1139">
        <f t="shared" si="32"/>
        <v>0</v>
      </c>
      <c r="BF10" s="1139">
        <f t="shared" si="32"/>
        <v>0</v>
      </c>
      <c r="BG10" s="1139">
        <f t="shared" si="32"/>
        <v>0</v>
      </c>
      <c r="BH10" s="1139">
        <f t="shared" si="32"/>
        <v>0</v>
      </c>
      <c r="BI10" s="1139">
        <f t="shared" si="32"/>
        <v>0</v>
      </c>
      <c r="BJ10" s="1139">
        <f t="shared" si="32"/>
        <v>0</v>
      </c>
      <c r="BK10" s="1139">
        <f t="shared" si="32"/>
        <v>0</v>
      </c>
      <c r="BL10" s="1139">
        <f t="shared" si="32"/>
        <v>0</v>
      </c>
      <c r="BM10" s="1134"/>
      <c r="BN10" s="579">
        <f t="shared" si="0"/>
        <v>1.2</v>
      </c>
    </row>
    <row r="11" spans="1:66" ht="21.95" customHeight="1" x14ac:dyDescent="0.15">
      <c r="A11" s="2596"/>
      <c r="B11" s="2622"/>
      <c r="C11" s="567" t="s">
        <v>315</v>
      </c>
      <c r="E11" s="442"/>
      <c r="F11" s="1139">
        <f t="shared" ref="F11" si="33">F10+F9</f>
        <v>0</v>
      </c>
      <c r="G11" s="1139">
        <f t="shared" ref="G11" si="34">G10+G9</f>
        <v>0</v>
      </c>
      <c r="H11" s="1139">
        <f t="shared" ref="H11:I11" si="35">H10+H9</f>
        <v>0</v>
      </c>
      <c r="I11" s="1139">
        <f t="shared" si="35"/>
        <v>0</v>
      </c>
      <c r="J11" s="1139"/>
      <c r="K11" s="1139"/>
      <c r="L11" s="1139"/>
      <c r="M11" s="1139"/>
      <c r="N11" s="2430"/>
      <c r="O11" s="1139">
        <f t="shared" ref="O11:V11" si="36">O10+O9</f>
        <v>0</v>
      </c>
      <c r="P11" s="1139">
        <f t="shared" si="36"/>
        <v>0</v>
      </c>
      <c r="Q11" s="1139">
        <f t="shared" si="36"/>
        <v>0</v>
      </c>
      <c r="R11" s="1139">
        <f t="shared" si="36"/>
        <v>0</v>
      </c>
      <c r="S11" s="1139">
        <f t="shared" si="36"/>
        <v>0</v>
      </c>
      <c r="T11" s="1139">
        <f t="shared" si="36"/>
        <v>1.4</v>
      </c>
      <c r="U11" s="1139">
        <f t="shared" si="36"/>
        <v>0</v>
      </c>
      <c r="V11" s="1139">
        <f t="shared" si="36"/>
        <v>0</v>
      </c>
      <c r="W11" s="1139"/>
      <c r="X11" s="2430"/>
      <c r="Y11" s="1139">
        <f t="shared" ref="Y11:AH11" si="37">Y10+Y9</f>
        <v>0</v>
      </c>
      <c r="Z11" s="1139">
        <f t="shared" si="37"/>
        <v>0</v>
      </c>
      <c r="AA11" s="1139">
        <f t="shared" si="37"/>
        <v>0</v>
      </c>
      <c r="AB11" s="1139">
        <f t="shared" si="37"/>
        <v>0</v>
      </c>
      <c r="AC11" s="1139">
        <f t="shared" si="37"/>
        <v>0</v>
      </c>
      <c r="AD11" s="1139">
        <f t="shared" si="37"/>
        <v>0</v>
      </c>
      <c r="AE11" s="1139">
        <f t="shared" si="37"/>
        <v>0</v>
      </c>
      <c r="AF11" s="1139">
        <f t="shared" si="37"/>
        <v>1.4</v>
      </c>
      <c r="AG11" s="1139">
        <f t="shared" si="37"/>
        <v>0</v>
      </c>
      <c r="AH11" s="1139">
        <f t="shared" si="37"/>
        <v>0</v>
      </c>
      <c r="AI11" s="1139"/>
      <c r="AJ11" s="1139"/>
      <c r="AK11" s="1139"/>
      <c r="AL11" s="1139"/>
      <c r="AM11" s="1139"/>
      <c r="AN11" s="1139"/>
      <c r="AO11" s="1139"/>
      <c r="AP11" s="1139"/>
      <c r="AQ11" s="1139"/>
      <c r="AR11" s="2430"/>
      <c r="AS11" s="1139">
        <f t="shared" ref="AS11:AW11" si="38">AS10+AS9</f>
        <v>0</v>
      </c>
      <c r="AT11" s="1139">
        <f t="shared" si="38"/>
        <v>0</v>
      </c>
      <c r="AU11" s="1139">
        <f t="shared" si="38"/>
        <v>0</v>
      </c>
      <c r="AV11" s="1139">
        <f t="shared" si="38"/>
        <v>0</v>
      </c>
      <c r="AW11" s="1139">
        <f t="shared" si="38"/>
        <v>0</v>
      </c>
      <c r="AX11" s="1139">
        <f t="shared" ref="AX11" si="39">AX10+AX9</f>
        <v>0</v>
      </c>
      <c r="AY11" s="1139">
        <f t="shared" ref="AY11:BL11" si="40">AY10+AY9</f>
        <v>0</v>
      </c>
      <c r="AZ11" s="1139">
        <f t="shared" si="40"/>
        <v>0</v>
      </c>
      <c r="BA11" s="1139">
        <f t="shared" si="40"/>
        <v>0</v>
      </c>
      <c r="BB11" s="1139">
        <f t="shared" si="40"/>
        <v>0</v>
      </c>
      <c r="BC11" s="1139">
        <f t="shared" si="40"/>
        <v>0</v>
      </c>
      <c r="BD11" s="1139">
        <f t="shared" si="40"/>
        <v>0</v>
      </c>
      <c r="BE11" s="1139">
        <f t="shared" si="40"/>
        <v>0</v>
      </c>
      <c r="BF11" s="1139">
        <f t="shared" si="40"/>
        <v>0</v>
      </c>
      <c r="BG11" s="1139">
        <f t="shared" si="40"/>
        <v>0</v>
      </c>
      <c r="BH11" s="1139">
        <f t="shared" si="40"/>
        <v>0</v>
      </c>
      <c r="BI11" s="1139">
        <f t="shared" si="40"/>
        <v>0</v>
      </c>
      <c r="BJ11" s="1139">
        <f t="shared" si="40"/>
        <v>0</v>
      </c>
      <c r="BK11" s="1139">
        <f t="shared" si="40"/>
        <v>0</v>
      </c>
      <c r="BL11" s="1139">
        <f t="shared" si="40"/>
        <v>0</v>
      </c>
      <c r="BM11" s="1134"/>
      <c r="BN11" s="579">
        <f t="shared" si="0"/>
        <v>2.8</v>
      </c>
    </row>
    <row r="12" spans="1:66" ht="21.95" customHeight="1" x14ac:dyDescent="0.15">
      <c r="A12" s="2596"/>
      <c r="B12" s="2622"/>
      <c r="C12" s="567" t="s">
        <v>45</v>
      </c>
      <c r="E12" s="442"/>
      <c r="F12" s="1139">
        <f t="shared" ref="F12" si="41">IF(F9&gt;0,5,0)</f>
        <v>0</v>
      </c>
      <c r="G12" s="1139">
        <f t="shared" ref="G12" si="42">IF(G9&gt;0,5,0)</f>
        <v>0</v>
      </c>
      <c r="H12" s="1139">
        <f t="shared" ref="H12:I12" si="43">IF(H9&gt;0,5,0)</f>
        <v>0</v>
      </c>
      <c r="I12" s="1139">
        <f t="shared" si="43"/>
        <v>0</v>
      </c>
      <c r="J12" s="1139"/>
      <c r="K12" s="1139"/>
      <c r="L12" s="1139"/>
      <c r="M12" s="1139"/>
      <c r="N12" s="2430"/>
      <c r="O12" s="1139">
        <f t="shared" ref="O12:V12" si="44">IF(O9&gt;0,5,0)</f>
        <v>0</v>
      </c>
      <c r="P12" s="1139">
        <f t="shared" si="44"/>
        <v>0</v>
      </c>
      <c r="Q12" s="1139">
        <f t="shared" si="44"/>
        <v>0</v>
      </c>
      <c r="R12" s="1139">
        <f t="shared" si="44"/>
        <v>0</v>
      </c>
      <c r="S12" s="1139">
        <f t="shared" si="44"/>
        <v>0</v>
      </c>
      <c r="T12" s="1139">
        <f t="shared" si="44"/>
        <v>5</v>
      </c>
      <c r="U12" s="1139">
        <f t="shared" si="44"/>
        <v>0</v>
      </c>
      <c r="V12" s="1139">
        <f t="shared" si="44"/>
        <v>0</v>
      </c>
      <c r="W12" s="1139"/>
      <c r="X12" s="2430"/>
      <c r="Y12" s="1139">
        <f t="shared" ref="Y12:AH12" si="45">IF(Y9&gt;0,5,0)</f>
        <v>0</v>
      </c>
      <c r="Z12" s="1139">
        <f t="shared" si="45"/>
        <v>0</v>
      </c>
      <c r="AA12" s="1139">
        <f t="shared" si="45"/>
        <v>0</v>
      </c>
      <c r="AB12" s="1139">
        <f t="shared" si="45"/>
        <v>0</v>
      </c>
      <c r="AC12" s="1139">
        <f t="shared" si="45"/>
        <v>0</v>
      </c>
      <c r="AD12" s="1139">
        <f t="shared" si="45"/>
        <v>0</v>
      </c>
      <c r="AE12" s="1139">
        <f t="shared" si="45"/>
        <v>0</v>
      </c>
      <c r="AF12" s="1139">
        <f t="shared" si="45"/>
        <v>5</v>
      </c>
      <c r="AG12" s="1139">
        <f t="shared" si="45"/>
        <v>0</v>
      </c>
      <c r="AH12" s="1139">
        <f t="shared" si="45"/>
        <v>0</v>
      </c>
      <c r="AI12" s="1139"/>
      <c r="AJ12" s="1139"/>
      <c r="AK12" s="1139"/>
      <c r="AL12" s="1139"/>
      <c r="AM12" s="1139"/>
      <c r="AN12" s="1139"/>
      <c r="AO12" s="1139"/>
      <c r="AP12" s="1139"/>
      <c r="AQ12" s="1139"/>
      <c r="AR12" s="2430"/>
      <c r="AS12" s="1139">
        <f t="shared" ref="AS12:AW12" si="46">IF(AS9&gt;0,5,0)</f>
        <v>0</v>
      </c>
      <c r="AT12" s="1139">
        <f t="shared" si="46"/>
        <v>0</v>
      </c>
      <c r="AU12" s="1139">
        <f t="shared" si="46"/>
        <v>0</v>
      </c>
      <c r="AV12" s="1139">
        <f t="shared" si="46"/>
        <v>0</v>
      </c>
      <c r="AW12" s="1139">
        <f t="shared" si="46"/>
        <v>0</v>
      </c>
      <c r="AX12" s="1139">
        <f t="shared" ref="AX12" si="47">IF(AX9&gt;0,5,0)</f>
        <v>0</v>
      </c>
      <c r="AY12" s="1139">
        <f t="shared" ref="AY12:BL12" si="48">IF(AY9&gt;0,5,0)</f>
        <v>0</v>
      </c>
      <c r="AZ12" s="1139">
        <f t="shared" si="48"/>
        <v>0</v>
      </c>
      <c r="BA12" s="1139">
        <f t="shared" si="48"/>
        <v>0</v>
      </c>
      <c r="BB12" s="1139">
        <f t="shared" si="48"/>
        <v>0</v>
      </c>
      <c r="BC12" s="1139">
        <f t="shared" si="48"/>
        <v>0</v>
      </c>
      <c r="BD12" s="1139">
        <f t="shared" si="48"/>
        <v>0</v>
      </c>
      <c r="BE12" s="1139">
        <f t="shared" si="48"/>
        <v>0</v>
      </c>
      <c r="BF12" s="1139">
        <f t="shared" si="48"/>
        <v>0</v>
      </c>
      <c r="BG12" s="1139">
        <f t="shared" si="48"/>
        <v>0</v>
      </c>
      <c r="BH12" s="1139">
        <f t="shared" si="48"/>
        <v>0</v>
      </c>
      <c r="BI12" s="1139">
        <f t="shared" si="48"/>
        <v>0</v>
      </c>
      <c r="BJ12" s="1139">
        <f t="shared" si="48"/>
        <v>0</v>
      </c>
      <c r="BK12" s="1139">
        <f t="shared" si="48"/>
        <v>0</v>
      </c>
      <c r="BL12" s="1139">
        <f t="shared" si="48"/>
        <v>0</v>
      </c>
      <c r="BM12" s="1134"/>
      <c r="BN12" s="579">
        <f t="shared" si="0"/>
        <v>10</v>
      </c>
    </row>
    <row r="13" spans="1:66" ht="21.95" customHeight="1" x14ac:dyDescent="0.15">
      <c r="A13" s="2596"/>
      <c r="B13" s="2622"/>
      <c r="C13" s="567" t="s">
        <v>3</v>
      </c>
      <c r="E13" s="442"/>
      <c r="F13" s="1139">
        <f>Dren_Quantificacao!D26</f>
        <v>0</v>
      </c>
      <c r="G13" s="1139">
        <f>Dren_Quantificacao!E26</f>
        <v>0</v>
      </c>
      <c r="H13" s="1139">
        <f>Dren_Quantificacao!F26</f>
        <v>0</v>
      </c>
      <c r="I13" s="1139">
        <f>Dren_Quantificacao!G26</f>
        <v>0</v>
      </c>
      <c r="J13" s="1139"/>
      <c r="K13" s="1139"/>
      <c r="L13" s="1139"/>
      <c r="M13" s="1139"/>
      <c r="N13" s="2430"/>
      <c r="O13" s="1139">
        <f>Dren_Quantificacao!M26</f>
        <v>0</v>
      </c>
      <c r="P13" s="1139">
        <f>Dren_Quantificacao!N26</f>
        <v>0</v>
      </c>
      <c r="Q13" s="1139">
        <f>Dren_Quantificacao!O26</f>
        <v>0</v>
      </c>
      <c r="R13" s="1139">
        <f>Dren_Quantificacao!P26</f>
        <v>0</v>
      </c>
      <c r="S13" s="1139">
        <f>Dren_Quantificacao!Q26</f>
        <v>0</v>
      </c>
      <c r="T13" s="1139">
        <f>Dren_Quantificacao!R26</f>
        <v>8</v>
      </c>
      <c r="U13" s="1139">
        <f>Dren_Quantificacao!S26</f>
        <v>0</v>
      </c>
      <c r="V13" s="1139">
        <f>Dren_Quantificacao!T26</f>
        <v>0</v>
      </c>
      <c r="W13" s="1139"/>
      <c r="X13" s="2430"/>
      <c r="Y13" s="1139">
        <f>Dren_Quantificacao!W26</f>
        <v>0</v>
      </c>
      <c r="Z13" s="1139">
        <f>Dren_Quantificacao!X26</f>
        <v>0</v>
      </c>
      <c r="AA13" s="1139">
        <f>Dren_Quantificacao!Y26</f>
        <v>0</v>
      </c>
      <c r="AB13" s="1139">
        <f>Dren_Quantificacao!Z26</f>
        <v>0</v>
      </c>
      <c r="AC13" s="1139">
        <f>Dren_Quantificacao!AA26</f>
        <v>0</v>
      </c>
      <c r="AD13" s="1139">
        <f>Dren_Quantificacao!AB26</f>
        <v>0</v>
      </c>
      <c r="AE13" s="1139">
        <f>Dren_Quantificacao!AC26</f>
        <v>0</v>
      </c>
      <c r="AF13" s="1139">
        <f>Dren_Quantificacao!AD26</f>
        <v>25</v>
      </c>
      <c r="AG13" s="1139">
        <f>Dren_Quantificacao!AE26</f>
        <v>0</v>
      </c>
      <c r="AH13" s="1139">
        <f>Dren_Quantificacao!AF26</f>
        <v>0</v>
      </c>
      <c r="AI13" s="1139"/>
      <c r="AJ13" s="1139"/>
      <c r="AK13" s="1139"/>
      <c r="AL13" s="1139"/>
      <c r="AM13" s="1139"/>
      <c r="AN13" s="1139"/>
      <c r="AO13" s="1139"/>
      <c r="AP13" s="1139"/>
      <c r="AQ13" s="1139"/>
      <c r="AR13" s="2430"/>
      <c r="AS13" s="1139">
        <f>Dren_Quantificacao!AQ26</f>
        <v>0</v>
      </c>
      <c r="AT13" s="1139">
        <f>Dren_Quantificacao!AR26</f>
        <v>0</v>
      </c>
      <c r="AU13" s="1139">
        <f>Dren_Quantificacao!AS26</f>
        <v>0</v>
      </c>
      <c r="AV13" s="1139">
        <f>Dren_Quantificacao!AT26</f>
        <v>0</v>
      </c>
      <c r="AW13" s="1139">
        <f>Dren_Quantificacao!AU26</f>
        <v>0</v>
      </c>
      <c r="AX13" s="1139">
        <f>Dren_Quantificacao!AW26</f>
        <v>0</v>
      </c>
      <c r="AY13" s="1139">
        <f>Dren_Quantificacao!AX26</f>
        <v>0</v>
      </c>
      <c r="AZ13" s="1139">
        <f>Dren_Quantificacao!AY26</f>
        <v>0</v>
      </c>
      <c r="BA13" s="1139">
        <f>Dren_Quantificacao!AZ26</f>
        <v>0</v>
      </c>
      <c r="BB13" s="1139">
        <f>Dren_Quantificacao!BA26</f>
        <v>0</v>
      </c>
      <c r="BC13" s="1139">
        <f>Dren_Quantificacao!BB26</f>
        <v>0</v>
      </c>
      <c r="BD13" s="1139">
        <f>Dren_Quantificacao!BC26</f>
        <v>0</v>
      </c>
      <c r="BE13" s="1139">
        <f>Dren_Quantificacao!BD26</f>
        <v>0</v>
      </c>
      <c r="BF13" s="1139">
        <f>Dren_Quantificacao!BE26</f>
        <v>0</v>
      </c>
      <c r="BG13" s="1139">
        <f>Dren_Quantificacao!BF26</f>
        <v>0</v>
      </c>
      <c r="BH13" s="1139">
        <f>Dren_Quantificacao!BG26</f>
        <v>0</v>
      </c>
      <c r="BI13" s="1139">
        <f>Dren_Quantificacao!BH26</f>
        <v>0</v>
      </c>
      <c r="BJ13" s="1139">
        <f>Dren_Quantificacao!BI26</f>
        <v>0</v>
      </c>
      <c r="BK13" s="1139">
        <f>Dren_Quantificacao!BJ26</f>
        <v>0</v>
      </c>
      <c r="BL13" s="1139">
        <f>Dren_Quantificacao!BK26</f>
        <v>0</v>
      </c>
      <c r="BM13" s="1140">
        <f>ROUND(SUM(F13:BL13),2)</f>
        <v>33</v>
      </c>
      <c r="BN13" s="579">
        <f t="shared" si="0"/>
        <v>66</v>
      </c>
    </row>
    <row r="14" spans="1:66" ht="21.95" customHeight="1" x14ac:dyDescent="0.15">
      <c r="A14" s="2596"/>
      <c r="B14" s="2631"/>
      <c r="C14" s="568" t="s">
        <v>29</v>
      </c>
      <c r="E14" s="442"/>
      <c r="F14" s="1139">
        <f t="shared" ref="F14" si="49">F13*F11</f>
        <v>0</v>
      </c>
      <c r="G14" s="1139">
        <f t="shared" ref="G14" si="50">G13*G11</f>
        <v>0</v>
      </c>
      <c r="H14" s="1139">
        <f t="shared" ref="H14:I14" si="51">H13*H11</f>
        <v>0</v>
      </c>
      <c r="I14" s="1139">
        <f t="shared" si="51"/>
        <v>0</v>
      </c>
      <c r="J14" s="1139"/>
      <c r="K14" s="1139"/>
      <c r="L14" s="1139"/>
      <c r="M14" s="1139"/>
      <c r="N14" s="2430"/>
      <c r="O14" s="1139">
        <f t="shared" ref="O14:V14" si="52">O13*O11</f>
        <v>0</v>
      </c>
      <c r="P14" s="1139">
        <f t="shared" si="52"/>
        <v>0</v>
      </c>
      <c r="Q14" s="1139">
        <f t="shared" si="52"/>
        <v>0</v>
      </c>
      <c r="R14" s="1139">
        <f t="shared" si="52"/>
        <v>0</v>
      </c>
      <c r="S14" s="1139">
        <f t="shared" si="52"/>
        <v>0</v>
      </c>
      <c r="T14" s="1139">
        <f t="shared" si="52"/>
        <v>11.2</v>
      </c>
      <c r="U14" s="1139">
        <f t="shared" si="52"/>
        <v>0</v>
      </c>
      <c r="V14" s="1139">
        <f t="shared" si="52"/>
        <v>0</v>
      </c>
      <c r="W14" s="1139"/>
      <c r="X14" s="2430"/>
      <c r="Y14" s="1139">
        <f t="shared" ref="Y14:AH14" si="53">Y13*Y11</f>
        <v>0</v>
      </c>
      <c r="Z14" s="1139">
        <f t="shared" si="53"/>
        <v>0</v>
      </c>
      <c r="AA14" s="1139">
        <f t="shared" si="53"/>
        <v>0</v>
      </c>
      <c r="AB14" s="1139">
        <f t="shared" si="53"/>
        <v>0</v>
      </c>
      <c r="AC14" s="1139">
        <f t="shared" si="53"/>
        <v>0</v>
      </c>
      <c r="AD14" s="1139">
        <f t="shared" si="53"/>
        <v>0</v>
      </c>
      <c r="AE14" s="1139">
        <f t="shared" si="53"/>
        <v>0</v>
      </c>
      <c r="AF14" s="1139">
        <f t="shared" si="53"/>
        <v>35</v>
      </c>
      <c r="AG14" s="1139">
        <f t="shared" si="53"/>
        <v>0</v>
      </c>
      <c r="AH14" s="1139">
        <f t="shared" si="53"/>
        <v>0</v>
      </c>
      <c r="AI14" s="1139"/>
      <c r="AJ14" s="1139"/>
      <c r="AK14" s="1139"/>
      <c r="AL14" s="1139"/>
      <c r="AM14" s="1139"/>
      <c r="AN14" s="1139"/>
      <c r="AO14" s="1139"/>
      <c r="AP14" s="1139"/>
      <c r="AQ14" s="1139"/>
      <c r="AR14" s="2430"/>
      <c r="AS14" s="1139">
        <f t="shared" ref="AS14:AW14" si="54">AS13*AS11</f>
        <v>0</v>
      </c>
      <c r="AT14" s="1139">
        <f t="shared" si="54"/>
        <v>0</v>
      </c>
      <c r="AU14" s="1139">
        <f t="shared" si="54"/>
        <v>0</v>
      </c>
      <c r="AV14" s="1139">
        <f t="shared" si="54"/>
        <v>0</v>
      </c>
      <c r="AW14" s="1139">
        <f t="shared" si="54"/>
        <v>0</v>
      </c>
      <c r="AX14" s="1139">
        <f t="shared" ref="AX14" si="55">AX13*AX11</f>
        <v>0</v>
      </c>
      <c r="AY14" s="1139">
        <f t="shared" ref="AY14:BL14" si="56">AY13*AY11</f>
        <v>0</v>
      </c>
      <c r="AZ14" s="1139">
        <f t="shared" si="56"/>
        <v>0</v>
      </c>
      <c r="BA14" s="1139">
        <f t="shared" si="56"/>
        <v>0</v>
      </c>
      <c r="BB14" s="1139">
        <f t="shared" si="56"/>
        <v>0</v>
      </c>
      <c r="BC14" s="1139">
        <f t="shared" si="56"/>
        <v>0</v>
      </c>
      <c r="BD14" s="1139">
        <f t="shared" si="56"/>
        <v>0</v>
      </c>
      <c r="BE14" s="1139">
        <f t="shared" si="56"/>
        <v>0</v>
      </c>
      <c r="BF14" s="1139">
        <f t="shared" si="56"/>
        <v>0</v>
      </c>
      <c r="BG14" s="1139">
        <f t="shared" si="56"/>
        <v>0</v>
      </c>
      <c r="BH14" s="1139">
        <f t="shared" si="56"/>
        <v>0</v>
      </c>
      <c r="BI14" s="1139">
        <f t="shared" si="56"/>
        <v>0</v>
      </c>
      <c r="BJ14" s="1139">
        <f t="shared" si="56"/>
        <v>0</v>
      </c>
      <c r="BK14" s="1139">
        <f t="shared" si="56"/>
        <v>0</v>
      </c>
      <c r="BL14" s="1139">
        <f t="shared" si="56"/>
        <v>0</v>
      </c>
      <c r="BM14" s="1140">
        <f>ROUND(SUM(F14:BL14),2)</f>
        <v>46.2</v>
      </c>
      <c r="BN14" s="579">
        <f t="shared" si="0"/>
        <v>92.4</v>
      </c>
    </row>
    <row r="15" spans="1:66" ht="21.95" customHeight="1" thickBot="1" x14ac:dyDescent="0.2">
      <c r="A15" s="2596"/>
      <c r="B15" s="2650"/>
      <c r="C15" s="566" t="s">
        <v>472</v>
      </c>
      <c r="D15" s="987"/>
      <c r="E15" s="231"/>
      <c r="F15" s="1135">
        <f t="shared" ref="F15" si="57">F13*F12*F11/100</f>
        <v>0</v>
      </c>
      <c r="G15" s="1135">
        <f t="shared" ref="G15" si="58">G13*G12*G11/100</f>
        <v>0</v>
      </c>
      <c r="H15" s="1135">
        <f t="shared" ref="H15:I15" si="59">H13*H12*H11/100</f>
        <v>0</v>
      </c>
      <c r="I15" s="1135">
        <f t="shared" si="59"/>
        <v>0</v>
      </c>
      <c r="J15" s="1135"/>
      <c r="K15" s="1135"/>
      <c r="L15" s="1135"/>
      <c r="M15" s="1135"/>
      <c r="N15" s="2428"/>
      <c r="O15" s="1135">
        <f t="shared" ref="O15:V15" si="60">O13*O12*O11/100</f>
        <v>0</v>
      </c>
      <c r="P15" s="1135">
        <f t="shared" si="60"/>
        <v>0</v>
      </c>
      <c r="Q15" s="1135">
        <f t="shared" si="60"/>
        <v>0</v>
      </c>
      <c r="R15" s="1135">
        <f t="shared" si="60"/>
        <v>0</v>
      </c>
      <c r="S15" s="1135">
        <f t="shared" si="60"/>
        <v>0</v>
      </c>
      <c r="T15" s="1135">
        <f t="shared" si="60"/>
        <v>0.56000000000000005</v>
      </c>
      <c r="U15" s="1135">
        <f t="shared" si="60"/>
        <v>0</v>
      </c>
      <c r="V15" s="1135">
        <f t="shared" si="60"/>
        <v>0</v>
      </c>
      <c r="W15" s="1135"/>
      <c r="X15" s="2428"/>
      <c r="Y15" s="1135">
        <f t="shared" ref="Y15:AH15" si="61">Y13*Y12*Y11/100</f>
        <v>0</v>
      </c>
      <c r="Z15" s="1135">
        <f t="shared" si="61"/>
        <v>0</v>
      </c>
      <c r="AA15" s="1135">
        <f t="shared" si="61"/>
        <v>0</v>
      </c>
      <c r="AB15" s="1135">
        <f t="shared" si="61"/>
        <v>0</v>
      </c>
      <c r="AC15" s="1135">
        <f t="shared" si="61"/>
        <v>0</v>
      </c>
      <c r="AD15" s="1135">
        <f t="shared" si="61"/>
        <v>0</v>
      </c>
      <c r="AE15" s="1135">
        <f t="shared" si="61"/>
        <v>0</v>
      </c>
      <c r="AF15" s="1135">
        <f t="shared" si="61"/>
        <v>1.75</v>
      </c>
      <c r="AG15" s="1135">
        <f t="shared" si="61"/>
        <v>0</v>
      </c>
      <c r="AH15" s="1135">
        <f t="shared" si="61"/>
        <v>0</v>
      </c>
      <c r="AI15" s="1135"/>
      <c r="AJ15" s="1135"/>
      <c r="AK15" s="1135"/>
      <c r="AL15" s="1135"/>
      <c r="AM15" s="1135"/>
      <c r="AN15" s="1135"/>
      <c r="AO15" s="1135"/>
      <c r="AP15" s="1135"/>
      <c r="AQ15" s="1135"/>
      <c r="AR15" s="2428"/>
      <c r="AS15" s="1135">
        <f t="shared" ref="AS15:AW15" si="62">AS13*AS12*AS11/100</f>
        <v>0</v>
      </c>
      <c r="AT15" s="1135">
        <f t="shared" si="62"/>
        <v>0</v>
      </c>
      <c r="AU15" s="1135">
        <f t="shared" si="62"/>
        <v>0</v>
      </c>
      <c r="AV15" s="1135">
        <f t="shared" si="62"/>
        <v>0</v>
      </c>
      <c r="AW15" s="1135">
        <f t="shared" si="62"/>
        <v>0</v>
      </c>
      <c r="AX15" s="1135">
        <f t="shared" ref="AX15" si="63">AX13*AX12*AX11/100</f>
        <v>0</v>
      </c>
      <c r="AY15" s="1135">
        <f t="shared" ref="AY15:BL15" si="64">AY13*AY12*AY11/100</f>
        <v>0</v>
      </c>
      <c r="AZ15" s="1135">
        <f t="shared" si="64"/>
        <v>0</v>
      </c>
      <c r="BA15" s="1135">
        <f t="shared" si="64"/>
        <v>0</v>
      </c>
      <c r="BB15" s="1135">
        <f t="shared" si="64"/>
        <v>0</v>
      </c>
      <c r="BC15" s="1135">
        <f t="shared" si="64"/>
        <v>0</v>
      </c>
      <c r="BD15" s="1135">
        <f t="shared" si="64"/>
        <v>0</v>
      </c>
      <c r="BE15" s="1135">
        <f t="shared" si="64"/>
        <v>0</v>
      </c>
      <c r="BF15" s="1135">
        <f t="shared" si="64"/>
        <v>0</v>
      </c>
      <c r="BG15" s="1135">
        <f t="shared" si="64"/>
        <v>0</v>
      </c>
      <c r="BH15" s="1135">
        <f t="shared" si="64"/>
        <v>0</v>
      </c>
      <c r="BI15" s="1135">
        <f t="shared" si="64"/>
        <v>0</v>
      </c>
      <c r="BJ15" s="1135">
        <f t="shared" si="64"/>
        <v>0</v>
      </c>
      <c r="BK15" s="1135">
        <f t="shared" si="64"/>
        <v>0</v>
      </c>
      <c r="BL15" s="1135">
        <f t="shared" si="64"/>
        <v>0</v>
      </c>
      <c r="BM15" s="1141">
        <f>ROUND(SUM(F15:BL15),2)</f>
        <v>2.31</v>
      </c>
      <c r="BN15" s="579">
        <f t="shared" si="0"/>
        <v>4.62</v>
      </c>
    </row>
    <row r="16" spans="1:66" ht="21.95" customHeight="1" x14ac:dyDescent="0.15">
      <c r="A16" s="2596"/>
      <c r="B16" s="2649" t="s">
        <v>318</v>
      </c>
      <c r="C16" s="550" t="s">
        <v>316</v>
      </c>
      <c r="D16" s="985"/>
      <c r="E16" s="443"/>
      <c r="F16" s="1137">
        <f t="shared" ref="F16" si="65">IF(F20&gt;0,1.2,0)</f>
        <v>0</v>
      </c>
      <c r="G16" s="1137">
        <f t="shared" ref="G16" si="66">IF(G20&gt;0,1.2,0)</f>
        <v>0</v>
      </c>
      <c r="H16" s="1137">
        <f t="shared" ref="H16:I16" si="67">IF(H20&gt;0,1.2,0)</f>
        <v>0</v>
      </c>
      <c r="I16" s="1137">
        <f t="shared" si="67"/>
        <v>0</v>
      </c>
      <c r="J16" s="1137"/>
      <c r="K16" s="1137"/>
      <c r="L16" s="1137"/>
      <c r="M16" s="1137"/>
      <c r="N16" s="2429"/>
      <c r="O16" s="1137">
        <f t="shared" ref="O16:V16" si="68">IF(O20&gt;0,1.2,0)</f>
        <v>0</v>
      </c>
      <c r="P16" s="1137">
        <f t="shared" si="68"/>
        <v>0</v>
      </c>
      <c r="Q16" s="1137">
        <f t="shared" si="68"/>
        <v>0</v>
      </c>
      <c r="R16" s="1137">
        <f t="shared" si="68"/>
        <v>0</v>
      </c>
      <c r="S16" s="1137">
        <f t="shared" si="68"/>
        <v>0</v>
      </c>
      <c r="T16" s="1137">
        <f t="shared" si="68"/>
        <v>0</v>
      </c>
      <c r="U16" s="1137">
        <f t="shared" si="68"/>
        <v>0</v>
      </c>
      <c r="V16" s="1137">
        <f t="shared" si="68"/>
        <v>0</v>
      </c>
      <c r="W16" s="1137"/>
      <c r="X16" s="2429"/>
      <c r="Y16" s="1137">
        <f t="shared" ref="Y16:AH16" si="69">IF(Y20&gt;0,1.2,0)</f>
        <v>0</v>
      </c>
      <c r="Z16" s="1137">
        <f t="shared" si="69"/>
        <v>0</v>
      </c>
      <c r="AA16" s="1137">
        <f t="shared" si="69"/>
        <v>0</v>
      </c>
      <c r="AB16" s="1137">
        <f t="shared" si="69"/>
        <v>0</v>
      </c>
      <c r="AC16" s="1137">
        <f t="shared" si="69"/>
        <v>0</v>
      </c>
      <c r="AD16" s="1137">
        <f t="shared" si="69"/>
        <v>0</v>
      </c>
      <c r="AE16" s="1137">
        <f t="shared" si="69"/>
        <v>0</v>
      </c>
      <c r="AF16" s="1137">
        <f t="shared" si="69"/>
        <v>1.2</v>
      </c>
      <c r="AG16" s="1137">
        <f t="shared" si="69"/>
        <v>0</v>
      </c>
      <c r="AH16" s="1137">
        <f t="shared" si="69"/>
        <v>0</v>
      </c>
      <c r="AI16" s="1137"/>
      <c r="AJ16" s="1137"/>
      <c r="AK16" s="1137"/>
      <c r="AL16" s="1137"/>
      <c r="AM16" s="1137"/>
      <c r="AN16" s="1137"/>
      <c r="AO16" s="1137"/>
      <c r="AP16" s="1137"/>
      <c r="AQ16" s="1137"/>
      <c r="AR16" s="2429"/>
      <c r="AS16" s="1137">
        <f t="shared" ref="AS16:AW16" si="70">IF(AS20&gt;0,1.2,0)</f>
        <v>0</v>
      </c>
      <c r="AT16" s="1137">
        <f t="shared" si="70"/>
        <v>0</v>
      </c>
      <c r="AU16" s="1137">
        <f t="shared" si="70"/>
        <v>0</v>
      </c>
      <c r="AV16" s="1137">
        <f t="shared" si="70"/>
        <v>0</v>
      </c>
      <c r="AW16" s="1137">
        <f t="shared" si="70"/>
        <v>0</v>
      </c>
      <c r="AX16" s="1137">
        <f t="shared" ref="AX16" si="71">IF(AX20&gt;0,1.2,0)</f>
        <v>0</v>
      </c>
      <c r="AY16" s="1137">
        <f t="shared" ref="AY16:BL16" si="72">IF(AY20&gt;0,1.2,0)</f>
        <v>0</v>
      </c>
      <c r="AZ16" s="1137">
        <f t="shared" si="72"/>
        <v>0</v>
      </c>
      <c r="BA16" s="1137">
        <f t="shared" si="72"/>
        <v>0</v>
      </c>
      <c r="BB16" s="1137">
        <f t="shared" si="72"/>
        <v>0</v>
      </c>
      <c r="BC16" s="1137">
        <f t="shared" si="72"/>
        <v>0</v>
      </c>
      <c r="BD16" s="1137">
        <f t="shared" si="72"/>
        <v>0</v>
      </c>
      <c r="BE16" s="1137">
        <f t="shared" si="72"/>
        <v>0</v>
      </c>
      <c r="BF16" s="1137">
        <f t="shared" si="72"/>
        <v>0</v>
      </c>
      <c r="BG16" s="1137">
        <f t="shared" si="72"/>
        <v>0</v>
      </c>
      <c r="BH16" s="1137">
        <f t="shared" si="72"/>
        <v>0</v>
      </c>
      <c r="BI16" s="1137">
        <f t="shared" si="72"/>
        <v>0</v>
      </c>
      <c r="BJ16" s="1137">
        <f t="shared" si="72"/>
        <v>0</v>
      </c>
      <c r="BK16" s="1137">
        <f t="shared" si="72"/>
        <v>0</v>
      </c>
      <c r="BL16" s="1137">
        <f t="shared" si="72"/>
        <v>0</v>
      </c>
      <c r="BM16" s="1138"/>
      <c r="BN16" s="579">
        <f t="shared" si="0"/>
        <v>1.2</v>
      </c>
    </row>
    <row r="17" spans="1:66" ht="21.95" customHeight="1" x14ac:dyDescent="0.15">
      <c r="A17" s="2596"/>
      <c r="B17" s="2622"/>
      <c r="C17" s="567" t="s">
        <v>317</v>
      </c>
      <c r="E17" s="442"/>
      <c r="F17" s="1139">
        <f t="shared" ref="F17" si="73">IF(F16&gt;0,0.6,0)</f>
        <v>0</v>
      </c>
      <c r="G17" s="1139">
        <f t="shared" ref="G17" si="74">IF(G16&gt;0,0.6,0)</f>
        <v>0</v>
      </c>
      <c r="H17" s="1139">
        <f t="shared" ref="H17:I17" si="75">IF(H16&gt;0,0.6,0)</f>
        <v>0</v>
      </c>
      <c r="I17" s="1139">
        <f t="shared" si="75"/>
        <v>0</v>
      </c>
      <c r="J17" s="1139"/>
      <c r="K17" s="1139"/>
      <c r="L17" s="1139"/>
      <c r="M17" s="1139"/>
      <c r="N17" s="2430"/>
      <c r="O17" s="1139">
        <f t="shared" ref="O17:V17" si="76">IF(O16&gt;0,0.6,0)</f>
        <v>0</v>
      </c>
      <c r="P17" s="1139">
        <f t="shared" si="76"/>
        <v>0</v>
      </c>
      <c r="Q17" s="1139">
        <f t="shared" si="76"/>
        <v>0</v>
      </c>
      <c r="R17" s="1139">
        <f t="shared" si="76"/>
        <v>0</v>
      </c>
      <c r="S17" s="1139">
        <f t="shared" si="76"/>
        <v>0</v>
      </c>
      <c r="T17" s="1139">
        <f t="shared" si="76"/>
        <v>0</v>
      </c>
      <c r="U17" s="1139">
        <f t="shared" si="76"/>
        <v>0</v>
      </c>
      <c r="V17" s="1139">
        <f t="shared" si="76"/>
        <v>0</v>
      </c>
      <c r="W17" s="1139"/>
      <c r="X17" s="2430"/>
      <c r="Y17" s="1139">
        <f t="shared" ref="Y17:AH17" si="77">IF(Y16&gt;0,0.6,0)</f>
        <v>0</v>
      </c>
      <c r="Z17" s="1139">
        <f t="shared" si="77"/>
        <v>0</v>
      </c>
      <c r="AA17" s="1139">
        <f t="shared" si="77"/>
        <v>0</v>
      </c>
      <c r="AB17" s="1139">
        <f t="shared" si="77"/>
        <v>0</v>
      </c>
      <c r="AC17" s="1139">
        <f t="shared" si="77"/>
        <v>0</v>
      </c>
      <c r="AD17" s="1139">
        <f t="shared" si="77"/>
        <v>0</v>
      </c>
      <c r="AE17" s="1139">
        <f t="shared" si="77"/>
        <v>0</v>
      </c>
      <c r="AF17" s="1139">
        <f t="shared" si="77"/>
        <v>0.6</v>
      </c>
      <c r="AG17" s="1139">
        <f t="shared" si="77"/>
        <v>0</v>
      </c>
      <c r="AH17" s="1139">
        <f t="shared" si="77"/>
        <v>0</v>
      </c>
      <c r="AI17" s="1139"/>
      <c r="AJ17" s="1139"/>
      <c r="AK17" s="1139"/>
      <c r="AL17" s="1139"/>
      <c r="AM17" s="1139"/>
      <c r="AN17" s="1139"/>
      <c r="AO17" s="1139"/>
      <c r="AP17" s="1139"/>
      <c r="AQ17" s="1139"/>
      <c r="AR17" s="2430"/>
      <c r="AS17" s="1139">
        <f t="shared" ref="AS17:AW17" si="78">IF(AS16&gt;0,0.6,0)</f>
        <v>0</v>
      </c>
      <c r="AT17" s="1139">
        <f t="shared" si="78"/>
        <v>0</v>
      </c>
      <c r="AU17" s="1139">
        <f t="shared" si="78"/>
        <v>0</v>
      </c>
      <c r="AV17" s="1139">
        <f t="shared" si="78"/>
        <v>0</v>
      </c>
      <c r="AW17" s="1139">
        <f t="shared" si="78"/>
        <v>0</v>
      </c>
      <c r="AX17" s="1139">
        <f t="shared" ref="AX17" si="79">IF(AX16&gt;0,0.6,0)</f>
        <v>0</v>
      </c>
      <c r="AY17" s="1139">
        <f t="shared" ref="AY17:BL17" si="80">IF(AY16&gt;0,0.6,0)</f>
        <v>0</v>
      </c>
      <c r="AZ17" s="1139">
        <f t="shared" si="80"/>
        <v>0</v>
      </c>
      <c r="BA17" s="1139">
        <f t="shared" si="80"/>
        <v>0</v>
      </c>
      <c r="BB17" s="1139">
        <f t="shared" si="80"/>
        <v>0</v>
      </c>
      <c r="BC17" s="1139">
        <f t="shared" si="80"/>
        <v>0</v>
      </c>
      <c r="BD17" s="1139">
        <f t="shared" si="80"/>
        <v>0</v>
      </c>
      <c r="BE17" s="1139">
        <f t="shared" si="80"/>
        <v>0</v>
      </c>
      <c r="BF17" s="1139">
        <f t="shared" si="80"/>
        <v>0</v>
      </c>
      <c r="BG17" s="1139">
        <f t="shared" si="80"/>
        <v>0</v>
      </c>
      <c r="BH17" s="1139">
        <f t="shared" si="80"/>
        <v>0</v>
      </c>
      <c r="BI17" s="1139">
        <f t="shared" si="80"/>
        <v>0</v>
      </c>
      <c r="BJ17" s="1139">
        <f t="shared" si="80"/>
        <v>0</v>
      </c>
      <c r="BK17" s="1139">
        <f t="shared" si="80"/>
        <v>0</v>
      </c>
      <c r="BL17" s="1139">
        <f t="shared" si="80"/>
        <v>0</v>
      </c>
      <c r="BM17" s="1134"/>
      <c r="BN17" s="579">
        <f t="shared" si="0"/>
        <v>0.6</v>
      </c>
    </row>
    <row r="18" spans="1:66" ht="21.95" customHeight="1" x14ac:dyDescent="0.15">
      <c r="A18" s="2596"/>
      <c r="B18" s="2622"/>
      <c r="C18" s="567" t="s">
        <v>315</v>
      </c>
      <c r="E18" s="442"/>
      <c r="F18" s="1139">
        <f t="shared" ref="F18" si="81">F17+F16</f>
        <v>0</v>
      </c>
      <c r="G18" s="1139">
        <f t="shared" ref="G18" si="82">G17+G16</f>
        <v>0</v>
      </c>
      <c r="H18" s="1139">
        <f t="shared" ref="H18:I18" si="83">H17+H16</f>
        <v>0</v>
      </c>
      <c r="I18" s="1139">
        <f t="shared" si="83"/>
        <v>0</v>
      </c>
      <c r="J18" s="1139"/>
      <c r="K18" s="1139"/>
      <c r="L18" s="1139"/>
      <c r="M18" s="1139"/>
      <c r="N18" s="2430"/>
      <c r="O18" s="1139">
        <f t="shared" ref="O18:V18" si="84">O17+O16</f>
        <v>0</v>
      </c>
      <c r="P18" s="1139">
        <f t="shared" si="84"/>
        <v>0</v>
      </c>
      <c r="Q18" s="1139">
        <f t="shared" si="84"/>
        <v>0</v>
      </c>
      <c r="R18" s="1139">
        <f t="shared" si="84"/>
        <v>0</v>
      </c>
      <c r="S18" s="1139">
        <f t="shared" si="84"/>
        <v>0</v>
      </c>
      <c r="T18" s="1139">
        <f t="shared" si="84"/>
        <v>0</v>
      </c>
      <c r="U18" s="1139">
        <f t="shared" si="84"/>
        <v>0</v>
      </c>
      <c r="V18" s="1139">
        <f t="shared" si="84"/>
        <v>0</v>
      </c>
      <c r="W18" s="1139"/>
      <c r="X18" s="2430"/>
      <c r="Y18" s="1139">
        <f t="shared" ref="Y18:AH18" si="85">Y17+Y16</f>
        <v>0</v>
      </c>
      <c r="Z18" s="1139">
        <f t="shared" si="85"/>
        <v>0</v>
      </c>
      <c r="AA18" s="1139">
        <f t="shared" si="85"/>
        <v>0</v>
      </c>
      <c r="AB18" s="1139">
        <f t="shared" si="85"/>
        <v>0</v>
      </c>
      <c r="AC18" s="1139">
        <f t="shared" si="85"/>
        <v>0</v>
      </c>
      <c r="AD18" s="1139">
        <f t="shared" si="85"/>
        <v>0</v>
      </c>
      <c r="AE18" s="1139">
        <f t="shared" si="85"/>
        <v>0</v>
      </c>
      <c r="AF18" s="1139">
        <f t="shared" si="85"/>
        <v>1.7999999999999998</v>
      </c>
      <c r="AG18" s="1139">
        <f t="shared" si="85"/>
        <v>0</v>
      </c>
      <c r="AH18" s="1139">
        <f t="shared" si="85"/>
        <v>0</v>
      </c>
      <c r="AI18" s="1139"/>
      <c r="AJ18" s="1139"/>
      <c r="AK18" s="1139"/>
      <c r="AL18" s="1139"/>
      <c r="AM18" s="1139"/>
      <c r="AN18" s="1139"/>
      <c r="AO18" s="1139"/>
      <c r="AP18" s="1139"/>
      <c r="AQ18" s="1139"/>
      <c r="AR18" s="2430"/>
      <c r="AS18" s="1139">
        <f t="shared" ref="AS18:AW18" si="86">AS17+AS16</f>
        <v>0</v>
      </c>
      <c r="AT18" s="1139">
        <f t="shared" si="86"/>
        <v>0</v>
      </c>
      <c r="AU18" s="1139">
        <f t="shared" si="86"/>
        <v>0</v>
      </c>
      <c r="AV18" s="1139">
        <f t="shared" si="86"/>
        <v>0</v>
      </c>
      <c r="AW18" s="1139">
        <f t="shared" si="86"/>
        <v>0</v>
      </c>
      <c r="AX18" s="1139">
        <f t="shared" ref="AX18" si="87">AX17+AX16</f>
        <v>0</v>
      </c>
      <c r="AY18" s="1139">
        <f t="shared" ref="AY18:BL18" si="88">AY17+AY16</f>
        <v>0</v>
      </c>
      <c r="AZ18" s="1139">
        <f t="shared" si="88"/>
        <v>0</v>
      </c>
      <c r="BA18" s="1139">
        <f t="shared" si="88"/>
        <v>0</v>
      </c>
      <c r="BB18" s="1139">
        <f t="shared" si="88"/>
        <v>0</v>
      </c>
      <c r="BC18" s="1139">
        <f t="shared" si="88"/>
        <v>0</v>
      </c>
      <c r="BD18" s="1139">
        <f t="shared" si="88"/>
        <v>0</v>
      </c>
      <c r="BE18" s="1139">
        <f t="shared" si="88"/>
        <v>0</v>
      </c>
      <c r="BF18" s="1139">
        <f t="shared" si="88"/>
        <v>0</v>
      </c>
      <c r="BG18" s="1139">
        <f t="shared" si="88"/>
        <v>0</v>
      </c>
      <c r="BH18" s="1139">
        <f t="shared" si="88"/>
        <v>0</v>
      </c>
      <c r="BI18" s="1139">
        <f t="shared" si="88"/>
        <v>0</v>
      </c>
      <c r="BJ18" s="1139">
        <f t="shared" si="88"/>
        <v>0</v>
      </c>
      <c r="BK18" s="1139">
        <f t="shared" si="88"/>
        <v>0</v>
      </c>
      <c r="BL18" s="1139">
        <f t="shared" si="88"/>
        <v>0</v>
      </c>
      <c r="BM18" s="1134"/>
      <c r="BN18" s="579">
        <f t="shared" si="0"/>
        <v>1.7999999999999998</v>
      </c>
    </row>
    <row r="19" spans="1:66" ht="21.95" customHeight="1" x14ac:dyDescent="0.15">
      <c r="A19" s="2596"/>
      <c r="B19" s="2622"/>
      <c r="C19" s="567" t="s">
        <v>45</v>
      </c>
      <c r="E19" s="442"/>
      <c r="F19" s="1139">
        <f t="shared" ref="F19" si="89">IF(F16&gt;0,5,0)</f>
        <v>0</v>
      </c>
      <c r="G19" s="1139">
        <f t="shared" ref="G19" si="90">IF(G16&gt;0,5,0)</f>
        <v>0</v>
      </c>
      <c r="H19" s="1139">
        <f t="shared" ref="H19:I19" si="91">IF(H16&gt;0,5,0)</f>
        <v>0</v>
      </c>
      <c r="I19" s="1139">
        <f t="shared" si="91"/>
        <v>0</v>
      </c>
      <c r="J19" s="1139"/>
      <c r="K19" s="1139"/>
      <c r="L19" s="1139"/>
      <c r="M19" s="1139"/>
      <c r="N19" s="2430"/>
      <c r="O19" s="1139">
        <f t="shared" ref="O19:V19" si="92">IF(O16&gt;0,5,0)</f>
        <v>0</v>
      </c>
      <c r="P19" s="1139">
        <f t="shared" si="92"/>
        <v>0</v>
      </c>
      <c r="Q19" s="1139">
        <f t="shared" si="92"/>
        <v>0</v>
      </c>
      <c r="R19" s="1139">
        <f t="shared" si="92"/>
        <v>0</v>
      </c>
      <c r="S19" s="1139">
        <f t="shared" si="92"/>
        <v>0</v>
      </c>
      <c r="T19" s="1139">
        <f t="shared" si="92"/>
        <v>0</v>
      </c>
      <c r="U19" s="1139">
        <f t="shared" si="92"/>
        <v>0</v>
      </c>
      <c r="V19" s="1139">
        <f t="shared" si="92"/>
        <v>0</v>
      </c>
      <c r="W19" s="1139"/>
      <c r="X19" s="2430"/>
      <c r="Y19" s="1139">
        <f t="shared" ref="Y19:AH19" si="93">IF(Y16&gt;0,5,0)</f>
        <v>0</v>
      </c>
      <c r="Z19" s="1139">
        <f t="shared" si="93"/>
        <v>0</v>
      </c>
      <c r="AA19" s="1139">
        <f t="shared" si="93"/>
        <v>0</v>
      </c>
      <c r="AB19" s="1139">
        <f t="shared" si="93"/>
        <v>0</v>
      </c>
      <c r="AC19" s="1139">
        <f t="shared" si="93"/>
        <v>0</v>
      </c>
      <c r="AD19" s="1139">
        <f t="shared" si="93"/>
        <v>0</v>
      </c>
      <c r="AE19" s="1139">
        <f t="shared" si="93"/>
        <v>0</v>
      </c>
      <c r="AF19" s="1139">
        <f t="shared" si="93"/>
        <v>5</v>
      </c>
      <c r="AG19" s="1139">
        <f t="shared" si="93"/>
        <v>0</v>
      </c>
      <c r="AH19" s="1139">
        <f t="shared" si="93"/>
        <v>0</v>
      </c>
      <c r="AI19" s="1139"/>
      <c r="AJ19" s="1139"/>
      <c r="AK19" s="1139"/>
      <c r="AL19" s="1139"/>
      <c r="AM19" s="1139"/>
      <c r="AN19" s="1139"/>
      <c r="AO19" s="1139"/>
      <c r="AP19" s="1139"/>
      <c r="AQ19" s="1139"/>
      <c r="AR19" s="2430"/>
      <c r="AS19" s="1139">
        <f t="shared" ref="AS19:AW19" si="94">IF(AS16&gt;0,5,0)</f>
        <v>0</v>
      </c>
      <c r="AT19" s="1139">
        <f t="shared" si="94"/>
        <v>0</v>
      </c>
      <c r="AU19" s="1139">
        <f t="shared" si="94"/>
        <v>0</v>
      </c>
      <c r="AV19" s="1139">
        <f t="shared" si="94"/>
        <v>0</v>
      </c>
      <c r="AW19" s="1139">
        <f t="shared" si="94"/>
        <v>0</v>
      </c>
      <c r="AX19" s="1139">
        <f t="shared" ref="AX19" si="95">IF(AX16&gt;0,5,0)</f>
        <v>0</v>
      </c>
      <c r="AY19" s="1139">
        <f t="shared" ref="AY19:BL19" si="96">IF(AY16&gt;0,5,0)</f>
        <v>0</v>
      </c>
      <c r="AZ19" s="1139">
        <f t="shared" si="96"/>
        <v>0</v>
      </c>
      <c r="BA19" s="1139">
        <f t="shared" si="96"/>
        <v>0</v>
      </c>
      <c r="BB19" s="1139">
        <f t="shared" si="96"/>
        <v>0</v>
      </c>
      <c r="BC19" s="1139">
        <f t="shared" si="96"/>
        <v>0</v>
      </c>
      <c r="BD19" s="1139">
        <f t="shared" si="96"/>
        <v>0</v>
      </c>
      <c r="BE19" s="1139">
        <f t="shared" si="96"/>
        <v>0</v>
      </c>
      <c r="BF19" s="1139">
        <f t="shared" si="96"/>
        <v>0</v>
      </c>
      <c r="BG19" s="1139">
        <f t="shared" si="96"/>
        <v>0</v>
      </c>
      <c r="BH19" s="1139">
        <f t="shared" si="96"/>
        <v>0</v>
      </c>
      <c r="BI19" s="1139">
        <f t="shared" si="96"/>
        <v>0</v>
      </c>
      <c r="BJ19" s="1139">
        <f t="shared" si="96"/>
        <v>0</v>
      </c>
      <c r="BK19" s="1139">
        <f t="shared" si="96"/>
        <v>0</v>
      </c>
      <c r="BL19" s="1139">
        <f t="shared" si="96"/>
        <v>0</v>
      </c>
      <c r="BM19" s="1134"/>
      <c r="BN19" s="579">
        <f t="shared" si="0"/>
        <v>5</v>
      </c>
    </row>
    <row r="20" spans="1:66" ht="21.95" customHeight="1" x14ac:dyDescent="0.15">
      <c r="A20" s="2596"/>
      <c r="B20" s="2622"/>
      <c r="C20" s="567" t="s">
        <v>3</v>
      </c>
      <c r="E20" s="442"/>
      <c r="F20" s="1139">
        <f>Dren_Quantificacao!D27</f>
        <v>0</v>
      </c>
      <c r="G20" s="1139">
        <f>Dren_Quantificacao!E27</f>
        <v>0</v>
      </c>
      <c r="H20" s="1139">
        <f>Dren_Quantificacao!F27</f>
        <v>0</v>
      </c>
      <c r="I20" s="1139">
        <f>Dren_Quantificacao!G27</f>
        <v>0</v>
      </c>
      <c r="J20" s="1139"/>
      <c r="K20" s="1139"/>
      <c r="L20" s="1139"/>
      <c r="M20" s="1139"/>
      <c r="N20" s="2430"/>
      <c r="O20" s="1139">
        <f>Dren_Quantificacao!M27</f>
        <v>0</v>
      </c>
      <c r="P20" s="1139">
        <f>Dren_Quantificacao!N27</f>
        <v>0</v>
      </c>
      <c r="Q20" s="1139">
        <f>Dren_Quantificacao!O27</f>
        <v>0</v>
      </c>
      <c r="R20" s="1139">
        <f>Dren_Quantificacao!P27</f>
        <v>0</v>
      </c>
      <c r="S20" s="1139">
        <f>Dren_Quantificacao!Q27</f>
        <v>0</v>
      </c>
      <c r="T20" s="1139">
        <f>Dren_Quantificacao!R27</f>
        <v>0</v>
      </c>
      <c r="U20" s="1139">
        <f>Dren_Quantificacao!S27</f>
        <v>0</v>
      </c>
      <c r="V20" s="1139">
        <f>Dren_Quantificacao!T27</f>
        <v>0</v>
      </c>
      <c r="W20" s="1139"/>
      <c r="X20" s="2430"/>
      <c r="Y20" s="1139">
        <f>Dren_Quantificacao!W27</f>
        <v>0</v>
      </c>
      <c r="Z20" s="1139">
        <f>Dren_Quantificacao!X27</f>
        <v>0</v>
      </c>
      <c r="AA20" s="1139">
        <f>Dren_Quantificacao!Y27</f>
        <v>0</v>
      </c>
      <c r="AB20" s="1139">
        <f>Dren_Quantificacao!Z27</f>
        <v>0</v>
      </c>
      <c r="AC20" s="1139">
        <f>Dren_Quantificacao!AA27</f>
        <v>0</v>
      </c>
      <c r="AD20" s="1139">
        <f>Dren_Quantificacao!AB27</f>
        <v>0</v>
      </c>
      <c r="AE20" s="1139">
        <f>Dren_Quantificacao!AC27</f>
        <v>0</v>
      </c>
      <c r="AF20" s="1139">
        <f>Dren_Quantificacao!AD27</f>
        <v>27</v>
      </c>
      <c r="AG20" s="1139">
        <f>Dren_Quantificacao!AE27</f>
        <v>0</v>
      </c>
      <c r="AH20" s="1139">
        <f>Dren_Quantificacao!AF27</f>
        <v>0</v>
      </c>
      <c r="AI20" s="1139"/>
      <c r="AJ20" s="1139"/>
      <c r="AK20" s="1139"/>
      <c r="AL20" s="1139"/>
      <c r="AM20" s="1139"/>
      <c r="AN20" s="1139"/>
      <c r="AO20" s="1139"/>
      <c r="AP20" s="1139"/>
      <c r="AQ20" s="1139"/>
      <c r="AR20" s="2430"/>
      <c r="AS20" s="1139">
        <f>Dren_Quantificacao!AQ27</f>
        <v>0</v>
      </c>
      <c r="AT20" s="1139">
        <f>Dren_Quantificacao!AR27</f>
        <v>0</v>
      </c>
      <c r="AU20" s="1139">
        <f>Dren_Quantificacao!AS27</f>
        <v>0</v>
      </c>
      <c r="AV20" s="1139">
        <f>Dren_Quantificacao!AT27</f>
        <v>0</v>
      </c>
      <c r="AW20" s="1139">
        <f>Dren_Quantificacao!AU27</f>
        <v>0</v>
      </c>
      <c r="AX20" s="1139">
        <f>Dren_Quantificacao!AW27</f>
        <v>0</v>
      </c>
      <c r="AY20" s="1139">
        <f>Dren_Quantificacao!AX27</f>
        <v>0</v>
      </c>
      <c r="AZ20" s="1139">
        <f>Dren_Quantificacao!AY27</f>
        <v>0</v>
      </c>
      <c r="BA20" s="1139">
        <f>Dren_Quantificacao!AZ27</f>
        <v>0</v>
      </c>
      <c r="BB20" s="1139">
        <f>Dren_Quantificacao!BA27</f>
        <v>0</v>
      </c>
      <c r="BC20" s="1139">
        <f>Dren_Quantificacao!BB27</f>
        <v>0</v>
      </c>
      <c r="BD20" s="1139">
        <f>Dren_Quantificacao!BC27</f>
        <v>0</v>
      </c>
      <c r="BE20" s="1139">
        <f>Dren_Quantificacao!BD27</f>
        <v>0</v>
      </c>
      <c r="BF20" s="1139">
        <f>Dren_Quantificacao!BE27</f>
        <v>0</v>
      </c>
      <c r="BG20" s="1139">
        <f>Dren_Quantificacao!BF27</f>
        <v>0</v>
      </c>
      <c r="BH20" s="1139">
        <f>Dren_Quantificacao!BG27</f>
        <v>0</v>
      </c>
      <c r="BI20" s="1139">
        <f>Dren_Quantificacao!BH27</f>
        <v>0</v>
      </c>
      <c r="BJ20" s="1139">
        <f>Dren_Quantificacao!BI27</f>
        <v>0</v>
      </c>
      <c r="BK20" s="1139">
        <f>Dren_Quantificacao!BJ27</f>
        <v>0</v>
      </c>
      <c r="BL20" s="1139">
        <f>Dren_Quantificacao!BK27</f>
        <v>0</v>
      </c>
      <c r="BM20" s="1140">
        <f>ROUND(SUM(F20:BL20),2)</f>
        <v>27</v>
      </c>
      <c r="BN20" s="579">
        <f t="shared" si="0"/>
        <v>54</v>
      </c>
    </row>
    <row r="21" spans="1:66" ht="21.95" customHeight="1" x14ac:dyDescent="0.15">
      <c r="A21" s="2596"/>
      <c r="B21" s="2631"/>
      <c r="C21" s="568" t="s">
        <v>29</v>
      </c>
      <c r="E21" s="442"/>
      <c r="F21" s="1139">
        <f t="shared" ref="F21" si="97">F20*F18</f>
        <v>0</v>
      </c>
      <c r="G21" s="1139">
        <f t="shared" ref="G21" si="98">G20*G18</f>
        <v>0</v>
      </c>
      <c r="H21" s="1139">
        <f t="shared" ref="H21:I21" si="99">H20*H18</f>
        <v>0</v>
      </c>
      <c r="I21" s="1139">
        <f t="shared" si="99"/>
        <v>0</v>
      </c>
      <c r="J21" s="1139"/>
      <c r="K21" s="1139"/>
      <c r="L21" s="1139"/>
      <c r="M21" s="1139"/>
      <c r="N21" s="2430"/>
      <c r="O21" s="1139">
        <f t="shared" ref="O21:V21" si="100">O20*O18</f>
        <v>0</v>
      </c>
      <c r="P21" s="1139">
        <f t="shared" si="100"/>
        <v>0</v>
      </c>
      <c r="Q21" s="1139">
        <f t="shared" si="100"/>
        <v>0</v>
      </c>
      <c r="R21" s="1139">
        <f t="shared" si="100"/>
        <v>0</v>
      </c>
      <c r="S21" s="1139">
        <f t="shared" si="100"/>
        <v>0</v>
      </c>
      <c r="T21" s="1139">
        <f t="shared" si="100"/>
        <v>0</v>
      </c>
      <c r="U21" s="1139">
        <f t="shared" si="100"/>
        <v>0</v>
      </c>
      <c r="V21" s="1139">
        <f t="shared" si="100"/>
        <v>0</v>
      </c>
      <c r="W21" s="1139"/>
      <c r="X21" s="2430"/>
      <c r="Y21" s="1139">
        <f t="shared" ref="Y21:AH21" si="101">Y20*Y18</f>
        <v>0</v>
      </c>
      <c r="Z21" s="1139">
        <f t="shared" si="101"/>
        <v>0</v>
      </c>
      <c r="AA21" s="1139">
        <f t="shared" si="101"/>
        <v>0</v>
      </c>
      <c r="AB21" s="1139">
        <f t="shared" si="101"/>
        <v>0</v>
      </c>
      <c r="AC21" s="1139">
        <f t="shared" si="101"/>
        <v>0</v>
      </c>
      <c r="AD21" s="1139">
        <f t="shared" si="101"/>
        <v>0</v>
      </c>
      <c r="AE21" s="1139">
        <f t="shared" si="101"/>
        <v>0</v>
      </c>
      <c r="AF21" s="1139">
        <f t="shared" si="101"/>
        <v>48.599999999999994</v>
      </c>
      <c r="AG21" s="1139">
        <f t="shared" si="101"/>
        <v>0</v>
      </c>
      <c r="AH21" s="1139">
        <f t="shared" si="101"/>
        <v>0</v>
      </c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2430"/>
      <c r="AS21" s="1139">
        <f t="shared" ref="AS21:AW21" si="102">AS20*AS18</f>
        <v>0</v>
      </c>
      <c r="AT21" s="1139">
        <f t="shared" si="102"/>
        <v>0</v>
      </c>
      <c r="AU21" s="1139">
        <f t="shared" si="102"/>
        <v>0</v>
      </c>
      <c r="AV21" s="1139">
        <f t="shared" si="102"/>
        <v>0</v>
      </c>
      <c r="AW21" s="1139">
        <f t="shared" si="102"/>
        <v>0</v>
      </c>
      <c r="AX21" s="1139">
        <f t="shared" ref="AX21" si="103">AX20*AX18</f>
        <v>0</v>
      </c>
      <c r="AY21" s="1139">
        <f t="shared" ref="AY21:BL21" si="104">AY20*AY18</f>
        <v>0</v>
      </c>
      <c r="AZ21" s="1139">
        <f t="shared" si="104"/>
        <v>0</v>
      </c>
      <c r="BA21" s="1139">
        <f t="shared" si="104"/>
        <v>0</v>
      </c>
      <c r="BB21" s="1139">
        <f t="shared" si="104"/>
        <v>0</v>
      </c>
      <c r="BC21" s="1139">
        <f t="shared" si="104"/>
        <v>0</v>
      </c>
      <c r="BD21" s="1139">
        <f t="shared" si="104"/>
        <v>0</v>
      </c>
      <c r="BE21" s="1139">
        <f t="shared" si="104"/>
        <v>0</v>
      </c>
      <c r="BF21" s="1139">
        <f t="shared" si="104"/>
        <v>0</v>
      </c>
      <c r="BG21" s="1139">
        <f t="shared" si="104"/>
        <v>0</v>
      </c>
      <c r="BH21" s="1139">
        <f t="shared" si="104"/>
        <v>0</v>
      </c>
      <c r="BI21" s="1139">
        <f t="shared" si="104"/>
        <v>0</v>
      </c>
      <c r="BJ21" s="1139">
        <f t="shared" si="104"/>
        <v>0</v>
      </c>
      <c r="BK21" s="1139">
        <f t="shared" si="104"/>
        <v>0</v>
      </c>
      <c r="BL21" s="1139">
        <f t="shared" si="104"/>
        <v>0</v>
      </c>
      <c r="BM21" s="1140">
        <f>ROUND(SUM(F21:BL21),2)</f>
        <v>48.6</v>
      </c>
      <c r="BN21" s="579">
        <f t="shared" si="0"/>
        <v>97.199999999999989</v>
      </c>
    </row>
    <row r="22" spans="1:66" ht="21.95" customHeight="1" thickBot="1" x14ac:dyDescent="0.2">
      <c r="A22" s="2596"/>
      <c r="B22" s="2650"/>
      <c r="C22" s="566" t="s">
        <v>472</v>
      </c>
      <c r="D22" s="987"/>
      <c r="E22" s="231"/>
      <c r="F22" s="1135">
        <f t="shared" ref="F22" si="105">F20*F19*F18/100</f>
        <v>0</v>
      </c>
      <c r="G22" s="1135">
        <f t="shared" ref="G22" si="106">G20*G19*G18/100</f>
        <v>0</v>
      </c>
      <c r="H22" s="1135">
        <f t="shared" ref="H22:I22" si="107">H20*H19*H18/100</f>
        <v>0</v>
      </c>
      <c r="I22" s="1135">
        <f t="shared" si="107"/>
        <v>0</v>
      </c>
      <c r="J22" s="1135"/>
      <c r="K22" s="1135"/>
      <c r="L22" s="1135"/>
      <c r="M22" s="1135"/>
      <c r="N22" s="2428"/>
      <c r="O22" s="1135">
        <f t="shared" ref="O22:V22" si="108">O20*O19*O18/100</f>
        <v>0</v>
      </c>
      <c r="P22" s="1135">
        <f t="shared" si="108"/>
        <v>0</v>
      </c>
      <c r="Q22" s="1135">
        <f t="shared" si="108"/>
        <v>0</v>
      </c>
      <c r="R22" s="1135">
        <f t="shared" si="108"/>
        <v>0</v>
      </c>
      <c r="S22" s="1135">
        <f t="shared" si="108"/>
        <v>0</v>
      </c>
      <c r="T22" s="1135">
        <f t="shared" si="108"/>
        <v>0</v>
      </c>
      <c r="U22" s="1135">
        <f t="shared" si="108"/>
        <v>0</v>
      </c>
      <c r="V22" s="1135">
        <f t="shared" si="108"/>
        <v>0</v>
      </c>
      <c r="W22" s="1135"/>
      <c r="X22" s="2428"/>
      <c r="Y22" s="1135">
        <f t="shared" ref="Y22:AH22" si="109">Y20*Y19*Y18/100</f>
        <v>0</v>
      </c>
      <c r="Z22" s="1135">
        <f t="shared" si="109"/>
        <v>0</v>
      </c>
      <c r="AA22" s="1135">
        <f t="shared" si="109"/>
        <v>0</v>
      </c>
      <c r="AB22" s="1135">
        <f t="shared" si="109"/>
        <v>0</v>
      </c>
      <c r="AC22" s="1135">
        <f t="shared" si="109"/>
        <v>0</v>
      </c>
      <c r="AD22" s="1135">
        <f t="shared" si="109"/>
        <v>0</v>
      </c>
      <c r="AE22" s="1135">
        <f t="shared" si="109"/>
        <v>0</v>
      </c>
      <c r="AF22" s="1135">
        <f t="shared" si="109"/>
        <v>2.4299999999999997</v>
      </c>
      <c r="AG22" s="1135">
        <f t="shared" si="109"/>
        <v>0</v>
      </c>
      <c r="AH22" s="1135">
        <f t="shared" si="109"/>
        <v>0</v>
      </c>
      <c r="AI22" s="1135"/>
      <c r="AJ22" s="1135"/>
      <c r="AK22" s="1135"/>
      <c r="AL22" s="1135"/>
      <c r="AM22" s="1135"/>
      <c r="AN22" s="1135"/>
      <c r="AO22" s="1135"/>
      <c r="AP22" s="1135"/>
      <c r="AQ22" s="1135"/>
      <c r="AR22" s="2428"/>
      <c r="AS22" s="1135">
        <f t="shared" ref="AS22:AW22" si="110">AS20*AS19*AS18/100</f>
        <v>0</v>
      </c>
      <c r="AT22" s="1135">
        <f t="shared" si="110"/>
        <v>0</v>
      </c>
      <c r="AU22" s="1135">
        <f t="shared" si="110"/>
        <v>0</v>
      </c>
      <c r="AV22" s="1135">
        <f t="shared" si="110"/>
        <v>0</v>
      </c>
      <c r="AW22" s="1135">
        <f t="shared" si="110"/>
        <v>0</v>
      </c>
      <c r="AX22" s="1135">
        <f t="shared" ref="AX22" si="111">AX20*AX19*AX18/100</f>
        <v>0</v>
      </c>
      <c r="AY22" s="1135">
        <f t="shared" ref="AY22:BL22" si="112">AY20*AY19*AY18/100</f>
        <v>0</v>
      </c>
      <c r="AZ22" s="1135">
        <f t="shared" si="112"/>
        <v>0</v>
      </c>
      <c r="BA22" s="1135">
        <f t="shared" si="112"/>
        <v>0</v>
      </c>
      <c r="BB22" s="1135">
        <f t="shared" si="112"/>
        <v>0</v>
      </c>
      <c r="BC22" s="1135">
        <f t="shared" si="112"/>
        <v>0</v>
      </c>
      <c r="BD22" s="1135">
        <f t="shared" si="112"/>
        <v>0</v>
      </c>
      <c r="BE22" s="1135">
        <f t="shared" si="112"/>
        <v>0</v>
      </c>
      <c r="BF22" s="1135">
        <f t="shared" si="112"/>
        <v>0</v>
      </c>
      <c r="BG22" s="1135">
        <f t="shared" si="112"/>
        <v>0</v>
      </c>
      <c r="BH22" s="1135">
        <f t="shared" si="112"/>
        <v>0</v>
      </c>
      <c r="BI22" s="1135">
        <f t="shared" si="112"/>
        <v>0</v>
      </c>
      <c r="BJ22" s="1135">
        <f t="shared" si="112"/>
        <v>0</v>
      </c>
      <c r="BK22" s="1135">
        <f t="shared" si="112"/>
        <v>0</v>
      </c>
      <c r="BL22" s="1135">
        <f t="shared" si="112"/>
        <v>0</v>
      </c>
      <c r="BM22" s="1141">
        <f>ROUND(SUM(F22:BL22),2)</f>
        <v>2.4300000000000002</v>
      </c>
      <c r="BN22" s="579">
        <f t="shared" si="0"/>
        <v>4.8599999999999994</v>
      </c>
    </row>
    <row r="23" spans="1:66" ht="21.95" customHeight="1" x14ac:dyDescent="0.15">
      <c r="A23" s="2596"/>
      <c r="B23" s="2649" t="s">
        <v>322</v>
      </c>
      <c r="C23" s="550" t="s">
        <v>316</v>
      </c>
      <c r="D23" s="985"/>
      <c r="E23" s="443"/>
      <c r="F23" s="1137">
        <f>IF(F27=0,0,+Dre_Terraplenagem!F39)</f>
        <v>0</v>
      </c>
      <c r="G23" s="1137">
        <f>IF(G27=0,0,+Dre_Terraplenagem!G39)</f>
        <v>0</v>
      </c>
      <c r="H23" s="1137">
        <f>IF(H27=0,0,+Dre_Terraplenagem!H39)</f>
        <v>0</v>
      </c>
      <c r="I23" s="1137">
        <f>IF(I27=0,0,+Dre_Terraplenagem!I39)</f>
        <v>0</v>
      </c>
      <c r="J23" s="1137"/>
      <c r="K23" s="1137"/>
      <c r="L23" s="1137"/>
      <c r="M23" s="1137"/>
      <c r="N23" s="2429"/>
      <c r="O23" s="1137">
        <f>IF(O27=0,0,+Dre_Terraplenagem!O39)</f>
        <v>0</v>
      </c>
      <c r="P23" s="1137">
        <f>IF(P27=0,0,+Dre_Terraplenagem!P39)</f>
        <v>0</v>
      </c>
      <c r="Q23" s="1137">
        <f>IF(Q27=0,0,+Dre_Terraplenagem!Q39)</f>
        <v>0</v>
      </c>
      <c r="R23" s="1137">
        <f>IF(R27=0,0,+Dre_Terraplenagem!R39)</f>
        <v>0</v>
      </c>
      <c r="S23" s="1137">
        <f>IF(S27=0,0,+Dre_Terraplenagem!S39)</f>
        <v>0</v>
      </c>
      <c r="T23" s="1137">
        <f>IF(T27=0,0,+Dre_Terraplenagem!T39)</f>
        <v>0</v>
      </c>
      <c r="U23" s="1137">
        <f>IF(U27=0,0,+Dre_Terraplenagem!U39)</f>
        <v>0</v>
      </c>
      <c r="V23" s="1137">
        <f>IF(V27=0,0,+Dre_Terraplenagem!V39)</f>
        <v>0</v>
      </c>
      <c r="W23" s="1137"/>
      <c r="X23" s="2429"/>
      <c r="Y23" s="1137">
        <f>IF(Y27=0,0,+Dre_Terraplenagem!Y39)</f>
        <v>0</v>
      </c>
      <c r="Z23" s="1137">
        <f>IF(Z27=0,0,+Dre_Terraplenagem!Z39)</f>
        <v>0</v>
      </c>
      <c r="AA23" s="1137">
        <f>IF(AA27=0,0,+Dre_Terraplenagem!AA39)</f>
        <v>0</v>
      </c>
      <c r="AB23" s="1137">
        <f>IF(AB27=0,0,+Dre_Terraplenagem!AB39)</f>
        <v>0</v>
      </c>
      <c r="AC23" s="1137">
        <f>IF(AC27=0,0,+Dre_Terraplenagem!AC39)</f>
        <v>0</v>
      </c>
      <c r="AD23" s="1137">
        <f>IF(AD27=0,0,+Dre_Terraplenagem!AD39)</f>
        <v>0</v>
      </c>
      <c r="AE23" s="1137">
        <f ca="1">IF(AE27=0,0,+Dre_Terraplenagem!AE39)</f>
        <v>1.6</v>
      </c>
      <c r="AF23" s="1137">
        <f ca="1">IF(AF27=0,0,+Dre_Terraplenagem!AF39)</f>
        <v>2.1883466666667064</v>
      </c>
      <c r="AG23" s="1137">
        <f>IF(AG27=0,0,+Dre_Terraplenagem!AG39)</f>
        <v>0</v>
      </c>
      <c r="AH23" s="1137">
        <f>IF(AH27=0,0,+Dre_Terraplenagem!AH39)</f>
        <v>0</v>
      </c>
      <c r="AI23" s="1137"/>
      <c r="AJ23" s="1137"/>
      <c r="AK23" s="1137"/>
      <c r="AL23" s="1137"/>
      <c r="AM23" s="1137"/>
      <c r="AN23" s="1137"/>
      <c r="AO23" s="1137"/>
      <c r="AP23" s="1137"/>
      <c r="AQ23" s="1137"/>
      <c r="AR23" s="2429"/>
      <c r="AS23" s="1137">
        <f>IF(AS27=0,0,+Dre_Terraplenagem!AS39)</f>
        <v>0</v>
      </c>
      <c r="AT23" s="1137">
        <f>IF(AT27=0,0,+Dre_Terraplenagem!AT39)</f>
        <v>0</v>
      </c>
      <c r="AU23" s="1137">
        <f>IF(AU27=0,0,+Dre_Terraplenagem!AU39)</f>
        <v>0</v>
      </c>
      <c r="AV23" s="1137">
        <f>IF(AV27=0,0,+Dre_Terraplenagem!AV39)</f>
        <v>0</v>
      </c>
      <c r="AW23" s="1137">
        <f>IF(AW27=0,0,+Dre_Terraplenagem!AW39)</f>
        <v>0</v>
      </c>
      <c r="AX23" s="1137">
        <f>IF(AX27=0,0,+Dre_Terraplenagem!AZ39)</f>
        <v>0</v>
      </c>
      <c r="AY23" s="1137">
        <f>IF(AY27=0,0,+Dre_Terraplenagem!AY39)</f>
        <v>0</v>
      </c>
      <c r="AZ23" s="1137">
        <f>IF(AZ27=0,0,+Dre_Terraplenagem!AZ39)</f>
        <v>0</v>
      </c>
      <c r="BA23" s="1137">
        <f>IF(BA27=0,0,+Dre_Terraplenagem!BA39)</f>
        <v>0</v>
      </c>
      <c r="BB23" s="1137">
        <f>IF(BB27=0,0,+Dre_Terraplenagem!BB39)</f>
        <v>0</v>
      </c>
      <c r="BC23" s="1137">
        <f>IF(BC27=0,0,+Dre_Terraplenagem!BC39)</f>
        <v>0</v>
      </c>
      <c r="BD23" s="1137">
        <f>IF(BD27=0,0,+Dre_Terraplenagem!BD39)</f>
        <v>0</v>
      </c>
      <c r="BE23" s="1137">
        <f>IF(BE27=0,0,+Dre_Terraplenagem!BE39)</f>
        <v>0</v>
      </c>
      <c r="BF23" s="1137">
        <f>IF(BF27=0,0,+Dre_Terraplenagem!BF39)</f>
        <v>0</v>
      </c>
      <c r="BG23" s="1137">
        <f>IF(BG27=0,0,+Dre_Terraplenagem!BG39)</f>
        <v>0</v>
      </c>
      <c r="BH23" s="1137">
        <f>IF(BH27=0,0,+Dre_Terraplenagem!BH39)</f>
        <v>0</v>
      </c>
      <c r="BI23" s="1137">
        <f>IF(BI27=0,0,+Dre_Terraplenagem!BI39)</f>
        <v>0</v>
      </c>
      <c r="BJ23" s="1137">
        <f>IF(BJ27=0,0,+Dre_Terraplenagem!BJ39)</f>
        <v>0</v>
      </c>
      <c r="BK23" s="1137">
        <f>IF(BK27=0,0,+Dre_Terraplenagem!BK39)</f>
        <v>0</v>
      </c>
      <c r="BL23" s="1137">
        <f>IF(BL27=0,0,+Dre_Terraplenagem!BL39)</f>
        <v>0</v>
      </c>
      <c r="BM23" s="1138"/>
      <c r="BN23" s="579">
        <f t="shared" ca="1" si="0"/>
        <v>3.7883466666667065</v>
      </c>
    </row>
    <row r="24" spans="1:66" ht="21.95" customHeight="1" x14ac:dyDescent="0.15">
      <c r="A24" s="2596"/>
      <c r="B24" s="2622"/>
      <c r="C24" s="567" t="s">
        <v>317</v>
      </c>
      <c r="E24" s="442"/>
      <c r="F24" s="1139">
        <f t="shared" ref="F24" si="113">IF(F23&gt;0,0.6,0)</f>
        <v>0</v>
      </c>
      <c r="G24" s="1139">
        <f t="shared" ref="G24" si="114">IF(G23&gt;0,0.6,0)</f>
        <v>0</v>
      </c>
      <c r="H24" s="1139">
        <f t="shared" ref="H24:I24" si="115">IF(H23&gt;0,0.6,0)</f>
        <v>0</v>
      </c>
      <c r="I24" s="1139">
        <f t="shared" si="115"/>
        <v>0</v>
      </c>
      <c r="J24" s="1139"/>
      <c r="K24" s="1139"/>
      <c r="L24" s="1139"/>
      <c r="M24" s="1139"/>
      <c r="N24" s="2430"/>
      <c r="O24" s="1139">
        <f t="shared" ref="O24:V24" si="116">IF(O23&gt;0,0.6,0)</f>
        <v>0</v>
      </c>
      <c r="P24" s="1139">
        <f t="shared" si="116"/>
        <v>0</v>
      </c>
      <c r="Q24" s="1139">
        <f t="shared" si="116"/>
        <v>0</v>
      </c>
      <c r="R24" s="1139">
        <f t="shared" si="116"/>
        <v>0</v>
      </c>
      <c r="S24" s="1139">
        <f t="shared" si="116"/>
        <v>0</v>
      </c>
      <c r="T24" s="1139">
        <f t="shared" si="116"/>
        <v>0</v>
      </c>
      <c r="U24" s="1139">
        <f t="shared" si="116"/>
        <v>0</v>
      </c>
      <c r="V24" s="1139">
        <f t="shared" si="116"/>
        <v>0</v>
      </c>
      <c r="W24" s="1139"/>
      <c r="X24" s="2430"/>
      <c r="Y24" s="1139">
        <f t="shared" ref="Y24:AH24" si="117">IF(Y23&gt;0,0.6,0)</f>
        <v>0</v>
      </c>
      <c r="Z24" s="1139">
        <f t="shared" si="117"/>
        <v>0</v>
      </c>
      <c r="AA24" s="1139">
        <f t="shared" si="117"/>
        <v>0</v>
      </c>
      <c r="AB24" s="1139">
        <f t="shared" si="117"/>
        <v>0</v>
      </c>
      <c r="AC24" s="1139">
        <f t="shared" si="117"/>
        <v>0</v>
      </c>
      <c r="AD24" s="1139">
        <f t="shared" si="117"/>
        <v>0</v>
      </c>
      <c r="AE24" s="1139">
        <f t="shared" ca="1" si="117"/>
        <v>0.6</v>
      </c>
      <c r="AF24" s="1139">
        <f t="shared" ca="1" si="117"/>
        <v>0.6</v>
      </c>
      <c r="AG24" s="1139">
        <f t="shared" si="117"/>
        <v>0</v>
      </c>
      <c r="AH24" s="1139">
        <f t="shared" si="117"/>
        <v>0</v>
      </c>
      <c r="AI24" s="1139"/>
      <c r="AJ24" s="1139"/>
      <c r="AK24" s="1139"/>
      <c r="AL24" s="1139"/>
      <c r="AM24" s="1139"/>
      <c r="AN24" s="1139"/>
      <c r="AO24" s="1139"/>
      <c r="AP24" s="1139"/>
      <c r="AQ24" s="1139"/>
      <c r="AR24" s="2430"/>
      <c r="AS24" s="1139">
        <f t="shared" ref="AS24:AW24" si="118">IF(AS23&gt;0,0.6,0)</f>
        <v>0</v>
      </c>
      <c r="AT24" s="1139">
        <f t="shared" si="118"/>
        <v>0</v>
      </c>
      <c r="AU24" s="1139">
        <f t="shared" si="118"/>
        <v>0</v>
      </c>
      <c r="AV24" s="1139">
        <f t="shared" si="118"/>
        <v>0</v>
      </c>
      <c r="AW24" s="1139">
        <f t="shared" si="118"/>
        <v>0</v>
      </c>
      <c r="AX24" s="1139">
        <f t="shared" ref="AX24" si="119">IF(AX23&gt;0,0.6,0)</f>
        <v>0</v>
      </c>
      <c r="AY24" s="1139">
        <f t="shared" ref="AY24:BL24" si="120">IF(AY23&gt;0,0.6,0)</f>
        <v>0</v>
      </c>
      <c r="AZ24" s="1139">
        <f t="shared" si="120"/>
        <v>0</v>
      </c>
      <c r="BA24" s="1139">
        <f t="shared" si="120"/>
        <v>0</v>
      </c>
      <c r="BB24" s="1139">
        <f t="shared" si="120"/>
        <v>0</v>
      </c>
      <c r="BC24" s="1139">
        <f t="shared" si="120"/>
        <v>0</v>
      </c>
      <c r="BD24" s="1139">
        <f t="shared" si="120"/>
        <v>0</v>
      </c>
      <c r="BE24" s="1139">
        <f t="shared" si="120"/>
        <v>0</v>
      </c>
      <c r="BF24" s="1139">
        <f t="shared" si="120"/>
        <v>0</v>
      </c>
      <c r="BG24" s="1139">
        <f t="shared" si="120"/>
        <v>0</v>
      </c>
      <c r="BH24" s="1139">
        <f t="shared" si="120"/>
        <v>0</v>
      </c>
      <c r="BI24" s="1139">
        <f t="shared" si="120"/>
        <v>0</v>
      </c>
      <c r="BJ24" s="1139">
        <f t="shared" si="120"/>
        <v>0</v>
      </c>
      <c r="BK24" s="1139">
        <f t="shared" si="120"/>
        <v>0</v>
      </c>
      <c r="BL24" s="1139">
        <f t="shared" si="120"/>
        <v>0</v>
      </c>
      <c r="BM24" s="1134"/>
      <c r="BN24" s="579">
        <f t="shared" ca="1" si="0"/>
        <v>1.2</v>
      </c>
    </row>
    <row r="25" spans="1:66" ht="21.95" customHeight="1" x14ac:dyDescent="0.15">
      <c r="A25" s="2596"/>
      <c r="B25" s="2622"/>
      <c r="C25" s="567" t="s">
        <v>315</v>
      </c>
      <c r="E25" s="442"/>
      <c r="F25" s="1139">
        <f t="shared" ref="F25" si="121">F24+F23</f>
        <v>0</v>
      </c>
      <c r="G25" s="1139">
        <f t="shared" ref="G25" si="122">G24+G23</f>
        <v>0</v>
      </c>
      <c r="H25" s="1139">
        <f t="shared" ref="H25:I25" si="123">H24+H23</f>
        <v>0</v>
      </c>
      <c r="I25" s="1139">
        <f t="shared" si="123"/>
        <v>0</v>
      </c>
      <c r="J25" s="1139"/>
      <c r="K25" s="1139"/>
      <c r="L25" s="1139"/>
      <c r="M25" s="1139"/>
      <c r="N25" s="2430"/>
      <c r="O25" s="1139">
        <f t="shared" ref="O25:V25" si="124">O24+O23</f>
        <v>0</v>
      </c>
      <c r="P25" s="1139">
        <f t="shared" si="124"/>
        <v>0</v>
      </c>
      <c r="Q25" s="1139">
        <f t="shared" si="124"/>
        <v>0</v>
      </c>
      <c r="R25" s="1139">
        <f t="shared" si="124"/>
        <v>0</v>
      </c>
      <c r="S25" s="1139">
        <f t="shared" si="124"/>
        <v>0</v>
      </c>
      <c r="T25" s="1139">
        <f t="shared" si="124"/>
        <v>0</v>
      </c>
      <c r="U25" s="1139">
        <f t="shared" si="124"/>
        <v>0</v>
      </c>
      <c r="V25" s="1139">
        <f t="shared" si="124"/>
        <v>0</v>
      </c>
      <c r="W25" s="1139"/>
      <c r="X25" s="2430"/>
      <c r="Y25" s="1139">
        <f t="shared" ref="Y25:AH25" si="125">Y24+Y23</f>
        <v>0</v>
      </c>
      <c r="Z25" s="1139">
        <f t="shared" si="125"/>
        <v>0</v>
      </c>
      <c r="AA25" s="1139">
        <f t="shared" si="125"/>
        <v>0</v>
      </c>
      <c r="AB25" s="1139">
        <f t="shared" si="125"/>
        <v>0</v>
      </c>
      <c r="AC25" s="1139">
        <f t="shared" si="125"/>
        <v>0</v>
      </c>
      <c r="AD25" s="1139">
        <f t="shared" si="125"/>
        <v>0</v>
      </c>
      <c r="AE25" s="1139">
        <f t="shared" ca="1" si="125"/>
        <v>2.2000000000000002</v>
      </c>
      <c r="AF25" s="1139">
        <f t="shared" ca="1" si="125"/>
        <v>2.7883466666667065</v>
      </c>
      <c r="AG25" s="1139">
        <f t="shared" si="125"/>
        <v>0</v>
      </c>
      <c r="AH25" s="1139">
        <f t="shared" si="125"/>
        <v>0</v>
      </c>
      <c r="AI25" s="1139"/>
      <c r="AJ25" s="1139"/>
      <c r="AK25" s="1139"/>
      <c r="AL25" s="1139"/>
      <c r="AM25" s="1139"/>
      <c r="AN25" s="1139"/>
      <c r="AO25" s="1139"/>
      <c r="AP25" s="1139"/>
      <c r="AQ25" s="1139"/>
      <c r="AR25" s="2430"/>
      <c r="AS25" s="1139">
        <f t="shared" ref="AS25:AW25" si="126">AS24+AS23</f>
        <v>0</v>
      </c>
      <c r="AT25" s="1139">
        <f t="shared" si="126"/>
        <v>0</v>
      </c>
      <c r="AU25" s="1139">
        <f t="shared" si="126"/>
        <v>0</v>
      </c>
      <c r="AV25" s="1139">
        <f t="shared" si="126"/>
        <v>0</v>
      </c>
      <c r="AW25" s="1139">
        <f t="shared" si="126"/>
        <v>0</v>
      </c>
      <c r="AX25" s="1139">
        <f t="shared" ref="AX25" si="127">AX24+AX23</f>
        <v>0</v>
      </c>
      <c r="AY25" s="1139">
        <f t="shared" ref="AY25:BL25" si="128">AY24+AY23</f>
        <v>0</v>
      </c>
      <c r="AZ25" s="1139">
        <f t="shared" si="128"/>
        <v>0</v>
      </c>
      <c r="BA25" s="1139">
        <f t="shared" si="128"/>
        <v>0</v>
      </c>
      <c r="BB25" s="1139">
        <f t="shared" si="128"/>
        <v>0</v>
      </c>
      <c r="BC25" s="1139">
        <f t="shared" si="128"/>
        <v>0</v>
      </c>
      <c r="BD25" s="1139">
        <f t="shared" si="128"/>
        <v>0</v>
      </c>
      <c r="BE25" s="1139">
        <f t="shared" si="128"/>
        <v>0</v>
      </c>
      <c r="BF25" s="1139">
        <f t="shared" si="128"/>
        <v>0</v>
      </c>
      <c r="BG25" s="1139">
        <f t="shared" si="128"/>
        <v>0</v>
      </c>
      <c r="BH25" s="1139">
        <f t="shared" si="128"/>
        <v>0</v>
      </c>
      <c r="BI25" s="1139">
        <f t="shared" si="128"/>
        <v>0</v>
      </c>
      <c r="BJ25" s="1139">
        <f t="shared" si="128"/>
        <v>0</v>
      </c>
      <c r="BK25" s="1139">
        <f t="shared" si="128"/>
        <v>0</v>
      </c>
      <c r="BL25" s="1139">
        <f t="shared" si="128"/>
        <v>0</v>
      </c>
      <c r="BM25" s="1134"/>
      <c r="BN25" s="579">
        <f t="shared" ca="1" si="0"/>
        <v>4.9883466666667067</v>
      </c>
    </row>
    <row r="26" spans="1:66" ht="21.95" customHeight="1" x14ac:dyDescent="0.15">
      <c r="A26" s="2596"/>
      <c r="B26" s="2622"/>
      <c r="C26" s="567" t="s">
        <v>45</v>
      </c>
      <c r="E26" s="442"/>
      <c r="F26" s="1139">
        <f t="shared" ref="F26" si="129">IF(F23&gt;0,5,0)</f>
        <v>0</v>
      </c>
      <c r="G26" s="1139">
        <f t="shared" ref="G26" si="130">IF(G23&gt;0,5,0)</f>
        <v>0</v>
      </c>
      <c r="H26" s="1139">
        <f t="shared" ref="H26:I26" si="131">IF(H23&gt;0,5,0)</f>
        <v>0</v>
      </c>
      <c r="I26" s="1139">
        <f t="shared" si="131"/>
        <v>0</v>
      </c>
      <c r="J26" s="1139"/>
      <c r="K26" s="1139"/>
      <c r="L26" s="1139"/>
      <c r="M26" s="1139"/>
      <c r="N26" s="2430"/>
      <c r="O26" s="1139">
        <f t="shared" ref="O26:V26" si="132">IF(O23&gt;0,5,0)</f>
        <v>0</v>
      </c>
      <c r="P26" s="1139">
        <f t="shared" si="132"/>
        <v>0</v>
      </c>
      <c r="Q26" s="1139">
        <f t="shared" si="132"/>
        <v>0</v>
      </c>
      <c r="R26" s="1139">
        <f t="shared" si="132"/>
        <v>0</v>
      </c>
      <c r="S26" s="1139">
        <f t="shared" si="132"/>
        <v>0</v>
      </c>
      <c r="T26" s="1139">
        <f t="shared" si="132"/>
        <v>0</v>
      </c>
      <c r="U26" s="1139">
        <f t="shared" si="132"/>
        <v>0</v>
      </c>
      <c r="V26" s="1139">
        <f t="shared" si="132"/>
        <v>0</v>
      </c>
      <c r="W26" s="1139"/>
      <c r="X26" s="2430"/>
      <c r="Y26" s="1139">
        <f t="shared" ref="Y26:AH26" si="133">IF(Y23&gt;0,5,0)</f>
        <v>0</v>
      </c>
      <c r="Z26" s="1139">
        <f t="shared" si="133"/>
        <v>0</v>
      </c>
      <c r="AA26" s="1139">
        <f t="shared" si="133"/>
        <v>0</v>
      </c>
      <c r="AB26" s="1139">
        <f t="shared" si="133"/>
        <v>0</v>
      </c>
      <c r="AC26" s="1139">
        <f t="shared" si="133"/>
        <v>0</v>
      </c>
      <c r="AD26" s="1139">
        <f t="shared" si="133"/>
        <v>0</v>
      </c>
      <c r="AE26" s="1139">
        <f t="shared" ca="1" si="133"/>
        <v>5</v>
      </c>
      <c r="AF26" s="1139">
        <f t="shared" ca="1" si="133"/>
        <v>5</v>
      </c>
      <c r="AG26" s="1139">
        <f t="shared" si="133"/>
        <v>0</v>
      </c>
      <c r="AH26" s="1139">
        <f t="shared" si="133"/>
        <v>0</v>
      </c>
      <c r="AI26" s="1139"/>
      <c r="AJ26" s="1139"/>
      <c r="AK26" s="1139"/>
      <c r="AL26" s="1139"/>
      <c r="AM26" s="1139"/>
      <c r="AN26" s="1139"/>
      <c r="AO26" s="1139"/>
      <c r="AP26" s="1139"/>
      <c r="AQ26" s="1139"/>
      <c r="AR26" s="2430"/>
      <c r="AS26" s="1139">
        <f t="shared" ref="AS26:AW26" si="134">IF(AS23&gt;0,5,0)</f>
        <v>0</v>
      </c>
      <c r="AT26" s="1139">
        <f t="shared" si="134"/>
        <v>0</v>
      </c>
      <c r="AU26" s="1139">
        <f t="shared" si="134"/>
        <v>0</v>
      </c>
      <c r="AV26" s="1139">
        <f t="shared" si="134"/>
        <v>0</v>
      </c>
      <c r="AW26" s="1139">
        <f t="shared" si="134"/>
        <v>0</v>
      </c>
      <c r="AX26" s="1139">
        <f t="shared" ref="AX26" si="135">IF(AX23&gt;0,5,0)</f>
        <v>0</v>
      </c>
      <c r="AY26" s="1139">
        <f t="shared" ref="AY26:BL26" si="136">IF(AY23&gt;0,5,0)</f>
        <v>0</v>
      </c>
      <c r="AZ26" s="1139">
        <f t="shared" si="136"/>
        <v>0</v>
      </c>
      <c r="BA26" s="1139">
        <f t="shared" si="136"/>
        <v>0</v>
      </c>
      <c r="BB26" s="1139">
        <f t="shared" si="136"/>
        <v>0</v>
      </c>
      <c r="BC26" s="1139">
        <f t="shared" si="136"/>
        <v>0</v>
      </c>
      <c r="BD26" s="1139">
        <f t="shared" si="136"/>
        <v>0</v>
      </c>
      <c r="BE26" s="1139">
        <f t="shared" si="136"/>
        <v>0</v>
      </c>
      <c r="BF26" s="1139">
        <f t="shared" si="136"/>
        <v>0</v>
      </c>
      <c r="BG26" s="1139">
        <f t="shared" si="136"/>
        <v>0</v>
      </c>
      <c r="BH26" s="1139">
        <f t="shared" si="136"/>
        <v>0</v>
      </c>
      <c r="BI26" s="1139">
        <f t="shared" si="136"/>
        <v>0</v>
      </c>
      <c r="BJ26" s="1139">
        <f t="shared" si="136"/>
        <v>0</v>
      </c>
      <c r="BK26" s="1139">
        <f t="shared" si="136"/>
        <v>0</v>
      </c>
      <c r="BL26" s="1139">
        <f t="shared" si="136"/>
        <v>0</v>
      </c>
      <c r="BM26" s="1134"/>
      <c r="BN26" s="579">
        <f t="shared" ca="1" si="0"/>
        <v>10</v>
      </c>
    </row>
    <row r="27" spans="1:66" ht="21.95" customHeight="1" x14ac:dyDescent="0.15">
      <c r="A27" s="2596"/>
      <c r="B27" s="2622"/>
      <c r="C27" s="567" t="s">
        <v>3</v>
      </c>
      <c r="E27" s="442"/>
      <c r="F27" s="1139">
        <f>Dren_Quantificacao!D28</f>
        <v>0</v>
      </c>
      <c r="G27" s="1139">
        <f>Dren_Quantificacao!E28</f>
        <v>0</v>
      </c>
      <c r="H27" s="1139">
        <f>Dren_Quantificacao!F28</f>
        <v>0</v>
      </c>
      <c r="I27" s="1139">
        <f>Dren_Quantificacao!G28</f>
        <v>0</v>
      </c>
      <c r="J27" s="1139"/>
      <c r="K27" s="1139"/>
      <c r="L27" s="1139"/>
      <c r="M27" s="1139"/>
      <c r="N27" s="2430"/>
      <c r="O27" s="1139">
        <f>Dren_Quantificacao!M28</f>
        <v>0</v>
      </c>
      <c r="P27" s="1139">
        <f>Dren_Quantificacao!N28</f>
        <v>0</v>
      </c>
      <c r="Q27" s="1139">
        <f>Dren_Quantificacao!O28</f>
        <v>0</v>
      </c>
      <c r="R27" s="1139">
        <f>Dren_Quantificacao!P28</f>
        <v>0</v>
      </c>
      <c r="S27" s="1139">
        <f>Dren_Quantificacao!Q28</f>
        <v>0</v>
      </c>
      <c r="T27" s="1139">
        <f>Dren_Quantificacao!R28</f>
        <v>0</v>
      </c>
      <c r="U27" s="1139">
        <f>Dren_Quantificacao!S28</f>
        <v>0</v>
      </c>
      <c r="V27" s="1139">
        <f>Dren_Quantificacao!T28</f>
        <v>0</v>
      </c>
      <c r="W27" s="1139"/>
      <c r="X27" s="2430"/>
      <c r="Y27" s="1139">
        <f>Dren_Quantificacao!W28</f>
        <v>0</v>
      </c>
      <c r="Z27" s="1139">
        <f>Dren_Quantificacao!X28</f>
        <v>0</v>
      </c>
      <c r="AA27" s="1139">
        <f>Dren_Quantificacao!Y28</f>
        <v>0</v>
      </c>
      <c r="AB27" s="1139">
        <f>Dren_Quantificacao!Z28</f>
        <v>0</v>
      </c>
      <c r="AC27" s="1139">
        <f>Dren_Quantificacao!AA28</f>
        <v>0</v>
      </c>
      <c r="AD27" s="1139">
        <f>Dren_Quantificacao!AB28</f>
        <v>0</v>
      </c>
      <c r="AE27" s="1139">
        <f>Dren_Quantificacao!AC28</f>
        <v>27</v>
      </c>
      <c r="AF27" s="1139">
        <f>Dren_Quantificacao!AD28</f>
        <v>10</v>
      </c>
      <c r="AG27" s="1139">
        <f>Dren_Quantificacao!AE28</f>
        <v>0</v>
      </c>
      <c r="AH27" s="1139">
        <f>Dren_Quantificacao!AF28</f>
        <v>0</v>
      </c>
      <c r="AI27" s="1139"/>
      <c r="AJ27" s="1139"/>
      <c r="AK27" s="1139"/>
      <c r="AL27" s="1139"/>
      <c r="AM27" s="1139"/>
      <c r="AN27" s="1139"/>
      <c r="AO27" s="1139"/>
      <c r="AP27" s="1139"/>
      <c r="AQ27" s="1139"/>
      <c r="AR27" s="2430"/>
      <c r="AS27" s="1139">
        <f>Dren_Quantificacao!AQ28</f>
        <v>0</v>
      </c>
      <c r="AT27" s="1139">
        <f>Dren_Quantificacao!AR28</f>
        <v>0</v>
      </c>
      <c r="AU27" s="1139">
        <f>Dren_Quantificacao!AS28</f>
        <v>0</v>
      </c>
      <c r="AV27" s="1139">
        <f>Dren_Quantificacao!AT28</f>
        <v>0</v>
      </c>
      <c r="AW27" s="1139">
        <f>Dren_Quantificacao!AU28</f>
        <v>0</v>
      </c>
      <c r="AX27" s="1139">
        <f>Dren_Quantificacao!AW28</f>
        <v>0</v>
      </c>
      <c r="AY27" s="1139">
        <f>Dren_Quantificacao!AX28</f>
        <v>0</v>
      </c>
      <c r="AZ27" s="1139">
        <f>Dren_Quantificacao!AY28</f>
        <v>0</v>
      </c>
      <c r="BA27" s="1139">
        <f>Dren_Quantificacao!AZ28</f>
        <v>0</v>
      </c>
      <c r="BB27" s="1139">
        <f>Dren_Quantificacao!BA28</f>
        <v>0</v>
      </c>
      <c r="BC27" s="1139">
        <f>Dren_Quantificacao!BB28</f>
        <v>0</v>
      </c>
      <c r="BD27" s="1139">
        <f>Dren_Quantificacao!BC28</f>
        <v>0</v>
      </c>
      <c r="BE27" s="1139">
        <f>Dren_Quantificacao!BD28</f>
        <v>0</v>
      </c>
      <c r="BF27" s="1139">
        <f>Dren_Quantificacao!BE28</f>
        <v>0</v>
      </c>
      <c r="BG27" s="1139">
        <f>Dren_Quantificacao!BF28</f>
        <v>0</v>
      </c>
      <c r="BH27" s="1139">
        <f>Dren_Quantificacao!BG28</f>
        <v>0</v>
      </c>
      <c r="BI27" s="1139">
        <f>Dren_Quantificacao!BH28</f>
        <v>0</v>
      </c>
      <c r="BJ27" s="1139">
        <f>Dren_Quantificacao!BI28</f>
        <v>0</v>
      </c>
      <c r="BK27" s="1139">
        <f>Dren_Quantificacao!BJ28</f>
        <v>0</v>
      </c>
      <c r="BL27" s="1139">
        <f>Dren_Quantificacao!BK28</f>
        <v>0</v>
      </c>
      <c r="BM27" s="1140">
        <f t="shared" ref="BM27:BM37" si="137">ROUND(SUM(F27:BL27),2)</f>
        <v>37</v>
      </c>
      <c r="BN27" s="579">
        <f t="shared" si="0"/>
        <v>74</v>
      </c>
    </row>
    <row r="28" spans="1:66" ht="21.95" customHeight="1" x14ac:dyDescent="0.15">
      <c r="A28" s="2596"/>
      <c r="B28" s="2631"/>
      <c r="C28" s="568" t="s">
        <v>29</v>
      </c>
      <c r="E28" s="442"/>
      <c r="F28" s="1139">
        <f t="shared" ref="F28" si="138">F27*F25</f>
        <v>0</v>
      </c>
      <c r="G28" s="1139">
        <f t="shared" ref="G28" si="139">G27*G25</f>
        <v>0</v>
      </c>
      <c r="H28" s="1139">
        <f t="shared" ref="H28:I28" si="140">H27*H25</f>
        <v>0</v>
      </c>
      <c r="I28" s="1139">
        <f t="shared" si="140"/>
        <v>0</v>
      </c>
      <c r="J28" s="1139"/>
      <c r="K28" s="1139"/>
      <c r="L28" s="1139"/>
      <c r="M28" s="1139"/>
      <c r="N28" s="2430"/>
      <c r="O28" s="1139">
        <f t="shared" ref="O28:V28" si="141">O27*O25</f>
        <v>0</v>
      </c>
      <c r="P28" s="1139">
        <f t="shared" si="141"/>
        <v>0</v>
      </c>
      <c r="Q28" s="1139">
        <f t="shared" si="141"/>
        <v>0</v>
      </c>
      <c r="R28" s="1139">
        <f t="shared" si="141"/>
        <v>0</v>
      </c>
      <c r="S28" s="1139">
        <f t="shared" si="141"/>
        <v>0</v>
      </c>
      <c r="T28" s="1139">
        <f t="shared" si="141"/>
        <v>0</v>
      </c>
      <c r="U28" s="1139">
        <f t="shared" si="141"/>
        <v>0</v>
      </c>
      <c r="V28" s="1139">
        <f t="shared" si="141"/>
        <v>0</v>
      </c>
      <c r="W28" s="1139"/>
      <c r="X28" s="2430"/>
      <c r="Y28" s="1139">
        <f t="shared" ref="Y28:AH28" si="142">Y27*Y25</f>
        <v>0</v>
      </c>
      <c r="Z28" s="1139">
        <f t="shared" si="142"/>
        <v>0</v>
      </c>
      <c r="AA28" s="1139">
        <f t="shared" si="142"/>
        <v>0</v>
      </c>
      <c r="AB28" s="1139">
        <f t="shared" si="142"/>
        <v>0</v>
      </c>
      <c r="AC28" s="1139">
        <f t="shared" si="142"/>
        <v>0</v>
      </c>
      <c r="AD28" s="1139">
        <f t="shared" si="142"/>
        <v>0</v>
      </c>
      <c r="AE28" s="1139">
        <f t="shared" ca="1" si="142"/>
        <v>59.400000000000006</v>
      </c>
      <c r="AF28" s="1139">
        <f t="shared" ca="1" si="142"/>
        <v>27.883466666667065</v>
      </c>
      <c r="AG28" s="1139">
        <f t="shared" si="142"/>
        <v>0</v>
      </c>
      <c r="AH28" s="1139">
        <f t="shared" si="142"/>
        <v>0</v>
      </c>
      <c r="AI28" s="1139"/>
      <c r="AJ28" s="1139"/>
      <c r="AK28" s="1139"/>
      <c r="AL28" s="1139"/>
      <c r="AM28" s="1139"/>
      <c r="AN28" s="1139"/>
      <c r="AO28" s="1139"/>
      <c r="AP28" s="1139"/>
      <c r="AQ28" s="1139"/>
      <c r="AR28" s="2430"/>
      <c r="AS28" s="1139">
        <f t="shared" ref="AS28:AW28" si="143">AS27*AS25</f>
        <v>0</v>
      </c>
      <c r="AT28" s="1139">
        <f t="shared" si="143"/>
        <v>0</v>
      </c>
      <c r="AU28" s="1139">
        <f t="shared" si="143"/>
        <v>0</v>
      </c>
      <c r="AV28" s="1139">
        <f t="shared" si="143"/>
        <v>0</v>
      </c>
      <c r="AW28" s="1139">
        <f t="shared" si="143"/>
        <v>0</v>
      </c>
      <c r="AX28" s="1139">
        <f t="shared" ref="AX28" si="144">AX27*AX25</f>
        <v>0</v>
      </c>
      <c r="AY28" s="1139">
        <f t="shared" ref="AY28:BL28" si="145">AY27*AY25</f>
        <v>0</v>
      </c>
      <c r="AZ28" s="1139">
        <f t="shared" si="145"/>
        <v>0</v>
      </c>
      <c r="BA28" s="1139">
        <f t="shared" si="145"/>
        <v>0</v>
      </c>
      <c r="BB28" s="1139">
        <f t="shared" si="145"/>
        <v>0</v>
      </c>
      <c r="BC28" s="1139">
        <f t="shared" si="145"/>
        <v>0</v>
      </c>
      <c r="BD28" s="1139">
        <f t="shared" si="145"/>
        <v>0</v>
      </c>
      <c r="BE28" s="1139">
        <f t="shared" si="145"/>
        <v>0</v>
      </c>
      <c r="BF28" s="1139">
        <f t="shared" si="145"/>
        <v>0</v>
      </c>
      <c r="BG28" s="1139">
        <f t="shared" si="145"/>
        <v>0</v>
      </c>
      <c r="BH28" s="1139">
        <f t="shared" si="145"/>
        <v>0</v>
      </c>
      <c r="BI28" s="1139">
        <f t="shared" si="145"/>
        <v>0</v>
      </c>
      <c r="BJ28" s="1139">
        <f t="shared" si="145"/>
        <v>0</v>
      </c>
      <c r="BK28" s="1139">
        <f t="shared" si="145"/>
        <v>0</v>
      </c>
      <c r="BL28" s="1139">
        <f t="shared" si="145"/>
        <v>0</v>
      </c>
      <c r="BM28" s="1140">
        <f t="shared" ca="1" si="137"/>
        <v>87.28</v>
      </c>
      <c r="BN28" s="579">
        <f t="shared" ca="1" si="0"/>
        <v>174.56346666666707</v>
      </c>
    </row>
    <row r="29" spans="1:66" ht="21.95" customHeight="1" thickBot="1" x14ac:dyDescent="0.2">
      <c r="A29" s="2596"/>
      <c r="B29" s="2650"/>
      <c r="C29" s="566" t="s">
        <v>472</v>
      </c>
      <c r="D29" s="987"/>
      <c r="E29" s="231"/>
      <c r="F29" s="1135">
        <f t="shared" ref="F29" si="146">F27*F26*F25/100</f>
        <v>0</v>
      </c>
      <c r="G29" s="1135">
        <f t="shared" ref="G29" si="147">G27*G26*G25/100</f>
        <v>0</v>
      </c>
      <c r="H29" s="1135">
        <f t="shared" ref="H29:I29" si="148">H27*H26*H25/100</f>
        <v>0</v>
      </c>
      <c r="I29" s="1135">
        <f t="shared" si="148"/>
        <v>0</v>
      </c>
      <c r="J29" s="1135"/>
      <c r="K29" s="1135"/>
      <c r="L29" s="1135"/>
      <c r="M29" s="1135"/>
      <c r="N29" s="2428"/>
      <c r="O29" s="1135">
        <f t="shared" ref="O29:V29" si="149">O27*O26*O25/100</f>
        <v>0</v>
      </c>
      <c r="P29" s="1135">
        <f t="shared" si="149"/>
        <v>0</v>
      </c>
      <c r="Q29" s="1135">
        <f t="shared" si="149"/>
        <v>0</v>
      </c>
      <c r="R29" s="1135">
        <f t="shared" si="149"/>
        <v>0</v>
      </c>
      <c r="S29" s="1135">
        <f t="shared" si="149"/>
        <v>0</v>
      </c>
      <c r="T29" s="1135">
        <f t="shared" si="149"/>
        <v>0</v>
      </c>
      <c r="U29" s="1135">
        <f t="shared" si="149"/>
        <v>0</v>
      </c>
      <c r="V29" s="1135">
        <f t="shared" si="149"/>
        <v>0</v>
      </c>
      <c r="W29" s="1135"/>
      <c r="X29" s="2428"/>
      <c r="Y29" s="1135">
        <f t="shared" ref="Y29:AH29" si="150">Y27*Y26*Y25/100</f>
        <v>0</v>
      </c>
      <c r="Z29" s="1135">
        <f t="shared" si="150"/>
        <v>0</v>
      </c>
      <c r="AA29" s="1135">
        <f t="shared" si="150"/>
        <v>0</v>
      </c>
      <c r="AB29" s="1135">
        <f t="shared" si="150"/>
        <v>0</v>
      </c>
      <c r="AC29" s="1135">
        <f t="shared" si="150"/>
        <v>0</v>
      </c>
      <c r="AD29" s="1135">
        <f t="shared" si="150"/>
        <v>0</v>
      </c>
      <c r="AE29" s="1135">
        <f t="shared" ca="1" si="150"/>
        <v>2.97</v>
      </c>
      <c r="AF29" s="1135">
        <f t="shared" ca="1" si="150"/>
        <v>1.3941733333333532</v>
      </c>
      <c r="AG29" s="1135">
        <f t="shared" si="150"/>
        <v>0</v>
      </c>
      <c r="AH29" s="1135">
        <f t="shared" si="150"/>
        <v>0</v>
      </c>
      <c r="AI29" s="1135"/>
      <c r="AJ29" s="1135"/>
      <c r="AK29" s="1135"/>
      <c r="AL29" s="1135"/>
      <c r="AM29" s="1135"/>
      <c r="AN29" s="1135"/>
      <c r="AO29" s="1135"/>
      <c r="AP29" s="1135"/>
      <c r="AQ29" s="1135"/>
      <c r="AR29" s="2428"/>
      <c r="AS29" s="1135">
        <f t="shared" ref="AS29:AW29" si="151">AS27*AS26*AS25/100</f>
        <v>0</v>
      </c>
      <c r="AT29" s="1135">
        <f t="shared" si="151"/>
        <v>0</v>
      </c>
      <c r="AU29" s="1135">
        <f t="shared" si="151"/>
        <v>0</v>
      </c>
      <c r="AV29" s="1135">
        <f t="shared" si="151"/>
        <v>0</v>
      </c>
      <c r="AW29" s="1135">
        <f t="shared" si="151"/>
        <v>0</v>
      </c>
      <c r="AX29" s="1135">
        <f t="shared" ref="AX29" si="152">AX27*AX26*AX25/100</f>
        <v>0</v>
      </c>
      <c r="AY29" s="1135">
        <f t="shared" ref="AY29:BL29" si="153">AY27*AY26*AY25/100</f>
        <v>0</v>
      </c>
      <c r="AZ29" s="1135">
        <f t="shared" si="153"/>
        <v>0</v>
      </c>
      <c r="BA29" s="1135">
        <f t="shared" si="153"/>
        <v>0</v>
      </c>
      <c r="BB29" s="1135">
        <f t="shared" si="153"/>
        <v>0</v>
      </c>
      <c r="BC29" s="1135">
        <f t="shared" si="153"/>
        <v>0</v>
      </c>
      <c r="BD29" s="1135">
        <f t="shared" si="153"/>
        <v>0</v>
      </c>
      <c r="BE29" s="1135">
        <f t="shared" si="153"/>
        <v>0</v>
      </c>
      <c r="BF29" s="1135">
        <f t="shared" si="153"/>
        <v>0</v>
      </c>
      <c r="BG29" s="1135">
        <f t="shared" si="153"/>
        <v>0</v>
      </c>
      <c r="BH29" s="1135">
        <f t="shared" si="153"/>
        <v>0</v>
      </c>
      <c r="BI29" s="1135">
        <f t="shared" si="153"/>
        <v>0</v>
      </c>
      <c r="BJ29" s="1135">
        <f t="shared" si="153"/>
        <v>0</v>
      </c>
      <c r="BK29" s="1135">
        <f t="shared" si="153"/>
        <v>0</v>
      </c>
      <c r="BL29" s="1135">
        <f t="shared" si="153"/>
        <v>0</v>
      </c>
      <c r="BM29" s="1141">
        <f t="shared" ca="1" si="137"/>
        <v>4.3600000000000003</v>
      </c>
      <c r="BN29" s="579">
        <f t="shared" ca="1" si="0"/>
        <v>8.7241733333333542</v>
      </c>
    </row>
    <row r="30" spans="1:66" ht="21.95" customHeight="1" thickBot="1" x14ac:dyDescent="0.2">
      <c r="A30" s="2596"/>
      <c r="B30" s="2603" t="s">
        <v>701</v>
      </c>
      <c r="C30" s="2604"/>
      <c r="D30" s="987"/>
      <c r="E30" s="231"/>
      <c r="F30" s="1142">
        <f t="shared" ref="F30" si="154">2*(F13+F20+F27)</f>
        <v>0</v>
      </c>
      <c r="G30" s="1142">
        <f t="shared" ref="G30" si="155">2*(G13+G20+G27)</f>
        <v>0</v>
      </c>
      <c r="H30" s="1142">
        <f t="shared" ref="H30:I30" si="156">2*(H13+H20+H27)</f>
        <v>0</v>
      </c>
      <c r="I30" s="1142">
        <f t="shared" si="156"/>
        <v>0</v>
      </c>
      <c r="J30" s="1142"/>
      <c r="K30" s="1142"/>
      <c r="L30" s="1142"/>
      <c r="M30" s="1142"/>
      <c r="N30" s="2431"/>
      <c r="O30" s="1142">
        <f t="shared" ref="O30:V30" si="157">2*(O13+O20+O27)</f>
        <v>0</v>
      </c>
      <c r="P30" s="1142">
        <f t="shared" si="157"/>
        <v>0</v>
      </c>
      <c r="Q30" s="1142">
        <f t="shared" si="157"/>
        <v>0</v>
      </c>
      <c r="R30" s="1142">
        <f t="shared" si="157"/>
        <v>0</v>
      </c>
      <c r="S30" s="1142">
        <f t="shared" si="157"/>
        <v>0</v>
      </c>
      <c r="T30" s="1142">
        <f t="shared" si="157"/>
        <v>16</v>
      </c>
      <c r="U30" s="1142">
        <f t="shared" si="157"/>
        <v>0</v>
      </c>
      <c r="V30" s="1142">
        <f t="shared" si="157"/>
        <v>0</v>
      </c>
      <c r="W30" s="1142"/>
      <c r="X30" s="2431"/>
      <c r="Y30" s="1142">
        <f t="shared" ref="Y30:AH30" si="158">2*(Y13+Y20+Y27)</f>
        <v>0</v>
      </c>
      <c r="Z30" s="1142">
        <f t="shared" si="158"/>
        <v>0</v>
      </c>
      <c r="AA30" s="1142">
        <f t="shared" si="158"/>
        <v>0</v>
      </c>
      <c r="AB30" s="1142">
        <f t="shared" si="158"/>
        <v>0</v>
      </c>
      <c r="AC30" s="1142">
        <f t="shared" si="158"/>
        <v>0</v>
      </c>
      <c r="AD30" s="1142">
        <f t="shared" si="158"/>
        <v>0</v>
      </c>
      <c r="AE30" s="1142">
        <f t="shared" si="158"/>
        <v>54</v>
      </c>
      <c r="AF30" s="1142">
        <f t="shared" si="158"/>
        <v>124</v>
      </c>
      <c r="AG30" s="1142">
        <f t="shared" si="158"/>
        <v>0</v>
      </c>
      <c r="AH30" s="1142">
        <f t="shared" si="158"/>
        <v>0</v>
      </c>
      <c r="AI30" s="1142"/>
      <c r="AJ30" s="1142"/>
      <c r="AK30" s="1142"/>
      <c r="AL30" s="1142"/>
      <c r="AM30" s="1142"/>
      <c r="AN30" s="1142"/>
      <c r="AO30" s="1142"/>
      <c r="AP30" s="1142"/>
      <c r="AQ30" s="1142"/>
      <c r="AR30" s="2431"/>
      <c r="AS30" s="1142">
        <f t="shared" ref="AS30:AW30" si="159">2*(AS13+AS20+AS27)</f>
        <v>0</v>
      </c>
      <c r="AT30" s="1142">
        <f t="shared" si="159"/>
        <v>0</v>
      </c>
      <c r="AU30" s="1142">
        <f t="shared" si="159"/>
        <v>0</v>
      </c>
      <c r="AV30" s="1142">
        <f t="shared" si="159"/>
        <v>0</v>
      </c>
      <c r="AW30" s="1142">
        <f t="shared" si="159"/>
        <v>0</v>
      </c>
      <c r="AX30" s="1142">
        <f t="shared" ref="AX30" si="160">2*(AX13+AX20+AX27)</f>
        <v>0</v>
      </c>
      <c r="AY30" s="1142">
        <f t="shared" ref="AY30:BL30" si="161">2*(AY13+AY20+AY27)</f>
        <v>0</v>
      </c>
      <c r="AZ30" s="1142">
        <f t="shared" si="161"/>
        <v>0</v>
      </c>
      <c r="BA30" s="1142">
        <f t="shared" si="161"/>
        <v>0</v>
      </c>
      <c r="BB30" s="1142">
        <f t="shared" si="161"/>
        <v>0</v>
      </c>
      <c r="BC30" s="1142">
        <f t="shared" si="161"/>
        <v>0</v>
      </c>
      <c r="BD30" s="1142">
        <f t="shared" si="161"/>
        <v>0</v>
      </c>
      <c r="BE30" s="1142">
        <f t="shared" si="161"/>
        <v>0</v>
      </c>
      <c r="BF30" s="1142">
        <f t="shared" si="161"/>
        <v>0</v>
      </c>
      <c r="BG30" s="1142">
        <f t="shared" si="161"/>
        <v>0</v>
      </c>
      <c r="BH30" s="1142">
        <f t="shared" si="161"/>
        <v>0</v>
      </c>
      <c r="BI30" s="1142">
        <f t="shared" si="161"/>
        <v>0</v>
      </c>
      <c r="BJ30" s="1142">
        <f t="shared" si="161"/>
        <v>0</v>
      </c>
      <c r="BK30" s="1142">
        <f t="shared" si="161"/>
        <v>0</v>
      </c>
      <c r="BL30" s="1142">
        <f t="shared" si="161"/>
        <v>0</v>
      </c>
      <c r="BM30" s="1143">
        <f t="shared" si="137"/>
        <v>194</v>
      </c>
      <c r="BN30" s="579">
        <f t="shared" si="0"/>
        <v>388</v>
      </c>
    </row>
    <row r="31" spans="1:66" ht="21.95" customHeight="1" thickBot="1" x14ac:dyDescent="0.2">
      <c r="A31" s="2596"/>
      <c r="B31" s="2612" t="s">
        <v>909</v>
      </c>
      <c r="C31" s="2613"/>
      <c r="D31" s="987"/>
      <c r="E31" s="231"/>
      <c r="F31" s="1142">
        <f t="shared" ref="F31:F32" si="162">F28+F21+F14</f>
        <v>0</v>
      </c>
      <c r="G31" s="1142">
        <f t="shared" ref="G31" si="163">G28+G21+G14</f>
        <v>0</v>
      </c>
      <c r="H31" s="1142">
        <f t="shared" ref="H31:I31" si="164">H28+H21+H14</f>
        <v>0</v>
      </c>
      <c r="I31" s="1142">
        <f t="shared" si="164"/>
        <v>0</v>
      </c>
      <c r="J31" s="1142"/>
      <c r="K31" s="1142"/>
      <c r="L31" s="1142"/>
      <c r="M31" s="1142"/>
      <c r="N31" s="2431"/>
      <c r="O31" s="1142">
        <f t="shared" ref="O31:V31" si="165">O28+O21+O14</f>
        <v>0</v>
      </c>
      <c r="P31" s="1142">
        <f t="shared" si="165"/>
        <v>0</v>
      </c>
      <c r="Q31" s="1142">
        <f t="shared" si="165"/>
        <v>0</v>
      </c>
      <c r="R31" s="1142">
        <f t="shared" si="165"/>
        <v>0</v>
      </c>
      <c r="S31" s="1142">
        <f t="shared" si="165"/>
        <v>0</v>
      </c>
      <c r="T31" s="1142">
        <f t="shared" si="165"/>
        <v>11.2</v>
      </c>
      <c r="U31" s="1142">
        <f t="shared" si="165"/>
        <v>0</v>
      </c>
      <c r="V31" s="1142">
        <f t="shared" si="165"/>
        <v>0</v>
      </c>
      <c r="W31" s="1142"/>
      <c r="X31" s="2431"/>
      <c r="Y31" s="1142">
        <f t="shared" ref="Y31:AH31" si="166">Y28+Y21+Y14</f>
        <v>0</v>
      </c>
      <c r="Z31" s="1142">
        <f t="shared" si="166"/>
        <v>0</v>
      </c>
      <c r="AA31" s="1142">
        <f t="shared" si="166"/>
        <v>0</v>
      </c>
      <c r="AB31" s="1142">
        <f t="shared" si="166"/>
        <v>0</v>
      </c>
      <c r="AC31" s="1142">
        <f t="shared" si="166"/>
        <v>0</v>
      </c>
      <c r="AD31" s="1142">
        <f t="shared" si="166"/>
        <v>0</v>
      </c>
      <c r="AE31" s="1142">
        <f t="shared" ca="1" si="166"/>
        <v>59.400000000000006</v>
      </c>
      <c r="AF31" s="1142">
        <f t="shared" ca="1" si="166"/>
        <v>111.48346666666706</v>
      </c>
      <c r="AG31" s="1142">
        <f t="shared" si="166"/>
        <v>0</v>
      </c>
      <c r="AH31" s="1142">
        <f t="shared" si="166"/>
        <v>0</v>
      </c>
      <c r="AI31" s="1142"/>
      <c r="AJ31" s="1142"/>
      <c r="AK31" s="1142"/>
      <c r="AL31" s="1142"/>
      <c r="AM31" s="1142"/>
      <c r="AN31" s="1142"/>
      <c r="AO31" s="1142"/>
      <c r="AP31" s="1142"/>
      <c r="AQ31" s="1142"/>
      <c r="AR31" s="2431"/>
      <c r="AS31" s="1142">
        <f t="shared" ref="AS31:AW31" si="167">AS28+AS21+AS14</f>
        <v>0</v>
      </c>
      <c r="AT31" s="1142">
        <f t="shared" si="167"/>
        <v>0</v>
      </c>
      <c r="AU31" s="1142">
        <f t="shared" si="167"/>
        <v>0</v>
      </c>
      <c r="AV31" s="1142">
        <f t="shared" si="167"/>
        <v>0</v>
      </c>
      <c r="AW31" s="1142">
        <f t="shared" si="167"/>
        <v>0</v>
      </c>
      <c r="AX31" s="1142">
        <f t="shared" ref="AX31" si="168">AX28+AX21+AX14</f>
        <v>0</v>
      </c>
      <c r="AY31" s="1142">
        <f t="shared" ref="AY31:BL32" si="169">AY28+AY21+AY14</f>
        <v>0</v>
      </c>
      <c r="AZ31" s="1142">
        <f t="shared" si="169"/>
        <v>0</v>
      </c>
      <c r="BA31" s="1142">
        <f t="shared" si="169"/>
        <v>0</v>
      </c>
      <c r="BB31" s="1142">
        <f t="shared" si="169"/>
        <v>0</v>
      </c>
      <c r="BC31" s="1142">
        <f t="shared" si="169"/>
        <v>0</v>
      </c>
      <c r="BD31" s="1142">
        <f t="shared" si="169"/>
        <v>0</v>
      </c>
      <c r="BE31" s="1142">
        <f t="shared" si="169"/>
        <v>0</v>
      </c>
      <c r="BF31" s="1142">
        <f t="shared" si="169"/>
        <v>0</v>
      </c>
      <c r="BG31" s="1142">
        <f t="shared" si="169"/>
        <v>0</v>
      </c>
      <c r="BH31" s="1142">
        <f t="shared" si="169"/>
        <v>0</v>
      </c>
      <c r="BI31" s="1142">
        <f t="shared" si="169"/>
        <v>0</v>
      </c>
      <c r="BJ31" s="1142">
        <f t="shared" si="169"/>
        <v>0</v>
      </c>
      <c r="BK31" s="1142">
        <f t="shared" si="169"/>
        <v>0</v>
      </c>
      <c r="BL31" s="1142">
        <f t="shared" si="169"/>
        <v>0</v>
      </c>
      <c r="BM31" s="1143">
        <f t="shared" ca="1" si="137"/>
        <v>182.08</v>
      </c>
      <c r="BN31" s="579">
        <f t="shared" ca="1" si="0"/>
        <v>364.16346666666709</v>
      </c>
    </row>
    <row r="32" spans="1:66" ht="21.95" customHeight="1" thickBot="1" x14ac:dyDescent="0.2">
      <c r="A32" s="2596"/>
      <c r="B32" s="2612" t="s">
        <v>474</v>
      </c>
      <c r="C32" s="2613"/>
      <c r="D32" s="994"/>
      <c r="E32" s="444"/>
      <c r="F32" s="1142">
        <f t="shared" si="162"/>
        <v>0</v>
      </c>
      <c r="G32" s="1142">
        <f t="shared" ref="G32" si="170">G29+G22+G15</f>
        <v>0</v>
      </c>
      <c r="H32" s="1142">
        <f t="shared" ref="H32:I32" si="171">H29+H22+H15</f>
        <v>0</v>
      </c>
      <c r="I32" s="1142">
        <f t="shared" si="171"/>
        <v>0</v>
      </c>
      <c r="J32" s="1142"/>
      <c r="K32" s="1142"/>
      <c r="L32" s="1142"/>
      <c r="M32" s="1142"/>
      <c r="N32" s="2431"/>
      <c r="O32" s="1142">
        <f t="shared" ref="O32:V32" si="172">O29+O22+O15</f>
        <v>0</v>
      </c>
      <c r="P32" s="1142">
        <f t="shared" si="172"/>
        <v>0</v>
      </c>
      <c r="Q32" s="1142">
        <f t="shared" si="172"/>
        <v>0</v>
      </c>
      <c r="R32" s="1142">
        <f t="shared" si="172"/>
        <v>0</v>
      </c>
      <c r="S32" s="1142">
        <f t="shared" si="172"/>
        <v>0</v>
      </c>
      <c r="T32" s="1142">
        <f t="shared" si="172"/>
        <v>0.56000000000000005</v>
      </c>
      <c r="U32" s="1142">
        <f t="shared" si="172"/>
        <v>0</v>
      </c>
      <c r="V32" s="1142">
        <f t="shared" si="172"/>
        <v>0</v>
      </c>
      <c r="W32" s="1142"/>
      <c r="X32" s="2431"/>
      <c r="Y32" s="1142">
        <f t="shared" ref="Y32:AH32" si="173">Y29+Y22+Y15</f>
        <v>0</v>
      </c>
      <c r="Z32" s="1142">
        <f t="shared" si="173"/>
        <v>0</v>
      </c>
      <c r="AA32" s="1142">
        <f t="shared" si="173"/>
        <v>0</v>
      </c>
      <c r="AB32" s="1142">
        <f t="shared" si="173"/>
        <v>0</v>
      </c>
      <c r="AC32" s="1142">
        <f t="shared" si="173"/>
        <v>0</v>
      </c>
      <c r="AD32" s="1142">
        <f t="shared" si="173"/>
        <v>0</v>
      </c>
      <c r="AE32" s="1142">
        <f t="shared" ca="1" si="173"/>
        <v>2.97</v>
      </c>
      <c r="AF32" s="1142">
        <f t="shared" ca="1" si="173"/>
        <v>5.574173333333353</v>
      </c>
      <c r="AG32" s="1142">
        <f t="shared" si="173"/>
        <v>0</v>
      </c>
      <c r="AH32" s="1142">
        <f t="shared" si="173"/>
        <v>0</v>
      </c>
      <c r="AI32" s="1142"/>
      <c r="AJ32" s="1142"/>
      <c r="AK32" s="1142"/>
      <c r="AL32" s="1142"/>
      <c r="AM32" s="1142"/>
      <c r="AN32" s="1142"/>
      <c r="AO32" s="1142"/>
      <c r="AP32" s="1142"/>
      <c r="AQ32" s="1142"/>
      <c r="AR32" s="2431"/>
      <c r="AS32" s="1142">
        <f t="shared" ref="AS32:AW32" si="174">AS29+AS22+AS15</f>
        <v>0</v>
      </c>
      <c r="AT32" s="1142">
        <f t="shared" si="174"/>
        <v>0</v>
      </c>
      <c r="AU32" s="1142">
        <f t="shared" si="174"/>
        <v>0</v>
      </c>
      <c r="AV32" s="1142">
        <f t="shared" si="174"/>
        <v>0</v>
      </c>
      <c r="AW32" s="1142">
        <f t="shared" si="174"/>
        <v>0</v>
      </c>
      <c r="AX32" s="1142">
        <f t="shared" ref="AX32" si="175">AX29+AX22+AX15</f>
        <v>0</v>
      </c>
      <c r="AY32" s="1142">
        <f t="shared" si="169"/>
        <v>0</v>
      </c>
      <c r="AZ32" s="1142">
        <f t="shared" si="169"/>
        <v>0</v>
      </c>
      <c r="BA32" s="1142">
        <f t="shared" si="169"/>
        <v>0</v>
      </c>
      <c r="BB32" s="1142">
        <f t="shared" si="169"/>
        <v>0</v>
      </c>
      <c r="BC32" s="1142">
        <f t="shared" si="169"/>
        <v>0</v>
      </c>
      <c r="BD32" s="1142">
        <f t="shared" si="169"/>
        <v>0</v>
      </c>
      <c r="BE32" s="1142">
        <f t="shared" si="169"/>
        <v>0</v>
      </c>
      <c r="BF32" s="1142">
        <f t="shared" si="169"/>
        <v>0</v>
      </c>
      <c r="BG32" s="1142">
        <f t="shared" si="169"/>
        <v>0</v>
      </c>
      <c r="BH32" s="1142">
        <f t="shared" si="169"/>
        <v>0</v>
      </c>
      <c r="BI32" s="1142">
        <f t="shared" si="169"/>
        <v>0</v>
      </c>
      <c r="BJ32" s="1142">
        <f t="shared" si="169"/>
        <v>0</v>
      </c>
      <c r="BK32" s="1142">
        <f t="shared" si="169"/>
        <v>0</v>
      </c>
      <c r="BL32" s="1142">
        <f t="shared" si="169"/>
        <v>0</v>
      </c>
      <c r="BM32" s="1143">
        <f t="shared" ca="1" si="137"/>
        <v>9.1</v>
      </c>
      <c r="BN32" s="579">
        <f t="shared" ca="1" si="0"/>
        <v>18.204173333333351</v>
      </c>
    </row>
    <row r="33" spans="1:66" ht="21.95" hidden="1" customHeight="1" thickBot="1" x14ac:dyDescent="0.2">
      <c r="A33" s="2596"/>
      <c r="B33" s="2612" t="s">
        <v>1664</v>
      </c>
      <c r="C33" s="2613"/>
      <c r="D33" s="987"/>
      <c r="E33" s="231"/>
      <c r="F33" s="1416">
        <f>Dren_Quantificacao!D139</f>
        <v>0</v>
      </c>
      <c r="G33" s="1416">
        <f>Dren_Quantificacao!E139</f>
        <v>0</v>
      </c>
      <c r="H33" s="1416">
        <f>Dren_Quantificacao!F139</f>
        <v>0</v>
      </c>
      <c r="I33" s="1416">
        <f>Dren_Quantificacao!G139</f>
        <v>0</v>
      </c>
      <c r="J33" s="1416"/>
      <c r="K33" s="1416"/>
      <c r="L33" s="1416"/>
      <c r="M33" s="1416"/>
      <c r="N33" s="2432"/>
      <c r="O33" s="1416">
        <f>Dren_Quantificacao!M139</f>
        <v>0</v>
      </c>
      <c r="P33" s="1416">
        <f>Dren_Quantificacao!N139</f>
        <v>0</v>
      </c>
      <c r="Q33" s="1416">
        <f>Dren_Quantificacao!O139</f>
        <v>0</v>
      </c>
      <c r="R33" s="1416">
        <f>Dren_Quantificacao!P139</f>
        <v>0</v>
      </c>
      <c r="S33" s="1416">
        <f>Dren_Quantificacao!Q139</f>
        <v>0</v>
      </c>
      <c r="T33" s="1416">
        <f>Dren_Quantificacao!R139</f>
        <v>0</v>
      </c>
      <c r="U33" s="1416">
        <f>Dren_Quantificacao!S139</f>
        <v>0</v>
      </c>
      <c r="V33" s="1416">
        <f>Dren_Quantificacao!T139</f>
        <v>0</v>
      </c>
      <c r="W33" s="1416"/>
      <c r="X33" s="2432"/>
      <c r="Y33" s="1416">
        <f>Dren_Quantificacao!W139</f>
        <v>0</v>
      </c>
      <c r="Z33" s="1416">
        <f>Dren_Quantificacao!X139</f>
        <v>0</v>
      </c>
      <c r="AA33" s="1416">
        <f>Dren_Quantificacao!Y139</f>
        <v>0</v>
      </c>
      <c r="AB33" s="1416">
        <f>Dren_Quantificacao!Z139</f>
        <v>0</v>
      </c>
      <c r="AC33" s="1416">
        <f>Dren_Quantificacao!AA139</f>
        <v>0</v>
      </c>
      <c r="AD33" s="1416">
        <f>Dren_Quantificacao!AB139</f>
        <v>0</v>
      </c>
      <c r="AE33" s="1416">
        <f>Dren_Quantificacao!AC139</f>
        <v>0</v>
      </c>
      <c r="AF33" s="1416">
        <f>Dren_Quantificacao!AD139</f>
        <v>0</v>
      </c>
      <c r="AG33" s="1416">
        <f>Dren_Quantificacao!AE139</f>
        <v>0</v>
      </c>
      <c r="AH33" s="1416">
        <f>Dren_Quantificacao!AF139</f>
        <v>0</v>
      </c>
      <c r="AI33" s="1416"/>
      <c r="AJ33" s="1416"/>
      <c r="AK33" s="1416"/>
      <c r="AL33" s="1416"/>
      <c r="AM33" s="1416"/>
      <c r="AN33" s="1416"/>
      <c r="AO33" s="1416"/>
      <c r="AP33" s="1416"/>
      <c r="AQ33" s="1416"/>
      <c r="AR33" s="2432"/>
      <c r="AS33" s="1416">
        <f>Dren_Quantificacao!AQ139</f>
        <v>0</v>
      </c>
      <c r="AT33" s="1416">
        <f>Dren_Quantificacao!AR139</f>
        <v>0</v>
      </c>
      <c r="AU33" s="1416">
        <f>Dren_Quantificacao!AS139</f>
        <v>0</v>
      </c>
      <c r="AV33" s="1416">
        <f>Dren_Quantificacao!AT139</f>
        <v>0</v>
      </c>
      <c r="AW33" s="1416">
        <f>Dren_Quantificacao!AU139</f>
        <v>0</v>
      </c>
      <c r="AX33" s="1416">
        <f>Dren_Quantificacao!AW139</f>
        <v>0</v>
      </c>
      <c r="AY33" s="1415"/>
      <c r="AZ33" s="1415"/>
      <c r="BA33" s="1415"/>
      <c r="BB33" s="1415"/>
      <c r="BC33" s="1415"/>
      <c r="BD33" s="1415"/>
      <c r="BE33" s="1415"/>
      <c r="BF33" s="1415"/>
      <c r="BG33" s="1415"/>
      <c r="BH33" s="1415"/>
      <c r="BI33" s="1415"/>
      <c r="BJ33" s="1415"/>
      <c r="BK33" s="1415"/>
      <c r="BL33" s="1415"/>
      <c r="BM33" s="1143">
        <f t="shared" si="137"/>
        <v>0</v>
      </c>
      <c r="BN33" s="579">
        <f t="shared" si="0"/>
        <v>0</v>
      </c>
    </row>
    <row r="34" spans="1:66" ht="21.95" hidden="1" customHeight="1" thickBot="1" x14ac:dyDescent="0.2">
      <c r="A34" s="2596"/>
      <c r="B34" s="2612" t="s">
        <v>1665</v>
      </c>
      <c r="C34" s="2613"/>
      <c r="D34" s="994"/>
      <c r="E34" s="444"/>
      <c r="F34" s="1416">
        <f>Dren_Quantificacao!D140</f>
        <v>0</v>
      </c>
      <c r="G34" s="1416">
        <f>Dren_Quantificacao!E140</f>
        <v>0</v>
      </c>
      <c r="H34" s="1416">
        <f>Dren_Quantificacao!F140</f>
        <v>0</v>
      </c>
      <c r="I34" s="1416">
        <f>Dren_Quantificacao!G140</f>
        <v>0</v>
      </c>
      <c r="J34" s="1416"/>
      <c r="K34" s="1416"/>
      <c r="L34" s="1416"/>
      <c r="M34" s="1416"/>
      <c r="N34" s="2432"/>
      <c r="O34" s="1416">
        <f>Dren_Quantificacao!M140</f>
        <v>0</v>
      </c>
      <c r="P34" s="1416">
        <f>Dren_Quantificacao!N140</f>
        <v>0</v>
      </c>
      <c r="Q34" s="1416">
        <f>Dren_Quantificacao!O140</f>
        <v>0</v>
      </c>
      <c r="R34" s="1416">
        <f>Dren_Quantificacao!P140</f>
        <v>0</v>
      </c>
      <c r="S34" s="1416">
        <f>Dren_Quantificacao!Q140</f>
        <v>0</v>
      </c>
      <c r="T34" s="1416">
        <f>Dren_Quantificacao!R140</f>
        <v>0</v>
      </c>
      <c r="U34" s="1416">
        <f>Dren_Quantificacao!S140</f>
        <v>0</v>
      </c>
      <c r="V34" s="1416">
        <f>Dren_Quantificacao!T140</f>
        <v>0</v>
      </c>
      <c r="W34" s="1416"/>
      <c r="X34" s="2432"/>
      <c r="Y34" s="1416">
        <f>Dren_Quantificacao!W140</f>
        <v>0</v>
      </c>
      <c r="Z34" s="1416">
        <f>Dren_Quantificacao!X140</f>
        <v>0</v>
      </c>
      <c r="AA34" s="1416">
        <f>Dren_Quantificacao!Y140</f>
        <v>0</v>
      </c>
      <c r="AB34" s="1416">
        <f>Dren_Quantificacao!Z140</f>
        <v>0</v>
      </c>
      <c r="AC34" s="1416">
        <f>Dren_Quantificacao!AA140</f>
        <v>0</v>
      </c>
      <c r="AD34" s="1416">
        <f>Dren_Quantificacao!AB140</f>
        <v>0</v>
      </c>
      <c r="AE34" s="1416">
        <f>Dren_Quantificacao!AC140</f>
        <v>0</v>
      </c>
      <c r="AF34" s="1416">
        <f>Dren_Quantificacao!AD140</f>
        <v>0</v>
      </c>
      <c r="AG34" s="1416">
        <f>Dren_Quantificacao!AE140</f>
        <v>0</v>
      </c>
      <c r="AH34" s="1416">
        <f>Dren_Quantificacao!AF140</f>
        <v>0</v>
      </c>
      <c r="AI34" s="1416"/>
      <c r="AJ34" s="1416"/>
      <c r="AK34" s="1416"/>
      <c r="AL34" s="1416"/>
      <c r="AM34" s="1416"/>
      <c r="AN34" s="1416"/>
      <c r="AO34" s="1416"/>
      <c r="AP34" s="1416"/>
      <c r="AQ34" s="1416"/>
      <c r="AR34" s="2432"/>
      <c r="AS34" s="1416">
        <f>Dren_Quantificacao!AQ140</f>
        <v>0</v>
      </c>
      <c r="AT34" s="1416">
        <f>Dren_Quantificacao!AR140</f>
        <v>0</v>
      </c>
      <c r="AU34" s="1416">
        <f>Dren_Quantificacao!AS140</f>
        <v>0</v>
      </c>
      <c r="AV34" s="1416">
        <f>Dren_Quantificacao!AT140</f>
        <v>0</v>
      </c>
      <c r="AW34" s="1416">
        <f>Dren_Quantificacao!AU140</f>
        <v>0</v>
      </c>
      <c r="AX34" s="1416">
        <f>Dren_Quantificacao!AW140</f>
        <v>0</v>
      </c>
      <c r="AY34" s="1415"/>
      <c r="AZ34" s="1415"/>
      <c r="BA34" s="1415"/>
      <c r="BB34" s="1415"/>
      <c r="BC34" s="1415"/>
      <c r="BD34" s="1415"/>
      <c r="BE34" s="1415"/>
      <c r="BF34" s="1415"/>
      <c r="BG34" s="1415"/>
      <c r="BH34" s="1415"/>
      <c r="BI34" s="1415"/>
      <c r="BJ34" s="1415"/>
      <c r="BK34" s="1415"/>
      <c r="BL34" s="1415"/>
      <c r="BM34" s="1143">
        <f t="shared" si="137"/>
        <v>0</v>
      </c>
      <c r="BN34" s="579">
        <f t="shared" si="0"/>
        <v>0</v>
      </c>
    </row>
    <row r="35" spans="1:66" ht="21.95" customHeight="1" thickBot="1" x14ac:dyDescent="0.2">
      <c r="A35" s="2596"/>
      <c r="B35" s="2605" t="s">
        <v>626</v>
      </c>
      <c r="C35" s="550" t="s">
        <v>629</v>
      </c>
      <c r="E35" s="442"/>
      <c r="F35" s="1137">
        <f>Dren_Quantificacao!D141</f>
        <v>0</v>
      </c>
      <c r="G35" s="1137">
        <f>Dren_Quantificacao!E141</f>
        <v>0</v>
      </c>
      <c r="H35" s="1137">
        <f>Dren_Quantificacao!F141</f>
        <v>0</v>
      </c>
      <c r="I35" s="1137">
        <f>Dren_Quantificacao!G141</f>
        <v>24.93</v>
      </c>
      <c r="J35" s="1137"/>
      <c r="K35" s="1137"/>
      <c r="L35" s="1137"/>
      <c r="M35" s="1137"/>
      <c r="N35" s="2429"/>
      <c r="O35" s="1137">
        <f>Dren_Quantificacao!M141</f>
        <v>0</v>
      </c>
      <c r="P35" s="1137">
        <f>Dren_Quantificacao!N141</f>
        <v>0</v>
      </c>
      <c r="Q35" s="1137">
        <f>Dren_Quantificacao!O141</f>
        <v>0</v>
      </c>
      <c r="R35" s="1137">
        <f>Dren_Quantificacao!P141</f>
        <v>0</v>
      </c>
      <c r="S35" s="1137">
        <f>Dren_Quantificacao!Q141</f>
        <v>0</v>
      </c>
      <c r="T35" s="1137">
        <f>Dren_Quantificacao!R141</f>
        <v>0</v>
      </c>
      <c r="U35" s="1137">
        <f>Dren_Quantificacao!S141</f>
        <v>0</v>
      </c>
      <c r="V35" s="1137">
        <f>Dren_Quantificacao!T141</f>
        <v>0</v>
      </c>
      <c r="W35" s="1137"/>
      <c r="X35" s="2429"/>
      <c r="Y35" s="1137">
        <f>Dren_Quantificacao!W141</f>
        <v>0</v>
      </c>
      <c r="Z35" s="1137">
        <f>Dren_Quantificacao!X141</f>
        <v>0</v>
      </c>
      <c r="AA35" s="1137">
        <f>Dren_Quantificacao!Y141</f>
        <v>0</v>
      </c>
      <c r="AB35" s="1137">
        <f>Dren_Quantificacao!Z141</f>
        <v>0</v>
      </c>
      <c r="AC35" s="1137">
        <f>Dren_Quantificacao!AA141</f>
        <v>0</v>
      </c>
      <c r="AD35" s="1137">
        <f>Dren_Quantificacao!AB141</f>
        <v>0</v>
      </c>
      <c r="AE35" s="1137">
        <f>Dren_Quantificacao!AC141</f>
        <v>0</v>
      </c>
      <c r="AF35" s="1137">
        <f>Dren_Quantificacao!AD141</f>
        <v>0</v>
      </c>
      <c r="AG35" s="1137">
        <f>Dren_Quantificacao!AE141</f>
        <v>0</v>
      </c>
      <c r="AH35" s="1137">
        <f>Dren_Quantificacao!AF141</f>
        <v>0</v>
      </c>
      <c r="AI35" s="1137"/>
      <c r="AJ35" s="1137"/>
      <c r="AK35" s="1137"/>
      <c r="AL35" s="1137"/>
      <c r="AM35" s="1137"/>
      <c r="AN35" s="1137"/>
      <c r="AO35" s="1137"/>
      <c r="AP35" s="1137"/>
      <c r="AQ35" s="1137"/>
      <c r="AR35" s="2429"/>
      <c r="AS35" s="1137">
        <f>Dren_Quantificacao!AQ141</f>
        <v>0</v>
      </c>
      <c r="AT35" s="1137">
        <f>Dren_Quantificacao!AR141</f>
        <v>0</v>
      </c>
      <c r="AU35" s="1137">
        <f>Dren_Quantificacao!AS141</f>
        <v>0</v>
      </c>
      <c r="AV35" s="1137">
        <f>Dren_Quantificacao!AT141</f>
        <v>0</v>
      </c>
      <c r="AW35" s="1137">
        <f>Dren_Quantificacao!AU141</f>
        <v>0</v>
      </c>
      <c r="AX35" s="1137">
        <f>Dren_Quantificacao!AW141</f>
        <v>0</v>
      </c>
      <c r="AY35" s="1137">
        <f>Dren_Quantificacao!AX141</f>
        <v>0</v>
      </c>
      <c r="AZ35" s="1137">
        <f>Dren_Quantificacao!AY141</f>
        <v>0</v>
      </c>
      <c r="BA35" s="1137">
        <f>Dren_Quantificacao!AZ141</f>
        <v>0</v>
      </c>
      <c r="BB35" s="1137">
        <f>Dren_Quantificacao!BA141</f>
        <v>0</v>
      </c>
      <c r="BC35" s="1137">
        <f>Dren_Quantificacao!BB141</f>
        <v>0</v>
      </c>
      <c r="BD35" s="1137">
        <f>Dren_Quantificacao!BC141</f>
        <v>0</v>
      </c>
      <c r="BE35" s="1137">
        <f>Dren_Quantificacao!BD141</f>
        <v>0</v>
      </c>
      <c r="BF35" s="1137">
        <f>Dren_Quantificacao!BE141</f>
        <v>0</v>
      </c>
      <c r="BG35" s="1137">
        <f>Dren_Quantificacao!BF141</f>
        <v>0</v>
      </c>
      <c r="BH35" s="1137">
        <f>Dren_Quantificacao!BG141</f>
        <v>0</v>
      </c>
      <c r="BI35" s="1137">
        <f>Dren_Quantificacao!BH141</f>
        <v>0</v>
      </c>
      <c r="BJ35" s="1137">
        <f>Dren_Quantificacao!BI141</f>
        <v>0</v>
      </c>
      <c r="BK35" s="1137">
        <f>Dren_Quantificacao!BJ141</f>
        <v>0</v>
      </c>
      <c r="BL35" s="1137">
        <f>Dren_Quantificacao!BK141</f>
        <v>0</v>
      </c>
      <c r="BM35" s="1140">
        <f t="shared" si="137"/>
        <v>24.93</v>
      </c>
      <c r="BN35" s="579">
        <f t="shared" si="0"/>
        <v>49.86</v>
      </c>
    </row>
    <row r="36" spans="1:66" ht="21.95" hidden="1" customHeight="1" thickBot="1" x14ac:dyDescent="0.2">
      <c r="A36" s="2596"/>
      <c r="B36" s="2607"/>
      <c r="C36" s="566" t="s">
        <v>628</v>
      </c>
      <c r="D36" s="987"/>
      <c r="E36" s="231"/>
      <c r="F36" s="1135">
        <f>Dren_Quantificacao!D142</f>
        <v>0</v>
      </c>
      <c r="G36" s="1135">
        <f>Dren_Quantificacao!E142</f>
        <v>0</v>
      </c>
      <c r="H36" s="1135">
        <f>Dren_Quantificacao!F142</f>
        <v>0</v>
      </c>
      <c r="I36" s="1135">
        <f>Dren_Quantificacao!G142</f>
        <v>0</v>
      </c>
      <c r="J36" s="1135"/>
      <c r="K36" s="1135"/>
      <c r="L36" s="1135"/>
      <c r="M36" s="1135"/>
      <c r="N36" s="2428"/>
      <c r="O36" s="1135">
        <f>Dren_Quantificacao!M142</f>
        <v>0</v>
      </c>
      <c r="P36" s="1135">
        <f>Dren_Quantificacao!N142</f>
        <v>0</v>
      </c>
      <c r="Q36" s="1135">
        <f>Dren_Quantificacao!O142</f>
        <v>0</v>
      </c>
      <c r="R36" s="1135">
        <f>Dren_Quantificacao!P142</f>
        <v>0</v>
      </c>
      <c r="S36" s="1135">
        <f>Dren_Quantificacao!Q142</f>
        <v>0</v>
      </c>
      <c r="T36" s="1135">
        <f>Dren_Quantificacao!R142</f>
        <v>0</v>
      </c>
      <c r="U36" s="1135">
        <f>Dren_Quantificacao!S142</f>
        <v>0</v>
      </c>
      <c r="V36" s="1135">
        <f>Dren_Quantificacao!T142</f>
        <v>0</v>
      </c>
      <c r="W36" s="1135"/>
      <c r="X36" s="2428"/>
      <c r="Y36" s="1135">
        <f>Dren_Quantificacao!W142</f>
        <v>0</v>
      </c>
      <c r="Z36" s="1135">
        <f>Dren_Quantificacao!X142</f>
        <v>0</v>
      </c>
      <c r="AA36" s="1135">
        <f>Dren_Quantificacao!Y142</f>
        <v>0</v>
      </c>
      <c r="AB36" s="1135">
        <f>Dren_Quantificacao!Z142</f>
        <v>0</v>
      </c>
      <c r="AC36" s="1135">
        <f>Dren_Quantificacao!AA142</f>
        <v>0</v>
      </c>
      <c r="AD36" s="1135">
        <f>Dren_Quantificacao!AB142</f>
        <v>0</v>
      </c>
      <c r="AE36" s="1135">
        <f>Dren_Quantificacao!AC142</f>
        <v>0</v>
      </c>
      <c r="AF36" s="1135">
        <f>Dren_Quantificacao!AD142</f>
        <v>0</v>
      </c>
      <c r="AG36" s="1135">
        <f>Dren_Quantificacao!AE142</f>
        <v>0</v>
      </c>
      <c r="AH36" s="1135">
        <f>Dren_Quantificacao!AF142</f>
        <v>0</v>
      </c>
      <c r="AI36" s="1135"/>
      <c r="AJ36" s="1135"/>
      <c r="AK36" s="1135"/>
      <c r="AL36" s="1135"/>
      <c r="AM36" s="1135"/>
      <c r="AN36" s="1135"/>
      <c r="AO36" s="1135"/>
      <c r="AP36" s="1135"/>
      <c r="AQ36" s="1135"/>
      <c r="AR36" s="2428"/>
      <c r="AS36" s="1135">
        <f>Dren_Quantificacao!AQ142</f>
        <v>0</v>
      </c>
      <c r="AT36" s="1135">
        <f>Dren_Quantificacao!AR142</f>
        <v>0</v>
      </c>
      <c r="AU36" s="1135">
        <f>Dren_Quantificacao!AS142</f>
        <v>0</v>
      </c>
      <c r="AV36" s="1135">
        <f>Dren_Quantificacao!AT142</f>
        <v>0</v>
      </c>
      <c r="AW36" s="1135">
        <f>Dren_Quantificacao!AU142</f>
        <v>0</v>
      </c>
      <c r="AX36" s="1135">
        <f>Dren_Quantificacao!AW142</f>
        <v>0</v>
      </c>
      <c r="AY36" s="1135">
        <f>Dren_Quantificacao!AX142</f>
        <v>0</v>
      </c>
      <c r="AZ36" s="1135">
        <f>Dren_Quantificacao!AY142</f>
        <v>0</v>
      </c>
      <c r="BA36" s="1135">
        <f>Dren_Quantificacao!AZ142</f>
        <v>0</v>
      </c>
      <c r="BB36" s="1135">
        <f>Dren_Quantificacao!BA142</f>
        <v>0</v>
      </c>
      <c r="BC36" s="1135">
        <f>Dren_Quantificacao!BB142</f>
        <v>0</v>
      </c>
      <c r="BD36" s="1135">
        <f>Dren_Quantificacao!BC142</f>
        <v>0</v>
      </c>
      <c r="BE36" s="1135">
        <f>Dren_Quantificacao!BD142</f>
        <v>0</v>
      </c>
      <c r="BF36" s="1135">
        <f>Dren_Quantificacao!BE142</f>
        <v>0</v>
      </c>
      <c r="BG36" s="1135">
        <f>Dren_Quantificacao!BF142</f>
        <v>0</v>
      </c>
      <c r="BH36" s="1135">
        <f>Dren_Quantificacao!BG142</f>
        <v>0</v>
      </c>
      <c r="BI36" s="1135">
        <f>Dren_Quantificacao!BH142</f>
        <v>0</v>
      </c>
      <c r="BJ36" s="1135">
        <f>Dren_Quantificacao!BI142</f>
        <v>0</v>
      </c>
      <c r="BK36" s="1135">
        <f>Dren_Quantificacao!BJ142</f>
        <v>0</v>
      </c>
      <c r="BL36" s="1135">
        <f>Dren_Quantificacao!BK142</f>
        <v>0</v>
      </c>
      <c r="BM36" s="1141">
        <f t="shared" si="137"/>
        <v>0</v>
      </c>
      <c r="BN36" s="579">
        <f t="shared" si="0"/>
        <v>0</v>
      </c>
    </row>
    <row r="37" spans="1:66" ht="32.1" customHeight="1" x14ac:dyDescent="0.15">
      <c r="A37" s="2596"/>
      <c r="B37" s="2605" t="s">
        <v>985</v>
      </c>
      <c r="C37" s="550" t="s">
        <v>2752</v>
      </c>
      <c r="D37" s="988"/>
      <c r="E37" s="344"/>
      <c r="F37" s="1144">
        <f>IF(F2-F27&gt;0,(F2-F27),0)</f>
        <v>0</v>
      </c>
      <c r="G37" s="1144">
        <f t="shared" ref="G37" ca="1" si="176">IF(G2-G27&gt;0,(G2-G27),0)</f>
        <v>72.02</v>
      </c>
      <c r="H37" s="1144">
        <f t="shared" ref="H37:I37" ca="1" si="177">IF(H2-H27&gt;0,(H2-H27),0)</f>
        <v>59.18</v>
      </c>
      <c r="I37" s="1144">
        <f t="shared" ca="1" si="177"/>
        <v>59.18</v>
      </c>
      <c r="J37" s="1144"/>
      <c r="K37" s="1144"/>
      <c r="L37" s="1144"/>
      <c r="M37" s="1144"/>
      <c r="N37" s="2433"/>
      <c r="O37" s="1144">
        <f t="shared" ref="O37:V37" ca="1" si="178">IF(O2-O27&gt;0,(O2-O27),0)</f>
        <v>66.88</v>
      </c>
      <c r="P37" s="1144">
        <f t="shared" ca="1" si="178"/>
        <v>87.75</v>
      </c>
      <c r="Q37" s="1144">
        <f t="shared" ca="1" si="178"/>
        <v>89.12</v>
      </c>
      <c r="R37" s="1144">
        <f t="shared" ca="1" si="178"/>
        <v>91.12</v>
      </c>
      <c r="S37" s="1144">
        <f t="shared" ca="1" si="178"/>
        <v>87.12</v>
      </c>
      <c r="T37" s="1144">
        <f t="shared" ca="1" si="178"/>
        <v>94.76</v>
      </c>
      <c r="U37" s="1144">
        <f t="shared" ca="1" si="178"/>
        <v>94.76</v>
      </c>
      <c r="V37" s="1144">
        <f t="shared" ca="1" si="178"/>
        <v>54.76</v>
      </c>
      <c r="W37" s="1144"/>
      <c r="X37" s="2433"/>
      <c r="Y37" s="1144">
        <f t="shared" ref="Y37:AH37" ca="1" si="179">IF(Y2-Y27&gt;0,(Y2-Y27),0)</f>
        <v>72.03</v>
      </c>
      <c r="Z37" s="1144">
        <f t="shared" ca="1" si="179"/>
        <v>94.68</v>
      </c>
      <c r="AA37" s="1144">
        <f t="shared" ca="1" si="179"/>
        <v>94.68</v>
      </c>
      <c r="AB37" s="1144">
        <f t="shared" ca="1" si="179"/>
        <v>94.68</v>
      </c>
      <c r="AC37" s="1144">
        <f t="shared" ca="1" si="179"/>
        <v>72.12</v>
      </c>
      <c r="AD37" s="1144">
        <f t="shared" ca="1" si="179"/>
        <v>72.05</v>
      </c>
      <c r="AE37" s="1144">
        <f t="shared" ca="1" si="179"/>
        <v>45.3</v>
      </c>
      <c r="AF37" s="1144">
        <f t="shared" ca="1" si="179"/>
        <v>74.78</v>
      </c>
      <c r="AG37" s="1144">
        <f t="shared" ca="1" si="179"/>
        <v>92.19</v>
      </c>
      <c r="AH37" s="1144">
        <f t="shared" ca="1" si="179"/>
        <v>92.19</v>
      </c>
      <c r="AI37" s="1144"/>
      <c r="AJ37" s="1144"/>
      <c r="AK37" s="1144"/>
      <c r="AL37" s="1144"/>
      <c r="AM37" s="1144"/>
      <c r="AN37" s="1144"/>
      <c r="AO37" s="1144"/>
      <c r="AP37" s="1144"/>
      <c r="AQ37" s="1144"/>
      <c r="AR37" s="2433"/>
      <c r="AS37" s="1144">
        <f t="shared" ref="AS37:AW37" ca="1" si="180">IF(AS2-AS27&gt;0,(AS2-AS27),0)</f>
        <v>72.22</v>
      </c>
      <c r="AT37" s="1144">
        <f t="shared" ca="1" si="180"/>
        <v>72.040000000000006</v>
      </c>
      <c r="AU37" s="1144">
        <f t="shared" ca="1" si="180"/>
        <v>72.02</v>
      </c>
      <c r="AV37" s="1144">
        <f t="shared" ca="1" si="180"/>
        <v>72.010000000000005</v>
      </c>
      <c r="AW37" s="1144">
        <f t="shared" ca="1" si="180"/>
        <v>72.23</v>
      </c>
      <c r="AX37" s="1144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149">
        <f t="shared" ca="1" si="137"/>
        <v>2021.87</v>
      </c>
      <c r="BN37" s="579">
        <f t="shared" ca="1" si="0"/>
        <v>4043.74</v>
      </c>
    </row>
    <row r="38" spans="1:66" ht="32.1" customHeight="1" x14ac:dyDescent="0.15">
      <c r="A38" s="2596"/>
      <c r="B38" s="2606"/>
      <c r="C38" s="567" t="s">
        <v>2753</v>
      </c>
      <c r="D38" s="988"/>
      <c r="E38" s="344"/>
      <c r="F38" s="2229">
        <f>IF(F37&gt;0,7,0)</f>
        <v>0</v>
      </c>
      <c r="G38" s="2229">
        <f t="shared" ref="G38" ca="1" si="181">IF(G37&gt;0,7,0)</f>
        <v>7</v>
      </c>
      <c r="H38" s="2229">
        <f t="shared" ref="H38" ca="1" si="182">IF(H37&gt;0,7,0)</f>
        <v>7</v>
      </c>
      <c r="I38" s="2229">
        <f t="shared" ref="I38" ca="1" si="183">IF(I37&gt;0,7,0)</f>
        <v>7</v>
      </c>
      <c r="J38" s="2229"/>
      <c r="K38" s="2229"/>
      <c r="L38" s="2229"/>
      <c r="M38" s="2229"/>
      <c r="N38" s="2434"/>
      <c r="O38" s="2229">
        <f t="shared" ref="O38" ca="1" si="184">IF(O37&gt;0,7,0)</f>
        <v>7</v>
      </c>
      <c r="P38" s="2229">
        <f t="shared" ref="P38" ca="1" si="185">IF(P37&gt;0,7,0)</f>
        <v>7</v>
      </c>
      <c r="Q38" s="2229">
        <f t="shared" ref="Q38" ca="1" si="186">IF(Q37&gt;0,7,0)</f>
        <v>7</v>
      </c>
      <c r="R38" s="2229">
        <f t="shared" ref="R38" ca="1" si="187">IF(R37&gt;0,7,0)</f>
        <v>7</v>
      </c>
      <c r="S38" s="2229">
        <f t="shared" ref="S38" ca="1" si="188">IF(S37&gt;0,7,0)</f>
        <v>7</v>
      </c>
      <c r="T38" s="2229">
        <f t="shared" ref="T38" ca="1" si="189">IF(T37&gt;0,7,0)</f>
        <v>7</v>
      </c>
      <c r="U38" s="2229">
        <f t="shared" ref="U38" ca="1" si="190">IF(U37&gt;0,7,0)</f>
        <v>7</v>
      </c>
      <c r="V38" s="2229">
        <f t="shared" ref="V38" ca="1" si="191">IF(V37&gt;0,7,0)</f>
        <v>7</v>
      </c>
      <c r="W38" s="2229"/>
      <c r="X38" s="2434"/>
      <c r="Y38" s="2229">
        <f t="shared" ref="Y38" ca="1" si="192">IF(Y37&gt;0,7,0)</f>
        <v>7</v>
      </c>
      <c r="Z38" s="2229">
        <f t="shared" ref="Z38" ca="1" si="193">IF(Z37&gt;0,7,0)</f>
        <v>7</v>
      </c>
      <c r="AA38" s="2229">
        <f t="shared" ref="AA38" ca="1" si="194">IF(AA37&gt;0,7,0)</f>
        <v>7</v>
      </c>
      <c r="AB38" s="2229">
        <f t="shared" ref="AB38" ca="1" si="195">IF(AB37&gt;0,7,0)</f>
        <v>7</v>
      </c>
      <c r="AC38" s="2229">
        <f t="shared" ref="AC38" ca="1" si="196">IF(AC37&gt;0,7,0)</f>
        <v>7</v>
      </c>
      <c r="AD38" s="2229">
        <f t="shared" ref="AD38" ca="1" si="197">IF(AD37&gt;0,7,0)</f>
        <v>7</v>
      </c>
      <c r="AE38" s="2229">
        <f t="shared" ref="AE38" ca="1" si="198">IF(AE37&gt;0,7,0)</f>
        <v>7</v>
      </c>
      <c r="AF38" s="2229">
        <f t="shared" ref="AF38" ca="1" si="199">IF(AF37&gt;0,7,0)</f>
        <v>7</v>
      </c>
      <c r="AG38" s="2229">
        <f t="shared" ref="AG38" ca="1" si="200">IF(AG37&gt;0,7,0)</f>
        <v>7</v>
      </c>
      <c r="AH38" s="2229">
        <f t="shared" ref="AH38" ca="1" si="201">IF(AH37&gt;0,7,0)</f>
        <v>7</v>
      </c>
      <c r="AI38" s="2229"/>
      <c r="AJ38" s="2229"/>
      <c r="AK38" s="2229"/>
      <c r="AL38" s="2229"/>
      <c r="AM38" s="2229"/>
      <c r="AN38" s="2229"/>
      <c r="AO38" s="2229"/>
      <c r="AP38" s="2229"/>
      <c r="AQ38" s="2229"/>
      <c r="AR38" s="2434"/>
      <c r="AS38" s="2229">
        <f t="shared" ref="AS38" ca="1" si="202">IF(AS37&gt;0,7,0)</f>
        <v>7</v>
      </c>
      <c r="AT38" s="2229">
        <f t="shared" ref="AT38" ca="1" si="203">IF(AT37&gt;0,7,0)</f>
        <v>7</v>
      </c>
      <c r="AU38" s="2229">
        <f t="shared" ref="AU38" ca="1" si="204">IF(AU37&gt;0,7,0)</f>
        <v>7</v>
      </c>
      <c r="AV38" s="2229">
        <f t="shared" ref="AV38" ca="1" si="205">IF(AV37&gt;0,7,0)</f>
        <v>7</v>
      </c>
      <c r="AW38" s="2229">
        <f t="shared" ref="AW38" ca="1" si="206">IF(AW37&gt;0,7,0)</f>
        <v>7</v>
      </c>
      <c r="AX38" s="1997">
        <f t="shared" ref="AX38" si="207">IF(AX37&gt;0,7,0)</f>
        <v>0</v>
      </c>
      <c r="AY38" s="2272"/>
      <c r="AZ38" s="2272"/>
      <c r="BA38" s="2272"/>
      <c r="BB38" s="2272"/>
      <c r="BC38" s="2272"/>
      <c r="BD38" s="2272"/>
      <c r="BE38" s="2272"/>
      <c r="BF38" s="2272"/>
      <c r="BG38" s="2272"/>
      <c r="BH38" s="2272"/>
      <c r="BI38" s="2272"/>
      <c r="BJ38" s="2272"/>
      <c r="BK38" s="2272"/>
      <c r="BL38" s="2272"/>
      <c r="BM38" s="2273"/>
      <c r="BN38" s="579">
        <f t="shared" ca="1" si="0"/>
        <v>182</v>
      </c>
    </row>
    <row r="39" spans="1:66" ht="31.5" customHeight="1" x14ac:dyDescent="0.15">
      <c r="A39" s="2596"/>
      <c r="B39" s="2606"/>
      <c r="C39" s="567" t="s">
        <v>2754</v>
      </c>
      <c r="D39" s="988"/>
      <c r="E39" s="344"/>
      <c r="F39" s="1144">
        <f>F38*F37</f>
        <v>0</v>
      </c>
      <c r="G39" s="1144">
        <f t="shared" ref="G39" ca="1" si="208">G38*G37</f>
        <v>504.14</v>
      </c>
      <c r="H39" s="1144">
        <f t="shared" ref="H39" ca="1" si="209">H38*H37</f>
        <v>414.26</v>
      </c>
      <c r="I39" s="1144">
        <f t="shared" ref="I39" ca="1" si="210">I38*I37</f>
        <v>414.26</v>
      </c>
      <c r="J39" s="1144"/>
      <c r="K39" s="1144"/>
      <c r="L39" s="1144"/>
      <c r="M39" s="1144"/>
      <c r="N39" s="2433"/>
      <c r="O39" s="1144">
        <f t="shared" ref="O39" ca="1" si="211">O38*O37</f>
        <v>468.15999999999997</v>
      </c>
      <c r="P39" s="1144">
        <f t="shared" ref="P39" ca="1" si="212">P38*P37</f>
        <v>614.25</v>
      </c>
      <c r="Q39" s="1144">
        <f t="shared" ref="Q39" ca="1" si="213">Q38*Q37</f>
        <v>623.84</v>
      </c>
      <c r="R39" s="1144">
        <f t="shared" ref="R39" ca="1" si="214">R38*R37</f>
        <v>637.84</v>
      </c>
      <c r="S39" s="1144">
        <f t="shared" ref="S39" ca="1" si="215">S38*S37</f>
        <v>609.84</v>
      </c>
      <c r="T39" s="1144">
        <f t="shared" ref="T39" ca="1" si="216">T38*T37</f>
        <v>663.32</v>
      </c>
      <c r="U39" s="1144">
        <f t="shared" ref="U39" ca="1" si="217">U38*U37</f>
        <v>663.32</v>
      </c>
      <c r="V39" s="1144">
        <f t="shared" ref="V39" ca="1" si="218">V38*V37</f>
        <v>383.32</v>
      </c>
      <c r="W39" s="1144"/>
      <c r="X39" s="2433"/>
      <c r="Y39" s="1144">
        <f t="shared" ref="Y39" ca="1" si="219">Y38*Y37</f>
        <v>504.21000000000004</v>
      </c>
      <c r="Z39" s="1144">
        <f t="shared" ref="Z39" ca="1" si="220">Z38*Z37</f>
        <v>662.76</v>
      </c>
      <c r="AA39" s="1144">
        <f t="shared" ref="AA39" ca="1" si="221">AA38*AA37</f>
        <v>662.76</v>
      </c>
      <c r="AB39" s="1144">
        <f t="shared" ref="AB39" ca="1" si="222">AB38*AB37</f>
        <v>662.76</v>
      </c>
      <c r="AC39" s="1144">
        <f t="shared" ref="AC39" ca="1" si="223">AC38*AC37</f>
        <v>504.84000000000003</v>
      </c>
      <c r="AD39" s="1144">
        <f t="shared" ref="AD39" ca="1" si="224">AD38*AD37</f>
        <v>504.34999999999997</v>
      </c>
      <c r="AE39" s="1144">
        <f t="shared" ref="AE39" ca="1" si="225">AE38*AE37</f>
        <v>317.09999999999997</v>
      </c>
      <c r="AF39" s="1144">
        <f t="shared" ref="AF39" ca="1" si="226">AF38*AF37</f>
        <v>523.46</v>
      </c>
      <c r="AG39" s="1144">
        <f t="shared" ref="AG39" ca="1" si="227">AG38*AG37</f>
        <v>645.32999999999993</v>
      </c>
      <c r="AH39" s="1144">
        <f t="shared" ref="AH39" ca="1" si="228">AH38*AH37</f>
        <v>645.32999999999993</v>
      </c>
      <c r="AI39" s="1144"/>
      <c r="AJ39" s="1144"/>
      <c r="AK39" s="1144"/>
      <c r="AL39" s="1144"/>
      <c r="AM39" s="1144"/>
      <c r="AN39" s="1144"/>
      <c r="AO39" s="1144"/>
      <c r="AP39" s="1144"/>
      <c r="AQ39" s="1144"/>
      <c r="AR39" s="2433"/>
      <c r="AS39" s="1144">
        <f t="shared" ref="AS39" ca="1" si="229">AS38*AS37</f>
        <v>505.53999999999996</v>
      </c>
      <c r="AT39" s="1144">
        <f t="shared" ref="AT39" ca="1" si="230">AT38*AT37</f>
        <v>504.28000000000003</v>
      </c>
      <c r="AU39" s="1144">
        <f t="shared" ref="AU39" ca="1" si="231">AU38*AU37</f>
        <v>504.14</v>
      </c>
      <c r="AV39" s="1144">
        <f t="shared" ref="AV39" ca="1" si="232">AV38*AV37</f>
        <v>504.07000000000005</v>
      </c>
      <c r="AW39" s="1144">
        <f t="shared" ref="AW39" ca="1" si="233">AW38*AW37</f>
        <v>505.61</v>
      </c>
      <c r="AX39" s="1144">
        <f t="shared" ref="AX39" si="234">AX38*AX37</f>
        <v>0</v>
      </c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140">
        <f ca="1">ROUND(SUM(F39:BL39),2)</f>
        <v>14153.09</v>
      </c>
      <c r="BN39" s="579">
        <f t="shared" ca="1" si="0"/>
        <v>28306.18</v>
      </c>
    </row>
    <row r="40" spans="1:66" ht="32.1" customHeight="1" x14ac:dyDescent="0.15">
      <c r="A40" s="2596"/>
      <c r="B40" s="2606"/>
      <c r="C40" s="567" t="s">
        <v>986</v>
      </c>
      <c r="D40" s="988"/>
      <c r="E40" s="344"/>
      <c r="F40" s="967">
        <f>IF(F2=0,0,IF(F2&lt;100,1,2))</f>
        <v>0</v>
      </c>
      <c r="G40" s="967">
        <f t="shared" ref="G40" ca="1" si="235">IF(G2=0,0,IF(G2&lt;100,1,2))</f>
        <v>1</v>
      </c>
      <c r="H40" s="967">
        <f t="shared" ref="H40:I40" ca="1" si="236">IF(H2=0,0,IF(H2&lt;100,1,2))</f>
        <v>1</v>
      </c>
      <c r="I40" s="967">
        <f t="shared" ca="1" si="236"/>
        <v>1</v>
      </c>
      <c r="J40" s="967"/>
      <c r="K40" s="967"/>
      <c r="L40" s="967"/>
      <c r="M40" s="967"/>
      <c r="N40" s="2418"/>
      <c r="O40" s="967">
        <f t="shared" ref="O40:V40" ca="1" si="237">IF(O2=0,0,IF(O2&lt;100,1,2))</f>
        <v>1</v>
      </c>
      <c r="P40" s="967">
        <f t="shared" ca="1" si="237"/>
        <v>1</v>
      </c>
      <c r="Q40" s="967">
        <f t="shared" ca="1" si="237"/>
        <v>1</v>
      </c>
      <c r="R40" s="967">
        <f t="shared" ca="1" si="237"/>
        <v>1</v>
      </c>
      <c r="S40" s="967">
        <f t="shared" ca="1" si="237"/>
        <v>1</v>
      </c>
      <c r="T40" s="967">
        <f t="shared" ca="1" si="237"/>
        <v>1</v>
      </c>
      <c r="U40" s="967">
        <f t="shared" ca="1" si="237"/>
        <v>1</v>
      </c>
      <c r="V40" s="967">
        <f t="shared" ca="1" si="237"/>
        <v>1</v>
      </c>
      <c r="W40" s="967"/>
      <c r="X40" s="2418"/>
      <c r="Y40" s="967">
        <f t="shared" ref="Y40:AH40" ca="1" si="238">IF(Y2=0,0,IF(Y2&lt;100,1,2))</f>
        <v>1</v>
      </c>
      <c r="Z40" s="967">
        <f t="shared" ca="1" si="238"/>
        <v>1</v>
      </c>
      <c r="AA40" s="967">
        <f t="shared" ca="1" si="238"/>
        <v>1</v>
      </c>
      <c r="AB40" s="967">
        <f t="shared" ca="1" si="238"/>
        <v>1</v>
      </c>
      <c r="AC40" s="967">
        <f t="shared" ca="1" si="238"/>
        <v>1</v>
      </c>
      <c r="AD40" s="967">
        <f t="shared" ca="1" si="238"/>
        <v>1</v>
      </c>
      <c r="AE40" s="967">
        <f t="shared" ca="1" si="238"/>
        <v>1</v>
      </c>
      <c r="AF40" s="967">
        <f t="shared" ca="1" si="238"/>
        <v>1</v>
      </c>
      <c r="AG40" s="967">
        <f t="shared" ca="1" si="238"/>
        <v>1</v>
      </c>
      <c r="AH40" s="967">
        <f t="shared" ca="1" si="238"/>
        <v>1</v>
      </c>
      <c r="AI40" s="967"/>
      <c r="AJ40" s="967"/>
      <c r="AK40" s="967"/>
      <c r="AL40" s="967"/>
      <c r="AM40" s="967"/>
      <c r="AN40" s="967"/>
      <c r="AO40" s="967"/>
      <c r="AP40" s="967"/>
      <c r="AQ40" s="967"/>
      <c r="AR40" s="2418"/>
      <c r="AS40" s="967">
        <f t="shared" ref="AS40:AW40" ca="1" si="239">IF(AS2=0,0,IF(AS2&lt;100,1,2))</f>
        <v>1</v>
      </c>
      <c r="AT40" s="967">
        <f t="shared" ca="1" si="239"/>
        <v>1</v>
      </c>
      <c r="AU40" s="967">
        <f t="shared" ca="1" si="239"/>
        <v>1</v>
      </c>
      <c r="AV40" s="967">
        <f t="shared" ca="1" si="239"/>
        <v>1</v>
      </c>
      <c r="AW40" s="967">
        <f t="shared" ca="1" si="239"/>
        <v>1</v>
      </c>
      <c r="AX40" s="967"/>
      <c r="AY40" s="1293"/>
      <c r="AZ40" s="1293"/>
      <c r="BA40" s="1293"/>
      <c r="BB40" s="1293"/>
      <c r="BC40" s="1293"/>
      <c r="BD40" s="1293"/>
      <c r="BE40" s="1293"/>
      <c r="BF40" s="1293"/>
      <c r="BG40" s="1293"/>
      <c r="BH40" s="1293"/>
      <c r="BI40" s="1293"/>
      <c r="BJ40" s="1293"/>
      <c r="BK40" s="1293"/>
      <c r="BL40" s="1293"/>
      <c r="BM40" s="1146">
        <f ca="1">ROUND(SUM(F40:BL40),2)</f>
        <v>26</v>
      </c>
      <c r="BN40" s="579">
        <f t="shared" ca="1" si="0"/>
        <v>52</v>
      </c>
    </row>
    <row r="41" spans="1:66" ht="21.95" customHeight="1" thickBot="1" x14ac:dyDescent="0.2">
      <c r="A41" s="2596"/>
      <c r="B41" s="2607"/>
      <c r="C41" s="546" t="s">
        <v>987</v>
      </c>
      <c r="D41" s="989"/>
      <c r="E41" s="414"/>
      <c r="F41" s="1147">
        <f>IF(F2&gt;0,2,0)</f>
        <v>0</v>
      </c>
      <c r="G41" s="1147">
        <f t="shared" ref="G41" ca="1" si="240">IF(G2&gt;0,2,0)</f>
        <v>2</v>
      </c>
      <c r="H41" s="1147">
        <f t="shared" ref="H41:I41" ca="1" si="241">IF(H2&gt;0,2,0)</f>
        <v>2</v>
      </c>
      <c r="I41" s="1147">
        <f t="shared" ca="1" si="241"/>
        <v>2</v>
      </c>
      <c r="J41" s="1147"/>
      <c r="K41" s="1147"/>
      <c r="L41" s="1147"/>
      <c r="M41" s="1147"/>
      <c r="N41" s="2435"/>
      <c r="O41" s="1147">
        <f t="shared" ref="O41:V41" ca="1" si="242">IF(O2&gt;0,2,0)</f>
        <v>2</v>
      </c>
      <c r="P41" s="1147">
        <f t="shared" ca="1" si="242"/>
        <v>2</v>
      </c>
      <c r="Q41" s="1147">
        <f t="shared" ca="1" si="242"/>
        <v>2</v>
      </c>
      <c r="R41" s="1147">
        <f t="shared" ca="1" si="242"/>
        <v>2</v>
      </c>
      <c r="S41" s="1147">
        <f t="shared" ca="1" si="242"/>
        <v>2</v>
      </c>
      <c r="T41" s="1147">
        <f t="shared" ca="1" si="242"/>
        <v>2</v>
      </c>
      <c r="U41" s="1147">
        <f t="shared" ca="1" si="242"/>
        <v>2</v>
      </c>
      <c r="V41" s="1147">
        <f t="shared" ca="1" si="242"/>
        <v>2</v>
      </c>
      <c r="W41" s="1147"/>
      <c r="X41" s="2435"/>
      <c r="Y41" s="1147">
        <f t="shared" ref="Y41:AH41" ca="1" si="243">IF(Y2&gt;0,2,0)</f>
        <v>2</v>
      </c>
      <c r="Z41" s="1147">
        <f t="shared" ca="1" si="243"/>
        <v>2</v>
      </c>
      <c r="AA41" s="1147">
        <f t="shared" ca="1" si="243"/>
        <v>2</v>
      </c>
      <c r="AB41" s="1147">
        <f t="shared" ca="1" si="243"/>
        <v>2</v>
      </c>
      <c r="AC41" s="1147">
        <f t="shared" ca="1" si="243"/>
        <v>2</v>
      </c>
      <c r="AD41" s="1147">
        <f t="shared" ca="1" si="243"/>
        <v>2</v>
      </c>
      <c r="AE41" s="1147">
        <f t="shared" ca="1" si="243"/>
        <v>2</v>
      </c>
      <c r="AF41" s="1147">
        <f t="shared" ca="1" si="243"/>
        <v>2</v>
      </c>
      <c r="AG41" s="1147">
        <f t="shared" ca="1" si="243"/>
        <v>2</v>
      </c>
      <c r="AH41" s="1147">
        <f t="shared" ca="1" si="243"/>
        <v>2</v>
      </c>
      <c r="AI41" s="1147"/>
      <c r="AJ41" s="1147"/>
      <c r="AK41" s="1147"/>
      <c r="AL41" s="1147"/>
      <c r="AM41" s="1147"/>
      <c r="AN41" s="1147"/>
      <c r="AO41" s="1147"/>
      <c r="AP41" s="1147"/>
      <c r="AQ41" s="1147"/>
      <c r="AR41" s="2435"/>
      <c r="AS41" s="1147">
        <f t="shared" ref="AS41:AW41" ca="1" si="244">IF(AS2&gt;0,2,0)</f>
        <v>2</v>
      </c>
      <c r="AT41" s="1147">
        <f t="shared" ca="1" si="244"/>
        <v>2</v>
      </c>
      <c r="AU41" s="1147">
        <f t="shared" ca="1" si="244"/>
        <v>2</v>
      </c>
      <c r="AV41" s="1147">
        <f t="shared" ca="1" si="244"/>
        <v>2</v>
      </c>
      <c r="AW41" s="1147">
        <f t="shared" ca="1" si="244"/>
        <v>2</v>
      </c>
      <c r="AX41" s="1147"/>
      <c r="AY41" s="1294"/>
      <c r="AZ41" s="1294"/>
      <c r="BA41" s="1294"/>
      <c r="BB41" s="1294"/>
      <c r="BC41" s="1294"/>
      <c r="BD41" s="1294"/>
      <c r="BE41" s="1294"/>
      <c r="BF41" s="1294"/>
      <c r="BG41" s="1294"/>
      <c r="BH41" s="1294"/>
      <c r="BI41" s="1294"/>
      <c r="BJ41" s="1294"/>
      <c r="BK41" s="1294"/>
      <c r="BL41" s="1294"/>
      <c r="BM41" s="1148">
        <f ca="1">ROUND(SUM(F41:BL41),2)</f>
        <v>52</v>
      </c>
      <c r="BN41" s="579">
        <f t="shared" ca="1" si="0"/>
        <v>104</v>
      </c>
    </row>
    <row r="42" spans="1:66" ht="49.5" customHeight="1" thickBot="1" x14ac:dyDescent="0.2">
      <c r="A42" s="2597"/>
      <c r="B42" s="2651" t="s">
        <v>12</v>
      </c>
      <c r="C42" s="2652"/>
      <c r="D42" s="990"/>
      <c r="E42" s="440"/>
      <c r="F42" s="2098"/>
      <c r="G42" s="2098"/>
      <c r="H42" s="2098"/>
      <c r="I42" s="2098"/>
      <c r="J42" s="2098"/>
      <c r="K42" s="2098"/>
      <c r="L42" s="2098"/>
      <c r="M42" s="2098"/>
      <c r="N42" s="2436"/>
      <c r="O42" s="2098"/>
      <c r="P42" s="2098"/>
      <c r="Q42" s="2098"/>
      <c r="R42" s="2098"/>
      <c r="S42" s="2098"/>
      <c r="T42" s="2098"/>
      <c r="U42" s="2098"/>
      <c r="V42" s="2098"/>
      <c r="W42" s="2098"/>
      <c r="X42" s="2436"/>
      <c r="Y42" s="2098"/>
      <c r="Z42" s="2098"/>
      <c r="AA42" s="2098"/>
      <c r="AB42" s="2098"/>
      <c r="AC42" s="2098"/>
      <c r="AD42" s="2098"/>
      <c r="AE42" s="2098"/>
      <c r="AF42" s="2098"/>
      <c r="AG42" s="2098"/>
      <c r="AH42" s="2098"/>
      <c r="AI42" s="2098"/>
      <c r="AJ42" s="2098"/>
      <c r="AK42" s="2098"/>
      <c r="AL42" s="2098"/>
      <c r="AM42" s="2098"/>
      <c r="AN42" s="2098"/>
      <c r="AO42" s="2098"/>
      <c r="AP42" s="2098"/>
      <c r="AQ42" s="2098"/>
      <c r="AR42" s="2436"/>
      <c r="AS42" s="2098"/>
      <c r="AT42" s="2098"/>
      <c r="AU42" s="2098"/>
      <c r="AV42" s="2098"/>
      <c r="AW42" s="2098"/>
      <c r="AX42" s="2098"/>
      <c r="AY42" s="2334"/>
      <c r="AZ42" s="2334"/>
      <c r="BA42" s="2334"/>
      <c r="BB42" s="1295"/>
      <c r="BC42" s="1295"/>
      <c r="BD42" s="1295"/>
      <c r="BE42" s="1295"/>
      <c r="BF42" s="1295"/>
      <c r="BG42" s="1295"/>
      <c r="BH42" s="1295"/>
      <c r="BI42" s="1295"/>
      <c r="BJ42" s="1295"/>
      <c r="BK42" s="1295"/>
      <c r="BL42" s="1295"/>
      <c r="BM42" s="577"/>
      <c r="BN42" s="668">
        <v>1</v>
      </c>
    </row>
    <row r="43" spans="1:66" ht="19.5" hidden="1" thickTop="1" x14ac:dyDescent="0.15"/>
    <row r="44" spans="1:66" ht="19.5" thickTop="1" x14ac:dyDescent="0.15"/>
  </sheetData>
  <autoFilter ref="BN1:BN43" xr:uid="{00000000-0009-0000-0000-000011000000}">
    <filterColumn colId="0">
      <customFilters>
        <customFilter operator="notEqual" val=" "/>
      </customFilters>
    </filterColumn>
  </autoFilter>
  <mergeCells count="16">
    <mergeCell ref="B31:C31"/>
    <mergeCell ref="B32:C32"/>
    <mergeCell ref="A1:A42"/>
    <mergeCell ref="B1:C1"/>
    <mergeCell ref="B2:C2"/>
    <mergeCell ref="B9:B15"/>
    <mergeCell ref="B42:C42"/>
    <mergeCell ref="B16:B22"/>
    <mergeCell ref="B23:B29"/>
    <mergeCell ref="B3:B5"/>
    <mergeCell ref="B6:B8"/>
    <mergeCell ref="B37:B41"/>
    <mergeCell ref="B35:B36"/>
    <mergeCell ref="B30:C30"/>
    <mergeCell ref="B33:C33"/>
    <mergeCell ref="B34:C34"/>
  </mergeCells>
  <conditionalFormatting sqref="F6:AE6 AH6:AW6">
    <cfRule type="expression" dxfId="122" priority="14">
      <formula>E$27&gt;0</formula>
    </cfRule>
  </conditionalFormatting>
  <conditionalFormatting sqref="AX6">
    <cfRule type="expression" dxfId="121" priority="20">
      <formula>#REF!&gt;0</formula>
    </cfRule>
  </conditionalFormatting>
  <conditionalFormatting sqref="AY6:BL6">
    <cfRule type="expression" dxfId="120" priority="1718">
      <formula>#REF!&gt;0</formula>
    </cfRule>
    <cfRule type="expression" dxfId="119" priority="4153">
      <formula>#REF!&gt;0</formula>
    </cfRule>
  </conditionalFormatting>
  <hyperlinks>
    <hyperlink ref="B1:C1" location="PAINEL!A1" display="TRECHOS" xr:uid="{00000000-0004-0000-1100-000000000000}"/>
  </hyperlinks>
  <pageMargins left="0.39370078740157483" right="0.39370078740157483" top="0.39370078740157483" bottom="0.39370078740157483" header="0.23622047244094491" footer="0.23622047244094491"/>
  <pageSetup paperSize="9" scale="57" fitToWidth="6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AY23" formula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26" filterMode="1">
    <tabColor theme="5" tint="0.59999389629810485"/>
  </sheetPr>
  <dimension ref="A1:CA223"/>
  <sheetViews>
    <sheetView showZeros="0" zoomScaleNormal="100" zoomScaleSheetLayoutView="100" workbookViewId="0">
      <pane xSplit="5" ySplit="1" topLeftCell="AA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BP9" sqref="BP9"/>
    </sheetView>
  </sheetViews>
  <sheetFormatPr defaultColWidth="9" defaultRowHeight="18.75" x14ac:dyDescent="0.15"/>
  <cols>
    <col min="1" max="1" width="9.75" style="133" customWidth="1"/>
    <col min="2" max="2" width="14.625" style="13" customWidth="1"/>
    <col min="3" max="3" width="35.625" style="13" customWidth="1"/>
    <col min="4" max="4" width="3.75" style="2018" hidden="1" customWidth="1"/>
    <col min="5" max="5" width="13.625" style="13" hidden="1" customWidth="1"/>
    <col min="6" max="6" width="12.625" style="133" hidden="1" customWidth="1"/>
    <col min="7" max="9" width="12.625" style="133" customWidth="1"/>
    <col min="10" max="13" width="12.625" style="133" hidden="1" customWidth="1"/>
    <col min="14" max="14" width="2.625" style="133" customWidth="1"/>
    <col min="15" max="22" width="12.625" style="133" customWidth="1"/>
    <col min="23" max="23" width="12.625" style="133" hidden="1" customWidth="1"/>
    <col min="24" max="24" width="2.625" style="133" customWidth="1"/>
    <col min="25" max="34" width="12.625" style="133" customWidth="1"/>
    <col min="35" max="43" width="12.625" style="133" hidden="1" customWidth="1"/>
    <col min="44" max="44" width="2.625" style="133" customWidth="1"/>
    <col min="45" max="49" width="12.625" style="133" customWidth="1"/>
    <col min="50" max="50" width="12.625" style="133" hidden="1" customWidth="1"/>
    <col min="51" max="51" width="12.625" style="133" customWidth="1"/>
    <col min="52" max="52" width="12.625" style="133" hidden="1" customWidth="1"/>
    <col min="53" max="53" width="12.625" style="133" customWidth="1"/>
    <col min="54" max="64" width="12.625" style="133" hidden="1" customWidth="1"/>
    <col min="65" max="65" width="12.625" style="420" customWidth="1"/>
    <col min="66" max="66" width="17.375" style="133" customWidth="1"/>
    <col min="67" max="70" width="10.75" style="1087" customWidth="1"/>
    <col min="71" max="71" width="15.625" style="1087" customWidth="1"/>
    <col min="72" max="78" width="9" style="1087"/>
    <col min="79" max="16384" width="9" style="133"/>
  </cols>
  <sheetData>
    <row r="1" spans="1:78" s="16" customFormat="1" ht="33" customHeight="1" thickTop="1" thickBot="1" x14ac:dyDescent="0.2">
      <c r="A1" s="2595" t="s">
        <v>313</v>
      </c>
      <c r="B1" s="2608" t="s">
        <v>346</v>
      </c>
      <c r="C1" s="2609"/>
      <c r="D1" s="1998"/>
      <c r="E1" s="974" t="s">
        <v>587</v>
      </c>
      <c r="F1" s="225">
        <f ca="1">Dren_Quantificacao!D1</f>
        <v>0</v>
      </c>
      <c r="G1" s="225">
        <f ca="1">Dren_Quantificacao!E1</f>
        <v>2</v>
      </c>
      <c r="H1" s="225">
        <f ca="1">Dren_Quantificacao!F1</f>
        <v>3</v>
      </c>
      <c r="I1" s="225">
        <f ca="1">Dren_Quantificacao!G1</f>
        <v>4</v>
      </c>
      <c r="J1" s="225"/>
      <c r="K1" s="225"/>
      <c r="L1" s="225"/>
      <c r="M1" s="225"/>
      <c r="N1" s="2422"/>
      <c r="O1" s="225">
        <f ca="1">Dren_Quantificacao!M1</f>
        <v>10</v>
      </c>
      <c r="P1" s="225">
        <f ca="1">Dren_Quantificacao!N1</f>
        <v>11</v>
      </c>
      <c r="Q1" s="225">
        <f ca="1">Dren_Quantificacao!O1</f>
        <v>12</v>
      </c>
      <c r="R1" s="225">
        <f ca="1">Dren_Quantificacao!P1</f>
        <v>13</v>
      </c>
      <c r="S1" s="225">
        <f ca="1">Dren_Quantificacao!Q1</f>
        <v>14</v>
      </c>
      <c r="T1" s="225">
        <f ca="1">Dren_Quantificacao!R1</f>
        <v>15</v>
      </c>
      <c r="U1" s="225">
        <f ca="1">Dren_Quantificacao!S1</f>
        <v>16</v>
      </c>
      <c r="V1" s="225">
        <f ca="1">Dren_Quantificacao!T1</f>
        <v>17</v>
      </c>
      <c r="W1" s="225"/>
      <c r="X1" s="2422"/>
      <c r="Y1" s="225">
        <f ca="1">Dren_Quantificacao!W1</f>
        <v>20</v>
      </c>
      <c r="Z1" s="225">
        <f ca="1">Dren_Quantificacao!X1</f>
        <v>21</v>
      </c>
      <c r="AA1" s="225">
        <f ca="1">Dren_Quantificacao!Y1</f>
        <v>22</v>
      </c>
      <c r="AB1" s="225">
        <f ca="1">Dren_Quantificacao!Z1</f>
        <v>23</v>
      </c>
      <c r="AC1" s="225">
        <f ca="1">Dren_Quantificacao!AA1</f>
        <v>24</v>
      </c>
      <c r="AD1" s="225">
        <f ca="1">Dren_Quantificacao!AB1</f>
        <v>25</v>
      </c>
      <c r="AE1" s="225">
        <f ca="1">Dren_Quantificacao!AC1</f>
        <v>26</v>
      </c>
      <c r="AF1" s="225">
        <f ca="1">Dren_Quantificacao!AD1</f>
        <v>27</v>
      </c>
      <c r="AG1" s="225">
        <f ca="1">Dren_Quantificacao!AE1</f>
        <v>28</v>
      </c>
      <c r="AH1" s="225">
        <f ca="1">Dren_Quantificacao!AF1</f>
        <v>29</v>
      </c>
      <c r="AI1" s="225"/>
      <c r="AJ1" s="225"/>
      <c r="AK1" s="225"/>
      <c r="AL1" s="225"/>
      <c r="AM1" s="225"/>
      <c r="AN1" s="225"/>
      <c r="AO1" s="225"/>
      <c r="AP1" s="225"/>
      <c r="AQ1" s="225"/>
      <c r="AR1" s="2422"/>
      <c r="AS1" s="225">
        <f ca="1">Dren_Quantificacao!AQ1</f>
        <v>40</v>
      </c>
      <c r="AT1" s="225">
        <f ca="1">Dren_Quantificacao!AR1</f>
        <v>41</v>
      </c>
      <c r="AU1" s="225">
        <f ca="1">Dren_Quantificacao!AS1</f>
        <v>42</v>
      </c>
      <c r="AV1" s="225">
        <f ca="1">Dren_Quantificacao!AT1</f>
        <v>43</v>
      </c>
      <c r="AW1" s="225">
        <f ca="1">Dren_Quantificacao!AU1</f>
        <v>44</v>
      </c>
      <c r="AX1" s="225" t="str">
        <f>Dren_Quantificacao!AW1</f>
        <v>RAMAL CONCRETO Ø 0,40 (m) SOLO baixa inter.</v>
      </c>
      <c r="AY1" s="225" t="str">
        <f>Dren_Quantificacao!AX1</f>
        <v>RAMAL CONCRETO Ø 0,40 (m) SOLO alta inter.</v>
      </c>
      <c r="AZ1" s="225" t="str">
        <f>Dren_Quantificacao!AY1</f>
        <v>RAMAL CONCRETO Ø 0,60 (m) SOLO baixa inter.</v>
      </c>
      <c r="BA1" s="225" t="str">
        <f>Dren_Quantificacao!AZ1</f>
        <v>RAMAL CONCRETO Ø 0,60 (m) SOLO alta inter.</v>
      </c>
      <c r="BB1" s="225" t="str">
        <f>Dren_Quantificacao!BA1</f>
        <v>RAMAL CONCRETO Ø 0,40 (m) ROCHA</v>
      </c>
      <c r="BC1" s="225" t="str">
        <f>+Dren_Quantificacao!BB1</f>
        <v>RAMAL CONCRETO Ø 0,60 (m) ROCHA</v>
      </c>
      <c r="BD1" s="225" t="str">
        <f>+Dren_Quantificacao!BC1</f>
        <v>RAMAL PEAD Ø 0,40 (m) SOLO baixa inter.</v>
      </c>
      <c r="BE1" s="225" t="str">
        <f>+Dren_Quantificacao!BD1</f>
        <v>RAMAL PEAD Ø 0,40 (m) SOLO alta inter.</v>
      </c>
      <c r="BF1" s="225" t="str">
        <f>+Dren_Quantificacao!BE1</f>
        <v>RAMAL PEAD Ø 0,50 (m) SOLO baixa inter.</v>
      </c>
      <c r="BG1" s="225" t="str">
        <f>+Dren_Quantificacao!BF1</f>
        <v>RAMAL PEAD Ø 0,50 (m) SOLO alta inter.</v>
      </c>
      <c r="BH1" s="225" t="str">
        <f>+Dren_Quantificacao!BG1</f>
        <v>RAMAL PEAD Ø 0,40 (m) ROCHA</v>
      </c>
      <c r="BI1" s="225" t="str">
        <f>+Dren_Quantificacao!BH1</f>
        <v>RAMAL PEAD Ø 0,50 (m) ROCHA</v>
      </c>
      <c r="BJ1" s="225" t="s">
        <v>143</v>
      </c>
      <c r="BK1" s="225" t="s">
        <v>143</v>
      </c>
      <c r="BL1" s="225" t="s">
        <v>143</v>
      </c>
      <c r="BM1" s="367" t="s">
        <v>0</v>
      </c>
      <c r="BN1" s="578" t="s">
        <v>1359</v>
      </c>
      <c r="BO1" s="1086"/>
      <c r="BP1" s="1086"/>
      <c r="BQ1" s="1086"/>
      <c r="BR1" s="1086"/>
      <c r="BS1" s="1086"/>
      <c r="BT1" s="1086"/>
      <c r="BU1" s="1086"/>
      <c r="BV1" s="1086"/>
      <c r="BW1" s="1086"/>
      <c r="BX1" s="1086"/>
      <c r="BY1" s="1086"/>
      <c r="BZ1" s="1086"/>
    </row>
    <row r="2" spans="1:78" ht="21.95" customHeight="1" thickTop="1" thickBot="1" x14ac:dyDescent="0.2">
      <c r="A2" s="2596"/>
      <c r="B2" s="2656" t="s">
        <v>3</v>
      </c>
      <c r="C2" s="2657"/>
      <c r="D2" s="1999"/>
      <c r="E2" s="1357"/>
      <c r="F2" s="1150">
        <f>Dren_Quantificacao!D3</f>
        <v>0</v>
      </c>
      <c r="G2" s="1150">
        <f ca="1">Dren_Quantificacao!E3</f>
        <v>72.02</v>
      </c>
      <c r="H2" s="1150">
        <f ca="1">Dren_Quantificacao!F3</f>
        <v>59.18</v>
      </c>
      <c r="I2" s="1150">
        <f ca="1">Dren_Quantificacao!G3</f>
        <v>59.18</v>
      </c>
      <c r="J2" s="1150"/>
      <c r="K2" s="1150"/>
      <c r="L2" s="1150"/>
      <c r="M2" s="1150"/>
      <c r="N2" s="2437"/>
      <c r="O2" s="1150">
        <f ca="1">Dren_Quantificacao!M3</f>
        <v>66.88</v>
      </c>
      <c r="P2" s="1150">
        <f ca="1">Dren_Quantificacao!N3</f>
        <v>87.75</v>
      </c>
      <c r="Q2" s="1150">
        <f ca="1">Dren_Quantificacao!O3</f>
        <v>89.12</v>
      </c>
      <c r="R2" s="1150">
        <f ca="1">Dren_Quantificacao!P3</f>
        <v>91.12</v>
      </c>
      <c r="S2" s="1150">
        <f ca="1">Dren_Quantificacao!Q3</f>
        <v>87.12</v>
      </c>
      <c r="T2" s="1150">
        <f ca="1">Dren_Quantificacao!R3</f>
        <v>94.76</v>
      </c>
      <c r="U2" s="1150">
        <f ca="1">Dren_Quantificacao!S3</f>
        <v>94.76</v>
      </c>
      <c r="V2" s="1150">
        <f ca="1">Dren_Quantificacao!T3</f>
        <v>54.76</v>
      </c>
      <c r="W2" s="1150"/>
      <c r="X2" s="2437"/>
      <c r="Y2" s="1150">
        <f ca="1">Dren_Quantificacao!W3</f>
        <v>72.03</v>
      </c>
      <c r="Z2" s="1150">
        <f ca="1">Dren_Quantificacao!X3</f>
        <v>94.68</v>
      </c>
      <c r="AA2" s="1150">
        <f ca="1">Dren_Quantificacao!Y3</f>
        <v>94.68</v>
      </c>
      <c r="AB2" s="1150">
        <f ca="1">Dren_Quantificacao!Z3</f>
        <v>94.68</v>
      </c>
      <c r="AC2" s="1150">
        <f ca="1">Dren_Quantificacao!AA3</f>
        <v>72.12</v>
      </c>
      <c r="AD2" s="1150">
        <f ca="1">Dren_Quantificacao!AB3</f>
        <v>72.05</v>
      </c>
      <c r="AE2" s="1150">
        <f ca="1">Dren_Quantificacao!AC3</f>
        <v>72.3</v>
      </c>
      <c r="AF2" s="1150">
        <f ca="1">Dren_Quantificacao!AD3</f>
        <v>84.78</v>
      </c>
      <c r="AG2" s="1150">
        <f ca="1">Dren_Quantificacao!AE3</f>
        <v>92.19</v>
      </c>
      <c r="AH2" s="1150">
        <f ca="1">Dren_Quantificacao!AF3</f>
        <v>92.19</v>
      </c>
      <c r="AI2" s="1150"/>
      <c r="AJ2" s="1150"/>
      <c r="AK2" s="1150"/>
      <c r="AL2" s="1150"/>
      <c r="AM2" s="1150"/>
      <c r="AN2" s="1150"/>
      <c r="AO2" s="1150"/>
      <c r="AP2" s="1150"/>
      <c r="AQ2" s="1150"/>
      <c r="AR2" s="2437"/>
      <c r="AS2" s="1150">
        <f ca="1">Dren_Quantificacao!AQ3</f>
        <v>72.22</v>
      </c>
      <c r="AT2" s="1150">
        <f ca="1">Dren_Quantificacao!AR3</f>
        <v>72.040000000000006</v>
      </c>
      <c r="AU2" s="1150">
        <f ca="1">Dren_Quantificacao!AS3</f>
        <v>72.02</v>
      </c>
      <c r="AV2" s="1150">
        <f ca="1">Dren_Quantificacao!AT3</f>
        <v>72.010000000000005</v>
      </c>
      <c r="AW2" s="1150">
        <f ca="1">Dren_Quantificacao!AU3</f>
        <v>72.23</v>
      </c>
      <c r="AX2" s="1150">
        <f>Dren_Quantificacao!AW3</f>
        <v>0</v>
      </c>
      <c r="AY2" s="1150">
        <f>Dren_Quantificacao!AX3</f>
        <v>802</v>
      </c>
      <c r="AZ2" s="1150">
        <f>Dren_Quantificacao!AY3</f>
        <v>0</v>
      </c>
      <c r="BA2" s="1150">
        <f>Dren_Quantificacao!AZ3</f>
        <v>66</v>
      </c>
      <c r="BB2" s="1150">
        <f>Dren_Quantificacao!BA3</f>
        <v>0</v>
      </c>
      <c r="BC2" s="1150">
        <f>Dren_Quantificacao!BB3</f>
        <v>0</v>
      </c>
      <c r="BD2" s="1150">
        <f>Dren_Quantificacao!BC3</f>
        <v>0</v>
      </c>
      <c r="BE2" s="1150">
        <f>Dren_Quantificacao!BD3</f>
        <v>0</v>
      </c>
      <c r="BF2" s="1150">
        <f>Dren_Quantificacao!BE3</f>
        <v>0</v>
      </c>
      <c r="BG2" s="1150">
        <f>Dren_Quantificacao!BF3</f>
        <v>0</v>
      </c>
      <c r="BH2" s="1150">
        <f>Dren_Quantificacao!BG3</f>
        <v>0</v>
      </c>
      <c r="BI2" s="1150">
        <f>Dren_Quantificacao!BH3</f>
        <v>0</v>
      </c>
      <c r="BJ2" s="1150"/>
      <c r="BK2" s="1150"/>
      <c r="BL2" s="1150"/>
      <c r="BM2" s="1151">
        <f ca="1">TRUNC(SUM(F2:BL2),2)</f>
        <v>2926.87</v>
      </c>
      <c r="BN2" s="579">
        <f t="shared" ref="BN2:BN27" ca="1" si="0">SUM(F2:BM2)</f>
        <v>5853.74</v>
      </c>
    </row>
    <row r="3" spans="1:78" s="14" customFormat="1" ht="21.95" customHeight="1" x14ac:dyDescent="0.15">
      <c r="A3" s="2596"/>
      <c r="B3" s="2658" t="s">
        <v>4</v>
      </c>
      <c r="C3" s="552" t="s">
        <v>41</v>
      </c>
      <c r="D3" s="2000"/>
      <c r="E3" s="1518"/>
      <c r="F3" s="228">
        <f>Dren_Quantificacao!D4</f>
        <v>0</v>
      </c>
      <c r="G3" s="228">
        <f ca="1">Dren_Quantificacao!E4</f>
        <v>1</v>
      </c>
      <c r="H3" s="228">
        <f ca="1">Dren_Quantificacao!F4</f>
        <v>1</v>
      </c>
      <c r="I3" s="228">
        <f ca="1">Dren_Quantificacao!G4</f>
        <v>1</v>
      </c>
      <c r="J3" s="228"/>
      <c r="K3" s="228"/>
      <c r="L3" s="228"/>
      <c r="M3" s="228"/>
      <c r="N3" s="2424"/>
      <c r="O3" s="228">
        <f ca="1">Dren_Quantificacao!M4</f>
        <v>1</v>
      </c>
      <c r="P3" s="228">
        <f ca="1">Dren_Quantificacao!N4</f>
        <v>1</v>
      </c>
      <c r="Q3" s="228">
        <f ca="1">Dren_Quantificacao!O4</f>
        <v>1</v>
      </c>
      <c r="R3" s="228">
        <f ca="1">Dren_Quantificacao!P4</f>
        <v>1</v>
      </c>
      <c r="S3" s="228">
        <f ca="1">Dren_Quantificacao!Q4</f>
        <v>1</v>
      </c>
      <c r="T3" s="228">
        <f ca="1">Dren_Quantificacao!R4</f>
        <v>1</v>
      </c>
      <c r="U3" s="228">
        <f ca="1">Dren_Quantificacao!S4</f>
        <v>1</v>
      </c>
      <c r="V3" s="228">
        <f ca="1">Dren_Quantificacao!T4</f>
        <v>1</v>
      </c>
      <c r="W3" s="228"/>
      <c r="X3" s="2424"/>
      <c r="Y3" s="228">
        <f ca="1">Dren_Quantificacao!W4</f>
        <v>1</v>
      </c>
      <c r="Z3" s="228">
        <f ca="1">Dren_Quantificacao!X4</f>
        <v>1</v>
      </c>
      <c r="AA3" s="228">
        <f ca="1">Dren_Quantificacao!Y4</f>
        <v>1</v>
      </c>
      <c r="AB3" s="228">
        <f ca="1">Dren_Quantificacao!Z4</f>
        <v>1</v>
      </c>
      <c r="AC3" s="228">
        <f ca="1">Dren_Quantificacao!AA4</f>
        <v>1</v>
      </c>
      <c r="AD3" s="228">
        <f ca="1">Dren_Quantificacao!AB4</f>
        <v>1</v>
      </c>
      <c r="AE3" s="228">
        <f ca="1">Dren_Quantificacao!AC4</f>
        <v>1</v>
      </c>
      <c r="AF3" s="228">
        <f ca="1">Dren_Quantificacao!AD4</f>
        <v>1</v>
      </c>
      <c r="AG3" s="228">
        <f ca="1">Dren_Quantificacao!AE4</f>
        <v>1</v>
      </c>
      <c r="AH3" s="228">
        <f ca="1">Dren_Quantificacao!AF4</f>
        <v>1</v>
      </c>
      <c r="AI3" s="228"/>
      <c r="AJ3" s="228"/>
      <c r="AK3" s="228"/>
      <c r="AL3" s="228"/>
      <c r="AM3" s="228"/>
      <c r="AN3" s="228"/>
      <c r="AO3" s="228"/>
      <c r="AP3" s="228"/>
      <c r="AQ3" s="228"/>
      <c r="AR3" s="2424"/>
      <c r="AS3" s="228">
        <f ca="1">Dren_Quantificacao!AQ4</f>
        <v>1</v>
      </c>
      <c r="AT3" s="228">
        <f ca="1">Dren_Quantificacao!AR4</f>
        <v>1</v>
      </c>
      <c r="AU3" s="228">
        <f ca="1">Dren_Quantificacao!AS4</f>
        <v>1</v>
      </c>
      <c r="AV3" s="228">
        <f ca="1">Dren_Quantificacao!AT4</f>
        <v>1</v>
      </c>
      <c r="AW3" s="228">
        <f ca="1">Dren_Quantificacao!AU4</f>
        <v>1</v>
      </c>
      <c r="AX3" s="228">
        <f>Dren_Quantificacao!AW4</f>
        <v>1</v>
      </c>
      <c r="AY3" s="228">
        <f>Dren_Quantificacao!AX4</f>
        <v>1</v>
      </c>
      <c r="AZ3" s="228">
        <f>Dren_Quantificacao!AY4</f>
        <v>1</v>
      </c>
      <c r="BA3" s="228">
        <f>Dren_Quantificacao!AZ4</f>
        <v>1</v>
      </c>
      <c r="BB3" s="228">
        <f>Dren_Quantificacao!BA4</f>
        <v>1</v>
      </c>
      <c r="BC3" s="228">
        <f>Dren_Quantificacao!BB4</f>
        <v>1</v>
      </c>
      <c r="BD3" s="228">
        <f>Dren_Quantificacao!BC4</f>
        <v>1</v>
      </c>
      <c r="BE3" s="228">
        <f>Dren_Quantificacao!BD4</f>
        <v>1</v>
      </c>
      <c r="BF3" s="228">
        <f>Dren_Quantificacao!BE4</f>
        <v>1</v>
      </c>
      <c r="BG3" s="228">
        <f>Dren_Quantificacao!BF4</f>
        <v>1</v>
      </c>
      <c r="BH3" s="228">
        <f>Dren_Quantificacao!BG4</f>
        <v>1</v>
      </c>
      <c r="BI3" s="228">
        <f>Dren_Quantificacao!BH4</f>
        <v>1</v>
      </c>
      <c r="BJ3" s="229"/>
      <c r="BK3" s="229"/>
      <c r="BL3" s="229"/>
      <c r="BM3" s="354"/>
      <c r="BN3" s="579">
        <f t="shared" ca="1" si="0"/>
        <v>38</v>
      </c>
      <c r="BO3" s="1088"/>
      <c r="BP3" s="1088"/>
      <c r="BQ3" s="1088"/>
      <c r="BR3" s="1088"/>
      <c r="BS3" s="1088"/>
      <c r="BT3" s="1088"/>
      <c r="BU3" s="1088"/>
      <c r="BV3" s="1088"/>
      <c r="BW3" s="1088"/>
      <c r="BX3" s="1088"/>
      <c r="BY3" s="1088"/>
      <c r="BZ3" s="1088"/>
    </row>
    <row r="4" spans="1:78" ht="21.95" customHeight="1" x14ac:dyDescent="0.15">
      <c r="A4" s="2596"/>
      <c r="B4" s="2659"/>
      <c r="C4" s="567" t="s">
        <v>71</v>
      </c>
      <c r="D4" s="2001"/>
      <c r="E4" s="1358"/>
      <c r="F4" s="134">
        <f>Dren_Quantificacao!D5</f>
        <v>0</v>
      </c>
      <c r="G4" s="134">
        <f ca="1">Dren_Quantificacao!E5</f>
        <v>0.6</v>
      </c>
      <c r="H4" s="134">
        <f ca="1">Dren_Quantificacao!F5</f>
        <v>0.6</v>
      </c>
      <c r="I4" s="134">
        <f ca="1">Dren_Quantificacao!G5</f>
        <v>0.6</v>
      </c>
      <c r="J4" s="134"/>
      <c r="K4" s="134"/>
      <c r="L4" s="134"/>
      <c r="M4" s="134"/>
      <c r="N4" s="2406"/>
      <c r="O4" s="134">
        <f ca="1">Dren_Quantificacao!M5</f>
        <v>0.6</v>
      </c>
      <c r="P4" s="134">
        <f ca="1">Dren_Quantificacao!N5</f>
        <v>0.6</v>
      </c>
      <c r="Q4" s="134">
        <f ca="1">Dren_Quantificacao!O5</f>
        <v>0.6</v>
      </c>
      <c r="R4" s="134">
        <f ca="1">Dren_Quantificacao!P5</f>
        <v>0.6</v>
      </c>
      <c r="S4" s="134">
        <f ca="1">Dren_Quantificacao!Q5</f>
        <v>0.6</v>
      </c>
      <c r="T4" s="134">
        <f ca="1">Dren_Quantificacao!R5</f>
        <v>1</v>
      </c>
      <c r="U4" s="134">
        <f ca="1">Dren_Quantificacao!S5</f>
        <v>1</v>
      </c>
      <c r="V4" s="134">
        <f ca="1">Dren_Quantificacao!T5</f>
        <v>1</v>
      </c>
      <c r="W4" s="134"/>
      <c r="X4" s="2406"/>
      <c r="Y4" s="134">
        <f ca="1">Dren_Quantificacao!W5</f>
        <v>0.8</v>
      </c>
      <c r="Z4" s="134">
        <f ca="1">Dren_Quantificacao!X5</f>
        <v>0.6</v>
      </c>
      <c r="AA4" s="134">
        <f ca="1">Dren_Quantificacao!Y5</f>
        <v>0.6</v>
      </c>
      <c r="AB4" s="134">
        <f ca="1">Dren_Quantificacao!Z5</f>
        <v>0.6</v>
      </c>
      <c r="AC4" s="134">
        <f ca="1">Dren_Quantificacao!AA5</f>
        <v>0.8</v>
      </c>
      <c r="AD4" s="134">
        <f ca="1">Dren_Quantificacao!AB5</f>
        <v>0.8</v>
      </c>
      <c r="AE4" s="134">
        <f ca="1">Dren_Quantificacao!AC5</f>
        <v>0.8</v>
      </c>
      <c r="AF4" s="134">
        <f ca="1">Dren_Quantificacao!AD5</f>
        <v>1</v>
      </c>
      <c r="AG4" s="134">
        <f ca="1">Dren_Quantificacao!AE5</f>
        <v>1</v>
      </c>
      <c r="AH4" s="134">
        <f ca="1">Dren_Quantificacao!AF5</f>
        <v>1</v>
      </c>
      <c r="AI4" s="134"/>
      <c r="AJ4" s="134"/>
      <c r="AK4" s="134"/>
      <c r="AL4" s="134"/>
      <c r="AM4" s="134"/>
      <c r="AN4" s="134"/>
      <c r="AO4" s="134"/>
      <c r="AP4" s="134"/>
      <c r="AQ4" s="134"/>
      <c r="AR4" s="2406"/>
      <c r="AS4" s="134">
        <f ca="1">Dren_Quantificacao!AQ5</f>
        <v>0.6</v>
      </c>
      <c r="AT4" s="134">
        <f ca="1">Dren_Quantificacao!AR5</f>
        <v>0.8</v>
      </c>
      <c r="AU4" s="134">
        <f ca="1">Dren_Quantificacao!AS5</f>
        <v>0.8</v>
      </c>
      <c r="AV4" s="134">
        <f ca="1">Dren_Quantificacao!AT5</f>
        <v>0.8</v>
      </c>
      <c r="AW4" s="134">
        <f ca="1">Dren_Quantificacao!AU5</f>
        <v>1</v>
      </c>
      <c r="AX4" s="134">
        <f>Dren_Quantificacao!AW5</f>
        <v>0.4</v>
      </c>
      <c r="AY4" s="134">
        <f>Dren_Quantificacao!AX5</f>
        <v>0.4</v>
      </c>
      <c r="AZ4" s="134">
        <f>Dren_Quantificacao!AY5</f>
        <v>0.6</v>
      </c>
      <c r="BA4" s="134">
        <f>Dren_Quantificacao!AZ5</f>
        <v>0.6</v>
      </c>
      <c r="BB4" s="134">
        <f>Dren_Quantificacao!BA5</f>
        <v>0.4</v>
      </c>
      <c r="BC4" s="134">
        <f>Dren_Quantificacao!BB5</f>
        <v>0.6</v>
      </c>
      <c r="BD4" s="134">
        <f>Dren_Quantificacao!BC5</f>
        <v>0.4</v>
      </c>
      <c r="BE4" s="134">
        <f>Dren_Quantificacao!BD5</f>
        <v>0.4</v>
      </c>
      <c r="BF4" s="134">
        <f>Dren_Quantificacao!BE5</f>
        <v>0.5</v>
      </c>
      <c r="BG4" s="134">
        <f>Dren_Quantificacao!BF5</f>
        <v>0.5</v>
      </c>
      <c r="BH4" s="134">
        <f>Dren_Quantificacao!BG5</f>
        <v>0.4</v>
      </c>
      <c r="BI4" s="134">
        <f>Dren_Quantificacao!BH5</f>
        <v>0.5</v>
      </c>
      <c r="BJ4" s="11"/>
      <c r="BK4" s="11"/>
      <c r="BL4" s="11"/>
      <c r="BM4" s="348"/>
      <c r="BN4" s="579">
        <f t="shared" ca="1" si="0"/>
        <v>25.5</v>
      </c>
    </row>
    <row r="5" spans="1:78" ht="21.95" customHeight="1" thickBot="1" x14ac:dyDescent="0.2">
      <c r="A5" s="2596"/>
      <c r="B5" s="2660"/>
      <c r="C5" s="566" t="s">
        <v>917</v>
      </c>
      <c r="D5" s="2002"/>
      <c r="E5" s="564"/>
      <c r="F5" s="231">
        <f>Dren_Quantificacao!D9</f>
        <v>0</v>
      </c>
      <c r="G5" s="231" t="str">
        <f ca="1">Dren_Quantificacao!E9</f>
        <v>PS-1</v>
      </c>
      <c r="H5" s="231" t="str">
        <f ca="1">Dren_Quantificacao!F9</f>
        <v>PS-1</v>
      </c>
      <c r="I5" s="231" t="str">
        <f ca="1">Dren_Quantificacao!G9</f>
        <v>PS-1</v>
      </c>
      <c r="J5" s="231"/>
      <c r="K5" s="231"/>
      <c r="L5" s="231"/>
      <c r="M5" s="231"/>
      <c r="N5" s="2438"/>
      <c r="O5" s="231" t="str">
        <f ca="1">Dren_Quantificacao!M9</f>
        <v>PS-1</v>
      </c>
      <c r="P5" s="231" t="str">
        <f ca="1">Dren_Quantificacao!N9</f>
        <v>PS-1</v>
      </c>
      <c r="Q5" s="231" t="str">
        <f ca="1">Dren_Quantificacao!O9</f>
        <v>PS-1</v>
      </c>
      <c r="R5" s="231" t="str">
        <f ca="1">Dren_Quantificacao!P9</f>
        <v>PS-1</v>
      </c>
      <c r="S5" s="231" t="str">
        <f ca="1">Dren_Quantificacao!Q9</f>
        <v>PS-1</v>
      </c>
      <c r="T5" s="231" t="str">
        <f ca="1">Dren_Quantificacao!R9</f>
        <v>PA-1</v>
      </c>
      <c r="U5" s="231" t="str">
        <f ca="1">Dren_Quantificacao!S9</f>
        <v>PA-1</v>
      </c>
      <c r="V5" s="231" t="str">
        <f ca="1">Dren_Quantificacao!T9</f>
        <v>PA-1</v>
      </c>
      <c r="W5" s="231"/>
      <c r="X5" s="2438"/>
      <c r="Y5" s="231" t="str">
        <f ca="1">Dren_Quantificacao!W9</f>
        <v>PA-1</v>
      </c>
      <c r="Z5" s="231" t="str">
        <f ca="1">Dren_Quantificacao!X9</f>
        <v>PS-1</v>
      </c>
      <c r="AA5" s="231" t="str">
        <f ca="1">Dren_Quantificacao!Y9</f>
        <v>PS-1</v>
      </c>
      <c r="AB5" s="231" t="str">
        <f ca="1">Dren_Quantificacao!Z9</f>
        <v>PS-1</v>
      </c>
      <c r="AC5" s="231" t="str">
        <f ca="1">Dren_Quantificacao!AA9</f>
        <v>PA-1</v>
      </c>
      <c r="AD5" s="231" t="str">
        <f ca="1">Dren_Quantificacao!AB9</f>
        <v>PA-1</v>
      </c>
      <c r="AE5" s="231" t="str">
        <f ca="1">Dren_Quantificacao!AC9</f>
        <v>PA-1</v>
      </c>
      <c r="AF5" s="231" t="str">
        <f ca="1">Dren_Quantificacao!AD9</f>
        <v>PA-1</v>
      </c>
      <c r="AG5" s="231" t="str">
        <f ca="1">Dren_Quantificacao!AE9</f>
        <v>PA-1</v>
      </c>
      <c r="AH5" s="231" t="str">
        <f ca="1">Dren_Quantificacao!AF9</f>
        <v>PA-1</v>
      </c>
      <c r="AI5" s="231"/>
      <c r="AJ5" s="231"/>
      <c r="AK5" s="231"/>
      <c r="AL5" s="231"/>
      <c r="AM5" s="231"/>
      <c r="AN5" s="231"/>
      <c r="AO5" s="231"/>
      <c r="AP5" s="231"/>
      <c r="AQ5" s="231"/>
      <c r="AR5" s="2438"/>
      <c r="AS5" s="231" t="str">
        <f ca="1">Dren_Quantificacao!AQ9</f>
        <v>PS-1</v>
      </c>
      <c r="AT5" s="231" t="str">
        <f ca="1">Dren_Quantificacao!AR9</f>
        <v>PA-1</v>
      </c>
      <c r="AU5" s="231" t="str">
        <f ca="1">Dren_Quantificacao!AS9</f>
        <v>PA-1</v>
      </c>
      <c r="AV5" s="231" t="str">
        <f ca="1">Dren_Quantificacao!AT9</f>
        <v>PA-1</v>
      </c>
      <c r="AW5" s="231" t="str">
        <f ca="1">Dren_Quantificacao!AU9</f>
        <v>PA-1</v>
      </c>
      <c r="AX5" s="231" t="str">
        <f>Dren_Quantificacao!AW9</f>
        <v>PS-1</v>
      </c>
      <c r="AY5" s="231" t="str">
        <f>Dren_Quantificacao!AX9</f>
        <v>PS-1</v>
      </c>
      <c r="AZ5" s="231" t="str">
        <f>Dren_Quantificacao!AY9</f>
        <v>PS-1</v>
      </c>
      <c r="BA5" s="231" t="str">
        <f>Dren_Quantificacao!AZ9</f>
        <v>PS-1</v>
      </c>
      <c r="BB5" s="231" t="str">
        <f>Dren_Quantificacao!BA9</f>
        <v>PS-1</v>
      </c>
      <c r="BC5" s="231" t="str">
        <f>Dren_Quantificacao!BB9</f>
        <v>PS-1</v>
      </c>
      <c r="BD5" s="231" t="str">
        <f>Dren_Quantificacao!BC9</f>
        <v>PEAD</v>
      </c>
      <c r="BE5" s="231" t="str">
        <f>Dren_Quantificacao!BD9</f>
        <v>PEAD</v>
      </c>
      <c r="BF5" s="231" t="str">
        <f>Dren_Quantificacao!BE9</f>
        <v>PEAD</v>
      </c>
      <c r="BG5" s="231" t="str">
        <f>Dren_Quantificacao!BF9</f>
        <v>PEAD</v>
      </c>
      <c r="BH5" s="231" t="str">
        <f>Dren_Quantificacao!BG9</f>
        <v>PEAD</v>
      </c>
      <c r="BI5" s="231" t="str">
        <f>Dren_Quantificacao!BH9</f>
        <v>PEAD</v>
      </c>
      <c r="BJ5" s="232"/>
      <c r="BK5" s="232"/>
      <c r="BL5" s="232"/>
      <c r="BM5" s="797">
        <f ca="1">+COUNTA(F5:BI5)</f>
        <v>39</v>
      </c>
      <c r="BN5" s="579">
        <f t="shared" ca="1" si="0"/>
        <v>39</v>
      </c>
    </row>
    <row r="6" spans="1:78" ht="21.95" hidden="1" customHeight="1" x14ac:dyDescent="0.15">
      <c r="A6" s="2596"/>
      <c r="B6" s="2661" t="s">
        <v>209</v>
      </c>
      <c r="C6" s="2662"/>
      <c r="D6" s="2001"/>
      <c r="E6" s="1358"/>
      <c r="F6" s="134">
        <f>Dren_Quantificacao!D7</f>
        <v>0</v>
      </c>
      <c r="G6" s="134">
        <f ca="1">Dren_Quantificacao!E7</f>
        <v>0</v>
      </c>
      <c r="H6" s="134">
        <f ca="1">Dren_Quantificacao!F7</f>
        <v>0</v>
      </c>
      <c r="I6" s="134">
        <f ca="1">Dren_Quantificacao!G7</f>
        <v>0</v>
      </c>
      <c r="J6" s="134"/>
      <c r="K6" s="134"/>
      <c r="L6" s="134"/>
      <c r="M6" s="134"/>
      <c r="N6" s="2406"/>
      <c r="O6" s="134">
        <f ca="1">Dren_Quantificacao!M7</f>
        <v>0</v>
      </c>
      <c r="P6" s="134">
        <f ca="1">Dren_Quantificacao!N7</f>
        <v>0</v>
      </c>
      <c r="Q6" s="134">
        <f ca="1">Dren_Quantificacao!O7</f>
        <v>0</v>
      </c>
      <c r="R6" s="134">
        <f ca="1">Dren_Quantificacao!P7</f>
        <v>0</v>
      </c>
      <c r="S6" s="134">
        <f ca="1">Dren_Quantificacao!Q7</f>
        <v>0</v>
      </c>
      <c r="T6" s="134">
        <f ca="1">Dren_Quantificacao!R7</f>
        <v>0</v>
      </c>
      <c r="U6" s="134">
        <f ca="1">Dren_Quantificacao!S7</f>
        <v>0</v>
      </c>
      <c r="V6" s="134">
        <f ca="1">Dren_Quantificacao!T7</f>
        <v>0</v>
      </c>
      <c r="W6" s="134"/>
      <c r="X6" s="2406"/>
      <c r="Y6" s="134">
        <f ca="1">Dren_Quantificacao!W7</f>
        <v>0</v>
      </c>
      <c r="Z6" s="134">
        <f ca="1">Dren_Quantificacao!X7</f>
        <v>0</v>
      </c>
      <c r="AA6" s="134">
        <f ca="1">Dren_Quantificacao!Y7</f>
        <v>0</v>
      </c>
      <c r="AB6" s="134">
        <f ca="1">Dren_Quantificacao!Z7</f>
        <v>0</v>
      </c>
      <c r="AC6" s="134">
        <f ca="1">Dren_Quantificacao!AA7</f>
        <v>0</v>
      </c>
      <c r="AD6" s="134">
        <f ca="1">Dren_Quantificacao!AB7</f>
        <v>0</v>
      </c>
      <c r="AE6" s="134">
        <f ca="1">Dren_Quantificacao!AC7</f>
        <v>0</v>
      </c>
      <c r="AF6" s="134">
        <f ca="1">Dren_Quantificacao!AD7</f>
        <v>0</v>
      </c>
      <c r="AG6" s="134">
        <f ca="1">Dren_Quantificacao!AE7</f>
        <v>0</v>
      </c>
      <c r="AH6" s="134">
        <f ca="1">Dren_Quantificacao!AF7</f>
        <v>0</v>
      </c>
      <c r="AI6" s="134"/>
      <c r="AJ6" s="134"/>
      <c r="AK6" s="134"/>
      <c r="AL6" s="134"/>
      <c r="AM6" s="134"/>
      <c r="AN6" s="134"/>
      <c r="AO6" s="134"/>
      <c r="AP6" s="134"/>
      <c r="AQ6" s="134"/>
      <c r="AR6" s="2406"/>
      <c r="AS6" s="134">
        <f ca="1">Dren_Quantificacao!AQ7</f>
        <v>0</v>
      </c>
      <c r="AT6" s="134">
        <f ca="1">Dren_Quantificacao!AR7</f>
        <v>0</v>
      </c>
      <c r="AU6" s="134">
        <f ca="1">Dren_Quantificacao!AS7</f>
        <v>0</v>
      </c>
      <c r="AV6" s="134">
        <f ca="1">Dren_Quantificacao!AT7</f>
        <v>0</v>
      </c>
      <c r="AW6" s="134">
        <f ca="1">Dren_Quantificacao!AU7</f>
        <v>0</v>
      </c>
      <c r="AX6" s="134">
        <f>Dren_Quantificacao!AW7</f>
        <v>0</v>
      </c>
      <c r="AY6" s="134">
        <f>Dren_Quantificacao!AX7</f>
        <v>0</v>
      </c>
      <c r="AZ6" s="134">
        <f>Dren_Quantificacao!AY7</f>
        <v>0</v>
      </c>
      <c r="BA6" s="134">
        <f>Dren_Quantificacao!AZ7</f>
        <v>0</v>
      </c>
      <c r="BB6" s="134">
        <f>Dren_Quantificacao!BA7</f>
        <v>0</v>
      </c>
      <c r="BC6" s="134">
        <f>Dren_Quantificacao!BB7</f>
        <v>0</v>
      </c>
      <c r="BD6" s="134">
        <f>Dren_Quantificacao!BC7</f>
        <v>0</v>
      </c>
      <c r="BE6" s="134">
        <f>Dren_Quantificacao!BD7</f>
        <v>0</v>
      </c>
      <c r="BF6" s="134">
        <f>Dren_Quantificacao!BE7</f>
        <v>0</v>
      </c>
      <c r="BG6" s="134">
        <f>Dren_Quantificacao!BF7</f>
        <v>0</v>
      </c>
      <c r="BH6" s="134">
        <f>Dren_Quantificacao!BG7</f>
        <v>0</v>
      </c>
      <c r="BI6" s="134">
        <f>Dren_Quantificacao!BH7</f>
        <v>0</v>
      </c>
      <c r="BJ6" s="160"/>
      <c r="BK6" s="160"/>
      <c r="BL6" s="160"/>
      <c r="BM6" s="419"/>
      <c r="BN6" s="579">
        <f t="shared" ca="1" si="0"/>
        <v>0</v>
      </c>
    </row>
    <row r="7" spans="1:78" ht="21.95" hidden="1" customHeight="1" thickBot="1" x14ac:dyDescent="0.2">
      <c r="A7" s="2596"/>
      <c r="B7" s="2663" t="s">
        <v>210</v>
      </c>
      <c r="C7" s="2664"/>
      <c r="D7" s="2002"/>
      <c r="E7" s="564"/>
      <c r="F7" s="233">
        <f>Dren_Quantificacao!D8</f>
        <v>0</v>
      </c>
      <c r="G7" s="233">
        <f ca="1">Dren_Quantificacao!E8</f>
        <v>0</v>
      </c>
      <c r="H7" s="233">
        <f ca="1">Dren_Quantificacao!F8</f>
        <v>0</v>
      </c>
      <c r="I7" s="233">
        <f ca="1">Dren_Quantificacao!G8</f>
        <v>0</v>
      </c>
      <c r="J7" s="233"/>
      <c r="K7" s="233"/>
      <c r="L7" s="233"/>
      <c r="M7" s="233"/>
      <c r="N7" s="2425"/>
      <c r="O7" s="233">
        <f ca="1">Dren_Quantificacao!M8</f>
        <v>0</v>
      </c>
      <c r="P7" s="233">
        <f ca="1">Dren_Quantificacao!N8</f>
        <v>0</v>
      </c>
      <c r="Q7" s="233">
        <f ca="1">Dren_Quantificacao!O8</f>
        <v>0</v>
      </c>
      <c r="R7" s="233">
        <f ca="1">Dren_Quantificacao!P8</f>
        <v>0</v>
      </c>
      <c r="S7" s="233">
        <f ca="1">Dren_Quantificacao!Q8</f>
        <v>0</v>
      </c>
      <c r="T7" s="233">
        <f ca="1">Dren_Quantificacao!R8</f>
        <v>0</v>
      </c>
      <c r="U7" s="233">
        <f ca="1">Dren_Quantificacao!S8</f>
        <v>0</v>
      </c>
      <c r="V7" s="233">
        <f ca="1">Dren_Quantificacao!T8</f>
        <v>0</v>
      </c>
      <c r="W7" s="233"/>
      <c r="X7" s="2425"/>
      <c r="Y7" s="233">
        <f ca="1">Dren_Quantificacao!W8</f>
        <v>0</v>
      </c>
      <c r="Z7" s="233">
        <f ca="1">Dren_Quantificacao!X8</f>
        <v>0</v>
      </c>
      <c r="AA7" s="233">
        <f ca="1">Dren_Quantificacao!Y8</f>
        <v>0</v>
      </c>
      <c r="AB7" s="233">
        <f ca="1">Dren_Quantificacao!Z8</f>
        <v>0</v>
      </c>
      <c r="AC7" s="233">
        <f ca="1">Dren_Quantificacao!AA8</f>
        <v>0</v>
      </c>
      <c r="AD7" s="233">
        <f ca="1">Dren_Quantificacao!AB8</f>
        <v>0</v>
      </c>
      <c r="AE7" s="233">
        <f ca="1">Dren_Quantificacao!AC8</f>
        <v>0</v>
      </c>
      <c r="AF7" s="233">
        <f ca="1">Dren_Quantificacao!AD8</f>
        <v>0</v>
      </c>
      <c r="AG7" s="233">
        <f ca="1">Dren_Quantificacao!AE8</f>
        <v>0</v>
      </c>
      <c r="AH7" s="233">
        <f ca="1">Dren_Quantificacao!AF8</f>
        <v>0</v>
      </c>
      <c r="AI7" s="233"/>
      <c r="AJ7" s="233"/>
      <c r="AK7" s="233"/>
      <c r="AL7" s="233"/>
      <c r="AM7" s="233"/>
      <c r="AN7" s="233"/>
      <c r="AO7" s="233"/>
      <c r="AP7" s="233"/>
      <c r="AQ7" s="233"/>
      <c r="AR7" s="2425"/>
      <c r="AS7" s="233">
        <f ca="1">Dren_Quantificacao!AQ8</f>
        <v>0</v>
      </c>
      <c r="AT7" s="233">
        <f ca="1">Dren_Quantificacao!AR8</f>
        <v>0</v>
      </c>
      <c r="AU7" s="233">
        <f ca="1">Dren_Quantificacao!AS8</f>
        <v>0</v>
      </c>
      <c r="AV7" s="233">
        <f ca="1">Dren_Quantificacao!AT8</f>
        <v>0</v>
      </c>
      <c r="AW7" s="233">
        <f ca="1">Dren_Quantificacao!AU8</f>
        <v>0</v>
      </c>
      <c r="AX7" s="233">
        <f>Dren_Quantificacao!AW8</f>
        <v>0</v>
      </c>
      <c r="AY7" s="233">
        <f>Dren_Quantificacao!AX8</f>
        <v>0</v>
      </c>
      <c r="AZ7" s="233">
        <f>Dren_Quantificacao!AY8</f>
        <v>0</v>
      </c>
      <c r="BA7" s="233">
        <f>Dren_Quantificacao!AZ8</f>
        <v>0</v>
      </c>
      <c r="BB7" s="233">
        <f>Dren_Quantificacao!BA8</f>
        <v>0</v>
      </c>
      <c r="BC7" s="233">
        <f>Dren_Quantificacao!BB8</f>
        <v>0</v>
      </c>
      <c r="BD7" s="233">
        <f>Dren_Quantificacao!BC8</f>
        <v>0</v>
      </c>
      <c r="BE7" s="233">
        <f>Dren_Quantificacao!BD8</f>
        <v>0</v>
      </c>
      <c r="BF7" s="233">
        <f>Dren_Quantificacao!BE8</f>
        <v>0</v>
      </c>
      <c r="BG7" s="233">
        <f>Dren_Quantificacao!BF8</f>
        <v>0</v>
      </c>
      <c r="BH7" s="233">
        <f>Dren_Quantificacao!BG8</f>
        <v>0</v>
      </c>
      <c r="BI7" s="233">
        <f>Dren_Quantificacao!BH8</f>
        <v>0</v>
      </c>
      <c r="BJ7" s="234"/>
      <c r="BK7" s="234"/>
      <c r="BL7" s="234"/>
      <c r="BM7" s="353"/>
      <c r="BN7" s="579">
        <f t="shared" ca="1" si="0"/>
        <v>0</v>
      </c>
    </row>
    <row r="8" spans="1:78" s="590" customFormat="1" ht="21.95" customHeight="1" x14ac:dyDescent="0.15">
      <c r="A8" s="2596"/>
      <c r="B8" s="2673" t="s">
        <v>309</v>
      </c>
      <c r="C8" s="930" t="s">
        <v>75</v>
      </c>
      <c r="D8" s="2003"/>
      <c r="E8" s="1520"/>
      <c r="F8" s="238">
        <f>IF(F2=0,0,Dren_Quantificacao!D10)</f>
        <v>0</v>
      </c>
      <c r="G8" s="238">
        <f ca="1">IF(G2=0,0,Dren_Quantificacao!E10)</f>
        <v>2.1000000000000227</v>
      </c>
      <c r="H8" s="238">
        <f ca="1">IF(H2=0,0,Dren_Quantificacao!F10)</f>
        <v>2.1203600000000051</v>
      </c>
      <c r="I8" s="238">
        <f ca="1">IF(I2=0,0,Dren_Quantificacao!G10)</f>
        <v>2.1070399999999836</v>
      </c>
      <c r="J8" s="238"/>
      <c r="K8" s="238"/>
      <c r="L8" s="238"/>
      <c r="M8" s="238"/>
      <c r="N8" s="2439"/>
      <c r="O8" s="238">
        <f ca="1">IF(O2=0,0,Dren_Quantificacao!M10)</f>
        <v>2.1000000000000227</v>
      </c>
      <c r="P8" s="238">
        <f ca="1">IF(P2=0,0,Dren_Quantificacao!N10)</f>
        <v>2.1008400000000051</v>
      </c>
      <c r="Q8" s="238">
        <f ca="1">IF(Q2=0,0,Dren_Quantificacao!O10)</f>
        <v>2.2045900000000529</v>
      </c>
      <c r="R8" s="238">
        <f ca="1">IF(R2=0,0,Dren_Quantificacao!P10)</f>
        <v>2.2407900000001177</v>
      </c>
      <c r="S8" s="238">
        <f ca="1">IF(S2=0,0,Dren_Quantificacao!Q10)</f>
        <v>2.2721900000001369</v>
      </c>
      <c r="T8" s="238">
        <f ca="1">IF(T2=0,0,Dren_Quantificacao!R10)</f>
        <v>2.4396700000000919</v>
      </c>
      <c r="U8" s="238">
        <f ca="1">IF(U2=0,0,Dren_Quantificacao!S10)</f>
        <v>2.4037100000001033</v>
      </c>
      <c r="V8" s="238">
        <f ca="1">IF(V2=0,0,Dren_Quantificacao!T10)</f>
        <v>2.5164300000000708</v>
      </c>
      <c r="W8" s="238"/>
      <c r="X8" s="2439"/>
      <c r="Y8" s="238">
        <f ca="1">IF(Y2=0,0,Dren_Quantificacao!W10)</f>
        <v>2.3000000000000114</v>
      </c>
      <c r="Z8" s="238">
        <f ca="1">IF(Z2=0,0,Dren_Quantificacao!X10)</f>
        <v>2.1000000000000227</v>
      </c>
      <c r="AA8" s="238">
        <f ca="1">IF(AA2=0,0,Dren_Quantificacao!Y10)</f>
        <v>2.117240000000038</v>
      </c>
      <c r="AB8" s="238">
        <f ca="1">IF(AB2=0,0,Dren_Quantificacao!Z10)</f>
        <v>2.1244400000000496</v>
      </c>
      <c r="AC8" s="238">
        <f ca="1">IF(AC2=0,0,Dren_Quantificacao!AA10)</f>
        <v>2.3283900000000699</v>
      </c>
      <c r="AD8" s="238">
        <f ca="1">IF(AD2=0,0,Dren_Quantificacao!AB10)</f>
        <v>2.2335500000000366</v>
      </c>
      <c r="AE8" s="238">
        <f ca="1">IF(AE2=0,0,Dren_Quantificacao!AC10)</f>
        <v>2.22300000000007</v>
      </c>
      <c r="AF8" s="238">
        <f ca="1">IF(AF2=0,0,Dren_Quantificacao!AD10)</f>
        <v>2.4305000000000518</v>
      </c>
      <c r="AG8" s="238">
        <f ca="1">IF(AG2=0,0,Dren_Quantificacao!AE10)</f>
        <v>2.5145400000000677</v>
      </c>
      <c r="AH8" s="238">
        <f ca="1">IF(AH2=0,0,Dren_Quantificacao!AF10)</f>
        <v>2.4038200000001098</v>
      </c>
      <c r="AI8" s="238"/>
      <c r="AJ8" s="238"/>
      <c r="AK8" s="238"/>
      <c r="AL8" s="238"/>
      <c r="AM8" s="238"/>
      <c r="AN8" s="238"/>
      <c r="AO8" s="238"/>
      <c r="AP8" s="238"/>
      <c r="AQ8" s="238"/>
      <c r="AR8" s="2439"/>
      <c r="AS8" s="238">
        <f ca="1">IF(AS2=0,0,Dren_Quantificacao!AQ10)</f>
        <v>2.1000000000000227</v>
      </c>
      <c r="AT8" s="238">
        <f ca="1">IF(AT2=0,0,Dren_Quantificacao!AR10)</f>
        <v>2.1514199999999732</v>
      </c>
      <c r="AU8" s="238">
        <f ca="1">IF(AU2=0,0,Dren_Quantificacao!AS10)</f>
        <v>2.1730600000000209</v>
      </c>
      <c r="AV8" s="238">
        <f ca="1">IF(AV2=0,0,Dren_Quantificacao!AT10)</f>
        <v>2.1774600000000532</v>
      </c>
      <c r="AW8" s="238">
        <f ca="1">IF(AW2=0,0,Dren_Quantificacao!AU10)</f>
        <v>3.4462400000001026</v>
      </c>
      <c r="AX8" s="238">
        <f>IF(AX2=0,0,Dren_Quantificacao!AW10)</f>
        <v>0</v>
      </c>
      <c r="AY8" s="238">
        <f>IF(AY2=0,0,Dren_Quantificacao!AX10)</f>
        <v>1</v>
      </c>
      <c r="AZ8" s="238">
        <f>IF(AZ2=0,0,Dren_Quantificacao!AY10)</f>
        <v>0</v>
      </c>
      <c r="BA8" s="238">
        <f>IF(BA2=0,0,Dren_Quantificacao!AZ10)</f>
        <v>1.3</v>
      </c>
      <c r="BB8" s="238">
        <f>IF(BB2=0,0,Dren_Quantificacao!BA10)</f>
        <v>0</v>
      </c>
      <c r="BC8" s="238">
        <f>IF(BC2=0,0,Dren_Quantificacao!BB10)</f>
        <v>0</v>
      </c>
      <c r="BD8" s="238">
        <f>IF(BD2=0,0,Dren_Quantificacao!BC10)</f>
        <v>0</v>
      </c>
      <c r="BE8" s="238">
        <f>IF(BE2=0,0,Dren_Quantificacao!BD10)</f>
        <v>0</v>
      </c>
      <c r="BF8" s="238">
        <f>IF(BF2=0,0,Dren_Quantificacao!BE10)</f>
        <v>0</v>
      </c>
      <c r="BG8" s="238">
        <f>IF(BG2=0,0,Dren_Quantificacao!BF10)</f>
        <v>0</v>
      </c>
      <c r="BH8" s="238">
        <f>IF(BH2=0,0,Dren_Quantificacao!BG10)</f>
        <v>0</v>
      </c>
      <c r="BI8" s="238">
        <f>IF(BI2=0,0,Dren_Quantificacao!BH10)</f>
        <v>0</v>
      </c>
      <c r="BJ8" s="241"/>
      <c r="BK8" s="241"/>
      <c r="BL8" s="241"/>
      <c r="BM8" s="363"/>
      <c r="BN8" s="579">
        <f t="shared" ca="1" si="0"/>
        <v>61.72928000000131</v>
      </c>
      <c r="BO8" s="1089"/>
      <c r="BP8" s="1089"/>
      <c r="BQ8" s="1089"/>
      <c r="BR8" s="1089"/>
      <c r="BS8" s="1089"/>
      <c r="BT8" s="1089"/>
      <c r="BU8" s="1089"/>
      <c r="BV8" s="1089"/>
      <c r="BW8" s="1089"/>
      <c r="BX8" s="1089"/>
      <c r="BY8" s="1089"/>
      <c r="BZ8" s="1089"/>
    </row>
    <row r="9" spans="1:78" s="590" customFormat="1" ht="21.95" customHeight="1" x14ac:dyDescent="0.15">
      <c r="A9" s="2596"/>
      <c r="B9" s="2674"/>
      <c r="C9" s="591" t="s">
        <v>76</v>
      </c>
      <c r="D9" s="2004"/>
      <c r="E9" s="592"/>
      <c r="F9" s="158">
        <f>IF(F8=0,0,Dren_Quantificacao!D11)</f>
        <v>0</v>
      </c>
      <c r="G9" s="158">
        <f ca="1">IF(G8=0,0,Dren_Quantificacao!E11)</f>
        <v>2.1203600000000051</v>
      </c>
      <c r="H9" s="158">
        <f ca="1">IF(H8=0,0,Dren_Quantificacao!F11)</f>
        <v>2.1070399999999836</v>
      </c>
      <c r="I9" s="158">
        <f ca="1">IF(I8=0,0,Dren_Quantificacao!G11)</f>
        <v>1.5467199999999934</v>
      </c>
      <c r="J9" s="158"/>
      <c r="K9" s="158"/>
      <c r="L9" s="158"/>
      <c r="M9" s="158"/>
      <c r="N9" s="2416"/>
      <c r="O9" s="158">
        <f ca="1">IF(O8=0,0,Dren_Quantificacao!M11)</f>
        <v>2.1008400000000051</v>
      </c>
      <c r="P9" s="158">
        <f ca="1">IF(P8=0,0,Dren_Quantificacao!N11)</f>
        <v>2.1045900000000302</v>
      </c>
      <c r="Q9" s="158">
        <f ca="1">IF(Q8=0,0,Dren_Quantificacao!O11)</f>
        <v>2.2407900000001177</v>
      </c>
      <c r="R9" s="158">
        <f ca="1">IF(R8=0,0,Dren_Quantificacao!P11)</f>
        <v>2.2721900000001369</v>
      </c>
      <c r="S9" s="158">
        <f ca="1">IF(S8=0,0,Dren_Quantificacao!Q11)</f>
        <v>2.2396700000001033</v>
      </c>
      <c r="T9" s="158">
        <f ca="1">IF(T8=0,0,Dren_Quantificacao!R11)</f>
        <v>2.4037100000001033</v>
      </c>
      <c r="U9" s="158">
        <f ca="1">IF(U8=0,0,Dren_Quantificacao!S11)</f>
        <v>2.4264300000000958</v>
      </c>
      <c r="V9" s="158">
        <f ca="1">IF(V8=0,0,Dren_Quantificacao!T11)</f>
        <v>1.901830000000075</v>
      </c>
      <c r="W9" s="158"/>
      <c r="X9" s="2416"/>
      <c r="Y9" s="158">
        <f ca="1">IF(Y8=0,0,Dren_Quantificacao!W11)</f>
        <v>2.3283900000000699</v>
      </c>
      <c r="Z9" s="158">
        <f ca="1">IF(Z8=0,0,Dren_Quantificacao!X11)</f>
        <v>2.117240000000038</v>
      </c>
      <c r="AA9" s="158">
        <f ca="1">IF(AA8=0,0,Dren_Quantificacao!Y11)</f>
        <v>2.1244400000000496</v>
      </c>
      <c r="AB9" s="158">
        <f ca="1">IF(AB8=0,0,Dren_Quantificacao!Z11)</f>
        <v>2.0879600000000664</v>
      </c>
      <c r="AC9" s="158">
        <f ca="1">IF(AC8=0,0,Dren_Quantificacao!AA11)</f>
        <v>2.2335500000000366</v>
      </c>
      <c r="AD9" s="158">
        <f ca="1">IF(AD8=0,0,Dren_Quantificacao!AB11)</f>
        <v>2.22300000000007</v>
      </c>
      <c r="AE9" s="158">
        <f ca="1">IF(AE8=0,0,Dren_Quantificacao!AC11)</f>
        <v>2.2305000000000632</v>
      </c>
      <c r="AF9" s="158">
        <f ca="1">IF(AF8=0,0,Dren_Quantificacao!AD11)</f>
        <v>2.5145400000000677</v>
      </c>
      <c r="AG9" s="158">
        <f ca="1">IF(AG8=0,0,Dren_Quantificacao!AE11)</f>
        <v>2.4038200000001098</v>
      </c>
      <c r="AH9" s="158">
        <f ca="1">IF(AH8=0,0,Dren_Quantificacao!AF11)</f>
        <v>2.9462400000001026</v>
      </c>
      <c r="AI9" s="158"/>
      <c r="AJ9" s="158"/>
      <c r="AK9" s="158"/>
      <c r="AL9" s="158"/>
      <c r="AM9" s="158"/>
      <c r="AN9" s="158"/>
      <c r="AO9" s="158"/>
      <c r="AP9" s="158"/>
      <c r="AQ9" s="158"/>
      <c r="AR9" s="2416"/>
      <c r="AS9" s="158">
        <f ca="1">IF(AS8=0,0,Dren_Quantificacao!AQ11)</f>
        <v>2.1514199999999732</v>
      </c>
      <c r="AT9" s="158">
        <f ca="1">IF(AT8=0,0,Dren_Quantificacao!AR11)</f>
        <v>2.1730600000000209</v>
      </c>
      <c r="AU9" s="158">
        <f ca="1">IF(AU8=0,0,Dren_Quantificacao!AS11)</f>
        <v>2.1774600000000532</v>
      </c>
      <c r="AV9" s="158">
        <f ca="1">IF(AV8=0,0,Dren_Quantificacao!AT11)</f>
        <v>2.1397300000000428</v>
      </c>
      <c r="AW9" s="158">
        <f ca="1">IF(AW8=0,0,Dren_Quantificacao!AU11)</f>
        <v>2.9334500000001071</v>
      </c>
      <c r="AX9" s="158">
        <f>IF(AX8=0,0,Dren_Quantificacao!AW11)</f>
        <v>0</v>
      </c>
      <c r="AY9" s="158">
        <f>IF(AY8=0,0,Dren_Quantificacao!AX11)</f>
        <v>1.5</v>
      </c>
      <c r="AZ9" s="158">
        <f>IF(AZ8=0,0,Dren_Quantificacao!AY11)</f>
        <v>0</v>
      </c>
      <c r="BA9" s="158">
        <f>IF(BA8=0,0,Dren_Quantificacao!AZ11)</f>
        <v>1.5</v>
      </c>
      <c r="BB9" s="158">
        <f>IF(BB8=0,0,Dren_Quantificacao!BA11)</f>
        <v>0</v>
      </c>
      <c r="BC9" s="158">
        <f>IF(BC8=0,0,Dren_Quantificacao!BB11)</f>
        <v>0</v>
      </c>
      <c r="BD9" s="158">
        <f>IF(BD8=0,0,Dren_Quantificacao!BC11)</f>
        <v>0</v>
      </c>
      <c r="BE9" s="158">
        <f>IF(BE8=0,0,Dren_Quantificacao!BD11)</f>
        <v>0</v>
      </c>
      <c r="BF9" s="158">
        <f>IF(BF8=0,0,Dren_Quantificacao!BE11)</f>
        <v>0</v>
      </c>
      <c r="BG9" s="158">
        <f>IF(BG8=0,0,Dren_Quantificacao!BF11)</f>
        <v>0</v>
      </c>
      <c r="BH9" s="158">
        <f>IF(BH8=0,0,Dren_Quantificacao!BG11)</f>
        <v>0</v>
      </c>
      <c r="BI9" s="158">
        <f>IF(BI8=0,0,Dren_Quantificacao!BH11)</f>
        <v>0</v>
      </c>
      <c r="BJ9" s="159"/>
      <c r="BK9" s="159"/>
      <c r="BL9" s="159"/>
      <c r="BM9" s="351"/>
      <c r="BN9" s="579">
        <f t="shared" ca="1" si="0"/>
        <v>61.24897000000152</v>
      </c>
      <c r="BO9" s="1089"/>
      <c r="BP9" s="1089"/>
      <c r="BQ9" s="1089"/>
      <c r="BR9" s="1089"/>
      <c r="BS9" s="1089"/>
      <c r="BT9" s="1089"/>
      <c r="BU9" s="1089"/>
      <c r="BV9" s="1089"/>
      <c r="BW9" s="1089"/>
      <c r="BX9" s="1089"/>
      <c r="BY9" s="1089"/>
      <c r="BZ9" s="1089"/>
    </row>
    <row r="10" spans="1:78" s="590" customFormat="1" ht="21.95" customHeight="1" thickBot="1" x14ac:dyDescent="0.2">
      <c r="A10" s="2596"/>
      <c r="B10" s="2675"/>
      <c r="C10" s="929" t="s">
        <v>235</v>
      </c>
      <c r="D10" s="2005"/>
      <c r="E10" s="1523"/>
      <c r="F10" s="239">
        <f t="shared" ref="F10" si="1">SUM(F8:F9)/2</f>
        <v>0</v>
      </c>
      <c r="G10" s="239">
        <f t="shared" ref="G10" ca="1" si="2">SUM(G8:G9)/2</f>
        <v>2.1101800000000139</v>
      </c>
      <c r="H10" s="239">
        <f t="shared" ref="H10:I10" ca="1" si="3">SUM(H8:H9)/2</f>
        <v>2.1136999999999944</v>
      </c>
      <c r="I10" s="239">
        <f t="shared" ca="1" si="3"/>
        <v>1.8268799999999885</v>
      </c>
      <c r="J10" s="239"/>
      <c r="K10" s="239"/>
      <c r="L10" s="239"/>
      <c r="M10" s="239"/>
      <c r="N10" s="2440"/>
      <c r="O10" s="239">
        <f t="shared" ref="O10:V10" ca="1" si="4">SUM(O8:O9)/2</f>
        <v>2.1004200000000139</v>
      </c>
      <c r="P10" s="239">
        <f t="shared" ca="1" si="4"/>
        <v>2.1027150000000177</v>
      </c>
      <c r="Q10" s="239">
        <f t="shared" ca="1" si="4"/>
        <v>2.2226900000000853</v>
      </c>
      <c r="R10" s="239">
        <f t="shared" ca="1" si="4"/>
        <v>2.2564900000001273</v>
      </c>
      <c r="S10" s="239">
        <f t="shared" ca="1" si="4"/>
        <v>2.2559300000001201</v>
      </c>
      <c r="T10" s="239">
        <f t="shared" ca="1" si="4"/>
        <v>2.4216900000000976</v>
      </c>
      <c r="U10" s="239">
        <f t="shared" ca="1" si="4"/>
        <v>2.4150700000000995</v>
      </c>
      <c r="V10" s="239">
        <f t="shared" ca="1" si="4"/>
        <v>2.2091300000000729</v>
      </c>
      <c r="W10" s="239"/>
      <c r="X10" s="2440"/>
      <c r="Y10" s="239">
        <f t="shared" ref="Y10:AH10" ca="1" si="5">SUM(Y8:Y9)/2</f>
        <v>2.3141950000000406</v>
      </c>
      <c r="Z10" s="239">
        <f t="shared" ca="1" si="5"/>
        <v>2.1086200000000304</v>
      </c>
      <c r="AA10" s="239">
        <f t="shared" ca="1" si="5"/>
        <v>2.1208400000000438</v>
      </c>
      <c r="AB10" s="239">
        <f t="shared" ca="1" si="5"/>
        <v>2.106200000000058</v>
      </c>
      <c r="AC10" s="239">
        <f t="shared" ca="1" si="5"/>
        <v>2.2809700000000532</v>
      </c>
      <c r="AD10" s="239">
        <f t="shared" ca="1" si="5"/>
        <v>2.2282750000000533</v>
      </c>
      <c r="AE10" s="239">
        <f t="shared" ca="1" si="5"/>
        <v>2.2267500000000666</v>
      </c>
      <c r="AF10" s="239">
        <f t="shared" ca="1" si="5"/>
        <v>2.4725200000000598</v>
      </c>
      <c r="AG10" s="239">
        <f t="shared" ca="1" si="5"/>
        <v>2.4591800000000887</v>
      </c>
      <c r="AH10" s="239">
        <f t="shared" ca="1" si="5"/>
        <v>2.6750300000001062</v>
      </c>
      <c r="AI10" s="239"/>
      <c r="AJ10" s="239"/>
      <c r="AK10" s="239"/>
      <c r="AL10" s="239"/>
      <c r="AM10" s="239"/>
      <c r="AN10" s="239"/>
      <c r="AO10" s="239"/>
      <c r="AP10" s="239"/>
      <c r="AQ10" s="239"/>
      <c r="AR10" s="2440"/>
      <c r="AS10" s="239">
        <f t="shared" ref="AS10:AW10" ca="1" si="6">SUM(AS8:AS9)/2</f>
        <v>2.125709999999998</v>
      </c>
      <c r="AT10" s="239">
        <f t="shared" ca="1" si="6"/>
        <v>2.1622399999999971</v>
      </c>
      <c r="AU10" s="239">
        <f t="shared" ca="1" si="6"/>
        <v>2.1752600000000371</v>
      </c>
      <c r="AV10" s="239">
        <f t="shared" ca="1" si="6"/>
        <v>2.158595000000048</v>
      </c>
      <c r="AW10" s="239">
        <f t="shared" ca="1" si="6"/>
        <v>3.1898450000001048</v>
      </c>
      <c r="AX10" s="239">
        <f t="shared" ref="AX10" si="7">SUM(AX8:AX9)/2</f>
        <v>0</v>
      </c>
      <c r="AY10" s="239">
        <f t="shared" ref="AY10:BI10" si="8">SUM(AY8:AY9)/2</f>
        <v>1.25</v>
      </c>
      <c r="AZ10" s="239">
        <f t="shared" ref="AZ10" si="9">SUM(AZ8:AZ9)/2</f>
        <v>0</v>
      </c>
      <c r="BA10" s="239">
        <f t="shared" si="8"/>
        <v>1.4</v>
      </c>
      <c r="BB10" s="239">
        <f t="shared" si="8"/>
        <v>0</v>
      </c>
      <c r="BC10" s="239">
        <f t="shared" si="8"/>
        <v>0</v>
      </c>
      <c r="BD10" s="239">
        <f t="shared" si="8"/>
        <v>0</v>
      </c>
      <c r="BE10" s="239">
        <f t="shared" si="8"/>
        <v>0</v>
      </c>
      <c r="BF10" s="239">
        <f t="shared" si="8"/>
        <v>0</v>
      </c>
      <c r="BG10" s="239">
        <f t="shared" si="8"/>
        <v>0</v>
      </c>
      <c r="BH10" s="239">
        <f t="shared" si="8"/>
        <v>0</v>
      </c>
      <c r="BI10" s="239">
        <f t="shared" si="8"/>
        <v>0</v>
      </c>
      <c r="BJ10" s="237"/>
      <c r="BK10" s="237"/>
      <c r="BL10" s="237"/>
      <c r="BM10" s="436"/>
      <c r="BN10" s="579">
        <f t="shared" ca="1" si="0"/>
        <v>61.489125000001415</v>
      </c>
      <c r="BO10" s="1089"/>
      <c r="BP10" s="1089"/>
      <c r="BQ10" s="1089"/>
      <c r="BR10" s="1089"/>
      <c r="BS10" s="1089"/>
      <c r="BT10" s="1089"/>
      <c r="BU10" s="1089"/>
      <c r="BV10" s="1089"/>
      <c r="BW10" s="1089"/>
      <c r="BX10" s="1089"/>
      <c r="BY10" s="1089"/>
      <c r="BZ10" s="1089"/>
    </row>
    <row r="11" spans="1:78" s="590" customFormat="1" ht="21.95" customHeight="1" x14ac:dyDescent="0.15">
      <c r="A11" s="2596"/>
      <c r="B11" s="2677" t="s">
        <v>481</v>
      </c>
      <c r="C11" s="930" t="s">
        <v>480</v>
      </c>
      <c r="D11" s="2003"/>
      <c r="E11" s="1520"/>
      <c r="F11" s="238">
        <f t="shared" ref="F11" si="10">IF(F4+F6=0,0,F10+F12)</f>
        <v>0</v>
      </c>
      <c r="G11" s="238">
        <f t="shared" ref="G11" ca="1" si="11">IF(G4+G6=0,0,G10+G12)</f>
        <v>2.2361800000000138</v>
      </c>
      <c r="H11" s="238">
        <f t="shared" ref="H11:I11" ca="1" si="12">IF(H4+H6=0,0,H10+H12)</f>
        <v>2.2396999999999943</v>
      </c>
      <c r="I11" s="238">
        <f t="shared" ca="1" si="12"/>
        <v>1.9528799999999884</v>
      </c>
      <c r="J11" s="238"/>
      <c r="K11" s="238"/>
      <c r="L11" s="238"/>
      <c r="M11" s="238"/>
      <c r="N11" s="2439"/>
      <c r="O11" s="238">
        <f t="shared" ref="O11:V11" ca="1" si="13">IF(O4+O6=0,0,O10+O12)</f>
        <v>2.2264200000000138</v>
      </c>
      <c r="P11" s="238">
        <f t="shared" ca="1" si="13"/>
        <v>2.2287150000000175</v>
      </c>
      <c r="Q11" s="238">
        <f t="shared" ca="1" si="13"/>
        <v>2.3486900000000852</v>
      </c>
      <c r="R11" s="238">
        <f t="shared" ca="1" si="13"/>
        <v>2.3824900000001272</v>
      </c>
      <c r="S11" s="238">
        <f t="shared" ca="1" si="13"/>
        <v>2.38193000000012</v>
      </c>
      <c r="T11" s="238">
        <f t="shared" ca="1" si="13"/>
        <v>2.6316900000000976</v>
      </c>
      <c r="U11" s="238">
        <f t="shared" ca="1" si="13"/>
        <v>2.6250700000000995</v>
      </c>
      <c r="V11" s="238">
        <f t="shared" ca="1" si="13"/>
        <v>2.4191300000000728</v>
      </c>
      <c r="W11" s="238"/>
      <c r="X11" s="2439"/>
      <c r="Y11" s="238">
        <f t="shared" ref="Y11:AH11" ca="1" si="14">IF(Y4+Y6=0,0,Y10+Y12)</f>
        <v>2.4821950000000408</v>
      </c>
      <c r="Z11" s="238">
        <f t="shared" ca="1" si="14"/>
        <v>2.2346200000000302</v>
      </c>
      <c r="AA11" s="238">
        <f t="shared" ca="1" si="14"/>
        <v>2.2468400000000437</v>
      </c>
      <c r="AB11" s="238">
        <f t="shared" ca="1" si="14"/>
        <v>2.2322000000000579</v>
      </c>
      <c r="AC11" s="238">
        <f t="shared" ca="1" si="14"/>
        <v>2.4489700000000534</v>
      </c>
      <c r="AD11" s="238">
        <f t="shared" ca="1" si="14"/>
        <v>2.3962750000000534</v>
      </c>
      <c r="AE11" s="238">
        <f t="shared" ca="1" si="14"/>
        <v>2.3947500000000668</v>
      </c>
      <c r="AF11" s="238">
        <f t="shared" ca="1" si="14"/>
        <v>2.6825200000000597</v>
      </c>
      <c r="AG11" s="238">
        <f t="shared" ca="1" si="14"/>
        <v>2.6691800000000887</v>
      </c>
      <c r="AH11" s="238">
        <f t="shared" ca="1" si="14"/>
        <v>2.8850300000001061</v>
      </c>
      <c r="AI11" s="238"/>
      <c r="AJ11" s="238"/>
      <c r="AK11" s="238"/>
      <c r="AL11" s="238"/>
      <c r="AM11" s="238"/>
      <c r="AN11" s="238"/>
      <c r="AO11" s="238"/>
      <c r="AP11" s="238"/>
      <c r="AQ11" s="238"/>
      <c r="AR11" s="2439"/>
      <c r="AS11" s="238">
        <f t="shared" ref="AS11:AW11" ca="1" si="15">IF(AS4+AS6=0,0,AS10+AS12)</f>
        <v>2.2517099999999979</v>
      </c>
      <c r="AT11" s="238">
        <f t="shared" ca="1" si="15"/>
        <v>2.3302399999999972</v>
      </c>
      <c r="AU11" s="238">
        <f t="shared" ca="1" si="15"/>
        <v>2.3432600000000372</v>
      </c>
      <c r="AV11" s="238">
        <f t="shared" ca="1" si="15"/>
        <v>2.3265950000000482</v>
      </c>
      <c r="AW11" s="238">
        <f t="shared" ca="1" si="15"/>
        <v>3.3998450000001048</v>
      </c>
      <c r="AX11" s="238">
        <f t="shared" ref="AX11" si="16">IF(AX4+AX6=0,0,AX10+AX12)</f>
        <v>8.4000000000000005E-2</v>
      </c>
      <c r="AY11" s="238">
        <f t="shared" ref="AY11:BI11" si="17">IF(AY4+AY6=0,0,AY10+AY12)</f>
        <v>1.3340000000000001</v>
      </c>
      <c r="AZ11" s="238">
        <f t="shared" ref="AZ11" si="18">IF(AZ4+AZ6=0,0,AZ10+AZ12)</f>
        <v>0.126</v>
      </c>
      <c r="BA11" s="238">
        <f t="shared" si="17"/>
        <v>1.5259999999999998</v>
      </c>
      <c r="BB11" s="238">
        <f t="shared" si="17"/>
        <v>8.4000000000000005E-2</v>
      </c>
      <c r="BC11" s="238">
        <f t="shared" si="17"/>
        <v>0.126</v>
      </c>
      <c r="BD11" s="238">
        <f t="shared" si="17"/>
        <v>8.4000000000000005E-2</v>
      </c>
      <c r="BE11" s="238">
        <f t="shared" si="17"/>
        <v>8.4000000000000005E-2</v>
      </c>
      <c r="BF11" s="238">
        <f t="shared" si="17"/>
        <v>0.105</v>
      </c>
      <c r="BG11" s="238">
        <f t="shared" si="17"/>
        <v>0.105</v>
      </c>
      <c r="BH11" s="238">
        <f t="shared" si="17"/>
        <v>8.4000000000000005E-2</v>
      </c>
      <c r="BI11" s="238">
        <f t="shared" si="17"/>
        <v>0.105</v>
      </c>
      <c r="BJ11" s="238"/>
      <c r="BK11" s="238"/>
      <c r="BL11" s="238"/>
      <c r="BM11" s="363"/>
      <c r="BN11" s="579">
        <f t="shared" ca="1" si="0"/>
        <v>66.844125000001441</v>
      </c>
      <c r="BO11" s="1089"/>
      <c r="BP11" s="1089"/>
      <c r="BQ11" s="1089"/>
      <c r="BR11" s="1089"/>
      <c r="BS11" s="1089"/>
      <c r="BT11" s="1089"/>
      <c r="BU11" s="1089"/>
      <c r="BV11" s="1089"/>
      <c r="BW11" s="1089"/>
      <c r="BX11" s="1089"/>
      <c r="BY11" s="1089"/>
      <c r="BZ11" s="1089"/>
    </row>
    <row r="12" spans="1:78" s="590" customFormat="1" ht="21.95" customHeight="1" x14ac:dyDescent="0.15">
      <c r="A12" s="2596"/>
      <c r="B12" s="2678"/>
      <c r="C12" s="591" t="s">
        <v>610</v>
      </c>
      <c r="D12" s="2004"/>
      <c r="E12" s="592"/>
      <c r="F12" s="158">
        <f t="shared" ref="F12" si="19">IF(F4+F6=0,0,IF(F5="P",0,F4*0.21+F7*0.1))</f>
        <v>0</v>
      </c>
      <c r="G12" s="158">
        <f t="shared" ref="G12" ca="1" si="20">IF(G4+G6=0,0,IF(G5="P",0,G4*0.21+G7*0.1))</f>
        <v>0.126</v>
      </c>
      <c r="H12" s="158">
        <f t="shared" ref="H12:I12" ca="1" si="21">IF(H4+H6=0,0,IF(H5="P",0,H4*0.21+H7*0.1))</f>
        <v>0.126</v>
      </c>
      <c r="I12" s="158">
        <f t="shared" ca="1" si="21"/>
        <v>0.126</v>
      </c>
      <c r="J12" s="158"/>
      <c r="K12" s="158"/>
      <c r="L12" s="158"/>
      <c r="M12" s="158"/>
      <c r="N12" s="2416"/>
      <c r="O12" s="158">
        <f t="shared" ref="O12:V12" ca="1" si="22">IF(O4+O6=0,0,IF(O5="P",0,O4*0.21+O7*0.1))</f>
        <v>0.126</v>
      </c>
      <c r="P12" s="158">
        <f t="shared" ca="1" si="22"/>
        <v>0.126</v>
      </c>
      <c r="Q12" s="158">
        <f t="shared" ca="1" si="22"/>
        <v>0.126</v>
      </c>
      <c r="R12" s="158">
        <f t="shared" ca="1" si="22"/>
        <v>0.126</v>
      </c>
      <c r="S12" s="158">
        <f t="shared" ca="1" si="22"/>
        <v>0.126</v>
      </c>
      <c r="T12" s="158">
        <f t="shared" ca="1" si="22"/>
        <v>0.21</v>
      </c>
      <c r="U12" s="158">
        <f t="shared" ca="1" si="22"/>
        <v>0.21</v>
      </c>
      <c r="V12" s="158">
        <f t="shared" ca="1" si="22"/>
        <v>0.21</v>
      </c>
      <c r="W12" s="158"/>
      <c r="X12" s="2416"/>
      <c r="Y12" s="158">
        <f t="shared" ref="Y12:AH12" ca="1" si="23">IF(Y4+Y6=0,0,IF(Y5="P",0,Y4*0.21+Y7*0.1))</f>
        <v>0.16800000000000001</v>
      </c>
      <c r="Z12" s="158">
        <f t="shared" ca="1" si="23"/>
        <v>0.126</v>
      </c>
      <c r="AA12" s="158">
        <f t="shared" ca="1" si="23"/>
        <v>0.126</v>
      </c>
      <c r="AB12" s="158">
        <f t="shared" ca="1" si="23"/>
        <v>0.126</v>
      </c>
      <c r="AC12" s="158">
        <f t="shared" ca="1" si="23"/>
        <v>0.16800000000000001</v>
      </c>
      <c r="AD12" s="158">
        <f t="shared" ca="1" si="23"/>
        <v>0.16800000000000001</v>
      </c>
      <c r="AE12" s="158">
        <f t="shared" ca="1" si="23"/>
        <v>0.16800000000000001</v>
      </c>
      <c r="AF12" s="158">
        <f t="shared" ca="1" si="23"/>
        <v>0.21</v>
      </c>
      <c r="AG12" s="158">
        <f t="shared" ca="1" si="23"/>
        <v>0.21</v>
      </c>
      <c r="AH12" s="158">
        <f t="shared" ca="1" si="23"/>
        <v>0.21</v>
      </c>
      <c r="AI12" s="158"/>
      <c r="AJ12" s="158"/>
      <c r="AK12" s="158"/>
      <c r="AL12" s="158"/>
      <c r="AM12" s="158"/>
      <c r="AN12" s="158"/>
      <c r="AO12" s="158"/>
      <c r="AP12" s="158"/>
      <c r="AQ12" s="158"/>
      <c r="AR12" s="2416"/>
      <c r="AS12" s="158">
        <f t="shared" ref="AS12:AW12" ca="1" si="24">IF(AS4+AS6=0,0,IF(AS5="P",0,AS4*0.21+AS7*0.1))</f>
        <v>0.126</v>
      </c>
      <c r="AT12" s="158">
        <f t="shared" ca="1" si="24"/>
        <v>0.16800000000000001</v>
      </c>
      <c r="AU12" s="158">
        <f t="shared" ca="1" si="24"/>
        <v>0.16800000000000001</v>
      </c>
      <c r="AV12" s="158">
        <f t="shared" ca="1" si="24"/>
        <v>0.16800000000000001</v>
      </c>
      <c r="AW12" s="158">
        <f t="shared" ca="1" si="24"/>
        <v>0.21</v>
      </c>
      <c r="AX12" s="158">
        <f t="shared" ref="AX12" si="25">IF(AX4+AX6=0,0,IF(AX5="P",0,AX4*0.21+AX7*0.1))</f>
        <v>8.4000000000000005E-2</v>
      </c>
      <c r="AY12" s="158">
        <f t="shared" ref="AY12:BI12" si="26">IF(AY4+AY6=0,0,IF(AY5="P",0,AY4*0.21+AY7*0.1))</f>
        <v>8.4000000000000005E-2</v>
      </c>
      <c r="AZ12" s="158">
        <f t="shared" ref="AZ12" si="27">IF(AZ4+AZ6=0,0,IF(AZ5="P",0,AZ4*0.21+AZ7*0.1))</f>
        <v>0.126</v>
      </c>
      <c r="BA12" s="158">
        <f t="shared" si="26"/>
        <v>0.126</v>
      </c>
      <c r="BB12" s="158">
        <f t="shared" si="26"/>
        <v>8.4000000000000005E-2</v>
      </c>
      <c r="BC12" s="158">
        <f t="shared" si="26"/>
        <v>0.126</v>
      </c>
      <c r="BD12" s="158">
        <f t="shared" si="26"/>
        <v>8.4000000000000005E-2</v>
      </c>
      <c r="BE12" s="158">
        <f t="shared" si="26"/>
        <v>8.4000000000000005E-2</v>
      </c>
      <c r="BF12" s="158">
        <f t="shared" si="26"/>
        <v>0.105</v>
      </c>
      <c r="BG12" s="158">
        <f t="shared" si="26"/>
        <v>0.105</v>
      </c>
      <c r="BH12" s="158">
        <f t="shared" si="26"/>
        <v>8.4000000000000005E-2</v>
      </c>
      <c r="BI12" s="158">
        <f t="shared" si="26"/>
        <v>0.105</v>
      </c>
      <c r="BJ12" s="159"/>
      <c r="BK12" s="159"/>
      <c r="BL12" s="159"/>
      <c r="BM12" s="351"/>
      <c r="BN12" s="579">
        <f t="shared" ca="1" si="0"/>
        <v>5.3550000000000004</v>
      </c>
      <c r="BO12" s="1089"/>
      <c r="BP12" s="1089"/>
      <c r="BQ12" s="1089"/>
      <c r="BR12" s="1089"/>
      <c r="BS12" s="1089"/>
      <c r="BT12" s="1089"/>
      <c r="BU12" s="1089"/>
      <c r="BV12" s="1089"/>
      <c r="BW12" s="1089"/>
      <c r="BX12" s="1089"/>
      <c r="BY12" s="1089"/>
      <c r="BZ12" s="1089"/>
    </row>
    <row r="13" spans="1:78" s="590" customFormat="1" ht="21.95" customHeight="1" x14ac:dyDescent="0.15">
      <c r="A13" s="2596"/>
      <c r="B13" s="2678"/>
      <c r="C13" s="591" t="s">
        <v>709</v>
      </c>
      <c r="D13" s="2004"/>
      <c r="E13" s="592"/>
      <c r="F13" s="158">
        <f t="shared" ref="F13" si="28">F11-F14</f>
        <v>0</v>
      </c>
      <c r="G13" s="158">
        <f t="shared" ref="G13" ca="1" si="29">G11-G14</f>
        <v>2.2361800000000138</v>
      </c>
      <c r="H13" s="158">
        <f t="shared" ref="H13:I13" ca="1" si="30">H11-H14</f>
        <v>2.2396999999999943</v>
      </c>
      <c r="I13" s="158">
        <f t="shared" ca="1" si="30"/>
        <v>1.9528799999999884</v>
      </c>
      <c r="J13" s="158"/>
      <c r="K13" s="158"/>
      <c r="L13" s="158"/>
      <c r="M13" s="158"/>
      <c r="N13" s="2416"/>
      <c r="O13" s="158">
        <f t="shared" ref="O13:V13" ca="1" si="31">O11-O14</f>
        <v>2.2264200000000138</v>
      </c>
      <c r="P13" s="158">
        <f t="shared" ca="1" si="31"/>
        <v>2.2287150000000175</v>
      </c>
      <c r="Q13" s="158">
        <f t="shared" ca="1" si="31"/>
        <v>2.3486900000000852</v>
      </c>
      <c r="R13" s="158">
        <f t="shared" ca="1" si="31"/>
        <v>2.3824900000001272</v>
      </c>
      <c r="S13" s="158">
        <f t="shared" ca="1" si="31"/>
        <v>2.38193000000012</v>
      </c>
      <c r="T13" s="158">
        <f t="shared" ca="1" si="31"/>
        <v>2.6316900000000976</v>
      </c>
      <c r="U13" s="158">
        <f t="shared" ca="1" si="31"/>
        <v>2.6250700000000995</v>
      </c>
      <c r="V13" s="158">
        <f t="shared" ca="1" si="31"/>
        <v>2.4191300000000728</v>
      </c>
      <c r="W13" s="158"/>
      <c r="X13" s="2416"/>
      <c r="Y13" s="158">
        <f t="shared" ref="Y13:AH13" ca="1" si="32">Y11-Y14</f>
        <v>2.4821950000000408</v>
      </c>
      <c r="Z13" s="158">
        <f t="shared" ca="1" si="32"/>
        <v>2.2346200000000302</v>
      </c>
      <c r="AA13" s="158">
        <f t="shared" ca="1" si="32"/>
        <v>2.2468400000000437</v>
      </c>
      <c r="AB13" s="158">
        <f t="shared" ca="1" si="32"/>
        <v>2.2322000000000579</v>
      </c>
      <c r="AC13" s="158">
        <f t="shared" ca="1" si="32"/>
        <v>2.4489700000000534</v>
      </c>
      <c r="AD13" s="158">
        <f t="shared" ca="1" si="32"/>
        <v>2.3962750000000534</v>
      </c>
      <c r="AE13" s="158">
        <f t="shared" ca="1" si="32"/>
        <v>2.3947500000000668</v>
      </c>
      <c r="AF13" s="158">
        <f t="shared" ca="1" si="32"/>
        <v>2.6825200000000597</v>
      </c>
      <c r="AG13" s="158">
        <f t="shared" ca="1" si="32"/>
        <v>2.6691800000000887</v>
      </c>
      <c r="AH13" s="158">
        <f t="shared" ca="1" si="32"/>
        <v>2.8850300000001061</v>
      </c>
      <c r="AI13" s="158"/>
      <c r="AJ13" s="158"/>
      <c r="AK13" s="158"/>
      <c r="AL13" s="158"/>
      <c r="AM13" s="158"/>
      <c r="AN13" s="158"/>
      <c r="AO13" s="158"/>
      <c r="AP13" s="158"/>
      <c r="AQ13" s="158"/>
      <c r="AR13" s="2416"/>
      <c r="AS13" s="158">
        <f t="shared" ref="AS13:AW13" ca="1" si="33">AS11-AS14</f>
        <v>2.2517099999999979</v>
      </c>
      <c r="AT13" s="158">
        <f t="shared" ca="1" si="33"/>
        <v>2.3302399999999972</v>
      </c>
      <c r="AU13" s="158">
        <f t="shared" ca="1" si="33"/>
        <v>2.3432600000000372</v>
      </c>
      <c r="AV13" s="158">
        <f t="shared" ca="1" si="33"/>
        <v>2.3265950000000482</v>
      </c>
      <c r="AW13" s="158">
        <f t="shared" ca="1" si="33"/>
        <v>3.3998450000001048</v>
      </c>
      <c r="AX13" s="158">
        <f t="shared" ref="AX13" si="34">AX11-AX14</f>
        <v>8.4000000000000005E-2</v>
      </c>
      <c r="AY13" s="158">
        <f t="shared" ref="AY13:BI13" si="35">AY11-AY14</f>
        <v>1.3340000000000001</v>
      </c>
      <c r="AZ13" s="158">
        <f t="shared" ref="AZ13" si="36">AZ11-AZ14</f>
        <v>0.126</v>
      </c>
      <c r="BA13" s="158">
        <f t="shared" si="35"/>
        <v>1.5259999999999998</v>
      </c>
      <c r="BB13" s="158">
        <f t="shared" si="35"/>
        <v>8.4000000000000005E-2</v>
      </c>
      <c r="BC13" s="158">
        <f t="shared" si="35"/>
        <v>0.126</v>
      </c>
      <c r="BD13" s="158">
        <f t="shared" si="35"/>
        <v>8.4000000000000005E-2</v>
      </c>
      <c r="BE13" s="158">
        <f t="shared" si="35"/>
        <v>8.4000000000000005E-2</v>
      </c>
      <c r="BF13" s="158">
        <f t="shared" si="35"/>
        <v>0.105</v>
      </c>
      <c r="BG13" s="158">
        <f t="shared" si="35"/>
        <v>0.105</v>
      </c>
      <c r="BH13" s="158">
        <f t="shared" si="35"/>
        <v>8.4000000000000005E-2</v>
      </c>
      <c r="BI13" s="158">
        <f t="shared" si="35"/>
        <v>0.105</v>
      </c>
      <c r="BJ13" s="159"/>
      <c r="BK13" s="159"/>
      <c r="BL13" s="159"/>
      <c r="BM13" s="351"/>
      <c r="BN13" s="579">
        <f t="shared" ca="1" si="0"/>
        <v>66.844125000001441</v>
      </c>
      <c r="BO13" s="1089"/>
      <c r="BP13" s="1089"/>
      <c r="BQ13" s="1089"/>
      <c r="BR13" s="1089"/>
      <c r="BS13" s="1089"/>
      <c r="BT13" s="1089"/>
      <c r="BU13" s="1089"/>
      <c r="BV13" s="1089"/>
      <c r="BW13" s="1089"/>
      <c r="BX13" s="1089"/>
      <c r="BY13" s="1089"/>
      <c r="BZ13" s="1089"/>
    </row>
    <row r="14" spans="1:78" s="590" customFormat="1" ht="21.95" hidden="1" customHeight="1" x14ac:dyDescent="0.15">
      <c r="A14" s="2596"/>
      <c r="B14" s="2678"/>
      <c r="C14" s="591" t="s">
        <v>692</v>
      </c>
      <c r="D14" s="2004"/>
      <c r="E14" s="592"/>
      <c r="F14" s="158">
        <f>IF(Dren_Quantificacao!D16=0,0,+F11-Dren_Quantificacao!D16)</f>
        <v>0</v>
      </c>
      <c r="G14" s="158">
        <f>IF(Dren_Quantificacao!E16=0,0,+G11-Dren_Quantificacao!E16)</f>
        <v>0</v>
      </c>
      <c r="H14" s="158">
        <f>IF(Dren_Quantificacao!F16=0,0,+H11-Dren_Quantificacao!F16)</f>
        <v>0</v>
      </c>
      <c r="I14" s="158">
        <f>IF(Dren_Quantificacao!G16=0,0,+I11-Dren_Quantificacao!G16)</f>
        <v>0</v>
      </c>
      <c r="J14" s="158"/>
      <c r="K14" s="158"/>
      <c r="L14" s="158"/>
      <c r="M14" s="158"/>
      <c r="N14" s="2416"/>
      <c r="O14" s="158">
        <f>IF(Dren_Quantificacao!M16=0,0,+O11-Dren_Quantificacao!M16)</f>
        <v>0</v>
      </c>
      <c r="P14" s="158">
        <f>IF(Dren_Quantificacao!N16=0,0,+P11-Dren_Quantificacao!N16)</f>
        <v>0</v>
      </c>
      <c r="Q14" s="158">
        <f>IF(Dren_Quantificacao!O16=0,0,+Q11-Dren_Quantificacao!O16)</f>
        <v>0</v>
      </c>
      <c r="R14" s="158">
        <f>IF(Dren_Quantificacao!P16=0,0,+R11-Dren_Quantificacao!P16)</f>
        <v>0</v>
      </c>
      <c r="S14" s="158">
        <f>IF(Dren_Quantificacao!Q16=0,0,+S11-Dren_Quantificacao!Q16)</f>
        <v>0</v>
      </c>
      <c r="T14" s="158">
        <f>IF(Dren_Quantificacao!R16=0,0,+T11-Dren_Quantificacao!R16)</f>
        <v>0</v>
      </c>
      <c r="U14" s="158">
        <f>IF(Dren_Quantificacao!S16=0,0,+U11-Dren_Quantificacao!S16)</f>
        <v>0</v>
      </c>
      <c r="V14" s="158">
        <f>IF(Dren_Quantificacao!T16=0,0,+V11-Dren_Quantificacao!T16)</f>
        <v>0</v>
      </c>
      <c r="W14" s="158"/>
      <c r="X14" s="2416"/>
      <c r="Y14" s="158">
        <f>IF(Dren_Quantificacao!W16=0,0,+Y11-Dren_Quantificacao!W16)</f>
        <v>0</v>
      </c>
      <c r="Z14" s="158">
        <f>IF(Dren_Quantificacao!X16=0,0,+Z11-Dren_Quantificacao!X16)</f>
        <v>0</v>
      </c>
      <c r="AA14" s="158">
        <f>IF(Dren_Quantificacao!Y16=0,0,+AA11-Dren_Quantificacao!Y16)</f>
        <v>0</v>
      </c>
      <c r="AB14" s="158">
        <f>IF(Dren_Quantificacao!Z16=0,0,+AB11-Dren_Quantificacao!Z16)</f>
        <v>0</v>
      </c>
      <c r="AC14" s="158">
        <f>IF(Dren_Quantificacao!AA16=0,0,+AC11-Dren_Quantificacao!AA16)</f>
        <v>0</v>
      </c>
      <c r="AD14" s="158">
        <f>IF(Dren_Quantificacao!AB16=0,0,+AD11-Dren_Quantificacao!AB16)</f>
        <v>0</v>
      </c>
      <c r="AE14" s="158">
        <f>IF(Dren_Quantificacao!AC16=0,0,+AE11-Dren_Quantificacao!AC16)</f>
        <v>0</v>
      </c>
      <c r="AF14" s="158">
        <f>IF(Dren_Quantificacao!AD16=0,0,+AF11-Dren_Quantificacao!AD16)</f>
        <v>0</v>
      </c>
      <c r="AG14" s="158">
        <f>IF(Dren_Quantificacao!AE16=0,0,+AG11-Dren_Quantificacao!AE16)</f>
        <v>0</v>
      </c>
      <c r="AH14" s="158">
        <f>IF(Dren_Quantificacao!AF16=0,0,+AH11-Dren_Quantificacao!AF16)</f>
        <v>0</v>
      </c>
      <c r="AI14" s="158"/>
      <c r="AJ14" s="158"/>
      <c r="AK14" s="158"/>
      <c r="AL14" s="158"/>
      <c r="AM14" s="158"/>
      <c r="AN14" s="158"/>
      <c r="AO14" s="158"/>
      <c r="AP14" s="158"/>
      <c r="AQ14" s="158"/>
      <c r="AR14" s="2416"/>
      <c r="AS14" s="158">
        <f>IF(Dren_Quantificacao!AQ16=0,0,+AS11-Dren_Quantificacao!AQ16)</f>
        <v>0</v>
      </c>
      <c r="AT14" s="158">
        <f>IF(Dren_Quantificacao!AR16=0,0,+AT11-Dren_Quantificacao!AR16)</f>
        <v>0</v>
      </c>
      <c r="AU14" s="158">
        <f>IF(Dren_Quantificacao!AS16=0,0,+AU11-Dren_Quantificacao!AS16)</f>
        <v>0</v>
      </c>
      <c r="AV14" s="158">
        <f>IF(Dren_Quantificacao!AT16=0,0,+AV11-Dren_Quantificacao!AT16)</f>
        <v>0</v>
      </c>
      <c r="AW14" s="158">
        <f>IF(Dren_Quantificacao!AU16=0,0,+AW11-Dren_Quantificacao!AU16)</f>
        <v>0</v>
      </c>
      <c r="AX14" s="158">
        <f>IF(Dren_Quantificacao!AW16=0,0,+AX11-Dren_Quantificacao!AW16)</f>
        <v>0</v>
      </c>
      <c r="AY14" s="158">
        <f>IF(Dren_Quantificacao!AX16=0,0,+AY11-Dren_Quantificacao!AX16)</f>
        <v>0</v>
      </c>
      <c r="AZ14" s="158">
        <f>IF(Dren_Quantificacao!AY16=0,0,+AZ11-Dren_Quantificacao!AY16)</f>
        <v>0</v>
      </c>
      <c r="BA14" s="158">
        <f>IF(Dren_Quantificacao!AZ16=0,0,+BA11-Dren_Quantificacao!AZ16)</f>
        <v>0</v>
      </c>
      <c r="BB14" s="158">
        <f>IF(Dren_Quantificacao!BA16=0,0,+BB11-Dren_Quantificacao!BA16)</f>
        <v>0</v>
      </c>
      <c r="BC14" s="158">
        <f>IF(Dren_Quantificacao!BB16=0,0,+BC11-Dren_Quantificacao!BB16)</f>
        <v>0</v>
      </c>
      <c r="BD14" s="158">
        <f>IF(Dren_Quantificacao!BC16=0,0,+BD11-Dren_Quantificacao!BC16)</f>
        <v>0</v>
      </c>
      <c r="BE14" s="158">
        <f>IF(Dren_Quantificacao!BD16=0,0,+BE11-Dren_Quantificacao!BD16)</f>
        <v>0</v>
      </c>
      <c r="BF14" s="158">
        <f>IF(Dren_Quantificacao!BE16=0,0,+BF11-Dren_Quantificacao!BE16)</f>
        <v>0</v>
      </c>
      <c r="BG14" s="158">
        <f>IF(Dren_Quantificacao!BF16=0,0,+BG11-Dren_Quantificacao!BF16)</f>
        <v>0</v>
      </c>
      <c r="BH14" s="158">
        <f>IF(Dren_Quantificacao!BG16=0,0,+BH11-Dren_Quantificacao!BG16)</f>
        <v>0</v>
      </c>
      <c r="BI14" s="158">
        <f>IF(Dren_Quantificacao!BH16=0,0,+BI11-Dren_Quantificacao!BH16)</f>
        <v>0</v>
      </c>
      <c r="BJ14" s="159"/>
      <c r="BK14" s="159"/>
      <c r="BL14" s="159"/>
      <c r="BM14" s="351"/>
      <c r="BN14" s="579">
        <f t="shared" si="0"/>
        <v>0</v>
      </c>
      <c r="BO14" s="1089"/>
      <c r="BP14" s="1089"/>
      <c r="BQ14" s="1089"/>
      <c r="BR14" s="1089"/>
      <c r="BS14" s="1089"/>
      <c r="BT14" s="1089"/>
      <c r="BU14" s="1089"/>
      <c r="BV14" s="1089"/>
      <c r="BW14" s="1089"/>
      <c r="BX14" s="1089"/>
      <c r="BY14" s="1089"/>
      <c r="BZ14" s="1089"/>
    </row>
    <row r="15" spans="1:78" s="590" customFormat="1" ht="21.95" customHeight="1" x14ac:dyDescent="0.15">
      <c r="A15" s="2596"/>
      <c r="B15" s="2678"/>
      <c r="C15" s="591" t="s">
        <v>1097</v>
      </c>
      <c r="D15" s="2004"/>
      <c r="E15" s="592"/>
      <c r="F15" s="158">
        <f t="shared" ref="F15" si="37">IF(F30="B",2.4,0)</f>
        <v>0</v>
      </c>
      <c r="G15" s="158">
        <f t="shared" ref="G15" si="38">IF(G30="B",2.4,0)</f>
        <v>2.4</v>
      </c>
      <c r="H15" s="158">
        <f t="shared" ref="H15:I15" si="39">IF(H30="B",2.4,0)</f>
        <v>2.4</v>
      </c>
      <c r="I15" s="158">
        <f t="shared" si="39"/>
        <v>2.4</v>
      </c>
      <c r="J15" s="158"/>
      <c r="K15" s="158"/>
      <c r="L15" s="158"/>
      <c r="M15" s="158"/>
      <c r="N15" s="2416"/>
      <c r="O15" s="158">
        <f t="shared" ref="O15:V15" si="40">IF(O30="B",2.4,0)</f>
        <v>2.4</v>
      </c>
      <c r="P15" s="158">
        <f t="shared" si="40"/>
        <v>2.4</v>
      </c>
      <c r="Q15" s="158">
        <f t="shared" si="40"/>
        <v>2.4</v>
      </c>
      <c r="R15" s="158">
        <f t="shared" si="40"/>
        <v>2.4</v>
      </c>
      <c r="S15" s="158">
        <f t="shared" si="40"/>
        <v>2.4</v>
      </c>
      <c r="T15" s="158">
        <f t="shared" si="40"/>
        <v>2.4</v>
      </c>
      <c r="U15" s="158">
        <f t="shared" si="40"/>
        <v>2.4</v>
      </c>
      <c r="V15" s="158">
        <f t="shared" si="40"/>
        <v>2.4</v>
      </c>
      <c r="W15" s="158"/>
      <c r="X15" s="2416"/>
      <c r="Y15" s="158">
        <f t="shared" ref="Y15:AH15" si="41">IF(Y30="B",2.4,0)</f>
        <v>2.4</v>
      </c>
      <c r="Z15" s="158">
        <f t="shared" si="41"/>
        <v>2.4</v>
      </c>
      <c r="AA15" s="158">
        <f t="shared" si="41"/>
        <v>2.4</v>
      </c>
      <c r="AB15" s="158">
        <f t="shared" si="41"/>
        <v>2.4</v>
      </c>
      <c r="AC15" s="158">
        <f t="shared" si="41"/>
        <v>2.4</v>
      </c>
      <c r="AD15" s="158">
        <f t="shared" si="41"/>
        <v>2.4</v>
      </c>
      <c r="AE15" s="158">
        <f t="shared" si="41"/>
        <v>2.4</v>
      </c>
      <c r="AF15" s="158">
        <f t="shared" si="41"/>
        <v>2.4</v>
      </c>
      <c r="AG15" s="158">
        <f t="shared" si="41"/>
        <v>2.4</v>
      </c>
      <c r="AH15" s="158">
        <f t="shared" si="41"/>
        <v>2.4</v>
      </c>
      <c r="AI15" s="158"/>
      <c r="AJ15" s="158"/>
      <c r="AK15" s="158"/>
      <c r="AL15" s="158"/>
      <c r="AM15" s="158"/>
      <c r="AN15" s="158"/>
      <c r="AO15" s="158"/>
      <c r="AP15" s="158"/>
      <c r="AQ15" s="158"/>
      <c r="AR15" s="2416"/>
      <c r="AS15" s="158">
        <f t="shared" ref="AS15:AW15" si="42">IF(AS30="B",2.4,0)</f>
        <v>2.4</v>
      </c>
      <c r="AT15" s="158">
        <f t="shared" si="42"/>
        <v>2.4</v>
      </c>
      <c r="AU15" s="158">
        <f t="shared" si="42"/>
        <v>2.4</v>
      </c>
      <c r="AV15" s="158">
        <f t="shared" si="42"/>
        <v>2.4</v>
      </c>
      <c r="AW15" s="158">
        <f t="shared" si="42"/>
        <v>2.4</v>
      </c>
      <c r="AX15" s="158">
        <f t="shared" ref="AX15" si="43">IF(AX30="B",2.4,0)</f>
        <v>0</v>
      </c>
      <c r="AY15" s="158">
        <f t="shared" ref="AY15:BI15" si="44">IF(AY30="B",2.4,0)</f>
        <v>0</v>
      </c>
      <c r="AZ15" s="158">
        <f t="shared" ref="AZ15" si="45">IF(AZ30="B",2.4,0)</f>
        <v>0</v>
      </c>
      <c r="BA15" s="158">
        <f t="shared" si="44"/>
        <v>0</v>
      </c>
      <c r="BB15" s="158">
        <f t="shared" si="44"/>
        <v>0</v>
      </c>
      <c r="BC15" s="158">
        <f t="shared" si="44"/>
        <v>0</v>
      </c>
      <c r="BD15" s="158">
        <f t="shared" si="44"/>
        <v>0</v>
      </c>
      <c r="BE15" s="158">
        <f t="shared" si="44"/>
        <v>0</v>
      </c>
      <c r="BF15" s="158">
        <f t="shared" si="44"/>
        <v>0</v>
      </c>
      <c r="BG15" s="158">
        <f t="shared" si="44"/>
        <v>0</v>
      </c>
      <c r="BH15" s="158">
        <f t="shared" si="44"/>
        <v>0</v>
      </c>
      <c r="BI15" s="158">
        <f t="shared" si="44"/>
        <v>0</v>
      </c>
      <c r="BJ15" s="159"/>
      <c r="BK15" s="159"/>
      <c r="BL15" s="159"/>
      <c r="BM15" s="351"/>
      <c r="BN15" s="579">
        <f t="shared" si="0"/>
        <v>62.399999999999977</v>
      </c>
      <c r="BO15" s="1089"/>
      <c r="BP15" s="1089"/>
      <c r="BQ15" s="1089"/>
      <c r="BR15" s="1089"/>
      <c r="BS15" s="1089"/>
      <c r="BT15" s="1089"/>
      <c r="BU15" s="1089"/>
      <c r="BV15" s="1089"/>
      <c r="BW15" s="1089"/>
      <c r="BX15" s="1089"/>
      <c r="BY15" s="1089"/>
      <c r="BZ15" s="1089"/>
    </row>
    <row r="16" spans="1:78" s="590" customFormat="1" ht="21.95" hidden="1" customHeight="1" x14ac:dyDescent="0.15">
      <c r="A16" s="2596"/>
      <c r="B16" s="2678"/>
      <c r="C16" s="591" t="s">
        <v>740</v>
      </c>
      <c r="D16" s="2004"/>
      <c r="E16" s="592"/>
      <c r="F16" s="158">
        <f>IF(Dren_Quantificacao!D24=0,0,+IF(F19=0,F13*Dren_Quantificacao!D24,F18))</f>
        <v>0</v>
      </c>
      <c r="G16" s="158">
        <f>IF(Dren_Quantificacao!E24=0,0,+IF(G19=0,G13*Dren_Quantificacao!E24,G18))</f>
        <v>0</v>
      </c>
      <c r="H16" s="158">
        <f>IF(Dren_Quantificacao!F24=0,0,+IF(H19=0,H13*Dren_Quantificacao!F24,H18))</f>
        <v>0</v>
      </c>
      <c r="I16" s="158">
        <f>IF(Dren_Quantificacao!G24=0,0,+IF(I19=0,I13*Dren_Quantificacao!G24,I18))</f>
        <v>0</v>
      </c>
      <c r="J16" s="158"/>
      <c r="K16" s="158"/>
      <c r="L16" s="158"/>
      <c r="M16" s="158"/>
      <c r="N16" s="2416"/>
      <c r="O16" s="158">
        <f>IF(Dren_Quantificacao!M24=0,0,+IF(O19=0,O13*Dren_Quantificacao!M24,O18))</f>
        <v>0</v>
      </c>
      <c r="P16" s="158">
        <f>IF(Dren_Quantificacao!N24=0,0,+IF(P19=0,P13*Dren_Quantificacao!N24,P18))</f>
        <v>0</v>
      </c>
      <c r="Q16" s="158">
        <f>IF(Dren_Quantificacao!O24=0,0,+IF(Q19=0,Q13*Dren_Quantificacao!O24,Q18))</f>
        <v>0</v>
      </c>
      <c r="R16" s="158">
        <f>IF(Dren_Quantificacao!P24=0,0,+IF(R19=0,R13*Dren_Quantificacao!P24,R18))</f>
        <v>0</v>
      </c>
      <c r="S16" s="158">
        <f>IF(Dren_Quantificacao!Q24=0,0,+IF(S19=0,S13*Dren_Quantificacao!Q24,S18))</f>
        <v>0</v>
      </c>
      <c r="T16" s="158">
        <f>IF(Dren_Quantificacao!R24=0,0,+IF(T19=0,T13*Dren_Quantificacao!R24,T18))</f>
        <v>0</v>
      </c>
      <c r="U16" s="158">
        <f>IF(Dren_Quantificacao!S24=0,0,+IF(U19=0,U13*Dren_Quantificacao!S24,U18))</f>
        <v>0</v>
      </c>
      <c r="V16" s="158">
        <f>IF(Dren_Quantificacao!T24=0,0,+IF(V19=0,V13*Dren_Quantificacao!T24,V18))</f>
        <v>0</v>
      </c>
      <c r="W16" s="158"/>
      <c r="X16" s="2416"/>
      <c r="Y16" s="158">
        <f>IF(Dren_Quantificacao!W24=0,0,+IF(Y19=0,Y13*Dren_Quantificacao!W24,Y18))</f>
        <v>0</v>
      </c>
      <c r="Z16" s="158">
        <f>IF(Dren_Quantificacao!X24=0,0,+IF(Z19=0,Z13*Dren_Quantificacao!X24,Z18))</f>
        <v>0</v>
      </c>
      <c r="AA16" s="158">
        <f>IF(Dren_Quantificacao!Y24=0,0,+IF(AA19=0,AA13*Dren_Quantificacao!Y24,AA18))</f>
        <v>0</v>
      </c>
      <c r="AB16" s="158">
        <f>IF(Dren_Quantificacao!Z24=0,0,+IF(AB19=0,AB13*Dren_Quantificacao!Z24,AB18))</f>
        <v>0</v>
      </c>
      <c r="AC16" s="158">
        <f>IF(Dren_Quantificacao!AA24=0,0,+IF(AC19=0,AC13*Dren_Quantificacao!AA24,AC18))</f>
        <v>0</v>
      </c>
      <c r="AD16" s="158">
        <f>IF(Dren_Quantificacao!AB24=0,0,+IF(AD19=0,AD13*Dren_Quantificacao!AB24,AD18))</f>
        <v>0</v>
      </c>
      <c r="AE16" s="158">
        <f>IF(Dren_Quantificacao!AC24=0,0,+IF(AE19=0,AE13*Dren_Quantificacao!AC24,AE18))</f>
        <v>0</v>
      </c>
      <c r="AF16" s="158">
        <f>IF(Dren_Quantificacao!AD24=0,0,+IF(AF19=0,AF13*Dren_Quantificacao!AD24,AF18))</f>
        <v>0</v>
      </c>
      <c r="AG16" s="158">
        <f>IF(Dren_Quantificacao!AE24=0,0,+IF(AG19=0,AG13*Dren_Quantificacao!AE24,AG18))</f>
        <v>0</v>
      </c>
      <c r="AH16" s="158">
        <f>IF(Dren_Quantificacao!AF24=0,0,+IF(AH19=0,AH13*Dren_Quantificacao!AF24,AH18))</f>
        <v>0</v>
      </c>
      <c r="AI16" s="158"/>
      <c r="AJ16" s="158"/>
      <c r="AK16" s="158"/>
      <c r="AL16" s="158"/>
      <c r="AM16" s="158"/>
      <c r="AN16" s="158"/>
      <c r="AO16" s="158"/>
      <c r="AP16" s="158"/>
      <c r="AQ16" s="158"/>
      <c r="AR16" s="2416"/>
      <c r="AS16" s="158">
        <f>IF(Dren_Quantificacao!AQ24=0,0,+IF(AS19=0,AS13*Dren_Quantificacao!AQ24,AS18))</f>
        <v>0</v>
      </c>
      <c r="AT16" s="158">
        <f>IF(Dren_Quantificacao!AR24=0,0,+IF(AT19=0,AT13*Dren_Quantificacao!AR24,AT18))</f>
        <v>0</v>
      </c>
      <c r="AU16" s="158">
        <f>IF(Dren_Quantificacao!AS24=0,0,+IF(AU19=0,AU13*Dren_Quantificacao!AS24,AU18))</f>
        <v>0</v>
      </c>
      <c r="AV16" s="158">
        <f>IF(Dren_Quantificacao!AT24=0,0,+IF(AV19=0,AV13*Dren_Quantificacao!AT24,AV18))</f>
        <v>0</v>
      </c>
      <c r="AW16" s="158">
        <f>IF(Dren_Quantificacao!AU24=0,0,+IF(AW19=0,AW13*Dren_Quantificacao!AU24,AW18))</f>
        <v>0</v>
      </c>
      <c r="AX16" s="158">
        <f>IF(Dren_Quantificacao!AW24=0,0,+IF(AX19=0,AX13*Dren_Quantificacao!AW24,AX18))</f>
        <v>0</v>
      </c>
      <c r="AY16" s="158">
        <f>IF(Dren_Quantificacao!AX24=0,0,+IF(AY19=0,AY13*Dren_Quantificacao!AX24,AY18))</f>
        <v>0</v>
      </c>
      <c r="AZ16" s="158">
        <f>IF(Dren_Quantificacao!AY24=0,0,+IF(AZ19=0,AZ13*Dren_Quantificacao!AY24,AZ18))</f>
        <v>0</v>
      </c>
      <c r="BA16" s="158">
        <f>IF(Dren_Quantificacao!AZ24=0,0,+IF(BA19=0,BA13*Dren_Quantificacao!AZ24,BA18))</f>
        <v>0</v>
      </c>
      <c r="BB16" s="158">
        <f>IF(Dren_Quantificacao!BA24=0,0,+IF(BB19=0,BB13*Dren_Quantificacao!BA24,BB18))</f>
        <v>0</v>
      </c>
      <c r="BC16" s="158">
        <f>IF(Dren_Quantificacao!BB24=0,0,+IF(BC19=0,BC13*Dren_Quantificacao!BB24,BC18))</f>
        <v>0</v>
      </c>
      <c r="BD16" s="158">
        <f>IF(Dren_Quantificacao!BC24=0,0,+IF(BD19=0,BD13*Dren_Quantificacao!BC24,BD18))</f>
        <v>0</v>
      </c>
      <c r="BE16" s="158">
        <f>IF(Dren_Quantificacao!BD24=0,0,+IF(BE19=0,BE13*Dren_Quantificacao!BD24,BE18))</f>
        <v>0</v>
      </c>
      <c r="BF16" s="158">
        <f>IF(Dren_Quantificacao!BE24=0,0,+IF(BF19=0,BF13*Dren_Quantificacao!BE24,BF18))</f>
        <v>0</v>
      </c>
      <c r="BG16" s="158">
        <f>IF(Dren_Quantificacao!BF24=0,0,+IF(BG19=0,BG13*Dren_Quantificacao!BF24,BG18))</f>
        <v>0</v>
      </c>
      <c r="BH16" s="158">
        <f>IF(Dren_Quantificacao!BG24=0,0,+IF(BH19=0,BH13*Dren_Quantificacao!BG24,BH18))</f>
        <v>0</v>
      </c>
      <c r="BI16" s="158">
        <f>IF(Dren_Quantificacao!BH24=0,0,+IF(BI19=0,BI13*Dren_Quantificacao!BH24,BI18))</f>
        <v>0</v>
      </c>
      <c r="BJ16" s="159"/>
      <c r="BK16" s="159"/>
      <c r="BL16" s="159"/>
      <c r="BM16" s="351"/>
      <c r="BN16" s="579">
        <f t="shared" si="0"/>
        <v>0</v>
      </c>
      <c r="BO16" s="1089"/>
      <c r="BP16" s="1089"/>
      <c r="BQ16" s="1089"/>
      <c r="BR16" s="1089"/>
      <c r="BS16" s="1089"/>
      <c r="BT16" s="1089"/>
      <c r="BU16" s="1089"/>
      <c r="BV16" s="1089"/>
      <c r="BW16" s="1089"/>
      <c r="BX16" s="1089"/>
      <c r="BY16" s="1089"/>
      <c r="BZ16" s="1089"/>
    </row>
    <row r="17" spans="1:78" s="590" customFormat="1" ht="21.95" customHeight="1" x14ac:dyDescent="0.15">
      <c r="A17" s="2596"/>
      <c r="B17" s="2678"/>
      <c r="C17" s="591" t="s">
        <v>570</v>
      </c>
      <c r="D17" s="2004"/>
      <c r="E17" s="592"/>
      <c r="F17" s="158">
        <f t="shared" ref="F17" si="46">IF(0.3+(F4+F7+F12*2)&gt;F11,F11,0.3+F4+F7+F12*2)</f>
        <v>0</v>
      </c>
      <c r="G17" s="158">
        <f t="shared" ref="G17" ca="1" si="47">IF(0.3+(G4+G7+G12*2)&gt;G11,G11,0.3+G4+G7+G12*2)</f>
        <v>1.1519999999999999</v>
      </c>
      <c r="H17" s="158">
        <f t="shared" ref="H17:I17" ca="1" si="48">IF(0.3+(H4+H7+H12*2)&gt;H11,H11,0.3+H4+H7+H12*2)</f>
        <v>1.1519999999999999</v>
      </c>
      <c r="I17" s="158">
        <f t="shared" ca="1" si="48"/>
        <v>1.1519999999999999</v>
      </c>
      <c r="J17" s="158"/>
      <c r="K17" s="158"/>
      <c r="L17" s="158"/>
      <c r="M17" s="158"/>
      <c r="N17" s="2416"/>
      <c r="O17" s="158">
        <f t="shared" ref="O17:V17" ca="1" si="49">IF(0.3+(O4+O7+O12*2)&gt;O11,O11,0.3+O4+O7+O12*2)</f>
        <v>1.1519999999999999</v>
      </c>
      <c r="P17" s="158">
        <f t="shared" ca="1" si="49"/>
        <v>1.1519999999999999</v>
      </c>
      <c r="Q17" s="158">
        <f t="shared" ca="1" si="49"/>
        <v>1.1519999999999999</v>
      </c>
      <c r="R17" s="158">
        <f t="shared" ca="1" si="49"/>
        <v>1.1519999999999999</v>
      </c>
      <c r="S17" s="158">
        <f t="shared" ca="1" si="49"/>
        <v>1.1519999999999999</v>
      </c>
      <c r="T17" s="158">
        <f t="shared" ca="1" si="49"/>
        <v>1.72</v>
      </c>
      <c r="U17" s="158">
        <f t="shared" ca="1" si="49"/>
        <v>1.72</v>
      </c>
      <c r="V17" s="158">
        <f t="shared" ca="1" si="49"/>
        <v>1.72</v>
      </c>
      <c r="W17" s="158"/>
      <c r="X17" s="2416"/>
      <c r="Y17" s="158">
        <f t="shared" ref="Y17:AH17" ca="1" si="50">IF(0.3+(Y4+Y7+Y12*2)&gt;Y11,Y11,0.3+Y4+Y7+Y12*2)</f>
        <v>1.4360000000000002</v>
      </c>
      <c r="Z17" s="158">
        <f t="shared" ca="1" si="50"/>
        <v>1.1519999999999999</v>
      </c>
      <c r="AA17" s="158">
        <f t="shared" ca="1" si="50"/>
        <v>1.1519999999999999</v>
      </c>
      <c r="AB17" s="158">
        <f t="shared" ca="1" si="50"/>
        <v>1.1519999999999999</v>
      </c>
      <c r="AC17" s="158">
        <f t="shared" ca="1" si="50"/>
        <v>1.4360000000000002</v>
      </c>
      <c r="AD17" s="158">
        <f t="shared" ca="1" si="50"/>
        <v>1.4360000000000002</v>
      </c>
      <c r="AE17" s="158">
        <f t="shared" ca="1" si="50"/>
        <v>1.4360000000000002</v>
      </c>
      <c r="AF17" s="158">
        <f t="shared" ca="1" si="50"/>
        <v>1.72</v>
      </c>
      <c r="AG17" s="158">
        <f t="shared" ca="1" si="50"/>
        <v>1.72</v>
      </c>
      <c r="AH17" s="158">
        <f t="shared" ca="1" si="50"/>
        <v>1.72</v>
      </c>
      <c r="AI17" s="158"/>
      <c r="AJ17" s="158"/>
      <c r="AK17" s="158"/>
      <c r="AL17" s="158"/>
      <c r="AM17" s="158"/>
      <c r="AN17" s="158"/>
      <c r="AO17" s="158"/>
      <c r="AP17" s="158"/>
      <c r="AQ17" s="158"/>
      <c r="AR17" s="2416"/>
      <c r="AS17" s="158">
        <f t="shared" ref="AS17:AW17" ca="1" si="51">IF(0.3+(AS4+AS7+AS12*2)&gt;AS11,AS11,0.3+AS4+AS7+AS12*2)</f>
        <v>1.1519999999999999</v>
      </c>
      <c r="AT17" s="158">
        <f t="shared" ca="1" si="51"/>
        <v>1.4360000000000002</v>
      </c>
      <c r="AU17" s="158">
        <f t="shared" ca="1" si="51"/>
        <v>1.4360000000000002</v>
      </c>
      <c r="AV17" s="158">
        <f t="shared" ca="1" si="51"/>
        <v>1.4360000000000002</v>
      </c>
      <c r="AW17" s="158">
        <f t="shared" ca="1" si="51"/>
        <v>1.72</v>
      </c>
      <c r="AX17" s="158">
        <f t="shared" ref="AX17" si="52">IF(0.3+(AX4+AX7+AX12*2)&gt;AX11,AX11,0.3+AX4+AX7+AX12*2)</f>
        <v>8.4000000000000005E-2</v>
      </c>
      <c r="AY17" s="158">
        <f t="shared" ref="AY17:BI17" si="53">IF(0.3+(AY4+AY7+AY12*2)&gt;AY11,AY11,0.3+AY4+AY7+AY12*2)</f>
        <v>0.86799999999999999</v>
      </c>
      <c r="AZ17" s="158">
        <f t="shared" ref="AZ17" si="54">IF(0.3+(AZ4+AZ7+AZ12*2)&gt;AZ11,AZ11,0.3+AZ4+AZ7+AZ12*2)</f>
        <v>0.126</v>
      </c>
      <c r="BA17" s="158">
        <f t="shared" si="53"/>
        <v>1.1519999999999999</v>
      </c>
      <c r="BB17" s="158">
        <f t="shared" si="53"/>
        <v>8.4000000000000005E-2</v>
      </c>
      <c r="BC17" s="158">
        <f t="shared" si="53"/>
        <v>0.126</v>
      </c>
      <c r="BD17" s="158">
        <f t="shared" si="53"/>
        <v>8.4000000000000005E-2</v>
      </c>
      <c r="BE17" s="158">
        <f t="shared" si="53"/>
        <v>8.4000000000000005E-2</v>
      </c>
      <c r="BF17" s="158">
        <f t="shared" si="53"/>
        <v>0.105</v>
      </c>
      <c r="BG17" s="158">
        <f t="shared" si="53"/>
        <v>0.105</v>
      </c>
      <c r="BH17" s="158">
        <f t="shared" si="53"/>
        <v>8.4000000000000005E-2</v>
      </c>
      <c r="BI17" s="158">
        <f t="shared" si="53"/>
        <v>0.105</v>
      </c>
      <c r="BJ17" s="159"/>
      <c r="BK17" s="159"/>
      <c r="BL17" s="159"/>
      <c r="BM17" s="351"/>
      <c r="BN17" s="579">
        <f t="shared" ca="1" si="0"/>
        <v>38.923000000000009</v>
      </c>
      <c r="BO17" s="1089"/>
      <c r="BP17" s="1089"/>
      <c r="BQ17" s="1089"/>
      <c r="BR17" s="1089"/>
      <c r="BS17" s="1089"/>
      <c r="BT17" s="1089"/>
      <c r="BU17" s="1089"/>
      <c r="BV17" s="1089"/>
      <c r="BW17" s="1089"/>
      <c r="BX17" s="1089"/>
      <c r="BY17" s="1089"/>
      <c r="BZ17" s="1089"/>
    </row>
    <row r="18" spans="1:78" s="590" customFormat="1" ht="21.95" customHeight="1" x14ac:dyDescent="0.15">
      <c r="A18" s="2596"/>
      <c r="B18" s="2678"/>
      <c r="C18" s="591" t="s">
        <v>571</v>
      </c>
      <c r="D18" s="2004"/>
      <c r="E18" s="592"/>
      <c r="F18" s="158">
        <f t="shared" ref="F18" si="55">F11-F17</f>
        <v>0</v>
      </c>
      <c r="G18" s="158">
        <f t="shared" ref="G18" ca="1" si="56">G11-G17</f>
        <v>1.0841800000000139</v>
      </c>
      <c r="H18" s="158">
        <f t="shared" ref="H18:I18" ca="1" si="57">H11-H17</f>
        <v>1.0876999999999943</v>
      </c>
      <c r="I18" s="158">
        <f t="shared" ca="1" si="57"/>
        <v>0.80087999999998849</v>
      </c>
      <c r="J18" s="158"/>
      <c r="K18" s="158"/>
      <c r="L18" s="158"/>
      <c r="M18" s="158"/>
      <c r="N18" s="2416"/>
      <c r="O18" s="158">
        <f t="shared" ref="O18:V18" ca="1" si="58">O11-O17</f>
        <v>1.0744200000000139</v>
      </c>
      <c r="P18" s="158">
        <f t="shared" ca="1" si="58"/>
        <v>1.0767150000000176</v>
      </c>
      <c r="Q18" s="158">
        <f t="shared" ca="1" si="58"/>
        <v>1.1966900000000853</v>
      </c>
      <c r="R18" s="158">
        <f t="shared" ca="1" si="58"/>
        <v>1.2304900000001273</v>
      </c>
      <c r="S18" s="158">
        <f t="shared" ca="1" si="58"/>
        <v>1.2299300000001201</v>
      </c>
      <c r="T18" s="158">
        <f t="shared" ca="1" si="58"/>
        <v>0.91169000000009759</v>
      </c>
      <c r="U18" s="158">
        <f t="shared" ca="1" si="58"/>
        <v>0.90507000000009952</v>
      </c>
      <c r="V18" s="158">
        <f t="shared" ca="1" si="58"/>
        <v>0.69913000000007286</v>
      </c>
      <c r="W18" s="158"/>
      <c r="X18" s="2416"/>
      <c r="Y18" s="158">
        <f t="shared" ref="Y18:AH18" ca="1" si="59">Y11-Y17</f>
        <v>1.0461950000000406</v>
      </c>
      <c r="Z18" s="158">
        <f t="shared" ca="1" si="59"/>
        <v>1.0826200000000303</v>
      </c>
      <c r="AA18" s="158">
        <f t="shared" ca="1" si="59"/>
        <v>1.0948400000000438</v>
      </c>
      <c r="AB18" s="158">
        <f t="shared" ca="1" si="59"/>
        <v>1.080200000000058</v>
      </c>
      <c r="AC18" s="158">
        <f t="shared" ca="1" si="59"/>
        <v>1.0129700000000532</v>
      </c>
      <c r="AD18" s="158">
        <f t="shared" ca="1" si="59"/>
        <v>0.96027500000005328</v>
      </c>
      <c r="AE18" s="158">
        <f t="shared" ca="1" si="59"/>
        <v>0.9587500000000666</v>
      </c>
      <c r="AF18" s="158">
        <f t="shared" ca="1" si="59"/>
        <v>0.96252000000005977</v>
      </c>
      <c r="AG18" s="158">
        <f t="shared" ca="1" si="59"/>
        <v>0.94918000000008873</v>
      </c>
      <c r="AH18" s="158">
        <f t="shared" ca="1" si="59"/>
        <v>1.1650300000001061</v>
      </c>
      <c r="AI18" s="158"/>
      <c r="AJ18" s="158"/>
      <c r="AK18" s="158"/>
      <c r="AL18" s="158"/>
      <c r="AM18" s="158"/>
      <c r="AN18" s="158"/>
      <c r="AO18" s="158"/>
      <c r="AP18" s="158"/>
      <c r="AQ18" s="158"/>
      <c r="AR18" s="2416"/>
      <c r="AS18" s="158">
        <f t="shared" ref="AS18:AW18" ca="1" si="60">AS11-AS17</f>
        <v>1.099709999999998</v>
      </c>
      <c r="AT18" s="158">
        <f t="shared" ca="1" si="60"/>
        <v>0.89423999999999704</v>
      </c>
      <c r="AU18" s="158">
        <f t="shared" ca="1" si="60"/>
        <v>0.90726000000003704</v>
      </c>
      <c r="AV18" s="158">
        <f t="shared" ca="1" si="60"/>
        <v>0.89059500000004799</v>
      </c>
      <c r="AW18" s="158">
        <f t="shared" ca="1" si="60"/>
        <v>1.6798450000001048</v>
      </c>
      <c r="AX18" s="158">
        <f t="shared" ref="AX18" si="61">AX11-AX17</f>
        <v>0</v>
      </c>
      <c r="AY18" s="158">
        <f t="shared" ref="AY18:BI18" si="62">AY11-AY17</f>
        <v>0.46600000000000008</v>
      </c>
      <c r="AZ18" s="158">
        <f t="shared" ref="AZ18" si="63">AZ11-AZ17</f>
        <v>0</v>
      </c>
      <c r="BA18" s="158">
        <f t="shared" si="62"/>
        <v>0.37399999999999989</v>
      </c>
      <c r="BB18" s="158">
        <f t="shared" si="62"/>
        <v>0</v>
      </c>
      <c r="BC18" s="158">
        <f t="shared" si="62"/>
        <v>0</v>
      </c>
      <c r="BD18" s="158">
        <f t="shared" si="62"/>
        <v>0</v>
      </c>
      <c r="BE18" s="158">
        <f t="shared" si="62"/>
        <v>0</v>
      </c>
      <c r="BF18" s="158">
        <f t="shared" si="62"/>
        <v>0</v>
      </c>
      <c r="BG18" s="158">
        <f t="shared" si="62"/>
        <v>0</v>
      </c>
      <c r="BH18" s="158">
        <f t="shared" si="62"/>
        <v>0</v>
      </c>
      <c r="BI18" s="158">
        <f t="shared" si="62"/>
        <v>0</v>
      </c>
      <c r="BJ18" s="159"/>
      <c r="BK18" s="159"/>
      <c r="BL18" s="159"/>
      <c r="BM18" s="351"/>
      <c r="BN18" s="579">
        <f t="shared" ca="1" si="0"/>
        <v>27.921125000001407</v>
      </c>
      <c r="BO18" s="1089"/>
      <c r="BP18" s="1089"/>
      <c r="BQ18" s="1089"/>
      <c r="BR18" s="1089"/>
      <c r="BS18" s="1089"/>
      <c r="BT18" s="1089"/>
      <c r="BU18" s="1089"/>
      <c r="BV18" s="1089"/>
      <c r="BW18" s="1089"/>
      <c r="BX18" s="1089"/>
      <c r="BY18" s="1089"/>
      <c r="BZ18" s="1089"/>
    </row>
    <row r="19" spans="1:78" s="590" customFormat="1" ht="21.95" hidden="1" customHeight="1" x14ac:dyDescent="0.15">
      <c r="A19" s="2596"/>
      <c r="B19" s="2678"/>
      <c r="C19" s="591" t="s">
        <v>741</v>
      </c>
      <c r="D19" s="2004"/>
      <c r="E19" s="592"/>
      <c r="F19" s="158">
        <f>IF(Dren_Quantificacao!D17="SIM",F17,0)</f>
        <v>0</v>
      </c>
      <c r="G19" s="158">
        <f>IF(Dren_Quantificacao!E17="SIM",G17,0)</f>
        <v>0</v>
      </c>
      <c r="H19" s="158">
        <f>IF(Dren_Quantificacao!F17="SIM",H17,0)</f>
        <v>0</v>
      </c>
      <c r="I19" s="158">
        <f>IF(Dren_Quantificacao!G17="SIM",I17,0)</f>
        <v>0</v>
      </c>
      <c r="J19" s="158"/>
      <c r="K19" s="158"/>
      <c r="L19" s="158"/>
      <c r="M19" s="158"/>
      <c r="N19" s="2416"/>
      <c r="O19" s="158">
        <f>IF(Dren_Quantificacao!M17="SIM",O17,0)</f>
        <v>0</v>
      </c>
      <c r="P19" s="158">
        <f>IF(Dren_Quantificacao!N17="SIM",P17,0)</f>
        <v>0</v>
      </c>
      <c r="Q19" s="158">
        <f>IF(Dren_Quantificacao!O17="SIM",Q17,0)</f>
        <v>0</v>
      </c>
      <c r="R19" s="158">
        <f>IF(Dren_Quantificacao!P17="SIM",R17,0)</f>
        <v>0</v>
      </c>
      <c r="S19" s="158">
        <f>IF(Dren_Quantificacao!Q17="SIM",S17,0)</f>
        <v>0</v>
      </c>
      <c r="T19" s="158">
        <f>IF(Dren_Quantificacao!R17="SIM",T17,0)</f>
        <v>0</v>
      </c>
      <c r="U19" s="158">
        <f>IF(Dren_Quantificacao!S17="SIM",U17,0)</f>
        <v>0</v>
      </c>
      <c r="V19" s="158">
        <f>IF(Dren_Quantificacao!T17="SIM",V17,0)</f>
        <v>0</v>
      </c>
      <c r="W19" s="158"/>
      <c r="X19" s="2416"/>
      <c r="Y19" s="158">
        <f>IF(Dren_Quantificacao!W17="SIM",Y17,0)</f>
        <v>0</v>
      </c>
      <c r="Z19" s="158">
        <f>IF(Dren_Quantificacao!X17="SIM",Z17,0)</f>
        <v>0</v>
      </c>
      <c r="AA19" s="158">
        <f>IF(Dren_Quantificacao!Y17="SIM",AA17,0)</f>
        <v>0</v>
      </c>
      <c r="AB19" s="158">
        <f>IF(Dren_Quantificacao!Z17="SIM",AB17,0)</f>
        <v>0</v>
      </c>
      <c r="AC19" s="158">
        <f>IF(Dren_Quantificacao!AA17="SIM",AC17,0)</f>
        <v>0</v>
      </c>
      <c r="AD19" s="158">
        <f>IF(Dren_Quantificacao!AB17="SIM",AD17,0)</f>
        <v>0</v>
      </c>
      <c r="AE19" s="158">
        <f>IF(Dren_Quantificacao!AC17="SIM",AE17,0)</f>
        <v>0</v>
      </c>
      <c r="AF19" s="158">
        <f>IF(Dren_Quantificacao!AD17="SIM",AF17,0)</f>
        <v>0</v>
      </c>
      <c r="AG19" s="158">
        <f>IF(Dren_Quantificacao!AE17="SIM",AG17,0)</f>
        <v>0</v>
      </c>
      <c r="AH19" s="158">
        <f>IF(Dren_Quantificacao!AF17="SIM",AH17,0)</f>
        <v>0</v>
      </c>
      <c r="AI19" s="158"/>
      <c r="AJ19" s="158"/>
      <c r="AK19" s="158"/>
      <c r="AL19" s="158"/>
      <c r="AM19" s="158"/>
      <c r="AN19" s="158"/>
      <c r="AO19" s="158"/>
      <c r="AP19" s="158"/>
      <c r="AQ19" s="158"/>
      <c r="AR19" s="2416"/>
      <c r="AS19" s="158">
        <f>IF(Dren_Quantificacao!AQ17="SIM",AS17,0)</f>
        <v>0</v>
      </c>
      <c r="AT19" s="158">
        <f>IF(Dren_Quantificacao!AR17="SIM",AT17,0)</f>
        <v>0</v>
      </c>
      <c r="AU19" s="158">
        <f>IF(Dren_Quantificacao!AS17="SIM",AU17,0)</f>
        <v>0</v>
      </c>
      <c r="AV19" s="158">
        <f>IF(Dren_Quantificacao!AT17="SIM",AV17,0)</f>
        <v>0</v>
      </c>
      <c r="AW19" s="158">
        <f>IF(Dren_Quantificacao!AU17="SIM",AW17,0)</f>
        <v>0</v>
      </c>
      <c r="AX19" s="158">
        <f>IF(Dren_Quantificacao!AW17="SIM",AX17,0)</f>
        <v>0</v>
      </c>
      <c r="AY19" s="158">
        <f>IF(Dren_Quantificacao!AX17="SIM",AY17,0)</f>
        <v>0</v>
      </c>
      <c r="AZ19" s="158">
        <f>IF(Dren_Quantificacao!AY17="SIM",AZ17,0)</f>
        <v>0</v>
      </c>
      <c r="BA19" s="158">
        <f>IF(Dren_Quantificacao!AZ17="SIM",BA17,0)</f>
        <v>0</v>
      </c>
      <c r="BB19" s="158">
        <f>IF(Dren_Quantificacao!BA17="SIM",BB17,0)</f>
        <v>0</v>
      </c>
      <c r="BC19" s="158">
        <f>IF(Dren_Quantificacao!BB17="SIM",BC17,0)</f>
        <v>0</v>
      </c>
      <c r="BD19" s="158">
        <f>IF(Dren_Quantificacao!BC17="SIM",BD17,0)</f>
        <v>0</v>
      </c>
      <c r="BE19" s="158">
        <f>IF(Dren_Quantificacao!BD17="SIM",BE17,0)</f>
        <v>0</v>
      </c>
      <c r="BF19" s="158">
        <f>IF(Dren_Quantificacao!BE17="SIM",BF17,0)</f>
        <v>0</v>
      </c>
      <c r="BG19" s="158">
        <f>IF(Dren_Quantificacao!BF17="SIM",BG17,0)</f>
        <v>0</v>
      </c>
      <c r="BH19" s="158">
        <f>IF(Dren_Quantificacao!BG17="SIM",BH17,0)</f>
        <v>0</v>
      </c>
      <c r="BI19" s="158">
        <f>IF(Dren_Quantificacao!BH17="SIM",BI17,0)</f>
        <v>0</v>
      </c>
      <c r="BJ19" s="159"/>
      <c r="BK19" s="159"/>
      <c r="BL19" s="159"/>
      <c r="BM19" s="351"/>
      <c r="BN19" s="579">
        <f t="shared" si="0"/>
        <v>0</v>
      </c>
      <c r="BO19" s="1089"/>
      <c r="BP19" s="1089"/>
      <c r="BQ19" s="1089"/>
      <c r="BR19" s="1089"/>
      <c r="BS19" s="1089"/>
      <c r="BT19" s="1089"/>
      <c r="BU19" s="1089"/>
      <c r="BV19" s="1089"/>
      <c r="BW19" s="1089"/>
      <c r="BX19" s="1089"/>
      <c r="BY19" s="1089"/>
      <c r="BZ19" s="1089"/>
    </row>
    <row r="20" spans="1:78" s="590" customFormat="1" ht="21.95" hidden="1" customHeight="1" x14ac:dyDescent="0.15">
      <c r="A20" s="2596"/>
      <c r="B20" s="2678"/>
      <c r="C20" s="591" t="s">
        <v>457</v>
      </c>
      <c r="D20" s="2004"/>
      <c r="E20" s="592"/>
      <c r="F20" s="158">
        <f t="shared" ref="F20" si="64">IF(F13&gt;4.5,F13,0)</f>
        <v>0</v>
      </c>
      <c r="G20" s="158">
        <f t="shared" ref="G20" ca="1" si="65">IF(G13&gt;4.5,G13,0)</f>
        <v>0</v>
      </c>
      <c r="H20" s="158">
        <f t="shared" ref="H20:I20" ca="1" si="66">IF(H13&gt;4.5,H13,0)</f>
        <v>0</v>
      </c>
      <c r="I20" s="158">
        <f t="shared" ca="1" si="66"/>
        <v>0</v>
      </c>
      <c r="J20" s="158"/>
      <c r="K20" s="158"/>
      <c r="L20" s="158"/>
      <c r="M20" s="158"/>
      <c r="N20" s="2416"/>
      <c r="O20" s="158">
        <f t="shared" ref="O20:V20" ca="1" si="67">IF(O13&gt;4.5,O13,0)</f>
        <v>0</v>
      </c>
      <c r="P20" s="158">
        <f t="shared" ca="1" si="67"/>
        <v>0</v>
      </c>
      <c r="Q20" s="158">
        <f t="shared" ca="1" si="67"/>
        <v>0</v>
      </c>
      <c r="R20" s="158">
        <f t="shared" ca="1" si="67"/>
        <v>0</v>
      </c>
      <c r="S20" s="158">
        <f t="shared" ca="1" si="67"/>
        <v>0</v>
      </c>
      <c r="T20" s="158">
        <f t="shared" ca="1" si="67"/>
        <v>0</v>
      </c>
      <c r="U20" s="158">
        <f t="shared" ca="1" si="67"/>
        <v>0</v>
      </c>
      <c r="V20" s="158">
        <f t="shared" ca="1" si="67"/>
        <v>0</v>
      </c>
      <c r="W20" s="158"/>
      <c r="X20" s="2416"/>
      <c r="Y20" s="158">
        <f t="shared" ref="Y20:AH20" ca="1" si="68">IF(Y13&gt;4.5,Y13,0)</f>
        <v>0</v>
      </c>
      <c r="Z20" s="158">
        <f t="shared" ca="1" si="68"/>
        <v>0</v>
      </c>
      <c r="AA20" s="158">
        <f t="shared" ca="1" si="68"/>
        <v>0</v>
      </c>
      <c r="AB20" s="158">
        <f t="shared" ca="1" si="68"/>
        <v>0</v>
      </c>
      <c r="AC20" s="158">
        <f t="shared" ca="1" si="68"/>
        <v>0</v>
      </c>
      <c r="AD20" s="158">
        <f t="shared" ca="1" si="68"/>
        <v>0</v>
      </c>
      <c r="AE20" s="158">
        <f t="shared" ca="1" si="68"/>
        <v>0</v>
      </c>
      <c r="AF20" s="158">
        <f t="shared" ca="1" si="68"/>
        <v>0</v>
      </c>
      <c r="AG20" s="158">
        <f t="shared" ca="1" si="68"/>
        <v>0</v>
      </c>
      <c r="AH20" s="158">
        <f t="shared" ca="1" si="68"/>
        <v>0</v>
      </c>
      <c r="AI20" s="158"/>
      <c r="AJ20" s="158"/>
      <c r="AK20" s="158"/>
      <c r="AL20" s="158"/>
      <c r="AM20" s="158"/>
      <c r="AN20" s="158"/>
      <c r="AO20" s="158"/>
      <c r="AP20" s="158"/>
      <c r="AQ20" s="158"/>
      <c r="AR20" s="2416"/>
      <c r="AS20" s="158">
        <f t="shared" ref="AS20:AW20" ca="1" si="69">IF(AS13&gt;4.5,AS13,0)</f>
        <v>0</v>
      </c>
      <c r="AT20" s="158">
        <f t="shared" ca="1" si="69"/>
        <v>0</v>
      </c>
      <c r="AU20" s="158">
        <f t="shared" ca="1" si="69"/>
        <v>0</v>
      </c>
      <c r="AV20" s="158">
        <f t="shared" ca="1" si="69"/>
        <v>0</v>
      </c>
      <c r="AW20" s="158">
        <f t="shared" ca="1" si="69"/>
        <v>0</v>
      </c>
      <c r="AX20" s="158">
        <f t="shared" ref="AX20" si="70">IF(AX13&gt;4.5,AX13,0)</f>
        <v>0</v>
      </c>
      <c r="AY20" s="158">
        <f t="shared" ref="AY20:BI20" si="71">IF(AY13&gt;4.5,AY13,0)</f>
        <v>0</v>
      </c>
      <c r="AZ20" s="158">
        <f t="shared" ref="AZ20" si="72">IF(AZ13&gt;4.5,AZ13,0)</f>
        <v>0</v>
      </c>
      <c r="BA20" s="158">
        <f t="shared" si="71"/>
        <v>0</v>
      </c>
      <c r="BB20" s="158">
        <f t="shared" si="71"/>
        <v>0</v>
      </c>
      <c r="BC20" s="158">
        <f t="shared" si="71"/>
        <v>0</v>
      </c>
      <c r="BD20" s="158">
        <f t="shared" si="71"/>
        <v>0</v>
      </c>
      <c r="BE20" s="158">
        <f t="shared" si="71"/>
        <v>0</v>
      </c>
      <c r="BF20" s="158">
        <f t="shared" si="71"/>
        <v>0</v>
      </c>
      <c r="BG20" s="158">
        <f t="shared" si="71"/>
        <v>0</v>
      </c>
      <c r="BH20" s="158">
        <f t="shared" si="71"/>
        <v>0</v>
      </c>
      <c r="BI20" s="158">
        <f t="shared" si="71"/>
        <v>0</v>
      </c>
      <c r="BJ20" s="159"/>
      <c r="BK20" s="159"/>
      <c r="BL20" s="159"/>
      <c r="BM20" s="351"/>
      <c r="BN20" s="579">
        <f t="shared" ca="1" si="0"/>
        <v>0</v>
      </c>
      <c r="BO20" s="1089"/>
      <c r="BP20" s="1089"/>
      <c r="BQ20" s="1089"/>
      <c r="BR20" s="1089"/>
      <c r="BS20" s="1089"/>
      <c r="BT20" s="1089"/>
      <c r="BU20" s="1089"/>
      <c r="BV20" s="1089"/>
      <c r="BW20" s="1089"/>
      <c r="BX20" s="1089"/>
      <c r="BY20" s="1089"/>
      <c r="BZ20" s="1089"/>
    </row>
    <row r="21" spans="1:78" s="590" customFormat="1" ht="21.95" customHeight="1" x14ac:dyDescent="0.15">
      <c r="A21" s="2596"/>
      <c r="B21" s="2678"/>
      <c r="C21" s="591" t="s">
        <v>564</v>
      </c>
      <c r="D21" s="2004"/>
      <c r="E21" s="592"/>
      <c r="F21" s="158">
        <f t="shared" ref="F21" si="73">IF(F20&gt;0,0,IF(F13&gt;3,F13,0))</f>
        <v>0</v>
      </c>
      <c r="G21" s="158">
        <f t="shared" ref="G21" ca="1" si="74">IF(G20&gt;0,0,IF(G13&gt;3,G13,0))</f>
        <v>0</v>
      </c>
      <c r="H21" s="158">
        <f t="shared" ref="H21:I21" ca="1" si="75">IF(H20&gt;0,0,IF(H13&gt;3,H13,0))</f>
        <v>0</v>
      </c>
      <c r="I21" s="158">
        <f t="shared" ca="1" si="75"/>
        <v>0</v>
      </c>
      <c r="J21" s="158"/>
      <c r="K21" s="158"/>
      <c r="L21" s="158"/>
      <c r="M21" s="158"/>
      <c r="N21" s="2416"/>
      <c r="O21" s="158">
        <f t="shared" ref="O21:V21" ca="1" si="76">IF(O20&gt;0,0,IF(O13&gt;3,O13,0))</f>
        <v>0</v>
      </c>
      <c r="P21" s="158">
        <f t="shared" ca="1" si="76"/>
        <v>0</v>
      </c>
      <c r="Q21" s="158">
        <f t="shared" ca="1" si="76"/>
        <v>0</v>
      </c>
      <c r="R21" s="158">
        <f t="shared" ca="1" si="76"/>
        <v>0</v>
      </c>
      <c r="S21" s="158">
        <f t="shared" ca="1" si="76"/>
        <v>0</v>
      </c>
      <c r="T21" s="158">
        <f t="shared" ca="1" si="76"/>
        <v>0</v>
      </c>
      <c r="U21" s="158">
        <f t="shared" ca="1" si="76"/>
        <v>0</v>
      </c>
      <c r="V21" s="158">
        <f t="shared" ca="1" si="76"/>
        <v>0</v>
      </c>
      <c r="W21" s="158"/>
      <c r="X21" s="2416"/>
      <c r="Y21" s="158">
        <f t="shared" ref="Y21:AH21" ca="1" si="77">IF(Y20&gt;0,0,IF(Y13&gt;3,Y13,0))</f>
        <v>0</v>
      </c>
      <c r="Z21" s="158">
        <f t="shared" ca="1" si="77"/>
        <v>0</v>
      </c>
      <c r="AA21" s="158">
        <f t="shared" ca="1" si="77"/>
        <v>0</v>
      </c>
      <c r="AB21" s="158">
        <f t="shared" ca="1" si="77"/>
        <v>0</v>
      </c>
      <c r="AC21" s="158">
        <f t="shared" ca="1" si="77"/>
        <v>0</v>
      </c>
      <c r="AD21" s="158">
        <f t="shared" ca="1" si="77"/>
        <v>0</v>
      </c>
      <c r="AE21" s="158">
        <f t="shared" ca="1" si="77"/>
        <v>0</v>
      </c>
      <c r="AF21" s="158">
        <f t="shared" ca="1" si="77"/>
        <v>0</v>
      </c>
      <c r="AG21" s="158">
        <f t="shared" ca="1" si="77"/>
        <v>0</v>
      </c>
      <c r="AH21" s="158">
        <f t="shared" ca="1" si="77"/>
        <v>0</v>
      </c>
      <c r="AI21" s="158"/>
      <c r="AJ21" s="158"/>
      <c r="AK21" s="158"/>
      <c r="AL21" s="158"/>
      <c r="AM21" s="158"/>
      <c r="AN21" s="158"/>
      <c r="AO21" s="158"/>
      <c r="AP21" s="158"/>
      <c r="AQ21" s="158"/>
      <c r="AR21" s="2416"/>
      <c r="AS21" s="158">
        <f t="shared" ref="AS21:AW21" ca="1" si="78">IF(AS20&gt;0,0,IF(AS13&gt;3,AS13,0))</f>
        <v>0</v>
      </c>
      <c r="AT21" s="158">
        <f t="shared" ca="1" si="78"/>
        <v>0</v>
      </c>
      <c r="AU21" s="158">
        <f t="shared" ca="1" si="78"/>
        <v>0</v>
      </c>
      <c r="AV21" s="158">
        <f t="shared" ca="1" si="78"/>
        <v>0</v>
      </c>
      <c r="AW21" s="158">
        <f t="shared" ca="1" si="78"/>
        <v>3.3998450000001048</v>
      </c>
      <c r="AX21" s="158">
        <f t="shared" ref="AX21" si="79">IF(AX20&gt;0,0,IF(AX13&gt;3,AX13,0))</f>
        <v>0</v>
      </c>
      <c r="AY21" s="158">
        <f t="shared" ref="AY21:BI21" si="80">IF(AY20&gt;0,0,IF(AY13&gt;3,AY13,0))</f>
        <v>0</v>
      </c>
      <c r="AZ21" s="158">
        <f t="shared" ref="AZ21" si="81">IF(AZ20&gt;0,0,IF(AZ13&gt;3,AZ13,0))</f>
        <v>0</v>
      </c>
      <c r="BA21" s="158">
        <f t="shared" si="80"/>
        <v>0</v>
      </c>
      <c r="BB21" s="158">
        <f t="shared" si="80"/>
        <v>0</v>
      </c>
      <c r="BC21" s="158">
        <f t="shared" si="80"/>
        <v>0</v>
      </c>
      <c r="BD21" s="158">
        <f t="shared" si="80"/>
        <v>0</v>
      </c>
      <c r="BE21" s="158">
        <f t="shared" si="80"/>
        <v>0</v>
      </c>
      <c r="BF21" s="158">
        <f t="shared" si="80"/>
        <v>0</v>
      </c>
      <c r="BG21" s="158">
        <f t="shared" si="80"/>
        <v>0</v>
      </c>
      <c r="BH21" s="158">
        <f t="shared" si="80"/>
        <v>0</v>
      </c>
      <c r="BI21" s="158">
        <f t="shared" si="80"/>
        <v>0</v>
      </c>
      <c r="BJ21" s="159"/>
      <c r="BK21" s="159"/>
      <c r="BL21" s="159"/>
      <c r="BM21" s="351"/>
      <c r="BN21" s="579">
        <f t="shared" ca="1" si="0"/>
        <v>3.3998450000001048</v>
      </c>
      <c r="BO21" s="1089"/>
      <c r="BP21" s="1089"/>
      <c r="BQ21" s="1089"/>
      <c r="BR21" s="1089"/>
      <c r="BS21" s="1089"/>
      <c r="BT21" s="1089"/>
      <c r="BU21" s="1089"/>
      <c r="BV21" s="1089"/>
      <c r="BW21" s="1089"/>
      <c r="BX21" s="1089"/>
      <c r="BY21" s="1089"/>
      <c r="BZ21" s="1089"/>
    </row>
    <row r="22" spans="1:78" s="590" customFormat="1" ht="21.95" customHeight="1" x14ac:dyDescent="0.15">
      <c r="A22" s="2596"/>
      <c r="B22" s="2678"/>
      <c r="C22" s="591" t="s">
        <v>565</v>
      </c>
      <c r="D22" s="2004"/>
      <c r="E22" s="592"/>
      <c r="F22" s="158">
        <f t="shared" ref="F22" si="82">IF(F20+F21&gt;0,0,IF(F13&gt;1.5,F13,0))</f>
        <v>0</v>
      </c>
      <c r="G22" s="158">
        <f t="shared" ref="G22" ca="1" si="83">IF(G20+G21&gt;0,0,IF(G13&gt;1.5,G13,0))</f>
        <v>2.2361800000000138</v>
      </c>
      <c r="H22" s="158">
        <f t="shared" ref="H22:I22" ca="1" si="84">IF(H20+H21&gt;0,0,IF(H13&gt;1.5,H13,0))</f>
        <v>2.2396999999999943</v>
      </c>
      <c r="I22" s="158">
        <f t="shared" ca="1" si="84"/>
        <v>1.9528799999999884</v>
      </c>
      <c r="J22" s="158"/>
      <c r="K22" s="158"/>
      <c r="L22" s="158"/>
      <c r="M22" s="158"/>
      <c r="N22" s="2416"/>
      <c r="O22" s="158">
        <f t="shared" ref="O22:V22" ca="1" si="85">IF(O20+O21&gt;0,0,IF(O13&gt;1.5,O13,0))</f>
        <v>2.2264200000000138</v>
      </c>
      <c r="P22" s="158">
        <f t="shared" ca="1" si="85"/>
        <v>2.2287150000000175</v>
      </c>
      <c r="Q22" s="158">
        <f t="shared" ca="1" si="85"/>
        <v>2.3486900000000852</v>
      </c>
      <c r="R22" s="158">
        <f t="shared" ca="1" si="85"/>
        <v>2.3824900000001272</v>
      </c>
      <c r="S22" s="158">
        <f t="shared" ca="1" si="85"/>
        <v>2.38193000000012</v>
      </c>
      <c r="T22" s="158">
        <f t="shared" ca="1" si="85"/>
        <v>2.6316900000000976</v>
      </c>
      <c r="U22" s="158">
        <f t="shared" ca="1" si="85"/>
        <v>2.6250700000000995</v>
      </c>
      <c r="V22" s="158">
        <f t="shared" ca="1" si="85"/>
        <v>2.4191300000000728</v>
      </c>
      <c r="W22" s="158"/>
      <c r="X22" s="2416"/>
      <c r="Y22" s="158">
        <f t="shared" ref="Y22:AH22" ca="1" si="86">IF(Y20+Y21&gt;0,0,IF(Y13&gt;1.5,Y13,0))</f>
        <v>2.4821950000000408</v>
      </c>
      <c r="Z22" s="158">
        <f t="shared" ca="1" si="86"/>
        <v>2.2346200000000302</v>
      </c>
      <c r="AA22" s="158">
        <f t="shared" ca="1" si="86"/>
        <v>2.2468400000000437</v>
      </c>
      <c r="AB22" s="158">
        <f t="shared" ca="1" si="86"/>
        <v>2.2322000000000579</v>
      </c>
      <c r="AC22" s="158">
        <f t="shared" ca="1" si="86"/>
        <v>2.4489700000000534</v>
      </c>
      <c r="AD22" s="158">
        <f t="shared" ca="1" si="86"/>
        <v>2.3962750000000534</v>
      </c>
      <c r="AE22" s="158">
        <f t="shared" ca="1" si="86"/>
        <v>2.3947500000000668</v>
      </c>
      <c r="AF22" s="158">
        <f t="shared" ca="1" si="86"/>
        <v>2.6825200000000597</v>
      </c>
      <c r="AG22" s="158">
        <f t="shared" ca="1" si="86"/>
        <v>2.6691800000000887</v>
      </c>
      <c r="AH22" s="158">
        <f t="shared" ca="1" si="86"/>
        <v>2.8850300000001061</v>
      </c>
      <c r="AI22" s="158"/>
      <c r="AJ22" s="158"/>
      <c r="AK22" s="158"/>
      <c r="AL22" s="158"/>
      <c r="AM22" s="158"/>
      <c r="AN22" s="158"/>
      <c r="AO22" s="158"/>
      <c r="AP22" s="158"/>
      <c r="AQ22" s="158"/>
      <c r="AR22" s="2416"/>
      <c r="AS22" s="158">
        <f t="shared" ref="AS22:AW22" ca="1" si="87">IF(AS20+AS21&gt;0,0,IF(AS13&gt;1.5,AS13,0))</f>
        <v>2.2517099999999979</v>
      </c>
      <c r="AT22" s="158">
        <f t="shared" ca="1" si="87"/>
        <v>2.3302399999999972</v>
      </c>
      <c r="AU22" s="158">
        <f t="shared" ca="1" si="87"/>
        <v>2.3432600000000372</v>
      </c>
      <c r="AV22" s="158">
        <f t="shared" ca="1" si="87"/>
        <v>2.3265950000000482</v>
      </c>
      <c r="AW22" s="158">
        <f t="shared" ca="1" si="87"/>
        <v>0</v>
      </c>
      <c r="AX22" s="158">
        <f t="shared" ref="AX22" si="88">IF(AX20+AX21&gt;0,0,IF(AX13&gt;1.5,AX13,0))</f>
        <v>0</v>
      </c>
      <c r="AY22" s="158">
        <f t="shared" ref="AY22:BI22" si="89">IF(AY20+AY21&gt;0,0,IF(AY13&gt;1.5,AY13,0))</f>
        <v>0</v>
      </c>
      <c r="AZ22" s="158">
        <f t="shared" ref="AZ22" si="90">IF(AZ20+AZ21&gt;0,0,IF(AZ13&gt;1.5,AZ13,0))</f>
        <v>0</v>
      </c>
      <c r="BA22" s="158">
        <f t="shared" si="89"/>
        <v>1.5259999999999998</v>
      </c>
      <c r="BB22" s="158">
        <f t="shared" si="89"/>
        <v>0</v>
      </c>
      <c r="BC22" s="158">
        <f t="shared" si="89"/>
        <v>0</v>
      </c>
      <c r="BD22" s="158">
        <f t="shared" si="89"/>
        <v>0</v>
      </c>
      <c r="BE22" s="158">
        <f t="shared" si="89"/>
        <v>0</v>
      </c>
      <c r="BF22" s="158">
        <f t="shared" si="89"/>
        <v>0</v>
      </c>
      <c r="BG22" s="158">
        <f t="shared" si="89"/>
        <v>0</v>
      </c>
      <c r="BH22" s="158">
        <f t="shared" si="89"/>
        <v>0</v>
      </c>
      <c r="BI22" s="158">
        <f t="shared" si="89"/>
        <v>0</v>
      </c>
      <c r="BJ22" s="159"/>
      <c r="BK22" s="159"/>
      <c r="BL22" s="159"/>
      <c r="BM22" s="351"/>
      <c r="BN22" s="579">
        <f t="shared" ca="1" si="0"/>
        <v>61.123280000001301</v>
      </c>
      <c r="BO22" s="1089"/>
      <c r="BP22" s="1089"/>
      <c r="BQ22" s="1089"/>
      <c r="BR22" s="1089"/>
      <c r="BS22" s="1089"/>
      <c r="BT22" s="1089"/>
      <c r="BU22" s="1089"/>
      <c r="BV22" s="1089"/>
      <c r="BW22" s="1089"/>
      <c r="BX22" s="1089"/>
      <c r="BY22" s="1089"/>
      <c r="BZ22" s="1089"/>
    </row>
    <row r="23" spans="1:78" s="590" customFormat="1" ht="21.95" customHeight="1" x14ac:dyDescent="0.15">
      <c r="A23" s="2596"/>
      <c r="B23" s="2678"/>
      <c r="C23" s="591" t="s">
        <v>458</v>
      </c>
      <c r="D23" s="2004"/>
      <c r="E23" s="592"/>
      <c r="F23" s="158">
        <f t="shared" ref="F23" si="91">IF(SUM(F20:F22)&gt;0,0,F13)</f>
        <v>0</v>
      </c>
      <c r="G23" s="158">
        <f t="shared" ref="G23" ca="1" si="92">IF(SUM(G20:G22)&gt;0,0,G13)</f>
        <v>0</v>
      </c>
      <c r="H23" s="158">
        <f t="shared" ref="H23:I23" ca="1" si="93">IF(SUM(H20:H22)&gt;0,0,H13)</f>
        <v>0</v>
      </c>
      <c r="I23" s="158">
        <f t="shared" ca="1" si="93"/>
        <v>0</v>
      </c>
      <c r="J23" s="158"/>
      <c r="K23" s="158"/>
      <c r="L23" s="158"/>
      <c r="M23" s="158"/>
      <c r="N23" s="2416"/>
      <c r="O23" s="158">
        <f t="shared" ref="O23:V23" ca="1" si="94">IF(SUM(O20:O22)&gt;0,0,O13)</f>
        <v>0</v>
      </c>
      <c r="P23" s="158">
        <f t="shared" ca="1" si="94"/>
        <v>0</v>
      </c>
      <c r="Q23" s="158">
        <f t="shared" ca="1" si="94"/>
        <v>0</v>
      </c>
      <c r="R23" s="158">
        <f t="shared" ca="1" si="94"/>
        <v>0</v>
      </c>
      <c r="S23" s="158">
        <f t="shared" ca="1" si="94"/>
        <v>0</v>
      </c>
      <c r="T23" s="158">
        <f t="shared" ca="1" si="94"/>
        <v>0</v>
      </c>
      <c r="U23" s="158">
        <f t="shared" ca="1" si="94"/>
        <v>0</v>
      </c>
      <c r="V23" s="158">
        <f t="shared" ca="1" si="94"/>
        <v>0</v>
      </c>
      <c r="W23" s="158"/>
      <c r="X23" s="2416"/>
      <c r="Y23" s="158">
        <f t="shared" ref="Y23:AH23" ca="1" si="95">IF(SUM(Y20:Y22)&gt;0,0,Y13)</f>
        <v>0</v>
      </c>
      <c r="Z23" s="158">
        <f t="shared" ca="1" si="95"/>
        <v>0</v>
      </c>
      <c r="AA23" s="158">
        <f t="shared" ca="1" si="95"/>
        <v>0</v>
      </c>
      <c r="AB23" s="158">
        <f t="shared" ca="1" si="95"/>
        <v>0</v>
      </c>
      <c r="AC23" s="158">
        <f t="shared" ca="1" si="95"/>
        <v>0</v>
      </c>
      <c r="AD23" s="158">
        <f t="shared" ca="1" si="95"/>
        <v>0</v>
      </c>
      <c r="AE23" s="158">
        <f t="shared" ca="1" si="95"/>
        <v>0</v>
      </c>
      <c r="AF23" s="158">
        <f t="shared" ca="1" si="95"/>
        <v>0</v>
      </c>
      <c r="AG23" s="158">
        <f t="shared" ca="1" si="95"/>
        <v>0</v>
      </c>
      <c r="AH23" s="158">
        <f t="shared" ca="1" si="95"/>
        <v>0</v>
      </c>
      <c r="AI23" s="158"/>
      <c r="AJ23" s="158"/>
      <c r="AK23" s="158"/>
      <c r="AL23" s="158"/>
      <c r="AM23" s="158"/>
      <c r="AN23" s="158"/>
      <c r="AO23" s="158"/>
      <c r="AP23" s="158"/>
      <c r="AQ23" s="158"/>
      <c r="AR23" s="2416"/>
      <c r="AS23" s="158">
        <f t="shared" ref="AS23:AW23" ca="1" si="96">IF(SUM(AS20:AS22)&gt;0,0,AS13)</f>
        <v>0</v>
      </c>
      <c r="AT23" s="158">
        <f t="shared" ca="1" si="96"/>
        <v>0</v>
      </c>
      <c r="AU23" s="158">
        <f t="shared" ca="1" si="96"/>
        <v>0</v>
      </c>
      <c r="AV23" s="158">
        <f t="shared" ca="1" si="96"/>
        <v>0</v>
      </c>
      <c r="AW23" s="158">
        <f t="shared" ca="1" si="96"/>
        <v>0</v>
      </c>
      <c r="AX23" s="158">
        <f t="shared" ref="AX23" si="97">IF(SUM(AX20:AX22)&gt;0,0,AX13)</f>
        <v>8.4000000000000005E-2</v>
      </c>
      <c r="AY23" s="158">
        <f t="shared" ref="AY23:BI23" si="98">IF(SUM(AY20:AY22)&gt;0,0,AY13)</f>
        <v>1.3340000000000001</v>
      </c>
      <c r="AZ23" s="158">
        <f t="shared" ref="AZ23" si="99">IF(SUM(AZ20:AZ22)&gt;0,0,AZ13)</f>
        <v>0.126</v>
      </c>
      <c r="BA23" s="158">
        <f t="shared" si="98"/>
        <v>0</v>
      </c>
      <c r="BB23" s="158">
        <f t="shared" si="98"/>
        <v>8.4000000000000005E-2</v>
      </c>
      <c r="BC23" s="158">
        <f t="shared" si="98"/>
        <v>0.126</v>
      </c>
      <c r="BD23" s="158">
        <f t="shared" si="98"/>
        <v>8.4000000000000005E-2</v>
      </c>
      <c r="BE23" s="158">
        <f t="shared" si="98"/>
        <v>8.4000000000000005E-2</v>
      </c>
      <c r="BF23" s="158">
        <f t="shared" si="98"/>
        <v>0.105</v>
      </c>
      <c r="BG23" s="158">
        <f t="shared" si="98"/>
        <v>0.105</v>
      </c>
      <c r="BH23" s="158">
        <f t="shared" si="98"/>
        <v>8.4000000000000005E-2</v>
      </c>
      <c r="BI23" s="158">
        <f t="shared" si="98"/>
        <v>0.105</v>
      </c>
      <c r="BJ23" s="158"/>
      <c r="BK23" s="158"/>
      <c r="BL23" s="158"/>
      <c r="BM23" s="351"/>
      <c r="BN23" s="579">
        <f t="shared" ca="1" si="0"/>
        <v>2.3210000000000002</v>
      </c>
      <c r="BO23" s="1089"/>
      <c r="BP23" s="1089"/>
      <c r="BQ23" s="1089"/>
      <c r="BR23" s="1089"/>
      <c r="BS23" s="1089"/>
      <c r="BT23" s="1089"/>
      <c r="BU23" s="1089"/>
      <c r="BV23" s="1089"/>
      <c r="BW23" s="1089"/>
      <c r="BX23" s="1089"/>
      <c r="BY23" s="1089"/>
      <c r="BZ23" s="1089"/>
    </row>
    <row r="24" spans="1:78" s="590" customFormat="1" ht="21.95" hidden="1" customHeight="1" x14ac:dyDescent="0.15">
      <c r="A24" s="2596"/>
      <c r="B24" s="2678"/>
      <c r="C24" s="591" t="s">
        <v>459</v>
      </c>
      <c r="D24" s="2004"/>
      <c r="E24" s="592"/>
      <c r="F24" s="158">
        <f t="shared" ref="F24" si="100">IF(F18&gt;4.5,F18,0)</f>
        <v>0</v>
      </c>
      <c r="G24" s="158">
        <f t="shared" ref="G24" ca="1" si="101">IF(G18&gt;4.5,G18,0)</f>
        <v>0</v>
      </c>
      <c r="H24" s="158">
        <f t="shared" ref="H24:I24" ca="1" si="102">IF(H18&gt;4.5,H18,0)</f>
        <v>0</v>
      </c>
      <c r="I24" s="158">
        <f t="shared" ca="1" si="102"/>
        <v>0</v>
      </c>
      <c r="J24" s="158"/>
      <c r="K24" s="158"/>
      <c r="L24" s="158"/>
      <c r="M24" s="158"/>
      <c r="N24" s="2416"/>
      <c r="O24" s="158">
        <f t="shared" ref="O24:V24" ca="1" si="103">IF(O18&gt;4.5,O18,0)</f>
        <v>0</v>
      </c>
      <c r="P24" s="158">
        <f t="shared" ca="1" si="103"/>
        <v>0</v>
      </c>
      <c r="Q24" s="158">
        <f t="shared" ca="1" si="103"/>
        <v>0</v>
      </c>
      <c r="R24" s="158">
        <f t="shared" ca="1" si="103"/>
        <v>0</v>
      </c>
      <c r="S24" s="158">
        <f t="shared" ca="1" si="103"/>
        <v>0</v>
      </c>
      <c r="T24" s="158">
        <f t="shared" ca="1" si="103"/>
        <v>0</v>
      </c>
      <c r="U24" s="158">
        <f t="shared" ca="1" si="103"/>
        <v>0</v>
      </c>
      <c r="V24" s="158">
        <f t="shared" ca="1" si="103"/>
        <v>0</v>
      </c>
      <c r="W24" s="158"/>
      <c r="X24" s="2416"/>
      <c r="Y24" s="158">
        <f t="shared" ref="Y24:AH24" ca="1" si="104">IF(Y18&gt;4.5,Y18,0)</f>
        <v>0</v>
      </c>
      <c r="Z24" s="158">
        <f t="shared" ca="1" si="104"/>
        <v>0</v>
      </c>
      <c r="AA24" s="158">
        <f t="shared" ca="1" si="104"/>
        <v>0</v>
      </c>
      <c r="AB24" s="158">
        <f t="shared" ca="1" si="104"/>
        <v>0</v>
      </c>
      <c r="AC24" s="158">
        <f t="shared" ca="1" si="104"/>
        <v>0</v>
      </c>
      <c r="AD24" s="158">
        <f t="shared" ca="1" si="104"/>
        <v>0</v>
      </c>
      <c r="AE24" s="158">
        <f t="shared" ca="1" si="104"/>
        <v>0</v>
      </c>
      <c r="AF24" s="158">
        <f t="shared" ca="1" si="104"/>
        <v>0</v>
      </c>
      <c r="AG24" s="158">
        <f t="shared" ca="1" si="104"/>
        <v>0</v>
      </c>
      <c r="AH24" s="158">
        <f t="shared" ca="1" si="104"/>
        <v>0</v>
      </c>
      <c r="AI24" s="158"/>
      <c r="AJ24" s="158"/>
      <c r="AK24" s="158"/>
      <c r="AL24" s="158"/>
      <c r="AM24" s="158"/>
      <c r="AN24" s="158"/>
      <c r="AO24" s="158"/>
      <c r="AP24" s="158"/>
      <c r="AQ24" s="158"/>
      <c r="AR24" s="2416"/>
      <c r="AS24" s="158">
        <f t="shared" ref="AS24:AW24" ca="1" si="105">IF(AS18&gt;4.5,AS18,0)</f>
        <v>0</v>
      </c>
      <c r="AT24" s="158">
        <f t="shared" ca="1" si="105"/>
        <v>0</v>
      </c>
      <c r="AU24" s="158">
        <f t="shared" ca="1" si="105"/>
        <v>0</v>
      </c>
      <c r="AV24" s="158">
        <f t="shared" ca="1" si="105"/>
        <v>0</v>
      </c>
      <c r="AW24" s="158">
        <f t="shared" ca="1" si="105"/>
        <v>0</v>
      </c>
      <c r="AX24" s="158">
        <f t="shared" ref="AX24" si="106">IF(AX18&gt;4.5,AX18,0)</f>
        <v>0</v>
      </c>
      <c r="AY24" s="158">
        <f t="shared" ref="AY24:BI24" si="107">IF(AY18&gt;4.5,AY18,0)</f>
        <v>0</v>
      </c>
      <c r="AZ24" s="158">
        <f t="shared" ref="AZ24" si="108">IF(AZ18&gt;4.5,AZ18,0)</f>
        <v>0</v>
      </c>
      <c r="BA24" s="158">
        <f t="shared" si="107"/>
        <v>0</v>
      </c>
      <c r="BB24" s="158">
        <f t="shared" si="107"/>
        <v>0</v>
      </c>
      <c r="BC24" s="158">
        <f t="shared" si="107"/>
        <v>0</v>
      </c>
      <c r="BD24" s="158">
        <f t="shared" si="107"/>
        <v>0</v>
      </c>
      <c r="BE24" s="158">
        <f t="shared" si="107"/>
        <v>0</v>
      </c>
      <c r="BF24" s="158">
        <f t="shared" si="107"/>
        <v>0</v>
      </c>
      <c r="BG24" s="158">
        <f t="shared" si="107"/>
        <v>0</v>
      </c>
      <c r="BH24" s="158">
        <f t="shared" si="107"/>
        <v>0</v>
      </c>
      <c r="BI24" s="158">
        <f t="shared" si="107"/>
        <v>0</v>
      </c>
      <c r="BJ24" s="159"/>
      <c r="BK24" s="159"/>
      <c r="BL24" s="159"/>
      <c r="BM24" s="351"/>
      <c r="BN24" s="579">
        <f t="shared" ca="1" si="0"/>
        <v>0</v>
      </c>
      <c r="BO24" s="1089"/>
      <c r="BP24" s="1089"/>
      <c r="BQ24" s="1089"/>
      <c r="BR24" s="1089"/>
      <c r="BS24" s="1089"/>
      <c r="BT24" s="1089"/>
      <c r="BU24" s="1089"/>
      <c r="BV24" s="1089"/>
      <c r="BW24" s="1089"/>
      <c r="BX24" s="1089"/>
      <c r="BY24" s="1089"/>
      <c r="BZ24" s="1089"/>
    </row>
    <row r="25" spans="1:78" s="590" customFormat="1" ht="21.95" hidden="1" customHeight="1" x14ac:dyDescent="0.15">
      <c r="A25" s="2596"/>
      <c r="B25" s="2678"/>
      <c r="C25" s="591" t="s">
        <v>566</v>
      </c>
      <c r="D25" s="2004"/>
      <c r="E25" s="592"/>
      <c r="F25" s="158">
        <f t="shared" ref="F25" si="109">IF(F24&gt;0,0,IF(F18&gt;3,F18,0))</f>
        <v>0</v>
      </c>
      <c r="G25" s="158">
        <f t="shared" ref="G25" ca="1" si="110">IF(G24&gt;0,0,IF(G18&gt;3,G18,0))</f>
        <v>0</v>
      </c>
      <c r="H25" s="158">
        <f t="shared" ref="H25:I25" ca="1" si="111">IF(H24&gt;0,0,IF(H18&gt;3,H18,0))</f>
        <v>0</v>
      </c>
      <c r="I25" s="158">
        <f t="shared" ca="1" si="111"/>
        <v>0</v>
      </c>
      <c r="J25" s="158"/>
      <c r="K25" s="158"/>
      <c r="L25" s="158"/>
      <c r="M25" s="158"/>
      <c r="N25" s="2416"/>
      <c r="O25" s="158">
        <f t="shared" ref="O25:V25" ca="1" si="112">IF(O24&gt;0,0,IF(O18&gt;3,O18,0))</f>
        <v>0</v>
      </c>
      <c r="P25" s="158">
        <f t="shared" ca="1" si="112"/>
        <v>0</v>
      </c>
      <c r="Q25" s="158">
        <f t="shared" ca="1" si="112"/>
        <v>0</v>
      </c>
      <c r="R25" s="158">
        <f t="shared" ca="1" si="112"/>
        <v>0</v>
      </c>
      <c r="S25" s="158">
        <f t="shared" ca="1" si="112"/>
        <v>0</v>
      </c>
      <c r="T25" s="158">
        <f t="shared" ca="1" si="112"/>
        <v>0</v>
      </c>
      <c r="U25" s="158">
        <f t="shared" ca="1" si="112"/>
        <v>0</v>
      </c>
      <c r="V25" s="158">
        <f t="shared" ca="1" si="112"/>
        <v>0</v>
      </c>
      <c r="W25" s="158"/>
      <c r="X25" s="2416"/>
      <c r="Y25" s="158">
        <f t="shared" ref="Y25:AH25" ca="1" si="113">IF(Y24&gt;0,0,IF(Y18&gt;3,Y18,0))</f>
        <v>0</v>
      </c>
      <c r="Z25" s="158">
        <f t="shared" ca="1" si="113"/>
        <v>0</v>
      </c>
      <c r="AA25" s="158">
        <f t="shared" ca="1" si="113"/>
        <v>0</v>
      </c>
      <c r="AB25" s="158">
        <f t="shared" ca="1" si="113"/>
        <v>0</v>
      </c>
      <c r="AC25" s="158">
        <f t="shared" ca="1" si="113"/>
        <v>0</v>
      </c>
      <c r="AD25" s="158">
        <f t="shared" ca="1" si="113"/>
        <v>0</v>
      </c>
      <c r="AE25" s="158">
        <f t="shared" ca="1" si="113"/>
        <v>0</v>
      </c>
      <c r="AF25" s="158">
        <f t="shared" ca="1" si="113"/>
        <v>0</v>
      </c>
      <c r="AG25" s="158">
        <f t="shared" ca="1" si="113"/>
        <v>0</v>
      </c>
      <c r="AH25" s="158">
        <f t="shared" ca="1" si="113"/>
        <v>0</v>
      </c>
      <c r="AI25" s="158"/>
      <c r="AJ25" s="158"/>
      <c r="AK25" s="158"/>
      <c r="AL25" s="158"/>
      <c r="AM25" s="158"/>
      <c r="AN25" s="158"/>
      <c r="AO25" s="158"/>
      <c r="AP25" s="158"/>
      <c r="AQ25" s="158"/>
      <c r="AR25" s="2416"/>
      <c r="AS25" s="158">
        <f t="shared" ref="AS25:AW25" ca="1" si="114">IF(AS24&gt;0,0,IF(AS18&gt;3,AS18,0))</f>
        <v>0</v>
      </c>
      <c r="AT25" s="158">
        <f t="shared" ca="1" si="114"/>
        <v>0</v>
      </c>
      <c r="AU25" s="158">
        <f t="shared" ca="1" si="114"/>
        <v>0</v>
      </c>
      <c r="AV25" s="158">
        <f t="shared" ca="1" si="114"/>
        <v>0</v>
      </c>
      <c r="AW25" s="158">
        <f t="shared" ca="1" si="114"/>
        <v>0</v>
      </c>
      <c r="AX25" s="158">
        <f t="shared" ref="AX25" si="115">IF(AX24&gt;0,0,IF(AX18&gt;3,AX18,0))</f>
        <v>0</v>
      </c>
      <c r="AY25" s="158">
        <f t="shared" ref="AY25:BI25" si="116">IF(AY24&gt;0,0,IF(AY18&gt;3,AY18,0))</f>
        <v>0</v>
      </c>
      <c r="AZ25" s="158">
        <f t="shared" ref="AZ25" si="117">IF(AZ24&gt;0,0,IF(AZ18&gt;3,AZ18,0))</f>
        <v>0</v>
      </c>
      <c r="BA25" s="158">
        <f t="shared" si="116"/>
        <v>0</v>
      </c>
      <c r="BB25" s="158">
        <f t="shared" si="116"/>
        <v>0</v>
      </c>
      <c r="BC25" s="158">
        <f t="shared" si="116"/>
        <v>0</v>
      </c>
      <c r="BD25" s="158">
        <f t="shared" si="116"/>
        <v>0</v>
      </c>
      <c r="BE25" s="158">
        <f t="shared" si="116"/>
        <v>0</v>
      </c>
      <c r="BF25" s="158">
        <f t="shared" si="116"/>
        <v>0</v>
      </c>
      <c r="BG25" s="158">
        <f t="shared" si="116"/>
        <v>0</v>
      </c>
      <c r="BH25" s="158">
        <f t="shared" si="116"/>
        <v>0</v>
      </c>
      <c r="BI25" s="158">
        <f t="shared" si="116"/>
        <v>0</v>
      </c>
      <c r="BJ25" s="159"/>
      <c r="BK25" s="159"/>
      <c r="BL25" s="159"/>
      <c r="BM25" s="351"/>
      <c r="BN25" s="579">
        <f t="shared" ca="1" si="0"/>
        <v>0</v>
      </c>
      <c r="BO25" s="1089"/>
      <c r="BP25" s="1089"/>
      <c r="BQ25" s="1089"/>
      <c r="BR25" s="1089"/>
      <c r="BS25" s="1089"/>
      <c r="BT25" s="1089"/>
      <c r="BU25" s="1089"/>
      <c r="BV25" s="1089"/>
      <c r="BW25" s="1089"/>
      <c r="BX25" s="1089"/>
      <c r="BY25" s="1089"/>
      <c r="BZ25" s="1089"/>
    </row>
    <row r="26" spans="1:78" s="590" customFormat="1" ht="21.95" customHeight="1" x14ac:dyDescent="0.15">
      <c r="A26" s="2596"/>
      <c r="B26" s="2678"/>
      <c r="C26" s="591" t="s">
        <v>567</v>
      </c>
      <c r="D26" s="2004"/>
      <c r="E26" s="592"/>
      <c r="F26" s="158">
        <f t="shared" ref="F26" si="118">IF(F24+F25&gt;0,0,IF(F18&gt;1.5,F18,0))</f>
        <v>0</v>
      </c>
      <c r="G26" s="158">
        <f t="shared" ref="G26" ca="1" si="119">IF(G24+G25&gt;0,0,IF(G18&gt;1.5,G18,0))</f>
        <v>0</v>
      </c>
      <c r="H26" s="158">
        <f t="shared" ref="H26:I26" ca="1" si="120">IF(H24+H25&gt;0,0,IF(H18&gt;1.5,H18,0))</f>
        <v>0</v>
      </c>
      <c r="I26" s="158">
        <f t="shared" ca="1" si="120"/>
        <v>0</v>
      </c>
      <c r="J26" s="158"/>
      <c r="K26" s="158"/>
      <c r="L26" s="158"/>
      <c r="M26" s="158"/>
      <c r="N26" s="2416"/>
      <c r="O26" s="158">
        <f t="shared" ref="O26:V26" ca="1" si="121">IF(O24+O25&gt;0,0,IF(O18&gt;1.5,O18,0))</f>
        <v>0</v>
      </c>
      <c r="P26" s="158">
        <f t="shared" ca="1" si="121"/>
        <v>0</v>
      </c>
      <c r="Q26" s="158">
        <f t="shared" ca="1" si="121"/>
        <v>0</v>
      </c>
      <c r="R26" s="158">
        <f t="shared" ca="1" si="121"/>
        <v>0</v>
      </c>
      <c r="S26" s="158">
        <f t="shared" ca="1" si="121"/>
        <v>0</v>
      </c>
      <c r="T26" s="158">
        <f t="shared" ca="1" si="121"/>
        <v>0</v>
      </c>
      <c r="U26" s="158">
        <f t="shared" ca="1" si="121"/>
        <v>0</v>
      </c>
      <c r="V26" s="158">
        <f t="shared" ca="1" si="121"/>
        <v>0</v>
      </c>
      <c r="W26" s="158"/>
      <c r="X26" s="2416"/>
      <c r="Y26" s="158">
        <f t="shared" ref="Y26:AH26" ca="1" si="122">IF(Y24+Y25&gt;0,0,IF(Y18&gt;1.5,Y18,0))</f>
        <v>0</v>
      </c>
      <c r="Z26" s="158">
        <f t="shared" ca="1" si="122"/>
        <v>0</v>
      </c>
      <c r="AA26" s="158">
        <f t="shared" ca="1" si="122"/>
        <v>0</v>
      </c>
      <c r="AB26" s="158">
        <f t="shared" ca="1" si="122"/>
        <v>0</v>
      </c>
      <c r="AC26" s="158">
        <f t="shared" ca="1" si="122"/>
        <v>0</v>
      </c>
      <c r="AD26" s="158">
        <f t="shared" ca="1" si="122"/>
        <v>0</v>
      </c>
      <c r="AE26" s="158">
        <f t="shared" ca="1" si="122"/>
        <v>0</v>
      </c>
      <c r="AF26" s="158">
        <f t="shared" ca="1" si="122"/>
        <v>0</v>
      </c>
      <c r="AG26" s="158">
        <f t="shared" ca="1" si="122"/>
        <v>0</v>
      </c>
      <c r="AH26" s="158">
        <f t="shared" ca="1" si="122"/>
        <v>0</v>
      </c>
      <c r="AI26" s="158"/>
      <c r="AJ26" s="158"/>
      <c r="AK26" s="158"/>
      <c r="AL26" s="158"/>
      <c r="AM26" s="158"/>
      <c r="AN26" s="158"/>
      <c r="AO26" s="158"/>
      <c r="AP26" s="158"/>
      <c r="AQ26" s="158"/>
      <c r="AR26" s="2416"/>
      <c r="AS26" s="158">
        <f t="shared" ref="AS26:AW26" ca="1" si="123">IF(AS24+AS25&gt;0,0,IF(AS18&gt;1.5,AS18,0))</f>
        <v>0</v>
      </c>
      <c r="AT26" s="158">
        <f t="shared" ca="1" si="123"/>
        <v>0</v>
      </c>
      <c r="AU26" s="158">
        <f t="shared" ca="1" si="123"/>
        <v>0</v>
      </c>
      <c r="AV26" s="158">
        <f t="shared" ca="1" si="123"/>
        <v>0</v>
      </c>
      <c r="AW26" s="158">
        <f t="shared" ca="1" si="123"/>
        <v>1.6798450000001048</v>
      </c>
      <c r="AX26" s="158">
        <f t="shared" ref="AX26" si="124">IF(AX24+AX25&gt;0,0,IF(AX18&gt;1.5,AX18,0))</f>
        <v>0</v>
      </c>
      <c r="AY26" s="158">
        <f t="shared" ref="AY26:BI26" si="125">IF(AY24+AY25&gt;0,0,IF(AY18&gt;1.5,AY18,0))</f>
        <v>0</v>
      </c>
      <c r="AZ26" s="158">
        <f t="shared" ref="AZ26" si="126">IF(AZ24+AZ25&gt;0,0,IF(AZ18&gt;1.5,AZ18,0))</f>
        <v>0</v>
      </c>
      <c r="BA26" s="158">
        <f t="shared" si="125"/>
        <v>0</v>
      </c>
      <c r="BB26" s="158">
        <f t="shared" si="125"/>
        <v>0</v>
      </c>
      <c r="BC26" s="158">
        <f t="shared" si="125"/>
        <v>0</v>
      </c>
      <c r="BD26" s="158">
        <f t="shared" si="125"/>
        <v>0</v>
      </c>
      <c r="BE26" s="158">
        <f t="shared" si="125"/>
        <v>0</v>
      </c>
      <c r="BF26" s="158">
        <f t="shared" si="125"/>
        <v>0</v>
      </c>
      <c r="BG26" s="158">
        <f t="shared" si="125"/>
        <v>0</v>
      </c>
      <c r="BH26" s="158">
        <f t="shared" si="125"/>
        <v>0</v>
      </c>
      <c r="BI26" s="158">
        <f t="shared" si="125"/>
        <v>0</v>
      </c>
      <c r="BJ26" s="159"/>
      <c r="BK26" s="159"/>
      <c r="BL26" s="159"/>
      <c r="BM26" s="351"/>
      <c r="BN26" s="579">
        <f t="shared" ca="1" si="0"/>
        <v>1.6798450000001048</v>
      </c>
      <c r="BO26" s="1089"/>
      <c r="BP26" s="1089"/>
      <c r="BQ26" s="1089"/>
      <c r="BR26" s="1089"/>
      <c r="BS26" s="1089"/>
      <c r="BT26" s="1089"/>
      <c r="BU26" s="1089"/>
      <c r="BV26" s="1089"/>
      <c r="BW26" s="1089"/>
      <c r="BX26" s="1089"/>
      <c r="BY26" s="1089"/>
      <c r="BZ26" s="1089"/>
    </row>
    <row r="27" spans="1:78" s="590" customFormat="1" ht="21.95" customHeight="1" thickBot="1" x14ac:dyDescent="0.2">
      <c r="A27" s="2596"/>
      <c r="B27" s="2670"/>
      <c r="C27" s="591" t="s">
        <v>460</v>
      </c>
      <c r="D27" s="2005"/>
      <c r="E27" s="1523"/>
      <c r="F27" s="239">
        <f t="shared" ref="F27" si="127">IF(SUM(F24:F26)&gt;0,0,F18)</f>
        <v>0</v>
      </c>
      <c r="G27" s="239">
        <f t="shared" ref="G27" ca="1" si="128">IF(SUM(G24:G26)&gt;0,0,G18)</f>
        <v>1.0841800000000139</v>
      </c>
      <c r="H27" s="239">
        <f t="shared" ref="H27:I27" ca="1" si="129">IF(SUM(H24:H26)&gt;0,0,H18)</f>
        <v>1.0876999999999943</v>
      </c>
      <c r="I27" s="239">
        <f t="shared" ca="1" si="129"/>
        <v>0.80087999999998849</v>
      </c>
      <c r="J27" s="239"/>
      <c r="K27" s="239"/>
      <c r="L27" s="239"/>
      <c r="M27" s="239"/>
      <c r="N27" s="2440"/>
      <c r="O27" s="239">
        <f t="shared" ref="O27:V27" ca="1" si="130">IF(SUM(O24:O26)&gt;0,0,O18)</f>
        <v>1.0744200000000139</v>
      </c>
      <c r="P27" s="239">
        <f t="shared" ca="1" si="130"/>
        <v>1.0767150000000176</v>
      </c>
      <c r="Q27" s="239">
        <f t="shared" ca="1" si="130"/>
        <v>1.1966900000000853</v>
      </c>
      <c r="R27" s="239">
        <f t="shared" ca="1" si="130"/>
        <v>1.2304900000001273</v>
      </c>
      <c r="S27" s="239">
        <f t="shared" ca="1" si="130"/>
        <v>1.2299300000001201</v>
      </c>
      <c r="T27" s="239">
        <f t="shared" ca="1" si="130"/>
        <v>0.91169000000009759</v>
      </c>
      <c r="U27" s="239">
        <f t="shared" ca="1" si="130"/>
        <v>0.90507000000009952</v>
      </c>
      <c r="V27" s="239">
        <f t="shared" ca="1" si="130"/>
        <v>0.69913000000007286</v>
      </c>
      <c r="W27" s="239"/>
      <c r="X27" s="2440"/>
      <c r="Y27" s="239">
        <f t="shared" ref="Y27:AH27" ca="1" si="131">IF(SUM(Y24:Y26)&gt;0,0,Y18)</f>
        <v>1.0461950000000406</v>
      </c>
      <c r="Z27" s="239">
        <f t="shared" ca="1" si="131"/>
        <v>1.0826200000000303</v>
      </c>
      <c r="AA27" s="239">
        <f t="shared" ca="1" si="131"/>
        <v>1.0948400000000438</v>
      </c>
      <c r="AB27" s="239">
        <f t="shared" ca="1" si="131"/>
        <v>1.080200000000058</v>
      </c>
      <c r="AC27" s="239">
        <f t="shared" ca="1" si="131"/>
        <v>1.0129700000000532</v>
      </c>
      <c r="AD27" s="239">
        <f t="shared" ca="1" si="131"/>
        <v>0.96027500000005328</v>
      </c>
      <c r="AE27" s="239">
        <f t="shared" ca="1" si="131"/>
        <v>0.9587500000000666</v>
      </c>
      <c r="AF27" s="239">
        <f t="shared" ca="1" si="131"/>
        <v>0.96252000000005977</v>
      </c>
      <c r="AG27" s="239">
        <f t="shared" ca="1" si="131"/>
        <v>0.94918000000008873</v>
      </c>
      <c r="AH27" s="239">
        <f t="shared" ca="1" si="131"/>
        <v>1.1650300000001061</v>
      </c>
      <c r="AI27" s="239"/>
      <c r="AJ27" s="239"/>
      <c r="AK27" s="239"/>
      <c r="AL27" s="239"/>
      <c r="AM27" s="239"/>
      <c r="AN27" s="239"/>
      <c r="AO27" s="239"/>
      <c r="AP27" s="239"/>
      <c r="AQ27" s="239"/>
      <c r="AR27" s="2440"/>
      <c r="AS27" s="239">
        <f t="shared" ref="AS27:AW27" ca="1" si="132">IF(SUM(AS24:AS26)&gt;0,0,AS18)</f>
        <v>1.099709999999998</v>
      </c>
      <c r="AT27" s="239">
        <f t="shared" ca="1" si="132"/>
        <v>0.89423999999999704</v>
      </c>
      <c r="AU27" s="239">
        <f t="shared" ca="1" si="132"/>
        <v>0.90726000000003704</v>
      </c>
      <c r="AV27" s="239">
        <f t="shared" ca="1" si="132"/>
        <v>0.89059500000004799</v>
      </c>
      <c r="AW27" s="239">
        <f t="shared" ca="1" si="132"/>
        <v>0</v>
      </c>
      <c r="AX27" s="239">
        <f t="shared" ref="AX27" si="133">IF(SUM(AX24:AX26)&gt;0,0,AX18)</f>
        <v>0</v>
      </c>
      <c r="AY27" s="239">
        <f t="shared" ref="AY27:BI27" si="134">IF(SUM(AY24:AY26)&gt;0,0,AY18)</f>
        <v>0.46600000000000008</v>
      </c>
      <c r="AZ27" s="239">
        <f t="shared" ref="AZ27" si="135">IF(SUM(AZ24:AZ26)&gt;0,0,AZ18)</f>
        <v>0</v>
      </c>
      <c r="BA27" s="239">
        <f t="shared" si="134"/>
        <v>0.37399999999999989</v>
      </c>
      <c r="BB27" s="239">
        <f t="shared" si="134"/>
        <v>0</v>
      </c>
      <c r="BC27" s="239">
        <f t="shared" si="134"/>
        <v>0</v>
      </c>
      <c r="BD27" s="239">
        <f t="shared" si="134"/>
        <v>0</v>
      </c>
      <c r="BE27" s="239">
        <f t="shared" si="134"/>
        <v>0</v>
      </c>
      <c r="BF27" s="239">
        <f t="shared" si="134"/>
        <v>0</v>
      </c>
      <c r="BG27" s="239">
        <f t="shared" si="134"/>
        <v>0</v>
      </c>
      <c r="BH27" s="239">
        <f t="shared" si="134"/>
        <v>0</v>
      </c>
      <c r="BI27" s="239">
        <f t="shared" si="134"/>
        <v>0</v>
      </c>
      <c r="BJ27" s="239"/>
      <c r="BK27" s="239"/>
      <c r="BL27" s="239"/>
      <c r="BM27" s="436"/>
      <c r="BN27" s="579">
        <f t="shared" ca="1" si="0"/>
        <v>26.241280000001304</v>
      </c>
      <c r="BO27" s="1089"/>
      <c r="BP27" s="1089"/>
      <c r="BQ27" s="1089"/>
      <c r="BR27" s="1089"/>
      <c r="BS27" s="1089"/>
      <c r="BT27" s="1089"/>
      <c r="BU27" s="1089"/>
      <c r="BV27" s="1089"/>
      <c r="BW27" s="1089"/>
      <c r="BX27" s="1089"/>
      <c r="BY27" s="1089"/>
      <c r="BZ27" s="1089"/>
    </row>
    <row r="28" spans="1:78" ht="21.95" hidden="1" customHeight="1" thickBot="1" x14ac:dyDescent="0.2">
      <c r="A28" s="2596"/>
      <c r="B28" s="2665" t="s">
        <v>479</v>
      </c>
      <c r="C28" s="2666"/>
      <c r="D28" s="2002"/>
      <c r="E28" s="564"/>
      <c r="F28" s="233">
        <f>Dren_Quantificacao!D14</f>
        <v>0</v>
      </c>
      <c r="G28" s="233" t="str">
        <f>Dren_Quantificacao!E14</f>
        <v>argiloso</v>
      </c>
      <c r="H28" s="233" t="str">
        <f>Dren_Quantificacao!F14</f>
        <v>argiloso</v>
      </c>
      <c r="I28" s="233" t="str">
        <f>Dren_Quantificacao!G14</f>
        <v>argiloso</v>
      </c>
      <c r="J28" s="233"/>
      <c r="K28" s="233"/>
      <c r="L28" s="233"/>
      <c r="M28" s="233"/>
      <c r="N28" s="2425"/>
      <c r="O28" s="233" t="str">
        <f>Dren_Quantificacao!M14</f>
        <v>argiloso</v>
      </c>
      <c r="P28" s="233" t="str">
        <f>Dren_Quantificacao!N14</f>
        <v>argiloso</v>
      </c>
      <c r="Q28" s="233" t="str">
        <f>Dren_Quantificacao!O14</f>
        <v>argiloso</v>
      </c>
      <c r="R28" s="233" t="str">
        <f>Dren_Quantificacao!P14</f>
        <v>argiloso</v>
      </c>
      <c r="S28" s="233" t="str">
        <f>Dren_Quantificacao!Q14</f>
        <v>argiloso</v>
      </c>
      <c r="T28" s="233" t="str">
        <f>Dren_Quantificacao!R14</f>
        <v>argiloso</v>
      </c>
      <c r="U28" s="233" t="str">
        <f>Dren_Quantificacao!S14</f>
        <v>argiloso</v>
      </c>
      <c r="V28" s="233" t="str">
        <f>Dren_Quantificacao!T14</f>
        <v>argiloso</v>
      </c>
      <c r="W28" s="233"/>
      <c r="X28" s="2425"/>
      <c r="Y28" s="233" t="str">
        <f>Dren_Quantificacao!W14</f>
        <v>argiloso</v>
      </c>
      <c r="Z28" s="233" t="str">
        <f>Dren_Quantificacao!X14</f>
        <v>argiloso</v>
      </c>
      <c r="AA28" s="233" t="str">
        <f>Dren_Quantificacao!Y14</f>
        <v>argiloso</v>
      </c>
      <c r="AB28" s="233" t="str">
        <f>Dren_Quantificacao!Z14</f>
        <v>argiloso</v>
      </c>
      <c r="AC28" s="233" t="str">
        <f>Dren_Quantificacao!AA14</f>
        <v>argiloso</v>
      </c>
      <c r="AD28" s="233" t="str">
        <f>Dren_Quantificacao!AB14</f>
        <v>argiloso</v>
      </c>
      <c r="AE28" s="233" t="str">
        <f>Dren_Quantificacao!AC14</f>
        <v>argiloso</v>
      </c>
      <c r="AF28" s="233" t="str">
        <f>Dren_Quantificacao!AD14</f>
        <v>argiloso</v>
      </c>
      <c r="AG28" s="233" t="str">
        <f>Dren_Quantificacao!AE14</f>
        <v>argiloso</v>
      </c>
      <c r="AH28" s="233" t="str">
        <f>Dren_Quantificacao!AF14</f>
        <v>argiloso</v>
      </c>
      <c r="AI28" s="233"/>
      <c r="AJ28" s="233"/>
      <c r="AK28" s="233"/>
      <c r="AL28" s="233"/>
      <c r="AM28" s="233"/>
      <c r="AN28" s="233"/>
      <c r="AO28" s="233"/>
      <c r="AP28" s="233"/>
      <c r="AQ28" s="233"/>
      <c r="AR28" s="2425"/>
      <c r="AS28" s="233" t="str">
        <f>Dren_Quantificacao!AQ14</f>
        <v>argiloso</v>
      </c>
      <c r="AT28" s="233" t="str">
        <f>Dren_Quantificacao!AR14</f>
        <v>argiloso</v>
      </c>
      <c r="AU28" s="233" t="str">
        <f>Dren_Quantificacao!AS14</f>
        <v>argiloso</v>
      </c>
      <c r="AV28" s="233" t="str">
        <f>Dren_Quantificacao!AT14</f>
        <v>argiloso</v>
      </c>
      <c r="AW28" s="233" t="str">
        <f>Dren_Quantificacao!AU14</f>
        <v>argiloso</v>
      </c>
      <c r="AX28" s="233" t="str">
        <f>Dren_Quantificacao!AW14</f>
        <v>argiloso</v>
      </c>
      <c r="AY28" s="233" t="str">
        <f>Dren_Quantificacao!AX14</f>
        <v>argiloso</v>
      </c>
      <c r="AZ28" s="233" t="str">
        <f>Dren_Quantificacao!AY14</f>
        <v>argiloso</v>
      </c>
      <c r="BA28" s="233" t="str">
        <f>Dren_Quantificacao!AZ14</f>
        <v>argiloso</v>
      </c>
      <c r="BB28" s="233" t="str">
        <f>Dren_Quantificacao!BA14</f>
        <v>ROCHA</v>
      </c>
      <c r="BC28" s="233" t="str">
        <f>Dren_Quantificacao!BB14</f>
        <v>ROCHA</v>
      </c>
      <c r="BD28" s="233" t="str">
        <f>Dren_Quantificacao!BC14</f>
        <v>arenoso</v>
      </c>
      <c r="BE28" s="233" t="str">
        <f>Dren_Quantificacao!BD14</f>
        <v>arenoso</v>
      </c>
      <c r="BF28" s="233" t="str">
        <f>Dren_Quantificacao!BE14</f>
        <v>arenoso</v>
      </c>
      <c r="BG28" s="233" t="str">
        <f>Dren_Quantificacao!BF14</f>
        <v>arenoso</v>
      </c>
      <c r="BH28" s="233" t="str">
        <f>Dren_Quantificacao!BG14</f>
        <v>ROCHA</v>
      </c>
      <c r="BI28" s="233" t="str">
        <f>Dren_Quantificacao!BH14</f>
        <v>ROCHA</v>
      </c>
      <c r="BJ28" s="239"/>
      <c r="BK28" s="239"/>
      <c r="BL28" s="239"/>
      <c r="BM28" s="797">
        <f>+COUNTA(F28:BI28)</f>
        <v>39</v>
      </c>
      <c r="BN28" s="579"/>
    </row>
    <row r="29" spans="1:78" ht="21.95" customHeight="1" thickBot="1" x14ac:dyDescent="0.2">
      <c r="A29" s="2596"/>
      <c r="B29" s="2665" t="s">
        <v>1086</v>
      </c>
      <c r="C29" s="2666"/>
      <c r="D29" s="1803"/>
      <c r="E29" s="564"/>
      <c r="F29" s="359">
        <f>Dren_Quantificacao!D13</f>
        <v>0</v>
      </c>
      <c r="G29" s="359">
        <f>Dren_Quantificacao!E13</f>
        <v>1</v>
      </c>
      <c r="H29" s="359">
        <f>Dren_Quantificacao!F13</f>
        <v>1</v>
      </c>
      <c r="I29" s="359">
        <f>Dren_Quantificacao!G13</f>
        <v>1</v>
      </c>
      <c r="J29" s="359"/>
      <c r="K29" s="359"/>
      <c r="L29" s="359"/>
      <c r="M29" s="359"/>
      <c r="N29" s="2441"/>
      <c r="O29" s="359">
        <f>Dren_Quantificacao!M13</f>
        <v>1</v>
      </c>
      <c r="P29" s="359">
        <f>Dren_Quantificacao!N13</f>
        <v>1</v>
      </c>
      <c r="Q29" s="359">
        <f>Dren_Quantificacao!O13</f>
        <v>1</v>
      </c>
      <c r="R29" s="359">
        <f>Dren_Quantificacao!P13</f>
        <v>1</v>
      </c>
      <c r="S29" s="359">
        <f>Dren_Quantificacao!Q13</f>
        <v>1</v>
      </c>
      <c r="T29" s="359">
        <f>Dren_Quantificacao!R13</f>
        <v>1</v>
      </c>
      <c r="U29" s="359">
        <f>Dren_Quantificacao!S13</f>
        <v>1</v>
      </c>
      <c r="V29" s="359">
        <f>Dren_Quantificacao!T13</f>
        <v>1</v>
      </c>
      <c r="W29" s="359"/>
      <c r="X29" s="2441"/>
      <c r="Y29" s="359">
        <f>Dren_Quantificacao!W13</f>
        <v>1</v>
      </c>
      <c r="Z29" s="359">
        <f>Dren_Quantificacao!X13</f>
        <v>1</v>
      </c>
      <c r="AA29" s="359">
        <f>Dren_Quantificacao!Y13</f>
        <v>1</v>
      </c>
      <c r="AB29" s="359">
        <f>Dren_Quantificacao!Z13</f>
        <v>1</v>
      </c>
      <c r="AC29" s="359">
        <f>Dren_Quantificacao!AA13</f>
        <v>1</v>
      </c>
      <c r="AD29" s="359">
        <f>Dren_Quantificacao!AB13</f>
        <v>1</v>
      </c>
      <c r="AE29" s="359">
        <f>Dren_Quantificacao!AC13</f>
        <v>1</v>
      </c>
      <c r="AF29" s="359">
        <f>Dren_Quantificacao!AD13</f>
        <v>1</v>
      </c>
      <c r="AG29" s="359">
        <f>Dren_Quantificacao!AE13</f>
        <v>1</v>
      </c>
      <c r="AH29" s="359">
        <f>Dren_Quantificacao!AF13</f>
        <v>1</v>
      </c>
      <c r="AI29" s="359"/>
      <c r="AJ29" s="359"/>
      <c r="AK29" s="359"/>
      <c r="AL29" s="359"/>
      <c r="AM29" s="359"/>
      <c r="AN29" s="359"/>
      <c r="AO29" s="359"/>
      <c r="AP29" s="359"/>
      <c r="AQ29" s="359"/>
      <c r="AR29" s="2441"/>
      <c r="AS29" s="359">
        <f>Dren_Quantificacao!AQ13</f>
        <v>1</v>
      </c>
      <c r="AT29" s="359">
        <f>Dren_Quantificacao!AR13</f>
        <v>1</v>
      </c>
      <c r="AU29" s="359">
        <f>Dren_Quantificacao!AS13</f>
        <v>1</v>
      </c>
      <c r="AV29" s="359">
        <f>Dren_Quantificacao!AT13</f>
        <v>1</v>
      </c>
      <c r="AW29" s="359">
        <f>Dren_Quantificacao!AU13</f>
        <v>1</v>
      </c>
      <c r="AX29" s="359">
        <f>Dren_Quantificacao!AW13</f>
        <v>2</v>
      </c>
      <c r="AY29" s="359">
        <f>Dren_Quantificacao!AX13</f>
        <v>1</v>
      </c>
      <c r="AZ29" s="359">
        <f>Dren_Quantificacao!AY13</f>
        <v>2</v>
      </c>
      <c r="BA29" s="359">
        <f>Dren_Quantificacao!AZ13</f>
        <v>1</v>
      </c>
      <c r="BB29" s="359">
        <f>Dren_Quantificacao!BA13</f>
        <v>1</v>
      </c>
      <c r="BC29" s="359">
        <f>Dren_Quantificacao!BB13</f>
        <v>1</v>
      </c>
      <c r="BD29" s="359">
        <f>Dren_Quantificacao!BC13</f>
        <v>1</v>
      </c>
      <c r="BE29" s="359">
        <f>Dren_Quantificacao!BD13</f>
        <v>1</v>
      </c>
      <c r="BF29" s="359">
        <f>Dren_Quantificacao!BE13</f>
        <v>1</v>
      </c>
      <c r="BG29" s="359">
        <f>Dren_Quantificacao!BF13</f>
        <v>1</v>
      </c>
      <c r="BH29" s="359">
        <f>Dren_Quantificacao!BG13</f>
        <v>1</v>
      </c>
      <c r="BI29" s="359">
        <f>Dren_Quantificacao!BH13</f>
        <v>1</v>
      </c>
      <c r="BJ29" s="239"/>
      <c r="BK29" s="239"/>
      <c r="BL29" s="239"/>
      <c r="BM29" s="797"/>
      <c r="BN29" s="579">
        <f>SUM(F29:BM29)</f>
        <v>40</v>
      </c>
    </row>
    <row r="30" spans="1:78" s="14" customFormat="1" ht="21.95" customHeight="1" thickBot="1" x14ac:dyDescent="0.2">
      <c r="A30" s="2596"/>
      <c r="B30" s="2665" t="s">
        <v>42</v>
      </c>
      <c r="C30" s="2666"/>
      <c r="D30" s="2007"/>
      <c r="E30" s="564"/>
      <c r="F30" s="240">
        <v>5</v>
      </c>
      <c r="G30" s="240" t="s">
        <v>73</v>
      </c>
      <c r="H30" s="240" t="s">
        <v>73</v>
      </c>
      <c r="I30" s="240" t="s">
        <v>73</v>
      </c>
      <c r="J30" s="240"/>
      <c r="K30" s="240"/>
      <c r="L30" s="240"/>
      <c r="M30" s="240"/>
      <c r="N30" s="2442"/>
      <c r="O30" s="240" t="s">
        <v>73</v>
      </c>
      <c r="P30" s="240" t="s">
        <v>73</v>
      </c>
      <c r="Q30" s="240" t="s">
        <v>73</v>
      </c>
      <c r="R30" s="240" t="s">
        <v>73</v>
      </c>
      <c r="S30" s="240" t="s">
        <v>73</v>
      </c>
      <c r="T30" s="240" t="s">
        <v>73</v>
      </c>
      <c r="U30" s="240" t="s">
        <v>73</v>
      </c>
      <c r="V30" s="240" t="s">
        <v>73</v>
      </c>
      <c r="W30" s="240"/>
      <c r="X30" s="2442"/>
      <c r="Y30" s="240" t="s">
        <v>73</v>
      </c>
      <c r="Z30" s="240" t="s">
        <v>73</v>
      </c>
      <c r="AA30" s="240" t="s">
        <v>73</v>
      </c>
      <c r="AB30" s="240" t="s">
        <v>73</v>
      </c>
      <c r="AC30" s="240" t="s">
        <v>73</v>
      </c>
      <c r="AD30" s="240" t="s">
        <v>73</v>
      </c>
      <c r="AE30" s="240" t="s">
        <v>73</v>
      </c>
      <c r="AF30" s="240" t="s">
        <v>73</v>
      </c>
      <c r="AG30" s="240" t="s">
        <v>73</v>
      </c>
      <c r="AH30" s="240" t="s">
        <v>73</v>
      </c>
      <c r="AI30" s="240"/>
      <c r="AJ30" s="240"/>
      <c r="AK30" s="240"/>
      <c r="AL30" s="240"/>
      <c r="AM30" s="240"/>
      <c r="AN30" s="240"/>
      <c r="AO30" s="240"/>
      <c r="AP30" s="240"/>
      <c r="AQ30" s="240"/>
      <c r="AR30" s="2442"/>
      <c r="AS30" s="240" t="s">
        <v>73</v>
      </c>
      <c r="AT30" s="240" t="s">
        <v>73</v>
      </c>
      <c r="AU30" s="240" t="s">
        <v>73</v>
      </c>
      <c r="AV30" s="240" t="s">
        <v>73</v>
      </c>
      <c r="AW30" s="240" t="s">
        <v>73</v>
      </c>
      <c r="AX30" s="240">
        <v>5</v>
      </c>
      <c r="AY30" s="240">
        <v>5</v>
      </c>
      <c r="AZ30" s="240">
        <v>5</v>
      </c>
      <c r="BA30" s="240">
        <v>5</v>
      </c>
      <c r="BB30" s="240">
        <v>10</v>
      </c>
      <c r="BC30" s="240">
        <v>10</v>
      </c>
      <c r="BD30" s="240">
        <v>3</v>
      </c>
      <c r="BE30" s="240">
        <v>3</v>
      </c>
      <c r="BF30" s="240">
        <v>3</v>
      </c>
      <c r="BG30" s="240">
        <v>3</v>
      </c>
      <c r="BH30" s="240">
        <v>10</v>
      </c>
      <c r="BI30" s="240">
        <v>10</v>
      </c>
      <c r="BJ30" s="240"/>
      <c r="BK30" s="240"/>
      <c r="BL30" s="240"/>
      <c r="BM30" s="797" t="e" cm="1">
        <f t="array" aca="1" ref="BM30" ca="1">+CONT.BALORES(F30:BI30)</f>
        <v>#NAME?</v>
      </c>
      <c r="BN30" s="579">
        <v>1</v>
      </c>
      <c r="BO30" s="1088"/>
      <c r="BP30" s="1088"/>
      <c r="BQ30" s="1088"/>
      <c r="BR30" s="1088"/>
      <c r="BS30" s="1088"/>
      <c r="BT30" s="1088"/>
      <c r="BU30" s="1088"/>
      <c r="BV30" s="1088"/>
      <c r="BW30" s="1088"/>
      <c r="BX30" s="1088"/>
      <c r="BY30" s="1088"/>
      <c r="BZ30" s="1088"/>
    </row>
    <row r="31" spans="1:78" s="68" customFormat="1" ht="21.95" hidden="1" customHeight="1" x14ac:dyDescent="0.15">
      <c r="A31" s="2596"/>
      <c r="B31" s="2695" t="s">
        <v>1100</v>
      </c>
      <c r="C31" s="949" t="s">
        <v>1098</v>
      </c>
      <c r="D31" s="2008"/>
      <c r="E31" s="926"/>
      <c r="F31" s="927">
        <f t="shared" ref="F31" si="136">IF(F11&lt;=4.5,+IF(OR(F5="P",F28="ROCHA"),0.4*2+F4*IF(F3=1,1,IF(F3=2,3,5)),(F4+F6)*IF(F3=1,2,IF(F3=2,3.5,5))),0)</f>
        <v>0</v>
      </c>
      <c r="G31" s="927">
        <f t="shared" ref="G31" ca="1" si="137">IF(G11&lt;=4.5,+IF(OR(G5="P",G28="ROCHA"),0.4*2+G4*IF(G3=1,1,IF(G3=2,3,5)),(G4+G6)*IF(G3=1,2,IF(G3=2,3.5,5))),0)</f>
        <v>1.2</v>
      </c>
      <c r="H31" s="927">
        <f t="shared" ref="H31:I31" ca="1" si="138">IF(H11&lt;=4.5,+IF(OR(H5="P",H28="ROCHA"),0.4*2+H4*IF(H3=1,1,IF(H3=2,3,5)),(H4+H6)*IF(H3=1,2,IF(H3=2,3.5,5))),0)</f>
        <v>1.2</v>
      </c>
      <c r="I31" s="927">
        <f t="shared" ca="1" si="138"/>
        <v>1.2</v>
      </c>
      <c r="J31" s="927"/>
      <c r="K31" s="927"/>
      <c r="L31" s="927"/>
      <c r="M31" s="927"/>
      <c r="N31" s="2443"/>
      <c r="O31" s="927">
        <f t="shared" ref="O31:V31" ca="1" si="139">IF(O11&lt;=4.5,+IF(OR(O5="P",O28="ROCHA"),0.4*2+O4*IF(O3=1,1,IF(O3=2,3,5)),(O4+O6)*IF(O3=1,2,IF(O3=2,3.5,5))),0)</f>
        <v>1.2</v>
      </c>
      <c r="P31" s="927">
        <f t="shared" ca="1" si="139"/>
        <v>1.2</v>
      </c>
      <c r="Q31" s="927">
        <f t="shared" ca="1" si="139"/>
        <v>1.2</v>
      </c>
      <c r="R31" s="927">
        <f t="shared" ca="1" si="139"/>
        <v>1.2</v>
      </c>
      <c r="S31" s="927">
        <f t="shared" ca="1" si="139"/>
        <v>1.2</v>
      </c>
      <c r="T31" s="927">
        <f t="shared" ca="1" si="139"/>
        <v>2</v>
      </c>
      <c r="U31" s="927">
        <f t="shared" ca="1" si="139"/>
        <v>2</v>
      </c>
      <c r="V31" s="927">
        <f t="shared" ca="1" si="139"/>
        <v>2</v>
      </c>
      <c r="W31" s="927"/>
      <c r="X31" s="2443"/>
      <c r="Y31" s="927">
        <f t="shared" ref="Y31:AH31" ca="1" si="140">IF(Y11&lt;=4.5,+IF(OR(Y5="P",Y28="ROCHA"),0.4*2+Y4*IF(Y3=1,1,IF(Y3=2,3,5)),(Y4+Y6)*IF(Y3=1,2,IF(Y3=2,3.5,5))),0)</f>
        <v>1.6</v>
      </c>
      <c r="Z31" s="927">
        <f t="shared" ca="1" si="140"/>
        <v>1.2</v>
      </c>
      <c r="AA31" s="927">
        <f t="shared" ca="1" si="140"/>
        <v>1.2</v>
      </c>
      <c r="AB31" s="927">
        <f t="shared" ca="1" si="140"/>
        <v>1.2</v>
      </c>
      <c r="AC31" s="927">
        <f t="shared" ca="1" si="140"/>
        <v>1.6</v>
      </c>
      <c r="AD31" s="927">
        <f t="shared" ca="1" si="140"/>
        <v>1.6</v>
      </c>
      <c r="AE31" s="927">
        <f t="shared" ca="1" si="140"/>
        <v>1.6</v>
      </c>
      <c r="AF31" s="927">
        <f t="shared" ca="1" si="140"/>
        <v>2</v>
      </c>
      <c r="AG31" s="927">
        <f t="shared" ca="1" si="140"/>
        <v>2</v>
      </c>
      <c r="AH31" s="927">
        <f t="shared" ca="1" si="140"/>
        <v>2</v>
      </c>
      <c r="AI31" s="927"/>
      <c r="AJ31" s="927"/>
      <c r="AK31" s="927"/>
      <c r="AL31" s="927"/>
      <c r="AM31" s="927"/>
      <c r="AN31" s="927"/>
      <c r="AO31" s="927"/>
      <c r="AP31" s="927"/>
      <c r="AQ31" s="927"/>
      <c r="AR31" s="2443"/>
      <c r="AS31" s="927">
        <f t="shared" ref="AS31:AW31" ca="1" si="141">IF(AS11&lt;=4.5,+IF(OR(AS5="P",AS28="ROCHA"),0.4*2+AS4*IF(AS3=1,1,IF(AS3=2,3,5)),(AS4+AS6)*IF(AS3=1,2,IF(AS3=2,3.5,5))),0)</f>
        <v>1.2</v>
      </c>
      <c r="AT31" s="927">
        <f t="shared" ca="1" si="141"/>
        <v>1.6</v>
      </c>
      <c r="AU31" s="927">
        <f t="shared" ca="1" si="141"/>
        <v>1.6</v>
      </c>
      <c r="AV31" s="927">
        <f t="shared" ca="1" si="141"/>
        <v>1.6</v>
      </c>
      <c r="AW31" s="927">
        <f t="shared" ca="1" si="141"/>
        <v>2</v>
      </c>
      <c r="AX31" s="927">
        <f t="shared" ref="AX31" si="142">IF(AX11&lt;=4.5,+IF(OR(AX5="P",AX28="ROCHA"),0.4*2+AX4*IF(AX3=1,1,IF(AX3=2,3,5)),(AX4+AX6)*IF(AX3=1,2,IF(AX3=2,3.5,5))),0)</f>
        <v>0.8</v>
      </c>
      <c r="AY31" s="927">
        <f t="shared" ref="AY31:BI31" si="143">IF(AY11&lt;=4.5,+IF(OR(AY5="P",AY28="ROCHA"),0.4*2+AY4*IF(AY3=1,1,IF(AY3=2,3,5)),(AY4+AY6)*IF(AY3=1,2,IF(AY3=2,3.5,5))),0)</f>
        <v>0.8</v>
      </c>
      <c r="AZ31" s="927">
        <f t="shared" ref="AZ31" si="144">IF(AZ11&lt;=4.5,+IF(OR(AZ5="P",AZ28="ROCHA"),0.4*2+AZ4*IF(AZ3=1,1,IF(AZ3=2,3,5)),(AZ4+AZ6)*IF(AZ3=1,2,IF(AZ3=2,3.5,5))),0)</f>
        <v>1.2</v>
      </c>
      <c r="BA31" s="927">
        <f t="shared" si="143"/>
        <v>1.2</v>
      </c>
      <c r="BB31" s="927">
        <f t="shared" si="143"/>
        <v>1.2000000000000002</v>
      </c>
      <c r="BC31" s="927">
        <f t="shared" si="143"/>
        <v>1.4</v>
      </c>
      <c r="BD31" s="927">
        <f t="shared" si="143"/>
        <v>0.8</v>
      </c>
      <c r="BE31" s="927">
        <f t="shared" si="143"/>
        <v>0.8</v>
      </c>
      <c r="BF31" s="927">
        <f t="shared" si="143"/>
        <v>1</v>
      </c>
      <c r="BG31" s="927">
        <f t="shared" si="143"/>
        <v>1</v>
      </c>
      <c r="BH31" s="927">
        <f t="shared" si="143"/>
        <v>1.2000000000000002</v>
      </c>
      <c r="BI31" s="927">
        <f t="shared" si="143"/>
        <v>1.3</v>
      </c>
      <c r="BM31" s="2266"/>
      <c r="BN31" s="957"/>
      <c r="BO31" s="1090"/>
      <c r="BP31" s="1090"/>
      <c r="BQ31" s="1090"/>
      <c r="BR31" s="1090"/>
      <c r="BS31" s="1090"/>
      <c r="BT31" s="1090"/>
      <c r="BU31" s="1090"/>
      <c r="BV31" s="1090"/>
      <c r="BW31" s="1090"/>
      <c r="BX31" s="1090"/>
      <c r="BY31" s="1090"/>
      <c r="BZ31" s="1090"/>
    </row>
    <row r="32" spans="1:78" s="68" customFormat="1" ht="21.95" hidden="1" customHeight="1" thickBot="1" x14ac:dyDescent="0.2">
      <c r="A32" s="2596"/>
      <c r="B32" s="2696"/>
      <c r="C32" s="950" t="s">
        <v>1099</v>
      </c>
      <c r="D32" s="2009"/>
      <c r="E32" s="926"/>
      <c r="F32" s="928">
        <f t="shared" ref="F32" si="145">IF(F31=0,+IF(F5="P",0.8*2+F4*IF(F3=1,1,IF(F3=2,3,5)),(F4+F6)*IF(F3=1,3,IF(F3=2,4.5,6))),0)</f>
        <v>0</v>
      </c>
      <c r="G32" s="928">
        <f t="shared" ref="G32" ca="1" si="146">IF(G31=0,+IF(G5="P",0.8*2+G4*IF(G3=1,1,IF(G3=2,3,5)),(G4+G6)*IF(G3=1,3,IF(G3=2,4.5,6))),0)</f>
        <v>0</v>
      </c>
      <c r="H32" s="928">
        <f t="shared" ref="H32:I32" ca="1" si="147">IF(H31=0,+IF(H5="P",0.8*2+H4*IF(H3=1,1,IF(H3=2,3,5)),(H4+H6)*IF(H3=1,3,IF(H3=2,4.5,6))),0)</f>
        <v>0</v>
      </c>
      <c r="I32" s="928">
        <f t="shared" ca="1" si="147"/>
        <v>0</v>
      </c>
      <c r="J32" s="928"/>
      <c r="K32" s="928"/>
      <c r="L32" s="928"/>
      <c r="M32" s="928"/>
      <c r="N32" s="2444"/>
      <c r="O32" s="928">
        <f t="shared" ref="O32:V32" ca="1" si="148">IF(O31=0,+IF(O5="P",0.8*2+O4*IF(O3=1,1,IF(O3=2,3,5)),(O4+O6)*IF(O3=1,3,IF(O3=2,4.5,6))),0)</f>
        <v>0</v>
      </c>
      <c r="P32" s="928">
        <f t="shared" ca="1" si="148"/>
        <v>0</v>
      </c>
      <c r="Q32" s="928">
        <f t="shared" ca="1" si="148"/>
        <v>0</v>
      </c>
      <c r="R32" s="928">
        <f t="shared" ca="1" si="148"/>
        <v>0</v>
      </c>
      <c r="S32" s="928">
        <f t="shared" ca="1" si="148"/>
        <v>0</v>
      </c>
      <c r="T32" s="928">
        <f t="shared" ca="1" si="148"/>
        <v>0</v>
      </c>
      <c r="U32" s="928">
        <f t="shared" ca="1" si="148"/>
        <v>0</v>
      </c>
      <c r="V32" s="928">
        <f t="shared" ca="1" si="148"/>
        <v>0</v>
      </c>
      <c r="W32" s="928"/>
      <c r="X32" s="2444"/>
      <c r="Y32" s="928">
        <f t="shared" ref="Y32:AH32" ca="1" si="149">IF(Y31=0,+IF(Y5="P",0.8*2+Y4*IF(Y3=1,1,IF(Y3=2,3,5)),(Y4+Y6)*IF(Y3=1,3,IF(Y3=2,4.5,6))),0)</f>
        <v>0</v>
      </c>
      <c r="Z32" s="928">
        <f t="shared" ca="1" si="149"/>
        <v>0</v>
      </c>
      <c r="AA32" s="928">
        <f t="shared" ca="1" si="149"/>
        <v>0</v>
      </c>
      <c r="AB32" s="928">
        <f t="shared" ca="1" si="149"/>
        <v>0</v>
      </c>
      <c r="AC32" s="928">
        <f t="shared" ca="1" si="149"/>
        <v>0</v>
      </c>
      <c r="AD32" s="928">
        <f t="shared" ca="1" si="149"/>
        <v>0</v>
      </c>
      <c r="AE32" s="928">
        <f t="shared" ca="1" si="149"/>
        <v>0</v>
      </c>
      <c r="AF32" s="928">
        <f t="shared" ca="1" si="149"/>
        <v>0</v>
      </c>
      <c r="AG32" s="928">
        <f t="shared" ca="1" si="149"/>
        <v>0</v>
      </c>
      <c r="AH32" s="928">
        <f t="shared" ca="1" si="149"/>
        <v>0</v>
      </c>
      <c r="AI32" s="928"/>
      <c r="AJ32" s="928"/>
      <c r="AK32" s="928"/>
      <c r="AL32" s="928"/>
      <c r="AM32" s="928"/>
      <c r="AN32" s="928"/>
      <c r="AO32" s="928"/>
      <c r="AP32" s="928"/>
      <c r="AQ32" s="928"/>
      <c r="AR32" s="2444"/>
      <c r="AS32" s="928">
        <f t="shared" ref="AS32:AW32" ca="1" si="150">IF(AS31=0,+IF(AS5="P",0.8*2+AS4*IF(AS3=1,1,IF(AS3=2,3,5)),(AS4+AS6)*IF(AS3=1,3,IF(AS3=2,4.5,6))),0)</f>
        <v>0</v>
      </c>
      <c r="AT32" s="928">
        <f t="shared" ca="1" si="150"/>
        <v>0</v>
      </c>
      <c r="AU32" s="928">
        <f t="shared" ca="1" si="150"/>
        <v>0</v>
      </c>
      <c r="AV32" s="928">
        <f t="shared" ca="1" si="150"/>
        <v>0</v>
      </c>
      <c r="AW32" s="928">
        <f t="shared" ca="1" si="150"/>
        <v>0</v>
      </c>
      <c r="AX32" s="928">
        <f t="shared" ref="AX32" si="151">IF(AX31=0,+IF(AX5="P",0.8*2+AX4*IF(AX3=1,1,IF(AX3=2,3,5)),(AX4+AX6)*IF(AX3=1,3,IF(AX3=2,4.5,6))),0)</f>
        <v>0</v>
      </c>
      <c r="AY32" s="928">
        <f t="shared" ref="AY32:BI32" si="152">IF(AY31=0,+IF(AY5="P",0.8*2+AY4*IF(AY3=1,1,IF(AY3=2,3,5)),(AY4+AY6)*IF(AY3=1,3,IF(AY3=2,4.5,6))),0)</f>
        <v>0</v>
      </c>
      <c r="AZ32" s="928">
        <f t="shared" ref="AZ32" si="153">IF(AZ31=0,+IF(AZ5="P",0.8*2+AZ4*IF(AZ3=1,1,IF(AZ3=2,3,5)),(AZ4+AZ6)*IF(AZ3=1,3,IF(AZ3=2,4.5,6))),0)</f>
        <v>0</v>
      </c>
      <c r="BA32" s="928">
        <f t="shared" si="152"/>
        <v>0</v>
      </c>
      <c r="BB32" s="928">
        <f t="shared" si="152"/>
        <v>0</v>
      </c>
      <c r="BC32" s="928">
        <f t="shared" si="152"/>
        <v>0</v>
      </c>
      <c r="BD32" s="928">
        <f t="shared" si="152"/>
        <v>0</v>
      </c>
      <c r="BE32" s="928">
        <f t="shared" si="152"/>
        <v>0</v>
      </c>
      <c r="BF32" s="928">
        <f t="shared" si="152"/>
        <v>0</v>
      </c>
      <c r="BG32" s="928">
        <f t="shared" si="152"/>
        <v>0</v>
      </c>
      <c r="BH32" s="928">
        <f t="shared" si="152"/>
        <v>0</v>
      </c>
      <c r="BI32" s="928">
        <f t="shared" si="152"/>
        <v>0</v>
      </c>
      <c r="BM32" s="2267"/>
      <c r="BN32" s="957"/>
      <c r="BO32" s="1090"/>
      <c r="BP32" s="1090"/>
      <c r="BQ32" s="1090"/>
      <c r="BR32" s="1090"/>
      <c r="BS32" s="1090"/>
      <c r="BT32" s="1090"/>
      <c r="BU32" s="1090"/>
      <c r="BV32" s="1090"/>
      <c r="BW32" s="1090"/>
      <c r="BX32" s="1090"/>
      <c r="BY32" s="1090"/>
      <c r="BZ32" s="1090"/>
    </row>
    <row r="33" spans="1:79" s="590" customFormat="1" ht="21.95" customHeight="1" thickBot="1" x14ac:dyDescent="0.2">
      <c r="A33" s="2596"/>
      <c r="B33" s="2667" t="s">
        <v>5</v>
      </c>
      <c r="C33" s="930" t="s">
        <v>362</v>
      </c>
      <c r="D33" s="2003"/>
      <c r="E33" s="1520"/>
      <c r="F33" s="238">
        <f t="shared" ref="F33" si="154">IF(F31=0,0,IF(AND(F30="B",F31&lt;1.499),1.5,F31))</f>
        <v>0</v>
      </c>
      <c r="G33" s="238">
        <f t="shared" ref="G33" ca="1" si="155">IF(G31=0,0,IF(AND(G30="B",G31&lt;1.499),1.5,G31))</f>
        <v>1.5</v>
      </c>
      <c r="H33" s="238">
        <f t="shared" ref="H33:I33" ca="1" si="156">IF(H31=0,0,IF(AND(H30="B",H31&lt;1.499),1.5,H31))</f>
        <v>1.5</v>
      </c>
      <c r="I33" s="238">
        <f t="shared" ca="1" si="156"/>
        <v>1.5</v>
      </c>
      <c r="J33" s="238"/>
      <c r="K33" s="238"/>
      <c r="L33" s="238"/>
      <c r="M33" s="238"/>
      <c r="N33" s="2439"/>
      <c r="O33" s="238">
        <f t="shared" ref="O33:V33" ca="1" si="157">IF(O31=0,0,IF(AND(O30="B",O31&lt;1.499),1.5,O31))</f>
        <v>1.5</v>
      </c>
      <c r="P33" s="238">
        <f t="shared" ca="1" si="157"/>
        <v>1.5</v>
      </c>
      <c r="Q33" s="238">
        <f t="shared" ca="1" si="157"/>
        <v>1.5</v>
      </c>
      <c r="R33" s="238">
        <f t="shared" ca="1" si="157"/>
        <v>1.5</v>
      </c>
      <c r="S33" s="238">
        <f t="shared" ca="1" si="157"/>
        <v>1.5</v>
      </c>
      <c r="T33" s="238">
        <f t="shared" ca="1" si="157"/>
        <v>2</v>
      </c>
      <c r="U33" s="238">
        <f t="shared" ca="1" si="157"/>
        <v>2</v>
      </c>
      <c r="V33" s="238">
        <f t="shared" ca="1" si="157"/>
        <v>2</v>
      </c>
      <c r="W33" s="238"/>
      <c r="X33" s="2439"/>
      <c r="Y33" s="238">
        <f t="shared" ref="Y33:AH33" ca="1" si="158">IF(Y31=0,0,IF(AND(Y30="B",Y31&lt;1.499),1.5,Y31))</f>
        <v>1.6</v>
      </c>
      <c r="Z33" s="238">
        <f t="shared" ca="1" si="158"/>
        <v>1.5</v>
      </c>
      <c r="AA33" s="238">
        <f t="shared" ca="1" si="158"/>
        <v>1.5</v>
      </c>
      <c r="AB33" s="238">
        <f t="shared" ca="1" si="158"/>
        <v>1.5</v>
      </c>
      <c r="AC33" s="238">
        <f t="shared" ca="1" si="158"/>
        <v>1.6</v>
      </c>
      <c r="AD33" s="238">
        <f t="shared" ca="1" si="158"/>
        <v>1.6</v>
      </c>
      <c r="AE33" s="238">
        <f t="shared" ca="1" si="158"/>
        <v>1.6</v>
      </c>
      <c r="AF33" s="238">
        <f t="shared" ca="1" si="158"/>
        <v>2</v>
      </c>
      <c r="AG33" s="238">
        <f t="shared" ca="1" si="158"/>
        <v>2</v>
      </c>
      <c r="AH33" s="238">
        <f t="shared" ca="1" si="158"/>
        <v>2</v>
      </c>
      <c r="AI33" s="238"/>
      <c r="AJ33" s="238"/>
      <c r="AK33" s="238"/>
      <c r="AL33" s="238"/>
      <c r="AM33" s="238"/>
      <c r="AN33" s="238"/>
      <c r="AO33" s="238"/>
      <c r="AP33" s="238"/>
      <c r="AQ33" s="238"/>
      <c r="AR33" s="2439"/>
      <c r="AS33" s="238">
        <f t="shared" ref="AS33:AW33" ca="1" si="159">IF(AS31=0,0,IF(AND(AS30="B",AS31&lt;1.499),1.5,AS31))</f>
        <v>1.5</v>
      </c>
      <c r="AT33" s="238">
        <f t="shared" ca="1" si="159"/>
        <v>1.6</v>
      </c>
      <c r="AU33" s="238">
        <f t="shared" ca="1" si="159"/>
        <v>1.6</v>
      </c>
      <c r="AV33" s="238">
        <f t="shared" ca="1" si="159"/>
        <v>1.6</v>
      </c>
      <c r="AW33" s="238">
        <f t="shared" ca="1" si="159"/>
        <v>2</v>
      </c>
      <c r="AX33" s="238">
        <f t="shared" ref="AX33" si="160">IF(AX31=0,0,IF(AND(AX30="B",AX31&lt;1.499),1.5,AX31))</f>
        <v>0.8</v>
      </c>
      <c r="AY33" s="238">
        <f t="shared" ref="AY33:BI33" si="161">IF(AY31=0,0,IF(AND(AY30="B",AY31&lt;1.499),1.5,AY31))</f>
        <v>0.8</v>
      </c>
      <c r="AZ33" s="238">
        <f t="shared" ref="AZ33" si="162">IF(AZ31=0,0,IF(AND(AZ30="B",AZ31&lt;1.499),1.5,AZ31))</f>
        <v>1.2</v>
      </c>
      <c r="BA33" s="238">
        <f t="shared" si="161"/>
        <v>1.2</v>
      </c>
      <c r="BB33" s="238">
        <f t="shared" si="161"/>
        <v>1.2000000000000002</v>
      </c>
      <c r="BC33" s="238">
        <f t="shared" si="161"/>
        <v>1.4</v>
      </c>
      <c r="BD33" s="238">
        <f t="shared" si="161"/>
        <v>0.8</v>
      </c>
      <c r="BE33" s="238">
        <f t="shared" si="161"/>
        <v>0.8</v>
      </c>
      <c r="BF33" s="238">
        <f t="shared" si="161"/>
        <v>1</v>
      </c>
      <c r="BG33" s="238">
        <f t="shared" si="161"/>
        <v>1</v>
      </c>
      <c r="BH33" s="238">
        <f t="shared" si="161"/>
        <v>1.2000000000000002</v>
      </c>
      <c r="BI33" s="238">
        <f t="shared" si="161"/>
        <v>1.3</v>
      </c>
      <c r="BJ33" s="238"/>
      <c r="BK33" s="238"/>
      <c r="BL33" s="238"/>
      <c r="BM33" s="363"/>
      <c r="BN33" s="579">
        <f t="shared" ref="BN33:BN39" ca="1" si="163">SUM(F33:BM33)</f>
        <v>55.900000000000006</v>
      </c>
      <c r="BO33" s="1089"/>
      <c r="BP33" s="1089"/>
      <c r="BQ33" s="1089"/>
      <c r="BR33" s="1089"/>
      <c r="BS33" s="1089"/>
      <c r="BT33" s="1089"/>
      <c r="BU33" s="1089"/>
      <c r="BV33" s="1089"/>
      <c r="BW33" s="1089"/>
      <c r="BX33" s="1089"/>
      <c r="BY33" s="1089"/>
      <c r="BZ33" s="1089"/>
    </row>
    <row r="34" spans="1:79" s="590" customFormat="1" ht="21.95" hidden="1" customHeight="1" x14ac:dyDescent="0.15">
      <c r="A34" s="2596"/>
      <c r="B34" s="2668"/>
      <c r="C34" s="591" t="s">
        <v>363</v>
      </c>
      <c r="D34" s="2004"/>
      <c r="E34" s="592"/>
      <c r="F34" s="158">
        <f t="shared" ref="F34" si="164">IF(F32=0,0,IF(AND(F30="B",F32&lt;1.499),1.5,F32))</f>
        <v>0</v>
      </c>
      <c r="G34" s="158">
        <f t="shared" ref="G34" ca="1" si="165">IF(G32=0,0,IF(AND(G30="B",G32&lt;1.499),1.5,G32))</f>
        <v>0</v>
      </c>
      <c r="H34" s="158">
        <f t="shared" ref="H34:I34" ca="1" si="166">IF(H32=0,0,IF(AND(H30="B",H32&lt;1.499),1.5,H32))</f>
        <v>0</v>
      </c>
      <c r="I34" s="158">
        <f t="shared" ca="1" si="166"/>
        <v>0</v>
      </c>
      <c r="J34" s="158"/>
      <c r="K34" s="158"/>
      <c r="L34" s="158"/>
      <c r="M34" s="158"/>
      <c r="N34" s="2416"/>
      <c r="O34" s="158">
        <f t="shared" ref="O34:V34" ca="1" si="167">IF(O32=0,0,IF(AND(O30="B",O32&lt;1.499),1.5,O32))</f>
        <v>0</v>
      </c>
      <c r="P34" s="158">
        <f t="shared" ca="1" si="167"/>
        <v>0</v>
      </c>
      <c r="Q34" s="158">
        <f t="shared" ca="1" si="167"/>
        <v>0</v>
      </c>
      <c r="R34" s="158">
        <f t="shared" ca="1" si="167"/>
        <v>0</v>
      </c>
      <c r="S34" s="158">
        <f t="shared" ca="1" si="167"/>
        <v>0</v>
      </c>
      <c r="T34" s="158">
        <f t="shared" ca="1" si="167"/>
        <v>0</v>
      </c>
      <c r="U34" s="158">
        <f t="shared" ca="1" si="167"/>
        <v>0</v>
      </c>
      <c r="V34" s="158">
        <f t="shared" ca="1" si="167"/>
        <v>0</v>
      </c>
      <c r="W34" s="158"/>
      <c r="X34" s="2416"/>
      <c r="Y34" s="158">
        <f t="shared" ref="Y34:AH34" ca="1" si="168">IF(Y32=0,0,IF(AND(Y30="B",Y32&lt;1.499),1.5,Y32))</f>
        <v>0</v>
      </c>
      <c r="Z34" s="158">
        <f t="shared" ca="1" si="168"/>
        <v>0</v>
      </c>
      <c r="AA34" s="158">
        <f t="shared" ca="1" si="168"/>
        <v>0</v>
      </c>
      <c r="AB34" s="158">
        <f t="shared" ca="1" si="168"/>
        <v>0</v>
      </c>
      <c r="AC34" s="158">
        <f t="shared" ca="1" si="168"/>
        <v>0</v>
      </c>
      <c r="AD34" s="158">
        <f t="shared" ca="1" si="168"/>
        <v>0</v>
      </c>
      <c r="AE34" s="158">
        <f t="shared" ca="1" si="168"/>
        <v>0</v>
      </c>
      <c r="AF34" s="158">
        <f t="shared" ca="1" si="168"/>
        <v>0</v>
      </c>
      <c r="AG34" s="158">
        <f t="shared" ca="1" si="168"/>
        <v>0</v>
      </c>
      <c r="AH34" s="158">
        <f t="shared" ca="1" si="168"/>
        <v>0</v>
      </c>
      <c r="AI34" s="158"/>
      <c r="AJ34" s="158"/>
      <c r="AK34" s="158"/>
      <c r="AL34" s="158"/>
      <c r="AM34" s="158"/>
      <c r="AN34" s="158"/>
      <c r="AO34" s="158"/>
      <c r="AP34" s="158"/>
      <c r="AQ34" s="158"/>
      <c r="AR34" s="2416"/>
      <c r="AS34" s="158">
        <f t="shared" ref="AS34:AW34" ca="1" si="169">IF(AS32=0,0,IF(AND(AS30="B",AS32&lt;1.499),1.5,AS32))</f>
        <v>0</v>
      </c>
      <c r="AT34" s="158">
        <f t="shared" ca="1" si="169"/>
        <v>0</v>
      </c>
      <c r="AU34" s="158">
        <f t="shared" ca="1" si="169"/>
        <v>0</v>
      </c>
      <c r="AV34" s="158">
        <f t="shared" ca="1" si="169"/>
        <v>0</v>
      </c>
      <c r="AW34" s="158">
        <f t="shared" ca="1" si="169"/>
        <v>0</v>
      </c>
      <c r="AX34" s="158">
        <f t="shared" ref="AX34" si="170">IF(AX32=0,0,IF(AND(AX30="B",AX32&lt;1.499),1.5,AX32))</f>
        <v>0</v>
      </c>
      <c r="AY34" s="158">
        <f t="shared" ref="AY34:BI34" si="171">IF(AY32=0,0,IF(AND(AY30="B",AY32&lt;1.499),1.5,AY32))</f>
        <v>0</v>
      </c>
      <c r="AZ34" s="158">
        <f t="shared" ref="AZ34" si="172">IF(AZ32=0,0,IF(AND(AZ30="B",AZ32&lt;1.499),1.5,AZ32))</f>
        <v>0</v>
      </c>
      <c r="BA34" s="158">
        <f t="shared" si="171"/>
        <v>0</v>
      </c>
      <c r="BB34" s="158">
        <f t="shared" si="171"/>
        <v>0</v>
      </c>
      <c r="BC34" s="158">
        <f t="shared" si="171"/>
        <v>0</v>
      </c>
      <c r="BD34" s="158">
        <f t="shared" si="171"/>
        <v>0</v>
      </c>
      <c r="BE34" s="158">
        <f t="shared" si="171"/>
        <v>0</v>
      </c>
      <c r="BF34" s="158">
        <f t="shared" si="171"/>
        <v>0</v>
      </c>
      <c r="BG34" s="158">
        <f t="shared" si="171"/>
        <v>0</v>
      </c>
      <c r="BH34" s="158">
        <f t="shared" si="171"/>
        <v>0</v>
      </c>
      <c r="BI34" s="158">
        <f t="shared" si="171"/>
        <v>0</v>
      </c>
      <c r="BJ34" s="159"/>
      <c r="BK34" s="159"/>
      <c r="BL34" s="159"/>
      <c r="BM34" s="351"/>
      <c r="BN34" s="579">
        <f t="shared" ca="1" si="163"/>
        <v>0</v>
      </c>
      <c r="BO34" s="1089"/>
      <c r="BP34" s="1089"/>
      <c r="BQ34" s="1089"/>
      <c r="BR34" s="1089"/>
      <c r="BS34" s="1089"/>
      <c r="BT34" s="1089"/>
      <c r="BU34" s="1089"/>
      <c r="BV34" s="1089"/>
      <c r="BW34" s="1089"/>
      <c r="BX34" s="1089"/>
      <c r="BY34" s="1089"/>
      <c r="BZ34" s="1089"/>
    </row>
    <row r="35" spans="1:79" s="590" customFormat="1" ht="21.95" customHeight="1" x14ac:dyDescent="0.15">
      <c r="A35" s="2596"/>
      <c r="B35" s="2669"/>
      <c r="C35" s="591" t="s">
        <v>609</v>
      </c>
      <c r="D35" s="2004"/>
      <c r="E35" s="592"/>
      <c r="F35" s="158">
        <f t="shared" ref="F35" si="173">IF(OR(F30="V",F30="B"),F33+F34,F33+F34+F17/F30*2)</f>
        <v>0</v>
      </c>
      <c r="G35" s="158">
        <f t="shared" ref="G35" ca="1" si="174">IF(OR(G30="V",G30="B"),G33+G34,G33+G34+G17/G30*2)</f>
        <v>1.5</v>
      </c>
      <c r="H35" s="158">
        <f t="shared" ref="H35:I35" ca="1" si="175">IF(OR(H30="V",H30="B"),H33+H34,H33+H34+H17/H30*2)</f>
        <v>1.5</v>
      </c>
      <c r="I35" s="158">
        <f t="shared" ca="1" si="175"/>
        <v>1.5</v>
      </c>
      <c r="J35" s="158"/>
      <c r="K35" s="158"/>
      <c r="L35" s="158"/>
      <c r="M35" s="158"/>
      <c r="N35" s="2416"/>
      <c r="O35" s="158">
        <f t="shared" ref="O35:V35" ca="1" si="176">IF(OR(O30="V",O30="B"),O33+O34,O33+O34+O17/O30*2)</f>
        <v>1.5</v>
      </c>
      <c r="P35" s="158">
        <f t="shared" ca="1" si="176"/>
        <v>1.5</v>
      </c>
      <c r="Q35" s="158">
        <f t="shared" ca="1" si="176"/>
        <v>1.5</v>
      </c>
      <c r="R35" s="158">
        <f t="shared" ca="1" si="176"/>
        <v>1.5</v>
      </c>
      <c r="S35" s="158">
        <f t="shared" ca="1" si="176"/>
        <v>1.5</v>
      </c>
      <c r="T35" s="158">
        <f t="shared" ca="1" si="176"/>
        <v>2</v>
      </c>
      <c r="U35" s="158">
        <f t="shared" ca="1" si="176"/>
        <v>2</v>
      </c>
      <c r="V35" s="158">
        <f t="shared" ca="1" si="176"/>
        <v>2</v>
      </c>
      <c r="W35" s="158"/>
      <c r="X35" s="2416"/>
      <c r="Y35" s="158">
        <f t="shared" ref="Y35:AH35" ca="1" si="177">IF(OR(Y30="V",Y30="B"),Y33+Y34,Y33+Y34+Y17/Y30*2)</f>
        <v>1.6</v>
      </c>
      <c r="Z35" s="158">
        <f t="shared" ca="1" si="177"/>
        <v>1.5</v>
      </c>
      <c r="AA35" s="158">
        <f t="shared" ca="1" si="177"/>
        <v>1.5</v>
      </c>
      <c r="AB35" s="158">
        <f t="shared" ca="1" si="177"/>
        <v>1.5</v>
      </c>
      <c r="AC35" s="158">
        <f t="shared" ca="1" si="177"/>
        <v>1.6</v>
      </c>
      <c r="AD35" s="158">
        <f t="shared" ca="1" si="177"/>
        <v>1.6</v>
      </c>
      <c r="AE35" s="158">
        <f t="shared" ca="1" si="177"/>
        <v>1.6</v>
      </c>
      <c r="AF35" s="158">
        <f t="shared" ca="1" si="177"/>
        <v>2</v>
      </c>
      <c r="AG35" s="158">
        <f t="shared" ca="1" si="177"/>
        <v>2</v>
      </c>
      <c r="AH35" s="158">
        <f t="shared" ca="1" si="177"/>
        <v>2</v>
      </c>
      <c r="AI35" s="158"/>
      <c r="AJ35" s="158"/>
      <c r="AK35" s="158"/>
      <c r="AL35" s="158"/>
      <c r="AM35" s="158"/>
      <c r="AN35" s="158"/>
      <c r="AO35" s="158"/>
      <c r="AP35" s="158"/>
      <c r="AQ35" s="158"/>
      <c r="AR35" s="2416"/>
      <c r="AS35" s="158">
        <f t="shared" ref="AS35:AW35" ca="1" si="178">IF(OR(AS30="V",AS30="B"),AS33+AS34,AS33+AS34+AS17/AS30*2)</f>
        <v>1.5</v>
      </c>
      <c r="AT35" s="158">
        <f t="shared" ca="1" si="178"/>
        <v>1.6</v>
      </c>
      <c r="AU35" s="158">
        <f t="shared" ca="1" si="178"/>
        <v>1.6</v>
      </c>
      <c r="AV35" s="158">
        <f t="shared" ca="1" si="178"/>
        <v>1.6</v>
      </c>
      <c r="AW35" s="158">
        <f t="shared" ca="1" si="178"/>
        <v>2</v>
      </c>
      <c r="AX35" s="158">
        <f t="shared" ref="AX35" si="179">IF(OR(AX30="V",AX30="B"),AX33+AX34,AX33+AX34+AX17/AX30*2)</f>
        <v>0.83360000000000001</v>
      </c>
      <c r="AY35" s="158">
        <f t="shared" ref="AY35:BI35" si="180">IF(OR(AY30="V",AY30="B"),AY33+AY34,AY33+AY34+AY17/AY30*2)</f>
        <v>1.1472</v>
      </c>
      <c r="AZ35" s="158">
        <f t="shared" ref="AZ35" si="181">IF(OR(AZ30="V",AZ30="B"),AZ33+AZ34,AZ33+AZ34+AZ17/AZ30*2)</f>
        <v>1.2504</v>
      </c>
      <c r="BA35" s="158">
        <f t="shared" si="180"/>
        <v>1.6608000000000001</v>
      </c>
      <c r="BB35" s="158">
        <f t="shared" si="180"/>
        <v>1.2168000000000001</v>
      </c>
      <c r="BC35" s="158">
        <f t="shared" si="180"/>
        <v>1.4251999999999998</v>
      </c>
      <c r="BD35" s="158">
        <f t="shared" si="180"/>
        <v>0.85600000000000009</v>
      </c>
      <c r="BE35" s="158">
        <f t="shared" si="180"/>
        <v>0.85600000000000009</v>
      </c>
      <c r="BF35" s="158">
        <f t="shared" si="180"/>
        <v>1.07</v>
      </c>
      <c r="BG35" s="158">
        <f t="shared" si="180"/>
        <v>1.07</v>
      </c>
      <c r="BH35" s="158">
        <f t="shared" si="180"/>
        <v>1.2168000000000001</v>
      </c>
      <c r="BI35" s="158">
        <f t="shared" si="180"/>
        <v>1.321</v>
      </c>
      <c r="BJ35" s="159"/>
      <c r="BK35" s="159"/>
      <c r="BL35" s="159"/>
      <c r="BM35" s="351"/>
      <c r="BN35" s="579">
        <f t="shared" ca="1" si="163"/>
        <v>57.123800000000003</v>
      </c>
      <c r="BO35" s="1089"/>
      <c r="BP35" s="1089"/>
      <c r="BQ35" s="1089"/>
      <c r="BR35" s="1089"/>
      <c r="BS35" s="1089"/>
      <c r="BT35" s="1089"/>
      <c r="BU35" s="1089"/>
      <c r="BV35" s="1089"/>
      <c r="BW35" s="1089"/>
      <c r="BX35" s="1089"/>
      <c r="BY35" s="1089"/>
      <c r="BZ35" s="1089"/>
    </row>
    <row r="36" spans="1:79" s="590" customFormat="1" ht="21.95" customHeight="1" thickBot="1" x14ac:dyDescent="0.2">
      <c r="A36" s="2596"/>
      <c r="B36" s="2670"/>
      <c r="C36" s="591" t="s">
        <v>1101</v>
      </c>
      <c r="D36" s="2004"/>
      <c r="E36" s="592"/>
      <c r="F36" s="158">
        <f t="shared" ref="F36" si="182">IF(F30="B",F33+F34,0)</f>
        <v>0</v>
      </c>
      <c r="G36" s="158">
        <f t="shared" ref="G36" ca="1" si="183">IF(G30="B",G33+G34,0)</f>
        <v>1.5</v>
      </c>
      <c r="H36" s="158">
        <f t="shared" ref="H36:I36" ca="1" si="184">IF(H30="B",H33+H34,0)</f>
        <v>1.5</v>
      </c>
      <c r="I36" s="158">
        <f t="shared" ca="1" si="184"/>
        <v>1.5</v>
      </c>
      <c r="J36" s="158"/>
      <c r="K36" s="158"/>
      <c r="L36" s="158"/>
      <c r="M36" s="158"/>
      <c r="N36" s="2416"/>
      <c r="O36" s="158">
        <f t="shared" ref="O36:V36" ca="1" si="185">IF(O30="B",O33+O34,0)</f>
        <v>1.5</v>
      </c>
      <c r="P36" s="158">
        <f t="shared" ca="1" si="185"/>
        <v>1.5</v>
      </c>
      <c r="Q36" s="158">
        <f t="shared" ca="1" si="185"/>
        <v>1.5</v>
      </c>
      <c r="R36" s="158">
        <f t="shared" ca="1" si="185"/>
        <v>1.5</v>
      </c>
      <c r="S36" s="158">
        <f t="shared" ca="1" si="185"/>
        <v>1.5</v>
      </c>
      <c r="T36" s="158">
        <f t="shared" ca="1" si="185"/>
        <v>2</v>
      </c>
      <c r="U36" s="158">
        <f t="shared" ca="1" si="185"/>
        <v>2</v>
      </c>
      <c r="V36" s="158">
        <f t="shared" ca="1" si="185"/>
        <v>2</v>
      </c>
      <c r="W36" s="158"/>
      <c r="X36" s="2416"/>
      <c r="Y36" s="158">
        <f t="shared" ref="Y36:AH36" ca="1" si="186">IF(Y30="B",Y33+Y34,0)</f>
        <v>1.6</v>
      </c>
      <c r="Z36" s="158">
        <f t="shared" ca="1" si="186"/>
        <v>1.5</v>
      </c>
      <c r="AA36" s="158">
        <f t="shared" ca="1" si="186"/>
        <v>1.5</v>
      </c>
      <c r="AB36" s="158">
        <f t="shared" ca="1" si="186"/>
        <v>1.5</v>
      </c>
      <c r="AC36" s="158">
        <f t="shared" ca="1" si="186"/>
        <v>1.6</v>
      </c>
      <c r="AD36" s="158">
        <f t="shared" ca="1" si="186"/>
        <v>1.6</v>
      </c>
      <c r="AE36" s="158">
        <f t="shared" ca="1" si="186"/>
        <v>1.6</v>
      </c>
      <c r="AF36" s="158">
        <f t="shared" ca="1" si="186"/>
        <v>2</v>
      </c>
      <c r="AG36" s="158">
        <f t="shared" ca="1" si="186"/>
        <v>2</v>
      </c>
      <c r="AH36" s="158">
        <f t="shared" ca="1" si="186"/>
        <v>2</v>
      </c>
      <c r="AI36" s="158"/>
      <c r="AJ36" s="158"/>
      <c r="AK36" s="158"/>
      <c r="AL36" s="158"/>
      <c r="AM36" s="158"/>
      <c r="AN36" s="158"/>
      <c r="AO36" s="158"/>
      <c r="AP36" s="158"/>
      <c r="AQ36" s="158"/>
      <c r="AR36" s="2416"/>
      <c r="AS36" s="158">
        <f t="shared" ref="AS36:AW36" ca="1" si="187">IF(AS30="B",AS33+AS34,0)</f>
        <v>1.5</v>
      </c>
      <c r="AT36" s="158">
        <f t="shared" ca="1" si="187"/>
        <v>1.6</v>
      </c>
      <c r="AU36" s="158">
        <f t="shared" ca="1" si="187"/>
        <v>1.6</v>
      </c>
      <c r="AV36" s="158">
        <f t="shared" ca="1" si="187"/>
        <v>1.6</v>
      </c>
      <c r="AW36" s="158">
        <f t="shared" ca="1" si="187"/>
        <v>2</v>
      </c>
      <c r="AX36" s="158">
        <f t="shared" ref="AX36" si="188">IF(AX30="B",AX33+AX34,0)</f>
        <v>0</v>
      </c>
      <c r="AY36" s="158">
        <f t="shared" ref="AY36:BI36" si="189">IF(AY30="B",AY33+AY34,0)</f>
        <v>0</v>
      </c>
      <c r="AZ36" s="158">
        <f t="shared" ref="AZ36" si="190">IF(AZ30="B",AZ33+AZ34,0)</f>
        <v>0</v>
      </c>
      <c r="BA36" s="158">
        <f t="shared" si="189"/>
        <v>0</v>
      </c>
      <c r="BB36" s="158">
        <f t="shared" si="189"/>
        <v>0</v>
      </c>
      <c r="BC36" s="158">
        <f t="shared" si="189"/>
        <v>0</v>
      </c>
      <c r="BD36" s="158">
        <f t="shared" si="189"/>
        <v>0</v>
      </c>
      <c r="BE36" s="158">
        <f t="shared" si="189"/>
        <v>0</v>
      </c>
      <c r="BF36" s="158">
        <f t="shared" si="189"/>
        <v>0</v>
      </c>
      <c r="BG36" s="158">
        <f t="shared" si="189"/>
        <v>0</v>
      </c>
      <c r="BH36" s="158">
        <f t="shared" si="189"/>
        <v>0</v>
      </c>
      <c r="BI36" s="158">
        <f t="shared" si="189"/>
        <v>0</v>
      </c>
      <c r="BJ36" s="159"/>
      <c r="BK36" s="159"/>
      <c r="BL36" s="159"/>
      <c r="BM36" s="351"/>
      <c r="BN36" s="579">
        <f t="shared" ca="1" si="163"/>
        <v>43.20000000000001</v>
      </c>
      <c r="BO36" s="1089"/>
      <c r="BP36" s="1089"/>
      <c r="BQ36" s="1089"/>
      <c r="BR36" s="1089"/>
      <c r="BS36" s="1089"/>
      <c r="BT36" s="1089"/>
      <c r="BU36" s="1089"/>
      <c r="BV36" s="1089"/>
      <c r="BW36" s="1089"/>
      <c r="BX36" s="1089"/>
      <c r="BY36" s="1089"/>
      <c r="BZ36" s="1089"/>
    </row>
    <row r="37" spans="1:79" s="590" customFormat="1" ht="21.95" hidden="1" customHeight="1" x14ac:dyDescent="0.15">
      <c r="A37" s="2596"/>
      <c r="B37" s="2668"/>
      <c r="C37" s="591" t="s">
        <v>737</v>
      </c>
      <c r="D37" s="2004"/>
      <c r="E37" s="592"/>
      <c r="F37" s="158">
        <f t="shared" ref="F37" si="191">IF(F16=0,0,IF(F30="V",F39,-F16/F30*2+F39))</f>
        <v>0</v>
      </c>
      <c r="G37" s="158">
        <f t="shared" ref="G37" si="192">IF(G16=0,0,IF(G30="V",G39,-G16/G30*2+G39))</f>
        <v>0</v>
      </c>
      <c r="H37" s="158">
        <f t="shared" ref="H37:I37" si="193">IF(H16=0,0,IF(H30="V",H39,-H16/H30*2+H39))</f>
        <v>0</v>
      </c>
      <c r="I37" s="158">
        <f t="shared" si="193"/>
        <v>0</v>
      </c>
      <c r="J37" s="158"/>
      <c r="K37" s="158"/>
      <c r="L37" s="158"/>
      <c r="M37" s="158"/>
      <c r="N37" s="2416"/>
      <c r="O37" s="158">
        <f t="shared" ref="O37:V37" si="194">IF(O16=0,0,IF(O30="V",O39,-O16/O30*2+O39))</f>
        <v>0</v>
      </c>
      <c r="P37" s="158">
        <f t="shared" si="194"/>
        <v>0</v>
      </c>
      <c r="Q37" s="158">
        <f t="shared" si="194"/>
        <v>0</v>
      </c>
      <c r="R37" s="158">
        <f t="shared" si="194"/>
        <v>0</v>
      </c>
      <c r="S37" s="158">
        <f t="shared" si="194"/>
        <v>0</v>
      </c>
      <c r="T37" s="158">
        <f t="shared" si="194"/>
        <v>0</v>
      </c>
      <c r="U37" s="158">
        <f t="shared" si="194"/>
        <v>0</v>
      </c>
      <c r="V37" s="158">
        <f t="shared" si="194"/>
        <v>0</v>
      </c>
      <c r="W37" s="158"/>
      <c r="X37" s="2416"/>
      <c r="Y37" s="158">
        <f t="shared" ref="Y37:AH37" si="195">IF(Y16=0,0,IF(Y30="V",Y39,-Y16/Y30*2+Y39))</f>
        <v>0</v>
      </c>
      <c r="Z37" s="158">
        <f t="shared" si="195"/>
        <v>0</v>
      </c>
      <c r="AA37" s="158">
        <f t="shared" si="195"/>
        <v>0</v>
      </c>
      <c r="AB37" s="158">
        <f t="shared" si="195"/>
        <v>0</v>
      </c>
      <c r="AC37" s="158">
        <f t="shared" si="195"/>
        <v>0</v>
      </c>
      <c r="AD37" s="158">
        <f t="shared" si="195"/>
        <v>0</v>
      </c>
      <c r="AE37" s="158">
        <f t="shared" si="195"/>
        <v>0</v>
      </c>
      <c r="AF37" s="158">
        <f t="shared" si="195"/>
        <v>0</v>
      </c>
      <c r="AG37" s="158">
        <f t="shared" si="195"/>
        <v>0</v>
      </c>
      <c r="AH37" s="158">
        <f t="shared" si="195"/>
        <v>0</v>
      </c>
      <c r="AI37" s="158"/>
      <c r="AJ37" s="158"/>
      <c r="AK37" s="158"/>
      <c r="AL37" s="158"/>
      <c r="AM37" s="158"/>
      <c r="AN37" s="158"/>
      <c r="AO37" s="158"/>
      <c r="AP37" s="158"/>
      <c r="AQ37" s="158"/>
      <c r="AR37" s="2416"/>
      <c r="AS37" s="158">
        <f t="shared" ref="AS37:AW37" si="196">IF(AS16=0,0,IF(AS30="V",AS39,-AS16/AS30*2+AS39))</f>
        <v>0</v>
      </c>
      <c r="AT37" s="158">
        <f t="shared" si="196"/>
        <v>0</v>
      </c>
      <c r="AU37" s="158">
        <f t="shared" si="196"/>
        <v>0</v>
      </c>
      <c r="AV37" s="158">
        <f t="shared" si="196"/>
        <v>0</v>
      </c>
      <c r="AW37" s="158">
        <f t="shared" si="196"/>
        <v>0</v>
      </c>
      <c r="AX37" s="158">
        <f t="shared" ref="AX37" si="197">IF(AX16=0,0,IF(AX30="V",AX39,-AX16/AX30*2+AX39))</f>
        <v>0</v>
      </c>
      <c r="AY37" s="158">
        <f t="shared" ref="AY37:BI37" si="198">IF(AY16=0,0,IF(AY30="V",AY39,-AY16/AY30*2+AY39))</f>
        <v>0</v>
      </c>
      <c r="AZ37" s="158">
        <f t="shared" ref="AZ37" si="199">IF(AZ16=0,0,IF(AZ30="V",AZ39,-AZ16/AZ30*2+AZ39))</f>
        <v>0</v>
      </c>
      <c r="BA37" s="158">
        <f t="shared" si="198"/>
        <v>0</v>
      </c>
      <c r="BB37" s="158">
        <f t="shared" si="198"/>
        <v>0</v>
      </c>
      <c r="BC37" s="158">
        <f t="shared" si="198"/>
        <v>0</v>
      </c>
      <c r="BD37" s="158">
        <f t="shared" si="198"/>
        <v>0</v>
      </c>
      <c r="BE37" s="158">
        <f t="shared" si="198"/>
        <v>0</v>
      </c>
      <c r="BF37" s="158">
        <f t="shared" si="198"/>
        <v>0</v>
      </c>
      <c r="BG37" s="158">
        <f t="shared" si="198"/>
        <v>0</v>
      </c>
      <c r="BH37" s="158">
        <f t="shared" si="198"/>
        <v>0</v>
      </c>
      <c r="BI37" s="158">
        <f t="shared" si="198"/>
        <v>0</v>
      </c>
      <c r="BJ37" s="159"/>
      <c r="BK37" s="159"/>
      <c r="BL37" s="159"/>
      <c r="BM37" s="351"/>
      <c r="BN37" s="579">
        <f t="shared" si="163"/>
        <v>0</v>
      </c>
      <c r="BO37" s="1089"/>
      <c r="BP37" s="1089"/>
      <c r="BQ37" s="1089"/>
      <c r="BR37" s="1089"/>
      <c r="BS37" s="1089"/>
      <c r="BT37" s="1089"/>
      <c r="BU37" s="1089"/>
      <c r="BV37" s="1089"/>
      <c r="BW37" s="1089"/>
      <c r="BX37" s="1089"/>
      <c r="BY37" s="1089"/>
      <c r="BZ37" s="1089"/>
    </row>
    <row r="38" spans="1:79" s="590" customFormat="1" ht="21.95" hidden="1" customHeight="1" x14ac:dyDescent="0.15">
      <c r="A38" s="2596"/>
      <c r="B38" s="2668"/>
      <c r="C38" s="591" t="s">
        <v>691</v>
      </c>
      <c r="D38" s="2004"/>
      <c r="E38" s="592"/>
      <c r="F38" s="158">
        <f t="shared" ref="F38" si="200">IF(F14=0,0,IF(OR(F30="V",F30="B"),F33+F34,F14/F30*2+F33+F34))</f>
        <v>0</v>
      </c>
      <c r="G38" s="158">
        <f t="shared" ref="G38" si="201">IF(G14=0,0,IF(OR(G30="V",G30="B"),G33+G34,G14/G30*2+G33+G34))</f>
        <v>0</v>
      </c>
      <c r="H38" s="158">
        <f t="shared" ref="H38:I38" si="202">IF(H14=0,0,IF(OR(H30="V",H30="B"),H33+H34,H14/H30*2+H33+H34))</f>
        <v>0</v>
      </c>
      <c r="I38" s="158">
        <f t="shared" si="202"/>
        <v>0</v>
      </c>
      <c r="J38" s="158"/>
      <c r="K38" s="158"/>
      <c r="L38" s="158"/>
      <c r="M38" s="158"/>
      <c r="N38" s="2416"/>
      <c r="O38" s="158">
        <f t="shared" ref="O38:V38" si="203">IF(O14=0,0,IF(OR(O30="V",O30="B"),O33+O34,O14/O30*2+O33+O34))</f>
        <v>0</v>
      </c>
      <c r="P38" s="158">
        <f t="shared" si="203"/>
        <v>0</v>
      </c>
      <c r="Q38" s="158">
        <f t="shared" si="203"/>
        <v>0</v>
      </c>
      <c r="R38" s="158">
        <f t="shared" si="203"/>
        <v>0</v>
      </c>
      <c r="S38" s="158">
        <f t="shared" si="203"/>
        <v>0</v>
      </c>
      <c r="T38" s="158">
        <f t="shared" si="203"/>
        <v>0</v>
      </c>
      <c r="U38" s="158">
        <f t="shared" si="203"/>
        <v>0</v>
      </c>
      <c r="V38" s="158">
        <f t="shared" si="203"/>
        <v>0</v>
      </c>
      <c r="W38" s="158"/>
      <c r="X38" s="2416"/>
      <c r="Y38" s="158">
        <f t="shared" ref="Y38:AH38" si="204">IF(Y14=0,0,IF(OR(Y30="V",Y30="B"),Y33+Y34,Y14/Y30*2+Y33+Y34))</f>
        <v>0</v>
      </c>
      <c r="Z38" s="158">
        <f t="shared" si="204"/>
        <v>0</v>
      </c>
      <c r="AA38" s="158">
        <f t="shared" si="204"/>
        <v>0</v>
      </c>
      <c r="AB38" s="158">
        <f t="shared" si="204"/>
        <v>0</v>
      </c>
      <c r="AC38" s="158">
        <f t="shared" si="204"/>
        <v>0</v>
      </c>
      <c r="AD38" s="158">
        <f t="shared" si="204"/>
        <v>0</v>
      </c>
      <c r="AE38" s="158">
        <f t="shared" si="204"/>
        <v>0</v>
      </c>
      <c r="AF38" s="158">
        <f t="shared" si="204"/>
        <v>0</v>
      </c>
      <c r="AG38" s="158">
        <f t="shared" si="204"/>
        <v>0</v>
      </c>
      <c r="AH38" s="158">
        <f t="shared" si="204"/>
        <v>0</v>
      </c>
      <c r="AI38" s="158"/>
      <c r="AJ38" s="158"/>
      <c r="AK38" s="158"/>
      <c r="AL38" s="158"/>
      <c r="AM38" s="158"/>
      <c r="AN38" s="158"/>
      <c r="AO38" s="158"/>
      <c r="AP38" s="158"/>
      <c r="AQ38" s="158"/>
      <c r="AR38" s="2416"/>
      <c r="AS38" s="158">
        <f t="shared" ref="AS38:AW38" si="205">IF(AS14=0,0,IF(OR(AS30="V",AS30="B"),AS33+AS34,AS14/AS30*2+AS33+AS34))</f>
        <v>0</v>
      </c>
      <c r="AT38" s="158">
        <f t="shared" si="205"/>
        <v>0</v>
      </c>
      <c r="AU38" s="158">
        <f t="shared" si="205"/>
        <v>0</v>
      </c>
      <c r="AV38" s="158">
        <f t="shared" si="205"/>
        <v>0</v>
      </c>
      <c r="AW38" s="158">
        <f t="shared" si="205"/>
        <v>0</v>
      </c>
      <c r="AX38" s="158">
        <f t="shared" ref="AX38" si="206">IF(AX14=0,0,IF(OR(AX30="V",AX30="B"),AX33+AX34,AX14/AX30*2+AX33+AX34))</f>
        <v>0</v>
      </c>
      <c r="AY38" s="158">
        <f t="shared" ref="AY38:BI38" si="207">IF(AY14=0,0,IF(OR(AY30="V",AY30="B"),AY33+AY34,AY14/AY30*2+AY33+AY34))</f>
        <v>0</v>
      </c>
      <c r="AZ38" s="158">
        <f t="shared" ref="AZ38" si="208">IF(AZ14=0,0,IF(OR(AZ30="V",AZ30="B"),AZ33+AZ34,AZ14/AZ30*2+AZ33+AZ34))</f>
        <v>0</v>
      </c>
      <c r="BA38" s="158">
        <f t="shared" si="207"/>
        <v>0</v>
      </c>
      <c r="BB38" s="158">
        <f t="shared" si="207"/>
        <v>0</v>
      </c>
      <c r="BC38" s="158">
        <f t="shared" si="207"/>
        <v>0</v>
      </c>
      <c r="BD38" s="158">
        <f t="shared" si="207"/>
        <v>0</v>
      </c>
      <c r="BE38" s="158">
        <f t="shared" si="207"/>
        <v>0</v>
      </c>
      <c r="BF38" s="158">
        <f t="shared" si="207"/>
        <v>0</v>
      </c>
      <c r="BG38" s="158">
        <f t="shared" si="207"/>
        <v>0</v>
      </c>
      <c r="BH38" s="158">
        <f t="shared" si="207"/>
        <v>0</v>
      </c>
      <c r="BI38" s="158">
        <f t="shared" si="207"/>
        <v>0</v>
      </c>
      <c r="BJ38" s="159"/>
      <c r="BK38" s="159"/>
      <c r="BL38" s="159"/>
      <c r="BM38" s="351"/>
      <c r="BN38" s="579">
        <f t="shared" si="163"/>
        <v>0</v>
      </c>
      <c r="BO38" s="1089"/>
      <c r="BP38" s="1089"/>
      <c r="BQ38" s="1089"/>
      <c r="BR38" s="1089"/>
      <c r="BS38" s="1089"/>
      <c r="BT38" s="1089"/>
      <c r="BU38" s="1089"/>
      <c r="BV38" s="1089"/>
      <c r="BW38" s="1089"/>
      <c r="BX38" s="1089"/>
      <c r="BY38" s="1089"/>
      <c r="BZ38" s="1089"/>
    </row>
    <row r="39" spans="1:79" s="590" customFormat="1" ht="21.95" customHeight="1" thickBot="1" x14ac:dyDescent="0.2">
      <c r="A39" s="2596"/>
      <c r="B39" s="2670"/>
      <c r="C39" s="598" t="s">
        <v>364</v>
      </c>
      <c r="D39" s="2264"/>
      <c r="E39" s="592"/>
      <c r="F39" s="158">
        <f>MAX(F36,IF(F30="V",F33+F34,IF(F30="B",(F11-F15)/3*2+F33+F34,F11/F30*2+F33+F34)))</f>
        <v>0</v>
      </c>
      <c r="G39" s="158">
        <f t="shared" ref="G39" ca="1" si="209">MAX(G36,IF(G30="V",G33+G34,IF(G30="B",(G11-G15)/3*2+G33+G34,G11/G30*2+G33+G34)))</f>
        <v>1.5</v>
      </c>
      <c r="H39" s="158">
        <f t="shared" ref="H39:I39" ca="1" si="210">MAX(H36,IF(H30="V",H33+H34,IF(H30="B",(H11-H15)/3*2+H33+H34,H11/H30*2+H33+H34)))</f>
        <v>1.5</v>
      </c>
      <c r="I39" s="158">
        <f t="shared" ca="1" si="210"/>
        <v>1.5</v>
      </c>
      <c r="J39" s="158"/>
      <c r="K39" s="158"/>
      <c r="L39" s="158"/>
      <c r="M39" s="158"/>
      <c r="N39" s="2416"/>
      <c r="O39" s="158">
        <f t="shared" ref="O39:V39" ca="1" si="211">MAX(O36,IF(O30="V",O33+O34,IF(O30="B",(O11-O15)/3*2+O33+O34,O11/O30*2+O33+O34)))</f>
        <v>1.5</v>
      </c>
      <c r="P39" s="158">
        <f t="shared" ca="1" si="211"/>
        <v>1.5</v>
      </c>
      <c r="Q39" s="158">
        <f t="shared" ca="1" si="211"/>
        <v>1.5</v>
      </c>
      <c r="R39" s="158">
        <f t="shared" ca="1" si="211"/>
        <v>1.5</v>
      </c>
      <c r="S39" s="158">
        <f t="shared" ca="1" si="211"/>
        <v>1.5</v>
      </c>
      <c r="T39" s="158">
        <f t="shared" ca="1" si="211"/>
        <v>2.1544600000000651</v>
      </c>
      <c r="U39" s="158">
        <f t="shared" ca="1" si="211"/>
        <v>2.1500466666667331</v>
      </c>
      <c r="V39" s="158">
        <f t="shared" ca="1" si="211"/>
        <v>2.0127533333333818</v>
      </c>
      <c r="W39" s="158"/>
      <c r="X39" s="2416"/>
      <c r="Y39" s="158">
        <f t="shared" ref="Y39:AH39" ca="1" si="212">MAX(Y36,IF(Y30="V",Y33+Y34,IF(Y30="B",(Y11-Y15)/3*2+Y33+Y34,Y11/Y30*2+Y33+Y34)))</f>
        <v>1.654796666666694</v>
      </c>
      <c r="Z39" s="158">
        <f t="shared" ca="1" si="212"/>
        <v>1.5</v>
      </c>
      <c r="AA39" s="158">
        <f t="shared" ca="1" si="212"/>
        <v>1.5</v>
      </c>
      <c r="AB39" s="158">
        <f t="shared" ca="1" si="212"/>
        <v>1.5</v>
      </c>
      <c r="AC39" s="158">
        <f t="shared" ca="1" si="212"/>
        <v>1.6326466666667023</v>
      </c>
      <c r="AD39" s="158">
        <f t="shared" ca="1" si="212"/>
        <v>1.6</v>
      </c>
      <c r="AE39" s="158">
        <f t="shared" ca="1" si="212"/>
        <v>1.6</v>
      </c>
      <c r="AF39" s="158">
        <f t="shared" ca="1" si="212"/>
        <v>2.1883466666667064</v>
      </c>
      <c r="AG39" s="158">
        <f t="shared" ca="1" si="212"/>
        <v>2.1794533333333925</v>
      </c>
      <c r="AH39" s="158">
        <f t="shared" ca="1" si="212"/>
        <v>2.323353333333404</v>
      </c>
      <c r="AI39" s="158"/>
      <c r="AJ39" s="158"/>
      <c r="AK39" s="158"/>
      <c r="AL39" s="158"/>
      <c r="AM39" s="158"/>
      <c r="AN39" s="158"/>
      <c r="AO39" s="158"/>
      <c r="AP39" s="158"/>
      <c r="AQ39" s="158"/>
      <c r="AR39" s="2416"/>
      <c r="AS39" s="158">
        <f t="shared" ref="AS39:AW39" ca="1" si="213">MAX(AS36,IF(AS30="V",AS33+AS34,IF(AS30="B",(AS11-AS15)/3*2+AS33+AS34,AS11/AS30*2+AS33+AS34)))</f>
        <v>1.5</v>
      </c>
      <c r="AT39" s="158">
        <f t="shared" ca="1" si="213"/>
        <v>1.6</v>
      </c>
      <c r="AU39" s="158">
        <f t="shared" ca="1" si="213"/>
        <v>1.6</v>
      </c>
      <c r="AV39" s="158">
        <f t="shared" ca="1" si="213"/>
        <v>1.6</v>
      </c>
      <c r="AW39" s="158">
        <f t="shared" ca="1" si="213"/>
        <v>2.6665633333334031</v>
      </c>
      <c r="AX39" s="158">
        <f t="shared" ref="AX39:BI39" si="214">MAX(AX36,IF(AX30="V",AX33+AX34,IF(AX30="B",(AX11-AX15)/3*2+AX33+AX34,AX11/AX30*2+AX33+AX34)))</f>
        <v>0.83360000000000001</v>
      </c>
      <c r="AY39" s="158">
        <f t="shared" si="214"/>
        <v>1.3336000000000001</v>
      </c>
      <c r="AZ39" s="158">
        <f t="shared" si="214"/>
        <v>1.2504</v>
      </c>
      <c r="BA39" s="158">
        <f t="shared" si="214"/>
        <v>1.8104</v>
      </c>
      <c r="BB39" s="158">
        <f t="shared" si="214"/>
        <v>1.2168000000000001</v>
      </c>
      <c r="BC39" s="158">
        <f t="shared" si="214"/>
        <v>1.4251999999999998</v>
      </c>
      <c r="BD39" s="158">
        <f t="shared" si="214"/>
        <v>0.85600000000000009</v>
      </c>
      <c r="BE39" s="158">
        <f t="shared" si="214"/>
        <v>0.85600000000000009</v>
      </c>
      <c r="BF39" s="158">
        <f t="shared" si="214"/>
        <v>1.07</v>
      </c>
      <c r="BG39" s="158">
        <f t="shared" si="214"/>
        <v>1.07</v>
      </c>
      <c r="BH39" s="158">
        <f t="shared" si="214"/>
        <v>1.2168000000000001</v>
      </c>
      <c r="BI39" s="158">
        <f t="shared" si="214"/>
        <v>1.321</v>
      </c>
      <c r="BJ39" s="158"/>
      <c r="BK39" s="158"/>
      <c r="BL39" s="158"/>
      <c r="BM39" s="351"/>
      <c r="BN39" s="579">
        <f t="shared" ca="1" si="163"/>
        <v>59.222220000000476</v>
      </c>
      <c r="BO39" s="1089"/>
      <c r="BP39" s="1089"/>
      <c r="BQ39" s="1089"/>
      <c r="BR39" s="1089"/>
      <c r="BS39" s="1089"/>
      <c r="BT39" s="1089"/>
      <c r="BU39" s="1089"/>
      <c r="BV39" s="1089"/>
      <c r="BW39" s="1089"/>
      <c r="BX39" s="1089"/>
      <c r="BY39" s="1089"/>
      <c r="BZ39" s="1089"/>
    </row>
    <row r="40" spans="1:79" s="590" customFormat="1" ht="32.1" hidden="1" customHeight="1" x14ac:dyDescent="0.15">
      <c r="A40" s="2596"/>
      <c r="B40" s="2679" t="s">
        <v>1105</v>
      </c>
      <c r="C40" s="940" t="s">
        <v>712</v>
      </c>
      <c r="D40" s="2003"/>
      <c r="E40" s="1520"/>
      <c r="F40" s="932">
        <f t="shared" ref="F40" si="215">SUM(F157:F158)+F163+SUM(F167:F168)+F179</f>
        <v>0</v>
      </c>
      <c r="G40" s="932">
        <f t="shared" ref="G40" ca="1" si="216">SUM(G157:G158)+G163+SUM(G167:G168)+G179</f>
        <v>0</v>
      </c>
      <c r="H40" s="932">
        <f t="shared" ref="H40:I40" ca="1" si="217">SUM(H157:H158)+H163+SUM(H167:H168)+H179</f>
        <v>0</v>
      </c>
      <c r="I40" s="932">
        <f t="shared" ca="1" si="217"/>
        <v>0</v>
      </c>
      <c r="J40" s="932"/>
      <c r="K40" s="932"/>
      <c r="L40" s="932"/>
      <c r="M40" s="932"/>
      <c r="N40" s="2445"/>
      <c r="O40" s="932">
        <f t="shared" ref="O40:V40" ca="1" si="218">SUM(O157:O158)+O163+SUM(O167:O168)+O179</f>
        <v>0</v>
      </c>
      <c r="P40" s="932">
        <f t="shared" ca="1" si="218"/>
        <v>0</v>
      </c>
      <c r="Q40" s="932">
        <f t="shared" ca="1" si="218"/>
        <v>0</v>
      </c>
      <c r="R40" s="932">
        <f t="shared" ca="1" si="218"/>
        <v>0</v>
      </c>
      <c r="S40" s="932">
        <f t="shared" ca="1" si="218"/>
        <v>0</v>
      </c>
      <c r="T40" s="932">
        <f t="shared" ca="1" si="218"/>
        <v>0</v>
      </c>
      <c r="U40" s="932">
        <f t="shared" ca="1" si="218"/>
        <v>0</v>
      </c>
      <c r="V40" s="932">
        <f t="shared" ca="1" si="218"/>
        <v>0</v>
      </c>
      <c r="W40" s="932"/>
      <c r="X40" s="2445"/>
      <c r="Y40" s="932">
        <f t="shared" ref="Y40:AH40" ca="1" si="219">SUM(Y157:Y158)+Y163+SUM(Y167:Y168)+Y179</f>
        <v>0</v>
      </c>
      <c r="Z40" s="932">
        <f t="shared" ca="1" si="219"/>
        <v>0</v>
      </c>
      <c r="AA40" s="932">
        <f t="shared" ca="1" si="219"/>
        <v>0</v>
      </c>
      <c r="AB40" s="932">
        <f t="shared" ca="1" si="219"/>
        <v>0</v>
      </c>
      <c r="AC40" s="932">
        <f t="shared" ca="1" si="219"/>
        <v>0</v>
      </c>
      <c r="AD40" s="932">
        <f t="shared" ca="1" si="219"/>
        <v>0</v>
      </c>
      <c r="AE40" s="932">
        <f t="shared" ca="1" si="219"/>
        <v>0</v>
      </c>
      <c r="AF40" s="932">
        <f t="shared" ca="1" si="219"/>
        <v>0</v>
      </c>
      <c r="AG40" s="932">
        <f t="shared" ca="1" si="219"/>
        <v>0</v>
      </c>
      <c r="AH40" s="932">
        <f t="shared" ca="1" si="219"/>
        <v>0</v>
      </c>
      <c r="AI40" s="932"/>
      <c r="AJ40" s="932"/>
      <c r="AK40" s="932"/>
      <c r="AL40" s="932"/>
      <c r="AM40" s="932"/>
      <c r="AN40" s="932"/>
      <c r="AO40" s="932"/>
      <c r="AP40" s="932"/>
      <c r="AQ40" s="932"/>
      <c r="AR40" s="2445"/>
      <c r="AS40" s="932">
        <f t="shared" ref="AS40:AW40" ca="1" si="220">SUM(AS157:AS158)+AS163+SUM(AS167:AS168)+AS179</f>
        <v>0</v>
      </c>
      <c r="AT40" s="932">
        <f t="shared" ca="1" si="220"/>
        <v>0</v>
      </c>
      <c r="AU40" s="932">
        <f t="shared" ca="1" si="220"/>
        <v>0</v>
      </c>
      <c r="AV40" s="932">
        <f t="shared" ca="1" si="220"/>
        <v>0</v>
      </c>
      <c r="AW40" s="932">
        <f t="shared" ca="1" si="220"/>
        <v>0</v>
      </c>
      <c r="AX40" s="932">
        <f t="shared" ref="AX40" si="221">SUM(AX157:AX158)+AX163+SUM(AX167:AX168)+AX179</f>
        <v>0</v>
      </c>
      <c r="AY40" s="932">
        <f t="shared" ref="AY40:BI40" si="222">SUM(AY157:AY158)+AY163+SUM(AY167:AY168)+AY179</f>
        <v>0</v>
      </c>
      <c r="AZ40" s="932">
        <f t="shared" ref="AZ40" si="223">SUM(AZ157:AZ158)+AZ163+SUM(AZ167:AZ168)+AZ179</f>
        <v>0</v>
      </c>
      <c r="BA40" s="932">
        <f t="shared" si="222"/>
        <v>0</v>
      </c>
      <c r="BB40" s="932">
        <f t="shared" si="222"/>
        <v>0</v>
      </c>
      <c r="BC40" s="932">
        <f t="shared" si="222"/>
        <v>0</v>
      </c>
      <c r="BD40" s="932">
        <f t="shared" si="222"/>
        <v>0</v>
      </c>
      <c r="BE40" s="932">
        <f t="shared" si="222"/>
        <v>0</v>
      </c>
      <c r="BF40" s="932">
        <f t="shared" si="222"/>
        <v>0</v>
      </c>
      <c r="BG40" s="932">
        <f t="shared" si="222"/>
        <v>0</v>
      </c>
      <c r="BH40" s="932">
        <f t="shared" si="222"/>
        <v>0</v>
      </c>
      <c r="BI40" s="932">
        <f t="shared" si="222"/>
        <v>0</v>
      </c>
      <c r="BJ40" s="932"/>
      <c r="BK40" s="932"/>
      <c r="BL40" s="932"/>
      <c r="BM40" s="2265">
        <f t="shared" ref="BM40:BM46" ca="1" si="224">TRUNC(SUM(F40:BL40),2)</f>
        <v>0</v>
      </c>
      <c r="BN40" s="957"/>
      <c r="BO40" s="1089"/>
      <c r="BP40" s="1089"/>
      <c r="BQ40" s="1089"/>
      <c r="BR40" s="1089"/>
      <c r="BS40" s="1089"/>
      <c r="BT40" s="1089"/>
      <c r="BU40" s="1089"/>
      <c r="BV40" s="1089"/>
      <c r="BW40" s="1089"/>
      <c r="BX40" s="1089"/>
      <c r="BY40" s="1089"/>
      <c r="BZ40" s="1089"/>
    </row>
    <row r="41" spans="1:79" s="590" customFormat="1" ht="21.95" hidden="1" customHeight="1" x14ac:dyDescent="0.15">
      <c r="A41" s="2596"/>
      <c r="B41" s="2680"/>
      <c r="C41" s="947" t="s">
        <v>692</v>
      </c>
      <c r="D41" s="2004"/>
      <c r="E41" s="592"/>
      <c r="F41" s="933">
        <f t="shared" ref="F41" si="225">IF(F38=0,0,(F38+F33+F34)/2*F14*F2)</f>
        <v>0</v>
      </c>
      <c r="G41" s="933">
        <f t="shared" ref="G41" si="226">IF(G38=0,0,(G38+G33+G34)/2*G14*G2)</f>
        <v>0</v>
      </c>
      <c r="H41" s="933">
        <f t="shared" ref="H41:I41" si="227">IF(H38=0,0,(H38+H33+H34)/2*H14*H2)</f>
        <v>0</v>
      </c>
      <c r="I41" s="933">
        <f t="shared" si="227"/>
        <v>0</v>
      </c>
      <c r="J41" s="933"/>
      <c r="K41" s="933"/>
      <c r="L41" s="933"/>
      <c r="M41" s="933"/>
      <c r="N41" s="2446"/>
      <c r="O41" s="933">
        <f t="shared" ref="O41:V41" si="228">IF(O38=0,0,(O38+O33+O34)/2*O14*O2)</f>
        <v>0</v>
      </c>
      <c r="P41" s="933">
        <f t="shared" si="228"/>
        <v>0</v>
      </c>
      <c r="Q41" s="933">
        <f t="shared" si="228"/>
        <v>0</v>
      </c>
      <c r="R41" s="933">
        <f t="shared" si="228"/>
        <v>0</v>
      </c>
      <c r="S41" s="933">
        <f t="shared" si="228"/>
        <v>0</v>
      </c>
      <c r="T41" s="933">
        <f t="shared" si="228"/>
        <v>0</v>
      </c>
      <c r="U41" s="933">
        <f t="shared" si="228"/>
        <v>0</v>
      </c>
      <c r="V41" s="933">
        <f t="shared" si="228"/>
        <v>0</v>
      </c>
      <c r="W41" s="933"/>
      <c r="X41" s="2446"/>
      <c r="Y41" s="933">
        <f t="shared" ref="Y41:AH41" si="229">IF(Y38=0,0,(Y38+Y33+Y34)/2*Y14*Y2)</f>
        <v>0</v>
      </c>
      <c r="Z41" s="933">
        <f t="shared" si="229"/>
        <v>0</v>
      </c>
      <c r="AA41" s="933">
        <f t="shared" si="229"/>
        <v>0</v>
      </c>
      <c r="AB41" s="933">
        <f t="shared" si="229"/>
        <v>0</v>
      </c>
      <c r="AC41" s="933">
        <f t="shared" si="229"/>
        <v>0</v>
      </c>
      <c r="AD41" s="933">
        <f t="shared" si="229"/>
        <v>0</v>
      </c>
      <c r="AE41" s="933">
        <f t="shared" si="229"/>
        <v>0</v>
      </c>
      <c r="AF41" s="933">
        <f t="shared" si="229"/>
        <v>0</v>
      </c>
      <c r="AG41" s="933">
        <f t="shared" si="229"/>
        <v>0</v>
      </c>
      <c r="AH41" s="933">
        <f t="shared" si="229"/>
        <v>0</v>
      </c>
      <c r="AI41" s="933"/>
      <c r="AJ41" s="933"/>
      <c r="AK41" s="933"/>
      <c r="AL41" s="933"/>
      <c r="AM41" s="933"/>
      <c r="AN41" s="933"/>
      <c r="AO41" s="933"/>
      <c r="AP41" s="933"/>
      <c r="AQ41" s="933"/>
      <c r="AR41" s="2446"/>
      <c r="AS41" s="933">
        <f t="shared" ref="AS41:AW41" si="230">IF(AS38=0,0,(AS38+AS33+AS34)/2*AS14*AS2)</f>
        <v>0</v>
      </c>
      <c r="AT41" s="933">
        <f t="shared" si="230"/>
        <v>0</v>
      </c>
      <c r="AU41" s="933">
        <f t="shared" si="230"/>
        <v>0</v>
      </c>
      <c r="AV41" s="933">
        <f t="shared" si="230"/>
        <v>0</v>
      </c>
      <c r="AW41" s="933">
        <f t="shared" si="230"/>
        <v>0</v>
      </c>
      <c r="AX41" s="933">
        <f t="shared" ref="AX41" si="231">IF(AX38=0,0,(AX38+AX33+AX34)/2*AX14*AX2)</f>
        <v>0</v>
      </c>
      <c r="AY41" s="933">
        <f t="shared" ref="AY41:BI41" si="232">IF(AY38=0,0,(AY38+AY33+AY34)/2*AY14*AY2)</f>
        <v>0</v>
      </c>
      <c r="AZ41" s="933">
        <f t="shared" ref="AZ41" si="233">IF(AZ38=0,0,(AZ38+AZ33+AZ34)/2*AZ14*AZ2)</f>
        <v>0</v>
      </c>
      <c r="BA41" s="933">
        <f t="shared" si="232"/>
        <v>0</v>
      </c>
      <c r="BB41" s="933">
        <f t="shared" si="232"/>
        <v>0</v>
      </c>
      <c r="BC41" s="933">
        <f t="shared" si="232"/>
        <v>0</v>
      </c>
      <c r="BD41" s="933">
        <f t="shared" si="232"/>
        <v>0</v>
      </c>
      <c r="BE41" s="933">
        <f t="shared" si="232"/>
        <v>0</v>
      </c>
      <c r="BF41" s="933">
        <f t="shared" si="232"/>
        <v>0</v>
      </c>
      <c r="BG41" s="933">
        <f t="shared" si="232"/>
        <v>0</v>
      </c>
      <c r="BH41" s="933">
        <f t="shared" si="232"/>
        <v>0</v>
      </c>
      <c r="BI41" s="933">
        <f t="shared" si="232"/>
        <v>0</v>
      </c>
      <c r="BJ41" s="933"/>
      <c r="BK41" s="933"/>
      <c r="BL41" s="933"/>
      <c r="BM41" s="1258">
        <f t="shared" si="224"/>
        <v>0</v>
      </c>
      <c r="BN41" s="957"/>
      <c r="BO41" s="1089"/>
      <c r="BP41" s="1089"/>
      <c r="BQ41" s="1089"/>
      <c r="BR41" s="1089"/>
      <c r="BS41" s="1089"/>
      <c r="BT41" s="1089"/>
      <c r="BU41" s="1089"/>
      <c r="BV41" s="1089"/>
      <c r="BW41" s="1089"/>
      <c r="BX41" s="1089"/>
      <c r="BY41" s="1089"/>
      <c r="BZ41" s="1089"/>
    </row>
    <row r="42" spans="1:79" s="590" customFormat="1" ht="21.95" hidden="1" customHeight="1" x14ac:dyDescent="0.15">
      <c r="A42" s="2596"/>
      <c r="B42" s="2680"/>
      <c r="C42" s="942" t="s">
        <v>360</v>
      </c>
      <c r="D42" s="2004"/>
      <c r="E42" s="592"/>
      <c r="F42" s="933">
        <f t="shared" ref="F42" si="234">IF(F20=0,0,IF(F36=0,(F33+F34+F39)/2*F11*F2-F41,((F33+F34)*F15+(F36+F39)/2*(F11-F15))*F2-F41))</f>
        <v>0</v>
      </c>
      <c r="G42" s="933">
        <f t="shared" ref="G42" ca="1" si="235">IF(G20=0,0,IF(G36=0,(G33+G34+G39)/2*G11*G2-G41,((G33+G34)*G15+(G36+G39)/2*(G11-G15))*G2-G41))</f>
        <v>0</v>
      </c>
      <c r="H42" s="933">
        <f t="shared" ref="H42:I42" ca="1" si="236">IF(H20=0,0,IF(H36=0,(H33+H34+H39)/2*H11*H2-H41,((H33+H34)*H15+(H36+H39)/2*(H11-H15))*H2-H41))</f>
        <v>0</v>
      </c>
      <c r="I42" s="933">
        <f t="shared" ca="1" si="236"/>
        <v>0</v>
      </c>
      <c r="J42" s="933"/>
      <c r="K42" s="933"/>
      <c r="L42" s="933"/>
      <c r="M42" s="933"/>
      <c r="N42" s="2446"/>
      <c r="O42" s="933">
        <f t="shared" ref="O42:V42" ca="1" si="237">IF(O20=0,0,IF(O36=0,(O33+O34+O39)/2*O11*O2-O41,((O33+O34)*O15+(O36+O39)/2*(O11-O15))*O2-O41))</f>
        <v>0</v>
      </c>
      <c r="P42" s="933">
        <f t="shared" ca="1" si="237"/>
        <v>0</v>
      </c>
      <c r="Q42" s="933">
        <f t="shared" ca="1" si="237"/>
        <v>0</v>
      </c>
      <c r="R42" s="933">
        <f t="shared" ca="1" si="237"/>
        <v>0</v>
      </c>
      <c r="S42" s="933">
        <f t="shared" ca="1" si="237"/>
        <v>0</v>
      </c>
      <c r="T42" s="933">
        <f t="shared" ca="1" si="237"/>
        <v>0</v>
      </c>
      <c r="U42" s="933">
        <f t="shared" ca="1" si="237"/>
        <v>0</v>
      </c>
      <c r="V42" s="933">
        <f t="shared" ca="1" si="237"/>
        <v>0</v>
      </c>
      <c r="W42" s="933"/>
      <c r="X42" s="2446"/>
      <c r="Y42" s="933">
        <f t="shared" ref="Y42:AH42" ca="1" si="238">IF(Y20=0,0,IF(Y36=0,(Y33+Y34+Y39)/2*Y11*Y2-Y41,((Y33+Y34)*Y15+(Y36+Y39)/2*(Y11-Y15))*Y2-Y41))</f>
        <v>0</v>
      </c>
      <c r="Z42" s="933">
        <f t="shared" ca="1" si="238"/>
        <v>0</v>
      </c>
      <c r="AA42" s="933">
        <f t="shared" ca="1" si="238"/>
        <v>0</v>
      </c>
      <c r="AB42" s="933">
        <f t="shared" ca="1" si="238"/>
        <v>0</v>
      </c>
      <c r="AC42" s="933">
        <f t="shared" ca="1" si="238"/>
        <v>0</v>
      </c>
      <c r="AD42" s="933">
        <f t="shared" ca="1" si="238"/>
        <v>0</v>
      </c>
      <c r="AE42" s="933">
        <f t="shared" ca="1" si="238"/>
        <v>0</v>
      </c>
      <c r="AF42" s="933">
        <f t="shared" ca="1" si="238"/>
        <v>0</v>
      </c>
      <c r="AG42" s="933">
        <f t="shared" ca="1" si="238"/>
        <v>0</v>
      </c>
      <c r="AH42" s="933">
        <f t="shared" ca="1" si="238"/>
        <v>0</v>
      </c>
      <c r="AI42" s="933"/>
      <c r="AJ42" s="933"/>
      <c r="AK42" s="933"/>
      <c r="AL42" s="933"/>
      <c r="AM42" s="933"/>
      <c r="AN42" s="933"/>
      <c r="AO42" s="933"/>
      <c r="AP42" s="933"/>
      <c r="AQ42" s="933"/>
      <c r="AR42" s="2446"/>
      <c r="AS42" s="933">
        <f t="shared" ref="AS42:AW42" ca="1" si="239">IF(AS20=0,0,IF(AS36=0,(AS33+AS34+AS39)/2*AS11*AS2-AS41,((AS33+AS34)*AS15+(AS36+AS39)/2*(AS11-AS15))*AS2-AS41))</f>
        <v>0</v>
      </c>
      <c r="AT42" s="933">
        <f t="shared" ca="1" si="239"/>
        <v>0</v>
      </c>
      <c r="AU42" s="933">
        <f t="shared" ca="1" si="239"/>
        <v>0</v>
      </c>
      <c r="AV42" s="933">
        <f t="shared" ca="1" si="239"/>
        <v>0</v>
      </c>
      <c r="AW42" s="933">
        <f t="shared" ca="1" si="239"/>
        <v>0</v>
      </c>
      <c r="AX42" s="933">
        <f t="shared" ref="AX42" si="240">IF(AX20=0,0,IF(AX36=0,(AX33+AX34+AX39)/2*AX11*AX2-AX41,((AX33+AX34)*AX15+(AX36+AX39)/2*(AX11-AX15))*AX2-AX41))</f>
        <v>0</v>
      </c>
      <c r="AY42" s="933">
        <f t="shared" ref="AY42:BI42" si="241">IF(AY20=0,0,IF(AY36=0,(AY33+AY34+AY39)/2*AY11*AY2-AY41,((AY33+AY34)*AY15+(AY36+AY39)/2*(AY11-AY15))*AY2-AY41))</f>
        <v>0</v>
      </c>
      <c r="AZ42" s="933">
        <f t="shared" ref="AZ42" si="242">IF(AZ20=0,0,IF(AZ36=0,(AZ33+AZ34+AZ39)/2*AZ11*AZ2-AZ41,((AZ33+AZ34)*AZ15+(AZ36+AZ39)/2*(AZ11-AZ15))*AZ2-AZ41))</f>
        <v>0</v>
      </c>
      <c r="BA42" s="933">
        <f t="shared" si="241"/>
        <v>0</v>
      </c>
      <c r="BB42" s="933">
        <f t="shared" si="241"/>
        <v>0</v>
      </c>
      <c r="BC42" s="933">
        <f t="shared" si="241"/>
        <v>0</v>
      </c>
      <c r="BD42" s="933">
        <f t="shared" si="241"/>
        <v>0</v>
      </c>
      <c r="BE42" s="933">
        <f t="shared" si="241"/>
        <v>0</v>
      </c>
      <c r="BF42" s="933">
        <f t="shared" si="241"/>
        <v>0</v>
      </c>
      <c r="BG42" s="933">
        <f t="shared" si="241"/>
        <v>0</v>
      </c>
      <c r="BH42" s="933">
        <f t="shared" si="241"/>
        <v>0</v>
      </c>
      <c r="BI42" s="933">
        <f t="shared" si="241"/>
        <v>0</v>
      </c>
      <c r="BJ42" s="933"/>
      <c r="BK42" s="933"/>
      <c r="BL42" s="933"/>
      <c r="BM42" s="1258">
        <f t="shared" ca="1" si="224"/>
        <v>0</v>
      </c>
      <c r="BN42" s="957"/>
      <c r="BO42" s="1089"/>
      <c r="BP42" s="1089"/>
      <c r="BQ42" s="1089"/>
      <c r="BR42" s="1089"/>
      <c r="BS42" s="1089"/>
      <c r="BT42" s="1089"/>
      <c r="BU42" s="1089"/>
      <c r="BV42" s="1089"/>
      <c r="BW42" s="1089"/>
      <c r="BX42" s="1089"/>
      <c r="BY42" s="1089"/>
      <c r="BZ42" s="1089"/>
    </row>
    <row r="43" spans="1:79" s="590" customFormat="1" ht="21.95" hidden="1" customHeight="1" x14ac:dyDescent="0.15">
      <c r="A43" s="2596"/>
      <c r="B43" s="2680"/>
      <c r="C43" s="942" t="s">
        <v>568</v>
      </c>
      <c r="D43" s="2004"/>
      <c r="E43" s="592"/>
      <c r="F43" s="933">
        <f t="shared" ref="F43" si="243">IF(F21=0,0,IF(F36=0,(F33+F34+F39)/2*F11*F2-F41,((F33+F34)*F15+(F36+F39)/2*(F11-F15))*F2-F41))</f>
        <v>0</v>
      </c>
      <c r="G43" s="933">
        <f t="shared" ref="G43" ca="1" si="244">IF(G21=0,0,IF(G36=0,(G33+G34+G39)/2*G11*G2-G41,((G33+G34)*G15+(G36+G39)/2*(G11-G15))*G2-G41))</f>
        <v>0</v>
      </c>
      <c r="H43" s="933">
        <f t="shared" ref="H43:I43" ca="1" si="245">IF(H21=0,0,IF(H36=0,(H33+H34+H39)/2*H11*H2-H41,((H33+H34)*H15+(H36+H39)/2*(H11-H15))*H2-H41))</f>
        <v>0</v>
      </c>
      <c r="I43" s="933">
        <f t="shared" ca="1" si="245"/>
        <v>0</v>
      </c>
      <c r="J43" s="933"/>
      <c r="K43" s="933"/>
      <c r="L43" s="933"/>
      <c r="M43" s="933"/>
      <c r="N43" s="2446"/>
      <c r="O43" s="933">
        <f t="shared" ref="O43:V43" ca="1" si="246">IF(O21=0,0,IF(O36=0,(O33+O34+O39)/2*O11*O2-O41,((O33+O34)*O15+(O36+O39)/2*(O11-O15))*O2-O41))</f>
        <v>0</v>
      </c>
      <c r="P43" s="933">
        <f t="shared" ca="1" si="246"/>
        <v>0</v>
      </c>
      <c r="Q43" s="933">
        <f t="shared" ca="1" si="246"/>
        <v>0</v>
      </c>
      <c r="R43" s="933">
        <f t="shared" ca="1" si="246"/>
        <v>0</v>
      </c>
      <c r="S43" s="933">
        <f t="shared" ca="1" si="246"/>
        <v>0</v>
      </c>
      <c r="T43" s="933">
        <f t="shared" ca="1" si="246"/>
        <v>0</v>
      </c>
      <c r="U43" s="933">
        <f t="shared" ca="1" si="246"/>
        <v>0</v>
      </c>
      <c r="V43" s="933">
        <f t="shared" ca="1" si="246"/>
        <v>0</v>
      </c>
      <c r="W43" s="933"/>
      <c r="X43" s="2446"/>
      <c r="Y43" s="933">
        <f t="shared" ref="Y43:AH43" ca="1" si="247">IF(Y21=0,0,IF(Y36=0,(Y33+Y34+Y39)/2*Y11*Y2-Y41,((Y33+Y34)*Y15+(Y36+Y39)/2*(Y11-Y15))*Y2-Y41))</f>
        <v>0</v>
      </c>
      <c r="Z43" s="933">
        <f t="shared" ca="1" si="247"/>
        <v>0</v>
      </c>
      <c r="AA43" s="933">
        <f t="shared" ca="1" si="247"/>
        <v>0</v>
      </c>
      <c r="AB43" s="933">
        <f t="shared" ca="1" si="247"/>
        <v>0</v>
      </c>
      <c r="AC43" s="933">
        <f t="shared" ca="1" si="247"/>
        <v>0</v>
      </c>
      <c r="AD43" s="933">
        <f t="shared" ca="1" si="247"/>
        <v>0</v>
      </c>
      <c r="AE43" s="933">
        <f t="shared" ca="1" si="247"/>
        <v>0</v>
      </c>
      <c r="AF43" s="933">
        <f t="shared" ca="1" si="247"/>
        <v>0</v>
      </c>
      <c r="AG43" s="933">
        <f t="shared" ca="1" si="247"/>
        <v>0</v>
      </c>
      <c r="AH43" s="933">
        <f t="shared" ca="1" si="247"/>
        <v>0</v>
      </c>
      <c r="AI43" s="933"/>
      <c r="AJ43" s="933"/>
      <c r="AK43" s="933"/>
      <c r="AL43" s="933"/>
      <c r="AM43" s="933"/>
      <c r="AN43" s="933"/>
      <c r="AO43" s="933"/>
      <c r="AP43" s="933"/>
      <c r="AQ43" s="933"/>
      <c r="AR43" s="2446"/>
      <c r="AS43" s="933">
        <f t="shared" ref="AS43:AW43" ca="1" si="248">IF(AS21=0,0,IF(AS36=0,(AS33+AS34+AS39)/2*AS11*AS2-AS41,((AS33+AS34)*AS15+(AS36+AS39)/2*(AS11-AS15))*AS2-AS41))</f>
        <v>0</v>
      </c>
      <c r="AT43" s="933">
        <f t="shared" ca="1" si="248"/>
        <v>0</v>
      </c>
      <c r="AU43" s="933">
        <f t="shared" ca="1" si="248"/>
        <v>0</v>
      </c>
      <c r="AV43" s="933">
        <f t="shared" ca="1" si="248"/>
        <v>0</v>
      </c>
      <c r="AW43" s="933">
        <f t="shared" ca="1" si="248"/>
        <v>515.21081217846211</v>
      </c>
      <c r="AX43" s="933">
        <f t="shared" ref="AX43" si="249">IF(AX21=0,0,IF(AX36=0,(AX33+AX34+AX39)/2*AX11*AX2-AX41,((AX33+AX34)*AX15+(AX36+AX39)/2*(AX11-AX15))*AX2-AX41))</f>
        <v>0</v>
      </c>
      <c r="AY43" s="933">
        <f t="shared" ref="AY43:BI43" si="250">IF(AY21=0,0,IF(AY36=0,(AY33+AY34+AY39)/2*AY11*AY2-AY41,((AY33+AY34)*AY15+(AY36+AY39)/2*(AY11-AY15))*AY2-AY41))</f>
        <v>0</v>
      </c>
      <c r="AZ43" s="933">
        <f t="shared" ref="AZ43" si="251">IF(AZ21=0,0,IF(AZ36=0,(AZ33+AZ34+AZ39)/2*AZ11*AZ2-AZ41,((AZ33+AZ34)*AZ15+(AZ36+AZ39)/2*(AZ11-AZ15))*AZ2-AZ41))</f>
        <v>0</v>
      </c>
      <c r="BA43" s="933">
        <f t="shared" si="250"/>
        <v>0</v>
      </c>
      <c r="BB43" s="933">
        <f t="shared" si="250"/>
        <v>0</v>
      </c>
      <c r="BC43" s="933">
        <f t="shared" si="250"/>
        <v>0</v>
      </c>
      <c r="BD43" s="933">
        <f t="shared" si="250"/>
        <v>0</v>
      </c>
      <c r="BE43" s="933">
        <f t="shared" si="250"/>
        <v>0</v>
      </c>
      <c r="BF43" s="933">
        <f t="shared" si="250"/>
        <v>0</v>
      </c>
      <c r="BG43" s="933">
        <f t="shared" si="250"/>
        <v>0</v>
      </c>
      <c r="BH43" s="933">
        <f t="shared" si="250"/>
        <v>0</v>
      </c>
      <c r="BI43" s="933">
        <f t="shared" si="250"/>
        <v>0</v>
      </c>
      <c r="BJ43" s="933"/>
      <c r="BK43" s="933"/>
      <c r="BL43" s="933"/>
      <c r="BM43" s="1258">
        <f t="shared" ca="1" si="224"/>
        <v>515.21</v>
      </c>
      <c r="BN43" s="957"/>
      <c r="BO43" s="1089"/>
      <c r="BP43" s="1089"/>
      <c r="BQ43" s="1089"/>
      <c r="BR43" s="1089"/>
      <c r="BS43" s="1089"/>
      <c r="BT43" s="1089"/>
      <c r="BU43" s="1089"/>
      <c r="BV43" s="1089"/>
      <c r="BW43" s="1089"/>
      <c r="BX43" s="1089"/>
      <c r="BY43" s="1089"/>
      <c r="BZ43" s="1089"/>
    </row>
    <row r="44" spans="1:79" s="590" customFormat="1" ht="21.95" hidden="1" customHeight="1" x14ac:dyDescent="0.15">
      <c r="A44" s="2596"/>
      <c r="B44" s="2680"/>
      <c r="C44" s="942" t="s">
        <v>569</v>
      </c>
      <c r="D44" s="2004"/>
      <c r="E44" s="592"/>
      <c r="F44" s="933">
        <f t="shared" ref="F44" si="252">IF(F22=0,0,(F33+F34+F39)/2*F11*F2-F41)</f>
        <v>0</v>
      </c>
      <c r="G44" s="933">
        <f t="shared" ref="G44" ca="1" si="253">IF(G22=0,0,(G33+G34+G39)/2*G11*G2-G41)</f>
        <v>241.57452540000151</v>
      </c>
      <c r="H44" s="933">
        <f t="shared" ref="H44:I44" ca="1" si="254">IF(H22=0,0,(H33+H34+H39)/2*H11*H2-H41)</f>
        <v>198.8181689999995</v>
      </c>
      <c r="I44" s="933">
        <f t="shared" ca="1" si="254"/>
        <v>173.35715759999897</v>
      </c>
      <c r="J44" s="933"/>
      <c r="K44" s="933"/>
      <c r="L44" s="933"/>
      <c r="M44" s="933"/>
      <c r="N44" s="2446"/>
      <c r="O44" s="933">
        <f t="shared" ref="O44:V44" ca="1" si="255">IF(O22=0,0,(O33+O34+O39)/2*O11*O2-O41)</f>
        <v>223.3544544000014</v>
      </c>
      <c r="P44" s="933">
        <f t="shared" ca="1" si="255"/>
        <v>293.35461187500232</v>
      </c>
      <c r="Q44" s="933">
        <f t="shared" ca="1" si="255"/>
        <v>313.97287920001145</v>
      </c>
      <c r="R44" s="933">
        <f t="shared" ca="1" si="255"/>
        <v>325.63873320001744</v>
      </c>
      <c r="S44" s="933">
        <f t="shared" ca="1" si="255"/>
        <v>311.27061240001569</v>
      </c>
      <c r="T44" s="933">
        <f t="shared" ca="1" si="255"/>
        <v>518.01742467603935</v>
      </c>
      <c r="U44" s="933">
        <f t="shared" ca="1" si="255"/>
        <v>516.16544309480253</v>
      </c>
      <c r="V44" s="933">
        <f t="shared" ca="1" si="255"/>
        <v>265.7878445732926</v>
      </c>
      <c r="W44" s="933"/>
      <c r="X44" s="2446"/>
      <c r="Y44" s="933">
        <f t="shared" ref="Y44:AH44" ca="1" si="256">IF(Y22=0,0,(Y33+Y34+Y39)/2*Y11*Y2-Y41)</f>
        <v>290.96662603278747</v>
      </c>
      <c r="Z44" s="933">
        <f t="shared" ca="1" si="256"/>
        <v>317.36073240000434</v>
      </c>
      <c r="AA44" s="933">
        <f t="shared" ca="1" si="256"/>
        <v>319.09621680000623</v>
      </c>
      <c r="AB44" s="933">
        <f t="shared" ca="1" si="256"/>
        <v>317.01704400000824</v>
      </c>
      <c r="AC44" s="933">
        <f t="shared" ca="1" si="256"/>
        <v>285.47456874404537</v>
      </c>
      <c r="AD44" s="933">
        <f t="shared" ca="1" si="256"/>
        <v>276.24258200000617</v>
      </c>
      <c r="AE44" s="933">
        <f t="shared" ca="1" si="256"/>
        <v>277.02468000000772</v>
      </c>
      <c r="AF44" s="933">
        <f t="shared" ca="1" si="256"/>
        <v>476.26537165431915</v>
      </c>
      <c r="AG44" s="933">
        <f t="shared" ca="1" si="256"/>
        <v>514.2226021788764</v>
      </c>
      <c r="AH44" s="933">
        <f t="shared" ca="1" si="256"/>
        <v>574.94312248068763</v>
      </c>
      <c r="AI44" s="933"/>
      <c r="AJ44" s="933"/>
      <c r="AK44" s="933"/>
      <c r="AL44" s="933"/>
      <c r="AM44" s="933"/>
      <c r="AN44" s="933"/>
      <c r="AO44" s="933"/>
      <c r="AP44" s="933"/>
      <c r="AQ44" s="933"/>
      <c r="AR44" s="2446"/>
      <c r="AS44" s="933">
        <f t="shared" ref="AS44:AW44" ca="1" si="257">IF(AS22=0,0,(AS33+AS34+AS39)/2*AS11*AS2-AS41)</f>
        <v>243.92774429999977</v>
      </c>
      <c r="AT44" s="933">
        <f t="shared" ca="1" si="257"/>
        <v>268.59278335999971</v>
      </c>
      <c r="AU44" s="933">
        <f t="shared" ca="1" si="257"/>
        <v>270.01853632000427</v>
      </c>
      <c r="AV44" s="933">
        <f t="shared" ca="1" si="257"/>
        <v>268.06096952000559</v>
      </c>
      <c r="AW44" s="933">
        <f t="shared" ca="1" si="257"/>
        <v>0</v>
      </c>
      <c r="AX44" s="933">
        <f t="shared" ref="AX44" si="258">IF(AX22=0,0,(AX33+AX34+AX39)/2*AX11*AX2-AX41)</f>
        <v>0</v>
      </c>
      <c r="AY44" s="933">
        <f t="shared" ref="AY44:BI44" si="259">IF(AY22=0,0,(AY33+AY34+AY39)/2*AY11*AY2-AY41)</f>
        <v>0</v>
      </c>
      <c r="AZ44" s="933">
        <f t="shared" ref="AZ44" si="260">IF(AZ22=0,0,(AZ33+AZ34+AZ39)/2*AZ11*AZ2-AZ41)</f>
        <v>0</v>
      </c>
      <c r="BA44" s="933">
        <f t="shared" si="259"/>
        <v>151.59772319999996</v>
      </c>
      <c r="BB44" s="933">
        <f t="shared" si="259"/>
        <v>0</v>
      </c>
      <c r="BC44" s="933">
        <f t="shared" si="259"/>
        <v>0</v>
      </c>
      <c r="BD44" s="933">
        <f t="shared" si="259"/>
        <v>0</v>
      </c>
      <c r="BE44" s="933">
        <f t="shared" si="259"/>
        <v>0</v>
      </c>
      <c r="BF44" s="933">
        <f t="shared" si="259"/>
        <v>0</v>
      </c>
      <c r="BG44" s="933">
        <f t="shared" si="259"/>
        <v>0</v>
      </c>
      <c r="BH44" s="933">
        <f t="shared" si="259"/>
        <v>0</v>
      </c>
      <c r="BI44" s="933">
        <f t="shared" si="259"/>
        <v>0</v>
      </c>
      <c r="BJ44" s="933"/>
      <c r="BK44" s="933"/>
      <c r="BL44" s="933"/>
      <c r="BM44" s="1258">
        <f t="shared" ca="1" si="224"/>
        <v>8232.1200000000008</v>
      </c>
      <c r="BN44" s="957"/>
      <c r="BO44" s="1089"/>
      <c r="BP44" s="1089"/>
      <c r="BQ44" s="1089"/>
      <c r="BR44" s="1089"/>
      <c r="BS44" s="1089"/>
      <c r="BT44" s="1089"/>
      <c r="BU44" s="1089"/>
      <c r="BV44" s="1089"/>
      <c r="BW44" s="1089"/>
      <c r="BX44" s="1089"/>
      <c r="BY44" s="1089"/>
      <c r="BZ44" s="1089"/>
    </row>
    <row r="45" spans="1:79" s="590" customFormat="1" ht="21.95" hidden="1" customHeight="1" x14ac:dyDescent="0.15">
      <c r="A45" s="2596"/>
      <c r="B45" s="2680"/>
      <c r="C45" s="942" t="s">
        <v>361</v>
      </c>
      <c r="D45" s="2004"/>
      <c r="E45" s="592"/>
      <c r="F45" s="933">
        <f t="shared" ref="F45" si="261">IF(F23=0,0,(F33+F34+F39)/2*F11*F2-F41)</f>
        <v>0</v>
      </c>
      <c r="G45" s="933">
        <f t="shared" ref="G45" ca="1" si="262">IF(G23=0,0,(G33+G34+G39)/2*G11*G2-G41)</f>
        <v>0</v>
      </c>
      <c r="H45" s="933">
        <f t="shared" ref="H45:I45" ca="1" si="263">IF(H23=0,0,(H33+H34+H39)/2*H11*H2-H41)</f>
        <v>0</v>
      </c>
      <c r="I45" s="933">
        <f t="shared" ca="1" si="263"/>
        <v>0</v>
      </c>
      <c r="J45" s="933"/>
      <c r="K45" s="933"/>
      <c r="L45" s="933"/>
      <c r="M45" s="933"/>
      <c r="N45" s="2446"/>
      <c r="O45" s="933">
        <f t="shared" ref="O45:V45" ca="1" si="264">IF(O23=0,0,(O33+O34+O39)/2*O11*O2-O41)</f>
        <v>0</v>
      </c>
      <c r="P45" s="933">
        <f t="shared" ca="1" si="264"/>
        <v>0</v>
      </c>
      <c r="Q45" s="933">
        <f t="shared" ca="1" si="264"/>
        <v>0</v>
      </c>
      <c r="R45" s="933">
        <f t="shared" ca="1" si="264"/>
        <v>0</v>
      </c>
      <c r="S45" s="933">
        <f t="shared" ca="1" si="264"/>
        <v>0</v>
      </c>
      <c r="T45" s="933">
        <f t="shared" ca="1" si="264"/>
        <v>0</v>
      </c>
      <c r="U45" s="933">
        <f t="shared" ca="1" si="264"/>
        <v>0</v>
      </c>
      <c r="V45" s="933">
        <f t="shared" ca="1" si="264"/>
        <v>0</v>
      </c>
      <c r="W45" s="933"/>
      <c r="X45" s="2446"/>
      <c r="Y45" s="933">
        <f t="shared" ref="Y45:AH45" ca="1" si="265">IF(Y23=0,0,(Y33+Y34+Y39)/2*Y11*Y2-Y41)</f>
        <v>0</v>
      </c>
      <c r="Z45" s="933">
        <f t="shared" ca="1" si="265"/>
        <v>0</v>
      </c>
      <c r="AA45" s="933">
        <f t="shared" ca="1" si="265"/>
        <v>0</v>
      </c>
      <c r="AB45" s="933">
        <f t="shared" ca="1" si="265"/>
        <v>0</v>
      </c>
      <c r="AC45" s="933">
        <f t="shared" ca="1" si="265"/>
        <v>0</v>
      </c>
      <c r="AD45" s="933">
        <f t="shared" ca="1" si="265"/>
        <v>0</v>
      </c>
      <c r="AE45" s="933">
        <f t="shared" ca="1" si="265"/>
        <v>0</v>
      </c>
      <c r="AF45" s="933">
        <f t="shared" ca="1" si="265"/>
        <v>0</v>
      </c>
      <c r="AG45" s="933">
        <f t="shared" ca="1" si="265"/>
        <v>0</v>
      </c>
      <c r="AH45" s="933">
        <f t="shared" ca="1" si="265"/>
        <v>0</v>
      </c>
      <c r="AI45" s="933"/>
      <c r="AJ45" s="933"/>
      <c r="AK45" s="933"/>
      <c r="AL45" s="933"/>
      <c r="AM45" s="933"/>
      <c r="AN45" s="933"/>
      <c r="AO45" s="933"/>
      <c r="AP45" s="933"/>
      <c r="AQ45" s="933"/>
      <c r="AR45" s="2446"/>
      <c r="AS45" s="933">
        <f t="shared" ref="AS45:AW45" ca="1" si="266">IF(AS23=0,0,(AS33+AS34+AS39)/2*AS11*AS2-AS41)</f>
        <v>0</v>
      </c>
      <c r="AT45" s="933">
        <f t="shared" ca="1" si="266"/>
        <v>0</v>
      </c>
      <c r="AU45" s="933">
        <f t="shared" ca="1" si="266"/>
        <v>0</v>
      </c>
      <c r="AV45" s="933">
        <f t="shared" ca="1" si="266"/>
        <v>0</v>
      </c>
      <c r="AW45" s="933">
        <f t="shared" ca="1" si="266"/>
        <v>0</v>
      </c>
      <c r="AX45" s="933">
        <f t="shared" ref="AX45" si="267">IF(AX23=0,0,(AX33+AX34+AX39)/2*AX11*AX2-AX41)</f>
        <v>0</v>
      </c>
      <c r="AY45" s="933">
        <f t="shared" ref="AY45:BI45" si="268">IF(AY23=0,0,(AY33+AY34+AY39)/2*AY11*AY2-AY41)</f>
        <v>1141.3351824000003</v>
      </c>
      <c r="AZ45" s="933">
        <f t="shared" ref="AZ45" si="269">IF(AZ23=0,0,(AZ33+AZ34+AZ39)/2*AZ11*AZ2-AZ41)</f>
        <v>0</v>
      </c>
      <c r="BA45" s="933">
        <f t="shared" si="268"/>
        <v>0</v>
      </c>
      <c r="BB45" s="933">
        <f t="shared" si="268"/>
        <v>0</v>
      </c>
      <c r="BC45" s="933">
        <f t="shared" si="268"/>
        <v>0</v>
      </c>
      <c r="BD45" s="933">
        <f t="shared" si="268"/>
        <v>0</v>
      </c>
      <c r="BE45" s="933">
        <f t="shared" si="268"/>
        <v>0</v>
      </c>
      <c r="BF45" s="933">
        <f t="shared" si="268"/>
        <v>0</v>
      </c>
      <c r="BG45" s="933">
        <f t="shared" si="268"/>
        <v>0</v>
      </c>
      <c r="BH45" s="933">
        <f t="shared" si="268"/>
        <v>0</v>
      </c>
      <c r="BI45" s="933">
        <f t="shared" si="268"/>
        <v>0</v>
      </c>
      <c r="BJ45" s="933"/>
      <c r="BK45" s="933"/>
      <c r="BL45" s="933"/>
      <c r="BM45" s="1258">
        <f t="shared" ca="1" si="224"/>
        <v>1141.33</v>
      </c>
      <c r="BN45" s="957"/>
      <c r="BO45" s="1089"/>
      <c r="BP45" s="1089"/>
      <c r="BQ45" s="1089"/>
      <c r="BR45" s="1089"/>
      <c r="BS45" s="1089"/>
      <c r="BT45" s="1089"/>
      <c r="BU45" s="1089"/>
      <c r="BV45" s="1089"/>
      <c r="BW45" s="1089"/>
      <c r="BX45" s="1089"/>
      <c r="BY45" s="1089"/>
      <c r="BZ45" s="1089"/>
    </row>
    <row r="46" spans="1:79" s="590" customFormat="1" ht="21.95" hidden="1" customHeight="1" x14ac:dyDescent="0.15">
      <c r="A46" s="2596"/>
      <c r="B46" s="2680"/>
      <c r="C46" s="947" t="s">
        <v>738</v>
      </c>
      <c r="D46" s="2004"/>
      <c r="E46" s="592"/>
      <c r="F46" s="933">
        <f t="shared" ref="F46" si="270">SUM(F40:F45)</f>
        <v>0</v>
      </c>
      <c r="G46" s="933">
        <f t="shared" ref="G46" ca="1" si="271">SUM(G40:G45)</f>
        <v>241.57452540000151</v>
      </c>
      <c r="H46" s="933">
        <f t="shared" ref="H46:I46" ca="1" si="272">SUM(H40:H45)</f>
        <v>198.8181689999995</v>
      </c>
      <c r="I46" s="933">
        <f t="shared" ca="1" si="272"/>
        <v>173.35715759999897</v>
      </c>
      <c r="J46" s="933"/>
      <c r="K46" s="933"/>
      <c r="L46" s="933"/>
      <c r="M46" s="933"/>
      <c r="N46" s="2446"/>
      <c r="O46" s="933">
        <f t="shared" ref="O46:V46" ca="1" si="273">SUM(O40:O45)</f>
        <v>223.3544544000014</v>
      </c>
      <c r="P46" s="933">
        <f t="shared" ca="1" si="273"/>
        <v>293.35461187500232</v>
      </c>
      <c r="Q46" s="933">
        <f t="shared" ca="1" si="273"/>
        <v>313.97287920001145</v>
      </c>
      <c r="R46" s="933">
        <f t="shared" ca="1" si="273"/>
        <v>325.63873320001744</v>
      </c>
      <c r="S46" s="933">
        <f t="shared" ca="1" si="273"/>
        <v>311.27061240001569</v>
      </c>
      <c r="T46" s="933">
        <f t="shared" ca="1" si="273"/>
        <v>518.01742467603935</v>
      </c>
      <c r="U46" s="933">
        <f t="shared" ca="1" si="273"/>
        <v>516.16544309480253</v>
      </c>
      <c r="V46" s="933">
        <f t="shared" ca="1" si="273"/>
        <v>265.7878445732926</v>
      </c>
      <c r="W46" s="933"/>
      <c r="X46" s="2446"/>
      <c r="Y46" s="933">
        <f t="shared" ref="Y46:AH46" ca="1" si="274">SUM(Y40:Y45)</f>
        <v>290.96662603278747</v>
      </c>
      <c r="Z46" s="933">
        <f t="shared" ca="1" si="274"/>
        <v>317.36073240000434</v>
      </c>
      <c r="AA46" s="933">
        <f t="shared" ca="1" si="274"/>
        <v>319.09621680000623</v>
      </c>
      <c r="AB46" s="933">
        <f t="shared" ca="1" si="274"/>
        <v>317.01704400000824</v>
      </c>
      <c r="AC46" s="933">
        <f t="shared" ca="1" si="274"/>
        <v>285.47456874404537</v>
      </c>
      <c r="AD46" s="933">
        <f t="shared" ca="1" si="274"/>
        <v>276.24258200000617</v>
      </c>
      <c r="AE46" s="933">
        <f t="shared" ca="1" si="274"/>
        <v>277.02468000000772</v>
      </c>
      <c r="AF46" s="933">
        <f t="shared" ca="1" si="274"/>
        <v>476.26537165431915</v>
      </c>
      <c r="AG46" s="933">
        <f t="shared" ca="1" si="274"/>
        <v>514.2226021788764</v>
      </c>
      <c r="AH46" s="933">
        <f t="shared" ca="1" si="274"/>
        <v>574.94312248068763</v>
      </c>
      <c r="AI46" s="933"/>
      <c r="AJ46" s="933"/>
      <c r="AK46" s="933"/>
      <c r="AL46" s="933"/>
      <c r="AM46" s="933"/>
      <c r="AN46" s="933"/>
      <c r="AO46" s="933"/>
      <c r="AP46" s="933"/>
      <c r="AQ46" s="933"/>
      <c r="AR46" s="2446"/>
      <c r="AS46" s="933">
        <f t="shared" ref="AS46:AW46" ca="1" si="275">SUM(AS40:AS45)</f>
        <v>243.92774429999977</v>
      </c>
      <c r="AT46" s="933">
        <f t="shared" ca="1" si="275"/>
        <v>268.59278335999971</v>
      </c>
      <c r="AU46" s="933">
        <f t="shared" ca="1" si="275"/>
        <v>270.01853632000427</v>
      </c>
      <c r="AV46" s="933">
        <f t="shared" ca="1" si="275"/>
        <v>268.06096952000559</v>
      </c>
      <c r="AW46" s="933">
        <f t="shared" ca="1" si="275"/>
        <v>515.21081217846211</v>
      </c>
      <c r="AX46" s="933">
        <f t="shared" ref="AX46" si="276">SUM(AX40:AX45)</f>
        <v>0</v>
      </c>
      <c r="AY46" s="933">
        <f t="shared" ref="AY46:BI46" si="277">SUM(AY40:AY45)</f>
        <v>1141.3351824000003</v>
      </c>
      <c r="AZ46" s="933">
        <f t="shared" ref="AZ46" si="278">SUM(AZ40:AZ45)</f>
        <v>0</v>
      </c>
      <c r="BA46" s="933">
        <f t="shared" si="277"/>
        <v>151.59772319999996</v>
      </c>
      <c r="BB46" s="933">
        <f t="shared" si="277"/>
        <v>0</v>
      </c>
      <c r="BC46" s="933">
        <f t="shared" si="277"/>
        <v>0</v>
      </c>
      <c r="BD46" s="933">
        <f t="shared" si="277"/>
        <v>0</v>
      </c>
      <c r="BE46" s="933">
        <f t="shared" si="277"/>
        <v>0</v>
      </c>
      <c r="BF46" s="933">
        <f t="shared" si="277"/>
        <v>0</v>
      </c>
      <c r="BG46" s="933">
        <f t="shared" si="277"/>
        <v>0</v>
      </c>
      <c r="BH46" s="933">
        <f t="shared" si="277"/>
        <v>0</v>
      </c>
      <c r="BI46" s="933">
        <f t="shared" si="277"/>
        <v>0</v>
      </c>
      <c r="BJ46" s="933"/>
      <c r="BK46" s="933"/>
      <c r="BL46" s="933"/>
      <c r="BM46" s="1258">
        <f t="shared" ca="1" si="224"/>
        <v>9888.66</v>
      </c>
      <c r="BN46" s="957"/>
      <c r="BO46" s="1089"/>
      <c r="BP46" s="1089"/>
      <c r="BQ46" s="1089"/>
      <c r="BR46" s="1089"/>
      <c r="BS46" s="1089"/>
      <c r="BT46" s="1089"/>
      <c r="BU46" s="1089"/>
      <c r="BV46" s="1089"/>
      <c r="BW46" s="1089"/>
      <c r="BX46" s="1089"/>
      <c r="BY46" s="1089"/>
      <c r="BZ46" s="1089"/>
    </row>
    <row r="47" spans="1:79" s="590" customFormat="1" ht="21.95" hidden="1" customHeight="1" thickBot="1" x14ac:dyDescent="0.2">
      <c r="A47" s="2596"/>
      <c r="B47" s="2681"/>
      <c r="C47" s="948" t="s">
        <v>365</v>
      </c>
      <c r="D47" s="2005"/>
      <c r="E47" s="1524"/>
      <c r="F47" s="939" t="str">
        <f t="shared" ref="F47" si="279">IF(TRUNC(SUM(F59:F79),2)=TRUNC(SUM(F40:F45),2),"OK","ERRO")</f>
        <v>OK</v>
      </c>
      <c r="G47" s="939" t="str">
        <f t="shared" ref="G47" ca="1" si="280">IF(TRUNC(SUM(G59:G79),2)=TRUNC(SUM(G40:G45),2),"OK","ERRO")</f>
        <v>OK</v>
      </c>
      <c r="H47" s="939" t="str">
        <f t="shared" ref="H47:I47" ca="1" si="281">IF(TRUNC(SUM(H59:H79),2)=TRUNC(SUM(H40:H45),2),"OK","ERRO")</f>
        <v>OK</v>
      </c>
      <c r="I47" s="939" t="str">
        <f t="shared" ca="1" si="281"/>
        <v>OK</v>
      </c>
      <c r="J47" s="939"/>
      <c r="K47" s="939"/>
      <c r="L47" s="939"/>
      <c r="M47" s="939"/>
      <c r="N47" s="2447"/>
      <c r="O47" s="939" t="str">
        <f t="shared" ref="O47:V47" ca="1" si="282">IF(TRUNC(SUM(O59:O79),2)=TRUNC(SUM(O40:O45),2),"OK","ERRO")</f>
        <v>OK</v>
      </c>
      <c r="P47" s="939" t="str">
        <f t="shared" ca="1" si="282"/>
        <v>OK</v>
      </c>
      <c r="Q47" s="939" t="str">
        <f t="shared" ca="1" si="282"/>
        <v>OK</v>
      </c>
      <c r="R47" s="939" t="str">
        <f t="shared" ca="1" si="282"/>
        <v>OK</v>
      </c>
      <c r="S47" s="939" t="str">
        <f t="shared" ca="1" si="282"/>
        <v>OK</v>
      </c>
      <c r="T47" s="939" t="str">
        <f t="shared" ca="1" si="282"/>
        <v>OK</v>
      </c>
      <c r="U47" s="939" t="str">
        <f t="shared" ca="1" si="282"/>
        <v>OK</v>
      </c>
      <c r="V47" s="939" t="str">
        <f t="shared" ca="1" si="282"/>
        <v>OK</v>
      </c>
      <c r="W47" s="939"/>
      <c r="X47" s="2447"/>
      <c r="Y47" s="939" t="str">
        <f t="shared" ref="Y47:AH47" ca="1" si="283">IF(TRUNC(SUM(Y59:Y79),2)=TRUNC(SUM(Y40:Y45),2),"OK","ERRO")</f>
        <v>OK</v>
      </c>
      <c r="Z47" s="939" t="str">
        <f t="shared" ca="1" si="283"/>
        <v>OK</v>
      </c>
      <c r="AA47" s="939" t="str">
        <f t="shared" ca="1" si="283"/>
        <v>OK</v>
      </c>
      <c r="AB47" s="939" t="str">
        <f t="shared" ca="1" si="283"/>
        <v>OK</v>
      </c>
      <c r="AC47" s="939" t="str">
        <f t="shared" ca="1" si="283"/>
        <v>OK</v>
      </c>
      <c r="AD47" s="939" t="str">
        <f t="shared" ca="1" si="283"/>
        <v>OK</v>
      </c>
      <c r="AE47" s="939" t="str">
        <f t="shared" ca="1" si="283"/>
        <v>OK</v>
      </c>
      <c r="AF47" s="939" t="str">
        <f t="shared" ca="1" si="283"/>
        <v>OK</v>
      </c>
      <c r="AG47" s="939" t="str">
        <f t="shared" ca="1" si="283"/>
        <v>OK</v>
      </c>
      <c r="AH47" s="939" t="str">
        <f t="shared" ca="1" si="283"/>
        <v>OK</v>
      </c>
      <c r="AI47" s="939"/>
      <c r="AJ47" s="939"/>
      <c r="AK47" s="939"/>
      <c r="AL47" s="939"/>
      <c r="AM47" s="939"/>
      <c r="AN47" s="939"/>
      <c r="AO47" s="939"/>
      <c r="AP47" s="939"/>
      <c r="AQ47" s="939"/>
      <c r="AR47" s="2447"/>
      <c r="AS47" s="939" t="str">
        <f t="shared" ref="AS47:AW47" ca="1" si="284">IF(TRUNC(SUM(AS59:AS79),2)=TRUNC(SUM(AS40:AS45),2),"OK","ERRO")</f>
        <v>OK</v>
      </c>
      <c r="AT47" s="939" t="str">
        <f t="shared" ca="1" si="284"/>
        <v>OK</v>
      </c>
      <c r="AU47" s="939" t="str">
        <f t="shared" ca="1" si="284"/>
        <v>OK</v>
      </c>
      <c r="AV47" s="939" t="str">
        <f t="shared" ca="1" si="284"/>
        <v>OK</v>
      </c>
      <c r="AW47" s="939" t="str">
        <f t="shared" ca="1" si="284"/>
        <v>OK</v>
      </c>
      <c r="AX47" s="939" t="str">
        <f t="shared" ref="AX47" si="285">IF(TRUNC(SUM(AX59:AX79),2)=TRUNC(SUM(AX40:AX45),2),"OK","ERRO")</f>
        <v>OK</v>
      </c>
      <c r="AY47" s="939" t="str">
        <f t="shared" ref="AY47:BI47" si="286">IF(TRUNC(SUM(AY59:AY79),2)=TRUNC(SUM(AY40:AY45),2),"OK","ERRO")</f>
        <v>OK</v>
      </c>
      <c r="AZ47" s="939" t="str">
        <f t="shared" ref="AZ47" si="287">IF(TRUNC(SUM(AZ59:AZ79),2)=TRUNC(SUM(AZ40:AZ45),2),"OK","ERRO")</f>
        <v>OK</v>
      </c>
      <c r="BA47" s="939" t="str">
        <f t="shared" si="286"/>
        <v>OK</v>
      </c>
      <c r="BB47" s="939" t="str">
        <f t="shared" si="286"/>
        <v>OK</v>
      </c>
      <c r="BC47" s="939" t="str">
        <f t="shared" si="286"/>
        <v>OK</v>
      </c>
      <c r="BD47" s="939" t="str">
        <f t="shared" si="286"/>
        <v>OK</v>
      </c>
      <c r="BE47" s="939" t="str">
        <f t="shared" si="286"/>
        <v>OK</v>
      </c>
      <c r="BF47" s="939" t="str">
        <f t="shared" si="286"/>
        <v>OK</v>
      </c>
      <c r="BG47" s="939" t="str">
        <f t="shared" si="286"/>
        <v>OK</v>
      </c>
      <c r="BH47" s="939" t="str">
        <f t="shared" si="286"/>
        <v>OK</v>
      </c>
      <c r="BI47" s="939" t="str">
        <f t="shared" si="286"/>
        <v>OK</v>
      </c>
      <c r="BJ47" s="939"/>
      <c r="BK47" s="939"/>
      <c r="BL47" s="939"/>
      <c r="BM47" s="931"/>
      <c r="BN47" s="957"/>
      <c r="BO47" s="1089"/>
      <c r="BP47" s="1089"/>
      <c r="BQ47" s="1089"/>
      <c r="BR47" s="1089"/>
      <c r="BS47" s="1089"/>
      <c r="BT47" s="1089"/>
      <c r="BU47" s="1089"/>
      <c r="BV47" s="1089"/>
      <c r="BW47" s="1089"/>
      <c r="BX47" s="1089"/>
      <c r="BY47" s="1089"/>
      <c r="BZ47" s="1089"/>
    </row>
    <row r="48" spans="1:79" s="928" customFormat="1" ht="21.95" hidden="1" customHeight="1" x14ac:dyDescent="0.15">
      <c r="A48" s="2596"/>
      <c r="B48" s="2688" t="s">
        <v>1102</v>
      </c>
      <c r="C48" s="940" t="s">
        <v>447</v>
      </c>
      <c r="D48" s="2003"/>
      <c r="E48" s="1525"/>
      <c r="F48" s="932">
        <f t="shared" ref="F48" si="288">IF(F23=0,0,IF(F39&lt;=0.8,F45+IF(F41=0,F40,0),0))</f>
        <v>0</v>
      </c>
      <c r="G48" s="932">
        <f t="shared" ref="G48" ca="1" si="289">IF(G23=0,0,IF(G39&lt;=0.8,G45+IF(G41=0,G40,0),0))</f>
        <v>0</v>
      </c>
      <c r="H48" s="932">
        <f t="shared" ref="H48:I48" ca="1" si="290">IF(H23=0,0,IF(H39&lt;=0.8,H45+IF(H41=0,H40,0),0))</f>
        <v>0</v>
      </c>
      <c r="I48" s="932">
        <f t="shared" ca="1" si="290"/>
        <v>0</v>
      </c>
      <c r="J48" s="932"/>
      <c r="K48" s="932"/>
      <c r="L48" s="932"/>
      <c r="M48" s="932"/>
      <c r="N48" s="2445"/>
      <c r="O48" s="932">
        <f t="shared" ref="O48:V48" ca="1" si="291">IF(O23=0,0,IF(O39&lt;=0.8,O45+IF(O41=0,O40,0),0))</f>
        <v>0</v>
      </c>
      <c r="P48" s="932">
        <f t="shared" ca="1" si="291"/>
        <v>0</v>
      </c>
      <c r="Q48" s="932">
        <f t="shared" ca="1" si="291"/>
        <v>0</v>
      </c>
      <c r="R48" s="932">
        <f t="shared" ca="1" si="291"/>
        <v>0</v>
      </c>
      <c r="S48" s="932">
        <f t="shared" ca="1" si="291"/>
        <v>0</v>
      </c>
      <c r="T48" s="932">
        <f t="shared" ca="1" si="291"/>
        <v>0</v>
      </c>
      <c r="U48" s="932">
        <f t="shared" ca="1" si="291"/>
        <v>0</v>
      </c>
      <c r="V48" s="932">
        <f t="shared" ca="1" si="291"/>
        <v>0</v>
      </c>
      <c r="W48" s="932"/>
      <c r="X48" s="2445"/>
      <c r="Y48" s="932">
        <f t="shared" ref="Y48:AH48" ca="1" si="292">IF(Y23=0,0,IF(Y39&lt;=0.8,Y45+IF(Y41=0,Y40,0),0))</f>
        <v>0</v>
      </c>
      <c r="Z48" s="932">
        <f t="shared" ca="1" si="292"/>
        <v>0</v>
      </c>
      <c r="AA48" s="932">
        <f t="shared" ca="1" si="292"/>
        <v>0</v>
      </c>
      <c r="AB48" s="932">
        <f t="shared" ca="1" si="292"/>
        <v>0</v>
      </c>
      <c r="AC48" s="932">
        <f t="shared" ca="1" si="292"/>
        <v>0</v>
      </c>
      <c r="AD48" s="932">
        <f t="shared" ca="1" si="292"/>
        <v>0</v>
      </c>
      <c r="AE48" s="932">
        <f t="shared" ca="1" si="292"/>
        <v>0</v>
      </c>
      <c r="AF48" s="932">
        <f t="shared" ca="1" si="292"/>
        <v>0</v>
      </c>
      <c r="AG48" s="932">
        <f t="shared" ca="1" si="292"/>
        <v>0</v>
      </c>
      <c r="AH48" s="932">
        <f t="shared" ca="1" si="292"/>
        <v>0</v>
      </c>
      <c r="AI48" s="932"/>
      <c r="AJ48" s="932"/>
      <c r="AK48" s="932"/>
      <c r="AL48" s="932"/>
      <c r="AM48" s="932"/>
      <c r="AN48" s="932"/>
      <c r="AO48" s="932"/>
      <c r="AP48" s="932"/>
      <c r="AQ48" s="932"/>
      <c r="AR48" s="2445"/>
      <c r="AS48" s="932">
        <f t="shared" ref="AS48:AW48" ca="1" si="293">IF(AS23=0,0,IF(AS39&lt;=0.8,AS45+IF(AS41=0,AS40,0),0))</f>
        <v>0</v>
      </c>
      <c r="AT48" s="932">
        <f t="shared" ca="1" si="293"/>
        <v>0</v>
      </c>
      <c r="AU48" s="932">
        <f t="shared" ca="1" si="293"/>
        <v>0</v>
      </c>
      <c r="AV48" s="932">
        <f t="shared" ca="1" si="293"/>
        <v>0</v>
      </c>
      <c r="AW48" s="932">
        <f t="shared" ca="1" si="293"/>
        <v>0</v>
      </c>
      <c r="AX48" s="932">
        <f t="shared" ref="AX48" si="294">IF(AX23=0,0,IF(AX39&lt;=0.8,AX45+IF(AX41=0,AX40,0),0))</f>
        <v>0</v>
      </c>
      <c r="AY48" s="932">
        <f t="shared" ref="AY48:BI48" si="295">IF(AY23=0,0,IF(AY39&lt;=0.8,AY45+IF(AY41=0,AY40,0),0))</f>
        <v>0</v>
      </c>
      <c r="AZ48" s="932">
        <f t="shared" ref="AZ48" si="296">IF(AZ23=0,0,IF(AZ39&lt;=0.8,AZ45+IF(AZ41=0,AZ40,0),0))</f>
        <v>0</v>
      </c>
      <c r="BA48" s="932">
        <f t="shared" si="295"/>
        <v>0</v>
      </c>
      <c r="BB48" s="932">
        <f t="shared" si="295"/>
        <v>0</v>
      </c>
      <c r="BC48" s="932">
        <f t="shared" si="295"/>
        <v>0</v>
      </c>
      <c r="BD48" s="932">
        <f t="shared" si="295"/>
        <v>0</v>
      </c>
      <c r="BE48" s="932">
        <f t="shared" si="295"/>
        <v>0</v>
      </c>
      <c r="BF48" s="932">
        <f t="shared" si="295"/>
        <v>0</v>
      </c>
      <c r="BG48" s="932">
        <f t="shared" si="295"/>
        <v>0</v>
      </c>
      <c r="BH48" s="932">
        <f t="shared" si="295"/>
        <v>0</v>
      </c>
      <c r="BI48" s="932">
        <f t="shared" si="295"/>
        <v>0</v>
      </c>
      <c r="BJ48" s="932"/>
      <c r="BK48" s="932"/>
      <c r="BL48" s="932"/>
      <c r="BM48" s="941">
        <f t="shared" ref="BM48:BM57" ca="1" si="297">TRUNC(SUM(F48:BL48),2)</f>
        <v>0</v>
      </c>
      <c r="BN48" s="957"/>
      <c r="BO48" s="1089"/>
      <c r="BP48" s="1089"/>
      <c r="BQ48" s="1089"/>
      <c r="BR48" s="1089"/>
      <c r="BS48" s="1089"/>
      <c r="BT48" s="1089"/>
      <c r="BU48" s="1089"/>
      <c r="BV48" s="1089"/>
      <c r="BW48" s="1089"/>
      <c r="BX48" s="1089"/>
      <c r="BY48" s="1089"/>
      <c r="BZ48" s="1089"/>
      <c r="CA48" s="590"/>
    </row>
    <row r="49" spans="1:79" s="928" customFormat="1" ht="21.95" hidden="1" customHeight="1" x14ac:dyDescent="0.15">
      <c r="A49" s="2596"/>
      <c r="B49" s="2689"/>
      <c r="C49" s="942" t="s">
        <v>455</v>
      </c>
      <c r="D49" s="2004"/>
      <c r="E49" s="1526"/>
      <c r="F49" s="933">
        <f t="shared" ref="F49" si="298">IF(F23=0,0,IF(F50+F48=0,F45+IF(F41=0,F40,0),0))</f>
        <v>0</v>
      </c>
      <c r="G49" s="933">
        <f t="shared" ref="G49" ca="1" si="299">IF(G23=0,0,IF(G50+G48=0,G45+IF(G41=0,G40,0),0))</f>
        <v>0</v>
      </c>
      <c r="H49" s="933">
        <f t="shared" ref="H49:I49" ca="1" si="300">IF(H23=0,0,IF(H50+H48=0,H45+IF(H41=0,H40,0),0))</f>
        <v>0</v>
      </c>
      <c r="I49" s="933">
        <f t="shared" ca="1" si="300"/>
        <v>0</v>
      </c>
      <c r="J49" s="933"/>
      <c r="K49" s="933"/>
      <c r="L49" s="933"/>
      <c r="M49" s="933"/>
      <c r="N49" s="2446"/>
      <c r="O49" s="933">
        <f t="shared" ref="O49:V49" ca="1" si="301">IF(O23=0,0,IF(O50+O48=0,O45+IF(O41=0,O40,0),0))</f>
        <v>0</v>
      </c>
      <c r="P49" s="933">
        <f t="shared" ca="1" si="301"/>
        <v>0</v>
      </c>
      <c r="Q49" s="933">
        <f t="shared" ca="1" si="301"/>
        <v>0</v>
      </c>
      <c r="R49" s="933">
        <f t="shared" ca="1" si="301"/>
        <v>0</v>
      </c>
      <c r="S49" s="933">
        <f t="shared" ca="1" si="301"/>
        <v>0</v>
      </c>
      <c r="T49" s="933">
        <f t="shared" ca="1" si="301"/>
        <v>0</v>
      </c>
      <c r="U49" s="933">
        <f t="shared" ca="1" si="301"/>
        <v>0</v>
      </c>
      <c r="V49" s="933">
        <f t="shared" ca="1" si="301"/>
        <v>0</v>
      </c>
      <c r="W49" s="933"/>
      <c r="X49" s="2446"/>
      <c r="Y49" s="933">
        <f t="shared" ref="Y49:AH49" ca="1" si="302">IF(Y23=0,0,IF(Y50+Y48=0,Y45+IF(Y41=0,Y40,0),0))</f>
        <v>0</v>
      </c>
      <c r="Z49" s="933">
        <f t="shared" ca="1" si="302"/>
        <v>0</v>
      </c>
      <c r="AA49" s="933">
        <f t="shared" ca="1" si="302"/>
        <v>0</v>
      </c>
      <c r="AB49" s="933">
        <f t="shared" ca="1" si="302"/>
        <v>0</v>
      </c>
      <c r="AC49" s="933">
        <f t="shared" ca="1" si="302"/>
        <v>0</v>
      </c>
      <c r="AD49" s="933">
        <f t="shared" ca="1" si="302"/>
        <v>0</v>
      </c>
      <c r="AE49" s="933">
        <f t="shared" ca="1" si="302"/>
        <v>0</v>
      </c>
      <c r="AF49" s="933">
        <f t="shared" ca="1" si="302"/>
        <v>0</v>
      </c>
      <c r="AG49" s="933">
        <f t="shared" ca="1" si="302"/>
        <v>0</v>
      </c>
      <c r="AH49" s="933">
        <f t="shared" ca="1" si="302"/>
        <v>0</v>
      </c>
      <c r="AI49" s="933"/>
      <c r="AJ49" s="933"/>
      <c r="AK49" s="933"/>
      <c r="AL49" s="933"/>
      <c r="AM49" s="933"/>
      <c r="AN49" s="933"/>
      <c r="AO49" s="933"/>
      <c r="AP49" s="933"/>
      <c r="AQ49" s="933"/>
      <c r="AR49" s="2446"/>
      <c r="AS49" s="933">
        <f t="shared" ref="AS49:AW49" ca="1" si="303">IF(AS23=0,0,IF(AS50+AS48=0,AS45+IF(AS41=0,AS40,0),0))</f>
        <v>0</v>
      </c>
      <c r="AT49" s="933">
        <f t="shared" ca="1" si="303"/>
        <v>0</v>
      </c>
      <c r="AU49" s="933">
        <f t="shared" ca="1" si="303"/>
        <v>0</v>
      </c>
      <c r="AV49" s="933">
        <f t="shared" ca="1" si="303"/>
        <v>0</v>
      </c>
      <c r="AW49" s="933">
        <f t="shared" ca="1" si="303"/>
        <v>0</v>
      </c>
      <c r="AX49" s="933">
        <f t="shared" ref="AX49" si="304">IF(AX23=0,0,IF(AX50+AX48=0,AX45+IF(AX41=0,AX40,0),0))</f>
        <v>0</v>
      </c>
      <c r="AY49" s="933">
        <f t="shared" ref="AY49:BI49" si="305">IF(AY23=0,0,IF(AY50+AY48=0,AY45+IF(AY41=0,AY40,0),0))</f>
        <v>1141.3351824000003</v>
      </c>
      <c r="AZ49" s="933">
        <f t="shared" ref="AZ49" si="306">IF(AZ23=0,0,IF(AZ50+AZ48=0,AZ45+IF(AZ41=0,AZ40,0),0))</f>
        <v>0</v>
      </c>
      <c r="BA49" s="933">
        <f t="shared" si="305"/>
        <v>0</v>
      </c>
      <c r="BB49" s="933">
        <f t="shared" si="305"/>
        <v>0</v>
      </c>
      <c r="BC49" s="933">
        <f t="shared" si="305"/>
        <v>0</v>
      </c>
      <c r="BD49" s="933">
        <f t="shared" si="305"/>
        <v>0</v>
      </c>
      <c r="BE49" s="933">
        <f t="shared" si="305"/>
        <v>0</v>
      </c>
      <c r="BF49" s="933">
        <f t="shared" si="305"/>
        <v>0</v>
      </c>
      <c r="BG49" s="933">
        <f t="shared" si="305"/>
        <v>0</v>
      </c>
      <c r="BH49" s="933">
        <f t="shared" si="305"/>
        <v>0</v>
      </c>
      <c r="BI49" s="933">
        <f t="shared" si="305"/>
        <v>0</v>
      </c>
      <c r="BJ49" s="933"/>
      <c r="BK49" s="933"/>
      <c r="BL49" s="933"/>
      <c r="BM49" s="943">
        <f t="shared" ca="1" si="297"/>
        <v>1141.33</v>
      </c>
      <c r="BN49" s="957"/>
      <c r="BO49" s="1089"/>
      <c r="BP49" s="1089"/>
      <c r="BQ49" s="1089"/>
      <c r="BR49" s="1089"/>
      <c r="BS49" s="1089"/>
      <c r="BT49" s="1089"/>
      <c r="BU49" s="1089"/>
      <c r="BV49" s="1089"/>
      <c r="BW49" s="1089"/>
      <c r="BX49" s="1089"/>
      <c r="BY49" s="1089"/>
      <c r="BZ49" s="1089"/>
      <c r="CA49" s="590"/>
    </row>
    <row r="50" spans="1:79" s="928" customFormat="1" ht="21.95" hidden="1" customHeight="1" x14ac:dyDescent="0.15">
      <c r="A50" s="2596"/>
      <c r="B50" s="2689"/>
      <c r="C50" s="944" t="s">
        <v>448</v>
      </c>
      <c r="D50" s="2004"/>
      <c r="E50" s="1526"/>
      <c r="F50" s="933">
        <f t="shared" ref="F50" si="307">IF(F23=0,0,IF(F39&gt;1.5,F45+IF(F41=0,F40,0),0))</f>
        <v>0</v>
      </c>
      <c r="G50" s="933">
        <f t="shared" ref="G50" ca="1" si="308">IF(G23=0,0,IF(G39&gt;1.5,G45+IF(G41=0,G40,0),0))</f>
        <v>0</v>
      </c>
      <c r="H50" s="933">
        <f t="shared" ref="H50:I50" ca="1" si="309">IF(H23=0,0,IF(H39&gt;1.5,H45+IF(H41=0,H40,0),0))</f>
        <v>0</v>
      </c>
      <c r="I50" s="933">
        <f t="shared" ca="1" si="309"/>
        <v>0</v>
      </c>
      <c r="J50" s="933"/>
      <c r="K50" s="933"/>
      <c r="L50" s="933"/>
      <c r="M50" s="933"/>
      <c r="N50" s="2446"/>
      <c r="O50" s="933">
        <f t="shared" ref="O50:V50" ca="1" si="310">IF(O23=0,0,IF(O39&gt;1.5,O45+IF(O41=0,O40,0),0))</f>
        <v>0</v>
      </c>
      <c r="P50" s="933">
        <f t="shared" ca="1" si="310"/>
        <v>0</v>
      </c>
      <c r="Q50" s="933">
        <f t="shared" ca="1" si="310"/>
        <v>0</v>
      </c>
      <c r="R50" s="933">
        <f t="shared" ca="1" si="310"/>
        <v>0</v>
      </c>
      <c r="S50" s="933">
        <f t="shared" ca="1" si="310"/>
        <v>0</v>
      </c>
      <c r="T50" s="933">
        <f t="shared" ca="1" si="310"/>
        <v>0</v>
      </c>
      <c r="U50" s="933">
        <f t="shared" ca="1" si="310"/>
        <v>0</v>
      </c>
      <c r="V50" s="933">
        <f t="shared" ca="1" si="310"/>
        <v>0</v>
      </c>
      <c r="W50" s="933"/>
      <c r="X50" s="2446"/>
      <c r="Y50" s="933">
        <f t="shared" ref="Y50:AH50" ca="1" si="311">IF(Y23=0,0,IF(Y39&gt;1.5,Y45+IF(Y41=0,Y40,0),0))</f>
        <v>0</v>
      </c>
      <c r="Z50" s="933">
        <f t="shared" ca="1" si="311"/>
        <v>0</v>
      </c>
      <c r="AA50" s="933">
        <f t="shared" ca="1" si="311"/>
        <v>0</v>
      </c>
      <c r="AB50" s="933">
        <f t="shared" ca="1" si="311"/>
        <v>0</v>
      </c>
      <c r="AC50" s="933">
        <f t="shared" ca="1" si="311"/>
        <v>0</v>
      </c>
      <c r="AD50" s="933">
        <f t="shared" ca="1" si="311"/>
        <v>0</v>
      </c>
      <c r="AE50" s="933">
        <f t="shared" ca="1" si="311"/>
        <v>0</v>
      </c>
      <c r="AF50" s="933">
        <f t="shared" ca="1" si="311"/>
        <v>0</v>
      </c>
      <c r="AG50" s="933">
        <f t="shared" ca="1" si="311"/>
        <v>0</v>
      </c>
      <c r="AH50" s="933">
        <f t="shared" ca="1" si="311"/>
        <v>0</v>
      </c>
      <c r="AI50" s="933"/>
      <c r="AJ50" s="933"/>
      <c r="AK50" s="933"/>
      <c r="AL50" s="933"/>
      <c r="AM50" s="933"/>
      <c r="AN50" s="933"/>
      <c r="AO50" s="933"/>
      <c r="AP50" s="933"/>
      <c r="AQ50" s="933"/>
      <c r="AR50" s="2446"/>
      <c r="AS50" s="933">
        <f t="shared" ref="AS50:AW50" ca="1" si="312">IF(AS23=0,0,IF(AS39&gt;1.5,AS45+IF(AS41=0,AS40,0),0))</f>
        <v>0</v>
      </c>
      <c r="AT50" s="933">
        <f t="shared" ca="1" si="312"/>
        <v>0</v>
      </c>
      <c r="AU50" s="933">
        <f t="shared" ca="1" si="312"/>
        <v>0</v>
      </c>
      <c r="AV50" s="933">
        <f t="shared" ca="1" si="312"/>
        <v>0</v>
      </c>
      <c r="AW50" s="933">
        <f t="shared" ca="1" si="312"/>
        <v>0</v>
      </c>
      <c r="AX50" s="933">
        <f t="shared" ref="AX50" si="313">IF(AX23=0,0,IF(AX39&gt;1.5,AX45+IF(AX41=0,AX40,0),0))</f>
        <v>0</v>
      </c>
      <c r="AY50" s="933">
        <f t="shared" ref="AY50:BI50" si="314">IF(AY23=0,0,IF(AY39&gt;1.5,AY45+IF(AY41=0,AY40,0),0))</f>
        <v>0</v>
      </c>
      <c r="AZ50" s="933">
        <f t="shared" ref="AZ50" si="315">IF(AZ23=0,0,IF(AZ39&gt;1.5,AZ45+IF(AZ41=0,AZ40,0),0))</f>
        <v>0</v>
      </c>
      <c r="BA50" s="933">
        <f t="shared" si="314"/>
        <v>0</v>
      </c>
      <c r="BB50" s="933">
        <f t="shared" si="314"/>
        <v>0</v>
      </c>
      <c r="BC50" s="933">
        <f t="shared" si="314"/>
        <v>0</v>
      </c>
      <c r="BD50" s="933">
        <f t="shared" si="314"/>
        <v>0</v>
      </c>
      <c r="BE50" s="933">
        <f t="shared" si="314"/>
        <v>0</v>
      </c>
      <c r="BF50" s="933">
        <f t="shared" si="314"/>
        <v>0</v>
      </c>
      <c r="BG50" s="933">
        <f t="shared" si="314"/>
        <v>0</v>
      </c>
      <c r="BH50" s="933">
        <f t="shared" si="314"/>
        <v>0</v>
      </c>
      <c r="BI50" s="933">
        <f t="shared" si="314"/>
        <v>0</v>
      </c>
      <c r="BJ50" s="934"/>
      <c r="BK50" s="934"/>
      <c r="BL50" s="934"/>
      <c r="BM50" s="943">
        <f t="shared" ca="1" si="297"/>
        <v>0</v>
      </c>
      <c r="BN50" s="957"/>
      <c r="BO50" s="1091"/>
      <c r="BP50" s="1091"/>
      <c r="BQ50" s="1091"/>
      <c r="BR50" s="1091"/>
      <c r="BS50" s="1091"/>
      <c r="BT50" s="1091"/>
      <c r="BU50" s="1091"/>
      <c r="BV50" s="1091"/>
      <c r="BW50" s="1091"/>
      <c r="BX50" s="1091"/>
      <c r="BY50" s="1091"/>
      <c r="BZ50" s="1091"/>
    </row>
    <row r="51" spans="1:79" s="928" customFormat="1" ht="21.95" hidden="1" customHeight="1" x14ac:dyDescent="0.15">
      <c r="A51" s="2596"/>
      <c r="B51" s="2689"/>
      <c r="C51" s="942" t="s">
        <v>611</v>
      </c>
      <c r="D51" s="2010"/>
      <c r="E51" s="1527"/>
      <c r="F51" s="935">
        <f t="shared" ref="F51" si="316">IF(F22=0,0,IF(F39&lt;=0.8,F44+IF(F41=0,F40,0),0))</f>
        <v>0</v>
      </c>
      <c r="G51" s="935">
        <f t="shared" ref="G51" ca="1" si="317">IF(G22=0,0,IF(G39&lt;=0.8,G44+IF(G41=0,G40,0),0))</f>
        <v>0</v>
      </c>
      <c r="H51" s="935">
        <f t="shared" ref="H51:I51" ca="1" si="318">IF(H22=0,0,IF(H39&lt;=0.8,H44+IF(H41=0,H40,0),0))</f>
        <v>0</v>
      </c>
      <c r="I51" s="935">
        <f t="shared" ca="1" si="318"/>
        <v>0</v>
      </c>
      <c r="J51" s="935"/>
      <c r="K51" s="935"/>
      <c r="L51" s="935"/>
      <c r="M51" s="935"/>
      <c r="N51" s="2448"/>
      <c r="O51" s="935">
        <f t="shared" ref="O51:V51" ca="1" si="319">IF(O22=0,0,IF(O39&lt;=0.8,O44+IF(O41=0,O40,0),0))</f>
        <v>0</v>
      </c>
      <c r="P51" s="935">
        <f t="shared" ca="1" si="319"/>
        <v>0</v>
      </c>
      <c r="Q51" s="935">
        <f t="shared" ca="1" si="319"/>
        <v>0</v>
      </c>
      <c r="R51" s="935">
        <f t="shared" ca="1" si="319"/>
        <v>0</v>
      </c>
      <c r="S51" s="935">
        <f t="shared" ca="1" si="319"/>
        <v>0</v>
      </c>
      <c r="T51" s="935">
        <f t="shared" ca="1" si="319"/>
        <v>0</v>
      </c>
      <c r="U51" s="935">
        <f t="shared" ca="1" si="319"/>
        <v>0</v>
      </c>
      <c r="V51" s="935">
        <f t="shared" ca="1" si="319"/>
        <v>0</v>
      </c>
      <c r="W51" s="935"/>
      <c r="X51" s="2448"/>
      <c r="Y51" s="935">
        <f t="shared" ref="Y51:AH51" ca="1" si="320">IF(Y22=0,0,IF(Y39&lt;=0.8,Y44+IF(Y41=0,Y40,0),0))</f>
        <v>0</v>
      </c>
      <c r="Z51" s="935">
        <f t="shared" ca="1" si="320"/>
        <v>0</v>
      </c>
      <c r="AA51" s="935">
        <f t="shared" ca="1" si="320"/>
        <v>0</v>
      </c>
      <c r="AB51" s="935">
        <f t="shared" ca="1" si="320"/>
        <v>0</v>
      </c>
      <c r="AC51" s="935">
        <f t="shared" ca="1" si="320"/>
        <v>0</v>
      </c>
      <c r="AD51" s="935">
        <f t="shared" ca="1" si="320"/>
        <v>0</v>
      </c>
      <c r="AE51" s="935">
        <f t="shared" ca="1" si="320"/>
        <v>0</v>
      </c>
      <c r="AF51" s="935">
        <f t="shared" ca="1" si="320"/>
        <v>0</v>
      </c>
      <c r="AG51" s="935">
        <f t="shared" ca="1" si="320"/>
        <v>0</v>
      </c>
      <c r="AH51" s="935">
        <f t="shared" ca="1" si="320"/>
        <v>0</v>
      </c>
      <c r="AI51" s="935"/>
      <c r="AJ51" s="935"/>
      <c r="AK51" s="935"/>
      <c r="AL51" s="935"/>
      <c r="AM51" s="935"/>
      <c r="AN51" s="935"/>
      <c r="AO51" s="935"/>
      <c r="AP51" s="935"/>
      <c r="AQ51" s="935"/>
      <c r="AR51" s="2448"/>
      <c r="AS51" s="935">
        <f t="shared" ref="AS51:AW51" ca="1" si="321">IF(AS22=0,0,IF(AS39&lt;=0.8,AS44+IF(AS41=0,AS40,0),0))</f>
        <v>0</v>
      </c>
      <c r="AT51" s="935">
        <f t="shared" ca="1" si="321"/>
        <v>0</v>
      </c>
      <c r="AU51" s="935">
        <f t="shared" ca="1" si="321"/>
        <v>0</v>
      </c>
      <c r="AV51" s="935">
        <f t="shared" ca="1" si="321"/>
        <v>0</v>
      </c>
      <c r="AW51" s="935">
        <f t="shared" ca="1" si="321"/>
        <v>0</v>
      </c>
      <c r="AX51" s="935">
        <f t="shared" ref="AX51" si="322">IF(AX22=0,0,IF(AX39&lt;=0.8,AX44+IF(AX41=0,AX40,0),0))</f>
        <v>0</v>
      </c>
      <c r="AY51" s="935">
        <f t="shared" ref="AY51:BI51" si="323">IF(AY22=0,0,IF(AY39&lt;=0.8,AY44+IF(AY41=0,AY40,0),0))</f>
        <v>0</v>
      </c>
      <c r="AZ51" s="935">
        <f t="shared" ref="AZ51" si="324">IF(AZ22=0,0,IF(AZ39&lt;=0.8,AZ44+IF(AZ41=0,AZ40,0),0))</f>
        <v>0</v>
      </c>
      <c r="BA51" s="935">
        <f t="shared" si="323"/>
        <v>0</v>
      </c>
      <c r="BB51" s="935">
        <f t="shared" si="323"/>
        <v>0</v>
      </c>
      <c r="BC51" s="935">
        <f t="shared" si="323"/>
        <v>0</v>
      </c>
      <c r="BD51" s="935">
        <f t="shared" si="323"/>
        <v>0</v>
      </c>
      <c r="BE51" s="935">
        <f t="shared" si="323"/>
        <v>0</v>
      </c>
      <c r="BF51" s="935">
        <f t="shared" si="323"/>
        <v>0</v>
      </c>
      <c r="BG51" s="935">
        <f t="shared" si="323"/>
        <v>0</v>
      </c>
      <c r="BH51" s="935">
        <f t="shared" si="323"/>
        <v>0</v>
      </c>
      <c r="BI51" s="935">
        <f t="shared" si="323"/>
        <v>0</v>
      </c>
      <c r="BJ51" s="936"/>
      <c r="BK51" s="936"/>
      <c r="BL51" s="936"/>
      <c r="BM51" s="945">
        <f t="shared" ca="1" si="297"/>
        <v>0</v>
      </c>
      <c r="BN51" s="957"/>
      <c r="BO51" s="1091"/>
      <c r="BP51" s="1091"/>
      <c r="BQ51" s="1091"/>
      <c r="BR51" s="1091"/>
      <c r="BS51" s="1091"/>
      <c r="BT51" s="1091"/>
      <c r="BU51" s="1091"/>
      <c r="BV51" s="1091"/>
      <c r="BW51" s="1091"/>
      <c r="BX51" s="1091"/>
      <c r="BY51" s="1091"/>
      <c r="BZ51" s="1091"/>
    </row>
    <row r="52" spans="1:79" s="928" customFormat="1" ht="21.95" hidden="1" customHeight="1" x14ac:dyDescent="0.15">
      <c r="A52" s="2596"/>
      <c r="B52" s="2689"/>
      <c r="C52" s="942" t="s">
        <v>456</v>
      </c>
      <c r="D52" s="2004"/>
      <c r="E52" s="1526"/>
      <c r="F52" s="933">
        <f t="shared" ref="F52" si="325">IF(F22=0,0,IF(F51+F53=0,F44+IF(F41=0,F40,0),0))</f>
        <v>0</v>
      </c>
      <c r="G52" s="933">
        <f t="shared" ref="G52" ca="1" si="326">IF(G22=0,0,IF(G51+G53=0,G44+IF(G41=0,G40,0),0))</f>
        <v>241.57452540000151</v>
      </c>
      <c r="H52" s="933">
        <f t="shared" ref="H52:I52" ca="1" si="327">IF(H22=0,0,IF(H51+H53=0,H44+IF(H41=0,H40,0),0))</f>
        <v>198.8181689999995</v>
      </c>
      <c r="I52" s="933">
        <f t="shared" ca="1" si="327"/>
        <v>173.35715759999897</v>
      </c>
      <c r="J52" s="933"/>
      <c r="K52" s="933"/>
      <c r="L52" s="933"/>
      <c r="M52" s="933"/>
      <c r="N52" s="2446"/>
      <c r="O52" s="933">
        <f t="shared" ref="O52:V52" ca="1" si="328">IF(O22=0,0,IF(O51+O53=0,O44+IF(O41=0,O40,0),0))</f>
        <v>223.3544544000014</v>
      </c>
      <c r="P52" s="933">
        <f t="shared" ca="1" si="328"/>
        <v>293.35461187500232</v>
      </c>
      <c r="Q52" s="933">
        <f t="shared" ca="1" si="328"/>
        <v>313.97287920001145</v>
      </c>
      <c r="R52" s="933">
        <f t="shared" ca="1" si="328"/>
        <v>325.63873320001744</v>
      </c>
      <c r="S52" s="933">
        <f t="shared" ca="1" si="328"/>
        <v>311.27061240001569</v>
      </c>
      <c r="T52" s="933">
        <f t="shared" ca="1" si="328"/>
        <v>0</v>
      </c>
      <c r="U52" s="933">
        <f t="shared" ca="1" si="328"/>
        <v>0</v>
      </c>
      <c r="V52" s="933">
        <f t="shared" ca="1" si="328"/>
        <v>0</v>
      </c>
      <c r="W52" s="933"/>
      <c r="X52" s="2446"/>
      <c r="Y52" s="933">
        <f t="shared" ref="Y52:AH52" ca="1" si="329">IF(Y22=0,0,IF(Y51+Y53=0,Y44+IF(Y41=0,Y40,0),0))</f>
        <v>0</v>
      </c>
      <c r="Z52" s="933">
        <f t="shared" ca="1" si="329"/>
        <v>317.36073240000434</v>
      </c>
      <c r="AA52" s="933">
        <f t="shared" ca="1" si="329"/>
        <v>319.09621680000623</v>
      </c>
      <c r="AB52" s="933">
        <f t="shared" ca="1" si="329"/>
        <v>317.01704400000824</v>
      </c>
      <c r="AC52" s="933">
        <f t="shared" ca="1" si="329"/>
        <v>0</v>
      </c>
      <c r="AD52" s="933">
        <f t="shared" ca="1" si="329"/>
        <v>0</v>
      </c>
      <c r="AE52" s="933">
        <f t="shared" ca="1" si="329"/>
        <v>0</v>
      </c>
      <c r="AF52" s="933">
        <f t="shared" ca="1" si="329"/>
        <v>0</v>
      </c>
      <c r="AG52" s="933">
        <f t="shared" ca="1" si="329"/>
        <v>0</v>
      </c>
      <c r="AH52" s="933">
        <f t="shared" ca="1" si="329"/>
        <v>0</v>
      </c>
      <c r="AI52" s="933"/>
      <c r="AJ52" s="933"/>
      <c r="AK52" s="933"/>
      <c r="AL52" s="933"/>
      <c r="AM52" s="933"/>
      <c r="AN52" s="933"/>
      <c r="AO52" s="933"/>
      <c r="AP52" s="933"/>
      <c r="AQ52" s="933"/>
      <c r="AR52" s="2446"/>
      <c r="AS52" s="933">
        <f t="shared" ref="AS52:AW52" ca="1" si="330">IF(AS22=0,0,IF(AS51+AS53=0,AS44+IF(AS41=0,AS40,0),0))</f>
        <v>243.92774429999977</v>
      </c>
      <c r="AT52" s="933">
        <f t="shared" ca="1" si="330"/>
        <v>0</v>
      </c>
      <c r="AU52" s="933">
        <f t="shared" ca="1" si="330"/>
        <v>0</v>
      </c>
      <c r="AV52" s="933">
        <f t="shared" ca="1" si="330"/>
        <v>0</v>
      </c>
      <c r="AW52" s="933">
        <f t="shared" ca="1" si="330"/>
        <v>0</v>
      </c>
      <c r="AX52" s="933">
        <f t="shared" ref="AX52" si="331">IF(AX22=0,0,IF(AX51+AX53=0,AX44+IF(AX41=0,AX40,0),0))</f>
        <v>0</v>
      </c>
      <c r="AY52" s="933">
        <f t="shared" ref="AY52:BI52" si="332">IF(AY22=0,0,IF(AY51+AY53=0,AY44+IF(AY41=0,AY40,0),0))</f>
        <v>0</v>
      </c>
      <c r="AZ52" s="933">
        <f t="shared" ref="AZ52" si="333">IF(AZ22=0,0,IF(AZ51+AZ53=0,AZ44+IF(AZ41=0,AZ40,0),0))</f>
        <v>0</v>
      </c>
      <c r="BA52" s="933">
        <f t="shared" si="332"/>
        <v>0</v>
      </c>
      <c r="BB52" s="933">
        <f t="shared" si="332"/>
        <v>0</v>
      </c>
      <c r="BC52" s="933">
        <f t="shared" si="332"/>
        <v>0</v>
      </c>
      <c r="BD52" s="933">
        <f t="shared" si="332"/>
        <v>0</v>
      </c>
      <c r="BE52" s="933">
        <f t="shared" si="332"/>
        <v>0</v>
      </c>
      <c r="BF52" s="933">
        <f t="shared" si="332"/>
        <v>0</v>
      </c>
      <c r="BG52" s="933">
        <f t="shared" si="332"/>
        <v>0</v>
      </c>
      <c r="BH52" s="933">
        <f t="shared" si="332"/>
        <v>0</v>
      </c>
      <c r="BI52" s="933">
        <f t="shared" si="332"/>
        <v>0</v>
      </c>
      <c r="BJ52" s="934"/>
      <c r="BK52" s="934"/>
      <c r="BL52" s="934"/>
      <c r="BM52" s="943">
        <f t="shared" ca="1" si="297"/>
        <v>3278.74</v>
      </c>
      <c r="BN52" s="957"/>
      <c r="BO52" s="1091"/>
      <c r="BP52" s="1091"/>
      <c r="BQ52" s="1091"/>
      <c r="BR52" s="1091"/>
      <c r="BS52" s="1091"/>
      <c r="BT52" s="1091"/>
      <c r="BU52" s="1091"/>
      <c r="BV52" s="1091"/>
      <c r="BW52" s="1091"/>
      <c r="BX52" s="1091"/>
      <c r="BY52" s="1091"/>
      <c r="BZ52" s="1091"/>
    </row>
    <row r="53" spans="1:79" s="928" customFormat="1" ht="21.95" hidden="1" customHeight="1" x14ac:dyDescent="0.15">
      <c r="A53" s="2596"/>
      <c r="B53" s="2689"/>
      <c r="C53" s="942" t="s">
        <v>449</v>
      </c>
      <c r="D53" s="2011"/>
      <c r="E53" s="1528"/>
      <c r="F53" s="937">
        <f t="shared" ref="F53" si="334">IF(F22=0,0,IF(F39&gt;1.5,F44+IF(F41=0,F40,0),0))</f>
        <v>0</v>
      </c>
      <c r="G53" s="937">
        <f t="shared" ref="G53" ca="1" si="335">IF(G22=0,0,IF(G39&gt;1.5,G44+IF(G41=0,G40,0),0))</f>
        <v>0</v>
      </c>
      <c r="H53" s="937">
        <f t="shared" ref="H53:I53" ca="1" si="336">IF(H22=0,0,IF(H39&gt;1.5,H44+IF(H41=0,H40,0),0))</f>
        <v>0</v>
      </c>
      <c r="I53" s="937">
        <f t="shared" ca="1" si="336"/>
        <v>0</v>
      </c>
      <c r="J53" s="937"/>
      <c r="K53" s="937"/>
      <c r="L53" s="937"/>
      <c r="M53" s="937"/>
      <c r="N53" s="2449"/>
      <c r="O53" s="937">
        <f t="shared" ref="O53:V53" ca="1" si="337">IF(O22=0,0,IF(O39&gt;1.5,O44+IF(O41=0,O40,0),0))</f>
        <v>0</v>
      </c>
      <c r="P53" s="937">
        <f t="shared" ca="1" si="337"/>
        <v>0</v>
      </c>
      <c r="Q53" s="937">
        <f t="shared" ca="1" si="337"/>
        <v>0</v>
      </c>
      <c r="R53" s="937">
        <f t="shared" ca="1" si="337"/>
        <v>0</v>
      </c>
      <c r="S53" s="937">
        <f t="shared" ca="1" si="337"/>
        <v>0</v>
      </c>
      <c r="T53" s="937">
        <f t="shared" ca="1" si="337"/>
        <v>518.01742467603935</v>
      </c>
      <c r="U53" s="937">
        <f t="shared" ca="1" si="337"/>
        <v>516.16544309480253</v>
      </c>
      <c r="V53" s="937">
        <f t="shared" ca="1" si="337"/>
        <v>265.7878445732926</v>
      </c>
      <c r="W53" s="937"/>
      <c r="X53" s="2449"/>
      <c r="Y53" s="937">
        <f t="shared" ref="Y53:AH53" ca="1" si="338">IF(Y22=0,0,IF(Y39&gt;1.5,Y44+IF(Y41=0,Y40,0),0))</f>
        <v>290.96662603278747</v>
      </c>
      <c r="Z53" s="937">
        <f t="shared" ca="1" si="338"/>
        <v>0</v>
      </c>
      <c r="AA53" s="937">
        <f t="shared" ca="1" si="338"/>
        <v>0</v>
      </c>
      <c r="AB53" s="937">
        <f t="shared" ca="1" si="338"/>
        <v>0</v>
      </c>
      <c r="AC53" s="937">
        <f t="shared" ca="1" si="338"/>
        <v>285.47456874404537</v>
      </c>
      <c r="AD53" s="937">
        <f t="shared" ca="1" si="338"/>
        <v>276.24258200000617</v>
      </c>
      <c r="AE53" s="937">
        <f t="shared" ca="1" si="338"/>
        <v>277.02468000000772</v>
      </c>
      <c r="AF53" s="937">
        <f t="shared" ca="1" si="338"/>
        <v>476.26537165431915</v>
      </c>
      <c r="AG53" s="937">
        <f t="shared" ca="1" si="338"/>
        <v>514.2226021788764</v>
      </c>
      <c r="AH53" s="937">
        <f t="shared" ca="1" si="338"/>
        <v>574.94312248068763</v>
      </c>
      <c r="AI53" s="937"/>
      <c r="AJ53" s="937"/>
      <c r="AK53" s="937"/>
      <c r="AL53" s="937"/>
      <c r="AM53" s="937"/>
      <c r="AN53" s="937"/>
      <c r="AO53" s="937"/>
      <c r="AP53" s="937"/>
      <c r="AQ53" s="937"/>
      <c r="AR53" s="2449"/>
      <c r="AS53" s="937">
        <f t="shared" ref="AS53:AW53" ca="1" si="339">IF(AS22=0,0,IF(AS39&gt;1.5,AS44+IF(AS41=0,AS40,0),0))</f>
        <v>0</v>
      </c>
      <c r="AT53" s="937">
        <f t="shared" ca="1" si="339"/>
        <v>268.59278335999971</v>
      </c>
      <c r="AU53" s="937">
        <f t="shared" ca="1" si="339"/>
        <v>270.01853632000427</v>
      </c>
      <c r="AV53" s="937">
        <f t="shared" ca="1" si="339"/>
        <v>268.06096952000559</v>
      </c>
      <c r="AW53" s="937">
        <f t="shared" ca="1" si="339"/>
        <v>0</v>
      </c>
      <c r="AX53" s="937">
        <f t="shared" ref="AX53" si="340">IF(AX22=0,0,IF(AX39&gt;1.5,AX44+IF(AX41=0,AX40,0),0))</f>
        <v>0</v>
      </c>
      <c r="AY53" s="937">
        <f t="shared" ref="AY53:BI53" si="341">IF(AY22=0,0,IF(AY39&gt;1.5,AY44+IF(AY41=0,AY40,0),0))</f>
        <v>0</v>
      </c>
      <c r="AZ53" s="937">
        <f t="shared" ref="AZ53" si="342">IF(AZ22=0,0,IF(AZ39&gt;1.5,AZ44+IF(AZ41=0,AZ40,0),0))</f>
        <v>0</v>
      </c>
      <c r="BA53" s="937">
        <f t="shared" si="341"/>
        <v>151.59772319999996</v>
      </c>
      <c r="BB53" s="937">
        <f t="shared" si="341"/>
        <v>0</v>
      </c>
      <c r="BC53" s="937">
        <f t="shared" si="341"/>
        <v>0</v>
      </c>
      <c r="BD53" s="937">
        <f t="shared" si="341"/>
        <v>0</v>
      </c>
      <c r="BE53" s="937">
        <f t="shared" si="341"/>
        <v>0</v>
      </c>
      <c r="BF53" s="937">
        <f t="shared" si="341"/>
        <v>0</v>
      </c>
      <c r="BG53" s="937">
        <f t="shared" si="341"/>
        <v>0</v>
      </c>
      <c r="BH53" s="937">
        <f t="shared" si="341"/>
        <v>0</v>
      </c>
      <c r="BI53" s="937">
        <f t="shared" si="341"/>
        <v>0</v>
      </c>
      <c r="BJ53" s="938"/>
      <c r="BK53" s="938"/>
      <c r="BL53" s="938"/>
      <c r="BM53" s="946">
        <f t="shared" ca="1" si="297"/>
        <v>4953.38</v>
      </c>
      <c r="BN53" s="957"/>
      <c r="BO53" s="1091"/>
      <c r="BP53" s="1091"/>
      <c r="BQ53" s="1091"/>
      <c r="BR53" s="1091"/>
      <c r="BS53" s="1091"/>
      <c r="BT53" s="1091"/>
      <c r="BU53" s="1091"/>
      <c r="BV53" s="1091"/>
      <c r="BW53" s="1091"/>
      <c r="BX53" s="1091"/>
      <c r="BY53" s="1091"/>
      <c r="BZ53" s="1091"/>
    </row>
    <row r="54" spans="1:79" s="928" customFormat="1" ht="21.95" hidden="1" customHeight="1" x14ac:dyDescent="0.15">
      <c r="A54" s="2596"/>
      <c r="B54" s="2689"/>
      <c r="C54" s="947" t="s">
        <v>450</v>
      </c>
      <c r="D54" s="2010"/>
      <c r="E54" s="1527"/>
      <c r="F54" s="935">
        <f t="shared" ref="F54" si="343">IF(F21=0,0,IF(F55=0,F43+IF(F41=0,F40,0),0))</f>
        <v>0</v>
      </c>
      <c r="G54" s="935">
        <f t="shared" ref="G54" ca="1" si="344">IF(G21=0,0,IF(G55=0,G43+IF(G41=0,G40,0),0))</f>
        <v>0</v>
      </c>
      <c r="H54" s="935">
        <f t="shared" ref="H54:I54" ca="1" si="345">IF(H21=0,0,IF(H55=0,H43+IF(H41=0,H40,0),0))</f>
        <v>0</v>
      </c>
      <c r="I54" s="935">
        <f t="shared" ca="1" si="345"/>
        <v>0</v>
      </c>
      <c r="J54" s="935"/>
      <c r="K54" s="935"/>
      <c r="L54" s="935"/>
      <c r="M54" s="935"/>
      <c r="N54" s="2448"/>
      <c r="O54" s="935">
        <f t="shared" ref="O54:V54" ca="1" si="346">IF(O21=0,0,IF(O55=0,O43+IF(O41=0,O40,0),0))</f>
        <v>0</v>
      </c>
      <c r="P54" s="935">
        <f t="shared" ca="1" si="346"/>
        <v>0</v>
      </c>
      <c r="Q54" s="935">
        <f t="shared" ca="1" si="346"/>
        <v>0</v>
      </c>
      <c r="R54" s="935">
        <f t="shared" ca="1" si="346"/>
        <v>0</v>
      </c>
      <c r="S54" s="935">
        <f t="shared" ca="1" si="346"/>
        <v>0</v>
      </c>
      <c r="T54" s="935">
        <f t="shared" ca="1" si="346"/>
        <v>0</v>
      </c>
      <c r="U54" s="935">
        <f t="shared" ca="1" si="346"/>
        <v>0</v>
      </c>
      <c r="V54" s="935">
        <f t="shared" ca="1" si="346"/>
        <v>0</v>
      </c>
      <c r="W54" s="935"/>
      <c r="X54" s="2448"/>
      <c r="Y54" s="935">
        <f t="shared" ref="Y54:AH54" ca="1" si="347">IF(Y21=0,0,IF(Y55=0,Y43+IF(Y41=0,Y40,0),0))</f>
        <v>0</v>
      </c>
      <c r="Z54" s="935">
        <f t="shared" ca="1" si="347"/>
        <v>0</v>
      </c>
      <c r="AA54" s="935">
        <f t="shared" ca="1" si="347"/>
        <v>0</v>
      </c>
      <c r="AB54" s="935">
        <f t="shared" ca="1" si="347"/>
        <v>0</v>
      </c>
      <c r="AC54" s="935">
        <f t="shared" ca="1" si="347"/>
        <v>0</v>
      </c>
      <c r="AD54" s="935">
        <f t="shared" ca="1" si="347"/>
        <v>0</v>
      </c>
      <c r="AE54" s="935">
        <f t="shared" ca="1" si="347"/>
        <v>0</v>
      </c>
      <c r="AF54" s="935">
        <f t="shared" ca="1" si="347"/>
        <v>0</v>
      </c>
      <c r="AG54" s="935">
        <f t="shared" ca="1" si="347"/>
        <v>0</v>
      </c>
      <c r="AH54" s="935">
        <f t="shared" ca="1" si="347"/>
        <v>0</v>
      </c>
      <c r="AI54" s="935"/>
      <c r="AJ54" s="935"/>
      <c r="AK54" s="935"/>
      <c r="AL54" s="935"/>
      <c r="AM54" s="935"/>
      <c r="AN54" s="935"/>
      <c r="AO54" s="935"/>
      <c r="AP54" s="935"/>
      <c r="AQ54" s="935"/>
      <c r="AR54" s="2448"/>
      <c r="AS54" s="935">
        <f t="shared" ref="AS54:AW54" ca="1" si="348">IF(AS21=0,0,IF(AS55=0,AS43+IF(AS41=0,AS40,0),0))</f>
        <v>0</v>
      </c>
      <c r="AT54" s="935">
        <f t="shared" ca="1" si="348"/>
        <v>0</v>
      </c>
      <c r="AU54" s="935">
        <f t="shared" ca="1" si="348"/>
        <v>0</v>
      </c>
      <c r="AV54" s="935">
        <f t="shared" ca="1" si="348"/>
        <v>0</v>
      </c>
      <c r="AW54" s="935">
        <f t="shared" ca="1" si="348"/>
        <v>0</v>
      </c>
      <c r="AX54" s="935">
        <f t="shared" ref="AX54" si="349">IF(AX21=0,0,IF(AX55=0,AX43+IF(AX41=0,AX40,0),0))</f>
        <v>0</v>
      </c>
      <c r="AY54" s="935">
        <f t="shared" ref="AY54:BI54" si="350">IF(AY21=0,0,IF(AY55=0,AY43+IF(AY41=0,AY40,0),0))</f>
        <v>0</v>
      </c>
      <c r="AZ54" s="935">
        <f t="shared" ref="AZ54" si="351">IF(AZ21=0,0,IF(AZ55=0,AZ43+IF(AZ41=0,AZ40,0),0))</f>
        <v>0</v>
      </c>
      <c r="BA54" s="935">
        <f t="shared" si="350"/>
        <v>0</v>
      </c>
      <c r="BB54" s="935">
        <f t="shared" si="350"/>
        <v>0</v>
      </c>
      <c r="BC54" s="935">
        <f t="shared" si="350"/>
        <v>0</v>
      </c>
      <c r="BD54" s="935">
        <f t="shared" si="350"/>
        <v>0</v>
      </c>
      <c r="BE54" s="935">
        <f t="shared" si="350"/>
        <v>0</v>
      </c>
      <c r="BF54" s="935">
        <f t="shared" si="350"/>
        <v>0</v>
      </c>
      <c r="BG54" s="935">
        <f t="shared" si="350"/>
        <v>0</v>
      </c>
      <c r="BH54" s="935">
        <f t="shared" si="350"/>
        <v>0</v>
      </c>
      <c r="BI54" s="935">
        <f t="shared" si="350"/>
        <v>0</v>
      </c>
      <c r="BJ54" s="934"/>
      <c r="BK54" s="934"/>
      <c r="BL54" s="934"/>
      <c r="BM54" s="943">
        <f t="shared" ca="1" si="297"/>
        <v>0</v>
      </c>
      <c r="BN54" s="957"/>
      <c r="BO54" s="1091"/>
      <c r="BP54" s="1091"/>
      <c r="BQ54" s="1091"/>
      <c r="BR54" s="1091"/>
      <c r="BS54" s="1091"/>
      <c r="BT54" s="1091"/>
      <c r="BU54" s="1091"/>
      <c r="BV54" s="1091"/>
      <c r="BW54" s="1091"/>
      <c r="BX54" s="1091"/>
      <c r="BY54" s="1091"/>
      <c r="BZ54" s="1091"/>
    </row>
    <row r="55" spans="1:79" s="928" customFormat="1" ht="21.95" hidden="1" customHeight="1" x14ac:dyDescent="0.15">
      <c r="A55" s="2596"/>
      <c r="B55" s="2689"/>
      <c r="C55" s="942" t="s">
        <v>451</v>
      </c>
      <c r="D55" s="2011"/>
      <c r="E55" s="1528"/>
      <c r="F55" s="937">
        <f t="shared" ref="F55" si="352">IF(F21=0,0,IF(F39&gt;1.5,F43+IF(F41=0,F40,0),0))</f>
        <v>0</v>
      </c>
      <c r="G55" s="937">
        <f t="shared" ref="G55" ca="1" si="353">IF(G21=0,0,IF(G39&gt;1.5,G43+IF(G41=0,G40,0),0))</f>
        <v>0</v>
      </c>
      <c r="H55" s="937">
        <f t="shared" ref="H55:I55" ca="1" si="354">IF(H21=0,0,IF(H39&gt;1.5,H43+IF(H41=0,H40,0),0))</f>
        <v>0</v>
      </c>
      <c r="I55" s="937">
        <f t="shared" ca="1" si="354"/>
        <v>0</v>
      </c>
      <c r="J55" s="937"/>
      <c r="K55" s="937"/>
      <c r="L55" s="937"/>
      <c r="M55" s="937"/>
      <c r="N55" s="2449"/>
      <c r="O55" s="937">
        <f t="shared" ref="O55:V55" ca="1" si="355">IF(O21=0,0,IF(O39&gt;1.5,O43+IF(O41=0,O40,0),0))</f>
        <v>0</v>
      </c>
      <c r="P55" s="937">
        <f t="shared" ca="1" si="355"/>
        <v>0</v>
      </c>
      <c r="Q55" s="937">
        <f t="shared" ca="1" si="355"/>
        <v>0</v>
      </c>
      <c r="R55" s="937">
        <f t="shared" ca="1" si="355"/>
        <v>0</v>
      </c>
      <c r="S55" s="937">
        <f t="shared" ca="1" si="355"/>
        <v>0</v>
      </c>
      <c r="T55" s="937">
        <f t="shared" ca="1" si="355"/>
        <v>0</v>
      </c>
      <c r="U55" s="937">
        <f t="shared" ca="1" si="355"/>
        <v>0</v>
      </c>
      <c r="V55" s="937">
        <f t="shared" ca="1" si="355"/>
        <v>0</v>
      </c>
      <c r="W55" s="937"/>
      <c r="X55" s="2449"/>
      <c r="Y55" s="937">
        <f t="shared" ref="Y55:AH55" ca="1" si="356">IF(Y21=0,0,IF(Y39&gt;1.5,Y43+IF(Y41=0,Y40,0),0))</f>
        <v>0</v>
      </c>
      <c r="Z55" s="937">
        <f t="shared" ca="1" si="356"/>
        <v>0</v>
      </c>
      <c r="AA55" s="937">
        <f t="shared" ca="1" si="356"/>
        <v>0</v>
      </c>
      <c r="AB55" s="937">
        <f t="shared" ca="1" si="356"/>
        <v>0</v>
      </c>
      <c r="AC55" s="937">
        <f t="shared" ca="1" si="356"/>
        <v>0</v>
      </c>
      <c r="AD55" s="937">
        <f t="shared" ca="1" si="356"/>
        <v>0</v>
      </c>
      <c r="AE55" s="937">
        <f t="shared" ca="1" si="356"/>
        <v>0</v>
      </c>
      <c r="AF55" s="937">
        <f t="shared" ca="1" si="356"/>
        <v>0</v>
      </c>
      <c r="AG55" s="937">
        <f t="shared" ca="1" si="356"/>
        <v>0</v>
      </c>
      <c r="AH55" s="937">
        <f t="shared" ca="1" si="356"/>
        <v>0</v>
      </c>
      <c r="AI55" s="937"/>
      <c r="AJ55" s="937"/>
      <c r="AK55" s="937"/>
      <c r="AL55" s="937"/>
      <c r="AM55" s="937"/>
      <c r="AN55" s="937"/>
      <c r="AO55" s="937"/>
      <c r="AP55" s="937"/>
      <c r="AQ55" s="937"/>
      <c r="AR55" s="2449"/>
      <c r="AS55" s="937">
        <f t="shared" ref="AS55:AW55" ca="1" si="357">IF(AS21=0,0,IF(AS39&gt;1.5,AS43+IF(AS41=0,AS40,0),0))</f>
        <v>0</v>
      </c>
      <c r="AT55" s="937">
        <f t="shared" ca="1" si="357"/>
        <v>0</v>
      </c>
      <c r="AU55" s="937">
        <f t="shared" ca="1" si="357"/>
        <v>0</v>
      </c>
      <c r="AV55" s="937">
        <f t="shared" ca="1" si="357"/>
        <v>0</v>
      </c>
      <c r="AW55" s="937">
        <f t="shared" ca="1" si="357"/>
        <v>515.21081217846211</v>
      </c>
      <c r="AX55" s="937">
        <f t="shared" ref="AX55" si="358">IF(AX21=0,0,IF(AX39&gt;1.5,AX43+IF(AX41=0,AX40,0),0))</f>
        <v>0</v>
      </c>
      <c r="AY55" s="937">
        <f t="shared" ref="AY55:BI55" si="359">IF(AY21=0,0,IF(AY39&gt;1.5,AY43+IF(AY41=0,AY40,0),0))</f>
        <v>0</v>
      </c>
      <c r="AZ55" s="937">
        <f t="shared" ref="AZ55" si="360">IF(AZ21=0,0,IF(AZ39&gt;1.5,AZ43+IF(AZ41=0,AZ40,0),0))</f>
        <v>0</v>
      </c>
      <c r="BA55" s="937">
        <f t="shared" si="359"/>
        <v>0</v>
      </c>
      <c r="BB55" s="937">
        <f t="shared" si="359"/>
        <v>0</v>
      </c>
      <c r="BC55" s="937">
        <f t="shared" si="359"/>
        <v>0</v>
      </c>
      <c r="BD55" s="937">
        <f t="shared" si="359"/>
        <v>0</v>
      </c>
      <c r="BE55" s="937">
        <f t="shared" si="359"/>
        <v>0</v>
      </c>
      <c r="BF55" s="937">
        <f t="shared" si="359"/>
        <v>0</v>
      </c>
      <c r="BG55" s="937">
        <f t="shared" si="359"/>
        <v>0</v>
      </c>
      <c r="BH55" s="937">
        <f t="shared" si="359"/>
        <v>0</v>
      </c>
      <c r="BI55" s="937">
        <f t="shared" si="359"/>
        <v>0</v>
      </c>
      <c r="BJ55" s="938"/>
      <c r="BK55" s="938"/>
      <c r="BL55" s="938"/>
      <c r="BM55" s="946">
        <f t="shared" ca="1" si="297"/>
        <v>515.21</v>
      </c>
      <c r="BN55" s="957"/>
      <c r="BO55" s="1091"/>
      <c r="BP55" s="1091"/>
      <c r="BQ55" s="1091"/>
      <c r="BR55" s="1091"/>
      <c r="BS55" s="1091"/>
      <c r="BT55" s="1091"/>
      <c r="BU55" s="1091"/>
      <c r="BV55" s="1091"/>
      <c r="BW55" s="1091"/>
      <c r="BX55" s="1091"/>
      <c r="BY55" s="1091"/>
      <c r="BZ55" s="1091"/>
    </row>
    <row r="56" spans="1:79" s="928" customFormat="1" ht="21.95" hidden="1" customHeight="1" x14ac:dyDescent="0.15">
      <c r="A56" s="2596"/>
      <c r="B56" s="2689"/>
      <c r="C56" s="942" t="s">
        <v>452</v>
      </c>
      <c r="D56" s="2010"/>
      <c r="E56" s="1527"/>
      <c r="F56" s="935">
        <f t="shared" ref="F56" si="361">IF(F20=0,0,IF(F57=0,F42+IF(F41=0,F40,0),0))</f>
        <v>0</v>
      </c>
      <c r="G56" s="935">
        <f t="shared" ref="G56" ca="1" si="362">IF(G20=0,0,IF(G57=0,G42+IF(G41=0,G40,0),0))</f>
        <v>0</v>
      </c>
      <c r="H56" s="935">
        <f t="shared" ref="H56:I56" ca="1" si="363">IF(H20=0,0,IF(H57=0,H42+IF(H41=0,H40,0),0))</f>
        <v>0</v>
      </c>
      <c r="I56" s="935">
        <f t="shared" ca="1" si="363"/>
        <v>0</v>
      </c>
      <c r="J56" s="935"/>
      <c r="K56" s="935"/>
      <c r="L56" s="935"/>
      <c r="M56" s="935"/>
      <c r="N56" s="2448"/>
      <c r="O56" s="935">
        <f t="shared" ref="O56:V56" ca="1" si="364">IF(O20=0,0,IF(O57=0,O42+IF(O41=0,O40,0),0))</f>
        <v>0</v>
      </c>
      <c r="P56" s="935">
        <f t="shared" ca="1" si="364"/>
        <v>0</v>
      </c>
      <c r="Q56" s="935">
        <f t="shared" ca="1" si="364"/>
        <v>0</v>
      </c>
      <c r="R56" s="935">
        <f t="shared" ca="1" si="364"/>
        <v>0</v>
      </c>
      <c r="S56" s="935">
        <f t="shared" ca="1" si="364"/>
        <v>0</v>
      </c>
      <c r="T56" s="935">
        <f t="shared" ca="1" si="364"/>
        <v>0</v>
      </c>
      <c r="U56" s="935">
        <f t="shared" ca="1" si="364"/>
        <v>0</v>
      </c>
      <c r="V56" s="935">
        <f t="shared" ca="1" si="364"/>
        <v>0</v>
      </c>
      <c r="W56" s="935"/>
      <c r="X56" s="2448"/>
      <c r="Y56" s="935">
        <f t="shared" ref="Y56:AH56" ca="1" si="365">IF(Y20=0,0,IF(Y57=0,Y42+IF(Y41=0,Y40,0),0))</f>
        <v>0</v>
      </c>
      <c r="Z56" s="935">
        <f t="shared" ca="1" si="365"/>
        <v>0</v>
      </c>
      <c r="AA56" s="935">
        <f t="shared" ca="1" si="365"/>
        <v>0</v>
      </c>
      <c r="AB56" s="935">
        <f t="shared" ca="1" si="365"/>
        <v>0</v>
      </c>
      <c r="AC56" s="935">
        <f t="shared" ca="1" si="365"/>
        <v>0</v>
      </c>
      <c r="AD56" s="935">
        <f t="shared" ca="1" si="365"/>
        <v>0</v>
      </c>
      <c r="AE56" s="935">
        <f t="shared" ca="1" si="365"/>
        <v>0</v>
      </c>
      <c r="AF56" s="935">
        <f t="shared" ca="1" si="365"/>
        <v>0</v>
      </c>
      <c r="AG56" s="935">
        <f t="shared" ca="1" si="365"/>
        <v>0</v>
      </c>
      <c r="AH56" s="935">
        <f t="shared" ca="1" si="365"/>
        <v>0</v>
      </c>
      <c r="AI56" s="935"/>
      <c r="AJ56" s="935"/>
      <c r="AK56" s="935"/>
      <c r="AL56" s="935"/>
      <c r="AM56" s="935"/>
      <c r="AN56" s="935"/>
      <c r="AO56" s="935"/>
      <c r="AP56" s="935"/>
      <c r="AQ56" s="935"/>
      <c r="AR56" s="2448"/>
      <c r="AS56" s="935">
        <f t="shared" ref="AS56:AW56" ca="1" si="366">IF(AS20=0,0,IF(AS57=0,AS42+IF(AS41=0,AS40,0),0))</f>
        <v>0</v>
      </c>
      <c r="AT56" s="935">
        <f t="shared" ca="1" si="366"/>
        <v>0</v>
      </c>
      <c r="AU56" s="935">
        <f t="shared" ca="1" si="366"/>
        <v>0</v>
      </c>
      <c r="AV56" s="935">
        <f t="shared" ca="1" si="366"/>
        <v>0</v>
      </c>
      <c r="AW56" s="935">
        <f t="shared" ca="1" si="366"/>
        <v>0</v>
      </c>
      <c r="AX56" s="935">
        <f t="shared" ref="AX56" si="367">IF(AX20=0,0,IF(AX57=0,AX42+IF(AX41=0,AX40,0),0))</f>
        <v>0</v>
      </c>
      <c r="AY56" s="935">
        <f t="shared" ref="AY56:BI56" si="368">IF(AY20=0,0,IF(AY57=0,AY42+IF(AY41=0,AY40,0),0))</f>
        <v>0</v>
      </c>
      <c r="AZ56" s="935">
        <f t="shared" ref="AZ56" si="369">IF(AZ20=0,0,IF(AZ57=0,AZ42+IF(AZ41=0,AZ40,0),0))</f>
        <v>0</v>
      </c>
      <c r="BA56" s="935">
        <f t="shared" si="368"/>
        <v>0</v>
      </c>
      <c r="BB56" s="935">
        <f t="shared" si="368"/>
        <v>0</v>
      </c>
      <c r="BC56" s="935">
        <f t="shared" si="368"/>
        <v>0</v>
      </c>
      <c r="BD56" s="935">
        <f t="shared" si="368"/>
        <v>0</v>
      </c>
      <c r="BE56" s="935">
        <f t="shared" si="368"/>
        <v>0</v>
      </c>
      <c r="BF56" s="935">
        <f t="shared" si="368"/>
        <v>0</v>
      </c>
      <c r="BG56" s="935">
        <f t="shared" si="368"/>
        <v>0</v>
      </c>
      <c r="BH56" s="935">
        <f t="shared" si="368"/>
        <v>0</v>
      </c>
      <c r="BI56" s="935">
        <f t="shared" si="368"/>
        <v>0</v>
      </c>
      <c r="BJ56" s="936"/>
      <c r="BK56" s="936"/>
      <c r="BL56" s="936"/>
      <c r="BM56" s="945">
        <f t="shared" ca="1" si="297"/>
        <v>0</v>
      </c>
      <c r="BN56" s="957"/>
      <c r="BO56" s="1091"/>
      <c r="BP56" s="1091"/>
      <c r="BQ56" s="1091"/>
      <c r="BR56" s="1091"/>
      <c r="BS56" s="1091"/>
      <c r="BT56" s="1091"/>
      <c r="BU56" s="1091"/>
      <c r="BV56" s="1091"/>
      <c r="BW56" s="1091"/>
      <c r="BX56" s="1091"/>
      <c r="BY56" s="1091"/>
      <c r="BZ56" s="1091"/>
    </row>
    <row r="57" spans="1:79" s="928" customFormat="1" ht="21.95" hidden="1" customHeight="1" x14ac:dyDescent="0.15">
      <c r="A57" s="2596"/>
      <c r="B57" s="2689"/>
      <c r="C57" s="942" t="s">
        <v>453</v>
      </c>
      <c r="D57" s="2011"/>
      <c r="E57" s="1528"/>
      <c r="F57" s="937">
        <f t="shared" ref="F57" si="370">IF(F20=0,0,IF(F39&gt;1.5,F42+IF(F41=0,F40,0),0))</f>
        <v>0</v>
      </c>
      <c r="G57" s="937">
        <f t="shared" ref="G57" ca="1" si="371">IF(G20=0,0,IF(G39&gt;1.5,G42+IF(G41=0,G40,0),0))</f>
        <v>0</v>
      </c>
      <c r="H57" s="937">
        <f t="shared" ref="H57:I57" ca="1" si="372">IF(H20=0,0,IF(H39&gt;1.5,H42+IF(H41=0,H40,0),0))</f>
        <v>0</v>
      </c>
      <c r="I57" s="937">
        <f t="shared" ca="1" si="372"/>
        <v>0</v>
      </c>
      <c r="J57" s="937"/>
      <c r="K57" s="937"/>
      <c r="L57" s="937"/>
      <c r="M57" s="937"/>
      <c r="N57" s="2449"/>
      <c r="O57" s="937">
        <f t="shared" ref="O57:V57" ca="1" si="373">IF(O20=0,0,IF(O39&gt;1.5,O42+IF(O41=0,O40,0),0))</f>
        <v>0</v>
      </c>
      <c r="P57" s="937">
        <f t="shared" ca="1" si="373"/>
        <v>0</v>
      </c>
      <c r="Q57" s="937">
        <f t="shared" ca="1" si="373"/>
        <v>0</v>
      </c>
      <c r="R57" s="937">
        <f t="shared" ca="1" si="373"/>
        <v>0</v>
      </c>
      <c r="S57" s="937">
        <f t="shared" ca="1" si="373"/>
        <v>0</v>
      </c>
      <c r="T57" s="937">
        <f t="shared" ca="1" si="373"/>
        <v>0</v>
      </c>
      <c r="U57" s="937">
        <f t="shared" ca="1" si="373"/>
        <v>0</v>
      </c>
      <c r="V57" s="937">
        <f t="shared" ca="1" si="373"/>
        <v>0</v>
      </c>
      <c r="W57" s="937"/>
      <c r="X57" s="2449"/>
      <c r="Y57" s="937">
        <f t="shared" ref="Y57:AH57" ca="1" si="374">IF(Y20=0,0,IF(Y39&gt;1.5,Y42+IF(Y41=0,Y40,0),0))</f>
        <v>0</v>
      </c>
      <c r="Z57" s="937">
        <f t="shared" ca="1" si="374"/>
        <v>0</v>
      </c>
      <c r="AA57" s="937">
        <f t="shared" ca="1" si="374"/>
        <v>0</v>
      </c>
      <c r="AB57" s="937">
        <f t="shared" ca="1" si="374"/>
        <v>0</v>
      </c>
      <c r="AC57" s="937">
        <f t="shared" ca="1" si="374"/>
        <v>0</v>
      </c>
      <c r="AD57" s="937">
        <f t="shared" ca="1" si="374"/>
        <v>0</v>
      </c>
      <c r="AE57" s="937">
        <f t="shared" ca="1" si="374"/>
        <v>0</v>
      </c>
      <c r="AF57" s="937">
        <f t="shared" ca="1" si="374"/>
        <v>0</v>
      </c>
      <c r="AG57" s="937">
        <f t="shared" ca="1" si="374"/>
        <v>0</v>
      </c>
      <c r="AH57" s="937">
        <f t="shared" ca="1" si="374"/>
        <v>0</v>
      </c>
      <c r="AI57" s="937"/>
      <c r="AJ57" s="937"/>
      <c r="AK57" s="937"/>
      <c r="AL57" s="937"/>
      <c r="AM57" s="937"/>
      <c r="AN57" s="937"/>
      <c r="AO57" s="937"/>
      <c r="AP57" s="937"/>
      <c r="AQ57" s="937"/>
      <c r="AR57" s="2449"/>
      <c r="AS57" s="937">
        <f t="shared" ref="AS57:AW57" ca="1" si="375">IF(AS20=0,0,IF(AS39&gt;1.5,AS42+IF(AS41=0,AS40,0),0))</f>
        <v>0</v>
      </c>
      <c r="AT57" s="937">
        <f t="shared" ca="1" si="375"/>
        <v>0</v>
      </c>
      <c r="AU57" s="937">
        <f t="shared" ca="1" si="375"/>
        <v>0</v>
      </c>
      <c r="AV57" s="937">
        <f t="shared" ca="1" si="375"/>
        <v>0</v>
      </c>
      <c r="AW57" s="937">
        <f t="shared" ca="1" si="375"/>
        <v>0</v>
      </c>
      <c r="AX57" s="937">
        <f t="shared" ref="AX57" si="376">IF(AX20=0,0,IF(AX39&gt;1.5,AX42+IF(AX41=0,AX40,0),0))</f>
        <v>0</v>
      </c>
      <c r="AY57" s="937">
        <f t="shared" ref="AY57:BI57" si="377">IF(AY20=0,0,IF(AY39&gt;1.5,AY42+IF(AY41=0,AY40,0),0))</f>
        <v>0</v>
      </c>
      <c r="AZ57" s="937">
        <f t="shared" ref="AZ57" si="378">IF(AZ20=0,0,IF(AZ39&gt;1.5,AZ42+IF(AZ41=0,AZ40,0),0))</f>
        <v>0</v>
      </c>
      <c r="BA57" s="937">
        <f t="shared" si="377"/>
        <v>0</v>
      </c>
      <c r="BB57" s="937">
        <f t="shared" si="377"/>
        <v>0</v>
      </c>
      <c r="BC57" s="937">
        <f t="shared" si="377"/>
        <v>0</v>
      </c>
      <c r="BD57" s="937">
        <f t="shared" si="377"/>
        <v>0</v>
      </c>
      <c r="BE57" s="937">
        <f t="shared" si="377"/>
        <v>0</v>
      </c>
      <c r="BF57" s="937">
        <f t="shared" si="377"/>
        <v>0</v>
      </c>
      <c r="BG57" s="937">
        <f t="shared" si="377"/>
        <v>0</v>
      </c>
      <c r="BH57" s="937">
        <f t="shared" si="377"/>
        <v>0</v>
      </c>
      <c r="BI57" s="937">
        <f t="shared" si="377"/>
        <v>0</v>
      </c>
      <c r="BJ57" s="938"/>
      <c r="BK57" s="938"/>
      <c r="BL57" s="938"/>
      <c r="BM57" s="946">
        <f t="shared" ca="1" si="297"/>
        <v>0</v>
      </c>
      <c r="BN57" s="957"/>
      <c r="BO57" s="1091"/>
      <c r="BP57" s="1091"/>
      <c r="BQ57" s="1091"/>
      <c r="BR57" s="1091"/>
      <c r="BS57" s="1091"/>
      <c r="BT57" s="1091"/>
      <c r="BU57" s="1091"/>
      <c r="BV57" s="1091"/>
      <c r="BW57" s="1091"/>
      <c r="BX57" s="1091"/>
      <c r="BY57" s="1091"/>
      <c r="BZ57" s="1091"/>
    </row>
    <row r="58" spans="1:79" s="928" customFormat="1" ht="21.95" hidden="1" customHeight="1" thickBot="1" x14ac:dyDescent="0.2">
      <c r="A58" s="2596"/>
      <c r="B58" s="2690"/>
      <c r="C58" s="948" t="s">
        <v>365</v>
      </c>
      <c r="D58" s="2005"/>
      <c r="E58" s="1524"/>
      <c r="F58" s="939" t="str">
        <f t="shared" ref="F58" si="379">IF(TRUNC(SUM(F59:F79),0)=TRUNC(SUM(F40:F45),0),"OK","ERRO")</f>
        <v>OK</v>
      </c>
      <c r="G58" s="939" t="str">
        <f t="shared" ref="G58" ca="1" si="380">IF(TRUNC(SUM(G59:G79),0)=TRUNC(SUM(G40:G45),0),"OK","ERRO")</f>
        <v>OK</v>
      </c>
      <c r="H58" s="939" t="str">
        <f t="shared" ref="H58:I58" ca="1" si="381">IF(TRUNC(SUM(H59:H79),0)=TRUNC(SUM(H40:H45),0),"OK","ERRO")</f>
        <v>OK</v>
      </c>
      <c r="I58" s="939" t="str">
        <f t="shared" ca="1" si="381"/>
        <v>OK</v>
      </c>
      <c r="J58" s="939"/>
      <c r="K58" s="939"/>
      <c r="L58" s="939"/>
      <c r="M58" s="939"/>
      <c r="N58" s="2447"/>
      <c r="O58" s="939" t="str">
        <f t="shared" ref="O58:V58" ca="1" si="382">IF(TRUNC(SUM(O59:O79),0)=TRUNC(SUM(O40:O45),0),"OK","ERRO")</f>
        <v>OK</v>
      </c>
      <c r="P58" s="939" t="str">
        <f t="shared" ca="1" si="382"/>
        <v>OK</v>
      </c>
      <c r="Q58" s="939" t="str">
        <f t="shared" ca="1" si="382"/>
        <v>OK</v>
      </c>
      <c r="R58" s="939" t="str">
        <f t="shared" ca="1" si="382"/>
        <v>OK</v>
      </c>
      <c r="S58" s="939" t="str">
        <f t="shared" ca="1" si="382"/>
        <v>OK</v>
      </c>
      <c r="T58" s="939" t="str">
        <f t="shared" ca="1" si="382"/>
        <v>OK</v>
      </c>
      <c r="U58" s="939" t="str">
        <f t="shared" ca="1" si="382"/>
        <v>OK</v>
      </c>
      <c r="V58" s="939" t="str">
        <f t="shared" ca="1" si="382"/>
        <v>OK</v>
      </c>
      <c r="W58" s="939"/>
      <c r="X58" s="2447"/>
      <c r="Y58" s="939" t="str">
        <f t="shared" ref="Y58:AH58" ca="1" si="383">IF(TRUNC(SUM(Y59:Y79),0)=TRUNC(SUM(Y40:Y45),0),"OK","ERRO")</f>
        <v>OK</v>
      </c>
      <c r="Z58" s="939" t="str">
        <f t="shared" ca="1" si="383"/>
        <v>OK</v>
      </c>
      <c r="AA58" s="939" t="str">
        <f t="shared" ca="1" si="383"/>
        <v>OK</v>
      </c>
      <c r="AB58" s="939" t="str">
        <f t="shared" ca="1" si="383"/>
        <v>OK</v>
      </c>
      <c r="AC58" s="939" t="str">
        <f t="shared" ca="1" si="383"/>
        <v>OK</v>
      </c>
      <c r="AD58" s="939" t="str">
        <f t="shared" ca="1" si="383"/>
        <v>OK</v>
      </c>
      <c r="AE58" s="939" t="str">
        <f t="shared" ca="1" si="383"/>
        <v>OK</v>
      </c>
      <c r="AF58" s="939" t="str">
        <f t="shared" ca="1" si="383"/>
        <v>OK</v>
      </c>
      <c r="AG58" s="939" t="str">
        <f t="shared" ca="1" si="383"/>
        <v>OK</v>
      </c>
      <c r="AH58" s="939" t="str">
        <f t="shared" ca="1" si="383"/>
        <v>OK</v>
      </c>
      <c r="AI58" s="939"/>
      <c r="AJ58" s="939"/>
      <c r="AK58" s="939"/>
      <c r="AL58" s="939"/>
      <c r="AM58" s="939"/>
      <c r="AN58" s="939"/>
      <c r="AO58" s="939"/>
      <c r="AP58" s="939"/>
      <c r="AQ58" s="939"/>
      <c r="AR58" s="2447"/>
      <c r="AS58" s="939" t="str">
        <f t="shared" ref="AS58:AW58" ca="1" si="384">IF(TRUNC(SUM(AS59:AS79),0)=TRUNC(SUM(AS40:AS45),0),"OK","ERRO")</f>
        <v>OK</v>
      </c>
      <c r="AT58" s="939" t="str">
        <f t="shared" ca="1" si="384"/>
        <v>OK</v>
      </c>
      <c r="AU58" s="939" t="str">
        <f t="shared" ca="1" si="384"/>
        <v>OK</v>
      </c>
      <c r="AV58" s="939" t="str">
        <f t="shared" ca="1" si="384"/>
        <v>OK</v>
      </c>
      <c r="AW58" s="939" t="str">
        <f t="shared" ca="1" si="384"/>
        <v>OK</v>
      </c>
      <c r="AX58" s="939" t="str">
        <f t="shared" ref="AX58" si="385">IF(TRUNC(SUM(AX59:AX79),0)=TRUNC(SUM(AX40:AX45),0),"OK","ERRO")</f>
        <v>OK</v>
      </c>
      <c r="AY58" s="939" t="str">
        <f t="shared" ref="AY58:BI58" si="386">IF(TRUNC(SUM(AY59:AY79),0)=TRUNC(SUM(AY40:AY45),0),"OK","ERRO")</f>
        <v>OK</v>
      </c>
      <c r="AZ58" s="939" t="str">
        <f t="shared" ref="AZ58" si="387">IF(TRUNC(SUM(AZ59:AZ79),0)=TRUNC(SUM(AZ40:AZ45),0),"OK","ERRO")</f>
        <v>OK</v>
      </c>
      <c r="BA58" s="939" t="str">
        <f t="shared" si="386"/>
        <v>OK</v>
      </c>
      <c r="BB58" s="939" t="str">
        <f t="shared" si="386"/>
        <v>OK</v>
      </c>
      <c r="BC58" s="939" t="str">
        <f t="shared" si="386"/>
        <v>OK</v>
      </c>
      <c r="BD58" s="939" t="str">
        <f t="shared" si="386"/>
        <v>OK</v>
      </c>
      <c r="BE58" s="939" t="str">
        <f t="shared" si="386"/>
        <v>OK</v>
      </c>
      <c r="BF58" s="939" t="str">
        <f t="shared" si="386"/>
        <v>OK</v>
      </c>
      <c r="BG58" s="939" t="str">
        <f t="shared" si="386"/>
        <v>OK</v>
      </c>
      <c r="BH58" s="939" t="str">
        <f t="shared" si="386"/>
        <v>OK</v>
      </c>
      <c r="BI58" s="939" t="str">
        <f t="shared" si="386"/>
        <v>OK</v>
      </c>
      <c r="BJ58" s="939"/>
      <c r="BK58" s="939"/>
      <c r="BL58" s="939"/>
      <c r="BM58" s="931"/>
      <c r="BN58" s="957"/>
      <c r="BO58" s="1091"/>
      <c r="BP58" s="1091"/>
      <c r="BQ58" s="1091"/>
      <c r="BR58" s="1091"/>
      <c r="BS58" s="1091"/>
      <c r="BT58" s="1091"/>
      <c r="BU58" s="1091"/>
      <c r="BV58" s="1091"/>
      <c r="BW58" s="1091"/>
      <c r="BX58" s="1091"/>
      <c r="BY58" s="1091"/>
      <c r="BZ58" s="1091"/>
    </row>
    <row r="59" spans="1:79" s="928" customFormat="1" ht="21.95" hidden="1" customHeight="1" x14ac:dyDescent="0.15">
      <c r="A59" s="2596"/>
      <c r="B59" s="2679" t="s">
        <v>1103</v>
      </c>
      <c r="C59" s="594" t="s">
        <v>692</v>
      </c>
      <c r="D59" s="2004"/>
      <c r="E59" s="1529"/>
      <c r="F59" s="158">
        <f t="shared" ref="F59" si="388">IF(F41&gt;0,F40+F41,0)</f>
        <v>0</v>
      </c>
      <c r="G59" s="158">
        <f t="shared" ref="G59" si="389">IF(G41&gt;0,G40+G41,0)</f>
        <v>0</v>
      </c>
      <c r="H59" s="158">
        <f t="shared" ref="H59:I59" si="390">IF(H41&gt;0,H40+H41,0)</f>
        <v>0</v>
      </c>
      <c r="I59" s="158">
        <f t="shared" si="390"/>
        <v>0</v>
      </c>
      <c r="J59" s="158"/>
      <c r="K59" s="158"/>
      <c r="L59" s="158"/>
      <c r="M59" s="158"/>
      <c r="N59" s="2416"/>
      <c r="O59" s="158">
        <f t="shared" ref="O59:V59" si="391">IF(O41&gt;0,O40+O41,0)</f>
        <v>0</v>
      </c>
      <c r="P59" s="158">
        <f t="shared" si="391"/>
        <v>0</v>
      </c>
      <c r="Q59" s="158">
        <f t="shared" si="391"/>
        <v>0</v>
      </c>
      <c r="R59" s="158">
        <f t="shared" si="391"/>
        <v>0</v>
      </c>
      <c r="S59" s="158">
        <f t="shared" si="391"/>
        <v>0</v>
      </c>
      <c r="T59" s="158">
        <f t="shared" si="391"/>
        <v>0</v>
      </c>
      <c r="U59" s="158">
        <f t="shared" si="391"/>
        <v>0</v>
      </c>
      <c r="V59" s="158">
        <f t="shared" si="391"/>
        <v>0</v>
      </c>
      <c r="W59" s="158"/>
      <c r="X59" s="2416"/>
      <c r="Y59" s="158">
        <f t="shared" ref="Y59:AH59" si="392">IF(Y41&gt;0,Y40+Y41,0)</f>
        <v>0</v>
      </c>
      <c r="Z59" s="158">
        <f t="shared" si="392"/>
        <v>0</v>
      </c>
      <c r="AA59" s="158">
        <f t="shared" si="392"/>
        <v>0</v>
      </c>
      <c r="AB59" s="158">
        <f t="shared" si="392"/>
        <v>0</v>
      </c>
      <c r="AC59" s="158">
        <f t="shared" si="392"/>
        <v>0</v>
      </c>
      <c r="AD59" s="158">
        <f t="shared" si="392"/>
        <v>0</v>
      </c>
      <c r="AE59" s="158">
        <f t="shared" si="392"/>
        <v>0</v>
      </c>
      <c r="AF59" s="158">
        <f t="shared" si="392"/>
        <v>0</v>
      </c>
      <c r="AG59" s="158">
        <f t="shared" si="392"/>
        <v>0</v>
      </c>
      <c r="AH59" s="158">
        <f t="shared" si="392"/>
        <v>0</v>
      </c>
      <c r="AI59" s="158"/>
      <c r="AJ59" s="158"/>
      <c r="AK59" s="158"/>
      <c r="AL59" s="158"/>
      <c r="AM59" s="158"/>
      <c r="AN59" s="158"/>
      <c r="AO59" s="158"/>
      <c r="AP59" s="158"/>
      <c r="AQ59" s="158"/>
      <c r="AR59" s="2416"/>
      <c r="AS59" s="158">
        <f t="shared" ref="AS59:AW59" si="393">IF(AS41&gt;0,AS40+AS41,0)</f>
        <v>0</v>
      </c>
      <c r="AT59" s="158">
        <f t="shared" si="393"/>
        <v>0</v>
      </c>
      <c r="AU59" s="158">
        <f t="shared" si="393"/>
        <v>0</v>
      </c>
      <c r="AV59" s="158">
        <f t="shared" si="393"/>
        <v>0</v>
      </c>
      <c r="AW59" s="158">
        <f t="shared" si="393"/>
        <v>0</v>
      </c>
      <c r="AX59" s="158">
        <f t="shared" ref="AX59" si="394">IF(AX41&gt;0,AX40+AX41,0)</f>
        <v>0</v>
      </c>
      <c r="AY59" s="158">
        <f t="shared" ref="AY59:BI59" si="395">IF(AY41&gt;0,AY40+AY41,0)</f>
        <v>0</v>
      </c>
      <c r="AZ59" s="158">
        <f t="shared" ref="AZ59" si="396">IF(AZ41&gt;0,AZ40+AZ41,0)</f>
        <v>0</v>
      </c>
      <c r="BA59" s="158">
        <f t="shared" si="395"/>
        <v>0</v>
      </c>
      <c r="BB59" s="158">
        <f t="shared" si="395"/>
        <v>0</v>
      </c>
      <c r="BC59" s="158">
        <f t="shared" si="395"/>
        <v>0</v>
      </c>
      <c r="BD59" s="158">
        <f t="shared" si="395"/>
        <v>0</v>
      </c>
      <c r="BE59" s="158">
        <f t="shared" si="395"/>
        <v>0</v>
      </c>
      <c r="BF59" s="158">
        <f t="shared" si="395"/>
        <v>0</v>
      </c>
      <c r="BG59" s="158">
        <f t="shared" si="395"/>
        <v>0</v>
      </c>
      <c r="BH59" s="158">
        <f t="shared" si="395"/>
        <v>0</v>
      </c>
      <c r="BI59" s="158">
        <f t="shared" si="395"/>
        <v>0</v>
      </c>
      <c r="BJ59" s="951"/>
      <c r="BK59" s="951"/>
      <c r="BL59" s="951"/>
      <c r="BM59" s="350">
        <f t="shared" ref="BM59:BM86" si="397">TRUNC(SUM(F59:BL59),2)</f>
        <v>0</v>
      </c>
      <c r="BN59" s="579">
        <f t="shared" ref="BN59:BN90" si="398">SUM(F59:BM59)</f>
        <v>0</v>
      </c>
      <c r="BO59" s="1091"/>
      <c r="BP59" s="1091"/>
      <c r="BQ59" s="1091"/>
      <c r="BR59" s="1091"/>
      <c r="BS59" s="1091"/>
      <c r="BT59" s="1091"/>
      <c r="BU59" s="1091"/>
      <c r="BV59" s="1091"/>
      <c r="BW59" s="1091"/>
      <c r="BX59" s="1091"/>
      <c r="BY59" s="1091"/>
      <c r="BZ59" s="1091"/>
    </row>
    <row r="60" spans="1:79" s="590" customFormat="1" ht="21.95" hidden="1" customHeight="1" thickBot="1" x14ac:dyDescent="0.2">
      <c r="A60" s="2596"/>
      <c r="B60" s="2680"/>
      <c r="C60" s="598" t="s">
        <v>447</v>
      </c>
      <c r="D60" s="2010"/>
      <c r="E60" s="1530"/>
      <c r="F60" s="458">
        <f t="shared" ref="F60:F69" si="399">IF(F$29=1,F48,0)</f>
        <v>0</v>
      </c>
      <c r="G60" s="458">
        <f t="shared" ref="G60" ca="1" si="400">IF(G$29=1,G48,0)</f>
        <v>0</v>
      </c>
      <c r="H60" s="458">
        <f t="shared" ref="H60:I60" ca="1" si="401">IF(H$29=1,H48,0)</f>
        <v>0</v>
      </c>
      <c r="I60" s="458">
        <f t="shared" ca="1" si="401"/>
        <v>0</v>
      </c>
      <c r="J60" s="458"/>
      <c r="K60" s="458"/>
      <c r="L60" s="458"/>
      <c r="M60" s="458"/>
      <c r="N60" s="2450"/>
      <c r="O60" s="458">
        <f t="shared" ref="O60:V60" ca="1" si="402">IF(O$29=1,O48,0)</f>
        <v>0</v>
      </c>
      <c r="P60" s="458">
        <f t="shared" ca="1" si="402"/>
        <v>0</v>
      </c>
      <c r="Q60" s="458">
        <f t="shared" ca="1" si="402"/>
        <v>0</v>
      </c>
      <c r="R60" s="458">
        <f t="shared" ca="1" si="402"/>
        <v>0</v>
      </c>
      <c r="S60" s="458">
        <f t="shared" ca="1" si="402"/>
        <v>0</v>
      </c>
      <c r="T60" s="458">
        <f t="shared" ca="1" si="402"/>
        <v>0</v>
      </c>
      <c r="U60" s="458">
        <f t="shared" ca="1" si="402"/>
        <v>0</v>
      </c>
      <c r="V60" s="458">
        <f t="shared" ca="1" si="402"/>
        <v>0</v>
      </c>
      <c r="W60" s="458"/>
      <c r="X60" s="2450"/>
      <c r="Y60" s="458">
        <f t="shared" ref="Y60:AH60" ca="1" si="403">IF(Y$29=1,Y48,0)</f>
        <v>0</v>
      </c>
      <c r="Z60" s="458">
        <f t="shared" ca="1" si="403"/>
        <v>0</v>
      </c>
      <c r="AA60" s="458">
        <f t="shared" ca="1" si="403"/>
        <v>0</v>
      </c>
      <c r="AB60" s="458">
        <f t="shared" ca="1" si="403"/>
        <v>0</v>
      </c>
      <c r="AC60" s="458">
        <f t="shared" ca="1" si="403"/>
        <v>0</v>
      </c>
      <c r="AD60" s="458">
        <f t="shared" ca="1" si="403"/>
        <v>0</v>
      </c>
      <c r="AE60" s="458">
        <f t="shared" ca="1" si="403"/>
        <v>0</v>
      </c>
      <c r="AF60" s="458">
        <f t="shared" ca="1" si="403"/>
        <v>0</v>
      </c>
      <c r="AG60" s="458">
        <f t="shared" ca="1" si="403"/>
        <v>0</v>
      </c>
      <c r="AH60" s="458">
        <f t="shared" ca="1" si="403"/>
        <v>0</v>
      </c>
      <c r="AI60" s="458"/>
      <c r="AJ60" s="458"/>
      <c r="AK60" s="458"/>
      <c r="AL60" s="458"/>
      <c r="AM60" s="458"/>
      <c r="AN60" s="458"/>
      <c r="AO60" s="458"/>
      <c r="AP60" s="458"/>
      <c r="AQ60" s="458"/>
      <c r="AR60" s="2450"/>
      <c r="AS60" s="458">
        <f t="shared" ref="AS60:AW60" ca="1" si="404">IF(AS$29=1,AS48,0)</f>
        <v>0</v>
      </c>
      <c r="AT60" s="458">
        <f t="shared" ca="1" si="404"/>
        <v>0</v>
      </c>
      <c r="AU60" s="458">
        <f t="shared" ca="1" si="404"/>
        <v>0</v>
      </c>
      <c r="AV60" s="458">
        <f t="shared" ca="1" si="404"/>
        <v>0</v>
      </c>
      <c r="AW60" s="458">
        <f t="shared" ca="1" si="404"/>
        <v>0</v>
      </c>
      <c r="AX60" s="458">
        <f t="shared" ref="AX60" si="405">IF(AX$29=1,AX48,0)</f>
        <v>0</v>
      </c>
      <c r="AY60" s="458">
        <f t="shared" ref="AY60:BI60" si="406">IF(AY$29=1,AY48,0)</f>
        <v>0</v>
      </c>
      <c r="AZ60" s="458">
        <f t="shared" ref="AZ60" si="407">IF(AZ$29=1,AZ48,0)</f>
        <v>0</v>
      </c>
      <c r="BA60" s="458">
        <f t="shared" si="406"/>
        <v>0</v>
      </c>
      <c r="BB60" s="458">
        <f t="shared" si="406"/>
        <v>0</v>
      </c>
      <c r="BC60" s="458">
        <f t="shared" si="406"/>
        <v>0</v>
      </c>
      <c r="BD60" s="458">
        <f t="shared" si="406"/>
        <v>0</v>
      </c>
      <c r="BE60" s="458">
        <f t="shared" si="406"/>
        <v>0</v>
      </c>
      <c r="BF60" s="458">
        <f t="shared" si="406"/>
        <v>0</v>
      </c>
      <c r="BG60" s="458">
        <f t="shared" si="406"/>
        <v>0</v>
      </c>
      <c r="BH60" s="458">
        <f t="shared" si="406"/>
        <v>0</v>
      </c>
      <c r="BI60" s="458">
        <f t="shared" si="406"/>
        <v>0</v>
      </c>
      <c r="BJ60" s="458"/>
      <c r="BK60" s="458"/>
      <c r="BL60" s="458"/>
      <c r="BM60" s="597">
        <f t="shared" ca="1" si="397"/>
        <v>0</v>
      </c>
      <c r="BN60" s="579">
        <f t="shared" ca="1" si="398"/>
        <v>0</v>
      </c>
      <c r="BO60" s="1089"/>
      <c r="BP60" s="1089"/>
      <c r="BQ60" s="1089"/>
      <c r="BR60" s="1089"/>
      <c r="BS60" s="1089"/>
      <c r="BT60" s="1089"/>
      <c r="BU60" s="1089"/>
      <c r="BV60" s="1089"/>
      <c r="BW60" s="1089"/>
      <c r="BX60" s="1089"/>
      <c r="BY60" s="1089"/>
      <c r="BZ60" s="1089"/>
    </row>
    <row r="61" spans="1:79" s="590" customFormat="1" ht="21.95" customHeight="1" x14ac:dyDescent="0.15">
      <c r="A61" s="2596"/>
      <c r="B61" s="2679"/>
      <c r="C61" s="591" t="s">
        <v>455</v>
      </c>
      <c r="D61" s="2010"/>
      <c r="E61" s="1530"/>
      <c r="F61" s="458">
        <f t="shared" si="399"/>
        <v>0</v>
      </c>
      <c r="G61" s="458">
        <f t="shared" ref="G61" ca="1" si="408">IF(G$29=1,G49,0)</f>
        <v>0</v>
      </c>
      <c r="H61" s="458">
        <f t="shared" ref="H61:I61" ca="1" si="409">IF(H$29=1,H49,0)</f>
        <v>0</v>
      </c>
      <c r="I61" s="458">
        <f t="shared" ca="1" si="409"/>
        <v>0</v>
      </c>
      <c r="J61" s="458"/>
      <c r="K61" s="458"/>
      <c r="L61" s="458"/>
      <c r="M61" s="458"/>
      <c r="N61" s="2450"/>
      <c r="O61" s="458">
        <f t="shared" ref="O61:V61" ca="1" si="410">IF(O$29=1,O49,0)</f>
        <v>0</v>
      </c>
      <c r="P61" s="458">
        <f t="shared" ca="1" si="410"/>
        <v>0</v>
      </c>
      <c r="Q61" s="458">
        <f t="shared" ca="1" si="410"/>
        <v>0</v>
      </c>
      <c r="R61" s="458">
        <f t="shared" ca="1" si="410"/>
        <v>0</v>
      </c>
      <c r="S61" s="458">
        <f t="shared" ca="1" si="410"/>
        <v>0</v>
      </c>
      <c r="T61" s="458">
        <f t="shared" ca="1" si="410"/>
        <v>0</v>
      </c>
      <c r="U61" s="458">
        <f t="shared" ca="1" si="410"/>
        <v>0</v>
      </c>
      <c r="V61" s="458">
        <f t="shared" ca="1" si="410"/>
        <v>0</v>
      </c>
      <c r="W61" s="458"/>
      <c r="X61" s="2450"/>
      <c r="Y61" s="458">
        <f t="shared" ref="Y61:AH61" ca="1" si="411">IF(Y$29=1,Y49,0)</f>
        <v>0</v>
      </c>
      <c r="Z61" s="458">
        <f t="shared" ca="1" si="411"/>
        <v>0</v>
      </c>
      <c r="AA61" s="458">
        <f t="shared" ca="1" si="411"/>
        <v>0</v>
      </c>
      <c r="AB61" s="458">
        <f t="shared" ca="1" si="411"/>
        <v>0</v>
      </c>
      <c r="AC61" s="458">
        <f t="shared" ca="1" si="411"/>
        <v>0</v>
      </c>
      <c r="AD61" s="458">
        <f t="shared" ca="1" si="411"/>
        <v>0</v>
      </c>
      <c r="AE61" s="458">
        <f t="shared" ca="1" si="411"/>
        <v>0</v>
      </c>
      <c r="AF61" s="458">
        <f t="shared" ca="1" si="411"/>
        <v>0</v>
      </c>
      <c r="AG61" s="458">
        <f t="shared" ca="1" si="411"/>
        <v>0</v>
      </c>
      <c r="AH61" s="458">
        <f t="shared" ca="1" si="411"/>
        <v>0</v>
      </c>
      <c r="AI61" s="458"/>
      <c r="AJ61" s="458"/>
      <c r="AK61" s="458"/>
      <c r="AL61" s="458"/>
      <c r="AM61" s="458"/>
      <c r="AN61" s="458"/>
      <c r="AO61" s="458"/>
      <c r="AP61" s="458"/>
      <c r="AQ61" s="458"/>
      <c r="AR61" s="2450"/>
      <c r="AS61" s="458">
        <f t="shared" ref="AS61:AW61" ca="1" si="412">IF(AS$29=1,AS49,0)</f>
        <v>0</v>
      </c>
      <c r="AT61" s="458">
        <f t="shared" ca="1" si="412"/>
        <v>0</v>
      </c>
      <c r="AU61" s="458">
        <f t="shared" ca="1" si="412"/>
        <v>0</v>
      </c>
      <c r="AV61" s="458">
        <f t="shared" ca="1" si="412"/>
        <v>0</v>
      </c>
      <c r="AW61" s="458">
        <f t="shared" ca="1" si="412"/>
        <v>0</v>
      </c>
      <c r="AX61" s="458">
        <f t="shared" ref="AX61" si="413">IF(AX$29=1,AX49,0)</f>
        <v>0</v>
      </c>
      <c r="AY61" s="458">
        <f t="shared" ref="AY61:BI61" si="414">IF(AY$29=1,AY49,0)</f>
        <v>1141.3351824000003</v>
      </c>
      <c r="AZ61" s="458">
        <f t="shared" ref="AZ61" si="415">IF(AZ$29=1,AZ49,0)</f>
        <v>0</v>
      </c>
      <c r="BA61" s="458">
        <f t="shared" si="414"/>
        <v>0</v>
      </c>
      <c r="BB61" s="458">
        <f t="shared" si="414"/>
        <v>0</v>
      </c>
      <c r="BC61" s="458">
        <f t="shared" si="414"/>
        <v>0</v>
      </c>
      <c r="BD61" s="458">
        <f t="shared" si="414"/>
        <v>0</v>
      </c>
      <c r="BE61" s="458">
        <f t="shared" si="414"/>
        <v>0</v>
      </c>
      <c r="BF61" s="458">
        <f t="shared" si="414"/>
        <v>0</v>
      </c>
      <c r="BG61" s="458">
        <f t="shared" si="414"/>
        <v>0</v>
      </c>
      <c r="BH61" s="458">
        <f t="shared" si="414"/>
        <v>0</v>
      </c>
      <c r="BI61" s="458">
        <f t="shared" si="414"/>
        <v>0</v>
      </c>
      <c r="BJ61" s="458"/>
      <c r="BK61" s="458"/>
      <c r="BL61" s="458"/>
      <c r="BM61" s="597">
        <f t="shared" ca="1" si="397"/>
        <v>1141.33</v>
      </c>
      <c r="BN61" s="579">
        <f t="shared" ca="1" si="398"/>
        <v>2282.6651824</v>
      </c>
      <c r="BO61" s="1089"/>
      <c r="BP61" s="1089"/>
      <c r="BQ61" s="1089"/>
      <c r="BR61" s="1089"/>
      <c r="BS61" s="1089"/>
      <c r="BT61" s="1089"/>
      <c r="BU61" s="1089"/>
      <c r="BV61" s="1089"/>
      <c r="BW61" s="1089"/>
      <c r="BX61" s="1089"/>
      <c r="BY61" s="1089"/>
      <c r="BZ61" s="1089"/>
    </row>
    <row r="62" spans="1:79" s="590" customFormat="1" ht="21.95" hidden="1" customHeight="1" x14ac:dyDescent="0.15">
      <c r="A62" s="2596"/>
      <c r="B62" s="2680"/>
      <c r="C62" s="598" t="s">
        <v>448</v>
      </c>
      <c r="D62" s="2004"/>
      <c r="E62" s="592"/>
      <c r="F62" s="158">
        <f t="shared" si="399"/>
        <v>0</v>
      </c>
      <c r="G62" s="158">
        <f t="shared" ref="G62" ca="1" si="416">IF(G$29=1,G50,0)</f>
        <v>0</v>
      </c>
      <c r="H62" s="158">
        <f t="shared" ref="H62:I62" ca="1" si="417">IF(H$29=1,H50,0)</f>
        <v>0</v>
      </c>
      <c r="I62" s="158">
        <f t="shared" ca="1" si="417"/>
        <v>0</v>
      </c>
      <c r="J62" s="158"/>
      <c r="K62" s="158"/>
      <c r="L62" s="158"/>
      <c r="M62" s="158"/>
      <c r="N62" s="2416"/>
      <c r="O62" s="158">
        <f t="shared" ref="O62:V62" ca="1" si="418">IF(O$29=1,O50,0)</f>
        <v>0</v>
      </c>
      <c r="P62" s="158">
        <f t="shared" ca="1" si="418"/>
        <v>0</v>
      </c>
      <c r="Q62" s="158">
        <f t="shared" ca="1" si="418"/>
        <v>0</v>
      </c>
      <c r="R62" s="158">
        <f t="shared" ca="1" si="418"/>
        <v>0</v>
      </c>
      <c r="S62" s="158">
        <f t="shared" ca="1" si="418"/>
        <v>0</v>
      </c>
      <c r="T62" s="158">
        <f t="shared" ca="1" si="418"/>
        <v>0</v>
      </c>
      <c r="U62" s="158">
        <f t="shared" ca="1" si="418"/>
        <v>0</v>
      </c>
      <c r="V62" s="158">
        <f t="shared" ca="1" si="418"/>
        <v>0</v>
      </c>
      <c r="W62" s="158"/>
      <c r="X62" s="2416"/>
      <c r="Y62" s="158">
        <f t="shared" ref="Y62:AH62" ca="1" si="419">IF(Y$29=1,Y50,0)</f>
        <v>0</v>
      </c>
      <c r="Z62" s="158">
        <f t="shared" ca="1" si="419"/>
        <v>0</v>
      </c>
      <c r="AA62" s="158">
        <f t="shared" ca="1" si="419"/>
        <v>0</v>
      </c>
      <c r="AB62" s="158">
        <f t="shared" ca="1" si="419"/>
        <v>0</v>
      </c>
      <c r="AC62" s="158">
        <f t="shared" ca="1" si="419"/>
        <v>0</v>
      </c>
      <c r="AD62" s="158">
        <f t="shared" ca="1" si="419"/>
        <v>0</v>
      </c>
      <c r="AE62" s="158">
        <f t="shared" ca="1" si="419"/>
        <v>0</v>
      </c>
      <c r="AF62" s="158">
        <f t="shared" ca="1" si="419"/>
        <v>0</v>
      </c>
      <c r="AG62" s="158">
        <f t="shared" ca="1" si="419"/>
        <v>0</v>
      </c>
      <c r="AH62" s="158">
        <f t="shared" ca="1" si="419"/>
        <v>0</v>
      </c>
      <c r="AI62" s="158"/>
      <c r="AJ62" s="158"/>
      <c r="AK62" s="158"/>
      <c r="AL62" s="158"/>
      <c r="AM62" s="158"/>
      <c r="AN62" s="158"/>
      <c r="AO62" s="158"/>
      <c r="AP62" s="158"/>
      <c r="AQ62" s="158"/>
      <c r="AR62" s="2416"/>
      <c r="AS62" s="158">
        <f t="shared" ref="AS62:AW62" ca="1" si="420">IF(AS$29=1,AS50,0)</f>
        <v>0</v>
      </c>
      <c r="AT62" s="158">
        <f t="shared" ca="1" si="420"/>
        <v>0</v>
      </c>
      <c r="AU62" s="158">
        <f t="shared" ca="1" si="420"/>
        <v>0</v>
      </c>
      <c r="AV62" s="158">
        <f t="shared" ca="1" si="420"/>
        <v>0</v>
      </c>
      <c r="AW62" s="158">
        <f t="shared" ca="1" si="420"/>
        <v>0</v>
      </c>
      <c r="AX62" s="158">
        <f t="shared" ref="AX62" si="421">IF(AX$29=1,AX50,0)</f>
        <v>0</v>
      </c>
      <c r="AY62" s="158">
        <f t="shared" ref="AY62:BI62" si="422">IF(AY$29=1,AY50,0)</f>
        <v>0</v>
      </c>
      <c r="AZ62" s="158">
        <f t="shared" ref="AZ62" si="423">IF(AZ$29=1,AZ50,0)</f>
        <v>0</v>
      </c>
      <c r="BA62" s="158">
        <f t="shared" si="422"/>
        <v>0</v>
      </c>
      <c r="BB62" s="158">
        <f t="shared" si="422"/>
        <v>0</v>
      </c>
      <c r="BC62" s="158">
        <f t="shared" si="422"/>
        <v>0</v>
      </c>
      <c r="BD62" s="158">
        <f t="shared" si="422"/>
        <v>0</v>
      </c>
      <c r="BE62" s="158">
        <f t="shared" si="422"/>
        <v>0</v>
      </c>
      <c r="BF62" s="158">
        <f t="shared" si="422"/>
        <v>0</v>
      </c>
      <c r="BG62" s="158">
        <f t="shared" si="422"/>
        <v>0</v>
      </c>
      <c r="BH62" s="158">
        <f t="shared" si="422"/>
        <v>0</v>
      </c>
      <c r="BI62" s="158">
        <f t="shared" si="422"/>
        <v>0</v>
      </c>
      <c r="BJ62" s="159"/>
      <c r="BK62" s="159"/>
      <c r="BL62" s="159"/>
      <c r="BM62" s="350">
        <f t="shared" ca="1" si="397"/>
        <v>0</v>
      </c>
      <c r="BN62" s="579">
        <f t="shared" ca="1" si="398"/>
        <v>0</v>
      </c>
      <c r="BO62" s="1089"/>
      <c r="BP62" s="1089"/>
      <c r="BQ62" s="1089"/>
      <c r="BR62" s="1089"/>
      <c r="BS62" s="1089"/>
      <c r="BT62" s="1089"/>
      <c r="BU62" s="1089"/>
      <c r="BV62" s="1089"/>
      <c r="BW62" s="1089"/>
      <c r="BX62" s="1089"/>
      <c r="BY62" s="1089"/>
      <c r="BZ62" s="1089"/>
    </row>
    <row r="63" spans="1:79" s="590" customFormat="1" ht="21.95" hidden="1" customHeight="1" x14ac:dyDescent="0.15">
      <c r="A63" s="2596"/>
      <c r="B63" s="2680"/>
      <c r="C63" s="591" t="s">
        <v>611</v>
      </c>
      <c r="D63" s="2010"/>
      <c r="E63" s="1530"/>
      <c r="F63" s="458">
        <f t="shared" si="399"/>
        <v>0</v>
      </c>
      <c r="G63" s="458">
        <f t="shared" ref="G63" ca="1" si="424">IF(G$29=1,G51,0)</f>
        <v>0</v>
      </c>
      <c r="H63" s="458">
        <f t="shared" ref="H63:I63" ca="1" si="425">IF(H$29=1,H51,0)</f>
        <v>0</v>
      </c>
      <c r="I63" s="458">
        <f t="shared" ca="1" si="425"/>
        <v>0</v>
      </c>
      <c r="J63" s="458"/>
      <c r="K63" s="458"/>
      <c r="L63" s="458"/>
      <c r="M63" s="458"/>
      <c r="N63" s="2450"/>
      <c r="O63" s="458">
        <f t="shared" ref="O63:V63" ca="1" si="426">IF(O$29=1,O51,0)</f>
        <v>0</v>
      </c>
      <c r="P63" s="458">
        <f t="shared" ca="1" si="426"/>
        <v>0</v>
      </c>
      <c r="Q63" s="458">
        <f t="shared" ca="1" si="426"/>
        <v>0</v>
      </c>
      <c r="R63" s="458">
        <f t="shared" ca="1" si="426"/>
        <v>0</v>
      </c>
      <c r="S63" s="458">
        <f t="shared" ca="1" si="426"/>
        <v>0</v>
      </c>
      <c r="T63" s="458">
        <f t="shared" ca="1" si="426"/>
        <v>0</v>
      </c>
      <c r="U63" s="458">
        <f t="shared" ca="1" si="426"/>
        <v>0</v>
      </c>
      <c r="V63" s="458">
        <f t="shared" ca="1" si="426"/>
        <v>0</v>
      </c>
      <c r="W63" s="458"/>
      <c r="X63" s="2450"/>
      <c r="Y63" s="458">
        <f t="shared" ref="Y63:AH63" ca="1" si="427">IF(Y$29=1,Y51,0)</f>
        <v>0</v>
      </c>
      <c r="Z63" s="458">
        <f t="shared" ca="1" si="427"/>
        <v>0</v>
      </c>
      <c r="AA63" s="458">
        <f t="shared" ca="1" si="427"/>
        <v>0</v>
      </c>
      <c r="AB63" s="458">
        <f t="shared" ca="1" si="427"/>
        <v>0</v>
      </c>
      <c r="AC63" s="458">
        <f t="shared" ca="1" si="427"/>
        <v>0</v>
      </c>
      <c r="AD63" s="458">
        <f t="shared" ca="1" si="427"/>
        <v>0</v>
      </c>
      <c r="AE63" s="458">
        <f t="shared" ca="1" si="427"/>
        <v>0</v>
      </c>
      <c r="AF63" s="458">
        <f t="shared" ca="1" si="427"/>
        <v>0</v>
      </c>
      <c r="AG63" s="458">
        <f t="shared" ca="1" si="427"/>
        <v>0</v>
      </c>
      <c r="AH63" s="458">
        <f t="shared" ca="1" si="427"/>
        <v>0</v>
      </c>
      <c r="AI63" s="458"/>
      <c r="AJ63" s="458"/>
      <c r="AK63" s="458"/>
      <c r="AL63" s="458"/>
      <c r="AM63" s="458"/>
      <c r="AN63" s="458"/>
      <c r="AO63" s="458"/>
      <c r="AP63" s="458"/>
      <c r="AQ63" s="458"/>
      <c r="AR63" s="2450"/>
      <c r="AS63" s="458">
        <f t="shared" ref="AS63:AW63" ca="1" si="428">IF(AS$29=1,AS51,0)</f>
        <v>0</v>
      </c>
      <c r="AT63" s="458">
        <f t="shared" ca="1" si="428"/>
        <v>0</v>
      </c>
      <c r="AU63" s="458">
        <f t="shared" ca="1" si="428"/>
        <v>0</v>
      </c>
      <c r="AV63" s="458">
        <f t="shared" ca="1" si="428"/>
        <v>0</v>
      </c>
      <c r="AW63" s="458">
        <f t="shared" ca="1" si="428"/>
        <v>0</v>
      </c>
      <c r="AX63" s="458">
        <f t="shared" ref="AX63" si="429">IF(AX$29=1,AX51,0)</f>
        <v>0</v>
      </c>
      <c r="AY63" s="458">
        <f t="shared" ref="AY63:BI63" si="430">IF(AY$29=1,AY51,0)</f>
        <v>0</v>
      </c>
      <c r="AZ63" s="458">
        <f t="shared" ref="AZ63" si="431">IF(AZ$29=1,AZ51,0)</f>
        <v>0</v>
      </c>
      <c r="BA63" s="458">
        <f t="shared" si="430"/>
        <v>0</v>
      </c>
      <c r="BB63" s="458">
        <f t="shared" si="430"/>
        <v>0</v>
      </c>
      <c r="BC63" s="458">
        <f t="shared" si="430"/>
        <v>0</v>
      </c>
      <c r="BD63" s="458">
        <f t="shared" si="430"/>
        <v>0</v>
      </c>
      <c r="BE63" s="458">
        <f t="shared" si="430"/>
        <v>0</v>
      </c>
      <c r="BF63" s="458">
        <f t="shared" si="430"/>
        <v>0</v>
      </c>
      <c r="BG63" s="458">
        <f t="shared" si="430"/>
        <v>0</v>
      </c>
      <c r="BH63" s="458">
        <f t="shared" si="430"/>
        <v>0</v>
      </c>
      <c r="BI63" s="458">
        <f t="shared" si="430"/>
        <v>0</v>
      </c>
      <c r="BJ63" s="457"/>
      <c r="BK63" s="457"/>
      <c r="BL63" s="457"/>
      <c r="BM63" s="597">
        <f t="shared" ca="1" si="397"/>
        <v>0</v>
      </c>
      <c r="BN63" s="579">
        <f t="shared" ca="1" si="398"/>
        <v>0</v>
      </c>
      <c r="BO63" s="1089"/>
      <c r="BP63" s="1089"/>
      <c r="BQ63" s="1089"/>
      <c r="BR63" s="1089"/>
      <c r="BS63" s="1089"/>
      <c r="BT63" s="1089"/>
      <c r="BU63" s="1089"/>
      <c r="BV63" s="1089"/>
      <c r="BW63" s="1089"/>
      <c r="BX63" s="1089"/>
      <c r="BY63" s="1089"/>
      <c r="BZ63" s="1089"/>
    </row>
    <row r="64" spans="1:79" s="590" customFormat="1" ht="21.95" customHeight="1" thickBot="1" x14ac:dyDescent="0.2">
      <c r="A64" s="2596"/>
      <c r="B64" s="2680"/>
      <c r="C64" s="591" t="s">
        <v>456</v>
      </c>
      <c r="D64" s="2004"/>
      <c r="E64" s="592"/>
      <c r="F64" s="158">
        <f t="shared" si="399"/>
        <v>0</v>
      </c>
      <c r="G64" s="158">
        <f t="shared" ref="G64" ca="1" si="432">IF(G$29=1,G52,0)</f>
        <v>241.57452540000151</v>
      </c>
      <c r="H64" s="158">
        <f t="shared" ref="H64:I64" ca="1" si="433">IF(H$29=1,H52,0)</f>
        <v>198.8181689999995</v>
      </c>
      <c r="I64" s="158">
        <f t="shared" ca="1" si="433"/>
        <v>173.35715759999897</v>
      </c>
      <c r="J64" s="158"/>
      <c r="K64" s="158"/>
      <c r="L64" s="158"/>
      <c r="M64" s="158"/>
      <c r="N64" s="2416"/>
      <c r="O64" s="158">
        <f t="shared" ref="O64:V64" ca="1" si="434">IF(O$29=1,O52,0)</f>
        <v>223.3544544000014</v>
      </c>
      <c r="P64" s="158">
        <f t="shared" ca="1" si="434"/>
        <v>293.35461187500232</v>
      </c>
      <c r="Q64" s="158">
        <f t="shared" ca="1" si="434"/>
        <v>313.97287920001145</v>
      </c>
      <c r="R64" s="158">
        <f t="shared" ca="1" si="434"/>
        <v>325.63873320001744</v>
      </c>
      <c r="S64" s="158">
        <f t="shared" ca="1" si="434"/>
        <v>311.27061240001569</v>
      </c>
      <c r="T64" s="158">
        <f t="shared" ca="1" si="434"/>
        <v>0</v>
      </c>
      <c r="U64" s="158">
        <f t="shared" ca="1" si="434"/>
        <v>0</v>
      </c>
      <c r="V64" s="158">
        <f t="shared" ca="1" si="434"/>
        <v>0</v>
      </c>
      <c r="W64" s="158"/>
      <c r="X64" s="2416"/>
      <c r="Y64" s="158">
        <f t="shared" ref="Y64:AH64" ca="1" si="435">IF(Y$29=1,Y52,0)</f>
        <v>0</v>
      </c>
      <c r="Z64" s="158">
        <f t="shared" ca="1" si="435"/>
        <v>317.36073240000434</v>
      </c>
      <c r="AA64" s="158">
        <f t="shared" ca="1" si="435"/>
        <v>319.09621680000623</v>
      </c>
      <c r="AB64" s="158">
        <f t="shared" ca="1" si="435"/>
        <v>317.01704400000824</v>
      </c>
      <c r="AC64" s="158">
        <f t="shared" ca="1" si="435"/>
        <v>0</v>
      </c>
      <c r="AD64" s="158">
        <f t="shared" ca="1" si="435"/>
        <v>0</v>
      </c>
      <c r="AE64" s="158">
        <f t="shared" ca="1" si="435"/>
        <v>0</v>
      </c>
      <c r="AF64" s="158">
        <f t="shared" ca="1" si="435"/>
        <v>0</v>
      </c>
      <c r="AG64" s="158">
        <f t="shared" ca="1" si="435"/>
        <v>0</v>
      </c>
      <c r="AH64" s="158">
        <f t="shared" ca="1" si="435"/>
        <v>0</v>
      </c>
      <c r="AI64" s="158"/>
      <c r="AJ64" s="158"/>
      <c r="AK64" s="158"/>
      <c r="AL64" s="158"/>
      <c r="AM64" s="158"/>
      <c r="AN64" s="158"/>
      <c r="AO64" s="158"/>
      <c r="AP64" s="158"/>
      <c r="AQ64" s="158"/>
      <c r="AR64" s="2416"/>
      <c r="AS64" s="158">
        <f t="shared" ref="AS64:AW64" ca="1" si="436">IF(AS$29=1,AS52,0)</f>
        <v>243.92774429999977</v>
      </c>
      <c r="AT64" s="158">
        <f t="shared" ca="1" si="436"/>
        <v>0</v>
      </c>
      <c r="AU64" s="158">
        <f t="shared" ca="1" si="436"/>
        <v>0</v>
      </c>
      <c r="AV64" s="158">
        <f t="shared" ca="1" si="436"/>
        <v>0</v>
      </c>
      <c r="AW64" s="158">
        <f t="shared" ca="1" si="436"/>
        <v>0</v>
      </c>
      <c r="AX64" s="158">
        <f t="shared" ref="AX64" si="437">IF(AX$29=1,AX52,0)</f>
        <v>0</v>
      </c>
      <c r="AY64" s="158">
        <f t="shared" ref="AY64:BI64" si="438">IF(AY$29=1,AY52,0)</f>
        <v>0</v>
      </c>
      <c r="AZ64" s="158">
        <f t="shared" ref="AZ64" si="439">IF(AZ$29=1,AZ52,0)</f>
        <v>0</v>
      </c>
      <c r="BA64" s="158">
        <f t="shared" si="438"/>
        <v>0</v>
      </c>
      <c r="BB64" s="158">
        <f t="shared" si="438"/>
        <v>0</v>
      </c>
      <c r="BC64" s="158">
        <f t="shared" si="438"/>
        <v>0</v>
      </c>
      <c r="BD64" s="158">
        <f t="shared" si="438"/>
        <v>0</v>
      </c>
      <c r="BE64" s="158">
        <f t="shared" si="438"/>
        <v>0</v>
      </c>
      <c r="BF64" s="158">
        <f t="shared" si="438"/>
        <v>0</v>
      </c>
      <c r="BG64" s="158">
        <f t="shared" si="438"/>
        <v>0</v>
      </c>
      <c r="BH64" s="158">
        <f t="shared" si="438"/>
        <v>0</v>
      </c>
      <c r="BI64" s="158">
        <f t="shared" si="438"/>
        <v>0</v>
      </c>
      <c r="BJ64" s="159"/>
      <c r="BK64" s="159"/>
      <c r="BL64" s="159"/>
      <c r="BM64" s="350">
        <f t="shared" ca="1" si="397"/>
        <v>3278.74</v>
      </c>
      <c r="BN64" s="579">
        <f t="shared" ca="1" si="398"/>
        <v>6557.4828805750676</v>
      </c>
      <c r="BO64" s="1089"/>
      <c r="BP64" s="1089"/>
      <c r="BQ64" s="1089"/>
      <c r="BR64" s="1089"/>
      <c r="BS64" s="1089"/>
      <c r="BT64" s="1089"/>
      <c r="BU64" s="1089"/>
      <c r="BV64" s="1089"/>
      <c r="BW64" s="1089"/>
      <c r="BX64" s="1089"/>
      <c r="BY64" s="1089"/>
      <c r="BZ64" s="1089"/>
    </row>
    <row r="65" spans="1:78" s="590" customFormat="1" ht="21.95" customHeight="1" thickBot="1" x14ac:dyDescent="0.2">
      <c r="A65" s="2596"/>
      <c r="B65" s="2679"/>
      <c r="C65" s="591" t="s">
        <v>449</v>
      </c>
      <c r="D65" s="2011"/>
      <c r="E65" s="1531"/>
      <c r="F65" s="596">
        <f t="shared" si="399"/>
        <v>0</v>
      </c>
      <c r="G65" s="596">
        <f t="shared" ref="G65" ca="1" si="440">IF(G$29=1,G53,0)</f>
        <v>0</v>
      </c>
      <c r="H65" s="596">
        <f t="shared" ref="H65:I65" ca="1" si="441">IF(H$29=1,H53,0)</f>
        <v>0</v>
      </c>
      <c r="I65" s="596">
        <f t="shared" ca="1" si="441"/>
        <v>0</v>
      </c>
      <c r="J65" s="596"/>
      <c r="K65" s="596"/>
      <c r="L65" s="596"/>
      <c r="M65" s="596"/>
      <c r="N65" s="2451"/>
      <c r="O65" s="596">
        <f t="shared" ref="O65:V65" ca="1" si="442">IF(O$29=1,O53,0)</f>
        <v>0</v>
      </c>
      <c r="P65" s="596">
        <f t="shared" ca="1" si="442"/>
        <v>0</v>
      </c>
      <c r="Q65" s="596">
        <f t="shared" ca="1" si="442"/>
        <v>0</v>
      </c>
      <c r="R65" s="596">
        <f t="shared" ca="1" si="442"/>
        <v>0</v>
      </c>
      <c r="S65" s="596">
        <f t="shared" ca="1" si="442"/>
        <v>0</v>
      </c>
      <c r="T65" s="596">
        <f t="shared" ca="1" si="442"/>
        <v>518.01742467603935</v>
      </c>
      <c r="U65" s="596">
        <f t="shared" ca="1" si="442"/>
        <v>516.16544309480253</v>
      </c>
      <c r="V65" s="596">
        <f t="shared" ca="1" si="442"/>
        <v>265.7878445732926</v>
      </c>
      <c r="W65" s="596"/>
      <c r="X65" s="2451"/>
      <c r="Y65" s="596">
        <f t="shared" ref="Y65:AH65" ca="1" si="443">IF(Y$29=1,Y53,0)</f>
        <v>290.96662603278747</v>
      </c>
      <c r="Z65" s="596">
        <f t="shared" ca="1" si="443"/>
        <v>0</v>
      </c>
      <c r="AA65" s="596">
        <f t="shared" ca="1" si="443"/>
        <v>0</v>
      </c>
      <c r="AB65" s="596">
        <f t="shared" ca="1" si="443"/>
        <v>0</v>
      </c>
      <c r="AC65" s="596">
        <f t="shared" ca="1" si="443"/>
        <v>285.47456874404537</v>
      </c>
      <c r="AD65" s="596">
        <f t="shared" ca="1" si="443"/>
        <v>276.24258200000617</v>
      </c>
      <c r="AE65" s="596">
        <f t="shared" ca="1" si="443"/>
        <v>277.02468000000772</v>
      </c>
      <c r="AF65" s="596">
        <f t="shared" ca="1" si="443"/>
        <v>476.26537165431915</v>
      </c>
      <c r="AG65" s="596">
        <f t="shared" ca="1" si="443"/>
        <v>514.2226021788764</v>
      </c>
      <c r="AH65" s="596">
        <f t="shared" ca="1" si="443"/>
        <v>574.94312248068763</v>
      </c>
      <c r="AI65" s="596"/>
      <c r="AJ65" s="596"/>
      <c r="AK65" s="596"/>
      <c r="AL65" s="596"/>
      <c r="AM65" s="596"/>
      <c r="AN65" s="596"/>
      <c r="AO65" s="596"/>
      <c r="AP65" s="596"/>
      <c r="AQ65" s="596"/>
      <c r="AR65" s="2451"/>
      <c r="AS65" s="596">
        <f t="shared" ref="AS65:AW65" ca="1" si="444">IF(AS$29=1,AS53,0)</f>
        <v>0</v>
      </c>
      <c r="AT65" s="596">
        <f t="shared" ca="1" si="444"/>
        <v>268.59278335999971</v>
      </c>
      <c r="AU65" s="596">
        <f t="shared" ca="1" si="444"/>
        <v>270.01853632000427</v>
      </c>
      <c r="AV65" s="596">
        <f t="shared" ca="1" si="444"/>
        <v>268.06096952000559</v>
      </c>
      <c r="AW65" s="596">
        <f t="shared" ca="1" si="444"/>
        <v>0</v>
      </c>
      <c r="AX65" s="596">
        <f t="shared" ref="AX65" si="445">IF(AX$29=1,AX53,0)</f>
        <v>0</v>
      </c>
      <c r="AY65" s="596">
        <f t="shared" ref="AY65:BI65" si="446">IF(AY$29=1,AY53,0)</f>
        <v>0</v>
      </c>
      <c r="AZ65" s="596">
        <f t="shared" ref="AZ65" si="447">IF(AZ$29=1,AZ53,0)</f>
        <v>0</v>
      </c>
      <c r="BA65" s="596">
        <f t="shared" si="446"/>
        <v>151.59772319999996</v>
      </c>
      <c r="BB65" s="596">
        <f t="shared" si="446"/>
        <v>0</v>
      </c>
      <c r="BC65" s="596">
        <f t="shared" si="446"/>
        <v>0</v>
      </c>
      <c r="BD65" s="596">
        <f t="shared" si="446"/>
        <v>0</v>
      </c>
      <c r="BE65" s="596">
        <f t="shared" si="446"/>
        <v>0</v>
      </c>
      <c r="BF65" s="596">
        <f t="shared" si="446"/>
        <v>0</v>
      </c>
      <c r="BG65" s="596">
        <f t="shared" si="446"/>
        <v>0</v>
      </c>
      <c r="BH65" s="596">
        <f t="shared" si="446"/>
        <v>0</v>
      </c>
      <c r="BI65" s="596">
        <f t="shared" si="446"/>
        <v>0</v>
      </c>
      <c r="BJ65" s="422"/>
      <c r="BK65" s="422"/>
      <c r="BL65" s="422"/>
      <c r="BM65" s="507">
        <f t="shared" ca="1" si="397"/>
        <v>4953.38</v>
      </c>
      <c r="BN65" s="579">
        <f t="shared" ca="1" si="398"/>
        <v>9906.7602778348737</v>
      </c>
      <c r="BO65" s="1089"/>
      <c r="BP65" s="1089"/>
      <c r="BQ65" s="1089"/>
      <c r="BR65" s="1089"/>
      <c r="BS65" s="1089"/>
      <c r="BT65" s="1089"/>
      <c r="BU65" s="1089"/>
      <c r="BV65" s="1089"/>
      <c r="BW65" s="1089"/>
      <c r="BX65" s="1089"/>
      <c r="BY65" s="1089"/>
      <c r="BZ65" s="1089"/>
    </row>
    <row r="66" spans="1:78" s="590" customFormat="1" ht="21.95" hidden="1" customHeight="1" thickBot="1" x14ac:dyDescent="0.2">
      <c r="A66" s="2596"/>
      <c r="B66" s="2680"/>
      <c r="C66" s="594" t="s">
        <v>450</v>
      </c>
      <c r="D66" s="2010"/>
      <c r="E66" s="1530"/>
      <c r="F66" s="458">
        <f t="shared" si="399"/>
        <v>0</v>
      </c>
      <c r="G66" s="458">
        <f t="shared" ref="G66" ca="1" si="448">IF(G$29=1,G54,0)</f>
        <v>0</v>
      </c>
      <c r="H66" s="458">
        <f t="shared" ref="H66:I66" ca="1" si="449">IF(H$29=1,H54,0)</f>
        <v>0</v>
      </c>
      <c r="I66" s="458">
        <f t="shared" ca="1" si="449"/>
        <v>0</v>
      </c>
      <c r="J66" s="458"/>
      <c r="K66" s="458"/>
      <c r="L66" s="458"/>
      <c r="M66" s="458"/>
      <c r="N66" s="2450"/>
      <c r="O66" s="458">
        <f t="shared" ref="O66:V66" ca="1" si="450">IF(O$29=1,O54,0)</f>
        <v>0</v>
      </c>
      <c r="P66" s="458">
        <f t="shared" ca="1" si="450"/>
        <v>0</v>
      </c>
      <c r="Q66" s="458">
        <f t="shared" ca="1" si="450"/>
        <v>0</v>
      </c>
      <c r="R66" s="458">
        <f t="shared" ca="1" si="450"/>
        <v>0</v>
      </c>
      <c r="S66" s="458">
        <f t="shared" ca="1" si="450"/>
        <v>0</v>
      </c>
      <c r="T66" s="458">
        <f t="shared" ca="1" si="450"/>
        <v>0</v>
      </c>
      <c r="U66" s="458">
        <f t="shared" ca="1" si="450"/>
        <v>0</v>
      </c>
      <c r="V66" s="458">
        <f t="shared" ca="1" si="450"/>
        <v>0</v>
      </c>
      <c r="W66" s="458"/>
      <c r="X66" s="2450"/>
      <c r="Y66" s="458">
        <f t="shared" ref="Y66:AH66" ca="1" si="451">IF(Y$29=1,Y54,0)</f>
        <v>0</v>
      </c>
      <c r="Z66" s="458">
        <f t="shared" ca="1" si="451"/>
        <v>0</v>
      </c>
      <c r="AA66" s="458">
        <f t="shared" ca="1" si="451"/>
        <v>0</v>
      </c>
      <c r="AB66" s="458">
        <f t="shared" ca="1" si="451"/>
        <v>0</v>
      </c>
      <c r="AC66" s="458">
        <f t="shared" ca="1" si="451"/>
        <v>0</v>
      </c>
      <c r="AD66" s="458">
        <f t="shared" ca="1" si="451"/>
        <v>0</v>
      </c>
      <c r="AE66" s="458">
        <f t="shared" ca="1" si="451"/>
        <v>0</v>
      </c>
      <c r="AF66" s="458">
        <f t="shared" ca="1" si="451"/>
        <v>0</v>
      </c>
      <c r="AG66" s="458">
        <f t="shared" ca="1" si="451"/>
        <v>0</v>
      </c>
      <c r="AH66" s="458">
        <f t="shared" ca="1" si="451"/>
        <v>0</v>
      </c>
      <c r="AI66" s="458"/>
      <c r="AJ66" s="458"/>
      <c r="AK66" s="458"/>
      <c r="AL66" s="458"/>
      <c r="AM66" s="458"/>
      <c r="AN66" s="458"/>
      <c r="AO66" s="458"/>
      <c r="AP66" s="458"/>
      <c r="AQ66" s="458"/>
      <c r="AR66" s="2450"/>
      <c r="AS66" s="458">
        <f t="shared" ref="AS66:AW66" ca="1" si="452">IF(AS$29=1,AS54,0)</f>
        <v>0</v>
      </c>
      <c r="AT66" s="458">
        <f t="shared" ca="1" si="452"/>
        <v>0</v>
      </c>
      <c r="AU66" s="458">
        <f t="shared" ca="1" si="452"/>
        <v>0</v>
      </c>
      <c r="AV66" s="458">
        <f t="shared" ca="1" si="452"/>
        <v>0</v>
      </c>
      <c r="AW66" s="458">
        <f t="shared" ca="1" si="452"/>
        <v>0</v>
      </c>
      <c r="AX66" s="458">
        <f t="shared" ref="AX66" si="453">IF(AX$29=1,AX54,0)</f>
        <v>0</v>
      </c>
      <c r="AY66" s="458">
        <f t="shared" ref="AY66:BI66" si="454">IF(AY$29=1,AY54,0)</f>
        <v>0</v>
      </c>
      <c r="AZ66" s="458">
        <f t="shared" ref="AZ66" si="455">IF(AZ$29=1,AZ54,0)</f>
        <v>0</v>
      </c>
      <c r="BA66" s="458">
        <f t="shared" si="454"/>
        <v>0</v>
      </c>
      <c r="BB66" s="458">
        <f t="shared" si="454"/>
        <v>0</v>
      </c>
      <c r="BC66" s="458">
        <f t="shared" si="454"/>
        <v>0</v>
      </c>
      <c r="BD66" s="458">
        <f t="shared" si="454"/>
        <v>0</v>
      </c>
      <c r="BE66" s="458">
        <f t="shared" si="454"/>
        <v>0</v>
      </c>
      <c r="BF66" s="458">
        <f t="shared" si="454"/>
        <v>0</v>
      </c>
      <c r="BG66" s="458">
        <f t="shared" si="454"/>
        <v>0</v>
      </c>
      <c r="BH66" s="458">
        <f t="shared" si="454"/>
        <v>0</v>
      </c>
      <c r="BI66" s="458">
        <f t="shared" si="454"/>
        <v>0</v>
      </c>
      <c r="BJ66" s="159"/>
      <c r="BK66" s="159"/>
      <c r="BL66" s="159"/>
      <c r="BM66" s="350">
        <f t="shared" ca="1" si="397"/>
        <v>0</v>
      </c>
      <c r="BN66" s="579">
        <f t="shared" ca="1" si="398"/>
        <v>0</v>
      </c>
      <c r="BO66" s="1089"/>
      <c r="BP66" s="1089"/>
      <c r="BQ66" s="1089"/>
      <c r="BR66" s="1089"/>
      <c r="BS66" s="1089"/>
      <c r="BT66" s="1089"/>
      <c r="BU66" s="1089"/>
      <c r="BV66" s="1089"/>
      <c r="BW66" s="1089"/>
      <c r="BX66" s="1089"/>
      <c r="BY66" s="1089"/>
      <c r="BZ66" s="1089"/>
    </row>
    <row r="67" spans="1:78" s="590" customFormat="1" ht="21.95" customHeight="1" thickBot="1" x14ac:dyDescent="0.2">
      <c r="A67" s="2596"/>
      <c r="B67" s="2679"/>
      <c r="C67" s="591" t="s">
        <v>451</v>
      </c>
      <c r="D67" s="2011"/>
      <c r="E67" s="1531"/>
      <c r="F67" s="596">
        <f t="shared" si="399"/>
        <v>0</v>
      </c>
      <c r="G67" s="596">
        <f t="shared" ref="G67" ca="1" si="456">IF(G$29=1,G55,0)</f>
        <v>0</v>
      </c>
      <c r="H67" s="596">
        <f t="shared" ref="H67:I67" ca="1" si="457">IF(H$29=1,H55,0)</f>
        <v>0</v>
      </c>
      <c r="I67" s="596">
        <f t="shared" ca="1" si="457"/>
        <v>0</v>
      </c>
      <c r="J67" s="596"/>
      <c r="K67" s="596"/>
      <c r="L67" s="596"/>
      <c r="M67" s="596"/>
      <c r="N67" s="2451"/>
      <c r="O67" s="596">
        <f t="shared" ref="O67:V67" ca="1" si="458">IF(O$29=1,O55,0)</f>
        <v>0</v>
      </c>
      <c r="P67" s="596">
        <f t="shared" ca="1" si="458"/>
        <v>0</v>
      </c>
      <c r="Q67" s="596">
        <f t="shared" ca="1" si="458"/>
        <v>0</v>
      </c>
      <c r="R67" s="596">
        <f t="shared" ca="1" si="458"/>
        <v>0</v>
      </c>
      <c r="S67" s="596">
        <f t="shared" ca="1" si="458"/>
        <v>0</v>
      </c>
      <c r="T67" s="596">
        <f t="shared" ca="1" si="458"/>
        <v>0</v>
      </c>
      <c r="U67" s="596">
        <f t="shared" ca="1" si="458"/>
        <v>0</v>
      </c>
      <c r="V67" s="596">
        <f t="shared" ca="1" si="458"/>
        <v>0</v>
      </c>
      <c r="W67" s="596"/>
      <c r="X67" s="2451"/>
      <c r="Y67" s="596">
        <f t="shared" ref="Y67:AH67" ca="1" si="459">IF(Y$29=1,Y55,0)</f>
        <v>0</v>
      </c>
      <c r="Z67" s="596">
        <f t="shared" ca="1" si="459"/>
        <v>0</v>
      </c>
      <c r="AA67" s="596">
        <f t="shared" ca="1" si="459"/>
        <v>0</v>
      </c>
      <c r="AB67" s="596">
        <f t="shared" ca="1" si="459"/>
        <v>0</v>
      </c>
      <c r="AC67" s="596">
        <f t="shared" ca="1" si="459"/>
        <v>0</v>
      </c>
      <c r="AD67" s="596">
        <f t="shared" ca="1" si="459"/>
        <v>0</v>
      </c>
      <c r="AE67" s="596">
        <f t="shared" ca="1" si="459"/>
        <v>0</v>
      </c>
      <c r="AF67" s="596">
        <f t="shared" ca="1" si="459"/>
        <v>0</v>
      </c>
      <c r="AG67" s="596">
        <f t="shared" ca="1" si="459"/>
        <v>0</v>
      </c>
      <c r="AH67" s="596">
        <f t="shared" ca="1" si="459"/>
        <v>0</v>
      </c>
      <c r="AI67" s="596"/>
      <c r="AJ67" s="596"/>
      <c r="AK67" s="596"/>
      <c r="AL67" s="596"/>
      <c r="AM67" s="596"/>
      <c r="AN67" s="596"/>
      <c r="AO67" s="596"/>
      <c r="AP67" s="596"/>
      <c r="AQ67" s="596"/>
      <c r="AR67" s="2451"/>
      <c r="AS67" s="596">
        <f t="shared" ref="AS67:AW67" ca="1" si="460">IF(AS$29=1,AS55,0)</f>
        <v>0</v>
      </c>
      <c r="AT67" s="596">
        <f t="shared" ca="1" si="460"/>
        <v>0</v>
      </c>
      <c r="AU67" s="596">
        <f t="shared" ca="1" si="460"/>
        <v>0</v>
      </c>
      <c r="AV67" s="596">
        <f t="shared" ca="1" si="460"/>
        <v>0</v>
      </c>
      <c r="AW67" s="596">
        <f t="shared" ca="1" si="460"/>
        <v>515.21081217846211</v>
      </c>
      <c r="AX67" s="596">
        <f t="shared" ref="AX67" si="461">IF(AX$29=1,AX55,0)</f>
        <v>0</v>
      </c>
      <c r="AY67" s="596">
        <f t="shared" ref="AY67:BI67" si="462">IF(AY$29=1,AY55,0)</f>
        <v>0</v>
      </c>
      <c r="AZ67" s="596">
        <f t="shared" ref="AZ67" si="463">IF(AZ$29=1,AZ55,0)</f>
        <v>0</v>
      </c>
      <c r="BA67" s="596">
        <f t="shared" si="462"/>
        <v>0</v>
      </c>
      <c r="BB67" s="596">
        <f t="shared" si="462"/>
        <v>0</v>
      </c>
      <c r="BC67" s="596">
        <f t="shared" si="462"/>
        <v>0</v>
      </c>
      <c r="BD67" s="596">
        <f t="shared" si="462"/>
        <v>0</v>
      </c>
      <c r="BE67" s="596">
        <f t="shared" si="462"/>
        <v>0</v>
      </c>
      <c r="BF67" s="596">
        <f t="shared" si="462"/>
        <v>0</v>
      </c>
      <c r="BG67" s="596">
        <f t="shared" si="462"/>
        <v>0</v>
      </c>
      <c r="BH67" s="596">
        <f t="shared" si="462"/>
        <v>0</v>
      </c>
      <c r="BI67" s="596">
        <f t="shared" si="462"/>
        <v>0</v>
      </c>
      <c r="BJ67" s="422"/>
      <c r="BK67" s="422"/>
      <c r="BL67" s="422"/>
      <c r="BM67" s="507">
        <f t="shared" ca="1" si="397"/>
        <v>515.21</v>
      </c>
      <c r="BN67" s="579">
        <f t="shared" ca="1" si="398"/>
        <v>1030.4208121784623</v>
      </c>
      <c r="BO67" s="1089"/>
      <c r="BP67" s="1089"/>
      <c r="BQ67" s="1089"/>
      <c r="BR67" s="1089"/>
      <c r="BS67" s="1089"/>
      <c r="BT67" s="1089"/>
      <c r="BU67" s="1089"/>
      <c r="BV67" s="1089"/>
      <c r="BW67" s="1089"/>
      <c r="BX67" s="1089"/>
      <c r="BY67" s="1089"/>
      <c r="BZ67" s="1089"/>
    </row>
    <row r="68" spans="1:78" s="590" customFormat="1" ht="21.95" hidden="1" customHeight="1" x14ac:dyDescent="0.15">
      <c r="A68" s="2596"/>
      <c r="B68" s="2680"/>
      <c r="C68" s="591" t="s">
        <v>452</v>
      </c>
      <c r="D68" s="2010"/>
      <c r="E68" s="1530"/>
      <c r="F68" s="458">
        <f t="shared" si="399"/>
        <v>0</v>
      </c>
      <c r="G68" s="458">
        <f t="shared" ref="G68" ca="1" si="464">IF(G$29=1,G56,0)</f>
        <v>0</v>
      </c>
      <c r="H68" s="458">
        <f t="shared" ref="H68:I68" ca="1" si="465">IF(H$29=1,H56,0)</f>
        <v>0</v>
      </c>
      <c r="I68" s="458">
        <f t="shared" ca="1" si="465"/>
        <v>0</v>
      </c>
      <c r="J68" s="458"/>
      <c r="K68" s="458"/>
      <c r="L68" s="458"/>
      <c r="M68" s="458"/>
      <c r="N68" s="2450"/>
      <c r="O68" s="458">
        <f t="shared" ref="O68:V68" ca="1" si="466">IF(O$29=1,O56,0)</f>
        <v>0</v>
      </c>
      <c r="P68" s="458">
        <f t="shared" ca="1" si="466"/>
        <v>0</v>
      </c>
      <c r="Q68" s="458">
        <f t="shared" ca="1" si="466"/>
        <v>0</v>
      </c>
      <c r="R68" s="458">
        <f t="shared" ca="1" si="466"/>
        <v>0</v>
      </c>
      <c r="S68" s="458">
        <f t="shared" ca="1" si="466"/>
        <v>0</v>
      </c>
      <c r="T68" s="458">
        <f t="shared" ca="1" si="466"/>
        <v>0</v>
      </c>
      <c r="U68" s="458">
        <f t="shared" ca="1" si="466"/>
        <v>0</v>
      </c>
      <c r="V68" s="458">
        <f t="shared" ca="1" si="466"/>
        <v>0</v>
      </c>
      <c r="W68" s="458"/>
      <c r="X68" s="2450"/>
      <c r="Y68" s="458">
        <f t="shared" ref="Y68:AH68" ca="1" si="467">IF(Y$29=1,Y56,0)</f>
        <v>0</v>
      </c>
      <c r="Z68" s="458">
        <f t="shared" ca="1" si="467"/>
        <v>0</v>
      </c>
      <c r="AA68" s="458">
        <f t="shared" ca="1" si="467"/>
        <v>0</v>
      </c>
      <c r="AB68" s="458">
        <f t="shared" ca="1" si="467"/>
        <v>0</v>
      </c>
      <c r="AC68" s="458">
        <f t="shared" ca="1" si="467"/>
        <v>0</v>
      </c>
      <c r="AD68" s="458">
        <f t="shared" ca="1" si="467"/>
        <v>0</v>
      </c>
      <c r="AE68" s="458">
        <f t="shared" ca="1" si="467"/>
        <v>0</v>
      </c>
      <c r="AF68" s="458">
        <f t="shared" ca="1" si="467"/>
        <v>0</v>
      </c>
      <c r="AG68" s="458">
        <f t="shared" ca="1" si="467"/>
        <v>0</v>
      </c>
      <c r="AH68" s="458">
        <f t="shared" ca="1" si="467"/>
        <v>0</v>
      </c>
      <c r="AI68" s="458"/>
      <c r="AJ68" s="458"/>
      <c r="AK68" s="458"/>
      <c r="AL68" s="458"/>
      <c r="AM68" s="458"/>
      <c r="AN68" s="458"/>
      <c r="AO68" s="458"/>
      <c r="AP68" s="458"/>
      <c r="AQ68" s="458"/>
      <c r="AR68" s="2450"/>
      <c r="AS68" s="458">
        <f t="shared" ref="AS68:AW68" ca="1" si="468">IF(AS$29=1,AS56,0)</f>
        <v>0</v>
      </c>
      <c r="AT68" s="458">
        <f t="shared" ca="1" si="468"/>
        <v>0</v>
      </c>
      <c r="AU68" s="458">
        <f t="shared" ca="1" si="468"/>
        <v>0</v>
      </c>
      <c r="AV68" s="458">
        <f t="shared" ca="1" si="468"/>
        <v>0</v>
      </c>
      <c r="AW68" s="458">
        <f t="shared" ca="1" si="468"/>
        <v>0</v>
      </c>
      <c r="AX68" s="458">
        <f t="shared" ref="AX68" si="469">IF(AX$29=1,AX56,0)</f>
        <v>0</v>
      </c>
      <c r="AY68" s="458">
        <f t="shared" ref="AY68:BI68" si="470">IF(AY$29=1,AY56,0)</f>
        <v>0</v>
      </c>
      <c r="AZ68" s="458">
        <f t="shared" ref="AZ68" si="471">IF(AZ$29=1,AZ56,0)</f>
        <v>0</v>
      </c>
      <c r="BA68" s="458">
        <f t="shared" si="470"/>
        <v>0</v>
      </c>
      <c r="BB68" s="458">
        <f t="shared" si="470"/>
        <v>0</v>
      </c>
      <c r="BC68" s="458">
        <f t="shared" si="470"/>
        <v>0</v>
      </c>
      <c r="BD68" s="458">
        <f t="shared" si="470"/>
        <v>0</v>
      </c>
      <c r="BE68" s="458">
        <f t="shared" si="470"/>
        <v>0</v>
      </c>
      <c r="BF68" s="458">
        <f t="shared" si="470"/>
        <v>0</v>
      </c>
      <c r="BG68" s="458">
        <f t="shared" si="470"/>
        <v>0</v>
      </c>
      <c r="BH68" s="458">
        <f t="shared" si="470"/>
        <v>0</v>
      </c>
      <c r="BI68" s="458">
        <f t="shared" si="470"/>
        <v>0</v>
      </c>
      <c r="BJ68" s="457"/>
      <c r="BK68" s="457"/>
      <c r="BL68" s="457"/>
      <c r="BM68" s="597">
        <f t="shared" ca="1" si="397"/>
        <v>0</v>
      </c>
      <c r="BN68" s="579">
        <f t="shared" ca="1" si="398"/>
        <v>0</v>
      </c>
      <c r="BO68" s="1089"/>
      <c r="BP68" s="1089"/>
      <c r="BQ68" s="1089"/>
      <c r="BR68" s="1089"/>
      <c r="BS68" s="1089"/>
      <c r="BT68" s="1089"/>
      <c r="BU68" s="1089"/>
      <c r="BV68" s="1089"/>
      <c r="BW68" s="1089"/>
      <c r="BX68" s="1089"/>
      <c r="BY68" s="1089"/>
      <c r="BZ68" s="1089"/>
    </row>
    <row r="69" spans="1:78" s="590" customFormat="1" ht="21.95" hidden="1" customHeight="1" thickBot="1" x14ac:dyDescent="0.2">
      <c r="A69" s="2596"/>
      <c r="B69" s="2681"/>
      <c r="C69" s="929" t="s">
        <v>453</v>
      </c>
      <c r="D69" s="2005"/>
      <c r="E69" s="1523"/>
      <c r="F69" s="239">
        <f t="shared" si="399"/>
        <v>0</v>
      </c>
      <c r="G69" s="239">
        <f t="shared" ref="G69" ca="1" si="472">IF(G$29=1,G57,0)</f>
        <v>0</v>
      </c>
      <c r="H69" s="239">
        <f t="shared" ref="H69:I69" ca="1" si="473">IF(H$29=1,H57,0)</f>
        <v>0</v>
      </c>
      <c r="I69" s="239">
        <f t="shared" ca="1" si="473"/>
        <v>0</v>
      </c>
      <c r="J69" s="239"/>
      <c r="K69" s="239"/>
      <c r="L69" s="239"/>
      <c r="M69" s="239"/>
      <c r="N69" s="2440"/>
      <c r="O69" s="239">
        <f t="shared" ref="O69:V69" ca="1" si="474">IF(O$29=1,O57,0)</f>
        <v>0</v>
      </c>
      <c r="P69" s="239">
        <f t="shared" ca="1" si="474"/>
        <v>0</v>
      </c>
      <c r="Q69" s="239">
        <f t="shared" ca="1" si="474"/>
        <v>0</v>
      </c>
      <c r="R69" s="239">
        <f t="shared" ca="1" si="474"/>
        <v>0</v>
      </c>
      <c r="S69" s="239">
        <f t="shared" ca="1" si="474"/>
        <v>0</v>
      </c>
      <c r="T69" s="239">
        <f t="shared" ca="1" si="474"/>
        <v>0</v>
      </c>
      <c r="U69" s="239">
        <f t="shared" ca="1" si="474"/>
        <v>0</v>
      </c>
      <c r="V69" s="239">
        <f t="shared" ca="1" si="474"/>
        <v>0</v>
      </c>
      <c r="W69" s="239"/>
      <c r="X69" s="2440"/>
      <c r="Y69" s="239">
        <f t="shared" ref="Y69:AH69" ca="1" si="475">IF(Y$29=1,Y57,0)</f>
        <v>0</v>
      </c>
      <c r="Z69" s="239">
        <f t="shared" ca="1" si="475"/>
        <v>0</v>
      </c>
      <c r="AA69" s="239">
        <f t="shared" ca="1" si="475"/>
        <v>0</v>
      </c>
      <c r="AB69" s="239">
        <f t="shared" ca="1" si="475"/>
        <v>0</v>
      </c>
      <c r="AC69" s="239">
        <f t="shared" ca="1" si="475"/>
        <v>0</v>
      </c>
      <c r="AD69" s="239">
        <f t="shared" ca="1" si="475"/>
        <v>0</v>
      </c>
      <c r="AE69" s="239">
        <f t="shared" ca="1" si="475"/>
        <v>0</v>
      </c>
      <c r="AF69" s="239">
        <f t="shared" ca="1" si="475"/>
        <v>0</v>
      </c>
      <c r="AG69" s="239">
        <f t="shared" ca="1" si="475"/>
        <v>0</v>
      </c>
      <c r="AH69" s="239">
        <f t="shared" ca="1" si="475"/>
        <v>0</v>
      </c>
      <c r="AI69" s="239"/>
      <c r="AJ69" s="239"/>
      <c r="AK69" s="239"/>
      <c r="AL69" s="239"/>
      <c r="AM69" s="239"/>
      <c r="AN69" s="239"/>
      <c r="AO69" s="239"/>
      <c r="AP69" s="239"/>
      <c r="AQ69" s="239"/>
      <c r="AR69" s="2440"/>
      <c r="AS69" s="239">
        <f t="shared" ref="AS69:AW69" ca="1" si="476">IF(AS$29=1,AS57,0)</f>
        <v>0</v>
      </c>
      <c r="AT69" s="239">
        <f t="shared" ca="1" si="476"/>
        <v>0</v>
      </c>
      <c r="AU69" s="239">
        <f t="shared" ca="1" si="476"/>
        <v>0</v>
      </c>
      <c r="AV69" s="239">
        <f t="shared" ca="1" si="476"/>
        <v>0</v>
      </c>
      <c r="AW69" s="239">
        <f t="shared" ca="1" si="476"/>
        <v>0</v>
      </c>
      <c r="AX69" s="239">
        <f t="shared" ref="AX69" si="477">IF(AX$29=1,AX57,0)</f>
        <v>0</v>
      </c>
      <c r="AY69" s="239">
        <f t="shared" ref="AY69:BI69" si="478">IF(AY$29=1,AY57,0)</f>
        <v>0</v>
      </c>
      <c r="AZ69" s="239">
        <f t="shared" ref="AZ69" si="479">IF(AZ$29=1,AZ57,0)</f>
        <v>0</v>
      </c>
      <c r="BA69" s="239">
        <f t="shared" si="478"/>
        <v>0</v>
      </c>
      <c r="BB69" s="239">
        <f t="shared" si="478"/>
        <v>0</v>
      </c>
      <c r="BC69" s="239">
        <f t="shared" si="478"/>
        <v>0</v>
      </c>
      <c r="BD69" s="239">
        <f t="shared" si="478"/>
        <v>0</v>
      </c>
      <c r="BE69" s="239">
        <f t="shared" si="478"/>
        <v>0</v>
      </c>
      <c r="BF69" s="239">
        <f t="shared" si="478"/>
        <v>0</v>
      </c>
      <c r="BG69" s="239">
        <f t="shared" si="478"/>
        <v>0</v>
      </c>
      <c r="BH69" s="239">
        <f t="shared" si="478"/>
        <v>0</v>
      </c>
      <c r="BI69" s="239">
        <f t="shared" si="478"/>
        <v>0</v>
      </c>
      <c r="BJ69" s="237"/>
      <c r="BK69" s="237"/>
      <c r="BL69" s="237"/>
      <c r="BM69" s="361">
        <f t="shared" ca="1" si="397"/>
        <v>0</v>
      </c>
      <c r="BN69" s="579">
        <f t="shared" ca="1" si="398"/>
        <v>0</v>
      </c>
      <c r="BO69" s="1089"/>
      <c r="BP69" s="1089"/>
      <c r="BQ69" s="1089"/>
      <c r="BR69" s="1089"/>
      <c r="BS69" s="1089"/>
      <c r="BT69" s="1089"/>
      <c r="BU69" s="1089"/>
      <c r="BV69" s="1089"/>
      <c r="BW69" s="1089"/>
      <c r="BX69" s="1089"/>
      <c r="BY69" s="1089"/>
      <c r="BZ69" s="1089"/>
    </row>
    <row r="70" spans="1:78" s="590" customFormat="1" ht="21.95" hidden="1" customHeight="1" x14ac:dyDescent="0.15">
      <c r="A70" s="2596"/>
      <c r="B70" s="2679" t="s">
        <v>1104</v>
      </c>
      <c r="C70" s="598" t="s">
        <v>447</v>
      </c>
      <c r="D70" s="2010"/>
      <c r="E70" s="1530"/>
      <c r="F70" s="458">
        <f t="shared" ref="F70:F79" si="480">IF(F$29=2,F48,0)</f>
        <v>0</v>
      </c>
      <c r="G70" s="458">
        <f t="shared" ref="G70" si="481">IF(G$29=2,G48,0)</f>
        <v>0</v>
      </c>
      <c r="H70" s="458">
        <f t="shared" ref="H70:I70" si="482">IF(H$29=2,H48,0)</f>
        <v>0</v>
      </c>
      <c r="I70" s="458">
        <f t="shared" si="482"/>
        <v>0</v>
      </c>
      <c r="J70" s="458"/>
      <c r="K70" s="458"/>
      <c r="L70" s="458"/>
      <c r="M70" s="458"/>
      <c r="N70" s="2450"/>
      <c r="O70" s="458">
        <f t="shared" ref="O70:V70" si="483">IF(O$29=2,O48,0)</f>
        <v>0</v>
      </c>
      <c r="P70" s="458">
        <f t="shared" si="483"/>
        <v>0</v>
      </c>
      <c r="Q70" s="458">
        <f t="shared" si="483"/>
        <v>0</v>
      </c>
      <c r="R70" s="458">
        <f t="shared" si="483"/>
        <v>0</v>
      </c>
      <c r="S70" s="458">
        <f t="shared" si="483"/>
        <v>0</v>
      </c>
      <c r="T70" s="458">
        <f t="shared" si="483"/>
        <v>0</v>
      </c>
      <c r="U70" s="458">
        <f t="shared" si="483"/>
        <v>0</v>
      </c>
      <c r="V70" s="458">
        <f t="shared" si="483"/>
        <v>0</v>
      </c>
      <c r="W70" s="458"/>
      <c r="X70" s="2450"/>
      <c r="Y70" s="458">
        <f t="shared" ref="Y70:AH70" si="484">IF(Y$29=2,Y48,0)</f>
        <v>0</v>
      </c>
      <c r="Z70" s="458">
        <f t="shared" si="484"/>
        <v>0</v>
      </c>
      <c r="AA70" s="458">
        <f t="shared" si="484"/>
        <v>0</v>
      </c>
      <c r="AB70" s="458">
        <f t="shared" si="484"/>
        <v>0</v>
      </c>
      <c r="AC70" s="458">
        <f t="shared" si="484"/>
        <v>0</v>
      </c>
      <c r="AD70" s="458">
        <f t="shared" si="484"/>
        <v>0</v>
      </c>
      <c r="AE70" s="458">
        <f t="shared" si="484"/>
        <v>0</v>
      </c>
      <c r="AF70" s="458">
        <f t="shared" si="484"/>
        <v>0</v>
      </c>
      <c r="AG70" s="458">
        <f t="shared" si="484"/>
        <v>0</v>
      </c>
      <c r="AH70" s="458">
        <f t="shared" si="484"/>
        <v>0</v>
      </c>
      <c r="AI70" s="458"/>
      <c r="AJ70" s="458"/>
      <c r="AK70" s="458"/>
      <c r="AL70" s="458"/>
      <c r="AM70" s="458"/>
      <c r="AN70" s="458"/>
      <c r="AO70" s="458"/>
      <c r="AP70" s="458"/>
      <c r="AQ70" s="458"/>
      <c r="AR70" s="2450"/>
      <c r="AS70" s="458">
        <f t="shared" ref="AS70:AW70" si="485">IF(AS$29=2,AS48,0)</f>
        <v>0</v>
      </c>
      <c r="AT70" s="458">
        <f t="shared" si="485"/>
        <v>0</v>
      </c>
      <c r="AU70" s="458">
        <f t="shared" si="485"/>
        <v>0</v>
      </c>
      <c r="AV70" s="458">
        <f t="shared" si="485"/>
        <v>0</v>
      </c>
      <c r="AW70" s="458">
        <f t="shared" si="485"/>
        <v>0</v>
      </c>
      <c r="AX70" s="458">
        <f t="shared" ref="AX70" si="486">IF(AX$29=2,AX48,0)</f>
        <v>0</v>
      </c>
      <c r="AY70" s="458">
        <f t="shared" ref="AY70:BI70" si="487">IF(AY$29=2,AY48,0)</f>
        <v>0</v>
      </c>
      <c r="AZ70" s="458">
        <f t="shared" ref="AZ70" si="488">IF(AZ$29=2,AZ48,0)</f>
        <v>0</v>
      </c>
      <c r="BA70" s="458">
        <f t="shared" si="487"/>
        <v>0</v>
      </c>
      <c r="BB70" s="458">
        <f t="shared" si="487"/>
        <v>0</v>
      </c>
      <c r="BC70" s="458">
        <f t="shared" si="487"/>
        <v>0</v>
      </c>
      <c r="BD70" s="458">
        <f t="shared" si="487"/>
        <v>0</v>
      </c>
      <c r="BE70" s="458">
        <f t="shared" si="487"/>
        <v>0</v>
      </c>
      <c r="BF70" s="458">
        <f t="shared" si="487"/>
        <v>0</v>
      </c>
      <c r="BG70" s="458">
        <f t="shared" si="487"/>
        <v>0</v>
      </c>
      <c r="BH70" s="458">
        <f t="shared" si="487"/>
        <v>0</v>
      </c>
      <c r="BI70" s="458">
        <f t="shared" si="487"/>
        <v>0</v>
      </c>
      <c r="BJ70" s="458"/>
      <c r="BK70" s="458"/>
      <c r="BL70" s="458"/>
      <c r="BM70" s="597">
        <f t="shared" si="397"/>
        <v>0</v>
      </c>
      <c r="BN70" s="579">
        <f t="shared" si="398"/>
        <v>0</v>
      </c>
      <c r="BO70" s="1089"/>
      <c r="BP70" s="1089"/>
      <c r="BQ70" s="1089"/>
      <c r="BR70" s="1089"/>
      <c r="BS70" s="1089"/>
      <c r="BT70" s="1089"/>
      <c r="BU70" s="1089"/>
      <c r="BV70" s="1089"/>
      <c r="BW70" s="1089"/>
      <c r="BX70" s="1089"/>
      <c r="BY70" s="1089"/>
      <c r="BZ70" s="1089"/>
    </row>
    <row r="71" spans="1:78" s="590" customFormat="1" ht="21.95" hidden="1" customHeight="1" x14ac:dyDescent="0.15">
      <c r="A71" s="2596"/>
      <c r="B71" s="2680"/>
      <c r="C71" s="591" t="s">
        <v>455</v>
      </c>
      <c r="D71" s="2010"/>
      <c r="E71" s="1530"/>
      <c r="F71" s="458">
        <f t="shared" si="480"/>
        <v>0</v>
      </c>
      <c r="G71" s="458">
        <f t="shared" ref="G71" si="489">IF(G$29=2,G49,0)</f>
        <v>0</v>
      </c>
      <c r="H71" s="458">
        <f t="shared" ref="H71:I71" si="490">IF(H$29=2,H49,0)</f>
        <v>0</v>
      </c>
      <c r="I71" s="458">
        <f t="shared" si="490"/>
        <v>0</v>
      </c>
      <c r="J71" s="458"/>
      <c r="K71" s="458"/>
      <c r="L71" s="458"/>
      <c r="M71" s="458"/>
      <c r="N71" s="2450"/>
      <c r="O71" s="458">
        <f t="shared" ref="O71:V71" si="491">IF(O$29=2,O49,0)</f>
        <v>0</v>
      </c>
      <c r="P71" s="458">
        <f t="shared" si="491"/>
        <v>0</v>
      </c>
      <c r="Q71" s="458">
        <f t="shared" si="491"/>
        <v>0</v>
      </c>
      <c r="R71" s="458">
        <f t="shared" si="491"/>
        <v>0</v>
      </c>
      <c r="S71" s="458">
        <f t="shared" si="491"/>
        <v>0</v>
      </c>
      <c r="T71" s="458">
        <f t="shared" si="491"/>
        <v>0</v>
      </c>
      <c r="U71" s="458">
        <f t="shared" si="491"/>
        <v>0</v>
      </c>
      <c r="V71" s="458">
        <f t="shared" si="491"/>
        <v>0</v>
      </c>
      <c r="W71" s="458"/>
      <c r="X71" s="2450"/>
      <c r="Y71" s="458">
        <f t="shared" ref="Y71:AH71" si="492">IF(Y$29=2,Y49,0)</f>
        <v>0</v>
      </c>
      <c r="Z71" s="458">
        <f t="shared" si="492"/>
        <v>0</v>
      </c>
      <c r="AA71" s="458">
        <f t="shared" si="492"/>
        <v>0</v>
      </c>
      <c r="AB71" s="458">
        <f t="shared" si="492"/>
        <v>0</v>
      </c>
      <c r="AC71" s="458">
        <f t="shared" si="492"/>
        <v>0</v>
      </c>
      <c r="AD71" s="458">
        <f t="shared" si="492"/>
        <v>0</v>
      </c>
      <c r="AE71" s="458">
        <f t="shared" si="492"/>
        <v>0</v>
      </c>
      <c r="AF71" s="458">
        <f t="shared" si="492"/>
        <v>0</v>
      </c>
      <c r="AG71" s="458">
        <f t="shared" si="492"/>
        <v>0</v>
      </c>
      <c r="AH71" s="458">
        <f t="shared" si="492"/>
        <v>0</v>
      </c>
      <c r="AI71" s="458"/>
      <c r="AJ71" s="458"/>
      <c r="AK71" s="458"/>
      <c r="AL71" s="458"/>
      <c r="AM71" s="458"/>
      <c r="AN71" s="458"/>
      <c r="AO71" s="458"/>
      <c r="AP71" s="458"/>
      <c r="AQ71" s="458"/>
      <c r="AR71" s="2450"/>
      <c r="AS71" s="458">
        <f t="shared" ref="AS71:AW71" si="493">IF(AS$29=2,AS49,0)</f>
        <v>0</v>
      </c>
      <c r="AT71" s="458">
        <f t="shared" si="493"/>
        <v>0</v>
      </c>
      <c r="AU71" s="458">
        <f t="shared" si="493"/>
        <v>0</v>
      </c>
      <c r="AV71" s="458">
        <f t="shared" si="493"/>
        <v>0</v>
      </c>
      <c r="AW71" s="458">
        <f t="shared" si="493"/>
        <v>0</v>
      </c>
      <c r="AX71" s="458">
        <f t="shared" ref="AX71" si="494">IF(AX$29=2,AX49,0)</f>
        <v>0</v>
      </c>
      <c r="AY71" s="458">
        <f t="shared" ref="AY71:BI71" si="495">IF(AY$29=2,AY49,0)</f>
        <v>0</v>
      </c>
      <c r="AZ71" s="458">
        <f t="shared" ref="AZ71" si="496">IF(AZ$29=2,AZ49,0)</f>
        <v>0</v>
      </c>
      <c r="BA71" s="458">
        <f t="shared" si="495"/>
        <v>0</v>
      </c>
      <c r="BB71" s="458">
        <f t="shared" si="495"/>
        <v>0</v>
      </c>
      <c r="BC71" s="458">
        <f t="shared" si="495"/>
        <v>0</v>
      </c>
      <c r="BD71" s="458">
        <f t="shared" si="495"/>
        <v>0</v>
      </c>
      <c r="BE71" s="458">
        <f t="shared" si="495"/>
        <v>0</v>
      </c>
      <c r="BF71" s="458">
        <f t="shared" si="495"/>
        <v>0</v>
      </c>
      <c r="BG71" s="458">
        <f t="shared" si="495"/>
        <v>0</v>
      </c>
      <c r="BH71" s="458">
        <f t="shared" si="495"/>
        <v>0</v>
      </c>
      <c r="BI71" s="458">
        <f t="shared" si="495"/>
        <v>0</v>
      </c>
      <c r="BJ71" s="458"/>
      <c r="BK71" s="458"/>
      <c r="BL71" s="458"/>
      <c r="BM71" s="597">
        <f t="shared" si="397"/>
        <v>0</v>
      </c>
      <c r="BN71" s="579">
        <f t="shared" si="398"/>
        <v>0</v>
      </c>
      <c r="BO71" s="1089"/>
      <c r="BP71" s="1089"/>
      <c r="BQ71" s="1089"/>
      <c r="BR71" s="1089"/>
      <c r="BS71" s="1089"/>
      <c r="BT71" s="1089"/>
      <c r="BU71" s="1089"/>
      <c r="BV71" s="1089"/>
      <c r="BW71" s="1089"/>
      <c r="BX71" s="1089"/>
      <c r="BY71" s="1089"/>
      <c r="BZ71" s="1089"/>
    </row>
    <row r="72" spans="1:78" s="590" customFormat="1" ht="21.95" hidden="1" customHeight="1" x14ac:dyDescent="0.15">
      <c r="A72" s="2596"/>
      <c r="B72" s="2680"/>
      <c r="C72" s="598" t="s">
        <v>448</v>
      </c>
      <c r="D72" s="2004"/>
      <c r="E72" s="592"/>
      <c r="F72" s="158">
        <f t="shared" si="480"/>
        <v>0</v>
      </c>
      <c r="G72" s="158">
        <f t="shared" ref="G72" si="497">IF(G$29=2,G50,0)</f>
        <v>0</v>
      </c>
      <c r="H72" s="158">
        <f t="shared" ref="H72:I72" si="498">IF(H$29=2,H50,0)</f>
        <v>0</v>
      </c>
      <c r="I72" s="158">
        <f t="shared" si="498"/>
        <v>0</v>
      </c>
      <c r="J72" s="158"/>
      <c r="K72" s="158"/>
      <c r="L72" s="158"/>
      <c r="M72" s="158"/>
      <c r="N72" s="2416"/>
      <c r="O72" s="158">
        <f t="shared" ref="O72:V72" si="499">IF(O$29=2,O50,0)</f>
        <v>0</v>
      </c>
      <c r="P72" s="158">
        <f t="shared" si="499"/>
        <v>0</v>
      </c>
      <c r="Q72" s="158">
        <f t="shared" si="499"/>
        <v>0</v>
      </c>
      <c r="R72" s="158">
        <f t="shared" si="499"/>
        <v>0</v>
      </c>
      <c r="S72" s="158">
        <f t="shared" si="499"/>
        <v>0</v>
      </c>
      <c r="T72" s="158">
        <f t="shared" si="499"/>
        <v>0</v>
      </c>
      <c r="U72" s="158">
        <f t="shared" si="499"/>
        <v>0</v>
      </c>
      <c r="V72" s="158">
        <f t="shared" si="499"/>
        <v>0</v>
      </c>
      <c r="W72" s="158"/>
      <c r="X72" s="2416"/>
      <c r="Y72" s="158">
        <f t="shared" ref="Y72:AH72" si="500">IF(Y$29=2,Y50,0)</f>
        <v>0</v>
      </c>
      <c r="Z72" s="158">
        <f t="shared" si="500"/>
        <v>0</v>
      </c>
      <c r="AA72" s="158">
        <f t="shared" si="500"/>
        <v>0</v>
      </c>
      <c r="AB72" s="158">
        <f t="shared" si="500"/>
        <v>0</v>
      </c>
      <c r="AC72" s="158">
        <f t="shared" si="500"/>
        <v>0</v>
      </c>
      <c r="AD72" s="158">
        <f t="shared" si="500"/>
        <v>0</v>
      </c>
      <c r="AE72" s="158">
        <f t="shared" si="500"/>
        <v>0</v>
      </c>
      <c r="AF72" s="158">
        <f t="shared" si="500"/>
        <v>0</v>
      </c>
      <c r="AG72" s="158">
        <f t="shared" si="500"/>
        <v>0</v>
      </c>
      <c r="AH72" s="158">
        <f t="shared" si="500"/>
        <v>0</v>
      </c>
      <c r="AI72" s="158"/>
      <c r="AJ72" s="158"/>
      <c r="AK72" s="158"/>
      <c r="AL72" s="158"/>
      <c r="AM72" s="158"/>
      <c r="AN72" s="158"/>
      <c r="AO72" s="158"/>
      <c r="AP72" s="158"/>
      <c r="AQ72" s="158"/>
      <c r="AR72" s="2416"/>
      <c r="AS72" s="158">
        <f t="shared" ref="AS72:AW72" si="501">IF(AS$29=2,AS50,0)</f>
        <v>0</v>
      </c>
      <c r="AT72" s="158">
        <f t="shared" si="501"/>
        <v>0</v>
      </c>
      <c r="AU72" s="158">
        <f t="shared" si="501"/>
        <v>0</v>
      </c>
      <c r="AV72" s="158">
        <f t="shared" si="501"/>
        <v>0</v>
      </c>
      <c r="AW72" s="158">
        <f t="shared" si="501"/>
        <v>0</v>
      </c>
      <c r="AX72" s="158">
        <f t="shared" ref="AX72" si="502">IF(AX$29=2,AX50,0)</f>
        <v>0</v>
      </c>
      <c r="AY72" s="158">
        <f t="shared" ref="AY72:BI72" si="503">IF(AY$29=2,AY50,0)</f>
        <v>0</v>
      </c>
      <c r="AZ72" s="158">
        <f t="shared" ref="AZ72" si="504">IF(AZ$29=2,AZ50,0)</f>
        <v>0</v>
      </c>
      <c r="BA72" s="158">
        <f t="shared" si="503"/>
        <v>0</v>
      </c>
      <c r="BB72" s="158">
        <f t="shared" si="503"/>
        <v>0</v>
      </c>
      <c r="BC72" s="158">
        <f t="shared" si="503"/>
        <v>0</v>
      </c>
      <c r="BD72" s="158">
        <f t="shared" si="503"/>
        <v>0</v>
      </c>
      <c r="BE72" s="158">
        <f t="shared" si="503"/>
        <v>0</v>
      </c>
      <c r="BF72" s="158">
        <f t="shared" si="503"/>
        <v>0</v>
      </c>
      <c r="BG72" s="158">
        <f t="shared" si="503"/>
        <v>0</v>
      </c>
      <c r="BH72" s="158">
        <f t="shared" si="503"/>
        <v>0</v>
      </c>
      <c r="BI72" s="158">
        <f t="shared" si="503"/>
        <v>0</v>
      </c>
      <c r="BJ72" s="159"/>
      <c r="BK72" s="159"/>
      <c r="BL72" s="159"/>
      <c r="BM72" s="350">
        <f t="shared" si="397"/>
        <v>0</v>
      </c>
      <c r="BN72" s="579">
        <f t="shared" si="398"/>
        <v>0</v>
      </c>
      <c r="BO72" s="1089"/>
      <c r="BP72" s="1089"/>
      <c r="BQ72" s="1089"/>
      <c r="BR72" s="1089"/>
      <c r="BS72" s="1089"/>
      <c r="BT72" s="1089"/>
      <c r="BU72" s="1089"/>
      <c r="BV72" s="1089"/>
      <c r="BW72" s="1089"/>
      <c r="BX72" s="1089"/>
      <c r="BY72" s="1089"/>
      <c r="BZ72" s="1089"/>
    </row>
    <row r="73" spans="1:78" s="590" customFormat="1" ht="21.95" hidden="1" customHeight="1" x14ac:dyDescent="0.15">
      <c r="A73" s="2596"/>
      <c r="B73" s="2680"/>
      <c r="C73" s="591" t="s">
        <v>611</v>
      </c>
      <c r="D73" s="2010"/>
      <c r="E73" s="1530"/>
      <c r="F73" s="458">
        <f t="shared" si="480"/>
        <v>0</v>
      </c>
      <c r="G73" s="458">
        <f t="shared" ref="G73" si="505">IF(G$29=2,G51,0)</f>
        <v>0</v>
      </c>
      <c r="H73" s="458">
        <f t="shared" ref="H73:I73" si="506">IF(H$29=2,H51,0)</f>
        <v>0</v>
      </c>
      <c r="I73" s="458">
        <f t="shared" si="506"/>
        <v>0</v>
      </c>
      <c r="J73" s="458"/>
      <c r="K73" s="458"/>
      <c r="L73" s="458"/>
      <c r="M73" s="458"/>
      <c r="N73" s="2450"/>
      <c r="O73" s="458">
        <f t="shared" ref="O73:V73" si="507">IF(O$29=2,O51,0)</f>
        <v>0</v>
      </c>
      <c r="P73" s="458">
        <f t="shared" si="507"/>
        <v>0</v>
      </c>
      <c r="Q73" s="458">
        <f t="shared" si="507"/>
        <v>0</v>
      </c>
      <c r="R73" s="458">
        <f t="shared" si="507"/>
        <v>0</v>
      </c>
      <c r="S73" s="458">
        <f t="shared" si="507"/>
        <v>0</v>
      </c>
      <c r="T73" s="458">
        <f t="shared" si="507"/>
        <v>0</v>
      </c>
      <c r="U73" s="458">
        <f t="shared" si="507"/>
        <v>0</v>
      </c>
      <c r="V73" s="458">
        <f t="shared" si="507"/>
        <v>0</v>
      </c>
      <c r="W73" s="458"/>
      <c r="X73" s="2450"/>
      <c r="Y73" s="458">
        <f t="shared" ref="Y73:AH73" si="508">IF(Y$29=2,Y51,0)</f>
        <v>0</v>
      </c>
      <c r="Z73" s="458">
        <f t="shared" si="508"/>
        <v>0</v>
      </c>
      <c r="AA73" s="458">
        <f t="shared" si="508"/>
        <v>0</v>
      </c>
      <c r="AB73" s="458">
        <f t="shared" si="508"/>
        <v>0</v>
      </c>
      <c r="AC73" s="458">
        <f t="shared" si="508"/>
        <v>0</v>
      </c>
      <c r="AD73" s="458">
        <f t="shared" si="508"/>
        <v>0</v>
      </c>
      <c r="AE73" s="458">
        <f t="shared" si="508"/>
        <v>0</v>
      </c>
      <c r="AF73" s="458">
        <f t="shared" si="508"/>
        <v>0</v>
      </c>
      <c r="AG73" s="458">
        <f t="shared" si="508"/>
        <v>0</v>
      </c>
      <c r="AH73" s="458">
        <f t="shared" si="508"/>
        <v>0</v>
      </c>
      <c r="AI73" s="458"/>
      <c r="AJ73" s="458"/>
      <c r="AK73" s="458"/>
      <c r="AL73" s="458"/>
      <c r="AM73" s="458"/>
      <c r="AN73" s="458"/>
      <c r="AO73" s="458"/>
      <c r="AP73" s="458"/>
      <c r="AQ73" s="458"/>
      <c r="AR73" s="2450"/>
      <c r="AS73" s="458">
        <f t="shared" ref="AS73:AW73" si="509">IF(AS$29=2,AS51,0)</f>
        <v>0</v>
      </c>
      <c r="AT73" s="458">
        <f t="shared" si="509"/>
        <v>0</v>
      </c>
      <c r="AU73" s="458">
        <f t="shared" si="509"/>
        <v>0</v>
      </c>
      <c r="AV73" s="458">
        <f t="shared" si="509"/>
        <v>0</v>
      </c>
      <c r="AW73" s="458">
        <f t="shared" si="509"/>
        <v>0</v>
      </c>
      <c r="AX73" s="458">
        <f t="shared" ref="AX73" si="510">IF(AX$29=2,AX51,0)</f>
        <v>0</v>
      </c>
      <c r="AY73" s="458">
        <f t="shared" ref="AY73:BI73" si="511">IF(AY$29=2,AY51,0)</f>
        <v>0</v>
      </c>
      <c r="AZ73" s="458">
        <f t="shared" ref="AZ73" si="512">IF(AZ$29=2,AZ51,0)</f>
        <v>0</v>
      </c>
      <c r="BA73" s="458">
        <f t="shared" si="511"/>
        <v>0</v>
      </c>
      <c r="BB73" s="458">
        <f t="shared" si="511"/>
        <v>0</v>
      </c>
      <c r="BC73" s="458">
        <f t="shared" si="511"/>
        <v>0</v>
      </c>
      <c r="BD73" s="458">
        <f t="shared" si="511"/>
        <v>0</v>
      </c>
      <c r="BE73" s="458">
        <f t="shared" si="511"/>
        <v>0</v>
      </c>
      <c r="BF73" s="458">
        <f t="shared" si="511"/>
        <v>0</v>
      </c>
      <c r="BG73" s="458">
        <f t="shared" si="511"/>
        <v>0</v>
      </c>
      <c r="BH73" s="458">
        <f t="shared" si="511"/>
        <v>0</v>
      </c>
      <c r="BI73" s="458">
        <f t="shared" si="511"/>
        <v>0</v>
      </c>
      <c r="BJ73" s="457"/>
      <c r="BK73" s="457"/>
      <c r="BL73" s="457"/>
      <c r="BM73" s="597">
        <f t="shared" si="397"/>
        <v>0</v>
      </c>
      <c r="BN73" s="579">
        <f t="shared" si="398"/>
        <v>0</v>
      </c>
      <c r="BO73" s="1089"/>
      <c r="BP73" s="1089"/>
      <c r="BQ73" s="1089"/>
      <c r="BR73" s="1089"/>
      <c r="BS73" s="1089"/>
      <c r="BT73" s="1089"/>
      <c r="BU73" s="1089"/>
      <c r="BV73" s="1089"/>
      <c r="BW73" s="1089"/>
      <c r="BX73" s="1089"/>
      <c r="BY73" s="1089"/>
      <c r="BZ73" s="1089"/>
    </row>
    <row r="74" spans="1:78" s="590" customFormat="1" ht="21.95" hidden="1" customHeight="1" x14ac:dyDescent="0.15">
      <c r="A74" s="2596"/>
      <c r="B74" s="2680"/>
      <c r="C74" s="591" t="s">
        <v>456</v>
      </c>
      <c r="D74" s="2004"/>
      <c r="E74" s="592"/>
      <c r="F74" s="158">
        <f t="shared" si="480"/>
        <v>0</v>
      </c>
      <c r="G74" s="158">
        <f t="shared" ref="G74" si="513">IF(G$29=2,G52,0)</f>
        <v>0</v>
      </c>
      <c r="H74" s="158">
        <f t="shared" ref="H74:I74" si="514">IF(H$29=2,H52,0)</f>
        <v>0</v>
      </c>
      <c r="I74" s="158">
        <f t="shared" si="514"/>
        <v>0</v>
      </c>
      <c r="J74" s="158"/>
      <c r="K74" s="158"/>
      <c r="L74" s="158"/>
      <c r="M74" s="158"/>
      <c r="N74" s="2416"/>
      <c r="O74" s="158">
        <f t="shared" ref="O74:V74" si="515">IF(O$29=2,O52,0)</f>
        <v>0</v>
      </c>
      <c r="P74" s="158">
        <f t="shared" si="515"/>
        <v>0</v>
      </c>
      <c r="Q74" s="158">
        <f t="shared" si="515"/>
        <v>0</v>
      </c>
      <c r="R74" s="158">
        <f t="shared" si="515"/>
        <v>0</v>
      </c>
      <c r="S74" s="158">
        <f t="shared" si="515"/>
        <v>0</v>
      </c>
      <c r="T74" s="158">
        <f t="shared" si="515"/>
        <v>0</v>
      </c>
      <c r="U74" s="158">
        <f t="shared" si="515"/>
        <v>0</v>
      </c>
      <c r="V74" s="158">
        <f t="shared" si="515"/>
        <v>0</v>
      </c>
      <c r="W74" s="158"/>
      <c r="X74" s="2416"/>
      <c r="Y74" s="158">
        <f t="shared" ref="Y74:AH74" si="516">IF(Y$29=2,Y52,0)</f>
        <v>0</v>
      </c>
      <c r="Z74" s="158">
        <f t="shared" si="516"/>
        <v>0</v>
      </c>
      <c r="AA74" s="158">
        <f t="shared" si="516"/>
        <v>0</v>
      </c>
      <c r="AB74" s="158">
        <f t="shared" si="516"/>
        <v>0</v>
      </c>
      <c r="AC74" s="158">
        <f t="shared" si="516"/>
        <v>0</v>
      </c>
      <c r="AD74" s="158">
        <f t="shared" si="516"/>
        <v>0</v>
      </c>
      <c r="AE74" s="158">
        <f t="shared" si="516"/>
        <v>0</v>
      </c>
      <c r="AF74" s="158">
        <f t="shared" si="516"/>
        <v>0</v>
      </c>
      <c r="AG74" s="158">
        <f t="shared" si="516"/>
        <v>0</v>
      </c>
      <c r="AH74" s="158">
        <f t="shared" si="516"/>
        <v>0</v>
      </c>
      <c r="AI74" s="158"/>
      <c r="AJ74" s="158"/>
      <c r="AK74" s="158"/>
      <c r="AL74" s="158"/>
      <c r="AM74" s="158"/>
      <c r="AN74" s="158"/>
      <c r="AO74" s="158"/>
      <c r="AP74" s="158"/>
      <c r="AQ74" s="158"/>
      <c r="AR74" s="2416"/>
      <c r="AS74" s="158">
        <f t="shared" ref="AS74:AW74" si="517">IF(AS$29=2,AS52,0)</f>
        <v>0</v>
      </c>
      <c r="AT74" s="158">
        <f t="shared" si="517"/>
        <v>0</v>
      </c>
      <c r="AU74" s="158">
        <f t="shared" si="517"/>
        <v>0</v>
      </c>
      <c r="AV74" s="158">
        <f t="shared" si="517"/>
        <v>0</v>
      </c>
      <c r="AW74" s="158">
        <f t="shared" si="517"/>
        <v>0</v>
      </c>
      <c r="AX74" s="158">
        <f t="shared" ref="AX74" si="518">IF(AX$29=2,AX52,0)</f>
        <v>0</v>
      </c>
      <c r="AY74" s="158">
        <f t="shared" ref="AY74:BI74" si="519">IF(AY$29=2,AY52,0)</f>
        <v>0</v>
      </c>
      <c r="AZ74" s="158">
        <f t="shared" ref="AZ74" si="520">IF(AZ$29=2,AZ52,0)</f>
        <v>0</v>
      </c>
      <c r="BA74" s="158">
        <f t="shared" si="519"/>
        <v>0</v>
      </c>
      <c r="BB74" s="158">
        <f t="shared" si="519"/>
        <v>0</v>
      </c>
      <c r="BC74" s="158">
        <f t="shared" si="519"/>
        <v>0</v>
      </c>
      <c r="BD74" s="158">
        <f t="shared" si="519"/>
        <v>0</v>
      </c>
      <c r="BE74" s="158">
        <f t="shared" si="519"/>
        <v>0</v>
      </c>
      <c r="BF74" s="158">
        <f t="shared" si="519"/>
        <v>0</v>
      </c>
      <c r="BG74" s="158">
        <f t="shared" si="519"/>
        <v>0</v>
      </c>
      <c r="BH74" s="158">
        <f t="shared" si="519"/>
        <v>0</v>
      </c>
      <c r="BI74" s="158">
        <f t="shared" si="519"/>
        <v>0</v>
      </c>
      <c r="BJ74" s="159"/>
      <c r="BK74" s="159"/>
      <c r="BL74" s="159"/>
      <c r="BM74" s="350">
        <f t="shared" si="397"/>
        <v>0</v>
      </c>
      <c r="BN74" s="579">
        <f t="shared" si="398"/>
        <v>0</v>
      </c>
      <c r="BO74" s="1089"/>
      <c r="BP74" s="1089"/>
      <c r="BQ74" s="1089"/>
      <c r="BR74" s="1089"/>
      <c r="BS74" s="1089"/>
      <c r="BT74" s="1089"/>
      <c r="BU74" s="1089"/>
      <c r="BV74" s="1089"/>
      <c r="BW74" s="1089"/>
      <c r="BX74" s="1089"/>
      <c r="BY74" s="1089"/>
      <c r="BZ74" s="1089"/>
    </row>
    <row r="75" spans="1:78" s="590" customFormat="1" ht="21.95" hidden="1" customHeight="1" x14ac:dyDescent="0.15">
      <c r="A75" s="2596"/>
      <c r="B75" s="2680"/>
      <c r="C75" s="591" t="s">
        <v>449</v>
      </c>
      <c r="D75" s="2011"/>
      <c r="E75" s="1531"/>
      <c r="F75" s="596">
        <f t="shared" si="480"/>
        <v>0</v>
      </c>
      <c r="G75" s="596">
        <f t="shared" ref="G75" si="521">IF(G$29=2,G53,0)</f>
        <v>0</v>
      </c>
      <c r="H75" s="596">
        <f t="shared" ref="H75:I75" si="522">IF(H$29=2,H53,0)</f>
        <v>0</v>
      </c>
      <c r="I75" s="596">
        <f t="shared" si="522"/>
        <v>0</v>
      </c>
      <c r="J75" s="596"/>
      <c r="K75" s="596"/>
      <c r="L75" s="596"/>
      <c r="M75" s="596"/>
      <c r="N75" s="2451"/>
      <c r="O75" s="596">
        <f t="shared" ref="O75:V75" si="523">IF(O$29=2,O53,0)</f>
        <v>0</v>
      </c>
      <c r="P75" s="596">
        <f t="shared" si="523"/>
        <v>0</v>
      </c>
      <c r="Q75" s="596">
        <f t="shared" si="523"/>
        <v>0</v>
      </c>
      <c r="R75" s="596">
        <f t="shared" si="523"/>
        <v>0</v>
      </c>
      <c r="S75" s="596">
        <f t="shared" si="523"/>
        <v>0</v>
      </c>
      <c r="T75" s="596">
        <f t="shared" si="523"/>
        <v>0</v>
      </c>
      <c r="U75" s="596">
        <f t="shared" si="523"/>
        <v>0</v>
      </c>
      <c r="V75" s="596">
        <f t="shared" si="523"/>
        <v>0</v>
      </c>
      <c r="W75" s="596"/>
      <c r="X75" s="2451"/>
      <c r="Y75" s="596">
        <f t="shared" ref="Y75:AH75" si="524">IF(Y$29=2,Y53,0)</f>
        <v>0</v>
      </c>
      <c r="Z75" s="596">
        <f t="shared" si="524"/>
        <v>0</v>
      </c>
      <c r="AA75" s="596">
        <f t="shared" si="524"/>
        <v>0</v>
      </c>
      <c r="AB75" s="596">
        <f t="shared" si="524"/>
        <v>0</v>
      </c>
      <c r="AC75" s="596">
        <f t="shared" si="524"/>
        <v>0</v>
      </c>
      <c r="AD75" s="596">
        <f t="shared" si="524"/>
        <v>0</v>
      </c>
      <c r="AE75" s="596">
        <f t="shared" si="524"/>
        <v>0</v>
      </c>
      <c r="AF75" s="596">
        <f t="shared" si="524"/>
        <v>0</v>
      </c>
      <c r="AG75" s="596">
        <f t="shared" si="524"/>
        <v>0</v>
      </c>
      <c r="AH75" s="596">
        <f t="shared" si="524"/>
        <v>0</v>
      </c>
      <c r="AI75" s="596"/>
      <c r="AJ75" s="596"/>
      <c r="AK75" s="596"/>
      <c r="AL75" s="596"/>
      <c r="AM75" s="596"/>
      <c r="AN75" s="596"/>
      <c r="AO75" s="596"/>
      <c r="AP75" s="596"/>
      <c r="AQ75" s="596"/>
      <c r="AR75" s="2451"/>
      <c r="AS75" s="596">
        <f t="shared" ref="AS75:AW75" si="525">IF(AS$29=2,AS53,0)</f>
        <v>0</v>
      </c>
      <c r="AT75" s="596">
        <f t="shared" si="525"/>
        <v>0</v>
      </c>
      <c r="AU75" s="596">
        <f t="shared" si="525"/>
        <v>0</v>
      </c>
      <c r="AV75" s="596">
        <f t="shared" si="525"/>
        <v>0</v>
      </c>
      <c r="AW75" s="596">
        <f t="shared" si="525"/>
        <v>0</v>
      </c>
      <c r="AX75" s="596">
        <f t="shared" ref="AX75" si="526">IF(AX$29=2,AX53,0)</f>
        <v>0</v>
      </c>
      <c r="AY75" s="596">
        <f t="shared" ref="AY75:BI75" si="527">IF(AY$29=2,AY53,0)</f>
        <v>0</v>
      </c>
      <c r="AZ75" s="596">
        <f t="shared" ref="AZ75" si="528">IF(AZ$29=2,AZ53,0)</f>
        <v>0</v>
      </c>
      <c r="BA75" s="596">
        <f t="shared" si="527"/>
        <v>0</v>
      </c>
      <c r="BB75" s="596">
        <f t="shared" si="527"/>
        <v>0</v>
      </c>
      <c r="BC75" s="596">
        <f t="shared" si="527"/>
        <v>0</v>
      </c>
      <c r="BD75" s="596">
        <f t="shared" si="527"/>
        <v>0</v>
      </c>
      <c r="BE75" s="596">
        <f t="shared" si="527"/>
        <v>0</v>
      </c>
      <c r="BF75" s="596">
        <f t="shared" si="527"/>
        <v>0</v>
      </c>
      <c r="BG75" s="596">
        <f t="shared" si="527"/>
        <v>0</v>
      </c>
      <c r="BH75" s="596">
        <f t="shared" si="527"/>
        <v>0</v>
      </c>
      <c r="BI75" s="596">
        <f t="shared" si="527"/>
        <v>0</v>
      </c>
      <c r="BJ75" s="422"/>
      <c r="BK75" s="422"/>
      <c r="BL75" s="422"/>
      <c r="BM75" s="507">
        <f t="shared" si="397"/>
        <v>0</v>
      </c>
      <c r="BN75" s="579">
        <f t="shared" si="398"/>
        <v>0</v>
      </c>
      <c r="BO75" s="1089"/>
      <c r="BP75" s="1089"/>
      <c r="BQ75" s="1089"/>
      <c r="BR75" s="1089"/>
      <c r="BS75" s="1089"/>
      <c r="BT75" s="1089"/>
      <c r="BU75" s="1089"/>
      <c r="BV75" s="1089"/>
      <c r="BW75" s="1089"/>
      <c r="BX75" s="1089"/>
      <c r="BY75" s="1089"/>
      <c r="BZ75" s="1089"/>
    </row>
    <row r="76" spans="1:78" s="590" customFormat="1" ht="21.95" hidden="1" customHeight="1" x14ac:dyDescent="0.15">
      <c r="A76" s="2596"/>
      <c r="B76" s="2680"/>
      <c r="C76" s="594" t="s">
        <v>450</v>
      </c>
      <c r="D76" s="2010"/>
      <c r="E76" s="1530"/>
      <c r="F76" s="458">
        <f t="shared" si="480"/>
        <v>0</v>
      </c>
      <c r="G76" s="458">
        <f t="shared" ref="G76" si="529">IF(G$29=2,G54,0)</f>
        <v>0</v>
      </c>
      <c r="H76" s="458">
        <f t="shared" ref="H76:I76" si="530">IF(H$29=2,H54,0)</f>
        <v>0</v>
      </c>
      <c r="I76" s="458">
        <f t="shared" si="530"/>
        <v>0</v>
      </c>
      <c r="J76" s="458"/>
      <c r="K76" s="458"/>
      <c r="L76" s="458"/>
      <c r="M76" s="458"/>
      <c r="N76" s="2450"/>
      <c r="O76" s="458">
        <f t="shared" ref="O76:V76" si="531">IF(O$29=2,O54,0)</f>
        <v>0</v>
      </c>
      <c r="P76" s="458">
        <f t="shared" si="531"/>
        <v>0</v>
      </c>
      <c r="Q76" s="458">
        <f t="shared" si="531"/>
        <v>0</v>
      </c>
      <c r="R76" s="458">
        <f t="shared" si="531"/>
        <v>0</v>
      </c>
      <c r="S76" s="458">
        <f t="shared" si="531"/>
        <v>0</v>
      </c>
      <c r="T76" s="458">
        <f t="shared" si="531"/>
        <v>0</v>
      </c>
      <c r="U76" s="458">
        <f t="shared" si="531"/>
        <v>0</v>
      </c>
      <c r="V76" s="458">
        <f t="shared" si="531"/>
        <v>0</v>
      </c>
      <c r="W76" s="458"/>
      <c r="X76" s="2450"/>
      <c r="Y76" s="458">
        <f t="shared" ref="Y76:AH76" si="532">IF(Y$29=2,Y54,0)</f>
        <v>0</v>
      </c>
      <c r="Z76" s="458">
        <f t="shared" si="532"/>
        <v>0</v>
      </c>
      <c r="AA76" s="458">
        <f t="shared" si="532"/>
        <v>0</v>
      </c>
      <c r="AB76" s="458">
        <f t="shared" si="532"/>
        <v>0</v>
      </c>
      <c r="AC76" s="458">
        <f t="shared" si="532"/>
        <v>0</v>
      </c>
      <c r="AD76" s="458">
        <f t="shared" si="532"/>
        <v>0</v>
      </c>
      <c r="AE76" s="458">
        <f t="shared" si="532"/>
        <v>0</v>
      </c>
      <c r="AF76" s="458">
        <f t="shared" si="532"/>
        <v>0</v>
      </c>
      <c r="AG76" s="458">
        <f t="shared" si="532"/>
        <v>0</v>
      </c>
      <c r="AH76" s="458">
        <f t="shared" si="532"/>
        <v>0</v>
      </c>
      <c r="AI76" s="458"/>
      <c r="AJ76" s="458"/>
      <c r="AK76" s="458"/>
      <c r="AL76" s="458"/>
      <c r="AM76" s="458"/>
      <c r="AN76" s="458"/>
      <c r="AO76" s="458"/>
      <c r="AP76" s="458"/>
      <c r="AQ76" s="458"/>
      <c r="AR76" s="2450"/>
      <c r="AS76" s="458">
        <f t="shared" ref="AS76:AW76" si="533">IF(AS$29=2,AS54,0)</f>
        <v>0</v>
      </c>
      <c r="AT76" s="458">
        <f t="shared" si="533"/>
        <v>0</v>
      </c>
      <c r="AU76" s="458">
        <f t="shared" si="533"/>
        <v>0</v>
      </c>
      <c r="AV76" s="458">
        <f t="shared" si="533"/>
        <v>0</v>
      </c>
      <c r="AW76" s="458">
        <f t="shared" si="533"/>
        <v>0</v>
      </c>
      <c r="AX76" s="458">
        <f t="shared" ref="AX76" si="534">IF(AX$29=2,AX54,0)</f>
        <v>0</v>
      </c>
      <c r="AY76" s="458">
        <f t="shared" ref="AY76:BI76" si="535">IF(AY$29=2,AY54,0)</f>
        <v>0</v>
      </c>
      <c r="AZ76" s="458">
        <f t="shared" ref="AZ76" si="536">IF(AZ$29=2,AZ54,0)</f>
        <v>0</v>
      </c>
      <c r="BA76" s="458">
        <f t="shared" si="535"/>
        <v>0</v>
      </c>
      <c r="BB76" s="458">
        <f t="shared" si="535"/>
        <v>0</v>
      </c>
      <c r="BC76" s="458">
        <f t="shared" si="535"/>
        <v>0</v>
      </c>
      <c r="BD76" s="458">
        <f t="shared" si="535"/>
        <v>0</v>
      </c>
      <c r="BE76" s="458">
        <f t="shared" si="535"/>
        <v>0</v>
      </c>
      <c r="BF76" s="458">
        <f t="shared" si="535"/>
        <v>0</v>
      </c>
      <c r="BG76" s="458">
        <f t="shared" si="535"/>
        <v>0</v>
      </c>
      <c r="BH76" s="458">
        <f t="shared" si="535"/>
        <v>0</v>
      </c>
      <c r="BI76" s="458">
        <f t="shared" si="535"/>
        <v>0</v>
      </c>
      <c r="BJ76" s="159"/>
      <c r="BK76" s="159"/>
      <c r="BL76" s="159"/>
      <c r="BM76" s="350">
        <f t="shared" si="397"/>
        <v>0</v>
      </c>
      <c r="BN76" s="579">
        <f t="shared" si="398"/>
        <v>0</v>
      </c>
      <c r="BO76" s="1089"/>
      <c r="BP76" s="1089"/>
      <c r="BQ76" s="1089"/>
      <c r="BR76" s="1089"/>
      <c r="BS76" s="1089"/>
      <c r="BT76" s="1089"/>
      <c r="BU76" s="1089"/>
      <c r="BV76" s="1089"/>
      <c r="BW76" s="1089"/>
      <c r="BX76" s="1089"/>
      <c r="BY76" s="1089"/>
      <c r="BZ76" s="1089"/>
    </row>
    <row r="77" spans="1:78" s="590" customFormat="1" ht="21.95" hidden="1" customHeight="1" x14ac:dyDescent="0.15">
      <c r="A77" s="2596"/>
      <c r="B77" s="2680"/>
      <c r="C77" s="591" t="s">
        <v>451</v>
      </c>
      <c r="D77" s="2011"/>
      <c r="E77" s="1531"/>
      <c r="F77" s="596">
        <f t="shared" si="480"/>
        <v>0</v>
      </c>
      <c r="G77" s="596">
        <f t="shared" ref="G77" si="537">IF(G$29=2,G55,0)</f>
        <v>0</v>
      </c>
      <c r="H77" s="596">
        <f t="shared" ref="H77:I77" si="538">IF(H$29=2,H55,0)</f>
        <v>0</v>
      </c>
      <c r="I77" s="596">
        <f t="shared" si="538"/>
        <v>0</v>
      </c>
      <c r="J77" s="596"/>
      <c r="K77" s="596"/>
      <c r="L77" s="596"/>
      <c r="M77" s="596"/>
      <c r="N77" s="2451"/>
      <c r="O77" s="596">
        <f t="shared" ref="O77:V77" si="539">IF(O$29=2,O55,0)</f>
        <v>0</v>
      </c>
      <c r="P77" s="596">
        <f t="shared" si="539"/>
        <v>0</v>
      </c>
      <c r="Q77" s="596">
        <f t="shared" si="539"/>
        <v>0</v>
      </c>
      <c r="R77" s="596">
        <f t="shared" si="539"/>
        <v>0</v>
      </c>
      <c r="S77" s="596">
        <f t="shared" si="539"/>
        <v>0</v>
      </c>
      <c r="T77" s="596">
        <f t="shared" si="539"/>
        <v>0</v>
      </c>
      <c r="U77" s="596">
        <f t="shared" si="539"/>
        <v>0</v>
      </c>
      <c r="V77" s="596">
        <f t="shared" si="539"/>
        <v>0</v>
      </c>
      <c r="W77" s="596"/>
      <c r="X77" s="2451"/>
      <c r="Y77" s="596">
        <f t="shared" ref="Y77:AH77" si="540">IF(Y$29=2,Y55,0)</f>
        <v>0</v>
      </c>
      <c r="Z77" s="596">
        <f t="shared" si="540"/>
        <v>0</v>
      </c>
      <c r="AA77" s="596">
        <f t="shared" si="540"/>
        <v>0</v>
      </c>
      <c r="AB77" s="596">
        <f t="shared" si="540"/>
        <v>0</v>
      </c>
      <c r="AC77" s="596">
        <f t="shared" si="540"/>
        <v>0</v>
      </c>
      <c r="AD77" s="596">
        <f t="shared" si="540"/>
        <v>0</v>
      </c>
      <c r="AE77" s="596">
        <f t="shared" si="540"/>
        <v>0</v>
      </c>
      <c r="AF77" s="596">
        <f t="shared" si="540"/>
        <v>0</v>
      </c>
      <c r="AG77" s="596">
        <f t="shared" si="540"/>
        <v>0</v>
      </c>
      <c r="AH77" s="596">
        <f t="shared" si="540"/>
        <v>0</v>
      </c>
      <c r="AI77" s="596"/>
      <c r="AJ77" s="596"/>
      <c r="AK77" s="596"/>
      <c r="AL77" s="596"/>
      <c r="AM77" s="596"/>
      <c r="AN77" s="596"/>
      <c r="AO77" s="596"/>
      <c r="AP77" s="596"/>
      <c r="AQ77" s="596"/>
      <c r="AR77" s="2451"/>
      <c r="AS77" s="596">
        <f t="shared" ref="AS77:AW77" si="541">IF(AS$29=2,AS55,0)</f>
        <v>0</v>
      </c>
      <c r="AT77" s="596">
        <f t="shared" si="541"/>
        <v>0</v>
      </c>
      <c r="AU77" s="596">
        <f t="shared" si="541"/>
        <v>0</v>
      </c>
      <c r="AV77" s="596">
        <f t="shared" si="541"/>
        <v>0</v>
      </c>
      <c r="AW77" s="596">
        <f t="shared" si="541"/>
        <v>0</v>
      </c>
      <c r="AX77" s="596">
        <f t="shared" ref="AX77" si="542">IF(AX$29=2,AX55,0)</f>
        <v>0</v>
      </c>
      <c r="AY77" s="596">
        <f t="shared" ref="AY77:BI77" si="543">IF(AY$29=2,AY55,0)</f>
        <v>0</v>
      </c>
      <c r="AZ77" s="596">
        <f t="shared" ref="AZ77" si="544">IF(AZ$29=2,AZ55,0)</f>
        <v>0</v>
      </c>
      <c r="BA77" s="596">
        <f t="shared" si="543"/>
        <v>0</v>
      </c>
      <c r="BB77" s="596">
        <f t="shared" si="543"/>
        <v>0</v>
      </c>
      <c r="BC77" s="596">
        <f t="shared" si="543"/>
        <v>0</v>
      </c>
      <c r="BD77" s="596">
        <f t="shared" si="543"/>
        <v>0</v>
      </c>
      <c r="BE77" s="596">
        <f t="shared" si="543"/>
        <v>0</v>
      </c>
      <c r="BF77" s="596">
        <f t="shared" si="543"/>
        <v>0</v>
      </c>
      <c r="BG77" s="596">
        <f t="shared" si="543"/>
        <v>0</v>
      </c>
      <c r="BH77" s="596">
        <f t="shared" si="543"/>
        <v>0</v>
      </c>
      <c r="BI77" s="596">
        <f t="shared" si="543"/>
        <v>0</v>
      </c>
      <c r="BJ77" s="422"/>
      <c r="BK77" s="422"/>
      <c r="BL77" s="422"/>
      <c r="BM77" s="507">
        <f t="shared" si="397"/>
        <v>0</v>
      </c>
      <c r="BN77" s="579">
        <f t="shared" si="398"/>
        <v>0</v>
      </c>
      <c r="BO77" s="1089"/>
      <c r="BP77" s="1089"/>
      <c r="BQ77" s="1089"/>
      <c r="BR77" s="1089"/>
      <c r="BS77" s="1089"/>
      <c r="BT77" s="1089"/>
      <c r="BU77" s="1089"/>
      <c r="BV77" s="1089"/>
      <c r="BW77" s="1089"/>
      <c r="BX77" s="1089"/>
      <c r="BY77" s="1089"/>
      <c r="BZ77" s="1089"/>
    </row>
    <row r="78" spans="1:78" s="590" customFormat="1" ht="21.95" hidden="1" customHeight="1" x14ac:dyDescent="0.15">
      <c r="A78" s="2596"/>
      <c r="B78" s="2680"/>
      <c r="C78" s="591" t="s">
        <v>452</v>
      </c>
      <c r="D78" s="2010"/>
      <c r="E78" s="1530"/>
      <c r="F78" s="458">
        <f t="shared" si="480"/>
        <v>0</v>
      </c>
      <c r="G78" s="458">
        <f t="shared" ref="G78" si="545">IF(G$29=2,G56,0)</f>
        <v>0</v>
      </c>
      <c r="H78" s="458">
        <f t="shared" ref="H78:I78" si="546">IF(H$29=2,H56,0)</f>
        <v>0</v>
      </c>
      <c r="I78" s="458">
        <f t="shared" si="546"/>
        <v>0</v>
      </c>
      <c r="J78" s="458"/>
      <c r="K78" s="458"/>
      <c r="L78" s="458"/>
      <c r="M78" s="458"/>
      <c r="N78" s="2450"/>
      <c r="O78" s="458">
        <f t="shared" ref="O78:V78" si="547">IF(O$29=2,O56,0)</f>
        <v>0</v>
      </c>
      <c r="P78" s="458">
        <f t="shared" si="547"/>
        <v>0</v>
      </c>
      <c r="Q78" s="458">
        <f t="shared" si="547"/>
        <v>0</v>
      </c>
      <c r="R78" s="458">
        <f t="shared" si="547"/>
        <v>0</v>
      </c>
      <c r="S78" s="458">
        <f t="shared" si="547"/>
        <v>0</v>
      </c>
      <c r="T78" s="458">
        <f t="shared" si="547"/>
        <v>0</v>
      </c>
      <c r="U78" s="458">
        <f t="shared" si="547"/>
        <v>0</v>
      </c>
      <c r="V78" s="458">
        <f t="shared" si="547"/>
        <v>0</v>
      </c>
      <c r="W78" s="458"/>
      <c r="X78" s="2450"/>
      <c r="Y78" s="458">
        <f t="shared" ref="Y78:AH78" si="548">IF(Y$29=2,Y56,0)</f>
        <v>0</v>
      </c>
      <c r="Z78" s="458">
        <f t="shared" si="548"/>
        <v>0</v>
      </c>
      <c r="AA78" s="458">
        <f t="shared" si="548"/>
        <v>0</v>
      </c>
      <c r="AB78" s="458">
        <f t="shared" si="548"/>
        <v>0</v>
      </c>
      <c r="AC78" s="458">
        <f t="shared" si="548"/>
        <v>0</v>
      </c>
      <c r="AD78" s="458">
        <f t="shared" si="548"/>
        <v>0</v>
      </c>
      <c r="AE78" s="458">
        <f t="shared" si="548"/>
        <v>0</v>
      </c>
      <c r="AF78" s="458">
        <f t="shared" si="548"/>
        <v>0</v>
      </c>
      <c r="AG78" s="458">
        <f t="shared" si="548"/>
        <v>0</v>
      </c>
      <c r="AH78" s="458">
        <f t="shared" si="548"/>
        <v>0</v>
      </c>
      <c r="AI78" s="458"/>
      <c r="AJ78" s="458"/>
      <c r="AK78" s="458"/>
      <c r="AL78" s="458"/>
      <c r="AM78" s="458"/>
      <c r="AN78" s="458"/>
      <c r="AO78" s="458"/>
      <c r="AP78" s="458"/>
      <c r="AQ78" s="458"/>
      <c r="AR78" s="2450"/>
      <c r="AS78" s="458">
        <f t="shared" ref="AS78:AW78" si="549">IF(AS$29=2,AS56,0)</f>
        <v>0</v>
      </c>
      <c r="AT78" s="458">
        <f t="shared" si="549"/>
        <v>0</v>
      </c>
      <c r="AU78" s="458">
        <f t="shared" si="549"/>
        <v>0</v>
      </c>
      <c r="AV78" s="458">
        <f t="shared" si="549"/>
        <v>0</v>
      </c>
      <c r="AW78" s="458">
        <f t="shared" si="549"/>
        <v>0</v>
      </c>
      <c r="AX78" s="458">
        <f t="shared" ref="AX78" si="550">IF(AX$29=2,AX56,0)</f>
        <v>0</v>
      </c>
      <c r="AY78" s="458">
        <f t="shared" ref="AY78:BI78" si="551">IF(AY$29=2,AY56,0)</f>
        <v>0</v>
      </c>
      <c r="AZ78" s="458">
        <f t="shared" ref="AZ78" si="552">IF(AZ$29=2,AZ56,0)</f>
        <v>0</v>
      </c>
      <c r="BA78" s="458">
        <f t="shared" si="551"/>
        <v>0</v>
      </c>
      <c r="BB78" s="458">
        <f t="shared" si="551"/>
        <v>0</v>
      </c>
      <c r="BC78" s="458">
        <f t="shared" si="551"/>
        <v>0</v>
      </c>
      <c r="BD78" s="458">
        <f t="shared" si="551"/>
        <v>0</v>
      </c>
      <c r="BE78" s="458">
        <f t="shared" si="551"/>
        <v>0</v>
      </c>
      <c r="BF78" s="458">
        <f t="shared" si="551"/>
        <v>0</v>
      </c>
      <c r="BG78" s="458">
        <f t="shared" si="551"/>
        <v>0</v>
      </c>
      <c r="BH78" s="458">
        <f t="shared" si="551"/>
        <v>0</v>
      </c>
      <c r="BI78" s="458">
        <f t="shared" si="551"/>
        <v>0</v>
      </c>
      <c r="BJ78" s="457"/>
      <c r="BK78" s="457"/>
      <c r="BL78" s="457"/>
      <c r="BM78" s="597">
        <f t="shared" si="397"/>
        <v>0</v>
      </c>
      <c r="BN78" s="579">
        <f t="shared" si="398"/>
        <v>0</v>
      </c>
      <c r="BO78" s="1089"/>
      <c r="BP78" s="1089"/>
      <c r="BQ78" s="1089"/>
      <c r="BR78" s="1089"/>
      <c r="BS78" s="1089"/>
      <c r="BT78" s="1089"/>
      <c r="BU78" s="1089"/>
      <c r="BV78" s="1089"/>
      <c r="BW78" s="1089"/>
      <c r="BX78" s="1089"/>
      <c r="BY78" s="1089"/>
      <c r="BZ78" s="1089"/>
    </row>
    <row r="79" spans="1:78" s="590" customFormat="1" ht="21.95" hidden="1" customHeight="1" thickBot="1" x14ac:dyDescent="0.2">
      <c r="A79" s="2596"/>
      <c r="B79" s="2681"/>
      <c r="C79" s="929" t="s">
        <v>453</v>
      </c>
      <c r="D79" s="2005"/>
      <c r="E79" s="1523"/>
      <c r="F79" s="239">
        <f t="shared" si="480"/>
        <v>0</v>
      </c>
      <c r="G79" s="239">
        <f t="shared" ref="G79" si="553">IF(G$29=2,G57,0)</f>
        <v>0</v>
      </c>
      <c r="H79" s="239">
        <f t="shared" ref="H79:I79" si="554">IF(H$29=2,H57,0)</f>
        <v>0</v>
      </c>
      <c r="I79" s="239">
        <f t="shared" si="554"/>
        <v>0</v>
      </c>
      <c r="J79" s="239"/>
      <c r="K79" s="239"/>
      <c r="L79" s="239"/>
      <c r="M79" s="239"/>
      <c r="N79" s="2440"/>
      <c r="O79" s="239">
        <f t="shared" ref="O79:V79" si="555">IF(O$29=2,O57,0)</f>
        <v>0</v>
      </c>
      <c r="P79" s="239">
        <f t="shared" si="555"/>
        <v>0</v>
      </c>
      <c r="Q79" s="239">
        <f t="shared" si="555"/>
        <v>0</v>
      </c>
      <c r="R79" s="239">
        <f t="shared" si="555"/>
        <v>0</v>
      </c>
      <c r="S79" s="239">
        <f t="shared" si="555"/>
        <v>0</v>
      </c>
      <c r="T79" s="239">
        <f t="shared" si="555"/>
        <v>0</v>
      </c>
      <c r="U79" s="239">
        <f t="shared" si="555"/>
        <v>0</v>
      </c>
      <c r="V79" s="239">
        <f t="shared" si="555"/>
        <v>0</v>
      </c>
      <c r="W79" s="239"/>
      <c r="X79" s="2440"/>
      <c r="Y79" s="239">
        <f t="shared" ref="Y79:AH79" si="556">IF(Y$29=2,Y57,0)</f>
        <v>0</v>
      </c>
      <c r="Z79" s="239">
        <f t="shared" si="556"/>
        <v>0</v>
      </c>
      <c r="AA79" s="239">
        <f t="shared" si="556"/>
        <v>0</v>
      </c>
      <c r="AB79" s="239">
        <f t="shared" si="556"/>
        <v>0</v>
      </c>
      <c r="AC79" s="239">
        <f t="shared" si="556"/>
        <v>0</v>
      </c>
      <c r="AD79" s="239">
        <f t="shared" si="556"/>
        <v>0</v>
      </c>
      <c r="AE79" s="239">
        <f t="shared" si="556"/>
        <v>0</v>
      </c>
      <c r="AF79" s="239">
        <f t="shared" si="556"/>
        <v>0</v>
      </c>
      <c r="AG79" s="239">
        <f t="shared" si="556"/>
        <v>0</v>
      </c>
      <c r="AH79" s="239">
        <f t="shared" si="556"/>
        <v>0</v>
      </c>
      <c r="AI79" s="239"/>
      <c r="AJ79" s="239"/>
      <c r="AK79" s="239"/>
      <c r="AL79" s="239"/>
      <c r="AM79" s="239"/>
      <c r="AN79" s="239"/>
      <c r="AO79" s="239"/>
      <c r="AP79" s="239"/>
      <c r="AQ79" s="239"/>
      <c r="AR79" s="2440"/>
      <c r="AS79" s="239">
        <f t="shared" ref="AS79:AW79" si="557">IF(AS$29=2,AS57,0)</f>
        <v>0</v>
      </c>
      <c r="AT79" s="239">
        <f t="shared" si="557"/>
        <v>0</v>
      </c>
      <c r="AU79" s="239">
        <f t="shared" si="557"/>
        <v>0</v>
      </c>
      <c r="AV79" s="239">
        <f t="shared" si="557"/>
        <v>0</v>
      </c>
      <c r="AW79" s="239">
        <f t="shared" si="557"/>
        <v>0</v>
      </c>
      <c r="AX79" s="239">
        <f t="shared" ref="AX79" si="558">IF(AX$29=2,AX57,0)</f>
        <v>0</v>
      </c>
      <c r="AY79" s="239">
        <f t="shared" ref="AY79:BI79" si="559">IF(AY$29=2,AY57,0)</f>
        <v>0</v>
      </c>
      <c r="AZ79" s="239">
        <f t="shared" ref="AZ79" si="560">IF(AZ$29=2,AZ57,0)</f>
        <v>0</v>
      </c>
      <c r="BA79" s="239">
        <f t="shared" si="559"/>
        <v>0</v>
      </c>
      <c r="BB79" s="239">
        <f t="shared" si="559"/>
        <v>0</v>
      </c>
      <c r="BC79" s="239">
        <f t="shared" si="559"/>
        <v>0</v>
      </c>
      <c r="BD79" s="239">
        <f t="shared" si="559"/>
        <v>0</v>
      </c>
      <c r="BE79" s="239">
        <f t="shared" si="559"/>
        <v>0</v>
      </c>
      <c r="BF79" s="239">
        <f t="shared" si="559"/>
        <v>0</v>
      </c>
      <c r="BG79" s="239">
        <f t="shared" si="559"/>
        <v>0</v>
      </c>
      <c r="BH79" s="239">
        <f t="shared" si="559"/>
        <v>0</v>
      </c>
      <c r="BI79" s="239">
        <f t="shared" si="559"/>
        <v>0</v>
      </c>
      <c r="BJ79" s="237"/>
      <c r="BK79" s="237"/>
      <c r="BL79" s="237"/>
      <c r="BM79" s="361">
        <f t="shared" si="397"/>
        <v>0</v>
      </c>
      <c r="BN79" s="579">
        <f t="shared" si="398"/>
        <v>0</v>
      </c>
      <c r="BO79" s="1089"/>
      <c r="BP79" s="1089"/>
      <c r="BQ79" s="1089"/>
      <c r="BR79" s="1089"/>
      <c r="BS79" s="1089"/>
      <c r="BT79" s="1089"/>
      <c r="BU79" s="1089"/>
      <c r="BV79" s="1089"/>
      <c r="BW79" s="1089"/>
      <c r="BX79" s="1089"/>
      <c r="BY79" s="1089"/>
      <c r="BZ79" s="1089"/>
    </row>
    <row r="80" spans="1:78" s="590" customFormat="1" ht="21.95" customHeight="1" x14ac:dyDescent="0.15">
      <c r="A80" s="2596"/>
      <c r="B80" s="2677" t="s">
        <v>1109</v>
      </c>
      <c r="C80" s="930" t="s">
        <v>693</v>
      </c>
      <c r="D80" s="2004"/>
      <c r="E80" s="592"/>
      <c r="F80" s="238">
        <f t="shared" ref="F80" si="561">SUM(F48:F57)</f>
        <v>0</v>
      </c>
      <c r="G80" s="238">
        <f t="shared" ref="G80" ca="1" si="562">SUM(G48:G57)</f>
        <v>241.57452540000151</v>
      </c>
      <c r="H80" s="238">
        <f t="shared" ref="H80:I80" ca="1" si="563">SUM(H48:H57)</f>
        <v>198.8181689999995</v>
      </c>
      <c r="I80" s="238">
        <f t="shared" ca="1" si="563"/>
        <v>173.35715759999897</v>
      </c>
      <c r="J80" s="238"/>
      <c r="K80" s="238"/>
      <c r="L80" s="238"/>
      <c r="M80" s="238"/>
      <c r="N80" s="2439"/>
      <c r="O80" s="238">
        <f t="shared" ref="O80:V80" ca="1" si="564">SUM(O48:O57)</f>
        <v>223.3544544000014</v>
      </c>
      <c r="P80" s="238">
        <f t="shared" ca="1" si="564"/>
        <v>293.35461187500232</v>
      </c>
      <c r="Q80" s="238">
        <f t="shared" ca="1" si="564"/>
        <v>313.97287920001145</v>
      </c>
      <c r="R80" s="238">
        <f t="shared" ca="1" si="564"/>
        <v>325.63873320001744</v>
      </c>
      <c r="S80" s="238">
        <f t="shared" ca="1" si="564"/>
        <v>311.27061240001569</v>
      </c>
      <c r="T80" s="238">
        <f t="shared" ca="1" si="564"/>
        <v>518.01742467603935</v>
      </c>
      <c r="U80" s="238">
        <f t="shared" ca="1" si="564"/>
        <v>516.16544309480253</v>
      </c>
      <c r="V80" s="238">
        <f t="shared" ca="1" si="564"/>
        <v>265.7878445732926</v>
      </c>
      <c r="W80" s="238"/>
      <c r="X80" s="2439"/>
      <c r="Y80" s="238">
        <f t="shared" ref="Y80:AH80" ca="1" si="565">SUM(Y48:Y57)</f>
        <v>290.96662603278747</v>
      </c>
      <c r="Z80" s="238">
        <f t="shared" ca="1" si="565"/>
        <v>317.36073240000434</v>
      </c>
      <c r="AA80" s="238">
        <f t="shared" ca="1" si="565"/>
        <v>319.09621680000623</v>
      </c>
      <c r="AB80" s="238">
        <f t="shared" ca="1" si="565"/>
        <v>317.01704400000824</v>
      </c>
      <c r="AC80" s="238">
        <f t="shared" ca="1" si="565"/>
        <v>285.47456874404537</v>
      </c>
      <c r="AD80" s="238">
        <f t="shared" ca="1" si="565"/>
        <v>276.24258200000617</v>
      </c>
      <c r="AE80" s="238">
        <f t="shared" ca="1" si="565"/>
        <v>277.02468000000772</v>
      </c>
      <c r="AF80" s="238">
        <f t="shared" ca="1" si="565"/>
        <v>476.26537165431915</v>
      </c>
      <c r="AG80" s="238">
        <f t="shared" ca="1" si="565"/>
        <v>514.2226021788764</v>
      </c>
      <c r="AH80" s="238">
        <f t="shared" ca="1" si="565"/>
        <v>574.94312248068763</v>
      </c>
      <c r="AI80" s="238"/>
      <c r="AJ80" s="238"/>
      <c r="AK80" s="238"/>
      <c r="AL80" s="238"/>
      <c r="AM80" s="238"/>
      <c r="AN80" s="238"/>
      <c r="AO80" s="238"/>
      <c r="AP80" s="238"/>
      <c r="AQ80" s="238"/>
      <c r="AR80" s="2439"/>
      <c r="AS80" s="238">
        <f t="shared" ref="AS80:AW80" ca="1" si="566">SUM(AS48:AS57)</f>
        <v>243.92774429999977</v>
      </c>
      <c r="AT80" s="238">
        <f t="shared" ca="1" si="566"/>
        <v>268.59278335999971</v>
      </c>
      <c r="AU80" s="238">
        <f t="shared" ca="1" si="566"/>
        <v>270.01853632000427</v>
      </c>
      <c r="AV80" s="238">
        <f t="shared" ca="1" si="566"/>
        <v>268.06096952000559</v>
      </c>
      <c r="AW80" s="238">
        <f t="shared" ca="1" si="566"/>
        <v>515.21081217846211</v>
      </c>
      <c r="AX80" s="238">
        <f t="shared" ref="AX80" si="567">SUM(AX48:AX57)</f>
        <v>0</v>
      </c>
      <c r="AY80" s="238">
        <f t="shared" ref="AY80:BI80" si="568">SUM(AY48:AY57)</f>
        <v>1141.3351824000003</v>
      </c>
      <c r="AZ80" s="238">
        <f t="shared" ref="AZ80" si="569">SUM(AZ48:AZ57)</f>
        <v>0</v>
      </c>
      <c r="BA80" s="238">
        <f t="shared" si="568"/>
        <v>151.59772319999996</v>
      </c>
      <c r="BB80" s="158">
        <f t="shared" si="568"/>
        <v>0</v>
      </c>
      <c r="BC80" s="158">
        <f t="shared" si="568"/>
        <v>0</v>
      </c>
      <c r="BD80" s="158">
        <f t="shared" si="568"/>
        <v>0</v>
      </c>
      <c r="BE80" s="158">
        <f t="shared" si="568"/>
        <v>0</v>
      </c>
      <c r="BF80" s="158">
        <f t="shared" si="568"/>
        <v>0</v>
      </c>
      <c r="BG80" s="158">
        <f t="shared" si="568"/>
        <v>0</v>
      </c>
      <c r="BH80" s="158">
        <f t="shared" si="568"/>
        <v>0</v>
      </c>
      <c r="BI80" s="158">
        <f t="shared" si="568"/>
        <v>0</v>
      </c>
      <c r="BJ80" s="879"/>
      <c r="BK80" s="879"/>
      <c r="BL80" s="879"/>
      <c r="BM80" s="362">
        <f t="shared" ca="1" si="397"/>
        <v>9888.66</v>
      </c>
      <c r="BN80" s="579">
        <f t="shared" ca="1" si="398"/>
        <v>19777.329152988405</v>
      </c>
      <c r="BO80" s="1089"/>
      <c r="BP80" s="1089"/>
      <c r="BQ80" s="1089"/>
      <c r="BR80" s="1089"/>
      <c r="BS80" s="1089"/>
      <c r="BT80" s="1089"/>
      <c r="BU80" s="1089"/>
      <c r="BV80" s="1089"/>
      <c r="BW80" s="1089"/>
      <c r="BX80" s="1089"/>
      <c r="BY80" s="1089"/>
      <c r="BZ80" s="1089"/>
    </row>
    <row r="81" spans="1:78" s="590" customFormat="1" ht="21.95" customHeight="1" thickBot="1" x14ac:dyDescent="0.2">
      <c r="A81" s="2596"/>
      <c r="B81" s="2670"/>
      <c r="C81" s="599" t="s">
        <v>1260</v>
      </c>
      <c r="D81" s="2005"/>
      <c r="E81" s="1523"/>
      <c r="F81" s="239">
        <f t="shared" ref="F81" si="570">F80*5%</f>
        <v>0</v>
      </c>
      <c r="G81" s="239">
        <f t="shared" ref="G81" ca="1" si="571">G80*5%</f>
        <v>12.078726270000075</v>
      </c>
      <c r="H81" s="239">
        <f t="shared" ref="H81:I81" ca="1" si="572">H80*5%</f>
        <v>9.9409084499999754</v>
      </c>
      <c r="I81" s="239">
        <f t="shared" ca="1" si="572"/>
        <v>8.6678578799999482</v>
      </c>
      <c r="J81" s="239"/>
      <c r="K81" s="239"/>
      <c r="L81" s="239"/>
      <c r="M81" s="239"/>
      <c r="N81" s="2440"/>
      <c r="O81" s="239">
        <f t="shared" ref="O81:V81" ca="1" si="573">O80*5%</f>
        <v>11.167722720000071</v>
      </c>
      <c r="P81" s="239">
        <f t="shared" ca="1" si="573"/>
        <v>14.667730593750116</v>
      </c>
      <c r="Q81" s="239">
        <f t="shared" ca="1" si="573"/>
        <v>15.698643960000574</v>
      </c>
      <c r="R81" s="239">
        <f t="shared" ca="1" si="573"/>
        <v>16.281936660000873</v>
      </c>
      <c r="S81" s="239">
        <f t="shared" ca="1" si="573"/>
        <v>15.563530620000785</v>
      </c>
      <c r="T81" s="239">
        <f t="shared" ca="1" si="573"/>
        <v>25.900871233801968</v>
      </c>
      <c r="U81" s="239">
        <f t="shared" ca="1" si="573"/>
        <v>25.808272154740127</v>
      </c>
      <c r="V81" s="239">
        <f t="shared" ca="1" si="573"/>
        <v>13.289392228664632</v>
      </c>
      <c r="W81" s="239"/>
      <c r="X81" s="2440"/>
      <c r="Y81" s="239">
        <f t="shared" ref="Y81:AH81" ca="1" si="574">Y80*5%</f>
        <v>14.548331301639374</v>
      </c>
      <c r="Z81" s="239">
        <f t="shared" ca="1" si="574"/>
        <v>15.868036620000218</v>
      </c>
      <c r="AA81" s="239">
        <f t="shared" ca="1" si="574"/>
        <v>15.954810840000313</v>
      </c>
      <c r="AB81" s="239">
        <f t="shared" ca="1" si="574"/>
        <v>15.850852200000412</v>
      </c>
      <c r="AC81" s="239">
        <f t="shared" ca="1" si="574"/>
        <v>14.273728437202269</v>
      </c>
      <c r="AD81" s="239">
        <f t="shared" ca="1" si="574"/>
        <v>13.812129100000309</v>
      </c>
      <c r="AE81" s="239">
        <f t="shared" ca="1" si="574"/>
        <v>13.851234000000387</v>
      </c>
      <c r="AF81" s="239">
        <f t="shared" ca="1" si="574"/>
        <v>23.81326858271596</v>
      </c>
      <c r="AG81" s="239">
        <f t="shared" ca="1" si="574"/>
        <v>25.71113010894382</v>
      </c>
      <c r="AH81" s="239">
        <f t="shared" ca="1" si="574"/>
        <v>28.747156124034383</v>
      </c>
      <c r="AI81" s="239"/>
      <c r="AJ81" s="239"/>
      <c r="AK81" s="239"/>
      <c r="AL81" s="239"/>
      <c r="AM81" s="239"/>
      <c r="AN81" s="239"/>
      <c r="AO81" s="239"/>
      <c r="AP81" s="239"/>
      <c r="AQ81" s="239"/>
      <c r="AR81" s="2440"/>
      <c r="AS81" s="239">
        <f t="shared" ref="AS81:AW81" ca="1" si="575">AS80*5%</f>
        <v>12.196387214999989</v>
      </c>
      <c r="AT81" s="239">
        <f t="shared" ca="1" si="575"/>
        <v>13.429639167999987</v>
      </c>
      <c r="AU81" s="239">
        <f t="shared" ca="1" si="575"/>
        <v>13.500926816000215</v>
      </c>
      <c r="AV81" s="239">
        <f t="shared" ca="1" si="575"/>
        <v>13.403048476000279</v>
      </c>
      <c r="AW81" s="239">
        <f t="shared" ca="1" si="575"/>
        <v>25.760540608923108</v>
      </c>
      <c r="AX81" s="239">
        <f t="shared" ref="AX81" si="576">AX80*5%</f>
        <v>0</v>
      </c>
      <c r="AY81" s="239">
        <f t="shared" ref="AY81:BI81" si="577">AY80*5%</f>
        <v>57.066759120000022</v>
      </c>
      <c r="AZ81" s="239">
        <f t="shared" ref="AZ81" si="578">AZ80*5%</f>
        <v>0</v>
      </c>
      <c r="BA81" s="239">
        <f t="shared" si="577"/>
        <v>7.5798861599999983</v>
      </c>
      <c r="BB81" s="239">
        <f t="shared" si="577"/>
        <v>0</v>
      </c>
      <c r="BC81" s="239">
        <f t="shared" si="577"/>
        <v>0</v>
      </c>
      <c r="BD81" s="239">
        <f t="shared" si="577"/>
        <v>0</v>
      </c>
      <c r="BE81" s="239">
        <f t="shared" si="577"/>
        <v>0</v>
      </c>
      <c r="BF81" s="239">
        <f t="shared" si="577"/>
        <v>0</v>
      </c>
      <c r="BG81" s="239">
        <f t="shared" si="577"/>
        <v>0</v>
      </c>
      <c r="BH81" s="239">
        <f t="shared" si="577"/>
        <v>0</v>
      </c>
      <c r="BI81" s="239">
        <f t="shared" si="577"/>
        <v>0</v>
      </c>
      <c r="BJ81" s="237"/>
      <c r="BK81" s="237"/>
      <c r="BL81" s="237"/>
      <c r="BM81" s="361">
        <f t="shared" ca="1" si="397"/>
        <v>494.43</v>
      </c>
      <c r="BN81" s="579">
        <f t="shared" ca="1" si="398"/>
        <v>988.8634576494203</v>
      </c>
      <c r="BO81" s="1089"/>
      <c r="BP81" s="1089"/>
      <c r="BQ81" s="1089"/>
      <c r="BR81" s="1089"/>
      <c r="BS81" s="1089"/>
      <c r="BT81" s="1089"/>
      <c r="BU81" s="1089"/>
      <c r="BV81" s="1089"/>
      <c r="BW81" s="1089"/>
      <c r="BX81" s="1089"/>
      <c r="BY81" s="1089"/>
      <c r="BZ81" s="1089"/>
    </row>
    <row r="82" spans="1:78" s="590" customFormat="1" ht="21.95" customHeight="1" x14ac:dyDescent="0.15">
      <c r="A82" s="2596"/>
      <c r="B82" s="2671" t="s">
        <v>7</v>
      </c>
      <c r="C82" s="930" t="s">
        <v>454</v>
      </c>
      <c r="D82" s="2003"/>
      <c r="E82" s="1520"/>
      <c r="F82" s="238">
        <f t="shared" ref="F82" si="579">IF(F6&gt;0,((2*F12+F6)*(2*F12+F7))*F2*F3,(F4*1.2)^2*PI()/4*F2*F3)</f>
        <v>0</v>
      </c>
      <c r="G82" s="238">
        <f t="shared" ref="G82" ca="1" si="580">IF(G6&gt;0,((2*G12+G6)*(2*G12+G7))*G2*G3,(G4*1.2)^2*PI()/4*G2*G3)</f>
        <v>29.32297237733518</v>
      </c>
      <c r="H82" s="238">
        <f t="shared" ref="H82:I82" ca="1" si="581">IF(H6&gt;0,((2*H12+H6)*(2*H12+H7))*H2*H3,(H4*1.2)^2*PI()/4*H2*H3)</f>
        <v>24.095161139831934</v>
      </c>
      <c r="I82" s="238">
        <f t="shared" ca="1" si="581"/>
        <v>24.095161139831934</v>
      </c>
      <c r="J82" s="238"/>
      <c r="K82" s="238"/>
      <c r="L82" s="238"/>
      <c r="M82" s="238"/>
      <c r="N82" s="2439"/>
      <c r="O82" s="238">
        <f t="shared" ref="O82:V82" ca="1" si="582">IF(O6&gt;0,((2*O12+O6)*(2*O12+O7))*O2*O3,(O4*1.2)^2*PI()/4*O2*O3)</f>
        <v>27.230219280702258</v>
      </c>
      <c r="P82" s="238">
        <f t="shared" ca="1" si="582"/>
        <v>35.72744829368456</v>
      </c>
      <c r="Q82" s="238">
        <f t="shared" ca="1" si="582"/>
        <v>36.285244352514738</v>
      </c>
      <c r="R82" s="238">
        <f t="shared" ca="1" si="582"/>
        <v>37.099545168325214</v>
      </c>
      <c r="S82" s="238">
        <f t="shared" ca="1" si="582"/>
        <v>35.470943536704262</v>
      </c>
      <c r="T82" s="238">
        <f t="shared" ca="1" si="582"/>
        <v>107.17103514750077</v>
      </c>
      <c r="U82" s="238">
        <f t="shared" ca="1" si="582"/>
        <v>107.17103514750077</v>
      </c>
      <c r="V82" s="238">
        <f t="shared" ca="1" si="582"/>
        <v>61.932100935807746</v>
      </c>
      <c r="W82" s="238"/>
      <c r="X82" s="2439"/>
      <c r="Y82" s="238">
        <f t="shared" ref="Y82:AH82" ca="1" si="583">IF(Y6&gt;0,((2*Y12+Y6)*(2*Y12+Y7))*Y2*Y3,(Y4*1.2)^2*PI()/4*Y2*Y3)</f>
        <v>52.136966900291974</v>
      </c>
      <c r="Z82" s="238">
        <f t="shared" ca="1" si="583"/>
        <v>38.549000620467858</v>
      </c>
      <c r="AA82" s="238">
        <f t="shared" ca="1" si="583"/>
        <v>38.549000620467858</v>
      </c>
      <c r="AB82" s="238">
        <f t="shared" ca="1" si="583"/>
        <v>38.549000620467858</v>
      </c>
      <c r="AC82" s="238">
        <f t="shared" ca="1" si="583"/>
        <v>52.202110965556813</v>
      </c>
      <c r="AD82" s="238">
        <f t="shared" ca="1" si="583"/>
        <v>52.151443359239707</v>
      </c>
      <c r="AE82" s="238">
        <f t="shared" ca="1" si="583"/>
        <v>52.332399096086483</v>
      </c>
      <c r="AF82" s="238">
        <f t="shared" ca="1" si="583"/>
        <v>95.883921061683367</v>
      </c>
      <c r="AG82" s="238">
        <f t="shared" ca="1" si="583"/>
        <v>104.26443362439949</v>
      </c>
      <c r="AH82" s="238">
        <f t="shared" ca="1" si="583"/>
        <v>104.26443362439949</v>
      </c>
      <c r="AI82" s="238"/>
      <c r="AJ82" s="238"/>
      <c r="AK82" s="238"/>
      <c r="AL82" s="238"/>
      <c r="AM82" s="238"/>
      <c r="AN82" s="238"/>
      <c r="AO82" s="238"/>
      <c r="AP82" s="238"/>
      <c r="AQ82" s="238"/>
      <c r="AR82" s="2439"/>
      <c r="AS82" s="238">
        <f t="shared" ref="AS82:AW82" ca="1" si="584">IF(AS6&gt;0,((2*AS12+AS6)*(2*AS12+AS7))*AS2*AS3,(AS4*1.2)^2*PI()/4*AS2*AS3)</f>
        <v>29.404402458916227</v>
      </c>
      <c r="AT82" s="238">
        <f t="shared" ca="1" si="584"/>
        <v>52.144205129765844</v>
      </c>
      <c r="AU82" s="238">
        <f t="shared" ca="1" si="584"/>
        <v>52.129728670818096</v>
      </c>
      <c r="AV82" s="238">
        <f t="shared" ca="1" si="584"/>
        <v>52.122490441344233</v>
      </c>
      <c r="AW82" s="238">
        <f t="shared" ca="1" si="584"/>
        <v>81.690205452764687</v>
      </c>
      <c r="AX82" s="238">
        <f t="shared" ref="AX82" si="585">IF(AX6&gt;0,((2*AX12+AX6)*(2*AX12+AX7))*AX2*AX3,(AX4*1.2)^2*PI()/4*AX2*AX3)</f>
        <v>0</v>
      </c>
      <c r="AY82" s="238">
        <f t="shared" ref="AY82:BI82" si="586">IF(AY6&gt;0,((2*AY12+AY6)*(2*AY12+AY7))*AY2*AY3,(AY4*1.2)^2*PI()/4*AY2*AY3)</f>
        <v>145.12650095111121</v>
      </c>
      <c r="AZ82" s="238">
        <f t="shared" ref="AZ82" si="587">IF(AZ6&gt;0,((2*AZ12+AZ6)*(2*AZ12+AZ7))*AZ2*AZ3,(AZ4*1.2)^2*PI()/4*AZ2*AZ3)</f>
        <v>0</v>
      </c>
      <c r="BA82" s="238">
        <f t="shared" si="586"/>
        <v>26.871926921745651</v>
      </c>
      <c r="BB82" s="238">
        <f t="shared" si="586"/>
        <v>0</v>
      </c>
      <c r="BC82" s="238">
        <f t="shared" si="586"/>
        <v>0</v>
      </c>
      <c r="BD82" s="238">
        <f t="shared" si="586"/>
        <v>0</v>
      </c>
      <c r="BE82" s="238">
        <f t="shared" si="586"/>
        <v>0</v>
      </c>
      <c r="BF82" s="238">
        <f t="shared" si="586"/>
        <v>0</v>
      </c>
      <c r="BG82" s="238">
        <f t="shared" si="586"/>
        <v>0</v>
      </c>
      <c r="BH82" s="238">
        <f t="shared" si="586"/>
        <v>0</v>
      </c>
      <c r="BI82" s="238">
        <f t="shared" si="586"/>
        <v>0</v>
      </c>
      <c r="BJ82" s="241"/>
      <c r="BK82" s="241"/>
      <c r="BL82" s="241"/>
      <c r="BM82" s="593">
        <f t="shared" ca="1" si="397"/>
        <v>1593.97</v>
      </c>
      <c r="BN82" s="579">
        <f t="shared" ca="1" si="398"/>
        <v>3187.9430370392665</v>
      </c>
      <c r="BO82" s="1089"/>
      <c r="BP82" s="1089"/>
      <c r="BQ82" s="1089"/>
      <c r="BR82" s="1089"/>
      <c r="BS82" s="1089"/>
      <c r="BT82" s="1089"/>
      <c r="BU82" s="1089"/>
      <c r="BV82" s="1089"/>
      <c r="BW82" s="1089"/>
      <c r="BX82" s="1089"/>
      <c r="BY82" s="1089"/>
      <c r="BZ82" s="1089"/>
    </row>
    <row r="83" spans="1:78" s="590" customFormat="1" ht="21.95" hidden="1" customHeight="1" x14ac:dyDescent="0.15">
      <c r="A83" s="2596"/>
      <c r="B83" s="2668"/>
      <c r="C83" s="591" t="s">
        <v>740</v>
      </c>
      <c r="D83" s="2004"/>
      <c r="E83" s="592"/>
      <c r="F83" s="158">
        <f t="shared" ref="F83" si="588">(F39+F37)/2*F16*F2</f>
        <v>0</v>
      </c>
      <c r="G83" s="158">
        <f t="shared" ref="G83" ca="1" si="589">(G39+G37)/2*G16*G2</f>
        <v>0</v>
      </c>
      <c r="H83" s="158">
        <f t="shared" ref="H83:I83" ca="1" si="590">(H39+H37)/2*H16*H2</f>
        <v>0</v>
      </c>
      <c r="I83" s="158">
        <f t="shared" ca="1" si="590"/>
        <v>0</v>
      </c>
      <c r="J83" s="158"/>
      <c r="K83" s="158"/>
      <c r="L83" s="158"/>
      <c r="M83" s="158"/>
      <c r="N83" s="2416"/>
      <c r="O83" s="158">
        <f t="shared" ref="O83:V83" ca="1" si="591">(O39+O37)/2*O16*O2</f>
        <v>0</v>
      </c>
      <c r="P83" s="158">
        <f t="shared" ca="1" si="591"/>
        <v>0</v>
      </c>
      <c r="Q83" s="158">
        <f t="shared" ca="1" si="591"/>
        <v>0</v>
      </c>
      <c r="R83" s="158">
        <f t="shared" ca="1" si="591"/>
        <v>0</v>
      </c>
      <c r="S83" s="158">
        <f t="shared" ca="1" si="591"/>
        <v>0</v>
      </c>
      <c r="T83" s="158">
        <f t="shared" ca="1" si="591"/>
        <v>0</v>
      </c>
      <c r="U83" s="158">
        <f t="shared" ca="1" si="591"/>
        <v>0</v>
      </c>
      <c r="V83" s="158">
        <f t="shared" ca="1" si="591"/>
        <v>0</v>
      </c>
      <c r="W83" s="158"/>
      <c r="X83" s="2416"/>
      <c r="Y83" s="158">
        <f t="shared" ref="Y83:AH83" ca="1" si="592">(Y39+Y37)/2*Y16*Y2</f>
        <v>0</v>
      </c>
      <c r="Z83" s="158">
        <f t="shared" ca="1" si="592"/>
        <v>0</v>
      </c>
      <c r="AA83" s="158">
        <f t="shared" ca="1" si="592"/>
        <v>0</v>
      </c>
      <c r="AB83" s="158">
        <f t="shared" ca="1" si="592"/>
        <v>0</v>
      </c>
      <c r="AC83" s="158">
        <f t="shared" ca="1" si="592"/>
        <v>0</v>
      </c>
      <c r="AD83" s="158">
        <f t="shared" ca="1" si="592"/>
        <v>0</v>
      </c>
      <c r="AE83" s="158">
        <f t="shared" ca="1" si="592"/>
        <v>0</v>
      </c>
      <c r="AF83" s="158">
        <f t="shared" ca="1" si="592"/>
        <v>0</v>
      </c>
      <c r="AG83" s="158">
        <f t="shared" ca="1" si="592"/>
        <v>0</v>
      </c>
      <c r="AH83" s="158">
        <f t="shared" ca="1" si="592"/>
        <v>0</v>
      </c>
      <c r="AI83" s="158"/>
      <c r="AJ83" s="158"/>
      <c r="AK83" s="158"/>
      <c r="AL83" s="158"/>
      <c r="AM83" s="158"/>
      <c r="AN83" s="158"/>
      <c r="AO83" s="158"/>
      <c r="AP83" s="158"/>
      <c r="AQ83" s="158"/>
      <c r="AR83" s="2416"/>
      <c r="AS83" s="158">
        <f t="shared" ref="AS83:AW83" ca="1" si="593">(AS39+AS37)/2*AS16*AS2</f>
        <v>0</v>
      </c>
      <c r="AT83" s="158">
        <f t="shared" ca="1" si="593"/>
        <v>0</v>
      </c>
      <c r="AU83" s="158">
        <f t="shared" ca="1" si="593"/>
        <v>0</v>
      </c>
      <c r="AV83" s="158">
        <f t="shared" ca="1" si="593"/>
        <v>0</v>
      </c>
      <c r="AW83" s="158">
        <f t="shared" ca="1" si="593"/>
        <v>0</v>
      </c>
      <c r="AX83" s="158">
        <f t="shared" ref="AX83" si="594">(AX39+AX37)/2*AX16*AX2</f>
        <v>0</v>
      </c>
      <c r="AY83" s="158">
        <f t="shared" ref="AY83:BI83" si="595">(AY39+AY37)/2*AY16*AY2</f>
        <v>0</v>
      </c>
      <c r="AZ83" s="158">
        <f t="shared" ref="AZ83" si="596">(AZ39+AZ37)/2*AZ16*AZ2</f>
        <v>0</v>
      </c>
      <c r="BA83" s="158">
        <f t="shared" si="595"/>
        <v>0</v>
      </c>
      <c r="BB83" s="158">
        <f t="shared" si="595"/>
        <v>0</v>
      </c>
      <c r="BC83" s="158">
        <f t="shared" si="595"/>
        <v>0</v>
      </c>
      <c r="BD83" s="158">
        <f t="shared" si="595"/>
        <v>0</v>
      </c>
      <c r="BE83" s="158">
        <f t="shared" si="595"/>
        <v>0</v>
      </c>
      <c r="BF83" s="158">
        <f t="shared" si="595"/>
        <v>0</v>
      </c>
      <c r="BG83" s="158">
        <f t="shared" si="595"/>
        <v>0</v>
      </c>
      <c r="BH83" s="158">
        <f t="shared" si="595"/>
        <v>0</v>
      </c>
      <c r="BI83" s="158">
        <f t="shared" si="595"/>
        <v>0</v>
      </c>
      <c r="BJ83" s="159"/>
      <c r="BK83" s="159"/>
      <c r="BL83" s="159"/>
      <c r="BM83" s="595">
        <f t="shared" ca="1" si="397"/>
        <v>0</v>
      </c>
      <c r="BN83" s="579">
        <f t="shared" ca="1" si="398"/>
        <v>0</v>
      </c>
      <c r="BO83" s="1089"/>
      <c r="BP83" s="1089"/>
      <c r="BQ83" s="1089"/>
      <c r="BR83" s="1089"/>
      <c r="BS83" s="1089"/>
      <c r="BT83" s="1089"/>
      <c r="BU83" s="1089"/>
      <c r="BV83" s="1089"/>
      <c r="BW83" s="1089"/>
      <c r="BX83" s="1089"/>
      <c r="BY83" s="1089"/>
      <c r="BZ83" s="1089"/>
    </row>
    <row r="84" spans="1:78" s="590" customFormat="1" ht="32.1" hidden="1" customHeight="1" x14ac:dyDescent="0.15">
      <c r="A84" s="2596"/>
      <c r="B84" s="2668"/>
      <c r="C84" s="598" t="s">
        <v>1479</v>
      </c>
      <c r="D84" s="2004"/>
      <c r="E84" s="592"/>
      <c r="F84" s="158">
        <f t="shared" ref="F84" si="597">IF(F41&gt;F122,F41*1.4,F122)</f>
        <v>0</v>
      </c>
      <c r="G84" s="158">
        <f t="shared" ref="G84" si="598">IF(G41&gt;G122,G41*1.4,G122)</f>
        <v>0</v>
      </c>
      <c r="H84" s="158">
        <f t="shared" ref="H84:I84" si="599">IF(H41&gt;H122,H41*1.4,H122)</f>
        <v>0</v>
      </c>
      <c r="I84" s="158">
        <f t="shared" si="599"/>
        <v>0</v>
      </c>
      <c r="J84" s="158"/>
      <c r="K84" s="158"/>
      <c r="L84" s="158"/>
      <c r="M84" s="158"/>
      <c r="N84" s="2416"/>
      <c r="O84" s="158">
        <f t="shared" ref="O84:V84" si="600">IF(O41&gt;O122,O41*1.4,O122)</f>
        <v>0</v>
      </c>
      <c r="P84" s="158">
        <f t="shared" si="600"/>
        <v>0</v>
      </c>
      <c r="Q84" s="158">
        <f t="shared" si="600"/>
        <v>0</v>
      </c>
      <c r="R84" s="158">
        <f t="shared" si="600"/>
        <v>0</v>
      </c>
      <c r="S84" s="158">
        <f t="shared" si="600"/>
        <v>0</v>
      </c>
      <c r="T84" s="158">
        <f t="shared" si="600"/>
        <v>0</v>
      </c>
      <c r="U84" s="158">
        <f t="shared" si="600"/>
        <v>0</v>
      </c>
      <c r="V84" s="158">
        <f t="shared" si="600"/>
        <v>0</v>
      </c>
      <c r="W84" s="158"/>
      <c r="X84" s="2416"/>
      <c r="Y84" s="158">
        <f t="shared" ref="Y84:AH84" si="601">IF(Y41&gt;Y122,Y41*1.4,Y122)</f>
        <v>0</v>
      </c>
      <c r="Z84" s="158">
        <f t="shared" si="601"/>
        <v>0</v>
      </c>
      <c r="AA84" s="158">
        <f t="shared" si="601"/>
        <v>0</v>
      </c>
      <c r="AB84" s="158">
        <f t="shared" si="601"/>
        <v>0</v>
      </c>
      <c r="AC84" s="158">
        <f t="shared" si="601"/>
        <v>0</v>
      </c>
      <c r="AD84" s="158">
        <f t="shared" si="601"/>
        <v>0</v>
      </c>
      <c r="AE84" s="158">
        <f t="shared" si="601"/>
        <v>0</v>
      </c>
      <c r="AF84" s="158">
        <f t="shared" si="601"/>
        <v>0</v>
      </c>
      <c r="AG84" s="158">
        <f t="shared" si="601"/>
        <v>0</v>
      </c>
      <c r="AH84" s="158">
        <f t="shared" si="601"/>
        <v>0</v>
      </c>
      <c r="AI84" s="158"/>
      <c r="AJ84" s="158"/>
      <c r="AK84" s="158"/>
      <c r="AL84" s="158"/>
      <c r="AM84" s="158"/>
      <c r="AN84" s="158"/>
      <c r="AO84" s="158"/>
      <c r="AP84" s="158"/>
      <c r="AQ84" s="158"/>
      <c r="AR84" s="2416"/>
      <c r="AS84" s="158">
        <f t="shared" ref="AS84:AW84" si="602">IF(AS41&gt;AS122,AS41*1.4,AS122)</f>
        <v>0</v>
      </c>
      <c r="AT84" s="158">
        <f t="shared" si="602"/>
        <v>0</v>
      </c>
      <c r="AU84" s="158">
        <f t="shared" si="602"/>
        <v>0</v>
      </c>
      <c r="AV84" s="158">
        <f t="shared" si="602"/>
        <v>0</v>
      </c>
      <c r="AW84" s="158">
        <f t="shared" si="602"/>
        <v>0</v>
      </c>
      <c r="AX84" s="158">
        <f t="shared" ref="AX84" si="603">IF(AX41&gt;AX122,AX41*1.4,AX122)</f>
        <v>0</v>
      </c>
      <c r="AY84" s="158">
        <f t="shared" ref="AY84:BI84" si="604">IF(AY41&gt;AY122,AY41*1.4,AY122)</f>
        <v>0</v>
      </c>
      <c r="AZ84" s="158">
        <f t="shared" ref="AZ84" si="605">IF(AZ41&gt;AZ122,AZ41*1.4,AZ122)</f>
        <v>0</v>
      </c>
      <c r="BA84" s="158">
        <f t="shared" si="604"/>
        <v>0</v>
      </c>
      <c r="BB84" s="158">
        <f t="shared" si="604"/>
        <v>0</v>
      </c>
      <c r="BC84" s="158">
        <f t="shared" si="604"/>
        <v>0</v>
      </c>
      <c r="BD84" s="158">
        <f t="shared" si="604"/>
        <v>0</v>
      </c>
      <c r="BE84" s="158">
        <f t="shared" si="604"/>
        <v>0</v>
      </c>
      <c r="BF84" s="158">
        <f t="shared" si="604"/>
        <v>0</v>
      </c>
      <c r="BG84" s="158">
        <f t="shared" si="604"/>
        <v>0</v>
      </c>
      <c r="BH84" s="158">
        <f t="shared" si="604"/>
        <v>0</v>
      </c>
      <c r="BI84" s="158">
        <f t="shared" si="604"/>
        <v>0</v>
      </c>
      <c r="BJ84" s="159"/>
      <c r="BK84" s="159"/>
      <c r="BL84" s="159"/>
      <c r="BM84" s="595">
        <f t="shared" si="397"/>
        <v>0</v>
      </c>
      <c r="BN84" s="579">
        <f t="shared" si="398"/>
        <v>0</v>
      </c>
      <c r="BO84" s="1089"/>
      <c r="BP84" s="1089"/>
      <c r="BQ84" s="1089"/>
      <c r="BR84" s="1089"/>
      <c r="BS84" s="1089"/>
      <c r="BT84" s="1089"/>
      <c r="BU84" s="1089"/>
      <c r="BV84" s="1089"/>
      <c r="BW84" s="1089"/>
      <c r="BX84" s="1089"/>
      <c r="BY84" s="1089"/>
      <c r="BZ84" s="1089"/>
    </row>
    <row r="85" spans="1:78" s="590" customFormat="1" ht="21.95" customHeight="1" x14ac:dyDescent="0.15">
      <c r="A85" s="2596"/>
      <c r="B85" s="2668"/>
      <c r="C85" s="598" t="s">
        <v>739</v>
      </c>
      <c r="D85" s="2004"/>
      <c r="E85" s="592"/>
      <c r="F85" s="158">
        <f t="shared" ref="F85" si="606">IF(+F83+F82&gt;F46,F46,F83+F82)+F84</f>
        <v>0</v>
      </c>
      <c r="G85" s="158">
        <f t="shared" ref="G85" ca="1" si="607">IF(+G83+G82&gt;G46,G46,G83+G82)+G84</f>
        <v>29.32297237733518</v>
      </c>
      <c r="H85" s="158">
        <f t="shared" ref="H85:I85" ca="1" si="608">IF(+H83+H82&gt;H46,H46,H83+H82)+H84</f>
        <v>24.095161139831934</v>
      </c>
      <c r="I85" s="158">
        <f t="shared" ca="1" si="608"/>
        <v>24.095161139831934</v>
      </c>
      <c r="J85" s="158"/>
      <c r="K85" s="158"/>
      <c r="L85" s="158"/>
      <c r="M85" s="158"/>
      <c r="N85" s="2416"/>
      <c r="O85" s="158">
        <f t="shared" ref="O85:V85" ca="1" si="609">IF(+O83+O82&gt;O46,O46,O83+O82)+O84</f>
        <v>27.230219280702258</v>
      </c>
      <c r="P85" s="158">
        <f t="shared" ca="1" si="609"/>
        <v>35.72744829368456</v>
      </c>
      <c r="Q85" s="158">
        <f t="shared" ca="1" si="609"/>
        <v>36.285244352514738</v>
      </c>
      <c r="R85" s="158">
        <f t="shared" ca="1" si="609"/>
        <v>37.099545168325214</v>
      </c>
      <c r="S85" s="158">
        <f t="shared" ca="1" si="609"/>
        <v>35.470943536704262</v>
      </c>
      <c r="T85" s="158">
        <f t="shared" ca="1" si="609"/>
        <v>107.17103514750077</v>
      </c>
      <c r="U85" s="158">
        <f t="shared" ca="1" si="609"/>
        <v>107.17103514750077</v>
      </c>
      <c r="V85" s="158">
        <f t="shared" ca="1" si="609"/>
        <v>61.932100935807746</v>
      </c>
      <c r="W85" s="158"/>
      <c r="X85" s="2416"/>
      <c r="Y85" s="158">
        <f t="shared" ref="Y85:AH85" ca="1" si="610">IF(+Y83+Y82&gt;Y46,Y46,Y83+Y82)+Y84</f>
        <v>52.136966900291974</v>
      </c>
      <c r="Z85" s="158">
        <f t="shared" ca="1" si="610"/>
        <v>38.549000620467858</v>
      </c>
      <c r="AA85" s="158">
        <f t="shared" ca="1" si="610"/>
        <v>38.549000620467858</v>
      </c>
      <c r="AB85" s="158">
        <f t="shared" ca="1" si="610"/>
        <v>38.549000620467858</v>
      </c>
      <c r="AC85" s="158">
        <f t="shared" ca="1" si="610"/>
        <v>52.202110965556813</v>
      </c>
      <c r="AD85" s="158">
        <f t="shared" ca="1" si="610"/>
        <v>52.151443359239707</v>
      </c>
      <c r="AE85" s="158">
        <f t="shared" ca="1" si="610"/>
        <v>52.332399096086483</v>
      </c>
      <c r="AF85" s="158">
        <f t="shared" ca="1" si="610"/>
        <v>95.883921061683367</v>
      </c>
      <c r="AG85" s="158">
        <f t="shared" ca="1" si="610"/>
        <v>104.26443362439949</v>
      </c>
      <c r="AH85" s="158">
        <f t="shared" ca="1" si="610"/>
        <v>104.26443362439949</v>
      </c>
      <c r="AI85" s="158"/>
      <c r="AJ85" s="158"/>
      <c r="AK85" s="158"/>
      <c r="AL85" s="158"/>
      <c r="AM85" s="158"/>
      <c r="AN85" s="158"/>
      <c r="AO85" s="158"/>
      <c r="AP85" s="158"/>
      <c r="AQ85" s="158"/>
      <c r="AR85" s="2416"/>
      <c r="AS85" s="158">
        <f t="shared" ref="AS85:AW85" ca="1" si="611">IF(+AS83+AS82&gt;AS46,AS46,AS83+AS82)+AS84</f>
        <v>29.404402458916227</v>
      </c>
      <c r="AT85" s="158">
        <f t="shared" ca="1" si="611"/>
        <v>52.144205129765844</v>
      </c>
      <c r="AU85" s="158">
        <f t="shared" ca="1" si="611"/>
        <v>52.129728670818096</v>
      </c>
      <c r="AV85" s="158">
        <f t="shared" ca="1" si="611"/>
        <v>52.122490441344233</v>
      </c>
      <c r="AW85" s="158">
        <f t="shared" ca="1" si="611"/>
        <v>81.690205452764687</v>
      </c>
      <c r="AX85" s="158">
        <f t="shared" ref="AX85" si="612">IF(+AX83+AX82&gt;AX46,AX46,AX83+AX82)+AX84</f>
        <v>0</v>
      </c>
      <c r="AY85" s="158">
        <f t="shared" ref="AY85:BI85" si="613">IF(+AY83+AY82&gt;AY46,AY46,AY83+AY82)+AY84</f>
        <v>145.12650095111121</v>
      </c>
      <c r="AZ85" s="158">
        <f t="shared" ref="AZ85" si="614">IF(+AZ83+AZ82&gt;AZ46,AZ46,AZ83+AZ82)+AZ84</f>
        <v>0</v>
      </c>
      <c r="BA85" s="158">
        <f t="shared" si="613"/>
        <v>26.871926921745651</v>
      </c>
      <c r="BB85" s="158">
        <f t="shared" si="613"/>
        <v>0</v>
      </c>
      <c r="BC85" s="158">
        <f t="shared" si="613"/>
        <v>0</v>
      </c>
      <c r="BD85" s="158">
        <f t="shared" si="613"/>
        <v>0</v>
      </c>
      <c r="BE85" s="158">
        <f t="shared" si="613"/>
        <v>0</v>
      </c>
      <c r="BF85" s="158">
        <f t="shared" si="613"/>
        <v>0</v>
      </c>
      <c r="BG85" s="158">
        <f t="shared" si="613"/>
        <v>0</v>
      </c>
      <c r="BH85" s="158">
        <f t="shared" si="613"/>
        <v>0</v>
      </c>
      <c r="BI85" s="158">
        <f t="shared" si="613"/>
        <v>0</v>
      </c>
      <c r="BJ85" s="159"/>
      <c r="BK85" s="159"/>
      <c r="BL85" s="159"/>
      <c r="BM85" s="595">
        <f t="shared" ca="1" si="397"/>
        <v>1593.97</v>
      </c>
      <c r="BN85" s="579">
        <f t="shared" ca="1" si="398"/>
        <v>3187.9430370392665</v>
      </c>
      <c r="BO85" s="1089"/>
      <c r="BP85" s="1089"/>
      <c r="BQ85" s="1089"/>
      <c r="BR85" s="1089"/>
      <c r="BS85" s="1089"/>
      <c r="BT85" s="1089"/>
      <c r="BU85" s="1089"/>
      <c r="BV85" s="1089"/>
      <c r="BW85" s="1089"/>
      <c r="BX85" s="1089"/>
      <c r="BY85" s="1089"/>
      <c r="BZ85" s="1089"/>
    </row>
    <row r="86" spans="1:78" s="590" customFormat="1" ht="32.1" customHeight="1" thickBot="1" x14ac:dyDescent="0.2">
      <c r="A86" s="2596"/>
      <c r="B86" s="2672"/>
      <c r="C86" s="598" t="s">
        <v>742</v>
      </c>
      <c r="D86" s="2004"/>
      <c r="E86" s="592"/>
      <c r="F86" s="158">
        <f t="shared" ref="F86" si="615">IF(F85&lt;F46,F85,F46)</f>
        <v>0</v>
      </c>
      <c r="G86" s="158">
        <f t="shared" ref="G86" ca="1" si="616">IF(G85&lt;G46,G85,G46)</f>
        <v>29.32297237733518</v>
      </c>
      <c r="H86" s="158">
        <f t="shared" ref="H86:I86" ca="1" si="617">IF(H85&lt;H46,H85,H46)</f>
        <v>24.095161139831934</v>
      </c>
      <c r="I86" s="158">
        <f t="shared" ca="1" si="617"/>
        <v>24.095161139831934</v>
      </c>
      <c r="J86" s="158"/>
      <c r="K86" s="158"/>
      <c r="L86" s="158"/>
      <c r="M86" s="158"/>
      <c r="N86" s="2416"/>
      <c r="O86" s="158">
        <f t="shared" ref="O86:V86" ca="1" si="618">IF(O85&lt;O46,O85,O46)</f>
        <v>27.230219280702258</v>
      </c>
      <c r="P86" s="158">
        <f t="shared" ca="1" si="618"/>
        <v>35.72744829368456</v>
      </c>
      <c r="Q86" s="158">
        <f t="shared" ca="1" si="618"/>
        <v>36.285244352514738</v>
      </c>
      <c r="R86" s="158">
        <f t="shared" ca="1" si="618"/>
        <v>37.099545168325214</v>
      </c>
      <c r="S86" s="158">
        <f t="shared" ca="1" si="618"/>
        <v>35.470943536704262</v>
      </c>
      <c r="T86" s="158">
        <f t="shared" ca="1" si="618"/>
        <v>107.17103514750077</v>
      </c>
      <c r="U86" s="158">
        <f t="shared" ca="1" si="618"/>
        <v>107.17103514750077</v>
      </c>
      <c r="V86" s="158">
        <f t="shared" ca="1" si="618"/>
        <v>61.932100935807746</v>
      </c>
      <c r="W86" s="158"/>
      <c r="X86" s="2416"/>
      <c r="Y86" s="158">
        <f t="shared" ref="Y86:AH86" ca="1" si="619">IF(Y85&lt;Y46,Y85,Y46)</f>
        <v>52.136966900291974</v>
      </c>
      <c r="Z86" s="158">
        <f t="shared" ca="1" si="619"/>
        <v>38.549000620467858</v>
      </c>
      <c r="AA86" s="158">
        <f t="shared" ca="1" si="619"/>
        <v>38.549000620467858</v>
      </c>
      <c r="AB86" s="158">
        <f t="shared" ca="1" si="619"/>
        <v>38.549000620467858</v>
      </c>
      <c r="AC86" s="158">
        <f t="shared" ca="1" si="619"/>
        <v>52.202110965556813</v>
      </c>
      <c r="AD86" s="158">
        <f t="shared" ca="1" si="619"/>
        <v>52.151443359239707</v>
      </c>
      <c r="AE86" s="158">
        <f t="shared" ca="1" si="619"/>
        <v>52.332399096086483</v>
      </c>
      <c r="AF86" s="158">
        <f t="shared" ca="1" si="619"/>
        <v>95.883921061683367</v>
      </c>
      <c r="AG86" s="158">
        <f t="shared" ca="1" si="619"/>
        <v>104.26443362439949</v>
      </c>
      <c r="AH86" s="158">
        <f t="shared" ca="1" si="619"/>
        <v>104.26443362439949</v>
      </c>
      <c r="AI86" s="158"/>
      <c r="AJ86" s="158"/>
      <c r="AK86" s="158"/>
      <c r="AL86" s="158"/>
      <c r="AM86" s="158"/>
      <c r="AN86" s="158"/>
      <c r="AO86" s="158"/>
      <c r="AP86" s="158"/>
      <c r="AQ86" s="158"/>
      <c r="AR86" s="2416"/>
      <c r="AS86" s="158">
        <f t="shared" ref="AS86:AW86" ca="1" si="620">IF(AS85&lt;AS46,AS85,AS46)</f>
        <v>29.404402458916227</v>
      </c>
      <c r="AT86" s="158">
        <f t="shared" ca="1" si="620"/>
        <v>52.144205129765844</v>
      </c>
      <c r="AU86" s="158">
        <f t="shared" ca="1" si="620"/>
        <v>52.129728670818096</v>
      </c>
      <c r="AV86" s="158">
        <f t="shared" ca="1" si="620"/>
        <v>52.122490441344233</v>
      </c>
      <c r="AW86" s="158">
        <f t="shared" ca="1" si="620"/>
        <v>81.690205452764687</v>
      </c>
      <c r="AX86" s="158">
        <f t="shared" ref="AX86" si="621">IF(AX85&lt;AX46,AX85,AX46)</f>
        <v>0</v>
      </c>
      <c r="AY86" s="158">
        <f t="shared" ref="AY86:BI86" si="622">IF(AY85&lt;AY46,AY85,AY46)</f>
        <v>145.12650095111121</v>
      </c>
      <c r="AZ86" s="158">
        <f t="shared" ref="AZ86" si="623">IF(AZ85&lt;AZ46,AZ85,AZ46)</f>
        <v>0</v>
      </c>
      <c r="BA86" s="158">
        <f t="shared" si="622"/>
        <v>26.871926921745651</v>
      </c>
      <c r="BB86" s="158">
        <f t="shared" si="622"/>
        <v>0</v>
      </c>
      <c r="BC86" s="158">
        <f t="shared" si="622"/>
        <v>0</v>
      </c>
      <c r="BD86" s="158">
        <f t="shared" si="622"/>
        <v>0</v>
      </c>
      <c r="BE86" s="158">
        <f t="shared" si="622"/>
        <v>0</v>
      </c>
      <c r="BF86" s="158">
        <f t="shared" si="622"/>
        <v>0</v>
      </c>
      <c r="BG86" s="158">
        <f t="shared" si="622"/>
        <v>0</v>
      </c>
      <c r="BH86" s="158">
        <f t="shared" si="622"/>
        <v>0</v>
      </c>
      <c r="BI86" s="158">
        <f t="shared" si="622"/>
        <v>0</v>
      </c>
      <c r="BJ86" s="159"/>
      <c r="BK86" s="159"/>
      <c r="BL86" s="159"/>
      <c r="BM86" s="361">
        <f t="shared" ca="1" si="397"/>
        <v>1593.97</v>
      </c>
      <c r="BN86" s="579">
        <f t="shared" ca="1" si="398"/>
        <v>3187.9430370392665</v>
      </c>
      <c r="BO86" s="1089"/>
      <c r="BP86" s="1089"/>
      <c r="BQ86" s="1089"/>
      <c r="BR86" s="1089"/>
      <c r="BS86" s="1089"/>
      <c r="BT86" s="1089"/>
      <c r="BU86" s="1089"/>
      <c r="BV86" s="1089"/>
      <c r="BW86" s="1089"/>
      <c r="BX86" s="1089"/>
      <c r="BY86" s="1089"/>
      <c r="BZ86" s="1089"/>
    </row>
    <row r="87" spans="1:78" s="505" customFormat="1" ht="21.95" hidden="1" customHeight="1" x14ac:dyDescent="0.15">
      <c r="A87" s="2596"/>
      <c r="B87" s="2677" t="s">
        <v>489</v>
      </c>
      <c r="C87" s="2294" t="s">
        <v>171</v>
      </c>
      <c r="D87" s="2012"/>
      <c r="E87" s="1410"/>
      <c r="F87" s="1085">
        <f>IF(F88=1,0,+Dren_Quantificacao!D25)</f>
        <v>0</v>
      </c>
      <c r="G87" s="1085">
        <f ca="1">IF(G88=1,0,+Dren_Quantificacao!E25)</f>
        <v>0</v>
      </c>
      <c r="H87" s="1085">
        <f ca="1">IF(H88=1,0,+Dren_Quantificacao!F25)</f>
        <v>0</v>
      </c>
      <c r="I87" s="1085">
        <f ca="1">IF(I88=1,0,+Dren_Quantificacao!G25)</f>
        <v>0</v>
      </c>
      <c r="J87" s="1085"/>
      <c r="K87" s="1085"/>
      <c r="L87" s="1085"/>
      <c r="M87" s="1085"/>
      <c r="N87" s="2426"/>
      <c r="O87" s="1085">
        <f ca="1">IF(O88=1,0,+Dren_Quantificacao!M25)</f>
        <v>0</v>
      </c>
      <c r="P87" s="1085">
        <f ca="1">IF(P88=1,0,+Dren_Quantificacao!N25)</f>
        <v>0</v>
      </c>
      <c r="Q87" s="1085">
        <f ca="1">IF(Q88=1,0,+Dren_Quantificacao!O25)</f>
        <v>0</v>
      </c>
      <c r="R87" s="1085">
        <f ca="1">IF(R88=1,0,+Dren_Quantificacao!P25)</f>
        <v>0</v>
      </c>
      <c r="S87" s="1085">
        <f ca="1">IF(S88=1,0,+Dren_Quantificacao!Q25)</f>
        <v>0</v>
      </c>
      <c r="T87" s="1085">
        <f ca="1">IF(T88=1,0,+Dren_Quantificacao!R25)</f>
        <v>0</v>
      </c>
      <c r="U87" s="1085">
        <f ca="1">IF(U88=1,0,+Dren_Quantificacao!S25)</f>
        <v>0</v>
      </c>
      <c r="V87" s="1085">
        <f ca="1">IF(V88=1,0,+Dren_Quantificacao!T25)</f>
        <v>0</v>
      </c>
      <c r="W87" s="1085"/>
      <c r="X87" s="2426"/>
      <c r="Y87" s="1085">
        <f ca="1">IF(Y88=1,0,+Dren_Quantificacao!W25)</f>
        <v>0</v>
      </c>
      <c r="Z87" s="1085">
        <f ca="1">IF(Z88=1,0,+Dren_Quantificacao!X25)</f>
        <v>0</v>
      </c>
      <c r="AA87" s="1085">
        <f ca="1">IF(AA88=1,0,+Dren_Quantificacao!Y25)</f>
        <v>0</v>
      </c>
      <c r="AB87" s="1085">
        <f ca="1">IF(AB88=1,0,+Dren_Quantificacao!Z25)</f>
        <v>0</v>
      </c>
      <c r="AC87" s="1085">
        <f ca="1">IF(AC88=1,0,+Dren_Quantificacao!AA25)</f>
        <v>0</v>
      </c>
      <c r="AD87" s="1085">
        <f ca="1">IF(AD88=1,0,+Dren_Quantificacao!AB25)</f>
        <v>0</v>
      </c>
      <c r="AE87" s="1085">
        <f ca="1">IF(AE88=1,0,+Dren_Quantificacao!AC25)</f>
        <v>0</v>
      </c>
      <c r="AF87" s="1085">
        <f ca="1">IF(AF88=1,0,+Dren_Quantificacao!AD25)</f>
        <v>0</v>
      </c>
      <c r="AG87" s="1085">
        <f ca="1">IF(AG88=1,0,+Dren_Quantificacao!AE25)</f>
        <v>0</v>
      </c>
      <c r="AH87" s="1085">
        <f ca="1">IF(AH88=1,0,+Dren_Quantificacao!AF25)</f>
        <v>0</v>
      </c>
      <c r="AI87" s="1085"/>
      <c r="AJ87" s="1085"/>
      <c r="AK87" s="1085"/>
      <c r="AL87" s="1085"/>
      <c r="AM87" s="1085"/>
      <c r="AN87" s="1085"/>
      <c r="AO87" s="1085"/>
      <c r="AP87" s="1085"/>
      <c r="AQ87" s="1085"/>
      <c r="AR87" s="2426"/>
      <c r="AS87" s="1085">
        <f ca="1">IF(AS88=1,0,+Dren_Quantificacao!AQ25)</f>
        <v>0</v>
      </c>
      <c r="AT87" s="1085">
        <f ca="1">IF(AT88=1,0,+Dren_Quantificacao!AR25)</f>
        <v>0</v>
      </c>
      <c r="AU87" s="1085">
        <f ca="1">IF(AU88=1,0,+Dren_Quantificacao!AS25)</f>
        <v>0</v>
      </c>
      <c r="AV87" s="1085">
        <f ca="1">IF(AV88=1,0,+Dren_Quantificacao!AT25)</f>
        <v>0</v>
      </c>
      <c r="AW87" s="1085">
        <f ca="1">IF(AW88=1,0,+Dren_Quantificacao!AU25)</f>
        <v>0</v>
      </c>
      <c r="AX87" s="1085">
        <f>IF(AX88=1,0,+Dren_Quantificacao!AW25)</f>
        <v>0</v>
      </c>
      <c r="AY87" s="1085">
        <f>IF(AY88=1,0,+Dren_Quantificacao!AX25)</f>
        <v>0</v>
      </c>
      <c r="AZ87" s="1085">
        <f>IF(AZ88=1,0,+Dren_Quantificacao!AY25)</f>
        <v>0</v>
      </c>
      <c r="BA87" s="1085">
        <f>IF(BA88=1,0,+Dren_Quantificacao!AZ25)</f>
        <v>0</v>
      </c>
      <c r="BB87" s="1085">
        <f>IF(BB88=1,0,+Dren_Quantificacao!BA25)</f>
        <v>0</v>
      </c>
      <c r="BC87" s="1085">
        <f>IF(BC88=1,0,+Dren_Quantificacao!BB25)</f>
        <v>0</v>
      </c>
      <c r="BD87" s="1085">
        <f>IF(BD88=1,0,+Dren_Quantificacao!BC25)</f>
        <v>0</v>
      </c>
      <c r="BE87" s="1085">
        <f>IF(BE88=1,0,+Dren_Quantificacao!BD25)</f>
        <v>0</v>
      </c>
      <c r="BF87" s="1085">
        <f>IF(BF88=1,0,+Dren_Quantificacao!BE25)</f>
        <v>0</v>
      </c>
      <c r="BG87" s="1085">
        <f>IF(BG88=1,0,+Dren_Quantificacao!BF25)</f>
        <v>0</v>
      </c>
      <c r="BH87" s="1085">
        <f>IF(BH88=1,0,+Dren_Quantificacao!BG25)</f>
        <v>0</v>
      </c>
      <c r="BI87" s="1085">
        <f>IF(BI88=1,0,+Dren_Quantificacao!BH25)</f>
        <v>0</v>
      </c>
      <c r="BJ87" s="879"/>
      <c r="BK87" s="879"/>
      <c r="BL87" s="879"/>
      <c r="BM87" s="880"/>
      <c r="BN87" s="579">
        <f t="shared" ca="1" si="398"/>
        <v>0</v>
      </c>
      <c r="BO87" s="1089"/>
      <c r="BP87" s="1089"/>
      <c r="BQ87" s="1089"/>
      <c r="BR87" s="1092"/>
      <c r="BS87" s="1092"/>
      <c r="BT87" s="1092"/>
      <c r="BU87" s="1092"/>
      <c r="BV87" s="1092"/>
      <c r="BW87" s="1092"/>
      <c r="BX87" s="1092"/>
      <c r="BY87" s="1092"/>
      <c r="BZ87" s="1092"/>
    </row>
    <row r="88" spans="1:78" s="505" customFormat="1" ht="21.95" customHeight="1" x14ac:dyDescent="0.15">
      <c r="A88" s="2596"/>
      <c r="B88" s="2678"/>
      <c r="C88" s="2376" t="s">
        <v>1369</v>
      </c>
      <c r="D88" s="2013"/>
      <c r="E88" s="1533"/>
      <c r="F88" s="1067">
        <f>IF(F28="ROCHA",0,IF(F11+F160+F164+F176&gt;=3,0.5,0))</f>
        <v>0</v>
      </c>
      <c r="G88" s="1067">
        <f t="shared" ref="G88" ca="1" si="624">IF(G28="ROCHA",0,IF(G11+G160+G164+G176&gt;=3,0.5,0))</f>
        <v>0</v>
      </c>
      <c r="H88" s="1067">
        <f t="shared" ref="H88:I88" ca="1" si="625">IF(H28="ROCHA",0,IF(H11+H160+H164+H176&gt;=3,0.5,0))</f>
        <v>0</v>
      </c>
      <c r="I88" s="1067">
        <f t="shared" ca="1" si="625"/>
        <v>0</v>
      </c>
      <c r="J88" s="1067"/>
      <c r="K88" s="1067"/>
      <c r="L88" s="1067"/>
      <c r="M88" s="1067"/>
      <c r="N88" s="2409"/>
      <c r="O88" s="1067">
        <f t="shared" ref="O88:V88" ca="1" si="626">IF(O28="ROCHA",0,IF(O11+O160+O164+O176&gt;=3,0.5,0))</f>
        <v>0</v>
      </c>
      <c r="P88" s="1067">
        <f t="shared" ca="1" si="626"/>
        <v>0</v>
      </c>
      <c r="Q88" s="1067">
        <f t="shared" ca="1" si="626"/>
        <v>0</v>
      </c>
      <c r="R88" s="1067">
        <f t="shared" ca="1" si="626"/>
        <v>0</v>
      </c>
      <c r="S88" s="1067">
        <f t="shared" ca="1" si="626"/>
        <v>0</v>
      </c>
      <c r="T88" s="1067">
        <f t="shared" ca="1" si="626"/>
        <v>0</v>
      </c>
      <c r="U88" s="1067">
        <f t="shared" ca="1" si="626"/>
        <v>0</v>
      </c>
      <c r="V88" s="1067">
        <f t="shared" ca="1" si="626"/>
        <v>0</v>
      </c>
      <c r="W88" s="1067"/>
      <c r="X88" s="2409"/>
      <c r="Y88" s="1067">
        <f t="shared" ref="Y88:AH88" ca="1" si="627">IF(Y28="ROCHA",0,IF(Y11+Y160+Y164+Y176&gt;=3,0.5,0))</f>
        <v>0</v>
      </c>
      <c r="Z88" s="1067">
        <f t="shared" ca="1" si="627"/>
        <v>0</v>
      </c>
      <c r="AA88" s="1067">
        <f t="shared" ca="1" si="627"/>
        <v>0</v>
      </c>
      <c r="AB88" s="1067">
        <f t="shared" ca="1" si="627"/>
        <v>0</v>
      </c>
      <c r="AC88" s="1067">
        <f t="shared" ca="1" si="627"/>
        <v>0</v>
      </c>
      <c r="AD88" s="1067">
        <f t="shared" ca="1" si="627"/>
        <v>0</v>
      </c>
      <c r="AE88" s="1067">
        <f t="shared" ca="1" si="627"/>
        <v>0</v>
      </c>
      <c r="AF88" s="1067">
        <f t="shared" ca="1" si="627"/>
        <v>0</v>
      </c>
      <c r="AG88" s="1067">
        <f t="shared" ca="1" si="627"/>
        <v>0</v>
      </c>
      <c r="AH88" s="1067">
        <f t="shared" ca="1" si="627"/>
        <v>0</v>
      </c>
      <c r="AI88" s="1067"/>
      <c r="AJ88" s="1067"/>
      <c r="AK88" s="1067"/>
      <c r="AL88" s="1067"/>
      <c r="AM88" s="1067"/>
      <c r="AN88" s="1067"/>
      <c r="AO88" s="1067"/>
      <c r="AP88" s="1067"/>
      <c r="AQ88" s="1067"/>
      <c r="AR88" s="2409"/>
      <c r="AS88" s="1067">
        <f t="shared" ref="AS88:AW88" ca="1" si="628">IF(AS28="ROCHA",0,IF(AS11+AS160+AS164+AS176&gt;=3,0.5,0))</f>
        <v>0</v>
      </c>
      <c r="AT88" s="1067">
        <f t="shared" ca="1" si="628"/>
        <v>0</v>
      </c>
      <c r="AU88" s="1067">
        <f t="shared" ca="1" si="628"/>
        <v>0</v>
      </c>
      <c r="AV88" s="1067">
        <f t="shared" ca="1" si="628"/>
        <v>0</v>
      </c>
      <c r="AW88" s="1067">
        <f t="shared" ca="1" si="628"/>
        <v>0.5</v>
      </c>
      <c r="AX88" s="1067">
        <f t="shared" ref="AX88" si="629">IF(AX28="ROCHA",0,IF(AX11+AX160+AX164+AX176&gt;=3,0.5,0))</f>
        <v>0</v>
      </c>
      <c r="AY88" s="1067">
        <f t="shared" ref="AY88:BI88" si="630">IF(AY28="ROCHA",0,IF(AY11+AY160+AY164+AY176&gt;=3,0.5,0))</f>
        <v>0</v>
      </c>
      <c r="AZ88" s="1067">
        <f t="shared" ref="AZ88" si="631">IF(AZ28="ROCHA",0,IF(AZ11+AZ160+AZ164+AZ176&gt;=3,0.5,0))</f>
        <v>0</v>
      </c>
      <c r="BA88" s="1067">
        <f t="shared" si="630"/>
        <v>0</v>
      </c>
      <c r="BB88" s="1067">
        <f t="shared" si="630"/>
        <v>0</v>
      </c>
      <c r="BC88" s="1067">
        <f t="shared" si="630"/>
        <v>0</v>
      </c>
      <c r="BD88" s="1067">
        <f t="shared" si="630"/>
        <v>0</v>
      </c>
      <c r="BE88" s="1067">
        <f t="shared" si="630"/>
        <v>0</v>
      </c>
      <c r="BF88" s="1067">
        <f t="shared" si="630"/>
        <v>0</v>
      </c>
      <c r="BG88" s="1067">
        <f t="shared" si="630"/>
        <v>0</v>
      </c>
      <c r="BH88" s="1067">
        <f t="shared" si="630"/>
        <v>0</v>
      </c>
      <c r="BI88" s="1067">
        <f t="shared" si="630"/>
        <v>0</v>
      </c>
      <c r="BJ88" s="504"/>
      <c r="BK88" s="504"/>
      <c r="BL88" s="504"/>
      <c r="BM88" s="2375"/>
      <c r="BN88" s="579">
        <f t="shared" ca="1" si="398"/>
        <v>0.5</v>
      </c>
      <c r="BO88" s="1089"/>
      <c r="BP88" s="1089"/>
      <c r="BQ88" s="1089"/>
      <c r="BR88" s="1092"/>
      <c r="BS88" s="1092"/>
      <c r="BT88" s="1092"/>
      <c r="BU88" s="1092"/>
      <c r="BV88" s="1092"/>
      <c r="BW88" s="1092"/>
      <c r="BX88" s="1092"/>
      <c r="BY88" s="1092"/>
      <c r="BZ88" s="1092"/>
    </row>
    <row r="89" spans="1:78" s="590" customFormat="1" ht="21.95" customHeight="1" x14ac:dyDescent="0.15">
      <c r="A89" s="2596"/>
      <c r="B89" s="2678"/>
      <c r="C89" s="591" t="s">
        <v>488</v>
      </c>
      <c r="D89" s="2004"/>
      <c r="E89" s="592"/>
      <c r="F89" s="158">
        <f t="shared" ref="F89" si="632">F120*MAX(F87:F88)</f>
        <v>0</v>
      </c>
      <c r="G89" s="158">
        <f t="shared" ref="G89" ca="1" si="633">G120*MAX(G87:G88)</f>
        <v>0</v>
      </c>
      <c r="H89" s="158">
        <f t="shared" ref="H89:I89" ca="1" si="634">H120*MAX(H87:H88)</f>
        <v>0</v>
      </c>
      <c r="I89" s="158">
        <f t="shared" ca="1" si="634"/>
        <v>0</v>
      </c>
      <c r="J89" s="158"/>
      <c r="K89" s="158"/>
      <c r="L89" s="158"/>
      <c r="M89" s="158"/>
      <c r="N89" s="2416"/>
      <c r="O89" s="158">
        <f t="shared" ref="O89:V89" ca="1" si="635">O120*MAX(O87:O88)</f>
        <v>0</v>
      </c>
      <c r="P89" s="158">
        <f t="shared" ca="1" si="635"/>
        <v>0</v>
      </c>
      <c r="Q89" s="158">
        <f t="shared" ca="1" si="635"/>
        <v>0</v>
      </c>
      <c r="R89" s="158">
        <f t="shared" ca="1" si="635"/>
        <v>0</v>
      </c>
      <c r="S89" s="158">
        <f t="shared" ca="1" si="635"/>
        <v>0</v>
      </c>
      <c r="T89" s="158">
        <f t="shared" ca="1" si="635"/>
        <v>0</v>
      </c>
      <c r="U89" s="158">
        <f t="shared" ca="1" si="635"/>
        <v>0</v>
      </c>
      <c r="V89" s="158">
        <f t="shared" ca="1" si="635"/>
        <v>0</v>
      </c>
      <c r="W89" s="158"/>
      <c r="X89" s="2416"/>
      <c r="Y89" s="158">
        <f t="shared" ref="Y89:AH89" ca="1" si="636">Y120*MAX(Y87:Y88)</f>
        <v>0</v>
      </c>
      <c r="Z89" s="158">
        <f t="shared" ca="1" si="636"/>
        <v>0</v>
      </c>
      <c r="AA89" s="158">
        <f t="shared" ca="1" si="636"/>
        <v>0</v>
      </c>
      <c r="AB89" s="158">
        <f t="shared" ca="1" si="636"/>
        <v>0</v>
      </c>
      <c r="AC89" s="158">
        <f t="shared" ca="1" si="636"/>
        <v>0</v>
      </c>
      <c r="AD89" s="158">
        <f t="shared" ca="1" si="636"/>
        <v>0</v>
      </c>
      <c r="AE89" s="158">
        <f t="shared" ca="1" si="636"/>
        <v>0</v>
      </c>
      <c r="AF89" s="158">
        <f t="shared" ca="1" si="636"/>
        <v>0</v>
      </c>
      <c r="AG89" s="158">
        <f t="shared" ca="1" si="636"/>
        <v>0</v>
      </c>
      <c r="AH89" s="158">
        <f t="shared" ca="1" si="636"/>
        <v>0</v>
      </c>
      <c r="AI89" s="158"/>
      <c r="AJ89" s="158"/>
      <c r="AK89" s="158"/>
      <c r="AL89" s="158"/>
      <c r="AM89" s="158"/>
      <c r="AN89" s="158"/>
      <c r="AO89" s="158"/>
      <c r="AP89" s="158"/>
      <c r="AQ89" s="158"/>
      <c r="AR89" s="2416"/>
      <c r="AS89" s="158">
        <f t="shared" ref="AS89:AW89" ca="1" si="637">AS120*MAX(AS87:AS88)</f>
        <v>0</v>
      </c>
      <c r="AT89" s="158">
        <f t="shared" ca="1" si="637"/>
        <v>0</v>
      </c>
      <c r="AU89" s="158">
        <f t="shared" ca="1" si="637"/>
        <v>0</v>
      </c>
      <c r="AV89" s="158">
        <f t="shared" ca="1" si="637"/>
        <v>0</v>
      </c>
      <c r="AW89" s="158">
        <f t="shared" ca="1" si="637"/>
        <v>216.7603033628487</v>
      </c>
      <c r="AX89" s="158">
        <f t="shared" ref="AX89" si="638">AX120*MAX(AX87:AX88)</f>
        <v>0</v>
      </c>
      <c r="AY89" s="158">
        <f t="shared" ref="AY89:BI89" si="639">AY120*MAX(AY87:AY88)</f>
        <v>0</v>
      </c>
      <c r="AZ89" s="158">
        <f t="shared" ref="AZ89" si="640">AZ120*MAX(AZ87:AZ88)</f>
        <v>0</v>
      </c>
      <c r="BA89" s="158">
        <f t="shared" si="639"/>
        <v>0</v>
      </c>
      <c r="BB89" s="158">
        <f t="shared" si="639"/>
        <v>0</v>
      </c>
      <c r="BC89" s="158">
        <f t="shared" si="639"/>
        <v>0</v>
      </c>
      <c r="BD89" s="158">
        <f t="shared" si="639"/>
        <v>0</v>
      </c>
      <c r="BE89" s="158">
        <f t="shared" si="639"/>
        <v>0</v>
      </c>
      <c r="BF89" s="158">
        <f t="shared" si="639"/>
        <v>0</v>
      </c>
      <c r="BG89" s="158">
        <f t="shared" si="639"/>
        <v>0</v>
      </c>
      <c r="BH89" s="158">
        <f t="shared" si="639"/>
        <v>0</v>
      </c>
      <c r="BI89" s="158">
        <f t="shared" si="639"/>
        <v>0</v>
      </c>
      <c r="BJ89" s="159"/>
      <c r="BK89" s="159"/>
      <c r="BL89" s="159"/>
      <c r="BM89" s="350">
        <f t="shared" ref="BM89:BM97" ca="1" si="641">TRUNC(SUM(F89:BL89),2)</f>
        <v>216.76</v>
      </c>
      <c r="BN89" s="579">
        <f t="shared" ca="1" si="398"/>
        <v>433.52030336284872</v>
      </c>
      <c r="BO89" s="1089"/>
      <c r="BP89" s="1089"/>
      <c r="BQ89" s="1089"/>
      <c r="BR89" s="1089"/>
      <c r="BS89" s="1089"/>
      <c r="BT89" s="1089"/>
      <c r="BU89" s="1089"/>
      <c r="BV89" s="1089"/>
      <c r="BW89" s="1089"/>
      <c r="BX89" s="1089"/>
      <c r="BY89" s="1089"/>
      <c r="BZ89" s="1089"/>
    </row>
    <row r="90" spans="1:78" s="590" customFormat="1" ht="21.95" customHeight="1" x14ac:dyDescent="0.15">
      <c r="A90" s="2596"/>
      <c r="B90" s="2678"/>
      <c r="C90" s="591" t="s">
        <v>487</v>
      </c>
      <c r="D90" s="2014"/>
      <c r="E90" s="592"/>
      <c r="F90" s="600">
        <f t="shared" ref="F90" si="642">F89*1.25</f>
        <v>0</v>
      </c>
      <c r="G90" s="600">
        <f t="shared" ref="G90" ca="1" si="643">G89*1.25</f>
        <v>0</v>
      </c>
      <c r="H90" s="600">
        <f t="shared" ref="H90:I90" ca="1" si="644">H89*1.25</f>
        <v>0</v>
      </c>
      <c r="I90" s="600">
        <f t="shared" ca="1" si="644"/>
        <v>0</v>
      </c>
      <c r="J90" s="600"/>
      <c r="K90" s="600"/>
      <c r="L90" s="600"/>
      <c r="M90" s="600"/>
      <c r="N90" s="2452"/>
      <c r="O90" s="600">
        <f t="shared" ref="O90:V90" ca="1" si="645">O89*1.25</f>
        <v>0</v>
      </c>
      <c r="P90" s="600">
        <f t="shared" ca="1" si="645"/>
        <v>0</v>
      </c>
      <c r="Q90" s="600">
        <f t="shared" ca="1" si="645"/>
        <v>0</v>
      </c>
      <c r="R90" s="600">
        <f t="shared" ca="1" si="645"/>
        <v>0</v>
      </c>
      <c r="S90" s="600">
        <f t="shared" ca="1" si="645"/>
        <v>0</v>
      </c>
      <c r="T90" s="600">
        <f t="shared" ca="1" si="645"/>
        <v>0</v>
      </c>
      <c r="U90" s="600">
        <f t="shared" ca="1" si="645"/>
        <v>0</v>
      </c>
      <c r="V90" s="600">
        <f t="shared" ca="1" si="645"/>
        <v>0</v>
      </c>
      <c r="W90" s="600"/>
      <c r="X90" s="2452"/>
      <c r="Y90" s="600">
        <f t="shared" ref="Y90:AH90" ca="1" si="646">Y89*1.25</f>
        <v>0</v>
      </c>
      <c r="Z90" s="600">
        <f t="shared" ca="1" si="646"/>
        <v>0</v>
      </c>
      <c r="AA90" s="600">
        <f t="shared" ca="1" si="646"/>
        <v>0</v>
      </c>
      <c r="AB90" s="600">
        <f t="shared" ca="1" si="646"/>
        <v>0</v>
      </c>
      <c r="AC90" s="600">
        <f t="shared" ca="1" si="646"/>
        <v>0</v>
      </c>
      <c r="AD90" s="600">
        <f t="shared" ca="1" si="646"/>
        <v>0</v>
      </c>
      <c r="AE90" s="600">
        <f t="shared" ca="1" si="646"/>
        <v>0</v>
      </c>
      <c r="AF90" s="600">
        <f t="shared" ca="1" si="646"/>
        <v>0</v>
      </c>
      <c r="AG90" s="600">
        <f t="shared" ca="1" si="646"/>
        <v>0</v>
      </c>
      <c r="AH90" s="600">
        <f t="shared" ca="1" si="646"/>
        <v>0</v>
      </c>
      <c r="AI90" s="600"/>
      <c r="AJ90" s="600"/>
      <c r="AK90" s="600"/>
      <c r="AL90" s="600"/>
      <c r="AM90" s="600"/>
      <c r="AN90" s="600"/>
      <c r="AO90" s="600"/>
      <c r="AP90" s="600"/>
      <c r="AQ90" s="600"/>
      <c r="AR90" s="2452"/>
      <c r="AS90" s="600">
        <f t="shared" ref="AS90:AW90" ca="1" si="647">AS89*1.25</f>
        <v>0</v>
      </c>
      <c r="AT90" s="600">
        <f t="shared" ca="1" si="647"/>
        <v>0</v>
      </c>
      <c r="AU90" s="600">
        <f t="shared" ca="1" si="647"/>
        <v>0</v>
      </c>
      <c r="AV90" s="600">
        <f t="shared" ca="1" si="647"/>
        <v>0</v>
      </c>
      <c r="AW90" s="600">
        <f t="shared" ca="1" si="647"/>
        <v>270.95037920356089</v>
      </c>
      <c r="AX90" s="600">
        <f t="shared" ref="AX90" si="648">AX89*1.25</f>
        <v>0</v>
      </c>
      <c r="AY90" s="600">
        <f t="shared" ref="AY90:BI90" si="649">AY89*1.25</f>
        <v>0</v>
      </c>
      <c r="AZ90" s="600">
        <f t="shared" ref="AZ90" si="650">AZ89*1.25</f>
        <v>0</v>
      </c>
      <c r="BA90" s="600">
        <f t="shared" si="649"/>
        <v>0</v>
      </c>
      <c r="BB90" s="600">
        <f t="shared" si="649"/>
        <v>0</v>
      </c>
      <c r="BC90" s="600">
        <f t="shared" si="649"/>
        <v>0</v>
      </c>
      <c r="BD90" s="600">
        <f t="shared" si="649"/>
        <v>0</v>
      </c>
      <c r="BE90" s="600">
        <f t="shared" si="649"/>
        <v>0</v>
      </c>
      <c r="BF90" s="600">
        <f t="shared" si="649"/>
        <v>0</v>
      </c>
      <c r="BG90" s="600">
        <f t="shared" si="649"/>
        <v>0</v>
      </c>
      <c r="BH90" s="600">
        <f t="shared" si="649"/>
        <v>0</v>
      </c>
      <c r="BI90" s="600">
        <f t="shared" si="649"/>
        <v>0</v>
      </c>
      <c r="BJ90" s="159"/>
      <c r="BK90" s="159"/>
      <c r="BL90" s="159"/>
      <c r="BM90" s="350">
        <f t="shared" ca="1" si="641"/>
        <v>270.95</v>
      </c>
      <c r="BN90" s="579">
        <f t="shared" ca="1" si="398"/>
        <v>541.90037920356087</v>
      </c>
      <c r="BO90" s="1089"/>
      <c r="BP90" s="1089"/>
      <c r="BQ90" s="1089"/>
      <c r="BR90" s="1089"/>
      <c r="BS90" s="1089"/>
      <c r="BT90" s="1089"/>
      <c r="BU90" s="1089"/>
      <c r="BV90" s="1089"/>
      <c r="BW90" s="1089"/>
      <c r="BX90" s="1089"/>
      <c r="BY90" s="1089"/>
      <c r="BZ90" s="1089"/>
    </row>
    <row r="91" spans="1:78" s="590" customFormat="1" ht="32.1" customHeight="1" thickBot="1" x14ac:dyDescent="0.2">
      <c r="A91" s="2596"/>
      <c r="B91" s="2670"/>
      <c r="C91" s="929" t="s">
        <v>722</v>
      </c>
      <c r="D91" s="2005"/>
      <c r="E91" s="1523"/>
      <c r="F91" s="239">
        <f t="shared" ref="F91" si="651">F90</f>
        <v>0</v>
      </c>
      <c r="G91" s="239">
        <f t="shared" ref="G91" ca="1" si="652">G90</f>
        <v>0</v>
      </c>
      <c r="H91" s="239">
        <f t="shared" ref="H91:I91" ca="1" si="653">H90</f>
        <v>0</v>
      </c>
      <c r="I91" s="239">
        <f t="shared" ca="1" si="653"/>
        <v>0</v>
      </c>
      <c r="J91" s="239"/>
      <c r="K91" s="239"/>
      <c r="L91" s="239"/>
      <c r="M91" s="239"/>
      <c r="N91" s="2440"/>
      <c r="O91" s="239">
        <f t="shared" ref="O91:V91" ca="1" si="654">O90</f>
        <v>0</v>
      </c>
      <c r="P91" s="239">
        <f t="shared" ca="1" si="654"/>
        <v>0</v>
      </c>
      <c r="Q91" s="239">
        <f t="shared" ca="1" si="654"/>
        <v>0</v>
      </c>
      <c r="R91" s="239">
        <f t="shared" ca="1" si="654"/>
        <v>0</v>
      </c>
      <c r="S91" s="239">
        <f t="shared" ca="1" si="654"/>
        <v>0</v>
      </c>
      <c r="T91" s="239">
        <f t="shared" ca="1" si="654"/>
        <v>0</v>
      </c>
      <c r="U91" s="239">
        <f t="shared" ca="1" si="654"/>
        <v>0</v>
      </c>
      <c r="V91" s="239">
        <f t="shared" ca="1" si="654"/>
        <v>0</v>
      </c>
      <c r="W91" s="239"/>
      <c r="X91" s="2440"/>
      <c r="Y91" s="239">
        <f t="shared" ref="Y91:AH91" ca="1" si="655">Y90</f>
        <v>0</v>
      </c>
      <c r="Z91" s="239">
        <f t="shared" ca="1" si="655"/>
        <v>0</v>
      </c>
      <c r="AA91" s="239">
        <f t="shared" ca="1" si="655"/>
        <v>0</v>
      </c>
      <c r="AB91" s="239">
        <f t="shared" ca="1" si="655"/>
        <v>0</v>
      </c>
      <c r="AC91" s="239">
        <f t="shared" ca="1" si="655"/>
        <v>0</v>
      </c>
      <c r="AD91" s="239">
        <f t="shared" ca="1" si="655"/>
        <v>0</v>
      </c>
      <c r="AE91" s="239">
        <f t="shared" ca="1" si="655"/>
        <v>0</v>
      </c>
      <c r="AF91" s="239">
        <f t="shared" ca="1" si="655"/>
        <v>0</v>
      </c>
      <c r="AG91" s="239">
        <f t="shared" ca="1" si="655"/>
        <v>0</v>
      </c>
      <c r="AH91" s="239">
        <f t="shared" ca="1" si="655"/>
        <v>0</v>
      </c>
      <c r="AI91" s="239"/>
      <c r="AJ91" s="239"/>
      <c r="AK91" s="239"/>
      <c r="AL91" s="239"/>
      <c r="AM91" s="239"/>
      <c r="AN91" s="239"/>
      <c r="AO91" s="239"/>
      <c r="AP91" s="239"/>
      <c r="AQ91" s="239"/>
      <c r="AR91" s="2440"/>
      <c r="AS91" s="239">
        <f t="shared" ref="AS91:AW91" ca="1" si="656">AS90</f>
        <v>0</v>
      </c>
      <c r="AT91" s="239">
        <f t="shared" ca="1" si="656"/>
        <v>0</v>
      </c>
      <c r="AU91" s="239">
        <f t="shared" ca="1" si="656"/>
        <v>0</v>
      </c>
      <c r="AV91" s="239">
        <f t="shared" ca="1" si="656"/>
        <v>0</v>
      </c>
      <c r="AW91" s="239">
        <f t="shared" ca="1" si="656"/>
        <v>270.95037920356089</v>
      </c>
      <c r="AX91" s="239">
        <f t="shared" ref="AX91" si="657">AX90</f>
        <v>0</v>
      </c>
      <c r="AY91" s="239">
        <f t="shared" ref="AY91:BI91" si="658">AY90</f>
        <v>0</v>
      </c>
      <c r="AZ91" s="239">
        <f t="shared" ref="AZ91" si="659">AZ90</f>
        <v>0</v>
      </c>
      <c r="BA91" s="239">
        <f t="shared" si="658"/>
        <v>0</v>
      </c>
      <c r="BB91" s="239">
        <f t="shared" si="658"/>
        <v>0</v>
      </c>
      <c r="BC91" s="239">
        <f t="shared" si="658"/>
        <v>0</v>
      </c>
      <c r="BD91" s="239">
        <f t="shared" si="658"/>
        <v>0</v>
      </c>
      <c r="BE91" s="239">
        <f t="shared" si="658"/>
        <v>0</v>
      </c>
      <c r="BF91" s="239">
        <f t="shared" si="658"/>
        <v>0</v>
      </c>
      <c r="BG91" s="239">
        <f t="shared" si="658"/>
        <v>0</v>
      </c>
      <c r="BH91" s="239">
        <f t="shared" si="658"/>
        <v>0</v>
      </c>
      <c r="BI91" s="239">
        <f t="shared" si="658"/>
        <v>0</v>
      </c>
      <c r="BJ91" s="237"/>
      <c r="BK91" s="237"/>
      <c r="BL91" s="237"/>
      <c r="BM91" s="361">
        <f t="shared" ca="1" si="641"/>
        <v>270.95</v>
      </c>
      <c r="BN91" s="579">
        <f t="shared" ref="BN91:BN110" ca="1" si="660">SUM(F91:BM91)</f>
        <v>541.90037920356087</v>
      </c>
      <c r="BO91" s="1089"/>
      <c r="BP91" s="1089"/>
      <c r="BQ91" s="1089"/>
      <c r="BR91" s="1089"/>
      <c r="BS91" s="1089"/>
      <c r="BT91" s="1089"/>
      <c r="BU91" s="1089"/>
      <c r="BV91" s="1089"/>
      <c r="BW91" s="1089"/>
      <c r="BX91" s="1089"/>
      <c r="BY91" s="1089"/>
      <c r="BZ91" s="1089"/>
    </row>
    <row r="92" spans="1:78" s="590" customFormat="1" ht="21.95" hidden="1" customHeight="1" x14ac:dyDescent="0.15">
      <c r="A92" s="2596"/>
      <c r="B92" s="2671" t="s">
        <v>308</v>
      </c>
      <c r="C92" s="930" t="s">
        <v>306</v>
      </c>
      <c r="D92" s="2003"/>
      <c r="E92" s="1520"/>
      <c r="F92" s="238">
        <f t="shared" ref="F92" si="661">IF(F93=0,0,SUM(F40:F45))</f>
        <v>0</v>
      </c>
      <c r="G92" s="238">
        <f t="shared" ref="G92" ca="1" si="662">IF(G93=0,0,SUM(G40:G45))</f>
        <v>0</v>
      </c>
      <c r="H92" s="238">
        <f t="shared" ref="H92:I92" ca="1" si="663">IF(H93=0,0,SUM(H40:H45))</f>
        <v>0</v>
      </c>
      <c r="I92" s="238">
        <f t="shared" ca="1" si="663"/>
        <v>0</v>
      </c>
      <c r="J92" s="238"/>
      <c r="K92" s="238"/>
      <c r="L92" s="238"/>
      <c r="M92" s="238"/>
      <c r="N92" s="2439"/>
      <c r="O92" s="238">
        <f t="shared" ref="O92:V92" ca="1" si="664">IF(O93=0,0,SUM(O40:O45))</f>
        <v>0</v>
      </c>
      <c r="P92" s="238">
        <f t="shared" ca="1" si="664"/>
        <v>0</v>
      </c>
      <c r="Q92" s="238">
        <f t="shared" ca="1" si="664"/>
        <v>0</v>
      </c>
      <c r="R92" s="238">
        <f t="shared" ca="1" si="664"/>
        <v>0</v>
      </c>
      <c r="S92" s="238">
        <f t="shared" ca="1" si="664"/>
        <v>0</v>
      </c>
      <c r="T92" s="238">
        <f t="shared" ca="1" si="664"/>
        <v>0</v>
      </c>
      <c r="U92" s="238">
        <f t="shared" ca="1" si="664"/>
        <v>0</v>
      </c>
      <c r="V92" s="238">
        <f t="shared" ca="1" si="664"/>
        <v>0</v>
      </c>
      <c r="W92" s="238"/>
      <c r="X92" s="2439"/>
      <c r="Y92" s="238">
        <f t="shared" ref="Y92:AH92" ca="1" si="665">IF(Y93=0,0,SUM(Y40:Y45))</f>
        <v>0</v>
      </c>
      <c r="Z92" s="238">
        <f t="shared" ca="1" si="665"/>
        <v>0</v>
      </c>
      <c r="AA92" s="238">
        <f t="shared" ca="1" si="665"/>
        <v>0</v>
      </c>
      <c r="AB92" s="238">
        <f t="shared" ca="1" si="665"/>
        <v>0</v>
      </c>
      <c r="AC92" s="238">
        <f t="shared" ca="1" si="665"/>
        <v>0</v>
      </c>
      <c r="AD92" s="238">
        <f t="shared" ca="1" si="665"/>
        <v>0</v>
      </c>
      <c r="AE92" s="238">
        <f t="shared" ca="1" si="665"/>
        <v>0</v>
      </c>
      <c r="AF92" s="238">
        <f t="shared" ca="1" si="665"/>
        <v>0</v>
      </c>
      <c r="AG92" s="238">
        <f t="shared" ca="1" si="665"/>
        <v>0</v>
      </c>
      <c r="AH92" s="238">
        <f t="shared" ca="1" si="665"/>
        <v>0</v>
      </c>
      <c r="AI92" s="238"/>
      <c r="AJ92" s="238"/>
      <c r="AK92" s="238"/>
      <c r="AL92" s="238"/>
      <c r="AM92" s="238"/>
      <c r="AN92" s="238"/>
      <c r="AO92" s="238"/>
      <c r="AP92" s="238"/>
      <c r="AQ92" s="238"/>
      <c r="AR92" s="2439"/>
      <c r="AS92" s="238">
        <f t="shared" ref="AS92:AW92" ca="1" si="666">IF(AS93=0,0,SUM(AS40:AS45))</f>
        <v>0</v>
      </c>
      <c r="AT92" s="238">
        <f t="shared" ca="1" si="666"/>
        <v>0</v>
      </c>
      <c r="AU92" s="238">
        <f t="shared" ca="1" si="666"/>
        <v>0</v>
      </c>
      <c r="AV92" s="238">
        <f t="shared" ca="1" si="666"/>
        <v>0</v>
      </c>
      <c r="AW92" s="238">
        <f t="shared" ca="1" si="666"/>
        <v>0</v>
      </c>
      <c r="AX92" s="238">
        <f t="shared" ref="AX92" si="667">IF(AX93=0,0,SUM(AX40:AX45))</f>
        <v>0</v>
      </c>
      <c r="AY92" s="238">
        <f t="shared" ref="AY92:BI92" si="668">IF(AY93=0,0,SUM(AY40:AY45))</f>
        <v>0</v>
      </c>
      <c r="AZ92" s="238">
        <f t="shared" ref="AZ92" si="669">IF(AZ93=0,0,SUM(AZ40:AZ45))</f>
        <v>0</v>
      </c>
      <c r="BA92" s="238">
        <f t="shared" si="668"/>
        <v>0</v>
      </c>
      <c r="BB92" s="238">
        <f t="shared" si="668"/>
        <v>0</v>
      </c>
      <c r="BC92" s="238">
        <f t="shared" si="668"/>
        <v>0</v>
      </c>
      <c r="BD92" s="238">
        <f t="shared" si="668"/>
        <v>0</v>
      </c>
      <c r="BE92" s="238">
        <f t="shared" si="668"/>
        <v>0</v>
      </c>
      <c r="BF92" s="238">
        <f t="shared" si="668"/>
        <v>0</v>
      </c>
      <c r="BG92" s="238">
        <f t="shared" si="668"/>
        <v>0</v>
      </c>
      <c r="BH92" s="238">
        <f t="shared" si="668"/>
        <v>0</v>
      </c>
      <c r="BI92" s="238">
        <f t="shared" si="668"/>
        <v>0</v>
      </c>
      <c r="BJ92" s="241"/>
      <c r="BK92" s="241"/>
      <c r="BL92" s="241"/>
      <c r="BM92" s="593">
        <f t="shared" ca="1" si="641"/>
        <v>0</v>
      </c>
      <c r="BN92" s="579">
        <f t="shared" ca="1" si="660"/>
        <v>0</v>
      </c>
      <c r="BO92" s="1089"/>
      <c r="BP92" s="1089"/>
      <c r="BQ92" s="1089"/>
      <c r="BR92" s="1089"/>
      <c r="BS92" s="1089"/>
      <c r="BT92" s="1089"/>
      <c r="BU92" s="1089"/>
      <c r="BV92" s="1089"/>
      <c r="BW92" s="1089"/>
      <c r="BX92" s="1089"/>
      <c r="BY92" s="1089"/>
      <c r="BZ92" s="1089"/>
    </row>
    <row r="93" spans="1:78" s="590" customFormat="1" ht="21.95" hidden="1" customHeight="1" x14ac:dyDescent="0.15">
      <c r="A93" s="2596"/>
      <c r="B93" s="2668"/>
      <c r="C93" s="591" t="s">
        <v>43</v>
      </c>
      <c r="D93" s="2004"/>
      <c r="E93" s="592"/>
      <c r="F93" s="158">
        <f t="shared" ref="F93" si="670">F83+F84</f>
        <v>0</v>
      </c>
      <c r="G93" s="158">
        <f t="shared" ref="G93" ca="1" si="671">G83+G84</f>
        <v>0</v>
      </c>
      <c r="H93" s="158">
        <f t="shared" ref="H93:I93" ca="1" si="672">H83+H84</f>
        <v>0</v>
      </c>
      <c r="I93" s="158">
        <f t="shared" ca="1" si="672"/>
        <v>0</v>
      </c>
      <c r="J93" s="158"/>
      <c r="K93" s="158"/>
      <c r="L93" s="158"/>
      <c r="M93" s="158"/>
      <c r="N93" s="2416"/>
      <c r="O93" s="158">
        <f t="shared" ref="O93:V93" ca="1" si="673">O83+O84</f>
        <v>0</v>
      </c>
      <c r="P93" s="158">
        <f t="shared" ca="1" si="673"/>
        <v>0</v>
      </c>
      <c r="Q93" s="158">
        <f t="shared" ca="1" si="673"/>
        <v>0</v>
      </c>
      <c r="R93" s="158">
        <f t="shared" ca="1" si="673"/>
        <v>0</v>
      </c>
      <c r="S93" s="158">
        <f t="shared" ca="1" si="673"/>
        <v>0</v>
      </c>
      <c r="T93" s="158">
        <f t="shared" ca="1" si="673"/>
        <v>0</v>
      </c>
      <c r="U93" s="158">
        <f t="shared" ca="1" si="673"/>
        <v>0</v>
      </c>
      <c r="V93" s="158">
        <f t="shared" ca="1" si="673"/>
        <v>0</v>
      </c>
      <c r="W93" s="158"/>
      <c r="X93" s="2416"/>
      <c r="Y93" s="158">
        <f t="shared" ref="Y93:AH93" ca="1" si="674">Y83+Y84</f>
        <v>0</v>
      </c>
      <c r="Z93" s="158">
        <f t="shared" ca="1" si="674"/>
        <v>0</v>
      </c>
      <c r="AA93" s="158">
        <f t="shared" ca="1" si="674"/>
        <v>0</v>
      </c>
      <c r="AB93" s="158">
        <f t="shared" ca="1" si="674"/>
        <v>0</v>
      </c>
      <c r="AC93" s="158">
        <f t="shared" ca="1" si="674"/>
        <v>0</v>
      </c>
      <c r="AD93" s="158">
        <f t="shared" ca="1" si="674"/>
        <v>0</v>
      </c>
      <c r="AE93" s="158">
        <f t="shared" ca="1" si="674"/>
        <v>0</v>
      </c>
      <c r="AF93" s="158">
        <f t="shared" ca="1" si="674"/>
        <v>0</v>
      </c>
      <c r="AG93" s="158">
        <f t="shared" ca="1" si="674"/>
        <v>0</v>
      </c>
      <c r="AH93" s="158">
        <f t="shared" ca="1" si="674"/>
        <v>0</v>
      </c>
      <c r="AI93" s="158"/>
      <c r="AJ93" s="158"/>
      <c r="AK93" s="158"/>
      <c r="AL93" s="158"/>
      <c r="AM93" s="158"/>
      <c r="AN93" s="158"/>
      <c r="AO93" s="158"/>
      <c r="AP93" s="158"/>
      <c r="AQ93" s="158"/>
      <c r="AR93" s="2416"/>
      <c r="AS93" s="158">
        <f t="shared" ref="AS93:AW93" ca="1" si="675">AS83+AS84</f>
        <v>0</v>
      </c>
      <c r="AT93" s="158">
        <f t="shared" ca="1" si="675"/>
        <v>0</v>
      </c>
      <c r="AU93" s="158">
        <f t="shared" ca="1" si="675"/>
        <v>0</v>
      </c>
      <c r="AV93" s="158">
        <f t="shared" ca="1" si="675"/>
        <v>0</v>
      </c>
      <c r="AW93" s="158">
        <f t="shared" ca="1" si="675"/>
        <v>0</v>
      </c>
      <c r="AX93" s="158">
        <f t="shared" ref="AX93" si="676">AX83+AX84</f>
        <v>0</v>
      </c>
      <c r="AY93" s="158">
        <f t="shared" ref="AY93:BI93" si="677">AY83+AY84</f>
        <v>0</v>
      </c>
      <c r="AZ93" s="158">
        <f t="shared" ref="AZ93" si="678">AZ83+AZ84</f>
        <v>0</v>
      </c>
      <c r="BA93" s="158">
        <f t="shared" si="677"/>
        <v>0</v>
      </c>
      <c r="BB93" s="158">
        <f t="shared" si="677"/>
        <v>0</v>
      </c>
      <c r="BC93" s="158">
        <f t="shared" si="677"/>
        <v>0</v>
      </c>
      <c r="BD93" s="158">
        <f t="shared" si="677"/>
        <v>0</v>
      </c>
      <c r="BE93" s="158">
        <f t="shared" si="677"/>
        <v>0</v>
      </c>
      <c r="BF93" s="158">
        <f t="shared" si="677"/>
        <v>0</v>
      </c>
      <c r="BG93" s="158">
        <f t="shared" si="677"/>
        <v>0</v>
      </c>
      <c r="BH93" s="158">
        <f t="shared" si="677"/>
        <v>0</v>
      </c>
      <c r="BI93" s="158">
        <f t="shared" si="677"/>
        <v>0</v>
      </c>
      <c r="BJ93" s="159"/>
      <c r="BK93" s="159"/>
      <c r="BL93" s="159"/>
      <c r="BM93" s="595">
        <f t="shared" ca="1" si="641"/>
        <v>0</v>
      </c>
      <c r="BN93" s="579">
        <f t="shared" ca="1" si="660"/>
        <v>0</v>
      </c>
      <c r="BO93" s="1089"/>
      <c r="BP93" s="1089"/>
      <c r="BQ93" s="1089"/>
      <c r="BR93" s="1089"/>
      <c r="BS93" s="1089"/>
      <c r="BT93" s="1089"/>
      <c r="BU93" s="1089"/>
      <c r="BV93" s="1089"/>
      <c r="BW93" s="1089"/>
      <c r="BX93" s="1089"/>
      <c r="BY93" s="1089"/>
      <c r="BZ93" s="1089"/>
    </row>
    <row r="94" spans="1:78" s="590" customFormat="1" ht="21.95" hidden="1" customHeight="1" x14ac:dyDescent="0.15">
      <c r="A94" s="2596"/>
      <c r="B94" s="2668"/>
      <c r="C94" s="591" t="s">
        <v>482</v>
      </c>
      <c r="D94" s="2004"/>
      <c r="E94" s="592"/>
      <c r="F94" s="158">
        <f t="shared" ref="F94" si="679">IF(F93=0,0,+F120)</f>
        <v>0</v>
      </c>
      <c r="G94" s="158">
        <f t="shared" ref="G94" ca="1" si="680">IF(G93=0,0,+G120)</f>
        <v>0</v>
      </c>
      <c r="H94" s="158">
        <f t="shared" ref="H94:I94" ca="1" si="681">IF(H93=0,0,+H120)</f>
        <v>0</v>
      </c>
      <c r="I94" s="158">
        <f t="shared" ca="1" si="681"/>
        <v>0</v>
      </c>
      <c r="J94" s="158"/>
      <c r="K94" s="158"/>
      <c r="L94" s="158"/>
      <c r="M94" s="158"/>
      <c r="N94" s="2416"/>
      <c r="O94" s="158">
        <f t="shared" ref="O94:V94" ca="1" si="682">IF(O93=0,0,+O120)</f>
        <v>0</v>
      </c>
      <c r="P94" s="158">
        <f t="shared" ca="1" si="682"/>
        <v>0</v>
      </c>
      <c r="Q94" s="158">
        <f t="shared" ca="1" si="682"/>
        <v>0</v>
      </c>
      <c r="R94" s="158">
        <f t="shared" ca="1" si="682"/>
        <v>0</v>
      </c>
      <c r="S94" s="158">
        <f t="shared" ca="1" si="682"/>
        <v>0</v>
      </c>
      <c r="T94" s="158">
        <f t="shared" ca="1" si="682"/>
        <v>0</v>
      </c>
      <c r="U94" s="158">
        <f t="shared" ca="1" si="682"/>
        <v>0</v>
      </c>
      <c r="V94" s="158">
        <f t="shared" ca="1" si="682"/>
        <v>0</v>
      </c>
      <c r="W94" s="158"/>
      <c r="X94" s="2416"/>
      <c r="Y94" s="158">
        <f t="shared" ref="Y94:AH94" ca="1" si="683">IF(Y93=0,0,+Y120)</f>
        <v>0</v>
      </c>
      <c r="Z94" s="158">
        <f t="shared" ca="1" si="683"/>
        <v>0</v>
      </c>
      <c r="AA94" s="158">
        <f t="shared" ca="1" si="683"/>
        <v>0</v>
      </c>
      <c r="AB94" s="158">
        <f t="shared" ca="1" si="683"/>
        <v>0</v>
      </c>
      <c r="AC94" s="158">
        <f t="shared" ca="1" si="683"/>
        <v>0</v>
      </c>
      <c r="AD94" s="158">
        <f t="shared" ca="1" si="683"/>
        <v>0</v>
      </c>
      <c r="AE94" s="158">
        <f t="shared" ca="1" si="683"/>
        <v>0</v>
      </c>
      <c r="AF94" s="158">
        <f t="shared" ca="1" si="683"/>
        <v>0</v>
      </c>
      <c r="AG94" s="158">
        <f t="shared" ca="1" si="683"/>
        <v>0</v>
      </c>
      <c r="AH94" s="158">
        <f t="shared" ca="1" si="683"/>
        <v>0</v>
      </c>
      <c r="AI94" s="158"/>
      <c r="AJ94" s="158"/>
      <c r="AK94" s="158"/>
      <c r="AL94" s="158"/>
      <c r="AM94" s="158"/>
      <c r="AN94" s="158"/>
      <c r="AO94" s="158"/>
      <c r="AP94" s="158"/>
      <c r="AQ94" s="158"/>
      <c r="AR94" s="2416"/>
      <c r="AS94" s="158">
        <f t="shared" ref="AS94:AW94" ca="1" si="684">IF(AS93=0,0,+AS120)</f>
        <v>0</v>
      </c>
      <c r="AT94" s="158">
        <f t="shared" ca="1" si="684"/>
        <v>0</v>
      </c>
      <c r="AU94" s="158">
        <f t="shared" ca="1" si="684"/>
        <v>0</v>
      </c>
      <c r="AV94" s="158">
        <f t="shared" ca="1" si="684"/>
        <v>0</v>
      </c>
      <c r="AW94" s="158">
        <f t="shared" ca="1" si="684"/>
        <v>0</v>
      </c>
      <c r="AX94" s="158">
        <f t="shared" ref="AX94" si="685">IF(AX93=0,0,+AX120)</f>
        <v>0</v>
      </c>
      <c r="AY94" s="158">
        <f t="shared" ref="AY94:BI94" si="686">IF(AY93=0,0,+AY120)</f>
        <v>0</v>
      </c>
      <c r="AZ94" s="158">
        <f t="shared" ref="AZ94" si="687">IF(AZ93=0,0,+AZ120)</f>
        <v>0</v>
      </c>
      <c r="BA94" s="158">
        <f t="shared" si="686"/>
        <v>0</v>
      </c>
      <c r="BB94" s="158">
        <f t="shared" si="686"/>
        <v>0</v>
      </c>
      <c r="BC94" s="158">
        <f t="shared" si="686"/>
        <v>0</v>
      </c>
      <c r="BD94" s="158">
        <f t="shared" si="686"/>
        <v>0</v>
      </c>
      <c r="BE94" s="158">
        <f t="shared" si="686"/>
        <v>0</v>
      </c>
      <c r="BF94" s="158">
        <f t="shared" si="686"/>
        <v>0</v>
      </c>
      <c r="BG94" s="158">
        <f t="shared" si="686"/>
        <v>0</v>
      </c>
      <c r="BH94" s="158">
        <f t="shared" si="686"/>
        <v>0</v>
      </c>
      <c r="BI94" s="158">
        <f t="shared" si="686"/>
        <v>0</v>
      </c>
      <c r="BJ94" s="159"/>
      <c r="BK94" s="159"/>
      <c r="BL94" s="159"/>
      <c r="BM94" s="595">
        <f t="shared" ca="1" si="641"/>
        <v>0</v>
      </c>
      <c r="BN94" s="579">
        <f t="shared" ca="1" si="660"/>
        <v>0</v>
      </c>
      <c r="BO94" s="1089"/>
      <c r="BP94" s="1089"/>
      <c r="BQ94" s="1089"/>
      <c r="BR94" s="1089"/>
      <c r="BS94" s="1089"/>
      <c r="BT94" s="1089"/>
      <c r="BU94" s="1089"/>
      <c r="BV94" s="1089"/>
      <c r="BW94" s="1089"/>
      <c r="BX94" s="1089"/>
      <c r="BY94" s="1089"/>
      <c r="BZ94" s="1089"/>
    </row>
    <row r="95" spans="1:78" s="590" customFormat="1" ht="21.95" hidden="1" customHeight="1" x14ac:dyDescent="0.15">
      <c r="A95" s="2596"/>
      <c r="B95" s="2668"/>
      <c r="C95" s="591" t="s">
        <v>307</v>
      </c>
      <c r="D95" s="2004"/>
      <c r="E95" s="592"/>
      <c r="F95" s="158">
        <f t="shared" ref="F95" si="688">IF(F92-F93&gt;F94,0,F94-(F92-F93))</f>
        <v>0</v>
      </c>
      <c r="G95" s="158">
        <f t="shared" ref="G95" ca="1" si="689">IF(G92-G93&gt;G94,0,G94-(G92-G93))</f>
        <v>0</v>
      </c>
      <c r="H95" s="158">
        <f t="shared" ref="H95:I95" ca="1" si="690">IF(H92-H93&gt;H94,0,H94-(H92-H93))</f>
        <v>0</v>
      </c>
      <c r="I95" s="158">
        <f t="shared" ca="1" si="690"/>
        <v>0</v>
      </c>
      <c r="J95" s="158"/>
      <c r="K95" s="158"/>
      <c r="L95" s="158"/>
      <c r="M95" s="158"/>
      <c r="N95" s="2416"/>
      <c r="O95" s="158">
        <f t="shared" ref="O95:V95" ca="1" si="691">IF(O92-O93&gt;O94,0,O94-(O92-O93))</f>
        <v>0</v>
      </c>
      <c r="P95" s="158">
        <f t="shared" ca="1" si="691"/>
        <v>0</v>
      </c>
      <c r="Q95" s="158">
        <f t="shared" ca="1" si="691"/>
        <v>0</v>
      </c>
      <c r="R95" s="158">
        <f t="shared" ca="1" si="691"/>
        <v>0</v>
      </c>
      <c r="S95" s="158">
        <f t="shared" ca="1" si="691"/>
        <v>0</v>
      </c>
      <c r="T95" s="158">
        <f t="shared" ca="1" si="691"/>
        <v>0</v>
      </c>
      <c r="U95" s="158">
        <f t="shared" ca="1" si="691"/>
        <v>0</v>
      </c>
      <c r="V95" s="158">
        <f t="shared" ca="1" si="691"/>
        <v>0</v>
      </c>
      <c r="W95" s="158"/>
      <c r="X95" s="2416"/>
      <c r="Y95" s="158">
        <f t="shared" ref="Y95:AH95" ca="1" si="692">IF(Y92-Y93&gt;Y94,0,Y94-(Y92-Y93))</f>
        <v>0</v>
      </c>
      <c r="Z95" s="158">
        <f t="shared" ca="1" si="692"/>
        <v>0</v>
      </c>
      <c r="AA95" s="158">
        <f t="shared" ca="1" si="692"/>
        <v>0</v>
      </c>
      <c r="AB95" s="158">
        <f t="shared" ca="1" si="692"/>
        <v>0</v>
      </c>
      <c r="AC95" s="158">
        <f t="shared" ca="1" si="692"/>
        <v>0</v>
      </c>
      <c r="AD95" s="158">
        <f t="shared" ca="1" si="692"/>
        <v>0</v>
      </c>
      <c r="AE95" s="158">
        <f t="shared" ca="1" si="692"/>
        <v>0</v>
      </c>
      <c r="AF95" s="158">
        <f t="shared" ca="1" si="692"/>
        <v>0</v>
      </c>
      <c r="AG95" s="158">
        <f t="shared" ca="1" si="692"/>
        <v>0</v>
      </c>
      <c r="AH95" s="158">
        <f t="shared" ca="1" si="692"/>
        <v>0</v>
      </c>
      <c r="AI95" s="158"/>
      <c r="AJ95" s="158"/>
      <c r="AK95" s="158"/>
      <c r="AL95" s="158"/>
      <c r="AM95" s="158"/>
      <c r="AN95" s="158"/>
      <c r="AO95" s="158"/>
      <c r="AP95" s="158"/>
      <c r="AQ95" s="158"/>
      <c r="AR95" s="2416"/>
      <c r="AS95" s="158">
        <f t="shared" ref="AS95:AW95" ca="1" si="693">IF(AS92-AS93&gt;AS94,0,AS94-(AS92-AS93))</f>
        <v>0</v>
      </c>
      <c r="AT95" s="158">
        <f t="shared" ca="1" si="693"/>
        <v>0</v>
      </c>
      <c r="AU95" s="158">
        <f t="shared" ca="1" si="693"/>
        <v>0</v>
      </c>
      <c r="AV95" s="158">
        <f t="shared" ca="1" si="693"/>
        <v>0</v>
      </c>
      <c r="AW95" s="158">
        <f t="shared" ca="1" si="693"/>
        <v>0</v>
      </c>
      <c r="AX95" s="158">
        <f t="shared" ref="AX95" si="694">IF(AX92-AX93&gt;AX94,0,AX94-(AX92-AX93))</f>
        <v>0</v>
      </c>
      <c r="AY95" s="158">
        <f t="shared" ref="AY95:BI95" si="695">IF(AY92-AY93&gt;AY94,0,AY94-(AY92-AY93))</f>
        <v>0</v>
      </c>
      <c r="AZ95" s="158">
        <f t="shared" ref="AZ95" si="696">IF(AZ92-AZ93&gt;AZ94,0,AZ94-(AZ92-AZ93))</f>
        <v>0</v>
      </c>
      <c r="BA95" s="158">
        <f t="shared" si="695"/>
        <v>0</v>
      </c>
      <c r="BB95" s="158">
        <f t="shared" si="695"/>
        <v>0</v>
      </c>
      <c r="BC95" s="158">
        <f t="shared" si="695"/>
        <v>0</v>
      </c>
      <c r="BD95" s="158">
        <f t="shared" si="695"/>
        <v>0</v>
      </c>
      <c r="BE95" s="158">
        <f t="shared" si="695"/>
        <v>0</v>
      </c>
      <c r="BF95" s="158">
        <f t="shared" si="695"/>
        <v>0</v>
      </c>
      <c r="BG95" s="158">
        <f t="shared" si="695"/>
        <v>0</v>
      </c>
      <c r="BH95" s="158">
        <f t="shared" si="695"/>
        <v>0</v>
      </c>
      <c r="BI95" s="158">
        <f t="shared" si="695"/>
        <v>0</v>
      </c>
      <c r="BJ95" s="159"/>
      <c r="BK95" s="159"/>
      <c r="BL95" s="159"/>
      <c r="BM95" s="595">
        <f t="shared" ca="1" si="641"/>
        <v>0</v>
      </c>
      <c r="BN95" s="579">
        <f t="shared" ca="1" si="660"/>
        <v>0</v>
      </c>
      <c r="BO95" s="1089"/>
      <c r="BP95" s="1089"/>
      <c r="BQ95" s="1089"/>
      <c r="BR95" s="1089"/>
      <c r="BS95" s="1089"/>
      <c r="BT95" s="1089"/>
      <c r="BU95" s="1089"/>
      <c r="BV95" s="1089"/>
      <c r="BW95" s="1089"/>
      <c r="BX95" s="1089"/>
      <c r="BY95" s="1089"/>
      <c r="BZ95" s="1089"/>
    </row>
    <row r="96" spans="1:78" s="590" customFormat="1" ht="21.95" hidden="1" customHeight="1" thickBot="1" x14ac:dyDescent="0.2">
      <c r="A96" s="2596"/>
      <c r="B96" s="2672"/>
      <c r="C96" s="929" t="s">
        <v>723</v>
      </c>
      <c r="D96" s="2005"/>
      <c r="E96" s="1523"/>
      <c r="F96" s="239">
        <f t="shared" ref="F96" si="697">F95*1.25</f>
        <v>0</v>
      </c>
      <c r="G96" s="239">
        <f t="shared" ref="G96" ca="1" si="698">G95*1.25</f>
        <v>0</v>
      </c>
      <c r="H96" s="239">
        <f t="shared" ref="H96:I96" ca="1" si="699">H95*1.25</f>
        <v>0</v>
      </c>
      <c r="I96" s="239">
        <f t="shared" ca="1" si="699"/>
        <v>0</v>
      </c>
      <c r="J96" s="239"/>
      <c r="K96" s="239"/>
      <c r="L96" s="239"/>
      <c r="M96" s="239"/>
      <c r="N96" s="2440"/>
      <c r="O96" s="239">
        <f t="shared" ref="O96:V96" ca="1" si="700">O95*1.25</f>
        <v>0</v>
      </c>
      <c r="P96" s="239">
        <f t="shared" ca="1" si="700"/>
        <v>0</v>
      </c>
      <c r="Q96" s="239">
        <f t="shared" ca="1" si="700"/>
        <v>0</v>
      </c>
      <c r="R96" s="239">
        <f t="shared" ca="1" si="700"/>
        <v>0</v>
      </c>
      <c r="S96" s="239">
        <f t="shared" ca="1" si="700"/>
        <v>0</v>
      </c>
      <c r="T96" s="239">
        <f t="shared" ca="1" si="700"/>
        <v>0</v>
      </c>
      <c r="U96" s="239">
        <f t="shared" ca="1" si="700"/>
        <v>0</v>
      </c>
      <c r="V96" s="239">
        <f t="shared" ca="1" si="700"/>
        <v>0</v>
      </c>
      <c r="W96" s="239"/>
      <c r="X96" s="2440"/>
      <c r="Y96" s="239">
        <f t="shared" ref="Y96:AH96" ca="1" si="701">Y95*1.25</f>
        <v>0</v>
      </c>
      <c r="Z96" s="239">
        <f t="shared" ca="1" si="701"/>
        <v>0</v>
      </c>
      <c r="AA96" s="239">
        <f t="shared" ca="1" si="701"/>
        <v>0</v>
      </c>
      <c r="AB96" s="239">
        <f t="shared" ca="1" si="701"/>
        <v>0</v>
      </c>
      <c r="AC96" s="239">
        <f t="shared" ca="1" si="701"/>
        <v>0</v>
      </c>
      <c r="AD96" s="239">
        <f t="shared" ca="1" si="701"/>
        <v>0</v>
      </c>
      <c r="AE96" s="239">
        <f t="shared" ca="1" si="701"/>
        <v>0</v>
      </c>
      <c r="AF96" s="239">
        <f t="shared" ca="1" si="701"/>
        <v>0</v>
      </c>
      <c r="AG96" s="239">
        <f t="shared" ca="1" si="701"/>
        <v>0</v>
      </c>
      <c r="AH96" s="239">
        <f t="shared" ca="1" si="701"/>
        <v>0</v>
      </c>
      <c r="AI96" s="239"/>
      <c r="AJ96" s="239"/>
      <c r="AK96" s="239"/>
      <c r="AL96" s="239"/>
      <c r="AM96" s="239"/>
      <c r="AN96" s="239"/>
      <c r="AO96" s="239"/>
      <c r="AP96" s="239"/>
      <c r="AQ96" s="239"/>
      <c r="AR96" s="2440"/>
      <c r="AS96" s="239">
        <f t="shared" ref="AS96:AW96" ca="1" si="702">AS95*1.25</f>
        <v>0</v>
      </c>
      <c r="AT96" s="239">
        <f t="shared" ca="1" si="702"/>
        <v>0</v>
      </c>
      <c r="AU96" s="239">
        <f t="shared" ca="1" si="702"/>
        <v>0</v>
      </c>
      <c r="AV96" s="239">
        <f t="shared" ca="1" si="702"/>
        <v>0</v>
      </c>
      <c r="AW96" s="239">
        <f t="shared" ca="1" si="702"/>
        <v>0</v>
      </c>
      <c r="AX96" s="239">
        <f t="shared" ref="AX96" si="703">AX95*1.25</f>
        <v>0</v>
      </c>
      <c r="AY96" s="239">
        <f t="shared" ref="AY96:BI96" si="704">AY95*1.25</f>
        <v>0</v>
      </c>
      <c r="AZ96" s="239">
        <f t="shared" ref="AZ96" si="705">AZ95*1.25</f>
        <v>0</v>
      </c>
      <c r="BA96" s="239">
        <f t="shared" si="704"/>
        <v>0</v>
      </c>
      <c r="BB96" s="239">
        <f t="shared" si="704"/>
        <v>0</v>
      </c>
      <c r="BC96" s="239">
        <f t="shared" si="704"/>
        <v>0</v>
      </c>
      <c r="BD96" s="239">
        <f t="shared" si="704"/>
        <v>0</v>
      </c>
      <c r="BE96" s="239">
        <f t="shared" si="704"/>
        <v>0</v>
      </c>
      <c r="BF96" s="239">
        <f t="shared" si="704"/>
        <v>0</v>
      </c>
      <c r="BG96" s="239">
        <f t="shared" si="704"/>
        <v>0</v>
      </c>
      <c r="BH96" s="239">
        <f t="shared" si="704"/>
        <v>0</v>
      </c>
      <c r="BI96" s="239">
        <f t="shared" si="704"/>
        <v>0</v>
      </c>
      <c r="BJ96" s="237"/>
      <c r="BK96" s="237"/>
      <c r="BL96" s="237"/>
      <c r="BM96" s="361">
        <f t="shared" ca="1" si="641"/>
        <v>0</v>
      </c>
      <c r="BN96" s="579">
        <f t="shared" ca="1" si="660"/>
        <v>0</v>
      </c>
      <c r="BO96" s="1089"/>
      <c r="BP96" s="1089"/>
      <c r="BQ96" s="1089"/>
      <c r="BR96" s="1089"/>
      <c r="BS96" s="1089"/>
      <c r="BT96" s="1089"/>
      <c r="BU96" s="1089"/>
      <c r="BV96" s="1089"/>
      <c r="BW96" s="1089"/>
      <c r="BX96" s="1089"/>
      <c r="BY96" s="1089"/>
      <c r="BZ96" s="1089"/>
    </row>
    <row r="97" spans="1:78" s="590" customFormat="1" ht="21.95" customHeight="1" x14ac:dyDescent="0.15">
      <c r="A97" s="2596"/>
      <c r="B97" s="2677" t="s">
        <v>2418</v>
      </c>
      <c r="C97" s="930" t="s">
        <v>3</v>
      </c>
      <c r="D97" s="2003"/>
      <c r="E97" s="1520"/>
      <c r="F97" s="238">
        <f>IF(AND(F11&gt;1.25,F11&lt;=2.5,F30=5,F113=0),F2,0)</f>
        <v>0</v>
      </c>
      <c r="G97" s="238">
        <f t="shared" ref="G97" ca="1" si="706">IF(AND(G11&gt;1.25,G11&lt;=2.5,G30=5,G113=0),G2,0)</f>
        <v>0</v>
      </c>
      <c r="H97" s="238">
        <f t="shared" ref="H97:I97" ca="1" si="707">IF(AND(H11&gt;1.25,H11&lt;=2.5,H30=5,H113=0),H2,0)</f>
        <v>0</v>
      </c>
      <c r="I97" s="238">
        <f t="shared" ca="1" si="707"/>
        <v>0</v>
      </c>
      <c r="J97" s="238"/>
      <c r="K97" s="238"/>
      <c r="L97" s="238"/>
      <c r="M97" s="238"/>
      <c r="N97" s="2439"/>
      <c r="O97" s="238">
        <f t="shared" ref="O97:V97" ca="1" si="708">IF(AND(O11&gt;1.25,O11&lt;=2.5,O30=5,O113=0),O2,0)</f>
        <v>0</v>
      </c>
      <c r="P97" s="238">
        <f t="shared" ca="1" si="708"/>
        <v>0</v>
      </c>
      <c r="Q97" s="238">
        <f t="shared" ca="1" si="708"/>
        <v>0</v>
      </c>
      <c r="R97" s="238">
        <f t="shared" ca="1" si="708"/>
        <v>0</v>
      </c>
      <c r="S97" s="238">
        <f t="shared" ca="1" si="708"/>
        <v>0</v>
      </c>
      <c r="T97" s="238">
        <f t="shared" ca="1" si="708"/>
        <v>0</v>
      </c>
      <c r="U97" s="238">
        <f t="shared" ca="1" si="708"/>
        <v>0</v>
      </c>
      <c r="V97" s="238">
        <f t="shared" ca="1" si="708"/>
        <v>0</v>
      </c>
      <c r="W97" s="238"/>
      <c r="X97" s="2439"/>
      <c r="Y97" s="238">
        <f t="shared" ref="Y97:AH97" ca="1" si="709">IF(AND(Y11&gt;1.25,Y11&lt;=2.5,Y30=5,Y113=0),Y2,0)</f>
        <v>0</v>
      </c>
      <c r="Z97" s="238">
        <f t="shared" ca="1" si="709"/>
        <v>0</v>
      </c>
      <c r="AA97" s="238">
        <f t="shared" ca="1" si="709"/>
        <v>0</v>
      </c>
      <c r="AB97" s="238">
        <f t="shared" ca="1" si="709"/>
        <v>0</v>
      </c>
      <c r="AC97" s="238">
        <f t="shared" ca="1" si="709"/>
        <v>0</v>
      </c>
      <c r="AD97" s="238">
        <f t="shared" ca="1" si="709"/>
        <v>0</v>
      </c>
      <c r="AE97" s="238">
        <f t="shared" ca="1" si="709"/>
        <v>0</v>
      </c>
      <c r="AF97" s="238">
        <f t="shared" ca="1" si="709"/>
        <v>0</v>
      </c>
      <c r="AG97" s="238">
        <f t="shared" ca="1" si="709"/>
        <v>0</v>
      </c>
      <c r="AH97" s="238">
        <f t="shared" ca="1" si="709"/>
        <v>0</v>
      </c>
      <c r="AI97" s="238"/>
      <c r="AJ97" s="238"/>
      <c r="AK97" s="238"/>
      <c r="AL97" s="238"/>
      <c r="AM97" s="238"/>
      <c r="AN97" s="238"/>
      <c r="AO97" s="238"/>
      <c r="AP97" s="238"/>
      <c r="AQ97" s="238"/>
      <c r="AR97" s="2439"/>
      <c r="AS97" s="238">
        <f t="shared" ref="AS97:AW97" ca="1" si="710">IF(AND(AS11&gt;1.25,AS11&lt;=2.5,AS30=5,AS113=0),AS2,0)</f>
        <v>0</v>
      </c>
      <c r="AT97" s="238">
        <f t="shared" ca="1" si="710"/>
        <v>0</v>
      </c>
      <c r="AU97" s="238">
        <f t="shared" ca="1" si="710"/>
        <v>0</v>
      </c>
      <c r="AV97" s="238">
        <f t="shared" ca="1" si="710"/>
        <v>0</v>
      </c>
      <c r="AW97" s="238">
        <f t="shared" ca="1" si="710"/>
        <v>0</v>
      </c>
      <c r="AX97" s="238">
        <f>IF(AND(AX11&gt;1.25,AX11&lt;=2.5,AX30=5,AX113=0),AX2,0)</f>
        <v>0</v>
      </c>
      <c r="AY97" s="238">
        <f>IF(AND(AY11&gt;1.25,AY11&lt;=2.5,AY30=5,AY113=0),AY2,0)</f>
        <v>802</v>
      </c>
      <c r="AZ97" s="238">
        <f>IF(AND(AZ11&gt;1.25,AZ11&lt;=2.5,AZ30=5,AZ113=0),AZ2,0)</f>
        <v>0</v>
      </c>
      <c r="BA97" s="238">
        <f>IF(AND(BA11&gt;1.25,BA11&lt;=2.5,BA30=5,BA113=0),BA2,0)</f>
        <v>66</v>
      </c>
      <c r="BB97" s="238">
        <f t="shared" ref="BB97:BI97" si="711">IF(AND(BB11&gt;1.25,BB11&lt;=2.5,BB30="v",BB29=1,BB113=0),BB2,0)</f>
        <v>0</v>
      </c>
      <c r="BC97" s="238">
        <f t="shared" si="711"/>
        <v>0</v>
      </c>
      <c r="BD97" s="238">
        <f t="shared" si="711"/>
        <v>0</v>
      </c>
      <c r="BE97" s="238">
        <f t="shared" si="711"/>
        <v>0</v>
      </c>
      <c r="BF97" s="238">
        <f t="shared" si="711"/>
        <v>0</v>
      </c>
      <c r="BG97" s="238">
        <f t="shared" si="711"/>
        <v>0</v>
      </c>
      <c r="BH97" s="238">
        <f t="shared" si="711"/>
        <v>0</v>
      </c>
      <c r="BI97" s="238">
        <f t="shared" si="711"/>
        <v>0</v>
      </c>
      <c r="BJ97" s="241"/>
      <c r="BK97" s="241"/>
      <c r="BL97" s="241"/>
      <c r="BM97" s="593">
        <f t="shared" ca="1" si="641"/>
        <v>868</v>
      </c>
      <c r="BN97" s="579">
        <f t="shared" ca="1" si="660"/>
        <v>1736</v>
      </c>
      <c r="BO97" s="1089"/>
      <c r="BP97" s="1089"/>
      <c r="BQ97" s="1089"/>
      <c r="BR97" s="1089"/>
      <c r="BS97" s="1089"/>
      <c r="BT97" s="1089"/>
      <c r="BU97" s="1089"/>
      <c r="BV97" s="1089"/>
      <c r="BW97" s="1089"/>
      <c r="BX97" s="1089"/>
      <c r="BY97" s="1089"/>
      <c r="BZ97" s="1089"/>
    </row>
    <row r="98" spans="1:78" s="590" customFormat="1" ht="21.95" customHeight="1" x14ac:dyDescent="0.15">
      <c r="A98" s="2596"/>
      <c r="B98" s="2678"/>
      <c r="C98" s="591" t="s">
        <v>10</v>
      </c>
      <c r="D98" s="2004"/>
      <c r="E98" s="592"/>
      <c r="F98" s="158">
        <f t="shared" ref="F98" si="712">IF(F97&gt;0,F11,0)</f>
        <v>0</v>
      </c>
      <c r="G98" s="158">
        <f t="shared" ref="G98" ca="1" si="713">IF(G97&gt;0,G11,0)</f>
        <v>0</v>
      </c>
      <c r="H98" s="158">
        <f t="shared" ref="H98:I98" ca="1" si="714">IF(H97&gt;0,H11,0)</f>
        <v>0</v>
      </c>
      <c r="I98" s="158">
        <f t="shared" ca="1" si="714"/>
        <v>0</v>
      </c>
      <c r="J98" s="158"/>
      <c r="K98" s="158"/>
      <c r="L98" s="158"/>
      <c r="M98" s="158"/>
      <c r="N98" s="2416"/>
      <c r="O98" s="158">
        <f t="shared" ref="O98:V98" ca="1" si="715">IF(O97&gt;0,O11,0)</f>
        <v>0</v>
      </c>
      <c r="P98" s="158">
        <f t="shared" ca="1" si="715"/>
        <v>0</v>
      </c>
      <c r="Q98" s="158">
        <f t="shared" ca="1" si="715"/>
        <v>0</v>
      </c>
      <c r="R98" s="158">
        <f t="shared" ca="1" si="715"/>
        <v>0</v>
      </c>
      <c r="S98" s="158">
        <f t="shared" ca="1" si="715"/>
        <v>0</v>
      </c>
      <c r="T98" s="158">
        <f t="shared" ca="1" si="715"/>
        <v>0</v>
      </c>
      <c r="U98" s="158">
        <f t="shared" ca="1" si="715"/>
        <v>0</v>
      </c>
      <c r="V98" s="158">
        <f t="shared" ca="1" si="715"/>
        <v>0</v>
      </c>
      <c r="W98" s="158"/>
      <c r="X98" s="2416"/>
      <c r="Y98" s="158">
        <f t="shared" ref="Y98:AH98" ca="1" si="716">IF(Y97&gt;0,Y11,0)</f>
        <v>0</v>
      </c>
      <c r="Z98" s="158">
        <f t="shared" ca="1" si="716"/>
        <v>0</v>
      </c>
      <c r="AA98" s="158">
        <f t="shared" ca="1" si="716"/>
        <v>0</v>
      </c>
      <c r="AB98" s="158">
        <f t="shared" ca="1" si="716"/>
        <v>0</v>
      </c>
      <c r="AC98" s="158">
        <f t="shared" ca="1" si="716"/>
        <v>0</v>
      </c>
      <c r="AD98" s="158">
        <f t="shared" ca="1" si="716"/>
        <v>0</v>
      </c>
      <c r="AE98" s="158">
        <f t="shared" ca="1" si="716"/>
        <v>0</v>
      </c>
      <c r="AF98" s="158">
        <f t="shared" ca="1" si="716"/>
        <v>0</v>
      </c>
      <c r="AG98" s="158">
        <f t="shared" ca="1" si="716"/>
        <v>0</v>
      </c>
      <c r="AH98" s="158">
        <f t="shared" ca="1" si="716"/>
        <v>0</v>
      </c>
      <c r="AI98" s="158"/>
      <c r="AJ98" s="158"/>
      <c r="AK98" s="158"/>
      <c r="AL98" s="158"/>
      <c r="AM98" s="158"/>
      <c r="AN98" s="158"/>
      <c r="AO98" s="158"/>
      <c r="AP98" s="158"/>
      <c r="AQ98" s="158"/>
      <c r="AR98" s="2416"/>
      <c r="AS98" s="158">
        <f t="shared" ref="AS98:AW98" ca="1" si="717">IF(AS97&gt;0,AS11,0)</f>
        <v>0</v>
      </c>
      <c r="AT98" s="158">
        <f t="shared" ca="1" si="717"/>
        <v>0</v>
      </c>
      <c r="AU98" s="158">
        <f t="shared" ca="1" si="717"/>
        <v>0</v>
      </c>
      <c r="AV98" s="158">
        <f t="shared" ca="1" si="717"/>
        <v>0</v>
      </c>
      <c r="AW98" s="158">
        <f t="shared" ca="1" si="717"/>
        <v>0</v>
      </c>
      <c r="AX98" s="158">
        <f t="shared" ref="AX98" si="718">IF(AX97&gt;0,AX11,0)</f>
        <v>0</v>
      </c>
      <c r="AY98" s="158">
        <f t="shared" ref="AY98:BI98" si="719">IF(AY97&gt;0,AY11,0)</f>
        <v>1.3340000000000001</v>
      </c>
      <c r="AZ98" s="158">
        <f t="shared" ref="AZ98" si="720">IF(AZ97&gt;0,AZ11,0)</f>
        <v>0</v>
      </c>
      <c r="BA98" s="158">
        <f t="shared" si="719"/>
        <v>1.5259999999999998</v>
      </c>
      <c r="BB98" s="158">
        <f t="shared" si="719"/>
        <v>0</v>
      </c>
      <c r="BC98" s="158">
        <f t="shared" si="719"/>
        <v>0</v>
      </c>
      <c r="BD98" s="158">
        <f t="shared" si="719"/>
        <v>0</v>
      </c>
      <c r="BE98" s="158">
        <f t="shared" si="719"/>
        <v>0</v>
      </c>
      <c r="BF98" s="158">
        <f t="shared" si="719"/>
        <v>0</v>
      </c>
      <c r="BG98" s="158">
        <f t="shared" si="719"/>
        <v>0</v>
      </c>
      <c r="BH98" s="158">
        <f t="shared" si="719"/>
        <v>0</v>
      </c>
      <c r="BI98" s="158">
        <f t="shared" si="719"/>
        <v>0</v>
      </c>
      <c r="BJ98" s="159"/>
      <c r="BK98" s="159"/>
      <c r="BL98" s="159"/>
      <c r="BM98" s="351"/>
      <c r="BN98" s="579">
        <f t="shared" ca="1" si="660"/>
        <v>2.86</v>
      </c>
      <c r="BO98" s="1089"/>
      <c r="BP98" s="1089"/>
      <c r="BQ98" s="1089"/>
      <c r="BR98" s="1089"/>
      <c r="BS98" s="1089"/>
      <c r="BT98" s="1089"/>
      <c r="BU98" s="1089"/>
      <c r="BV98" s="1089"/>
      <c r="BW98" s="1089"/>
      <c r="BX98" s="1089"/>
      <c r="BY98" s="1089"/>
      <c r="BZ98" s="1089"/>
    </row>
    <row r="99" spans="1:78" s="590" customFormat="1" ht="21.95" customHeight="1" x14ac:dyDescent="0.15">
      <c r="A99" s="2596"/>
      <c r="B99" s="2678"/>
      <c r="C99" s="598" t="s">
        <v>589</v>
      </c>
      <c r="D99" s="2004"/>
      <c r="E99" s="592"/>
      <c r="F99" s="158">
        <f t="shared" ref="F99" si="721">IF(F97&gt;0,F39,0)</f>
        <v>0</v>
      </c>
      <c r="G99" s="158">
        <f t="shared" ref="G99" ca="1" si="722">IF(G97&gt;0,G39,0)</f>
        <v>0</v>
      </c>
      <c r="H99" s="158">
        <f t="shared" ref="H99:I99" ca="1" si="723">IF(H97&gt;0,H39,0)</f>
        <v>0</v>
      </c>
      <c r="I99" s="158">
        <f t="shared" ca="1" si="723"/>
        <v>0</v>
      </c>
      <c r="J99" s="158"/>
      <c r="K99" s="158"/>
      <c r="L99" s="158"/>
      <c r="M99" s="158"/>
      <c r="N99" s="2416"/>
      <c r="O99" s="158">
        <f t="shared" ref="O99:V99" ca="1" si="724">IF(O97&gt;0,O39,0)</f>
        <v>0</v>
      </c>
      <c r="P99" s="158">
        <f t="shared" ca="1" si="724"/>
        <v>0</v>
      </c>
      <c r="Q99" s="158">
        <f t="shared" ca="1" si="724"/>
        <v>0</v>
      </c>
      <c r="R99" s="158">
        <f t="shared" ca="1" si="724"/>
        <v>0</v>
      </c>
      <c r="S99" s="158">
        <f t="shared" ca="1" si="724"/>
        <v>0</v>
      </c>
      <c r="T99" s="158">
        <f t="shared" ca="1" si="724"/>
        <v>0</v>
      </c>
      <c r="U99" s="158">
        <f t="shared" ca="1" si="724"/>
        <v>0</v>
      </c>
      <c r="V99" s="158">
        <f t="shared" ca="1" si="724"/>
        <v>0</v>
      </c>
      <c r="W99" s="158"/>
      <c r="X99" s="2416"/>
      <c r="Y99" s="158">
        <f t="shared" ref="Y99:AH99" ca="1" si="725">IF(Y97&gt;0,Y39,0)</f>
        <v>0</v>
      </c>
      <c r="Z99" s="158">
        <f t="shared" ca="1" si="725"/>
        <v>0</v>
      </c>
      <c r="AA99" s="158">
        <f t="shared" ca="1" si="725"/>
        <v>0</v>
      </c>
      <c r="AB99" s="158">
        <f t="shared" ca="1" si="725"/>
        <v>0</v>
      </c>
      <c r="AC99" s="158">
        <f t="shared" ca="1" si="725"/>
        <v>0</v>
      </c>
      <c r="AD99" s="158">
        <f t="shared" ca="1" si="725"/>
        <v>0</v>
      </c>
      <c r="AE99" s="158">
        <f t="shared" ca="1" si="725"/>
        <v>0</v>
      </c>
      <c r="AF99" s="158">
        <f t="shared" ca="1" si="725"/>
        <v>0</v>
      </c>
      <c r="AG99" s="158">
        <f t="shared" ca="1" si="725"/>
        <v>0</v>
      </c>
      <c r="AH99" s="158">
        <f t="shared" ca="1" si="725"/>
        <v>0</v>
      </c>
      <c r="AI99" s="158"/>
      <c r="AJ99" s="158"/>
      <c r="AK99" s="158"/>
      <c r="AL99" s="158"/>
      <c r="AM99" s="158"/>
      <c r="AN99" s="158"/>
      <c r="AO99" s="158"/>
      <c r="AP99" s="158"/>
      <c r="AQ99" s="158"/>
      <c r="AR99" s="2416"/>
      <c r="AS99" s="158">
        <f t="shared" ref="AS99:AW99" ca="1" si="726">IF(AS97&gt;0,AS39,0)</f>
        <v>0</v>
      </c>
      <c r="AT99" s="158">
        <f t="shared" ca="1" si="726"/>
        <v>0</v>
      </c>
      <c r="AU99" s="158">
        <f t="shared" ca="1" si="726"/>
        <v>0</v>
      </c>
      <c r="AV99" s="158">
        <f t="shared" ca="1" si="726"/>
        <v>0</v>
      </c>
      <c r="AW99" s="158">
        <f t="shared" ca="1" si="726"/>
        <v>0</v>
      </c>
      <c r="AX99" s="158">
        <f t="shared" ref="AX99" si="727">IF(AX97&gt;0,AX39,0)</f>
        <v>0</v>
      </c>
      <c r="AY99" s="158">
        <f t="shared" ref="AY99:BI99" si="728">IF(AY97&gt;0,AY39,0)</f>
        <v>1.3336000000000001</v>
      </c>
      <c r="AZ99" s="158">
        <f t="shared" ref="AZ99" si="729">IF(AZ97&gt;0,AZ39,0)</f>
        <v>0</v>
      </c>
      <c r="BA99" s="158">
        <f t="shared" si="728"/>
        <v>1.8104</v>
      </c>
      <c r="BB99" s="158">
        <f t="shared" si="728"/>
        <v>0</v>
      </c>
      <c r="BC99" s="158">
        <f t="shared" si="728"/>
        <v>0</v>
      </c>
      <c r="BD99" s="158">
        <f t="shared" si="728"/>
        <v>0</v>
      </c>
      <c r="BE99" s="158">
        <f t="shared" si="728"/>
        <v>0</v>
      </c>
      <c r="BF99" s="158">
        <f t="shared" si="728"/>
        <v>0</v>
      </c>
      <c r="BG99" s="158">
        <f t="shared" si="728"/>
        <v>0</v>
      </c>
      <c r="BH99" s="158">
        <f t="shared" si="728"/>
        <v>0</v>
      </c>
      <c r="BI99" s="158">
        <f t="shared" si="728"/>
        <v>0</v>
      </c>
      <c r="BJ99" s="159"/>
      <c r="BK99" s="159"/>
      <c r="BL99" s="159"/>
      <c r="BM99" s="351"/>
      <c r="BN99" s="579">
        <f t="shared" ca="1" si="660"/>
        <v>3.1440000000000001</v>
      </c>
      <c r="BO99" s="1089"/>
      <c r="BP99" s="1089"/>
      <c r="BQ99" s="1089"/>
      <c r="BR99" s="1089"/>
      <c r="BS99" s="1089"/>
      <c r="BT99" s="1089"/>
      <c r="BU99" s="1089"/>
      <c r="BV99" s="1089"/>
      <c r="BW99" s="1089"/>
      <c r="BX99" s="1089"/>
      <c r="BY99" s="1089"/>
      <c r="BZ99" s="1089"/>
    </row>
    <row r="100" spans="1:78" s="590" customFormat="1" ht="21.95" customHeight="1" x14ac:dyDescent="0.15">
      <c r="A100" s="2596"/>
      <c r="B100" s="2678"/>
      <c r="C100" s="598" t="s">
        <v>590</v>
      </c>
      <c r="D100" s="2004"/>
      <c r="E100" s="592"/>
      <c r="F100" s="158">
        <f t="shared" ref="F100" si="730">IF(AND(F98&lt;=1.5,F99&lt;=1.5),F97*2*F98,0)</f>
        <v>0</v>
      </c>
      <c r="G100" s="158">
        <f t="shared" ref="G100" ca="1" si="731">IF(AND(G98&lt;=1.5,G99&lt;=1.5),G97*2*G98,0)</f>
        <v>0</v>
      </c>
      <c r="H100" s="158">
        <f t="shared" ref="H100:I100" ca="1" si="732">IF(AND(H98&lt;=1.5,H99&lt;=1.5),H97*2*H98,0)</f>
        <v>0</v>
      </c>
      <c r="I100" s="158">
        <f t="shared" ca="1" si="732"/>
        <v>0</v>
      </c>
      <c r="J100" s="158"/>
      <c r="K100" s="158"/>
      <c r="L100" s="158"/>
      <c r="M100" s="158"/>
      <c r="N100" s="2416"/>
      <c r="O100" s="158">
        <f t="shared" ref="O100:V100" ca="1" si="733">IF(AND(O98&lt;=1.5,O99&lt;=1.5),O97*2*O98,0)</f>
        <v>0</v>
      </c>
      <c r="P100" s="158">
        <f t="shared" ca="1" si="733"/>
        <v>0</v>
      </c>
      <c r="Q100" s="158">
        <f t="shared" ca="1" si="733"/>
        <v>0</v>
      </c>
      <c r="R100" s="158">
        <f t="shared" ca="1" si="733"/>
        <v>0</v>
      </c>
      <c r="S100" s="158">
        <f t="shared" ca="1" si="733"/>
        <v>0</v>
      </c>
      <c r="T100" s="158">
        <f t="shared" ca="1" si="733"/>
        <v>0</v>
      </c>
      <c r="U100" s="158">
        <f t="shared" ca="1" si="733"/>
        <v>0</v>
      </c>
      <c r="V100" s="158">
        <f t="shared" ca="1" si="733"/>
        <v>0</v>
      </c>
      <c r="W100" s="158"/>
      <c r="X100" s="2416"/>
      <c r="Y100" s="158">
        <f t="shared" ref="Y100:AH100" ca="1" si="734">IF(AND(Y98&lt;=1.5,Y99&lt;=1.5),Y97*2*Y98,0)</f>
        <v>0</v>
      </c>
      <c r="Z100" s="158">
        <f t="shared" ca="1" si="734"/>
        <v>0</v>
      </c>
      <c r="AA100" s="158">
        <f t="shared" ca="1" si="734"/>
        <v>0</v>
      </c>
      <c r="AB100" s="158">
        <f t="shared" ca="1" si="734"/>
        <v>0</v>
      </c>
      <c r="AC100" s="158">
        <f t="shared" ca="1" si="734"/>
        <v>0</v>
      </c>
      <c r="AD100" s="158">
        <f t="shared" ca="1" si="734"/>
        <v>0</v>
      </c>
      <c r="AE100" s="158">
        <f t="shared" ca="1" si="734"/>
        <v>0</v>
      </c>
      <c r="AF100" s="158">
        <f t="shared" ca="1" si="734"/>
        <v>0</v>
      </c>
      <c r="AG100" s="158">
        <f t="shared" ca="1" si="734"/>
        <v>0</v>
      </c>
      <c r="AH100" s="158">
        <f t="shared" ca="1" si="734"/>
        <v>0</v>
      </c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2416"/>
      <c r="AS100" s="158">
        <f t="shared" ref="AS100:AW100" ca="1" si="735">IF(AND(AS98&lt;=1.5,AS99&lt;=1.5),AS97*2*AS98,0)</f>
        <v>0</v>
      </c>
      <c r="AT100" s="158">
        <f t="shared" ca="1" si="735"/>
        <v>0</v>
      </c>
      <c r="AU100" s="158">
        <f t="shared" ca="1" si="735"/>
        <v>0</v>
      </c>
      <c r="AV100" s="158">
        <f t="shared" ca="1" si="735"/>
        <v>0</v>
      </c>
      <c r="AW100" s="158">
        <f t="shared" ca="1" si="735"/>
        <v>0</v>
      </c>
      <c r="AX100" s="158">
        <f t="shared" ref="AX100" si="736">IF(AND(AX98&lt;=1.5,AX99&lt;=1.5),AX97*2*AX98,0)</f>
        <v>0</v>
      </c>
      <c r="AY100" s="158">
        <f t="shared" ref="AY100:BI100" si="737">IF(AND(AY98&lt;=1.5,AY99&lt;=1.5),AY97*2*AY98,0)</f>
        <v>2139.7360000000003</v>
      </c>
      <c r="AZ100" s="158">
        <f t="shared" ref="AZ100" si="738">IF(AND(AZ98&lt;=1.5,AZ99&lt;=1.5),AZ97*2*AZ98,0)</f>
        <v>0</v>
      </c>
      <c r="BA100" s="158">
        <f t="shared" si="737"/>
        <v>0</v>
      </c>
      <c r="BB100" s="158">
        <f t="shared" si="737"/>
        <v>0</v>
      </c>
      <c r="BC100" s="158">
        <f t="shared" si="737"/>
        <v>0</v>
      </c>
      <c r="BD100" s="158">
        <f t="shared" si="737"/>
        <v>0</v>
      </c>
      <c r="BE100" s="158">
        <f t="shared" si="737"/>
        <v>0</v>
      </c>
      <c r="BF100" s="158">
        <f t="shared" si="737"/>
        <v>0</v>
      </c>
      <c r="BG100" s="158">
        <f t="shared" si="737"/>
        <v>0</v>
      </c>
      <c r="BH100" s="158">
        <f t="shared" si="737"/>
        <v>0</v>
      </c>
      <c r="BI100" s="158">
        <f t="shared" si="737"/>
        <v>0</v>
      </c>
      <c r="BJ100" s="159"/>
      <c r="BK100" s="159"/>
      <c r="BL100" s="159"/>
      <c r="BM100" s="350">
        <f ca="1">TRUNC(SUM(F100:BL100),2)</f>
        <v>2139.73</v>
      </c>
      <c r="BN100" s="579">
        <f t="shared" ca="1" si="660"/>
        <v>4279.4660000000003</v>
      </c>
      <c r="BO100" s="1089"/>
      <c r="BP100" s="1089"/>
      <c r="BQ100" s="1089"/>
      <c r="BR100" s="1089"/>
      <c r="BS100" s="1089"/>
      <c r="BT100" s="1089"/>
      <c r="BU100" s="1089"/>
      <c r="BV100" s="1089"/>
      <c r="BW100" s="1089"/>
      <c r="BX100" s="1089"/>
      <c r="BY100" s="1089"/>
      <c r="BZ100" s="1089"/>
    </row>
    <row r="101" spans="1:78" s="590" customFormat="1" ht="21.95" hidden="1" customHeight="1" x14ac:dyDescent="0.15">
      <c r="A101" s="2596"/>
      <c r="B101" s="2678"/>
      <c r="C101" s="598" t="s">
        <v>591</v>
      </c>
      <c r="D101" s="2004"/>
      <c r="E101" s="592"/>
      <c r="F101" s="158">
        <f t="shared" ref="F101" si="739">IF(AND(F98&lt;=1.5,F99&gt;1.5),F97*2*F98,0)</f>
        <v>0</v>
      </c>
      <c r="G101" s="158">
        <f t="shared" ref="G101" ca="1" si="740">IF(AND(G98&lt;=1.5,G99&gt;1.5),G97*2*G98,0)</f>
        <v>0</v>
      </c>
      <c r="H101" s="158">
        <f t="shared" ref="H101:I101" ca="1" si="741">IF(AND(H98&lt;=1.5,H99&gt;1.5),H97*2*H98,0)</f>
        <v>0</v>
      </c>
      <c r="I101" s="158">
        <f t="shared" ca="1" si="741"/>
        <v>0</v>
      </c>
      <c r="J101" s="158"/>
      <c r="K101" s="158"/>
      <c r="L101" s="158"/>
      <c r="M101" s="158"/>
      <c r="N101" s="2416"/>
      <c r="O101" s="158">
        <f t="shared" ref="O101:V101" ca="1" si="742">IF(AND(O98&lt;=1.5,O99&gt;1.5),O97*2*O98,0)</f>
        <v>0</v>
      </c>
      <c r="P101" s="158">
        <f t="shared" ca="1" si="742"/>
        <v>0</v>
      </c>
      <c r="Q101" s="158">
        <f t="shared" ca="1" si="742"/>
        <v>0</v>
      </c>
      <c r="R101" s="158">
        <f t="shared" ca="1" si="742"/>
        <v>0</v>
      </c>
      <c r="S101" s="158">
        <f t="shared" ca="1" si="742"/>
        <v>0</v>
      </c>
      <c r="T101" s="158">
        <f t="shared" ca="1" si="742"/>
        <v>0</v>
      </c>
      <c r="U101" s="158">
        <f t="shared" ca="1" si="742"/>
        <v>0</v>
      </c>
      <c r="V101" s="158">
        <f t="shared" ca="1" si="742"/>
        <v>0</v>
      </c>
      <c r="W101" s="158"/>
      <c r="X101" s="2416"/>
      <c r="Y101" s="158">
        <f t="shared" ref="Y101:AH101" ca="1" si="743">IF(AND(Y98&lt;=1.5,Y99&gt;1.5),Y97*2*Y98,0)</f>
        <v>0</v>
      </c>
      <c r="Z101" s="158">
        <f t="shared" ca="1" si="743"/>
        <v>0</v>
      </c>
      <c r="AA101" s="158">
        <f t="shared" ca="1" si="743"/>
        <v>0</v>
      </c>
      <c r="AB101" s="158">
        <f t="shared" ca="1" si="743"/>
        <v>0</v>
      </c>
      <c r="AC101" s="158">
        <f t="shared" ca="1" si="743"/>
        <v>0</v>
      </c>
      <c r="AD101" s="158">
        <f t="shared" ca="1" si="743"/>
        <v>0</v>
      </c>
      <c r="AE101" s="158">
        <f t="shared" ca="1" si="743"/>
        <v>0</v>
      </c>
      <c r="AF101" s="158">
        <f t="shared" ca="1" si="743"/>
        <v>0</v>
      </c>
      <c r="AG101" s="158">
        <f t="shared" ca="1" si="743"/>
        <v>0</v>
      </c>
      <c r="AH101" s="158">
        <f t="shared" ca="1" si="743"/>
        <v>0</v>
      </c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2416"/>
      <c r="AS101" s="158">
        <f t="shared" ref="AS101:AW101" ca="1" si="744">IF(AND(AS98&lt;=1.5,AS99&gt;1.5),AS97*2*AS98,0)</f>
        <v>0</v>
      </c>
      <c r="AT101" s="158">
        <f t="shared" ca="1" si="744"/>
        <v>0</v>
      </c>
      <c r="AU101" s="158">
        <f t="shared" ca="1" si="744"/>
        <v>0</v>
      </c>
      <c r="AV101" s="158">
        <f t="shared" ca="1" si="744"/>
        <v>0</v>
      </c>
      <c r="AW101" s="158">
        <f t="shared" ca="1" si="744"/>
        <v>0</v>
      </c>
      <c r="AX101" s="158">
        <f t="shared" ref="AX101" si="745">IF(AND(AX98&lt;=1.5,AX99&gt;1.5),AX97*2*AX98,0)</f>
        <v>0</v>
      </c>
      <c r="AY101" s="158">
        <f t="shared" ref="AY101:BI101" si="746">IF(AND(AY98&lt;=1.5,AY99&gt;1.5),AY97*2*AY98,0)</f>
        <v>0</v>
      </c>
      <c r="AZ101" s="158">
        <f t="shared" ref="AZ101" si="747">IF(AND(AZ98&lt;=1.5,AZ99&gt;1.5),AZ97*2*AZ98,0)</f>
        <v>0</v>
      </c>
      <c r="BA101" s="158">
        <f t="shared" si="746"/>
        <v>0</v>
      </c>
      <c r="BB101" s="158">
        <f t="shared" si="746"/>
        <v>0</v>
      </c>
      <c r="BC101" s="158">
        <f t="shared" si="746"/>
        <v>0</v>
      </c>
      <c r="BD101" s="158">
        <f t="shared" si="746"/>
        <v>0</v>
      </c>
      <c r="BE101" s="158">
        <f t="shared" si="746"/>
        <v>0</v>
      </c>
      <c r="BF101" s="158">
        <f t="shared" si="746"/>
        <v>0</v>
      </c>
      <c r="BG101" s="158">
        <f t="shared" si="746"/>
        <v>0</v>
      </c>
      <c r="BH101" s="158">
        <f t="shared" si="746"/>
        <v>0</v>
      </c>
      <c r="BI101" s="158">
        <f t="shared" si="746"/>
        <v>0</v>
      </c>
      <c r="BJ101" s="159"/>
      <c r="BK101" s="159"/>
      <c r="BL101" s="159"/>
      <c r="BM101" s="350">
        <f ca="1">TRUNC(SUM(F101:BL101),2)</f>
        <v>0</v>
      </c>
      <c r="BN101" s="579">
        <f t="shared" ca="1" si="660"/>
        <v>0</v>
      </c>
      <c r="BO101" s="1089"/>
      <c r="BP101" s="1089"/>
      <c r="BQ101" s="1089"/>
      <c r="BR101" s="1089"/>
      <c r="BS101" s="1089"/>
      <c r="BT101" s="1089"/>
      <c r="BU101" s="1089"/>
      <c r="BV101" s="1089"/>
      <c r="BW101" s="1089"/>
      <c r="BX101" s="1089"/>
      <c r="BY101" s="1089"/>
      <c r="BZ101" s="1089"/>
    </row>
    <row r="102" spans="1:78" s="590" customFormat="1" ht="21.95" hidden="1" customHeight="1" x14ac:dyDescent="0.15">
      <c r="A102" s="2596"/>
      <c r="B102" s="2678"/>
      <c r="C102" s="598" t="s">
        <v>592</v>
      </c>
      <c r="D102" s="2004"/>
      <c r="E102" s="592"/>
      <c r="F102" s="158">
        <f t="shared" ref="F102" si="748">IF(AND(F98&gt;1.5,F99&lt;=1.5),F97*2*F98,0)</f>
        <v>0</v>
      </c>
      <c r="G102" s="158">
        <f t="shared" ref="G102" ca="1" si="749">IF(AND(G98&gt;1.5,G99&lt;=1.5),G97*2*G98,0)</f>
        <v>0</v>
      </c>
      <c r="H102" s="158">
        <f t="shared" ref="H102:I102" ca="1" si="750">IF(AND(H98&gt;1.5,H99&lt;=1.5),H97*2*H98,0)</f>
        <v>0</v>
      </c>
      <c r="I102" s="158">
        <f t="shared" ca="1" si="750"/>
        <v>0</v>
      </c>
      <c r="J102" s="158"/>
      <c r="K102" s="158"/>
      <c r="L102" s="158"/>
      <c r="M102" s="158"/>
      <c r="N102" s="2416"/>
      <c r="O102" s="158">
        <f t="shared" ref="O102:V102" ca="1" si="751">IF(AND(O98&gt;1.5,O99&lt;=1.5),O97*2*O98,0)</f>
        <v>0</v>
      </c>
      <c r="P102" s="158">
        <f t="shared" ca="1" si="751"/>
        <v>0</v>
      </c>
      <c r="Q102" s="158">
        <f t="shared" ca="1" si="751"/>
        <v>0</v>
      </c>
      <c r="R102" s="158">
        <f t="shared" ca="1" si="751"/>
        <v>0</v>
      </c>
      <c r="S102" s="158">
        <f t="shared" ca="1" si="751"/>
        <v>0</v>
      </c>
      <c r="T102" s="158">
        <f t="shared" ca="1" si="751"/>
        <v>0</v>
      </c>
      <c r="U102" s="158">
        <f t="shared" ca="1" si="751"/>
        <v>0</v>
      </c>
      <c r="V102" s="158">
        <f t="shared" ca="1" si="751"/>
        <v>0</v>
      </c>
      <c r="W102" s="158"/>
      <c r="X102" s="2416"/>
      <c r="Y102" s="158">
        <f t="shared" ref="Y102:AH102" ca="1" si="752">IF(AND(Y98&gt;1.5,Y99&lt;=1.5),Y97*2*Y98,0)</f>
        <v>0</v>
      </c>
      <c r="Z102" s="158">
        <f t="shared" ca="1" si="752"/>
        <v>0</v>
      </c>
      <c r="AA102" s="158">
        <f t="shared" ca="1" si="752"/>
        <v>0</v>
      </c>
      <c r="AB102" s="158">
        <f t="shared" ca="1" si="752"/>
        <v>0</v>
      </c>
      <c r="AC102" s="158">
        <f t="shared" ca="1" si="752"/>
        <v>0</v>
      </c>
      <c r="AD102" s="158">
        <f t="shared" ca="1" si="752"/>
        <v>0</v>
      </c>
      <c r="AE102" s="158">
        <f t="shared" ca="1" si="752"/>
        <v>0</v>
      </c>
      <c r="AF102" s="158">
        <f t="shared" ca="1" si="752"/>
        <v>0</v>
      </c>
      <c r="AG102" s="158">
        <f t="shared" ca="1" si="752"/>
        <v>0</v>
      </c>
      <c r="AH102" s="158">
        <f t="shared" ca="1" si="752"/>
        <v>0</v>
      </c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2416"/>
      <c r="AS102" s="158">
        <f t="shared" ref="AS102:AW102" ca="1" si="753">IF(AND(AS98&gt;1.5,AS99&lt;=1.5),AS97*2*AS98,0)</f>
        <v>0</v>
      </c>
      <c r="AT102" s="158">
        <f t="shared" ca="1" si="753"/>
        <v>0</v>
      </c>
      <c r="AU102" s="158">
        <f t="shared" ca="1" si="753"/>
        <v>0</v>
      </c>
      <c r="AV102" s="158">
        <f t="shared" ca="1" si="753"/>
        <v>0</v>
      </c>
      <c r="AW102" s="158">
        <f t="shared" ca="1" si="753"/>
        <v>0</v>
      </c>
      <c r="AX102" s="158">
        <f t="shared" ref="AX102" si="754">IF(AND(AX98&gt;1.5,AX99&lt;=1.5),AX97*2*AX98,0)</f>
        <v>0</v>
      </c>
      <c r="AY102" s="158">
        <f t="shared" ref="AY102:BI102" si="755">IF(AND(AY98&gt;1.5,AY99&lt;=1.5),AY97*2*AY98,0)</f>
        <v>0</v>
      </c>
      <c r="AZ102" s="158">
        <f t="shared" ref="AZ102" si="756">IF(AND(AZ98&gt;1.5,AZ99&lt;=1.5),AZ97*2*AZ98,0)</f>
        <v>0</v>
      </c>
      <c r="BA102" s="158">
        <f t="shared" si="755"/>
        <v>0</v>
      </c>
      <c r="BB102" s="158">
        <f t="shared" si="755"/>
        <v>0</v>
      </c>
      <c r="BC102" s="158">
        <f t="shared" si="755"/>
        <v>0</v>
      </c>
      <c r="BD102" s="158">
        <f t="shared" si="755"/>
        <v>0</v>
      </c>
      <c r="BE102" s="158">
        <f t="shared" si="755"/>
        <v>0</v>
      </c>
      <c r="BF102" s="158">
        <f t="shared" si="755"/>
        <v>0</v>
      </c>
      <c r="BG102" s="158">
        <f t="shared" si="755"/>
        <v>0</v>
      </c>
      <c r="BH102" s="158">
        <f t="shared" si="755"/>
        <v>0</v>
      </c>
      <c r="BI102" s="158">
        <f t="shared" si="755"/>
        <v>0</v>
      </c>
      <c r="BJ102" s="159"/>
      <c r="BK102" s="159"/>
      <c r="BL102" s="159"/>
      <c r="BM102" s="350">
        <f ca="1">TRUNC(SUM(F102:BL102),2)</f>
        <v>0</v>
      </c>
      <c r="BN102" s="579">
        <f t="shared" ca="1" si="660"/>
        <v>0</v>
      </c>
      <c r="BO102" s="1089"/>
      <c r="BP102" s="1089"/>
      <c r="BQ102" s="1089"/>
      <c r="BR102" s="1089"/>
      <c r="BS102" s="1089"/>
      <c r="BT102" s="1089"/>
      <c r="BU102" s="1089"/>
      <c r="BV102" s="1089"/>
      <c r="BW102" s="1089"/>
      <c r="BX102" s="1089"/>
      <c r="BY102" s="1089"/>
      <c r="BZ102" s="1089"/>
    </row>
    <row r="103" spans="1:78" s="590" customFormat="1" ht="21.95" customHeight="1" thickBot="1" x14ac:dyDescent="0.2">
      <c r="A103" s="2596"/>
      <c r="B103" s="2670"/>
      <c r="C103" s="929" t="s">
        <v>593</v>
      </c>
      <c r="D103" s="2005"/>
      <c r="E103" s="1523"/>
      <c r="F103" s="239">
        <f t="shared" ref="F103" si="757">IF(AND(F98&gt;1.5,F99&gt;1.5),F97*2*F98,0)</f>
        <v>0</v>
      </c>
      <c r="G103" s="239">
        <f t="shared" ref="G103" ca="1" si="758">IF(AND(G98&gt;1.5,G99&gt;1.5),G97*2*G98,0)</f>
        <v>0</v>
      </c>
      <c r="H103" s="239">
        <f t="shared" ref="H103:I103" ca="1" si="759">IF(AND(H98&gt;1.5,H99&gt;1.5),H97*2*H98,0)</f>
        <v>0</v>
      </c>
      <c r="I103" s="239">
        <f t="shared" ca="1" si="759"/>
        <v>0</v>
      </c>
      <c r="J103" s="239"/>
      <c r="K103" s="239"/>
      <c r="L103" s="239"/>
      <c r="M103" s="239"/>
      <c r="N103" s="2440"/>
      <c r="O103" s="239">
        <f t="shared" ref="O103:V103" ca="1" si="760">IF(AND(O98&gt;1.5,O99&gt;1.5),O97*2*O98,0)</f>
        <v>0</v>
      </c>
      <c r="P103" s="239">
        <f t="shared" ca="1" si="760"/>
        <v>0</v>
      </c>
      <c r="Q103" s="239">
        <f t="shared" ca="1" si="760"/>
        <v>0</v>
      </c>
      <c r="R103" s="239">
        <f t="shared" ca="1" si="760"/>
        <v>0</v>
      </c>
      <c r="S103" s="239">
        <f t="shared" ca="1" si="760"/>
        <v>0</v>
      </c>
      <c r="T103" s="239">
        <f t="shared" ca="1" si="760"/>
        <v>0</v>
      </c>
      <c r="U103" s="239">
        <f t="shared" ca="1" si="760"/>
        <v>0</v>
      </c>
      <c r="V103" s="239">
        <f t="shared" ca="1" si="760"/>
        <v>0</v>
      </c>
      <c r="W103" s="239"/>
      <c r="X103" s="2440"/>
      <c r="Y103" s="239">
        <f t="shared" ref="Y103:AH103" ca="1" si="761">IF(AND(Y98&gt;1.5,Y99&gt;1.5),Y97*2*Y98,0)</f>
        <v>0</v>
      </c>
      <c r="Z103" s="239">
        <f t="shared" ca="1" si="761"/>
        <v>0</v>
      </c>
      <c r="AA103" s="239">
        <f t="shared" ca="1" si="761"/>
        <v>0</v>
      </c>
      <c r="AB103" s="239">
        <f t="shared" ca="1" si="761"/>
        <v>0</v>
      </c>
      <c r="AC103" s="239">
        <f t="shared" ca="1" si="761"/>
        <v>0</v>
      </c>
      <c r="AD103" s="239">
        <f t="shared" ca="1" si="761"/>
        <v>0</v>
      </c>
      <c r="AE103" s="239">
        <f t="shared" ca="1" si="761"/>
        <v>0</v>
      </c>
      <c r="AF103" s="239">
        <f t="shared" ca="1" si="761"/>
        <v>0</v>
      </c>
      <c r="AG103" s="239">
        <f t="shared" ca="1" si="761"/>
        <v>0</v>
      </c>
      <c r="AH103" s="239">
        <f t="shared" ca="1" si="761"/>
        <v>0</v>
      </c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440"/>
      <c r="AS103" s="239">
        <f t="shared" ref="AS103:AW103" ca="1" si="762">IF(AND(AS98&gt;1.5,AS99&gt;1.5),AS97*2*AS98,0)</f>
        <v>0</v>
      </c>
      <c r="AT103" s="239">
        <f t="shared" ca="1" si="762"/>
        <v>0</v>
      </c>
      <c r="AU103" s="239">
        <f t="shared" ca="1" si="762"/>
        <v>0</v>
      </c>
      <c r="AV103" s="239">
        <f t="shared" ca="1" si="762"/>
        <v>0</v>
      </c>
      <c r="AW103" s="239">
        <f t="shared" ca="1" si="762"/>
        <v>0</v>
      </c>
      <c r="AX103" s="239">
        <f t="shared" ref="AX103" si="763">IF(AND(AX98&gt;1.5,AX99&gt;1.5),AX97*2*AX98,0)</f>
        <v>0</v>
      </c>
      <c r="AY103" s="239">
        <f t="shared" ref="AY103:BI103" si="764">IF(AND(AY98&gt;1.5,AY99&gt;1.5),AY97*2*AY98,0)</f>
        <v>0</v>
      </c>
      <c r="AZ103" s="239">
        <f t="shared" ref="AZ103" si="765">IF(AND(AZ98&gt;1.5,AZ99&gt;1.5),AZ97*2*AZ98,0)</f>
        <v>0</v>
      </c>
      <c r="BA103" s="239">
        <f t="shared" si="764"/>
        <v>201.43199999999996</v>
      </c>
      <c r="BB103" s="239">
        <f t="shared" si="764"/>
        <v>0</v>
      </c>
      <c r="BC103" s="239">
        <f t="shared" si="764"/>
        <v>0</v>
      </c>
      <c r="BD103" s="239">
        <f t="shared" si="764"/>
        <v>0</v>
      </c>
      <c r="BE103" s="239">
        <f t="shared" si="764"/>
        <v>0</v>
      </c>
      <c r="BF103" s="239">
        <f t="shared" si="764"/>
        <v>0</v>
      </c>
      <c r="BG103" s="239">
        <f t="shared" si="764"/>
        <v>0</v>
      </c>
      <c r="BH103" s="239">
        <f t="shared" si="764"/>
        <v>0</v>
      </c>
      <c r="BI103" s="239">
        <f t="shared" si="764"/>
        <v>0</v>
      </c>
      <c r="BJ103" s="237"/>
      <c r="BK103" s="237"/>
      <c r="BL103" s="237"/>
      <c r="BM103" s="361">
        <f ca="1">TRUNC(SUM(F103:BL103),2)</f>
        <v>201.43</v>
      </c>
      <c r="BN103" s="579">
        <f t="shared" ca="1" si="660"/>
        <v>402.86199999999997</v>
      </c>
      <c r="BO103" s="1089"/>
      <c r="BP103" s="1089"/>
      <c r="BQ103" s="1089"/>
      <c r="BR103" s="1089"/>
      <c r="BS103" s="1089"/>
      <c r="BT103" s="1089"/>
      <c r="BU103" s="1089"/>
      <c r="BV103" s="1089"/>
      <c r="BW103" s="1089"/>
      <c r="BX103" s="1089"/>
      <c r="BY103" s="1089"/>
      <c r="BZ103" s="1089"/>
    </row>
    <row r="104" spans="1:78" s="590" customFormat="1" ht="21.95" hidden="1" customHeight="1" x14ac:dyDescent="0.15">
      <c r="A104" s="2596"/>
      <c r="B104" s="2677" t="s">
        <v>2419</v>
      </c>
      <c r="C104" s="930" t="s">
        <v>3</v>
      </c>
      <c r="D104" s="2003"/>
      <c r="E104" s="1520"/>
      <c r="F104" s="238">
        <f t="shared" ref="F104" si="766">IF(AND(F97=0,F11&lt;=3,F30=5,F113=0),F2,0)</f>
        <v>0</v>
      </c>
      <c r="G104" s="238">
        <f t="shared" ref="G104" ca="1" si="767">IF(AND(G97=0,G11&lt;=3,G30=5,G113=0),G2,0)</f>
        <v>0</v>
      </c>
      <c r="H104" s="238">
        <f t="shared" ref="H104:I104" ca="1" si="768">IF(AND(H97=0,H11&lt;=3,H30=5,H113=0),H2,0)</f>
        <v>0</v>
      </c>
      <c r="I104" s="238">
        <f t="shared" ca="1" si="768"/>
        <v>0</v>
      </c>
      <c r="J104" s="238"/>
      <c r="K104" s="238"/>
      <c r="L104" s="238"/>
      <c r="M104" s="238"/>
      <c r="N104" s="2439"/>
      <c r="O104" s="238">
        <f t="shared" ref="O104:V104" ca="1" si="769">IF(AND(O97=0,O11&lt;=3,O30=5,O113=0),O2,0)</f>
        <v>0</v>
      </c>
      <c r="P104" s="238">
        <f t="shared" ca="1" si="769"/>
        <v>0</v>
      </c>
      <c r="Q104" s="238">
        <f t="shared" ca="1" si="769"/>
        <v>0</v>
      </c>
      <c r="R104" s="238">
        <f t="shared" ca="1" si="769"/>
        <v>0</v>
      </c>
      <c r="S104" s="238">
        <f t="shared" ca="1" si="769"/>
        <v>0</v>
      </c>
      <c r="T104" s="238">
        <f t="shared" ca="1" si="769"/>
        <v>0</v>
      </c>
      <c r="U104" s="238">
        <f t="shared" ca="1" si="769"/>
        <v>0</v>
      </c>
      <c r="V104" s="238">
        <f t="shared" ca="1" si="769"/>
        <v>0</v>
      </c>
      <c r="W104" s="238"/>
      <c r="X104" s="2439"/>
      <c r="Y104" s="238">
        <f t="shared" ref="Y104:AH104" ca="1" si="770">IF(AND(Y97=0,Y11&lt;=3,Y30=5,Y113=0),Y2,0)</f>
        <v>0</v>
      </c>
      <c r="Z104" s="238">
        <f t="shared" ca="1" si="770"/>
        <v>0</v>
      </c>
      <c r="AA104" s="238">
        <f t="shared" ca="1" si="770"/>
        <v>0</v>
      </c>
      <c r="AB104" s="238">
        <f t="shared" ca="1" si="770"/>
        <v>0</v>
      </c>
      <c r="AC104" s="238">
        <f t="shared" ca="1" si="770"/>
        <v>0</v>
      </c>
      <c r="AD104" s="238">
        <f t="shared" ca="1" si="770"/>
        <v>0</v>
      </c>
      <c r="AE104" s="238">
        <f t="shared" ca="1" si="770"/>
        <v>0</v>
      </c>
      <c r="AF104" s="238">
        <f t="shared" ca="1" si="770"/>
        <v>0</v>
      </c>
      <c r="AG104" s="238">
        <f t="shared" ca="1" si="770"/>
        <v>0</v>
      </c>
      <c r="AH104" s="238">
        <f t="shared" ca="1" si="770"/>
        <v>0</v>
      </c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439"/>
      <c r="AS104" s="238">
        <f t="shared" ref="AS104:AW104" ca="1" si="771">IF(AND(AS97=0,AS11&lt;=3,AS30=5,AS113=0),AS2,0)</f>
        <v>0</v>
      </c>
      <c r="AT104" s="238">
        <f t="shared" ca="1" si="771"/>
        <v>0</v>
      </c>
      <c r="AU104" s="238">
        <f t="shared" ca="1" si="771"/>
        <v>0</v>
      </c>
      <c r="AV104" s="238">
        <f t="shared" ca="1" si="771"/>
        <v>0</v>
      </c>
      <c r="AW104" s="238">
        <f t="shared" ca="1" si="771"/>
        <v>0</v>
      </c>
      <c r="AX104" s="238">
        <f t="shared" ref="AX104" si="772">IF(AND(AX97=0,AX11&lt;=3,AX30=5,AX113=0),AX2,0)</f>
        <v>0</v>
      </c>
      <c r="AY104" s="238">
        <f t="shared" ref="AY104:BA104" si="773">IF(AND(AY97=0,AY11&lt;=3,AY30=5,AY113=0),AY2,0)</f>
        <v>0</v>
      </c>
      <c r="AZ104" s="238">
        <f t="shared" ref="AZ104" si="774">IF(AND(AZ97=0,AZ11&lt;=3,AZ30=5,AZ113=0),AZ2,0)</f>
        <v>0</v>
      </c>
      <c r="BA104" s="238">
        <f t="shared" si="773"/>
        <v>0</v>
      </c>
      <c r="BB104" s="238">
        <f t="shared" ref="BB104:BI104" si="775">IF(AND(BB97=0,BB11&lt;=3,BB30="v",BB29=1,BB113=0),BB2,0)</f>
        <v>0</v>
      </c>
      <c r="BC104" s="238">
        <f t="shared" si="775"/>
        <v>0</v>
      </c>
      <c r="BD104" s="238">
        <f t="shared" si="775"/>
        <v>0</v>
      </c>
      <c r="BE104" s="238">
        <f t="shared" si="775"/>
        <v>0</v>
      </c>
      <c r="BF104" s="238">
        <f t="shared" si="775"/>
        <v>0</v>
      </c>
      <c r="BG104" s="238">
        <f t="shared" si="775"/>
        <v>0</v>
      </c>
      <c r="BH104" s="238">
        <f t="shared" si="775"/>
        <v>0</v>
      </c>
      <c r="BI104" s="238">
        <f t="shared" si="775"/>
        <v>0</v>
      </c>
      <c r="BJ104" s="241"/>
      <c r="BK104" s="241"/>
      <c r="BL104" s="241"/>
      <c r="BM104" s="593">
        <f ca="1">TRUNC(SUM(F104:BL104),2)</f>
        <v>0</v>
      </c>
      <c r="BN104" s="579">
        <f t="shared" ca="1" si="660"/>
        <v>0</v>
      </c>
      <c r="BO104" s="1089"/>
      <c r="BP104" s="1089"/>
      <c r="BQ104" s="1089"/>
      <c r="BR104" s="1089"/>
      <c r="BS104" s="1089"/>
      <c r="BT104" s="1089"/>
      <c r="BU104" s="1089"/>
      <c r="BV104" s="1089"/>
      <c r="BW104" s="1089"/>
      <c r="BX104" s="1089"/>
      <c r="BY104" s="1089"/>
      <c r="BZ104" s="1089"/>
    </row>
    <row r="105" spans="1:78" s="590" customFormat="1" ht="21.95" hidden="1" customHeight="1" x14ac:dyDescent="0.15">
      <c r="A105" s="2596"/>
      <c r="B105" s="2678"/>
      <c r="C105" s="591" t="s">
        <v>478</v>
      </c>
      <c r="D105" s="2004"/>
      <c r="E105" s="592"/>
      <c r="F105" s="158">
        <f t="shared" ref="F105" si="776">IF(F104&gt;0,F11,0)</f>
        <v>0</v>
      </c>
      <c r="G105" s="158">
        <f t="shared" ref="G105" ca="1" si="777">IF(G104&gt;0,G11,0)</f>
        <v>0</v>
      </c>
      <c r="H105" s="158">
        <f t="shared" ref="H105:I105" ca="1" si="778">IF(H104&gt;0,H11,0)</f>
        <v>0</v>
      </c>
      <c r="I105" s="158">
        <f t="shared" ca="1" si="778"/>
        <v>0</v>
      </c>
      <c r="J105" s="158"/>
      <c r="K105" s="158"/>
      <c r="L105" s="158"/>
      <c r="M105" s="158"/>
      <c r="N105" s="2416"/>
      <c r="O105" s="158">
        <f t="shared" ref="O105:V105" ca="1" si="779">IF(O104&gt;0,O11,0)</f>
        <v>0</v>
      </c>
      <c r="P105" s="158">
        <f t="shared" ca="1" si="779"/>
        <v>0</v>
      </c>
      <c r="Q105" s="158">
        <f t="shared" ca="1" si="779"/>
        <v>0</v>
      </c>
      <c r="R105" s="158">
        <f t="shared" ca="1" si="779"/>
        <v>0</v>
      </c>
      <c r="S105" s="158">
        <f t="shared" ca="1" si="779"/>
        <v>0</v>
      </c>
      <c r="T105" s="158">
        <f t="shared" ca="1" si="779"/>
        <v>0</v>
      </c>
      <c r="U105" s="158">
        <f t="shared" ca="1" si="779"/>
        <v>0</v>
      </c>
      <c r="V105" s="158">
        <f t="shared" ca="1" si="779"/>
        <v>0</v>
      </c>
      <c r="W105" s="158"/>
      <c r="X105" s="2416"/>
      <c r="Y105" s="158">
        <f t="shared" ref="Y105:AH105" ca="1" si="780">IF(Y104&gt;0,Y11,0)</f>
        <v>0</v>
      </c>
      <c r="Z105" s="158">
        <f t="shared" ca="1" si="780"/>
        <v>0</v>
      </c>
      <c r="AA105" s="158">
        <f t="shared" ca="1" si="780"/>
        <v>0</v>
      </c>
      <c r="AB105" s="158">
        <f t="shared" ca="1" si="780"/>
        <v>0</v>
      </c>
      <c r="AC105" s="158">
        <f t="shared" ca="1" si="780"/>
        <v>0</v>
      </c>
      <c r="AD105" s="158">
        <f t="shared" ca="1" si="780"/>
        <v>0</v>
      </c>
      <c r="AE105" s="158">
        <f t="shared" ca="1" si="780"/>
        <v>0</v>
      </c>
      <c r="AF105" s="158">
        <f t="shared" ca="1" si="780"/>
        <v>0</v>
      </c>
      <c r="AG105" s="158">
        <f t="shared" ca="1" si="780"/>
        <v>0</v>
      </c>
      <c r="AH105" s="158">
        <f t="shared" ca="1" si="780"/>
        <v>0</v>
      </c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2416"/>
      <c r="AS105" s="158">
        <f t="shared" ref="AS105:AW105" ca="1" si="781">IF(AS104&gt;0,AS11,0)</f>
        <v>0</v>
      </c>
      <c r="AT105" s="158">
        <f t="shared" ca="1" si="781"/>
        <v>0</v>
      </c>
      <c r="AU105" s="158">
        <f t="shared" ca="1" si="781"/>
        <v>0</v>
      </c>
      <c r="AV105" s="158">
        <f t="shared" ca="1" si="781"/>
        <v>0</v>
      </c>
      <c r="AW105" s="158">
        <f t="shared" ca="1" si="781"/>
        <v>0</v>
      </c>
      <c r="AX105" s="158">
        <f t="shared" ref="AX105" si="782">IF(AX104&gt;0,AX11,0)</f>
        <v>0</v>
      </c>
      <c r="AY105" s="158">
        <f t="shared" ref="AY105:BI105" si="783">IF(AY104&gt;0,AY11,0)</f>
        <v>0</v>
      </c>
      <c r="AZ105" s="158">
        <f t="shared" ref="AZ105" si="784">IF(AZ104&gt;0,AZ11,0)</f>
        <v>0</v>
      </c>
      <c r="BA105" s="158">
        <f t="shared" si="783"/>
        <v>0</v>
      </c>
      <c r="BB105" s="158">
        <f t="shared" si="783"/>
        <v>0</v>
      </c>
      <c r="BC105" s="158">
        <f t="shared" si="783"/>
        <v>0</v>
      </c>
      <c r="BD105" s="158">
        <f t="shared" si="783"/>
        <v>0</v>
      </c>
      <c r="BE105" s="158">
        <f t="shared" si="783"/>
        <v>0</v>
      </c>
      <c r="BF105" s="158">
        <f t="shared" si="783"/>
        <v>0</v>
      </c>
      <c r="BG105" s="158">
        <f t="shared" si="783"/>
        <v>0</v>
      </c>
      <c r="BH105" s="158">
        <f t="shared" si="783"/>
        <v>0</v>
      </c>
      <c r="BI105" s="158">
        <f t="shared" si="783"/>
        <v>0</v>
      </c>
      <c r="BJ105" s="159"/>
      <c r="BK105" s="159"/>
      <c r="BL105" s="159"/>
      <c r="BM105" s="351"/>
      <c r="BN105" s="579">
        <f t="shared" ca="1" si="660"/>
        <v>0</v>
      </c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</row>
    <row r="106" spans="1:78" s="590" customFormat="1" ht="21.95" hidden="1" customHeight="1" x14ac:dyDescent="0.15">
      <c r="A106" s="2596"/>
      <c r="B106" s="2678"/>
      <c r="C106" s="598" t="s">
        <v>589</v>
      </c>
      <c r="D106" s="2004"/>
      <c r="E106" s="592"/>
      <c r="F106" s="158">
        <f t="shared" ref="F106" si="785">IF(F104&gt;0,F39,0)</f>
        <v>0</v>
      </c>
      <c r="G106" s="158">
        <f t="shared" ref="G106" ca="1" si="786">IF(G104&gt;0,G39,0)</f>
        <v>0</v>
      </c>
      <c r="H106" s="158">
        <f t="shared" ref="H106:I106" ca="1" si="787">IF(H104&gt;0,H39,0)</f>
        <v>0</v>
      </c>
      <c r="I106" s="158">
        <f t="shared" ca="1" si="787"/>
        <v>0</v>
      </c>
      <c r="J106" s="158"/>
      <c r="K106" s="158"/>
      <c r="L106" s="158"/>
      <c r="M106" s="158"/>
      <c r="N106" s="2416"/>
      <c r="O106" s="158">
        <f t="shared" ref="O106:V106" ca="1" si="788">IF(O104&gt;0,O39,0)</f>
        <v>0</v>
      </c>
      <c r="P106" s="158">
        <f t="shared" ca="1" si="788"/>
        <v>0</v>
      </c>
      <c r="Q106" s="158">
        <f t="shared" ca="1" si="788"/>
        <v>0</v>
      </c>
      <c r="R106" s="158">
        <f t="shared" ca="1" si="788"/>
        <v>0</v>
      </c>
      <c r="S106" s="158">
        <f t="shared" ca="1" si="788"/>
        <v>0</v>
      </c>
      <c r="T106" s="158">
        <f t="shared" ca="1" si="788"/>
        <v>0</v>
      </c>
      <c r="U106" s="158">
        <f t="shared" ca="1" si="788"/>
        <v>0</v>
      </c>
      <c r="V106" s="158">
        <f t="shared" ca="1" si="788"/>
        <v>0</v>
      </c>
      <c r="W106" s="158"/>
      <c r="X106" s="2416"/>
      <c r="Y106" s="158">
        <f t="shared" ref="Y106:AH106" ca="1" si="789">IF(Y104&gt;0,Y39,0)</f>
        <v>0</v>
      </c>
      <c r="Z106" s="158">
        <f t="shared" ca="1" si="789"/>
        <v>0</v>
      </c>
      <c r="AA106" s="158">
        <f t="shared" ca="1" si="789"/>
        <v>0</v>
      </c>
      <c r="AB106" s="158">
        <f t="shared" ca="1" si="789"/>
        <v>0</v>
      </c>
      <c r="AC106" s="158">
        <f t="shared" ca="1" si="789"/>
        <v>0</v>
      </c>
      <c r="AD106" s="158">
        <f t="shared" ca="1" si="789"/>
        <v>0</v>
      </c>
      <c r="AE106" s="158">
        <f t="shared" ca="1" si="789"/>
        <v>0</v>
      </c>
      <c r="AF106" s="158">
        <f t="shared" ca="1" si="789"/>
        <v>0</v>
      </c>
      <c r="AG106" s="158">
        <f t="shared" ca="1" si="789"/>
        <v>0</v>
      </c>
      <c r="AH106" s="158">
        <f t="shared" ca="1" si="789"/>
        <v>0</v>
      </c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2416"/>
      <c r="AS106" s="158">
        <f t="shared" ref="AS106:AW106" ca="1" si="790">IF(AS104&gt;0,AS39,0)</f>
        <v>0</v>
      </c>
      <c r="AT106" s="158">
        <f t="shared" ca="1" si="790"/>
        <v>0</v>
      </c>
      <c r="AU106" s="158">
        <f t="shared" ca="1" si="790"/>
        <v>0</v>
      </c>
      <c r="AV106" s="158">
        <f t="shared" ca="1" si="790"/>
        <v>0</v>
      </c>
      <c r="AW106" s="158">
        <f t="shared" ca="1" si="790"/>
        <v>0</v>
      </c>
      <c r="AX106" s="158">
        <f t="shared" ref="AX106" si="791">IF(AX104&gt;0,AX39,0)</f>
        <v>0</v>
      </c>
      <c r="AY106" s="158">
        <f t="shared" ref="AY106:BI106" si="792">IF(AY104&gt;0,AY39,0)</f>
        <v>0</v>
      </c>
      <c r="AZ106" s="158">
        <f t="shared" ref="AZ106" si="793">IF(AZ104&gt;0,AZ39,0)</f>
        <v>0</v>
      </c>
      <c r="BA106" s="158">
        <f t="shared" si="792"/>
        <v>0</v>
      </c>
      <c r="BB106" s="158">
        <f t="shared" si="792"/>
        <v>0</v>
      </c>
      <c r="BC106" s="158">
        <f t="shared" si="792"/>
        <v>0</v>
      </c>
      <c r="BD106" s="158">
        <f t="shared" si="792"/>
        <v>0</v>
      </c>
      <c r="BE106" s="158">
        <f t="shared" si="792"/>
        <v>0</v>
      </c>
      <c r="BF106" s="158">
        <f t="shared" si="792"/>
        <v>0</v>
      </c>
      <c r="BG106" s="158">
        <f t="shared" si="792"/>
        <v>0</v>
      </c>
      <c r="BH106" s="158">
        <f t="shared" si="792"/>
        <v>0</v>
      </c>
      <c r="BI106" s="158">
        <f t="shared" si="792"/>
        <v>0</v>
      </c>
      <c r="BJ106" s="159"/>
      <c r="BK106" s="159"/>
      <c r="BL106" s="159"/>
      <c r="BM106" s="351"/>
      <c r="BN106" s="579">
        <f t="shared" ca="1" si="660"/>
        <v>0</v>
      </c>
      <c r="BO106" s="1089"/>
      <c r="BP106" s="1089"/>
      <c r="BQ106" s="1089"/>
      <c r="BR106" s="1089"/>
      <c r="BS106" s="1089"/>
      <c r="BT106" s="1089"/>
      <c r="BU106" s="1089"/>
      <c r="BV106" s="1089"/>
      <c r="BW106" s="1089"/>
      <c r="BX106" s="1089"/>
      <c r="BY106" s="1089"/>
      <c r="BZ106" s="1089"/>
    </row>
    <row r="107" spans="1:78" s="590" customFormat="1" ht="21.95" hidden="1" customHeight="1" x14ac:dyDescent="0.15">
      <c r="A107" s="2596"/>
      <c r="B107" s="2678"/>
      <c r="C107" s="598" t="s">
        <v>1110</v>
      </c>
      <c r="D107" s="2004"/>
      <c r="E107" s="592"/>
      <c r="F107" s="158">
        <f t="shared" ref="F107" si="794">IF(F105&lt;=3.5,IF(F106&lt;=1.5,F104*2*F105,0),0)</f>
        <v>0</v>
      </c>
      <c r="G107" s="158">
        <f t="shared" ref="G107" ca="1" si="795">IF(G105&lt;=3.5,IF(G106&lt;=1.5,G104*2*G105,0),0)</f>
        <v>0</v>
      </c>
      <c r="H107" s="158">
        <f t="shared" ref="H107:I107" ca="1" si="796">IF(H105&lt;=3.5,IF(H106&lt;=1.5,H104*2*H105,0),0)</f>
        <v>0</v>
      </c>
      <c r="I107" s="158">
        <f t="shared" ca="1" si="796"/>
        <v>0</v>
      </c>
      <c r="J107" s="158"/>
      <c r="K107" s="158"/>
      <c r="L107" s="158"/>
      <c r="M107" s="158"/>
      <c r="N107" s="2416"/>
      <c r="O107" s="158">
        <f t="shared" ref="O107:V107" ca="1" si="797">IF(O105&lt;=3.5,IF(O106&lt;=1.5,O104*2*O105,0),0)</f>
        <v>0</v>
      </c>
      <c r="P107" s="158">
        <f t="shared" ca="1" si="797"/>
        <v>0</v>
      </c>
      <c r="Q107" s="158">
        <f t="shared" ca="1" si="797"/>
        <v>0</v>
      </c>
      <c r="R107" s="158">
        <f t="shared" ca="1" si="797"/>
        <v>0</v>
      </c>
      <c r="S107" s="158">
        <f t="shared" ca="1" si="797"/>
        <v>0</v>
      </c>
      <c r="T107" s="158">
        <f t="shared" ca="1" si="797"/>
        <v>0</v>
      </c>
      <c r="U107" s="158">
        <f t="shared" ca="1" si="797"/>
        <v>0</v>
      </c>
      <c r="V107" s="158">
        <f t="shared" ca="1" si="797"/>
        <v>0</v>
      </c>
      <c r="W107" s="158"/>
      <c r="X107" s="2416"/>
      <c r="Y107" s="158">
        <f t="shared" ref="Y107:AH107" ca="1" si="798">IF(Y105&lt;=3.5,IF(Y106&lt;=1.5,Y104*2*Y105,0),0)</f>
        <v>0</v>
      </c>
      <c r="Z107" s="158">
        <f t="shared" ca="1" si="798"/>
        <v>0</v>
      </c>
      <c r="AA107" s="158">
        <f t="shared" ca="1" si="798"/>
        <v>0</v>
      </c>
      <c r="AB107" s="158">
        <f t="shared" ca="1" si="798"/>
        <v>0</v>
      </c>
      <c r="AC107" s="158">
        <f t="shared" ca="1" si="798"/>
        <v>0</v>
      </c>
      <c r="AD107" s="158">
        <f t="shared" ca="1" si="798"/>
        <v>0</v>
      </c>
      <c r="AE107" s="158">
        <f t="shared" ca="1" si="798"/>
        <v>0</v>
      </c>
      <c r="AF107" s="158">
        <f t="shared" ca="1" si="798"/>
        <v>0</v>
      </c>
      <c r="AG107" s="158">
        <f t="shared" ca="1" si="798"/>
        <v>0</v>
      </c>
      <c r="AH107" s="158">
        <f t="shared" ca="1" si="798"/>
        <v>0</v>
      </c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2416"/>
      <c r="AS107" s="158">
        <f t="shared" ref="AS107:AW107" ca="1" si="799">IF(AS105&lt;=3.5,IF(AS106&lt;=1.5,AS104*2*AS105,0),0)</f>
        <v>0</v>
      </c>
      <c r="AT107" s="158">
        <f t="shared" ca="1" si="799"/>
        <v>0</v>
      </c>
      <c r="AU107" s="158">
        <f t="shared" ca="1" si="799"/>
        <v>0</v>
      </c>
      <c r="AV107" s="158">
        <f t="shared" ca="1" si="799"/>
        <v>0</v>
      </c>
      <c r="AW107" s="158">
        <f t="shared" ca="1" si="799"/>
        <v>0</v>
      </c>
      <c r="AX107" s="158">
        <f t="shared" ref="AX107" si="800">IF(AX105&lt;=3.5,IF(AX106&lt;=1.5,AX104*2*AX105,0),0)</f>
        <v>0</v>
      </c>
      <c r="AY107" s="158">
        <f t="shared" ref="AY107:BI107" si="801">IF(AY105&lt;=3.5,IF(AY106&lt;=1.5,AY104*2*AY105,0),0)</f>
        <v>0</v>
      </c>
      <c r="AZ107" s="158">
        <f t="shared" ref="AZ107" si="802">IF(AZ105&lt;=3.5,IF(AZ106&lt;=1.5,AZ104*2*AZ105,0),0)</f>
        <v>0</v>
      </c>
      <c r="BA107" s="158">
        <f t="shared" si="801"/>
        <v>0</v>
      </c>
      <c r="BB107" s="158">
        <f t="shared" si="801"/>
        <v>0</v>
      </c>
      <c r="BC107" s="158">
        <f t="shared" si="801"/>
        <v>0</v>
      </c>
      <c r="BD107" s="158">
        <f t="shared" si="801"/>
        <v>0</v>
      </c>
      <c r="BE107" s="158">
        <f t="shared" si="801"/>
        <v>0</v>
      </c>
      <c r="BF107" s="158">
        <f t="shared" si="801"/>
        <v>0</v>
      </c>
      <c r="BG107" s="158">
        <f t="shared" si="801"/>
        <v>0</v>
      </c>
      <c r="BH107" s="158">
        <f t="shared" si="801"/>
        <v>0</v>
      </c>
      <c r="BI107" s="158">
        <f t="shared" si="801"/>
        <v>0</v>
      </c>
      <c r="BJ107" s="159"/>
      <c r="BK107" s="159"/>
      <c r="BL107" s="159"/>
      <c r="BM107" s="350">
        <f ca="1">TRUNC(SUM(F107:BL107),2)</f>
        <v>0</v>
      </c>
      <c r="BN107" s="579">
        <f t="shared" ca="1" si="660"/>
        <v>0</v>
      </c>
      <c r="BO107" s="1089"/>
      <c r="BP107" s="1089"/>
      <c r="BQ107" s="1089"/>
      <c r="BR107" s="1089"/>
      <c r="BS107" s="1089"/>
      <c r="BT107" s="1089"/>
      <c r="BU107" s="1089"/>
      <c r="BV107" s="1089"/>
      <c r="BW107" s="1089"/>
      <c r="BX107" s="1089"/>
      <c r="BY107" s="1089"/>
      <c r="BZ107" s="1089"/>
    </row>
    <row r="108" spans="1:78" s="590" customFormat="1" ht="21.95" hidden="1" customHeight="1" thickBot="1" x14ac:dyDescent="0.2">
      <c r="A108" s="2596"/>
      <c r="B108" s="2670"/>
      <c r="C108" s="929" t="s">
        <v>1111</v>
      </c>
      <c r="D108" s="2005"/>
      <c r="E108" s="1523"/>
      <c r="F108" s="239">
        <f t="shared" ref="F108" si="803">IF(F105&lt;=3.5,IF(F106&gt;1.5,F104*2*F105,0),0)</f>
        <v>0</v>
      </c>
      <c r="G108" s="239">
        <f t="shared" ref="G108" ca="1" si="804">IF(G105&lt;=3.5,IF(G106&gt;1.5,G104*2*G105,0),0)</f>
        <v>0</v>
      </c>
      <c r="H108" s="239">
        <f t="shared" ref="H108:I108" ca="1" si="805">IF(H105&lt;=3.5,IF(H106&gt;1.5,H104*2*H105,0),0)</f>
        <v>0</v>
      </c>
      <c r="I108" s="239">
        <f t="shared" ca="1" si="805"/>
        <v>0</v>
      </c>
      <c r="J108" s="239"/>
      <c r="K108" s="239"/>
      <c r="L108" s="239"/>
      <c r="M108" s="239"/>
      <c r="N108" s="2440"/>
      <c r="O108" s="239">
        <f t="shared" ref="O108:V108" ca="1" si="806">IF(O105&lt;=3.5,IF(O106&gt;1.5,O104*2*O105,0),0)</f>
        <v>0</v>
      </c>
      <c r="P108" s="239">
        <f t="shared" ca="1" si="806"/>
        <v>0</v>
      </c>
      <c r="Q108" s="239">
        <f t="shared" ca="1" si="806"/>
        <v>0</v>
      </c>
      <c r="R108" s="239">
        <f t="shared" ca="1" si="806"/>
        <v>0</v>
      </c>
      <c r="S108" s="239">
        <f t="shared" ca="1" si="806"/>
        <v>0</v>
      </c>
      <c r="T108" s="239">
        <f t="shared" ca="1" si="806"/>
        <v>0</v>
      </c>
      <c r="U108" s="239">
        <f t="shared" ca="1" si="806"/>
        <v>0</v>
      </c>
      <c r="V108" s="239">
        <f t="shared" ca="1" si="806"/>
        <v>0</v>
      </c>
      <c r="W108" s="239"/>
      <c r="X108" s="2440"/>
      <c r="Y108" s="239">
        <f t="shared" ref="Y108:AH108" ca="1" si="807">IF(Y105&lt;=3.5,IF(Y106&gt;1.5,Y104*2*Y105,0),0)</f>
        <v>0</v>
      </c>
      <c r="Z108" s="239">
        <f t="shared" ca="1" si="807"/>
        <v>0</v>
      </c>
      <c r="AA108" s="239">
        <f t="shared" ca="1" si="807"/>
        <v>0</v>
      </c>
      <c r="AB108" s="239">
        <f t="shared" ca="1" si="807"/>
        <v>0</v>
      </c>
      <c r="AC108" s="239">
        <f t="shared" ca="1" si="807"/>
        <v>0</v>
      </c>
      <c r="AD108" s="239">
        <f t="shared" ca="1" si="807"/>
        <v>0</v>
      </c>
      <c r="AE108" s="239">
        <f t="shared" ca="1" si="807"/>
        <v>0</v>
      </c>
      <c r="AF108" s="239">
        <f t="shared" ca="1" si="807"/>
        <v>0</v>
      </c>
      <c r="AG108" s="239">
        <f t="shared" ca="1" si="807"/>
        <v>0</v>
      </c>
      <c r="AH108" s="239">
        <f t="shared" ca="1" si="807"/>
        <v>0</v>
      </c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440"/>
      <c r="AS108" s="239">
        <f t="shared" ref="AS108:AW108" ca="1" si="808">IF(AS105&lt;=3.5,IF(AS106&gt;1.5,AS104*2*AS105,0),0)</f>
        <v>0</v>
      </c>
      <c r="AT108" s="239">
        <f t="shared" ca="1" si="808"/>
        <v>0</v>
      </c>
      <c r="AU108" s="239">
        <f t="shared" ca="1" si="808"/>
        <v>0</v>
      </c>
      <c r="AV108" s="239">
        <f t="shared" ca="1" si="808"/>
        <v>0</v>
      </c>
      <c r="AW108" s="239">
        <f t="shared" ca="1" si="808"/>
        <v>0</v>
      </c>
      <c r="AX108" s="239">
        <f t="shared" ref="AX108" si="809">IF(AX105&lt;=3.5,IF(AX106&gt;1.5,AX104*2*AX105,0),0)</f>
        <v>0</v>
      </c>
      <c r="AY108" s="239">
        <f t="shared" ref="AY108:BI108" si="810">IF(AY105&lt;=3.5,IF(AY106&gt;1.5,AY104*2*AY105,0),0)</f>
        <v>0</v>
      </c>
      <c r="AZ108" s="239">
        <f t="shared" ref="AZ108" si="811">IF(AZ105&lt;=3.5,IF(AZ106&gt;1.5,AZ104*2*AZ105,0),0)</f>
        <v>0</v>
      </c>
      <c r="BA108" s="239">
        <f t="shared" si="810"/>
        <v>0</v>
      </c>
      <c r="BB108" s="239">
        <f t="shared" si="810"/>
        <v>0</v>
      </c>
      <c r="BC108" s="239">
        <f t="shared" si="810"/>
        <v>0</v>
      </c>
      <c r="BD108" s="239">
        <f t="shared" si="810"/>
        <v>0</v>
      </c>
      <c r="BE108" s="239">
        <f t="shared" si="810"/>
        <v>0</v>
      </c>
      <c r="BF108" s="239">
        <f t="shared" si="810"/>
        <v>0</v>
      </c>
      <c r="BG108" s="239">
        <f t="shared" si="810"/>
        <v>0</v>
      </c>
      <c r="BH108" s="239">
        <f t="shared" si="810"/>
        <v>0</v>
      </c>
      <c r="BI108" s="239">
        <f t="shared" si="810"/>
        <v>0</v>
      </c>
      <c r="BJ108" s="237"/>
      <c r="BK108" s="237"/>
      <c r="BL108" s="237"/>
      <c r="BM108" s="361">
        <f ca="1">TRUNC(SUM(F108:BL108),2)</f>
        <v>0</v>
      </c>
      <c r="BN108" s="579">
        <f t="shared" ca="1" si="660"/>
        <v>0</v>
      </c>
      <c r="BO108" s="1089"/>
      <c r="BP108" s="1089"/>
      <c r="BQ108" s="1089"/>
      <c r="BR108" s="1089"/>
      <c r="BS108" s="1089"/>
      <c r="BT108" s="1089"/>
      <c r="BU108" s="1089"/>
      <c r="BV108" s="1089"/>
      <c r="BW108" s="1089"/>
      <c r="BX108" s="1089"/>
      <c r="BY108" s="1089"/>
      <c r="BZ108" s="1089"/>
    </row>
    <row r="109" spans="1:78" s="590" customFormat="1" ht="21.95" hidden="1" customHeight="1" x14ac:dyDescent="0.15">
      <c r="A109" s="2596"/>
      <c r="B109" s="2671" t="s">
        <v>2420</v>
      </c>
      <c r="C109" s="594" t="s">
        <v>3</v>
      </c>
      <c r="D109" s="2004"/>
      <c r="E109" s="592"/>
      <c r="F109" s="158">
        <f t="shared" ref="F109" si="812">IF(AND(F113=0,F104=0,F11&gt;3,F30=5),F2,0)</f>
        <v>0</v>
      </c>
      <c r="G109" s="158">
        <f t="shared" ref="G109" ca="1" si="813">IF(AND(G113=0,G104=0,G11&gt;3,G30=5),G2,0)</f>
        <v>0</v>
      </c>
      <c r="H109" s="158">
        <f t="shared" ref="H109:I109" ca="1" si="814">IF(AND(H113=0,H104=0,H11&gt;3,H30=5),H2,0)</f>
        <v>0</v>
      </c>
      <c r="I109" s="158">
        <f t="shared" ca="1" si="814"/>
        <v>0</v>
      </c>
      <c r="J109" s="158"/>
      <c r="K109" s="158"/>
      <c r="L109" s="158"/>
      <c r="M109" s="158"/>
      <c r="N109" s="2416"/>
      <c r="O109" s="158">
        <f t="shared" ref="O109:V109" ca="1" si="815">IF(AND(O113=0,O104=0,O11&gt;3,O30=5),O2,0)</f>
        <v>0</v>
      </c>
      <c r="P109" s="158">
        <f t="shared" ca="1" si="815"/>
        <v>0</v>
      </c>
      <c r="Q109" s="158">
        <f t="shared" ca="1" si="815"/>
        <v>0</v>
      </c>
      <c r="R109" s="158">
        <f t="shared" ca="1" si="815"/>
        <v>0</v>
      </c>
      <c r="S109" s="158">
        <f t="shared" ca="1" si="815"/>
        <v>0</v>
      </c>
      <c r="T109" s="158">
        <f t="shared" ca="1" si="815"/>
        <v>0</v>
      </c>
      <c r="U109" s="158">
        <f t="shared" ca="1" si="815"/>
        <v>0</v>
      </c>
      <c r="V109" s="158">
        <f t="shared" ca="1" si="815"/>
        <v>0</v>
      </c>
      <c r="W109" s="158"/>
      <c r="X109" s="2416"/>
      <c r="Y109" s="158">
        <f t="shared" ref="Y109:AH109" ca="1" si="816">IF(AND(Y113=0,Y104=0,Y11&gt;3,Y30=5),Y2,0)</f>
        <v>0</v>
      </c>
      <c r="Z109" s="158">
        <f t="shared" ca="1" si="816"/>
        <v>0</v>
      </c>
      <c r="AA109" s="158">
        <f t="shared" ca="1" si="816"/>
        <v>0</v>
      </c>
      <c r="AB109" s="158">
        <f t="shared" ca="1" si="816"/>
        <v>0</v>
      </c>
      <c r="AC109" s="158">
        <f t="shared" ca="1" si="816"/>
        <v>0</v>
      </c>
      <c r="AD109" s="158">
        <f t="shared" ca="1" si="816"/>
        <v>0</v>
      </c>
      <c r="AE109" s="158">
        <f t="shared" ca="1" si="816"/>
        <v>0</v>
      </c>
      <c r="AF109" s="158">
        <f t="shared" ca="1" si="816"/>
        <v>0</v>
      </c>
      <c r="AG109" s="158">
        <f t="shared" ca="1" si="816"/>
        <v>0</v>
      </c>
      <c r="AH109" s="158">
        <f t="shared" ca="1" si="816"/>
        <v>0</v>
      </c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2416"/>
      <c r="AS109" s="158">
        <f t="shared" ref="AS109:AW109" ca="1" si="817">IF(AND(AS113=0,AS104=0,AS11&gt;3,AS30=5),AS2,0)</f>
        <v>0</v>
      </c>
      <c r="AT109" s="158">
        <f t="shared" ca="1" si="817"/>
        <v>0</v>
      </c>
      <c r="AU109" s="158">
        <f t="shared" ca="1" si="817"/>
        <v>0</v>
      </c>
      <c r="AV109" s="158">
        <f t="shared" ca="1" si="817"/>
        <v>0</v>
      </c>
      <c r="AW109" s="158">
        <f t="shared" ca="1" si="817"/>
        <v>0</v>
      </c>
      <c r="AX109" s="158">
        <f t="shared" ref="AX109" si="818">IF(AND(AX113=0,AX104=0,AX11&gt;3,AX30=5),AX2,0)</f>
        <v>0</v>
      </c>
      <c r="AY109" s="158">
        <f t="shared" ref="AY109:BA109" si="819">IF(AND(AY113=0,AY104=0,AY11&gt;3,AY30=5),AY2,0)</f>
        <v>0</v>
      </c>
      <c r="AZ109" s="158">
        <f t="shared" ref="AZ109" si="820">IF(AND(AZ113=0,AZ104=0,AZ11&gt;3,AZ30=5),AZ2,0)</f>
        <v>0</v>
      </c>
      <c r="BA109" s="158">
        <f t="shared" si="819"/>
        <v>0</v>
      </c>
      <c r="BB109" s="158">
        <f t="shared" ref="BB109:BI109" si="821">IF(AND(BB113=0,BB104=0,BB11&gt;3,BB30="v"),BB2,0)</f>
        <v>0</v>
      </c>
      <c r="BC109" s="158">
        <f t="shared" si="821"/>
        <v>0</v>
      </c>
      <c r="BD109" s="158">
        <f t="shared" si="821"/>
        <v>0</v>
      </c>
      <c r="BE109" s="158">
        <f t="shared" si="821"/>
        <v>0</v>
      </c>
      <c r="BF109" s="158">
        <f t="shared" si="821"/>
        <v>0</v>
      </c>
      <c r="BG109" s="158">
        <f t="shared" si="821"/>
        <v>0</v>
      </c>
      <c r="BH109" s="158">
        <f t="shared" si="821"/>
        <v>0</v>
      </c>
      <c r="BI109" s="158">
        <f t="shared" si="821"/>
        <v>0</v>
      </c>
      <c r="BJ109" s="159"/>
      <c r="BK109" s="241"/>
      <c r="BL109" s="241"/>
      <c r="BM109" s="593">
        <f ca="1">TRUNC(SUM(F109:BL109),2)</f>
        <v>0</v>
      </c>
      <c r="BN109" s="579">
        <f t="shared" ca="1" si="660"/>
        <v>0</v>
      </c>
      <c r="BO109" s="1089"/>
      <c r="BP109" s="1089"/>
      <c r="BQ109" s="1089"/>
      <c r="BR109" s="1089"/>
      <c r="BS109" s="1089"/>
      <c r="BT109" s="1089"/>
      <c r="BU109" s="1089"/>
      <c r="BV109" s="1089"/>
      <c r="BW109" s="1089"/>
      <c r="BX109" s="1089"/>
      <c r="BY109" s="1089"/>
      <c r="BZ109" s="1089"/>
    </row>
    <row r="110" spans="1:78" s="590" customFormat="1" ht="21.95" hidden="1" customHeight="1" x14ac:dyDescent="0.15">
      <c r="A110" s="2596"/>
      <c r="B110" s="2668"/>
      <c r="C110" s="591" t="s">
        <v>1112</v>
      </c>
      <c r="D110" s="2004"/>
      <c r="E110" s="592"/>
      <c r="F110" s="158">
        <f t="shared" ref="F110" si="822">IF(F109&gt;0,F11,0)</f>
        <v>0</v>
      </c>
      <c r="G110" s="158">
        <f t="shared" ref="G110" ca="1" si="823">IF(G109&gt;0,G11,0)</f>
        <v>0</v>
      </c>
      <c r="H110" s="158">
        <f t="shared" ref="H110:I110" ca="1" si="824">IF(H109&gt;0,H11,0)</f>
        <v>0</v>
      </c>
      <c r="I110" s="158">
        <f t="shared" ca="1" si="824"/>
        <v>0</v>
      </c>
      <c r="J110" s="158"/>
      <c r="K110" s="158"/>
      <c r="L110" s="158"/>
      <c r="M110" s="158"/>
      <c r="N110" s="2416"/>
      <c r="O110" s="158">
        <f t="shared" ref="O110:V110" ca="1" si="825">IF(O109&gt;0,O11,0)</f>
        <v>0</v>
      </c>
      <c r="P110" s="158">
        <f t="shared" ca="1" si="825"/>
        <v>0</v>
      </c>
      <c r="Q110" s="158">
        <f t="shared" ca="1" si="825"/>
        <v>0</v>
      </c>
      <c r="R110" s="158">
        <f t="shared" ca="1" si="825"/>
        <v>0</v>
      </c>
      <c r="S110" s="158">
        <f t="shared" ca="1" si="825"/>
        <v>0</v>
      </c>
      <c r="T110" s="158">
        <f t="shared" ca="1" si="825"/>
        <v>0</v>
      </c>
      <c r="U110" s="158">
        <f t="shared" ca="1" si="825"/>
        <v>0</v>
      </c>
      <c r="V110" s="158">
        <f t="shared" ca="1" si="825"/>
        <v>0</v>
      </c>
      <c r="W110" s="158"/>
      <c r="X110" s="2416"/>
      <c r="Y110" s="158">
        <f t="shared" ref="Y110:AH110" ca="1" si="826">IF(Y109&gt;0,Y11,0)</f>
        <v>0</v>
      </c>
      <c r="Z110" s="158">
        <f t="shared" ca="1" si="826"/>
        <v>0</v>
      </c>
      <c r="AA110" s="158">
        <f t="shared" ca="1" si="826"/>
        <v>0</v>
      </c>
      <c r="AB110" s="158">
        <f t="shared" ca="1" si="826"/>
        <v>0</v>
      </c>
      <c r="AC110" s="158">
        <f t="shared" ca="1" si="826"/>
        <v>0</v>
      </c>
      <c r="AD110" s="158">
        <f t="shared" ca="1" si="826"/>
        <v>0</v>
      </c>
      <c r="AE110" s="158">
        <f t="shared" ca="1" si="826"/>
        <v>0</v>
      </c>
      <c r="AF110" s="158">
        <f t="shared" ca="1" si="826"/>
        <v>0</v>
      </c>
      <c r="AG110" s="158">
        <f t="shared" ca="1" si="826"/>
        <v>0</v>
      </c>
      <c r="AH110" s="158">
        <f t="shared" ca="1" si="826"/>
        <v>0</v>
      </c>
      <c r="AI110" s="158"/>
      <c r="AJ110" s="158"/>
      <c r="AK110" s="158"/>
      <c r="AL110" s="158"/>
      <c r="AM110" s="158"/>
      <c r="AN110" s="158"/>
      <c r="AO110" s="158"/>
      <c r="AP110" s="158"/>
      <c r="AQ110" s="158"/>
      <c r="AR110" s="2416"/>
      <c r="AS110" s="158">
        <f t="shared" ref="AS110:AW110" ca="1" si="827">IF(AS109&gt;0,AS11,0)</f>
        <v>0</v>
      </c>
      <c r="AT110" s="158">
        <f t="shared" ca="1" si="827"/>
        <v>0</v>
      </c>
      <c r="AU110" s="158">
        <f t="shared" ca="1" si="827"/>
        <v>0</v>
      </c>
      <c r="AV110" s="158">
        <f t="shared" ca="1" si="827"/>
        <v>0</v>
      </c>
      <c r="AW110" s="158">
        <f t="shared" ca="1" si="827"/>
        <v>0</v>
      </c>
      <c r="AX110" s="158">
        <f t="shared" ref="AX110" si="828">IF(AX109&gt;0,AX11,0)</f>
        <v>0</v>
      </c>
      <c r="AY110" s="158">
        <f t="shared" ref="AY110:BI110" si="829">IF(AY109&gt;0,AY11,0)</f>
        <v>0</v>
      </c>
      <c r="AZ110" s="158">
        <f t="shared" ref="AZ110" si="830">IF(AZ109&gt;0,AZ11,0)</f>
        <v>0</v>
      </c>
      <c r="BA110" s="158">
        <f t="shared" si="829"/>
        <v>0</v>
      </c>
      <c r="BB110" s="158">
        <f t="shared" si="829"/>
        <v>0</v>
      </c>
      <c r="BC110" s="158">
        <f t="shared" si="829"/>
        <v>0</v>
      </c>
      <c r="BD110" s="158">
        <f t="shared" si="829"/>
        <v>0</v>
      </c>
      <c r="BE110" s="158">
        <f t="shared" si="829"/>
        <v>0</v>
      </c>
      <c r="BF110" s="158">
        <f t="shared" si="829"/>
        <v>0</v>
      </c>
      <c r="BG110" s="158">
        <f t="shared" si="829"/>
        <v>0</v>
      </c>
      <c r="BH110" s="158">
        <f t="shared" si="829"/>
        <v>0</v>
      </c>
      <c r="BI110" s="158">
        <f t="shared" si="829"/>
        <v>0</v>
      </c>
      <c r="BJ110" s="159"/>
      <c r="BK110" s="159"/>
      <c r="BL110" s="159"/>
      <c r="BM110" s="351"/>
      <c r="BN110" s="579">
        <f t="shared" ca="1" si="660"/>
        <v>0</v>
      </c>
      <c r="BO110" s="1089"/>
      <c r="BP110" s="1089"/>
      <c r="BQ110" s="1089"/>
      <c r="BR110" s="1089"/>
      <c r="BS110" s="1089"/>
      <c r="BT110" s="1089"/>
      <c r="BU110" s="1089"/>
      <c r="BV110" s="1089"/>
      <c r="BW110" s="1089"/>
      <c r="BX110" s="1089"/>
      <c r="BY110" s="1089"/>
      <c r="BZ110" s="1089"/>
    </row>
    <row r="111" spans="1:78" s="590" customFormat="1" ht="21.95" hidden="1" customHeight="1" x14ac:dyDescent="0.15">
      <c r="A111" s="2596"/>
      <c r="B111" s="2668"/>
      <c r="C111" s="598" t="s">
        <v>2662</v>
      </c>
      <c r="D111" s="2004"/>
      <c r="E111" s="592"/>
      <c r="F111" s="158">
        <f>IF(F106&lt;=1.5,F109*2*F110,0)</f>
        <v>0</v>
      </c>
      <c r="G111" s="158">
        <f t="shared" ref="G111" ca="1" si="831">IF(G106&lt;=1.5,G109*2*G110,0)</f>
        <v>0</v>
      </c>
      <c r="H111" s="158">
        <f t="shared" ref="H111" ca="1" si="832">IF(H106&lt;=1.5,H109*2*H110,0)</f>
        <v>0</v>
      </c>
      <c r="I111" s="158">
        <f t="shared" ref="I111" ca="1" si="833">IF(I106&lt;=1.5,I109*2*I110,0)</f>
        <v>0</v>
      </c>
      <c r="J111" s="158"/>
      <c r="K111" s="158"/>
      <c r="L111" s="158"/>
      <c r="M111" s="158"/>
      <c r="N111" s="2416"/>
      <c r="O111" s="158">
        <f t="shared" ref="O111" ca="1" si="834">IF(O106&lt;=1.5,O109*2*O110,0)</f>
        <v>0</v>
      </c>
      <c r="P111" s="158">
        <f t="shared" ref="P111" ca="1" si="835">IF(P106&lt;=1.5,P109*2*P110,0)</f>
        <v>0</v>
      </c>
      <c r="Q111" s="158">
        <f t="shared" ref="Q111" ca="1" si="836">IF(Q106&lt;=1.5,Q109*2*Q110,0)</f>
        <v>0</v>
      </c>
      <c r="R111" s="158">
        <f t="shared" ref="R111" ca="1" si="837">IF(R106&lt;=1.5,R109*2*R110,0)</f>
        <v>0</v>
      </c>
      <c r="S111" s="158">
        <f t="shared" ref="S111" ca="1" si="838">IF(S106&lt;=1.5,S109*2*S110,0)</f>
        <v>0</v>
      </c>
      <c r="T111" s="158">
        <f t="shared" ref="T111" ca="1" si="839">IF(T106&lt;=1.5,T109*2*T110,0)</f>
        <v>0</v>
      </c>
      <c r="U111" s="158">
        <f t="shared" ref="U111" ca="1" si="840">IF(U106&lt;=1.5,U109*2*U110,0)</f>
        <v>0</v>
      </c>
      <c r="V111" s="158">
        <f t="shared" ref="V111" ca="1" si="841">IF(V106&lt;=1.5,V109*2*V110,0)</f>
        <v>0</v>
      </c>
      <c r="W111" s="158"/>
      <c r="X111" s="2416"/>
      <c r="Y111" s="158">
        <f t="shared" ref="Y111" ca="1" si="842">IF(Y106&lt;=1.5,Y109*2*Y110,0)</f>
        <v>0</v>
      </c>
      <c r="Z111" s="158">
        <f t="shared" ref="Z111" ca="1" si="843">IF(Z106&lt;=1.5,Z109*2*Z110,0)</f>
        <v>0</v>
      </c>
      <c r="AA111" s="158">
        <f t="shared" ref="AA111" ca="1" si="844">IF(AA106&lt;=1.5,AA109*2*AA110,0)</f>
        <v>0</v>
      </c>
      <c r="AB111" s="158">
        <f t="shared" ref="AB111" ca="1" si="845">IF(AB106&lt;=1.5,AB109*2*AB110,0)</f>
        <v>0</v>
      </c>
      <c r="AC111" s="158">
        <f t="shared" ref="AC111" ca="1" si="846">IF(AC106&lt;=1.5,AC109*2*AC110,0)</f>
        <v>0</v>
      </c>
      <c r="AD111" s="158">
        <f t="shared" ref="AD111" ca="1" si="847">IF(AD106&lt;=1.5,AD109*2*AD110,0)</f>
        <v>0</v>
      </c>
      <c r="AE111" s="158">
        <f t="shared" ref="AE111" ca="1" si="848">IF(AE106&lt;=1.5,AE109*2*AE110,0)</f>
        <v>0</v>
      </c>
      <c r="AF111" s="158">
        <f t="shared" ref="AF111" ca="1" si="849">IF(AF106&lt;=1.5,AF109*2*AF110,0)</f>
        <v>0</v>
      </c>
      <c r="AG111" s="158">
        <f t="shared" ref="AG111" ca="1" si="850">IF(AG106&lt;=1.5,AG109*2*AG110,0)</f>
        <v>0</v>
      </c>
      <c r="AH111" s="158">
        <f t="shared" ref="AH111" ca="1" si="851">IF(AH106&lt;=1.5,AH109*2*AH110,0)</f>
        <v>0</v>
      </c>
      <c r="AI111" s="158"/>
      <c r="AJ111" s="158"/>
      <c r="AK111" s="158"/>
      <c r="AL111" s="158"/>
      <c r="AM111" s="158"/>
      <c r="AN111" s="158"/>
      <c r="AO111" s="158"/>
      <c r="AP111" s="158"/>
      <c r="AQ111" s="158"/>
      <c r="AR111" s="2416"/>
      <c r="AS111" s="158">
        <f t="shared" ref="AS111" ca="1" si="852">IF(AS106&lt;=1.5,AS109*2*AS110,0)</f>
        <v>0</v>
      </c>
      <c r="AT111" s="158">
        <f t="shared" ref="AT111" ca="1" si="853">IF(AT106&lt;=1.5,AT109*2*AT110,0)</f>
        <v>0</v>
      </c>
      <c r="AU111" s="158">
        <f t="shared" ref="AU111" ca="1" si="854">IF(AU106&lt;=1.5,AU109*2*AU110,0)</f>
        <v>0</v>
      </c>
      <c r="AV111" s="158">
        <f t="shared" ref="AV111" ca="1" si="855">IF(AV106&lt;=1.5,AV109*2*AV110,0)</f>
        <v>0</v>
      </c>
      <c r="AW111" s="158">
        <f t="shared" ref="AW111" ca="1" si="856">IF(AW106&lt;=1.5,AW109*2*AW110,0)</f>
        <v>0</v>
      </c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9"/>
      <c r="BK111" s="159"/>
      <c r="BL111" s="159"/>
      <c r="BM111" s="351"/>
      <c r="BN111" s="579"/>
      <c r="BO111" s="1089"/>
      <c r="BP111" s="1089"/>
      <c r="BQ111" s="1089"/>
      <c r="BR111" s="1089"/>
      <c r="BS111" s="1089"/>
      <c r="BT111" s="1089"/>
      <c r="BU111" s="1089"/>
      <c r="BV111" s="1089"/>
      <c r="BW111" s="1089"/>
      <c r="BX111" s="1089"/>
      <c r="BY111" s="1089"/>
      <c r="BZ111" s="1089"/>
    </row>
    <row r="112" spans="1:78" s="590" customFormat="1" ht="21.95" hidden="1" customHeight="1" thickBot="1" x14ac:dyDescent="0.2">
      <c r="A112" s="2596"/>
      <c r="B112" s="2672"/>
      <c r="C112" s="929" t="s">
        <v>1115</v>
      </c>
      <c r="D112" s="2005"/>
      <c r="E112" s="1523"/>
      <c r="F112" s="239">
        <f>IF(F106&gt;1.5,F109*2*F110,0)</f>
        <v>0</v>
      </c>
      <c r="G112" s="239">
        <f t="shared" ref="G112" ca="1" si="857">IF(G106&gt;1.5,G109*2*G110,0)</f>
        <v>0</v>
      </c>
      <c r="H112" s="239">
        <f t="shared" ref="H112:I112" ca="1" si="858">IF(H106&gt;1.5,H109*2*H110,0)</f>
        <v>0</v>
      </c>
      <c r="I112" s="239">
        <f t="shared" ca="1" si="858"/>
        <v>0</v>
      </c>
      <c r="J112" s="239"/>
      <c r="K112" s="239"/>
      <c r="L112" s="239"/>
      <c r="M112" s="239"/>
      <c r="N112" s="2440"/>
      <c r="O112" s="239">
        <f t="shared" ref="O112:V112" ca="1" si="859">IF(O106&gt;1.5,O109*2*O110,0)</f>
        <v>0</v>
      </c>
      <c r="P112" s="239">
        <f t="shared" ca="1" si="859"/>
        <v>0</v>
      </c>
      <c r="Q112" s="239">
        <f t="shared" ca="1" si="859"/>
        <v>0</v>
      </c>
      <c r="R112" s="239">
        <f t="shared" ca="1" si="859"/>
        <v>0</v>
      </c>
      <c r="S112" s="239">
        <f t="shared" ca="1" si="859"/>
        <v>0</v>
      </c>
      <c r="T112" s="239">
        <f t="shared" ca="1" si="859"/>
        <v>0</v>
      </c>
      <c r="U112" s="239">
        <f t="shared" ca="1" si="859"/>
        <v>0</v>
      </c>
      <c r="V112" s="239">
        <f t="shared" ca="1" si="859"/>
        <v>0</v>
      </c>
      <c r="W112" s="239"/>
      <c r="X112" s="2440"/>
      <c r="Y112" s="239">
        <f t="shared" ref="Y112:AH112" ca="1" si="860">IF(Y106&gt;1.5,Y109*2*Y110,0)</f>
        <v>0</v>
      </c>
      <c r="Z112" s="239">
        <f t="shared" ca="1" si="860"/>
        <v>0</v>
      </c>
      <c r="AA112" s="239">
        <f t="shared" ca="1" si="860"/>
        <v>0</v>
      </c>
      <c r="AB112" s="239">
        <f t="shared" ca="1" si="860"/>
        <v>0</v>
      </c>
      <c r="AC112" s="239">
        <f t="shared" ca="1" si="860"/>
        <v>0</v>
      </c>
      <c r="AD112" s="239">
        <f t="shared" ca="1" si="860"/>
        <v>0</v>
      </c>
      <c r="AE112" s="239">
        <f t="shared" ca="1" si="860"/>
        <v>0</v>
      </c>
      <c r="AF112" s="239">
        <f t="shared" ca="1" si="860"/>
        <v>0</v>
      </c>
      <c r="AG112" s="239">
        <f t="shared" ca="1" si="860"/>
        <v>0</v>
      </c>
      <c r="AH112" s="239">
        <f t="shared" ca="1" si="860"/>
        <v>0</v>
      </c>
      <c r="AI112" s="239"/>
      <c r="AJ112" s="239"/>
      <c r="AK112" s="239"/>
      <c r="AL112" s="239"/>
      <c r="AM112" s="239"/>
      <c r="AN112" s="239"/>
      <c r="AO112" s="239"/>
      <c r="AP112" s="239"/>
      <c r="AQ112" s="239"/>
      <c r="AR112" s="2440"/>
      <c r="AS112" s="239">
        <f t="shared" ref="AS112:AW112" ca="1" si="861">IF(AS106&gt;1.5,AS109*2*AS110,0)</f>
        <v>0</v>
      </c>
      <c r="AT112" s="239">
        <f t="shared" ca="1" si="861"/>
        <v>0</v>
      </c>
      <c r="AU112" s="239">
        <f t="shared" ca="1" si="861"/>
        <v>0</v>
      </c>
      <c r="AV112" s="239">
        <f t="shared" ca="1" si="861"/>
        <v>0</v>
      </c>
      <c r="AW112" s="239">
        <f t="shared" ca="1" si="861"/>
        <v>0</v>
      </c>
      <c r="AX112" s="239">
        <f t="shared" ref="AX112" si="862">AX110*AX109*2</f>
        <v>0</v>
      </c>
      <c r="AY112" s="239">
        <f t="shared" ref="AY112:BI112" si="863">AY110*AY109*2</f>
        <v>0</v>
      </c>
      <c r="AZ112" s="239">
        <f t="shared" ref="AZ112" si="864">AZ110*AZ109*2</f>
        <v>0</v>
      </c>
      <c r="BA112" s="239">
        <f t="shared" si="863"/>
        <v>0</v>
      </c>
      <c r="BB112" s="239">
        <f t="shared" si="863"/>
        <v>0</v>
      </c>
      <c r="BC112" s="239">
        <f t="shared" si="863"/>
        <v>0</v>
      </c>
      <c r="BD112" s="239">
        <f t="shared" si="863"/>
        <v>0</v>
      </c>
      <c r="BE112" s="239">
        <f t="shared" si="863"/>
        <v>0</v>
      </c>
      <c r="BF112" s="239">
        <f t="shared" si="863"/>
        <v>0</v>
      </c>
      <c r="BG112" s="239">
        <f t="shared" si="863"/>
        <v>0</v>
      </c>
      <c r="BH112" s="239">
        <f t="shared" si="863"/>
        <v>0</v>
      </c>
      <c r="BI112" s="239">
        <f t="shared" si="863"/>
        <v>0</v>
      </c>
      <c r="BJ112" s="237"/>
      <c r="BK112" s="237"/>
      <c r="BL112" s="237"/>
      <c r="BM112" s="361">
        <f ca="1">TRUNC(SUM(F112:BL112),2)</f>
        <v>0</v>
      </c>
      <c r="BN112" s="579">
        <f t="shared" ref="BN112:BN119" ca="1" si="865">SUM(F112:BM112)</f>
        <v>0</v>
      </c>
      <c r="BO112" s="1089"/>
      <c r="BP112" s="1089"/>
      <c r="BQ112" s="1089"/>
      <c r="BR112" s="1089"/>
      <c r="BS112" s="1089"/>
      <c r="BT112" s="1089"/>
      <c r="BU112" s="1089"/>
      <c r="BV112" s="1089"/>
      <c r="BW112" s="1089"/>
      <c r="BX112" s="1089"/>
      <c r="BY112" s="1089"/>
      <c r="BZ112" s="1089"/>
    </row>
    <row r="113" spans="1:78" s="590" customFormat="1" ht="21.95" customHeight="1" x14ac:dyDescent="0.15">
      <c r="A113" s="2596"/>
      <c r="B113" s="2677" t="s">
        <v>2421</v>
      </c>
      <c r="C113" s="930" t="s">
        <v>3</v>
      </c>
      <c r="D113" s="2004"/>
      <c r="E113" s="592"/>
      <c r="F113" s="158">
        <f t="shared" ref="F113" si="866">IF(AND(F30="B",F11&lt;2.39999),"ERRO",IF(AND(F11&gt;2.3999,F30="B"),F2,0))</f>
        <v>0</v>
      </c>
      <c r="G113" s="158">
        <f ca="1">IF(AND(G30="B",G11&lt;2.09999),"ERRO",IF(AND(G11&gt;2.0999,G30="B"),G2,0))</f>
        <v>72.02</v>
      </c>
      <c r="H113" s="158">
        <f ca="1">IF(AND(H30="B",H11&lt;2.09999),"ERRO",IF(AND(H11&gt;2.0999,H30="B"),H2,0))</f>
        <v>59.18</v>
      </c>
      <c r="I113" s="158">
        <f ca="1">IF(AND(I30="B",I11&lt;1.89999),"ERRO",IF(AND(I11&gt;1.8999,I30="B"),I2,0))</f>
        <v>59.18</v>
      </c>
      <c r="J113" s="158"/>
      <c r="K113" s="158"/>
      <c r="L113" s="158"/>
      <c r="M113" s="158"/>
      <c r="N113" s="2416"/>
      <c r="O113" s="158">
        <f t="shared" ref="O113:V113" ca="1" si="867">IF(AND(O30="B",O11&lt;2.09999),"ERRO",IF(AND(O11&gt;2.0999,O30="B"),O2,0))</f>
        <v>66.88</v>
      </c>
      <c r="P113" s="158">
        <f t="shared" ca="1" si="867"/>
        <v>87.75</v>
      </c>
      <c r="Q113" s="158">
        <f t="shared" ca="1" si="867"/>
        <v>89.12</v>
      </c>
      <c r="R113" s="158">
        <f t="shared" ca="1" si="867"/>
        <v>91.12</v>
      </c>
      <c r="S113" s="158">
        <f t="shared" ca="1" si="867"/>
        <v>87.12</v>
      </c>
      <c r="T113" s="158">
        <f t="shared" ca="1" si="867"/>
        <v>94.76</v>
      </c>
      <c r="U113" s="158">
        <f t="shared" ca="1" si="867"/>
        <v>94.76</v>
      </c>
      <c r="V113" s="158">
        <f t="shared" ca="1" si="867"/>
        <v>54.76</v>
      </c>
      <c r="W113" s="158"/>
      <c r="X113" s="2416"/>
      <c r="Y113" s="158">
        <f t="shared" ref="Y113:AH113" ca="1" si="868">IF(AND(Y30="B",Y11&lt;2.09999),"ERRO",IF(AND(Y11&gt;2.0999,Y30="B"),Y2,0))</f>
        <v>72.03</v>
      </c>
      <c r="Z113" s="158">
        <f t="shared" ca="1" si="868"/>
        <v>94.68</v>
      </c>
      <c r="AA113" s="158">
        <f t="shared" ca="1" si="868"/>
        <v>94.68</v>
      </c>
      <c r="AB113" s="158">
        <f t="shared" ca="1" si="868"/>
        <v>94.68</v>
      </c>
      <c r="AC113" s="158">
        <f t="shared" ca="1" si="868"/>
        <v>72.12</v>
      </c>
      <c r="AD113" s="158">
        <f t="shared" ca="1" si="868"/>
        <v>72.05</v>
      </c>
      <c r="AE113" s="158">
        <f t="shared" ca="1" si="868"/>
        <v>72.3</v>
      </c>
      <c r="AF113" s="158">
        <f t="shared" ca="1" si="868"/>
        <v>84.78</v>
      </c>
      <c r="AG113" s="158">
        <f t="shared" ca="1" si="868"/>
        <v>92.19</v>
      </c>
      <c r="AH113" s="158">
        <f t="shared" ca="1" si="868"/>
        <v>92.19</v>
      </c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2416"/>
      <c r="AS113" s="158">
        <f ca="1">IF(AND(AS30="B",AS11&lt;2.09999),"ERRO",IF(AND(AS11&gt;2.0999,AS30="B"),AS2,0))</f>
        <v>72.22</v>
      </c>
      <c r="AT113" s="158">
        <f ca="1">IF(AND(AT30="B",AT11&lt;2.09999),"ERRO",IF(AND(AT11&gt;2.0999,AT30="B"),AT2,0))</f>
        <v>72.040000000000006</v>
      </c>
      <c r="AU113" s="158">
        <f ca="1">IF(AND(AU30="B",AU11&lt;2.09999),"ERRO",IF(AND(AU11&gt;2.0999,AU30="B"),AU2,0))</f>
        <v>72.02</v>
      </c>
      <c r="AV113" s="158">
        <f ca="1">IF(AND(AV30="B",AV11&lt;2.09999),"ERRO",IF(AND(AV11&gt;2.0999,AV30="B"),AV2,0))</f>
        <v>72.010000000000005</v>
      </c>
      <c r="AW113" s="158">
        <f ca="1">IF(AND(AW30="B",AW11&lt;2.09999),"ERRO",IF(AND(AW11&gt;2.0999,AW30="B"),AW2,0))</f>
        <v>72.23</v>
      </c>
      <c r="AX113" s="158">
        <f t="shared" ref="AX113" si="869">IF(AND(AX30="B",AX11&lt;2.39999),"ERRO",IF(AND(AX11&gt;2.3999,AX30="B"),AX2,0))</f>
        <v>0</v>
      </c>
      <c r="AY113" s="158">
        <f t="shared" ref="AY113:BI113" si="870">IF(AND(AY30="B",AY11&lt;2.39999),"ERRO",IF(AND(AY11&gt;2.3999,AY30="B"),AY2,0))</f>
        <v>0</v>
      </c>
      <c r="AZ113" s="158">
        <f t="shared" ref="AZ113" si="871">IF(AND(AZ30="B",AZ11&lt;2.39999),"ERRO",IF(AND(AZ11&gt;2.3999,AZ30="B"),AZ2,0))</f>
        <v>0</v>
      </c>
      <c r="BA113" s="158">
        <f t="shared" si="870"/>
        <v>0</v>
      </c>
      <c r="BB113" s="158">
        <f t="shared" si="870"/>
        <v>0</v>
      </c>
      <c r="BC113" s="158">
        <f t="shared" si="870"/>
        <v>0</v>
      </c>
      <c r="BD113" s="158">
        <f t="shared" si="870"/>
        <v>0</v>
      </c>
      <c r="BE113" s="158">
        <f t="shared" si="870"/>
        <v>0</v>
      </c>
      <c r="BF113" s="158">
        <f t="shared" si="870"/>
        <v>0</v>
      </c>
      <c r="BG113" s="158">
        <f t="shared" si="870"/>
        <v>0</v>
      </c>
      <c r="BH113" s="158">
        <f t="shared" si="870"/>
        <v>0</v>
      </c>
      <c r="BI113" s="158">
        <f t="shared" si="870"/>
        <v>0</v>
      </c>
      <c r="BJ113" s="159"/>
      <c r="BK113" s="159"/>
      <c r="BL113" s="159"/>
      <c r="BM113" s="593">
        <f ca="1">TRUNC(SUM(F113:BL113),2)</f>
        <v>2058.87</v>
      </c>
      <c r="BN113" s="579">
        <f t="shared" ca="1" si="865"/>
        <v>4117.74</v>
      </c>
      <c r="BO113" s="1089"/>
      <c r="BP113" s="1089"/>
      <c r="BQ113" s="1089"/>
      <c r="BR113" s="1089"/>
      <c r="BS113" s="1089"/>
      <c r="BT113" s="1089"/>
      <c r="BU113" s="1089"/>
      <c r="BV113" s="1089"/>
      <c r="BW113" s="1089"/>
      <c r="BX113" s="1089"/>
      <c r="BY113" s="1089"/>
      <c r="BZ113" s="1089"/>
    </row>
    <row r="114" spans="1:78" s="590" customFormat="1" ht="21.95" customHeight="1" x14ac:dyDescent="0.15">
      <c r="A114" s="2596"/>
      <c r="B114" s="2678"/>
      <c r="C114" s="591" t="s">
        <v>1114</v>
      </c>
      <c r="D114" s="2004"/>
      <c r="E114" s="592"/>
      <c r="F114" s="158">
        <f t="shared" ref="F114" si="872">IF(F113=0,0,F11)</f>
        <v>0</v>
      </c>
      <c r="G114" s="158">
        <f t="shared" ref="G114" ca="1" si="873">IF(G113=0,0,G11)</f>
        <v>2.2361800000000138</v>
      </c>
      <c r="H114" s="158">
        <f t="shared" ref="H114:I114" ca="1" si="874">IF(H113=0,0,H11)</f>
        <v>2.2396999999999943</v>
      </c>
      <c r="I114" s="158">
        <f t="shared" ca="1" si="874"/>
        <v>1.9528799999999884</v>
      </c>
      <c r="J114" s="158"/>
      <c r="K114" s="158"/>
      <c r="L114" s="158"/>
      <c r="M114" s="158"/>
      <c r="N114" s="2416"/>
      <c r="O114" s="158">
        <f t="shared" ref="O114:V114" ca="1" si="875">IF(O113=0,0,O11)</f>
        <v>2.2264200000000138</v>
      </c>
      <c r="P114" s="158">
        <f t="shared" ca="1" si="875"/>
        <v>2.2287150000000175</v>
      </c>
      <c r="Q114" s="158">
        <f t="shared" ca="1" si="875"/>
        <v>2.3486900000000852</v>
      </c>
      <c r="R114" s="158">
        <f t="shared" ca="1" si="875"/>
        <v>2.3824900000001272</v>
      </c>
      <c r="S114" s="158">
        <f t="shared" ca="1" si="875"/>
        <v>2.38193000000012</v>
      </c>
      <c r="T114" s="158">
        <f t="shared" ca="1" si="875"/>
        <v>2.6316900000000976</v>
      </c>
      <c r="U114" s="158">
        <f t="shared" ca="1" si="875"/>
        <v>2.6250700000000995</v>
      </c>
      <c r="V114" s="158">
        <f t="shared" ca="1" si="875"/>
        <v>2.4191300000000728</v>
      </c>
      <c r="W114" s="158"/>
      <c r="X114" s="2416"/>
      <c r="Y114" s="158">
        <f t="shared" ref="Y114:AH114" ca="1" si="876">IF(Y113=0,0,Y11)</f>
        <v>2.4821950000000408</v>
      </c>
      <c r="Z114" s="158">
        <f t="shared" ca="1" si="876"/>
        <v>2.2346200000000302</v>
      </c>
      <c r="AA114" s="158">
        <f t="shared" ca="1" si="876"/>
        <v>2.2468400000000437</v>
      </c>
      <c r="AB114" s="158">
        <f t="shared" ca="1" si="876"/>
        <v>2.2322000000000579</v>
      </c>
      <c r="AC114" s="158">
        <f t="shared" ca="1" si="876"/>
        <v>2.4489700000000534</v>
      </c>
      <c r="AD114" s="158">
        <f t="shared" ca="1" si="876"/>
        <v>2.3962750000000534</v>
      </c>
      <c r="AE114" s="158">
        <f t="shared" ca="1" si="876"/>
        <v>2.3947500000000668</v>
      </c>
      <c r="AF114" s="158">
        <f t="shared" ca="1" si="876"/>
        <v>2.6825200000000597</v>
      </c>
      <c r="AG114" s="158">
        <f t="shared" ca="1" si="876"/>
        <v>2.6691800000000887</v>
      </c>
      <c r="AH114" s="158">
        <f t="shared" ca="1" si="876"/>
        <v>2.8850300000001061</v>
      </c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2416"/>
      <c r="AS114" s="158">
        <f t="shared" ref="AS114:AW114" ca="1" si="877">IF(AS113=0,0,AS11)</f>
        <v>2.2517099999999979</v>
      </c>
      <c r="AT114" s="158">
        <f t="shared" ca="1" si="877"/>
        <v>2.3302399999999972</v>
      </c>
      <c r="AU114" s="158">
        <f t="shared" ca="1" si="877"/>
        <v>2.3432600000000372</v>
      </c>
      <c r="AV114" s="158">
        <f t="shared" ca="1" si="877"/>
        <v>2.3265950000000482</v>
      </c>
      <c r="AW114" s="158">
        <f t="shared" ca="1" si="877"/>
        <v>3.3998450000001048</v>
      </c>
      <c r="AX114" s="158">
        <f t="shared" ref="AX114" si="878">IF(AX113=0,0,AX11)</f>
        <v>0</v>
      </c>
      <c r="AY114" s="158">
        <f t="shared" ref="AY114:BI114" si="879">IF(AY113=0,0,AY11)</f>
        <v>0</v>
      </c>
      <c r="AZ114" s="158">
        <f t="shared" ref="AZ114" si="880">IF(AZ113=0,0,AZ11)</f>
        <v>0</v>
      </c>
      <c r="BA114" s="158">
        <f t="shared" si="879"/>
        <v>0</v>
      </c>
      <c r="BB114" s="158">
        <f t="shared" si="879"/>
        <v>0</v>
      </c>
      <c r="BC114" s="158">
        <f t="shared" si="879"/>
        <v>0</v>
      </c>
      <c r="BD114" s="158">
        <f t="shared" si="879"/>
        <v>0</v>
      </c>
      <c r="BE114" s="158">
        <f t="shared" si="879"/>
        <v>0</v>
      </c>
      <c r="BF114" s="158">
        <f t="shared" si="879"/>
        <v>0</v>
      </c>
      <c r="BG114" s="158">
        <f t="shared" si="879"/>
        <v>0</v>
      </c>
      <c r="BH114" s="158">
        <f t="shared" si="879"/>
        <v>0</v>
      </c>
      <c r="BI114" s="158">
        <f t="shared" si="879"/>
        <v>0</v>
      </c>
      <c r="BJ114" s="159"/>
      <c r="BK114" s="159"/>
      <c r="BL114" s="159"/>
      <c r="BM114" s="351"/>
      <c r="BN114" s="579">
        <f t="shared" ca="1" si="865"/>
        <v>62.997125000001411</v>
      </c>
      <c r="BO114" s="1089"/>
      <c r="BP114" s="1089"/>
      <c r="BQ114" s="1089"/>
      <c r="BR114" s="1089"/>
      <c r="BS114" s="1089"/>
      <c r="BT114" s="1089"/>
      <c r="BU114" s="1089"/>
      <c r="BV114" s="1089"/>
      <c r="BW114" s="1089"/>
      <c r="BX114" s="1089"/>
      <c r="BY114" s="1089"/>
      <c r="BZ114" s="1089"/>
    </row>
    <row r="115" spans="1:78" s="590" customFormat="1" ht="21.95" customHeight="1" x14ac:dyDescent="0.15">
      <c r="A115" s="2596"/>
      <c r="B115" s="2678"/>
      <c r="C115" s="591" t="s">
        <v>1113</v>
      </c>
      <c r="D115" s="2004"/>
      <c r="E115" s="592"/>
      <c r="F115" s="158">
        <f t="shared" ref="F115" si="881">IF(F113=0,0,2.4)</f>
        <v>0</v>
      </c>
      <c r="G115" s="158">
        <f t="shared" ref="G115" ca="1" si="882">IF(G113=0,0,2.4)</f>
        <v>2.4</v>
      </c>
      <c r="H115" s="158">
        <f t="shared" ref="H115:I115" ca="1" si="883">IF(H113=0,0,2.4)</f>
        <v>2.4</v>
      </c>
      <c r="I115" s="158">
        <f t="shared" ca="1" si="883"/>
        <v>2.4</v>
      </c>
      <c r="J115" s="158"/>
      <c r="K115" s="158"/>
      <c r="L115" s="158"/>
      <c r="M115" s="158"/>
      <c r="N115" s="2416"/>
      <c r="O115" s="158">
        <f t="shared" ref="O115:V115" ca="1" si="884">IF(O113=0,0,2.4)</f>
        <v>2.4</v>
      </c>
      <c r="P115" s="158">
        <f t="shared" ca="1" si="884"/>
        <v>2.4</v>
      </c>
      <c r="Q115" s="158">
        <f t="shared" ca="1" si="884"/>
        <v>2.4</v>
      </c>
      <c r="R115" s="158">
        <f t="shared" ca="1" si="884"/>
        <v>2.4</v>
      </c>
      <c r="S115" s="158">
        <f t="shared" ca="1" si="884"/>
        <v>2.4</v>
      </c>
      <c r="T115" s="158">
        <f t="shared" ca="1" si="884"/>
        <v>2.4</v>
      </c>
      <c r="U115" s="158">
        <f t="shared" ca="1" si="884"/>
        <v>2.4</v>
      </c>
      <c r="V115" s="158">
        <f t="shared" ca="1" si="884"/>
        <v>2.4</v>
      </c>
      <c r="W115" s="158"/>
      <c r="X115" s="2416"/>
      <c r="Y115" s="158">
        <f t="shared" ref="Y115:AH115" ca="1" si="885">IF(Y113=0,0,2.4)</f>
        <v>2.4</v>
      </c>
      <c r="Z115" s="158">
        <f t="shared" ca="1" si="885"/>
        <v>2.4</v>
      </c>
      <c r="AA115" s="158">
        <f t="shared" ca="1" si="885"/>
        <v>2.4</v>
      </c>
      <c r="AB115" s="158">
        <f t="shared" ca="1" si="885"/>
        <v>2.4</v>
      </c>
      <c r="AC115" s="158">
        <f t="shared" ca="1" si="885"/>
        <v>2.4</v>
      </c>
      <c r="AD115" s="158">
        <f t="shared" ca="1" si="885"/>
        <v>2.4</v>
      </c>
      <c r="AE115" s="158">
        <f t="shared" ca="1" si="885"/>
        <v>2.4</v>
      </c>
      <c r="AF115" s="158">
        <f t="shared" ca="1" si="885"/>
        <v>2.4</v>
      </c>
      <c r="AG115" s="158">
        <f t="shared" ca="1" si="885"/>
        <v>2.4</v>
      </c>
      <c r="AH115" s="158">
        <f t="shared" ca="1" si="885"/>
        <v>2.4</v>
      </c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2416"/>
      <c r="AS115" s="158">
        <f t="shared" ref="AS115:AW115" ca="1" si="886">IF(AS113=0,0,2.4)</f>
        <v>2.4</v>
      </c>
      <c r="AT115" s="158">
        <f t="shared" ca="1" si="886"/>
        <v>2.4</v>
      </c>
      <c r="AU115" s="158">
        <f t="shared" ca="1" si="886"/>
        <v>2.4</v>
      </c>
      <c r="AV115" s="158">
        <f t="shared" ca="1" si="886"/>
        <v>2.4</v>
      </c>
      <c r="AW115" s="158">
        <f t="shared" ca="1" si="886"/>
        <v>2.4</v>
      </c>
      <c r="AX115" s="158">
        <f t="shared" ref="AX115" si="887">IF(AX113=0,0,2.4)</f>
        <v>0</v>
      </c>
      <c r="AY115" s="158">
        <f t="shared" ref="AY115:BI115" si="888">IF(AY113=0,0,2.4)</f>
        <v>0</v>
      </c>
      <c r="AZ115" s="158">
        <f t="shared" ref="AZ115" si="889">IF(AZ113=0,0,2.4)</f>
        <v>0</v>
      </c>
      <c r="BA115" s="158">
        <f t="shared" si="888"/>
        <v>0</v>
      </c>
      <c r="BB115" s="158">
        <f t="shared" si="888"/>
        <v>0</v>
      </c>
      <c r="BC115" s="158">
        <f t="shared" si="888"/>
        <v>0</v>
      </c>
      <c r="BD115" s="158">
        <f t="shared" si="888"/>
        <v>0</v>
      </c>
      <c r="BE115" s="158">
        <f t="shared" si="888"/>
        <v>0</v>
      </c>
      <c r="BF115" s="158">
        <f t="shared" si="888"/>
        <v>0</v>
      </c>
      <c r="BG115" s="158">
        <f t="shared" si="888"/>
        <v>0</v>
      </c>
      <c r="BH115" s="158">
        <f t="shared" si="888"/>
        <v>0</v>
      </c>
      <c r="BI115" s="158">
        <f t="shared" si="888"/>
        <v>0</v>
      </c>
      <c r="BJ115" s="159"/>
      <c r="BK115" s="159"/>
      <c r="BL115" s="159"/>
      <c r="BM115" s="351"/>
      <c r="BN115" s="579">
        <f t="shared" ca="1" si="865"/>
        <v>62.399999999999977</v>
      </c>
      <c r="BO115" s="1089"/>
      <c r="BP115" s="1089"/>
      <c r="BQ115" s="1089"/>
      <c r="BR115" s="1089"/>
      <c r="BS115" s="1089"/>
      <c r="BT115" s="1089"/>
      <c r="BU115" s="1089"/>
      <c r="BV115" s="1089"/>
      <c r="BW115" s="1089"/>
      <c r="BX115" s="1089"/>
      <c r="BY115" s="1089"/>
      <c r="BZ115" s="1089"/>
    </row>
    <row r="116" spans="1:78" s="590" customFormat="1" ht="21.95" customHeight="1" x14ac:dyDescent="0.15">
      <c r="A116" s="2596"/>
      <c r="B116" s="2678"/>
      <c r="C116" s="598" t="s">
        <v>593</v>
      </c>
      <c r="D116" s="2004"/>
      <c r="E116" s="592"/>
      <c r="F116" s="158">
        <f t="shared" ref="F116" si="890">IF(F114&lt;=3,F113*F115*2,0)</f>
        <v>0</v>
      </c>
      <c r="G116" s="158">
        <f t="shared" ref="G116" ca="1" si="891">IF(G114&lt;=3,G113*G115*2,0)</f>
        <v>345.69599999999997</v>
      </c>
      <c r="H116" s="158">
        <f t="shared" ref="H116:I116" ca="1" si="892">IF(H114&lt;=3,H113*H115*2,0)</f>
        <v>284.06399999999996</v>
      </c>
      <c r="I116" s="158">
        <f t="shared" ca="1" si="892"/>
        <v>284.06399999999996</v>
      </c>
      <c r="J116" s="158"/>
      <c r="K116" s="158"/>
      <c r="L116" s="158"/>
      <c r="M116" s="158"/>
      <c r="N116" s="2416"/>
      <c r="O116" s="158">
        <f t="shared" ref="O116:V116" ca="1" si="893">IF(O114&lt;=3,O113*O115*2,0)</f>
        <v>321.02399999999994</v>
      </c>
      <c r="P116" s="158">
        <f t="shared" ca="1" si="893"/>
        <v>421.2</v>
      </c>
      <c r="Q116" s="158">
        <f t="shared" ca="1" si="893"/>
        <v>427.77600000000001</v>
      </c>
      <c r="R116" s="158">
        <f t="shared" ca="1" si="893"/>
        <v>437.37600000000003</v>
      </c>
      <c r="S116" s="158">
        <f t="shared" ca="1" si="893"/>
        <v>418.17599999999999</v>
      </c>
      <c r="T116" s="158">
        <f t="shared" ca="1" si="893"/>
        <v>454.84800000000001</v>
      </c>
      <c r="U116" s="158">
        <f t="shared" ca="1" si="893"/>
        <v>454.84800000000001</v>
      </c>
      <c r="V116" s="158">
        <f t="shared" ca="1" si="893"/>
        <v>262.84799999999996</v>
      </c>
      <c r="W116" s="158"/>
      <c r="X116" s="2416"/>
      <c r="Y116" s="158">
        <f t="shared" ref="Y116:AH116" ca="1" si="894">IF(Y114&lt;=3,Y113*Y115*2,0)</f>
        <v>345.74399999999997</v>
      </c>
      <c r="Z116" s="158">
        <f t="shared" ca="1" si="894"/>
        <v>454.464</v>
      </c>
      <c r="AA116" s="158">
        <f t="shared" ca="1" si="894"/>
        <v>454.464</v>
      </c>
      <c r="AB116" s="158">
        <f t="shared" ca="1" si="894"/>
        <v>454.464</v>
      </c>
      <c r="AC116" s="158">
        <f t="shared" ca="1" si="894"/>
        <v>346.17599999999999</v>
      </c>
      <c r="AD116" s="158">
        <f t="shared" ca="1" si="894"/>
        <v>345.84</v>
      </c>
      <c r="AE116" s="158">
        <f t="shared" ca="1" si="894"/>
        <v>347.03999999999996</v>
      </c>
      <c r="AF116" s="158">
        <f t="shared" ca="1" si="894"/>
        <v>406.94400000000002</v>
      </c>
      <c r="AG116" s="158">
        <f t="shared" ca="1" si="894"/>
        <v>442.512</v>
      </c>
      <c r="AH116" s="158">
        <f t="shared" ca="1" si="894"/>
        <v>442.512</v>
      </c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2416"/>
      <c r="AS116" s="158">
        <f t="shared" ref="AS116:AW116" ca="1" si="895">IF(AS114&lt;=3,AS113*AS115*2,0)</f>
        <v>346.65600000000001</v>
      </c>
      <c r="AT116" s="158">
        <f t="shared" ca="1" si="895"/>
        <v>345.79200000000003</v>
      </c>
      <c r="AU116" s="158">
        <f t="shared" ca="1" si="895"/>
        <v>345.69599999999997</v>
      </c>
      <c r="AV116" s="158">
        <f t="shared" ca="1" si="895"/>
        <v>345.64800000000002</v>
      </c>
      <c r="AW116" s="158">
        <f t="shared" ca="1" si="895"/>
        <v>0</v>
      </c>
      <c r="AX116" s="158">
        <f t="shared" ref="AX116" si="896">IF(AX114&lt;=3,AX113*AX115*2,0)</f>
        <v>0</v>
      </c>
      <c r="AY116" s="158">
        <f t="shared" ref="AY116:BI116" si="897">IF(AY114&lt;=3,AY113*AY115*2,0)</f>
        <v>0</v>
      </c>
      <c r="AZ116" s="158">
        <f t="shared" ref="AZ116" si="898">IF(AZ114&lt;=3,AZ113*AZ115*2,0)</f>
        <v>0</v>
      </c>
      <c r="BA116" s="158">
        <f t="shared" si="897"/>
        <v>0</v>
      </c>
      <c r="BB116" s="158">
        <f t="shared" si="897"/>
        <v>0</v>
      </c>
      <c r="BC116" s="158">
        <f t="shared" si="897"/>
        <v>0</v>
      </c>
      <c r="BD116" s="158">
        <f t="shared" si="897"/>
        <v>0</v>
      </c>
      <c r="BE116" s="158">
        <f t="shared" si="897"/>
        <v>0</v>
      </c>
      <c r="BF116" s="158">
        <f t="shared" si="897"/>
        <v>0</v>
      </c>
      <c r="BG116" s="158">
        <f t="shared" si="897"/>
        <v>0</v>
      </c>
      <c r="BH116" s="158">
        <f t="shared" si="897"/>
        <v>0</v>
      </c>
      <c r="BI116" s="158">
        <f t="shared" si="897"/>
        <v>0</v>
      </c>
      <c r="BJ116" s="159"/>
      <c r="BK116" s="159"/>
      <c r="BL116" s="159"/>
      <c r="BM116" s="350">
        <f ca="1">TRUNC(SUM(F116:BL116),2)</f>
        <v>9535.8700000000008</v>
      </c>
      <c r="BN116" s="579">
        <f t="shared" ca="1" si="865"/>
        <v>19071.741999999998</v>
      </c>
      <c r="BO116" s="1089"/>
      <c r="BP116" s="1089"/>
      <c r="BQ116" s="1089"/>
      <c r="BR116" s="1089"/>
      <c r="BS116" s="1089"/>
      <c r="BT116" s="1089"/>
      <c r="BU116" s="1089"/>
      <c r="BV116" s="1089"/>
      <c r="BW116" s="1089"/>
      <c r="BX116" s="1089"/>
      <c r="BY116" s="1089"/>
      <c r="BZ116" s="1089"/>
    </row>
    <row r="117" spans="1:78" s="590" customFormat="1" ht="21.95" customHeight="1" thickBot="1" x14ac:dyDescent="0.2">
      <c r="A117" s="2596"/>
      <c r="B117" s="2670"/>
      <c r="C117" s="598" t="s">
        <v>1115</v>
      </c>
      <c r="D117" s="2004"/>
      <c r="E117" s="592"/>
      <c r="F117" s="158">
        <f t="shared" ref="F117" si="899">IF(F114&gt;3,F113*F115*2,0)</f>
        <v>0</v>
      </c>
      <c r="G117" s="158">
        <f t="shared" ref="G117" ca="1" si="900">IF(G114&gt;3,G113*G115*2,0)</f>
        <v>0</v>
      </c>
      <c r="H117" s="158">
        <f t="shared" ref="H117:I117" ca="1" si="901">IF(H114&gt;3,H113*H115*2,0)</f>
        <v>0</v>
      </c>
      <c r="I117" s="158">
        <f t="shared" ca="1" si="901"/>
        <v>0</v>
      </c>
      <c r="J117" s="158"/>
      <c r="K117" s="158"/>
      <c r="L117" s="158"/>
      <c r="M117" s="158"/>
      <c r="N117" s="2416"/>
      <c r="O117" s="158">
        <f t="shared" ref="O117:V117" ca="1" si="902">IF(O114&gt;3,O113*O115*2,0)</f>
        <v>0</v>
      </c>
      <c r="P117" s="158">
        <f t="shared" ca="1" si="902"/>
        <v>0</v>
      </c>
      <c r="Q117" s="158">
        <f t="shared" ca="1" si="902"/>
        <v>0</v>
      </c>
      <c r="R117" s="158">
        <f t="shared" ca="1" si="902"/>
        <v>0</v>
      </c>
      <c r="S117" s="158">
        <f t="shared" ca="1" si="902"/>
        <v>0</v>
      </c>
      <c r="T117" s="158">
        <f t="shared" ca="1" si="902"/>
        <v>0</v>
      </c>
      <c r="U117" s="158">
        <f t="shared" ca="1" si="902"/>
        <v>0</v>
      </c>
      <c r="V117" s="158">
        <f t="shared" ca="1" si="902"/>
        <v>0</v>
      </c>
      <c r="W117" s="158"/>
      <c r="X117" s="2416"/>
      <c r="Y117" s="158">
        <f t="shared" ref="Y117:AH117" ca="1" si="903">IF(Y114&gt;3,Y113*Y115*2,0)</f>
        <v>0</v>
      </c>
      <c r="Z117" s="158">
        <f t="shared" ca="1" si="903"/>
        <v>0</v>
      </c>
      <c r="AA117" s="158">
        <f t="shared" ca="1" si="903"/>
        <v>0</v>
      </c>
      <c r="AB117" s="158">
        <f t="shared" ca="1" si="903"/>
        <v>0</v>
      </c>
      <c r="AC117" s="158">
        <f t="shared" ca="1" si="903"/>
        <v>0</v>
      </c>
      <c r="AD117" s="158">
        <f t="shared" ca="1" si="903"/>
        <v>0</v>
      </c>
      <c r="AE117" s="158">
        <f t="shared" ca="1" si="903"/>
        <v>0</v>
      </c>
      <c r="AF117" s="158">
        <f t="shared" ca="1" si="903"/>
        <v>0</v>
      </c>
      <c r="AG117" s="158">
        <f t="shared" ca="1" si="903"/>
        <v>0</v>
      </c>
      <c r="AH117" s="158">
        <f t="shared" ca="1" si="903"/>
        <v>0</v>
      </c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2416"/>
      <c r="AS117" s="158">
        <f t="shared" ref="AS117:AW117" ca="1" si="904">IF(AS114&gt;3,AS113*AS115*2,0)</f>
        <v>0</v>
      </c>
      <c r="AT117" s="158">
        <f t="shared" ca="1" si="904"/>
        <v>0</v>
      </c>
      <c r="AU117" s="158">
        <f t="shared" ca="1" si="904"/>
        <v>0</v>
      </c>
      <c r="AV117" s="158">
        <f t="shared" ca="1" si="904"/>
        <v>0</v>
      </c>
      <c r="AW117" s="158">
        <f t="shared" ca="1" si="904"/>
        <v>346.70400000000001</v>
      </c>
      <c r="AX117" s="158">
        <f t="shared" ref="AX117" si="905">IF(AX114&gt;3,AX113*AX115*2,0)</f>
        <v>0</v>
      </c>
      <c r="AY117" s="158">
        <f t="shared" ref="AY117:BI117" si="906">IF(AY114&gt;3,AY113*AY115*2,0)</f>
        <v>0</v>
      </c>
      <c r="AZ117" s="158">
        <f t="shared" ref="AZ117" si="907">IF(AZ114&gt;3,AZ113*AZ115*2,0)</f>
        <v>0</v>
      </c>
      <c r="BA117" s="158">
        <f t="shared" si="906"/>
        <v>0</v>
      </c>
      <c r="BB117" s="158">
        <f t="shared" si="906"/>
        <v>0</v>
      </c>
      <c r="BC117" s="158">
        <f t="shared" si="906"/>
        <v>0</v>
      </c>
      <c r="BD117" s="158">
        <f t="shared" si="906"/>
        <v>0</v>
      </c>
      <c r="BE117" s="158">
        <f t="shared" si="906"/>
        <v>0</v>
      </c>
      <c r="BF117" s="158">
        <f t="shared" si="906"/>
        <v>0</v>
      </c>
      <c r="BG117" s="158">
        <f t="shared" si="906"/>
        <v>0</v>
      </c>
      <c r="BH117" s="158">
        <f t="shared" si="906"/>
        <v>0</v>
      </c>
      <c r="BI117" s="158">
        <f t="shared" si="906"/>
        <v>0</v>
      </c>
      <c r="BJ117" s="159"/>
      <c r="BK117" s="159"/>
      <c r="BL117" s="159"/>
      <c r="BM117" s="350">
        <f ca="1">TRUNC(SUM(F117:BL117),2)</f>
        <v>346.7</v>
      </c>
      <c r="BN117" s="579">
        <f t="shared" ca="1" si="865"/>
        <v>693.404</v>
      </c>
      <c r="BO117" s="1089"/>
      <c r="BP117" s="1089"/>
      <c r="BQ117" s="1089"/>
      <c r="BR117" s="1089"/>
      <c r="BS117" s="1089"/>
      <c r="BT117" s="1089"/>
      <c r="BU117" s="1089"/>
      <c r="BV117" s="1089"/>
      <c r="BW117" s="1089"/>
      <c r="BX117" s="1089"/>
      <c r="BY117" s="1089"/>
      <c r="BZ117" s="1089"/>
    </row>
    <row r="118" spans="1:78" s="590" customFormat="1" ht="21.95" customHeight="1" thickBot="1" x14ac:dyDescent="0.2">
      <c r="A118" s="2596"/>
      <c r="B118" s="2667" t="s">
        <v>2422</v>
      </c>
      <c r="C118" s="2274" t="s">
        <v>1116</v>
      </c>
      <c r="D118" s="2003"/>
      <c r="E118" s="1520"/>
      <c r="F118" s="238">
        <f t="shared" ref="F118" si="908">IF(F154+F160+F164+F170+F176&gt;0,0,IF(AND((F33+F34)&lt;=1.5),F2*(F33+F34),0))</f>
        <v>0</v>
      </c>
      <c r="G118" s="238">
        <f t="shared" ref="G118" ca="1" si="909">IF(G154+G160+G164+G170+G176&gt;0,0,IF(AND((G33+G34)&lt;=1.5),G2*(G33+G34),0))</f>
        <v>108.03</v>
      </c>
      <c r="H118" s="238">
        <f t="shared" ref="H118:I118" ca="1" si="910">IF(H154+H160+H164+H170+H176&gt;0,0,IF(AND((H33+H34)&lt;=1.5),H2*(H33+H34),0))</f>
        <v>88.77</v>
      </c>
      <c r="I118" s="238">
        <f t="shared" ca="1" si="910"/>
        <v>88.77</v>
      </c>
      <c r="J118" s="238"/>
      <c r="K118" s="238"/>
      <c r="L118" s="238"/>
      <c r="M118" s="238"/>
      <c r="N118" s="2439"/>
      <c r="O118" s="238">
        <f t="shared" ref="O118:V118" ca="1" si="911">IF(O154+O160+O164+O170+O176&gt;0,0,IF(AND((O33+O34)&lt;=1.5),O2*(O33+O34),0))</f>
        <v>100.32</v>
      </c>
      <c r="P118" s="238">
        <f t="shared" ca="1" si="911"/>
        <v>131.625</v>
      </c>
      <c r="Q118" s="238">
        <f t="shared" ca="1" si="911"/>
        <v>133.68</v>
      </c>
      <c r="R118" s="238">
        <f t="shared" ca="1" si="911"/>
        <v>136.68</v>
      </c>
      <c r="S118" s="238">
        <f t="shared" ca="1" si="911"/>
        <v>130.68</v>
      </c>
      <c r="T118" s="238">
        <f t="shared" ca="1" si="911"/>
        <v>0</v>
      </c>
      <c r="U118" s="238">
        <f t="shared" ca="1" si="911"/>
        <v>0</v>
      </c>
      <c r="V118" s="238">
        <f t="shared" ca="1" si="911"/>
        <v>0</v>
      </c>
      <c r="W118" s="238"/>
      <c r="X118" s="2439"/>
      <c r="Y118" s="238">
        <f t="shared" ref="Y118:AH118" ca="1" si="912">IF(Y154+Y160+Y164+Y170+Y176&gt;0,0,IF(AND((Y33+Y34)&lt;=1.5),Y2*(Y33+Y34),0))</f>
        <v>0</v>
      </c>
      <c r="Z118" s="238">
        <f t="shared" ca="1" si="912"/>
        <v>142.02000000000001</v>
      </c>
      <c r="AA118" s="238">
        <f t="shared" ca="1" si="912"/>
        <v>142.02000000000001</v>
      </c>
      <c r="AB118" s="238">
        <f t="shared" ca="1" si="912"/>
        <v>142.02000000000001</v>
      </c>
      <c r="AC118" s="238">
        <f t="shared" ca="1" si="912"/>
        <v>0</v>
      </c>
      <c r="AD118" s="238">
        <f t="shared" ca="1" si="912"/>
        <v>0</v>
      </c>
      <c r="AE118" s="238">
        <f t="shared" ca="1" si="912"/>
        <v>0</v>
      </c>
      <c r="AF118" s="238">
        <f t="shared" ca="1" si="912"/>
        <v>0</v>
      </c>
      <c r="AG118" s="238">
        <f t="shared" ca="1" si="912"/>
        <v>0</v>
      </c>
      <c r="AH118" s="238">
        <f t="shared" ca="1" si="912"/>
        <v>0</v>
      </c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439"/>
      <c r="AS118" s="238">
        <f t="shared" ref="AS118:AW118" ca="1" si="913">IF(AS154+AS160+AS164+AS170+AS176&gt;0,0,IF(AND((AS33+AS34)&lt;=1.5),AS2*(AS33+AS34),0))</f>
        <v>108.33</v>
      </c>
      <c r="AT118" s="238">
        <f t="shared" ca="1" si="913"/>
        <v>0</v>
      </c>
      <c r="AU118" s="238">
        <f t="shared" ca="1" si="913"/>
        <v>0</v>
      </c>
      <c r="AV118" s="238">
        <f t="shared" ca="1" si="913"/>
        <v>0</v>
      </c>
      <c r="AW118" s="238">
        <f t="shared" ca="1" si="913"/>
        <v>0</v>
      </c>
      <c r="AX118" s="238">
        <f t="shared" ref="AX118" si="914">IF(AX154+AX160+AX164+AX170+AX176&gt;0,0,IF(AND(AX29=1,(AX33+AX34)&lt;=1.5),AX2*(AX33+AX34),0))</f>
        <v>0</v>
      </c>
      <c r="AY118" s="238">
        <f t="shared" ref="AY118:BI118" si="915">IF(AY154+AY160+AY164+AY170+AY176&gt;0,0,IF(AND(AY29=1,(AY33+AY34)&lt;=1.5),AY2*(AY33+AY34),0))</f>
        <v>641.6</v>
      </c>
      <c r="AZ118" s="238">
        <f t="shared" ref="AZ118" si="916">IF(AZ154+AZ160+AZ164+AZ170+AZ176&gt;0,0,IF(AND(AZ29=1,(AZ33+AZ34)&lt;=1.5),AZ2*(AZ33+AZ34),0))</f>
        <v>0</v>
      </c>
      <c r="BA118" s="238">
        <f t="shared" si="915"/>
        <v>79.2</v>
      </c>
      <c r="BB118" s="238">
        <f t="shared" si="915"/>
        <v>0</v>
      </c>
      <c r="BC118" s="238">
        <f t="shared" si="915"/>
        <v>0</v>
      </c>
      <c r="BD118" s="238">
        <f t="shared" si="915"/>
        <v>0</v>
      </c>
      <c r="BE118" s="238">
        <f t="shared" si="915"/>
        <v>0</v>
      </c>
      <c r="BF118" s="238">
        <f t="shared" si="915"/>
        <v>0</v>
      </c>
      <c r="BG118" s="238">
        <f t="shared" si="915"/>
        <v>0</v>
      </c>
      <c r="BH118" s="238">
        <f t="shared" si="915"/>
        <v>0</v>
      </c>
      <c r="BI118" s="238">
        <f t="shared" si="915"/>
        <v>0</v>
      </c>
      <c r="BJ118" s="241"/>
      <c r="BK118" s="241"/>
      <c r="BL118" s="241"/>
      <c r="BM118" s="362">
        <f ca="1">TRUNC(SUM(F118:BL118),2)</f>
        <v>2173.7399999999998</v>
      </c>
      <c r="BN118" s="579">
        <f t="shared" ca="1" si="865"/>
        <v>4347.4849999999997</v>
      </c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</row>
    <row r="119" spans="1:78" s="590" customFormat="1" ht="21.95" customHeight="1" thickBot="1" x14ac:dyDescent="0.2">
      <c r="A119" s="2596"/>
      <c r="B119" s="2670"/>
      <c r="C119" s="929" t="s">
        <v>1117</v>
      </c>
      <c r="D119" s="2370"/>
      <c r="E119" s="2371"/>
      <c r="F119" s="2372">
        <f t="shared" ref="F119" si="917">IF(F154+F160+F164+F170+F176&gt;0,0,IF(AND(F29=1,(F33+F34)&gt;1.5),F2*(F33+F34),0))</f>
        <v>0</v>
      </c>
      <c r="G119" s="2372">
        <f t="shared" ref="G119" ca="1" si="918">IF(G154+G160+G164+G170+G176&gt;0,0,IF(AND(G29=1,(G33+G34)&gt;1.5),G2*(G33+G34),0))</f>
        <v>0</v>
      </c>
      <c r="H119" s="2372">
        <f t="shared" ref="H119:I119" ca="1" si="919">IF(H154+H160+H164+H170+H176&gt;0,0,IF(AND(H29=1,(H33+H34)&gt;1.5),H2*(H33+H34),0))</f>
        <v>0</v>
      </c>
      <c r="I119" s="2372">
        <f t="shared" ca="1" si="919"/>
        <v>0</v>
      </c>
      <c r="J119" s="2372"/>
      <c r="K119" s="2372"/>
      <c r="L119" s="2372"/>
      <c r="M119" s="2372"/>
      <c r="N119" s="2453"/>
      <c r="O119" s="2372">
        <f t="shared" ref="O119:V119" ca="1" si="920">IF(O154+O160+O164+O170+O176&gt;0,0,IF(AND(O29=1,(O33+O34)&gt;1.5),O2*(O33+O34),0))</f>
        <v>0</v>
      </c>
      <c r="P119" s="2372">
        <f t="shared" ca="1" si="920"/>
        <v>0</v>
      </c>
      <c r="Q119" s="2372">
        <f t="shared" ca="1" si="920"/>
        <v>0</v>
      </c>
      <c r="R119" s="2372">
        <f t="shared" ca="1" si="920"/>
        <v>0</v>
      </c>
      <c r="S119" s="2372">
        <f t="shared" ca="1" si="920"/>
        <v>0</v>
      </c>
      <c r="T119" s="2372">
        <f t="shared" ca="1" si="920"/>
        <v>189.52</v>
      </c>
      <c r="U119" s="2372">
        <f t="shared" ca="1" si="920"/>
        <v>189.52</v>
      </c>
      <c r="V119" s="2372">
        <f t="shared" ca="1" si="920"/>
        <v>109.52</v>
      </c>
      <c r="W119" s="2372"/>
      <c r="X119" s="2453"/>
      <c r="Y119" s="2372">
        <f t="shared" ref="Y119:AH119" ca="1" si="921">IF(Y154+Y160+Y164+Y170+Y176&gt;0,0,IF(AND(Y29=1,(Y33+Y34)&gt;1.5),Y2*(Y33+Y34),0))</f>
        <v>115.248</v>
      </c>
      <c r="Z119" s="2372">
        <f t="shared" ca="1" si="921"/>
        <v>0</v>
      </c>
      <c r="AA119" s="2372">
        <f t="shared" ca="1" si="921"/>
        <v>0</v>
      </c>
      <c r="AB119" s="2372">
        <f t="shared" ca="1" si="921"/>
        <v>0</v>
      </c>
      <c r="AC119" s="2372">
        <f t="shared" ca="1" si="921"/>
        <v>115.39200000000001</v>
      </c>
      <c r="AD119" s="2372">
        <f t="shared" ca="1" si="921"/>
        <v>115.28</v>
      </c>
      <c r="AE119" s="2372">
        <f t="shared" ca="1" si="921"/>
        <v>115.68</v>
      </c>
      <c r="AF119" s="2372">
        <f t="shared" ca="1" si="921"/>
        <v>169.56</v>
      </c>
      <c r="AG119" s="2372">
        <f t="shared" ca="1" si="921"/>
        <v>184.38</v>
      </c>
      <c r="AH119" s="2372">
        <f t="shared" ca="1" si="921"/>
        <v>184.38</v>
      </c>
      <c r="AI119" s="2372"/>
      <c r="AJ119" s="2372"/>
      <c r="AK119" s="2372"/>
      <c r="AL119" s="2372"/>
      <c r="AM119" s="2372"/>
      <c r="AN119" s="2372"/>
      <c r="AO119" s="2372"/>
      <c r="AP119" s="2372"/>
      <c r="AQ119" s="2372"/>
      <c r="AR119" s="2453"/>
      <c r="AS119" s="2372">
        <f t="shared" ref="AS119:AW119" ca="1" si="922">IF(AS154+AS160+AS164+AS170+AS176&gt;0,0,IF(AND(AS29=1,(AS33+AS34)&gt;1.5),AS2*(AS33+AS34),0))</f>
        <v>0</v>
      </c>
      <c r="AT119" s="2372">
        <f t="shared" ca="1" si="922"/>
        <v>115.26400000000001</v>
      </c>
      <c r="AU119" s="2372">
        <f t="shared" ca="1" si="922"/>
        <v>115.232</v>
      </c>
      <c r="AV119" s="2372">
        <f t="shared" ca="1" si="922"/>
        <v>115.21600000000001</v>
      </c>
      <c r="AW119" s="2372">
        <f t="shared" ca="1" si="922"/>
        <v>144.46</v>
      </c>
      <c r="AX119" s="2372">
        <f t="shared" ref="AX119" si="923">IF(AX154+AX160+AX164+AX170+AX176&gt;0,0,IF(AND(AX29=1,(AX33+AX34)&gt;1.5),AX2*(AX33+AX34),0))</f>
        <v>0</v>
      </c>
      <c r="AY119" s="2372">
        <f t="shared" ref="AY119:BI119" si="924">IF(AY154+AY160+AY164+AY170+AY176&gt;0,0,IF(AND(AY29=1,(AY33+AY34)&gt;1.5),AY2*(AY33+AY34),0))</f>
        <v>0</v>
      </c>
      <c r="AZ119" s="2372">
        <f t="shared" ref="AZ119" si="925">IF(AZ154+AZ160+AZ164+AZ170+AZ176&gt;0,0,IF(AND(AZ29=1,(AZ33+AZ34)&gt;1.5),AZ2*(AZ33+AZ34),0))</f>
        <v>0</v>
      </c>
      <c r="BA119" s="2372">
        <f t="shared" si="924"/>
        <v>0</v>
      </c>
      <c r="BB119" s="2372">
        <f t="shared" si="924"/>
        <v>0</v>
      </c>
      <c r="BC119" s="2372">
        <f t="shared" si="924"/>
        <v>0</v>
      </c>
      <c r="BD119" s="2372">
        <f t="shared" si="924"/>
        <v>0</v>
      </c>
      <c r="BE119" s="2372">
        <f t="shared" si="924"/>
        <v>0</v>
      </c>
      <c r="BF119" s="2372">
        <f t="shared" si="924"/>
        <v>0</v>
      </c>
      <c r="BG119" s="2372">
        <f t="shared" si="924"/>
        <v>0</v>
      </c>
      <c r="BH119" s="2372">
        <f t="shared" si="924"/>
        <v>0</v>
      </c>
      <c r="BI119" s="2372">
        <f t="shared" si="924"/>
        <v>0</v>
      </c>
      <c r="BJ119" s="2373"/>
      <c r="BK119" s="2373"/>
      <c r="BL119" s="2373"/>
      <c r="BM119" s="2374">
        <f ca="1">TRUNC(SUM(F119:BL119),2)</f>
        <v>1978.65</v>
      </c>
      <c r="BN119" s="579">
        <f t="shared" ca="1" si="865"/>
        <v>3957.3020000000001</v>
      </c>
      <c r="BO119" s="1089"/>
      <c r="BP119" s="1089"/>
      <c r="BQ119" s="1089"/>
      <c r="BR119" s="1089"/>
      <c r="BS119" s="1089"/>
      <c r="BT119" s="1089"/>
      <c r="BU119" s="1089"/>
      <c r="BV119" s="1089"/>
      <c r="BW119" s="1089"/>
      <c r="BX119" s="1089"/>
      <c r="BY119" s="1089"/>
      <c r="BZ119" s="1089"/>
    </row>
    <row r="120" spans="1:78" s="928" customFormat="1" ht="21.95" hidden="1" customHeight="1" x14ac:dyDescent="0.15">
      <c r="A120" s="2596"/>
      <c r="B120" s="2688" t="s">
        <v>1107</v>
      </c>
      <c r="C120" s="942" t="s">
        <v>484</v>
      </c>
      <c r="D120" s="2015"/>
      <c r="E120" s="1528"/>
      <c r="F120" s="951">
        <f t="shared" ref="F120" si="926">F46-F82-F40</f>
        <v>0</v>
      </c>
      <c r="G120" s="951">
        <f t="shared" ref="G120" ca="1" si="927">G46-G82-G40</f>
        <v>212.25155302266631</v>
      </c>
      <c r="H120" s="951">
        <f t="shared" ref="H120:I120" ca="1" si="928">H46-H82-H40</f>
        <v>174.72300786016757</v>
      </c>
      <c r="I120" s="951">
        <f t="shared" ca="1" si="928"/>
        <v>149.26199646016704</v>
      </c>
      <c r="J120" s="951"/>
      <c r="K120" s="951"/>
      <c r="L120" s="951"/>
      <c r="M120" s="951"/>
      <c r="N120" s="2454"/>
      <c r="O120" s="951">
        <f t="shared" ref="O120:V120" ca="1" si="929">O46-O82-O40</f>
        <v>196.12423511929916</v>
      </c>
      <c r="P120" s="951">
        <f t="shared" ca="1" si="929"/>
        <v>257.62716358131775</v>
      </c>
      <c r="Q120" s="951">
        <f t="shared" ca="1" si="929"/>
        <v>277.68763484749672</v>
      </c>
      <c r="R120" s="951">
        <f t="shared" ca="1" si="929"/>
        <v>288.53918803169222</v>
      </c>
      <c r="S120" s="951">
        <f t="shared" ca="1" si="929"/>
        <v>275.79966886331141</v>
      </c>
      <c r="T120" s="951">
        <f t="shared" ca="1" si="929"/>
        <v>410.84638952853857</v>
      </c>
      <c r="U120" s="951">
        <f t="shared" ca="1" si="929"/>
        <v>408.99440794730174</v>
      </c>
      <c r="V120" s="951">
        <f t="shared" ca="1" si="929"/>
        <v>203.85574363748486</v>
      </c>
      <c r="W120" s="951"/>
      <c r="X120" s="2454"/>
      <c r="Y120" s="951">
        <f t="shared" ref="Y120:AH120" ca="1" si="930">Y46-Y82-Y40</f>
        <v>238.82965913249549</v>
      </c>
      <c r="Z120" s="951">
        <f t="shared" ca="1" si="930"/>
        <v>278.8117317795365</v>
      </c>
      <c r="AA120" s="951">
        <f t="shared" ca="1" si="930"/>
        <v>280.5472161795384</v>
      </c>
      <c r="AB120" s="951">
        <f t="shared" ca="1" si="930"/>
        <v>278.4680433795404</v>
      </c>
      <c r="AC120" s="951">
        <f t="shared" ca="1" si="930"/>
        <v>233.27245777848856</v>
      </c>
      <c r="AD120" s="951">
        <f t="shared" ca="1" si="930"/>
        <v>224.09113864076647</v>
      </c>
      <c r="AE120" s="951">
        <f t="shared" ca="1" si="930"/>
        <v>224.69228090392124</v>
      </c>
      <c r="AF120" s="951">
        <f t="shared" ca="1" si="930"/>
        <v>380.38145059263582</v>
      </c>
      <c r="AG120" s="951">
        <f t="shared" ca="1" si="930"/>
        <v>409.95816855447691</v>
      </c>
      <c r="AH120" s="951">
        <f t="shared" ca="1" si="930"/>
        <v>470.67868885628815</v>
      </c>
      <c r="AI120" s="951"/>
      <c r="AJ120" s="951"/>
      <c r="AK120" s="951"/>
      <c r="AL120" s="951"/>
      <c r="AM120" s="951"/>
      <c r="AN120" s="951"/>
      <c r="AO120" s="951"/>
      <c r="AP120" s="951"/>
      <c r="AQ120" s="951"/>
      <c r="AR120" s="2454"/>
      <c r="AS120" s="951">
        <f t="shared" ref="AS120:AW120" ca="1" si="931">AS46-AS82-AS40</f>
        <v>214.52334184108355</v>
      </c>
      <c r="AT120" s="951">
        <f t="shared" ca="1" si="931"/>
        <v>216.44857823023386</v>
      </c>
      <c r="AU120" s="951">
        <f t="shared" ca="1" si="931"/>
        <v>217.88880764918616</v>
      </c>
      <c r="AV120" s="951">
        <f t="shared" ca="1" si="931"/>
        <v>215.93847907866135</v>
      </c>
      <c r="AW120" s="951">
        <f t="shared" ca="1" si="931"/>
        <v>433.52060672569741</v>
      </c>
      <c r="AX120" s="951">
        <f t="shared" ref="AX120" si="932">AX46-AX82-AX40</f>
        <v>0</v>
      </c>
      <c r="AY120" s="951">
        <f t="shared" ref="AY120:BI120" si="933">AY46-AY82-AY40</f>
        <v>996.20868144888914</v>
      </c>
      <c r="AZ120" s="951">
        <f t="shared" ref="AZ120" si="934">AZ46-AZ82-AZ40</f>
        <v>0</v>
      </c>
      <c r="BA120" s="951">
        <f t="shared" si="933"/>
        <v>124.72579627825431</v>
      </c>
      <c r="BB120" s="951">
        <f t="shared" si="933"/>
        <v>0</v>
      </c>
      <c r="BC120" s="951">
        <f t="shared" si="933"/>
        <v>0</v>
      </c>
      <c r="BD120" s="951">
        <f t="shared" si="933"/>
        <v>0</v>
      </c>
      <c r="BE120" s="951">
        <f t="shared" si="933"/>
        <v>0</v>
      </c>
      <c r="BF120" s="951">
        <f t="shared" si="933"/>
        <v>0</v>
      </c>
      <c r="BG120" s="951">
        <f t="shared" si="933"/>
        <v>0</v>
      </c>
      <c r="BH120" s="951">
        <f t="shared" si="933"/>
        <v>0</v>
      </c>
      <c r="BI120" s="951">
        <f t="shared" si="933"/>
        <v>0</v>
      </c>
      <c r="BJ120" s="956"/>
      <c r="BK120" s="956"/>
      <c r="BL120" s="956"/>
      <c r="BM120" s="952">
        <f ca="1">TRUNC(SUM(F120:BL120),2)</f>
        <v>8294.69</v>
      </c>
      <c r="BN120" s="957"/>
      <c r="BO120" s="1091"/>
      <c r="BP120" s="1091"/>
      <c r="BQ120" s="1091"/>
      <c r="BR120" s="1091"/>
      <c r="BS120" s="1091"/>
      <c r="BT120" s="1091"/>
      <c r="BU120" s="1091"/>
      <c r="BV120" s="1091"/>
      <c r="BW120" s="1091"/>
      <c r="BX120" s="1091"/>
      <c r="BY120" s="1091"/>
      <c r="BZ120" s="1091"/>
    </row>
    <row r="121" spans="1:78" s="928" customFormat="1" ht="21.95" hidden="1" customHeight="1" x14ac:dyDescent="0.15">
      <c r="A121" s="2596"/>
      <c r="B121" s="2689"/>
      <c r="C121" s="2364" t="s">
        <v>365</v>
      </c>
      <c r="D121" s="2004"/>
      <c r="E121" s="1526"/>
      <c r="F121" s="933" t="str">
        <f t="shared" ref="F121" si="935">IF(TRUNC(SUM(F122:F153)/2,0)=TRUNC(F120,0),"OK","ERRO")</f>
        <v>OK</v>
      </c>
      <c r="G121" s="933" t="str">
        <f t="shared" ref="G121" ca="1" si="936">IF(TRUNC(SUM(G122:G153)/2,0)=TRUNC(G120,0),"OK","ERRO")</f>
        <v>OK</v>
      </c>
      <c r="H121" s="933" t="str">
        <f t="shared" ref="H121:I121" ca="1" si="937">IF(TRUNC(SUM(H122:H153)/2,0)=TRUNC(H120,0),"OK","ERRO")</f>
        <v>OK</v>
      </c>
      <c r="I121" s="933" t="str">
        <f t="shared" ca="1" si="937"/>
        <v>OK</v>
      </c>
      <c r="J121" s="933"/>
      <c r="K121" s="933"/>
      <c r="L121" s="933"/>
      <c r="M121" s="933"/>
      <c r="N121" s="2446"/>
      <c r="O121" s="933" t="str">
        <f t="shared" ref="O121:V121" ca="1" si="938">IF(TRUNC(SUM(O122:O153)/2,0)=TRUNC(O120,0),"OK","ERRO")</f>
        <v>OK</v>
      </c>
      <c r="P121" s="933" t="str">
        <f t="shared" ca="1" si="938"/>
        <v>OK</v>
      </c>
      <c r="Q121" s="933" t="str">
        <f t="shared" ca="1" si="938"/>
        <v>OK</v>
      </c>
      <c r="R121" s="933" t="str">
        <f t="shared" ca="1" si="938"/>
        <v>OK</v>
      </c>
      <c r="S121" s="933" t="str">
        <f t="shared" ca="1" si="938"/>
        <v>OK</v>
      </c>
      <c r="T121" s="933" t="str">
        <f t="shared" ca="1" si="938"/>
        <v>OK</v>
      </c>
      <c r="U121" s="933" t="str">
        <f t="shared" ca="1" si="938"/>
        <v>OK</v>
      </c>
      <c r="V121" s="933" t="str">
        <f t="shared" ca="1" si="938"/>
        <v>OK</v>
      </c>
      <c r="W121" s="933"/>
      <c r="X121" s="2446"/>
      <c r="Y121" s="933" t="str">
        <f t="shared" ref="Y121:AH121" ca="1" si="939">IF(TRUNC(SUM(Y122:Y153)/2,0)=TRUNC(Y120,0),"OK","ERRO")</f>
        <v>OK</v>
      </c>
      <c r="Z121" s="933" t="str">
        <f t="shared" ca="1" si="939"/>
        <v>OK</v>
      </c>
      <c r="AA121" s="933" t="str">
        <f t="shared" ca="1" si="939"/>
        <v>OK</v>
      </c>
      <c r="AB121" s="933" t="str">
        <f t="shared" ca="1" si="939"/>
        <v>OK</v>
      </c>
      <c r="AC121" s="933" t="str">
        <f t="shared" ca="1" si="939"/>
        <v>OK</v>
      </c>
      <c r="AD121" s="933" t="str">
        <f t="shared" ca="1" si="939"/>
        <v>OK</v>
      </c>
      <c r="AE121" s="933" t="str">
        <f t="shared" ca="1" si="939"/>
        <v>OK</v>
      </c>
      <c r="AF121" s="933" t="str">
        <f t="shared" ca="1" si="939"/>
        <v>OK</v>
      </c>
      <c r="AG121" s="933" t="str">
        <f t="shared" ca="1" si="939"/>
        <v>OK</v>
      </c>
      <c r="AH121" s="933" t="str">
        <f t="shared" ca="1" si="939"/>
        <v>OK</v>
      </c>
      <c r="AI121" s="933"/>
      <c r="AJ121" s="933"/>
      <c r="AK121" s="933"/>
      <c r="AL121" s="933"/>
      <c r="AM121" s="933"/>
      <c r="AN121" s="933"/>
      <c r="AO121" s="933"/>
      <c r="AP121" s="933"/>
      <c r="AQ121" s="933"/>
      <c r="AR121" s="2446"/>
      <c r="AS121" s="933" t="str">
        <f t="shared" ref="AS121:AW121" ca="1" si="940">IF(TRUNC(SUM(AS122:AS153)/2,0)=TRUNC(AS120,0),"OK","ERRO")</f>
        <v>OK</v>
      </c>
      <c r="AT121" s="933" t="str">
        <f t="shared" ca="1" si="940"/>
        <v>OK</v>
      </c>
      <c r="AU121" s="933" t="str">
        <f t="shared" ca="1" si="940"/>
        <v>OK</v>
      </c>
      <c r="AV121" s="933" t="str">
        <f t="shared" ca="1" si="940"/>
        <v>OK</v>
      </c>
      <c r="AW121" s="933" t="str">
        <f t="shared" ca="1" si="940"/>
        <v>OK</v>
      </c>
      <c r="AX121" s="933" t="str">
        <f t="shared" ref="AX121" si="941">IF(TRUNC(SUM(AX122:AX153)/2,0)=TRUNC(AX120,0),"OK","ERRO")</f>
        <v>OK</v>
      </c>
      <c r="AY121" s="933" t="str">
        <f t="shared" ref="AY121:BI121" si="942">IF(TRUNC(SUM(AY122:AY153)/2,0)=TRUNC(AY120,0),"OK","ERRO")</f>
        <v>OK</v>
      </c>
      <c r="AZ121" s="933" t="str">
        <f t="shared" ref="AZ121" si="943">IF(TRUNC(SUM(AZ122:AZ153)/2,0)=TRUNC(AZ120,0),"OK","ERRO")</f>
        <v>OK</v>
      </c>
      <c r="BA121" s="933" t="str">
        <f t="shared" si="942"/>
        <v>OK</v>
      </c>
      <c r="BB121" s="933" t="str">
        <f t="shared" si="942"/>
        <v>OK</v>
      </c>
      <c r="BC121" s="933" t="str">
        <f t="shared" si="942"/>
        <v>OK</v>
      </c>
      <c r="BD121" s="933" t="str">
        <f t="shared" si="942"/>
        <v>OK</v>
      </c>
      <c r="BE121" s="933" t="str">
        <f t="shared" si="942"/>
        <v>OK</v>
      </c>
      <c r="BF121" s="933" t="str">
        <f t="shared" si="942"/>
        <v>OK</v>
      </c>
      <c r="BG121" s="933" t="str">
        <f t="shared" si="942"/>
        <v>OK</v>
      </c>
      <c r="BH121" s="933" t="str">
        <f t="shared" si="942"/>
        <v>OK</v>
      </c>
      <c r="BI121" s="933" t="str">
        <f t="shared" si="942"/>
        <v>OK</v>
      </c>
      <c r="BJ121" s="934"/>
      <c r="BK121" s="934"/>
      <c r="BL121" s="934"/>
      <c r="BM121" s="1258" t="str">
        <f ca="1">+IF(TRUNC(SUM(BM122:BM132),0)=TRUNC(BM120,0),"OK","ERRO")</f>
        <v>OK</v>
      </c>
      <c r="BN121" s="957"/>
      <c r="BO121" s="1091"/>
      <c r="BP121" s="1091"/>
      <c r="BQ121" s="1091"/>
      <c r="BR121" s="1091"/>
      <c r="BS121" s="1091"/>
      <c r="BT121" s="1091"/>
      <c r="BU121" s="1091"/>
      <c r="BV121" s="1091"/>
      <c r="BW121" s="1091"/>
      <c r="BX121" s="1091"/>
      <c r="BY121" s="1091"/>
      <c r="BZ121" s="1091"/>
    </row>
    <row r="122" spans="1:78" s="928" customFormat="1" ht="32.1" hidden="1" customHeight="1" x14ac:dyDescent="0.15">
      <c r="A122" s="2596"/>
      <c r="B122" s="2689"/>
      <c r="C122" s="942" t="s">
        <v>724</v>
      </c>
      <c r="D122" s="2365"/>
      <c r="E122" s="2366"/>
      <c r="F122" s="2367">
        <f>IF(Dren_Quantificacao!D17="SIM",(F33+F34+F35)/2*F17*F2-F82,0)</f>
        <v>0</v>
      </c>
      <c r="G122" s="2367">
        <f>IF(Dren_Quantificacao!E17="SIM",(G33+G34+G35)/2*G17*G2-G82,0)</f>
        <v>0</v>
      </c>
      <c r="H122" s="2367">
        <f>IF(Dren_Quantificacao!F17="SIM",(H33+H34+H35)/2*H17*H2-H82,0)</f>
        <v>0</v>
      </c>
      <c r="I122" s="2367">
        <f>IF(Dren_Quantificacao!G17="SIM",(I33+I34+I35)/2*I17*I2-I82,0)</f>
        <v>0</v>
      </c>
      <c r="J122" s="2367"/>
      <c r="K122" s="2367"/>
      <c r="L122" s="2367"/>
      <c r="M122" s="2367"/>
      <c r="N122" s="2455"/>
      <c r="O122" s="2367">
        <f>IF(Dren_Quantificacao!M17="SIM",(O33+O34+O35)/2*O17*O2-O82,0)</f>
        <v>0</v>
      </c>
      <c r="P122" s="2367">
        <f>IF(Dren_Quantificacao!N17="SIM",(P33+P34+P35)/2*P17*P2-P82,0)</f>
        <v>0</v>
      </c>
      <c r="Q122" s="2367">
        <f>IF(Dren_Quantificacao!O17="SIM",(Q33+Q34+Q35)/2*Q17*Q2-Q82,0)</f>
        <v>0</v>
      </c>
      <c r="R122" s="2367">
        <f>IF(Dren_Quantificacao!P17="SIM",(R33+R34+R35)/2*R17*R2-R82,0)</f>
        <v>0</v>
      </c>
      <c r="S122" s="2367">
        <f>IF(Dren_Quantificacao!Q17="SIM",(S33+S34+S35)/2*S17*S2-S82,0)</f>
        <v>0</v>
      </c>
      <c r="T122" s="2367">
        <f>IF(Dren_Quantificacao!R17="SIM",(T33+T34+T35)/2*T17*T2-T82,0)</f>
        <v>0</v>
      </c>
      <c r="U122" s="2367">
        <f>IF(Dren_Quantificacao!S17="SIM",(U33+U34+U35)/2*U17*U2-U82,0)</f>
        <v>0</v>
      </c>
      <c r="V122" s="2367">
        <f>IF(Dren_Quantificacao!T17="SIM",(V33+V34+V35)/2*V17*V2-V82,0)</f>
        <v>0</v>
      </c>
      <c r="W122" s="2367"/>
      <c r="X122" s="2455"/>
      <c r="Y122" s="2367">
        <f>IF(Dren_Quantificacao!W17="SIM",(Y33+Y34+Y35)/2*Y17*Y2-Y82,0)</f>
        <v>0</v>
      </c>
      <c r="Z122" s="2367">
        <f>IF(Dren_Quantificacao!X17="SIM",(Z33+Z34+Z35)/2*Z17*Z2-Z82,0)</f>
        <v>0</v>
      </c>
      <c r="AA122" s="2367">
        <f>IF(Dren_Quantificacao!Y17="SIM",(AA33+AA34+AA35)/2*AA17*AA2-AA82,0)</f>
        <v>0</v>
      </c>
      <c r="AB122" s="2367">
        <f>IF(Dren_Quantificacao!Z17="SIM",(AB33+AB34+AB35)/2*AB17*AB2-AB82,0)</f>
        <v>0</v>
      </c>
      <c r="AC122" s="2367">
        <f>IF(Dren_Quantificacao!AA17="SIM",(AC33+AC34+AC35)/2*AC17*AC2-AC82,0)</f>
        <v>0</v>
      </c>
      <c r="AD122" s="2367">
        <f>IF(Dren_Quantificacao!AB17="SIM",(AD33+AD34+AD35)/2*AD17*AD2-AD82,0)</f>
        <v>0</v>
      </c>
      <c r="AE122" s="2367">
        <f>IF(Dren_Quantificacao!AC17="SIM",(AE33+AE34+AE35)/2*AE17*AE2-AE82,0)</f>
        <v>0</v>
      </c>
      <c r="AF122" s="2367">
        <f>IF(Dren_Quantificacao!AD17="SIM",(AF33+AF34+AF35)/2*AF17*AF2-AF82,0)</f>
        <v>0</v>
      </c>
      <c r="AG122" s="2367">
        <f>IF(Dren_Quantificacao!AE17="SIM",(AG33+AG34+AG35)/2*AG17*AG2-AG82,0)</f>
        <v>0</v>
      </c>
      <c r="AH122" s="2367">
        <f>IF(Dren_Quantificacao!AF17="SIM",(AH33+AH34+AH35)/2*AH17*AH2-AH82,0)</f>
        <v>0</v>
      </c>
      <c r="AI122" s="2367"/>
      <c r="AJ122" s="2367"/>
      <c r="AK122" s="2367"/>
      <c r="AL122" s="2367"/>
      <c r="AM122" s="2367"/>
      <c r="AN122" s="2367"/>
      <c r="AO122" s="2367"/>
      <c r="AP122" s="2367"/>
      <c r="AQ122" s="2367"/>
      <c r="AR122" s="2455"/>
      <c r="AS122" s="2367">
        <f>IF(Dren_Quantificacao!AQ17="SIM",(AS33+AS34+AS35)/2*AS17*AS2-AS82,0)</f>
        <v>0</v>
      </c>
      <c r="AT122" s="2367">
        <f>IF(Dren_Quantificacao!AR17="SIM",(AT33+AT34+AT35)/2*AT17*AT2-AT82,0)</f>
        <v>0</v>
      </c>
      <c r="AU122" s="2367">
        <f>IF(Dren_Quantificacao!AS17="SIM",(AU33+AU34+AU35)/2*AU17*AU2-AU82,0)</f>
        <v>0</v>
      </c>
      <c r="AV122" s="2367">
        <f>IF(Dren_Quantificacao!AT17="SIM",(AV33+AV34+AV35)/2*AV17*AV2-AV82,0)</f>
        <v>0</v>
      </c>
      <c r="AW122" s="2367">
        <f>IF(Dren_Quantificacao!AU17="SIM",(AW33+AW34+AW35)/2*AW17*AW2-AW82,0)</f>
        <v>0</v>
      </c>
      <c r="AX122" s="2367">
        <f>IF(Dren_Quantificacao!AW17="SIM",(AX33+AX34+AX35)/2*AX17*AX2-AX82,0)</f>
        <v>0</v>
      </c>
      <c r="AY122" s="2367">
        <f>IF(Dren_Quantificacao!AX17="SIM",(AY33+AY34+AY35)/2*AY17*AY2-AY82,0)</f>
        <v>0</v>
      </c>
      <c r="AZ122" s="2367">
        <f>IF(Dren_Quantificacao!AY17="SIM",(AZ33+AZ34+AZ35)/2*AZ17*AZ2-AZ82,0)</f>
        <v>0</v>
      </c>
      <c r="BA122" s="2367">
        <f>IF(Dren_Quantificacao!AZ17="SIM",(BA33+BA34+BA35)/2*BA17*BA2-BA82,0)</f>
        <v>0</v>
      </c>
      <c r="BB122" s="2367">
        <f>IF(Dren_Quantificacao!BA17="SIM",(BB33+BB34+BB35)/2*BB17*BB2-BB82,0)</f>
        <v>0</v>
      </c>
      <c r="BC122" s="2367">
        <f>IF(Dren_Quantificacao!BB17="SIM",(BC33+BC34+BC35)/2*BC17*BC2-BC82,0)</f>
        <v>0</v>
      </c>
      <c r="BD122" s="2367">
        <f>IF(Dren_Quantificacao!BC17="SIM",(BD33+BD34+BD35)/2*BD17*BD2-BD82,0)</f>
        <v>0</v>
      </c>
      <c r="BE122" s="2367">
        <f>IF(Dren_Quantificacao!BD17="SIM",(BE33+BE34+BE35)/2*BE17*BE2-BE82,0)</f>
        <v>0</v>
      </c>
      <c r="BF122" s="2367">
        <f>IF(Dren_Quantificacao!BE17="SIM",(BF33+BF34+BF35)/2*BF17*BF2-BF82,0)</f>
        <v>0</v>
      </c>
      <c r="BG122" s="2367">
        <f>IF(Dren_Quantificacao!BF17="SIM",(BG33+BG34+BG35)/2*BG17*BG2-BG82,0)</f>
        <v>0</v>
      </c>
      <c r="BH122" s="2367">
        <f>IF(Dren_Quantificacao!BG17="SIM",(BH33+BH34+BH35)/2*BH17*BH2-BH82,0)</f>
        <v>0</v>
      </c>
      <c r="BI122" s="2367">
        <f>IF(Dren_Quantificacao!BH17="SIM",(BI33+BI34+BI35)/2*BI17*BI2-BI82,0)</f>
        <v>0</v>
      </c>
      <c r="BJ122" s="2368"/>
      <c r="BK122" s="2368"/>
      <c r="BL122" s="2368"/>
      <c r="BM122" s="2369">
        <f t="shared" ref="BM122:BM153" si="944">TRUNC(SUM(F122:BL122),2)</f>
        <v>0</v>
      </c>
      <c r="BN122" s="957"/>
      <c r="BO122" s="1091"/>
      <c r="BP122" s="1091"/>
      <c r="BQ122" s="1091"/>
      <c r="BR122" s="1091"/>
      <c r="BS122" s="1091"/>
      <c r="BT122" s="1091"/>
      <c r="BU122" s="1091"/>
      <c r="BV122" s="1091"/>
      <c r="BW122" s="1091"/>
      <c r="BX122" s="1091"/>
      <c r="BY122" s="1091"/>
      <c r="BZ122" s="1091"/>
    </row>
    <row r="123" spans="1:78" s="928" customFormat="1" ht="21.95" hidden="1" customHeight="1" x14ac:dyDescent="0.15">
      <c r="A123" s="2596"/>
      <c r="B123" s="2689"/>
      <c r="C123" s="942" t="s">
        <v>675</v>
      </c>
      <c r="D123" s="2010"/>
      <c r="E123" s="1527"/>
      <c r="F123" s="935">
        <f t="shared" ref="F123" si="945">IF(F11&lt;=1.5,IF(F39&lt;=0.8,F120-F122,0),0)</f>
        <v>0</v>
      </c>
      <c r="G123" s="935">
        <f t="shared" ref="G123" ca="1" si="946">IF(G11&lt;=1.5,IF(G39&lt;=0.8,G120-G122,0),0)</f>
        <v>0</v>
      </c>
      <c r="H123" s="935">
        <f t="shared" ref="H123:I123" ca="1" si="947">IF(H11&lt;=1.5,IF(H39&lt;=0.8,H120-H122,0),0)</f>
        <v>0</v>
      </c>
      <c r="I123" s="935">
        <f t="shared" ca="1" si="947"/>
        <v>0</v>
      </c>
      <c r="J123" s="935"/>
      <c r="K123" s="935"/>
      <c r="L123" s="935"/>
      <c r="M123" s="935"/>
      <c r="N123" s="2448"/>
      <c r="O123" s="935">
        <f t="shared" ref="O123:V123" ca="1" si="948">IF(O11&lt;=1.5,IF(O39&lt;=0.8,O120-O122,0),0)</f>
        <v>0</v>
      </c>
      <c r="P123" s="935">
        <f t="shared" ca="1" si="948"/>
        <v>0</v>
      </c>
      <c r="Q123" s="935">
        <f t="shared" ca="1" si="948"/>
        <v>0</v>
      </c>
      <c r="R123" s="935">
        <f t="shared" ca="1" si="948"/>
        <v>0</v>
      </c>
      <c r="S123" s="935">
        <f t="shared" ca="1" si="948"/>
        <v>0</v>
      </c>
      <c r="T123" s="935">
        <f t="shared" ca="1" si="948"/>
        <v>0</v>
      </c>
      <c r="U123" s="935">
        <f t="shared" ca="1" si="948"/>
        <v>0</v>
      </c>
      <c r="V123" s="935">
        <f t="shared" ca="1" si="948"/>
        <v>0</v>
      </c>
      <c r="W123" s="935"/>
      <c r="X123" s="2448"/>
      <c r="Y123" s="935">
        <f t="shared" ref="Y123:AH123" ca="1" si="949">IF(Y11&lt;=1.5,IF(Y39&lt;=0.8,Y120-Y122,0),0)</f>
        <v>0</v>
      </c>
      <c r="Z123" s="935">
        <f t="shared" ca="1" si="949"/>
        <v>0</v>
      </c>
      <c r="AA123" s="935">
        <f t="shared" ca="1" si="949"/>
        <v>0</v>
      </c>
      <c r="AB123" s="935">
        <f t="shared" ca="1" si="949"/>
        <v>0</v>
      </c>
      <c r="AC123" s="935">
        <f t="shared" ca="1" si="949"/>
        <v>0</v>
      </c>
      <c r="AD123" s="935">
        <f t="shared" ca="1" si="949"/>
        <v>0</v>
      </c>
      <c r="AE123" s="935">
        <f t="shared" ca="1" si="949"/>
        <v>0</v>
      </c>
      <c r="AF123" s="935">
        <f t="shared" ca="1" si="949"/>
        <v>0</v>
      </c>
      <c r="AG123" s="935">
        <f t="shared" ca="1" si="949"/>
        <v>0</v>
      </c>
      <c r="AH123" s="935">
        <f t="shared" ca="1" si="949"/>
        <v>0</v>
      </c>
      <c r="AI123" s="935"/>
      <c r="AJ123" s="935"/>
      <c r="AK123" s="935"/>
      <c r="AL123" s="935"/>
      <c r="AM123" s="935"/>
      <c r="AN123" s="935"/>
      <c r="AO123" s="935"/>
      <c r="AP123" s="935"/>
      <c r="AQ123" s="935"/>
      <c r="AR123" s="2448"/>
      <c r="AS123" s="935">
        <f t="shared" ref="AS123:AW123" ca="1" si="950">IF(AS11&lt;=1.5,IF(AS39&lt;=0.8,AS120-AS122,0),0)</f>
        <v>0</v>
      </c>
      <c r="AT123" s="935">
        <f t="shared" ca="1" si="950"/>
        <v>0</v>
      </c>
      <c r="AU123" s="935">
        <f t="shared" ca="1" si="950"/>
        <v>0</v>
      </c>
      <c r="AV123" s="935">
        <f t="shared" ca="1" si="950"/>
        <v>0</v>
      </c>
      <c r="AW123" s="935">
        <f t="shared" ca="1" si="950"/>
        <v>0</v>
      </c>
      <c r="AX123" s="935">
        <f t="shared" ref="AX123" si="951">IF(AX11&lt;=1.5,IF(AX39&lt;=0.8,AX120-AX122,0),0)</f>
        <v>0</v>
      </c>
      <c r="AY123" s="935">
        <f t="shared" ref="AY123:BI123" si="952">IF(AY11&lt;=1.5,IF(AY39&lt;=0.8,AY120-AY122,0),0)</f>
        <v>0</v>
      </c>
      <c r="AZ123" s="935">
        <f t="shared" ref="AZ123" si="953">IF(AZ11&lt;=1.5,IF(AZ39&lt;=0.8,AZ120-AZ122,0),0)</f>
        <v>0</v>
      </c>
      <c r="BA123" s="935">
        <f t="shared" si="952"/>
        <v>0</v>
      </c>
      <c r="BB123" s="935">
        <f t="shared" si="952"/>
        <v>0</v>
      </c>
      <c r="BC123" s="935">
        <f t="shared" si="952"/>
        <v>0</v>
      </c>
      <c r="BD123" s="935">
        <f t="shared" si="952"/>
        <v>0</v>
      </c>
      <c r="BE123" s="935">
        <f t="shared" si="952"/>
        <v>0</v>
      </c>
      <c r="BF123" s="935">
        <f t="shared" si="952"/>
        <v>0</v>
      </c>
      <c r="BG123" s="935">
        <f t="shared" si="952"/>
        <v>0</v>
      </c>
      <c r="BH123" s="935">
        <f t="shared" si="952"/>
        <v>0</v>
      </c>
      <c r="BI123" s="935">
        <f t="shared" si="952"/>
        <v>0</v>
      </c>
      <c r="BJ123" s="936"/>
      <c r="BK123" s="936"/>
      <c r="BL123" s="936"/>
      <c r="BM123" s="945">
        <f t="shared" ca="1" si="944"/>
        <v>0</v>
      </c>
      <c r="BN123" s="957"/>
      <c r="BO123" s="1091"/>
      <c r="BP123" s="1091"/>
      <c r="BQ123" s="1091"/>
      <c r="BR123" s="1091"/>
      <c r="BS123" s="1091"/>
      <c r="BT123" s="1091"/>
      <c r="BU123" s="1091"/>
      <c r="BV123" s="1091"/>
      <c r="BW123" s="1091"/>
      <c r="BX123" s="1091"/>
      <c r="BY123" s="1091"/>
      <c r="BZ123" s="1091"/>
    </row>
    <row r="124" spans="1:78" s="928" customFormat="1" ht="21.95" hidden="1" customHeight="1" x14ac:dyDescent="0.15">
      <c r="A124" s="2596"/>
      <c r="B124" s="2689"/>
      <c r="C124" s="942" t="s">
        <v>676</v>
      </c>
      <c r="D124" s="2004"/>
      <c r="E124" s="1526"/>
      <c r="F124" s="933">
        <f t="shared" ref="F124" si="954">IF(F11&lt;=1.5,IF(AND(F39&gt;0.8,F39&lt;=1.5),IF(F39&gt;0.8,F120-F122,0),0),0)</f>
        <v>0</v>
      </c>
      <c r="G124" s="933">
        <f t="shared" ref="G124" ca="1" si="955">IF(G11&lt;=1.5,IF(AND(G39&gt;0.8,G39&lt;=1.5),IF(G39&gt;0.8,G120-G122,0),0),0)</f>
        <v>0</v>
      </c>
      <c r="H124" s="933">
        <f t="shared" ref="H124:I124" ca="1" si="956">IF(H11&lt;=1.5,IF(AND(H39&gt;0.8,H39&lt;=1.5),IF(H39&gt;0.8,H120-H122,0),0),0)</f>
        <v>0</v>
      </c>
      <c r="I124" s="933">
        <f t="shared" ca="1" si="956"/>
        <v>0</v>
      </c>
      <c r="J124" s="933"/>
      <c r="K124" s="933"/>
      <c r="L124" s="933"/>
      <c r="M124" s="933"/>
      <c r="N124" s="2446"/>
      <c r="O124" s="933">
        <f t="shared" ref="O124:V124" ca="1" si="957">IF(O11&lt;=1.5,IF(AND(O39&gt;0.8,O39&lt;=1.5),IF(O39&gt;0.8,O120-O122,0),0),0)</f>
        <v>0</v>
      </c>
      <c r="P124" s="933">
        <f t="shared" ca="1" si="957"/>
        <v>0</v>
      </c>
      <c r="Q124" s="933">
        <f t="shared" ca="1" si="957"/>
        <v>0</v>
      </c>
      <c r="R124" s="933">
        <f t="shared" ca="1" si="957"/>
        <v>0</v>
      </c>
      <c r="S124" s="933">
        <f t="shared" ca="1" si="957"/>
        <v>0</v>
      </c>
      <c r="T124" s="933">
        <f t="shared" ca="1" si="957"/>
        <v>0</v>
      </c>
      <c r="U124" s="933">
        <f t="shared" ca="1" si="957"/>
        <v>0</v>
      </c>
      <c r="V124" s="933">
        <f t="shared" ca="1" si="957"/>
        <v>0</v>
      </c>
      <c r="W124" s="933"/>
      <c r="X124" s="2446"/>
      <c r="Y124" s="933">
        <f t="shared" ref="Y124:AH124" ca="1" si="958">IF(Y11&lt;=1.5,IF(AND(Y39&gt;0.8,Y39&lt;=1.5),IF(Y39&gt;0.8,Y120-Y122,0),0),0)</f>
        <v>0</v>
      </c>
      <c r="Z124" s="933">
        <f t="shared" ca="1" si="958"/>
        <v>0</v>
      </c>
      <c r="AA124" s="933">
        <f t="shared" ca="1" si="958"/>
        <v>0</v>
      </c>
      <c r="AB124" s="933">
        <f t="shared" ca="1" si="958"/>
        <v>0</v>
      </c>
      <c r="AC124" s="933">
        <f t="shared" ca="1" si="958"/>
        <v>0</v>
      </c>
      <c r="AD124" s="933">
        <f t="shared" ca="1" si="958"/>
        <v>0</v>
      </c>
      <c r="AE124" s="933">
        <f t="shared" ca="1" si="958"/>
        <v>0</v>
      </c>
      <c r="AF124" s="933">
        <f t="shared" ca="1" si="958"/>
        <v>0</v>
      </c>
      <c r="AG124" s="933">
        <f t="shared" ca="1" si="958"/>
        <v>0</v>
      </c>
      <c r="AH124" s="933">
        <f t="shared" ca="1" si="958"/>
        <v>0</v>
      </c>
      <c r="AI124" s="933"/>
      <c r="AJ124" s="933"/>
      <c r="AK124" s="933"/>
      <c r="AL124" s="933"/>
      <c r="AM124" s="933"/>
      <c r="AN124" s="933"/>
      <c r="AO124" s="933"/>
      <c r="AP124" s="933"/>
      <c r="AQ124" s="933"/>
      <c r="AR124" s="2446"/>
      <c r="AS124" s="933">
        <f t="shared" ref="AS124:AW124" ca="1" si="959">IF(AS11&lt;=1.5,IF(AND(AS39&gt;0.8,AS39&lt;=1.5),IF(AS39&gt;0.8,AS120-AS122,0),0),0)</f>
        <v>0</v>
      </c>
      <c r="AT124" s="933">
        <f t="shared" ca="1" si="959"/>
        <v>0</v>
      </c>
      <c r="AU124" s="933">
        <f t="shared" ca="1" si="959"/>
        <v>0</v>
      </c>
      <c r="AV124" s="933">
        <f t="shared" ca="1" si="959"/>
        <v>0</v>
      </c>
      <c r="AW124" s="933">
        <f t="shared" ca="1" si="959"/>
        <v>0</v>
      </c>
      <c r="AX124" s="933">
        <f t="shared" ref="AX124" si="960">IF(AX11&lt;=1.5,IF(AND(AX39&gt;0.8,AX39&lt;=1.5),IF(AX39&gt;0.8,AX120-AX122,0),0),0)</f>
        <v>0</v>
      </c>
      <c r="AY124" s="933">
        <f t="shared" ref="AY124:BI124" si="961">IF(AY11&lt;=1.5,IF(AND(AY39&gt;0.8,AY39&lt;=1.5),IF(AY39&gt;0.8,AY120-AY122,0),0),0)</f>
        <v>996.20868144888914</v>
      </c>
      <c r="AZ124" s="933">
        <f t="shared" ref="AZ124" si="962">IF(AZ11&lt;=1.5,IF(AND(AZ39&gt;0.8,AZ39&lt;=1.5),IF(AZ39&gt;0.8,AZ120-AZ122,0),0),0)</f>
        <v>0</v>
      </c>
      <c r="BA124" s="933">
        <f t="shared" si="961"/>
        <v>0</v>
      </c>
      <c r="BB124" s="933">
        <f t="shared" si="961"/>
        <v>0</v>
      </c>
      <c r="BC124" s="933">
        <f t="shared" si="961"/>
        <v>0</v>
      </c>
      <c r="BD124" s="933">
        <f t="shared" si="961"/>
        <v>0</v>
      </c>
      <c r="BE124" s="933">
        <f t="shared" si="961"/>
        <v>0</v>
      </c>
      <c r="BF124" s="933">
        <f t="shared" si="961"/>
        <v>0</v>
      </c>
      <c r="BG124" s="933">
        <f t="shared" si="961"/>
        <v>0</v>
      </c>
      <c r="BH124" s="933">
        <f t="shared" si="961"/>
        <v>0</v>
      </c>
      <c r="BI124" s="933">
        <f t="shared" si="961"/>
        <v>0</v>
      </c>
      <c r="BJ124" s="934"/>
      <c r="BK124" s="934"/>
      <c r="BL124" s="934"/>
      <c r="BM124" s="943">
        <f t="shared" ca="1" si="944"/>
        <v>996.2</v>
      </c>
      <c r="BN124" s="957"/>
      <c r="BO124" s="1091"/>
      <c r="BP124" s="1091"/>
      <c r="BQ124" s="1091"/>
      <c r="BR124" s="1091"/>
      <c r="BS124" s="1091"/>
      <c r="BT124" s="1091"/>
      <c r="BU124" s="1091"/>
      <c r="BV124" s="1091"/>
      <c r="BW124" s="1091"/>
      <c r="BX124" s="1091"/>
      <c r="BY124" s="1091"/>
      <c r="BZ124" s="1091"/>
    </row>
    <row r="125" spans="1:78" s="928" customFormat="1" ht="21.95" hidden="1" customHeight="1" x14ac:dyDescent="0.15">
      <c r="A125" s="2596"/>
      <c r="B125" s="2689"/>
      <c r="C125" s="942" t="s">
        <v>677</v>
      </c>
      <c r="D125" s="2011"/>
      <c r="E125" s="1528"/>
      <c r="F125" s="937">
        <f t="shared" ref="F125" si="963">IF(F11&lt;=1.5,IF(F39&gt;1.5,F120-F122,0),0)</f>
        <v>0</v>
      </c>
      <c r="G125" s="937">
        <f t="shared" ref="G125" ca="1" si="964">IF(G11&lt;=1.5,IF(G39&gt;1.5,G120-G122,0),0)</f>
        <v>0</v>
      </c>
      <c r="H125" s="937">
        <f t="shared" ref="H125:I125" ca="1" si="965">IF(H11&lt;=1.5,IF(H39&gt;1.5,H120-H122,0),0)</f>
        <v>0</v>
      </c>
      <c r="I125" s="937">
        <f t="shared" ca="1" si="965"/>
        <v>0</v>
      </c>
      <c r="J125" s="937"/>
      <c r="K125" s="937"/>
      <c r="L125" s="937"/>
      <c r="M125" s="937"/>
      <c r="N125" s="2449"/>
      <c r="O125" s="937">
        <f t="shared" ref="O125:V125" ca="1" si="966">IF(O11&lt;=1.5,IF(O39&gt;1.5,O120-O122,0),0)</f>
        <v>0</v>
      </c>
      <c r="P125" s="937">
        <f t="shared" ca="1" si="966"/>
        <v>0</v>
      </c>
      <c r="Q125" s="937">
        <f t="shared" ca="1" si="966"/>
        <v>0</v>
      </c>
      <c r="R125" s="937">
        <f t="shared" ca="1" si="966"/>
        <v>0</v>
      </c>
      <c r="S125" s="937">
        <f t="shared" ca="1" si="966"/>
        <v>0</v>
      </c>
      <c r="T125" s="937">
        <f t="shared" ca="1" si="966"/>
        <v>0</v>
      </c>
      <c r="U125" s="937">
        <f t="shared" ca="1" si="966"/>
        <v>0</v>
      </c>
      <c r="V125" s="937">
        <f t="shared" ca="1" si="966"/>
        <v>0</v>
      </c>
      <c r="W125" s="937"/>
      <c r="X125" s="2449"/>
      <c r="Y125" s="937">
        <f t="shared" ref="Y125:AH125" ca="1" si="967">IF(Y11&lt;=1.5,IF(Y39&gt;1.5,Y120-Y122,0),0)</f>
        <v>0</v>
      </c>
      <c r="Z125" s="937">
        <f t="shared" ca="1" si="967"/>
        <v>0</v>
      </c>
      <c r="AA125" s="937">
        <f t="shared" ca="1" si="967"/>
        <v>0</v>
      </c>
      <c r="AB125" s="937">
        <f t="shared" ca="1" si="967"/>
        <v>0</v>
      </c>
      <c r="AC125" s="937">
        <f t="shared" ca="1" si="967"/>
        <v>0</v>
      </c>
      <c r="AD125" s="937">
        <f t="shared" ca="1" si="967"/>
        <v>0</v>
      </c>
      <c r="AE125" s="937">
        <f t="shared" ca="1" si="967"/>
        <v>0</v>
      </c>
      <c r="AF125" s="937">
        <f t="shared" ca="1" si="967"/>
        <v>0</v>
      </c>
      <c r="AG125" s="937">
        <f t="shared" ca="1" si="967"/>
        <v>0</v>
      </c>
      <c r="AH125" s="937">
        <f t="shared" ca="1" si="967"/>
        <v>0</v>
      </c>
      <c r="AI125" s="937"/>
      <c r="AJ125" s="937"/>
      <c r="AK125" s="937"/>
      <c r="AL125" s="937"/>
      <c r="AM125" s="937"/>
      <c r="AN125" s="937"/>
      <c r="AO125" s="937"/>
      <c r="AP125" s="937"/>
      <c r="AQ125" s="937"/>
      <c r="AR125" s="2449"/>
      <c r="AS125" s="937">
        <f t="shared" ref="AS125:AW125" ca="1" si="968">IF(AS11&lt;=1.5,IF(AS39&gt;1.5,AS120-AS122,0),0)</f>
        <v>0</v>
      </c>
      <c r="AT125" s="937">
        <f t="shared" ca="1" si="968"/>
        <v>0</v>
      </c>
      <c r="AU125" s="937">
        <f t="shared" ca="1" si="968"/>
        <v>0</v>
      </c>
      <c r="AV125" s="937">
        <f t="shared" ca="1" si="968"/>
        <v>0</v>
      </c>
      <c r="AW125" s="937">
        <f t="shared" ca="1" si="968"/>
        <v>0</v>
      </c>
      <c r="AX125" s="937">
        <f t="shared" ref="AX125" si="969">IF(AX11&lt;=1.5,IF(AX39&gt;1.5,AX120-AX122,0),0)</f>
        <v>0</v>
      </c>
      <c r="AY125" s="937">
        <f t="shared" ref="AY125:BI125" si="970">IF(AY11&lt;=1.5,IF(AY39&gt;1.5,AY120-AY122,0),0)</f>
        <v>0</v>
      </c>
      <c r="AZ125" s="937">
        <f t="shared" ref="AZ125" si="971">IF(AZ11&lt;=1.5,IF(AZ39&gt;1.5,AZ120-AZ122,0),0)</f>
        <v>0</v>
      </c>
      <c r="BA125" s="937">
        <f t="shared" si="970"/>
        <v>0</v>
      </c>
      <c r="BB125" s="937">
        <f t="shared" si="970"/>
        <v>0</v>
      </c>
      <c r="BC125" s="937">
        <f t="shared" si="970"/>
        <v>0</v>
      </c>
      <c r="BD125" s="937">
        <f t="shared" si="970"/>
        <v>0</v>
      </c>
      <c r="BE125" s="937">
        <f t="shared" si="970"/>
        <v>0</v>
      </c>
      <c r="BF125" s="937">
        <f t="shared" si="970"/>
        <v>0</v>
      </c>
      <c r="BG125" s="937">
        <f t="shared" si="970"/>
        <v>0</v>
      </c>
      <c r="BH125" s="937">
        <f t="shared" si="970"/>
        <v>0</v>
      </c>
      <c r="BI125" s="937">
        <f t="shared" si="970"/>
        <v>0</v>
      </c>
      <c r="BJ125" s="938"/>
      <c r="BK125" s="938"/>
      <c r="BL125" s="938"/>
      <c r="BM125" s="946">
        <f t="shared" ca="1" si="944"/>
        <v>0</v>
      </c>
      <c r="BN125" s="957"/>
      <c r="BO125" s="1091"/>
      <c r="BP125" s="1091"/>
      <c r="BQ125" s="1091"/>
      <c r="BR125" s="1091"/>
      <c r="BS125" s="1091"/>
      <c r="BT125" s="1091"/>
      <c r="BU125" s="1091"/>
      <c r="BV125" s="1091"/>
      <c r="BW125" s="1091"/>
      <c r="BX125" s="1091"/>
      <c r="BY125" s="1091"/>
      <c r="BZ125" s="1091"/>
    </row>
    <row r="126" spans="1:78" s="928" customFormat="1" ht="21.95" hidden="1" customHeight="1" x14ac:dyDescent="0.15">
      <c r="A126" s="2596"/>
      <c r="B126" s="2689"/>
      <c r="C126" s="942" t="s">
        <v>678</v>
      </c>
      <c r="D126" s="2010"/>
      <c r="E126" s="1527"/>
      <c r="F126" s="935">
        <f t="shared" ref="F126" si="972">IF(SUM(F123:F125)&gt;0,0,IF(F11&lt;3,IF(F39&lt;=0.8,F120-F122,0),0))</f>
        <v>0</v>
      </c>
      <c r="G126" s="935">
        <f t="shared" ref="G126" ca="1" si="973">IF(SUM(G123:G125)&gt;0,0,IF(G11&lt;3,IF(G39&lt;=0.8,G120-G122,0),0))</f>
        <v>0</v>
      </c>
      <c r="H126" s="935">
        <f t="shared" ref="H126:I126" ca="1" si="974">IF(SUM(H123:H125)&gt;0,0,IF(H11&lt;3,IF(H39&lt;=0.8,H120-H122,0),0))</f>
        <v>0</v>
      </c>
      <c r="I126" s="935">
        <f t="shared" ca="1" si="974"/>
        <v>0</v>
      </c>
      <c r="J126" s="935"/>
      <c r="K126" s="935"/>
      <c r="L126" s="935"/>
      <c r="M126" s="935"/>
      <c r="N126" s="2448"/>
      <c r="O126" s="935">
        <f t="shared" ref="O126:V126" ca="1" si="975">IF(SUM(O123:O125)&gt;0,0,IF(O11&lt;3,IF(O39&lt;=0.8,O120-O122,0),0))</f>
        <v>0</v>
      </c>
      <c r="P126" s="935">
        <f t="shared" ca="1" si="975"/>
        <v>0</v>
      </c>
      <c r="Q126" s="935">
        <f t="shared" ca="1" si="975"/>
        <v>0</v>
      </c>
      <c r="R126" s="935">
        <f t="shared" ca="1" si="975"/>
        <v>0</v>
      </c>
      <c r="S126" s="935">
        <f t="shared" ca="1" si="975"/>
        <v>0</v>
      </c>
      <c r="T126" s="935">
        <f t="shared" ca="1" si="975"/>
        <v>0</v>
      </c>
      <c r="U126" s="935">
        <f t="shared" ca="1" si="975"/>
        <v>0</v>
      </c>
      <c r="V126" s="935">
        <f t="shared" ca="1" si="975"/>
        <v>0</v>
      </c>
      <c r="W126" s="935"/>
      <c r="X126" s="2448"/>
      <c r="Y126" s="935">
        <f t="shared" ref="Y126:AH126" ca="1" si="976">IF(SUM(Y123:Y125)&gt;0,0,IF(Y11&lt;3,IF(Y39&lt;=0.8,Y120-Y122,0),0))</f>
        <v>0</v>
      </c>
      <c r="Z126" s="935">
        <f t="shared" ca="1" si="976"/>
        <v>0</v>
      </c>
      <c r="AA126" s="935">
        <f t="shared" ca="1" si="976"/>
        <v>0</v>
      </c>
      <c r="AB126" s="935">
        <f t="shared" ca="1" si="976"/>
        <v>0</v>
      </c>
      <c r="AC126" s="935">
        <f t="shared" ca="1" si="976"/>
        <v>0</v>
      </c>
      <c r="AD126" s="935">
        <f t="shared" ca="1" si="976"/>
        <v>0</v>
      </c>
      <c r="AE126" s="935">
        <f t="shared" ca="1" si="976"/>
        <v>0</v>
      </c>
      <c r="AF126" s="935">
        <f t="shared" ca="1" si="976"/>
        <v>0</v>
      </c>
      <c r="AG126" s="935">
        <f t="shared" ca="1" si="976"/>
        <v>0</v>
      </c>
      <c r="AH126" s="935">
        <f t="shared" ca="1" si="976"/>
        <v>0</v>
      </c>
      <c r="AI126" s="935"/>
      <c r="AJ126" s="935"/>
      <c r="AK126" s="935"/>
      <c r="AL126" s="935"/>
      <c r="AM126" s="935"/>
      <c r="AN126" s="935"/>
      <c r="AO126" s="935"/>
      <c r="AP126" s="935"/>
      <c r="AQ126" s="935"/>
      <c r="AR126" s="2448"/>
      <c r="AS126" s="935">
        <f t="shared" ref="AS126:AW126" ca="1" si="977">IF(SUM(AS123:AS125)&gt;0,0,IF(AS11&lt;3,IF(AS39&lt;=0.8,AS120-AS122,0),0))</f>
        <v>0</v>
      </c>
      <c r="AT126" s="935">
        <f t="shared" ca="1" si="977"/>
        <v>0</v>
      </c>
      <c r="AU126" s="935">
        <f t="shared" ca="1" si="977"/>
        <v>0</v>
      </c>
      <c r="AV126" s="935">
        <f t="shared" ca="1" si="977"/>
        <v>0</v>
      </c>
      <c r="AW126" s="935">
        <f t="shared" ca="1" si="977"/>
        <v>0</v>
      </c>
      <c r="AX126" s="935">
        <f t="shared" ref="AX126" si="978">IF(SUM(AX123:AX125)&gt;0,0,IF(AX11&lt;3,IF(AX39&lt;=0.8,AX120-AX122,0),0))</f>
        <v>0</v>
      </c>
      <c r="AY126" s="935">
        <f t="shared" ref="AY126:BI126" si="979">IF(SUM(AY123:AY125)&gt;0,0,IF(AY11&lt;3,IF(AY39&lt;=0.8,AY120-AY122,0),0))</f>
        <v>0</v>
      </c>
      <c r="AZ126" s="935">
        <f t="shared" ref="AZ126" si="980">IF(SUM(AZ123:AZ125)&gt;0,0,IF(AZ11&lt;3,IF(AZ39&lt;=0.8,AZ120-AZ122,0),0))</f>
        <v>0</v>
      </c>
      <c r="BA126" s="935">
        <f t="shared" si="979"/>
        <v>0</v>
      </c>
      <c r="BB126" s="935">
        <f t="shared" si="979"/>
        <v>0</v>
      </c>
      <c r="BC126" s="935">
        <f t="shared" si="979"/>
        <v>0</v>
      </c>
      <c r="BD126" s="935">
        <f t="shared" si="979"/>
        <v>0</v>
      </c>
      <c r="BE126" s="935">
        <f t="shared" si="979"/>
        <v>0</v>
      </c>
      <c r="BF126" s="935">
        <f t="shared" si="979"/>
        <v>0</v>
      </c>
      <c r="BG126" s="935">
        <f t="shared" si="979"/>
        <v>0</v>
      </c>
      <c r="BH126" s="935">
        <f t="shared" si="979"/>
        <v>0</v>
      </c>
      <c r="BI126" s="935">
        <f t="shared" si="979"/>
        <v>0</v>
      </c>
      <c r="BJ126" s="936"/>
      <c r="BK126" s="936"/>
      <c r="BL126" s="936"/>
      <c r="BM126" s="945">
        <f t="shared" ca="1" si="944"/>
        <v>0</v>
      </c>
      <c r="BN126" s="957"/>
      <c r="BO126" s="1091"/>
      <c r="BP126" s="1091"/>
      <c r="BQ126" s="1091"/>
      <c r="BR126" s="1091"/>
      <c r="BS126" s="1091"/>
      <c r="BT126" s="1091"/>
      <c r="BU126" s="1091"/>
      <c r="BV126" s="1091"/>
      <c r="BW126" s="1091"/>
      <c r="BX126" s="1091"/>
      <c r="BY126" s="1091"/>
      <c r="BZ126" s="1091"/>
    </row>
    <row r="127" spans="1:78" s="928" customFormat="1" ht="21.95" hidden="1" customHeight="1" x14ac:dyDescent="0.15">
      <c r="A127" s="2596"/>
      <c r="B127" s="2689"/>
      <c r="C127" s="942" t="s">
        <v>679</v>
      </c>
      <c r="D127" s="2004"/>
      <c r="E127" s="1526"/>
      <c r="F127" s="933">
        <f t="shared" ref="F127" si="981">IF(SUM(F123:F126)&gt;0,0,IF(F11&lt;3,IF(AND(F39&gt;0.8,F39&lt;=1.5),F120-F122,0),0))</f>
        <v>0</v>
      </c>
      <c r="G127" s="933">
        <f t="shared" ref="G127" ca="1" si="982">IF(SUM(G123:G126)&gt;0,0,IF(G11&lt;3,IF(AND(G39&gt;0.8,G39&lt;=1.5),G120-G122,0),0))</f>
        <v>212.25155302266631</v>
      </c>
      <c r="H127" s="933">
        <f t="shared" ref="H127:I127" ca="1" si="983">IF(SUM(H123:H126)&gt;0,0,IF(H11&lt;3,IF(AND(H39&gt;0.8,H39&lt;=1.5),H120-H122,0),0))</f>
        <v>174.72300786016757</v>
      </c>
      <c r="I127" s="933">
        <f t="shared" ca="1" si="983"/>
        <v>149.26199646016704</v>
      </c>
      <c r="J127" s="933"/>
      <c r="K127" s="933"/>
      <c r="L127" s="933"/>
      <c r="M127" s="933"/>
      <c r="N127" s="2446"/>
      <c r="O127" s="933">
        <f t="shared" ref="O127:V127" ca="1" si="984">IF(SUM(O123:O126)&gt;0,0,IF(O11&lt;3,IF(AND(O39&gt;0.8,O39&lt;=1.5),O120-O122,0),0))</f>
        <v>196.12423511929916</v>
      </c>
      <c r="P127" s="933">
        <f t="shared" ca="1" si="984"/>
        <v>257.62716358131775</v>
      </c>
      <c r="Q127" s="933">
        <f t="shared" ca="1" si="984"/>
        <v>277.68763484749672</v>
      </c>
      <c r="R127" s="933">
        <f t="shared" ca="1" si="984"/>
        <v>288.53918803169222</v>
      </c>
      <c r="S127" s="933">
        <f t="shared" ca="1" si="984"/>
        <v>275.79966886331141</v>
      </c>
      <c r="T127" s="933">
        <f t="shared" ca="1" si="984"/>
        <v>0</v>
      </c>
      <c r="U127" s="933">
        <f t="shared" ca="1" si="984"/>
        <v>0</v>
      </c>
      <c r="V127" s="933">
        <f t="shared" ca="1" si="984"/>
        <v>0</v>
      </c>
      <c r="W127" s="933"/>
      <c r="X127" s="2446"/>
      <c r="Y127" s="933">
        <f t="shared" ref="Y127:AH127" ca="1" si="985">IF(SUM(Y123:Y126)&gt;0,0,IF(Y11&lt;3,IF(AND(Y39&gt;0.8,Y39&lt;=1.5),Y120-Y122,0),0))</f>
        <v>0</v>
      </c>
      <c r="Z127" s="933">
        <f t="shared" ca="1" si="985"/>
        <v>278.8117317795365</v>
      </c>
      <c r="AA127" s="933">
        <f t="shared" ca="1" si="985"/>
        <v>280.5472161795384</v>
      </c>
      <c r="AB127" s="933">
        <f t="shared" ca="1" si="985"/>
        <v>278.4680433795404</v>
      </c>
      <c r="AC127" s="933">
        <f t="shared" ca="1" si="985"/>
        <v>0</v>
      </c>
      <c r="AD127" s="933">
        <f t="shared" ca="1" si="985"/>
        <v>0</v>
      </c>
      <c r="AE127" s="933">
        <f t="shared" ca="1" si="985"/>
        <v>0</v>
      </c>
      <c r="AF127" s="933">
        <f t="shared" ca="1" si="985"/>
        <v>0</v>
      </c>
      <c r="AG127" s="933">
        <f t="shared" ca="1" si="985"/>
        <v>0</v>
      </c>
      <c r="AH127" s="933">
        <f t="shared" ca="1" si="985"/>
        <v>0</v>
      </c>
      <c r="AI127" s="933"/>
      <c r="AJ127" s="933"/>
      <c r="AK127" s="933"/>
      <c r="AL127" s="933"/>
      <c r="AM127" s="933"/>
      <c r="AN127" s="933"/>
      <c r="AO127" s="933"/>
      <c r="AP127" s="933"/>
      <c r="AQ127" s="933"/>
      <c r="AR127" s="2446"/>
      <c r="AS127" s="933">
        <f t="shared" ref="AS127:AW127" ca="1" si="986">IF(SUM(AS123:AS126)&gt;0,0,IF(AS11&lt;3,IF(AND(AS39&gt;0.8,AS39&lt;=1.5),AS120-AS122,0),0))</f>
        <v>214.52334184108355</v>
      </c>
      <c r="AT127" s="933">
        <f t="shared" ca="1" si="986"/>
        <v>0</v>
      </c>
      <c r="AU127" s="933">
        <f t="shared" ca="1" si="986"/>
        <v>0</v>
      </c>
      <c r="AV127" s="933">
        <f t="shared" ca="1" si="986"/>
        <v>0</v>
      </c>
      <c r="AW127" s="933">
        <f t="shared" ca="1" si="986"/>
        <v>0</v>
      </c>
      <c r="AX127" s="933">
        <f t="shared" ref="AX127" si="987">IF(SUM(AX123:AX126)&gt;0,0,IF(AX11&lt;3,IF(AND(AX39&gt;0.8,AX39&lt;=1.5),AX120-AX122,0),0))</f>
        <v>0</v>
      </c>
      <c r="AY127" s="933">
        <f t="shared" ref="AY127:BI127" si="988">IF(SUM(AY123:AY126)&gt;0,0,IF(AY11&lt;3,IF(AND(AY39&gt;0.8,AY39&lt;=1.5),AY120-AY122,0),0))</f>
        <v>0</v>
      </c>
      <c r="AZ127" s="933">
        <f t="shared" ref="AZ127" si="989">IF(SUM(AZ123:AZ126)&gt;0,0,IF(AZ11&lt;3,IF(AND(AZ39&gt;0.8,AZ39&lt;=1.5),AZ120-AZ122,0),0))</f>
        <v>0</v>
      </c>
      <c r="BA127" s="933">
        <f t="shared" si="988"/>
        <v>0</v>
      </c>
      <c r="BB127" s="933">
        <f t="shared" si="988"/>
        <v>0</v>
      </c>
      <c r="BC127" s="933">
        <f t="shared" si="988"/>
        <v>0</v>
      </c>
      <c r="BD127" s="933">
        <f t="shared" si="988"/>
        <v>0</v>
      </c>
      <c r="BE127" s="933">
        <f t="shared" si="988"/>
        <v>0</v>
      </c>
      <c r="BF127" s="933">
        <f t="shared" si="988"/>
        <v>0</v>
      </c>
      <c r="BG127" s="933">
        <f t="shared" si="988"/>
        <v>0</v>
      </c>
      <c r="BH127" s="933">
        <f t="shared" si="988"/>
        <v>0</v>
      </c>
      <c r="BI127" s="933">
        <f t="shared" si="988"/>
        <v>0</v>
      </c>
      <c r="BJ127" s="934"/>
      <c r="BK127" s="934"/>
      <c r="BL127" s="934"/>
      <c r="BM127" s="943">
        <f t="shared" ca="1" si="944"/>
        <v>2884.36</v>
      </c>
      <c r="BN127" s="957"/>
      <c r="BO127" s="1091"/>
      <c r="BP127" s="1091"/>
      <c r="BQ127" s="1091"/>
      <c r="BR127" s="1091"/>
      <c r="BS127" s="1091"/>
      <c r="BT127" s="1091"/>
      <c r="BU127" s="1091"/>
      <c r="BV127" s="1091"/>
      <c r="BW127" s="1091"/>
      <c r="BX127" s="1091"/>
      <c r="BY127" s="1091"/>
      <c r="BZ127" s="1091"/>
    </row>
    <row r="128" spans="1:78" s="928" customFormat="1" ht="21.95" hidden="1" customHeight="1" x14ac:dyDescent="0.15">
      <c r="A128" s="2596"/>
      <c r="B128" s="2689"/>
      <c r="C128" s="942" t="s">
        <v>680</v>
      </c>
      <c r="D128" s="2011"/>
      <c r="E128" s="1528"/>
      <c r="F128" s="937">
        <f t="shared" ref="F128" si="990">IF(SUM(F123:F127)&gt;0,0,IF(F11&lt;=3,IF(F39&gt;1.5,F120-F122,0),0))</f>
        <v>0</v>
      </c>
      <c r="G128" s="937">
        <f t="shared" ref="G128" ca="1" si="991">IF(SUM(G123:G127)&gt;0,0,IF(G11&lt;=3,IF(G39&gt;1.5,G120-G122,0),0))</f>
        <v>0</v>
      </c>
      <c r="H128" s="937">
        <f t="shared" ref="H128:I128" ca="1" si="992">IF(SUM(H123:H127)&gt;0,0,IF(H11&lt;=3,IF(H39&gt;1.5,H120-H122,0),0))</f>
        <v>0</v>
      </c>
      <c r="I128" s="937">
        <f t="shared" ca="1" si="992"/>
        <v>0</v>
      </c>
      <c r="J128" s="937"/>
      <c r="K128" s="937"/>
      <c r="L128" s="937"/>
      <c r="M128" s="937"/>
      <c r="N128" s="2449"/>
      <c r="O128" s="937">
        <f t="shared" ref="O128:V128" ca="1" si="993">IF(SUM(O123:O127)&gt;0,0,IF(O11&lt;=3,IF(O39&gt;1.5,O120-O122,0),0))</f>
        <v>0</v>
      </c>
      <c r="P128" s="937">
        <f t="shared" ca="1" si="993"/>
        <v>0</v>
      </c>
      <c r="Q128" s="937">
        <f t="shared" ca="1" si="993"/>
        <v>0</v>
      </c>
      <c r="R128" s="937">
        <f t="shared" ca="1" si="993"/>
        <v>0</v>
      </c>
      <c r="S128" s="937">
        <f t="shared" ca="1" si="993"/>
        <v>0</v>
      </c>
      <c r="T128" s="937">
        <f t="shared" ca="1" si="993"/>
        <v>410.84638952853857</v>
      </c>
      <c r="U128" s="937">
        <f t="shared" ca="1" si="993"/>
        <v>408.99440794730174</v>
      </c>
      <c r="V128" s="937">
        <f t="shared" ca="1" si="993"/>
        <v>203.85574363748486</v>
      </c>
      <c r="W128" s="937"/>
      <c r="X128" s="2449"/>
      <c r="Y128" s="937">
        <f t="shared" ref="Y128:AH128" ca="1" si="994">IF(SUM(Y123:Y127)&gt;0,0,IF(Y11&lt;=3,IF(Y39&gt;1.5,Y120-Y122,0),0))</f>
        <v>238.82965913249549</v>
      </c>
      <c r="Z128" s="937">
        <f t="shared" ca="1" si="994"/>
        <v>0</v>
      </c>
      <c r="AA128" s="937">
        <f t="shared" ca="1" si="994"/>
        <v>0</v>
      </c>
      <c r="AB128" s="937">
        <f t="shared" ca="1" si="994"/>
        <v>0</v>
      </c>
      <c r="AC128" s="937">
        <f t="shared" ca="1" si="994"/>
        <v>233.27245777848856</v>
      </c>
      <c r="AD128" s="937">
        <f t="shared" ca="1" si="994"/>
        <v>224.09113864076647</v>
      </c>
      <c r="AE128" s="937">
        <f t="shared" ca="1" si="994"/>
        <v>224.69228090392124</v>
      </c>
      <c r="AF128" s="937">
        <f t="shared" ca="1" si="994"/>
        <v>380.38145059263582</v>
      </c>
      <c r="AG128" s="937">
        <f t="shared" ca="1" si="994"/>
        <v>409.95816855447691</v>
      </c>
      <c r="AH128" s="937">
        <f t="shared" ca="1" si="994"/>
        <v>470.67868885628815</v>
      </c>
      <c r="AI128" s="937"/>
      <c r="AJ128" s="937"/>
      <c r="AK128" s="937"/>
      <c r="AL128" s="937"/>
      <c r="AM128" s="937"/>
      <c r="AN128" s="937"/>
      <c r="AO128" s="937"/>
      <c r="AP128" s="937"/>
      <c r="AQ128" s="937"/>
      <c r="AR128" s="2449"/>
      <c r="AS128" s="937">
        <f t="shared" ref="AS128:AW128" ca="1" si="995">IF(SUM(AS123:AS127)&gt;0,0,IF(AS11&lt;=3,IF(AS39&gt;1.5,AS120-AS122,0),0))</f>
        <v>0</v>
      </c>
      <c r="AT128" s="937">
        <f t="shared" ca="1" si="995"/>
        <v>216.44857823023386</v>
      </c>
      <c r="AU128" s="937">
        <f t="shared" ca="1" si="995"/>
        <v>217.88880764918616</v>
      </c>
      <c r="AV128" s="937">
        <f t="shared" ca="1" si="995"/>
        <v>215.93847907866135</v>
      </c>
      <c r="AW128" s="937">
        <f t="shared" ca="1" si="995"/>
        <v>0</v>
      </c>
      <c r="AX128" s="937">
        <f t="shared" ref="AX128" si="996">IF(SUM(AX123:AX127)&gt;0,0,IF(AX11&lt;=3,IF(AX39&gt;1.5,AX120-AX122,0),0))</f>
        <v>0</v>
      </c>
      <c r="AY128" s="937">
        <f t="shared" ref="AY128:BI128" si="997">IF(SUM(AY123:AY127)&gt;0,0,IF(AY11&lt;=3,IF(AY39&gt;1.5,AY120-AY122,0),0))</f>
        <v>0</v>
      </c>
      <c r="AZ128" s="937">
        <f t="shared" ref="AZ128" si="998">IF(SUM(AZ123:AZ127)&gt;0,0,IF(AZ11&lt;=3,IF(AZ39&gt;1.5,AZ120-AZ122,0),0))</f>
        <v>0</v>
      </c>
      <c r="BA128" s="937">
        <f t="shared" si="997"/>
        <v>124.72579627825431</v>
      </c>
      <c r="BB128" s="937">
        <f t="shared" si="997"/>
        <v>0</v>
      </c>
      <c r="BC128" s="937">
        <f t="shared" si="997"/>
        <v>0</v>
      </c>
      <c r="BD128" s="937">
        <f t="shared" si="997"/>
        <v>0</v>
      </c>
      <c r="BE128" s="937">
        <f t="shared" si="997"/>
        <v>0</v>
      </c>
      <c r="BF128" s="937">
        <f t="shared" si="997"/>
        <v>0</v>
      </c>
      <c r="BG128" s="937">
        <f t="shared" si="997"/>
        <v>0</v>
      </c>
      <c r="BH128" s="937">
        <f t="shared" si="997"/>
        <v>0</v>
      </c>
      <c r="BI128" s="937">
        <f t="shared" si="997"/>
        <v>0</v>
      </c>
      <c r="BJ128" s="938"/>
      <c r="BK128" s="938"/>
      <c r="BL128" s="938"/>
      <c r="BM128" s="946">
        <f t="shared" ca="1" si="944"/>
        <v>3980.6</v>
      </c>
      <c r="BN128" s="957"/>
      <c r="BO128" s="1091"/>
      <c r="BP128" s="1091"/>
      <c r="BQ128" s="1091"/>
      <c r="BR128" s="1091"/>
      <c r="BS128" s="1091"/>
      <c r="BT128" s="1091"/>
      <c r="BU128" s="1091"/>
      <c r="BV128" s="1091"/>
      <c r="BW128" s="1091"/>
      <c r="BX128" s="1091"/>
      <c r="BY128" s="1091"/>
      <c r="BZ128" s="1091"/>
    </row>
    <row r="129" spans="1:78" s="928" customFormat="1" ht="21.95" hidden="1" customHeight="1" x14ac:dyDescent="0.15">
      <c r="A129" s="2596"/>
      <c r="B129" s="2689"/>
      <c r="C129" s="942" t="s">
        <v>684</v>
      </c>
      <c r="D129" s="2010"/>
      <c r="E129" s="1527"/>
      <c r="F129" s="935">
        <f t="shared" ref="F129" si="999">IF(SUM(F123:F128)&gt;0,0,IF(AND(F11&gt;3,F11&lt;=4.5),IF(F39&lt;=1.5,F120-F122,0),0))</f>
        <v>0</v>
      </c>
      <c r="G129" s="935">
        <f t="shared" ref="G129" ca="1" si="1000">IF(SUM(G123:G128)&gt;0,0,IF(AND(G11&gt;3,G11&lt;=4.5),IF(G39&lt;=1.5,G120-G122,0),0))</f>
        <v>0</v>
      </c>
      <c r="H129" s="935">
        <f t="shared" ref="H129:I129" ca="1" si="1001">IF(SUM(H123:H128)&gt;0,0,IF(AND(H11&gt;3,H11&lt;=4.5),IF(H39&lt;=1.5,H120-H122,0),0))</f>
        <v>0</v>
      </c>
      <c r="I129" s="935">
        <f t="shared" ca="1" si="1001"/>
        <v>0</v>
      </c>
      <c r="J129" s="935"/>
      <c r="K129" s="935"/>
      <c r="L129" s="935"/>
      <c r="M129" s="935"/>
      <c r="N129" s="2448"/>
      <c r="O129" s="935">
        <f t="shared" ref="O129:V129" ca="1" si="1002">IF(SUM(O123:O128)&gt;0,0,IF(AND(O11&gt;3,O11&lt;=4.5),IF(O39&lt;=1.5,O120-O122,0),0))</f>
        <v>0</v>
      </c>
      <c r="P129" s="935">
        <f t="shared" ca="1" si="1002"/>
        <v>0</v>
      </c>
      <c r="Q129" s="935">
        <f t="shared" ca="1" si="1002"/>
        <v>0</v>
      </c>
      <c r="R129" s="935">
        <f t="shared" ca="1" si="1002"/>
        <v>0</v>
      </c>
      <c r="S129" s="935">
        <f t="shared" ca="1" si="1002"/>
        <v>0</v>
      </c>
      <c r="T129" s="935">
        <f t="shared" ca="1" si="1002"/>
        <v>0</v>
      </c>
      <c r="U129" s="935">
        <f t="shared" ca="1" si="1002"/>
        <v>0</v>
      </c>
      <c r="V129" s="935">
        <f t="shared" ca="1" si="1002"/>
        <v>0</v>
      </c>
      <c r="W129" s="935"/>
      <c r="X129" s="2448"/>
      <c r="Y129" s="935">
        <f t="shared" ref="Y129:AH129" ca="1" si="1003">IF(SUM(Y123:Y128)&gt;0,0,IF(AND(Y11&gt;3,Y11&lt;=4.5),IF(Y39&lt;=1.5,Y120-Y122,0),0))</f>
        <v>0</v>
      </c>
      <c r="Z129" s="935">
        <f t="shared" ca="1" si="1003"/>
        <v>0</v>
      </c>
      <c r="AA129" s="935">
        <f t="shared" ca="1" si="1003"/>
        <v>0</v>
      </c>
      <c r="AB129" s="935">
        <f t="shared" ca="1" si="1003"/>
        <v>0</v>
      </c>
      <c r="AC129" s="935">
        <f t="shared" ca="1" si="1003"/>
        <v>0</v>
      </c>
      <c r="AD129" s="935">
        <f t="shared" ca="1" si="1003"/>
        <v>0</v>
      </c>
      <c r="AE129" s="935">
        <f t="shared" ca="1" si="1003"/>
        <v>0</v>
      </c>
      <c r="AF129" s="935">
        <f t="shared" ca="1" si="1003"/>
        <v>0</v>
      </c>
      <c r="AG129" s="935">
        <f t="shared" ca="1" si="1003"/>
        <v>0</v>
      </c>
      <c r="AH129" s="935">
        <f t="shared" ca="1" si="1003"/>
        <v>0</v>
      </c>
      <c r="AI129" s="935"/>
      <c r="AJ129" s="935"/>
      <c r="AK129" s="935"/>
      <c r="AL129" s="935"/>
      <c r="AM129" s="935"/>
      <c r="AN129" s="935"/>
      <c r="AO129" s="935"/>
      <c r="AP129" s="935"/>
      <c r="AQ129" s="935"/>
      <c r="AR129" s="2448"/>
      <c r="AS129" s="935">
        <f t="shared" ref="AS129:AW129" ca="1" si="1004">IF(SUM(AS123:AS128)&gt;0,0,IF(AND(AS11&gt;3,AS11&lt;=4.5),IF(AS39&lt;=1.5,AS120-AS122,0),0))</f>
        <v>0</v>
      </c>
      <c r="AT129" s="935">
        <f t="shared" ca="1" si="1004"/>
        <v>0</v>
      </c>
      <c r="AU129" s="935">
        <f t="shared" ca="1" si="1004"/>
        <v>0</v>
      </c>
      <c r="AV129" s="935">
        <f t="shared" ca="1" si="1004"/>
        <v>0</v>
      </c>
      <c r="AW129" s="935">
        <f t="shared" ca="1" si="1004"/>
        <v>0</v>
      </c>
      <c r="AX129" s="935">
        <f t="shared" ref="AX129" si="1005">IF(SUM(AX123:AX128)&gt;0,0,IF(AND(AX11&gt;3,AX11&lt;=4.5),IF(AX39&lt;=1.5,AX120-AX122,0),0))</f>
        <v>0</v>
      </c>
      <c r="AY129" s="935">
        <f t="shared" ref="AY129:BI129" si="1006">IF(SUM(AY123:AY128)&gt;0,0,IF(AND(AY11&gt;3,AY11&lt;=4.5),IF(AY39&lt;=1.5,AY120-AY122,0),0))</f>
        <v>0</v>
      </c>
      <c r="AZ129" s="935">
        <f t="shared" ref="AZ129" si="1007">IF(SUM(AZ123:AZ128)&gt;0,0,IF(AND(AZ11&gt;3,AZ11&lt;=4.5),IF(AZ39&lt;=1.5,AZ120-AZ122,0),0))</f>
        <v>0</v>
      </c>
      <c r="BA129" s="935">
        <f t="shared" si="1006"/>
        <v>0</v>
      </c>
      <c r="BB129" s="935">
        <f t="shared" si="1006"/>
        <v>0</v>
      </c>
      <c r="BC129" s="935">
        <f t="shared" si="1006"/>
        <v>0</v>
      </c>
      <c r="BD129" s="935">
        <f t="shared" si="1006"/>
        <v>0</v>
      </c>
      <c r="BE129" s="935">
        <f t="shared" si="1006"/>
        <v>0</v>
      </c>
      <c r="BF129" s="935">
        <f t="shared" si="1006"/>
        <v>0</v>
      </c>
      <c r="BG129" s="935">
        <f t="shared" si="1006"/>
        <v>0</v>
      </c>
      <c r="BH129" s="935">
        <f t="shared" si="1006"/>
        <v>0</v>
      </c>
      <c r="BI129" s="935">
        <f t="shared" si="1006"/>
        <v>0</v>
      </c>
      <c r="BJ129" s="936"/>
      <c r="BK129" s="936"/>
      <c r="BL129" s="936"/>
      <c r="BM129" s="945">
        <f t="shared" ca="1" si="944"/>
        <v>0</v>
      </c>
      <c r="BN129" s="957"/>
      <c r="BO129" s="1091"/>
      <c r="BP129" s="1091"/>
      <c r="BQ129" s="1091"/>
      <c r="BR129" s="1091"/>
      <c r="BS129" s="1091"/>
      <c r="BT129" s="1091"/>
      <c r="BU129" s="1091"/>
      <c r="BV129" s="1091"/>
      <c r="BW129" s="1091"/>
      <c r="BX129" s="1091"/>
      <c r="BY129" s="1091"/>
      <c r="BZ129" s="1091"/>
    </row>
    <row r="130" spans="1:78" s="928" customFormat="1" ht="21.95" hidden="1" customHeight="1" x14ac:dyDescent="0.15">
      <c r="A130" s="2596"/>
      <c r="B130" s="2689"/>
      <c r="C130" s="942" t="s">
        <v>681</v>
      </c>
      <c r="D130" s="2011"/>
      <c r="E130" s="1528"/>
      <c r="F130" s="937">
        <f t="shared" ref="F130" si="1008">IF(SUM(F123:F129)&gt;0,0,IF(AND(F11&gt;3,F11&lt;=4.5),IF(F39&gt;1.5,F120-F122,0),0))</f>
        <v>0</v>
      </c>
      <c r="G130" s="937">
        <f t="shared" ref="G130" ca="1" si="1009">IF(SUM(G123:G129)&gt;0,0,IF(AND(G11&gt;3,G11&lt;=4.5),IF(G39&gt;1.5,G120-G122,0),0))</f>
        <v>0</v>
      </c>
      <c r="H130" s="937">
        <f t="shared" ref="H130:I130" ca="1" si="1010">IF(SUM(H123:H129)&gt;0,0,IF(AND(H11&gt;3,H11&lt;=4.5),IF(H39&gt;1.5,H120-H122,0),0))</f>
        <v>0</v>
      </c>
      <c r="I130" s="937">
        <f t="shared" ca="1" si="1010"/>
        <v>0</v>
      </c>
      <c r="J130" s="937"/>
      <c r="K130" s="937"/>
      <c r="L130" s="937"/>
      <c r="M130" s="937"/>
      <c r="N130" s="2449"/>
      <c r="O130" s="937">
        <f t="shared" ref="O130:V130" ca="1" si="1011">IF(SUM(O123:O129)&gt;0,0,IF(AND(O11&gt;3,O11&lt;=4.5),IF(O39&gt;1.5,O120-O122,0),0))</f>
        <v>0</v>
      </c>
      <c r="P130" s="937">
        <f t="shared" ca="1" si="1011"/>
        <v>0</v>
      </c>
      <c r="Q130" s="937">
        <f t="shared" ca="1" si="1011"/>
        <v>0</v>
      </c>
      <c r="R130" s="937">
        <f t="shared" ca="1" si="1011"/>
        <v>0</v>
      </c>
      <c r="S130" s="937">
        <f t="shared" ca="1" si="1011"/>
        <v>0</v>
      </c>
      <c r="T130" s="937">
        <f t="shared" ca="1" si="1011"/>
        <v>0</v>
      </c>
      <c r="U130" s="937">
        <f t="shared" ca="1" si="1011"/>
        <v>0</v>
      </c>
      <c r="V130" s="937">
        <f t="shared" ca="1" si="1011"/>
        <v>0</v>
      </c>
      <c r="W130" s="937"/>
      <c r="X130" s="2449"/>
      <c r="Y130" s="937">
        <f t="shared" ref="Y130:AH130" ca="1" si="1012">IF(SUM(Y123:Y129)&gt;0,0,IF(AND(Y11&gt;3,Y11&lt;=4.5),IF(Y39&gt;1.5,Y120-Y122,0),0))</f>
        <v>0</v>
      </c>
      <c r="Z130" s="937">
        <f t="shared" ca="1" si="1012"/>
        <v>0</v>
      </c>
      <c r="AA130" s="937">
        <f t="shared" ca="1" si="1012"/>
        <v>0</v>
      </c>
      <c r="AB130" s="937">
        <f t="shared" ca="1" si="1012"/>
        <v>0</v>
      </c>
      <c r="AC130" s="937">
        <f t="shared" ca="1" si="1012"/>
        <v>0</v>
      </c>
      <c r="AD130" s="937">
        <f t="shared" ca="1" si="1012"/>
        <v>0</v>
      </c>
      <c r="AE130" s="937">
        <f t="shared" ca="1" si="1012"/>
        <v>0</v>
      </c>
      <c r="AF130" s="937">
        <f t="shared" ca="1" si="1012"/>
        <v>0</v>
      </c>
      <c r="AG130" s="937">
        <f t="shared" ca="1" si="1012"/>
        <v>0</v>
      </c>
      <c r="AH130" s="937">
        <f t="shared" ca="1" si="1012"/>
        <v>0</v>
      </c>
      <c r="AI130" s="937"/>
      <c r="AJ130" s="937"/>
      <c r="AK130" s="937"/>
      <c r="AL130" s="937"/>
      <c r="AM130" s="937"/>
      <c r="AN130" s="937"/>
      <c r="AO130" s="937"/>
      <c r="AP130" s="937"/>
      <c r="AQ130" s="937"/>
      <c r="AR130" s="2449"/>
      <c r="AS130" s="937">
        <f t="shared" ref="AS130:AW130" ca="1" si="1013">IF(SUM(AS123:AS129)&gt;0,0,IF(AND(AS11&gt;3,AS11&lt;=4.5),IF(AS39&gt;1.5,AS120-AS122,0),0))</f>
        <v>0</v>
      </c>
      <c r="AT130" s="937">
        <f t="shared" ca="1" si="1013"/>
        <v>0</v>
      </c>
      <c r="AU130" s="937">
        <f t="shared" ca="1" si="1013"/>
        <v>0</v>
      </c>
      <c r="AV130" s="937">
        <f t="shared" ca="1" si="1013"/>
        <v>0</v>
      </c>
      <c r="AW130" s="937">
        <f t="shared" ca="1" si="1013"/>
        <v>433.52060672569741</v>
      </c>
      <c r="AX130" s="937">
        <f t="shared" ref="AX130" si="1014">IF(SUM(AX123:AX129)&gt;0,0,IF(AND(AX11&gt;3,AX11&lt;=4.5),IF(AX39&gt;1.5,AX120-AX122,0),0))</f>
        <v>0</v>
      </c>
      <c r="AY130" s="937">
        <f t="shared" ref="AY130:BI130" si="1015">IF(SUM(AY123:AY129)&gt;0,0,IF(AND(AY11&gt;3,AY11&lt;=4.5),IF(AY39&gt;1.5,AY120-AY122,0),0))</f>
        <v>0</v>
      </c>
      <c r="AZ130" s="937">
        <f t="shared" ref="AZ130" si="1016">IF(SUM(AZ123:AZ129)&gt;0,0,IF(AND(AZ11&gt;3,AZ11&lt;=4.5),IF(AZ39&gt;1.5,AZ120-AZ122,0),0))</f>
        <v>0</v>
      </c>
      <c r="BA130" s="937">
        <f t="shared" si="1015"/>
        <v>0</v>
      </c>
      <c r="BB130" s="937">
        <f t="shared" si="1015"/>
        <v>0</v>
      </c>
      <c r="BC130" s="937">
        <f t="shared" si="1015"/>
        <v>0</v>
      </c>
      <c r="BD130" s="937">
        <f t="shared" si="1015"/>
        <v>0</v>
      </c>
      <c r="BE130" s="937">
        <f t="shared" si="1015"/>
        <v>0</v>
      </c>
      <c r="BF130" s="937">
        <f t="shared" si="1015"/>
        <v>0</v>
      </c>
      <c r="BG130" s="937">
        <f t="shared" si="1015"/>
        <v>0</v>
      </c>
      <c r="BH130" s="937">
        <f t="shared" si="1015"/>
        <v>0</v>
      </c>
      <c r="BI130" s="937">
        <f t="shared" si="1015"/>
        <v>0</v>
      </c>
      <c r="BJ130" s="938"/>
      <c r="BK130" s="938"/>
      <c r="BL130" s="938"/>
      <c r="BM130" s="946">
        <f t="shared" ca="1" si="944"/>
        <v>433.52</v>
      </c>
      <c r="BN130" s="957"/>
      <c r="BO130" s="1091"/>
      <c r="BP130" s="1091"/>
      <c r="BQ130" s="1091"/>
      <c r="BR130" s="1091"/>
      <c r="BS130" s="1091"/>
      <c r="BT130" s="1091"/>
      <c r="BU130" s="1091"/>
      <c r="BV130" s="1091"/>
      <c r="BW130" s="1091"/>
      <c r="BX130" s="1091"/>
      <c r="BY130" s="1091"/>
      <c r="BZ130" s="1091"/>
    </row>
    <row r="131" spans="1:78" s="928" customFormat="1" ht="21.95" hidden="1" customHeight="1" x14ac:dyDescent="0.15">
      <c r="A131" s="2596"/>
      <c r="B131" s="2689"/>
      <c r="C131" s="942" t="s">
        <v>682</v>
      </c>
      <c r="D131" s="2010"/>
      <c r="E131" s="1527"/>
      <c r="F131" s="935">
        <f t="shared" ref="F131" si="1017">IF(SUM(F123:F130)&gt;0,0,IF(F11&gt;3,IF(F39&lt;=1.5,F120-F122,0),0))</f>
        <v>0</v>
      </c>
      <c r="G131" s="935">
        <f t="shared" ref="G131" ca="1" si="1018">IF(SUM(G123:G130)&gt;0,0,IF(G11&gt;3,IF(G39&lt;=1.5,G120-G122,0),0))</f>
        <v>0</v>
      </c>
      <c r="H131" s="935">
        <f t="shared" ref="H131:I131" ca="1" si="1019">IF(SUM(H123:H130)&gt;0,0,IF(H11&gt;3,IF(H39&lt;=1.5,H120-H122,0),0))</f>
        <v>0</v>
      </c>
      <c r="I131" s="935">
        <f t="shared" ca="1" si="1019"/>
        <v>0</v>
      </c>
      <c r="J131" s="935"/>
      <c r="K131" s="935"/>
      <c r="L131" s="935"/>
      <c r="M131" s="935"/>
      <c r="N131" s="2448"/>
      <c r="O131" s="935">
        <f t="shared" ref="O131:V131" ca="1" si="1020">IF(SUM(O123:O130)&gt;0,0,IF(O11&gt;3,IF(O39&lt;=1.5,O120-O122,0),0))</f>
        <v>0</v>
      </c>
      <c r="P131" s="935">
        <f t="shared" ca="1" si="1020"/>
        <v>0</v>
      </c>
      <c r="Q131" s="935">
        <f t="shared" ca="1" si="1020"/>
        <v>0</v>
      </c>
      <c r="R131" s="935">
        <f t="shared" ca="1" si="1020"/>
        <v>0</v>
      </c>
      <c r="S131" s="935">
        <f t="shared" ca="1" si="1020"/>
        <v>0</v>
      </c>
      <c r="T131" s="935">
        <f t="shared" ca="1" si="1020"/>
        <v>0</v>
      </c>
      <c r="U131" s="935">
        <f t="shared" ca="1" si="1020"/>
        <v>0</v>
      </c>
      <c r="V131" s="935">
        <f t="shared" ca="1" si="1020"/>
        <v>0</v>
      </c>
      <c r="W131" s="935"/>
      <c r="X131" s="2448"/>
      <c r="Y131" s="935">
        <f t="shared" ref="Y131:AH131" ca="1" si="1021">IF(SUM(Y123:Y130)&gt;0,0,IF(Y11&gt;3,IF(Y39&lt;=1.5,Y120-Y122,0),0))</f>
        <v>0</v>
      </c>
      <c r="Z131" s="935">
        <f t="shared" ca="1" si="1021"/>
        <v>0</v>
      </c>
      <c r="AA131" s="935">
        <f t="shared" ca="1" si="1021"/>
        <v>0</v>
      </c>
      <c r="AB131" s="935">
        <f t="shared" ca="1" si="1021"/>
        <v>0</v>
      </c>
      <c r="AC131" s="935">
        <f t="shared" ca="1" si="1021"/>
        <v>0</v>
      </c>
      <c r="AD131" s="935">
        <f t="shared" ca="1" si="1021"/>
        <v>0</v>
      </c>
      <c r="AE131" s="935">
        <f t="shared" ca="1" si="1021"/>
        <v>0</v>
      </c>
      <c r="AF131" s="935">
        <f t="shared" ca="1" si="1021"/>
        <v>0</v>
      </c>
      <c r="AG131" s="935">
        <f t="shared" ca="1" si="1021"/>
        <v>0</v>
      </c>
      <c r="AH131" s="935">
        <f t="shared" ca="1" si="1021"/>
        <v>0</v>
      </c>
      <c r="AI131" s="935"/>
      <c r="AJ131" s="935"/>
      <c r="AK131" s="935"/>
      <c r="AL131" s="935"/>
      <c r="AM131" s="935"/>
      <c r="AN131" s="935"/>
      <c r="AO131" s="935"/>
      <c r="AP131" s="935"/>
      <c r="AQ131" s="935"/>
      <c r="AR131" s="2448"/>
      <c r="AS131" s="935">
        <f t="shared" ref="AS131:AW131" ca="1" si="1022">IF(SUM(AS123:AS130)&gt;0,0,IF(AS11&gt;3,IF(AS39&lt;=1.5,AS120-AS122,0),0))</f>
        <v>0</v>
      </c>
      <c r="AT131" s="935">
        <f t="shared" ca="1" si="1022"/>
        <v>0</v>
      </c>
      <c r="AU131" s="935">
        <f t="shared" ca="1" si="1022"/>
        <v>0</v>
      </c>
      <c r="AV131" s="935">
        <f t="shared" ca="1" si="1022"/>
        <v>0</v>
      </c>
      <c r="AW131" s="935">
        <f t="shared" ca="1" si="1022"/>
        <v>0</v>
      </c>
      <c r="AX131" s="935">
        <f t="shared" ref="AX131" si="1023">IF(SUM(AX123:AX130)&gt;0,0,IF(AX11&gt;3,IF(AX39&lt;=1.5,AX120-AX122,0),0))</f>
        <v>0</v>
      </c>
      <c r="AY131" s="935">
        <f t="shared" ref="AY131:BI131" si="1024">IF(SUM(AY123:AY130)&gt;0,0,IF(AY11&gt;3,IF(AY39&lt;=1.5,AY120-AY122,0),0))</f>
        <v>0</v>
      </c>
      <c r="AZ131" s="935">
        <f t="shared" ref="AZ131" si="1025">IF(SUM(AZ123:AZ130)&gt;0,0,IF(AZ11&gt;3,IF(AZ39&lt;=1.5,AZ120-AZ122,0),0))</f>
        <v>0</v>
      </c>
      <c r="BA131" s="935">
        <f t="shared" si="1024"/>
        <v>0</v>
      </c>
      <c r="BB131" s="935">
        <f t="shared" si="1024"/>
        <v>0</v>
      </c>
      <c r="BC131" s="935">
        <f t="shared" si="1024"/>
        <v>0</v>
      </c>
      <c r="BD131" s="935">
        <f t="shared" si="1024"/>
        <v>0</v>
      </c>
      <c r="BE131" s="935">
        <f t="shared" si="1024"/>
        <v>0</v>
      </c>
      <c r="BF131" s="935">
        <f t="shared" si="1024"/>
        <v>0</v>
      </c>
      <c r="BG131" s="935">
        <f t="shared" si="1024"/>
        <v>0</v>
      </c>
      <c r="BH131" s="935">
        <f t="shared" si="1024"/>
        <v>0</v>
      </c>
      <c r="BI131" s="935">
        <f t="shared" si="1024"/>
        <v>0</v>
      </c>
      <c r="BJ131" s="936"/>
      <c r="BK131" s="936"/>
      <c r="BL131" s="936"/>
      <c r="BM131" s="945">
        <f t="shared" ca="1" si="944"/>
        <v>0</v>
      </c>
      <c r="BN131" s="957"/>
      <c r="BO131" s="1091"/>
      <c r="BP131" s="1091"/>
      <c r="BQ131" s="1091"/>
      <c r="BR131" s="1091"/>
      <c r="BS131" s="1091"/>
      <c r="BT131" s="1091"/>
      <c r="BU131" s="1091"/>
      <c r="BV131" s="1091"/>
      <c r="BW131" s="1091"/>
      <c r="BX131" s="1091"/>
      <c r="BY131" s="1091"/>
      <c r="BZ131" s="1091"/>
    </row>
    <row r="132" spans="1:78" s="928" customFormat="1" ht="21.95" hidden="1" customHeight="1" thickBot="1" x14ac:dyDescent="0.2">
      <c r="A132" s="2596"/>
      <c r="B132" s="2690"/>
      <c r="C132" s="954" t="s">
        <v>683</v>
      </c>
      <c r="D132" s="2005"/>
      <c r="E132" s="1524"/>
      <c r="F132" s="939">
        <f t="shared" ref="F132" si="1026">IF(SUM(F123:F131)&gt;0,0,IF(F11&gt;4.5,IF(F39&gt;1.5,F120-F122,0),0))</f>
        <v>0</v>
      </c>
      <c r="G132" s="939">
        <f t="shared" ref="G132" ca="1" si="1027">IF(SUM(G123:G131)&gt;0,0,IF(G11&gt;4.5,IF(G39&gt;1.5,G120-G122,0),0))</f>
        <v>0</v>
      </c>
      <c r="H132" s="939">
        <f t="shared" ref="H132:I132" ca="1" si="1028">IF(SUM(H123:H131)&gt;0,0,IF(H11&gt;4.5,IF(H39&gt;1.5,H120-H122,0),0))</f>
        <v>0</v>
      </c>
      <c r="I132" s="939">
        <f t="shared" ca="1" si="1028"/>
        <v>0</v>
      </c>
      <c r="J132" s="939"/>
      <c r="K132" s="939"/>
      <c r="L132" s="939"/>
      <c r="M132" s="939"/>
      <c r="N132" s="2447"/>
      <c r="O132" s="939">
        <f t="shared" ref="O132:V132" ca="1" si="1029">IF(SUM(O123:O131)&gt;0,0,IF(O11&gt;4.5,IF(O39&gt;1.5,O120-O122,0),0))</f>
        <v>0</v>
      </c>
      <c r="P132" s="939">
        <f t="shared" ca="1" si="1029"/>
        <v>0</v>
      </c>
      <c r="Q132" s="939">
        <f t="shared" ca="1" si="1029"/>
        <v>0</v>
      </c>
      <c r="R132" s="939">
        <f t="shared" ca="1" si="1029"/>
        <v>0</v>
      </c>
      <c r="S132" s="939">
        <f t="shared" ca="1" si="1029"/>
        <v>0</v>
      </c>
      <c r="T132" s="939">
        <f t="shared" ca="1" si="1029"/>
        <v>0</v>
      </c>
      <c r="U132" s="939">
        <f t="shared" ca="1" si="1029"/>
        <v>0</v>
      </c>
      <c r="V132" s="939">
        <f t="shared" ca="1" si="1029"/>
        <v>0</v>
      </c>
      <c r="W132" s="939"/>
      <c r="X132" s="2447"/>
      <c r="Y132" s="939">
        <f t="shared" ref="Y132:AH132" ca="1" si="1030">IF(SUM(Y123:Y131)&gt;0,0,IF(Y11&gt;4.5,IF(Y39&gt;1.5,Y120-Y122,0),0))</f>
        <v>0</v>
      </c>
      <c r="Z132" s="939">
        <f t="shared" ca="1" si="1030"/>
        <v>0</v>
      </c>
      <c r="AA132" s="939">
        <f t="shared" ca="1" si="1030"/>
        <v>0</v>
      </c>
      <c r="AB132" s="939">
        <f t="shared" ca="1" si="1030"/>
        <v>0</v>
      </c>
      <c r="AC132" s="939">
        <f t="shared" ca="1" si="1030"/>
        <v>0</v>
      </c>
      <c r="AD132" s="939">
        <f t="shared" ca="1" si="1030"/>
        <v>0</v>
      </c>
      <c r="AE132" s="939">
        <f t="shared" ca="1" si="1030"/>
        <v>0</v>
      </c>
      <c r="AF132" s="939">
        <f t="shared" ca="1" si="1030"/>
        <v>0</v>
      </c>
      <c r="AG132" s="939">
        <f t="shared" ca="1" si="1030"/>
        <v>0</v>
      </c>
      <c r="AH132" s="939">
        <f t="shared" ca="1" si="1030"/>
        <v>0</v>
      </c>
      <c r="AI132" s="939"/>
      <c r="AJ132" s="939"/>
      <c r="AK132" s="939"/>
      <c r="AL132" s="939"/>
      <c r="AM132" s="939"/>
      <c r="AN132" s="939"/>
      <c r="AO132" s="939"/>
      <c r="AP132" s="939"/>
      <c r="AQ132" s="939"/>
      <c r="AR132" s="2447"/>
      <c r="AS132" s="939">
        <f t="shared" ref="AS132:AW132" ca="1" si="1031">IF(SUM(AS123:AS131)&gt;0,0,IF(AS11&gt;4.5,IF(AS39&gt;1.5,AS120-AS122,0),0))</f>
        <v>0</v>
      </c>
      <c r="AT132" s="939">
        <f t="shared" ca="1" si="1031"/>
        <v>0</v>
      </c>
      <c r="AU132" s="939">
        <f t="shared" ca="1" si="1031"/>
        <v>0</v>
      </c>
      <c r="AV132" s="939">
        <f t="shared" ca="1" si="1031"/>
        <v>0</v>
      </c>
      <c r="AW132" s="939">
        <f t="shared" ca="1" si="1031"/>
        <v>0</v>
      </c>
      <c r="AX132" s="939">
        <f t="shared" ref="AX132" si="1032">IF(SUM(AX123:AX131)&gt;0,0,IF(AX11&gt;4.5,IF(AX39&gt;1.5,AX120-AX122,0),0))</f>
        <v>0</v>
      </c>
      <c r="AY132" s="939">
        <f t="shared" ref="AY132:BI132" si="1033">IF(SUM(AY123:AY131)&gt;0,0,IF(AY11&gt;4.5,IF(AY39&gt;1.5,AY120-AY122,0),0))</f>
        <v>0</v>
      </c>
      <c r="AZ132" s="939">
        <f t="shared" ref="AZ132" si="1034">IF(SUM(AZ123:AZ131)&gt;0,0,IF(AZ11&gt;4.5,IF(AZ39&gt;1.5,AZ120-AZ122,0),0))</f>
        <v>0</v>
      </c>
      <c r="BA132" s="939">
        <f t="shared" si="1033"/>
        <v>0</v>
      </c>
      <c r="BB132" s="939">
        <f t="shared" si="1033"/>
        <v>0</v>
      </c>
      <c r="BC132" s="939">
        <f t="shared" si="1033"/>
        <v>0</v>
      </c>
      <c r="BD132" s="939">
        <f t="shared" si="1033"/>
        <v>0</v>
      </c>
      <c r="BE132" s="939">
        <f t="shared" si="1033"/>
        <v>0</v>
      </c>
      <c r="BF132" s="939">
        <f t="shared" si="1033"/>
        <v>0</v>
      </c>
      <c r="BG132" s="939">
        <f t="shared" si="1033"/>
        <v>0</v>
      </c>
      <c r="BH132" s="939">
        <f t="shared" si="1033"/>
        <v>0</v>
      </c>
      <c r="BI132" s="939">
        <f t="shared" si="1033"/>
        <v>0</v>
      </c>
      <c r="BJ132" s="953"/>
      <c r="BK132" s="953"/>
      <c r="BL132" s="953"/>
      <c r="BM132" s="955">
        <f t="shared" ca="1" si="944"/>
        <v>0</v>
      </c>
      <c r="BN132" s="957"/>
      <c r="BO132" s="1091"/>
      <c r="BP132" s="1091"/>
      <c r="BQ132" s="1091"/>
      <c r="BR132" s="1091"/>
      <c r="BS132" s="1091"/>
      <c r="BT132" s="1091"/>
      <c r="BU132" s="1091"/>
      <c r="BV132" s="1091"/>
      <c r="BW132" s="1091"/>
      <c r="BX132" s="1091"/>
      <c r="BY132" s="1091"/>
      <c r="BZ132" s="1091"/>
    </row>
    <row r="133" spans="1:78" s="590" customFormat="1" ht="32.1" hidden="1" customHeight="1" x14ac:dyDescent="0.15">
      <c r="A133" s="2596"/>
      <c r="B133" s="2679" t="s">
        <v>1106</v>
      </c>
      <c r="C133" s="591" t="s">
        <v>724</v>
      </c>
      <c r="D133" s="2004"/>
      <c r="E133" s="592"/>
      <c r="F133" s="158">
        <f t="shared" ref="F133" si="1035">F122</f>
        <v>0</v>
      </c>
      <c r="G133" s="158">
        <f t="shared" ref="G133" si="1036">G122</f>
        <v>0</v>
      </c>
      <c r="H133" s="158">
        <f t="shared" ref="H133:I133" si="1037">H122</f>
        <v>0</v>
      </c>
      <c r="I133" s="158">
        <f t="shared" si="1037"/>
        <v>0</v>
      </c>
      <c r="J133" s="158"/>
      <c r="K133" s="158"/>
      <c r="L133" s="158"/>
      <c r="M133" s="158"/>
      <c r="N133" s="2416"/>
      <c r="O133" s="158">
        <f t="shared" ref="O133:V133" si="1038">O122</f>
        <v>0</v>
      </c>
      <c r="P133" s="158">
        <f t="shared" si="1038"/>
        <v>0</v>
      </c>
      <c r="Q133" s="158">
        <f t="shared" si="1038"/>
        <v>0</v>
      </c>
      <c r="R133" s="158">
        <f t="shared" si="1038"/>
        <v>0</v>
      </c>
      <c r="S133" s="158">
        <f t="shared" si="1038"/>
        <v>0</v>
      </c>
      <c r="T133" s="158">
        <f t="shared" si="1038"/>
        <v>0</v>
      </c>
      <c r="U133" s="158">
        <f t="shared" si="1038"/>
        <v>0</v>
      </c>
      <c r="V133" s="158">
        <f t="shared" si="1038"/>
        <v>0</v>
      </c>
      <c r="W133" s="158"/>
      <c r="X133" s="2416"/>
      <c r="Y133" s="158">
        <f t="shared" ref="Y133:AH133" si="1039">Y122</f>
        <v>0</v>
      </c>
      <c r="Z133" s="158">
        <f t="shared" si="1039"/>
        <v>0</v>
      </c>
      <c r="AA133" s="158">
        <f t="shared" si="1039"/>
        <v>0</v>
      </c>
      <c r="AB133" s="158">
        <f t="shared" si="1039"/>
        <v>0</v>
      </c>
      <c r="AC133" s="158">
        <f t="shared" si="1039"/>
        <v>0</v>
      </c>
      <c r="AD133" s="158">
        <f t="shared" si="1039"/>
        <v>0</v>
      </c>
      <c r="AE133" s="158">
        <f t="shared" si="1039"/>
        <v>0</v>
      </c>
      <c r="AF133" s="158">
        <f t="shared" si="1039"/>
        <v>0</v>
      </c>
      <c r="AG133" s="158">
        <f t="shared" si="1039"/>
        <v>0</v>
      </c>
      <c r="AH133" s="158">
        <f t="shared" si="1039"/>
        <v>0</v>
      </c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2416"/>
      <c r="AS133" s="158">
        <f t="shared" ref="AS133:AW133" si="1040">AS122</f>
        <v>0</v>
      </c>
      <c r="AT133" s="158">
        <f t="shared" si="1040"/>
        <v>0</v>
      </c>
      <c r="AU133" s="158">
        <f t="shared" si="1040"/>
        <v>0</v>
      </c>
      <c r="AV133" s="158">
        <f t="shared" si="1040"/>
        <v>0</v>
      </c>
      <c r="AW133" s="158">
        <f t="shared" si="1040"/>
        <v>0</v>
      </c>
      <c r="AX133" s="158">
        <f t="shared" ref="AX133" si="1041">AX122</f>
        <v>0</v>
      </c>
      <c r="AY133" s="158">
        <f t="shared" ref="AY133:BI133" si="1042">AY122</f>
        <v>0</v>
      </c>
      <c r="AZ133" s="158">
        <f t="shared" ref="AZ133" si="1043">AZ122</f>
        <v>0</v>
      </c>
      <c r="BA133" s="158">
        <f t="shared" si="1042"/>
        <v>0</v>
      </c>
      <c r="BB133" s="158">
        <f t="shared" si="1042"/>
        <v>0</v>
      </c>
      <c r="BC133" s="158">
        <f t="shared" si="1042"/>
        <v>0</v>
      </c>
      <c r="BD133" s="158">
        <f t="shared" si="1042"/>
        <v>0</v>
      </c>
      <c r="BE133" s="158">
        <f t="shared" si="1042"/>
        <v>0</v>
      </c>
      <c r="BF133" s="158">
        <f t="shared" si="1042"/>
        <v>0</v>
      </c>
      <c r="BG133" s="158">
        <f t="shared" si="1042"/>
        <v>0</v>
      </c>
      <c r="BH133" s="158">
        <f t="shared" si="1042"/>
        <v>0</v>
      </c>
      <c r="BI133" s="158">
        <f t="shared" si="1042"/>
        <v>0</v>
      </c>
      <c r="BJ133" s="159"/>
      <c r="BK133" s="159"/>
      <c r="BL133" s="159"/>
      <c r="BM133" s="507">
        <f t="shared" si="944"/>
        <v>0</v>
      </c>
      <c r="BN133" s="579">
        <f t="shared" ref="BN133:BN164" si="1044">SUM(F133:BM133)</f>
        <v>0</v>
      </c>
      <c r="BO133" s="1089"/>
      <c r="BP133" s="1089"/>
      <c r="BQ133" s="1089"/>
      <c r="BR133" s="1089"/>
      <c r="BS133" s="1089"/>
      <c r="BT133" s="1089"/>
      <c r="BU133" s="1089"/>
      <c r="BV133" s="1089"/>
      <c r="BW133" s="1089"/>
      <c r="BX133" s="1089"/>
      <c r="BY133" s="1089"/>
      <c r="BZ133" s="1089"/>
    </row>
    <row r="134" spans="1:78" s="590" customFormat="1" ht="21.95" hidden="1" customHeight="1" x14ac:dyDescent="0.15">
      <c r="A134" s="2596"/>
      <c r="B134" s="2680"/>
      <c r="C134" s="591" t="s">
        <v>675</v>
      </c>
      <c r="D134" s="2010"/>
      <c r="E134" s="1530"/>
      <c r="F134" s="458">
        <f t="shared" ref="F134:F143" si="1045">IF(F$29=1,F123,0)</f>
        <v>0</v>
      </c>
      <c r="G134" s="458">
        <f t="shared" ref="G134" ca="1" si="1046">IF(G$29=1,G123,0)</f>
        <v>0</v>
      </c>
      <c r="H134" s="458">
        <f t="shared" ref="H134:I134" ca="1" si="1047">IF(H$29=1,H123,0)</f>
        <v>0</v>
      </c>
      <c r="I134" s="458">
        <f t="shared" ca="1" si="1047"/>
        <v>0</v>
      </c>
      <c r="J134" s="458"/>
      <c r="K134" s="458"/>
      <c r="L134" s="458"/>
      <c r="M134" s="458"/>
      <c r="N134" s="2450"/>
      <c r="O134" s="458">
        <f t="shared" ref="O134:V134" ca="1" si="1048">IF(O$29=1,O123,0)</f>
        <v>0</v>
      </c>
      <c r="P134" s="458">
        <f t="shared" ca="1" si="1048"/>
        <v>0</v>
      </c>
      <c r="Q134" s="458">
        <f t="shared" ca="1" si="1048"/>
        <v>0</v>
      </c>
      <c r="R134" s="458">
        <f t="shared" ca="1" si="1048"/>
        <v>0</v>
      </c>
      <c r="S134" s="458">
        <f t="shared" ca="1" si="1048"/>
        <v>0</v>
      </c>
      <c r="T134" s="458">
        <f t="shared" ca="1" si="1048"/>
        <v>0</v>
      </c>
      <c r="U134" s="458">
        <f t="shared" ca="1" si="1048"/>
        <v>0</v>
      </c>
      <c r="V134" s="458">
        <f t="shared" ca="1" si="1048"/>
        <v>0</v>
      </c>
      <c r="W134" s="458"/>
      <c r="X134" s="2450"/>
      <c r="Y134" s="458">
        <f t="shared" ref="Y134:AH134" ca="1" si="1049">IF(Y$29=1,Y123,0)</f>
        <v>0</v>
      </c>
      <c r="Z134" s="458">
        <f t="shared" ca="1" si="1049"/>
        <v>0</v>
      </c>
      <c r="AA134" s="458">
        <f t="shared" ca="1" si="1049"/>
        <v>0</v>
      </c>
      <c r="AB134" s="458">
        <f t="shared" ca="1" si="1049"/>
        <v>0</v>
      </c>
      <c r="AC134" s="458">
        <f t="shared" ca="1" si="1049"/>
        <v>0</v>
      </c>
      <c r="AD134" s="458">
        <f t="shared" ca="1" si="1049"/>
        <v>0</v>
      </c>
      <c r="AE134" s="458">
        <f t="shared" ca="1" si="1049"/>
        <v>0</v>
      </c>
      <c r="AF134" s="458">
        <f t="shared" ca="1" si="1049"/>
        <v>0</v>
      </c>
      <c r="AG134" s="458">
        <f t="shared" ca="1" si="1049"/>
        <v>0</v>
      </c>
      <c r="AH134" s="458">
        <f t="shared" ca="1" si="1049"/>
        <v>0</v>
      </c>
      <c r="AI134" s="458"/>
      <c r="AJ134" s="458"/>
      <c r="AK134" s="458"/>
      <c r="AL134" s="458"/>
      <c r="AM134" s="458"/>
      <c r="AN134" s="458"/>
      <c r="AO134" s="458"/>
      <c r="AP134" s="458"/>
      <c r="AQ134" s="458"/>
      <c r="AR134" s="2450"/>
      <c r="AS134" s="458">
        <f t="shared" ref="AS134:AW134" ca="1" si="1050">IF(AS$29=1,AS123,0)</f>
        <v>0</v>
      </c>
      <c r="AT134" s="458">
        <f t="shared" ca="1" si="1050"/>
        <v>0</v>
      </c>
      <c r="AU134" s="458">
        <f t="shared" ca="1" si="1050"/>
        <v>0</v>
      </c>
      <c r="AV134" s="458">
        <f t="shared" ca="1" si="1050"/>
        <v>0</v>
      </c>
      <c r="AW134" s="458">
        <f t="shared" ca="1" si="1050"/>
        <v>0</v>
      </c>
      <c r="AX134" s="458">
        <f t="shared" ref="AX134" si="1051">IF(AX$29=1,AX123,0)</f>
        <v>0</v>
      </c>
      <c r="AY134" s="458">
        <f t="shared" ref="AY134:BI134" si="1052">IF(AY$29=1,AY123,0)</f>
        <v>0</v>
      </c>
      <c r="AZ134" s="458">
        <f t="shared" ref="AZ134" si="1053">IF(AZ$29=1,AZ123,0)</f>
        <v>0</v>
      </c>
      <c r="BA134" s="458">
        <f t="shared" si="1052"/>
        <v>0</v>
      </c>
      <c r="BB134" s="458">
        <f t="shared" si="1052"/>
        <v>0</v>
      </c>
      <c r="BC134" s="458">
        <f t="shared" si="1052"/>
        <v>0</v>
      </c>
      <c r="BD134" s="458">
        <f t="shared" si="1052"/>
        <v>0</v>
      </c>
      <c r="BE134" s="458">
        <f t="shared" si="1052"/>
        <v>0</v>
      </c>
      <c r="BF134" s="458">
        <f t="shared" si="1052"/>
        <v>0</v>
      </c>
      <c r="BG134" s="458">
        <f t="shared" si="1052"/>
        <v>0</v>
      </c>
      <c r="BH134" s="458">
        <f t="shared" si="1052"/>
        <v>0</v>
      </c>
      <c r="BI134" s="458">
        <f t="shared" si="1052"/>
        <v>0</v>
      </c>
      <c r="BJ134" s="457"/>
      <c r="BK134" s="457"/>
      <c r="BL134" s="457"/>
      <c r="BM134" s="597">
        <f t="shared" ca="1" si="944"/>
        <v>0</v>
      </c>
      <c r="BN134" s="579">
        <f t="shared" ca="1" si="1044"/>
        <v>0</v>
      </c>
      <c r="BO134" s="1089"/>
      <c r="BP134" s="1089"/>
      <c r="BQ134" s="1089"/>
      <c r="BR134" s="1089"/>
      <c r="BS134" s="1089"/>
      <c r="BT134" s="1089"/>
      <c r="BU134" s="1089"/>
      <c r="BV134" s="1089"/>
      <c r="BW134" s="1089"/>
      <c r="BX134" s="1089"/>
      <c r="BY134" s="1089"/>
      <c r="BZ134" s="1089"/>
    </row>
    <row r="135" spans="1:78" s="590" customFormat="1" ht="21.95" customHeight="1" thickBot="1" x14ac:dyDescent="0.2">
      <c r="A135" s="2596"/>
      <c r="B135" s="2681"/>
      <c r="C135" s="591" t="s">
        <v>676</v>
      </c>
      <c r="D135" s="2004"/>
      <c r="E135" s="592"/>
      <c r="F135" s="158">
        <f t="shared" si="1045"/>
        <v>0</v>
      </c>
      <c r="G135" s="158">
        <f t="shared" ref="G135" ca="1" si="1054">IF(G$29=1,G124,0)</f>
        <v>0</v>
      </c>
      <c r="H135" s="158">
        <f t="shared" ref="H135:I135" ca="1" si="1055">IF(H$29=1,H124,0)</f>
        <v>0</v>
      </c>
      <c r="I135" s="158">
        <f t="shared" ca="1" si="1055"/>
        <v>0</v>
      </c>
      <c r="J135" s="158"/>
      <c r="K135" s="158"/>
      <c r="L135" s="158"/>
      <c r="M135" s="158"/>
      <c r="N135" s="2416"/>
      <c r="O135" s="158">
        <f t="shared" ref="O135:V135" ca="1" si="1056">IF(O$29=1,O124,0)</f>
        <v>0</v>
      </c>
      <c r="P135" s="158">
        <f t="shared" ca="1" si="1056"/>
        <v>0</v>
      </c>
      <c r="Q135" s="158">
        <f t="shared" ca="1" si="1056"/>
        <v>0</v>
      </c>
      <c r="R135" s="158">
        <f t="shared" ca="1" si="1056"/>
        <v>0</v>
      </c>
      <c r="S135" s="158">
        <f t="shared" ca="1" si="1056"/>
        <v>0</v>
      </c>
      <c r="T135" s="158">
        <f t="shared" ca="1" si="1056"/>
        <v>0</v>
      </c>
      <c r="U135" s="158">
        <f t="shared" ca="1" si="1056"/>
        <v>0</v>
      </c>
      <c r="V135" s="158">
        <f t="shared" ca="1" si="1056"/>
        <v>0</v>
      </c>
      <c r="W135" s="158"/>
      <c r="X135" s="2416"/>
      <c r="Y135" s="158">
        <f t="shared" ref="Y135:AH135" ca="1" si="1057">IF(Y$29=1,Y124,0)</f>
        <v>0</v>
      </c>
      <c r="Z135" s="158">
        <f t="shared" ca="1" si="1057"/>
        <v>0</v>
      </c>
      <c r="AA135" s="158">
        <f t="shared" ca="1" si="1057"/>
        <v>0</v>
      </c>
      <c r="AB135" s="158">
        <f t="shared" ca="1" si="1057"/>
        <v>0</v>
      </c>
      <c r="AC135" s="158">
        <f t="shared" ca="1" si="1057"/>
        <v>0</v>
      </c>
      <c r="AD135" s="158">
        <f t="shared" ca="1" si="1057"/>
        <v>0</v>
      </c>
      <c r="AE135" s="158">
        <f t="shared" ca="1" si="1057"/>
        <v>0</v>
      </c>
      <c r="AF135" s="158">
        <f t="shared" ca="1" si="1057"/>
        <v>0</v>
      </c>
      <c r="AG135" s="158">
        <f t="shared" ca="1" si="1057"/>
        <v>0</v>
      </c>
      <c r="AH135" s="158">
        <f t="shared" ca="1" si="1057"/>
        <v>0</v>
      </c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2416"/>
      <c r="AS135" s="158">
        <f t="shared" ref="AS135:AW135" ca="1" si="1058">IF(AS$29=1,AS124,0)</f>
        <v>0</v>
      </c>
      <c r="AT135" s="158">
        <f t="shared" ca="1" si="1058"/>
        <v>0</v>
      </c>
      <c r="AU135" s="158">
        <f t="shared" ca="1" si="1058"/>
        <v>0</v>
      </c>
      <c r="AV135" s="158">
        <f t="shared" ca="1" si="1058"/>
        <v>0</v>
      </c>
      <c r="AW135" s="158">
        <f t="shared" ca="1" si="1058"/>
        <v>0</v>
      </c>
      <c r="AX135" s="158">
        <f t="shared" ref="AX135" si="1059">IF(AX$29=1,AX124,0)</f>
        <v>0</v>
      </c>
      <c r="AY135" s="158">
        <f t="shared" ref="AY135:BI135" si="1060">IF(AY$29=1,AY124,0)</f>
        <v>996.20868144888914</v>
      </c>
      <c r="AZ135" s="158">
        <f t="shared" ref="AZ135" si="1061">IF(AZ$29=1,AZ124,0)</f>
        <v>0</v>
      </c>
      <c r="BA135" s="158">
        <f t="shared" si="1060"/>
        <v>0</v>
      </c>
      <c r="BB135" s="158">
        <f t="shared" si="1060"/>
        <v>0</v>
      </c>
      <c r="BC135" s="158">
        <f t="shared" si="1060"/>
        <v>0</v>
      </c>
      <c r="BD135" s="158">
        <f t="shared" si="1060"/>
        <v>0</v>
      </c>
      <c r="BE135" s="158">
        <f t="shared" si="1060"/>
        <v>0</v>
      </c>
      <c r="BF135" s="158">
        <f t="shared" si="1060"/>
        <v>0</v>
      </c>
      <c r="BG135" s="158">
        <f t="shared" si="1060"/>
        <v>0</v>
      </c>
      <c r="BH135" s="158">
        <f t="shared" si="1060"/>
        <v>0</v>
      </c>
      <c r="BI135" s="158">
        <f t="shared" si="1060"/>
        <v>0</v>
      </c>
      <c r="BJ135" s="159"/>
      <c r="BK135" s="159"/>
      <c r="BL135" s="159"/>
      <c r="BM135" s="350">
        <f t="shared" ca="1" si="944"/>
        <v>996.2</v>
      </c>
      <c r="BN135" s="579">
        <f t="shared" ca="1" si="1044"/>
        <v>1992.4086814488892</v>
      </c>
      <c r="BO135" s="1089"/>
      <c r="BP135" s="1089"/>
      <c r="BQ135" s="1089"/>
      <c r="BR135" s="1089"/>
      <c r="BS135" s="1089"/>
      <c r="BT135" s="1089"/>
      <c r="BU135" s="1089"/>
      <c r="BV135" s="1089"/>
      <c r="BW135" s="1089"/>
      <c r="BX135" s="1089"/>
      <c r="BY135" s="1089"/>
      <c r="BZ135" s="1089"/>
    </row>
    <row r="136" spans="1:78" s="590" customFormat="1" ht="21.95" hidden="1" customHeight="1" x14ac:dyDescent="0.15">
      <c r="A136" s="2596"/>
      <c r="B136" s="2680"/>
      <c r="C136" s="591" t="s">
        <v>677</v>
      </c>
      <c r="D136" s="2011"/>
      <c r="E136" s="1531"/>
      <c r="F136" s="596">
        <f t="shared" si="1045"/>
        <v>0</v>
      </c>
      <c r="G136" s="596">
        <f t="shared" ref="G136" ca="1" si="1062">IF(G$29=1,G125,0)</f>
        <v>0</v>
      </c>
      <c r="H136" s="596">
        <f t="shared" ref="H136:I136" ca="1" si="1063">IF(H$29=1,H125,0)</f>
        <v>0</v>
      </c>
      <c r="I136" s="596">
        <f t="shared" ca="1" si="1063"/>
        <v>0</v>
      </c>
      <c r="J136" s="596"/>
      <c r="K136" s="596"/>
      <c r="L136" s="596"/>
      <c r="M136" s="596"/>
      <c r="N136" s="2451"/>
      <c r="O136" s="596">
        <f t="shared" ref="O136:V136" ca="1" si="1064">IF(O$29=1,O125,0)</f>
        <v>0</v>
      </c>
      <c r="P136" s="596">
        <f t="shared" ca="1" si="1064"/>
        <v>0</v>
      </c>
      <c r="Q136" s="596">
        <f t="shared" ca="1" si="1064"/>
        <v>0</v>
      </c>
      <c r="R136" s="596">
        <f t="shared" ca="1" si="1064"/>
        <v>0</v>
      </c>
      <c r="S136" s="596">
        <f t="shared" ca="1" si="1064"/>
        <v>0</v>
      </c>
      <c r="T136" s="596">
        <f t="shared" ca="1" si="1064"/>
        <v>0</v>
      </c>
      <c r="U136" s="596">
        <f t="shared" ca="1" si="1064"/>
        <v>0</v>
      </c>
      <c r="V136" s="596">
        <f t="shared" ca="1" si="1064"/>
        <v>0</v>
      </c>
      <c r="W136" s="596"/>
      <c r="X136" s="2451"/>
      <c r="Y136" s="596">
        <f t="shared" ref="Y136:AH136" ca="1" si="1065">IF(Y$29=1,Y125,0)</f>
        <v>0</v>
      </c>
      <c r="Z136" s="596">
        <f t="shared" ca="1" si="1065"/>
        <v>0</v>
      </c>
      <c r="AA136" s="596">
        <f t="shared" ca="1" si="1065"/>
        <v>0</v>
      </c>
      <c r="AB136" s="596">
        <f t="shared" ca="1" si="1065"/>
        <v>0</v>
      </c>
      <c r="AC136" s="596">
        <f t="shared" ca="1" si="1065"/>
        <v>0</v>
      </c>
      <c r="AD136" s="596">
        <f t="shared" ca="1" si="1065"/>
        <v>0</v>
      </c>
      <c r="AE136" s="596">
        <f t="shared" ca="1" si="1065"/>
        <v>0</v>
      </c>
      <c r="AF136" s="596">
        <f t="shared" ca="1" si="1065"/>
        <v>0</v>
      </c>
      <c r="AG136" s="596">
        <f t="shared" ca="1" si="1065"/>
        <v>0</v>
      </c>
      <c r="AH136" s="596">
        <f t="shared" ca="1" si="1065"/>
        <v>0</v>
      </c>
      <c r="AI136" s="596"/>
      <c r="AJ136" s="596"/>
      <c r="AK136" s="596"/>
      <c r="AL136" s="596"/>
      <c r="AM136" s="596"/>
      <c r="AN136" s="596"/>
      <c r="AO136" s="596"/>
      <c r="AP136" s="596"/>
      <c r="AQ136" s="596"/>
      <c r="AR136" s="2451"/>
      <c r="AS136" s="596">
        <f t="shared" ref="AS136:AW136" ca="1" si="1066">IF(AS$29=1,AS125,0)</f>
        <v>0</v>
      </c>
      <c r="AT136" s="596">
        <f t="shared" ca="1" si="1066"/>
        <v>0</v>
      </c>
      <c r="AU136" s="596">
        <f t="shared" ca="1" si="1066"/>
        <v>0</v>
      </c>
      <c r="AV136" s="596">
        <f t="shared" ca="1" si="1066"/>
        <v>0</v>
      </c>
      <c r="AW136" s="596">
        <f t="shared" ca="1" si="1066"/>
        <v>0</v>
      </c>
      <c r="AX136" s="596">
        <f t="shared" ref="AX136" si="1067">IF(AX$29=1,AX125,0)</f>
        <v>0</v>
      </c>
      <c r="AY136" s="596">
        <f t="shared" ref="AY136:BI136" si="1068">IF(AY$29=1,AY125,0)</f>
        <v>0</v>
      </c>
      <c r="AZ136" s="596">
        <f t="shared" ref="AZ136" si="1069">IF(AZ$29=1,AZ125,0)</f>
        <v>0</v>
      </c>
      <c r="BA136" s="596">
        <f t="shared" si="1068"/>
        <v>0</v>
      </c>
      <c r="BB136" s="596">
        <f t="shared" si="1068"/>
        <v>0</v>
      </c>
      <c r="BC136" s="596">
        <f t="shared" si="1068"/>
        <v>0</v>
      </c>
      <c r="BD136" s="596">
        <f t="shared" si="1068"/>
        <v>0</v>
      </c>
      <c r="BE136" s="596">
        <f t="shared" si="1068"/>
        <v>0</v>
      </c>
      <c r="BF136" s="596">
        <f t="shared" si="1068"/>
        <v>0</v>
      </c>
      <c r="BG136" s="596">
        <f t="shared" si="1068"/>
        <v>0</v>
      </c>
      <c r="BH136" s="596">
        <f t="shared" si="1068"/>
        <v>0</v>
      </c>
      <c r="BI136" s="596">
        <f t="shared" si="1068"/>
        <v>0</v>
      </c>
      <c r="BJ136" s="422"/>
      <c r="BK136" s="422"/>
      <c r="BL136" s="422"/>
      <c r="BM136" s="507">
        <f t="shared" ca="1" si="944"/>
        <v>0</v>
      </c>
      <c r="BN136" s="579">
        <f t="shared" ca="1" si="1044"/>
        <v>0</v>
      </c>
      <c r="BO136" s="1089"/>
      <c r="BP136" s="1089"/>
      <c r="BQ136" s="1089"/>
      <c r="BR136" s="1089"/>
      <c r="BS136" s="1089"/>
      <c r="BT136" s="1089"/>
      <c r="BU136" s="1089"/>
      <c r="BV136" s="1089"/>
      <c r="BW136" s="1089"/>
      <c r="BX136" s="1089"/>
      <c r="BY136" s="1089"/>
      <c r="BZ136" s="1089"/>
    </row>
    <row r="137" spans="1:78" s="590" customFormat="1" ht="21.95" hidden="1" customHeight="1" x14ac:dyDescent="0.15">
      <c r="A137" s="2596"/>
      <c r="B137" s="2680"/>
      <c r="C137" s="591" t="s">
        <v>678</v>
      </c>
      <c r="D137" s="2010"/>
      <c r="E137" s="1530"/>
      <c r="F137" s="458">
        <f t="shared" si="1045"/>
        <v>0</v>
      </c>
      <c r="G137" s="458">
        <f t="shared" ref="G137" ca="1" si="1070">IF(G$29=1,G126,0)</f>
        <v>0</v>
      </c>
      <c r="H137" s="458">
        <f t="shared" ref="H137:I137" ca="1" si="1071">IF(H$29=1,H126,0)</f>
        <v>0</v>
      </c>
      <c r="I137" s="458">
        <f t="shared" ca="1" si="1071"/>
        <v>0</v>
      </c>
      <c r="J137" s="458"/>
      <c r="K137" s="458"/>
      <c r="L137" s="458"/>
      <c r="M137" s="458"/>
      <c r="N137" s="2450"/>
      <c r="O137" s="458">
        <f t="shared" ref="O137:V137" ca="1" si="1072">IF(O$29=1,O126,0)</f>
        <v>0</v>
      </c>
      <c r="P137" s="458">
        <f t="shared" ca="1" si="1072"/>
        <v>0</v>
      </c>
      <c r="Q137" s="458">
        <f t="shared" ca="1" si="1072"/>
        <v>0</v>
      </c>
      <c r="R137" s="458">
        <f t="shared" ca="1" si="1072"/>
        <v>0</v>
      </c>
      <c r="S137" s="458">
        <f t="shared" ca="1" si="1072"/>
        <v>0</v>
      </c>
      <c r="T137" s="458">
        <f t="shared" ca="1" si="1072"/>
        <v>0</v>
      </c>
      <c r="U137" s="458">
        <f t="shared" ca="1" si="1072"/>
        <v>0</v>
      </c>
      <c r="V137" s="458">
        <f t="shared" ca="1" si="1072"/>
        <v>0</v>
      </c>
      <c r="W137" s="458"/>
      <c r="X137" s="2450"/>
      <c r="Y137" s="458">
        <f t="shared" ref="Y137:AH137" ca="1" si="1073">IF(Y$29=1,Y126,0)</f>
        <v>0</v>
      </c>
      <c r="Z137" s="458">
        <f t="shared" ca="1" si="1073"/>
        <v>0</v>
      </c>
      <c r="AA137" s="458">
        <f t="shared" ca="1" si="1073"/>
        <v>0</v>
      </c>
      <c r="AB137" s="458">
        <f t="shared" ca="1" si="1073"/>
        <v>0</v>
      </c>
      <c r="AC137" s="458">
        <f t="shared" ca="1" si="1073"/>
        <v>0</v>
      </c>
      <c r="AD137" s="458">
        <f t="shared" ca="1" si="1073"/>
        <v>0</v>
      </c>
      <c r="AE137" s="458">
        <f t="shared" ca="1" si="1073"/>
        <v>0</v>
      </c>
      <c r="AF137" s="458">
        <f t="shared" ca="1" si="1073"/>
        <v>0</v>
      </c>
      <c r="AG137" s="458">
        <f t="shared" ca="1" si="1073"/>
        <v>0</v>
      </c>
      <c r="AH137" s="458">
        <f t="shared" ca="1" si="1073"/>
        <v>0</v>
      </c>
      <c r="AI137" s="458"/>
      <c r="AJ137" s="458"/>
      <c r="AK137" s="458"/>
      <c r="AL137" s="458"/>
      <c r="AM137" s="458"/>
      <c r="AN137" s="458"/>
      <c r="AO137" s="458"/>
      <c r="AP137" s="458"/>
      <c r="AQ137" s="458"/>
      <c r="AR137" s="2450"/>
      <c r="AS137" s="458">
        <f t="shared" ref="AS137:AW137" ca="1" si="1074">IF(AS$29=1,AS126,0)</f>
        <v>0</v>
      </c>
      <c r="AT137" s="458">
        <f t="shared" ca="1" si="1074"/>
        <v>0</v>
      </c>
      <c r="AU137" s="458">
        <f t="shared" ca="1" si="1074"/>
        <v>0</v>
      </c>
      <c r="AV137" s="458">
        <f t="shared" ca="1" si="1074"/>
        <v>0</v>
      </c>
      <c r="AW137" s="458">
        <f t="shared" ca="1" si="1074"/>
        <v>0</v>
      </c>
      <c r="AX137" s="458">
        <f t="shared" ref="AX137" si="1075">IF(AX$29=1,AX126,0)</f>
        <v>0</v>
      </c>
      <c r="AY137" s="458">
        <f t="shared" ref="AY137:BI137" si="1076">IF(AY$29=1,AY126,0)</f>
        <v>0</v>
      </c>
      <c r="AZ137" s="458">
        <f t="shared" ref="AZ137" si="1077">IF(AZ$29=1,AZ126,0)</f>
        <v>0</v>
      </c>
      <c r="BA137" s="458">
        <f t="shared" si="1076"/>
        <v>0</v>
      </c>
      <c r="BB137" s="458">
        <f t="shared" si="1076"/>
        <v>0</v>
      </c>
      <c r="BC137" s="458">
        <f t="shared" si="1076"/>
        <v>0</v>
      </c>
      <c r="BD137" s="458">
        <f t="shared" si="1076"/>
        <v>0</v>
      </c>
      <c r="BE137" s="458">
        <f t="shared" si="1076"/>
        <v>0</v>
      </c>
      <c r="BF137" s="458">
        <f t="shared" si="1076"/>
        <v>0</v>
      </c>
      <c r="BG137" s="458">
        <f t="shared" si="1076"/>
        <v>0</v>
      </c>
      <c r="BH137" s="458">
        <f t="shared" si="1076"/>
        <v>0</v>
      </c>
      <c r="BI137" s="458">
        <f t="shared" si="1076"/>
        <v>0</v>
      </c>
      <c r="BJ137" s="457"/>
      <c r="BK137" s="457"/>
      <c r="BL137" s="457"/>
      <c r="BM137" s="597">
        <f t="shared" ca="1" si="944"/>
        <v>0</v>
      </c>
      <c r="BN137" s="579">
        <f t="shared" ca="1" si="1044"/>
        <v>0</v>
      </c>
      <c r="BO137" s="1089"/>
      <c r="BP137" s="1089"/>
      <c r="BQ137" s="1089"/>
      <c r="BR137" s="1089"/>
      <c r="BS137" s="1089"/>
      <c r="BT137" s="1089"/>
      <c r="BU137" s="1089"/>
      <c r="BV137" s="1089"/>
      <c r="BW137" s="1089"/>
      <c r="BX137" s="1089"/>
      <c r="BY137" s="1089"/>
      <c r="BZ137" s="1089"/>
    </row>
    <row r="138" spans="1:78" s="590" customFormat="1" ht="21.95" customHeight="1" x14ac:dyDescent="0.15">
      <c r="A138" s="2596"/>
      <c r="B138" s="2680"/>
      <c r="C138" s="591" t="s">
        <v>679</v>
      </c>
      <c r="D138" s="2004"/>
      <c r="E138" s="592"/>
      <c r="F138" s="158">
        <f t="shared" si="1045"/>
        <v>0</v>
      </c>
      <c r="G138" s="158">
        <f t="shared" ref="G138" ca="1" si="1078">IF(G$29=1,G127,0)</f>
        <v>212.25155302266631</v>
      </c>
      <c r="H138" s="158">
        <f t="shared" ref="H138:I138" ca="1" si="1079">IF(H$29=1,H127,0)</f>
        <v>174.72300786016757</v>
      </c>
      <c r="I138" s="158">
        <f t="shared" ca="1" si="1079"/>
        <v>149.26199646016704</v>
      </c>
      <c r="J138" s="158"/>
      <c r="K138" s="158"/>
      <c r="L138" s="158"/>
      <c r="M138" s="158"/>
      <c r="N138" s="2416"/>
      <c r="O138" s="158">
        <f t="shared" ref="O138:V138" ca="1" si="1080">IF(O$29=1,O127,0)</f>
        <v>196.12423511929916</v>
      </c>
      <c r="P138" s="158">
        <f t="shared" ca="1" si="1080"/>
        <v>257.62716358131775</v>
      </c>
      <c r="Q138" s="158">
        <f t="shared" ca="1" si="1080"/>
        <v>277.68763484749672</v>
      </c>
      <c r="R138" s="158">
        <f t="shared" ca="1" si="1080"/>
        <v>288.53918803169222</v>
      </c>
      <c r="S138" s="158">
        <f t="shared" ca="1" si="1080"/>
        <v>275.79966886331141</v>
      </c>
      <c r="T138" s="158">
        <f t="shared" ca="1" si="1080"/>
        <v>0</v>
      </c>
      <c r="U138" s="158">
        <f t="shared" ca="1" si="1080"/>
        <v>0</v>
      </c>
      <c r="V138" s="158">
        <f t="shared" ca="1" si="1080"/>
        <v>0</v>
      </c>
      <c r="W138" s="158"/>
      <c r="X138" s="2416"/>
      <c r="Y138" s="158">
        <f t="shared" ref="Y138:AH138" ca="1" si="1081">IF(Y$29=1,Y127,0)</f>
        <v>0</v>
      </c>
      <c r="Z138" s="158">
        <f t="shared" ca="1" si="1081"/>
        <v>278.8117317795365</v>
      </c>
      <c r="AA138" s="158">
        <f t="shared" ca="1" si="1081"/>
        <v>280.5472161795384</v>
      </c>
      <c r="AB138" s="158">
        <f t="shared" ca="1" si="1081"/>
        <v>278.4680433795404</v>
      </c>
      <c r="AC138" s="158">
        <f t="shared" ca="1" si="1081"/>
        <v>0</v>
      </c>
      <c r="AD138" s="158">
        <f t="shared" ca="1" si="1081"/>
        <v>0</v>
      </c>
      <c r="AE138" s="158">
        <f t="shared" ca="1" si="1081"/>
        <v>0</v>
      </c>
      <c r="AF138" s="158">
        <f t="shared" ca="1" si="1081"/>
        <v>0</v>
      </c>
      <c r="AG138" s="158">
        <f t="shared" ca="1" si="1081"/>
        <v>0</v>
      </c>
      <c r="AH138" s="158">
        <f t="shared" ca="1" si="1081"/>
        <v>0</v>
      </c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2416"/>
      <c r="AS138" s="158">
        <f t="shared" ref="AS138:AW138" ca="1" si="1082">IF(AS$29=1,AS127,0)</f>
        <v>214.52334184108355</v>
      </c>
      <c r="AT138" s="158">
        <f t="shared" ca="1" si="1082"/>
        <v>0</v>
      </c>
      <c r="AU138" s="158">
        <f t="shared" ca="1" si="1082"/>
        <v>0</v>
      </c>
      <c r="AV138" s="158">
        <f t="shared" ca="1" si="1082"/>
        <v>0</v>
      </c>
      <c r="AW138" s="158">
        <f t="shared" ca="1" si="1082"/>
        <v>0</v>
      </c>
      <c r="AX138" s="158">
        <f t="shared" ref="AX138" si="1083">IF(AX$29=1,AX127,0)</f>
        <v>0</v>
      </c>
      <c r="AY138" s="158">
        <f t="shared" ref="AY138:BI138" si="1084">IF(AY$29=1,AY127,0)</f>
        <v>0</v>
      </c>
      <c r="AZ138" s="158">
        <f t="shared" ref="AZ138" si="1085">IF(AZ$29=1,AZ127,0)</f>
        <v>0</v>
      </c>
      <c r="BA138" s="158">
        <f t="shared" si="1084"/>
        <v>0</v>
      </c>
      <c r="BB138" s="158">
        <f t="shared" si="1084"/>
        <v>0</v>
      </c>
      <c r="BC138" s="158">
        <f t="shared" si="1084"/>
        <v>0</v>
      </c>
      <c r="BD138" s="158">
        <f t="shared" si="1084"/>
        <v>0</v>
      </c>
      <c r="BE138" s="158">
        <f t="shared" si="1084"/>
        <v>0</v>
      </c>
      <c r="BF138" s="158">
        <f t="shared" si="1084"/>
        <v>0</v>
      </c>
      <c r="BG138" s="158">
        <f t="shared" si="1084"/>
        <v>0</v>
      </c>
      <c r="BH138" s="158">
        <f t="shared" si="1084"/>
        <v>0</v>
      </c>
      <c r="BI138" s="158">
        <f t="shared" si="1084"/>
        <v>0</v>
      </c>
      <c r="BJ138" s="159"/>
      <c r="BK138" s="159"/>
      <c r="BL138" s="159"/>
      <c r="BM138" s="350">
        <f t="shared" ca="1" si="944"/>
        <v>2884.36</v>
      </c>
      <c r="BN138" s="579">
        <f t="shared" ca="1" si="1044"/>
        <v>5768.7247809658165</v>
      </c>
      <c r="BO138" s="1089"/>
      <c r="BP138" s="1089"/>
      <c r="BQ138" s="1089"/>
      <c r="BR138" s="1089"/>
      <c r="BS138" s="1089"/>
      <c r="BT138" s="1089"/>
      <c r="BU138" s="1089"/>
      <c r="BV138" s="1089"/>
      <c r="BW138" s="1089"/>
      <c r="BX138" s="1089"/>
      <c r="BY138" s="1089"/>
      <c r="BZ138" s="1089"/>
    </row>
    <row r="139" spans="1:78" s="590" customFormat="1" ht="21.95" customHeight="1" thickBot="1" x14ac:dyDescent="0.2">
      <c r="A139" s="2596"/>
      <c r="B139" s="2681"/>
      <c r="C139" s="591" t="s">
        <v>680</v>
      </c>
      <c r="D139" s="2011"/>
      <c r="E139" s="1531"/>
      <c r="F139" s="596">
        <f t="shared" si="1045"/>
        <v>0</v>
      </c>
      <c r="G139" s="596">
        <f t="shared" ref="G139" ca="1" si="1086">IF(G$29=1,G128,0)</f>
        <v>0</v>
      </c>
      <c r="H139" s="596">
        <f t="shared" ref="H139:I139" ca="1" si="1087">IF(H$29=1,H128,0)</f>
        <v>0</v>
      </c>
      <c r="I139" s="596">
        <f t="shared" ca="1" si="1087"/>
        <v>0</v>
      </c>
      <c r="J139" s="596"/>
      <c r="K139" s="596"/>
      <c r="L139" s="596"/>
      <c r="M139" s="596"/>
      <c r="N139" s="2451"/>
      <c r="O139" s="596">
        <f t="shared" ref="O139:V139" ca="1" si="1088">IF(O$29=1,O128,0)</f>
        <v>0</v>
      </c>
      <c r="P139" s="596">
        <f t="shared" ca="1" si="1088"/>
        <v>0</v>
      </c>
      <c r="Q139" s="596">
        <f t="shared" ca="1" si="1088"/>
        <v>0</v>
      </c>
      <c r="R139" s="596">
        <f t="shared" ca="1" si="1088"/>
        <v>0</v>
      </c>
      <c r="S139" s="596">
        <f t="shared" ca="1" si="1088"/>
        <v>0</v>
      </c>
      <c r="T139" s="596">
        <f t="shared" ca="1" si="1088"/>
        <v>410.84638952853857</v>
      </c>
      <c r="U139" s="596">
        <f t="shared" ca="1" si="1088"/>
        <v>408.99440794730174</v>
      </c>
      <c r="V139" s="596">
        <f t="shared" ca="1" si="1088"/>
        <v>203.85574363748486</v>
      </c>
      <c r="W139" s="596"/>
      <c r="X139" s="2451"/>
      <c r="Y139" s="596">
        <f t="shared" ref="Y139:AH139" ca="1" si="1089">IF(Y$29=1,Y128,0)</f>
        <v>238.82965913249549</v>
      </c>
      <c r="Z139" s="596">
        <f t="shared" ca="1" si="1089"/>
        <v>0</v>
      </c>
      <c r="AA139" s="596">
        <f t="shared" ca="1" si="1089"/>
        <v>0</v>
      </c>
      <c r="AB139" s="596">
        <f t="shared" ca="1" si="1089"/>
        <v>0</v>
      </c>
      <c r="AC139" s="596">
        <f t="shared" ca="1" si="1089"/>
        <v>233.27245777848856</v>
      </c>
      <c r="AD139" s="596">
        <f t="shared" ca="1" si="1089"/>
        <v>224.09113864076647</v>
      </c>
      <c r="AE139" s="596">
        <f t="shared" ca="1" si="1089"/>
        <v>224.69228090392124</v>
      </c>
      <c r="AF139" s="596">
        <f t="shared" ca="1" si="1089"/>
        <v>380.38145059263582</v>
      </c>
      <c r="AG139" s="596">
        <f t="shared" ca="1" si="1089"/>
        <v>409.95816855447691</v>
      </c>
      <c r="AH139" s="596">
        <f t="shared" ca="1" si="1089"/>
        <v>470.67868885628815</v>
      </c>
      <c r="AI139" s="596"/>
      <c r="AJ139" s="596"/>
      <c r="AK139" s="596"/>
      <c r="AL139" s="596"/>
      <c r="AM139" s="596"/>
      <c r="AN139" s="596"/>
      <c r="AO139" s="596"/>
      <c r="AP139" s="596"/>
      <c r="AQ139" s="596"/>
      <c r="AR139" s="2451"/>
      <c r="AS139" s="596">
        <f t="shared" ref="AS139:AW139" ca="1" si="1090">IF(AS$29=1,AS128,0)</f>
        <v>0</v>
      </c>
      <c r="AT139" s="596">
        <f t="shared" ca="1" si="1090"/>
        <v>216.44857823023386</v>
      </c>
      <c r="AU139" s="596">
        <f t="shared" ca="1" si="1090"/>
        <v>217.88880764918616</v>
      </c>
      <c r="AV139" s="596">
        <f t="shared" ca="1" si="1090"/>
        <v>215.93847907866135</v>
      </c>
      <c r="AW139" s="596">
        <f t="shared" ca="1" si="1090"/>
        <v>0</v>
      </c>
      <c r="AX139" s="596">
        <f t="shared" ref="AX139" si="1091">IF(AX$29=1,AX128,0)</f>
        <v>0</v>
      </c>
      <c r="AY139" s="596">
        <f t="shared" ref="AY139:BI139" si="1092">IF(AY$29=1,AY128,0)</f>
        <v>0</v>
      </c>
      <c r="AZ139" s="596">
        <f t="shared" ref="AZ139" si="1093">IF(AZ$29=1,AZ128,0)</f>
        <v>0</v>
      </c>
      <c r="BA139" s="596">
        <f t="shared" si="1092"/>
        <v>124.72579627825431</v>
      </c>
      <c r="BB139" s="596">
        <f t="shared" si="1092"/>
        <v>0</v>
      </c>
      <c r="BC139" s="596">
        <f t="shared" si="1092"/>
        <v>0</v>
      </c>
      <c r="BD139" s="596">
        <f t="shared" si="1092"/>
        <v>0</v>
      </c>
      <c r="BE139" s="596">
        <f t="shared" si="1092"/>
        <v>0</v>
      </c>
      <c r="BF139" s="596">
        <f t="shared" si="1092"/>
        <v>0</v>
      </c>
      <c r="BG139" s="596">
        <f t="shared" si="1092"/>
        <v>0</v>
      </c>
      <c r="BH139" s="596">
        <f t="shared" si="1092"/>
        <v>0</v>
      </c>
      <c r="BI139" s="596">
        <f t="shared" si="1092"/>
        <v>0</v>
      </c>
      <c r="BJ139" s="422"/>
      <c r="BK139" s="422"/>
      <c r="BL139" s="422"/>
      <c r="BM139" s="507">
        <f t="shared" ca="1" si="944"/>
        <v>3980.6</v>
      </c>
      <c r="BN139" s="579">
        <f t="shared" ca="1" si="1044"/>
        <v>7961.2020468087339</v>
      </c>
      <c r="BO139" s="1089"/>
      <c r="BP139" s="1089"/>
      <c r="BQ139" s="1089"/>
      <c r="BR139" s="1089"/>
      <c r="BS139" s="1089"/>
      <c r="BT139" s="1089"/>
      <c r="BU139" s="1089"/>
      <c r="BV139" s="1089"/>
      <c r="BW139" s="1089"/>
      <c r="BX139" s="1089"/>
      <c r="BY139" s="1089"/>
      <c r="BZ139" s="1089"/>
    </row>
    <row r="140" spans="1:78" s="590" customFormat="1" ht="21.95" hidden="1" customHeight="1" x14ac:dyDescent="0.15">
      <c r="A140" s="2596"/>
      <c r="B140" s="2680"/>
      <c r="C140" s="591" t="s">
        <v>684</v>
      </c>
      <c r="D140" s="2010"/>
      <c r="E140" s="1530"/>
      <c r="F140" s="458">
        <f t="shared" si="1045"/>
        <v>0</v>
      </c>
      <c r="G140" s="458">
        <f t="shared" ref="G140" ca="1" si="1094">IF(G$29=1,G129,0)</f>
        <v>0</v>
      </c>
      <c r="H140" s="458">
        <f t="shared" ref="H140:I140" ca="1" si="1095">IF(H$29=1,H129,0)</f>
        <v>0</v>
      </c>
      <c r="I140" s="458">
        <f t="shared" ca="1" si="1095"/>
        <v>0</v>
      </c>
      <c r="J140" s="458"/>
      <c r="K140" s="458"/>
      <c r="L140" s="458"/>
      <c r="M140" s="458"/>
      <c r="N140" s="2450"/>
      <c r="O140" s="458">
        <f t="shared" ref="O140:V140" ca="1" si="1096">IF(O$29=1,O129,0)</f>
        <v>0</v>
      </c>
      <c r="P140" s="458">
        <f t="shared" ca="1" si="1096"/>
        <v>0</v>
      </c>
      <c r="Q140" s="458">
        <f t="shared" ca="1" si="1096"/>
        <v>0</v>
      </c>
      <c r="R140" s="458">
        <f t="shared" ca="1" si="1096"/>
        <v>0</v>
      </c>
      <c r="S140" s="458">
        <f t="shared" ca="1" si="1096"/>
        <v>0</v>
      </c>
      <c r="T140" s="458">
        <f t="shared" ca="1" si="1096"/>
        <v>0</v>
      </c>
      <c r="U140" s="458">
        <f t="shared" ca="1" si="1096"/>
        <v>0</v>
      </c>
      <c r="V140" s="458">
        <f t="shared" ca="1" si="1096"/>
        <v>0</v>
      </c>
      <c r="W140" s="458"/>
      <c r="X140" s="2450"/>
      <c r="Y140" s="458">
        <f t="shared" ref="Y140:AH140" ca="1" si="1097">IF(Y$29=1,Y129,0)</f>
        <v>0</v>
      </c>
      <c r="Z140" s="458">
        <f t="shared" ca="1" si="1097"/>
        <v>0</v>
      </c>
      <c r="AA140" s="458">
        <f t="shared" ca="1" si="1097"/>
        <v>0</v>
      </c>
      <c r="AB140" s="458">
        <f t="shared" ca="1" si="1097"/>
        <v>0</v>
      </c>
      <c r="AC140" s="458">
        <f t="shared" ca="1" si="1097"/>
        <v>0</v>
      </c>
      <c r="AD140" s="458">
        <f t="shared" ca="1" si="1097"/>
        <v>0</v>
      </c>
      <c r="AE140" s="458">
        <f t="shared" ca="1" si="1097"/>
        <v>0</v>
      </c>
      <c r="AF140" s="458">
        <f t="shared" ca="1" si="1097"/>
        <v>0</v>
      </c>
      <c r="AG140" s="458">
        <f t="shared" ca="1" si="1097"/>
        <v>0</v>
      </c>
      <c r="AH140" s="458">
        <f t="shared" ca="1" si="1097"/>
        <v>0</v>
      </c>
      <c r="AI140" s="458"/>
      <c r="AJ140" s="458"/>
      <c r="AK140" s="458"/>
      <c r="AL140" s="458"/>
      <c r="AM140" s="458"/>
      <c r="AN140" s="458"/>
      <c r="AO140" s="458"/>
      <c r="AP140" s="458"/>
      <c r="AQ140" s="458"/>
      <c r="AR140" s="2450"/>
      <c r="AS140" s="458">
        <f t="shared" ref="AS140:AW140" ca="1" si="1098">IF(AS$29=1,AS129,0)</f>
        <v>0</v>
      </c>
      <c r="AT140" s="458">
        <f t="shared" ca="1" si="1098"/>
        <v>0</v>
      </c>
      <c r="AU140" s="458">
        <f t="shared" ca="1" si="1098"/>
        <v>0</v>
      </c>
      <c r="AV140" s="458">
        <f t="shared" ca="1" si="1098"/>
        <v>0</v>
      </c>
      <c r="AW140" s="458">
        <f t="shared" ca="1" si="1098"/>
        <v>0</v>
      </c>
      <c r="AX140" s="458">
        <f t="shared" ref="AX140" si="1099">IF(AX$29=1,AX129,0)</f>
        <v>0</v>
      </c>
      <c r="AY140" s="458">
        <f t="shared" ref="AY140:BI140" si="1100">IF(AY$29=1,AY129,0)</f>
        <v>0</v>
      </c>
      <c r="AZ140" s="458">
        <f t="shared" ref="AZ140" si="1101">IF(AZ$29=1,AZ129,0)</f>
        <v>0</v>
      </c>
      <c r="BA140" s="458">
        <f t="shared" si="1100"/>
        <v>0</v>
      </c>
      <c r="BB140" s="458">
        <f t="shared" si="1100"/>
        <v>0</v>
      </c>
      <c r="BC140" s="458">
        <f t="shared" si="1100"/>
        <v>0</v>
      </c>
      <c r="BD140" s="458">
        <f t="shared" si="1100"/>
        <v>0</v>
      </c>
      <c r="BE140" s="458">
        <f t="shared" si="1100"/>
        <v>0</v>
      </c>
      <c r="BF140" s="458">
        <f t="shared" si="1100"/>
        <v>0</v>
      </c>
      <c r="BG140" s="458">
        <f t="shared" si="1100"/>
        <v>0</v>
      </c>
      <c r="BH140" s="458">
        <f t="shared" si="1100"/>
        <v>0</v>
      </c>
      <c r="BI140" s="458">
        <f t="shared" si="1100"/>
        <v>0</v>
      </c>
      <c r="BJ140" s="457"/>
      <c r="BK140" s="457"/>
      <c r="BL140" s="457"/>
      <c r="BM140" s="597">
        <f t="shared" ca="1" si="944"/>
        <v>0</v>
      </c>
      <c r="BN140" s="579">
        <f t="shared" ca="1" si="1044"/>
        <v>0</v>
      </c>
      <c r="BO140" s="1089"/>
      <c r="BP140" s="1089"/>
      <c r="BQ140" s="1089"/>
      <c r="BR140" s="1089"/>
      <c r="BS140" s="1089"/>
      <c r="BT140" s="1089"/>
      <c r="BU140" s="1089"/>
      <c r="BV140" s="1089"/>
      <c r="BW140" s="1089"/>
      <c r="BX140" s="1089"/>
      <c r="BY140" s="1089"/>
      <c r="BZ140" s="1089"/>
    </row>
    <row r="141" spans="1:78" s="590" customFormat="1" ht="21.95" customHeight="1" thickBot="1" x14ac:dyDescent="0.2">
      <c r="A141" s="2596"/>
      <c r="B141" s="2681"/>
      <c r="C141" s="591" t="s">
        <v>681</v>
      </c>
      <c r="D141" s="2011"/>
      <c r="E141" s="1531"/>
      <c r="F141" s="596">
        <f t="shared" si="1045"/>
        <v>0</v>
      </c>
      <c r="G141" s="596">
        <f t="shared" ref="G141" ca="1" si="1102">IF(G$29=1,G130,0)</f>
        <v>0</v>
      </c>
      <c r="H141" s="596">
        <f t="shared" ref="H141:I141" ca="1" si="1103">IF(H$29=1,H130,0)</f>
        <v>0</v>
      </c>
      <c r="I141" s="596">
        <f t="shared" ca="1" si="1103"/>
        <v>0</v>
      </c>
      <c r="J141" s="596"/>
      <c r="K141" s="596"/>
      <c r="L141" s="596"/>
      <c r="M141" s="596"/>
      <c r="N141" s="2451"/>
      <c r="O141" s="596">
        <f t="shared" ref="O141:V141" ca="1" si="1104">IF(O$29=1,O130,0)</f>
        <v>0</v>
      </c>
      <c r="P141" s="596">
        <f t="shared" ca="1" si="1104"/>
        <v>0</v>
      </c>
      <c r="Q141" s="596">
        <f t="shared" ca="1" si="1104"/>
        <v>0</v>
      </c>
      <c r="R141" s="596">
        <f t="shared" ca="1" si="1104"/>
        <v>0</v>
      </c>
      <c r="S141" s="596">
        <f t="shared" ca="1" si="1104"/>
        <v>0</v>
      </c>
      <c r="T141" s="596">
        <f t="shared" ca="1" si="1104"/>
        <v>0</v>
      </c>
      <c r="U141" s="596">
        <f t="shared" ca="1" si="1104"/>
        <v>0</v>
      </c>
      <c r="V141" s="596">
        <f t="shared" ca="1" si="1104"/>
        <v>0</v>
      </c>
      <c r="W141" s="596"/>
      <c r="X141" s="2451"/>
      <c r="Y141" s="596">
        <f t="shared" ref="Y141:AH141" ca="1" si="1105">IF(Y$29=1,Y130,0)</f>
        <v>0</v>
      </c>
      <c r="Z141" s="596">
        <f t="shared" ca="1" si="1105"/>
        <v>0</v>
      </c>
      <c r="AA141" s="596">
        <f t="shared" ca="1" si="1105"/>
        <v>0</v>
      </c>
      <c r="AB141" s="596">
        <f t="shared" ca="1" si="1105"/>
        <v>0</v>
      </c>
      <c r="AC141" s="596">
        <f t="shared" ca="1" si="1105"/>
        <v>0</v>
      </c>
      <c r="AD141" s="596">
        <f t="shared" ca="1" si="1105"/>
        <v>0</v>
      </c>
      <c r="AE141" s="596">
        <f t="shared" ca="1" si="1105"/>
        <v>0</v>
      </c>
      <c r="AF141" s="596">
        <f t="shared" ca="1" si="1105"/>
        <v>0</v>
      </c>
      <c r="AG141" s="596">
        <f t="shared" ca="1" si="1105"/>
        <v>0</v>
      </c>
      <c r="AH141" s="596">
        <f t="shared" ca="1" si="1105"/>
        <v>0</v>
      </c>
      <c r="AI141" s="596"/>
      <c r="AJ141" s="596"/>
      <c r="AK141" s="596"/>
      <c r="AL141" s="596"/>
      <c r="AM141" s="596"/>
      <c r="AN141" s="596"/>
      <c r="AO141" s="596"/>
      <c r="AP141" s="596"/>
      <c r="AQ141" s="596"/>
      <c r="AR141" s="2451"/>
      <c r="AS141" s="596">
        <f t="shared" ref="AS141:AW141" ca="1" si="1106">IF(AS$29=1,AS130,0)</f>
        <v>0</v>
      </c>
      <c r="AT141" s="596">
        <f t="shared" ca="1" si="1106"/>
        <v>0</v>
      </c>
      <c r="AU141" s="596">
        <f t="shared" ca="1" si="1106"/>
        <v>0</v>
      </c>
      <c r="AV141" s="596">
        <f t="shared" ca="1" si="1106"/>
        <v>0</v>
      </c>
      <c r="AW141" s="596">
        <f t="shared" ca="1" si="1106"/>
        <v>433.52060672569741</v>
      </c>
      <c r="AX141" s="596">
        <f t="shared" ref="AX141" si="1107">IF(AX$29=1,AX130,0)</f>
        <v>0</v>
      </c>
      <c r="AY141" s="596">
        <f t="shared" ref="AY141:BI141" si="1108">IF(AY$29=1,AY130,0)</f>
        <v>0</v>
      </c>
      <c r="AZ141" s="596">
        <f t="shared" ref="AZ141" si="1109">IF(AZ$29=1,AZ130,0)</f>
        <v>0</v>
      </c>
      <c r="BA141" s="596">
        <f t="shared" si="1108"/>
        <v>0</v>
      </c>
      <c r="BB141" s="596">
        <f t="shared" si="1108"/>
        <v>0</v>
      </c>
      <c r="BC141" s="596">
        <f t="shared" si="1108"/>
        <v>0</v>
      </c>
      <c r="BD141" s="596">
        <f t="shared" si="1108"/>
        <v>0</v>
      </c>
      <c r="BE141" s="596">
        <f t="shared" si="1108"/>
        <v>0</v>
      </c>
      <c r="BF141" s="596">
        <f t="shared" si="1108"/>
        <v>0</v>
      </c>
      <c r="BG141" s="596">
        <f t="shared" si="1108"/>
        <v>0</v>
      </c>
      <c r="BH141" s="596">
        <f t="shared" si="1108"/>
        <v>0</v>
      </c>
      <c r="BI141" s="596">
        <f t="shared" si="1108"/>
        <v>0</v>
      </c>
      <c r="BJ141" s="422"/>
      <c r="BK141" s="422"/>
      <c r="BL141" s="422"/>
      <c r="BM141" s="507">
        <f t="shared" ca="1" si="944"/>
        <v>433.52</v>
      </c>
      <c r="BN141" s="579">
        <f t="shared" ca="1" si="1044"/>
        <v>867.04060672569744</v>
      </c>
      <c r="BO141" s="1089"/>
      <c r="BP141" s="1089"/>
      <c r="BQ141" s="1089"/>
      <c r="BR141" s="1089"/>
      <c r="BS141" s="1089"/>
      <c r="BT141" s="1089"/>
      <c r="BU141" s="1089"/>
      <c r="BV141" s="1089"/>
      <c r="BW141" s="1089"/>
      <c r="BX141" s="1089"/>
      <c r="BY141" s="1089"/>
      <c r="BZ141" s="1089"/>
    </row>
    <row r="142" spans="1:78" s="590" customFormat="1" ht="21.95" hidden="1" customHeight="1" x14ac:dyDescent="0.15">
      <c r="A142" s="2596"/>
      <c r="B142" s="2680"/>
      <c r="C142" s="591" t="s">
        <v>682</v>
      </c>
      <c r="D142" s="2010"/>
      <c r="E142" s="1530"/>
      <c r="F142" s="458">
        <f t="shared" si="1045"/>
        <v>0</v>
      </c>
      <c r="G142" s="458">
        <f t="shared" ref="G142" ca="1" si="1110">IF(G$29=1,G131,0)</f>
        <v>0</v>
      </c>
      <c r="H142" s="458">
        <f t="shared" ref="H142:I142" ca="1" si="1111">IF(H$29=1,H131,0)</f>
        <v>0</v>
      </c>
      <c r="I142" s="458">
        <f t="shared" ca="1" si="1111"/>
        <v>0</v>
      </c>
      <c r="J142" s="458"/>
      <c r="K142" s="458"/>
      <c r="L142" s="458"/>
      <c r="M142" s="458"/>
      <c r="N142" s="2450"/>
      <c r="O142" s="458">
        <f t="shared" ref="O142:V142" ca="1" si="1112">IF(O$29=1,O131,0)</f>
        <v>0</v>
      </c>
      <c r="P142" s="458">
        <f t="shared" ca="1" si="1112"/>
        <v>0</v>
      </c>
      <c r="Q142" s="458">
        <f t="shared" ca="1" si="1112"/>
        <v>0</v>
      </c>
      <c r="R142" s="458">
        <f t="shared" ca="1" si="1112"/>
        <v>0</v>
      </c>
      <c r="S142" s="458">
        <f t="shared" ca="1" si="1112"/>
        <v>0</v>
      </c>
      <c r="T142" s="458">
        <f t="shared" ca="1" si="1112"/>
        <v>0</v>
      </c>
      <c r="U142" s="458">
        <f t="shared" ca="1" si="1112"/>
        <v>0</v>
      </c>
      <c r="V142" s="458">
        <f t="shared" ca="1" si="1112"/>
        <v>0</v>
      </c>
      <c r="W142" s="458"/>
      <c r="X142" s="2450"/>
      <c r="Y142" s="458">
        <f t="shared" ref="Y142:AH142" ca="1" si="1113">IF(Y$29=1,Y131,0)</f>
        <v>0</v>
      </c>
      <c r="Z142" s="458">
        <f t="shared" ca="1" si="1113"/>
        <v>0</v>
      </c>
      <c r="AA142" s="458">
        <f t="shared" ca="1" si="1113"/>
        <v>0</v>
      </c>
      <c r="AB142" s="458">
        <f t="shared" ca="1" si="1113"/>
        <v>0</v>
      </c>
      <c r="AC142" s="458">
        <f t="shared" ca="1" si="1113"/>
        <v>0</v>
      </c>
      <c r="AD142" s="458">
        <f t="shared" ca="1" si="1113"/>
        <v>0</v>
      </c>
      <c r="AE142" s="458">
        <f t="shared" ca="1" si="1113"/>
        <v>0</v>
      </c>
      <c r="AF142" s="458">
        <f t="shared" ca="1" si="1113"/>
        <v>0</v>
      </c>
      <c r="AG142" s="458">
        <f t="shared" ca="1" si="1113"/>
        <v>0</v>
      </c>
      <c r="AH142" s="458">
        <f t="shared" ca="1" si="1113"/>
        <v>0</v>
      </c>
      <c r="AI142" s="458"/>
      <c r="AJ142" s="458"/>
      <c r="AK142" s="458"/>
      <c r="AL142" s="458"/>
      <c r="AM142" s="458"/>
      <c r="AN142" s="458"/>
      <c r="AO142" s="458"/>
      <c r="AP142" s="458"/>
      <c r="AQ142" s="458"/>
      <c r="AR142" s="2450"/>
      <c r="AS142" s="458">
        <f t="shared" ref="AS142:AW142" ca="1" si="1114">IF(AS$29=1,AS131,0)</f>
        <v>0</v>
      </c>
      <c r="AT142" s="458">
        <f t="shared" ca="1" si="1114"/>
        <v>0</v>
      </c>
      <c r="AU142" s="458">
        <f t="shared" ca="1" si="1114"/>
        <v>0</v>
      </c>
      <c r="AV142" s="458">
        <f t="shared" ca="1" si="1114"/>
        <v>0</v>
      </c>
      <c r="AW142" s="458">
        <f t="shared" ca="1" si="1114"/>
        <v>0</v>
      </c>
      <c r="AX142" s="458">
        <f t="shared" ref="AX142" si="1115">IF(AX$29=1,AX131,0)</f>
        <v>0</v>
      </c>
      <c r="AY142" s="458">
        <f t="shared" ref="AY142:BI142" si="1116">IF(AY$29=1,AY131,0)</f>
        <v>0</v>
      </c>
      <c r="AZ142" s="458">
        <f t="shared" ref="AZ142" si="1117">IF(AZ$29=1,AZ131,0)</f>
        <v>0</v>
      </c>
      <c r="BA142" s="458">
        <f t="shared" si="1116"/>
        <v>0</v>
      </c>
      <c r="BB142" s="458">
        <f t="shared" si="1116"/>
        <v>0</v>
      </c>
      <c r="BC142" s="458">
        <f t="shared" si="1116"/>
        <v>0</v>
      </c>
      <c r="BD142" s="458">
        <f t="shared" si="1116"/>
        <v>0</v>
      </c>
      <c r="BE142" s="458">
        <f t="shared" si="1116"/>
        <v>0</v>
      </c>
      <c r="BF142" s="458">
        <f t="shared" si="1116"/>
        <v>0</v>
      </c>
      <c r="BG142" s="458">
        <f t="shared" si="1116"/>
        <v>0</v>
      </c>
      <c r="BH142" s="458">
        <f t="shared" si="1116"/>
        <v>0</v>
      </c>
      <c r="BI142" s="458">
        <f t="shared" si="1116"/>
        <v>0</v>
      </c>
      <c r="BJ142" s="457"/>
      <c r="BK142" s="457"/>
      <c r="BL142" s="457"/>
      <c r="BM142" s="597">
        <f t="shared" ca="1" si="944"/>
        <v>0</v>
      </c>
      <c r="BN142" s="579">
        <f t="shared" ca="1" si="1044"/>
        <v>0</v>
      </c>
      <c r="BO142" s="1089"/>
      <c r="BP142" s="1089"/>
      <c r="BQ142" s="1089"/>
      <c r="BR142" s="1089"/>
      <c r="BS142" s="1089"/>
      <c r="BT142" s="1089"/>
      <c r="BU142" s="1089"/>
      <c r="BV142" s="1089"/>
      <c r="BW142" s="1089"/>
      <c r="BX142" s="1089"/>
      <c r="BY142" s="1089"/>
      <c r="BZ142" s="1089"/>
    </row>
    <row r="143" spans="1:78" s="590" customFormat="1" ht="21.95" hidden="1" customHeight="1" thickBot="1" x14ac:dyDescent="0.2">
      <c r="A143" s="2596"/>
      <c r="B143" s="2681"/>
      <c r="C143" s="929" t="s">
        <v>683</v>
      </c>
      <c r="D143" s="2005"/>
      <c r="E143" s="1523"/>
      <c r="F143" s="239">
        <f t="shared" si="1045"/>
        <v>0</v>
      </c>
      <c r="G143" s="239">
        <f t="shared" ref="G143" ca="1" si="1118">IF(G$29=1,G132,0)</f>
        <v>0</v>
      </c>
      <c r="H143" s="239">
        <f t="shared" ref="H143:I143" ca="1" si="1119">IF(H$29=1,H132,0)</f>
        <v>0</v>
      </c>
      <c r="I143" s="239">
        <f t="shared" ca="1" si="1119"/>
        <v>0</v>
      </c>
      <c r="J143" s="239"/>
      <c r="K143" s="239"/>
      <c r="L143" s="239"/>
      <c r="M143" s="239"/>
      <c r="N143" s="2440"/>
      <c r="O143" s="239">
        <f t="shared" ref="O143:V143" ca="1" si="1120">IF(O$29=1,O132,0)</f>
        <v>0</v>
      </c>
      <c r="P143" s="239">
        <f t="shared" ca="1" si="1120"/>
        <v>0</v>
      </c>
      <c r="Q143" s="239">
        <f t="shared" ca="1" si="1120"/>
        <v>0</v>
      </c>
      <c r="R143" s="239">
        <f t="shared" ca="1" si="1120"/>
        <v>0</v>
      </c>
      <c r="S143" s="239">
        <f t="shared" ca="1" si="1120"/>
        <v>0</v>
      </c>
      <c r="T143" s="239">
        <f t="shared" ca="1" si="1120"/>
        <v>0</v>
      </c>
      <c r="U143" s="239">
        <f t="shared" ca="1" si="1120"/>
        <v>0</v>
      </c>
      <c r="V143" s="239">
        <f t="shared" ca="1" si="1120"/>
        <v>0</v>
      </c>
      <c r="W143" s="239"/>
      <c r="X143" s="2440"/>
      <c r="Y143" s="239">
        <f t="shared" ref="Y143:AH143" ca="1" si="1121">IF(Y$29=1,Y132,0)</f>
        <v>0</v>
      </c>
      <c r="Z143" s="239">
        <f t="shared" ca="1" si="1121"/>
        <v>0</v>
      </c>
      <c r="AA143" s="239">
        <f t="shared" ca="1" si="1121"/>
        <v>0</v>
      </c>
      <c r="AB143" s="239">
        <f t="shared" ca="1" si="1121"/>
        <v>0</v>
      </c>
      <c r="AC143" s="239">
        <f t="shared" ca="1" si="1121"/>
        <v>0</v>
      </c>
      <c r="AD143" s="239">
        <f t="shared" ca="1" si="1121"/>
        <v>0</v>
      </c>
      <c r="AE143" s="239">
        <f t="shared" ca="1" si="1121"/>
        <v>0</v>
      </c>
      <c r="AF143" s="239">
        <f t="shared" ca="1" si="1121"/>
        <v>0</v>
      </c>
      <c r="AG143" s="239">
        <f t="shared" ca="1" si="1121"/>
        <v>0</v>
      </c>
      <c r="AH143" s="239">
        <f t="shared" ca="1" si="1121"/>
        <v>0</v>
      </c>
      <c r="AI143" s="239"/>
      <c r="AJ143" s="239"/>
      <c r="AK143" s="239"/>
      <c r="AL143" s="239"/>
      <c r="AM143" s="239"/>
      <c r="AN143" s="239"/>
      <c r="AO143" s="239"/>
      <c r="AP143" s="239"/>
      <c r="AQ143" s="239"/>
      <c r="AR143" s="2440"/>
      <c r="AS143" s="239">
        <f t="shared" ref="AS143:AW143" ca="1" si="1122">IF(AS$29=1,AS132,0)</f>
        <v>0</v>
      </c>
      <c r="AT143" s="239">
        <f t="shared" ca="1" si="1122"/>
        <v>0</v>
      </c>
      <c r="AU143" s="239">
        <f t="shared" ca="1" si="1122"/>
        <v>0</v>
      </c>
      <c r="AV143" s="239">
        <f t="shared" ca="1" si="1122"/>
        <v>0</v>
      </c>
      <c r="AW143" s="239">
        <f t="shared" ca="1" si="1122"/>
        <v>0</v>
      </c>
      <c r="AX143" s="239">
        <f t="shared" ref="AX143" si="1123">IF(AX$29=1,AX132,0)</f>
        <v>0</v>
      </c>
      <c r="AY143" s="239">
        <f t="shared" ref="AY143:BI143" si="1124">IF(AY$29=1,AY132,0)</f>
        <v>0</v>
      </c>
      <c r="AZ143" s="239">
        <f t="shared" ref="AZ143" si="1125">IF(AZ$29=1,AZ132,0)</f>
        <v>0</v>
      </c>
      <c r="BA143" s="239">
        <f t="shared" si="1124"/>
        <v>0</v>
      </c>
      <c r="BB143" s="239">
        <f t="shared" si="1124"/>
        <v>0</v>
      </c>
      <c r="BC143" s="239">
        <f t="shared" si="1124"/>
        <v>0</v>
      </c>
      <c r="BD143" s="239">
        <f t="shared" si="1124"/>
        <v>0</v>
      </c>
      <c r="BE143" s="239">
        <f t="shared" si="1124"/>
        <v>0</v>
      </c>
      <c r="BF143" s="239">
        <f t="shared" si="1124"/>
        <v>0</v>
      </c>
      <c r="BG143" s="239">
        <f t="shared" si="1124"/>
        <v>0</v>
      </c>
      <c r="BH143" s="239">
        <f t="shared" si="1124"/>
        <v>0</v>
      </c>
      <c r="BI143" s="239">
        <f t="shared" si="1124"/>
        <v>0</v>
      </c>
      <c r="BJ143" s="237"/>
      <c r="BK143" s="237"/>
      <c r="BL143" s="237"/>
      <c r="BM143" s="361">
        <f t="shared" ca="1" si="944"/>
        <v>0</v>
      </c>
      <c r="BN143" s="579">
        <f t="shared" ca="1" si="1044"/>
        <v>0</v>
      </c>
      <c r="BO143" s="1089"/>
      <c r="BP143" s="1089"/>
      <c r="BQ143" s="1089"/>
      <c r="BR143" s="1089"/>
      <c r="BS143" s="1089"/>
      <c r="BT143" s="1089"/>
      <c r="BU143" s="1089"/>
      <c r="BV143" s="1089"/>
      <c r="BW143" s="1089"/>
      <c r="BX143" s="1089"/>
      <c r="BY143" s="1089"/>
      <c r="BZ143" s="1089"/>
    </row>
    <row r="144" spans="1:78" s="590" customFormat="1" ht="21.95" hidden="1" customHeight="1" x14ac:dyDescent="0.15">
      <c r="A144" s="2596"/>
      <c r="B144" s="2679" t="s">
        <v>1108</v>
      </c>
      <c r="C144" s="591" t="s">
        <v>675</v>
      </c>
      <c r="D144" s="2010"/>
      <c r="E144" s="1530"/>
      <c r="F144" s="458">
        <f t="shared" ref="F144:F153" si="1126">IF(F$29=2,F123,0)</f>
        <v>0</v>
      </c>
      <c r="G144" s="458">
        <f t="shared" ref="G144" si="1127">IF(G$29=2,G123,0)</f>
        <v>0</v>
      </c>
      <c r="H144" s="458">
        <f t="shared" ref="H144:I144" si="1128">IF(H$29=2,H123,0)</f>
        <v>0</v>
      </c>
      <c r="I144" s="458">
        <f t="shared" si="1128"/>
        <v>0</v>
      </c>
      <c r="J144" s="458"/>
      <c r="K144" s="458"/>
      <c r="L144" s="458"/>
      <c r="M144" s="458"/>
      <c r="N144" s="2450"/>
      <c r="O144" s="458">
        <f t="shared" ref="O144:V144" si="1129">IF(O$29=2,O123,0)</f>
        <v>0</v>
      </c>
      <c r="P144" s="458">
        <f t="shared" si="1129"/>
        <v>0</v>
      </c>
      <c r="Q144" s="458">
        <f t="shared" si="1129"/>
        <v>0</v>
      </c>
      <c r="R144" s="458">
        <f t="shared" si="1129"/>
        <v>0</v>
      </c>
      <c r="S144" s="458">
        <f t="shared" si="1129"/>
        <v>0</v>
      </c>
      <c r="T144" s="458">
        <f t="shared" si="1129"/>
        <v>0</v>
      </c>
      <c r="U144" s="458">
        <f t="shared" si="1129"/>
        <v>0</v>
      </c>
      <c r="V144" s="458">
        <f t="shared" si="1129"/>
        <v>0</v>
      </c>
      <c r="W144" s="458"/>
      <c r="X144" s="2450"/>
      <c r="Y144" s="458">
        <f t="shared" ref="Y144:AH144" si="1130">IF(Y$29=2,Y123,0)</f>
        <v>0</v>
      </c>
      <c r="Z144" s="458">
        <f t="shared" si="1130"/>
        <v>0</v>
      </c>
      <c r="AA144" s="458">
        <f t="shared" si="1130"/>
        <v>0</v>
      </c>
      <c r="AB144" s="458">
        <f t="shared" si="1130"/>
        <v>0</v>
      </c>
      <c r="AC144" s="458">
        <f t="shared" si="1130"/>
        <v>0</v>
      </c>
      <c r="AD144" s="458">
        <f t="shared" si="1130"/>
        <v>0</v>
      </c>
      <c r="AE144" s="458">
        <f t="shared" si="1130"/>
        <v>0</v>
      </c>
      <c r="AF144" s="458">
        <f t="shared" si="1130"/>
        <v>0</v>
      </c>
      <c r="AG144" s="458">
        <f t="shared" si="1130"/>
        <v>0</v>
      </c>
      <c r="AH144" s="458">
        <f t="shared" si="1130"/>
        <v>0</v>
      </c>
      <c r="AI144" s="458"/>
      <c r="AJ144" s="458"/>
      <c r="AK144" s="458"/>
      <c r="AL144" s="458"/>
      <c r="AM144" s="458"/>
      <c r="AN144" s="458"/>
      <c r="AO144" s="458"/>
      <c r="AP144" s="458"/>
      <c r="AQ144" s="458"/>
      <c r="AR144" s="2450"/>
      <c r="AS144" s="458">
        <f t="shared" ref="AS144:AW144" si="1131">IF(AS$29=2,AS123,0)</f>
        <v>0</v>
      </c>
      <c r="AT144" s="458">
        <f t="shared" si="1131"/>
        <v>0</v>
      </c>
      <c r="AU144" s="458">
        <f t="shared" si="1131"/>
        <v>0</v>
      </c>
      <c r="AV144" s="458">
        <f t="shared" si="1131"/>
        <v>0</v>
      </c>
      <c r="AW144" s="458">
        <f t="shared" si="1131"/>
        <v>0</v>
      </c>
      <c r="AX144" s="458">
        <f t="shared" ref="AX144" si="1132">IF(AX$29=2,AX123,0)</f>
        <v>0</v>
      </c>
      <c r="AY144" s="458">
        <f t="shared" ref="AY144:BI144" si="1133">IF(AY$29=2,AY123,0)</f>
        <v>0</v>
      </c>
      <c r="AZ144" s="458">
        <f t="shared" ref="AZ144" si="1134">IF(AZ$29=2,AZ123,0)</f>
        <v>0</v>
      </c>
      <c r="BA144" s="458">
        <f t="shared" si="1133"/>
        <v>0</v>
      </c>
      <c r="BB144" s="458">
        <f t="shared" si="1133"/>
        <v>0</v>
      </c>
      <c r="BC144" s="458">
        <f t="shared" si="1133"/>
        <v>0</v>
      </c>
      <c r="BD144" s="458">
        <f t="shared" si="1133"/>
        <v>0</v>
      </c>
      <c r="BE144" s="458">
        <f t="shared" si="1133"/>
        <v>0</v>
      </c>
      <c r="BF144" s="458">
        <f t="shared" si="1133"/>
        <v>0</v>
      </c>
      <c r="BG144" s="458">
        <f t="shared" si="1133"/>
        <v>0</v>
      </c>
      <c r="BH144" s="458">
        <f t="shared" si="1133"/>
        <v>0</v>
      </c>
      <c r="BI144" s="458">
        <f t="shared" si="1133"/>
        <v>0</v>
      </c>
      <c r="BJ144" s="457"/>
      <c r="BK144" s="457"/>
      <c r="BL144" s="457"/>
      <c r="BM144" s="597">
        <f t="shared" si="944"/>
        <v>0</v>
      </c>
      <c r="BN144" s="579">
        <f t="shared" si="1044"/>
        <v>0</v>
      </c>
      <c r="BO144" s="1089"/>
      <c r="BP144" s="1089"/>
      <c r="BQ144" s="1089"/>
      <c r="BR144" s="1089"/>
      <c r="BS144" s="1089"/>
      <c r="BT144" s="1089"/>
      <c r="BU144" s="1089"/>
      <c r="BV144" s="1089"/>
      <c r="BW144" s="1089"/>
      <c r="BX144" s="1089"/>
      <c r="BY144" s="1089"/>
      <c r="BZ144" s="1089"/>
    </row>
    <row r="145" spans="1:78" s="590" customFormat="1" ht="21.95" hidden="1" customHeight="1" x14ac:dyDescent="0.15">
      <c r="A145" s="2596"/>
      <c r="B145" s="2680"/>
      <c r="C145" s="591" t="s">
        <v>676</v>
      </c>
      <c r="D145" s="2004"/>
      <c r="E145" s="592"/>
      <c r="F145" s="158">
        <f t="shared" si="1126"/>
        <v>0</v>
      </c>
      <c r="G145" s="158">
        <f t="shared" ref="G145" si="1135">IF(G$29=2,G124,0)</f>
        <v>0</v>
      </c>
      <c r="H145" s="158">
        <f t="shared" ref="H145:I145" si="1136">IF(H$29=2,H124,0)</f>
        <v>0</v>
      </c>
      <c r="I145" s="158">
        <f t="shared" si="1136"/>
        <v>0</v>
      </c>
      <c r="J145" s="158"/>
      <c r="K145" s="158"/>
      <c r="L145" s="158"/>
      <c r="M145" s="158"/>
      <c r="N145" s="2416"/>
      <c r="O145" s="158">
        <f t="shared" ref="O145:V145" si="1137">IF(O$29=2,O124,0)</f>
        <v>0</v>
      </c>
      <c r="P145" s="158">
        <f t="shared" si="1137"/>
        <v>0</v>
      </c>
      <c r="Q145" s="158">
        <f t="shared" si="1137"/>
        <v>0</v>
      </c>
      <c r="R145" s="158">
        <f t="shared" si="1137"/>
        <v>0</v>
      </c>
      <c r="S145" s="158">
        <f t="shared" si="1137"/>
        <v>0</v>
      </c>
      <c r="T145" s="158">
        <f t="shared" si="1137"/>
        <v>0</v>
      </c>
      <c r="U145" s="158">
        <f t="shared" si="1137"/>
        <v>0</v>
      </c>
      <c r="V145" s="158">
        <f t="shared" si="1137"/>
        <v>0</v>
      </c>
      <c r="W145" s="158"/>
      <c r="X145" s="2416"/>
      <c r="Y145" s="158">
        <f t="shared" ref="Y145:AH145" si="1138">IF(Y$29=2,Y124,0)</f>
        <v>0</v>
      </c>
      <c r="Z145" s="158">
        <f t="shared" si="1138"/>
        <v>0</v>
      </c>
      <c r="AA145" s="158">
        <f t="shared" si="1138"/>
        <v>0</v>
      </c>
      <c r="AB145" s="158">
        <f t="shared" si="1138"/>
        <v>0</v>
      </c>
      <c r="AC145" s="158">
        <f t="shared" si="1138"/>
        <v>0</v>
      </c>
      <c r="AD145" s="158">
        <f t="shared" si="1138"/>
        <v>0</v>
      </c>
      <c r="AE145" s="158">
        <f t="shared" si="1138"/>
        <v>0</v>
      </c>
      <c r="AF145" s="158">
        <f t="shared" si="1138"/>
        <v>0</v>
      </c>
      <c r="AG145" s="158">
        <f t="shared" si="1138"/>
        <v>0</v>
      </c>
      <c r="AH145" s="158">
        <f t="shared" si="1138"/>
        <v>0</v>
      </c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2416"/>
      <c r="AS145" s="158">
        <f t="shared" ref="AS145:AW145" si="1139">IF(AS$29=2,AS124,0)</f>
        <v>0</v>
      </c>
      <c r="AT145" s="158">
        <f t="shared" si="1139"/>
        <v>0</v>
      </c>
      <c r="AU145" s="158">
        <f t="shared" si="1139"/>
        <v>0</v>
      </c>
      <c r="AV145" s="158">
        <f t="shared" si="1139"/>
        <v>0</v>
      </c>
      <c r="AW145" s="158">
        <f t="shared" si="1139"/>
        <v>0</v>
      </c>
      <c r="AX145" s="158">
        <f t="shared" ref="AX145" si="1140">IF(AX$29=2,AX124,0)</f>
        <v>0</v>
      </c>
      <c r="AY145" s="158">
        <f t="shared" ref="AY145:BI145" si="1141">IF(AY$29=2,AY124,0)</f>
        <v>0</v>
      </c>
      <c r="AZ145" s="158">
        <f t="shared" ref="AZ145" si="1142">IF(AZ$29=2,AZ124,0)</f>
        <v>0</v>
      </c>
      <c r="BA145" s="158">
        <f t="shared" si="1141"/>
        <v>0</v>
      </c>
      <c r="BB145" s="158">
        <f t="shared" si="1141"/>
        <v>0</v>
      </c>
      <c r="BC145" s="158">
        <f t="shared" si="1141"/>
        <v>0</v>
      </c>
      <c r="BD145" s="158">
        <f t="shared" si="1141"/>
        <v>0</v>
      </c>
      <c r="BE145" s="158">
        <f t="shared" si="1141"/>
        <v>0</v>
      </c>
      <c r="BF145" s="158">
        <f t="shared" si="1141"/>
        <v>0</v>
      </c>
      <c r="BG145" s="158">
        <f t="shared" si="1141"/>
        <v>0</v>
      </c>
      <c r="BH145" s="158">
        <f t="shared" si="1141"/>
        <v>0</v>
      </c>
      <c r="BI145" s="158">
        <f t="shared" si="1141"/>
        <v>0</v>
      </c>
      <c r="BJ145" s="159"/>
      <c r="BK145" s="159"/>
      <c r="BL145" s="159"/>
      <c r="BM145" s="350">
        <f t="shared" si="944"/>
        <v>0</v>
      </c>
      <c r="BN145" s="579">
        <f t="shared" si="1044"/>
        <v>0</v>
      </c>
      <c r="BO145" s="1089"/>
      <c r="BP145" s="1089"/>
      <c r="BQ145" s="1089"/>
      <c r="BR145" s="1089"/>
      <c r="BS145" s="1089"/>
      <c r="BT145" s="1089"/>
      <c r="BU145" s="1089"/>
      <c r="BV145" s="1089"/>
      <c r="BW145" s="1089"/>
      <c r="BX145" s="1089"/>
      <c r="BY145" s="1089"/>
      <c r="BZ145" s="1089"/>
    </row>
    <row r="146" spans="1:78" s="590" customFormat="1" ht="21.95" hidden="1" customHeight="1" x14ac:dyDescent="0.15">
      <c r="A146" s="2596"/>
      <c r="B146" s="2680"/>
      <c r="C146" s="591" t="s">
        <v>677</v>
      </c>
      <c r="D146" s="2011"/>
      <c r="E146" s="1531"/>
      <c r="F146" s="596">
        <f t="shared" si="1126"/>
        <v>0</v>
      </c>
      <c r="G146" s="596">
        <f t="shared" ref="G146" si="1143">IF(G$29=2,G125,0)</f>
        <v>0</v>
      </c>
      <c r="H146" s="596">
        <f t="shared" ref="H146:I146" si="1144">IF(H$29=2,H125,0)</f>
        <v>0</v>
      </c>
      <c r="I146" s="596">
        <f t="shared" si="1144"/>
        <v>0</v>
      </c>
      <c r="J146" s="596"/>
      <c r="K146" s="596"/>
      <c r="L146" s="596"/>
      <c r="M146" s="596"/>
      <c r="N146" s="2451"/>
      <c r="O146" s="596">
        <f t="shared" ref="O146:V146" si="1145">IF(O$29=2,O125,0)</f>
        <v>0</v>
      </c>
      <c r="P146" s="596">
        <f t="shared" si="1145"/>
        <v>0</v>
      </c>
      <c r="Q146" s="596">
        <f t="shared" si="1145"/>
        <v>0</v>
      </c>
      <c r="R146" s="596">
        <f t="shared" si="1145"/>
        <v>0</v>
      </c>
      <c r="S146" s="596">
        <f t="shared" si="1145"/>
        <v>0</v>
      </c>
      <c r="T146" s="596">
        <f t="shared" si="1145"/>
        <v>0</v>
      </c>
      <c r="U146" s="596">
        <f t="shared" si="1145"/>
        <v>0</v>
      </c>
      <c r="V146" s="596">
        <f t="shared" si="1145"/>
        <v>0</v>
      </c>
      <c r="W146" s="596"/>
      <c r="X146" s="2451"/>
      <c r="Y146" s="596">
        <f t="shared" ref="Y146:AH146" si="1146">IF(Y$29=2,Y125,0)</f>
        <v>0</v>
      </c>
      <c r="Z146" s="596">
        <f t="shared" si="1146"/>
        <v>0</v>
      </c>
      <c r="AA146" s="596">
        <f t="shared" si="1146"/>
        <v>0</v>
      </c>
      <c r="AB146" s="596">
        <f t="shared" si="1146"/>
        <v>0</v>
      </c>
      <c r="AC146" s="596">
        <f t="shared" si="1146"/>
        <v>0</v>
      </c>
      <c r="AD146" s="596">
        <f t="shared" si="1146"/>
        <v>0</v>
      </c>
      <c r="AE146" s="596">
        <f t="shared" si="1146"/>
        <v>0</v>
      </c>
      <c r="AF146" s="596">
        <f t="shared" si="1146"/>
        <v>0</v>
      </c>
      <c r="AG146" s="596">
        <f t="shared" si="1146"/>
        <v>0</v>
      </c>
      <c r="AH146" s="596">
        <f t="shared" si="1146"/>
        <v>0</v>
      </c>
      <c r="AI146" s="596"/>
      <c r="AJ146" s="596"/>
      <c r="AK146" s="596"/>
      <c r="AL146" s="596"/>
      <c r="AM146" s="596"/>
      <c r="AN146" s="596"/>
      <c r="AO146" s="596"/>
      <c r="AP146" s="596"/>
      <c r="AQ146" s="596"/>
      <c r="AR146" s="2451"/>
      <c r="AS146" s="596">
        <f t="shared" ref="AS146:AW146" si="1147">IF(AS$29=2,AS125,0)</f>
        <v>0</v>
      </c>
      <c r="AT146" s="596">
        <f t="shared" si="1147"/>
        <v>0</v>
      </c>
      <c r="AU146" s="596">
        <f t="shared" si="1147"/>
        <v>0</v>
      </c>
      <c r="AV146" s="596">
        <f t="shared" si="1147"/>
        <v>0</v>
      </c>
      <c r="AW146" s="596">
        <f t="shared" si="1147"/>
        <v>0</v>
      </c>
      <c r="AX146" s="596">
        <f t="shared" ref="AX146" si="1148">IF(AX$29=2,AX125,0)</f>
        <v>0</v>
      </c>
      <c r="AY146" s="596">
        <f t="shared" ref="AY146:BI146" si="1149">IF(AY$29=2,AY125,0)</f>
        <v>0</v>
      </c>
      <c r="AZ146" s="596">
        <f t="shared" ref="AZ146" si="1150">IF(AZ$29=2,AZ125,0)</f>
        <v>0</v>
      </c>
      <c r="BA146" s="596">
        <f t="shared" si="1149"/>
        <v>0</v>
      </c>
      <c r="BB146" s="596">
        <f t="shared" si="1149"/>
        <v>0</v>
      </c>
      <c r="BC146" s="596">
        <f t="shared" si="1149"/>
        <v>0</v>
      </c>
      <c r="BD146" s="596">
        <f t="shared" si="1149"/>
        <v>0</v>
      </c>
      <c r="BE146" s="596">
        <f t="shared" si="1149"/>
        <v>0</v>
      </c>
      <c r="BF146" s="596">
        <f t="shared" si="1149"/>
        <v>0</v>
      </c>
      <c r="BG146" s="596">
        <f t="shared" si="1149"/>
        <v>0</v>
      </c>
      <c r="BH146" s="596">
        <f t="shared" si="1149"/>
        <v>0</v>
      </c>
      <c r="BI146" s="596">
        <f t="shared" si="1149"/>
        <v>0</v>
      </c>
      <c r="BJ146" s="422"/>
      <c r="BK146" s="422"/>
      <c r="BL146" s="422"/>
      <c r="BM146" s="507">
        <f t="shared" si="944"/>
        <v>0</v>
      </c>
      <c r="BN146" s="579">
        <f t="shared" si="1044"/>
        <v>0</v>
      </c>
      <c r="BO146" s="1089"/>
      <c r="BP146" s="1089"/>
      <c r="BQ146" s="1089"/>
      <c r="BR146" s="1089"/>
      <c r="BS146" s="1089"/>
      <c r="BT146" s="1089"/>
      <c r="BU146" s="1089"/>
      <c r="BV146" s="1089"/>
      <c r="BW146" s="1089"/>
      <c r="BX146" s="1089"/>
      <c r="BY146" s="1089"/>
      <c r="BZ146" s="1089"/>
    </row>
    <row r="147" spans="1:78" s="590" customFormat="1" ht="21.95" hidden="1" customHeight="1" x14ac:dyDescent="0.15">
      <c r="A147" s="2596"/>
      <c r="B147" s="2680"/>
      <c r="C147" s="591" t="s">
        <v>678</v>
      </c>
      <c r="D147" s="2010"/>
      <c r="E147" s="1530"/>
      <c r="F147" s="458">
        <f t="shared" si="1126"/>
        <v>0</v>
      </c>
      <c r="G147" s="458">
        <f t="shared" ref="G147" si="1151">IF(G$29=2,G126,0)</f>
        <v>0</v>
      </c>
      <c r="H147" s="458">
        <f t="shared" ref="H147:I147" si="1152">IF(H$29=2,H126,0)</f>
        <v>0</v>
      </c>
      <c r="I147" s="458">
        <f t="shared" si="1152"/>
        <v>0</v>
      </c>
      <c r="J147" s="458"/>
      <c r="K147" s="458"/>
      <c r="L147" s="458"/>
      <c r="M147" s="458"/>
      <c r="N147" s="2450"/>
      <c r="O147" s="458">
        <f t="shared" ref="O147:V147" si="1153">IF(O$29=2,O126,0)</f>
        <v>0</v>
      </c>
      <c r="P147" s="458">
        <f t="shared" si="1153"/>
        <v>0</v>
      </c>
      <c r="Q147" s="458">
        <f t="shared" si="1153"/>
        <v>0</v>
      </c>
      <c r="R147" s="458">
        <f t="shared" si="1153"/>
        <v>0</v>
      </c>
      <c r="S147" s="458">
        <f t="shared" si="1153"/>
        <v>0</v>
      </c>
      <c r="T147" s="458">
        <f t="shared" si="1153"/>
        <v>0</v>
      </c>
      <c r="U147" s="458">
        <f t="shared" si="1153"/>
        <v>0</v>
      </c>
      <c r="V147" s="458">
        <f t="shared" si="1153"/>
        <v>0</v>
      </c>
      <c r="W147" s="458"/>
      <c r="X147" s="2450"/>
      <c r="Y147" s="458">
        <f t="shared" ref="Y147:AH147" si="1154">IF(Y$29=2,Y126,0)</f>
        <v>0</v>
      </c>
      <c r="Z147" s="458">
        <f t="shared" si="1154"/>
        <v>0</v>
      </c>
      <c r="AA147" s="458">
        <f t="shared" si="1154"/>
        <v>0</v>
      </c>
      <c r="AB147" s="458">
        <f t="shared" si="1154"/>
        <v>0</v>
      </c>
      <c r="AC147" s="458">
        <f t="shared" si="1154"/>
        <v>0</v>
      </c>
      <c r="AD147" s="458">
        <f t="shared" si="1154"/>
        <v>0</v>
      </c>
      <c r="AE147" s="458">
        <f t="shared" si="1154"/>
        <v>0</v>
      </c>
      <c r="AF147" s="458">
        <f t="shared" si="1154"/>
        <v>0</v>
      </c>
      <c r="AG147" s="458">
        <f t="shared" si="1154"/>
        <v>0</v>
      </c>
      <c r="AH147" s="458">
        <f t="shared" si="1154"/>
        <v>0</v>
      </c>
      <c r="AI147" s="458"/>
      <c r="AJ147" s="458"/>
      <c r="AK147" s="458"/>
      <c r="AL147" s="458"/>
      <c r="AM147" s="458"/>
      <c r="AN147" s="458"/>
      <c r="AO147" s="458"/>
      <c r="AP147" s="458"/>
      <c r="AQ147" s="458"/>
      <c r="AR147" s="2450"/>
      <c r="AS147" s="458">
        <f t="shared" ref="AS147:AW147" si="1155">IF(AS$29=2,AS126,0)</f>
        <v>0</v>
      </c>
      <c r="AT147" s="458">
        <f t="shared" si="1155"/>
        <v>0</v>
      </c>
      <c r="AU147" s="458">
        <f t="shared" si="1155"/>
        <v>0</v>
      </c>
      <c r="AV147" s="458">
        <f t="shared" si="1155"/>
        <v>0</v>
      </c>
      <c r="AW147" s="458">
        <f t="shared" si="1155"/>
        <v>0</v>
      </c>
      <c r="AX147" s="458">
        <f t="shared" ref="AX147" si="1156">IF(AX$29=2,AX126,0)</f>
        <v>0</v>
      </c>
      <c r="AY147" s="458">
        <f t="shared" ref="AY147:BI147" si="1157">IF(AY$29=2,AY126,0)</f>
        <v>0</v>
      </c>
      <c r="AZ147" s="458">
        <f t="shared" ref="AZ147" si="1158">IF(AZ$29=2,AZ126,0)</f>
        <v>0</v>
      </c>
      <c r="BA147" s="458">
        <f t="shared" si="1157"/>
        <v>0</v>
      </c>
      <c r="BB147" s="458">
        <f t="shared" si="1157"/>
        <v>0</v>
      </c>
      <c r="BC147" s="458">
        <f t="shared" si="1157"/>
        <v>0</v>
      </c>
      <c r="BD147" s="458">
        <f t="shared" si="1157"/>
        <v>0</v>
      </c>
      <c r="BE147" s="458">
        <f t="shared" si="1157"/>
        <v>0</v>
      </c>
      <c r="BF147" s="458">
        <f t="shared" si="1157"/>
        <v>0</v>
      </c>
      <c r="BG147" s="458">
        <f t="shared" si="1157"/>
        <v>0</v>
      </c>
      <c r="BH147" s="458">
        <f t="shared" si="1157"/>
        <v>0</v>
      </c>
      <c r="BI147" s="458">
        <f t="shared" si="1157"/>
        <v>0</v>
      </c>
      <c r="BJ147" s="457"/>
      <c r="BK147" s="457"/>
      <c r="BL147" s="457"/>
      <c r="BM147" s="597">
        <f t="shared" si="944"/>
        <v>0</v>
      </c>
      <c r="BN147" s="579">
        <f t="shared" si="1044"/>
        <v>0</v>
      </c>
      <c r="BO147" s="1089"/>
      <c r="BP147" s="1089"/>
      <c r="BQ147" s="1089"/>
      <c r="BR147" s="1089"/>
      <c r="BS147" s="1089"/>
      <c r="BT147" s="1089"/>
      <c r="BU147" s="1089"/>
      <c r="BV147" s="1089"/>
      <c r="BW147" s="1089"/>
      <c r="BX147" s="1089"/>
      <c r="BY147" s="1089"/>
      <c r="BZ147" s="1089"/>
    </row>
    <row r="148" spans="1:78" s="590" customFormat="1" ht="21.95" hidden="1" customHeight="1" x14ac:dyDescent="0.15">
      <c r="A148" s="2596"/>
      <c r="B148" s="2680"/>
      <c r="C148" s="591" t="s">
        <v>679</v>
      </c>
      <c r="D148" s="2004"/>
      <c r="E148" s="592"/>
      <c r="F148" s="158">
        <f t="shared" si="1126"/>
        <v>0</v>
      </c>
      <c r="G148" s="158">
        <f t="shared" ref="G148" si="1159">IF(G$29=2,G127,0)</f>
        <v>0</v>
      </c>
      <c r="H148" s="158">
        <f t="shared" ref="H148:I148" si="1160">IF(H$29=2,H127,0)</f>
        <v>0</v>
      </c>
      <c r="I148" s="158">
        <f t="shared" si="1160"/>
        <v>0</v>
      </c>
      <c r="J148" s="158"/>
      <c r="K148" s="158"/>
      <c r="L148" s="158"/>
      <c r="M148" s="158"/>
      <c r="N148" s="2416"/>
      <c r="O148" s="158">
        <f t="shared" ref="O148:V148" si="1161">IF(O$29=2,O127,0)</f>
        <v>0</v>
      </c>
      <c r="P148" s="158">
        <f t="shared" si="1161"/>
        <v>0</v>
      </c>
      <c r="Q148" s="158">
        <f t="shared" si="1161"/>
        <v>0</v>
      </c>
      <c r="R148" s="158">
        <f t="shared" si="1161"/>
        <v>0</v>
      </c>
      <c r="S148" s="158">
        <f t="shared" si="1161"/>
        <v>0</v>
      </c>
      <c r="T148" s="158">
        <f t="shared" si="1161"/>
        <v>0</v>
      </c>
      <c r="U148" s="158">
        <f t="shared" si="1161"/>
        <v>0</v>
      </c>
      <c r="V148" s="158">
        <f t="shared" si="1161"/>
        <v>0</v>
      </c>
      <c r="W148" s="158"/>
      <c r="X148" s="2416"/>
      <c r="Y148" s="158">
        <f t="shared" ref="Y148:AH148" si="1162">IF(Y$29=2,Y127,0)</f>
        <v>0</v>
      </c>
      <c r="Z148" s="158">
        <f t="shared" si="1162"/>
        <v>0</v>
      </c>
      <c r="AA148" s="158">
        <f t="shared" si="1162"/>
        <v>0</v>
      </c>
      <c r="AB148" s="158">
        <f t="shared" si="1162"/>
        <v>0</v>
      </c>
      <c r="AC148" s="158">
        <f t="shared" si="1162"/>
        <v>0</v>
      </c>
      <c r="AD148" s="158">
        <f t="shared" si="1162"/>
        <v>0</v>
      </c>
      <c r="AE148" s="158">
        <f t="shared" si="1162"/>
        <v>0</v>
      </c>
      <c r="AF148" s="158">
        <f t="shared" si="1162"/>
        <v>0</v>
      </c>
      <c r="AG148" s="158">
        <f t="shared" si="1162"/>
        <v>0</v>
      </c>
      <c r="AH148" s="158">
        <f t="shared" si="1162"/>
        <v>0</v>
      </c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2416"/>
      <c r="AS148" s="158">
        <f t="shared" ref="AS148:AW148" si="1163">IF(AS$29=2,AS127,0)</f>
        <v>0</v>
      </c>
      <c r="AT148" s="158">
        <f t="shared" si="1163"/>
        <v>0</v>
      </c>
      <c r="AU148" s="158">
        <f t="shared" si="1163"/>
        <v>0</v>
      </c>
      <c r="AV148" s="158">
        <f t="shared" si="1163"/>
        <v>0</v>
      </c>
      <c r="AW148" s="158">
        <f t="shared" si="1163"/>
        <v>0</v>
      </c>
      <c r="AX148" s="158">
        <f t="shared" ref="AX148" si="1164">IF(AX$29=2,AX127,0)</f>
        <v>0</v>
      </c>
      <c r="AY148" s="158">
        <f t="shared" ref="AY148:BI148" si="1165">IF(AY$29=2,AY127,0)</f>
        <v>0</v>
      </c>
      <c r="AZ148" s="158">
        <f t="shared" ref="AZ148" si="1166">IF(AZ$29=2,AZ127,0)</f>
        <v>0</v>
      </c>
      <c r="BA148" s="158">
        <f t="shared" si="1165"/>
        <v>0</v>
      </c>
      <c r="BB148" s="158">
        <f t="shared" si="1165"/>
        <v>0</v>
      </c>
      <c r="BC148" s="158">
        <f t="shared" si="1165"/>
        <v>0</v>
      </c>
      <c r="BD148" s="158">
        <f t="shared" si="1165"/>
        <v>0</v>
      </c>
      <c r="BE148" s="158">
        <f t="shared" si="1165"/>
        <v>0</v>
      </c>
      <c r="BF148" s="158">
        <f t="shared" si="1165"/>
        <v>0</v>
      </c>
      <c r="BG148" s="158">
        <f t="shared" si="1165"/>
        <v>0</v>
      </c>
      <c r="BH148" s="158">
        <f t="shared" si="1165"/>
        <v>0</v>
      </c>
      <c r="BI148" s="158">
        <f t="shared" si="1165"/>
        <v>0</v>
      </c>
      <c r="BJ148" s="159"/>
      <c r="BK148" s="159"/>
      <c r="BL148" s="159"/>
      <c r="BM148" s="350">
        <f t="shared" si="944"/>
        <v>0</v>
      </c>
      <c r="BN148" s="579">
        <f t="shared" si="1044"/>
        <v>0</v>
      </c>
      <c r="BO148" s="1089"/>
      <c r="BP148" s="1089"/>
      <c r="BQ148" s="1089"/>
      <c r="BR148" s="1089"/>
      <c r="BS148" s="1089"/>
      <c r="BT148" s="1089"/>
      <c r="BU148" s="1089"/>
      <c r="BV148" s="1089"/>
      <c r="BW148" s="1089"/>
      <c r="BX148" s="1089"/>
      <c r="BY148" s="1089"/>
      <c r="BZ148" s="1089"/>
    </row>
    <row r="149" spans="1:78" s="590" customFormat="1" ht="21.95" hidden="1" customHeight="1" x14ac:dyDescent="0.15">
      <c r="A149" s="2596"/>
      <c r="B149" s="2680"/>
      <c r="C149" s="591" t="s">
        <v>680</v>
      </c>
      <c r="D149" s="2011"/>
      <c r="E149" s="1531"/>
      <c r="F149" s="158">
        <f t="shared" si="1126"/>
        <v>0</v>
      </c>
      <c r="G149" s="158">
        <f t="shared" ref="G149" si="1167">IF(G$29=2,G128,0)</f>
        <v>0</v>
      </c>
      <c r="H149" s="158">
        <f t="shared" ref="H149:I149" si="1168">IF(H$29=2,H128,0)</f>
        <v>0</v>
      </c>
      <c r="I149" s="158">
        <f t="shared" si="1168"/>
        <v>0</v>
      </c>
      <c r="J149" s="158"/>
      <c r="K149" s="158"/>
      <c r="L149" s="158"/>
      <c r="M149" s="158"/>
      <c r="N149" s="2416"/>
      <c r="O149" s="158">
        <f t="shared" ref="O149:V149" si="1169">IF(O$29=2,O128,0)</f>
        <v>0</v>
      </c>
      <c r="P149" s="158">
        <f t="shared" si="1169"/>
        <v>0</v>
      </c>
      <c r="Q149" s="158">
        <f t="shared" si="1169"/>
        <v>0</v>
      </c>
      <c r="R149" s="158">
        <f t="shared" si="1169"/>
        <v>0</v>
      </c>
      <c r="S149" s="158">
        <f t="shared" si="1169"/>
        <v>0</v>
      </c>
      <c r="T149" s="158">
        <f t="shared" si="1169"/>
        <v>0</v>
      </c>
      <c r="U149" s="158">
        <f t="shared" si="1169"/>
        <v>0</v>
      </c>
      <c r="V149" s="158">
        <f t="shared" si="1169"/>
        <v>0</v>
      </c>
      <c r="W149" s="158"/>
      <c r="X149" s="2416"/>
      <c r="Y149" s="158">
        <f t="shared" ref="Y149:AH149" si="1170">IF(Y$29=2,Y128,0)</f>
        <v>0</v>
      </c>
      <c r="Z149" s="158">
        <f t="shared" si="1170"/>
        <v>0</v>
      </c>
      <c r="AA149" s="158">
        <f t="shared" si="1170"/>
        <v>0</v>
      </c>
      <c r="AB149" s="158">
        <f t="shared" si="1170"/>
        <v>0</v>
      </c>
      <c r="AC149" s="158">
        <f t="shared" si="1170"/>
        <v>0</v>
      </c>
      <c r="AD149" s="158">
        <f t="shared" si="1170"/>
        <v>0</v>
      </c>
      <c r="AE149" s="158">
        <f t="shared" si="1170"/>
        <v>0</v>
      </c>
      <c r="AF149" s="158">
        <f t="shared" si="1170"/>
        <v>0</v>
      </c>
      <c r="AG149" s="158">
        <f t="shared" si="1170"/>
        <v>0</v>
      </c>
      <c r="AH149" s="158">
        <f t="shared" si="1170"/>
        <v>0</v>
      </c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2416"/>
      <c r="AS149" s="158">
        <f t="shared" ref="AS149:AW149" si="1171">IF(AS$29=2,AS128,0)</f>
        <v>0</v>
      </c>
      <c r="AT149" s="158">
        <f t="shared" si="1171"/>
        <v>0</v>
      </c>
      <c r="AU149" s="158">
        <f t="shared" si="1171"/>
        <v>0</v>
      </c>
      <c r="AV149" s="158">
        <f t="shared" si="1171"/>
        <v>0</v>
      </c>
      <c r="AW149" s="158">
        <f t="shared" si="1171"/>
        <v>0</v>
      </c>
      <c r="AX149" s="158">
        <f t="shared" ref="AX149" si="1172">IF(AX$29=2,AX128,0)</f>
        <v>0</v>
      </c>
      <c r="AY149" s="158">
        <f t="shared" ref="AY149:BI149" si="1173">IF(AY$29=2,AY128,0)</f>
        <v>0</v>
      </c>
      <c r="AZ149" s="158">
        <f t="shared" ref="AZ149" si="1174">IF(AZ$29=2,AZ128,0)</f>
        <v>0</v>
      </c>
      <c r="BA149" s="596">
        <f t="shared" si="1173"/>
        <v>0</v>
      </c>
      <c r="BB149" s="596">
        <f t="shared" si="1173"/>
        <v>0</v>
      </c>
      <c r="BC149" s="596">
        <f t="shared" si="1173"/>
        <v>0</v>
      </c>
      <c r="BD149" s="596">
        <f t="shared" si="1173"/>
        <v>0</v>
      </c>
      <c r="BE149" s="596">
        <f t="shared" si="1173"/>
        <v>0</v>
      </c>
      <c r="BF149" s="596">
        <f t="shared" si="1173"/>
        <v>0</v>
      </c>
      <c r="BG149" s="596">
        <f t="shared" si="1173"/>
        <v>0</v>
      </c>
      <c r="BH149" s="596">
        <f t="shared" si="1173"/>
        <v>0</v>
      </c>
      <c r="BI149" s="596">
        <f t="shared" si="1173"/>
        <v>0</v>
      </c>
      <c r="BJ149" s="422"/>
      <c r="BK149" s="422"/>
      <c r="BL149" s="422"/>
      <c r="BM149" s="350">
        <f t="shared" si="944"/>
        <v>0</v>
      </c>
      <c r="BN149" s="579">
        <f t="shared" si="1044"/>
        <v>0</v>
      </c>
      <c r="BO149" s="1089"/>
      <c r="BP149" s="1089"/>
      <c r="BQ149" s="1089"/>
      <c r="BR149" s="1089"/>
      <c r="BS149" s="1089"/>
      <c r="BT149" s="1089"/>
      <c r="BU149" s="1089"/>
      <c r="BV149" s="1089"/>
      <c r="BW149" s="1089"/>
      <c r="BX149" s="1089"/>
      <c r="BY149" s="1089"/>
      <c r="BZ149" s="1089"/>
    </row>
    <row r="150" spans="1:78" s="590" customFormat="1" ht="21.95" hidden="1" customHeight="1" x14ac:dyDescent="0.15">
      <c r="A150" s="2596"/>
      <c r="B150" s="2680"/>
      <c r="C150" s="591" t="s">
        <v>684</v>
      </c>
      <c r="D150" s="2010"/>
      <c r="E150" s="1530"/>
      <c r="F150" s="158">
        <f t="shared" si="1126"/>
        <v>0</v>
      </c>
      <c r="G150" s="158">
        <f t="shared" ref="G150" si="1175">IF(G$29=2,G129,0)</f>
        <v>0</v>
      </c>
      <c r="H150" s="158">
        <f t="shared" ref="H150:I150" si="1176">IF(H$29=2,H129,0)</f>
        <v>0</v>
      </c>
      <c r="I150" s="158">
        <f t="shared" si="1176"/>
        <v>0</v>
      </c>
      <c r="J150" s="158"/>
      <c r="K150" s="158"/>
      <c r="L150" s="158"/>
      <c r="M150" s="158"/>
      <c r="N150" s="2416"/>
      <c r="O150" s="158">
        <f t="shared" ref="O150:V150" si="1177">IF(O$29=2,O129,0)</f>
        <v>0</v>
      </c>
      <c r="P150" s="158">
        <f t="shared" si="1177"/>
        <v>0</v>
      </c>
      <c r="Q150" s="158">
        <f t="shared" si="1177"/>
        <v>0</v>
      </c>
      <c r="R150" s="158">
        <f t="shared" si="1177"/>
        <v>0</v>
      </c>
      <c r="S150" s="158">
        <f t="shared" si="1177"/>
        <v>0</v>
      </c>
      <c r="T150" s="158">
        <f t="shared" si="1177"/>
        <v>0</v>
      </c>
      <c r="U150" s="158">
        <f t="shared" si="1177"/>
        <v>0</v>
      </c>
      <c r="V150" s="158">
        <f t="shared" si="1177"/>
        <v>0</v>
      </c>
      <c r="W150" s="158"/>
      <c r="X150" s="2416"/>
      <c r="Y150" s="158">
        <f t="shared" ref="Y150:AH150" si="1178">IF(Y$29=2,Y129,0)</f>
        <v>0</v>
      </c>
      <c r="Z150" s="158">
        <f t="shared" si="1178"/>
        <v>0</v>
      </c>
      <c r="AA150" s="158">
        <f t="shared" si="1178"/>
        <v>0</v>
      </c>
      <c r="AB150" s="158">
        <f t="shared" si="1178"/>
        <v>0</v>
      </c>
      <c r="AC150" s="158">
        <f t="shared" si="1178"/>
        <v>0</v>
      </c>
      <c r="AD150" s="158">
        <f t="shared" si="1178"/>
        <v>0</v>
      </c>
      <c r="AE150" s="158">
        <f t="shared" si="1178"/>
        <v>0</v>
      </c>
      <c r="AF150" s="158">
        <f t="shared" si="1178"/>
        <v>0</v>
      </c>
      <c r="AG150" s="158">
        <f t="shared" si="1178"/>
        <v>0</v>
      </c>
      <c r="AH150" s="158">
        <f t="shared" si="1178"/>
        <v>0</v>
      </c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2416"/>
      <c r="AS150" s="158">
        <f t="shared" ref="AS150:AW150" si="1179">IF(AS$29=2,AS129,0)</f>
        <v>0</v>
      </c>
      <c r="AT150" s="158">
        <f t="shared" si="1179"/>
        <v>0</v>
      </c>
      <c r="AU150" s="158">
        <f t="shared" si="1179"/>
        <v>0</v>
      </c>
      <c r="AV150" s="158">
        <f t="shared" si="1179"/>
        <v>0</v>
      </c>
      <c r="AW150" s="158">
        <f t="shared" si="1179"/>
        <v>0</v>
      </c>
      <c r="AX150" s="158">
        <f t="shared" ref="AX150" si="1180">IF(AX$29=2,AX129,0)</f>
        <v>0</v>
      </c>
      <c r="AY150" s="158">
        <f t="shared" ref="AY150:BI150" si="1181">IF(AY$29=2,AY129,0)</f>
        <v>0</v>
      </c>
      <c r="AZ150" s="158">
        <f t="shared" ref="AZ150" si="1182">IF(AZ$29=2,AZ129,0)</f>
        <v>0</v>
      </c>
      <c r="BA150" s="458">
        <f t="shared" si="1181"/>
        <v>0</v>
      </c>
      <c r="BB150" s="458">
        <f t="shared" si="1181"/>
        <v>0</v>
      </c>
      <c r="BC150" s="458">
        <f t="shared" si="1181"/>
        <v>0</v>
      </c>
      <c r="BD150" s="458">
        <f t="shared" si="1181"/>
        <v>0</v>
      </c>
      <c r="BE150" s="458">
        <f t="shared" si="1181"/>
        <v>0</v>
      </c>
      <c r="BF150" s="458">
        <f t="shared" si="1181"/>
        <v>0</v>
      </c>
      <c r="BG150" s="458">
        <f t="shared" si="1181"/>
        <v>0</v>
      </c>
      <c r="BH150" s="458">
        <f t="shared" si="1181"/>
        <v>0</v>
      </c>
      <c r="BI150" s="458">
        <f t="shared" si="1181"/>
        <v>0</v>
      </c>
      <c r="BJ150" s="457"/>
      <c r="BK150" s="457"/>
      <c r="BL150" s="457"/>
      <c r="BM150" s="350">
        <f t="shared" si="944"/>
        <v>0</v>
      </c>
      <c r="BN150" s="579">
        <f t="shared" si="1044"/>
        <v>0</v>
      </c>
      <c r="BO150" s="1089"/>
      <c r="BP150" s="1089"/>
      <c r="BQ150" s="1089"/>
      <c r="BR150" s="1089"/>
      <c r="BS150" s="1089"/>
      <c r="BT150" s="1089"/>
      <c r="BU150" s="1089"/>
      <c r="BV150" s="1089"/>
      <c r="BW150" s="1089"/>
      <c r="BX150" s="1089"/>
      <c r="BY150" s="1089"/>
      <c r="BZ150" s="1089"/>
    </row>
    <row r="151" spans="1:78" s="590" customFormat="1" ht="21.95" hidden="1" customHeight="1" x14ac:dyDescent="0.15">
      <c r="A151" s="2596"/>
      <c r="B151" s="2680"/>
      <c r="C151" s="591" t="s">
        <v>681</v>
      </c>
      <c r="D151" s="2011"/>
      <c r="E151" s="1531"/>
      <c r="F151" s="596">
        <f t="shared" si="1126"/>
        <v>0</v>
      </c>
      <c r="G151" s="596">
        <f t="shared" ref="G151" si="1183">IF(G$29=2,G130,0)</f>
        <v>0</v>
      </c>
      <c r="H151" s="596">
        <f t="shared" ref="H151:I151" si="1184">IF(H$29=2,H130,0)</f>
        <v>0</v>
      </c>
      <c r="I151" s="596">
        <f t="shared" si="1184"/>
        <v>0</v>
      </c>
      <c r="J151" s="596"/>
      <c r="K151" s="596"/>
      <c r="L151" s="596"/>
      <c r="M151" s="596"/>
      <c r="N151" s="2451"/>
      <c r="O151" s="596">
        <f t="shared" ref="O151:V151" si="1185">IF(O$29=2,O130,0)</f>
        <v>0</v>
      </c>
      <c r="P151" s="596">
        <f t="shared" si="1185"/>
        <v>0</v>
      </c>
      <c r="Q151" s="596">
        <f t="shared" si="1185"/>
        <v>0</v>
      </c>
      <c r="R151" s="596">
        <f t="shared" si="1185"/>
        <v>0</v>
      </c>
      <c r="S151" s="596">
        <f t="shared" si="1185"/>
        <v>0</v>
      </c>
      <c r="T151" s="596">
        <f t="shared" si="1185"/>
        <v>0</v>
      </c>
      <c r="U151" s="596">
        <f t="shared" si="1185"/>
        <v>0</v>
      </c>
      <c r="V151" s="596">
        <f t="shared" si="1185"/>
        <v>0</v>
      </c>
      <c r="W151" s="596"/>
      <c r="X151" s="2451"/>
      <c r="Y151" s="596">
        <f t="shared" ref="Y151:AH151" si="1186">IF(Y$29=2,Y130,0)</f>
        <v>0</v>
      </c>
      <c r="Z151" s="596">
        <f t="shared" si="1186"/>
        <v>0</v>
      </c>
      <c r="AA151" s="596">
        <f t="shared" si="1186"/>
        <v>0</v>
      </c>
      <c r="AB151" s="596">
        <f t="shared" si="1186"/>
        <v>0</v>
      </c>
      <c r="AC151" s="596">
        <f t="shared" si="1186"/>
        <v>0</v>
      </c>
      <c r="AD151" s="596">
        <f t="shared" si="1186"/>
        <v>0</v>
      </c>
      <c r="AE151" s="596">
        <f t="shared" si="1186"/>
        <v>0</v>
      </c>
      <c r="AF151" s="596">
        <f t="shared" si="1186"/>
        <v>0</v>
      </c>
      <c r="AG151" s="596">
        <f t="shared" si="1186"/>
        <v>0</v>
      </c>
      <c r="AH151" s="596">
        <f t="shared" si="1186"/>
        <v>0</v>
      </c>
      <c r="AI151" s="596"/>
      <c r="AJ151" s="596"/>
      <c r="AK151" s="596"/>
      <c r="AL151" s="596"/>
      <c r="AM151" s="596"/>
      <c r="AN151" s="596"/>
      <c r="AO151" s="596"/>
      <c r="AP151" s="596"/>
      <c r="AQ151" s="596"/>
      <c r="AR151" s="2451"/>
      <c r="AS151" s="596">
        <f t="shared" ref="AS151:AW151" si="1187">IF(AS$29=2,AS130,0)</f>
        <v>0</v>
      </c>
      <c r="AT151" s="596">
        <f t="shared" si="1187"/>
        <v>0</v>
      </c>
      <c r="AU151" s="596">
        <f t="shared" si="1187"/>
        <v>0</v>
      </c>
      <c r="AV151" s="596">
        <f t="shared" si="1187"/>
        <v>0</v>
      </c>
      <c r="AW151" s="596">
        <f t="shared" si="1187"/>
        <v>0</v>
      </c>
      <c r="AX151" s="596">
        <f t="shared" ref="AX151" si="1188">IF(AX$29=2,AX130,0)</f>
        <v>0</v>
      </c>
      <c r="AY151" s="596">
        <f t="shared" ref="AY151:BI151" si="1189">IF(AY$29=2,AY130,0)</f>
        <v>0</v>
      </c>
      <c r="AZ151" s="596">
        <f t="shared" ref="AZ151" si="1190">IF(AZ$29=2,AZ130,0)</f>
        <v>0</v>
      </c>
      <c r="BA151" s="596">
        <f t="shared" si="1189"/>
        <v>0</v>
      </c>
      <c r="BB151" s="596">
        <f t="shared" si="1189"/>
        <v>0</v>
      </c>
      <c r="BC151" s="596">
        <f t="shared" si="1189"/>
        <v>0</v>
      </c>
      <c r="BD151" s="596">
        <f t="shared" si="1189"/>
        <v>0</v>
      </c>
      <c r="BE151" s="596">
        <f t="shared" si="1189"/>
        <v>0</v>
      </c>
      <c r="BF151" s="596">
        <f t="shared" si="1189"/>
        <v>0</v>
      </c>
      <c r="BG151" s="596">
        <f t="shared" si="1189"/>
        <v>0</v>
      </c>
      <c r="BH151" s="596">
        <f t="shared" si="1189"/>
        <v>0</v>
      </c>
      <c r="BI151" s="596">
        <f t="shared" si="1189"/>
        <v>0</v>
      </c>
      <c r="BJ151" s="422"/>
      <c r="BK151" s="422"/>
      <c r="BL151" s="422"/>
      <c r="BM151" s="507">
        <f t="shared" si="944"/>
        <v>0</v>
      </c>
      <c r="BN151" s="579">
        <f t="shared" si="1044"/>
        <v>0</v>
      </c>
      <c r="BO151" s="1089"/>
      <c r="BP151" s="1089"/>
      <c r="BQ151" s="1089"/>
      <c r="BR151" s="1089"/>
      <c r="BS151" s="1089"/>
      <c r="BT151" s="1089"/>
      <c r="BU151" s="1089"/>
      <c r="BV151" s="1089"/>
      <c r="BW151" s="1089"/>
      <c r="BX151" s="1089"/>
      <c r="BY151" s="1089"/>
      <c r="BZ151" s="1089"/>
    </row>
    <row r="152" spans="1:78" s="590" customFormat="1" ht="21.95" hidden="1" customHeight="1" x14ac:dyDescent="0.15">
      <c r="A152" s="2596"/>
      <c r="B152" s="2680"/>
      <c r="C152" s="591" t="s">
        <v>682</v>
      </c>
      <c r="D152" s="2010"/>
      <c r="E152" s="1530"/>
      <c r="F152" s="458">
        <f t="shared" si="1126"/>
        <v>0</v>
      </c>
      <c r="G152" s="458">
        <f t="shared" ref="G152" si="1191">IF(G$29=2,G131,0)</f>
        <v>0</v>
      </c>
      <c r="H152" s="458">
        <f t="shared" ref="H152:I152" si="1192">IF(H$29=2,H131,0)</f>
        <v>0</v>
      </c>
      <c r="I152" s="458">
        <f t="shared" si="1192"/>
        <v>0</v>
      </c>
      <c r="J152" s="458"/>
      <c r="K152" s="458"/>
      <c r="L152" s="458"/>
      <c r="M152" s="458"/>
      <c r="N152" s="2450"/>
      <c r="O152" s="458">
        <f t="shared" ref="O152:V152" si="1193">IF(O$29=2,O131,0)</f>
        <v>0</v>
      </c>
      <c r="P152" s="458">
        <f t="shared" si="1193"/>
        <v>0</v>
      </c>
      <c r="Q152" s="458">
        <f t="shared" si="1193"/>
        <v>0</v>
      </c>
      <c r="R152" s="458">
        <f t="shared" si="1193"/>
        <v>0</v>
      </c>
      <c r="S152" s="458">
        <f t="shared" si="1193"/>
        <v>0</v>
      </c>
      <c r="T152" s="458">
        <f t="shared" si="1193"/>
        <v>0</v>
      </c>
      <c r="U152" s="458">
        <f t="shared" si="1193"/>
        <v>0</v>
      </c>
      <c r="V152" s="458">
        <f t="shared" si="1193"/>
        <v>0</v>
      </c>
      <c r="W152" s="458"/>
      <c r="X152" s="2450"/>
      <c r="Y152" s="458">
        <f t="shared" ref="Y152:AH152" si="1194">IF(Y$29=2,Y131,0)</f>
        <v>0</v>
      </c>
      <c r="Z152" s="458">
        <f t="shared" si="1194"/>
        <v>0</v>
      </c>
      <c r="AA152" s="458">
        <f t="shared" si="1194"/>
        <v>0</v>
      </c>
      <c r="AB152" s="458">
        <f t="shared" si="1194"/>
        <v>0</v>
      </c>
      <c r="AC152" s="458">
        <f t="shared" si="1194"/>
        <v>0</v>
      </c>
      <c r="AD152" s="458">
        <f t="shared" si="1194"/>
        <v>0</v>
      </c>
      <c r="AE152" s="458">
        <f t="shared" si="1194"/>
        <v>0</v>
      </c>
      <c r="AF152" s="458">
        <f t="shared" si="1194"/>
        <v>0</v>
      </c>
      <c r="AG152" s="458">
        <f t="shared" si="1194"/>
        <v>0</v>
      </c>
      <c r="AH152" s="458">
        <f t="shared" si="1194"/>
        <v>0</v>
      </c>
      <c r="AI152" s="458"/>
      <c r="AJ152" s="458"/>
      <c r="AK152" s="458"/>
      <c r="AL152" s="458"/>
      <c r="AM152" s="458"/>
      <c r="AN152" s="458"/>
      <c r="AO152" s="458"/>
      <c r="AP152" s="458"/>
      <c r="AQ152" s="458"/>
      <c r="AR152" s="2450"/>
      <c r="AS152" s="458">
        <f t="shared" ref="AS152:AW152" si="1195">IF(AS$29=2,AS131,0)</f>
        <v>0</v>
      </c>
      <c r="AT152" s="458">
        <f t="shared" si="1195"/>
        <v>0</v>
      </c>
      <c r="AU152" s="458">
        <f t="shared" si="1195"/>
        <v>0</v>
      </c>
      <c r="AV152" s="458">
        <f t="shared" si="1195"/>
        <v>0</v>
      </c>
      <c r="AW152" s="458">
        <f t="shared" si="1195"/>
        <v>0</v>
      </c>
      <c r="AX152" s="458">
        <f t="shared" ref="AX152" si="1196">IF(AX$29=2,AX131,0)</f>
        <v>0</v>
      </c>
      <c r="AY152" s="458">
        <f t="shared" ref="AY152:BI152" si="1197">IF(AY$29=2,AY131,0)</f>
        <v>0</v>
      </c>
      <c r="AZ152" s="458">
        <f t="shared" ref="AZ152" si="1198">IF(AZ$29=2,AZ131,0)</f>
        <v>0</v>
      </c>
      <c r="BA152" s="458">
        <f t="shared" si="1197"/>
        <v>0</v>
      </c>
      <c r="BB152" s="458">
        <f t="shared" si="1197"/>
        <v>0</v>
      </c>
      <c r="BC152" s="458">
        <f t="shared" si="1197"/>
        <v>0</v>
      </c>
      <c r="BD152" s="458">
        <f t="shared" si="1197"/>
        <v>0</v>
      </c>
      <c r="BE152" s="458">
        <f t="shared" si="1197"/>
        <v>0</v>
      </c>
      <c r="BF152" s="458">
        <f t="shared" si="1197"/>
        <v>0</v>
      </c>
      <c r="BG152" s="458">
        <f t="shared" si="1197"/>
        <v>0</v>
      </c>
      <c r="BH152" s="458">
        <f t="shared" si="1197"/>
        <v>0</v>
      </c>
      <c r="BI152" s="458">
        <f t="shared" si="1197"/>
        <v>0</v>
      </c>
      <c r="BJ152" s="457"/>
      <c r="BK152" s="457"/>
      <c r="BL152" s="457"/>
      <c r="BM152" s="597">
        <f t="shared" si="944"/>
        <v>0</v>
      </c>
      <c r="BN152" s="579">
        <f t="shared" si="1044"/>
        <v>0</v>
      </c>
      <c r="BO152" s="1089"/>
      <c r="BP152" s="1089"/>
      <c r="BQ152" s="1089"/>
      <c r="BR152" s="1089"/>
      <c r="BS152" s="1089"/>
      <c r="BT152" s="1089"/>
      <c r="BU152" s="1089"/>
      <c r="BV152" s="1089"/>
      <c r="BW152" s="1089"/>
      <c r="BX152" s="1089"/>
      <c r="BY152" s="1089"/>
      <c r="BZ152" s="1089"/>
    </row>
    <row r="153" spans="1:78" s="590" customFormat="1" ht="21.95" hidden="1" customHeight="1" thickBot="1" x14ac:dyDescent="0.2">
      <c r="A153" s="2596"/>
      <c r="B153" s="2681"/>
      <c r="C153" s="929" t="s">
        <v>683</v>
      </c>
      <c r="D153" s="2005"/>
      <c r="E153" s="1523"/>
      <c r="F153" s="239">
        <f t="shared" si="1126"/>
        <v>0</v>
      </c>
      <c r="G153" s="239">
        <f t="shared" ref="G153" si="1199">IF(G$29=2,G132,0)</f>
        <v>0</v>
      </c>
      <c r="H153" s="239">
        <f t="shared" ref="H153:I153" si="1200">IF(H$29=2,H132,0)</f>
        <v>0</v>
      </c>
      <c r="I153" s="239">
        <f t="shared" si="1200"/>
        <v>0</v>
      </c>
      <c r="J153" s="239"/>
      <c r="K153" s="239"/>
      <c r="L153" s="239"/>
      <c r="M153" s="239"/>
      <c r="N153" s="2440"/>
      <c r="O153" s="239">
        <f t="shared" ref="O153:V153" si="1201">IF(O$29=2,O132,0)</f>
        <v>0</v>
      </c>
      <c r="P153" s="239">
        <f t="shared" si="1201"/>
        <v>0</v>
      </c>
      <c r="Q153" s="239">
        <f t="shared" si="1201"/>
        <v>0</v>
      </c>
      <c r="R153" s="239">
        <f t="shared" si="1201"/>
        <v>0</v>
      </c>
      <c r="S153" s="239">
        <f t="shared" si="1201"/>
        <v>0</v>
      </c>
      <c r="T153" s="239">
        <f t="shared" si="1201"/>
        <v>0</v>
      </c>
      <c r="U153" s="239">
        <f t="shared" si="1201"/>
        <v>0</v>
      </c>
      <c r="V153" s="239">
        <f t="shared" si="1201"/>
        <v>0</v>
      </c>
      <c r="W153" s="239"/>
      <c r="X153" s="2440"/>
      <c r="Y153" s="239">
        <f t="shared" ref="Y153:AH153" si="1202">IF(Y$29=2,Y132,0)</f>
        <v>0</v>
      </c>
      <c r="Z153" s="239">
        <f t="shared" si="1202"/>
        <v>0</v>
      </c>
      <c r="AA153" s="239">
        <f t="shared" si="1202"/>
        <v>0</v>
      </c>
      <c r="AB153" s="239">
        <f t="shared" si="1202"/>
        <v>0</v>
      </c>
      <c r="AC153" s="239">
        <f t="shared" si="1202"/>
        <v>0</v>
      </c>
      <c r="AD153" s="239">
        <f t="shared" si="1202"/>
        <v>0</v>
      </c>
      <c r="AE153" s="239">
        <f t="shared" si="1202"/>
        <v>0</v>
      </c>
      <c r="AF153" s="239">
        <f t="shared" si="1202"/>
        <v>0</v>
      </c>
      <c r="AG153" s="239">
        <f t="shared" si="1202"/>
        <v>0</v>
      </c>
      <c r="AH153" s="239">
        <f t="shared" si="1202"/>
        <v>0</v>
      </c>
      <c r="AI153" s="239"/>
      <c r="AJ153" s="239"/>
      <c r="AK153" s="239"/>
      <c r="AL153" s="239"/>
      <c r="AM153" s="239"/>
      <c r="AN153" s="239"/>
      <c r="AO153" s="239"/>
      <c r="AP153" s="239"/>
      <c r="AQ153" s="239"/>
      <c r="AR153" s="2440"/>
      <c r="AS153" s="239">
        <f t="shared" ref="AS153:AW153" si="1203">IF(AS$29=2,AS132,0)</f>
        <v>0</v>
      </c>
      <c r="AT153" s="239">
        <f t="shared" si="1203"/>
        <v>0</v>
      </c>
      <c r="AU153" s="239">
        <f t="shared" si="1203"/>
        <v>0</v>
      </c>
      <c r="AV153" s="239">
        <f t="shared" si="1203"/>
        <v>0</v>
      </c>
      <c r="AW153" s="239">
        <f t="shared" si="1203"/>
        <v>0</v>
      </c>
      <c r="AX153" s="239">
        <f t="shared" ref="AX153" si="1204">IF(AX$29=2,AX132,0)</f>
        <v>0</v>
      </c>
      <c r="AY153" s="239">
        <f t="shared" ref="AY153:BI153" si="1205">IF(AY$29=2,AY132,0)</f>
        <v>0</v>
      </c>
      <c r="AZ153" s="239">
        <f t="shared" ref="AZ153" si="1206">IF(AZ$29=2,AZ132,0)</f>
        <v>0</v>
      </c>
      <c r="BA153" s="239">
        <f t="shared" si="1205"/>
        <v>0</v>
      </c>
      <c r="BB153" s="239">
        <f t="shared" si="1205"/>
        <v>0</v>
      </c>
      <c r="BC153" s="239">
        <f t="shared" si="1205"/>
        <v>0</v>
      </c>
      <c r="BD153" s="239">
        <f t="shared" si="1205"/>
        <v>0</v>
      </c>
      <c r="BE153" s="239">
        <f t="shared" si="1205"/>
        <v>0</v>
      </c>
      <c r="BF153" s="239">
        <f t="shared" si="1205"/>
        <v>0</v>
      </c>
      <c r="BG153" s="239">
        <f t="shared" si="1205"/>
        <v>0</v>
      </c>
      <c r="BH153" s="239">
        <f t="shared" si="1205"/>
        <v>0</v>
      </c>
      <c r="BI153" s="239">
        <f t="shared" si="1205"/>
        <v>0</v>
      </c>
      <c r="BJ153" s="237"/>
      <c r="BK153" s="237"/>
      <c r="BL153" s="237"/>
      <c r="BM153" s="361">
        <f t="shared" si="944"/>
        <v>0</v>
      </c>
      <c r="BN153" s="579">
        <f t="shared" si="1044"/>
        <v>0</v>
      </c>
      <c r="BO153" s="1089"/>
      <c r="BP153" s="1089"/>
      <c r="BQ153" s="1089"/>
      <c r="BR153" s="1089"/>
      <c r="BS153" s="1089"/>
      <c r="BT153" s="1089"/>
      <c r="BU153" s="1089"/>
      <c r="BV153" s="1089"/>
      <c r="BW153" s="1089"/>
      <c r="BX153" s="1089"/>
      <c r="BY153" s="1089"/>
      <c r="BZ153" s="1089"/>
    </row>
    <row r="154" spans="1:78" s="590" customFormat="1" ht="21.95" hidden="1" customHeight="1" x14ac:dyDescent="0.15">
      <c r="A154" s="2596"/>
      <c r="B154" s="2671" t="s">
        <v>673</v>
      </c>
      <c r="C154" s="930" t="s">
        <v>16</v>
      </c>
      <c r="D154" s="2003"/>
      <c r="E154" s="1520"/>
      <c r="F154" s="238">
        <f>Dren_Quantificacao!D18</f>
        <v>0</v>
      </c>
      <c r="G154" s="238">
        <f>Dren_Quantificacao!E18</f>
        <v>0</v>
      </c>
      <c r="H154" s="238">
        <f>Dren_Quantificacao!F18</f>
        <v>0</v>
      </c>
      <c r="I154" s="238">
        <f>Dren_Quantificacao!G18</f>
        <v>0</v>
      </c>
      <c r="J154" s="238"/>
      <c r="K154" s="238"/>
      <c r="L154" s="238"/>
      <c r="M154" s="238"/>
      <c r="N154" s="2439"/>
      <c r="O154" s="238">
        <f>Dren_Quantificacao!M18</f>
        <v>0</v>
      </c>
      <c r="P154" s="238">
        <f>Dren_Quantificacao!N18</f>
        <v>0</v>
      </c>
      <c r="Q154" s="238">
        <f>Dren_Quantificacao!O18</f>
        <v>0</v>
      </c>
      <c r="R154" s="238">
        <f>Dren_Quantificacao!P18</f>
        <v>0</v>
      </c>
      <c r="S154" s="238">
        <f>Dren_Quantificacao!Q18</f>
        <v>0</v>
      </c>
      <c r="T154" s="238">
        <f>Dren_Quantificacao!R18</f>
        <v>0</v>
      </c>
      <c r="U154" s="238">
        <f>Dren_Quantificacao!S18</f>
        <v>0</v>
      </c>
      <c r="V154" s="238">
        <f>Dren_Quantificacao!T18</f>
        <v>0</v>
      </c>
      <c r="W154" s="238"/>
      <c r="X154" s="2439"/>
      <c r="Y154" s="238">
        <f>Dren_Quantificacao!W18</f>
        <v>0</v>
      </c>
      <c r="Z154" s="238">
        <f>Dren_Quantificacao!X18</f>
        <v>0</v>
      </c>
      <c r="AA154" s="238">
        <f>Dren_Quantificacao!Y18</f>
        <v>0</v>
      </c>
      <c r="AB154" s="238">
        <f>Dren_Quantificacao!Z18</f>
        <v>0</v>
      </c>
      <c r="AC154" s="238">
        <f>Dren_Quantificacao!AA18</f>
        <v>0</v>
      </c>
      <c r="AD154" s="238">
        <f>Dren_Quantificacao!AB18</f>
        <v>0</v>
      </c>
      <c r="AE154" s="238">
        <f>Dren_Quantificacao!AC18</f>
        <v>0</v>
      </c>
      <c r="AF154" s="238">
        <f>Dren_Quantificacao!AD18</f>
        <v>0</v>
      </c>
      <c r="AG154" s="238">
        <f>Dren_Quantificacao!AE18</f>
        <v>0</v>
      </c>
      <c r="AH154" s="238">
        <f>Dren_Quantificacao!AF18</f>
        <v>0</v>
      </c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439"/>
      <c r="AS154" s="238">
        <f>Dren_Quantificacao!AQ18</f>
        <v>0</v>
      </c>
      <c r="AT154" s="238">
        <f>Dren_Quantificacao!AR18</f>
        <v>0</v>
      </c>
      <c r="AU154" s="238">
        <f>Dren_Quantificacao!AS18</f>
        <v>0</v>
      </c>
      <c r="AV154" s="238">
        <f>Dren_Quantificacao!AT18</f>
        <v>0</v>
      </c>
      <c r="AW154" s="238">
        <f>Dren_Quantificacao!AU18</f>
        <v>0</v>
      </c>
      <c r="AX154" s="238">
        <f>Dren_Quantificacao!AW18</f>
        <v>0</v>
      </c>
      <c r="AY154" s="238">
        <f>Dren_Quantificacao!AX18</f>
        <v>0</v>
      </c>
      <c r="AZ154" s="238">
        <f>Dren_Quantificacao!AY18</f>
        <v>0</v>
      </c>
      <c r="BA154" s="238">
        <f>Dren_Quantificacao!AZ18</f>
        <v>0</v>
      </c>
      <c r="BB154" s="238">
        <f>Dren_Quantificacao!BA18</f>
        <v>0</v>
      </c>
      <c r="BC154" s="238">
        <f>Dren_Quantificacao!BB18</f>
        <v>0</v>
      </c>
      <c r="BD154" s="238">
        <f>Dren_Quantificacao!BC18</f>
        <v>0</v>
      </c>
      <c r="BE154" s="238">
        <f>Dren_Quantificacao!BD18</f>
        <v>0</v>
      </c>
      <c r="BF154" s="238">
        <f>Dren_Quantificacao!BE18</f>
        <v>0</v>
      </c>
      <c r="BG154" s="238">
        <f>Dren_Quantificacao!BF18</f>
        <v>0</v>
      </c>
      <c r="BH154" s="238">
        <f>Dren_Quantificacao!BG18</f>
        <v>0</v>
      </c>
      <c r="BI154" s="238">
        <f>Dren_Quantificacao!BH18</f>
        <v>0</v>
      </c>
      <c r="BJ154" s="241"/>
      <c r="BK154" s="241"/>
      <c r="BL154" s="241"/>
      <c r="BM154" s="363"/>
      <c r="BN154" s="579">
        <f t="shared" si="1044"/>
        <v>0</v>
      </c>
      <c r="BO154" s="1089"/>
      <c r="BP154" s="1089"/>
      <c r="BQ154" s="1089"/>
      <c r="BR154" s="1089"/>
      <c r="BS154" s="1089"/>
      <c r="BT154" s="1089"/>
      <c r="BU154" s="1089"/>
      <c r="BV154" s="1089"/>
      <c r="BW154" s="1089"/>
      <c r="BX154" s="1089"/>
      <c r="BY154" s="1089"/>
      <c r="BZ154" s="1089"/>
    </row>
    <row r="155" spans="1:78" s="590" customFormat="1" ht="21.95" hidden="1" customHeight="1" x14ac:dyDescent="0.15">
      <c r="A155" s="2596"/>
      <c r="B155" s="2668"/>
      <c r="C155" s="591" t="s">
        <v>3</v>
      </c>
      <c r="D155" s="2004"/>
      <c r="E155" s="592"/>
      <c r="F155" s="158">
        <f>Dren_Quantificacao!D19</f>
        <v>0</v>
      </c>
      <c r="G155" s="158">
        <f>Dren_Quantificacao!E19</f>
        <v>0</v>
      </c>
      <c r="H155" s="158">
        <f>Dren_Quantificacao!F19</f>
        <v>0</v>
      </c>
      <c r="I155" s="158">
        <f>Dren_Quantificacao!G19</f>
        <v>0</v>
      </c>
      <c r="J155" s="158"/>
      <c r="K155" s="158"/>
      <c r="L155" s="158"/>
      <c r="M155" s="158"/>
      <c r="N155" s="2416"/>
      <c r="O155" s="158">
        <f>Dren_Quantificacao!M19</f>
        <v>0</v>
      </c>
      <c r="P155" s="158">
        <f>Dren_Quantificacao!N19</f>
        <v>0</v>
      </c>
      <c r="Q155" s="158">
        <f>Dren_Quantificacao!O19</f>
        <v>0</v>
      </c>
      <c r="R155" s="158">
        <f>Dren_Quantificacao!P19</f>
        <v>0</v>
      </c>
      <c r="S155" s="158">
        <f>Dren_Quantificacao!Q19</f>
        <v>0</v>
      </c>
      <c r="T155" s="158">
        <f>Dren_Quantificacao!R19</f>
        <v>0</v>
      </c>
      <c r="U155" s="158">
        <f>Dren_Quantificacao!S19</f>
        <v>0</v>
      </c>
      <c r="V155" s="158">
        <f>Dren_Quantificacao!T19</f>
        <v>0</v>
      </c>
      <c r="W155" s="158"/>
      <c r="X155" s="2416"/>
      <c r="Y155" s="158">
        <f>Dren_Quantificacao!W19</f>
        <v>0</v>
      </c>
      <c r="Z155" s="158">
        <f>Dren_Quantificacao!X19</f>
        <v>0</v>
      </c>
      <c r="AA155" s="158">
        <f>Dren_Quantificacao!Y19</f>
        <v>0</v>
      </c>
      <c r="AB155" s="158">
        <f>Dren_Quantificacao!Z19</f>
        <v>0</v>
      </c>
      <c r="AC155" s="158">
        <f>Dren_Quantificacao!AA19</f>
        <v>0</v>
      </c>
      <c r="AD155" s="158">
        <f>Dren_Quantificacao!AB19</f>
        <v>0</v>
      </c>
      <c r="AE155" s="158">
        <f>Dren_Quantificacao!AC19</f>
        <v>0</v>
      </c>
      <c r="AF155" s="158">
        <f>Dren_Quantificacao!AD19</f>
        <v>0</v>
      </c>
      <c r="AG155" s="158">
        <f>Dren_Quantificacao!AE19</f>
        <v>0</v>
      </c>
      <c r="AH155" s="158">
        <f>Dren_Quantificacao!AF19</f>
        <v>0</v>
      </c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2416"/>
      <c r="AS155" s="158">
        <f>Dren_Quantificacao!AQ19</f>
        <v>0</v>
      </c>
      <c r="AT155" s="158">
        <f>Dren_Quantificacao!AR19</f>
        <v>0</v>
      </c>
      <c r="AU155" s="158">
        <f>Dren_Quantificacao!AS19</f>
        <v>0</v>
      </c>
      <c r="AV155" s="158">
        <f>Dren_Quantificacao!AT19</f>
        <v>0</v>
      </c>
      <c r="AW155" s="158">
        <f>Dren_Quantificacao!AU19</f>
        <v>0</v>
      </c>
      <c r="AX155" s="158">
        <f>Dren_Quantificacao!AW19</f>
        <v>0</v>
      </c>
      <c r="AY155" s="158">
        <f>Dren_Quantificacao!AX19</f>
        <v>0</v>
      </c>
      <c r="AZ155" s="158">
        <f>Dren_Quantificacao!AY19</f>
        <v>0</v>
      </c>
      <c r="BA155" s="158">
        <f>Dren_Quantificacao!AZ19</f>
        <v>0</v>
      </c>
      <c r="BB155" s="158">
        <f>Dren_Quantificacao!BA19</f>
        <v>0</v>
      </c>
      <c r="BC155" s="158">
        <f>Dren_Quantificacao!BB19</f>
        <v>0</v>
      </c>
      <c r="BD155" s="158">
        <f>Dren_Quantificacao!BC19</f>
        <v>0</v>
      </c>
      <c r="BE155" s="158">
        <f>Dren_Quantificacao!BD19</f>
        <v>0</v>
      </c>
      <c r="BF155" s="158">
        <f>Dren_Quantificacao!BE19</f>
        <v>0</v>
      </c>
      <c r="BG155" s="158">
        <f>Dren_Quantificacao!BF19</f>
        <v>0</v>
      </c>
      <c r="BH155" s="158">
        <f>Dren_Quantificacao!BG19</f>
        <v>0</v>
      </c>
      <c r="BI155" s="158">
        <f>Dren_Quantificacao!BH19</f>
        <v>0</v>
      </c>
      <c r="BJ155" s="159"/>
      <c r="BK155" s="159"/>
      <c r="BL155" s="159"/>
      <c r="BM155" s="595">
        <f>TRUNC(SUM(F155:BL155),2)</f>
        <v>0</v>
      </c>
      <c r="BN155" s="579">
        <f t="shared" si="1044"/>
        <v>0</v>
      </c>
      <c r="BO155" s="1089"/>
      <c r="BP155" s="1089"/>
      <c r="BQ155" s="1089"/>
      <c r="BR155" s="1089"/>
      <c r="BS155" s="1089"/>
      <c r="BT155" s="1089"/>
      <c r="BU155" s="1089"/>
      <c r="BV155" s="1089"/>
      <c r="BW155" s="1089"/>
      <c r="BX155" s="1089"/>
      <c r="BY155" s="1089"/>
      <c r="BZ155" s="1089"/>
    </row>
    <row r="156" spans="1:78" s="590" customFormat="1" ht="21.95" hidden="1" customHeight="1" x14ac:dyDescent="0.15">
      <c r="A156" s="2596"/>
      <c r="B156" s="2668"/>
      <c r="C156" s="591" t="s">
        <v>58</v>
      </c>
      <c r="D156" s="2004"/>
      <c r="E156" s="592"/>
      <c r="F156" s="158">
        <f t="shared" ref="F156" si="1207">IF(F154&gt;0,F33+F34,0)</f>
        <v>0</v>
      </c>
      <c r="G156" s="158">
        <f t="shared" ref="G156" si="1208">IF(G154&gt;0,G33+G34,0)</f>
        <v>0</v>
      </c>
      <c r="H156" s="158">
        <f t="shared" ref="H156:I156" si="1209">IF(H154&gt;0,H33+H34,0)</f>
        <v>0</v>
      </c>
      <c r="I156" s="158">
        <f t="shared" si="1209"/>
        <v>0</v>
      </c>
      <c r="J156" s="158"/>
      <c r="K156" s="158"/>
      <c r="L156" s="158"/>
      <c r="M156" s="158"/>
      <c r="N156" s="2416"/>
      <c r="O156" s="158">
        <f t="shared" ref="O156:V156" si="1210">IF(O154&gt;0,O33+O34,0)</f>
        <v>0</v>
      </c>
      <c r="P156" s="158">
        <f t="shared" si="1210"/>
        <v>0</v>
      </c>
      <c r="Q156" s="158">
        <f t="shared" si="1210"/>
        <v>0</v>
      </c>
      <c r="R156" s="158">
        <f t="shared" si="1210"/>
        <v>0</v>
      </c>
      <c r="S156" s="158">
        <f t="shared" si="1210"/>
        <v>0</v>
      </c>
      <c r="T156" s="158">
        <f t="shared" si="1210"/>
        <v>0</v>
      </c>
      <c r="U156" s="158">
        <f t="shared" si="1210"/>
        <v>0</v>
      </c>
      <c r="V156" s="158">
        <f t="shared" si="1210"/>
        <v>0</v>
      </c>
      <c r="W156" s="158"/>
      <c r="X156" s="2416"/>
      <c r="Y156" s="158">
        <f t="shared" ref="Y156:AH156" si="1211">IF(Y154&gt;0,Y33+Y34,0)</f>
        <v>0</v>
      </c>
      <c r="Z156" s="158">
        <f t="shared" si="1211"/>
        <v>0</v>
      </c>
      <c r="AA156" s="158">
        <f t="shared" si="1211"/>
        <v>0</v>
      </c>
      <c r="AB156" s="158">
        <f t="shared" si="1211"/>
        <v>0</v>
      </c>
      <c r="AC156" s="158">
        <f t="shared" si="1211"/>
        <v>0</v>
      </c>
      <c r="AD156" s="158">
        <f t="shared" si="1211"/>
        <v>0</v>
      </c>
      <c r="AE156" s="158">
        <f t="shared" si="1211"/>
        <v>0</v>
      </c>
      <c r="AF156" s="158">
        <f t="shared" si="1211"/>
        <v>0</v>
      </c>
      <c r="AG156" s="158">
        <f t="shared" si="1211"/>
        <v>0</v>
      </c>
      <c r="AH156" s="158">
        <f t="shared" si="1211"/>
        <v>0</v>
      </c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2416"/>
      <c r="AS156" s="158">
        <f t="shared" ref="AS156:AW156" si="1212">IF(AS154&gt;0,AS33+AS34,0)</f>
        <v>0</v>
      </c>
      <c r="AT156" s="158">
        <f t="shared" si="1212"/>
        <v>0</v>
      </c>
      <c r="AU156" s="158">
        <f t="shared" si="1212"/>
        <v>0</v>
      </c>
      <c r="AV156" s="158">
        <f t="shared" si="1212"/>
        <v>0</v>
      </c>
      <c r="AW156" s="158">
        <f t="shared" si="1212"/>
        <v>0</v>
      </c>
      <c r="AX156" s="158">
        <f t="shared" ref="AX156" si="1213">IF(AX154&gt;0,AX33+AX34,0)</f>
        <v>0</v>
      </c>
      <c r="AY156" s="158">
        <f t="shared" ref="AY156:BI156" si="1214">IF(AY154&gt;0,AY33+AY34,0)</f>
        <v>0</v>
      </c>
      <c r="AZ156" s="158">
        <f t="shared" ref="AZ156" si="1215">IF(AZ154&gt;0,AZ33+AZ34,0)</f>
        <v>0</v>
      </c>
      <c r="BA156" s="158">
        <f t="shared" si="1214"/>
        <v>0</v>
      </c>
      <c r="BB156" s="158">
        <f t="shared" si="1214"/>
        <v>0</v>
      </c>
      <c r="BC156" s="158">
        <f t="shared" si="1214"/>
        <v>0</v>
      </c>
      <c r="BD156" s="158">
        <f t="shared" si="1214"/>
        <v>0</v>
      </c>
      <c r="BE156" s="158">
        <f t="shared" si="1214"/>
        <v>0</v>
      </c>
      <c r="BF156" s="158">
        <f t="shared" si="1214"/>
        <v>0</v>
      </c>
      <c r="BG156" s="158">
        <f t="shared" si="1214"/>
        <v>0</v>
      </c>
      <c r="BH156" s="158">
        <f t="shared" si="1214"/>
        <v>0</v>
      </c>
      <c r="BI156" s="158">
        <f t="shared" si="1214"/>
        <v>0</v>
      </c>
      <c r="BJ156" s="159"/>
      <c r="BK156" s="159"/>
      <c r="BL156" s="159"/>
      <c r="BM156" s="601"/>
      <c r="BN156" s="579">
        <f t="shared" si="1044"/>
        <v>0</v>
      </c>
      <c r="BO156" s="1089"/>
      <c r="BP156" s="1089"/>
      <c r="BQ156" s="1089"/>
      <c r="BR156" s="1089"/>
      <c r="BS156" s="1089"/>
      <c r="BT156" s="1089"/>
      <c r="BU156" s="1089"/>
      <c r="BV156" s="1089"/>
      <c r="BW156" s="1089"/>
      <c r="BX156" s="1089"/>
      <c r="BY156" s="1089"/>
      <c r="BZ156" s="1089"/>
    </row>
    <row r="157" spans="1:78" s="590" customFormat="1" ht="21.95" hidden="1" customHeight="1" x14ac:dyDescent="0.15">
      <c r="A157" s="2596"/>
      <c r="B157" s="2668"/>
      <c r="C157" s="591" t="s">
        <v>2423</v>
      </c>
      <c r="D157" s="2004"/>
      <c r="E157" s="592"/>
      <c r="F157" s="158">
        <f t="shared" ref="F157" si="1216">IF(F156&lt;=1.5,F156*F155*F154,0)</f>
        <v>0</v>
      </c>
      <c r="G157" s="158">
        <f t="shared" ref="G157" si="1217">IF(G156&lt;=1.5,G156*G155*G154,0)</f>
        <v>0</v>
      </c>
      <c r="H157" s="158">
        <f t="shared" ref="H157:I157" si="1218">IF(H156&lt;=1.5,H156*H155*H154,0)</f>
        <v>0</v>
      </c>
      <c r="I157" s="158">
        <f t="shared" si="1218"/>
        <v>0</v>
      </c>
      <c r="J157" s="158"/>
      <c r="K157" s="158"/>
      <c r="L157" s="158"/>
      <c r="M157" s="158"/>
      <c r="N157" s="2416"/>
      <c r="O157" s="158">
        <f t="shared" ref="O157:V157" si="1219">IF(O156&lt;=1.5,O156*O155*O154,0)</f>
        <v>0</v>
      </c>
      <c r="P157" s="158">
        <f t="shared" si="1219"/>
        <v>0</v>
      </c>
      <c r="Q157" s="158">
        <f t="shared" si="1219"/>
        <v>0</v>
      </c>
      <c r="R157" s="158">
        <f t="shared" si="1219"/>
        <v>0</v>
      </c>
      <c r="S157" s="158">
        <f t="shared" si="1219"/>
        <v>0</v>
      </c>
      <c r="T157" s="158">
        <f t="shared" si="1219"/>
        <v>0</v>
      </c>
      <c r="U157" s="158">
        <f t="shared" si="1219"/>
        <v>0</v>
      </c>
      <c r="V157" s="158">
        <f t="shared" si="1219"/>
        <v>0</v>
      </c>
      <c r="W157" s="158"/>
      <c r="X157" s="2416"/>
      <c r="Y157" s="158">
        <f t="shared" ref="Y157:AH157" si="1220">IF(Y156&lt;=1.5,Y156*Y155*Y154,0)</f>
        <v>0</v>
      </c>
      <c r="Z157" s="158">
        <f t="shared" si="1220"/>
        <v>0</v>
      </c>
      <c r="AA157" s="158">
        <f t="shared" si="1220"/>
        <v>0</v>
      </c>
      <c r="AB157" s="158">
        <f t="shared" si="1220"/>
        <v>0</v>
      </c>
      <c r="AC157" s="158">
        <f t="shared" si="1220"/>
        <v>0</v>
      </c>
      <c r="AD157" s="158">
        <f t="shared" si="1220"/>
        <v>0</v>
      </c>
      <c r="AE157" s="158">
        <f t="shared" si="1220"/>
        <v>0</v>
      </c>
      <c r="AF157" s="158">
        <f t="shared" si="1220"/>
        <v>0</v>
      </c>
      <c r="AG157" s="158">
        <f t="shared" si="1220"/>
        <v>0</v>
      </c>
      <c r="AH157" s="158">
        <f t="shared" si="1220"/>
        <v>0</v>
      </c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2416"/>
      <c r="AS157" s="158">
        <f t="shared" ref="AS157:AW157" si="1221">IF(AS156&lt;=1.5,AS156*AS155*AS154,0)</f>
        <v>0</v>
      </c>
      <c r="AT157" s="158">
        <f t="shared" si="1221"/>
        <v>0</v>
      </c>
      <c r="AU157" s="158">
        <f t="shared" si="1221"/>
        <v>0</v>
      </c>
      <c r="AV157" s="158">
        <f t="shared" si="1221"/>
        <v>0</v>
      </c>
      <c r="AW157" s="158">
        <f t="shared" si="1221"/>
        <v>0</v>
      </c>
      <c r="AX157" s="158">
        <f t="shared" ref="AX157" si="1222">IF(AND(AX29=1,AX156&lt;=1.5),AX156*AX155*AX154,0)</f>
        <v>0</v>
      </c>
      <c r="AY157" s="158">
        <f t="shared" ref="AY157:BI157" si="1223">IF(AND(AY29=1,AY156&lt;=1.5),AY156*AY155*AY154,0)</f>
        <v>0</v>
      </c>
      <c r="AZ157" s="158">
        <f t="shared" ref="AZ157" si="1224">IF(AND(AZ29=1,AZ156&lt;=1.5),AZ156*AZ155*AZ154,0)</f>
        <v>0</v>
      </c>
      <c r="BA157" s="158">
        <f t="shared" si="1223"/>
        <v>0</v>
      </c>
      <c r="BB157" s="158">
        <f t="shared" si="1223"/>
        <v>0</v>
      </c>
      <c r="BC157" s="158">
        <f t="shared" si="1223"/>
        <v>0</v>
      </c>
      <c r="BD157" s="158">
        <f t="shared" si="1223"/>
        <v>0</v>
      </c>
      <c r="BE157" s="158">
        <f t="shared" si="1223"/>
        <v>0</v>
      </c>
      <c r="BF157" s="158">
        <f t="shared" si="1223"/>
        <v>0</v>
      </c>
      <c r="BG157" s="158">
        <f t="shared" si="1223"/>
        <v>0</v>
      </c>
      <c r="BH157" s="158">
        <f t="shared" si="1223"/>
        <v>0</v>
      </c>
      <c r="BI157" s="158">
        <f t="shared" si="1223"/>
        <v>0</v>
      </c>
      <c r="BJ157" s="159"/>
      <c r="BK157" s="159"/>
      <c r="BL157" s="159"/>
      <c r="BM157" s="350">
        <f>TRUNC(SUM(F157:BL157),2)</f>
        <v>0</v>
      </c>
      <c r="BN157" s="579">
        <f t="shared" si="1044"/>
        <v>0</v>
      </c>
      <c r="BO157" s="1089"/>
      <c r="BP157" s="1089"/>
      <c r="BQ157" s="1089"/>
      <c r="BR157" s="1089"/>
      <c r="BS157" s="1089"/>
      <c r="BT157" s="1089"/>
      <c r="BU157" s="1089"/>
      <c r="BV157" s="1089"/>
      <c r="BW157" s="1089"/>
      <c r="BX157" s="1089"/>
      <c r="BY157" s="1089"/>
      <c r="BZ157" s="1089"/>
    </row>
    <row r="158" spans="1:78" s="590" customFormat="1" ht="21.95" hidden="1" customHeight="1" x14ac:dyDescent="0.15">
      <c r="A158" s="2596"/>
      <c r="B158" s="2668"/>
      <c r="C158" s="591" t="s">
        <v>2424</v>
      </c>
      <c r="D158" s="2004"/>
      <c r="E158" s="592"/>
      <c r="F158" s="158">
        <f t="shared" ref="F158" si="1225">IF(F156&gt;1.5,F156*F155*F154,0)</f>
        <v>0</v>
      </c>
      <c r="G158" s="158">
        <f t="shared" ref="G158" si="1226">IF(G156&gt;1.5,G156*G155*G154,0)</f>
        <v>0</v>
      </c>
      <c r="H158" s="158">
        <f t="shared" ref="H158:I158" si="1227">IF(H156&gt;1.5,H156*H155*H154,0)</f>
        <v>0</v>
      </c>
      <c r="I158" s="158">
        <f t="shared" si="1227"/>
        <v>0</v>
      </c>
      <c r="J158" s="158"/>
      <c r="K158" s="158"/>
      <c r="L158" s="158"/>
      <c r="M158" s="158"/>
      <c r="N158" s="2416"/>
      <c r="O158" s="158">
        <f t="shared" ref="O158:V158" si="1228">IF(O156&gt;1.5,O156*O155*O154,0)</f>
        <v>0</v>
      </c>
      <c r="P158" s="158">
        <f t="shared" si="1228"/>
        <v>0</v>
      </c>
      <c r="Q158" s="158">
        <f t="shared" si="1228"/>
        <v>0</v>
      </c>
      <c r="R158" s="158">
        <f t="shared" si="1228"/>
        <v>0</v>
      </c>
      <c r="S158" s="158">
        <f t="shared" si="1228"/>
        <v>0</v>
      </c>
      <c r="T158" s="158">
        <f t="shared" si="1228"/>
        <v>0</v>
      </c>
      <c r="U158" s="158">
        <f t="shared" si="1228"/>
        <v>0</v>
      </c>
      <c r="V158" s="158">
        <f t="shared" si="1228"/>
        <v>0</v>
      </c>
      <c r="W158" s="158"/>
      <c r="X158" s="2416"/>
      <c r="Y158" s="158">
        <f t="shared" ref="Y158:AH158" si="1229">IF(Y156&gt;1.5,Y156*Y155*Y154,0)</f>
        <v>0</v>
      </c>
      <c r="Z158" s="158">
        <f t="shared" si="1229"/>
        <v>0</v>
      </c>
      <c r="AA158" s="158">
        <f t="shared" si="1229"/>
        <v>0</v>
      </c>
      <c r="AB158" s="158">
        <f t="shared" si="1229"/>
        <v>0</v>
      </c>
      <c r="AC158" s="158">
        <f t="shared" si="1229"/>
        <v>0</v>
      </c>
      <c r="AD158" s="158">
        <f t="shared" si="1229"/>
        <v>0</v>
      </c>
      <c r="AE158" s="158">
        <f t="shared" si="1229"/>
        <v>0</v>
      </c>
      <c r="AF158" s="158">
        <f t="shared" si="1229"/>
        <v>0</v>
      </c>
      <c r="AG158" s="158">
        <f t="shared" si="1229"/>
        <v>0</v>
      </c>
      <c r="AH158" s="158">
        <f t="shared" si="1229"/>
        <v>0</v>
      </c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2416"/>
      <c r="AS158" s="158">
        <f t="shared" ref="AS158:AW158" si="1230">IF(AS156&gt;1.5,AS156*AS155*AS154,0)</f>
        <v>0</v>
      </c>
      <c r="AT158" s="158">
        <f t="shared" si="1230"/>
        <v>0</v>
      </c>
      <c r="AU158" s="158">
        <f t="shared" si="1230"/>
        <v>0</v>
      </c>
      <c r="AV158" s="158">
        <f t="shared" si="1230"/>
        <v>0</v>
      </c>
      <c r="AW158" s="158">
        <f t="shared" si="1230"/>
        <v>0</v>
      </c>
      <c r="AX158" s="158">
        <f t="shared" ref="AX158" si="1231">IF(AND(AX29=1,AX156&gt;1.5),AX156*AX155*AX154,0)</f>
        <v>0</v>
      </c>
      <c r="AY158" s="158">
        <f t="shared" ref="AY158:BI158" si="1232">IF(AND(AY29=1,AY156&gt;1.5),AY156*AY155*AY154,0)</f>
        <v>0</v>
      </c>
      <c r="AZ158" s="158">
        <f t="shared" ref="AZ158" si="1233">IF(AND(AZ29=1,AZ156&gt;1.5),AZ156*AZ155*AZ154,0)</f>
        <v>0</v>
      </c>
      <c r="BA158" s="158">
        <f t="shared" si="1232"/>
        <v>0</v>
      </c>
      <c r="BB158" s="158">
        <f t="shared" si="1232"/>
        <v>0</v>
      </c>
      <c r="BC158" s="158">
        <f t="shared" si="1232"/>
        <v>0</v>
      </c>
      <c r="BD158" s="158">
        <f t="shared" si="1232"/>
        <v>0</v>
      </c>
      <c r="BE158" s="158">
        <f t="shared" si="1232"/>
        <v>0</v>
      </c>
      <c r="BF158" s="158">
        <f t="shared" si="1232"/>
        <v>0</v>
      </c>
      <c r="BG158" s="158">
        <f t="shared" si="1232"/>
        <v>0</v>
      </c>
      <c r="BH158" s="158">
        <f t="shared" si="1232"/>
        <v>0</v>
      </c>
      <c r="BI158" s="158">
        <f t="shared" si="1232"/>
        <v>0</v>
      </c>
      <c r="BJ158" s="159"/>
      <c r="BK158" s="159"/>
      <c r="BL158" s="159"/>
      <c r="BM158" s="350">
        <f>TRUNC(SUM(F158:BL158),2)</f>
        <v>0</v>
      </c>
      <c r="BN158" s="579">
        <f t="shared" si="1044"/>
        <v>0</v>
      </c>
      <c r="BO158" s="1089"/>
      <c r="BP158" s="1089"/>
      <c r="BQ158" s="1089"/>
      <c r="BR158" s="1089"/>
      <c r="BS158" s="1089"/>
      <c r="BT158" s="1089"/>
      <c r="BU158" s="1089"/>
      <c r="BV158" s="1089"/>
      <c r="BW158" s="1089"/>
      <c r="BX158" s="1089"/>
      <c r="BY158" s="1089"/>
      <c r="BZ158" s="1089"/>
    </row>
    <row r="159" spans="1:78" s="590" customFormat="1" ht="21.95" hidden="1" customHeight="1" thickBot="1" x14ac:dyDescent="0.2">
      <c r="A159" s="2596"/>
      <c r="B159" s="2672"/>
      <c r="C159" s="929" t="s">
        <v>490</v>
      </c>
      <c r="D159" s="2005"/>
      <c r="E159" s="1523"/>
      <c r="F159" s="239">
        <f t="shared" ref="F159" si="1234">SUM(F157:F158)*1.1</f>
        <v>0</v>
      </c>
      <c r="G159" s="239">
        <f t="shared" ref="G159" si="1235">SUM(G157:G158)*1.1</f>
        <v>0</v>
      </c>
      <c r="H159" s="239">
        <f t="shared" ref="H159:I159" si="1236">SUM(H157:H158)*1.1</f>
        <v>0</v>
      </c>
      <c r="I159" s="239">
        <f t="shared" si="1236"/>
        <v>0</v>
      </c>
      <c r="J159" s="239"/>
      <c r="K159" s="239"/>
      <c r="L159" s="239"/>
      <c r="M159" s="239"/>
      <c r="N159" s="2440"/>
      <c r="O159" s="239">
        <f t="shared" ref="O159:V159" si="1237">SUM(O157:O158)*1.1</f>
        <v>0</v>
      </c>
      <c r="P159" s="239">
        <f t="shared" si="1237"/>
        <v>0</v>
      </c>
      <c r="Q159" s="239">
        <f t="shared" si="1237"/>
        <v>0</v>
      </c>
      <c r="R159" s="239">
        <f t="shared" si="1237"/>
        <v>0</v>
      </c>
      <c r="S159" s="239">
        <f t="shared" si="1237"/>
        <v>0</v>
      </c>
      <c r="T159" s="239">
        <f t="shared" si="1237"/>
        <v>0</v>
      </c>
      <c r="U159" s="239">
        <f t="shared" si="1237"/>
        <v>0</v>
      </c>
      <c r="V159" s="239">
        <f t="shared" si="1237"/>
        <v>0</v>
      </c>
      <c r="W159" s="239"/>
      <c r="X159" s="2440"/>
      <c r="Y159" s="239">
        <f t="shared" ref="Y159:AH159" si="1238">SUM(Y157:Y158)*1.1</f>
        <v>0</v>
      </c>
      <c r="Z159" s="239">
        <f t="shared" si="1238"/>
        <v>0</v>
      </c>
      <c r="AA159" s="239">
        <f t="shared" si="1238"/>
        <v>0</v>
      </c>
      <c r="AB159" s="239">
        <f t="shared" si="1238"/>
        <v>0</v>
      </c>
      <c r="AC159" s="239">
        <f t="shared" si="1238"/>
        <v>0</v>
      </c>
      <c r="AD159" s="239">
        <f t="shared" si="1238"/>
        <v>0</v>
      </c>
      <c r="AE159" s="239">
        <f t="shared" si="1238"/>
        <v>0</v>
      </c>
      <c r="AF159" s="239">
        <f t="shared" si="1238"/>
        <v>0</v>
      </c>
      <c r="AG159" s="239">
        <f t="shared" si="1238"/>
        <v>0</v>
      </c>
      <c r="AH159" s="239">
        <f t="shared" si="1238"/>
        <v>0</v>
      </c>
      <c r="AI159" s="239"/>
      <c r="AJ159" s="239"/>
      <c r="AK159" s="239"/>
      <c r="AL159" s="239"/>
      <c r="AM159" s="239"/>
      <c r="AN159" s="239"/>
      <c r="AO159" s="239"/>
      <c r="AP159" s="239"/>
      <c r="AQ159" s="239"/>
      <c r="AR159" s="2440"/>
      <c r="AS159" s="239">
        <f t="shared" ref="AS159:AW159" si="1239">SUM(AS157:AS158)*1.1</f>
        <v>0</v>
      </c>
      <c r="AT159" s="239">
        <f t="shared" si="1239"/>
        <v>0</v>
      </c>
      <c r="AU159" s="239">
        <f t="shared" si="1239"/>
        <v>0</v>
      </c>
      <c r="AV159" s="239">
        <f t="shared" si="1239"/>
        <v>0</v>
      </c>
      <c r="AW159" s="239">
        <f t="shared" si="1239"/>
        <v>0</v>
      </c>
      <c r="AX159" s="239">
        <f t="shared" ref="AX159" si="1240">SUM(AX157:AX158)*1.1</f>
        <v>0</v>
      </c>
      <c r="AY159" s="239">
        <f t="shared" ref="AY159:BI159" si="1241">SUM(AY157:AY158)*1.1</f>
        <v>0</v>
      </c>
      <c r="AZ159" s="239">
        <f t="shared" ref="AZ159" si="1242">SUM(AZ157:AZ158)*1.1</f>
        <v>0</v>
      </c>
      <c r="BA159" s="239">
        <f t="shared" si="1241"/>
        <v>0</v>
      </c>
      <c r="BB159" s="239">
        <f t="shared" si="1241"/>
        <v>0</v>
      </c>
      <c r="BC159" s="239">
        <f t="shared" si="1241"/>
        <v>0</v>
      </c>
      <c r="BD159" s="239">
        <f t="shared" si="1241"/>
        <v>0</v>
      </c>
      <c r="BE159" s="239">
        <f t="shared" si="1241"/>
        <v>0</v>
      </c>
      <c r="BF159" s="239">
        <f t="shared" si="1241"/>
        <v>0</v>
      </c>
      <c r="BG159" s="239">
        <f t="shared" si="1241"/>
        <v>0</v>
      </c>
      <c r="BH159" s="239">
        <f t="shared" si="1241"/>
        <v>0</v>
      </c>
      <c r="BI159" s="239">
        <f t="shared" si="1241"/>
        <v>0</v>
      </c>
      <c r="BJ159" s="237"/>
      <c r="BK159" s="237"/>
      <c r="BL159" s="237"/>
      <c r="BM159" s="361">
        <f>TRUNC(SUM(F159:BL159),2)</f>
        <v>0</v>
      </c>
      <c r="BN159" s="579">
        <f t="shared" si="1044"/>
        <v>0</v>
      </c>
      <c r="BO159" s="1089"/>
      <c r="BP159" s="1089"/>
      <c r="BQ159" s="1089"/>
      <c r="BR159" s="1089"/>
      <c r="BS159" s="1089"/>
      <c r="BT159" s="1089"/>
      <c r="BU159" s="1089"/>
      <c r="BV159" s="1089"/>
      <c r="BW159" s="1089"/>
      <c r="BX159" s="1089"/>
      <c r="BY159" s="1089"/>
      <c r="BZ159" s="1089"/>
    </row>
    <row r="160" spans="1:78" s="590" customFormat="1" ht="21.95" hidden="1" customHeight="1" x14ac:dyDescent="0.15">
      <c r="A160" s="2596"/>
      <c r="B160" s="2677" t="s">
        <v>110</v>
      </c>
      <c r="C160" s="930" t="s">
        <v>16</v>
      </c>
      <c r="D160" s="2003"/>
      <c r="E160" s="1520"/>
      <c r="F160" s="238">
        <f t="shared" ref="F160" si="1243">IF(F6&gt;0,0.1,0)</f>
        <v>0</v>
      </c>
      <c r="G160" s="238">
        <f t="shared" ref="G160" ca="1" si="1244">IF(G6&gt;0,0.1,0)</f>
        <v>0</v>
      </c>
      <c r="H160" s="238">
        <f t="shared" ref="H160:I160" ca="1" si="1245">IF(H6&gt;0,0.1,0)</f>
        <v>0</v>
      </c>
      <c r="I160" s="238">
        <f t="shared" ca="1" si="1245"/>
        <v>0</v>
      </c>
      <c r="J160" s="238"/>
      <c r="K160" s="238"/>
      <c r="L160" s="238"/>
      <c r="M160" s="238"/>
      <c r="N160" s="2439"/>
      <c r="O160" s="238">
        <f t="shared" ref="O160:V160" ca="1" si="1246">IF(O6&gt;0,0.1,0)</f>
        <v>0</v>
      </c>
      <c r="P160" s="238">
        <f t="shared" ca="1" si="1246"/>
        <v>0</v>
      </c>
      <c r="Q160" s="238">
        <f t="shared" ca="1" si="1246"/>
        <v>0</v>
      </c>
      <c r="R160" s="238">
        <f t="shared" ca="1" si="1246"/>
        <v>0</v>
      </c>
      <c r="S160" s="238">
        <f t="shared" ca="1" si="1246"/>
        <v>0</v>
      </c>
      <c r="T160" s="238">
        <f t="shared" ca="1" si="1246"/>
        <v>0</v>
      </c>
      <c r="U160" s="238">
        <f t="shared" ca="1" si="1246"/>
        <v>0</v>
      </c>
      <c r="V160" s="238">
        <f t="shared" ca="1" si="1246"/>
        <v>0</v>
      </c>
      <c r="W160" s="238"/>
      <c r="X160" s="2439"/>
      <c r="Y160" s="238">
        <f t="shared" ref="Y160:AH160" ca="1" si="1247">IF(Y6&gt;0,0.1,0)</f>
        <v>0</v>
      </c>
      <c r="Z160" s="238">
        <f t="shared" ca="1" si="1247"/>
        <v>0</v>
      </c>
      <c r="AA160" s="238">
        <f t="shared" ca="1" si="1247"/>
        <v>0</v>
      </c>
      <c r="AB160" s="238">
        <f t="shared" ca="1" si="1247"/>
        <v>0</v>
      </c>
      <c r="AC160" s="238">
        <f t="shared" ca="1" si="1247"/>
        <v>0</v>
      </c>
      <c r="AD160" s="238">
        <f t="shared" ca="1" si="1247"/>
        <v>0</v>
      </c>
      <c r="AE160" s="238">
        <f t="shared" ca="1" si="1247"/>
        <v>0</v>
      </c>
      <c r="AF160" s="238">
        <f t="shared" ca="1" si="1247"/>
        <v>0</v>
      </c>
      <c r="AG160" s="238">
        <f t="shared" ca="1" si="1247"/>
        <v>0</v>
      </c>
      <c r="AH160" s="238">
        <f t="shared" ca="1" si="1247"/>
        <v>0</v>
      </c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439"/>
      <c r="AS160" s="238">
        <f t="shared" ref="AS160:AW160" ca="1" si="1248">IF(AS6&gt;0,0.1,0)</f>
        <v>0</v>
      </c>
      <c r="AT160" s="238">
        <f t="shared" ca="1" si="1248"/>
        <v>0</v>
      </c>
      <c r="AU160" s="238">
        <f t="shared" ca="1" si="1248"/>
        <v>0</v>
      </c>
      <c r="AV160" s="238">
        <f t="shared" ca="1" si="1248"/>
        <v>0</v>
      </c>
      <c r="AW160" s="238">
        <f t="shared" ca="1" si="1248"/>
        <v>0</v>
      </c>
      <c r="AX160" s="238">
        <f t="shared" ref="AX160" si="1249">IF(AX6&gt;0,0.1,0)</f>
        <v>0</v>
      </c>
      <c r="AY160" s="238">
        <f t="shared" ref="AY160:BI160" si="1250">IF(AY6&gt;0,0.1,0)</f>
        <v>0</v>
      </c>
      <c r="AZ160" s="238">
        <f t="shared" ref="AZ160" si="1251">IF(AZ6&gt;0,0.1,0)</f>
        <v>0</v>
      </c>
      <c r="BA160" s="238">
        <f t="shared" si="1250"/>
        <v>0</v>
      </c>
      <c r="BB160" s="238">
        <f t="shared" si="1250"/>
        <v>0</v>
      </c>
      <c r="BC160" s="238">
        <f t="shared" si="1250"/>
        <v>0</v>
      </c>
      <c r="BD160" s="238">
        <f t="shared" si="1250"/>
        <v>0</v>
      </c>
      <c r="BE160" s="238">
        <f t="shared" si="1250"/>
        <v>0</v>
      </c>
      <c r="BF160" s="238">
        <f t="shared" si="1250"/>
        <v>0</v>
      </c>
      <c r="BG160" s="238">
        <f t="shared" si="1250"/>
        <v>0</v>
      </c>
      <c r="BH160" s="238">
        <f t="shared" si="1250"/>
        <v>0</v>
      </c>
      <c r="BI160" s="238">
        <f t="shared" si="1250"/>
        <v>0</v>
      </c>
      <c r="BJ160" s="241"/>
      <c r="BK160" s="241"/>
      <c r="BL160" s="241"/>
      <c r="BM160" s="363"/>
      <c r="BN160" s="579">
        <f t="shared" ca="1" si="1044"/>
        <v>0</v>
      </c>
      <c r="BO160" s="1089"/>
      <c r="BP160" s="1089"/>
      <c r="BQ160" s="1089"/>
      <c r="BR160" s="1089"/>
      <c r="BS160" s="1089"/>
      <c r="BT160" s="1089"/>
      <c r="BU160" s="1089"/>
      <c r="BV160" s="1089"/>
      <c r="BW160" s="1089"/>
      <c r="BX160" s="1089"/>
      <c r="BY160" s="1089"/>
      <c r="BZ160" s="1089"/>
    </row>
    <row r="161" spans="1:78" s="590" customFormat="1" ht="21.95" hidden="1" customHeight="1" x14ac:dyDescent="0.15">
      <c r="A161" s="2596"/>
      <c r="B161" s="2678"/>
      <c r="C161" s="591" t="s">
        <v>3</v>
      </c>
      <c r="D161" s="2004"/>
      <c r="E161" s="592"/>
      <c r="F161" s="158">
        <f t="shared" ref="F161" si="1252">IF(F160&gt;0,F2,0)</f>
        <v>0</v>
      </c>
      <c r="G161" s="158">
        <f t="shared" ref="G161" ca="1" si="1253">IF(G160&gt;0,G2,0)</f>
        <v>0</v>
      </c>
      <c r="H161" s="158">
        <f t="shared" ref="H161:I161" ca="1" si="1254">IF(H160&gt;0,H2,0)</f>
        <v>0</v>
      </c>
      <c r="I161" s="158">
        <f t="shared" ca="1" si="1254"/>
        <v>0</v>
      </c>
      <c r="J161" s="158"/>
      <c r="K161" s="158"/>
      <c r="L161" s="158"/>
      <c r="M161" s="158"/>
      <c r="N161" s="2416"/>
      <c r="O161" s="158">
        <f t="shared" ref="O161:V161" ca="1" si="1255">IF(O160&gt;0,O2,0)</f>
        <v>0</v>
      </c>
      <c r="P161" s="158">
        <f t="shared" ca="1" si="1255"/>
        <v>0</v>
      </c>
      <c r="Q161" s="158">
        <f t="shared" ca="1" si="1255"/>
        <v>0</v>
      </c>
      <c r="R161" s="158">
        <f t="shared" ca="1" si="1255"/>
        <v>0</v>
      </c>
      <c r="S161" s="158">
        <f t="shared" ca="1" si="1255"/>
        <v>0</v>
      </c>
      <c r="T161" s="158">
        <f t="shared" ca="1" si="1255"/>
        <v>0</v>
      </c>
      <c r="U161" s="158">
        <f t="shared" ca="1" si="1255"/>
        <v>0</v>
      </c>
      <c r="V161" s="158">
        <f t="shared" ca="1" si="1255"/>
        <v>0</v>
      </c>
      <c r="W161" s="158"/>
      <c r="X161" s="2416"/>
      <c r="Y161" s="158">
        <f t="shared" ref="Y161:AH161" ca="1" si="1256">IF(Y160&gt;0,Y2,0)</f>
        <v>0</v>
      </c>
      <c r="Z161" s="158">
        <f t="shared" ca="1" si="1256"/>
        <v>0</v>
      </c>
      <c r="AA161" s="158">
        <f t="shared" ca="1" si="1256"/>
        <v>0</v>
      </c>
      <c r="AB161" s="158">
        <f t="shared" ca="1" si="1256"/>
        <v>0</v>
      </c>
      <c r="AC161" s="158">
        <f t="shared" ca="1" si="1256"/>
        <v>0</v>
      </c>
      <c r="AD161" s="158">
        <f t="shared" ca="1" si="1256"/>
        <v>0</v>
      </c>
      <c r="AE161" s="158">
        <f t="shared" ca="1" si="1256"/>
        <v>0</v>
      </c>
      <c r="AF161" s="158">
        <f t="shared" ca="1" si="1256"/>
        <v>0</v>
      </c>
      <c r="AG161" s="158">
        <f t="shared" ca="1" si="1256"/>
        <v>0</v>
      </c>
      <c r="AH161" s="158">
        <f t="shared" ca="1" si="1256"/>
        <v>0</v>
      </c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2416"/>
      <c r="AS161" s="158">
        <f t="shared" ref="AS161:AW161" ca="1" si="1257">IF(AS160&gt;0,AS2,0)</f>
        <v>0</v>
      </c>
      <c r="AT161" s="158">
        <f t="shared" ca="1" si="1257"/>
        <v>0</v>
      </c>
      <c r="AU161" s="158">
        <f t="shared" ca="1" si="1257"/>
        <v>0</v>
      </c>
      <c r="AV161" s="158">
        <f t="shared" ca="1" si="1257"/>
        <v>0</v>
      </c>
      <c r="AW161" s="158">
        <f t="shared" ca="1" si="1257"/>
        <v>0</v>
      </c>
      <c r="AX161" s="158">
        <f t="shared" ref="AX161" si="1258">IF(AX160&gt;0,AX2,0)</f>
        <v>0</v>
      </c>
      <c r="AY161" s="158">
        <f t="shared" ref="AY161:BI161" si="1259">IF(AY160&gt;0,AY2,0)</f>
        <v>0</v>
      </c>
      <c r="AZ161" s="158">
        <f t="shared" ref="AZ161" si="1260">IF(AZ160&gt;0,AZ2,0)</f>
        <v>0</v>
      </c>
      <c r="BA161" s="158">
        <f t="shared" si="1259"/>
        <v>0</v>
      </c>
      <c r="BB161" s="158">
        <f t="shared" si="1259"/>
        <v>0</v>
      </c>
      <c r="BC161" s="158">
        <f t="shared" si="1259"/>
        <v>0</v>
      </c>
      <c r="BD161" s="158">
        <f t="shared" si="1259"/>
        <v>0</v>
      </c>
      <c r="BE161" s="158">
        <f t="shared" si="1259"/>
        <v>0</v>
      </c>
      <c r="BF161" s="158">
        <f t="shared" si="1259"/>
        <v>0</v>
      </c>
      <c r="BG161" s="158">
        <f t="shared" si="1259"/>
        <v>0</v>
      </c>
      <c r="BH161" s="158">
        <f t="shared" si="1259"/>
        <v>0</v>
      </c>
      <c r="BI161" s="158">
        <f t="shared" si="1259"/>
        <v>0</v>
      </c>
      <c r="BJ161" s="159"/>
      <c r="BK161" s="159"/>
      <c r="BL161" s="159"/>
      <c r="BM161" s="595">
        <f ca="1">TRUNC(SUM(F161:BL161),2)</f>
        <v>0</v>
      </c>
      <c r="BN161" s="579">
        <f t="shared" ca="1" si="1044"/>
        <v>0</v>
      </c>
      <c r="BO161" s="1089"/>
      <c r="BP161" s="1089"/>
      <c r="BQ161" s="1089"/>
      <c r="BR161" s="1089"/>
      <c r="BS161" s="1089"/>
      <c r="BT161" s="1089"/>
      <c r="BU161" s="1089"/>
      <c r="BV161" s="1089"/>
      <c r="BW161" s="1089"/>
      <c r="BX161" s="1089"/>
      <c r="BY161" s="1089"/>
      <c r="BZ161" s="1089"/>
    </row>
    <row r="162" spans="1:78" s="590" customFormat="1" ht="21.95" hidden="1" customHeight="1" x14ac:dyDescent="0.15">
      <c r="A162" s="2596"/>
      <c r="B162" s="2678"/>
      <c r="C162" s="591" t="s">
        <v>58</v>
      </c>
      <c r="D162" s="2004"/>
      <c r="E162" s="592"/>
      <c r="F162" s="158">
        <f t="shared" ref="F162" si="1261">IF(F160=0,0,F$33+F$34)</f>
        <v>0</v>
      </c>
      <c r="G162" s="158">
        <f t="shared" ref="G162" ca="1" si="1262">IF(G160=0,0,G$33+G$34)</f>
        <v>0</v>
      </c>
      <c r="H162" s="158">
        <f t="shared" ref="H162:I162" ca="1" si="1263">IF(H160=0,0,H$33+H$34)</f>
        <v>0</v>
      </c>
      <c r="I162" s="158">
        <f t="shared" ca="1" si="1263"/>
        <v>0</v>
      </c>
      <c r="J162" s="158"/>
      <c r="K162" s="158"/>
      <c r="L162" s="158"/>
      <c r="M162" s="158"/>
      <c r="N162" s="2416"/>
      <c r="O162" s="158">
        <f t="shared" ref="O162:V162" ca="1" si="1264">IF(O160=0,0,O$33+O$34)</f>
        <v>0</v>
      </c>
      <c r="P162" s="158">
        <f t="shared" ca="1" si="1264"/>
        <v>0</v>
      </c>
      <c r="Q162" s="158">
        <f t="shared" ca="1" si="1264"/>
        <v>0</v>
      </c>
      <c r="R162" s="158">
        <f t="shared" ca="1" si="1264"/>
        <v>0</v>
      </c>
      <c r="S162" s="158">
        <f t="shared" ca="1" si="1264"/>
        <v>0</v>
      </c>
      <c r="T162" s="158">
        <f t="shared" ca="1" si="1264"/>
        <v>0</v>
      </c>
      <c r="U162" s="158">
        <f t="shared" ca="1" si="1264"/>
        <v>0</v>
      </c>
      <c r="V162" s="158">
        <f t="shared" ca="1" si="1264"/>
        <v>0</v>
      </c>
      <c r="W162" s="158"/>
      <c r="X162" s="2416"/>
      <c r="Y162" s="158">
        <f t="shared" ref="Y162:AH162" ca="1" si="1265">IF(Y160=0,0,Y$33+Y$34)</f>
        <v>0</v>
      </c>
      <c r="Z162" s="158">
        <f t="shared" ca="1" si="1265"/>
        <v>0</v>
      </c>
      <c r="AA162" s="158">
        <f t="shared" ca="1" si="1265"/>
        <v>0</v>
      </c>
      <c r="AB162" s="158">
        <f t="shared" ca="1" si="1265"/>
        <v>0</v>
      </c>
      <c r="AC162" s="158">
        <f t="shared" ca="1" si="1265"/>
        <v>0</v>
      </c>
      <c r="AD162" s="158">
        <f t="shared" ca="1" si="1265"/>
        <v>0</v>
      </c>
      <c r="AE162" s="158">
        <f t="shared" ca="1" si="1265"/>
        <v>0</v>
      </c>
      <c r="AF162" s="158">
        <f t="shared" ca="1" si="1265"/>
        <v>0</v>
      </c>
      <c r="AG162" s="158">
        <f t="shared" ca="1" si="1265"/>
        <v>0</v>
      </c>
      <c r="AH162" s="158">
        <f t="shared" ca="1" si="1265"/>
        <v>0</v>
      </c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2416"/>
      <c r="AS162" s="158">
        <f t="shared" ref="AS162:AW162" ca="1" si="1266">IF(AS160=0,0,AS$33+AS$34)</f>
        <v>0</v>
      </c>
      <c r="AT162" s="158">
        <f t="shared" ca="1" si="1266"/>
        <v>0</v>
      </c>
      <c r="AU162" s="158">
        <f t="shared" ca="1" si="1266"/>
        <v>0</v>
      </c>
      <c r="AV162" s="158">
        <f t="shared" ca="1" si="1266"/>
        <v>0</v>
      </c>
      <c r="AW162" s="158">
        <f t="shared" ca="1" si="1266"/>
        <v>0</v>
      </c>
      <c r="AX162" s="158">
        <f t="shared" ref="AX162" si="1267">IF(AX160=0,0,AX$33+AX$34)</f>
        <v>0</v>
      </c>
      <c r="AY162" s="158">
        <f t="shared" ref="AY162:BI162" si="1268">IF(AY160=0,0,AY$33+AY$34)</f>
        <v>0</v>
      </c>
      <c r="AZ162" s="158">
        <f t="shared" ref="AZ162" si="1269">IF(AZ160=0,0,AZ$33+AZ$34)</f>
        <v>0</v>
      </c>
      <c r="BA162" s="158">
        <f t="shared" si="1268"/>
        <v>0</v>
      </c>
      <c r="BB162" s="158">
        <f t="shared" si="1268"/>
        <v>0</v>
      </c>
      <c r="BC162" s="158">
        <f t="shared" si="1268"/>
        <v>0</v>
      </c>
      <c r="BD162" s="158">
        <f t="shared" si="1268"/>
        <v>0</v>
      </c>
      <c r="BE162" s="158">
        <f t="shared" si="1268"/>
        <v>0</v>
      </c>
      <c r="BF162" s="158">
        <f t="shared" si="1268"/>
        <v>0</v>
      </c>
      <c r="BG162" s="158">
        <f t="shared" si="1268"/>
        <v>0</v>
      </c>
      <c r="BH162" s="158">
        <f t="shared" si="1268"/>
        <v>0</v>
      </c>
      <c r="BI162" s="158">
        <f t="shared" si="1268"/>
        <v>0</v>
      </c>
      <c r="BJ162" s="159"/>
      <c r="BK162" s="159"/>
      <c r="BL162" s="159"/>
      <c r="BM162" s="351"/>
      <c r="BN162" s="579">
        <f t="shared" ca="1" si="1044"/>
        <v>0</v>
      </c>
      <c r="BO162" s="1089"/>
      <c r="BP162" s="1089"/>
      <c r="BQ162" s="1089"/>
      <c r="BR162" s="1089"/>
      <c r="BS162" s="1089"/>
      <c r="BT162" s="1089"/>
      <c r="BU162" s="1089"/>
      <c r="BV162" s="1089"/>
      <c r="BW162" s="1089"/>
      <c r="BX162" s="1089"/>
      <c r="BY162" s="1089"/>
      <c r="BZ162" s="1089"/>
    </row>
    <row r="163" spans="1:78" s="590" customFormat="1" ht="21.95" hidden="1" customHeight="1" thickBot="1" x14ac:dyDescent="0.2">
      <c r="A163" s="2596"/>
      <c r="B163" s="2678"/>
      <c r="C163" s="591" t="s">
        <v>634</v>
      </c>
      <c r="D163" s="2004"/>
      <c r="E163" s="592"/>
      <c r="F163" s="158">
        <f t="shared" ref="F163" si="1270">F162*F161*F160</f>
        <v>0</v>
      </c>
      <c r="G163" s="158">
        <f t="shared" ref="G163" ca="1" si="1271">G162*G161*G160</f>
        <v>0</v>
      </c>
      <c r="H163" s="158">
        <f t="shared" ref="H163:I163" ca="1" si="1272">H162*H161*H160</f>
        <v>0</v>
      </c>
      <c r="I163" s="158">
        <f t="shared" ca="1" si="1272"/>
        <v>0</v>
      </c>
      <c r="J163" s="158"/>
      <c r="K163" s="158"/>
      <c r="L163" s="158"/>
      <c r="M163" s="158"/>
      <c r="N163" s="2416"/>
      <c r="O163" s="158">
        <f t="shared" ref="O163:V163" ca="1" si="1273">O162*O161*O160</f>
        <v>0</v>
      </c>
      <c r="P163" s="158">
        <f t="shared" ca="1" si="1273"/>
        <v>0</v>
      </c>
      <c r="Q163" s="158">
        <f t="shared" ca="1" si="1273"/>
        <v>0</v>
      </c>
      <c r="R163" s="158">
        <f t="shared" ca="1" si="1273"/>
        <v>0</v>
      </c>
      <c r="S163" s="158">
        <f t="shared" ca="1" si="1273"/>
        <v>0</v>
      </c>
      <c r="T163" s="158">
        <f t="shared" ca="1" si="1273"/>
        <v>0</v>
      </c>
      <c r="U163" s="158">
        <f t="shared" ca="1" si="1273"/>
        <v>0</v>
      </c>
      <c r="V163" s="158">
        <f t="shared" ca="1" si="1273"/>
        <v>0</v>
      </c>
      <c r="W163" s="158"/>
      <c r="X163" s="2416"/>
      <c r="Y163" s="158">
        <f t="shared" ref="Y163:AH163" ca="1" si="1274">Y162*Y161*Y160</f>
        <v>0</v>
      </c>
      <c r="Z163" s="158">
        <f t="shared" ca="1" si="1274"/>
        <v>0</v>
      </c>
      <c r="AA163" s="158">
        <f t="shared" ca="1" si="1274"/>
        <v>0</v>
      </c>
      <c r="AB163" s="158">
        <f t="shared" ca="1" si="1274"/>
        <v>0</v>
      </c>
      <c r="AC163" s="158">
        <f t="shared" ca="1" si="1274"/>
        <v>0</v>
      </c>
      <c r="AD163" s="158">
        <f t="shared" ca="1" si="1274"/>
        <v>0</v>
      </c>
      <c r="AE163" s="158">
        <f t="shared" ca="1" si="1274"/>
        <v>0</v>
      </c>
      <c r="AF163" s="158">
        <f t="shared" ca="1" si="1274"/>
        <v>0</v>
      </c>
      <c r="AG163" s="158">
        <f t="shared" ca="1" si="1274"/>
        <v>0</v>
      </c>
      <c r="AH163" s="158">
        <f t="shared" ca="1" si="1274"/>
        <v>0</v>
      </c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2416"/>
      <c r="AS163" s="158">
        <f t="shared" ref="AS163:AW163" ca="1" si="1275">AS162*AS161*AS160</f>
        <v>0</v>
      </c>
      <c r="AT163" s="158">
        <f t="shared" ca="1" si="1275"/>
        <v>0</v>
      </c>
      <c r="AU163" s="158">
        <f t="shared" ca="1" si="1275"/>
        <v>0</v>
      </c>
      <c r="AV163" s="158">
        <f t="shared" ca="1" si="1275"/>
        <v>0</v>
      </c>
      <c r="AW163" s="158">
        <f t="shared" ca="1" si="1275"/>
        <v>0</v>
      </c>
      <c r="AX163" s="158">
        <f t="shared" ref="AX163" si="1276">AX162*AX161*AX160</f>
        <v>0</v>
      </c>
      <c r="AY163" s="158">
        <f t="shared" ref="AY163:BI163" si="1277">AY162*AY161*AY160</f>
        <v>0</v>
      </c>
      <c r="AZ163" s="158">
        <f t="shared" ref="AZ163" si="1278">AZ162*AZ161*AZ160</f>
        <v>0</v>
      </c>
      <c r="BA163" s="158">
        <f t="shared" si="1277"/>
        <v>0</v>
      </c>
      <c r="BB163" s="158">
        <f t="shared" si="1277"/>
        <v>0</v>
      </c>
      <c r="BC163" s="158">
        <f t="shared" si="1277"/>
        <v>0</v>
      </c>
      <c r="BD163" s="158">
        <f t="shared" si="1277"/>
        <v>0</v>
      </c>
      <c r="BE163" s="158">
        <f t="shared" si="1277"/>
        <v>0</v>
      </c>
      <c r="BF163" s="158">
        <f t="shared" si="1277"/>
        <v>0</v>
      </c>
      <c r="BG163" s="158">
        <f t="shared" si="1277"/>
        <v>0</v>
      </c>
      <c r="BH163" s="158">
        <f t="shared" si="1277"/>
        <v>0</v>
      </c>
      <c r="BI163" s="158">
        <f t="shared" si="1277"/>
        <v>0</v>
      </c>
      <c r="BJ163" s="159"/>
      <c r="BK163" s="159"/>
      <c r="BL163" s="159"/>
      <c r="BM163" s="350">
        <f ca="1">TRUNC(SUM(F163:BL163),2)</f>
        <v>0</v>
      </c>
      <c r="BN163" s="579">
        <f t="shared" ca="1" si="1044"/>
        <v>0</v>
      </c>
      <c r="BO163" s="1089"/>
      <c r="BP163" s="1089"/>
      <c r="BQ163" s="1089"/>
      <c r="BR163" s="1089"/>
      <c r="BS163" s="1089"/>
      <c r="BT163" s="1089"/>
      <c r="BU163" s="1089"/>
      <c r="BV163" s="1089"/>
      <c r="BW163" s="1089"/>
      <c r="BX163" s="1089"/>
      <c r="BY163" s="1089"/>
      <c r="BZ163" s="1089"/>
    </row>
    <row r="164" spans="1:78" s="590" customFormat="1" ht="21.95" hidden="1" customHeight="1" x14ac:dyDescent="0.15">
      <c r="A164" s="2596"/>
      <c r="B164" s="2671" t="s">
        <v>605</v>
      </c>
      <c r="C164" s="930" t="s">
        <v>16</v>
      </c>
      <c r="D164" s="2003"/>
      <c r="E164" s="1520"/>
      <c r="F164" s="238">
        <f>Dren_Quantificacao!D20</f>
        <v>0</v>
      </c>
      <c r="G164" s="238">
        <f>Dren_Quantificacao!E20</f>
        <v>0</v>
      </c>
      <c r="H164" s="238">
        <f>Dren_Quantificacao!F20</f>
        <v>0</v>
      </c>
      <c r="I164" s="238">
        <f>Dren_Quantificacao!G20</f>
        <v>0</v>
      </c>
      <c r="J164" s="238"/>
      <c r="K164" s="238"/>
      <c r="L164" s="238"/>
      <c r="M164" s="238"/>
      <c r="N164" s="2439"/>
      <c r="O164" s="238">
        <f>Dren_Quantificacao!M20</f>
        <v>0</v>
      </c>
      <c r="P164" s="238">
        <f>Dren_Quantificacao!N20</f>
        <v>0</v>
      </c>
      <c r="Q164" s="238">
        <f>Dren_Quantificacao!O20</f>
        <v>0</v>
      </c>
      <c r="R164" s="238">
        <f>Dren_Quantificacao!P20</f>
        <v>0</v>
      </c>
      <c r="S164" s="238">
        <f>Dren_Quantificacao!Q20</f>
        <v>0</v>
      </c>
      <c r="T164" s="238">
        <f>Dren_Quantificacao!R20</f>
        <v>0</v>
      </c>
      <c r="U164" s="238">
        <f>Dren_Quantificacao!S20</f>
        <v>0</v>
      </c>
      <c r="V164" s="238">
        <f>Dren_Quantificacao!T20</f>
        <v>0</v>
      </c>
      <c r="W164" s="238"/>
      <c r="X164" s="2439"/>
      <c r="Y164" s="238">
        <f>Dren_Quantificacao!W20</f>
        <v>0</v>
      </c>
      <c r="Z164" s="238">
        <f>Dren_Quantificacao!X20</f>
        <v>0</v>
      </c>
      <c r="AA164" s="238">
        <f>Dren_Quantificacao!Y20</f>
        <v>0</v>
      </c>
      <c r="AB164" s="238">
        <f>Dren_Quantificacao!Z20</f>
        <v>0</v>
      </c>
      <c r="AC164" s="238">
        <f>Dren_Quantificacao!AA20</f>
        <v>0</v>
      </c>
      <c r="AD164" s="238">
        <f>Dren_Quantificacao!AB20</f>
        <v>0</v>
      </c>
      <c r="AE164" s="238">
        <f>Dren_Quantificacao!AC20</f>
        <v>0</v>
      </c>
      <c r="AF164" s="238">
        <f>Dren_Quantificacao!AD20</f>
        <v>0</v>
      </c>
      <c r="AG164" s="238">
        <f>Dren_Quantificacao!AE20</f>
        <v>0</v>
      </c>
      <c r="AH164" s="238">
        <f>Dren_Quantificacao!AF20</f>
        <v>0</v>
      </c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439"/>
      <c r="AS164" s="238">
        <f>Dren_Quantificacao!AQ20</f>
        <v>0</v>
      </c>
      <c r="AT164" s="238">
        <f>Dren_Quantificacao!AR20</f>
        <v>0</v>
      </c>
      <c r="AU164" s="238">
        <f>Dren_Quantificacao!AS20</f>
        <v>0</v>
      </c>
      <c r="AV164" s="238">
        <f>Dren_Quantificacao!AT20</f>
        <v>0</v>
      </c>
      <c r="AW164" s="238">
        <f>Dren_Quantificacao!AU20</f>
        <v>0</v>
      </c>
      <c r="AX164" s="238">
        <f>Dren_Quantificacao!AW20</f>
        <v>0</v>
      </c>
      <c r="AY164" s="238">
        <f>Dren_Quantificacao!AX20</f>
        <v>0</v>
      </c>
      <c r="AZ164" s="238">
        <f>Dren_Quantificacao!AY20</f>
        <v>0</v>
      </c>
      <c r="BA164" s="238">
        <f>Dren_Quantificacao!AZ20</f>
        <v>0</v>
      </c>
      <c r="BB164" s="238">
        <f>Dren_Quantificacao!BA20</f>
        <v>0</v>
      </c>
      <c r="BC164" s="238">
        <f>Dren_Quantificacao!BB20</f>
        <v>0</v>
      </c>
      <c r="BD164" s="238">
        <f>Dren_Quantificacao!BC20</f>
        <v>0</v>
      </c>
      <c r="BE164" s="238">
        <f>Dren_Quantificacao!BD20</f>
        <v>0</v>
      </c>
      <c r="BF164" s="238">
        <f>Dren_Quantificacao!BE20</f>
        <v>0</v>
      </c>
      <c r="BG164" s="238">
        <f>Dren_Quantificacao!BF20</f>
        <v>0</v>
      </c>
      <c r="BH164" s="238">
        <f>Dren_Quantificacao!BG20</f>
        <v>0</v>
      </c>
      <c r="BI164" s="238">
        <f>Dren_Quantificacao!BH20</f>
        <v>0</v>
      </c>
      <c r="BJ164" s="241"/>
      <c r="BK164" s="241"/>
      <c r="BL164" s="241"/>
      <c r="BM164" s="363"/>
      <c r="BN164" s="579">
        <f t="shared" si="1044"/>
        <v>0</v>
      </c>
      <c r="BO164" s="1089"/>
      <c r="BP164" s="1089"/>
      <c r="BQ164" s="1089"/>
      <c r="BR164" s="1089"/>
      <c r="BS164" s="1089"/>
      <c r="BT164" s="1089"/>
      <c r="BU164" s="1089"/>
      <c r="BV164" s="1089"/>
      <c r="BW164" s="1089"/>
      <c r="BX164" s="1089"/>
      <c r="BY164" s="1089"/>
      <c r="BZ164" s="1089"/>
    </row>
    <row r="165" spans="1:78" s="590" customFormat="1" ht="21.95" hidden="1" customHeight="1" x14ac:dyDescent="0.15">
      <c r="A165" s="2596"/>
      <c r="B165" s="2668"/>
      <c r="C165" s="591" t="s">
        <v>3</v>
      </c>
      <c r="D165" s="2004"/>
      <c r="E165" s="592"/>
      <c r="F165" s="158">
        <f>IF(F164=0,0,Dren_Quantificacao!D21)</f>
        <v>0</v>
      </c>
      <c r="G165" s="158">
        <f>IF(G164=0,0,Dren_Quantificacao!E21)</f>
        <v>0</v>
      </c>
      <c r="H165" s="158">
        <f>IF(H164=0,0,Dren_Quantificacao!F21)</f>
        <v>0</v>
      </c>
      <c r="I165" s="158">
        <f>IF(I164=0,0,Dren_Quantificacao!G21)</f>
        <v>0</v>
      </c>
      <c r="J165" s="158"/>
      <c r="K165" s="158"/>
      <c r="L165" s="158"/>
      <c r="M165" s="158"/>
      <c r="N165" s="2416"/>
      <c r="O165" s="158">
        <f>IF(O164=0,0,Dren_Quantificacao!M21)</f>
        <v>0</v>
      </c>
      <c r="P165" s="158">
        <f>IF(P164=0,0,Dren_Quantificacao!N21)</f>
        <v>0</v>
      </c>
      <c r="Q165" s="158">
        <f>IF(Q164=0,0,Dren_Quantificacao!O21)</f>
        <v>0</v>
      </c>
      <c r="R165" s="158">
        <f>IF(R164=0,0,Dren_Quantificacao!P21)</f>
        <v>0</v>
      </c>
      <c r="S165" s="158">
        <f>IF(S164=0,0,Dren_Quantificacao!Q21)</f>
        <v>0</v>
      </c>
      <c r="T165" s="158">
        <f>IF(T164=0,0,Dren_Quantificacao!R21)</f>
        <v>0</v>
      </c>
      <c r="U165" s="158">
        <f>IF(U164=0,0,Dren_Quantificacao!S21)</f>
        <v>0</v>
      </c>
      <c r="V165" s="158">
        <f>IF(V164=0,0,Dren_Quantificacao!T21)</f>
        <v>0</v>
      </c>
      <c r="W165" s="158"/>
      <c r="X165" s="2416"/>
      <c r="Y165" s="158">
        <f>IF(Y164=0,0,Dren_Quantificacao!W21)</f>
        <v>0</v>
      </c>
      <c r="Z165" s="158">
        <f>IF(Z164=0,0,Dren_Quantificacao!X21)</f>
        <v>0</v>
      </c>
      <c r="AA165" s="158">
        <f>IF(AA164=0,0,Dren_Quantificacao!Y21)</f>
        <v>0</v>
      </c>
      <c r="AB165" s="158">
        <f>IF(AB164=0,0,Dren_Quantificacao!Z21)</f>
        <v>0</v>
      </c>
      <c r="AC165" s="158">
        <f>IF(AC164=0,0,Dren_Quantificacao!AA21)</f>
        <v>0</v>
      </c>
      <c r="AD165" s="158">
        <f>IF(AD164=0,0,Dren_Quantificacao!AB21)</f>
        <v>0</v>
      </c>
      <c r="AE165" s="158">
        <f>IF(AE164=0,0,Dren_Quantificacao!AC21)</f>
        <v>0</v>
      </c>
      <c r="AF165" s="158">
        <f>IF(AF164=0,0,Dren_Quantificacao!AD21)</f>
        <v>0</v>
      </c>
      <c r="AG165" s="158">
        <f>IF(AG164=0,0,Dren_Quantificacao!AE21)</f>
        <v>0</v>
      </c>
      <c r="AH165" s="158">
        <f>IF(AH164=0,0,Dren_Quantificacao!AF21)</f>
        <v>0</v>
      </c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2416"/>
      <c r="AS165" s="158">
        <f>IF(AS164=0,0,Dren_Quantificacao!AQ21)</f>
        <v>0</v>
      </c>
      <c r="AT165" s="158">
        <f>IF(AT164=0,0,Dren_Quantificacao!AR21)</f>
        <v>0</v>
      </c>
      <c r="AU165" s="158">
        <f>IF(AU164=0,0,Dren_Quantificacao!AS21)</f>
        <v>0</v>
      </c>
      <c r="AV165" s="158">
        <f>IF(AV164=0,0,Dren_Quantificacao!AT21)</f>
        <v>0</v>
      </c>
      <c r="AW165" s="158">
        <f>IF(AW164=0,0,Dren_Quantificacao!AU21)</f>
        <v>0</v>
      </c>
      <c r="AX165" s="158">
        <f>IF(AX164=0,0,Dren_Quantificacao!AW21)</f>
        <v>0</v>
      </c>
      <c r="AY165" s="158">
        <f>IF(AY164=0,0,Dren_Quantificacao!AX21)</f>
        <v>0</v>
      </c>
      <c r="AZ165" s="158">
        <f>IF(AZ164=0,0,Dren_Quantificacao!AY21)</f>
        <v>0</v>
      </c>
      <c r="BA165" s="158">
        <f>IF(BA164=0,0,Dren_Quantificacao!AZ21)</f>
        <v>0</v>
      </c>
      <c r="BB165" s="158">
        <f>IF(BB164=0,0,Dren_Quantificacao!BA21)</f>
        <v>0</v>
      </c>
      <c r="BC165" s="158">
        <f>IF(BC164=0,0,Dren_Quantificacao!BB21)</f>
        <v>0</v>
      </c>
      <c r="BD165" s="158">
        <f>IF(BD164=0,0,Dren_Quantificacao!BC21)</f>
        <v>0</v>
      </c>
      <c r="BE165" s="158">
        <f>IF(BE164=0,0,Dren_Quantificacao!BD21)</f>
        <v>0</v>
      </c>
      <c r="BF165" s="158">
        <f>IF(BF164=0,0,Dren_Quantificacao!BE21)</f>
        <v>0</v>
      </c>
      <c r="BG165" s="158">
        <f>IF(BG164=0,0,Dren_Quantificacao!BF21)</f>
        <v>0</v>
      </c>
      <c r="BH165" s="158">
        <f>IF(BH164=0,0,Dren_Quantificacao!BG21)</f>
        <v>0</v>
      </c>
      <c r="BI165" s="158">
        <f>IF(BI164=0,0,Dren_Quantificacao!BH21)</f>
        <v>0</v>
      </c>
      <c r="BJ165" s="159"/>
      <c r="BK165" s="159"/>
      <c r="BL165" s="159"/>
      <c r="BM165" s="595">
        <f>TRUNC(SUM(F165:BL165),2)</f>
        <v>0</v>
      </c>
      <c r="BN165" s="579">
        <f t="shared" ref="BN165:BN196" si="1279">SUM(F165:BM165)</f>
        <v>0</v>
      </c>
      <c r="BO165" s="1089"/>
      <c r="BP165" s="1089"/>
      <c r="BQ165" s="1089"/>
      <c r="BR165" s="1089"/>
      <c r="BS165" s="1089"/>
      <c r="BT165" s="1089"/>
      <c r="BU165" s="1089"/>
      <c r="BV165" s="1089"/>
      <c r="BW165" s="1089"/>
      <c r="BX165" s="1089"/>
      <c r="BY165" s="1089"/>
      <c r="BZ165" s="1089"/>
    </row>
    <row r="166" spans="1:78" s="590" customFormat="1" ht="21.95" hidden="1" customHeight="1" x14ac:dyDescent="0.15">
      <c r="A166" s="2596"/>
      <c r="B166" s="2668"/>
      <c r="C166" s="591" t="s">
        <v>58</v>
      </c>
      <c r="D166" s="2004"/>
      <c r="E166" s="592"/>
      <c r="F166" s="158">
        <f t="shared" ref="F166" si="1280">IF(F164=0,0,F$33+F$34)</f>
        <v>0</v>
      </c>
      <c r="G166" s="158">
        <f t="shared" ref="G166" si="1281">IF(G164=0,0,G$33+G$34)</f>
        <v>0</v>
      </c>
      <c r="H166" s="158">
        <f t="shared" ref="H166:I166" si="1282">IF(H164=0,0,H$33+H$34)</f>
        <v>0</v>
      </c>
      <c r="I166" s="158">
        <f t="shared" si="1282"/>
        <v>0</v>
      </c>
      <c r="J166" s="158"/>
      <c r="K166" s="158"/>
      <c r="L166" s="158"/>
      <c r="M166" s="158"/>
      <c r="N166" s="2416"/>
      <c r="O166" s="158">
        <f t="shared" ref="O166:V166" si="1283">IF(O164=0,0,O$33+O$34)</f>
        <v>0</v>
      </c>
      <c r="P166" s="158">
        <f t="shared" si="1283"/>
        <v>0</v>
      </c>
      <c r="Q166" s="158">
        <f t="shared" si="1283"/>
        <v>0</v>
      </c>
      <c r="R166" s="158">
        <f t="shared" si="1283"/>
        <v>0</v>
      </c>
      <c r="S166" s="158">
        <f t="shared" si="1283"/>
        <v>0</v>
      </c>
      <c r="T166" s="158">
        <f t="shared" si="1283"/>
        <v>0</v>
      </c>
      <c r="U166" s="158">
        <f t="shared" si="1283"/>
        <v>0</v>
      </c>
      <c r="V166" s="158">
        <f t="shared" si="1283"/>
        <v>0</v>
      </c>
      <c r="W166" s="158"/>
      <c r="X166" s="2416"/>
      <c r="Y166" s="158">
        <f t="shared" ref="Y166:AH166" si="1284">IF(Y164=0,0,Y$33+Y$34)</f>
        <v>0</v>
      </c>
      <c r="Z166" s="158">
        <f t="shared" si="1284"/>
        <v>0</v>
      </c>
      <c r="AA166" s="158">
        <f t="shared" si="1284"/>
        <v>0</v>
      </c>
      <c r="AB166" s="158">
        <f t="shared" si="1284"/>
        <v>0</v>
      </c>
      <c r="AC166" s="158">
        <f t="shared" si="1284"/>
        <v>0</v>
      </c>
      <c r="AD166" s="158">
        <f t="shared" si="1284"/>
        <v>0</v>
      </c>
      <c r="AE166" s="158">
        <f t="shared" si="1284"/>
        <v>0</v>
      </c>
      <c r="AF166" s="158">
        <f t="shared" si="1284"/>
        <v>0</v>
      </c>
      <c r="AG166" s="158">
        <f t="shared" si="1284"/>
        <v>0</v>
      </c>
      <c r="AH166" s="158">
        <f t="shared" si="1284"/>
        <v>0</v>
      </c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2416"/>
      <c r="AS166" s="158">
        <f t="shared" ref="AS166:AW166" si="1285">IF(AS164=0,0,AS$33+AS$34)</f>
        <v>0</v>
      </c>
      <c r="AT166" s="158">
        <f t="shared" si="1285"/>
        <v>0</v>
      </c>
      <c r="AU166" s="158">
        <f t="shared" si="1285"/>
        <v>0</v>
      </c>
      <c r="AV166" s="158">
        <f t="shared" si="1285"/>
        <v>0</v>
      </c>
      <c r="AW166" s="158">
        <f t="shared" si="1285"/>
        <v>0</v>
      </c>
      <c r="AX166" s="158">
        <f t="shared" ref="AX166" si="1286">IF(AX164=0,0,AX$33+AX$34)</f>
        <v>0</v>
      </c>
      <c r="AY166" s="158">
        <f t="shared" ref="AY166:BI166" si="1287">IF(AY164=0,0,AY$33+AY$34)</f>
        <v>0</v>
      </c>
      <c r="AZ166" s="158">
        <f t="shared" ref="AZ166" si="1288">IF(AZ164=0,0,AZ$33+AZ$34)</f>
        <v>0</v>
      </c>
      <c r="BA166" s="158">
        <f t="shared" si="1287"/>
        <v>0</v>
      </c>
      <c r="BB166" s="158">
        <f t="shared" si="1287"/>
        <v>0</v>
      </c>
      <c r="BC166" s="158">
        <f t="shared" si="1287"/>
        <v>0</v>
      </c>
      <c r="BD166" s="158">
        <f t="shared" si="1287"/>
        <v>0</v>
      </c>
      <c r="BE166" s="158">
        <f t="shared" si="1287"/>
        <v>0</v>
      </c>
      <c r="BF166" s="158">
        <f t="shared" si="1287"/>
        <v>0</v>
      </c>
      <c r="BG166" s="158">
        <f t="shared" si="1287"/>
        <v>0</v>
      </c>
      <c r="BH166" s="158">
        <f t="shared" si="1287"/>
        <v>0</v>
      </c>
      <c r="BI166" s="158">
        <f t="shared" si="1287"/>
        <v>0</v>
      </c>
      <c r="BJ166" s="159"/>
      <c r="BK166" s="159"/>
      <c r="BL166" s="159"/>
      <c r="BM166" s="601"/>
      <c r="BN166" s="579">
        <f t="shared" si="1279"/>
        <v>0</v>
      </c>
      <c r="BO166" s="1089"/>
      <c r="BP166" s="1089"/>
      <c r="BQ166" s="1089"/>
      <c r="BR166" s="1089"/>
      <c r="BS166" s="1089"/>
      <c r="BT166" s="1089"/>
      <c r="BU166" s="1089"/>
      <c r="BV166" s="1089"/>
      <c r="BW166" s="1089"/>
      <c r="BX166" s="1089"/>
      <c r="BY166" s="1089"/>
      <c r="BZ166" s="1089"/>
    </row>
    <row r="167" spans="1:78" s="590" customFormat="1" ht="21.95" hidden="1" customHeight="1" x14ac:dyDescent="0.15">
      <c r="A167" s="2596"/>
      <c r="B167" s="2668"/>
      <c r="C167" s="591" t="s">
        <v>2423</v>
      </c>
      <c r="D167" s="2004"/>
      <c r="E167" s="592"/>
      <c r="F167" s="158">
        <f t="shared" ref="F167" si="1289">IF(F166&lt;=1.5,F166*F165*F164,0)</f>
        <v>0</v>
      </c>
      <c r="G167" s="158">
        <f t="shared" ref="G167" si="1290">IF(G166&lt;=1.5,G166*G165*G164,0)</f>
        <v>0</v>
      </c>
      <c r="H167" s="158">
        <f t="shared" ref="H167:I167" si="1291">IF(H166&lt;=1.5,H166*H165*H164,0)</f>
        <v>0</v>
      </c>
      <c r="I167" s="158">
        <f t="shared" si="1291"/>
        <v>0</v>
      </c>
      <c r="J167" s="158"/>
      <c r="K167" s="158"/>
      <c r="L167" s="158"/>
      <c r="M167" s="158"/>
      <c r="N167" s="2416"/>
      <c r="O167" s="158">
        <f t="shared" ref="O167:V167" si="1292">IF(O166&lt;=1.5,O166*O165*O164,0)</f>
        <v>0</v>
      </c>
      <c r="P167" s="158">
        <f t="shared" si="1292"/>
        <v>0</v>
      </c>
      <c r="Q167" s="158">
        <f t="shared" si="1292"/>
        <v>0</v>
      </c>
      <c r="R167" s="158">
        <f t="shared" si="1292"/>
        <v>0</v>
      </c>
      <c r="S167" s="158">
        <f t="shared" si="1292"/>
        <v>0</v>
      </c>
      <c r="T167" s="158">
        <f t="shared" si="1292"/>
        <v>0</v>
      </c>
      <c r="U167" s="158">
        <f t="shared" si="1292"/>
        <v>0</v>
      </c>
      <c r="V167" s="158">
        <f t="shared" si="1292"/>
        <v>0</v>
      </c>
      <c r="W167" s="158"/>
      <c r="X167" s="2416"/>
      <c r="Y167" s="158">
        <f t="shared" ref="Y167:AH167" si="1293">IF(Y166&lt;=1.5,Y166*Y165*Y164,0)</f>
        <v>0</v>
      </c>
      <c r="Z167" s="158">
        <f t="shared" si="1293"/>
        <v>0</v>
      </c>
      <c r="AA167" s="158">
        <f t="shared" si="1293"/>
        <v>0</v>
      </c>
      <c r="AB167" s="158">
        <f t="shared" si="1293"/>
        <v>0</v>
      </c>
      <c r="AC167" s="158">
        <f t="shared" si="1293"/>
        <v>0</v>
      </c>
      <c r="AD167" s="158">
        <f t="shared" si="1293"/>
        <v>0</v>
      </c>
      <c r="AE167" s="158">
        <f t="shared" si="1293"/>
        <v>0</v>
      </c>
      <c r="AF167" s="158">
        <f t="shared" si="1293"/>
        <v>0</v>
      </c>
      <c r="AG167" s="158">
        <f t="shared" si="1293"/>
        <v>0</v>
      </c>
      <c r="AH167" s="158">
        <f t="shared" si="1293"/>
        <v>0</v>
      </c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2416"/>
      <c r="AS167" s="158">
        <f t="shared" ref="AS167:AW167" si="1294">IF(AS166&lt;=1.5,AS166*AS165*AS164,0)</f>
        <v>0</v>
      </c>
      <c r="AT167" s="158">
        <f t="shared" si="1294"/>
        <v>0</v>
      </c>
      <c r="AU167" s="158">
        <f t="shared" si="1294"/>
        <v>0</v>
      </c>
      <c r="AV167" s="158">
        <f t="shared" si="1294"/>
        <v>0</v>
      </c>
      <c r="AW167" s="158">
        <f t="shared" si="1294"/>
        <v>0</v>
      </c>
      <c r="AX167" s="158">
        <f t="shared" ref="AX167" si="1295">IF(AND(AX29=1,AX166&lt;=1.5),AX166*AX165*AX164,0)</f>
        <v>0</v>
      </c>
      <c r="AY167" s="158">
        <f t="shared" ref="AY167:BI167" si="1296">IF(AND(AY29=1,AY166&lt;=1.5),AY166*AY165*AY164,0)</f>
        <v>0</v>
      </c>
      <c r="AZ167" s="158">
        <f t="shared" ref="AZ167" si="1297">IF(AND(AZ29=1,AZ166&lt;=1.5),AZ166*AZ165*AZ164,0)</f>
        <v>0</v>
      </c>
      <c r="BA167" s="158">
        <f t="shared" si="1296"/>
        <v>0</v>
      </c>
      <c r="BB167" s="158">
        <f t="shared" si="1296"/>
        <v>0</v>
      </c>
      <c r="BC167" s="158">
        <f t="shared" si="1296"/>
        <v>0</v>
      </c>
      <c r="BD167" s="158">
        <f t="shared" si="1296"/>
        <v>0</v>
      </c>
      <c r="BE167" s="158">
        <f t="shared" si="1296"/>
        <v>0</v>
      </c>
      <c r="BF167" s="158">
        <f t="shared" si="1296"/>
        <v>0</v>
      </c>
      <c r="BG167" s="158">
        <f t="shared" si="1296"/>
        <v>0</v>
      </c>
      <c r="BH167" s="158">
        <f t="shared" si="1296"/>
        <v>0</v>
      </c>
      <c r="BI167" s="158">
        <f t="shared" si="1296"/>
        <v>0</v>
      </c>
      <c r="BJ167" s="159"/>
      <c r="BK167" s="159"/>
      <c r="BL167" s="159"/>
      <c r="BM167" s="350">
        <f>TRUNC(SUM(F167:BL167),2)</f>
        <v>0</v>
      </c>
      <c r="BN167" s="579">
        <f t="shared" si="1279"/>
        <v>0</v>
      </c>
      <c r="BO167" s="1089"/>
      <c r="BP167" s="1089"/>
      <c r="BQ167" s="1089"/>
      <c r="BR167" s="1089"/>
      <c r="BS167" s="1089"/>
      <c r="BT167" s="1089"/>
      <c r="BU167" s="1089"/>
      <c r="BV167" s="1089"/>
      <c r="BW167" s="1089"/>
      <c r="BX167" s="1089"/>
      <c r="BY167" s="1089"/>
      <c r="BZ167" s="1089"/>
    </row>
    <row r="168" spans="1:78" s="590" customFormat="1" ht="21.95" hidden="1" customHeight="1" x14ac:dyDescent="0.15">
      <c r="A168" s="2596"/>
      <c r="B168" s="2668"/>
      <c r="C168" s="591" t="s">
        <v>2424</v>
      </c>
      <c r="D168" s="2004"/>
      <c r="E168" s="592"/>
      <c r="F168" s="158">
        <f t="shared" ref="F168" si="1298">IF(F166&gt;1.5,F166*F165*F164,0)</f>
        <v>0</v>
      </c>
      <c r="G168" s="158">
        <f t="shared" ref="G168" si="1299">IF(G166&gt;1.5,G166*G165*G164,0)</f>
        <v>0</v>
      </c>
      <c r="H168" s="158">
        <f t="shared" ref="H168:I168" si="1300">IF(H166&gt;1.5,H166*H165*H164,0)</f>
        <v>0</v>
      </c>
      <c r="I168" s="158">
        <f t="shared" si="1300"/>
        <v>0</v>
      </c>
      <c r="J168" s="158"/>
      <c r="K168" s="158"/>
      <c r="L168" s="158"/>
      <c r="M168" s="158"/>
      <c r="N168" s="2416"/>
      <c r="O168" s="158">
        <f t="shared" ref="O168:V168" si="1301">IF(O166&gt;1.5,O166*O165*O164,0)</f>
        <v>0</v>
      </c>
      <c r="P168" s="158">
        <f t="shared" si="1301"/>
        <v>0</v>
      </c>
      <c r="Q168" s="158">
        <f t="shared" si="1301"/>
        <v>0</v>
      </c>
      <c r="R168" s="158">
        <f t="shared" si="1301"/>
        <v>0</v>
      </c>
      <c r="S168" s="158">
        <f t="shared" si="1301"/>
        <v>0</v>
      </c>
      <c r="T168" s="158">
        <f t="shared" si="1301"/>
        <v>0</v>
      </c>
      <c r="U168" s="158">
        <f t="shared" si="1301"/>
        <v>0</v>
      </c>
      <c r="V168" s="158">
        <f t="shared" si="1301"/>
        <v>0</v>
      </c>
      <c r="W168" s="158"/>
      <c r="X168" s="2416"/>
      <c r="Y168" s="158">
        <f t="shared" ref="Y168:AH168" si="1302">IF(Y166&gt;1.5,Y166*Y165*Y164,0)</f>
        <v>0</v>
      </c>
      <c r="Z168" s="158">
        <f t="shared" si="1302"/>
        <v>0</v>
      </c>
      <c r="AA168" s="158">
        <f t="shared" si="1302"/>
        <v>0</v>
      </c>
      <c r="AB168" s="158">
        <f t="shared" si="1302"/>
        <v>0</v>
      </c>
      <c r="AC168" s="158">
        <f t="shared" si="1302"/>
        <v>0</v>
      </c>
      <c r="AD168" s="158">
        <f t="shared" si="1302"/>
        <v>0</v>
      </c>
      <c r="AE168" s="158">
        <f t="shared" si="1302"/>
        <v>0</v>
      </c>
      <c r="AF168" s="158">
        <f t="shared" si="1302"/>
        <v>0</v>
      </c>
      <c r="AG168" s="158">
        <f t="shared" si="1302"/>
        <v>0</v>
      </c>
      <c r="AH168" s="158">
        <f t="shared" si="1302"/>
        <v>0</v>
      </c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2416"/>
      <c r="AS168" s="158">
        <f t="shared" ref="AS168:AW168" si="1303">IF(AS166&gt;1.5,AS166*AS165*AS164,0)</f>
        <v>0</v>
      </c>
      <c r="AT168" s="158">
        <f t="shared" si="1303"/>
        <v>0</v>
      </c>
      <c r="AU168" s="158">
        <f t="shared" si="1303"/>
        <v>0</v>
      </c>
      <c r="AV168" s="158">
        <f t="shared" si="1303"/>
        <v>0</v>
      </c>
      <c r="AW168" s="158">
        <f t="shared" si="1303"/>
        <v>0</v>
      </c>
      <c r="AX168" s="158">
        <f t="shared" ref="AX168" si="1304">IF(AND(AX29=1,AX166&gt;1.5),AX166*AX165*AX164,0)</f>
        <v>0</v>
      </c>
      <c r="AY168" s="158">
        <f t="shared" ref="AY168:BI168" si="1305">IF(AND(AY29=1,AY166&gt;1.5),AY166*AY165*AY164,0)</f>
        <v>0</v>
      </c>
      <c r="AZ168" s="158">
        <f t="shared" ref="AZ168" si="1306">IF(AND(AZ29=1,AZ166&gt;1.5),AZ166*AZ165*AZ164,0)</f>
        <v>0</v>
      </c>
      <c r="BA168" s="158">
        <f t="shared" si="1305"/>
        <v>0</v>
      </c>
      <c r="BB168" s="158">
        <f t="shared" si="1305"/>
        <v>0</v>
      </c>
      <c r="BC168" s="158">
        <f t="shared" si="1305"/>
        <v>0</v>
      </c>
      <c r="BD168" s="158">
        <f t="shared" si="1305"/>
        <v>0</v>
      </c>
      <c r="BE168" s="158">
        <f t="shared" si="1305"/>
        <v>0</v>
      </c>
      <c r="BF168" s="158">
        <f t="shared" si="1305"/>
        <v>0</v>
      </c>
      <c r="BG168" s="158">
        <f t="shared" si="1305"/>
        <v>0</v>
      </c>
      <c r="BH168" s="158">
        <f t="shared" si="1305"/>
        <v>0</v>
      </c>
      <c r="BI168" s="158">
        <f t="shared" si="1305"/>
        <v>0</v>
      </c>
      <c r="BJ168" s="159"/>
      <c r="BK168" s="159"/>
      <c r="BL168" s="159"/>
      <c r="BM168" s="350">
        <f>TRUNC(SUM(F168:BL168),2)</f>
        <v>0</v>
      </c>
      <c r="BN168" s="579">
        <f t="shared" si="1279"/>
        <v>0</v>
      </c>
      <c r="BO168" s="1089"/>
      <c r="BP168" s="1089"/>
      <c r="BQ168" s="1089"/>
      <c r="BR168" s="1089"/>
      <c r="BS168" s="1089"/>
      <c r="BT168" s="1089"/>
      <c r="BU168" s="1089"/>
      <c r="BV168" s="1089"/>
      <c r="BW168" s="1089"/>
      <c r="BX168" s="1089"/>
      <c r="BY168" s="1089"/>
      <c r="BZ168" s="1089"/>
    </row>
    <row r="169" spans="1:78" s="590" customFormat="1" ht="21.95" hidden="1" customHeight="1" thickBot="1" x14ac:dyDescent="0.2">
      <c r="A169" s="2596"/>
      <c r="B169" s="2672"/>
      <c r="C169" s="929" t="s">
        <v>490</v>
      </c>
      <c r="D169" s="2005"/>
      <c r="E169" s="1523"/>
      <c r="F169" s="239">
        <f t="shared" ref="F169" si="1307">SUM(F167:F168)*1.1</f>
        <v>0</v>
      </c>
      <c r="G169" s="239">
        <f t="shared" ref="G169" si="1308">SUM(G167:G168)*1.1</f>
        <v>0</v>
      </c>
      <c r="H169" s="239">
        <f t="shared" ref="H169:I169" si="1309">SUM(H167:H168)*1.1</f>
        <v>0</v>
      </c>
      <c r="I169" s="239">
        <f t="shared" si="1309"/>
        <v>0</v>
      </c>
      <c r="J169" s="239"/>
      <c r="K169" s="239"/>
      <c r="L169" s="239"/>
      <c r="M169" s="239"/>
      <c r="N169" s="2440"/>
      <c r="O169" s="239">
        <f t="shared" ref="O169:V169" si="1310">SUM(O167:O168)*1.1</f>
        <v>0</v>
      </c>
      <c r="P169" s="239">
        <f t="shared" si="1310"/>
        <v>0</v>
      </c>
      <c r="Q169" s="239">
        <f t="shared" si="1310"/>
        <v>0</v>
      </c>
      <c r="R169" s="239">
        <f t="shared" si="1310"/>
        <v>0</v>
      </c>
      <c r="S169" s="239">
        <f t="shared" si="1310"/>
        <v>0</v>
      </c>
      <c r="T169" s="239">
        <f t="shared" si="1310"/>
        <v>0</v>
      </c>
      <c r="U169" s="239">
        <f t="shared" si="1310"/>
        <v>0</v>
      </c>
      <c r="V169" s="239">
        <f t="shared" si="1310"/>
        <v>0</v>
      </c>
      <c r="W169" s="239"/>
      <c r="X169" s="2440"/>
      <c r="Y169" s="239">
        <f t="shared" ref="Y169:AH169" si="1311">SUM(Y167:Y168)*1.1</f>
        <v>0</v>
      </c>
      <c r="Z169" s="239">
        <f t="shared" si="1311"/>
        <v>0</v>
      </c>
      <c r="AA169" s="239">
        <f t="shared" si="1311"/>
        <v>0</v>
      </c>
      <c r="AB169" s="239">
        <f t="shared" si="1311"/>
        <v>0</v>
      </c>
      <c r="AC169" s="239">
        <f t="shared" si="1311"/>
        <v>0</v>
      </c>
      <c r="AD169" s="239">
        <f t="shared" si="1311"/>
        <v>0</v>
      </c>
      <c r="AE169" s="239">
        <f t="shared" si="1311"/>
        <v>0</v>
      </c>
      <c r="AF169" s="239">
        <f t="shared" si="1311"/>
        <v>0</v>
      </c>
      <c r="AG169" s="239">
        <f t="shared" si="1311"/>
        <v>0</v>
      </c>
      <c r="AH169" s="239">
        <f t="shared" si="1311"/>
        <v>0</v>
      </c>
      <c r="AI169" s="239"/>
      <c r="AJ169" s="239"/>
      <c r="AK169" s="239"/>
      <c r="AL169" s="239"/>
      <c r="AM169" s="239"/>
      <c r="AN169" s="239"/>
      <c r="AO169" s="239"/>
      <c r="AP169" s="239"/>
      <c r="AQ169" s="239"/>
      <c r="AR169" s="2440"/>
      <c r="AS169" s="239">
        <f t="shared" ref="AS169:AW169" si="1312">SUM(AS167:AS168)*1.1</f>
        <v>0</v>
      </c>
      <c r="AT169" s="239">
        <f t="shared" si="1312"/>
        <v>0</v>
      </c>
      <c r="AU169" s="239">
        <f t="shared" si="1312"/>
        <v>0</v>
      </c>
      <c r="AV169" s="239">
        <f t="shared" si="1312"/>
        <v>0</v>
      </c>
      <c r="AW169" s="239">
        <f t="shared" si="1312"/>
        <v>0</v>
      </c>
      <c r="AX169" s="239">
        <f t="shared" ref="AX169" si="1313">SUM(AX167:AX168)*1.1</f>
        <v>0</v>
      </c>
      <c r="AY169" s="239">
        <f t="shared" ref="AY169:BI169" si="1314">SUM(AY167:AY168)*1.1</f>
        <v>0</v>
      </c>
      <c r="AZ169" s="239">
        <f t="shared" ref="AZ169" si="1315">SUM(AZ167:AZ168)*1.1</f>
        <v>0</v>
      </c>
      <c r="BA169" s="239">
        <f t="shared" si="1314"/>
        <v>0</v>
      </c>
      <c r="BB169" s="239">
        <f t="shared" si="1314"/>
        <v>0</v>
      </c>
      <c r="BC169" s="239">
        <f t="shared" si="1314"/>
        <v>0</v>
      </c>
      <c r="BD169" s="239">
        <f t="shared" si="1314"/>
        <v>0</v>
      </c>
      <c r="BE169" s="239">
        <f t="shared" si="1314"/>
        <v>0</v>
      </c>
      <c r="BF169" s="239">
        <f t="shared" si="1314"/>
        <v>0</v>
      </c>
      <c r="BG169" s="239">
        <f t="shared" si="1314"/>
        <v>0</v>
      </c>
      <c r="BH169" s="239">
        <f t="shared" si="1314"/>
        <v>0</v>
      </c>
      <c r="BI169" s="239">
        <f t="shared" si="1314"/>
        <v>0</v>
      </c>
      <c r="BJ169" s="237"/>
      <c r="BK169" s="237"/>
      <c r="BL169" s="237"/>
      <c r="BM169" s="361">
        <f>TRUNC(SUM(F169:BL169),2)</f>
        <v>0</v>
      </c>
      <c r="BN169" s="579">
        <f t="shared" si="1279"/>
        <v>0</v>
      </c>
      <c r="BO169" s="1089"/>
      <c r="BP169" s="1089"/>
      <c r="BQ169" s="1089"/>
      <c r="BR169" s="1089"/>
      <c r="BS169" s="1089"/>
      <c r="BT169" s="1089"/>
      <c r="BU169" s="1089"/>
      <c r="BV169" s="1089"/>
      <c r="BW169" s="1089"/>
      <c r="BX169" s="1089"/>
      <c r="BY169" s="1089"/>
      <c r="BZ169" s="1089"/>
    </row>
    <row r="170" spans="1:78" s="590" customFormat="1" ht="21.95" hidden="1" customHeight="1" x14ac:dyDescent="0.15">
      <c r="A170" s="2596"/>
      <c r="B170" s="2671" t="s">
        <v>606</v>
      </c>
      <c r="C170" s="930" t="s">
        <v>16</v>
      </c>
      <c r="D170" s="2003"/>
      <c r="E170" s="592"/>
      <c r="F170" s="238">
        <f>Dren_Quantificacao!D105</f>
        <v>0</v>
      </c>
      <c r="G170" s="238">
        <f>Dren_Quantificacao!E105</f>
        <v>0</v>
      </c>
      <c r="H170" s="238">
        <f>Dren_Quantificacao!F105</f>
        <v>0</v>
      </c>
      <c r="I170" s="238">
        <f>Dren_Quantificacao!G105</f>
        <v>0</v>
      </c>
      <c r="J170" s="238"/>
      <c r="K170" s="238"/>
      <c r="L170" s="238"/>
      <c r="M170" s="238"/>
      <c r="N170" s="2439"/>
      <c r="O170" s="238">
        <f>Dren_Quantificacao!M105</f>
        <v>0</v>
      </c>
      <c r="P170" s="238">
        <f>Dren_Quantificacao!N105</f>
        <v>0</v>
      </c>
      <c r="Q170" s="238">
        <f>Dren_Quantificacao!O105</f>
        <v>0</v>
      </c>
      <c r="R170" s="238">
        <f>Dren_Quantificacao!P105</f>
        <v>0</v>
      </c>
      <c r="S170" s="238">
        <f>Dren_Quantificacao!Q105</f>
        <v>0</v>
      </c>
      <c r="T170" s="238">
        <f>Dren_Quantificacao!R105</f>
        <v>0</v>
      </c>
      <c r="U170" s="238">
        <f>Dren_Quantificacao!S105</f>
        <v>0</v>
      </c>
      <c r="V170" s="238">
        <f>Dren_Quantificacao!T105</f>
        <v>0</v>
      </c>
      <c r="W170" s="238"/>
      <c r="X170" s="2439"/>
      <c r="Y170" s="238">
        <f>Dren_Quantificacao!W105</f>
        <v>0</v>
      </c>
      <c r="Z170" s="238">
        <f>Dren_Quantificacao!X105</f>
        <v>0</v>
      </c>
      <c r="AA170" s="238">
        <f>Dren_Quantificacao!Y105</f>
        <v>0</v>
      </c>
      <c r="AB170" s="238">
        <f>Dren_Quantificacao!Z105</f>
        <v>0</v>
      </c>
      <c r="AC170" s="238">
        <f>Dren_Quantificacao!AA105</f>
        <v>0</v>
      </c>
      <c r="AD170" s="238">
        <f>Dren_Quantificacao!AB105</f>
        <v>0</v>
      </c>
      <c r="AE170" s="238">
        <f>Dren_Quantificacao!AC105</f>
        <v>0</v>
      </c>
      <c r="AF170" s="238">
        <f>Dren_Quantificacao!AD105</f>
        <v>0</v>
      </c>
      <c r="AG170" s="238">
        <f>Dren_Quantificacao!AE105</f>
        <v>0</v>
      </c>
      <c r="AH170" s="238">
        <f>Dren_Quantificacao!AF105</f>
        <v>0</v>
      </c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439"/>
      <c r="AS170" s="238">
        <f>Dren_Quantificacao!AQ105</f>
        <v>0</v>
      </c>
      <c r="AT170" s="238">
        <f>Dren_Quantificacao!AR105</f>
        <v>0</v>
      </c>
      <c r="AU170" s="238">
        <f>Dren_Quantificacao!AS105</f>
        <v>0</v>
      </c>
      <c r="AV170" s="238">
        <f>Dren_Quantificacao!AT105</f>
        <v>0</v>
      </c>
      <c r="AW170" s="238">
        <f>Dren_Quantificacao!AU105</f>
        <v>0</v>
      </c>
      <c r="AX170" s="238">
        <f>Dren_Quantificacao!AW105</f>
        <v>0</v>
      </c>
      <c r="AY170" s="238">
        <f>Dren_Quantificacao!AX105</f>
        <v>0</v>
      </c>
      <c r="AZ170" s="238">
        <f>Dren_Quantificacao!AY105</f>
        <v>0</v>
      </c>
      <c r="BA170" s="238">
        <f>Dren_Quantificacao!AZ105</f>
        <v>0</v>
      </c>
      <c r="BB170" s="238">
        <f>Dren_Quantificacao!BA105</f>
        <v>0</v>
      </c>
      <c r="BC170" s="238">
        <f>Dren_Quantificacao!BB105</f>
        <v>0</v>
      </c>
      <c r="BD170" s="238">
        <f>Dren_Quantificacao!BC105</f>
        <v>0</v>
      </c>
      <c r="BE170" s="238">
        <f>Dren_Quantificacao!BD105</f>
        <v>0</v>
      </c>
      <c r="BF170" s="238">
        <f>Dren_Quantificacao!BE105</f>
        <v>0</v>
      </c>
      <c r="BG170" s="238">
        <f>Dren_Quantificacao!BF105</f>
        <v>0</v>
      </c>
      <c r="BH170" s="238">
        <f>Dren_Quantificacao!BG105</f>
        <v>0</v>
      </c>
      <c r="BI170" s="238">
        <f>Dren_Quantificacao!BH105</f>
        <v>0</v>
      </c>
      <c r="BJ170" s="159"/>
      <c r="BK170" s="159"/>
      <c r="BL170" s="159"/>
      <c r="BM170" s="363"/>
      <c r="BN170" s="579">
        <f t="shared" si="1279"/>
        <v>0</v>
      </c>
      <c r="BO170" s="1089"/>
      <c r="BP170" s="1089"/>
      <c r="BQ170" s="1089"/>
      <c r="BR170" s="1089"/>
      <c r="BS170" s="1089"/>
      <c r="BT170" s="1089"/>
      <c r="BU170" s="1089"/>
      <c r="BV170" s="1089"/>
      <c r="BW170" s="1089"/>
      <c r="BX170" s="1089"/>
      <c r="BY170" s="1089"/>
      <c r="BZ170" s="1089"/>
    </row>
    <row r="171" spans="1:78" s="590" customFormat="1" ht="21.95" hidden="1" customHeight="1" x14ac:dyDescent="0.15">
      <c r="A171" s="2596"/>
      <c r="B171" s="2668"/>
      <c r="C171" s="591" t="s">
        <v>3</v>
      </c>
      <c r="D171" s="2004"/>
      <c r="E171" s="592"/>
      <c r="F171" s="158">
        <f>Dren_Quantificacao!D106</f>
        <v>0</v>
      </c>
      <c r="G171" s="158">
        <f>Dren_Quantificacao!E106</f>
        <v>0</v>
      </c>
      <c r="H171" s="158">
        <f>Dren_Quantificacao!F106</f>
        <v>0</v>
      </c>
      <c r="I171" s="158">
        <f>Dren_Quantificacao!G106</f>
        <v>0</v>
      </c>
      <c r="J171" s="158"/>
      <c r="K171" s="158"/>
      <c r="L171" s="158"/>
      <c r="M171" s="158"/>
      <c r="N171" s="2416"/>
      <c r="O171" s="158">
        <f>Dren_Quantificacao!M106</f>
        <v>0</v>
      </c>
      <c r="P171" s="158">
        <f>Dren_Quantificacao!N106</f>
        <v>0</v>
      </c>
      <c r="Q171" s="158">
        <f>Dren_Quantificacao!O106</f>
        <v>0</v>
      </c>
      <c r="R171" s="158">
        <f>Dren_Quantificacao!P106</f>
        <v>0</v>
      </c>
      <c r="S171" s="158">
        <f>Dren_Quantificacao!Q106</f>
        <v>0</v>
      </c>
      <c r="T171" s="158">
        <f>Dren_Quantificacao!R106</f>
        <v>0</v>
      </c>
      <c r="U171" s="158">
        <f>Dren_Quantificacao!S106</f>
        <v>0</v>
      </c>
      <c r="V171" s="158">
        <f>Dren_Quantificacao!T106</f>
        <v>0</v>
      </c>
      <c r="W171" s="158"/>
      <c r="X171" s="2416"/>
      <c r="Y171" s="158">
        <f>Dren_Quantificacao!W106</f>
        <v>0</v>
      </c>
      <c r="Z171" s="158">
        <f>Dren_Quantificacao!X106</f>
        <v>0</v>
      </c>
      <c r="AA171" s="158">
        <f>Dren_Quantificacao!Y106</f>
        <v>0</v>
      </c>
      <c r="AB171" s="158">
        <f>Dren_Quantificacao!Z106</f>
        <v>0</v>
      </c>
      <c r="AC171" s="158">
        <f>Dren_Quantificacao!AA106</f>
        <v>0</v>
      </c>
      <c r="AD171" s="158">
        <f>Dren_Quantificacao!AB106</f>
        <v>0</v>
      </c>
      <c r="AE171" s="158">
        <f>Dren_Quantificacao!AC106</f>
        <v>0</v>
      </c>
      <c r="AF171" s="158">
        <f>Dren_Quantificacao!AD106</f>
        <v>0</v>
      </c>
      <c r="AG171" s="158">
        <f>Dren_Quantificacao!AE106</f>
        <v>0</v>
      </c>
      <c r="AH171" s="158">
        <f>Dren_Quantificacao!AF106</f>
        <v>0</v>
      </c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2416"/>
      <c r="AS171" s="158">
        <f>Dren_Quantificacao!AQ106</f>
        <v>0</v>
      </c>
      <c r="AT171" s="158">
        <f>Dren_Quantificacao!AR106</f>
        <v>0</v>
      </c>
      <c r="AU171" s="158">
        <f>Dren_Quantificacao!AS106</f>
        <v>0</v>
      </c>
      <c r="AV171" s="158">
        <f>Dren_Quantificacao!AT106</f>
        <v>0</v>
      </c>
      <c r="AW171" s="158">
        <f>Dren_Quantificacao!AU106</f>
        <v>0</v>
      </c>
      <c r="AX171" s="158">
        <f>Dren_Quantificacao!AW106</f>
        <v>0</v>
      </c>
      <c r="AY171" s="158">
        <f>Dren_Quantificacao!AX106</f>
        <v>0</v>
      </c>
      <c r="AZ171" s="158">
        <f>Dren_Quantificacao!AY106</f>
        <v>0</v>
      </c>
      <c r="BA171" s="158">
        <f>Dren_Quantificacao!AZ106</f>
        <v>0</v>
      </c>
      <c r="BB171" s="158">
        <f>Dren_Quantificacao!BA106</f>
        <v>0</v>
      </c>
      <c r="BC171" s="158">
        <f>Dren_Quantificacao!BB106</f>
        <v>0</v>
      </c>
      <c r="BD171" s="158">
        <f>Dren_Quantificacao!BC106</f>
        <v>0</v>
      </c>
      <c r="BE171" s="158">
        <f>Dren_Quantificacao!BD106</f>
        <v>0</v>
      </c>
      <c r="BF171" s="158">
        <f>Dren_Quantificacao!BE106</f>
        <v>0</v>
      </c>
      <c r="BG171" s="158">
        <f>Dren_Quantificacao!BF106</f>
        <v>0</v>
      </c>
      <c r="BH171" s="158">
        <f>Dren_Quantificacao!BG106</f>
        <v>0</v>
      </c>
      <c r="BI171" s="158">
        <f>Dren_Quantificacao!BH106</f>
        <v>0</v>
      </c>
      <c r="BJ171" s="159"/>
      <c r="BK171" s="159"/>
      <c r="BL171" s="159"/>
      <c r="BM171" s="595">
        <f>TRUNC(SUM(F171:BL171),2)</f>
        <v>0</v>
      </c>
      <c r="BN171" s="579">
        <f t="shared" si="1279"/>
        <v>0</v>
      </c>
      <c r="BO171" s="1089"/>
      <c r="BP171" s="1089"/>
      <c r="BQ171" s="1089"/>
      <c r="BR171" s="1089"/>
      <c r="BS171" s="1089"/>
      <c r="BT171" s="1089"/>
      <c r="BU171" s="1089"/>
      <c r="BV171" s="1089"/>
      <c r="BW171" s="1089"/>
      <c r="BX171" s="1089"/>
      <c r="BY171" s="1089"/>
      <c r="BZ171" s="1089"/>
    </row>
    <row r="172" spans="1:78" s="590" customFormat="1" ht="21.95" hidden="1" customHeight="1" x14ac:dyDescent="0.15">
      <c r="A172" s="2596"/>
      <c r="B172" s="2668"/>
      <c r="C172" s="591" t="s">
        <v>58</v>
      </c>
      <c r="D172" s="2004"/>
      <c r="E172" s="592"/>
      <c r="F172" s="158">
        <f>Dren_Quantificacao!D107</f>
        <v>0</v>
      </c>
      <c r="G172" s="158">
        <f>Dren_Quantificacao!E107</f>
        <v>0</v>
      </c>
      <c r="H172" s="158">
        <f>Dren_Quantificacao!F107</f>
        <v>0</v>
      </c>
      <c r="I172" s="158">
        <f>Dren_Quantificacao!G107</f>
        <v>0</v>
      </c>
      <c r="J172" s="158"/>
      <c r="K172" s="158"/>
      <c r="L172" s="158"/>
      <c r="M172" s="158"/>
      <c r="N172" s="2416"/>
      <c r="O172" s="158">
        <f>Dren_Quantificacao!M107</f>
        <v>0</v>
      </c>
      <c r="P172" s="158">
        <f>Dren_Quantificacao!N107</f>
        <v>0</v>
      </c>
      <c r="Q172" s="158">
        <f>Dren_Quantificacao!O107</f>
        <v>0</v>
      </c>
      <c r="R172" s="158">
        <f>Dren_Quantificacao!P107</f>
        <v>0</v>
      </c>
      <c r="S172" s="158">
        <f>Dren_Quantificacao!Q107</f>
        <v>0</v>
      </c>
      <c r="T172" s="158">
        <f>Dren_Quantificacao!R107</f>
        <v>0</v>
      </c>
      <c r="U172" s="158">
        <f>Dren_Quantificacao!S107</f>
        <v>0</v>
      </c>
      <c r="V172" s="158">
        <f>Dren_Quantificacao!T107</f>
        <v>0</v>
      </c>
      <c r="W172" s="158"/>
      <c r="X172" s="2416"/>
      <c r="Y172" s="158">
        <f>Dren_Quantificacao!W107</f>
        <v>0</v>
      </c>
      <c r="Z172" s="158">
        <f>Dren_Quantificacao!X107</f>
        <v>0</v>
      </c>
      <c r="AA172" s="158">
        <f>Dren_Quantificacao!Y107</f>
        <v>0</v>
      </c>
      <c r="AB172" s="158">
        <f>Dren_Quantificacao!Z107</f>
        <v>0</v>
      </c>
      <c r="AC172" s="158">
        <f>Dren_Quantificacao!AA107</f>
        <v>0</v>
      </c>
      <c r="AD172" s="158">
        <f>Dren_Quantificacao!AB107</f>
        <v>0</v>
      </c>
      <c r="AE172" s="158">
        <f>Dren_Quantificacao!AC107</f>
        <v>0</v>
      </c>
      <c r="AF172" s="158">
        <f>Dren_Quantificacao!AD107</f>
        <v>0</v>
      </c>
      <c r="AG172" s="158">
        <f>Dren_Quantificacao!AE107</f>
        <v>0</v>
      </c>
      <c r="AH172" s="158">
        <f>Dren_Quantificacao!AF107</f>
        <v>0</v>
      </c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2416"/>
      <c r="AS172" s="158">
        <f>Dren_Quantificacao!AQ107</f>
        <v>0</v>
      </c>
      <c r="AT172" s="158">
        <f>Dren_Quantificacao!AR107</f>
        <v>0</v>
      </c>
      <c r="AU172" s="158">
        <f>Dren_Quantificacao!AS107</f>
        <v>0</v>
      </c>
      <c r="AV172" s="158">
        <f>Dren_Quantificacao!AT107</f>
        <v>0</v>
      </c>
      <c r="AW172" s="158">
        <f>Dren_Quantificacao!AU107</f>
        <v>0</v>
      </c>
      <c r="AX172" s="158">
        <f>Dren_Quantificacao!AW107</f>
        <v>0</v>
      </c>
      <c r="AY172" s="158">
        <f>Dren_Quantificacao!AX107</f>
        <v>0</v>
      </c>
      <c r="AZ172" s="158">
        <f>Dren_Quantificacao!AY107</f>
        <v>0</v>
      </c>
      <c r="BA172" s="158">
        <f>Dren_Quantificacao!AZ107</f>
        <v>0</v>
      </c>
      <c r="BB172" s="158">
        <f>Dren_Quantificacao!BA107</f>
        <v>0</v>
      </c>
      <c r="BC172" s="158">
        <f>Dren_Quantificacao!BB107</f>
        <v>0</v>
      </c>
      <c r="BD172" s="158">
        <f>Dren_Quantificacao!BC107</f>
        <v>0</v>
      </c>
      <c r="BE172" s="158">
        <f>Dren_Quantificacao!BD107</f>
        <v>0</v>
      </c>
      <c r="BF172" s="158">
        <f>Dren_Quantificacao!BE107</f>
        <v>0</v>
      </c>
      <c r="BG172" s="158">
        <f>Dren_Quantificacao!BF107</f>
        <v>0</v>
      </c>
      <c r="BH172" s="158">
        <f>Dren_Quantificacao!BG107</f>
        <v>0</v>
      </c>
      <c r="BI172" s="158">
        <f>Dren_Quantificacao!BH107</f>
        <v>0</v>
      </c>
      <c r="BJ172" s="159"/>
      <c r="BK172" s="159"/>
      <c r="BL172" s="159"/>
      <c r="BM172" s="601"/>
      <c r="BN172" s="579">
        <f t="shared" si="1279"/>
        <v>0</v>
      </c>
      <c r="BO172" s="1089"/>
      <c r="BP172" s="1089"/>
      <c r="BQ172" s="1089"/>
      <c r="BR172" s="1089"/>
      <c r="BS172" s="1089"/>
      <c r="BT172" s="1089"/>
      <c r="BU172" s="1089"/>
      <c r="BV172" s="1089"/>
      <c r="BW172" s="1089"/>
      <c r="BX172" s="1089"/>
      <c r="BY172" s="1089"/>
      <c r="BZ172" s="1089"/>
    </row>
    <row r="173" spans="1:78" s="590" customFormat="1" ht="21.95" hidden="1" customHeight="1" x14ac:dyDescent="0.15">
      <c r="A173" s="2596"/>
      <c r="B173" s="2668"/>
      <c r="C173" s="591" t="s">
        <v>2423</v>
      </c>
      <c r="D173" s="2004"/>
      <c r="E173" s="592"/>
      <c r="F173" s="158">
        <f t="shared" ref="F173" si="1316">IF(F172&lt;=1.5,F172*F171*F170,0)</f>
        <v>0</v>
      </c>
      <c r="G173" s="158">
        <f t="shared" ref="G173" si="1317">IF(G172&lt;=1.5,G172*G171*G170,0)</f>
        <v>0</v>
      </c>
      <c r="H173" s="158">
        <f t="shared" ref="H173:I173" si="1318">IF(H172&lt;=1.5,H172*H171*H170,0)</f>
        <v>0</v>
      </c>
      <c r="I173" s="158">
        <f t="shared" si="1318"/>
        <v>0</v>
      </c>
      <c r="J173" s="158"/>
      <c r="K173" s="158"/>
      <c r="L173" s="158"/>
      <c r="M173" s="158"/>
      <c r="N173" s="2416"/>
      <c r="O173" s="158">
        <f t="shared" ref="O173:V173" si="1319">IF(O172&lt;=1.5,O172*O171*O170,0)</f>
        <v>0</v>
      </c>
      <c r="P173" s="158">
        <f t="shared" si="1319"/>
        <v>0</v>
      </c>
      <c r="Q173" s="158">
        <f t="shared" si="1319"/>
        <v>0</v>
      </c>
      <c r="R173" s="158">
        <f t="shared" si="1319"/>
        <v>0</v>
      </c>
      <c r="S173" s="158">
        <f t="shared" si="1319"/>
        <v>0</v>
      </c>
      <c r="T173" s="158">
        <f t="shared" si="1319"/>
        <v>0</v>
      </c>
      <c r="U173" s="158">
        <f t="shared" si="1319"/>
        <v>0</v>
      </c>
      <c r="V173" s="158">
        <f t="shared" si="1319"/>
        <v>0</v>
      </c>
      <c r="W173" s="158"/>
      <c r="X173" s="2416"/>
      <c r="Y173" s="158">
        <f t="shared" ref="Y173:AH173" si="1320">IF(Y172&lt;=1.5,Y172*Y171*Y170,0)</f>
        <v>0</v>
      </c>
      <c r="Z173" s="158">
        <f t="shared" si="1320"/>
        <v>0</v>
      </c>
      <c r="AA173" s="158">
        <f t="shared" si="1320"/>
        <v>0</v>
      </c>
      <c r="AB173" s="158">
        <f t="shared" si="1320"/>
        <v>0</v>
      </c>
      <c r="AC173" s="158">
        <f t="shared" si="1320"/>
        <v>0</v>
      </c>
      <c r="AD173" s="158">
        <f t="shared" si="1320"/>
        <v>0</v>
      </c>
      <c r="AE173" s="158">
        <f t="shared" si="1320"/>
        <v>0</v>
      </c>
      <c r="AF173" s="158">
        <f t="shared" si="1320"/>
        <v>0</v>
      </c>
      <c r="AG173" s="158">
        <f t="shared" si="1320"/>
        <v>0</v>
      </c>
      <c r="AH173" s="158">
        <f t="shared" si="1320"/>
        <v>0</v>
      </c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2416"/>
      <c r="AS173" s="158">
        <f t="shared" ref="AS173:AW173" si="1321">IF(AS172&lt;=1.5,AS172*AS171*AS170,0)</f>
        <v>0</v>
      </c>
      <c r="AT173" s="158">
        <f t="shared" si="1321"/>
        <v>0</v>
      </c>
      <c r="AU173" s="158">
        <f t="shared" si="1321"/>
        <v>0</v>
      </c>
      <c r="AV173" s="158">
        <f t="shared" si="1321"/>
        <v>0</v>
      </c>
      <c r="AW173" s="158">
        <f t="shared" si="1321"/>
        <v>0</v>
      </c>
      <c r="AX173" s="158">
        <f t="shared" ref="AX173" si="1322">IF(AX172&lt;=1.5,AX172*AX171*AX170,0)</f>
        <v>0</v>
      </c>
      <c r="AY173" s="158">
        <f t="shared" ref="AY173:BI173" si="1323">IF(AY172&lt;=1.5,AY172*AY171*AY170,0)</f>
        <v>0</v>
      </c>
      <c r="AZ173" s="158">
        <f t="shared" ref="AZ173" si="1324">IF(AZ172&lt;=1.5,AZ172*AZ171*AZ170,0)</f>
        <v>0</v>
      </c>
      <c r="BA173" s="158">
        <f t="shared" si="1323"/>
        <v>0</v>
      </c>
      <c r="BB173" s="158">
        <f t="shared" si="1323"/>
        <v>0</v>
      </c>
      <c r="BC173" s="158">
        <f t="shared" si="1323"/>
        <v>0</v>
      </c>
      <c r="BD173" s="158">
        <f t="shared" si="1323"/>
        <v>0</v>
      </c>
      <c r="BE173" s="158">
        <f t="shared" si="1323"/>
        <v>0</v>
      </c>
      <c r="BF173" s="158">
        <f t="shared" si="1323"/>
        <v>0</v>
      </c>
      <c r="BG173" s="158">
        <f t="shared" si="1323"/>
        <v>0</v>
      </c>
      <c r="BH173" s="158">
        <f t="shared" si="1323"/>
        <v>0</v>
      </c>
      <c r="BI173" s="158">
        <f t="shared" si="1323"/>
        <v>0</v>
      </c>
      <c r="BJ173" s="159"/>
      <c r="BK173" s="159"/>
      <c r="BL173" s="159"/>
      <c r="BM173" s="350">
        <f>TRUNC(SUM(F173:BL173),2)</f>
        <v>0</v>
      </c>
      <c r="BN173" s="579">
        <f t="shared" si="1279"/>
        <v>0</v>
      </c>
      <c r="BO173" s="1089"/>
      <c r="BP173" s="1089"/>
      <c r="BQ173" s="1089"/>
      <c r="BR173" s="1089"/>
      <c r="BS173" s="1089"/>
      <c r="BT173" s="1089"/>
      <c r="BU173" s="1089"/>
      <c r="BV173" s="1089"/>
      <c r="BW173" s="1089"/>
      <c r="BX173" s="1089"/>
      <c r="BY173" s="1089"/>
      <c r="BZ173" s="1089"/>
    </row>
    <row r="174" spans="1:78" s="590" customFormat="1" ht="21.95" hidden="1" customHeight="1" x14ac:dyDescent="0.15">
      <c r="A174" s="2596"/>
      <c r="B174" s="2668"/>
      <c r="C174" s="591" t="s">
        <v>2424</v>
      </c>
      <c r="D174" s="2004"/>
      <c r="E174" s="592"/>
      <c r="F174" s="158">
        <f t="shared" ref="F174" si="1325">IF(F172&gt;1.5,F172*F171*F170,0)</f>
        <v>0</v>
      </c>
      <c r="G174" s="158">
        <f t="shared" ref="G174" si="1326">IF(G172&gt;1.5,G172*G171*G170,0)</f>
        <v>0</v>
      </c>
      <c r="H174" s="158">
        <f t="shared" ref="H174:I174" si="1327">IF(H172&gt;1.5,H172*H171*H170,0)</f>
        <v>0</v>
      </c>
      <c r="I174" s="158">
        <f t="shared" si="1327"/>
        <v>0</v>
      </c>
      <c r="J174" s="158"/>
      <c r="K174" s="158"/>
      <c r="L174" s="158"/>
      <c r="M174" s="158"/>
      <c r="N174" s="2416"/>
      <c r="O174" s="158">
        <f t="shared" ref="O174:V174" si="1328">IF(O172&gt;1.5,O172*O171*O170,0)</f>
        <v>0</v>
      </c>
      <c r="P174" s="158">
        <f t="shared" si="1328"/>
        <v>0</v>
      </c>
      <c r="Q174" s="158">
        <f t="shared" si="1328"/>
        <v>0</v>
      </c>
      <c r="R174" s="158">
        <f t="shared" si="1328"/>
        <v>0</v>
      </c>
      <c r="S174" s="158">
        <f t="shared" si="1328"/>
        <v>0</v>
      </c>
      <c r="T174" s="158">
        <f t="shared" si="1328"/>
        <v>0</v>
      </c>
      <c r="U174" s="158">
        <f t="shared" si="1328"/>
        <v>0</v>
      </c>
      <c r="V174" s="158">
        <f t="shared" si="1328"/>
        <v>0</v>
      </c>
      <c r="W174" s="158"/>
      <c r="X174" s="2416"/>
      <c r="Y174" s="158">
        <f t="shared" ref="Y174:AH174" si="1329">IF(Y172&gt;1.5,Y172*Y171*Y170,0)</f>
        <v>0</v>
      </c>
      <c r="Z174" s="158">
        <f t="shared" si="1329"/>
        <v>0</v>
      </c>
      <c r="AA174" s="158">
        <f t="shared" si="1329"/>
        <v>0</v>
      </c>
      <c r="AB174" s="158">
        <f t="shared" si="1329"/>
        <v>0</v>
      </c>
      <c r="AC174" s="158">
        <f t="shared" si="1329"/>
        <v>0</v>
      </c>
      <c r="AD174" s="158">
        <f t="shared" si="1329"/>
        <v>0</v>
      </c>
      <c r="AE174" s="158">
        <f t="shared" si="1329"/>
        <v>0</v>
      </c>
      <c r="AF174" s="158">
        <f t="shared" si="1329"/>
        <v>0</v>
      </c>
      <c r="AG174" s="158">
        <f t="shared" si="1329"/>
        <v>0</v>
      </c>
      <c r="AH174" s="158">
        <f t="shared" si="1329"/>
        <v>0</v>
      </c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2416"/>
      <c r="AS174" s="158">
        <f t="shared" ref="AS174:AW174" si="1330">IF(AS172&gt;1.5,AS172*AS171*AS170,0)</f>
        <v>0</v>
      </c>
      <c r="AT174" s="158">
        <f t="shared" si="1330"/>
        <v>0</v>
      </c>
      <c r="AU174" s="158">
        <f t="shared" si="1330"/>
        <v>0</v>
      </c>
      <c r="AV174" s="158">
        <f t="shared" si="1330"/>
        <v>0</v>
      </c>
      <c r="AW174" s="158">
        <f t="shared" si="1330"/>
        <v>0</v>
      </c>
      <c r="AX174" s="158">
        <f t="shared" ref="AX174" si="1331">IF(AX172&gt;1.5,AX172*AX171*AX170,0)</f>
        <v>0</v>
      </c>
      <c r="AY174" s="158">
        <f t="shared" ref="AY174:BI174" si="1332">IF(AY172&gt;1.5,AY172*AY171*AY170,0)</f>
        <v>0</v>
      </c>
      <c r="AZ174" s="158">
        <f t="shared" ref="AZ174" si="1333">IF(AZ172&gt;1.5,AZ172*AZ171*AZ170,0)</f>
        <v>0</v>
      </c>
      <c r="BA174" s="158">
        <f t="shared" si="1332"/>
        <v>0</v>
      </c>
      <c r="BB174" s="158">
        <f t="shared" si="1332"/>
        <v>0</v>
      </c>
      <c r="BC174" s="158">
        <f t="shared" si="1332"/>
        <v>0</v>
      </c>
      <c r="BD174" s="158">
        <f t="shared" si="1332"/>
        <v>0</v>
      </c>
      <c r="BE174" s="158">
        <f t="shared" si="1332"/>
        <v>0</v>
      </c>
      <c r="BF174" s="158">
        <f t="shared" si="1332"/>
        <v>0</v>
      </c>
      <c r="BG174" s="158">
        <f t="shared" si="1332"/>
        <v>0</v>
      </c>
      <c r="BH174" s="158">
        <f t="shared" si="1332"/>
        <v>0</v>
      </c>
      <c r="BI174" s="158">
        <f t="shared" si="1332"/>
        <v>0</v>
      </c>
      <c r="BJ174" s="159"/>
      <c r="BK174" s="159"/>
      <c r="BL174" s="159"/>
      <c r="BM174" s="350">
        <f>TRUNC(SUM(F174:BL174),2)</f>
        <v>0</v>
      </c>
      <c r="BN174" s="579">
        <f t="shared" si="1279"/>
        <v>0</v>
      </c>
      <c r="BO174" s="1089"/>
      <c r="BP174" s="1089"/>
      <c r="BQ174" s="1089"/>
      <c r="BR174" s="1089"/>
      <c r="BS174" s="1089"/>
      <c r="BT174" s="1089"/>
      <c r="BU174" s="1089"/>
      <c r="BV174" s="1089"/>
      <c r="BW174" s="1089"/>
      <c r="BX174" s="1089"/>
      <c r="BY174" s="1089"/>
      <c r="BZ174" s="1089"/>
    </row>
    <row r="175" spans="1:78" s="590" customFormat="1" ht="21.95" hidden="1" customHeight="1" thickBot="1" x14ac:dyDescent="0.2">
      <c r="A175" s="2596"/>
      <c r="B175" s="2672"/>
      <c r="C175" s="929" t="s">
        <v>490</v>
      </c>
      <c r="D175" s="2005"/>
      <c r="E175" s="1523"/>
      <c r="F175" s="239">
        <f t="shared" ref="F175" si="1334">(F173+F174)*1.1</f>
        <v>0</v>
      </c>
      <c r="G175" s="239">
        <f t="shared" ref="G175" si="1335">(G173+G174)*1.1</f>
        <v>0</v>
      </c>
      <c r="H175" s="239">
        <f t="shared" ref="H175:I175" si="1336">(H173+H174)*1.1</f>
        <v>0</v>
      </c>
      <c r="I175" s="239">
        <f t="shared" si="1336"/>
        <v>0</v>
      </c>
      <c r="J175" s="239"/>
      <c r="K175" s="239"/>
      <c r="L175" s="239"/>
      <c r="M175" s="239"/>
      <c r="N175" s="2440"/>
      <c r="O175" s="239">
        <f t="shared" ref="O175:V175" si="1337">(O173+O174)*1.1</f>
        <v>0</v>
      </c>
      <c r="P175" s="239">
        <f t="shared" si="1337"/>
        <v>0</v>
      </c>
      <c r="Q175" s="239">
        <f t="shared" si="1337"/>
        <v>0</v>
      </c>
      <c r="R175" s="239">
        <f t="shared" si="1337"/>
        <v>0</v>
      </c>
      <c r="S175" s="239">
        <f t="shared" si="1337"/>
        <v>0</v>
      </c>
      <c r="T175" s="239">
        <f t="shared" si="1337"/>
        <v>0</v>
      </c>
      <c r="U175" s="239">
        <f t="shared" si="1337"/>
        <v>0</v>
      </c>
      <c r="V175" s="239">
        <f t="shared" si="1337"/>
        <v>0</v>
      </c>
      <c r="W175" s="239"/>
      <c r="X175" s="2440"/>
      <c r="Y175" s="239">
        <f t="shared" ref="Y175:AH175" si="1338">(Y173+Y174)*1.1</f>
        <v>0</v>
      </c>
      <c r="Z175" s="239">
        <f t="shared" si="1338"/>
        <v>0</v>
      </c>
      <c r="AA175" s="239">
        <f t="shared" si="1338"/>
        <v>0</v>
      </c>
      <c r="AB175" s="239">
        <f t="shared" si="1338"/>
        <v>0</v>
      </c>
      <c r="AC175" s="239">
        <f t="shared" si="1338"/>
        <v>0</v>
      </c>
      <c r="AD175" s="239">
        <f t="shared" si="1338"/>
        <v>0</v>
      </c>
      <c r="AE175" s="239">
        <f t="shared" si="1338"/>
        <v>0</v>
      </c>
      <c r="AF175" s="239">
        <f t="shared" si="1338"/>
        <v>0</v>
      </c>
      <c r="AG175" s="239">
        <f t="shared" si="1338"/>
        <v>0</v>
      </c>
      <c r="AH175" s="239">
        <f t="shared" si="1338"/>
        <v>0</v>
      </c>
      <c r="AI175" s="239"/>
      <c r="AJ175" s="239"/>
      <c r="AK175" s="239"/>
      <c r="AL175" s="239"/>
      <c r="AM175" s="239"/>
      <c r="AN175" s="239"/>
      <c r="AO175" s="239"/>
      <c r="AP175" s="239"/>
      <c r="AQ175" s="239"/>
      <c r="AR175" s="2440"/>
      <c r="AS175" s="239">
        <f t="shared" ref="AS175:AW175" si="1339">(AS173+AS174)*1.1</f>
        <v>0</v>
      </c>
      <c r="AT175" s="239">
        <f t="shared" si="1339"/>
        <v>0</v>
      </c>
      <c r="AU175" s="239">
        <f t="shared" si="1339"/>
        <v>0</v>
      </c>
      <c r="AV175" s="239">
        <f t="shared" si="1339"/>
        <v>0</v>
      </c>
      <c r="AW175" s="239">
        <f t="shared" si="1339"/>
        <v>0</v>
      </c>
      <c r="AX175" s="239">
        <f t="shared" ref="AX175" si="1340">(AX173+AX174)*1.1</f>
        <v>0</v>
      </c>
      <c r="AY175" s="239">
        <f t="shared" ref="AY175:BI175" si="1341">(AY173+AY174)*1.1</f>
        <v>0</v>
      </c>
      <c r="AZ175" s="239">
        <f t="shared" ref="AZ175" si="1342">(AZ173+AZ174)*1.1</f>
        <v>0</v>
      </c>
      <c r="BA175" s="239">
        <f t="shared" si="1341"/>
        <v>0</v>
      </c>
      <c r="BB175" s="239">
        <f t="shared" si="1341"/>
        <v>0</v>
      </c>
      <c r="BC175" s="239">
        <f t="shared" si="1341"/>
        <v>0</v>
      </c>
      <c r="BD175" s="239">
        <f t="shared" si="1341"/>
        <v>0</v>
      </c>
      <c r="BE175" s="239">
        <f t="shared" si="1341"/>
        <v>0</v>
      </c>
      <c r="BF175" s="239">
        <f t="shared" si="1341"/>
        <v>0</v>
      </c>
      <c r="BG175" s="239">
        <f t="shared" si="1341"/>
        <v>0</v>
      </c>
      <c r="BH175" s="239">
        <f t="shared" si="1341"/>
        <v>0</v>
      </c>
      <c r="BI175" s="239">
        <f t="shared" si="1341"/>
        <v>0</v>
      </c>
      <c r="BJ175" s="159"/>
      <c r="BK175" s="159"/>
      <c r="BL175" s="159"/>
      <c r="BM175" s="361">
        <f>TRUNC(SUM(F175:BL175),2)</f>
        <v>0</v>
      </c>
      <c r="BN175" s="579">
        <f t="shared" si="1279"/>
        <v>0</v>
      </c>
      <c r="BO175" s="1089"/>
      <c r="BP175" s="1089"/>
      <c r="BQ175" s="1089"/>
      <c r="BR175" s="1089"/>
      <c r="BS175" s="1089"/>
      <c r="BT175" s="1089"/>
      <c r="BU175" s="1089"/>
      <c r="BV175" s="1089"/>
      <c r="BW175" s="1089"/>
      <c r="BX175" s="1089"/>
      <c r="BY175" s="1089"/>
      <c r="BZ175" s="1089"/>
    </row>
    <row r="176" spans="1:78" s="590" customFormat="1" ht="21.95" hidden="1" customHeight="1" x14ac:dyDescent="0.15">
      <c r="A176" s="2596"/>
      <c r="B176" s="2671" t="s">
        <v>608</v>
      </c>
      <c r="C176" s="930" t="s">
        <v>16</v>
      </c>
      <c r="D176" s="2003"/>
      <c r="E176" s="1520"/>
      <c r="F176" s="238">
        <f>Dren_Quantificacao!D22</f>
        <v>0</v>
      </c>
      <c r="G176" s="238">
        <f>Dren_Quantificacao!E22</f>
        <v>0</v>
      </c>
      <c r="H176" s="238">
        <f>Dren_Quantificacao!F22</f>
        <v>0</v>
      </c>
      <c r="I176" s="238">
        <f>Dren_Quantificacao!G22</f>
        <v>0</v>
      </c>
      <c r="J176" s="238"/>
      <c r="K176" s="238"/>
      <c r="L176" s="238"/>
      <c r="M176" s="238"/>
      <c r="N176" s="2439"/>
      <c r="O176" s="238">
        <f>Dren_Quantificacao!M22</f>
        <v>0</v>
      </c>
      <c r="P176" s="238">
        <f>Dren_Quantificacao!N22</f>
        <v>0</v>
      </c>
      <c r="Q176" s="238">
        <f>Dren_Quantificacao!O22</f>
        <v>0</v>
      </c>
      <c r="R176" s="238">
        <f>Dren_Quantificacao!P22</f>
        <v>0</v>
      </c>
      <c r="S176" s="238">
        <f>Dren_Quantificacao!Q22</f>
        <v>0</v>
      </c>
      <c r="T176" s="238">
        <f>Dren_Quantificacao!R22</f>
        <v>0</v>
      </c>
      <c r="U176" s="238">
        <f>Dren_Quantificacao!S22</f>
        <v>0</v>
      </c>
      <c r="V176" s="238">
        <f>Dren_Quantificacao!T22</f>
        <v>0</v>
      </c>
      <c r="W176" s="238"/>
      <c r="X176" s="2439"/>
      <c r="Y176" s="238">
        <f>Dren_Quantificacao!W22</f>
        <v>0</v>
      </c>
      <c r="Z176" s="238">
        <f>Dren_Quantificacao!X22</f>
        <v>0</v>
      </c>
      <c r="AA176" s="238">
        <f>Dren_Quantificacao!Y22</f>
        <v>0</v>
      </c>
      <c r="AB176" s="238">
        <f>Dren_Quantificacao!Z22</f>
        <v>0</v>
      </c>
      <c r="AC176" s="238">
        <f>Dren_Quantificacao!AA22</f>
        <v>0</v>
      </c>
      <c r="AD176" s="238">
        <f>Dren_Quantificacao!AB22</f>
        <v>0</v>
      </c>
      <c r="AE176" s="238">
        <f>Dren_Quantificacao!AC22</f>
        <v>0</v>
      </c>
      <c r="AF176" s="238">
        <f>Dren_Quantificacao!AD22</f>
        <v>0</v>
      </c>
      <c r="AG176" s="238">
        <f>Dren_Quantificacao!AE22</f>
        <v>0</v>
      </c>
      <c r="AH176" s="238">
        <f>Dren_Quantificacao!AF22</f>
        <v>0</v>
      </c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439"/>
      <c r="AS176" s="238">
        <f>Dren_Quantificacao!AQ22</f>
        <v>0</v>
      </c>
      <c r="AT176" s="238">
        <f>Dren_Quantificacao!AR22</f>
        <v>0</v>
      </c>
      <c r="AU176" s="238">
        <f>Dren_Quantificacao!AS22</f>
        <v>0</v>
      </c>
      <c r="AV176" s="238">
        <f>Dren_Quantificacao!AT22</f>
        <v>0</v>
      </c>
      <c r="AW176" s="238">
        <f>Dren_Quantificacao!AU22</f>
        <v>0</v>
      </c>
      <c r="AX176" s="238">
        <f>Dren_Quantificacao!AW22</f>
        <v>0</v>
      </c>
      <c r="AY176" s="238">
        <f>Dren_Quantificacao!AX22</f>
        <v>0</v>
      </c>
      <c r="AZ176" s="238">
        <f>Dren_Quantificacao!AY22</f>
        <v>0</v>
      </c>
      <c r="BA176" s="238">
        <f>Dren_Quantificacao!AZ22</f>
        <v>0</v>
      </c>
      <c r="BB176" s="238">
        <f>Dren_Quantificacao!BA22</f>
        <v>0</v>
      </c>
      <c r="BC176" s="238">
        <f>Dren_Quantificacao!BB22</f>
        <v>0</v>
      </c>
      <c r="BD176" s="238">
        <f>Dren_Quantificacao!BC22</f>
        <v>0</v>
      </c>
      <c r="BE176" s="238">
        <f>Dren_Quantificacao!BD22</f>
        <v>0</v>
      </c>
      <c r="BF176" s="238">
        <f>Dren_Quantificacao!BE22</f>
        <v>0</v>
      </c>
      <c r="BG176" s="238">
        <f>Dren_Quantificacao!BF22</f>
        <v>0</v>
      </c>
      <c r="BH176" s="238">
        <f>Dren_Quantificacao!BG22</f>
        <v>0</v>
      </c>
      <c r="BI176" s="238">
        <f>Dren_Quantificacao!BH22</f>
        <v>0</v>
      </c>
      <c r="BJ176" s="238"/>
      <c r="BK176" s="238"/>
      <c r="BL176" s="238"/>
      <c r="BM176" s="363"/>
      <c r="BN176" s="579">
        <f t="shared" si="1279"/>
        <v>0</v>
      </c>
      <c r="BO176" s="1089"/>
      <c r="BP176" s="1089"/>
      <c r="BQ176" s="1089"/>
      <c r="BR176" s="1089"/>
      <c r="BS176" s="1089"/>
      <c r="BT176" s="1089"/>
      <c r="BU176" s="1089"/>
      <c r="BV176" s="1089"/>
      <c r="BW176" s="1089"/>
      <c r="BX176" s="1089"/>
      <c r="BY176" s="1089"/>
      <c r="BZ176" s="1089"/>
    </row>
    <row r="177" spans="1:78" s="590" customFormat="1" ht="21.95" hidden="1" customHeight="1" x14ac:dyDescent="0.15">
      <c r="A177" s="2596"/>
      <c r="B177" s="2668"/>
      <c r="C177" s="591" t="s">
        <v>3</v>
      </c>
      <c r="D177" s="2004"/>
      <c r="E177" s="592"/>
      <c r="F177" s="158">
        <f>IF(F176=0,0,Dren_Quantificacao!D23)</f>
        <v>0</v>
      </c>
      <c r="G177" s="158">
        <f>IF(G176=0,0,Dren_Quantificacao!E23)</f>
        <v>0</v>
      </c>
      <c r="H177" s="158">
        <f>IF(H176=0,0,Dren_Quantificacao!F23)</f>
        <v>0</v>
      </c>
      <c r="I177" s="158">
        <f>IF(I176=0,0,Dren_Quantificacao!G23)</f>
        <v>0</v>
      </c>
      <c r="J177" s="158"/>
      <c r="K177" s="158"/>
      <c r="L177" s="158"/>
      <c r="M177" s="158"/>
      <c r="N177" s="2416"/>
      <c r="O177" s="158">
        <f>IF(O176=0,0,Dren_Quantificacao!M23)</f>
        <v>0</v>
      </c>
      <c r="P177" s="158">
        <f>IF(P176=0,0,Dren_Quantificacao!N23)</f>
        <v>0</v>
      </c>
      <c r="Q177" s="158">
        <f>IF(Q176=0,0,Dren_Quantificacao!O23)</f>
        <v>0</v>
      </c>
      <c r="R177" s="158">
        <f>IF(R176=0,0,Dren_Quantificacao!P23)</f>
        <v>0</v>
      </c>
      <c r="S177" s="158">
        <f>IF(S176=0,0,Dren_Quantificacao!Q23)</f>
        <v>0</v>
      </c>
      <c r="T177" s="158">
        <f>IF(T176=0,0,Dren_Quantificacao!R23)</f>
        <v>0</v>
      </c>
      <c r="U177" s="158">
        <f>IF(U176=0,0,Dren_Quantificacao!S23)</f>
        <v>0</v>
      </c>
      <c r="V177" s="158">
        <f>IF(V176=0,0,Dren_Quantificacao!T23)</f>
        <v>0</v>
      </c>
      <c r="W177" s="158"/>
      <c r="X177" s="2416"/>
      <c r="Y177" s="158">
        <f>IF(Y176=0,0,Dren_Quantificacao!W23)</f>
        <v>0</v>
      </c>
      <c r="Z177" s="158">
        <f>IF(Z176=0,0,Dren_Quantificacao!X23)</f>
        <v>0</v>
      </c>
      <c r="AA177" s="158">
        <f>IF(AA176=0,0,Dren_Quantificacao!Y23)</f>
        <v>0</v>
      </c>
      <c r="AB177" s="158">
        <f>IF(AB176=0,0,Dren_Quantificacao!Z23)</f>
        <v>0</v>
      </c>
      <c r="AC177" s="158">
        <f>IF(AC176=0,0,Dren_Quantificacao!AA23)</f>
        <v>0</v>
      </c>
      <c r="AD177" s="158">
        <f>IF(AD176=0,0,Dren_Quantificacao!AB23)</f>
        <v>0</v>
      </c>
      <c r="AE177" s="158">
        <f>IF(AE176=0,0,Dren_Quantificacao!AC23)</f>
        <v>0</v>
      </c>
      <c r="AF177" s="158">
        <f>IF(AF176=0,0,Dren_Quantificacao!AD23)</f>
        <v>0</v>
      </c>
      <c r="AG177" s="158">
        <f>IF(AG176=0,0,Dren_Quantificacao!AE23)</f>
        <v>0</v>
      </c>
      <c r="AH177" s="158">
        <f>IF(AH176=0,0,Dren_Quantificacao!AF23)</f>
        <v>0</v>
      </c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2416"/>
      <c r="AS177" s="158">
        <f>IF(AS176=0,0,Dren_Quantificacao!AQ23)</f>
        <v>0</v>
      </c>
      <c r="AT177" s="158">
        <f>IF(AT176=0,0,Dren_Quantificacao!AR23)</f>
        <v>0</v>
      </c>
      <c r="AU177" s="158">
        <f>IF(AU176=0,0,Dren_Quantificacao!AS23)</f>
        <v>0</v>
      </c>
      <c r="AV177" s="158">
        <f>IF(AV176=0,0,Dren_Quantificacao!AT23)</f>
        <v>0</v>
      </c>
      <c r="AW177" s="158">
        <f>IF(AW176=0,0,Dren_Quantificacao!AU23)</f>
        <v>0</v>
      </c>
      <c r="AX177" s="158">
        <f>IF(AX176=0,0,Dren_Quantificacao!AW23)</f>
        <v>0</v>
      </c>
      <c r="AY177" s="158">
        <f>IF(AY176=0,0,Dren_Quantificacao!AX23)</f>
        <v>0</v>
      </c>
      <c r="AZ177" s="158">
        <f>IF(AZ176=0,0,Dren_Quantificacao!AY23)</f>
        <v>0</v>
      </c>
      <c r="BA177" s="158">
        <f>IF(BA176=0,0,Dren_Quantificacao!AZ23)</f>
        <v>0</v>
      </c>
      <c r="BB177" s="158">
        <f>IF(BB176=0,0,Dren_Quantificacao!BA23)</f>
        <v>0</v>
      </c>
      <c r="BC177" s="158">
        <f>IF(BC176=0,0,Dren_Quantificacao!BB23)</f>
        <v>0</v>
      </c>
      <c r="BD177" s="158">
        <f>IF(BD176=0,0,Dren_Quantificacao!BC23)</f>
        <v>0</v>
      </c>
      <c r="BE177" s="158">
        <f>IF(BE176=0,0,Dren_Quantificacao!BD23)</f>
        <v>0</v>
      </c>
      <c r="BF177" s="158">
        <f>IF(BF176=0,0,Dren_Quantificacao!BE23)</f>
        <v>0</v>
      </c>
      <c r="BG177" s="158">
        <f>IF(BG176=0,0,Dren_Quantificacao!BF23)</f>
        <v>0</v>
      </c>
      <c r="BH177" s="158">
        <f>IF(BH176=0,0,Dren_Quantificacao!BG23)</f>
        <v>0</v>
      </c>
      <c r="BI177" s="158">
        <f>IF(BI176=0,0,Dren_Quantificacao!BH23)</f>
        <v>0</v>
      </c>
      <c r="BJ177" s="158"/>
      <c r="BK177" s="158"/>
      <c r="BL177" s="158"/>
      <c r="BM177" s="595">
        <f>TRUNC(SUM(F177:BL177),2)</f>
        <v>0</v>
      </c>
      <c r="BN177" s="579">
        <f t="shared" si="1279"/>
        <v>0</v>
      </c>
      <c r="BO177" s="1089"/>
      <c r="BP177" s="1089"/>
      <c r="BQ177" s="1089"/>
      <c r="BR177" s="1089"/>
      <c r="BS177" s="1089"/>
      <c r="BT177" s="1089"/>
      <c r="BU177" s="1089"/>
      <c r="BV177" s="1089"/>
      <c r="BW177" s="1089"/>
      <c r="BX177" s="1089"/>
      <c r="BY177" s="1089"/>
      <c r="BZ177" s="1089"/>
    </row>
    <row r="178" spans="1:78" s="590" customFormat="1" ht="21.95" hidden="1" customHeight="1" x14ac:dyDescent="0.15">
      <c r="A178" s="2596"/>
      <c r="B178" s="2668"/>
      <c r="C178" s="591" t="s">
        <v>58</v>
      </c>
      <c r="D178" s="2004"/>
      <c r="E178" s="592"/>
      <c r="F178" s="158">
        <f t="shared" ref="F178" si="1343">IF(F176=0,0,F$33+F$34)</f>
        <v>0</v>
      </c>
      <c r="G178" s="158">
        <f t="shared" ref="G178" si="1344">IF(G176=0,0,G$33+G$34)</f>
        <v>0</v>
      </c>
      <c r="H178" s="158">
        <f t="shared" ref="H178:I178" si="1345">IF(H176=0,0,H$33+H$34)</f>
        <v>0</v>
      </c>
      <c r="I178" s="158">
        <f t="shared" si="1345"/>
        <v>0</v>
      </c>
      <c r="J178" s="158"/>
      <c r="K178" s="158"/>
      <c r="L178" s="158"/>
      <c r="M178" s="158"/>
      <c r="N178" s="2416"/>
      <c r="O178" s="158">
        <f t="shared" ref="O178:V178" si="1346">IF(O176=0,0,O$33+O$34)</f>
        <v>0</v>
      </c>
      <c r="P178" s="158">
        <f t="shared" si="1346"/>
        <v>0</v>
      </c>
      <c r="Q178" s="158">
        <f t="shared" si="1346"/>
        <v>0</v>
      </c>
      <c r="R178" s="158">
        <f t="shared" si="1346"/>
        <v>0</v>
      </c>
      <c r="S178" s="158">
        <f t="shared" si="1346"/>
        <v>0</v>
      </c>
      <c r="T178" s="158">
        <f t="shared" si="1346"/>
        <v>0</v>
      </c>
      <c r="U178" s="158">
        <f t="shared" si="1346"/>
        <v>0</v>
      </c>
      <c r="V178" s="158">
        <f t="shared" si="1346"/>
        <v>0</v>
      </c>
      <c r="W178" s="158"/>
      <c r="X178" s="2416"/>
      <c r="Y178" s="158">
        <f t="shared" ref="Y178:AH178" si="1347">IF(Y176=0,0,Y$33+Y$34)</f>
        <v>0</v>
      </c>
      <c r="Z178" s="158">
        <f t="shared" si="1347"/>
        <v>0</v>
      </c>
      <c r="AA178" s="158">
        <f t="shared" si="1347"/>
        <v>0</v>
      </c>
      <c r="AB178" s="158">
        <f t="shared" si="1347"/>
        <v>0</v>
      </c>
      <c r="AC178" s="158">
        <f t="shared" si="1347"/>
        <v>0</v>
      </c>
      <c r="AD178" s="158">
        <f t="shared" si="1347"/>
        <v>0</v>
      </c>
      <c r="AE178" s="158">
        <f t="shared" si="1347"/>
        <v>0</v>
      </c>
      <c r="AF178" s="158">
        <f t="shared" si="1347"/>
        <v>0</v>
      </c>
      <c r="AG178" s="158">
        <f t="shared" si="1347"/>
        <v>0</v>
      </c>
      <c r="AH178" s="158">
        <f t="shared" si="1347"/>
        <v>0</v>
      </c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2416"/>
      <c r="AS178" s="158">
        <f t="shared" ref="AS178:AW178" si="1348">IF(AS176=0,0,AS$33+AS$34)</f>
        <v>0</v>
      </c>
      <c r="AT178" s="158">
        <f t="shared" si="1348"/>
        <v>0</v>
      </c>
      <c r="AU178" s="158">
        <f t="shared" si="1348"/>
        <v>0</v>
      </c>
      <c r="AV178" s="158">
        <f t="shared" si="1348"/>
        <v>0</v>
      </c>
      <c r="AW178" s="158">
        <f t="shared" si="1348"/>
        <v>0</v>
      </c>
      <c r="AX178" s="158">
        <f t="shared" ref="AX178" si="1349">IF(AX176=0,0,AX$33+AX$34)</f>
        <v>0</v>
      </c>
      <c r="AY178" s="158">
        <f t="shared" ref="AY178:BI178" si="1350">IF(AY176=0,0,AY$33+AY$34)</f>
        <v>0</v>
      </c>
      <c r="AZ178" s="158">
        <f t="shared" ref="AZ178" si="1351">IF(AZ176=0,0,AZ$33+AZ$34)</f>
        <v>0</v>
      </c>
      <c r="BA178" s="158">
        <f t="shared" si="1350"/>
        <v>0</v>
      </c>
      <c r="BB178" s="158">
        <f t="shared" si="1350"/>
        <v>0</v>
      </c>
      <c r="BC178" s="158">
        <f t="shared" si="1350"/>
        <v>0</v>
      </c>
      <c r="BD178" s="158">
        <f t="shared" si="1350"/>
        <v>0</v>
      </c>
      <c r="BE178" s="158">
        <f t="shared" si="1350"/>
        <v>0</v>
      </c>
      <c r="BF178" s="158">
        <f t="shared" si="1350"/>
        <v>0</v>
      </c>
      <c r="BG178" s="158">
        <f t="shared" si="1350"/>
        <v>0</v>
      </c>
      <c r="BH178" s="158">
        <f t="shared" si="1350"/>
        <v>0</v>
      </c>
      <c r="BI178" s="158">
        <f t="shared" si="1350"/>
        <v>0</v>
      </c>
      <c r="BJ178" s="158"/>
      <c r="BK178" s="158"/>
      <c r="BL178" s="158"/>
      <c r="BM178" s="351"/>
      <c r="BN178" s="579">
        <f t="shared" si="1279"/>
        <v>0</v>
      </c>
      <c r="BO178" s="1089"/>
      <c r="BP178" s="1089"/>
      <c r="BQ178" s="1089"/>
      <c r="BR178" s="1089"/>
      <c r="BS178" s="1089"/>
      <c r="BT178" s="1089"/>
      <c r="BU178" s="1089"/>
      <c r="BV178" s="1089"/>
      <c r="BW178" s="1089"/>
      <c r="BX178" s="1089"/>
      <c r="BY178" s="1089"/>
      <c r="BZ178" s="1089"/>
    </row>
    <row r="179" spans="1:78" s="590" customFormat="1" ht="21.95" hidden="1" customHeight="1" x14ac:dyDescent="0.15">
      <c r="A179" s="2596"/>
      <c r="B179" s="2668"/>
      <c r="C179" s="591" t="s">
        <v>300</v>
      </c>
      <c r="D179" s="2004"/>
      <c r="E179" s="592"/>
      <c r="F179" s="158">
        <f t="shared" ref="F179" si="1352">F178*F177*F176</f>
        <v>0</v>
      </c>
      <c r="G179" s="158">
        <f t="shared" ref="G179" si="1353">G178*G177*G176</f>
        <v>0</v>
      </c>
      <c r="H179" s="158">
        <f t="shared" ref="H179:I179" si="1354">H178*H177*H176</f>
        <v>0</v>
      </c>
      <c r="I179" s="158">
        <f t="shared" si="1354"/>
        <v>0</v>
      </c>
      <c r="J179" s="158"/>
      <c r="K179" s="158"/>
      <c r="L179" s="158"/>
      <c r="M179" s="158"/>
      <c r="N179" s="2416"/>
      <c r="O179" s="158">
        <f t="shared" ref="O179:V179" si="1355">O178*O177*O176</f>
        <v>0</v>
      </c>
      <c r="P179" s="158">
        <f t="shared" si="1355"/>
        <v>0</v>
      </c>
      <c r="Q179" s="158">
        <f t="shared" si="1355"/>
        <v>0</v>
      </c>
      <c r="R179" s="158">
        <f t="shared" si="1355"/>
        <v>0</v>
      </c>
      <c r="S179" s="158">
        <f t="shared" si="1355"/>
        <v>0</v>
      </c>
      <c r="T179" s="158">
        <f t="shared" si="1355"/>
        <v>0</v>
      </c>
      <c r="U179" s="158">
        <f t="shared" si="1355"/>
        <v>0</v>
      </c>
      <c r="V179" s="158">
        <f t="shared" si="1355"/>
        <v>0</v>
      </c>
      <c r="W179" s="158"/>
      <c r="X179" s="2416"/>
      <c r="Y179" s="158">
        <f t="shared" ref="Y179:AH179" si="1356">Y178*Y177*Y176</f>
        <v>0</v>
      </c>
      <c r="Z179" s="158">
        <f t="shared" si="1356"/>
        <v>0</v>
      </c>
      <c r="AA179" s="158">
        <f t="shared" si="1356"/>
        <v>0</v>
      </c>
      <c r="AB179" s="158">
        <f t="shared" si="1356"/>
        <v>0</v>
      </c>
      <c r="AC179" s="158">
        <f t="shared" si="1356"/>
        <v>0</v>
      </c>
      <c r="AD179" s="158">
        <f t="shared" si="1356"/>
        <v>0</v>
      </c>
      <c r="AE179" s="158">
        <f t="shared" si="1356"/>
        <v>0</v>
      </c>
      <c r="AF179" s="158">
        <f t="shared" si="1356"/>
        <v>0</v>
      </c>
      <c r="AG179" s="158">
        <f t="shared" si="1356"/>
        <v>0</v>
      </c>
      <c r="AH179" s="158">
        <f t="shared" si="1356"/>
        <v>0</v>
      </c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2416"/>
      <c r="AS179" s="158">
        <f t="shared" ref="AS179:AW179" si="1357">AS178*AS177*AS176</f>
        <v>0</v>
      </c>
      <c r="AT179" s="158">
        <f t="shared" si="1357"/>
        <v>0</v>
      </c>
      <c r="AU179" s="158">
        <f t="shared" si="1357"/>
        <v>0</v>
      </c>
      <c r="AV179" s="158">
        <f t="shared" si="1357"/>
        <v>0</v>
      </c>
      <c r="AW179" s="158">
        <f t="shared" si="1357"/>
        <v>0</v>
      </c>
      <c r="AX179" s="158">
        <f t="shared" ref="AX179" si="1358">AX178*AX177*AX176</f>
        <v>0</v>
      </c>
      <c r="AY179" s="158">
        <f t="shared" ref="AY179:BI179" si="1359">AY178*AY177*AY176</f>
        <v>0</v>
      </c>
      <c r="AZ179" s="158">
        <f t="shared" ref="AZ179" si="1360">AZ178*AZ177*AZ176</f>
        <v>0</v>
      </c>
      <c r="BA179" s="158">
        <f t="shared" si="1359"/>
        <v>0</v>
      </c>
      <c r="BB179" s="158">
        <f t="shared" si="1359"/>
        <v>0</v>
      </c>
      <c r="BC179" s="158">
        <f t="shared" si="1359"/>
        <v>0</v>
      </c>
      <c r="BD179" s="158">
        <f t="shared" si="1359"/>
        <v>0</v>
      </c>
      <c r="BE179" s="158">
        <f t="shared" si="1359"/>
        <v>0</v>
      </c>
      <c r="BF179" s="158">
        <f t="shared" si="1359"/>
        <v>0</v>
      </c>
      <c r="BG179" s="158">
        <f t="shared" si="1359"/>
        <v>0</v>
      </c>
      <c r="BH179" s="158">
        <f t="shared" si="1359"/>
        <v>0</v>
      </c>
      <c r="BI179" s="158">
        <f t="shared" si="1359"/>
        <v>0</v>
      </c>
      <c r="BJ179" s="158"/>
      <c r="BK179" s="158"/>
      <c r="BL179" s="158"/>
      <c r="BM179" s="350">
        <f>TRUNC(SUM(F179:BL179),2)</f>
        <v>0</v>
      </c>
      <c r="BN179" s="579">
        <f t="shared" si="1279"/>
        <v>0</v>
      </c>
      <c r="BO179" s="1089"/>
      <c r="BP179" s="1089"/>
      <c r="BQ179" s="1089"/>
      <c r="BR179" s="1089"/>
      <c r="BS179" s="1089"/>
      <c r="BT179" s="1089"/>
      <c r="BU179" s="1089"/>
      <c r="BV179" s="1089"/>
      <c r="BW179" s="1089"/>
      <c r="BX179" s="1089"/>
      <c r="BY179" s="1089"/>
      <c r="BZ179" s="1089"/>
    </row>
    <row r="180" spans="1:78" s="590" customFormat="1" ht="21.95" hidden="1" customHeight="1" thickBot="1" x14ac:dyDescent="0.2">
      <c r="A180" s="2596"/>
      <c r="B180" s="2672"/>
      <c r="C180" s="929" t="s">
        <v>490</v>
      </c>
      <c r="D180" s="2005"/>
      <c r="E180" s="1523"/>
      <c r="F180" s="239">
        <f t="shared" ref="F180" si="1361">F179*1.1</f>
        <v>0</v>
      </c>
      <c r="G180" s="239">
        <f t="shared" ref="G180" si="1362">G179*1.1</f>
        <v>0</v>
      </c>
      <c r="H180" s="239">
        <f t="shared" ref="H180:I180" si="1363">H179*1.1</f>
        <v>0</v>
      </c>
      <c r="I180" s="239">
        <f t="shared" si="1363"/>
        <v>0</v>
      </c>
      <c r="J180" s="239"/>
      <c r="K180" s="239"/>
      <c r="L180" s="239"/>
      <c r="M180" s="239"/>
      <c r="N180" s="2440"/>
      <c r="O180" s="239">
        <f t="shared" ref="O180:V180" si="1364">O179*1.1</f>
        <v>0</v>
      </c>
      <c r="P180" s="239">
        <f t="shared" si="1364"/>
        <v>0</v>
      </c>
      <c r="Q180" s="239">
        <f t="shared" si="1364"/>
        <v>0</v>
      </c>
      <c r="R180" s="239">
        <f t="shared" si="1364"/>
        <v>0</v>
      </c>
      <c r="S180" s="239">
        <f t="shared" si="1364"/>
        <v>0</v>
      </c>
      <c r="T180" s="239">
        <f t="shared" si="1364"/>
        <v>0</v>
      </c>
      <c r="U180" s="239">
        <f t="shared" si="1364"/>
        <v>0</v>
      </c>
      <c r="V180" s="239">
        <f t="shared" si="1364"/>
        <v>0</v>
      </c>
      <c r="W180" s="239"/>
      <c r="X180" s="2440"/>
      <c r="Y180" s="239">
        <f t="shared" ref="Y180:AH180" si="1365">Y179*1.1</f>
        <v>0</v>
      </c>
      <c r="Z180" s="239">
        <f t="shared" si="1365"/>
        <v>0</v>
      </c>
      <c r="AA180" s="239">
        <f t="shared" si="1365"/>
        <v>0</v>
      </c>
      <c r="AB180" s="239">
        <f t="shared" si="1365"/>
        <v>0</v>
      </c>
      <c r="AC180" s="239">
        <f t="shared" si="1365"/>
        <v>0</v>
      </c>
      <c r="AD180" s="239">
        <f t="shared" si="1365"/>
        <v>0</v>
      </c>
      <c r="AE180" s="239">
        <f t="shared" si="1365"/>
        <v>0</v>
      </c>
      <c r="AF180" s="239">
        <f t="shared" si="1365"/>
        <v>0</v>
      </c>
      <c r="AG180" s="239">
        <f t="shared" si="1365"/>
        <v>0</v>
      </c>
      <c r="AH180" s="239">
        <f t="shared" si="1365"/>
        <v>0</v>
      </c>
      <c r="AI180" s="239"/>
      <c r="AJ180" s="239"/>
      <c r="AK180" s="239"/>
      <c r="AL180" s="239"/>
      <c r="AM180" s="239"/>
      <c r="AN180" s="239"/>
      <c r="AO180" s="239"/>
      <c r="AP180" s="239"/>
      <c r="AQ180" s="239"/>
      <c r="AR180" s="2440"/>
      <c r="AS180" s="239">
        <f t="shared" ref="AS180:AW180" si="1366">AS179*1.1</f>
        <v>0</v>
      </c>
      <c r="AT180" s="239">
        <f t="shared" si="1366"/>
        <v>0</v>
      </c>
      <c r="AU180" s="239">
        <f t="shared" si="1366"/>
        <v>0</v>
      </c>
      <c r="AV180" s="239">
        <f t="shared" si="1366"/>
        <v>0</v>
      </c>
      <c r="AW180" s="239">
        <f t="shared" si="1366"/>
        <v>0</v>
      </c>
      <c r="AX180" s="239">
        <f t="shared" ref="AX180" si="1367">AX179*1.1</f>
        <v>0</v>
      </c>
      <c r="AY180" s="239">
        <f t="shared" ref="AY180:BI180" si="1368">AY179*1.1</f>
        <v>0</v>
      </c>
      <c r="AZ180" s="239">
        <f t="shared" ref="AZ180" si="1369">AZ179*1.1</f>
        <v>0</v>
      </c>
      <c r="BA180" s="239">
        <f t="shared" si="1368"/>
        <v>0</v>
      </c>
      <c r="BB180" s="239">
        <f t="shared" si="1368"/>
        <v>0</v>
      </c>
      <c r="BC180" s="239">
        <f t="shared" si="1368"/>
        <v>0</v>
      </c>
      <c r="BD180" s="239">
        <f t="shared" si="1368"/>
        <v>0</v>
      </c>
      <c r="BE180" s="239">
        <f t="shared" si="1368"/>
        <v>0</v>
      </c>
      <c r="BF180" s="239">
        <f t="shared" si="1368"/>
        <v>0</v>
      </c>
      <c r="BG180" s="239">
        <f t="shared" si="1368"/>
        <v>0</v>
      </c>
      <c r="BH180" s="239">
        <f t="shared" si="1368"/>
        <v>0</v>
      </c>
      <c r="BI180" s="239">
        <f t="shared" si="1368"/>
        <v>0</v>
      </c>
      <c r="BJ180" s="239"/>
      <c r="BK180" s="239"/>
      <c r="BL180" s="239"/>
      <c r="BM180" s="361">
        <f>TRUNC(SUM(F180:BL180),2)</f>
        <v>0</v>
      </c>
      <c r="BN180" s="579">
        <f t="shared" si="1279"/>
        <v>0</v>
      </c>
      <c r="BO180" s="1089"/>
      <c r="BP180" s="1089"/>
      <c r="BQ180" s="1089"/>
      <c r="BR180" s="1089"/>
      <c r="BS180" s="1089"/>
      <c r="BT180" s="1089"/>
      <c r="BU180" s="1089"/>
      <c r="BV180" s="1089"/>
      <c r="BW180" s="1089"/>
      <c r="BX180" s="1089"/>
      <c r="BY180" s="1089"/>
      <c r="BZ180" s="1089"/>
    </row>
    <row r="181" spans="1:78" s="590" customFormat="1" ht="21.95" hidden="1" customHeight="1" x14ac:dyDescent="0.15">
      <c r="A181" s="2596"/>
      <c r="B181" s="2671" t="s">
        <v>607</v>
      </c>
      <c r="C181" s="930" t="s">
        <v>16</v>
      </c>
      <c r="D181" s="2003"/>
      <c r="E181" s="1520"/>
      <c r="F181" s="238">
        <f>Dren_Quantificacao!D108</f>
        <v>0</v>
      </c>
      <c r="G181" s="238">
        <f>Dren_Quantificacao!E108</f>
        <v>0</v>
      </c>
      <c r="H181" s="238">
        <f>Dren_Quantificacao!F108</f>
        <v>0</v>
      </c>
      <c r="I181" s="238">
        <f>Dren_Quantificacao!G108</f>
        <v>0</v>
      </c>
      <c r="J181" s="238"/>
      <c r="K181" s="238"/>
      <c r="L181" s="238"/>
      <c r="M181" s="238"/>
      <c r="N181" s="2439"/>
      <c r="O181" s="238">
        <f>Dren_Quantificacao!M108</f>
        <v>0</v>
      </c>
      <c r="P181" s="238">
        <f>Dren_Quantificacao!N108</f>
        <v>0</v>
      </c>
      <c r="Q181" s="238">
        <f>Dren_Quantificacao!O108</f>
        <v>0</v>
      </c>
      <c r="R181" s="238">
        <f>Dren_Quantificacao!P108</f>
        <v>0</v>
      </c>
      <c r="S181" s="238">
        <f>Dren_Quantificacao!Q108</f>
        <v>0</v>
      </c>
      <c r="T181" s="238">
        <f>Dren_Quantificacao!R108</f>
        <v>0</v>
      </c>
      <c r="U181" s="238">
        <f>Dren_Quantificacao!S108</f>
        <v>0</v>
      </c>
      <c r="V181" s="238">
        <f>Dren_Quantificacao!T108</f>
        <v>0</v>
      </c>
      <c r="W181" s="238"/>
      <c r="X181" s="2439"/>
      <c r="Y181" s="238">
        <f>Dren_Quantificacao!W108</f>
        <v>0</v>
      </c>
      <c r="Z181" s="238">
        <f>Dren_Quantificacao!X108</f>
        <v>0</v>
      </c>
      <c r="AA181" s="238">
        <f>Dren_Quantificacao!Y108</f>
        <v>0</v>
      </c>
      <c r="AB181" s="238">
        <f>Dren_Quantificacao!Z108</f>
        <v>0</v>
      </c>
      <c r="AC181" s="238">
        <f>Dren_Quantificacao!AA108</f>
        <v>0</v>
      </c>
      <c r="AD181" s="238">
        <f>Dren_Quantificacao!AB108</f>
        <v>0</v>
      </c>
      <c r="AE181" s="238">
        <f>Dren_Quantificacao!AC108</f>
        <v>0</v>
      </c>
      <c r="AF181" s="238">
        <f>Dren_Quantificacao!AD108</f>
        <v>0</v>
      </c>
      <c r="AG181" s="238">
        <f>Dren_Quantificacao!AE108</f>
        <v>0</v>
      </c>
      <c r="AH181" s="238">
        <f>Dren_Quantificacao!AF108</f>
        <v>0</v>
      </c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439"/>
      <c r="AS181" s="238">
        <f>Dren_Quantificacao!AQ108</f>
        <v>0</v>
      </c>
      <c r="AT181" s="238">
        <f>Dren_Quantificacao!AR108</f>
        <v>0</v>
      </c>
      <c r="AU181" s="238">
        <f>Dren_Quantificacao!AS108</f>
        <v>0</v>
      </c>
      <c r="AV181" s="238">
        <f>Dren_Quantificacao!AT108</f>
        <v>0</v>
      </c>
      <c r="AW181" s="238">
        <f>Dren_Quantificacao!AU108</f>
        <v>0</v>
      </c>
      <c r="AX181" s="238">
        <f>Dren_Quantificacao!AW108</f>
        <v>0</v>
      </c>
      <c r="AY181" s="238">
        <f>Dren_Quantificacao!AX108</f>
        <v>0</v>
      </c>
      <c r="AZ181" s="238">
        <f>Dren_Quantificacao!AY108</f>
        <v>0</v>
      </c>
      <c r="BA181" s="238">
        <f>Dren_Quantificacao!AZ108</f>
        <v>0</v>
      </c>
      <c r="BB181" s="238">
        <f>Dren_Quantificacao!BA108</f>
        <v>0</v>
      </c>
      <c r="BC181" s="238">
        <f>Dren_Quantificacao!BB108</f>
        <v>0</v>
      </c>
      <c r="BD181" s="238">
        <f>Dren_Quantificacao!BC108</f>
        <v>0</v>
      </c>
      <c r="BE181" s="238">
        <f>Dren_Quantificacao!BD108</f>
        <v>0</v>
      </c>
      <c r="BF181" s="238">
        <f>Dren_Quantificacao!BE108</f>
        <v>0</v>
      </c>
      <c r="BG181" s="238">
        <f>Dren_Quantificacao!BF108</f>
        <v>0</v>
      </c>
      <c r="BH181" s="238">
        <f>Dren_Quantificacao!BG108</f>
        <v>0</v>
      </c>
      <c r="BI181" s="238">
        <f>Dren_Quantificacao!BH108</f>
        <v>0</v>
      </c>
      <c r="BJ181" s="238"/>
      <c r="BK181" s="238"/>
      <c r="BL181" s="238"/>
      <c r="BM181" s="363"/>
      <c r="BN181" s="579">
        <f t="shared" si="1279"/>
        <v>0</v>
      </c>
      <c r="BO181" s="1089"/>
      <c r="BP181" s="1089"/>
      <c r="BQ181" s="1089"/>
      <c r="BR181" s="1089"/>
      <c r="BS181" s="1089"/>
      <c r="BT181" s="1089"/>
      <c r="BU181" s="1089"/>
      <c r="BV181" s="1089"/>
      <c r="BW181" s="1089"/>
      <c r="BX181" s="1089"/>
      <c r="BY181" s="1089"/>
      <c r="BZ181" s="1089"/>
    </row>
    <row r="182" spans="1:78" s="590" customFormat="1" ht="21.95" hidden="1" customHeight="1" x14ac:dyDescent="0.15">
      <c r="A182" s="2596"/>
      <c r="B182" s="2668"/>
      <c r="C182" s="591" t="s">
        <v>3</v>
      </c>
      <c r="D182" s="2004"/>
      <c r="E182" s="592"/>
      <c r="F182" s="158">
        <f>Dren_Quantificacao!D109</f>
        <v>0</v>
      </c>
      <c r="G182" s="158">
        <f>Dren_Quantificacao!E109</f>
        <v>0</v>
      </c>
      <c r="H182" s="158">
        <f>Dren_Quantificacao!F109</f>
        <v>0</v>
      </c>
      <c r="I182" s="158">
        <f>Dren_Quantificacao!G109</f>
        <v>0</v>
      </c>
      <c r="J182" s="158"/>
      <c r="K182" s="158"/>
      <c r="L182" s="158"/>
      <c r="M182" s="158"/>
      <c r="N182" s="2416"/>
      <c r="O182" s="158">
        <f>Dren_Quantificacao!M109</f>
        <v>0</v>
      </c>
      <c r="P182" s="158">
        <f>Dren_Quantificacao!N109</f>
        <v>0</v>
      </c>
      <c r="Q182" s="158">
        <f>Dren_Quantificacao!O109</f>
        <v>0</v>
      </c>
      <c r="R182" s="158">
        <f>Dren_Quantificacao!P109</f>
        <v>0</v>
      </c>
      <c r="S182" s="158">
        <f>Dren_Quantificacao!Q109</f>
        <v>0</v>
      </c>
      <c r="T182" s="158">
        <f>Dren_Quantificacao!R109</f>
        <v>0</v>
      </c>
      <c r="U182" s="158">
        <f>Dren_Quantificacao!S109</f>
        <v>0</v>
      </c>
      <c r="V182" s="158">
        <f>Dren_Quantificacao!T109</f>
        <v>0</v>
      </c>
      <c r="W182" s="158"/>
      <c r="X182" s="2416"/>
      <c r="Y182" s="158">
        <f>Dren_Quantificacao!W109</f>
        <v>0</v>
      </c>
      <c r="Z182" s="158">
        <f>Dren_Quantificacao!X109</f>
        <v>0</v>
      </c>
      <c r="AA182" s="158">
        <f>Dren_Quantificacao!Y109</f>
        <v>0</v>
      </c>
      <c r="AB182" s="158">
        <f>Dren_Quantificacao!Z109</f>
        <v>0</v>
      </c>
      <c r="AC182" s="158">
        <f>Dren_Quantificacao!AA109</f>
        <v>0</v>
      </c>
      <c r="AD182" s="158">
        <f>Dren_Quantificacao!AB109</f>
        <v>0</v>
      </c>
      <c r="AE182" s="158">
        <f>Dren_Quantificacao!AC109</f>
        <v>0</v>
      </c>
      <c r="AF182" s="158">
        <f>Dren_Quantificacao!AD109</f>
        <v>0</v>
      </c>
      <c r="AG182" s="158">
        <f>Dren_Quantificacao!AE109</f>
        <v>0</v>
      </c>
      <c r="AH182" s="158">
        <f>Dren_Quantificacao!AF109</f>
        <v>0</v>
      </c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2416"/>
      <c r="AS182" s="158">
        <f>Dren_Quantificacao!AQ109</f>
        <v>0</v>
      </c>
      <c r="AT182" s="158">
        <f>Dren_Quantificacao!AR109</f>
        <v>0</v>
      </c>
      <c r="AU182" s="158">
        <f>Dren_Quantificacao!AS109</f>
        <v>0</v>
      </c>
      <c r="AV182" s="158">
        <f>Dren_Quantificacao!AT109</f>
        <v>0</v>
      </c>
      <c r="AW182" s="158">
        <f>Dren_Quantificacao!AU109</f>
        <v>0</v>
      </c>
      <c r="AX182" s="158">
        <f>Dren_Quantificacao!AW109</f>
        <v>0</v>
      </c>
      <c r="AY182" s="158">
        <f>Dren_Quantificacao!AX109</f>
        <v>0</v>
      </c>
      <c r="AZ182" s="158">
        <f>Dren_Quantificacao!AY109</f>
        <v>0</v>
      </c>
      <c r="BA182" s="158">
        <f>Dren_Quantificacao!AZ109</f>
        <v>0</v>
      </c>
      <c r="BB182" s="158">
        <f>Dren_Quantificacao!BA109</f>
        <v>0</v>
      </c>
      <c r="BC182" s="158">
        <f>Dren_Quantificacao!BB109</f>
        <v>0</v>
      </c>
      <c r="BD182" s="158">
        <f>Dren_Quantificacao!BC109</f>
        <v>0</v>
      </c>
      <c r="BE182" s="158">
        <f>Dren_Quantificacao!BD109</f>
        <v>0</v>
      </c>
      <c r="BF182" s="158">
        <f>Dren_Quantificacao!BE109</f>
        <v>0</v>
      </c>
      <c r="BG182" s="158">
        <f>Dren_Quantificacao!BF109</f>
        <v>0</v>
      </c>
      <c r="BH182" s="158">
        <f>Dren_Quantificacao!BG109</f>
        <v>0</v>
      </c>
      <c r="BI182" s="158">
        <f>Dren_Quantificacao!BH109</f>
        <v>0</v>
      </c>
      <c r="BJ182" s="158"/>
      <c r="BK182" s="158"/>
      <c r="BL182" s="158"/>
      <c r="BM182" s="595">
        <f>TRUNC(SUM(F182:BL182),2)</f>
        <v>0</v>
      </c>
      <c r="BN182" s="579">
        <f t="shared" si="1279"/>
        <v>0</v>
      </c>
      <c r="BO182" s="1089"/>
      <c r="BP182" s="1089"/>
      <c r="BQ182" s="1089"/>
      <c r="BR182" s="1089"/>
      <c r="BS182" s="1089"/>
      <c r="BT182" s="1089"/>
      <c r="BU182" s="1089"/>
      <c r="BV182" s="1089"/>
      <c r="BW182" s="1089"/>
      <c r="BX182" s="1089"/>
      <c r="BY182" s="1089"/>
      <c r="BZ182" s="1089"/>
    </row>
    <row r="183" spans="1:78" s="590" customFormat="1" ht="21.95" hidden="1" customHeight="1" x14ac:dyDescent="0.15">
      <c r="A183" s="2596"/>
      <c r="B183" s="2668"/>
      <c r="C183" s="591" t="s">
        <v>58</v>
      </c>
      <c r="D183" s="2004"/>
      <c r="E183" s="592"/>
      <c r="F183" s="158">
        <f>Dren_Quantificacao!D110</f>
        <v>0</v>
      </c>
      <c r="G183" s="158">
        <f>Dren_Quantificacao!E110</f>
        <v>0</v>
      </c>
      <c r="H183" s="158">
        <f>Dren_Quantificacao!F110</f>
        <v>0</v>
      </c>
      <c r="I183" s="158">
        <f>Dren_Quantificacao!G110</f>
        <v>0</v>
      </c>
      <c r="J183" s="158"/>
      <c r="K183" s="158"/>
      <c r="L183" s="158"/>
      <c r="M183" s="158"/>
      <c r="N183" s="2416"/>
      <c r="O183" s="158">
        <f>Dren_Quantificacao!M110</f>
        <v>0</v>
      </c>
      <c r="P183" s="158">
        <f>Dren_Quantificacao!N110</f>
        <v>0</v>
      </c>
      <c r="Q183" s="158">
        <f>Dren_Quantificacao!O110</f>
        <v>0</v>
      </c>
      <c r="R183" s="158">
        <f>Dren_Quantificacao!P110</f>
        <v>0</v>
      </c>
      <c r="S183" s="158">
        <f>Dren_Quantificacao!Q110</f>
        <v>0</v>
      </c>
      <c r="T183" s="158">
        <f>Dren_Quantificacao!R110</f>
        <v>0</v>
      </c>
      <c r="U183" s="158">
        <f>Dren_Quantificacao!S110</f>
        <v>0</v>
      </c>
      <c r="V183" s="158">
        <f>Dren_Quantificacao!T110</f>
        <v>0</v>
      </c>
      <c r="W183" s="158"/>
      <c r="X183" s="2416"/>
      <c r="Y183" s="158">
        <f>Dren_Quantificacao!W110</f>
        <v>0</v>
      </c>
      <c r="Z183" s="158">
        <f>Dren_Quantificacao!X110</f>
        <v>0</v>
      </c>
      <c r="AA183" s="158">
        <f>Dren_Quantificacao!Y110</f>
        <v>0</v>
      </c>
      <c r="AB183" s="158">
        <f>Dren_Quantificacao!Z110</f>
        <v>0</v>
      </c>
      <c r="AC183" s="158">
        <f>Dren_Quantificacao!AA110</f>
        <v>0</v>
      </c>
      <c r="AD183" s="158">
        <f>Dren_Quantificacao!AB110</f>
        <v>0</v>
      </c>
      <c r="AE183" s="158">
        <f>Dren_Quantificacao!AC110</f>
        <v>0</v>
      </c>
      <c r="AF183" s="158">
        <f>Dren_Quantificacao!AD110</f>
        <v>0</v>
      </c>
      <c r="AG183" s="158">
        <f>Dren_Quantificacao!AE110</f>
        <v>0</v>
      </c>
      <c r="AH183" s="158">
        <f>Dren_Quantificacao!AF110</f>
        <v>0</v>
      </c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2416"/>
      <c r="AS183" s="158">
        <f>Dren_Quantificacao!AQ110</f>
        <v>0</v>
      </c>
      <c r="AT183" s="158">
        <f>Dren_Quantificacao!AR110</f>
        <v>0</v>
      </c>
      <c r="AU183" s="158">
        <f>Dren_Quantificacao!AS110</f>
        <v>0</v>
      </c>
      <c r="AV183" s="158">
        <f>Dren_Quantificacao!AT110</f>
        <v>0</v>
      </c>
      <c r="AW183" s="158">
        <f>Dren_Quantificacao!AU110</f>
        <v>0</v>
      </c>
      <c r="AX183" s="158">
        <f>Dren_Quantificacao!AW110</f>
        <v>0</v>
      </c>
      <c r="AY183" s="158">
        <f>Dren_Quantificacao!AX110</f>
        <v>0</v>
      </c>
      <c r="AZ183" s="158">
        <f>Dren_Quantificacao!AY110</f>
        <v>0</v>
      </c>
      <c r="BA183" s="158">
        <f>Dren_Quantificacao!AZ110</f>
        <v>0</v>
      </c>
      <c r="BB183" s="158">
        <f>Dren_Quantificacao!BA110</f>
        <v>0</v>
      </c>
      <c r="BC183" s="158">
        <f>Dren_Quantificacao!BB110</f>
        <v>0</v>
      </c>
      <c r="BD183" s="158">
        <f>Dren_Quantificacao!BC110</f>
        <v>0</v>
      </c>
      <c r="BE183" s="158">
        <f>Dren_Quantificacao!BD110</f>
        <v>0</v>
      </c>
      <c r="BF183" s="158">
        <f>Dren_Quantificacao!BE110</f>
        <v>0</v>
      </c>
      <c r="BG183" s="158">
        <f>Dren_Quantificacao!BF110</f>
        <v>0</v>
      </c>
      <c r="BH183" s="158">
        <f>Dren_Quantificacao!BG110</f>
        <v>0</v>
      </c>
      <c r="BI183" s="158">
        <f>Dren_Quantificacao!BH110</f>
        <v>0</v>
      </c>
      <c r="BJ183" s="158"/>
      <c r="BK183" s="158"/>
      <c r="BL183" s="158"/>
      <c r="BM183" s="351"/>
      <c r="BN183" s="579">
        <f t="shared" si="1279"/>
        <v>0</v>
      </c>
      <c r="BO183" s="1089"/>
      <c r="BP183" s="1089"/>
      <c r="BQ183" s="1089"/>
      <c r="BR183" s="1089"/>
      <c r="BS183" s="1089"/>
      <c r="BT183" s="1089"/>
      <c r="BU183" s="1089"/>
      <c r="BV183" s="1089"/>
      <c r="BW183" s="1089"/>
      <c r="BX183" s="1089"/>
      <c r="BY183" s="1089"/>
      <c r="BZ183" s="1089"/>
    </row>
    <row r="184" spans="1:78" s="590" customFormat="1" ht="21.95" hidden="1" customHeight="1" x14ac:dyDescent="0.15">
      <c r="A184" s="2596"/>
      <c r="B184" s="2668"/>
      <c r="C184" s="591" t="s">
        <v>300</v>
      </c>
      <c r="D184" s="2004"/>
      <c r="E184" s="592"/>
      <c r="F184" s="158">
        <f t="shared" ref="F184" si="1370">F183*F182*F181</f>
        <v>0</v>
      </c>
      <c r="G184" s="158">
        <f t="shared" ref="G184" si="1371">G183*G182*G181</f>
        <v>0</v>
      </c>
      <c r="H184" s="158">
        <f t="shared" ref="H184:I184" si="1372">H183*H182*H181</f>
        <v>0</v>
      </c>
      <c r="I184" s="158">
        <f t="shared" si="1372"/>
        <v>0</v>
      </c>
      <c r="J184" s="158"/>
      <c r="K184" s="158"/>
      <c r="L184" s="158"/>
      <c r="M184" s="158"/>
      <c r="N184" s="2416"/>
      <c r="O184" s="158">
        <f t="shared" ref="O184:V184" si="1373">O183*O182*O181</f>
        <v>0</v>
      </c>
      <c r="P184" s="158">
        <f t="shared" si="1373"/>
        <v>0</v>
      </c>
      <c r="Q184" s="158">
        <f t="shared" si="1373"/>
        <v>0</v>
      </c>
      <c r="R184" s="158">
        <f t="shared" si="1373"/>
        <v>0</v>
      </c>
      <c r="S184" s="158">
        <f t="shared" si="1373"/>
        <v>0</v>
      </c>
      <c r="T184" s="158">
        <f t="shared" si="1373"/>
        <v>0</v>
      </c>
      <c r="U184" s="158">
        <f t="shared" si="1373"/>
        <v>0</v>
      </c>
      <c r="V184" s="158">
        <f t="shared" si="1373"/>
        <v>0</v>
      </c>
      <c r="W184" s="158"/>
      <c r="X184" s="2416"/>
      <c r="Y184" s="158">
        <f t="shared" ref="Y184:AH184" si="1374">Y183*Y182*Y181</f>
        <v>0</v>
      </c>
      <c r="Z184" s="158">
        <f t="shared" si="1374"/>
        <v>0</v>
      </c>
      <c r="AA184" s="158">
        <f t="shared" si="1374"/>
        <v>0</v>
      </c>
      <c r="AB184" s="158">
        <f t="shared" si="1374"/>
        <v>0</v>
      </c>
      <c r="AC184" s="158">
        <f t="shared" si="1374"/>
        <v>0</v>
      </c>
      <c r="AD184" s="158">
        <f t="shared" si="1374"/>
        <v>0</v>
      </c>
      <c r="AE184" s="158">
        <f t="shared" si="1374"/>
        <v>0</v>
      </c>
      <c r="AF184" s="158">
        <f t="shared" si="1374"/>
        <v>0</v>
      </c>
      <c r="AG184" s="158">
        <f t="shared" si="1374"/>
        <v>0</v>
      </c>
      <c r="AH184" s="158">
        <f t="shared" si="1374"/>
        <v>0</v>
      </c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2416"/>
      <c r="AS184" s="158">
        <f t="shared" ref="AS184:AW184" si="1375">AS183*AS182*AS181</f>
        <v>0</v>
      </c>
      <c r="AT184" s="158">
        <f t="shared" si="1375"/>
        <v>0</v>
      </c>
      <c r="AU184" s="158">
        <f t="shared" si="1375"/>
        <v>0</v>
      </c>
      <c r="AV184" s="158">
        <f t="shared" si="1375"/>
        <v>0</v>
      </c>
      <c r="AW184" s="158">
        <f t="shared" si="1375"/>
        <v>0</v>
      </c>
      <c r="AX184" s="158">
        <f t="shared" ref="AX184" si="1376">AX183*AX182*AX181</f>
        <v>0</v>
      </c>
      <c r="AY184" s="158">
        <f t="shared" ref="AY184:BI184" si="1377">AY183*AY182*AY181</f>
        <v>0</v>
      </c>
      <c r="AZ184" s="158">
        <f t="shared" ref="AZ184" si="1378">AZ183*AZ182*AZ181</f>
        <v>0</v>
      </c>
      <c r="BA184" s="158">
        <f t="shared" si="1377"/>
        <v>0</v>
      </c>
      <c r="BB184" s="158">
        <f t="shared" si="1377"/>
        <v>0</v>
      </c>
      <c r="BC184" s="158">
        <f t="shared" si="1377"/>
        <v>0</v>
      </c>
      <c r="BD184" s="158">
        <f t="shared" si="1377"/>
        <v>0</v>
      </c>
      <c r="BE184" s="158">
        <f t="shared" si="1377"/>
        <v>0</v>
      </c>
      <c r="BF184" s="158">
        <f t="shared" si="1377"/>
        <v>0</v>
      </c>
      <c r="BG184" s="158">
        <f t="shared" si="1377"/>
        <v>0</v>
      </c>
      <c r="BH184" s="158">
        <f t="shared" si="1377"/>
        <v>0</v>
      </c>
      <c r="BI184" s="158">
        <f t="shared" si="1377"/>
        <v>0</v>
      </c>
      <c r="BJ184" s="158"/>
      <c r="BK184" s="158"/>
      <c r="BL184" s="158"/>
      <c r="BM184" s="350">
        <f>TRUNC(SUM(F184:BL184),2)</f>
        <v>0</v>
      </c>
      <c r="BN184" s="579">
        <f t="shared" si="1279"/>
        <v>0</v>
      </c>
      <c r="BO184" s="1089"/>
      <c r="BP184" s="1089"/>
      <c r="BQ184" s="1089"/>
      <c r="BR184" s="1089"/>
      <c r="BS184" s="1089"/>
      <c r="BT184" s="1089"/>
      <c r="BU184" s="1089"/>
      <c r="BV184" s="1089"/>
      <c r="BW184" s="1089"/>
      <c r="BX184" s="1089"/>
      <c r="BY184" s="1089"/>
      <c r="BZ184" s="1089"/>
    </row>
    <row r="185" spans="1:78" s="590" customFormat="1" ht="21.95" hidden="1" customHeight="1" thickBot="1" x14ac:dyDescent="0.2">
      <c r="A185" s="2596"/>
      <c r="B185" s="2672"/>
      <c r="C185" s="929" t="s">
        <v>490</v>
      </c>
      <c r="D185" s="2005"/>
      <c r="E185" s="1523"/>
      <c r="F185" s="239">
        <f t="shared" ref="F185" si="1379">F184*1.1</f>
        <v>0</v>
      </c>
      <c r="G185" s="239">
        <f t="shared" ref="G185" si="1380">G184*1.1</f>
        <v>0</v>
      </c>
      <c r="H185" s="239">
        <f t="shared" ref="H185:I185" si="1381">H184*1.1</f>
        <v>0</v>
      </c>
      <c r="I185" s="239">
        <f t="shared" si="1381"/>
        <v>0</v>
      </c>
      <c r="J185" s="239"/>
      <c r="K185" s="239"/>
      <c r="L185" s="239"/>
      <c r="M185" s="239"/>
      <c r="N185" s="2440"/>
      <c r="O185" s="239">
        <f t="shared" ref="O185:V185" si="1382">O184*1.1</f>
        <v>0</v>
      </c>
      <c r="P185" s="239">
        <f t="shared" si="1382"/>
        <v>0</v>
      </c>
      <c r="Q185" s="239">
        <f t="shared" si="1382"/>
        <v>0</v>
      </c>
      <c r="R185" s="239">
        <f t="shared" si="1382"/>
        <v>0</v>
      </c>
      <c r="S185" s="239">
        <f t="shared" si="1382"/>
        <v>0</v>
      </c>
      <c r="T185" s="239">
        <f t="shared" si="1382"/>
        <v>0</v>
      </c>
      <c r="U185" s="239">
        <f t="shared" si="1382"/>
        <v>0</v>
      </c>
      <c r="V185" s="239">
        <f t="shared" si="1382"/>
        <v>0</v>
      </c>
      <c r="W185" s="239"/>
      <c r="X185" s="2440"/>
      <c r="Y185" s="239">
        <f t="shared" ref="Y185:AH185" si="1383">Y184*1.1</f>
        <v>0</v>
      </c>
      <c r="Z185" s="239">
        <f t="shared" si="1383"/>
        <v>0</v>
      </c>
      <c r="AA185" s="239">
        <f t="shared" si="1383"/>
        <v>0</v>
      </c>
      <c r="AB185" s="239">
        <f t="shared" si="1383"/>
        <v>0</v>
      </c>
      <c r="AC185" s="239">
        <f t="shared" si="1383"/>
        <v>0</v>
      </c>
      <c r="AD185" s="239">
        <f t="shared" si="1383"/>
        <v>0</v>
      </c>
      <c r="AE185" s="239">
        <f t="shared" si="1383"/>
        <v>0</v>
      </c>
      <c r="AF185" s="239">
        <f t="shared" si="1383"/>
        <v>0</v>
      </c>
      <c r="AG185" s="239">
        <f t="shared" si="1383"/>
        <v>0</v>
      </c>
      <c r="AH185" s="239">
        <f t="shared" si="1383"/>
        <v>0</v>
      </c>
      <c r="AI185" s="239"/>
      <c r="AJ185" s="239"/>
      <c r="AK185" s="239"/>
      <c r="AL185" s="239"/>
      <c r="AM185" s="239"/>
      <c r="AN185" s="239"/>
      <c r="AO185" s="239"/>
      <c r="AP185" s="239"/>
      <c r="AQ185" s="239"/>
      <c r="AR185" s="2440"/>
      <c r="AS185" s="239">
        <f t="shared" ref="AS185:AW185" si="1384">AS184*1.1</f>
        <v>0</v>
      </c>
      <c r="AT185" s="239">
        <f t="shared" si="1384"/>
        <v>0</v>
      </c>
      <c r="AU185" s="239">
        <f t="shared" si="1384"/>
        <v>0</v>
      </c>
      <c r="AV185" s="239">
        <f t="shared" si="1384"/>
        <v>0</v>
      </c>
      <c r="AW185" s="239">
        <f t="shared" si="1384"/>
        <v>0</v>
      </c>
      <c r="AX185" s="239">
        <f t="shared" ref="AX185" si="1385">AX184*1.1</f>
        <v>0</v>
      </c>
      <c r="AY185" s="239">
        <f t="shared" ref="AY185:BI185" si="1386">AY184*1.1</f>
        <v>0</v>
      </c>
      <c r="AZ185" s="239">
        <f t="shared" ref="AZ185" si="1387">AZ184*1.1</f>
        <v>0</v>
      </c>
      <c r="BA185" s="239">
        <f t="shared" si="1386"/>
        <v>0</v>
      </c>
      <c r="BB185" s="239">
        <f t="shared" si="1386"/>
        <v>0</v>
      </c>
      <c r="BC185" s="239">
        <f t="shared" si="1386"/>
        <v>0</v>
      </c>
      <c r="BD185" s="239">
        <f t="shared" si="1386"/>
        <v>0</v>
      </c>
      <c r="BE185" s="239">
        <f t="shared" si="1386"/>
        <v>0</v>
      </c>
      <c r="BF185" s="239">
        <f t="shared" si="1386"/>
        <v>0</v>
      </c>
      <c r="BG185" s="239">
        <f t="shared" si="1386"/>
        <v>0</v>
      </c>
      <c r="BH185" s="239">
        <f t="shared" si="1386"/>
        <v>0</v>
      </c>
      <c r="BI185" s="239">
        <f t="shared" si="1386"/>
        <v>0</v>
      </c>
      <c r="BJ185" s="239"/>
      <c r="BK185" s="239"/>
      <c r="BL185" s="239"/>
      <c r="BM185" s="361">
        <f>TRUNC(SUM(F185:BL185),2)</f>
        <v>0</v>
      </c>
      <c r="BN185" s="579">
        <f t="shared" si="1279"/>
        <v>0</v>
      </c>
      <c r="BO185" s="1089"/>
      <c r="BP185" s="1089"/>
      <c r="BQ185" s="1089"/>
      <c r="BR185" s="1089"/>
      <c r="BS185" s="1089"/>
      <c r="BT185" s="1089"/>
      <c r="BU185" s="1089"/>
      <c r="BV185" s="1089"/>
      <c r="BW185" s="1089"/>
      <c r="BX185" s="1089"/>
      <c r="BY185" s="1089"/>
      <c r="BZ185" s="1089"/>
    </row>
    <row r="186" spans="1:78" s="590" customFormat="1" ht="21.95" hidden="1" customHeight="1" x14ac:dyDescent="0.15">
      <c r="A186" s="2596"/>
      <c r="B186" s="2691" t="s">
        <v>25</v>
      </c>
      <c r="C186" s="930" t="s">
        <v>3</v>
      </c>
      <c r="D186" s="2003"/>
      <c r="E186" s="1520"/>
      <c r="F186" s="238">
        <f>Dren_Quantificacao!D101</f>
        <v>0</v>
      </c>
      <c r="G186" s="238">
        <f>Dren_Quantificacao!E101</f>
        <v>0</v>
      </c>
      <c r="H186" s="238">
        <f>Dren_Quantificacao!F101</f>
        <v>0</v>
      </c>
      <c r="I186" s="238">
        <f>Dren_Quantificacao!G101</f>
        <v>0</v>
      </c>
      <c r="J186" s="238"/>
      <c r="K186" s="238"/>
      <c r="L186" s="238"/>
      <c r="M186" s="238"/>
      <c r="N186" s="2439"/>
      <c r="O186" s="238">
        <f>Dren_Quantificacao!M101</f>
        <v>0</v>
      </c>
      <c r="P186" s="238">
        <f>Dren_Quantificacao!N101</f>
        <v>0</v>
      </c>
      <c r="Q186" s="238">
        <f>Dren_Quantificacao!O101</f>
        <v>0</v>
      </c>
      <c r="R186" s="238">
        <f>Dren_Quantificacao!P101</f>
        <v>0</v>
      </c>
      <c r="S186" s="238">
        <f>Dren_Quantificacao!Q101</f>
        <v>0</v>
      </c>
      <c r="T186" s="238">
        <f>Dren_Quantificacao!R101</f>
        <v>0</v>
      </c>
      <c r="U186" s="238">
        <f>Dren_Quantificacao!S101</f>
        <v>0</v>
      </c>
      <c r="V186" s="238">
        <f>Dren_Quantificacao!T101</f>
        <v>0</v>
      </c>
      <c r="W186" s="238"/>
      <c r="X186" s="2439"/>
      <c r="Y186" s="238">
        <f>Dren_Quantificacao!W101</f>
        <v>0</v>
      </c>
      <c r="Z186" s="238">
        <f>Dren_Quantificacao!X101</f>
        <v>0</v>
      </c>
      <c r="AA186" s="238">
        <f>Dren_Quantificacao!Y101</f>
        <v>0</v>
      </c>
      <c r="AB186" s="238">
        <f>Dren_Quantificacao!Z101</f>
        <v>0</v>
      </c>
      <c r="AC186" s="238">
        <f>Dren_Quantificacao!AA101</f>
        <v>0</v>
      </c>
      <c r="AD186" s="238">
        <f>Dren_Quantificacao!AB101</f>
        <v>0</v>
      </c>
      <c r="AE186" s="238">
        <f>Dren_Quantificacao!AC101</f>
        <v>0</v>
      </c>
      <c r="AF186" s="238">
        <f>Dren_Quantificacao!AD101</f>
        <v>0</v>
      </c>
      <c r="AG186" s="238">
        <f>Dren_Quantificacao!AE101</f>
        <v>0</v>
      </c>
      <c r="AH186" s="238">
        <f>Dren_Quantificacao!AF101</f>
        <v>0</v>
      </c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439"/>
      <c r="AS186" s="238">
        <f>Dren_Quantificacao!AQ101</f>
        <v>0</v>
      </c>
      <c r="AT186" s="238">
        <f>Dren_Quantificacao!AR101</f>
        <v>0</v>
      </c>
      <c r="AU186" s="238">
        <f>Dren_Quantificacao!AS101</f>
        <v>0</v>
      </c>
      <c r="AV186" s="238">
        <f>Dren_Quantificacao!AT101</f>
        <v>0</v>
      </c>
      <c r="AW186" s="238">
        <f>Dren_Quantificacao!AU101</f>
        <v>0</v>
      </c>
      <c r="AX186" s="238">
        <f>Dren_Quantificacao!AW101</f>
        <v>0</v>
      </c>
      <c r="AY186" s="238">
        <f>Dren_Quantificacao!AX101</f>
        <v>0</v>
      </c>
      <c r="AZ186" s="238">
        <f>Dren_Quantificacao!AY101</f>
        <v>0</v>
      </c>
      <c r="BA186" s="238">
        <f>Dren_Quantificacao!AZ101</f>
        <v>0</v>
      </c>
      <c r="BB186" s="238">
        <f>Dren_Quantificacao!BA101</f>
        <v>0</v>
      </c>
      <c r="BC186" s="238">
        <f>Dren_Quantificacao!BB101</f>
        <v>0</v>
      </c>
      <c r="BD186" s="238">
        <f>Dren_Quantificacao!BC101</f>
        <v>0</v>
      </c>
      <c r="BE186" s="238">
        <f>Dren_Quantificacao!BD101</f>
        <v>0</v>
      </c>
      <c r="BF186" s="238">
        <f>Dren_Quantificacao!BE101</f>
        <v>0</v>
      </c>
      <c r="BG186" s="238">
        <f>Dren_Quantificacao!BF101</f>
        <v>0</v>
      </c>
      <c r="BH186" s="238">
        <f>Dren_Quantificacao!BG101</f>
        <v>0</v>
      </c>
      <c r="BI186" s="238">
        <f>Dren_Quantificacao!BH101</f>
        <v>0</v>
      </c>
      <c r="BJ186" s="238"/>
      <c r="BK186" s="238"/>
      <c r="BL186" s="238"/>
      <c r="BM186" s="595">
        <f>TRUNC(SUM(F186:BL186),2)</f>
        <v>0</v>
      </c>
      <c r="BN186" s="579">
        <f t="shared" si="1279"/>
        <v>0</v>
      </c>
      <c r="BO186" s="1089"/>
      <c r="BP186" s="1089"/>
      <c r="BQ186" s="1089"/>
      <c r="BR186" s="1089"/>
      <c r="BS186" s="1089"/>
      <c r="BT186" s="1089"/>
      <c r="BU186" s="1089"/>
      <c r="BV186" s="1089"/>
      <c r="BW186" s="1089"/>
      <c r="BX186" s="1089"/>
      <c r="BY186" s="1089"/>
      <c r="BZ186" s="1089"/>
    </row>
    <row r="187" spans="1:78" s="590" customFormat="1" ht="21.95" hidden="1" customHeight="1" x14ac:dyDescent="0.15">
      <c r="A187" s="2596"/>
      <c r="B187" s="2692"/>
      <c r="C187" s="591" t="s">
        <v>58</v>
      </c>
      <c r="D187" s="2004"/>
      <c r="E187" s="592"/>
      <c r="F187" s="158">
        <f>Dren_Quantificacao!D102</f>
        <v>0</v>
      </c>
      <c r="G187" s="158">
        <f>Dren_Quantificacao!E102</f>
        <v>0</v>
      </c>
      <c r="H187" s="158">
        <f>Dren_Quantificacao!F102</f>
        <v>0</v>
      </c>
      <c r="I187" s="158">
        <f>Dren_Quantificacao!G102</f>
        <v>0</v>
      </c>
      <c r="J187" s="158"/>
      <c r="K187" s="158"/>
      <c r="L187" s="158"/>
      <c r="M187" s="158"/>
      <c r="N187" s="2416"/>
      <c r="O187" s="158">
        <f>Dren_Quantificacao!M102</f>
        <v>0</v>
      </c>
      <c r="P187" s="158">
        <f>Dren_Quantificacao!N102</f>
        <v>0</v>
      </c>
      <c r="Q187" s="158">
        <f>Dren_Quantificacao!O102</f>
        <v>0</v>
      </c>
      <c r="R187" s="158">
        <f>Dren_Quantificacao!P102</f>
        <v>0</v>
      </c>
      <c r="S187" s="158">
        <f>Dren_Quantificacao!Q102</f>
        <v>0</v>
      </c>
      <c r="T187" s="158">
        <f>Dren_Quantificacao!R102</f>
        <v>0</v>
      </c>
      <c r="U187" s="158">
        <f>Dren_Quantificacao!S102</f>
        <v>0</v>
      </c>
      <c r="V187" s="158">
        <f>Dren_Quantificacao!T102</f>
        <v>0</v>
      </c>
      <c r="W187" s="158"/>
      <c r="X187" s="2416"/>
      <c r="Y187" s="158">
        <f>Dren_Quantificacao!W102</f>
        <v>0</v>
      </c>
      <c r="Z187" s="158">
        <f>Dren_Quantificacao!X102</f>
        <v>0</v>
      </c>
      <c r="AA187" s="158">
        <f>Dren_Quantificacao!Y102</f>
        <v>0</v>
      </c>
      <c r="AB187" s="158">
        <f>Dren_Quantificacao!Z102</f>
        <v>0</v>
      </c>
      <c r="AC187" s="158">
        <f>Dren_Quantificacao!AA102</f>
        <v>0</v>
      </c>
      <c r="AD187" s="158">
        <f>Dren_Quantificacao!AB102</f>
        <v>0</v>
      </c>
      <c r="AE187" s="158">
        <f>Dren_Quantificacao!AC102</f>
        <v>0</v>
      </c>
      <c r="AF187" s="158">
        <f>Dren_Quantificacao!AD102</f>
        <v>0</v>
      </c>
      <c r="AG187" s="158">
        <f>Dren_Quantificacao!AE102</f>
        <v>0</v>
      </c>
      <c r="AH187" s="158">
        <f>Dren_Quantificacao!AF102</f>
        <v>0</v>
      </c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2416"/>
      <c r="AS187" s="158">
        <f>Dren_Quantificacao!AQ102</f>
        <v>0</v>
      </c>
      <c r="AT187" s="158">
        <f>Dren_Quantificacao!AR102</f>
        <v>0</v>
      </c>
      <c r="AU187" s="158">
        <f>Dren_Quantificacao!AS102</f>
        <v>0</v>
      </c>
      <c r="AV187" s="158">
        <f>Dren_Quantificacao!AT102</f>
        <v>0</v>
      </c>
      <c r="AW187" s="158">
        <f>Dren_Quantificacao!AU102</f>
        <v>0</v>
      </c>
      <c r="AX187" s="158">
        <f>Dren_Quantificacao!AW102</f>
        <v>0</v>
      </c>
      <c r="AY187" s="158">
        <f>Dren_Quantificacao!AX102</f>
        <v>0</v>
      </c>
      <c r="AZ187" s="158">
        <f>Dren_Quantificacao!AY102</f>
        <v>0</v>
      </c>
      <c r="BA187" s="158">
        <f>Dren_Quantificacao!AZ102</f>
        <v>0</v>
      </c>
      <c r="BB187" s="158">
        <f>Dren_Quantificacao!BA102</f>
        <v>0</v>
      </c>
      <c r="BC187" s="158">
        <f>Dren_Quantificacao!BB102</f>
        <v>0</v>
      </c>
      <c r="BD187" s="158">
        <f>Dren_Quantificacao!BC102</f>
        <v>0</v>
      </c>
      <c r="BE187" s="158">
        <f>Dren_Quantificacao!BD102</f>
        <v>0</v>
      </c>
      <c r="BF187" s="158">
        <f>Dren_Quantificacao!BE102</f>
        <v>0</v>
      </c>
      <c r="BG187" s="158">
        <f>Dren_Quantificacao!BF102</f>
        <v>0</v>
      </c>
      <c r="BH187" s="158">
        <f>Dren_Quantificacao!BG102</f>
        <v>0</v>
      </c>
      <c r="BI187" s="158">
        <f>Dren_Quantificacao!BH102</f>
        <v>0</v>
      </c>
      <c r="BJ187" s="158"/>
      <c r="BK187" s="158"/>
      <c r="BL187" s="158"/>
      <c r="BM187" s="351"/>
      <c r="BN187" s="579">
        <f t="shared" si="1279"/>
        <v>0</v>
      </c>
      <c r="BO187" s="1089"/>
      <c r="BP187" s="1089"/>
      <c r="BQ187" s="1089"/>
      <c r="BR187" s="1089"/>
      <c r="BS187" s="1089"/>
      <c r="BT187" s="1089"/>
      <c r="BU187" s="1089"/>
      <c r="BV187" s="1089"/>
      <c r="BW187" s="1089"/>
      <c r="BX187" s="1089"/>
      <c r="BY187" s="1089"/>
      <c r="BZ187" s="1089"/>
    </row>
    <row r="188" spans="1:78" s="590" customFormat="1" ht="21.95" hidden="1" customHeight="1" thickBot="1" x14ac:dyDescent="0.2">
      <c r="A188" s="2596"/>
      <c r="B188" s="2693"/>
      <c r="C188" s="929" t="s">
        <v>29</v>
      </c>
      <c r="D188" s="2005"/>
      <c r="E188" s="1523"/>
      <c r="F188" s="239">
        <f t="shared" ref="F188" si="1388">F187*F186</f>
        <v>0</v>
      </c>
      <c r="G188" s="239">
        <f t="shared" ref="G188" si="1389">G187*G186</f>
        <v>0</v>
      </c>
      <c r="H188" s="239">
        <f t="shared" ref="H188:I188" si="1390">H187*H186</f>
        <v>0</v>
      </c>
      <c r="I188" s="239">
        <f t="shared" si="1390"/>
        <v>0</v>
      </c>
      <c r="J188" s="239"/>
      <c r="K188" s="239"/>
      <c r="L188" s="239"/>
      <c r="M188" s="239"/>
      <c r="N188" s="2440"/>
      <c r="O188" s="239">
        <f t="shared" ref="O188:V188" si="1391">O187*O186</f>
        <v>0</v>
      </c>
      <c r="P188" s="239">
        <f t="shared" si="1391"/>
        <v>0</v>
      </c>
      <c r="Q188" s="239">
        <f t="shared" si="1391"/>
        <v>0</v>
      </c>
      <c r="R188" s="239">
        <f t="shared" si="1391"/>
        <v>0</v>
      </c>
      <c r="S188" s="239">
        <f t="shared" si="1391"/>
        <v>0</v>
      </c>
      <c r="T188" s="239">
        <f t="shared" si="1391"/>
        <v>0</v>
      </c>
      <c r="U188" s="239">
        <f t="shared" si="1391"/>
        <v>0</v>
      </c>
      <c r="V188" s="239">
        <f t="shared" si="1391"/>
        <v>0</v>
      </c>
      <c r="W188" s="239"/>
      <c r="X188" s="2440"/>
      <c r="Y188" s="239">
        <f t="shared" ref="Y188:AH188" si="1392">Y187*Y186</f>
        <v>0</v>
      </c>
      <c r="Z188" s="239">
        <f t="shared" si="1392"/>
        <v>0</v>
      </c>
      <c r="AA188" s="239">
        <f t="shared" si="1392"/>
        <v>0</v>
      </c>
      <c r="AB188" s="239">
        <f t="shared" si="1392"/>
        <v>0</v>
      </c>
      <c r="AC188" s="239">
        <f t="shared" si="1392"/>
        <v>0</v>
      </c>
      <c r="AD188" s="239">
        <f t="shared" si="1392"/>
        <v>0</v>
      </c>
      <c r="AE188" s="239">
        <f t="shared" si="1392"/>
        <v>0</v>
      </c>
      <c r="AF188" s="239">
        <f t="shared" si="1392"/>
        <v>0</v>
      </c>
      <c r="AG188" s="239">
        <f t="shared" si="1392"/>
        <v>0</v>
      </c>
      <c r="AH188" s="239">
        <f t="shared" si="1392"/>
        <v>0</v>
      </c>
      <c r="AI188" s="239"/>
      <c r="AJ188" s="239"/>
      <c r="AK188" s="239"/>
      <c r="AL188" s="239"/>
      <c r="AM188" s="239"/>
      <c r="AN188" s="239"/>
      <c r="AO188" s="239"/>
      <c r="AP188" s="239"/>
      <c r="AQ188" s="239"/>
      <c r="AR188" s="2440"/>
      <c r="AS188" s="239">
        <f t="shared" ref="AS188:AW188" si="1393">AS187*AS186</f>
        <v>0</v>
      </c>
      <c r="AT188" s="239">
        <f t="shared" si="1393"/>
        <v>0</v>
      </c>
      <c r="AU188" s="239">
        <f t="shared" si="1393"/>
        <v>0</v>
      </c>
      <c r="AV188" s="239">
        <f t="shared" si="1393"/>
        <v>0</v>
      </c>
      <c r="AW188" s="239">
        <f t="shared" si="1393"/>
        <v>0</v>
      </c>
      <c r="AX188" s="239">
        <f t="shared" ref="AX188" si="1394">AX187*AX186</f>
        <v>0</v>
      </c>
      <c r="AY188" s="239">
        <f t="shared" ref="AY188:BI188" si="1395">AY187*AY186</f>
        <v>0</v>
      </c>
      <c r="AZ188" s="239">
        <f t="shared" ref="AZ188" si="1396">AZ187*AZ186</f>
        <v>0</v>
      </c>
      <c r="BA188" s="239">
        <f t="shared" si="1395"/>
        <v>0</v>
      </c>
      <c r="BB188" s="239">
        <f t="shared" si="1395"/>
        <v>0</v>
      </c>
      <c r="BC188" s="239">
        <f t="shared" si="1395"/>
        <v>0</v>
      </c>
      <c r="BD188" s="239">
        <f t="shared" si="1395"/>
        <v>0</v>
      </c>
      <c r="BE188" s="239">
        <f t="shared" si="1395"/>
        <v>0</v>
      </c>
      <c r="BF188" s="239">
        <f t="shared" si="1395"/>
        <v>0</v>
      </c>
      <c r="BG188" s="239">
        <f t="shared" si="1395"/>
        <v>0</v>
      </c>
      <c r="BH188" s="239">
        <f t="shared" si="1395"/>
        <v>0</v>
      </c>
      <c r="BI188" s="239">
        <f t="shared" si="1395"/>
        <v>0</v>
      </c>
      <c r="BJ188" s="239"/>
      <c r="BK188" s="239"/>
      <c r="BL188" s="239"/>
      <c r="BM188" s="361">
        <f>TRUNC(SUM(F188:BL188),2)</f>
        <v>0</v>
      </c>
      <c r="BN188" s="579">
        <f t="shared" si="1279"/>
        <v>0</v>
      </c>
      <c r="BO188" s="1089"/>
      <c r="BP188" s="1089"/>
      <c r="BQ188" s="1089"/>
      <c r="BR188" s="1089"/>
      <c r="BS188" s="1089"/>
      <c r="BT188" s="1089"/>
      <c r="BU188" s="1089"/>
      <c r="BV188" s="1089"/>
      <c r="BW188" s="1089"/>
      <c r="BX188" s="1089"/>
      <c r="BY188" s="1089"/>
      <c r="BZ188" s="1089"/>
    </row>
    <row r="189" spans="1:78" s="590" customFormat="1" ht="21.95" hidden="1" customHeight="1" x14ac:dyDescent="0.15">
      <c r="A189" s="2596"/>
      <c r="B189" s="2694" t="s">
        <v>325</v>
      </c>
      <c r="C189" s="543" t="s">
        <v>1428</v>
      </c>
      <c r="D189" s="2000"/>
      <c r="E189" s="1520"/>
      <c r="F189" s="228">
        <f>Dren_Quantificacao!D103</f>
        <v>0</v>
      </c>
      <c r="G189" s="228">
        <f>Dren_Quantificacao!E103</f>
        <v>0</v>
      </c>
      <c r="H189" s="228">
        <f>Dren_Quantificacao!F103</f>
        <v>0</v>
      </c>
      <c r="I189" s="228">
        <f>Dren_Quantificacao!G103</f>
        <v>0</v>
      </c>
      <c r="J189" s="228"/>
      <c r="K189" s="228"/>
      <c r="L189" s="228"/>
      <c r="M189" s="228"/>
      <c r="N189" s="2424"/>
      <c r="O189" s="228">
        <f>Dren_Quantificacao!M103</f>
        <v>0</v>
      </c>
      <c r="P189" s="228">
        <f>Dren_Quantificacao!N103</f>
        <v>0</v>
      </c>
      <c r="Q189" s="228">
        <f>Dren_Quantificacao!O103</f>
        <v>0</v>
      </c>
      <c r="R189" s="228">
        <f>Dren_Quantificacao!P103</f>
        <v>0</v>
      </c>
      <c r="S189" s="228">
        <f>Dren_Quantificacao!Q103</f>
        <v>0</v>
      </c>
      <c r="T189" s="228">
        <f>Dren_Quantificacao!R103</f>
        <v>0</v>
      </c>
      <c r="U189" s="228">
        <f>Dren_Quantificacao!S103</f>
        <v>0</v>
      </c>
      <c r="V189" s="228">
        <f>Dren_Quantificacao!T103</f>
        <v>0</v>
      </c>
      <c r="W189" s="228"/>
      <c r="X189" s="2424"/>
      <c r="Y189" s="228">
        <f>Dren_Quantificacao!W103</f>
        <v>0</v>
      </c>
      <c r="Z189" s="228">
        <f>Dren_Quantificacao!X103</f>
        <v>0</v>
      </c>
      <c r="AA189" s="228">
        <f>Dren_Quantificacao!Y103</f>
        <v>0</v>
      </c>
      <c r="AB189" s="228">
        <f>Dren_Quantificacao!Z103</f>
        <v>0</v>
      </c>
      <c r="AC189" s="228">
        <f>Dren_Quantificacao!AA103</f>
        <v>0</v>
      </c>
      <c r="AD189" s="228">
        <f>Dren_Quantificacao!AB103</f>
        <v>0</v>
      </c>
      <c r="AE189" s="228">
        <f>Dren_Quantificacao!AC103</f>
        <v>0</v>
      </c>
      <c r="AF189" s="228">
        <f>Dren_Quantificacao!AD103</f>
        <v>0</v>
      </c>
      <c r="AG189" s="228">
        <f>Dren_Quantificacao!AE103</f>
        <v>0</v>
      </c>
      <c r="AH189" s="228">
        <f>Dren_Quantificacao!AF103</f>
        <v>0</v>
      </c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424"/>
      <c r="AS189" s="228">
        <f>Dren_Quantificacao!AQ103</f>
        <v>0</v>
      </c>
      <c r="AT189" s="228">
        <f>Dren_Quantificacao!AR103</f>
        <v>0</v>
      </c>
      <c r="AU189" s="228">
        <f>Dren_Quantificacao!AS103</f>
        <v>0</v>
      </c>
      <c r="AV189" s="228">
        <f>Dren_Quantificacao!AT103</f>
        <v>0</v>
      </c>
      <c r="AW189" s="228">
        <f>Dren_Quantificacao!AU103</f>
        <v>0</v>
      </c>
      <c r="AX189" s="228">
        <f>Dren_Quantificacao!AW103</f>
        <v>0</v>
      </c>
      <c r="AY189" s="228">
        <f>Dren_Quantificacao!AX103</f>
        <v>0</v>
      </c>
      <c r="AZ189" s="228">
        <f>Dren_Quantificacao!AY103</f>
        <v>0</v>
      </c>
      <c r="BA189" s="228">
        <f>Dren_Quantificacao!AZ103</f>
        <v>0</v>
      </c>
      <c r="BB189" s="228">
        <f>Dren_Quantificacao!BA103</f>
        <v>0</v>
      </c>
      <c r="BC189" s="228">
        <f>Dren_Quantificacao!BB103</f>
        <v>0</v>
      </c>
      <c r="BD189" s="228">
        <f>Dren_Quantificacao!BC103</f>
        <v>0</v>
      </c>
      <c r="BE189" s="228">
        <f>Dren_Quantificacao!BD103</f>
        <v>0</v>
      </c>
      <c r="BF189" s="228">
        <f>Dren_Quantificacao!BE103</f>
        <v>0</v>
      </c>
      <c r="BG189" s="228">
        <f>Dren_Quantificacao!BF103</f>
        <v>0</v>
      </c>
      <c r="BH189" s="228">
        <f>Dren_Quantificacao!BG103</f>
        <v>0</v>
      </c>
      <c r="BI189" s="228">
        <f>Dren_Quantificacao!BH103</f>
        <v>0</v>
      </c>
      <c r="BJ189" s="228">
        <f>Dren_Quantificacao!BI103</f>
        <v>0</v>
      </c>
      <c r="BK189" s="228">
        <f>Dren_Quantificacao!BJ103</f>
        <v>0</v>
      </c>
      <c r="BL189" s="228">
        <f>Dren_Quantificacao!BK103</f>
        <v>0</v>
      </c>
      <c r="BM189" s="362">
        <f>TRUNC(SUM(F189:BL189),2)</f>
        <v>0</v>
      </c>
      <c r="BN189" s="579">
        <f t="shared" si="1279"/>
        <v>0</v>
      </c>
      <c r="BO189" s="1089"/>
      <c r="BP189" s="1089"/>
      <c r="BQ189" s="1089"/>
      <c r="BR189" s="1089"/>
      <c r="BS189" s="1089"/>
      <c r="BT189" s="1089"/>
      <c r="BU189" s="1089"/>
      <c r="BV189" s="1089"/>
      <c r="BW189" s="1089"/>
      <c r="BX189" s="1089"/>
      <c r="BY189" s="1089"/>
      <c r="BZ189" s="1089"/>
    </row>
    <row r="190" spans="1:78" s="590" customFormat="1" ht="21.95" hidden="1" customHeight="1" thickBot="1" x14ac:dyDescent="0.2">
      <c r="A190" s="2596"/>
      <c r="B190" s="2618"/>
      <c r="C190" s="546" t="s">
        <v>1429</v>
      </c>
      <c r="D190" s="2006"/>
      <c r="E190" s="1523"/>
      <c r="F190" s="359">
        <f>Dren_Quantificacao!D104</f>
        <v>0</v>
      </c>
      <c r="G190" s="359">
        <f>Dren_Quantificacao!E104</f>
        <v>0</v>
      </c>
      <c r="H190" s="359">
        <f>Dren_Quantificacao!F104</f>
        <v>0</v>
      </c>
      <c r="I190" s="359">
        <f>Dren_Quantificacao!G104</f>
        <v>0</v>
      </c>
      <c r="J190" s="359"/>
      <c r="K190" s="359"/>
      <c r="L190" s="359"/>
      <c r="M190" s="359"/>
      <c r="N190" s="2441"/>
      <c r="O190" s="359">
        <f>Dren_Quantificacao!M104</f>
        <v>0</v>
      </c>
      <c r="P190" s="359">
        <f>Dren_Quantificacao!N104</f>
        <v>0</v>
      </c>
      <c r="Q190" s="359">
        <f>Dren_Quantificacao!O104</f>
        <v>0</v>
      </c>
      <c r="R190" s="359">
        <f>Dren_Quantificacao!P104</f>
        <v>0</v>
      </c>
      <c r="S190" s="359">
        <f>Dren_Quantificacao!Q104</f>
        <v>0</v>
      </c>
      <c r="T190" s="359">
        <f>Dren_Quantificacao!R104</f>
        <v>0</v>
      </c>
      <c r="U190" s="359">
        <f>Dren_Quantificacao!S104</f>
        <v>0</v>
      </c>
      <c r="V190" s="359">
        <f>Dren_Quantificacao!T104</f>
        <v>0</v>
      </c>
      <c r="W190" s="359"/>
      <c r="X190" s="2441"/>
      <c r="Y190" s="359">
        <f>Dren_Quantificacao!W104</f>
        <v>0</v>
      </c>
      <c r="Z190" s="359">
        <f>Dren_Quantificacao!X104</f>
        <v>0</v>
      </c>
      <c r="AA190" s="359">
        <f>Dren_Quantificacao!Y104</f>
        <v>0</v>
      </c>
      <c r="AB190" s="359">
        <f>Dren_Quantificacao!Z104</f>
        <v>0</v>
      </c>
      <c r="AC190" s="359">
        <f>Dren_Quantificacao!AA104</f>
        <v>0</v>
      </c>
      <c r="AD190" s="359">
        <f>Dren_Quantificacao!AB104</f>
        <v>0</v>
      </c>
      <c r="AE190" s="359">
        <f>Dren_Quantificacao!AC104</f>
        <v>0</v>
      </c>
      <c r="AF190" s="359">
        <f>Dren_Quantificacao!AD104</f>
        <v>0</v>
      </c>
      <c r="AG190" s="359">
        <f>Dren_Quantificacao!AE104</f>
        <v>0</v>
      </c>
      <c r="AH190" s="359">
        <f>Dren_Quantificacao!AF104</f>
        <v>0</v>
      </c>
      <c r="AI190" s="359"/>
      <c r="AJ190" s="359"/>
      <c r="AK190" s="359"/>
      <c r="AL190" s="359"/>
      <c r="AM190" s="359"/>
      <c r="AN190" s="359"/>
      <c r="AO190" s="359"/>
      <c r="AP190" s="359"/>
      <c r="AQ190" s="359"/>
      <c r="AR190" s="2441"/>
      <c r="AS190" s="359">
        <f>Dren_Quantificacao!AQ104</f>
        <v>0</v>
      </c>
      <c r="AT190" s="359">
        <f>Dren_Quantificacao!AR104</f>
        <v>0</v>
      </c>
      <c r="AU190" s="359">
        <f>Dren_Quantificacao!AS104</f>
        <v>0</v>
      </c>
      <c r="AV190" s="359">
        <f>Dren_Quantificacao!AT104</f>
        <v>0</v>
      </c>
      <c r="AW190" s="359">
        <f>Dren_Quantificacao!AU104</f>
        <v>0</v>
      </c>
      <c r="AX190" s="359">
        <f>Dren_Quantificacao!AW104</f>
        <v>0</v>
      </c>
      <c r="AY190" s="359">
        <f>Dren_Quantificacao!AX104</f>
        <v>0</v>
      </c>
      <c r="AZ190" s="359">
        <f>Dren_Quantificacao!AY104</f>
        <v>0</v>
      </c>
      <c r="BA190" s="359">
        <f>Dren_Quantificacao!AZ104</f>
        <v>0</v>
      </c>
      <c r="BB190" s="359">
        <f>Dren_Quantificacao!BA104</f>
        <v>0</v>
      </c>
      <c r="BC190" s="359">
        <f>Dren_Quantificacao!BB104</f>
        <v>0</v>
      </c>
      <c r="BD190" s="359">
        <f>Dren_Quantificacao!BC104</f>
        <v>0</v>
      </c>
      <c r="BE190" s="359">
        <f>Dren_Quantificacao!BD104</f>
        <v>0</v>
      </c>
      <c r="BF190" s="359">
        <f>Dren_Quantificacao!BE104</f>
        <v>0</v>
      </c>
      <c r="BG190" s="359">
        <f>Dren_Quantificacao!BF104</f>
        <v>0</v>
      </c>
      <c r="BH190" s="359">
        <f>Dren_Quantificacao!BG104</f>
        <v>0</v>
      </c>
      <c r="BI190" s="359">
        <f>Dren_Quantificacao!BH104</f>
        <v>0</v>
      </c>
      <c r="BJ190" s="359">
        <f>Dren_Quantificacao!BI104</f>
        <v>0</v>
      </c>
      <c r="BK190" s="359">
        <f>Dren_Quantificacao!BJ104</f>
        <v>0</v>
      </c>
      <c r="BL190" s="359">
        <f>Dren_Quantificacao!BK104</f>
        <v>0</v>
      </c>
      <c r="BM190" s="361">
        <f>TRUNC(SUM(F190:BL190),2)</f>
        <v>0</v>
      </c>
      <c r="BN190" s="579">
        <f t="shared" si="1279"/>
        <v>0</v>
      </c>
      <c r="BO190" s="1089"/>
      <c r="BP190" s="1089"/>
      <c r="BQ190" s="1089"/>
      <c r="BR190" s="1089"/>
      <c r="BS190" s="1089"/>
      <c r="BT190" s="1089"/>
      <c r="BU190" s="1089"/>
      <c r="BV190" s="1089"/>
      <c r="BW190" s="1089"/>
      <c r="BX190" s="1089"/>
      <c r="BY190" s="1089"/>
      <c r="BZ190" s="1089"/>
    </row>
    <row r="191" spans="1:78" s="590" customFormat="1" ht="21.95" hidden="1" customHeight="1" thickBot="1" x14ac:dyDescent="0.2">
      <c r="A191" s="2596"/>
      <c r="B191" s="2686" t="s">
        <v>491</v>
      </c>
      <c r="C191" s="2687"/>
      <c r="D191" s="2016"/>
      <c r="E191" s="1536"/>
      <c r="F191" s="365">
        <f t="shared" ref="F191" si="1397">IF((F169+F180)&gt;0,F2/1.7+F120/10*(1/3),0)</f>
        <v>0</v>
      </c>
      <c r="G191" s="365">
        <f t="shared" ref="G191" si="1398">IF((G169+G180)&gt;0,G2/1.7+G120/10*(1/3),0)</f>
        <v>0</v>
      </c>
      <c r="H191" s="365">
        <f t="shared" ref="H191:I191" si="1399">IF((H169+H180)&gt;0,H2/1.7+H120/10*(1/3),0)</f>
        <v>0</v>
      </c>
      <c r="I191" s="365">
        <f t="shared" si="1399"/>
        <v>0</v>
      </c>
      <c r="J191" s="365"/>
      <c r="K191" s="365"/>
      <c r="L191" s="365"/>
      <c r="M191" s="365"/>
      <c r="N191" s="2456"/>
      <c r="O191" s="365">
        <f t="shared" ref="O191:V191" si="1400">IF((O169+O180)&gt;0,O2/1.7+O120/10*(1/3),0)</f>
        <v>0</v>
      </c>
      <c r="P191" s="365">
        <f t="shared" si="1400"/>
        <v>0</v>
      </c>
      <c r="Q191" s="365">
        <f t="shared" si="1400"/>
        <v>0</v>
      </c>
      <c r="R191" s="365">
        <f t="shared" si="1400"/>
        <v>0</v>
      </c>
      <c r="S191" s="365">
        <f t="shared" si="1400"/>
        <v>0</v>
      </c>
      <c r="T191" s="365">
        <f t="shared" si="1400"/>
        <v>0</v>
      </c>
      <c r="U191" s="365">
        <f t="shared" si="1400"/>
        <v>0</v>
      </c>
      <c r="V191" s="365">
        <f t="shared" si="1400"/>
        <v>0</v>
      </c>
      <c r="W191" s="365"/>
      <c r="X191" s="2456"/>
      <c r="Y191" s="365">
        <f t="shared" ref="Y191:AH191" si="1401">IF((Y169+Y180)&gt;0,Y2/1.7+Y120/10*(1/3),0)</f>
        <v>0</v>
      </c>
      <c r="Z191" s="365">
        <f t="shared" si="1401"/>
        <v>0</v>
      </c>
      <c r="AA191" s="365">
        <f t="shared" si="1401"/>
        <v>0</v>
      </c>
      <c r="AB191" s="365">
        <f t="shared" si="1401"/>
        <v>0</v>
      </c>
      <c r="AC191" s="365">
        <f t="shared" si="1401"/>
        <v>0</v>
      </c>
      <c r="AD191" s="365">
        <f t="shared" si="1401"/>
        <v>0</v>
      </c>
      <c r="AE191" s="365">
        <f t="shared" si="1401"/>
        <v>0</v>
      </c>
      <c r="AF191" s="365">
        <f t="shared" si="1401"/>
        <v>0</v>
      </c>
      <c r="AG191" s="365">
        <f t="shared" si="1401"/>
        <v>0</v>
      </c>
      <c r="AH191" s="365">
        <f t="shared" si="1401"/>
        <v>0</v>
      </c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2456"/>
      <c r="AS191" s="365">
        <f t="shared" ref="AS191:AW191" si="1402">IF((AS169+AS180)&gt;0,AS2/1.7+AS120/10*(1/3),0)</f>
        <v>0</v>
      </c>
      <c r="AT191" s="365">
        <f t="shared" si="1402"/>
        <v>0</v>
      </c>
      <c r="AU191" s="365">
        <f t="shared" si="1402"/>
        <v>0</v>
      </c>
      <c r="AV191" s="365">
        <f t="shared" si="1402"/>
        <v>0</v>
      </c>
      <c r="AW191" s="365">
        <f t="shared" si="1402"/>
        <v>0</v>
      </c>
      <c r="AX191" s="365">
        <f t="shared" ref="AX191" si="1403">IF((AX169+AX180)&gt;0,AX2/1.7+AX120/10*(1/3),0)</f>
        <v>0</v>
      </c>
      <c r="AY191" s="365">
        <f t="shared" ref="AY191:BL191" si="1404">IF((AY169+AY180)&gt;0,AY2/1.7+AY120/10*(1/3),0)</f>
        <v>0</v>
      </c>
      <c r="AZ191" s="365">
        <f t="shared" ref="AZ191" si="1405">IF((AZ169+AZ180)&gt;0,AZ2/1.7+AZ120/10*(1/3),0)</f>
        <v>0</v>
      </c>
      <c r="BA191" s="365">
        <f t="shared" si="1404"/>
        <v>0</v>
      </c>
      <c r="BB191" s="365">
        <f t="shared" si="1404"/>
        <v>0</v>
      </c>
      <c r="BC191" s="365">
        <f t="shared" si="1404"/>
        <v>0</v>
      </c>
      <c r="BD191" s="365">
        <f t="shared" si="1404"/>
        <v>0</v>
      </c>
      <c r="BE191" s="365">
        <f t="shared" si="1404"/>
        <v>0</v>
      </c>
      <c r="BF191" s="365">
        <f t="shared" si="1404"/>
        <v>0</v>
      </c>
      <c r="BG191" s="365">
        <f t="shared" si="1404"/>
        <v>0</v>
      </c>
      <c r="BH191" s="365">
        <f t="shared" si="1404"/>
        <v>0</v>
      </c>
      <c r="BI191" s="365">
        <f t="shared" si="1404"/>
        <v>0</v>
      </c>
      <c r="BJ191" s="365">
        <f t="shared" si="1404"/>
        <v>0</v>
      </c>
      <c r="BK191" s="365">
        <f t="shared" si="1404"/>
        <v>0</v>
      </c>
      <c r="BL191" s="365">
        <f t="shared" si="1404"/>
        <v>0</v>
      </c>
      <c r="BM191" s="366">
        <f>TRUNC(SUM(F191:BL191),2)</f>
        <v>0</v>
      </c>
      <c r="BN191" s="579">
        <f t="shared" si="1279"/>
        <v>0</v>
      </c>
      <c r="BO191" s="1089"/>
      <c r="BP191" s="1089"/>
      <c r="BQ191" s="1089"/>
      <c r="BR191" s="1089"/>
      <c r="BS191" s="1089"/>
      <c r="BT191" s="1089"/>
      <c r="BU191" s="1089"/>
      <c r="BV191" s="1089"/>
      <c r="BW191" s="1089"/>
      <c r="BX191" s="1089"/>
      <c r="BY191" s="1089"/>
      <c r="BZ191" s="1089"/>
    </row>
    <row r="192" spans="1:78" s="590" customFormat="1" ht="21.95" hidden="1" customHeight="1" x14ac:dyDescent="0.15">
      <c r="A192" s="2596"/>
      <c r="B192" s="2677" t="s">
        <v>65</v>
      </c>
      <c r="C192" s="591" t="s">
        <v>66</v>
      </c>
      <c r="D192" s="2003"/>
      <c r="E192" s="1520"/>
      <c r="F192" s="238">
        <f>Dren_Quantificacao!D111</f>
        <v>0</v>
      </c>
      <c r="G192" s="238">
        <f>Dren_Quantificacao!E111</f>
        <v>0</v>
      </c>
      <c r="H192" s="238">
        <f>Dren_Quantificacao!F111</f>
        <v>0</v>
      </c>
      <c r="I192" s="238">
        <f>Dren_Quantificacao!G111</f>
        <v>0</v>
      </c>
      <c r="J192" s="238"/>
      <c r="K192" s="238"/>
      <c r="L192" s="238"/>
      <c r="M192" s="238"/>
      <c r="N192" s="2439"/>
      <c r="O192" s="238">
        <f>Dren_Quantificacao!M111</f>
        <v>0</v>
      </c>
      <c r="P192" s="238">
        <f>Dren_Quantificacao!N111</f>
        <v>0</v>
      </c>
      <c r="Q192" s="238">
        <f>Dren_Quantificacao!O111</f>
        <v>0</v>
      </c>
      <c r="R192" s="238">
        <f>Dren_Quantificacao!P111</f>
        <v>0</v>
      </c>
      <c r="S192" s="238">
        <f>Dren_Quantificacao!Q111</f>
        <v>0</v>
      </c>
      <c r="T192" s="238">
        <f>Dren_Quantificacao!R111</f>
        <v>0</v>
      </c>
      <c r="U192" s="238">
        <f>Dren_Quantificacao!S111</f>
        <v>0</v>
      </c>
      <c r="V192" s="238">
        <f>Dren_Quantificacao!T111</f>
        <v>0</v>
      </c>
      <c r="W192" s="238"/>
      <c r="X192" s="2439"/>
      <c r="Y192" s="238">
        <f>Dren_Quantificacao!W111</f>
        <v>0</v>
      </c>
      <c r="Z192" s="238">
        <f>Dren_Quantificacao!X111</f>
        <v>0</v>
      </c>
      <c r="AA192" s="238">
        <f>Dren_Quantificacao!Y111</f>
        <v>0</v>
      </c>
      <c r="AB192" s="238">
        <f>Dren_Quantificacao!Z111</f>
        <v>0</v>
      </c>
      <c r="AC192" s="238">
        <f>Dren_Quantificacao!AA111</f>
        <v>0</v>
      </c>
      <c r="AD192" s="238">
        <f>Dren_Quantificacao!AB111</f>
        <v>0</v>
      </c>
      <c r="AE192" s="238">
        <f>Dren_Quantificacao!AC111</f>
        <v>0</v>
      </c>
      <c r="AF192" s="238">
        <f>Dren_Quantificacao!AD111</f>
        <v>0</v>
      </c>
      <c r="AG192" s="238">
        <f>Dren_Quantificacao!AE111</f>
        <v>0</v>
      </c>
      <c r="AH192" s="238">
        <f>Dren_Quantificacao!AF111</f>
        <v>0</v>
      </c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439"/>
      <c r="AS192" s="238">
        <f>Dren_Quantificacao!AQ111</f>
        <v>0</v>
      </c>
      <c r="AT192" s="238">
        <f>Dren_Quantificacao!AR111</f>
        <v>0</v>
      </c>
      <c r="AU192" s="238">
        <f>Dren_Quantificacao!AS111</f>
        <v>0</v>
      </c>
      <c r="AV192" s="238">
        <f>Dren_Quantificacao!AT111</f>
        <v>0</v>
      </c>
      <c r="AW192" s="238">
        <f>Dren_Quantificacao!AU111</f>
        <v>0</v>
      </c>
      <c r="AX192" s="238">
        <f>Dren_Quantificacao!AW111</f>
        <v>0</v>
      </c>
      <c r="AY192" s="238">
        <f>Dren_Quantificacao!AX111</f>
        <v>0</v>
      </c>
      <c r="AZ192" s="238">
        <f>Dren_Quantificacao!AY111</f>
        <v>0</v>
      </c>
      <c r="BA192" s="238">
        <f>Dren_Quantificacao!AZ111</f>
        <v>0</v>
      </c>
      <c r="BB192" s="238">
        <f>Dren_Quantificacao!BA111</f>
        <v>0</v>
      </c>
      <c r="BC192" s="238">
        <f>Dren_Quantificacao!BB111</f>
        <v>0</v>
      </c>
      <c r="BD192" s="238">
        <f>Dren_Quantificacao!BC111</f>
        <v>0</v>
      </c>
      <c r="BE192" s="238">
        <f>Dren_Quantificacao!BD111</f>
        <v>0</v>
      </c>
      <c r="BF192" s="238">
        <f>Dren_Quantificacao!BE111</f>
        <v>0</v>
      </c>
      <c r="BG192" s="238">
        <f>Dren_Quantificacao!BF111</f>
        <v>0</v>
      </c>
      <c r="BH192" s="238">
        <f>Dren_Quantificacao!BG111</f>
        <v>0</v>
      </c>
      <c r="BI192" s="238">
        <f>Dren_Quantificacao!BH111</f>
        <v>0</v>
      </c>
      <c r="BJ192" s="238"/>
      <c r="BK192" s="238"/>
      <c r="BL192" s="238"/>
      <c r="BM192" s="593"/>
      <c r="BN192" s="579">
        <f t="shared" si="1279"/>
        <v>0</v>
      </c>
      <c r="BO192" s="1089"/>
      <c r="BP192" s="1089"/>
      <c r="BQ192" s="1089"/>
      <c r="BR192" s="1089"/>
      <c r="BS192" s="1089"/>
      <c r="BT192" s="1089"/>
      <c r="BU192" s="1089"/>
      <c r="BV192" s="1089"/>
      <c r="BW192" s="1089"/>
      <c r="BX192" s="1089"/>
      <c r="BY192" s="1089"/>
      <c r="BZ192" s="1089"/>
    </row>
    <row r="193" spans="1:78" s="590" customFormat="1" ht="21.95" hidden="1" customHeight="1" x14ac:dyDescent="0.15">
      <c r="A193" s="2596"/>
      <c r="B193" s="2678"/>
      <c r="C193" s="591" t="s">
        <v>631</v>
      </c>
      <c r="D193" s="2004"/>
      <c r="E193" s="592"/>
      <c r="F193" s="158">
        <f>Dren_Quantificacao!D112</f>
        <v>0</v>
      </c>
      <c r="G193" s="158">
        <f>Dren_Quantificacao!E112</f>
        <v>0</v>
      </c>
      <c r="H193" s="158">
        <f>Dren_Quantificacao!F112</f>
        <v>0</v>
      </c>
      <c r="I193" s="158">
        <f>Dren_Quantificacao!G112</f>
        <v>0</v>
      </c>
      <c r="J193" s="158"/>
      <c r="K193" s="158"/>
      <c r="L193" s="158"/>
      <c r="M193" s="158"/>
      <c r="N193" s="2416"/>
      <c r="O193" s="158">
        <f>Dren_Quantificacao!M112</f>
        <v>0</v>
      </c>
      <c r="P193" s="158">
        <f>Dren_Quantificacao!N112</f>
        <v>0</v>
      </c>
      <c r="Q193" s="158">
        <f>Dren_Quantificacao!O112</f>
        <v>0</v>
      </c>
      <c r="R193" s="158">
        <f>Dren_Quantificacao!P112</f>
        <v>0</v>
      </c>
      <c r="S193" s="158">
        <f>Dren_Quantificacao!Q112</f>
        <v>0</v>
      </c>
      <c r="T193" s="158">
        <f>Dren_Quantificacao!R112</f>
        <v>0</v>
      </c>
      <c r="U193" s="158">
        <f>Dren_Quantificacao!S112</f>
        <v>0</v>
      </c>
      <c r="V193" s="158">
        <f>Dren_Quantificacao!T112</f>
        <v>0</v>
      </c>
      <c r="W193" s="158"/>
      <c r="X193" s="2416"/>
      <c r="Y193" s="158">
        <f>Dren_Quantificacao!W112</f>
        <v>0</v>
      </c>
      <c r="Z193" s="158">
        <f>Dren_Quantificacao!X112</f>
        <v>0</v>
      </c>
      <c r="AA193" s="158">
        <f>Dren_Quantificacao!Y112</f>
        <v>0</v>
      </c>
      <c r="AB193" s="158">
        <f>Dren_Quantificacao!Z112</f>
        <v>0</v>
      </c>
      <c r="AC193" s="158">
        <f>Dren_Quantificacao!AA112</f>
        <v>0</v>
      </c>
      <c r="AD193" s="158">
        <f>Dren_Quantificacao!AB112</f>
        <v>0</v>
      </c>
      <c r="AE193" s="158">
        <f>Dren_Quantificacao!AC112</f>
        <v>0</v>
      </c>
      <c r="AF193" s="158">
        <f>Dren_Quantificacao!AD112</f>
        <v>0</v>
      </c>
      <c r="AG193" s="158">
        <f>Dren_Quantificacao!AE112</f>
        <v>0</v>
      </c>
      <c r="AH193" s="158">
        <f>Dren_Quantificacao!AF112</f>
        <v>0</v>
      </c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2416"/>
      <c r="AS193" s="158">
        <f>Dren_Quantificacao!AQ112</f>
        <v>0</v>
      </c>
      <c r="AT193" s="158">
        <f>Dren_Quantificacao!AR112</f>
        <v>0</v>
      </c>
      <c r="AU193" s="158">
        <f>Dren_Quantificacao!AS112</f>
        <v>0</v>
      </c>
      <c r="AV193" s="158">
        <f>Dren_Quantificacao!AT112</f>
        <v>0</v>
      </c>
      <c r="AW193" s="158">
        <f>Dren_Quantificacao!AU112</f>
        <v>0</v>
      </c>
      <c r="AX193" s="158">
        <f>Dren_Quantificacao!AW112</f>
        <v>0</v>
      </c>
      <c r="AY193" s="158">
        <f>Dren_Quantificacao!AX112</f>
        <v>0</v>
      </c>
      <c r="AZ193" s="158">
        <f>Dren_Quantificacao!AY112</f>
        <v>0</v>
      </c>
      <c r="BA193" s="158">
        <f>Dren_Quantificacao!AZ112</f>
        <v>0</v>
      </c>
      <c r="BB193" s="158">
        <f>Dren_Quantificacao!BA112</f>
        <v>0</v>
      </c>
      <c r="BC193" s="158">
        <f>Dren_Quantificacao!BB112</f>
        <v>0</v>
      </c>
      <c r="BD193" s="158">
        <f>Dren_Quantificacao!BC112</f>
        <v>0</v>
      </c>
      <c r="BE193" s="158">
        <f>Dren_Quantificacao!BD112</f>
        <v>0</v>
      </c>
      <c r="BF193" s="158">
        <f>Dren_Quantificacao!BE112</f>
        <v>0</v>
      </c>
      <c r="BG193" s="158">
        <f>Dren_Quantificacao!BF112</f>
        <v>0</v>
      </c>
      <c r="BH193" s="158">
        <f>Dren_Quantificacao!BG112</f>
        <v>0</v>
      </c>
      <c r="BI193" s="158">
        <f>Dren_Quantificacao!BH112</f>
        <v>0</v>
      </c>
      <c r="BJ193" s="158"/>
      <c r="BK193" s="158"/>
      <c r="BL193" s="158"/>
      <c r="BM193" s="595"/>
      <c r="BN193" s="579">
        <f t="shared" si="1279"/>
        <v>0</v>
      </c>
      <c r="BO193" s="1089"/>
      <c r="BP193" s="1089"/>
      <c r="BQ193" s="1089"/>
      <c r="BR193" s="1089"/>
      <c r="BS193" s="1089"/>
      <c r="BT193" s="1089"/>
      <c r="BU193" s="1089"/>
      <c r="BV193" s="1089"/>
      <c r="BW193" s="1089"/>
      <c r="BX193" s="1089"/>
      <c r="BY193" s="1089"/>
      <c r="BZ193" s="1089"/>
    </row>
    <row r="194" spans="1:78" s="590" customFormat="1" ht="21.95" hidden="1" customHeight="1" x14ac:dyDescent="0.15">
      <c r="A194" s="2596"/>
      <c r="B194" s="2678"/>
      <c r="C194" s="591" t="s">
        <v>632</v>
      </c>
      <c r="D194" s="2004"/>
      <c r="E194" s="592"/>
      <c r="F194" s="158">
        <f t="shared" ref="F194" si="1406">2*F192*1.5+F193</f>
        <v>0</v>
      </c>
      <c r="G194" s="158">
        <f t="shared" ref="G194" si="1407">2*G192*1.5+G193</f>
        <v>0</v>
      </c>
      <c r="H194" s="158">
        <f t="shared" ref="H194:I194" si="1408">2*H192*1.5+H193</f>
        <v>0</v>
      </c>
      <c r="I194" s="158">
        <f t="shared" si="1408"/>
        <v>0</v>
      </c>
      <c r="J194" s="158"/>
      <c r="K194" s="158"/>
      <c r="L194" s="158"/>
      <c r="M194" s="158"/>
      <c r="N194" s="2416"/>
      <c r="O194" s="158">
        <f t="shared" ref="O194:V194" si="1409">2*O192*1.5+O193</f>
        <v>0</v>
      </c>
      <c r="P194" s="158">
        <f t="shared" si="1409"/>
        <v>0</v>
      </c>
      <c r="Q194" s="158">
        <f t="shared" si="1409"/>
        <v>0</v>
      </c>
      <c r="R194" s="158">
        <f t="shared" si="1409"/>
        <v>0</v>
      </c>
      <c r="S194" s="158">
        <f t="shared" si="1409"/>
        <v>0</v>
      </c>
      <c r="T194" s="158">
        <f t="shared" si="1409"/>
        <v>0</v>
      </c>
      <c r="U194" s="158">
        <f t="shared" si="1409"/>
        <v>0</v>
      </c>
      <c r="V194" s="158">
        <f t="shared" si="1409"/>
        <v>0</v>
      </c>
      <c r="W194" s="158"/>
      <c r="X194" s="2416"/>
      <c r="Y194" s="158">
        <f t="shared" ref="Y194:AH194" si="1410">2*Y192*1.5+Y193</f>
        <v>0</v>
      </c>
      <c r="Z194" s="158">
        <f t="shared" si="1410"/>
        <v>0</v>
      </c>
      <c r="AA194" s="158">
        <f t="shared" si="1410"/>
        <v>0</v>
      </c>
      <c r="AB194" s="158">
        <f t="shared" si="1410"/>
        <v>0</v>
      </c>
      <c r="AC194" s="158">
        <f t="shared" si="1410"/>
        <v>0</v>
      </c>
      <c r="AD194" s="158">
        <f t="shared" si="1410"/>
        <v>0</v>
      </c>
      <c r="AE194" s="158">
        <f t="shared" si="1410"/>
        <v>0</v>
      </c>
      <c r="AF194" s="158">
        <f t="shared" si="1410"/>
        <v>0</v>
      </c>
      <c r="AG194" s="158">
        <f t="shared" si="1410"/>
        <v>0</v>
      </c>
      <c r="AH194" s="158">
        <f t="shared" si="1410"/>
        <v>0</v>
      </c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2416"/>
      <c r="AS194" s="158">
        <f t="shared" ref="AS194:AW194" si="1411">2*AS192*1.5+AS193</f>
        <v>0</v>
      </c>
      <c r="AT194" s="158">
        <f t="shared" si="1411"/>
        <v>0</v>
      </c>
      <c r="AU194" s="158">
        <f t="shared" si="1411"/>
        <v>0</v>
      </c>
      <c r="AV194" s="158">
        <f t="shared" si="1411"/>
        <v>0</v>
      </c>
      <c r="AW194" s="158">
        <f t="shared" si="1411"/>
        <v>0</v>
      </c>
      <c r="AX194" s="158">
        <f t="shared" ref="AX194" si="1412">2*AX192*1.5+AX193</f>
        <v>0</v>
      </c>
      <c r="AY194" s="158">
        <f t="shared" ref="AY194:BI194" si="1413">2*AY192*1.5+AY193</f>
        <v>0</v>
      </c>
      <c r="AZ194" s="158">
        <f t="shared" ref="AZ194" si="1414">2*AZ192*1.5+AZ193</f>
        <v>0</v>
      </c>
      <c r="BA194" s="158">
        <f t="shared" si="1413"/>
        <v>0</v>
      </c>
      <c r="BB194" s="158">
        <f t="shared" si="1413"/>
        <v>0</v>
      </c>
      <c r="BC194" s="158">
        <f t="shared" si="1413"/>
        <v>0</v>
      </c>
      <c r="BD194" s="158">
        <f t="shared" si="1413"/>
        <v>0</v>
      </c>
      <c r="BE194" s="158">
        <f t="shared" si="1413"/>
        <v>0</v>
      </c>
      <c r="BF194" s="158">
        <f t="shared" si="1413"/>
        <v>0</v>
      </c>
      <c r="BG194" s="158">
        <f t="shared" si="1413"/>
        <v>0</v>
      </c>
      <c r="BH194" s="158">
        <f t="shared" si="1413"/>
        <v>0</v>
      </c>
      <c r="BI194" s="158">
        <f t="shared" si="1413"/>
        <v>0</v>
      </c>
      <c r="BJ194" s="158"/>
      <c r="BK194" s="158"/>
      <c r="BL194" s="158"/>
      <c r="BM194" s="595"/>
      <c r="BN194" s="579">
        <f t="shared" si="1279"/>
        <v>0</v>
      </c>
      <c r="BO194" s="1089"/>
      <c r="BP194" s="1089"/>
      <c r="BQ194" s="1089"/>
      <c r="BR194" s="1089"/>
      <c r="BS194" s="1089"/>
      <c r="BT194" s="1089"/>
      <c r="BU194" s="1089"/>
      <c r="BV194" s="1089"/>
      <c r="BW194" s="1089"/>
      <c r="BX194" s="1089"/>
      <c r="BY194" s="1089"/>
      <c r="BZ194" s="1089"/>
    </row>
    <row r="195" spans="1:78" s="590" customFormat="1" ht="21.95" hidden="1" customHeight="1" x14ac:dyDescent="0.15">
      <c r="A195" s="2596"/>
      <c r="B195" s="2678"/>
      <c r="C195" s="591" t="s">
        <v>3</v>
      </c>
      <c r="D195" s="2004"/>
      <c r="E195" s="592"/>
      <c r="F195" s="158">
        <f>Dren_Quantificacao!D113</f>
        <v>0</v>
      </c>
      <c r="G195" s="158">
        <f>Dren_Quantificacao!E113</f>
        <v>0</v>
      </c>
      <c r="H195" s="158">
        <f>Dren_Quantificacao!F113</f>
        <v>0</v>
      </c>
      <c r="I195" s="158">
        <f>Dren_Quantificacao!G113</f>
        <v>0</v>
      </c>
      <c r="J195" s="158"/>
      <c r="K195" s="158"/>
      <c r="L195" s="158"/>
      <c r="M195" s="158"/>
      <c r="N195" s="2416"/>
      <c r="O195" s="158">
        <f>Dren_Quantificacao!M113</f>
        <v>0</v>
      </c>
      <c r="P195" s="158">
        <f>Dren_Quantificacao!N113</f>
        <v>0</v>
      </c>
      <c r="Q195" s="158">
        <f>Dren_Quantificacao!O113</f>
        <v>0</v>
      </c>
      <c r="R195" s="158">
        <f>Dren_Quantificacao!P113</f>
        <v>0</v>
      </c>
      <c r="S195" s="158">
        <f>Dren_Quantificacao!Q113</f>
        <v>0</v>
      </c>
      <c r="T195" s="158">
        <f>Dren_Quantificacao!R113</f>
        <v>0</v>
      </c>
      <c r="U195" s="158">
        <f>Dren_Quantificacao!S113</f>
        <v>0</v>
      </c>
      <c r="V195" s="158">
        <f>Dren_Quantificacao!T113</f>
        <v>0</v>
      </c>
      <c r="W195" s="158"/>
      <c r="X195" s="2416"/>
      <c r="Y195" s="158">
        <f>Dren_Quantificacao!W113</f>
        <v>0</v>
      </c>
      <c r="Z195" s="158">
        <f>Dren_Quantificacao!X113</f>
        <v>0</v>
      </c>
      <c r="AA195" s="158">
        <f>Dren_Quantificacao!Y113</f>
        <v>0</v>
      </c>
      <c r="AB195" s="158">
        <f>Dren_Quantificacao!Z113</f>
        <v>0</v>
      </c>
      <c r="AC195" s="158">
        <f>Dren_Quantificacao!AA113</f>
        <v>0</v>
      </c>
      <c r="AD195" s="158">
        <f>Dren_Quantificacao!AB113</f>
        <v>0</v>
      </c>
      <c r="AE195" s="158">
        <f>Dren_Quantificacao!AC113</f>
        <v>0</v>
      </c>
      <c r="AF195" s="158">
        <f>Dren_Quantificacao!AD113</f>
        <v>0</v>
      </c>
      <c r="AG195" s="158">
        <f>Dren_Quantificacao!AE113</f>
        <v>0</v>
      </c>
      <c r="AH195" s="158">
        <f>Dren_Quantificacao!AF113</f>
        <v>0</v>
      </c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2416"/>
      <c r="AS195" s="158">
        <f>Dren_Quantificacao!AQ113</f>
        <v>0</v>
      </c>
      <c r="AT195" s="158">
        <f>Dren_Quantificacao!AR113</f>
        <v>0</v>
      </c>
      <c r="AU195" s="158">
        <f>Dren_Quantificacao!AS113</f>
        <v>0</v>
      </c>
      <c r="AV195" s="158">
        <f>Dren_Quantificacao!AT113</f>
        <v>0</v>
      </c>
      <c r="AW195" s="158">
        <f>Dren_Quantificacao!AU113</f>
        <v>0</v>
      </c>
      <c r="AX195" s="158">
        <f>Dren_Quantificacao!AW113</f>
        <v>0</v>
      </c>
      <c r="AY195" s="158">
        <f>Dren_Quantificacao!AX113</f>
        <v>0</v>
      </c>
      <c r="AZ195" s="158">
        <f>Dren_Quantificacao!AY113</f>
        <v>0</v>
      </c>
      <c r="BA195" s="158">
        <f>Dren_Quantificacao!AZ113</f>
        <v>0</v>
      </c>
      <c r="BB195" s="158">
        <f>Dren_Quantificacao!BA113</f>
        <v>0</v>
      </c>
      <c r="BC195" s="158">
        <f>Dren_Quantificacao!BB113</f>
        <v>0</v>
      </c>
      <c r="BD195" s="158">
        <f>Dren_Quantificacao!BC113</f>
        <v>0</v>
      </c>
      <c r="BE195" s="158">
        <f>Dren_Quantificacao!BD113</f>
        <v>0</v>
      </c>
      <c r="BF195" s="158">
        <f>Dren_Quantificacao!BE113</f>
        <v>0</v>
      </c>
      <c r="BG195" s="158">
        <f>Dren_Quantificacao!BF113</f>
        <v>0</v>
      </c>
      <c r="BH195" s="158">
        <f>Dren_Quantificacao!BG113</f>
        <v>0</v>
      </c>
      <c r="BI195" s="158">
        <f>Dren_Quantificacao!BH113</f>
        <v>0</v>
      </c>
      <c r="BJ195" s="158"/>
      <c r="BK195" s="158"/>
      <c r="BL195" s="158"/>
      <c r="BM195" s="595">
        <f t="shared" ref="BM195:BM211" si="1415">TRUNC(SUM(F195:BL195),2)</f>
        <v>0</v>
      </c>
      <c r="BN195" s="579">
        <f t="shared" si="1279"/>
        <v>0</v>
      </c>
      <c r="BO195" s="1089"/>
      <c r="BP195" s="1089"/>
      <c r="BQ195" s="1089"/>
      <c r="BR195" s="1089"/>
      <c r="BS195" s="1089"/>
      <c r="BT195" s="1089"/>
      <c r="BU195" s="1089"/>
      <c r="BV195" s="1089"/>
      <c r="BW195" s="1089"/>
      <c r="BX195" s="1089"/>
      <c r="BY195" s="1089"/>
      <c r="BZ195" s="1089"/>
    </row>
    <row r="196" spans="1:78" s="590" customFormat="1" ht="21.95" hidden="1" customHeight="1" x14ac:dyDescent="0.15">
      <c r="A196" s="2596"/>
      <c r="B196" s="2678"/>
      <c r="C196" s="598" t="s">
        <v>2425</v>
      </c>
      <c r="D196" s="2004"/>
      <c r="E196" s="592"/>
      <c r="F196" s="158">
        <f t="shared" ref="F196" si="1416">IF(F192&lt;1.5,(F193+F194)/2*F192*F195,0)</f>
        <v>0</v>
      </c>
      <c r="G196" s="158">
        <f t="shared" ref="G196" si="1417">IF(G192&lt;1.5,(G193+G194)/2*G192*G195,0)</f>
        <v>0</v>
      </c>
      <c r="H196" s="158">
        <f t="shared" ref="H196:I196" si="1418">IF(H192&lt;1.5,(H193+H194)/2*H192*H195,0)</f>
        <v>0</v>
      </c>
      <c r="I196" s="158">
        <f t="shared" si="1418"/>
        <v>0</v>
      </c>
      <c r="J196" s="158"/>
      <c r="K196" s="158"/>
      <c r="L196" s="158"/>
      <c r="M196" s="158"/>
      <c r="N196" s="2416"/>
      <c r="O196" s="158">
        <f t="shared" ref="O196:V196" si="1419">IF(O192&lt;1.5,(O193+O194)/2*O192*O195,0)</f>
        <v>0</v>
      </c>
      <c r="P196" s="158">
        <f t="shared" si="1419"/>
        <v>0</v>
      </c>
      <c r="Q196" s="158">
        <f t="shared" si="1419"/>
        <v>0</v>
      </c>
      <c r="R196" s="158">
        <f t="shared" si="1419"/>
        <v>0</v>
      </c>
      <c r="S196" s="158">
        <f t="shared" si="1419"/>
        <v>0</v>
      </c>
      <c r="T196" s="158">
        <f t="shared" si="1419"/>
        <v>0</v>
      </c>
      <c r="U196" s="158">
        <f t="shared" si="1419"/>
        <v>0</v>
      </c>
      <c r="V196" s="158">
        <f t="shared" si="1419"/>
        <v>0</v>
      </c>
      <c r="W196" s="158"/>
      <c r="X196" s="2416"/>
      <c r="Y196" s="158">
        <f t="shared" ref="Y196:AH196" si="1420">IF(Y192&lt;1.5,(Y193+Y194)/2*Y192*Y195,0)</f>
        <v>0</v>
      </c>
      <c r="Z196" s="158">
        <f t="shared" si="1420"/>
        <v>0</v>
      </c>
      <c r="AA196" s="158">
        <f t="shared" si="1420"/>
        <v>0</v>
      </c>
      <c r="AB196" s="158">
        <f t="shared" si="1420"/>
        <v>0</v>
      </c>
      <c r="AC196" s="158">
        <f t="shared" si="1420"/>
        <v>0</v>
      </c>
      <c r="AD196" s="158">
        <f t="shared" si="1420"/>
        <v>0</v>
      </c>
      <c r="AE196" s="158">
        <f t="shared" si="1420"/>
        <v>0</v>
      </c>
      <c r="AF196" s="158">
        <f t="shared" si="1420"/>
        <v>0</v>
      </c>
      <c r="AG196" s="158">
        <f t="shared" si="1420"/>
        <v>0</v>
      </c>
      <c r="AH196" s="158">
        <f t="shared" si="1420"/>
        <v>0</v>
      </c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2416"/>
      <c r="AS196" s="158">
        <f t="shared" ref="AS196:AW196" si="1421">IF(AS192&lt;1.5,(AS193+AS194)/2*AS192*AS195,0)</f>
        <v>0</v>
      </c>
      <c r="AT196" s="158">
        <f t="shared" si="1421"/>
        <v>0</v>
      </c>
      <c r="AU196" s="158">
        <f t="shared" si="1421"/>
        <v>0</v>
      </c>
      <c r="AV196" s="158">
        <f t="shared" si="1421"/>
        <v>0</v>
      </c>
      <c r="AW196" s="158">
        <f t="shared" si="1421"/>
        <v>0</v>
      </c>
      <c r="AX196" s="158">
        <f t="shared" ref="AX196" si="1422">IF(AX192&lt;1.5,(AX193+AX194)/2*AX192*AX195,0)</f>
        <v>0</v>
      </c>
      <c r="AY196" s="158">
        <f t="shared" ref="AY196:BI196" si="1423">IF(AY192&lt;1.5,(AY193+AY194)/2*AY192*AY195,0)</f>
        <v>0</v>
      </c>
      <c r="AZ196" s="158">
        <f t="shared" ref="AZ196" si="1424">IF(AZ192&lt;1.5,(AZ193+AZ194)/2*AZ192*AZ195,0)</f>
        <v>0</v>
      </c>
      <c r="BA196" s="158">
        <f t="shared" si="1423"/>
        <v>0</v>
      </c>
      <c r="BB196" s="158">
        <f t="shared" si="1423"/>
        <v>0</v>
      </c>
      <c r="BC196" s="158">
        <f t="shared" si="1423"/>
        <v>0</v>
      </c>
      <c r="BD196" s="158">
        <f t="shared" si="1423"/>
        <v>0</v>
      </c>
      <c r="BE196" s="158">
        <f t="shared" si="1423"/>
        <v>0</v>
      </c>
      <c r="BF196" s="158">
        <f t="shared" si="1423"/>
        <v>0</v>
      </c>
      <c r="BG196" s="158">
        <f t="shared" si="1423"/>
        <v>0</v>
      </c>
      <c r="BH196" s="158">
        <f t="shared" si="1423"/>
        <v>0</v>
      </c>
      <c r="BI196" s="158">
        <f t="shared" si="1423"/>
        <v>0</v>
      </c>
      <c r="BJ196" s="158"/>
      <c r="BK196" s="158"/>
      <c r="BL196" s="158"/>
      <c r="BM196" s="350">
        <f t="shared" si="1415"/>
        <v>0</v>
      </c>
      <c r="BN196" s="579">
        <f t="shared" si="1279"/>
        <v>0</v>
      </c>
      <c r="BO196" s="1089"/>
      <c r="BP196" s="1089"/>
      <c r="BQ196" s="1089"/>
      <c r="BR196" s="1089"/>
      <c r="BS196" s="1089"/>
      <c r="BT196" s="1089"/>
      <c r="BU196" s="1089"/>
      <c r="BV196" s="1089"/>
      <c r="BW196" s="1089"/>
      <c r="BX196" s="1089"/>
      <c r="BY196" s="1089"/>
      <c r="BZ196" s="1089"/>
    </row>
    <row r="197" spans="1:78" s="590" customFormat="1" ht="21.95" hidden="1" customHeight="1" thickBot="1" x14ac:dyDescent="0.2">
      <c r="A197" s="2596"/>
      <c r="B197" s="2670"/>
      <c r="C197" s="929" t="s">
        <v>2426</v>
      </c>
      <c r="D197" s="2005"/>
      <c r="E197" s="1523"/>
      <c r="F197" s="239">
        <f t="shared" ref="F197" si="1425">IF(F196=0,(F193+F194)/2*F192*F195,0)</f>
        <v>0</v>
      </c>
      <c r="G197" s="239">
        <f t="shared" ref="G197" si="1426">IF(G196=0,(G193+G194)/2*G192*G195,0)</f>
        <v>0</v>
      </c>
      <c r="H197" s="239">
        <f t="shared" ref="H197:I197" si="1427">IF(H196=0,(H193+H194)/2*H192*H195,0)</f>
        <v>0</v>
      </c>
      <c r="I197" s="239">
        <f t="shared" si="1427"/>
        <v>0</v>
      </c>
      <c r="J197" s="239"/>
      <c r="K197" s="239"/>
      <c r="L197" s="239"/>
      <c r="M197" s="239"/>
      <c r="N197" s="2440"/>
      <c r="O197" s="239">
        <f t="shared" ref="O197:V197" si="1428">IF(O196=0,(O193+O194)/2*O192*O195,0)</f>
        <v>0</v>
      </c>
      <c r="P197" s="239">
        <f t="shared" si="1428"/>
        <v>0</v>
      </c>
      <c r="Q197" s="239">
        <f t="shared" si="1428"/>
        <v>0</v>
      </c>
      <c r="R197" s="239">
        <f t="shared" si="1428"/>
        <v>0</v>
      </c>
      <c r="S197" s="239">
        <f t="shared" si="1428"/>
        <v>0</v>
      </c>
      <c r="T197" s="239">
        <f t="shared" si="1428"/>
        <v>0</v>
      </c>
      <c r="U197" s="239">
        <f t="shared" si="1428"/>
        <v>0</v>
      </c>
      <c r="V197" s="239">
        <f t="shared" si="1428"/>
        <v>0</v>
      </c>
      <c r="W197" s="239"/>
      <c r="X197" s="2440"/>
      <c r="Y197" s="239">
        <f t="shared" ref="Y197:AH197" si="1429">IF(Y196=0,(Y193+Y194)/2*Y192*Y195,0)</f>
        <v>0</v>
      </c>
      <c r="Z197" s="239">
        <f t="shared" si="1429"/>
        <v>0</v>
      </c>
      <c r="AA197" s="239">
        <f t="shared" si="1429"/>
        <v>0</v>
      </c>
      <c r="AB197" s="239">
        <f t="shared" si="1429"/>
        <v>0</v>
      </c>
      <c r="AC197" s="239">
        <f t="shared" si="1429"/>
        <v>0</v>
      </c>
      <c r="AD197" s="239">
        <f t="shared" si="1429"/>
        <v>0</v>
      </c>
      <c r="AE197" s="239">
        <f t="shared" si="1429"/>
        <v>0</v>
      </c>
      <c r="AF197" s="239">
        <f t="shared" si="1429"/>
        <v>0</v>
      </c>
      <c r="AG197" s="239">
        <f t="shared" si="1429"/>
        <v>0</v>
      </c>
      <c r="AH197" s="239">
        <f t="shared" si="1429"/>
        <v>0</v>
      </c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440"/>
      <c r="AS197" s="239">
        <f t="shared" ref="AS197:AW197" si="1430">IF(AS196=0,(AS193+AS194)/2*AS192*AS195,0)</f>
        <v>0</v>
      </c>
      <c r="AT197" s="239">
        <f t="shared" si="1430"/>
        <v>0</v>
      </c>
      <c r="AU197" s="239">
        <f t="shared" si="1430"/>
        <v>0</v>
      </c>
      <c r="AV197" s="239">
        <f t="shared" si="1430"/>
        <v>0</v>
      </c>
      <c r="AW197" s="239">
        <f t="shared" si="1430"/>
        <v>0</v>
      </c>
      <c r="AX197" s="239">
        <f t="shared" ref="AX197" si="1431">IF(AX196=0,(AX193+AX194)/2*AX192*AX195,0)</f>
        <v>0</v>
      </c>
      <c r="AY197" s="239">
        <f t="shared" ref="AY197:BI197" si="1432">IF(AY196=0,(AY193+AY194)/2*AY192*AY195,0)</f>
        <v>0</v>
      </c>
      <c r="AZ197" s="239">
        <f t="shared" ref="AZ197" si="1433">IF(AZ196=0,(AZ193+AZ194)/2*AZ192*AZ195,0)</f>
        <v>0</v>
      </c>
      <c r="BA197" s="239">
        <f t="shared" si="1432"/>
        <v>0</v>
      </c>
      <c r="BB197" s="239">
        <f t="shared" si="1432"/>
        <v>0</v>
      </c>
      <c r="BC197" s="239">
        <f t="shared" si="1432"/>
        <v>0</v>
      </c>
      <c r="BD197" s="239">
        <f t="shared" si="1432"/>
        <v>0</v>
      </c>
      <c r="BE197" s="239">
        <f t="shared" si="1432"/>
        <v>0</v>
      </c>
      <c r="BF197" s="239">
        <f t="shared" si="1432"/>
        <v>0</v>
      </c>
      <c r="BG197" s="239">
        <f t="shared" si="1432"/>
        <v>0</v>
      </c>
      <c r="BH197" s="239">
        <f t="shared" si="1432"/>
        <v>0</v>
      </c>
      <c r="BI197" s="239">
        <f t="shared" si="1432"/>
        <v>0</v>
      </c>
      <c r="BJ197" s="239"/>
      <c r="BK197" s="239"/>
      <c r="BL197" s="239"/>
      <c r="BM197" s="361">
        <f t="shared" si="1415"/>
        <v>0</v>
      </c>
      <c r="BN197" s="579">
        <f t="shared" ref="BN197:BN211" si="1434">SUM(F197:BM197)</f>
        <v>0</v>
      </c>
      <c r="BO197" s="1089"/>
      <c r="BP197" s="1089"/>
      <c r="BQ197" s="1089"/>
      <c r="BR197" s="1089"/>
      <c r="BS197" s="1089"/>
      <c r="BT197" s="1089"/>
      <c r="BU197" s="1089"/>
      <c r="BV197" s="1089"/>
      <c r="BW197" s="1089"/>
      <c r="BX197" s="1089"/>
      <c r="BY197" s="1089"/>
      <c r="BZ197" s="1089"/>
    </row>
    <row r="198" spans="1:78" s="590" customFormat="1" ht="21.95" hidden="1" customHeight="1" thickBot="1" x14ac:dyDescent="0.2">
      <c r="A198" s="2596"/>
      <c r="B198" s="2616" t="s">
        <v>1355</v>
      </c>
      <c r="C198" s="2274" t="s">
        <v>1475</v>
      </c>
      <c r="D198" s="2003"/>
      <c r="E198" s="1520"/>
      <c r="F198" s="238">
        <f t="shared" ref="F198" si="1435">F41*1.4</f>
        <v>0</v>
      </c>
      <c r="G198" s="238">
        <f t="shared" ref="G198" si="1436">G41*1.4</f>
        <v>0</v>
      </c>
      <c r="H198" s="238">
        <f t="shared" ref="H198:I198" si="1437">H41*1.4</f>
        <v>0</v>
      </c>
      <c r="I198" s="238">
        <f t="shared" si="1437"/>
        <v>0</v>
      </c>
      <c r="J198" s="238"/>
      <c r="K198" s="238"/>
      <c r="L198" s="238"/>
      <c r="M198" s="238"/>
      <c r="N198" s="2439"/>
      <c r="O198" s="238">
        <f t="shared" ref="O198:V198" si="1438">O41*1.4</f>
        <v>0</v>
      </c>
      <c r="P198" s="238">
        <f t="shared" si="1438"/>
        <v>0</v>
      </c>
      <c r="Q198" s="238">
        <f t="shared" si="1438"/>
        <v>0</v>
      </c>
      <c r="R198" s="238">
        <f t="shared" si="1438"/>
        <v>0</v>
      </c>
      <c r="S198" s="238">
        <f t="shared" si="1438"/>
        <v>0</v>
      </c>
      <c r="T198" s="238">
        <f t="shared" si="1438"/>
        <v>0</v>
      </c>
      <c r="U198" s="238">
        <f t="shared" si="1438"/>
        <v>0</v>
      </c>
      <c r="V198" s="238">
        <f t="shared" si="1438"/>
        <v>0</v>
      </c>
      <c r="W198" s="238"/>
      <c r="X198" s="2439"/>
      <c r="Y198" s="238">
        <f t="shared" ref="Y198:AH198" si="1439">Y41*1.4</f>
        <v>0</v>
      </c>
      <c r="Z198" s="238">
        <f t="shared" si="1439"/>
        <v>0</v>
      </c>
      <c r="AA198" s="238">
        <f t="shared" si="1439"/>
        <v>0</v>
      </c>
      <c r="AB198" s="238">
        <f t="shared" si="1439"/>
        <v>0</v>
      </c>
      <c r="AC198" s="238">
        <f t="shared" si="1439"/>
        <v>0</v>
      </c>
      <c r="AD198" s="238">
        <f t="shared" si="1439"/>
        <v>0</v>
      </c>
      <c r="AE198" s="238">
        <f t="shared" si="1439"/>
        <v>0</v>
      </c>
      <c r="AF198" s="238">
        <f t="shared" si="1439"/>
        <v>0</v>
      </c>
      <c r="AG198" s="238">
        <f t="shared" si="1439"/>
        <v>0</v>
      </c>
      <c r="AH198" s="238">
        <f t="shared" si="1439"/>
        <v>0</v>
      </c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439"/>
      <c r="AS198" s="238">
        <f t="shared" ref="AS198:AW198" si="1440">AS41*1.4</f>
        <v>0</v>
      </c>
      <c r="AT198" s="238">
        <f t="shared" si="1440"/>
        <v>0</v>
      </c>
      <c r="AU198" s="238">
        <f t="shared" si="1440"/>
        <v>0</v>
      </c>
      <c r="AV198" s="238">
        <f t="shared" si="1440"/>
        <v>0</v>
      </c>
      <c r="AW198" s="238">
        <f t="shared" si="1440"/>
        <v>0</v>
      </c>
      <c r="AX198" s="238">
        <f t="shared" ref="AX198" si="1441">AX41*1.4</f>
        <v>0</v>
      </c>
      <c r="AY198" s="238">
        <f t="shared" ref="AY198:BI198" si="1442">AY41*1.4</f>
        <v>0</v>
      </c>
      <c r="AZ198" s="238">
        <f t="shared" ref="AZ198" si="1443">AZ41*1.4</f>
        <v>0</v>
      </c>
      <c r="BA198" s="238">
        <f t="shared" si="1442"/>
        <v>0</v>
      </c>
      <c r="BB198" s="238">
        <f t="shared" si="1442"/>
        <v>0</v>
      </c>
      <c r="BC198" s="238">
        <f t="shared" si="1442"/>
        <v>0</v>
      </c>
      <c r="BD198" s="238">
        <f t="shared" si="1442"/>
        <v>0</v>
      </c>
      <c r="BE198" s="238">
        <f t="shared" si="1442"/>
        <v>0</v>
      </c>
      <c r="BF198" s="238">
        <f t="shared" si="1442"/>
        <v>0</v>
      </c>
      <c r="BG198" s="238">
        <f t="shared" si="1442"/>
        <v>0</v>
      </c>
      <c r="BH198" s="238">
        <f t="shared" si="1442"/>
        <v>0</v>
      </c>
      <c r="BI198" s="238">
        <f t="shared" si="1442"/>
        <v>0</v>
      </c>
      <c r="BJ198" s="238">
        <f>+BJ41</f>
        <v>0</v>
      </c>
      <c r="BK198" s="238">
        <f>+BK41</f>
        <v>0</v>
      </c>
      <c r="BL198" s="238">
        <f>+BL41</f>
        <v>0</v>
      </c>
      <c r="BM198" s="362">
        <f t="shared" si="1415"/>
        <v>0</v>
      </c>
      <c r="BN198" s="579">
        <f t="shared" si="1434"/>
        <v>0</v>
      </c>
      <c r="BO198" s="1089"/>
      <c r="BP198" s="1089"/>
      <c r="BQ198" s="1089"/>
      <c r="BR198" s="1089"/>
      <c r="BS198" s="1089"/>
      <c r="BT198" s="1089"/>
      <c r="BU198" s="1089"/>
      <c r="BV198" s="1089"/>
      <c r="BW198" s="1089"/>
      <c r="BX198" s="1089"/>
      <c r="BY198" s="1089"/>
      <c r="BZ198" s="1089"/>
    </row>
    <row r="199" spans="1:78" s="590" customFormat="1" ht="21.95" customHeight="1" x14ac:dyDescent="0.15">
      <c r="A199" s="2596"/>
      <c r="B199" s="2616"/>
      <c r="C199" s="591" t="s">
        <v>1363</v>
      </c>
      <c r="D199" s="2004"/>
      <c r="E199" s="592"/>
      <c r="F199" s="158">
        <f>(F46-F41-F120)*1.25</f>
        <v>0</v>
      </c>
      <c r="G199" s="158">
        <f t="shared" ref="G199" ca="1" si="1444">(G46-G41-G120)*1.25</f>
        <v>36.653715471668988</v>
      </c>
      <c r="H199" s="158">
        <f t="shared" ref="H199:I199" ca="1" si="1445">(H46-H41-H120)*1.25</f>
        <v>30.118951424789913</v>
      </c>
      <c r="I199" s="158">
        <f t="shared" ca="1" si="1445"/>
        <v>30.118951424789913</v>
      </c>
      <c r="J199" s="158"/>
      <c r="K199" s="158"/>
      <c r="L199" s="158"/>
      <c r="M199" s="158"/>
      <c r="N199" s="2416"/>
      <c r="O199" s="158">
        <f t="shared" ref="O199:V199" ca="1" si="1446">(O46-O41-O120)*1.25</f>
        <v>34.037774100877805</v>
      </c>
      <c r="P199" s="158">
        <f t="shared" ca="1" si="1446"/>
        <v>44.659310367105718</v>
      </c>
      <c r="Q199" s="158">
        <f t="shared" ca="1" si="1446"/>
        <v>45.356555440643405</v>
      </c>
      <c r="R199" s="158">
        <f t="shared" ca="1" si="1446"/>
        <v>46.374431460406527</v>
      </c>
      <c r="S199" s="158">
        <f t="shared" ca="1" si="1446"/>
        <v>44.338679420880354</v>
      </c>
      <c r="T199" s="158">
        <f t="shared" ca="1" si="1446"/>
        <v>133.96379393437599</v>
      </c>
      <c r="U199" s="158">
        <f t="shared" ca="1" si="1446"/>
        <v>133.96379393437599</v>
      </c>
      <c r="V199" s="158">
        <f t="shared" ca="1" si="1446"/>
        <v>77.415126169759674</v>
      </c>
      <c r="W199" s="158"/>
      <c r="X199" s="2416"/>
      <c r="Y199" s="158">
        <f t="shared" ref="Y199:AH199" ca="1" si="1447">(Y46-Y41-Y120)*1.25</f>
        <v>65.171208625364983</v>
      </c>
      <c r="Z199" s="158">
        <f t="shared" ca="1" si="1447"/>
        <v>48.186250775584796</v>
      </c>
      <c r="AA199" s="158">
        <f t="shared" ca="1" si="1447"/>
        <v>48.186250775584796</v>
      </c>
      <c r="AB199" s="158">
        <f t="shared" ca="1" si="1447"/>
        <v>48.186250775584796</v>
      </c>
      <c r="AC199" s="158">
        <f t="shared" ca="1" si="1447"/>
        <v>65.252638706946016</v>
      </c>
      <c r="AD199" s="158">
        <f t="shared" ca="1" si="1447"/>
        <v>65.189304199049616</v>
      </c>
      <c r="AE199" s="158">
        <f t="shared" ca="1" si="1447"/>
        <v>65.415498870108095</v>
      </c>
      <c r="AF199" s="158">
        <f t="shared" ca="1" si="1447"/>
        <v>119.85490132710417</v>
      </c>
      <c r="AG199" s="158">
        <f t="shared" ca="1" si="1447"/>
        <v>130.33054203049937</v>
      </c>
      <c r="AH199" s="158">
        <f t="shared" ca="1" si="1447"/>
        <v>130.33054203049937</v>
      </c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2416"/>
      <c r="AS199" s="158">
        <f t="shared" ref="AS199:AW199" ca="1" si="1448">(AS46-AS41-AS120)*1.25</f>
        <v>36.755503073645279</v>
      </c>
      <c r="AT199" s="158">
        <f t="shared" ca="1" si="1448"/>
        <v>65.180256412207314</v>
      </c>
      <c r="AU199" s="158">
        <f t="shared" ca="1" si="1448"/>
        <v>65.162160838522638</v>
      </c>
      <c r="AV199" s="158">
        <f t="shared" ca="1" si="1448"/>
        <v>65.153113051680293</v>
      </c>
      <c r="AW199" s="158">
        <f t="shared" ca="1" si="1448"/>
        <v>102.11275681595588</v>
      </c>
      <c r="AX199" s="158">
        <f t="shared" ref="AX199" si="1449">(AX46-AX41-AX120)*1.25</f>
        <v>0</v>
      </c>
      <c r="AY199" s="158">
        <f t="shared" ref="AY199:BA199" si="1450">(AY46-AY41-AY120)*1.25</f>
        <v>181.40812618888901</v>
      </c>
      <c r="AZ199" s="158">
        <f t="shared" ref="AZ199" si="1451">(AZ46-AZ41-AZ120)*1.25</f>
        <v>0</v>
      </c>
      <c r="BA199" s="158">
        <f t="shared" si="1450"/>
        <v>33.589908652182068</v>
      </c>
      <c r="BB199" s="158">
        <f>BB46-BB41</f>
        <v>0</v>
      </c>
      <c r="BC199" s="158">
        <f t="shared" ref="BC199:BL199" si="1452">+BC46-BC41</f>
        <v>0</v>
      </c>
      <c r="BD199" s="158">
        <f t="shared" si="1452"/>
        <v>0</v>
      </c>
      <c r="BE199" s="158">
        <f t="shared" si="1452"/>
        <v>0</v>
      </c>
      <c r="BF199" s="158">
        <f t="shared" si="1452"/>
        <v>0</v>
      </c>
      <c r="BG199" s="158">
        <f t="shared" si="1452"/>
        <v>0</v>
      </c>
      <c r="BH199" s="158">
        <f t="shared" si="1452"/>
        <v>0</v>
      </c>
      <c r="BI199" s="158">
        <f t="shared" si="1452"/>
        <v>0</v>
      </c>
      <c r="BJ199" s="158">
        <f t="shared" si="1452"/>
        <v>0</v>
      </c>
      <c r="BK199" s="158">
        <f t="shared" si="1452"/>
        <v>0</v>
      </c>
      <c r="BL199" s="158">
        <f t="shared" si="1452"/>
        <v>0</v>
      </c>
      <c r="BM199" s="350">
        <f t="shared" ca="1" si="1415"/>
        <v>1992.46</v>
      </c>
      <c r="BN199" s="579">
        <f t="shared" ca="1" si="1434"/>
        <v>3984.9262962990824</v>
      </c>
      <c r="BO199" s="1089"/>
      <c r="BP199" s="1089"/>
      <c r="BQ199" s="1089"/>
      <c r="BR199" s="1089"/>
      <c r="BS199" s="1089"/>
      <c r="BT199" s="1089"/>
      <c r="BU199" s="1089"/>
      <c r="BV199" s="1089"/>
      <c r="BW199" s="1089"/>
      <c r="BX199" s="1089"/>
      <c r="BY199" s="1089"/>
      <c r="BZ199" s="1089"/>
    </row>
    <row r="200" spans="1:78" s="590" customFormat="1" ht="21.95" customHeight="1" thickBot="1" x14ac:dyDescent="0.2">
      <c r="A200" s="2596"/>
      <c r="B200" s="2618"/>
      <c r="C200" s="929" t="s">
        <v>1362</v>
      </c>
      <c r="D200" s="2005"/>
      <c r="E200" s="1523"/>
      <c r="F200" s="239">
        <f t="shared" ref="F200" si="1453">F91</f>
        <v>0</v>
      </c>
      <c r="G200" s="239">
        <f t="shared" ref="G200" ca="1" si="1454">G91</f>
        <v>0</v>
      </c>
      <c r="H200" s="239">
        <f t="shared" ref="H200:I200" ca="1" si="1455">H91</f>
        <v>0</v>
      </c>
      <c r="I200" s="239">
        <f t="shared" ca="1" si="1455"/>
        <v>0</v>
      </c>
      <c r="J200" s="239"/>
      <c r="K200" s="239"/>
      <c r="L200" s="239"/>
      <c r="M200" s="239"/>
      <c r="N200" s="2440"/>
      <c r="O200" s="239">
        <f t="shared" ref="O200:V200" ca="1" si="1456">O91</f>
        <v>0</v>
      </c>
      <c r="P200" s="239">
        <f t="shared" ca="1" si="1456"/>
        <v>0</v>
      </c>
      <c r="Q200" s="239">
        <f t="shared" ca="1" si="1456"/>
        <v>0</v>
      </c>
      <c r="R200" s="239">
        <f t="shared" ca="1" si="1456"/>
        <v>0</v>
      </c>
      <c r="S200" s="239">
        <f t="shared" ca="1" si="1456"/>
        <v>0</v>
      </c>
      <c r="T200" s="239">
        <f t="shared" ca="1" si="1456"/>
        <v>0</v>
      </c>
      <c r="U200" s="239">
        <f t="shared" ca="1" si="1456"/>
        <v>0</v>
      </c>
      <c r="V200" s="239">
        <f t="shared" ca="1" si="1456"/>
        <v>0</v>
      </c>
      <c r="W200" s="239"/>
      <c r="X200" s="2440"/>
      <c r="Y200" s="239">
        <f t="shared" ref="Y200:AH200" ca="1" si="1457">Y91</f>
        <v>0</v>
      </c>
      <c r="Z200" s="239">
        <f t="shared" ca="1" si="1457"/>
        <v>0</v>
      </c>
      <c r="AA200" s="239">
        <f t="shared" ca="1" si="1457"/>
        <v>0</v>
      </c>
      <c r="AB200" s="239">
        <f t="shared" ca="1" si="1457"/>
        <v>0</v>
      </c>
      <c r="AC200" s="239">
        <f t="shared" ca="1" si="1457"/>
        <v>0</v>
      </c>
      <c r="AD200" s="239">
        <f t="shared" ca="1" si="1457"/>
        <v>0</v>
      </c>
      <c r="AE200" s="239">
        <f t="shared" ca="1" si="1457"/>
        <v>0</v>
      </c>
      <c r="AF200" s="239">
        <f t="shared" ca="1" si="1457"/>
        <v>0</v>
      </c>
      <c r="AG200" s="239">
        <f t="shared" ca="1" si="1457"/>
        <v>0</v>
      </c>
      <c r="AH200" s="239">
        <f t="shared" ca="1" si="1457"/>
        <v>0</v>
      </c>
      <c r="AI200" s="239"/>
      <c r="AJ200" s="239"/>
      <c r="AK200" s="239"/>
      <c r="AL200" s="239"/>
      <c r="AM200" s="239"/>
      <c r="AN200" s="239"/>
      <c r="AO200" s="239"/>
      <c r="AP200" s="239"/>
      <c r="AQ200" s="239"/>
      <c r="AR200" s="2440"/>
      <c r="AS200" s="239">
        <f t="shared" ref="AS200:AW200" ca="1" si="1458">AS91</f>
        <v>0</v>
      </c>
      <c r="AT200" s="239">
        <f t="shared" ca="1" si="1458"/>
        <v>0</v>
      </c>
      <c r="AU200" s="239">
        <f t="shared" ca="1" si="1458"/>
        <v>0</v>
      </c>
      <c r="AV200" s="239">
        <f t="shared" ca="1" si="1458"/>
        <v>0</v>
      </c>
      <c r="AW200" s="239">
        <f t="shared" ca="1" si="1458"/>
        <v>270.95037920356089</v>
      </c>
      <c r="AX200" s="239">
        <f t="shared" ref="AX200" si="1459">AX91</f>
        <v>0</v>
      </c>
      <c r="AY200" s="239">
        <f t="shared" ref="AY200:BL200" si="1460">AY91</f>
        <v>0</v>
      </c>
      <c r="AZ200" s="239">
        <f t="shared" ref="AZ200" si="1461">AZ91</f>
        <v>0</v>
      </c>
      <c r="BA200" s="239">
        <f t="shared" si="1460"/>
        <v>0</v>
      </c>
      <c r="BB200" s="239">
        <f t="shared" si="1460"/>
        <v>0</v>
      </c>
      <c r="BC200" s="239">
        <f t="shared" si="1460"/>
        <v>0</v>
      </c>
      <c r="BD200" s="239">
        <f t="shared" si="1460"/>
        <v>0</v>
      </c>
      <c r="BE200" s="239">
        <f t="shared" si="1460"/>
        <v>0</v>
      </c>
      <c r="BF200" s="239">
        <f t="shared" si="1460"/>
        <v>0</v>
      </c>
      <c r="BG200" s="239">
        <f t="shared" si="1460"/>
        <v>0</v>
      </c>
      <c r="BH200" s="239">
        <f t="shared" si="1460"/>
        <v>0</v>
      </c>
      <c r="BI200" s="239">
        <f t="shared" si="1460"/>
        <v>0</v>
      </c>
      <c r="BJ200" s="239">
        <f t="shared" si="1460"/>
        <v>0</v>
      </c>
      <c r="BK200" s="239">
        <f t="shared" si="1460"/>
        <v>0</v>
      </c>
      <c r="BL200" s="239">
        <f t="shared" si="1460"/>
        <v>0</v>
      </c>
      <c r="BM200" s="361">
        <f t="shared" ca="1" si="1415"/>
        <v>270.95</v>
      </c>
      <c r="BN200" s="579">
        <f t="shared" ca="1" si="1434"/>
        <v>541.90037920356087</v>
      </c>
      <c r="BO200" s="1089"/>
      <c r="BP200" s="1089"/>
      <c r="BQ200" s="1089"/>
      <c r="BR200" s="1089"/>
      <c r="BS200" s="1089"/>
      <c r="BT200" s="1089"/>
      <c r="BU200" s="1089"/>
      <c r="BV200" s="1089"/>
      <c r="BW200" s="1089"/>
      <c r="BX200" s="1089"/>
      <c r="BY200" s="1089"/>
      <c r="BZ200" s="1089"/>
    </row>
    <row r="201" spans="1:78" s="590" customFormat="1" ht="21.95" customHeight="1" x14ac:dyDescent="0.15">
      <c r="A201" s="2596"/>
      <c r="B201" s="2677" t="s">
        <v>1378</v>
      </c>
      <c r="C201" s="930" t="s">
        <v>1364</v>
      </c>
      <c r="D201" s="2004"/>
      <c r="E201" s="592"/>
      <c r="F201" s="158">
        <f t="shared" ref="F201" si="1462">F89+F91</f>
        <v>0</v>
      </c>
      <c r="G201" s="158">
        <f t="shared" ref="G201" ca="1" si="1463">G89+G91</f>
        <v>0</v>
      </c>
      <c r="H201" s="158">
        <f t="shared" ref="H201:I201" ca="1" si="1464">H89+H91</f>
        <v>0</v>
      </c>
      <c r="I201" s="158">
        <f t="shared" ca="1" si="1464"/>
        <v>0</v>
      </c>
      <c r="J201" s="158"/>
      <c r="K201" s="158"/>
      <c r="L201" s="158"/>
      <c r="M201" s="158"/>
      <c r="N201" s="2416"/>
      <c r="O201" s="158">
        <f t="shared" ref="O201:V201" ca="1" si="1465">O89+O91</f>
        <v>0</v>
      </c>
      <c r="P201" s="158">
        <f t="shared" ca="1" si="1465"/>
        <v>0</v>
      </c>
      <c r="Q201" s="158">
        <f t="shared" ca="1" si="1465"/>
        <v>0</v>
      </c>
      <c r="R201" s="158">
        <f t="shared" ca="1" si="1465"/>
        <v>0</v>
      </c>
      <c r="S201" s="158">
        <f t="shared" ca="1" si="1465"/>
        <v>0</v>
      </c>
      <c r="T201" s="158">
        <f t="shared" ca="1" si="1465"/>
        <v>0</v>
      </c>
      <c r="U201" s="158">
        <f t="shared" ca="1" si="1465"/>
        <v>0</v>
      </c>
      <c r="V201" s="158">
        <f t="shared" ca="1" si="1465"/>
        <v>0</v>
      </c>
      <c r="W201" s="158"/>
      <c r="X201" s="2416"/>
      <c r="Y201" s="158">
        <f t="shared" ref="Y201:AH201" ca="1" si="1466">Y89+Y91</f>
        <v>0</v>
      </c>
      <c r="Z201" s="158">
        <f t="shared" ca="1" si="1466"/>
        <v>0</v>
      </c>
      <c r="AA201" s="158">
        <f t="shared" ca="1" si="1466"/>
        <v>0</v>
      </c>
      <c r="AB201" s="158">
        <f t="shared" ca="1" si="1466"/>
        <v>0</v>
      </c>
      <c r="AC201" s="158">
        <f t="shared" ca="1" si="1466"/>
        <v>0</v>
      </c>
      <c r="AD201" s="158">
        <f t="shared" ca="1" si="1466"/>
        <v>0</v>
      </c>
      <c r="AE201" s="158">
        <f t="shared" ca="1" si="1466"/>
        <v>0</v>
      </c>
      <c r="AF201" s="158">
        <f t="shared" ca="1" si="1466"/>
        <v>0</v>
      </c>
      <c r="AG201" s="158">
        <f t="shared" ca="1" si="1466"/>
        <v>0</v>
      </c>
      <c r="AH201" s="158">
        <f t="shared" ca="1" si="1466"/>
        <v>0</v>
      </c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2416"/>
      <c r="AS201" s="158">
        <f t="shared" ref="AS201:AW201" ca="1" si="1467">AS89+AS91</f>
        <v>0</v>
      </c>
      <c r="AT201" s="158">
        <f t="shared" ca="1" si="1467"/>
        <v>0</v>
      </c>
      <c r="AU201" s="158">
        <f t="shared" ca="1" si="1467"/>
        <v>0</v>
      </c>
      <c r="AV201" s="158">
        <f t="shared" ca="1" si="1467"/>
        <v>0</v>
      </c>
      <c r="AW201" s="158">
        <f t="shared" ca="1" si="1467"/>
        <v>487.71068256640956</v>
      </c>
      <c r="AX201" s="158">
        <f>AX89+AX91</f>
        <v>0</v>
      </c>
      <c r="AY201" s="158">
        <f>AY89+AY91</f>
        <v>0</v>
      </c>
      <c r="AZ201" s="158">
        <f>AZ89+AZ91</f>
        <v>0</v>
      </c>
      <c r="BA201" s="158">
        <f>BA89+BA91</f>
        <v>0</v>
      </c>
      <c r="BB201" s="158">
        <f>BB89+BB91</f>
        <v>0</v>
      </c>
      <c r="BC201" s="158">
        <f t="shared" ref="BC201:BL201" si="1468">+BC89+BC91</f>
        <v>0</v>
      </c>
      <c r="BD201" s="158">
        <f t="shared" si="1468"/>
        <v>0</v>
      </c>
      <c r="BE201" s="158">
        <f t="shared" si="1468"/>
        <v>0</v>
      </c>
      <c r="BF201" s="158">
        <f t="shared" si="1468"/>
        <v>0</v>
      </c>
      <c r="BG201" s="158">
        <f t="shared" si="1468"/>
        <v>0</v>
      </c>
      <c r="BH201" s="158">
        <f t="shared" si="1468"/>
        <v>0</v>
      </c>
      <c r="BI201" s="158">
        <f t="shared" si="1468"/>
        <v>0</v>
      </c>
      <c r="BJ201" s="158">
        <f t="shared" si="1468"/>
        <v>0</v>
      </c>
      <c r="BK201" s="158">
        <f t="shared" si="1468"/>
        <v>0</v>
      </c>
      <c r="BL201" s="158">
        <f t="shared" si="1468"/>
        <v>0</v>
      </c>
      <c r="BM201" s="362">
        <f t="shared" ca="1" si="1415"/>
        <v>487.71</v>
      </c>
      <c r="BN201" s="579">
        <f t="shared" ca="1" si="1434"/>
        <v>975.4206825664096</v>
      </c>
      <c r="BO201" s="1089"/>
      <c r="BP201" s="1089"/>
      <c r="BQ201" s="1089"/>
      <c r="BR201" s="1089"/>
      <c r="BS201" s="1089"/>
      <c r="BT201" s="1089"/>
      <c r="BU201" s="1089"/>
      <c r="BV201" s="1089"/>
      <c r="BW201" s="1089"/>
      <c r="BX201" s="1089"/>
      <c r="BY201" s="1089"/>
      <c r="BZ201" s="1089"/>
    </row>
    <row r="202" spans="1:78" s="590" customFormat="1" ht="21.95" hidden="1" customHeight="1" x14ac:dyDescent="0.15">
      <c r="A202" s="2596"/>
      <c r="B202" s="2678"/>
      <c r="C202" s="591" t="s">
        <v>1475</v>
      </c>
      <c r="D202" s="2004"/>
      <c r="E202" s="592"/>
      <c r="F202" s="158">
        <f t="shared" ref="F202" si="1469">F198</f>
        <v>0</v>
      </c>
      <c r="G202" s="158">
        <f t="shared" ref="G202" si="1470">G198</f>
        <v>0</v>
      </c>
      <c r="H202" s="158">
        <f t="shared" ref="H202:I202" si="1471">H198</f>
        <v>0</v>
      </c>
      <c r="I202" s="158">
        <f t="shared" si="1471"/>
        <v>0</v>
      </c>
      <c r="J202" s="158"/>
      <c r="K202" s="158"/>
      <c r="L202" s="158"/>
      <c r="M202" s="158"/>
      <c r="N202" s="2416"/>
      <c r="O202" s="158">
        <f t="shared" ref="O202:V202" si="1472">O198</f>
        <v>0</v>
      </c>
      <c r="P202" s="158">
        <f t="shared" si="1472"/>
        <v>0</v>
      </c>
      <c r="Q202" s="158">
        <f t="shared" si="1472"/>
        <v>0</v>
      </c>
      <c r="R202" s="158">
        <f t="shared" si="1472"/>
        <v>0</v>
      </c>
      <c r="S202" s="158">
        <f t="shared" si="1472"/>
        <v>0</v>
      </c>
      <c r="T202" s="158">
        <f t="shared" si="1472"/>
        <v>0</v>
      </c>
      <c r="U202" s="158">
        <f t="shared" si="1472"/>
        <v>0</v>
      </c>
      <c r="V202" s="158">
        <f t="shared" si="1472"/>
        <v>0</v>
      </c>
      <c r="W202" s="158"/>
      <c r="X202" s="2416"/>
      <c r="Y202" s="158">
        <f t="shared" ref="Y202:AH202" si="1473">Y198</f>
        <v>0</v>
      </c>
      <c r="Z202" s="158">
        <f t="shared" si="1473"/>
        <v>0</v>
      </c>
      <c r="AA202" s="158">
        <f t="shared" si="1473"/>
        <v>0</v>
      </c>
      <c r="AB202" s="158">
        <f t="shared" si="1473"/>
        <v>0</v>
      </c>
      <c r="AC202" s="158">
        <f t="shared" si="1473"/>
        <v>0</v>
      </c>
      <c r="AD202" s="158">
        <f t="shared" si="1473"/>
        <v>0</v>
      </c>
      <c r="AE202" s="158">
        <f t="shared" si="1473"/>
        <v>0</v>
      </c>
      <c r="AF202" s="158">
        <f t="shared" si="1473"/>
        <v>0</v>
      </c>
      <c r="AG202" s="158">
        <f t="shared" si="1473"/>
        <v>0</v>
      </c>
      <c r="AH202" s="158">
        <f t="shared" si="1473"/>
        <v>0</v>
      </c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2416"/>
      <c r="AS202" s="158">
        <f t="shared" ref="AS202:AW202" si="1474">AS198</f>
        <v>0</v>
      </c>
      <c r="AT202" s="158">
        <f t="shared" si="1474"/>
        <v>0</v>
      </c>
      <c r="AU202" s="158">
        <f t="shared" si="1474"/>
        <v>0</v>
      </c>
      <c r="AV202" s="158">
        <f t="shared" si="1474"/>
        <v>0</v>
      </c>
      <c r="AW202" s="158">
        <f t="shared" si="1474"/>
        <v>0</v>
      </c>
      <c r="AX202" s="158">
        <f t="shared" ref="AX202" si="1475">AX198</f>
        <v>0</v>
      </c>
      <c r="AY202" s="158">
        <f t="shared" ref="AY202:BL202" si="1476">AY198</f>
        <v>0</v>
      </c>
      <c r="AZ202" s="158">
        <f t="shared" ref="AZ202" si="1477">AZ198</f>
        <v>0</v>
      </c>
      <c r="BA202" s="158">
        <f t="shared" si="1476"/>
        <v>0</v>
      </c>
      <c r="BB202" s="158">
        <f t="shared" si="1476"/>
        <v>0</v>
      </c>
      <c r="BC202" s="158">
        <f t="shared" si="1476"/>
        <v>0</v>
      </c>
      <c r="BD202" s="158">
        <f t="shared" si="1476"/>
        <v>0</v>
      </c>
      <c r="BE202" s="158">
        <f t="shared" si="1476"/>
        <v>0</v>
      </c>
      <c r="BF202" s="158">
        <f t="shared" si="1476"/>
        <v>0</v>
      </c>
      <c r="BG202" s="158">
        <f t="shared" si="1476"/>
        <v>0</v>
      </c>
      <c r="BH202" s="158">
        <f t="shared" si="1476"/>
        <v>0</v>
      </c>
      <c r="BI202" s="158">
        <f t="shared" si="1476"/>
        <v>0</v>
      </c>
      <c r="BJ202" s="158">
        <f t="shared" si="1476"/>
        <v>0</v>
      </c>
      <c r="BK202" s="158">
        <f t="shared" si="1476"/>
        <v>0</v>
      </c>
      <c r="BL202" s="158">
        <f t="shared" si="1476"/>
        <v>0</v>
      </c>
      <c r="BM202" s="350">
        <f t="shared" si="1415"/>
        <v>0</v>
      </c>
      <c r="BN202" s="579">
        <f t="shared" si="1434"/>
        <v>0</v>
      </c>
      <c r="BO202" s="1089"/>
      <c r="BP202" s="1089"/>
      <c r="BQ202" s="1089"/>
      <c r="BR202" s="1089"/>
      <c r="BS202" s="1089"/>
      <c r="BT202" s="1089"/>
      <c r="BU202" s="1089"/>
      <c r="BV202" s="1089"/>
      <c r="BW202" s="1089"/>
      <c r="BX202" s="1089"/>
      <c r="BY202" s="1089"/>
      <c r="BZ202" s="1089"/>
    </row>
    <row r="203" spans="1:78" s="590" customFormat="1" ht="21.95" customHeight="1" thickBot="1" x14ac:dyDescent="0.2">
      <c r="A203" s="2596"/>
      <c r="B203" s="2678"/>
      <c r="C203" s="591" t="s">
        <v>1360</v>
      </c>
      <c r="D203" s="2004"/>
      <c r="E203" s="592"/>
      <c r="F203" s="158">
        <f>IF(F122=0,(F82+F83)*1.25,(F83+F122)*1.25)</f>
        <v>0</v>
      </c>
      <c r="G203" s="158">
        <f t="shared" ref="G203" ca="1" si="1478">IF(G122=0,(G82+G83)*1.25,(G83+G122)*1.25)</f>
        <v>36.653715471668974</v>
      </c>
      <c r="H203" s="158">
        <f t="shared" ref="H203:I203" ca="1" si="1479">IF(H122=0,(H82+H83)*1.25,(H83+H122)*1.25)</f>
        <v>30.118951424789916</v>
      </c>
      <c r="I203" s="158">
        <f t="shared" ca="1" si="1479"/>
        <v>30.118951424789916</v>
      </c>
      <c r="J203" s="158"/>
      <c r="K203" s="158"/>
      <c r="L203" s="158"/>
      <c r="M203" s="158"/>
      <c r="N203" s="2416"/>
      <c r="O203" s="158">
        <f t="shared" ref="O203:V203" ca="1" si="1480">IF(O122=0,(O82+O83)*1.25,(O83+O122)*1.25)</f>
        <v>34.037774100877826</v>
      </c>
      <c r="P203" s="158">
        <f t="shared" ca="1" si="1480"/>
        <v>44.659310367105704</v>
      </c>
      <c r="Q203" s="158">
        <f t="shared" ca="1" si="1480"/>
        <v>45.356555440643419</v>
      </c>
      <c r="R203" s="158">
        <f t="shared" ca="1" si="1480"/>
        <v>46.37443146040652</v>
      </c>
      <c r="S203" s="158">
        <f t="shared" ca="1" si="1480"/>
        <v>44.338679420880325</v>
      </c>
      <c r="T203" s="158">
        <f t="shared" ca="1" si="1480"/>
        <v>133.96379393437596</v>
      </c>
      <c r="U203" s="158">
        <f t="shared" ca="1" si="1480"/>
        <v>133.96379393437596</v>
      </c>
      <c r="V203" s="158">
        <f t="shared" ca="1" si="1480"/>
        <v>77.415126169759688</v>
      </c>
      <c r="W203" s="158"/>
      <c r="X203" s="2416"/>
      <c r="Y203" s="158">
        <f t="shared" ref="Y203:AH203" ca="1" si="1481">IF(Y122=0,(Y82+Y83)*1.25,(Y83+Y122)*1.25)</f>
        <v>65.171208625364969</v>
      </c>
      <c r="Z203" s="158">
        <f t="shared" ca="1" si="1481"/>
        <v>48.186250775584824</v>
      </c>
      <c r="AA203" s="158">
        <f t="shared" ca="1" si="1481"/>
        <v>48.186250775584824</v>
      </c>
      <c r="AB203" s="158">
        <f t="shared" ca="1" si="1481"/>
        <v>48.186250775584824</v>
      </c>
      <c r="AC203" s="158">
        <f t="shared" ca="1" si="1481"/>
        <v>65.252638706946016</v>
      </c>
      <c r="AD203" s="158">
        <f t="shared" ca="1" si="1481"/>
        <v>65.18930419904963</v>
      </c>
      <c r="AE203" s="158">
        <f t="shared" ca="1" si="1481"/>
        <v>65.415498870108109</v>
      </c>
      <c r="AF203" s="158">
        <f t="shared" ca="1" si="1481"/>
        <v>119.85490132710422</v>
      </c>
      <c r="AG203" s="158">
        <f t="shared" ca="1" si="1481"/>
        <v>130.33054203049937</v>
      </c>
      <c r="AH203" s="158">
        <f t="shared" ca="1" si="1481"/>
        <v>130.33054203049937</v>
      </c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2416"/>
      <c r="AS203" s="158">
        <f t="shared" ref="AS203:AW203" ca="1" si="1482">IF(AS122=0,(AS82+AS83)*1.25,(AS83+AS122)*1.25)</f>
        <v>36.755503073645286</v>
      </c>
      <c r="AT203" s="158">
        <f t="shared" ca="1" si="1482"/>
        <v>65.180256412207299</v>
      </c>
      <c r="AU203" s="158">
        <f t="shared" ca="1" si="1482"/>
        <v>65.162160838522624</v>
      </c>
      <c r="AV203" s="158">
        <f t="shared" ca="1" si="1482"/>
        <v>65.153113051680293</v>
      </c>
      <c r="AW203" s="158">
        <f t="shared" ca="1" si="1482"/>
        <v>102.11275681595586</v>
      </c>
      <c r="AX203" s="158">
        <f t="shared" ref="AX203" si="1483">IF(AX122=0,(AX82+AX83)*1.25,(AX83+AX122)*1.25)</f>
        <v>0</v>
      </c>
      <c r="AY203" s="158">
        <f t="shared" ref="AY203:BA203" si="1484">IF(AY122=0,(AY82+AY83)*1.25,(AY83+AY122)*1.25)</f>
        <v>181.40812618888901</v>
      </c>
      <c r="AZ203" s="158">
        <f t="shared" ref="AZ203" si="1485">IF(AZ122=0,(AZ82+AZ83)*1.25,(AZ83+AZ122)*1.25)</f>
        <v>0</v>
      </c>
      <c r="BA203" s="158">
        <f t="shared" si="1484"/>
        <v>33.589908652182061</v>
      </c>
      <c r="BB203" s="158">
        <f t="shared" ref="BB203:BL203" si="1486">BB199-BB89</f>
        <v>0</v>
      </c>
      <c r="BC203" s="158">
        <f t="shared" si="1486"/>
        <v>0</v>
      </c>
      <c r="BD203" s="158">
        <f t="shared" si="1486"/>
        <v>0</v>
      </c>
      <c r="BE203" s="158">
        <f t="shared" si="1486"/>
        <v>0</v>
      </c>
      <c r="BF203" s="158">
        <f t="shared" si="1486"/>
        <v>0</v>
      </c>
      <c r="BG203" s="158">
        <f t="shared" si="1486"/>
        <v>0</v>
      </c>
      <c r="BH203" s="158">
        <f t="shared" si="1486"/>
        <v>0</v>
      </c>
      <c r="BI203" s="158">
        <f t="shared" si="1486"/>
        <v>0</v>
      </c>
      <c r="BJ203" s="158">
        <f t="shared" si="1486"/>
        <v>0</v>
      </c>
      <c r="BK203" s="158">
        <f t="shared" si="1486"/>
        <v>0</v>
      </c>
      <c r="BL203" s="158">
        <f t="shared" si="1486"/>
        <v>0</v>
      </c>
      <c r="BM203" s="350">
        <f t="shared" ca="1" si="1415"/>
        <v>1992.46</v>
      </c>
      <c r="BN203" s="579">
        <f t="shared" ca="1" si="1434"/>
        <v>3984.9262962990824</v>
      </c>
      <c r="BO203" s="1089"/>
      <c r="BP203" s="1089"/>
      <c r="BQ203" s="1089"/>
      <c r="BR203" s="1089"/>
      <c r="BS203" s="1089"/>
      <c r="BT203" s="1089"/>
      <c r="BU203" s="1089"/>
      <c r="BV203" s="1089"/>
      <c r="BW203" s="1089"/>
      <c r="BX203" s="1089"/>
      <c r="BY203" s="1089"/>
      <c r="BZ203" s="1089"/>
    </row>
    <row r="204" spans="1:78" s="590" customFormat="1" ht="21.95" hidden="1" customHeight="1" x14ac:dyDescent="0.15">
      <c r="A204" s="2596"/>
      <c r="B204" s="2678"/>
      <c r="C204" s="591" t="s">
        <v>2012</v>
      </c>
      <c r="D204" s="2004"/>
      <c r="E204" s="592"/>
      <c r="F204" s="158">
        <f t="shared" ref="F204" si="1487">F212</f>
        <v>0</v>
      </c>
      <c r="G204" s="158">
        <f t="shared" ref="G204" ca="1" si="1488">G212</f>
        <v>0</v>
      </c>
      <c r="H204" s="158">
        <f t="shared" ref="H204:I204" ca="1" si="1489">H212</f>
        <v>0</v>
      </c>
      <c r="I204" s="158">
        <f t="shared" ca="1" si="1489"/>
        <v>0</v>
      </c>
      <c r="J204" s="158"/>
      <c r="K204" s="158"/>
      <c r="L204" s="158"/>
      <c r="M204" s="158"/>
      <c r="N204" s="2416"/>
      <c r="O204" s="158">
        <f t="shared" ref="O204:V204" ca="1" si="1490">O212</f>
        <v>0</v>
      </c>
      <c r="P204" s="158">
        <f t="shared" ca="1" si="1490"/>
        <v>0</v>
      </c>
      <c r="Q204" s="158">
        <f t="shared" ca="1" si="1490"/>
        <v>0</v>
      </c>
      <c r="R204" s="158">
        <f t="shared" ca="1" si="1490"/>
        <v>0</v>
      </c>
      <c r="S204" s="158">
        <f t="shared" ca="1" si="1490"/>
        <v>0</v>
      </c>
      <c r="T204" s="158">
        <f t="shared" ca="1" si="1490"/>
        <v>0</v>
      </c>
      <c r="U204" s="158">
        <f t="shared" ca="1" si="1490"/>
        <v>0</v>
      </c>
      <c r="V204" s="158">
        <f t="shared" ca="1" si="1490"/>
        <v>0</v>
      </c>
      <c r="W204" s="158"/>
      <c r="X204" s="2416"/>
      <c r="Y204" s="158">
        <f t="shared" ref="Y204:AH204" ca="1" si="1491">Y212</f>
        <v>0</v>
      </c>
      <c r="Z204" s="158">
        <f t="shared" ca="1" si="1491"/>
        <v>0</v>
      </c>
      <c r="AA204" s="158">
        <f t="shared" ca="1" si="1491"/>
        <v>0</v>
      </c>
      <c r="AB204" s="158">
        <f t="shared" ca="1" si="1491"/>
        <v>0</v>
      </c>
      <c r="AC204" s="158">
        <f t="shared" ca="1" si="1491"/>
        <v>0</v>
      </c>
      <c r="AD204" s="158">
        <f t="shared" ca="1" si="1491"/>
        <v>0</v>
      </c>
      <c r="AE204" s="158">
        <f t="shared" ca="1" si="1491"/>
        <v>0</v>
      </c>
      <c r="AF204" s="158">
        <f t="shared" ca="1" si="1491"/>
        <v>0</v>
      </c>
      <c r="AG204" s="158">
        <f t="shared" ca="1" si="1491"/>
        <v>0</v>
      </c>
      <c r="AH204" s="158">
        <f t="shared" ca="1" si="1491"/>
        <v>0</v>
      </c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2416"/>
      <c r="AS204" s="158">
        <f t="shared" ref="AS204:AW204" ca="1" si="1492">AS212</f>
        <v>0</v>
      </c>
      <c r="AT204" s="158">
        <f t="shared" ca="1" si="1492"/>
        <v>0</v>
      </c>
      <c r="AU204" s="158">
        <f t="shared" ca="1" si="1492"/>
        <v>0</v>
      </c>
      <c r="AV204" s="158">
        <f t="shared" ca="1" si="1492"/>
        <v>0</v>
      </c>
      <c r="AW204" s="158">
        <f t="shared" ca="1" si="1492"/>
        <v>0</v>
      </c>
      <c r="AX204" s="158">
        <f t="shared" ref="AX204" si="1493">AX212</f>
        <v>0</v>
      </c>
      <c r="AY204" s="158">
        <f t="shared" ref="AY204:BL204" si="1494">AY212</f>
        <v>0</v>
      </c>
      <c r="AZ204" s="158">
        <f t="shared" ref="AZ204" si="1495">AZ212</f>
        <v>0</v>
      </c>
      <c r="BA204" s="158">
        <f t="shared" si="1494"/>
        <v>0</v>
      </c>
      <c r="BB204" s="158">
        <f t="shared" si="1494"/>
        <v>0</v>
      </c>
      <c r="BC204" s="158">
        <f t="shared" si="1494"/>
        <v>0</v>
      </c>
      <c r="BD204" s="158">
        <f t="shared" si="1494"/>
        <v>0</v>
      </c>
      <c r="BE204" s="158">
        <f t="shared" si="1494"/>
        <v>0</v>
      </c>
      <c r="BF204" s="158">
        <f t="shared" si="1494"/>
        <v>0</v>
      </c>
      <c r="BG204" s="158">
        <f t="shared" si="1494"/>
        <v>0</v>
      </c>
      <c r="BH204" s="158">
        <f t="shared" si="1494"/>
        <v>0</v>
      </c>
      <c r="BI204" s="158">
        <f t="shared" si="1494"/>
        <v>0</v>
      </c>
      <c r="BJ204" s="158">
        <f t="shared" si="1494"/>
        <v>0</v>
      </c>
      <c r="BK204" s="158">
        <f t="shared" si="1494"/>
        <v>0</v>
      </c>
      <c r="BL204" s="158">
        <f t="shared" si="1494"/>
        <v>0</v>
      </c>
      <c r="BM204" s="350">
        <f t="shared" ca="1" si="1415"/>
        <v>0</v>
      </c>
      <c r="BN204" s="579">
        <f t="shared" ca="1" si="1434"/>
        <v>0</v>
      </c>
      <c r="BO204" s="1089"/>
      <c r="BP204" s="1089"/>
      <c r="BQ204" s="1089"/>
      <c r="BR204" s="1089"/>
      <c r="BS204" s="1089"/>
      <c r="BT204" s="1089"/>
      <c r="BU204" s="1089"/>
      <c r="BV204" s="1089"/>
      <c r="BW204" s="1089"/>
      <c r="BX204" s="1089"/>
      <c r="BY204" s="1089"/>
      <c r="BZ204" s="1089"/>
    </row>
    <row r="205" spans="1:78" s="590" customFormat="1" ht="21.95" hidden="1" customHeight="1" x14ac:dyDescent="0.15">
      <c r="A205" s="2596"/>
      <c r="B205" s="2678"/>
      <c r="C205" s="591" t="s">
        <v>1211</v>
      </c>
      <c r="D205" s="2004"/>
      <c r="E205" s="592"/>
      <c r="F205" s="158">
        <f t="shared" ref="F205" si="1496">F188*0.02</f>
        <v>0</v>
      </c>
      <c r="G205" s="158">
        <f t="shared" ref="G205" si="1497">G188*0.02</f>
        <v>0</v>
      </c>
      <c r="H205" s="158">
        <f t="shared" ref="H205:I205" si="1498">H188*0.02</f>
        <v>0</v>
      </c>
      <c r="I205" s="158">
        <f t="shared" si="1498"/>
        <v>0</v>
      </c>
      <c r="J205" s="158"/>
      <c r="K205" s="158"/>
      <c r="L205" s="158"/>
      <c r="M205" s="158"/>
      <c r="N205" s="2416"/>
      <c r="O205" s="158">
        <f t="shared" ref="O205:V205" si="1499">O188*0.02</f>
        <v>0</v>
      </c>
      <c r="P205" s="158">
        <f t="shared" si="1499"/>
        <v>0</v>
      </c>
      <c r="Q205" s="158">
        <f t="shared" si="1499"/>
        <v>0</v>
      </c>
      <c r="R205" s="158">
        <f t="shared" si="1499"/>
        <v>0</v>
      </c>
      <c r="S205" s="158">
        <f t="shared" si="1499"/>
        <v>0</v>
      </c>
      <c r="T205" s="158">
        <f t="shared" si="1499"/>
        <v>0</v>
      </c>
      <c r="U205" s="158">
        <f t="shared" si="1499"/>
        <v>0</v>
      </c>
      <c r="V205" s="158">
        <f t="shared" si="1499"/>
        <v>0</v>
      </c>
      <c r="W205" s="158"/>
      <c r="X205" s="2416"/>
      <c r="Y205" s="158">
        <f t="shared" ref="Y205:AH205" si="1500">Y188*0.02</f>
        <v>0</v>
      </c>
      <c r="Z205" s="158">
        <f t="shared" si="1500"/>
        <v>0</v>
      </c>
      <c r="AA205" s="158">
        <f t="shared" si="1500"/>
        <v>0</v>
      </c>
      <c r="AB205" s="158">
        <f t="shared" si="1500"/>
        <v>0</v>
      </c>
      <c r="AC205" s="158">
        <f t="shared" si="1500"/>
        <v>0</v>
      </c>
      <c r="AD205" s="158">
        <f t="shared" si="1500"/>
        <v>0</v>
      </c>
      <c r="AE205" s="158">
        <f t="shared" si="1500"/>
        <v>0</v>
      </c>
      <c r="AF205" s="158">
        <f t="shared" si="1500"/>
        <v>0</v>
      </c>
      <c r="AG205" s="158">
        <f t="shared" si="1500"/>
        <v>0</v>
      </c>
      <c r="AH205" s="158">
        <f t="shared" si="1500"/>
        <v>0</v>
      </c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2416"/>
      <c r="AS205" s="158">
        <f t="shared" ref="AS205:AW205" si="1501">AS188*0.02</f>
        <v>0</v>
      </c>
      <c r="AT205" s="158">
        <f t="shared" si="1501"/>
        <v>0</v>
      </c>
      <c r="AU205" s="158">
        <f t="shared" si="1501"/>
        <v>0</v>
      </c>
      <c r="AV205" s="158">
        <f t="shared" si="1501"/>
        <v>0</v>
      </c>
      <c r="AW205" s="158">
        <f t="shared" si="1501"/>
        <v>0</v>
      </c>
      <c r="AX205" s="158">
        <f t="shared" ref="AX205" si="1502">AX188*0.02</f>
        <v>0</v>
      </c>
      <c r="AY205" s="158">
        <f t="shared" ref="AY205:BL205" si="1503">AY188*0.02</f>
        <v>0</v>
      </c>
      <c r="AZ205" s="158">
        <f t="shared" ref="AZ205" si="1504">AZ188*0.02</f>
        <v>0</v>
      </c>
      <c r="BA205" s="158">
        <f t="shared" si="1503"/>
        <v>0</v>
      </c>
      <c r="BB205" s="158">
        <f t="shared" si="1503"/>
        <v>0</v>
      </c>
      <c r="BC205" s="158">
        <f t="shared" si="1503"/>
        <v>0</v>
      </c>
      <c r="BD205" s="158">
        <f t="shared" si="1503"/>
        <v>0</v>
      </c>
      <c r="BE205" s="158">
        <f t="shared" si="1503"/>
        <v>0</v>
      </c>
      <c r="BF205" s="158">
        <f t="shared" si="1503"/>
        <v>0</v>
      </c>
      <c r="BG205" s="158">
        <f t="shared" si="1503"/>
        <v>0</v>
      </c>
      <c r="BH205" s="158">
        <f t="shared" si="1503"/>
        <v>0</v>
      </c>
      <c r="BI205" s="158">
        <f t="shared" si="1503"/>
        <v>0</v>
      </c>
      <c r="BJ205" s="158">
        <f t="shared" si="1503"/>
        <v>0</v>
      </c>
      <c r="BK205" s="158">
        <f t="shared" si="1503"/>
        <v>0</v>
      </c>
      <c r="BL205" s="158">
        <f t="shared" si="1503"/>
        <v>0</v>
      </c>
      <c r="BM205" s="350">
        <f t="shared" si="1415"/>
        <v>0</v>
      </c>
      <c r="BN205" s="579">
        <f t="shared" si="1434"/>
        <v>0</v>
      </c>
      <c r="BO205" s="1089"/>
      <c r="BP205" s="1089"/>
      <c r="BQ205" s="1089"/>
      <c r="BR205" s="1089"/>
      <c r="BS205" s="1089"/>
      <c r="BT205" s="1089"/>
      <c r="BU205" s="1089"/>
      <c r="BV205" s="1089"/>
      <c r="BW205" s="1089"/>
      <c r="BX205" s="1089"/>
      <c r="BY205" s="1089"/>
      <c r="BZ205" s="1089"/>
    </row>
    <row r="206" spans="1:78" s="590" customFormat="1" ht="21.95" hidden="1" customHeight="1" x14ac:dyDescent="0.15">
      <c r="A206" s="2596"/>
      <c r="B206" s="2678"/>
      <c r="C206" s="591" t="s">
        <v>1438</v>
      </c>
      <c r="D206" s="2004"/>
      <c r="E206" s="592"/>
      <c r="F206" s="158">
        <f t="shared" ref="F206" si="1505">F189*0.08+F190*0.05</f>
        <v>0</v>
      </c>
      <c r="G206" s="158">
        <f t="shared" ref="G206" si="1506">G189*0.08+G190*0.05</f>
        <v>0</v>
      </c>
      <c r="H206" s="158">
        <f t="shared" ref="H206:I206" si="1507">H189*0.08+H190*0.05</f>
        <v>0</v>
      </c>
      <c r="I206" s="158">
        <f t="shared" si="1507"/>
        <v>0</v>
      </c>
      <c r="J206" s="158"/>
      <c r="K206" s="158"/>
      <c r="L206" s="158"/>
      <c r="M206" s="158"/>
      <c r="N206" s="2416"/>
      <c r="O206" s="158">
        <f t="shared" ref="O206:V206" si="1508">O189*0.08+O190*0.05</f>
        <v>0</v>
      </c>
      <c r="P206" s="158">
        <f t="shared" si="1508"/>
        <v>0</v>
      </c>
      <c r="Q206" s="158">
        <f t="shared" si="1508"/>
        <v>0</v>
      </c>
      <c r="R206" s="158">
        <f t="shared" si="1508"/>
        <v>0</v>
      </c>
      <c r="S206" s="158">
        <f t="shared" si="1508"/>
        <v>0</v>
      </c>
      <c r="T206" s="158">
        <f t="shared" si="1508"/>
        <v>0</v>
      </c>
      <c r="U206" s="158">
        <f t="shared" si="1508"/>
        <v>0</v>
      </c>
      <c r="V206" s="158">
        <f t="shared" si="1508"/>
        <v>0</v>
      </c>
      <c r="W206" s="158"/>
      <c r="X206" s="2416"/>
      <c r="Y206" s="158">
        <f t="shared" ref="Y206:AH206" si="1509">Y189*0.08+Y190*0.05</f>
        <v>0</v>
      </c>
      <c r="Z206" s="158">
        <f t="shared" si="1509"/>
        <v>0</v>
      </c>
      <c r="AA206" s="158">
        <f t="shared" si="1509"/>
        <v>0</v>
      </c>
      <c r="AB206" s="158">
        <f t="shared" si="1509"/>
        <v>0</v>
      </c>
      <c r="AC206" s="158">
        <f t="shared" si="1509"/>
        <v>0</v>
      </c>
      <c r="AD206" s="158">
        <f t="shared" si="1509"/>
        <v>0</v>
      </c>
      <c r="AE206" s="158">
        <f t="shared" si="1509"/>
        <v>0</v>
      </c>
      <c r="AF206" s="158">
        <f t="shared" si="1509"/>
        <v>0</v>
      </c>
      <c r="AG206" s="158">
        <f t="shared" si="1509"/>
        <v>0</v>
      </c>
      <c r="AH206" s="158">
        <f t="shared" si="1509"/>
        <v>0</v>
      </c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2416"/>
      <c r="AS206" s="158">
        <f t="shared" ref="AS206:AW206" si="1510">AS189*0.08+AS190*0.05</f>
        <v>0</v>
      </c>
      <c r="AT206" s="158">
        <f t="shared" si="1510"/>
        <v>0</v>
      </c>
      <c r="AU206" s="158">
        <f t="shared" si="1510"/>
        <v>0</v>
      </c>
      <c r="AV206" s="158">
        <f t="shared" si="1510"/>
        <v>0</v>
      </c>
      <c r="AW206" s="158">
        <f t="shared" si="1510"/>
        <v>0</v>
      </c>
      <c r="AX206" s="158">
        <f t="shared" ref="AX206" si="1511">AX189*0.08+AX190*0.05</f>
        <v>0</v>
      </c>
      <c r="AY206" s="158">
        <f t="shared" ref="AY206:BL206" si="1512">AY189*0.08+AY190*0.05</f>
        <v>0</v>
      </c>
      <c r="AZ206" s="158">
        <f t="shared" ref="AZ206" si="1513">AZ189*0.08+AZ190*0.05</f>
        <v>0</v>
      </c>
      <c r="BA206" s="158">
        <f t="shared" si="1512"/>
        <v>0</v>
      </c>
      <c r="BB206" s="158">
        <f t="shared" si="1512"/>
        <v>0</v>
      </c>
      <c r="BC206" s="158">
        <f t="shared" si="1512"/>
        <v>0</v>
      </c>
      <c r="BD206" s="158">
        <f t="shared" si="1512"/>
        <v>0</v>
      </c>
      <c r="BE206" s="158">
        <f t="shared" si="1512"/>
        <v>0</v>
      </c>
      <c r="BF206" s="158">
        <f t="shared" si="1512"/>
        <v>0</v>
      </c>
      <c r="BG206" s="158">
        <f t="shared" si="1512"/>
        <v>0</v>
      </c>
      <c r="BH206" s="158">
        <f t="shared" si="1512"/>
        <v>0</v>
      </c>
      <c r="BI206" s="158">
        <f t="shared" si="1512"/>
        <v>0</v>
      </c>
      <c r="BJ206" s="158">
        <f t="shared" si="1512"/>
        <v>0</v>
      </c>
      <c r="BK206" s="158">
        <f t="shared" si="1512"/>
        <v>0</v>
      </c>
      <c r="BL206" s="158">
        <f t="shared" si="1512"/>
        <v>0</v>
      </c>
      <c r="BM206" s="350">
        <f t="shared" si="1415"/>
        <v>0</v>
      </c>
      <c r="BN206" s="579">
        <f t="shared" si="1434"/>
        <v>0</v>
      </c>
      <c r="BO206" s="1089"/>
      <c r="BP206" s="1089"/>
      <c r="BQ206" s="1089"/>
      <c r="BR206" s="1089"/>
      <c r="BS206" s="1089"/>
      <c r="BT206" s="1089"/>
      <c r="BU206" s="1089"/>
      <c r="BV206" s="1089"/>
      <c r="BW206" s="1089"/>
      <c r="BX206" s="1089"/>
      <c r="BY206" s="1089"/>
      <c r="BZ206" s="1089"/>
    </row>
    <row r="207" spans="1:78" s="590" customFormat="1" ht="21.95" hidden="1" customHeight="1" x14ac:dyDescent="0.15">
      <c r="A207" s="2596"/>
      <c r="B207" s="2678"/>
      <c r="C207" s="591" t="s">
        <v>1207</v>
      </c>
      <c r="D207" s="2004"/>
      <c r="E207" s="592"/>
      <c r="F207" s="158">
        <f t="shared" ref="F207:F211" si="1514">F217</f>
        <v>0</v>
      </c>
      <c r="G207" s="158">
        <f t="shared" ref="G207" ca="1" si="1515">G217</f>
        <v>0</v>
      </c>
      <c r="H207" s="158">
        <f t="shared" ref="H207:I207" ca="1" si="1516">H217</f>
        <v>0</v>
      </c>
      <c r="I207" s="158">
        <f t="shared" ca="1" si="1516"/>
        <v>0</v>
      </c>
      <c r="J207" s="158"/>
      <c r="K207" s="158"/>
      <c r="L207" s="158"/>
      <c r="M207" s="158"/>
      <c r="N207" s="2416"/>
      <c r="O207" s="158">
        <f t="shared" ref="O207:V207" ca="1" si="1517">O217</f>
        <v>0</v>
      </c>
      <c r="P207" s="158">
        <f t="shared" ca="1" si="1517"/>
        <v>0</v>
      </c>
      <c r="Q207" s="158">
        <f t="shared" ca="1" si="1517"/>
        <v>0</v>
      </c>
      <c r="R207" s="158">
        <f t="shared" ca="1" si="1517"/>
        <v>0</v>
      </c>
      <c r="S207" s="158">
        <f t="shared" ca="1" si="1517"/>
        <v>0</v>
      </c>
      <c r="T207" s="158">
        <f t="shared" ca="1" si="1517"/>
        <v>0</v>
      </c>
      <c r="U207" s="158">
        <f t="shared" ca="1" si="1517"/>
        <v>0</v>
      </c>
      <c r="V207" s="158">
        <f t="shared" ca="1" si="1517"/>
        <v>0</v>
      </c>
      <c r="W207" s="158"/>
      <c r="X207" s="2416"/>
      <c r="Y207" s="158">
        <f t="shared" ref="Y207:AH207" ca="1" si="1518">Y217</f>
        <v>0</v>
      </c>
      <c r="Z207" s="158">
        <f t="shared" ca="1" si="1518"/>
        <v>0</v>
      </c>
      <c r="AA207" s="158">
        <f t="shared" ca="1" si="1518"/>
        <v>0</v>
      </c>
      <c r="AB207" s="158">
        <f t="shared" ca="1" si="1518"/>
        <v>0</v>
      </c>
      <c r="AC207" s="158">
        <f t="shared" ca="1" si="1518"/>
        <v>0</v>
      </c>
      <c r="AD207" s="158">
        <f t="shared" ca="1" si="1518"/>
        <v>0</v>
      </c>
      <c r="AE207" s="158">
        <f t="shared" ca="1" si="1518"/>
        <v>0</v>
      </c>
      <c r="AF207" s="158">
        <f t="shared" ca="1" si="1518"/>
        <v>0</v>
      </c>
      <c r="AG207" s="158">
        <f t="shared" ca="1" si="1518"/>
        <v>0</v>
      </c>
      <c r="AH207" s="158">
        <f t="shared" ca="1" si="1518"/>
        <v>0</v>
      </c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2416"/>
      <c r="AS207" s="158">
        <f t="shared" ref="AS207:AW207" ca="1" si="1519">AS217</f>
        <v>0</v>
      </c>
      <c r="AT207" s="158">
        <f t="shared" ca="1" si="1519"/>
        <v>0</v>
      </c>
      <c r="AU207" s="158">
        <f t="shared" ca="1" si="1519"/>
        <v>0</v>
      </c>
      <c r="AV207" s="158">
        <f t="shared" ca="1" si="1519"/>
        <v>0</v>
      </c>
      <c r="AW207" s="158">
        <f t="shared" ca="1" si="1519"/>
        <v>0</v>
      </c>
      <c r="AX207" s="158">
        <f t="shared" ref="AX207" si="1520">AX217</f>
        <v>0</v>
      </c>
      <c r="AY207" s="158">
        <f t="shared" ref="AY207:BL207" si="1521">AY217</f>
        <v>0</v>
      </c>
      <c r="AZ207" s="158">
        <f t="shared" ref="AZ207" si="1522">AZ217</f>
        <v>0</v>
      </c>
      <c r="BA207" s="158">
        <f t="shared" si="1521"/>
        <v>0</v>
      </c>
      <c r="BB207" s="158">
        <f t="shared" si="1521"/>
        <v>0</v>
      </c>
      <c r="BC207" s="158">
        <f t="shared" si="1521"/>
        <v>0</v>
      </c>
      <c r="BD207" s="158">
        <f t="shared" si="1521"/>
        <v>0</v>
      </c>
      <c r="BE207" s="158">
        <f t="shared" si="1521"/>
        <v>0</v>
      </c>
      <c r="BF207" s="158">
        <f t="shared" si="1521"/>
        <v>0</v>
      </c>
      <c r="BG207" s="158">
        <f t="shared" si="1521"/>
        <v>0</v>
      </c>
      <c r="BH207" s="158">
        <f t="shared" si="1521"/>
        <v>0</v>
      </c>
      <c r="BI207" s="158">
        <f t="shared" si="1521"/>
        <v>0</v>
      </c>
      <c r="BJ207" s="158">
        <f t="shared" si="1521"/>
        <v>0</v>
      </c>
      <c r="BK207" s="158">
        <f t="shared" si="1521"/>
        <v>0</v>
      </c>
      <c r="BL207" s="158">
        <f t="shared" si="1521"/>
        <v>0</v>
      </c>
      <c r="BM207" s="350">
        <f t="shared" ca="1" si="1415"/>
        <v>0</v>
      </c>
      <c r="BN207" s="579">
        <f t="shared" ca="1" si="1434"/>
        <v>0</v>
      </c>
      <c r="BO207" s="1089"/>
      <c r="BP207" s="1089"/>
      <c r="BQ207" s="1089"/>
      <c r="BR207" s="1089"/>
      <c r="BS207" s="1089"/>
      <c r="BT207" s="1089"/>
      <c r="BU207" s="1089"/>
      <c r="BV207" s="1089"/>
      <c r="BW207" s="1089"/>
      <c r="BX207" s="1089"/>
      <c r="BY207" s="1089"/>
      <c r="BZ207" s="1089"/>
    </row>
    <row r="208" spans="1:78" s="590" customFormat="1" ht="21.95" hidden="1" customHeight="1" x14ac:dyDescent="0.15">
      <c r="A208" s="2596"/>
      <c r="B208" s="2678"/>
      <c r="C208" s="591" t="s">
        <v>1685</v>
      </c>
      <c r="D208" s="2004"/>
      <c r="E208" s="592"/>
      <c r="F208" s="158">
        <f t="shared" si="1514"/>
        <v>0</v>
      </c>
      <c r="G208" s="158">
        <f t="shared" ref="G208" ca="1" si="1523">G218</f>
        <v>0</v>
      </c>
      <c r="H208" s="158">
        <f t="shared" ref="H208:I208" ca="1" si="1524">H218</f>
        <v>0</v>
      </c>
      <c r="I208" s="158">
        <f t="shared" ca="1" si="1524"/>
        <v>0</v>
      </c>
      <c r="J208" s="158"/>
      <c r="K208" s="158"/>
      <c r="L208" s="158"/>
      <c r="M208" s="158"/>
      <c r="N208" s="2416"/>
      <c r="O208" s="158">
        <f t="shared" ref="O208:V208" ca="1" si="1525">O218</f>
        <v>0</v>
      </c>
      <c r="P208" s="158">
        <f t="shared" ca="1" si="1525"/>
        <v>0</v>
      </c>
      <c r="Q208" s="158">
        <f t="shared" ca="1" si="1525"/>
        <v>0</v>
      </c>
      <c r="R208" s="158">
        <f t="shared" ca="1" si="1525"/>
        <v>0</v>
      </c>
      <c r="S208" s="158">
        <f t="shared" ca="1" si="1525"/>
        <v>0</v>
      </c>
      <c r="T208" s="158">
        <f t="shared" ca="1" si="1525"/>
        <v>0</v>
      </c>
      <c r="U208" s="158">
        <f t="shared" ca="1" si="1525"/>
        <v>0</v>
      </c>
      <c r="V208" s="158">
        <f t="shared" ca="1" si="1525"/>
        <v>0</v>
      </c>
      <c r="W208" s="158"/>
      <c r="X208" s="2416"/>
      <c r="Y208" s="158">
        <f t="shared" ref="Y208:AH208" ca="1" si="1526">Y218</f>
        <v>0</v>
      </c>
      <c r="Z208" s="158">
        <f t="shared" ca="1" si="1526"/>
        <v>0</v>
      </c>
      <c r="AA208" s="158">
        <f t="shared" ca="1" si="1526"/>
        <v>0</v>
      </c>
      <c r="AB208" s="158">
        <f t="shared" ca="1" si="1526"/>
        <v>0</v>
      </c>
      <c r="AC208" s="158">
        <f t="shared" ca="1" si="1526"/>
        <v>0</v>
      </c>
      <c r="AD208" s="158">
        <f t="shared" ca="1" si="1526"/>
        <v>0</v>
      </c>
      <c r="AE208" s="158">
        <f t="shared" ca="1" si="1526"/>
        <v>0</v>
      </c>
      <c r="AF208" s="158">
        <f t="shared" ca="1" si="1526"/>
        <v>0</v>
      </c>
      <c r="AG208" s="158">
        <f t="shared" ca="1" si="1526"/>
        <v>0</v>
      </c>
      <c r="AH208" s="158">
        <f t="shared" ca="1" si="1526"/>
        <v>0</v>
      </c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2416"/>
      <c r="AS208" s="158">
        <f t="shared" ref="AS208:AW208" ca="1" si="1527">AS218</f>
        <v>0</v>
      </c>
      <c r="AT208" s="158">
        <f t="shared" ca="1" si="1527"/>
        <v>0</v>
      </c>
      <c r="AU208" s="158">
        <f t="shared" ca="1" si="1527"/>
        <v>0</v>
      </c>
      <c r="AV208" s="158">
        <f t="shared" ca="1" si="1527"/>
        <v>0</v>
      </c>
      <c r="AW208" s="158">
        <f t="shared" ca="1" si="1527"/>
        <v>0</v>
      </c>
      <c r="AX208" s="158">
        <f t="shared" ref="AX208" si="1528">AX218</f>
        <v>0</v>
      </c>
      <c r="AY208" s="158">
        <f t="shared" ref="AY208:BL208" si="1529">AY218</f>
        <v>0</v>
      </c>
      <c r="AZ208" s="158">
        <f t="shared" ref="AZ208" si="1530">AZ218</f>
        <v>0</v>
      </c>
      <c r="BA208" s="158">
        <f t="shared" si="1529"/>
        <v>0</v>
      </c>
      <c r="BB208" s="158">
        <f t="shared" si="1529"/>
        <v>0</v>
      </c>
      <c r="BC208" s="158">
        <f t="shared" si="1529"/>
        <v>0</v>
      </c>
      <c r="BD208" s="158">
        <f t="shared" si="1529"/>
        <v>0</v>
      </c>
      <c r="BE208" s="158">
        <f t="shared" si="1529"/>
        <v>0</v>
      </c>
      <c r="BF208" s="158">
        <f t="shared" si="1529"/>
        <v>0</v>
      </c>
      <c r="BG208" s="158">
        <f t="shared" si="1529"/>
        <v>0</v>
      </c>
      <c r="BH208" s="158">
        <f t="shared" si="1529"/>
        <v>0</v>
      </c>
      <c r="BI208" s="158">
        <f t="shared" si="1529"/>
        <v>0</v>
      </c>
      <c r="BJ208" s="158">
        <f t="shared" si="1529"/>
        <v>0</v>
      </c>
      <c r="BK208" s="158">
        <f t="shared" si="1529"/>
        <v>0</v>
      </c>
      <c r="BL208" s="158">
        <f t="shared" si="1529"/>
        <v>0</v>
      </c>
      <c r="BM208" s="350">
        <f t="shared" ca="1" si="1415"/>
        <v>0</v>
      </c>
      <c r="BN208" s="579">
        <f t="shared" ca="1" si="1434"/>
        <v>0</v>
      </c>
      <c r="BO208" s="1089"/>
      <c r="BP208" s="1089"/>
      <c r="BQ208" s="1089"/>
      <c r="BR208" s="1089"/>
      <c r="BS208" s="1089"/>
      <c r="BT208" s="1089"/>
      <c r="BU208" s="1089"/>
      <c r="BV208" s="1089"/>
      <c r="BW208" s="1089"/>
      <c r="BX208" s="1089"/>
      <c r="BY208" s="1089"/>
      <c r="BZ208" s="1089"/>
    </row>
    <row r="209" spans="1:78" s="590" customFormat="1" ht="21.95" hidden="1" customHeight="1" x14ac:dyDescent="0.15">
      <c r="A209" s="2596"/>
      <c r="B209" s="2678"/>
      <c r="C209" s="598" t="s">
        <v>1684</v>
      </c>
      <c r="D209" s="2004"/>
      <c r="E209" s="592"/>
      <c r="F209" s="158">
        <f t="shared" si="1514"/>
        <v>0</v>
      </c>
      <c r="G209" s="158">
        <f t="shared" ref="G209" si="1531">G219</f>
        <v>0</v>
      </c>
      <c r="H209" s="158">
        <f t="shared" ref="H209:I209" si="1532">H219</f>
        <v>0</v>
      </c>
      <c r="I209" s="158">
        <f t="shared" si="1532"/>
        <v>0</v>
      </c>
      <c r="J209" s="158"/>
      <c r="K209" s="158"/>
      <c r="L209" s="158"/>
      <c r="M209" s="158"/>
      <c r="N209" s="2416"/>
      <c r="O209" s="158">
        <f t="shared" ref="O209:V209" si="1533">O219</f>
        <v>0</v>
      </c>
      <c r="P209" s="158">
        <f t="shared" si="1533"/>
        <v>0</v>
      </c>
      <c r="Q209" s="158">
        <f t="shared" si="1533"/>
        <v>0</v>
      </c>
      <c r="R209" s="158">
        <f t="shared" si="1533"/>
        <v>0</v>
      </c>
      <c r="S209" s="158">
        <f t="shared" si="1533"/>
        <v>0</v>
      </c>
      <c r="T209" s="158">
        <f t="shared" si="1533"/>
        <v>0</v>
      </c>
      <c r="U209" s="158">
        <f t="shared" si="1533"/>
        <v>0</v>
      </c>
      <c r="V209" s="158">
        <f t="shared" si="1533"/>
        <v>0</v>
      </c>
      <c r="W209" s="158"/>
      <c r="X209" s="2416"/>
      <c r="Y209" s="158">
        <f t="shared" ref="Y209:AH209" si="1534">Y219</f>
        <v>0</v>
      </c>
      <c r="Z209" s="158">
        <f t="shared" si="1534"/>
        <v>0</v>
      </c>
      <c r="AA209" s="158">
        <f t="shared" si="1534"/>
        <v>0</v>
      </c>
      <c r="AB209" s="158">
        <f t="shared" si="1534"/>
        <v>0</v>
      </c>
      <c r="AC209" s="158">
        <f t="shared" si="1534"/>
        <v>0</v>
      </c>
      <c r="AD209" s="158">
        <f t="shared" si="1534"/>
        <v>0</v>
      </c>
      <c r="AE209" s="158">
        <f t="shared" si="1534"/>
        <v>0</v>
      </c>
      <c r="AF209" s="158">
        <f t="shared" si="1534"/>
        <v>0</v>
      </c>
      <c r="AG209" s="158">
        <f t="shared" si="1534"/>
        <v>0</v>
      </c>
      <c r="AH209" s="158">
        <f t="shared" si="1534"/>
        <v>0</v>
      </c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2416"/>
      <c r="AS209" s="158">
        <f t="shared" ref="AS209:AW209" si="1535">AS219</f>
        <v>0</v>
      </c>
      <c r="AT209" s="158">
        <f t="shared" si="1535"/>
        <v>0</v>
      </c>
      <c r="AU209" s="158">
        <f t="shared" si="1535"/>
        <v>0</v>
      </c>
      <c r="AV209" s="158">
        <f t="shared" si="1535"/>
        <v>0</v>
      </c>
      <c r="AW209" s="158">
        <f t="shared" si="1535"/>
        <v>0</v>
      </c>
      <c r="AX209" s="158">
        <f t="shared" ref="AX209" si="1536">AX219</f>
        <v>0</v>
      </c>
      <c r="AY209" s="158">
        <f t="shared" ref="AY209:BB211" si="1537">AY219</f>
        <v>0</v>
      </c>
      <c r="AZ209" s="158">
        <f t="shared" ref="AZ209" si="1538">AZ219</f>
        <v>0</v>
      </c>
      <c r="BA209" s="158">
        <f t="shared" si="1537"/>
        <v>0</v>
      </c>
      <c r="BB209" s="158">
        <f t="shared" si="1537"/>
        <v>0</v>
      </c>
      <c r="BC209" s="158">
        <f t="shared" ref="BC209:BL209" si="1539">+BC219</f>
        <v>0</v>
      </c>
      <c r="BD209" s="158">
        <f t="shared" si="1539"/>
        <v>0</v>
      </c>
      <c r="BE209" s="158">
        <f t="shared" si="1539"/>
        <v>0</v>
      </c>
      <c r="BF209" s="158">
        <f t="shared" si="1539"/>
        <v>0</v>
      </c>
      <c r="BG209" s="158">
        <f t="shared" si="1539"/>
        <v>0</v>
      </c>
      <c r="BH209" s="158">
        <f t="shared" si="1539"/>
        <v>0</v>
      </c>
      <c r="BI209" s="158">
        <f t="shared" si="1539"/>
        <v>0</v>
      </c>
      <c r="BJ209" s="158">
        <f t="shared" si="1539"/>
        <v>0</v>
      </c>
      <c r="BK209" s="158">
        <f t="shared" si="1539"/>
        <v>0</v>
      </c>
      <c r="BL209" s="158">
        <f t="shared" si="1539"/>
        <v>0</v>
      </c>
      <c r="BM209" s="350">
        <f t="shared" si="1415"/>
        <v>0</v>
      </c>
      <c r="BN209" s="579">
        <f t="shared" si="1434"/>
        <v>0</v>
      </c>
      <c r="BO209" s="1089"/>
      <c r="BP209" s="1089"/>
      <c r="BQ209" s="1089"/>
      <c r="BR209" s="1089"/>
      <c r="BS209" s="1089"/>
      <c r="BT209" s="1089"/>
      <c r="BU209" s="1089"/>
      <c r="BV209" s="1089"/>
      <c r="BW209" s="1089"/>
      <c r="BX209" s="1089"/>
      <c r="BY209" s="1089"/>
      <c r="BZ209" s="1089"/>
    </row>
    <row r="210" spans="1:78" s="590" customFormat="1" ht="21.95" hidden="1" customHeight="1" x14ac:dyDescent="0.15">
      <c r="A210" s="2596"/>
      <c r="B210" s="2678"/>
      <c r="C210" s="598" t="s">
        <v>1682</v>
      </c>
      <c r="D210" s="2004"/>
      <c r="E210" s="592"/>
      <c r="F210" s="158">
        <f t="shared" si="1514"/>
        <v>0</v>
      </c>
      <c r="G210" s="158">
        <f t="shared" ref="G210" ca="1" si="1540">G220</f>
        <v>0</v>
      </c>
      <c r="H210" s="158">
        <f t="shared" ref="H210:I210" ca="1" si="1541">H220</f>
        <v>0</v>
      </c>
      <c r="I210" s="158">
        <f t="shared" ca="1" si="1541"/>
        <v>0</v>
      </c>
      <c r="J210" s="158"/>
      <c r="K210" s="158"/>
      <c r="L210" s="158"/>
      <c r="M210" s="158"/>
      <c r="N210" s="2416"/>
      <c r="O210" s="158">
        <f t="shared" ref="O210:V210" ca="1" si="1542">O220</f>
        <v>0</v>
      </c>
      <c r="P210" s="158">
        <f t="shared" ca="1" si="1542"/>
        <v>0</v>
      </c>
      <c r="Q210" s="158">
        <f t="shared" ca="1" si="1542"/>
        <v>0</v>
      </c>
      <c r="R210" s="158">
        <f t="shared" ca="1" si="1542"/>
        <v>0</v>
      </c>
      <c r="S210" s="158">
        <f t="shared" ca="1" si="1542"/>
        <v>0</v>
      </c>
      <c r="T210" s="158">
        <f t="shared" ca="1" si="1542"/>
        <v>0</v>
      </c>
      <c r="U210" s="158">
        <f t="shared" ca="1" si="1542"/>
        <v>0</v>
      </c>
      <c r="V210" s="158">
        <f t="shared" ca="1" si="1542"/>
        <v>0</v>
      </c>
      <c r="W210" s="158"/>
      <c r="X210" s="2416"/>
      <c r="Y210" s="158">
        <f t="shared" ref="Y210:AH210" ca="1" si="1543">Y220</f>
        <v>0</v>
      </c>
      <c r="Z210" s="158">
        <f t="shared" ca="1" si="1543"/>
        <v>0</v>
      </c>
      <c r="AA210" s="158">
        <f t="shared" ca="1" si="1543"/>
        <v>0</v>
      </c>
      <c r="AB210" s="158">
        <f t="shared" ca="1" si="1543"/>
        <v>0</v>
      </c>
      <c r="AC210" s="158">
        <f t="shared" ca="1" si="1543"/>
        <v>0</v>
      </c>
      <c r="AD210" s="158">
        <f t="shared" ca="1" si="1543"/>
        <v>0</v>
      </c>
      <c r="AE210" s="158">
        <f t="shared" ca="1" si="1543"/>
        <v>0</v>
      </c>
      <c r="AF210" s="158">
        <f t="shared" ca="1" si="1543"/>
        <v>0</v>
      </c>
      <c r="AG210" s="158">
        <f t="shared" ca="1" si="1543"/>
        <v>0</v>
      </c>
      <c r="AH210" s="158">
        <f t="shared" ca="1" si="1543"/>
        <v>0</v>
      </c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2416"/>
      <c r="AS210" s="158">
        <f t="shared" ref="AS210:AW210" ca="1" si="1544">AS220</f>
        <v>0</v>
      </c>
      <c r="AT210" s="158">
        <f t="shared" ca="1" si="1544"/>
        <v>0</v>
      </c>
      <c r="AU210" s="158">
        <f t="shared" ca="1" si="1544"/>
        <v>0</v>
      </c>
      <c r="AV210" s="158">
        <f t="shared" ca="1" si="1544"/>
        <v>0</v>
      </c>
      <c r="AW210" s="158">
        <f t="shared" ca="1" si="1544"/>
        <v>0</v>
      </c>
      <c r="AX210" s="158">
        <f t="shared" ref="AX210" si="1545">AX220</f>
        <v>0</v>
      </c>
      <c r="AY210" s="158">
        <f t="shared" si="1537"/>
        <v>0</v>
      </c>
      <c r="AZ210" s="158">
        <f t="shared" ref="AZ210" si="1546">AZ220</f>
        <v>0</v>
      </c>
      <c r="BA210" s="158">
        <f t="shared" si="1537"/>
        <v>0</v>
      </c>
      <c r="BB210" s="158">
        <f t="shared" si="1537"/>
        <v>0</v>
      </c>
      <c r="BC210" s="158">
        <f t="shared" ref="BC210:BL210" si="1547">+BC220</f>
        <v>0</v>
      </c>
      <c r="BD210" s="158">
        <f t="shared" si="1547"/>
        <v>0</v>
      </c>
      <c r="BE210" s="158">
        <f t="shared" si="1547"/>
        <v>0</v>
      </c>
      <c r="BF210" s="158">
        <f t="shared" si="1547"/>
        <v>0</v>
      </c>
      <c r="BG210" s="158">
        <f t="shared" si="1547"/>
        <v>0</v>
      </c>
      <c r="BH210" s="158">
        <f t="shared" si="1547"/>
        <v>0</v>
      </c>
      <c r="BI210" s="158">
        <f t="shared" si="1547"/>
        <v>0</v>
      </c>
      <c r="BJ210" s="158">
        <f t="shared" si="1547"/>
        <v>0</v>
      </c>
      <c r="BK210" s="158">
        <f t="shared" si="1547"/>
        <v>0</v>
      </c>
      <c r="BL210" s="158">
        <f t="shared" si="1547"/>
        <v>0</v>
      </c>
      <c r="BM210" s="350">
        <f t="shared" ca="1" si="1415"/>
        <v>0</v>
      </c>
      <c r="BN210" s="579">
        <f t="shared" ca="1" si="1434"/>
        <v>0</v>
      </c>
      <c r="BO210" s="1089"/>
      <c r="BP210" s="1089"/>
      <c r="BQ210" s="1089"/>
      <c r="BR210" s="1089"/>
      <c r="BS210" s="1089"/>
      <c r="BT210" s="1089"/>
      <c r="BU210" s="1089"/>
      <c r="BV210" s="1089"/>
      <c r="BW210" s="1089"/>
      <c r="BX210" s="1089"/>
      <c r="BY210" s="1089"/>
      <c r="BZ210" s="1089"/>
    </row>
    <row r="211" spans="1:78" s="590" customFormat="1" ht="21.95" hidden="1" customHeight="1" thickBot="1" x14ac:dyDescent="0.2">
      <c r="A211" s="2596"/>
      <c r="B211" s="2670"/>
      <c r="C211" s="929" t="s">
        <v>1683</v>
      </c>
      <c r="D211" s="2004"/>
      <c r="E211" s="592"/>
      <c r="F211" s="158">
        <f t="shared" si="1514"/>
        <v>0</v>
      </c>
      <c r="G211" s="158">
        <f t="shared" ref="G211" si="1548">G221</f>
        <v>0</v>
      </c>
      <c r="H211" s="158">
        <f t="shared" ref="H211:I211" si="1549">H221</f>
        <v>0</v>
      </c>
      <c r="I211" s="158">
        <f t="shared" si="1549"/>
        <v>0</v>
      </c>
      <c r="J211" s="158"/>
      <c r="K211" s="158"/>
      <c r="L211" s="158"/>
      <c r="M211" s="158"/>
      <c r="N211" s="2416"/>
      <c r="O211" s="158">
        <f t="shared" ref="O211:V211" si="1550">O221</f>
        <v>0</v>
      </c>
      <c r="P211" s="158">
        <f t="shared" si="1550"/>
        <v>0</v>
      </c>
      <c r="Q211" s="158">
        <f t="shared" si="1550"/>
        <v>0</v>
      </c>
      <c r="R211" s="158">
        <f t="shared" si="1550"/>
        <v>0</v>
      </c>
      <c r="S211" s="158">
        <f t="shared" si="1550"/>
        <v>0</v>
      </c>
      <c r="T211" s="158">
        <f t="shared" si="1550"/>
        <v>0</v>
      </c>
      <c r="U211" s="158">
        <f t="shared" si="1550"/>
        <v>0</v>
      </c>
      <c r="V211" s="158">
        <f t="shared" si="1550"/>
        <v>0</v>
      </c>
      <c r="W211" s="158"/>
      <c r="X211" s="2416"/>
      <c r="Y211" s="158">
        <f t="shared" ref="Y211:AH211" si="1551">Y221</f>
        <v>0</v>
      </c>
      <c r="Z211" s="158">
        <f t="shared" si="1551"/>
        <v>0</v>
      </c>
      <c r="AA211" s="158">
        <f t="shared" si="1551"/>
        <v>0</v>
      </c>
      <c r="AB211" s="158">
        <f t="shared" si="1551"/>
        <v>0</v>
      </c>
      <c r="AC211" s="158">
        <f t="shared" si="1551"/>
        <v>0</v>
      </c>
      <c r="AD211" s="158">
        <f t="shared" si="1551"/>
        <v>0</v>
      </c>
      <c r="AE211" s="158">
        <f t="shared" si="1551"/>
        <v>0</v>
      </c>
      <c r="AF211" s="158">
        <f t="shared" si="1551"/>
        <v>0</v>
      </c>
      <c r="AG211" s="158">
        <f t="shared" si="1551"/>
        <v>0</v>
      </c>
      <c r="AH211" s="158">
        <f t="shared" si="1551"/>
        <v>0</v>
      </c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2416"/>
      <c r="AS211" s="158">
        <f t="shared" ref="AS211:AW211" si="1552">AS221</f>
        <v>0</v>
      </c>
      <c r="AT211" s="158">
        <f t="shared" si="1552"/>
        <v>0</v>
      </c>
      <c r="AU211" s="158">
        <f t="shared" si="1552"/>
        <v>0</v>
      </c>
      <c r="AV211" s="158">
        <f t="shared" si="1552"/>
        <v>0</v>
      </c>
      <c r="AW211" s="158">
        <f t="shared" si="1552"/>
        <v>0</v>
      </c>
      <c r="AX211" s="158">
        <f t="shared" ref="AX211" si="1553">AX221</f>
        <v>0</v>
      </c>
      <c r="AY211" s="158">
        <f t="shared" si="1537"/>
        <v>0</v>
      </c>
      <c r="AZ211" s="158">
        <f t="shared" ref="AZ211" si="1554">AZ221</f>
        <v>0</v>
      </c>
      <c r="BA211" s="158">
        <f t="shared" si="1537"/>
        <v>0</v>
      </c>
      <c r="BB211" s="158">
        <f t="shared" si="1537"/>
        <v>0</v>
      </c>
      <c r="BC211" s="158">
        <f t="shared" ref="BC211:BL211" si="1555">+BC221</f>
        <v>0</v>
      </c>
      <c r="BD211" s="158">
        <f t="shared" si="1555"/>
        <v>0</v>
      </c>
      <c r="BE211" s="158">
        <f t="shared" si="1555"/>
        <v>0</v>
      </c>
      <c r="BF211" s="158">
        <f t="shared" si="1555"/>
        <v>0</v>
      </c>
      <c r="BG211" s="158">
        <f t="shared" si="1555"/>
        <v>0</v>
      </c>
      <c r="BH211" s="158">
        <f t="shared" si="1555"/>
        <v>0</v>
      </c>
      <c r="BI211" s="158">
        <f t="shared" si="1555"/>
        <v>0</v>
      </c>
      <c r="BJ211" s="158">
        <f t="shared" si="1555"/>
        <v>0</v>
      </c>
      <c r="BK211" s="158">
        <f t="shared" si="1555"/>
        <v>0</v>
      </c>
      <c r="BL211" s="158">
        <f t="shared" si="1555"/>
        <v>0</v>
      </c>
      <c r="BM211" s="361">
        <f t="shared" si="1415"/>
        <v>0</v>
      </c>
      <c r="BN211" s="579">
        <f t="shared" si="1434"/>
        <v>0</v>
      </c>
      <c r="BO211" s="1089"/>
      <c r="BP211" s="1089"/>
      <c r="BQ211" s="1089"/>
      <c r="BR211" s="1089"/>
      <c r="BS211" s="1089"/>
      <c r="BT211" s="1089"/>
      <c r="BU211" s="1089"/>
      <c r="BV211" s="1089"/>
      <c r="BW211" s="1089"/>
      <c r="BX211" s="1089"/>
      <c r="BY211" s="1089"/>
      <c r="BZ211" s="1089"/>
    </row>
    <row r="212" spans="1:78" s="590" customFormat="1" ht="21.95" hidden="1" customHeight="1" x14ac:dyDescent="0.15">
      <c r="A212" s="2596"/>
      <c r="B212" s="2682" t="s">
        <v>1366</v>
      </c>
      <c r="C212" s="1084" t="s">
        <v>1365</v>
      </c>
      <c r="D212" s="2003"/>
      <c r="E212" s="1520"/>
      <c r="F212" s="238">
        <f t="shared" ref="F212" si="1556">F96</f>
        <v>0</v>
      </c>
      <c r="G212" s="238">
        <f t="shared" ref="G212" ca="1" si="1557">G96</f>
        <v>0</v>
      </c>
      <c r="H212" s="238">
        <f t="shared" ref="H212:I212" ca="1" si="1558">H96</f>
        <v>0</v>
      </c>
      <c r="I212" s="238">
        <f t="shared" ca="1" si="1558"/>
        <v>0</v>
      </c>
      <c r="J212" s="238"/>
      <c r="K212" s="238"/>
      <c r="L212" s="238"/>
      <c r="M212" s="238"/>
      <c r="N212" s="2439"/>
      <c r="O212" s="238">
        <f t="shared" ref="O212:V212" ca="1" si="1559">O96</f>
        <v>0</v>
      </c>
      <c r="P212" s="238">
        <f t="shared" ca="1" si="1559"/>
        <v>0</v>
      </c>
      <c r="Q212" s="238">
        <f t="shared" ca="1" si="1559"/>
        <v>0</v>
      </c>
      <c r="R212" s="238">
        <f t="shared" ca="1" si="1559"/>
        <v>0</v>
      </c>
      <c r="S212" s="238">
        <f t="shared" ca="1" si="1559"/>
        <v>0</v>
      </c>
      <c r="T212" s="238">
        <f t="shared" ca="1" si="1559"/>
        <v>0</v>
      </c>
      <c r="U212" s="238">
        <f t="shared" ca="1" si="1559"/>
        <v>0</v>
      </c>
      <c r="V212" s="238">
        <f t="shared" ca="1" si="1559"/>
        <v>0</v>
      </c>
      <c r="W212" s="238"/>
      <c r="X212" s="2439"/>
      <c r="Y212" s="238">
        <f t="shared" ref="Y212:AH212" ca="1" si="1560">Y96</f>
        <v>0</v>
      </c>
      <c r="Z212" s="238">
        <f t="shared" ca="1" si="1560"/>
        <v>0</v>
      </c>
      <c r="AA212" s="238">
        <f t="shared" ca="1" si="1560"/>
        <v>0</v>
      </c>
      <c r="AB212" s="238">
        <f t="shared" ca="1" si="1560"/>
        <v>0</v>
      </c>
      <c r="AC212" s="238">
        <f t="shared" ca="1" si="1560"/>
        <v>0</v>
      </c>
      <c r="AD212" s="238">
        <f t="shared" ca="1" si="1560"/>
        <v>0</v>
      </c>
      <c r="AE212" s="238">
        <f t="shared" ca="1" si="1560"/>
        <v>0</v>
      </c>
      <c r="AF212" s="238">
        <f t="shared" ca="1" si="1560"/>
        <v>0</v>
      </c>
      <c r="AG212" s="238">
        <f t="shared" ca="1" si="1560"/>
        <v>0</v>
      </c>
      <c r="AH212" s="238">
        <f t="shared" ca="1" si="1560"/>
        <v>0</v>
      </c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439"/>
      <c r="AS212" s="238">
        <f t="shared" ref="AS212:AW212" ca="1" si="1561">AS96</f>
        <v>0</v>
      </c>
      <c r="AT212" s="238">
        <f t="shared" ca="1" si="1561"/>
        <v>0</v>
      </c>
      <c r="AU212" s="238">
        <f t="shared" ca="1" si="1561"/>
        <v>0</v>
      </c>
      <c r="AV212" s="238">
        <f t="shared" ca="1" si="1561"/>
        <v>0</v>
      </c>
      <c r="AW212" s="238">
        <f t="shared" ca="1" si="1561"/>
        <v>0</v>
      </c>
      <c r="AX212" s="238">
        <f t="shared" ref="AX212" si="1562">AX96</f>
        <v>0</v>
      </c>
      <c r="AY212" s="238">
        <f t="shared" ref="AY212:BL212" si="1563">AY96</f>
        <v>0</v>
      </c>
      <c r="AZ212" s="238">
        <f t="shared" ref="AZ212" si="1564">AZ96</f>
        <v>0</v>
      </c>
      <c r="BA212" s="238">
        <f t="shared" si="1563"/>
        <v>0</v>
      </c>
      <c r="BB212" s="238">
        <f t="shared" si="1563"/>
        <v>0</v>
      </c>
      <c r="BC212" s="238">
        <f t="shared" si="1563"/>
        <v>0</v>
      </c>
      <c r="BD212" s="238">
        <f t="shared" si="1563"/>
        <v>0</v>
      </c>
      <c r="BE212" s="238">
        <f t="shared" si="1563"/>
        <v>0</v>
      </c>
      <c r="BF212" s="238">
        <f t="shared" si="1563"/>
        <v>0</v>
      </c>
      <c r="BG212" s="238">
        <f t="shared" si="1563"/>
        <v>0</v>
      </c>
      <c r="BH212" s="238">
        <f t="shared" si="1563"/>
        <v>0</v>
      </c>
      <c r="BI212" s="238">
        <f t="shared" si="1563"/>
        <v>0</v>
      </c>
      <c r="BJ212" s="238">
        <f t="shared" si="1563"/>
        <v>0</v>
      </c>
      <c r="BK212" s="238">
        <f t="shared" si="1563"/>
        <v>0</v>
      </c>
      <c r="BL212" s="238">
        <f t="shared" si="1563"/>
        <v>0</v>
      </c>
      <c r="BM212" s="362"/>
      <c r="BN212" s="579"/>
      <c r="BO212" s="1089"/>
      <c r="BP212" s="1089"/>
      <c r="BQ212" s="1089"/>
      <c r="BR212" s="1089"/>
      <c r="BS212" s="1089"/>
      <c r="BT212" s="1089"/>
      <c r="BU212" s="1089"/>
      <c r="BV212" s="1089"/>
      <c r="BW212" s="1089"/>
      <c r="BX212" s="1089"/>
      <c r="BY212" s="1089"/>
      <c r="BZ212" s="1089"/>
    </row>
    <row r="213" spans="1:78" s="590" customFormat="1" ht="21.95" hidden="1" customHeight="1" x14ac:dyDescent="0.15">
      <c r="A213" s="2596"/>
      <c r="B213" s="2669"/>
      <c r="C213" s="591" t="s">
        <v>1211</v>
      </c>
      <c r="D213" s="2004"/>
      <c r="E213" s="592"/>
      <c r="F213" s="158">
        <f t="shared" ref="F213:F214" si="1565">F205</f>
        <v>0</v>
      </c>
      <c r="G213" s="158">
        <f t="shared" ref="G213" si="1566">G205</f>
        <v>0</v>
      </c>
      <c r="H213" s="158">
        <f t="shared" ref="H213:I213" si="1567">H205</f>
        <v>0</v>
      </c>
      <c r="I213" s="158">
        <f t="shared" si="1567"/>
        <v>0</v>
      </c>
      <c r="J213" s="158"/>
      <c r="K213" s="158"/>
      <c r="L213" s="158"/>
      <c r="M213" s="158"/>
      <c r="N213" s="2416"/>
      <c r="O213" s="158">
        <f t="shared" ref="O213:V213" si="1568">O205</f>
        <v>0</v>
      </c>
      <c r="P213" s="158">
        <f t="shared" si="1568"/>
        <v>0</v>
      </c>
      <c r="Q213" s="158">
        <f t="shared" si="1568"/>
        <v>0</v>
      </c>
      <c r="R213" s="158">
        <f t="shared" si="1568"/>
        <v>0</v>
      </c>
      <c r="S213" s="158">
        <f t="shared" si="1568"/>
        <v>0</v>
      </c>
      <c r="T213" s="158">
        <f t="shared" si="1568"/>
        <v>0</v>
      </c>
      <c r="U213" s="158">
        <f t="shared" si="1568"/>
        <v>0</v>
      </c>
      <c r="V213" s="158">
        <f t="shared" si="1568"/>
        <v>0</v>
      </c>
      <c r="W213" s="158"/>
      <c r="X213" s="2416"/>
      <c r="Y213" s="158">
        <f t="shared" ref="Y213:AH213" si="1569">Y205</f>
        <v>0</v>
      </c>
      <c r="Z213" s="158">
        <f t="shared" si="1569"/>
        <v>0</v>
      </c>
      <c r="AA213" s="158">
        <f t="shared" si="1569"/>
        <v>0</v>
      </c>
      <c r="AB213" s="158">
        <f t="shared" si="1569"/>
        <v>0</v>
      </c>
      <c r="AC213" s="158">
        <f t="shared" si="1569"/>
        <v>0</v>
      </c>
      <c r="AD213" s="158">
        <f t="shared" si="1569"/>
        <v>0</v>
      </c>
      <c r="AE213" s="158">
        <f t="shared" si="1569"/>
        <v>0</v>
      </c>
      <c r="AF213" s="158">
        <f t="shared" si="1569"/>
        <v>0</v>
      </c>
      <c r="AG213" s="158">
        <f t="shared" si="1569"/>
        <v>0</v>
      </c>
      <c r="AH213" s="158">
        <f t="shared" si="1569"/>
        <v>0</v>
      </c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2416"/>
      <c r="AS213" s="158">
        <f t="shared" ref="AS213:AW213" si="1570">AS205</f>
        <v>0</v>
      </c>
      <c r="AT213" s="158">
        <f t="shared" si="1570"/>
        <v>0</v>
      </c>
      <c r="AU213" s="158">
        <f t="shared" si="1570"/>
        <v>0</v>
      </c>
      <c r="AV213" s="158">
        <f t="shared" si="1570"/>
        <v>0</v>
      </c>
      <c r="AW213" s="158">
        <f t="shared" si="1570"/>
        <v>0</v>
      </c>
      <c r="AX213" s="158">
        <f t="shared" ref="AX213" si="1571">AX205</f>
        <v>0</v>
      </c>
      <c r="AY213" s="158">
        <f t="shared" ref="AY213:BL213" si="1572">AY205</f>
        <v>0</v>
      </c>
      <c r="AZ213" s="158">
        <f t="shared" ref="AZ213" si="1573">AZ205</f>
        <v>0</v>
      </c>
      <c r="BA213" s="158">
        <f t="shared" si="1572"/>
        <v>0</v>
      </c>
      <c r="BB213" s="158">
        <f t="shared" si="1572"/>
        <v>0</v>
      </c>
      <c r="BC213" s="158">
        <f t="shared" si="1572"/>
        <v>0</v>
      </c>
      <c r="BD213" s="158">
        <f t="shared" si="1572"/>
        <v>0</v>
      </c>
      <c r="BE213" s="158">
        <f t="shared" si="1572"/>
        <v>0</v>
      </c>
      <c r="BF213" s="158">
        <f t="shared" si="1572"/>
        <v>0</v>
      </c>
      <c r="BG213" s="158">
        <f t="shared" si="1572"/>
        <v>0</v>
      </c>
      <c r="BH213" s="158">
        <f t="shared" si="1572"/>
        <v>0</v>
      </c>
      <c r="BI213" s="158">
        <f t="shared" si="1572"/>
        <v>0</v>
      </c>
      <c r="BJ213" s="158">
        <f t="shared" si="1572"/>
        <v>0</v>
      </c>
      <c r="BK213" s="158">
        <f t="shared" si="1572"/>
        <v>0</v>
      </c>
      <c r="BL213" s="158">
        <f t="shared" si="1572"/>
        <v>0</v>
      </c>
      <c r="BM213" s="350"/>
      <c r="BN213" s="579"/>
      <c r="BO213" s="1089"/>
      <c r="BP213" s="1089"/>
      <c r="BQ213" s="1089"/>
      <c r="BR213" s="1089"/>
      <c r="BS213" s="1089"/>
      <c r="BT213" s="1089"/>
      <c r="BU213" s="1089"/>
      <c r="BV213" s="1089"/>
      <c r="BW213" s="1089"/>
      <c r="BX213" s="1089"/>
      <c r="BY213" s="1089"/>
      <c r="BZ213" s="1089"/>
    </row>
    <row r="214" spans="1:78" s="590" customFormat="1" ht="21.95" hidden="1" customHeight="1" x14ac:dyDescent="0.15">
      <c r="A214" s="2596"/>
      <c r="B214" s="2669"/>
      <c r="C214" s="591" t="s">
        <v>1438</v>
      </c>
      <c r="D214" s="2004"/>
      <c r="E214" s="592"/>
      <c r="F214" s="158">
        <f t="shared" si="1565"/>
        <v>0</v>
      </c>
      <c r="G214" s="158">
        <f t="shared" ref="G214" si="1574">G206</f>
        <v>0</v>
      </c>
      <c r="H214" s="158">
        <f t="shared" ref="H214:I214" si="1575">H206</f>
        <v>0</v>
      </c>
      <c r="I214" s="158">
        <f t="shared" si="1575"/>
        <v>0</v>
      </c>
      <c r="J214" s="158"/>
      <c r="K214" s="158"/>
      <c r="L214" s="158"/>
      <c r="M214" s="158"/>
      <c r="N214" s="2416"/>
      <c r="O214" s="158">
        <f t="shared" ref="O214:V214" si="1576">O206</f>
        <v>0</v>
      </c>
      <c r="P214" s="158">
        <f t="shared" si="1576"/>
        <v>0</v>
      </c>
      <c r="Q214" s="158">
        <f t="shared" si="1576"/>
        <v>0</v>
      </c>
      <c r="R214" s="158">
        <f t="shared" si="1576"/>
        <v>0</v>
      </c>
      <c r="S214" s="158">
        <f t="shared" si="1576"/>
        <v>0</v>
      </c>
      <c r="T214" s="158">
        <f t="shared" si="1576"/>
        <v>0</v>
      </c>
      <c r="U214" s="158">
        <f t="shared" si="1576"/>
        <v>0</v>
      </c>
      <c r="V214" s="158">
        <f t="shared" si="1576"/>
        <v>0</v>
      </c>
      <c r="W214" s="158"/>
      <c r="X214" s="2416"/>
      <c r="Y214" s="158">
        <f t="shared" ref="Y214:AH214" si="1577">Y206</f>
        <v>0</v>
      </c>
      <c r="Z214" s="158">
        <f t="shared" si="1577"/>
        <v>0</v>
      </c>
      <c r="AA214" s="158">
        <f t="shared" si="1577"/>
        <v>0</v>
      </c>
      <c r="AB214" s="158">
        <f t="shared" si="1577"/>
        <v>0</v>
      </c>
      <c r="AC214" s="158">
        <f t="shared" si="1577"/>
        <v>0</v>
      </c>
      <c r="AD214" s="158">
        <f t="shared" si="1577"/>
        <v>0</v>
      </c>
      <c r="AE214" s="158">
        <f t="shared" si="1577"/>
        <v>0</v>
      </c>
      <c r="AF214" s="158">
        <f t="shared" si="1577"/>
        <v>0</v>
      </c>
      <c r="AG214" s="158">
        <f t="shared" si="1577"/>
        <v>0</v>
      </c>
      <c r="AH214" s="158">
        <f t="shared" si="1577"/>
        <v>0</v>
      </c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2416"/>
      <c r="AS214" s="158">
        <f t="shared" ref="AS214:AW214" si="1578">AS206</f>
        <v>0</v>
      </c>
      <c r="AT214" s="158">
        <f t="shared" si="1578"/>
        <v>0</v>
      </c>
      <c r="AU214" s="158">
        <f t="shared" si="1578"/>
        <v>0</v>
      </c>
      <c r="AV214" s="158">
        <f t="shared" si="1578"/>
        <v>0</v>
      </c>
      <c r="AW214" s="158">
        <f t="shared" si="1578"/>
        <v>0</v>
      </c>
      <c r="AX214" s="158">
        <f t="shared" ref="AX214" si="1579">AX206</f>
        <v>0</v>
      </c>
      <c r="AY214" s="158">
        <f t="shared" ref="AY214:BL214" si="1580">AY206</f>
        <v>0</v>
      </c>
      <c r="AZ214" s="158">
        <f t="shared" ref="AZ214" si="1581">AZ206</f>
        <v>0</v>
      </c>
      <c r="BA214" s="158">
        <f t="shared" si="1580"/>
        <v>0</v>
      </c>
      <c r="BB214" s="158">
        <f t="shared" si="1580"/>
        <v>0</v>
      </c>
      <c r="BC214" s="158">
        <f t="shared" si="1580"/>
        <v>0</v>
      </c>
      <c r="BD214" s="158">
        <f t="shared" si="1580"/>
        <v>0</v>
      </c>
      <c r="BE214" s="158">
        <f t="shared" si="1580"/>
        <v>0</v>
      </c>
      <c r="BF214" s="158">
        <f t="shared" si="1580"/>
        <v>0</v>
      </c>
      <c r="BG214" s="158">
        <f t="shared" si="1580"/>
        <v>0</v>
      </c>
      <c r="BH214" s="158">
        <f t="shared" si="1580"/>
        <v>0</v>
      </c>
      <c r="BI214" s="158">
        <f t="shared" si="1580"/>
        <v>0</v>
      </c>
      <c r="BJ214" s="158">
        <f t="shared" si="1580"/>
        <v>0</v>
      </c>
      <c r="BK214" s="158">
        <f t="shared" si="1580"/>
        <v>0</v>
      </c>
      <c r="BL214" s="158">
        <f t="shared" si="1580"/>
        <v>0</v>
      </c>
      <c r="BM214" s="350"/>
      <c r="BN214" s="579"/>
      <c r="BO214" s="1089"/>
      <c r="BP214" s="1089"/>
      <c r="BQ214" s="1089"/>
      <c r="BR214" s="1089"/>
      <c r="BS214" s="1089"/>
      <c r="BT214" s="1089"/>
      <c r="BU214" s="1089"/>
      <c r="BV214" s="1089"/>
      <c r="BW214" s="1089"/>
      <c r="BX214" s="1089"/>
      <c r="BY214" s="1089"/>
      <c r="BZ214" s="1089"/>
    </row>
    <row r="215" spans="1:78" s="590" customFormat="1" ht="21.95" hidden="1" customHeight="1" x14ac:dyDescent="0.15">
      <c r="A215" s="2596"/>
      <c r="B215" s="2683"/>
      <c r="C215" s="591" t="s">
        <v>1367</v>
      </c>
      <c r="D215" s="2004"/>
      <c r="E215" s="592"/>
      <c r="F215" s="158">
        <f t="shared" ref="F215" si="1582">F91</f>
        <v>0</v>
      </c>
      <c r="G215" s="158">
        <f t="shared" ref="G215" ca="1" si="1583">G91</f>
        <v>0</v>
      </c>
      <c r="H215" s="158">
        <f t="shared" ref="H215:I215" ca="1" si="1584">H91</f>
        <v>0</v>
      </c>
      <c r="I215" s="158">
        <f t="shared" ca="1" si="1584"/>
        <v>0</v>
      </c>
      <c r="J215" s="158"/>
      <c r="K215" s="158"/>
      <c r="L215" s="158"/>
      <c r="M215" s="158"/>
      <c r="N215" s="2416"/>
      <c r="O215" s="158">
        <f t="shared" ref="O215:V215" ca="1" si="1585">O91</f>
        <v>0</v>
      </c>
      <c r="P215" s="158">
        <f t="shared" ca="1" si="1585"/>
        <v>0</v>
      </c>
      <c r="Q215" s="158">
        <f t="shared" ca="1" si="1585"/>
        <v>0</v>
      </c>
      <c r="R215" s="158">
        <f t="shared" ca="1" si="1585"/>
        <v>0</v>
      </c>
      <c r="S215" s="158">
        <f t="shared" ca="1" si="1585"/>
        <v>0</v>
      </c>
      <c r="T215" s="158">
        <f t="shared" ca="1" si="1585"/>
        <v>0</v>
      </c>
      <c r="U215" s="158">
        <f t="shared" ca="1" si="1585"/>
        <v>0</v>
      </c>
      <c r="V215" s="158">
        <f t="shared" ca="1" si="1585"/>
        <v>0</v>
      </c>
      <c r="W215" s="158"/>
      <c r="X215" s="2416"/>
      <c r="Y215" s="158">
        <f t="shared" ref="Y215:AH215" ca="1" si="1586">Y91</f>
        <v>0</v>
      </c>
      <c r="Z215" s="158">
        <f t="shared" ca="1" si="1586"/>
        <v>0</v>
      </c>
      <c r="AA215" s="158">
        <f t="shared" ca="1" si="1586"/>
        <v>0</v>
      </c>
      <c r="AB215" s="158">
        <f t="shared" ca="1" si="1586"/>
        <v>0</v>
      </c>
      <c r="AC215" s="158">
        <f t="shared" ca="1" si="1586"/>
        <v>0</v>
      </c>
      <c r="AD215" s="158">
        <f t="shared" ca="1" si="1586"/>
        <v>0</v>
      </c>
      <c r="AE215" s="158">
        <f t="shared" ca="1" si="1586"/>
        <v>0</v>
      </c>
      <c r="AF215" s="158">
        <f t="shared" ca="1" si="1586"/>
        <v>0</v>
      </c>
      <c r="AG215" s="158">
        <f t="shared" ca="1" si="1586"/>
        <v>0</v>
      </c>
      <c r="AH215" s="158">
        <f t="shared" ca="1" si="1586"/>
        <v>0</v>
      </c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2416"/>
      <c r="AS215" s="158">
        <f t="shared" ref="AS215:AW215" ca="1" si="1587">AS91</f>
        <v>0</v>
      </c>
      <c r="AT215" s="158">
        <f t="shared" ca="1" si="1587"/>
        <v>0</v>
      </c>
      <c r="AU215" s="158">
        <f t="shared" ca="1" si="1587"/>
        <v>0</v>
      </c>
      <c r="AV215" s="158">
        <f t="shared" ca="1" si="1587"/>
        <v>0</v>
      </c>
      <c r="AW215" s="158">
        <f t="shared" ca="1" si="1587"/>
        <v>270.95037920356089</v>
      </c>
      <c r="AX215" s="158">
        <f t="shared" ref="AX215" si="1588">AX91</f>
        <v>0</v>
      </c>
      <c r="AY215" s="158">
        <f t="shared" ref="AY215:BL215" si="1589">AY91</f>
        <v>0</v>
      </c>
      <c r="AZ215" s="158">
        <f t="shared" ref="AZ215" si="1590">AZ91</f>
        <v>0</v>
      </c>
      <c r="BA215" s="158">
        <f t="shared" si="1589"/>
        <v>0</v>
      </c>
      <c r="BB215" s="158">
        <f t="shared" si="1589"/>
        <v>0</v>
      </c>
      <c r="BC215" s="158">
        <f t="shared" si="1589"/>
        <v>0</v>
      </c>
      <c r="BD215" s="158">
        <f t="shared" si="1589"/>
        <v>0</v>
      </c>
      <c r="BE215" s="158">
        <f t="shared" si="1589"/>
        <v>0</v>
      </c>
      <c r="BF215" s="158">
        <f t="shared" si="1589"/>
        <v>0</v>
      </c>
      <c r="BG215" s="158">
        <f t="shared" si="1589"/>
        <v>0</v>
      </c>
      <c r="BH215" s="158">
        <f t="shared" si="1589"/>
        <v>0</v>
      </c>
      <c r="BI215" s="158">
        <f t="shared" si="1589"/>
        <v>0</v>
      </c>
      <c r="BJ215" s="158">
        <f t="shared" si="1589"/>
        <v>0</v>
      </c>
      <c r="BK215" s="158">
        <f t="shared" si="1589"/>
        <v>0</v>
      </c>
      <c r="BL215" s="158">
        <f t="shared" si="1589"/>
        <v>0</v>
      </c>
      <c r="BM215" s="350"/>
      <c r="BN215" s="579"/>
      <c r="BO215" s="1089"/>
      <c r="BP215" s="1089"/>
      <c r="BQ215" s="1089"/>
      <c r="BR215" s="1089"/>
      <c r="BS215" s="1089"/>
      <c r="BT215" s="1089"/>
      <c r="BU215" s="1089"/>
      <c r="BV215" s="1089"/>
      <c r="BW215" s="1089"/>
      <c r="BX215" s="1089"/>
      <c r="BY215" s="1089"/>
      <c r="BZ215" s="1089"/>
    </row>
    <row r="216" spans="1:78" s="590" customFormat="1" ht="21.95" hidden="1" customHeight="1" x14ac:dyDescent="0.15">
      <c r="A216" s="2596"/>
      <c r="B216" s="2683"/>
      <c r="C216" s="591" t="s">
        <v>7</v>
      </c>
      <c r="D216" s="2004"/>
      <c r="E216" s="592"/>
      <c r="F216" s="158">
        <f t="shared" ref="F216" si="1591">F85</f>
        <v>0</v>
      </c>
      <c r="G216" s="158">
        <f t="shared" ref="G216" ca="1" si="1592">G85</f>
        <v>29.32297237733518</v>
      </c>
      <c r="H216" s="158">
        <f t="shared" ref="H216:I216" ca="1" si="1593">H85</f>
        <v>24.095161139831934</v>
      </c>
      <c r="I216" s="158">
        <f t="shared" ca="1" si="1593"/>
        <v>24.095161139831934</v>
      </c>
      <c r="J216" s="158"/>
      <c r="K216" s="158"/>
      <c r="L216" s="158"/>
      <c r="M216" s="158"/>
      <c r="N216" s="2416"/>
      <c r="O216" s="158">
        <f t="shared" ref="O216:V216" ca="1" si="1594">O85</f>
        <v>27.230219280702258</v>
      </c>
      <c r="P216" s="158">
        <f t="shared" ca="1" si="1594"/>
        <v>35.72744829368456</v>
      </c>
      <c r="Q216" s="158">
        <f t="shared" ca="1" si="1594"/>
        <v>36.285244352514738</v>
      </c>
      <c r="R216" s="158">
        <f t="shared" ca="1" si="1594"/>
        <v>37.099545168325214</v>
      </c>
      <c r="S216" s="158">
        <f t="shared" ca="1" si="1594"/>
        <v>35.470943536704262</v>
      </c>
      <c r="T216" s="158">
        <f t="shared" ca="1" si="1594"/>
        <v>107.17103514750077</v>
      </c>
      <c r="U216" s="158">
        <f t="shared" ca="1" si="1594"/>
        <v>107.17103514750077</v>
      </c>
      <c r="V216" s="158">
        <f t="shared" ca="1" si="1594"/>
        <v>61.932100935807746</v>
      </c>
      <c r="W216" s="158"/>
      <c r="X216" s="2416"/>
      <c r="Y216" s="158">
        <f t="shared" ref="Y216:AH216" ca="1" si="1595">Y85</f>
        <v>52.136966900291974</v>
      </c>
      <c r="Z216" s="158">
        <f t="shared" ca="1" si="1595"/>
        <v>38.549000620467858</v>
      </c>
      <c r="AA216" s="158">
        <f t="shared" ca="1" si="1595"/>
        <v>38.549000620467858</v>
      </c>
      <c r="AB216" s="158">
        <f t="shared" ca="1" si="1595"/>
        <v>38.549000620467858</v>
      </c>
      <c r="AC216" s="158">
        <f t="shared" ca="1" si="1595"/>
        <v>52.202110965556813</v>
      </c>
      <c r="AD216" s="158">
        <f t="shared" ca="1" si="1595"/>
        <v>52.151443359239707</v>
      </c>
      <c r="AE216" s="158">
        <f t="shared" ca="1" si="1595"/>
        <v>52.332399096086483</v>
      </c>
      <c r="AF216" s="158">
        <f t="shared" ca="1" si="1595"/>
        <v>95.883921061683367</v>
      </c>
      <c r="AG216" s="158">
        <f t="shared" ca="1" si="1595"/>
        <v>104.26443362439949</v>
      </c>
      <c r="AH216" s="158">
        <f t="shared" ca="1" si="1595"/>
        <v>104.26443362439949</v>
      </c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2416"/>
      <c r="AS216" s="158">
        <f t="shared" ref="AS216:AW216" ca="1" si="1596">AS85</f>
        <v>29.404402458916227</v>
      </c>
      <c r="AT216" s="158">
        <f t="shared" ca="1" si="1596"/>
        <v>52.144205129765844</v>
      </c>
      <c r="AU216" s="158">
        <f t="shared" ca="1" si="1596"/>
        <v>52.129728670818096</v>
      </c>
      <c r="AV216" s="158">
        <f t="shared" ca="1" si="1596"/>
        <v>52.122490441344233</v>
      </c>
      <c r="AW216" s="158">
        <f t="shared" ca="1" si="1596"/>
        <v>81.690205452764687</v>
      </c>
      <c r="AX216" s="158">
        <f t="shared" ref="AX216" si="1597">AX85</f>
        <v>0</v>
      </c>
      <c r="AY216" s="158">
        <f t="shared" ref="AY216:BL216" si="1598">AY85</f>
        <v>145.12650095111121</v>
      </c>
      <c r="AZ216" s="158">
        <f t="shared" ref="AZ216" si="1599">AZ85</f>
        <v>0</v>
      </c>
      <c r="BA216" s="158">
        <f t="shared" si="1598"/>
        <v>26.871926921745651</v>
      </c>
      <c r="BB216" s="158">
        <f t="shared" si="1598"/>
        <v>0</v>
      </c>
      <c r="BC216" s="158">
        <f t="shared" si="1598"/>
        <v>0</v>
      </c>
      <c r="BD216" s="158">
        <f t="shared" si="1598"/>
        <v>0</v>
      </c>
      <c r="BE216" s="158">
        <f t="shared" si="1598"/>
        <v>0</v>
      </c>
      <c r="BF216" s="158">
        <f t="shared" si="1598"/>
        <v>0</v>
      </c>
      <c r="BG216" s="158">
        <f t="shared" si="1598"/>
        <v>0</v>
      </c>
      <c r="BH216" s="158">
        <f t="shared" si="1598"/>
        <v>0</v>
      </c>
      <c r="BI216" s="158">
        <f t="shared" si="1598"/>
        <v>0</v>
      </c>
      <c r="BJ216" s="158">
        <f t="shared" si="1598"/>
        <v>0</v>
      </c>
      <c r="BK216" s="158">
        <f t="shared" si="1598"/>
        <v>0</v>
      </c>
      <c r="BL216" s="158">
        <f t="shared" si="1598"/>
        <v>0</v>
      </c>
      <c r="BM216" s="350"/>
      <c r="BN216" s="579"/>
      <c r="BO216" s="1089"/>
      <c r="BP216" s="1089"/>
      <c r="BQ216" s="1089"/>
      <c r="BR216" s="1089"/>
      <c r="BS216" s="1089"/>
      <c r="BT216" s="1089"/>
      <c r="BU216" s="1089"/>
      <c r="BV216" s="1089"/>
      <c r="BW216" s="1089"/>
      <c r="BX216" s="1089"/>
      <c r="BY216" s="1089"/>
      <c r="BZ216" s="1089"/>
    </row>
    <row r="217" spans="1:78" s="590" customFormat="1" ht="21.95" hidden="1" customHeight="1" x14ac:dyDescent="0.15">
      <c r="A217" s="2596"/>
      <c r="B217" s="2683"/>
      <c r="C217" s="591" t="s">
        <v>1368</v>
      </c>
      <c r="D217" s="2004"/>
      <c r="E217" s="592"/>
      <c r="F217" s="158">
        <f t="shared" ref="F217" si="1600">212.02*F163/1000</f>
        <v>0</v>
      </c>
      <c r="G217" s="158">
        <f t="shared" ref="G217" ca="1" si="1601">212.02*G163/1000</f>
        <v>0</v>
      </c>
      <c r="H217" s="158">
        <f t="shared" ref="H217:I217" ca="1" si="1602">212.02*H163/1000</f>
        <v>0</v>
      </c>
      <c r="I217" s="158">
        <f t="shared" ca="1" si="1602"/>
        <v>0</v>
      </c>
      <c r="J217" s="158"/>
      <c r="K217" s="158"/>
      <c r="L217" s="158"/>
      <c r="M217" s="158"/>
      <c r="N217" s="2416"/>
      <c r="O217" s="158">
        <f t="shared" ref="O217:V217" ca="1" si="1603">212.02*O163/1000</f>
        <v>0</v>
      </c>
      <c r="P217" s="158">
        <f t="shared" ca="1" si="1603"/>
        <v>0</v>
      </c>
      <c r="Q217" s="158">
        <f t="shared" ca="1" si="1603"/>
        <v>0</v>
      </c>
      <c r="R217" s="158">
        <f t="shared" ca="1" si="1603"/>
        <v>0</v>
      </c>
      <c r="S217" s="158">
        <f t="shared" ca="1" si="1603"/>
        <v>0</v>
      </c>
      <c r="T217" s="158">
        <f t="shared" ca="1" si="1603"/>
        <v>0</v>
      </c>
      <c r="U217" s="158">
        <f t="shared" ca="1" si="1603"/>
        <v>0</v>
      </c>
      <c r="V217" s="158">
        <f t="shared" ca="1" si="1603"/>
        <v>0</v>
      </c>
      <c r="W217" s="158"/>
      <c r="X217" s="2416"/>
      <c r="Y217" s="158">
        <f t="shared" ref="Y217:AH217" ca="1" si="1604">212.02*Y163/1000</f>
        <v>0</v>
      </c>
      <c r="Z217" s="158">
        <f t="shared" ca="1" si="1604"/>
        <v>0</v>
      </c>
      <c r="AA217" s="158">
        <f t="shared" ca="1" si="1604"/>
        <v>0</v>
      </c>
      <c r="AB217" s="158">
        <f t="shared" ca="1" si="1604"/>
        <v>0</v>
      </c>
      <c r="AC217" s="158">
        <f t="shared" ca="1" si="1604"/>
        <v>0</v>
      </c>
      <c r="AD217" s="158">
        <f t="shared" ca="1" si="1604"/>
        <v>0</v>
      </c>
      <c r="AE217" s="158">
        <f t="shared" ca="1" si="1604"/>
        <v>0</v>
      </c>
      <c r="AF217" s="158">
        <f t="shared" ca="1" si="1604"/>
        <v>0</v>
      </c>
      <c r="AG217" s="158">
        <f t="shared" ca="1" si="1604"/>
        <v>0</v>
      </c>
      <c r="AH217" s="158">
        <f t="shared" ca="1" si="1604"/>
        <v>0</v>
      </c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2416"/>
      <c r="AS217" s="158">
        <f t="shared" ref="AS217:AW217" ca="1" si="1605">212.02*AS163/1000</f>
        <v>0</v>
      </c>
      <c r="AT217" s="158">
        <f t="shared" ca="1" si="1605"/>
        <v>0</v>
      </c>
      <c r="AU217" s="158">
        <f t="shared" ca="1" si="1605"/>
        <v>0</v>
      </c>
      <c r="AV217" s="158">
        <f t="shared" ca="1" si="1605"/>
        <v>0</v>
      </c>
      <c r="AW217" s="158">
        <f t="shared" ca="1" si="1605"/>
        <v>0</v>
      </c>
      <c r="AX217" s="158">
        <f t="shared" ref="AX217" si="1606">212.02*AX163/1000</f>
        <v>0</v>
      </c>
      <c r="AY217" s="158">
        <f t="shared" ref="AY217:BL217" si="1607">212.02*AY163/1000</f>
        <v>0</v>
      </c>
      <c r="AZ217" s="158">
        <f t="shared" ref="AZ217" si="1608">212.02*AZ163/1000</f>
        <v>0</v>
      </c>
      <c r="BA217" s="158">
        <f t="shared" si="1607"/>
        <v>0</v>
      </c>
      <c r="BB217" s="158">
        <f t="shared" si="1607"/>
        <v>0</v>
      </c>
      <c r="BC217" s="158">
        <f t="shared" si="1607"/>
        <v>0</v>
      </c>
      <c r="BD217" s="158">
        <f t="shared" si="1607"/>
        <v>0</v>
      </c>
      <c r="BE217" s="158">
        <f t="shared" si="1607"/>
        <v>0</v>
      </c>
      <c r="BF217" s="158">
        <f t="shared" si="1607"/>
        <v>0</v>
      </c>
      <c r="BG217" s="158">
        <f t="shared" si="1607"/>
        <v>0</v>
      </c>
      <c r="BH217" s="158">
        <f t="shared" si="1607"/>
        <v>0</v>
      </c>
      <c r="BI217" s="158">
        <f t="shared" si="1607"/>
        <v>0</v>
      </c>
      <c r="BJ217" s="158">
        <f t="shared" si="1607"/>
        <v>0</v>
      </c>
      <c r="BK217" s="158">
        <f t="shared" si="1607"/>
        <v>0</v>
      </c>
      <c r="BL217" s="158">
        <f t="shared" si="1607"/>
        <v>0</v>
      </c>
      <c r="BM217" s="350"/>
      <c r="BN217" s="579"/>
      <c r="BO217" s="1089"/>
      <c r="BP217" s="1089"/>
      <c r="BQ217" s="1089"/>
      <c r="BR217" s="1089"/>
      <c r="BS217" s="1089"/>
      <c r="BT217" s="1089"/>
      <c r="BU217" s="1089"/>
      <c r="BV217" s="1089"/>
      <c r="BW217" s="1089"/>
      <c r="BX217" s="1089"/>
      <c r="BY217" s="1089"/>
      <c r="BZ217" s="1089"/>
    </row>
    <row r="218" spans="1:78" s="590" customFormat="1" ht="21.95" hidden="1" customHeight="1" x14ac:dyDescent="0.15">
      <c r="A218" s="2596"/>
      <c r="B218" s="2683"/>
      <c r="C218" s="591" t="s">
        <v>1685</v>
      </c>
      <c r="D218" s="2004"/>
      <c r="E218" s="592"/>
      <c r="F218" s="158">
        <f t="shared" ref="F218" si="1609">F163*0.827</f>
        <v>0</v>
      </c>
      <c r="G218" s="158">
        <f t="shared" ref="G218" ca="1" si="1610">G163*0.827</f>
        <v>0</v>
      </c>
      <c r="H218" s="158">
        <f t="shared" ref="H218:I218" ca="1" si="1611">H163*0.827</f>
        <v>0</v>
      </c>
      <c r="I218" s="158">
        <f t="shared" ca="1" si="1611"/>
        <v>0</v>
      </c>
      <c r="J218" s="158"/>
      <c r="K218" s="158"/>
      <c r="L218" s="158"/>
      <c r="M218" s="158"/>
      <c r="N218" s="2416"/>
      <c r="O218" s="158">
        <f t="shared" ref="O218:V218" ca="1" si="1612">O163*0.827</f>
        <v>0</v>
      </c>
      <c r="P218" s="158">
        <f t="shared" ca="1" si="1612"/>
        <v>0</v>
      </c>
      <c r="Q218" s="158">
        <f t="shared" ca="1" si="1612"/>
        <v>0</v>
      </c>
      <c r="R218" s="158">
        <f t="shared" ca="1" si="1612"/>
        <v>0</v>
      </c>
      <c r="S218" s="158">
        <f t="shared" ca="1" si="1612"/>
        <v>0</v>
      </c>
      <c r="T218" s="158">
        <f t="shared" ca="1" si="1612"/>
        <v>0</v>
      </c>
      <c r="U218" s="158">
        <f t="shared" ca="1" si="1612"/>
        <v>0</v>
      </c>
      <c r="V218" s="158">
        <f t="shared" ca="1" si="1612"/>
        <v>0</v>
      </c>
      <c r="W218" s="158"/>
      <c r="X218" s="2416"/>
      <c r="Y218" s="158">
        <f t="shared" ref="Y218:AH218" ca="1" si="1613">Y163*0.827</f>
        <v>0</v>
      </c>
      <c r="Z218" s="158">
        <f t="shared" ca="1" si="1613"/>
        <v>0</v>
      </c>
      <c r="AA218" s="158">
        <f t="shared" ca="1" si="1613"/>
        <v>0</v>
      </c>
      <c r="AB218" s="158">
        <f t="shared" ca="1" si="1613"/>
        <v>0</v>
      </c>
      <c r="AC218" s="158">
        <f t="shared" ca="1" si="1613"/>
        <v>0</v>
      </c>
      <c r="AD218" s="158">
        <f t="shared" ca="1" si="1613"/>
        <v>0</v>
      </c>
      <c r="AE218" s="158">
        <f t="shared" ca="1" si="1613"/>
        <v>0</v>
      </c>
      <c r="AF218" s="158">
        <f t="shared" ca="1" si="1613"/>
        <v>0</v>
      </c>
      <c r="AG218" s="158">
        <f t="shared" ca="1" si="1613"/>
        <v>0</v>
      </c>
      <c r="AH218" s="158">
        <f t="shared" ca="1" si="1613"/>
        <v>0</v>
      </c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2416"/>
      <c r="AS218" s="158">
        <f t="shared" ref="AS218:AW218" ca="1" si="1614">AS163*0.827</f>
        <v>0</v>
      </c>
      <c r="AT218" s="158">
        <f t="shared" ca="1" si="1614"/>
        <v>0</v>
      </c>
      <c r="AU218" s="158">
        <f t="shared" ca="1" si="1614"/>
        <v>0</v>
      </c>
      <c r="AV218" s="158">
        <f t="shared" ca="1" si="1614"/>
        <v>0</v>
      </c>
      <c r="AW218" s="158">
        <f t="shared" ca="1" si="1614"/>
        <v>0</v>
      </c>
      <c r="AX218" s="158">
        <f>AX163*0.827</f>
        <v>0</v>
      </c>
      <c r="AY218" s="158">
        <f>AY163*0.827</f>
        <v>0</v>
      </c>
      <c r="AZ218" s="158">
        <f>AZ163*0.827</f>
        <v>0</v>
      </c>
      <c r="BA218" s="158">
        <f>BA163*0.827</f>
        <v>0</v>
      </c>
      <c r="BB218" s="158">
        <f>BB163*0.827</f>
        <v>0</v>
      </c>
      <c r="BC218" s="158">
        <f t="shared" ref="BC218:BL218" si="1615">+BC163*0.827</f>
        <v>0</v>
      </c>
      <c r="BD218" s="158">
        <f t="shared" si="1615"/>
        <v>0</v>
      </c>
      <c r="BE218" s="158">
        <f t="shared" si="1615"/>
        <v>0</v>
      </c>
      <c r="BF218" s="158">
        <f t="shared" si="1615"/>
        <v>0</v>
      </c>
      <c r="BG218" s="158">
        <f t="shared" si="1615"/>
        <v>0</v>
      </c>
      <c r="BH218" s="158">
        <f t="shared" si="1615"/>
        <v>0</v>
      </c>
      <c r="BI218" s="158">
        <f t="shared" si="1615"/>
        <v>0</v>
      </c>
      <c r="BJ218" s="158">
        <f t="shared" si="1615"/>
        <v>0</v>
      </c>
      <c r="BK218" s="158">
        <f t="shared" si="1615"/>
        <v>0</v>
      </c>
      <c r="BL218" s="158">
        <f t="shared" si="1615"/>
        <v>0</v>
      </c>
      <c r="BM218" s="350"/>
      <c r="BN218" s="579"/>
      <c r="BO218" s="1089"/>
      <c r="BP218" s="1089"/>
      <c r="BQ218" s="1089"/>
      <c r="BR218" s="1089"/>
      <c r="BS218" s="1089"/>
      <c r="BT218" s="1089"/>
      <c r="BU218" s="1089"/>
      <c r="BV218" s="1089"/>
      <c r="BW218" s="1089"/>
      <c r="BX218" s="1089"/>
      <c r="BY218" s="1089"/>
      <c r="BZ218" s="1089"/>
    </row>
    <row r="219" spans="1:78" s="590" customFormat="1" ht="21.95" hidden="1" customHeight="1" x14ac:dyDescent="0.15">
      <c r="A219" s="2596"/>
      <c r="B219" s="2684"/>
      <c r="C219" s="598" t="s">
        <v>1684</v>
      </c>
      <c r="D219" s="2004"/>
      <c r="E219" s="592"/>
      <c r="F219" s="158">
        <f t="shared" ref="F219" si="1616">F159+F133*1.25</f>
        <v>0</v>
      </c>
      <c r="G219" s="158">
        <f t="shared" ref="G219" si="1617">G159+G133*1.25</f>
        <v>0</v>
      </c>
      <c r="H219" s="158">
        <f t="shared" ref="H219:I219" si="1618">H159+H133*1.25</f>
        <v>0</v>
      </c>
      <c r="I219" s="158">
        <f t="shared" si="1618"/>
        <v>0</v>
      </c>
      <c r="J219" s="158"/>
      <c r="K219" s="158"/>
      <c r="L219" s="158"/>
      <c r="M219" s="158"/>
      <c r="N219" s="2416"/>
      <c r="O219" s="158">
        <f t="shared" ref="O219:V219" si="1619">O159+O133*1.25</f>
        <v>0</v>
      </c>
      <c r="P219" s="158">
        <f t="shared" si="1619"/>
        <v>0</v>
      </c>
      <c r="Q219" s="158">
        <f t="shared" si="1619"/>
        <v>0</v>
      </c>
      <c r="R219" s="158">
        <f t="shared" si="1619"/>
        <v>0</v>
      </c>
      <c r="S219" s="158">
        <f t="shared" si="1619"/>
        <v>0</v>
      </c>
      <c r="T219" s="158">
        <f t="shared" si="1619"/>
        <v>0</v>
      </c>
      <c r="U219" s="158">
        <f t="shared" si="1619"/>
        <v>0</v>
      </c>
      <c r="V219" s="158">
        <f t="shared" si="1619"/>
        <v>0</v>
      </c>
      <c r="W219" s="158"/>
      <c r="X219" s="2416"/>
      <c r="Y219" s="158">
        <f t="shared" ref="Y219:AH219" si="1620">Y159+Y133*1.25</f>
        <v>0</v>
      </c>
      <c r="Z219" s="158">
        <f t="shared" si="1620"/>
        <v>0</v>
      </c>
      <c r="AA219" s="158">
        <f t="shared" si="1620"/>
        <v>0</v>
      </c>
      <c r="AB219" s="158">
        <f t="shared" si="1620"/>
        <v>0</v>
      </c>
      <c r="AC219" s="158">
        <f t="shared" si="1620"/>
        <v>0</v>
      </c>
      <c r="AD219" s="158">
        <f t="shared" si="1620"/>
        <v>0</v>
      </c>
      <c r="AE219" s="158">
        <f t="shared" si="1620"/>
        <v>0</v>
      </c>
      <c r="AF219" s="158">
        <f t="shared" si="1620"/>
        <v>0</v>
      </c>
      <c r="AG219" s="158">
        <f t="shared" si="1620"/>
        <v>0</v>
      </c>
      <c r="AH219" s="158">
        <f t="shared" si="1620"/>
        <v>0</v>
      </c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2416"/>
      <c r="AS219" s="158">
        <f t="shared" ref="AS219:AW219" si="1621">AS159+AS133*1.25</f>
        <v>0</v>
      </c>
      <c r="AT219" s="158">
        <f t="shared" si="1621"/>
        <v>0</v>
      </c>
      <c r="AU219" s="158">
        <f t="shared" si="1621"/>
        <v>0</v>
      </c>
      <c r="AV219" s="158">
        <f t="shared" si="1621"/>
        <v>0</v>
      </c>
      <c r="AW219" s="158">
        <f t="shared" si="1621"/>
        <v>0</v>
      </c>
      <c r="AX219" s="158">
        <f t="shared" ref="AX219" si="1622">AX159+AX133*1.25</f>
        <v>0</v>
      </c>
      <c r="AY219" s="158">
        <f t="shared" ref="AY219:BL219" si="1623">AY159+AY133*1.25</f>
        <v>0</v>
      </c>
      <c r="AZ219" s="158">
        <f t="shared" ref="AZ219" si="1624">AZ159+AZ133*1.25</f>
        <v>0</v>
      </c>
      <c r="BA219" s="158">
        <f t="shared" si="1623"/>
        <v>0</v>
      </c>
      <c r="BB219" s="158">
        <f t="shared" si="1623"/>
        <v>0</v>
      </c>
      <c r="BC219" s="158">
        <f t="shared" si="1623"/>
        <v>0</v>
      </c>
      <c r="BD219" s="158">
        <f t="shared" si="1623"/>
        <v>0</v>
      </c>
      <c r="BE219" s="158">
        <f t="shared" si="1623"/>
        <v>0</v>
      </c>
      <c r="BF219" s="158">
        <f t="shared" si="1623"/>
        <v>0</v>
      </c>
      <c r="BG219" s="158">
        <f t="shared" si="1623"/>
        <v>0</v>
      </c>
      <c r="BH219" s="158">
        <f t="shared" si="1623"/>
        <v>0</v>
      </c>
      <c r="BI219" s="158">
        <f t="shared" si="1623"/>
        <v>0</v>
      </c>
      <c r="BJ219" s="158">
        <f t="shared" si="1623"/>
        <v>0</v>
      </c>
      <c r="BK219" s="158">
        <f t="shared" si="1623"/>
        <v>0</v>
      </c>
      <c r="BL219" s="158">
        <f t="shared" si="1623"/>
        <v>0</v>
      </c>
      <c r="BM219" s="350"/>
      <c r="BN219" s="579"/>
      <c r="BO219" s="1089"/>
      <c r="BP219" s="1089"/>
      <c r="BQ219" s="1089"/>
      <c r="BR219" s="1089"/>
      <c r="BS219" s="1089"/>
      <c r="BT219" s="1089"/>
      <c r="BU219" s="1089"/>
      <c r="BV219" s="1089"/>
      <c r="BW219" s="1089"/>
      <c r="BX219" s="1089"/>
      <c r="BY219" s="1089"/>
      <c r="BZ219" s="1089"/>
    </row>
    <row r="220" spans="1:78" s="590" customFormat="1" ht="21.95" hidden="1" customHeight="1" x14ac:dyDescent="0.15">
      <c r="A220" s="2596"/>
      <c r="B220" s="2684"/>
      <c r="C220" s="598" t="s">
        <v>1681</v>
      </c>
      <c r="D220" s="2004"/>
      <c r="E220" s="592"/>
      <c r="F220" s="158">
        <f t="shared" ref="F220" si="1625">F163*0.578</f>
        <v>0</v>
      </c>
      <c r="G220" s="158">
        <f t="shared" ref="G220" ca="1" si="1626">G163*0.578</f>
        <v>0</v>
      </c>
      <c r="H220" s="158">
        <f t="shared" ref="H220:I220" ca="1" si="1627">H163*0.578</f>
        <v>0</v>
      </c>
      <c r="I220" s="158">
        <f t="shared" ca="1" si="1627"/>
        <v>0</v>
      </c>
      <c r="J220" s="158"/>
      <c r="K220" s="158"/>
      <c r="L220" s="158"/>
      <c r="M220" s="158"/>
      <c r="N220" s="2416"/>
      <c r="O220" s="158">
        <f t="shared" ref="O220:V220" ca="1" si="1628">O163*0.578</f>
        <v>0</v>
      </c>
      <c r="P220" s="158">
        <f t="shared" ca="1" si="1628"/>
        <v>0</v>
      </c>
      <c r="Q220" s="158">
        <f t="shared" ca="1" si="1628"/>
        <v>0</v>
      </c>
      <c r="R220" s="158">
        <f t="shared" ca="1" si="1628"/>
        <v>0</v>
      </c>
      <c r="S220" s="158">
        <f t="shared" ca="1" si="1628"/>
        <v>0</v>
      </c>
      <c r="T220" s="158">
        <f t="shared" ca="1" si="1628"/>
        <v>0</v>
      </c>
      <c r="U220" s="158">
        <f t="shared" ca="1" si="1628"/>
        <v>0</v>
      </c>
      <c r="V220" s="158">
        <f t="shared" ca="1" si="1628"/>
        <v>0</v>
      </c>
      <c r="W220" s="158"/>
      <c r="X220" s="2416"/>
      <c r="Y220" s="158">
        <f t="shared" ref="Y220:AH220" ca="1" si="1629">Y163*0.578</f>
        <v>0</v>
      </c>
      <c r="Z220" s="158">
        <f t="shared" ca="1" si="1629"/>
        <v>0</v>
      </c>
      <c r="AA220" s="158">
        <f t="shared" ca="1" si="1629"/>
        <v>0</v>
      </c>
      <c r="AB220" s="158">
        <f t="shared" ca="1" si="1629"/>
        <v>0</v>
      </c>
      <c r="AC220" s="158">
        <f t="shared" ca="1" si="1629"/>
        <v>0</v>
      </c>
      <c r="AD220" s="158">
        <f t="shared" ca="1" si="1629"/>
        <v>0</v>
      </c>
      <c r="AE220" s="158">
        <f t="shared" ca="1" si="1629"/>
        <v>0</v>
      </c>
      <c r="AF220" s="158">
        <f t="shared" ca="1" si="1629"/>
        <v>0</v>
      </c>
      <c r="AG220" s="158">
        <f t="shared" ca="1" si="1629"/>
        <v>0</v>
      </c>
      <c r="AH220" s="158">
        <f t="shared" ca="1" si="1629"/>
        <v>0</v>
      </c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2416"/>
      <c r="AS220" s="158">
        <f t="shared" ref="AS220:AW220" ca="1" si="1630">AS163*0.578</f>
        <v>0</v>
      </c>
      <c r="AT220" s="158">
        <f t="shared" ca="1" si="1630"/>
        <v>0</v>
      </c>
      <c r="AU220" s="158">
        <f t="shared" ca="1" si="1630"/>
        <v>0</v>
      </c>
      <c r="AV220" s="158">
        <f t="shared" ca="1" si="1630"/>
        <v>0</v>
      </c>
      <c r="AW220" s="158">
        <f t="shared" ca="1" si="1630"/>
        <v>0</v>
      </c>
      <c r="AX220" s="158">
        <f t="shared" ref="AX220" si="1631">AX163*0.578</f>
        <v>0</v>
      </c>
      <c r="AY220" s="158">
        <f t="shared" ref="AY220:BL220" si="1632">AY163*0.578</f>
        <v>0</v>
      </c>
      <c r="AZ220" s="158">
        <f t="shared" ref="AZ220" si="1633">AZ163*0.578</f>
        <v>0</v>
      </c>
      <c r="BA220" s="158">
        <f t="shared" si="1632"/>
        <v>0</v>
      </c>
      <c r="BB220" s="158">
        <f t="shared" si="1632"/>
        <v>0</v>
      </c>
      <c r="BC220" s="158">
        <f t="shared" si="1632"/>
        <v>0</v>
      </c>
      <c r="BD220" s="158">
        <f t="shared" si="1632"/>
        <v>0</v>
      </c>
      <c r="BE220" s="158">
        <f t="shared" si="1632"/>
        <v>0</v>
      </c>
      <c r="BF220" s="158">
        <f t="shared" si="1632"/>
        <v>0</v>
      </c>
      <c r="BG220" s="158">
        <f t="shared" si="1632"/>
        <v>0</v>
      </c>
      <c r="BH220" s="158">
        <f t="shared" si="1632"/>
        <v>0</v>
      </c>
      <c r="BI220" s="158">
        <f t="shared" si="1632"/>
        <v>0</v>
      </c>
      <c r="BJ220" s="158">
        <f t="shared" si="1632"/>
        <v>0</v>
      </c>
      <c r="BK220" s="158">
        <f t="shared" si="1632"/>
        <v>0</v>
      </c>
      <c r="BL220" s="158">
        <f t="shared" si="1632"/>
        <v>0</v>
      </c>
      <c r="BM220" s="350"/>
      <c r="BN220" s="579"/>
      <c r="BO220" s="1089"/>
      <c r="BP220" s="1089"/>
      <c r="BQ220" s="1089"/>
      <c r="BR220" s="1089"/>
      <c r="BS220" s="1089"/>
      <c r="BT220" s="1089"/>
      <c r="BU220" s="1089"/>
      <c r="BV220" s="1089"/>
      <c r="BW220" s="1089"/>
      <c r="BX220" s="1089"/>
      <c r="BY220" s="1089"/>
      <c r="BZ220" s="1089"/>
    </row>
    <row r="221" spans="1:78" s="590" customFormat="1" ht="21.95" hidden="1" customHeight="1" thickBot="1" x14ac:dyDescent="0.2">
      <c r="A221" s="2596"/>
      <c r="B221" s="2685"/>
      <c r="C221" s="929" t="s">
        <v>1683</v>
      </c>
      <c r="D221" s="2005"/>
      <c r="E221" s="1523"/>
      <c r="F221" s="239">
        <f t="shared" ref="F221" si="1634">F169+F175+F180+F185</f>
        <v>0</v>
      </c>
      <c r="G221" s="239">
        <f t="shared" ref="G221" si="1635">G169+G175+G180+G185</f>
        <v>0</v>
      </c>
      <c r="H221" s="239">
        <f t="shared" ref="H221:I221" si="1636">H169+H175+H180+H185</f>
        <v>0</v>
      </c>
      <c r="I221" s="239">
        <f t="shared" si="1636"/>
        <v>0</v>
      </c>
      <c r="J221" s="239"/>
      <c r="K221" s="239"/>
      <c r="L221" s="239"/>
      <c r="M221" s="239"/>
      <c r="N221" s="2440"/>
      <c r="O221" s="239">
        <f t="shared" ref="O221:V221" si="1637">O169+O175+O180+O185</f>
        <v>0</v>
      </c>
      <c r="P221" s="239">
        <f t="shared" si="1637"/>
        <v>0</v>
      </c>
      <c r="Q221" s="239">
        <f t="shared" si="1637"/>
        <v>0</v>
      </c>
      <c r="R221" s="239">
        <f t="shared" si="1637"/>
        <v>0</v>
      </c>
      <c r="S221" s="239">
        <f t="shared" si="1637"/>
        <v>0</v>
      </c>
      <c r="T221" s="239">
        <f t="shared" si="1637"/>
        <v>0</v>
      </c>
      <c r="U221" s="239">
        <f t="shared" si="1637"/>
        <v>0</v>
      </c>
      <c r="V221" s="239">
        <f t="shared" si="1637"/>
        <v>0</v>
      </c>
      <c r="W221" s="239"/>
      <c r="X221" s="2440"/>
      <c r="Y221" s="239">
        <f t="shared" ref="Y221:AH221" si="1638">Y169+Y175+Y180+Y185</f>
        <v>0</v>
      </c>
      <c r="Z221" s="239">
        <f t="shared" si="1638"/>
        <v>0</v>
      </c>
      <c r="AA221" s="239">
        <f t="shared" si="1638"/>
        <v>0</v>
      </c>
      <c r="AB221" s="239">
        <f t="shared" si="1638"/>
        <v>0</v>
      </c>
      <c r="AC221" s="239">
        <f t="shared" si="1638"/>
        <v>0</v>
      </c>
      <c r="AD221" s="239">
        <f t="shared" si="1638"/>
        <v>0</v>
      </c>
      <c r="AE221" s="239">
        <f t="shared" si="1638"/>
        <v>0</v>
      </c>
      <c r="AF221" s="239">
        <f t="shared" si="1638"/>
        <v>0</v>
      </c>
      <c r="AG221" s="239">
        <f t="shared" si="1638"/>
        <v>0</v>
      </c>
      <c r="AH221" s="239">
        <f t="shared" si="1638"/>
        <v>0</v>
      </c>
      <c r="AI221" s="239"/>
      <c r="AJ221" s="239"/>
      <c r="AK221" s="239"/>
      <c r="AL221" s="239"/>
      <c r="AM221" s="239"/>
      <c r="AN221" s="239"/>
      <c r="AO221" s="239"/>
      <c r="AP221" s="239"/>
      <c r="AQ221" s="239"/>
      <c r="AR221" s="2440"/>
      <c r="AS221" s="239">
        <f t="shared" ref="AS221:AW221" si="1639">AS169+AS175+AS180+AS185</f>
        <v>0</v>
      </c>
      <c r="AT221" s="239">
        <f t="shared" si="1639"/>
        <v>0</v>
      </c>
      <c r="AU221" s="239">
        <f t="shared" si="1639"/>
        <v>0</v>
      </c>
      <c r="AV221" s="239">
        <f t="shared" si="1639"/>
        <v>0</v>
      </c>
      <c r="AW221" s="239">
        <f t="shared" si="1639"/>
        <v>0</v>
      </c>
      <c r="AX221" s="239">
        <f>AX169+AX175+AX180+AX185</f>
        <v>0</v>
      </c>
      <c r="AY221" s="239">
        <f>AY169+AY175+AY180+AY185</f>
        <v>0</v>
      </c>
      <c r="AZ221" s="239">
        <f>AZ169+AZ175+AZ180+AZ185</f>
        <v>0</v>
      </c>
      <c r="BA221" s="239">
        <f>BA169+BA175+BA180+BA185</f>
        <v>0</v>
      </c>
      <c r="BB221" s="239">
        <f>BB169+BB175+BB180+BB185</f>
        <v>0</v>
      </c>
      <c r="BC221" s="239">
        <f t="shared" ref="BC221:BL221" si="1640">+BC169+BC175+BC180+BC185</f>
        <v>0</v>
      </c>
      <c r="BD221" s="239">
        <f t="shared" si="1640"/>
        <v>0</v>
      </c>
      <c r="BE221" s="239">
        <f t="shared" si="1640"/>
        <v>0</v>
      </c>
      <c r="BF221" s="239">
        <f t="shared" si="1640"/>
        <v>0</v>
      </c>
      <c r="BG221" s="239">
        <f t="shared" si="1640"/>
        <v>0</v>
      </c>
      <c r="BH221" s="239">
        <f t="shared" si="1640"/>
        <v>0</v>
      </c>
      <c r="BI221" s="239">
        <f t="shared" si="1640"/>
        <v>0</v>
      </c>
      <c r="BJ221" s="239">
        <f t="shared" si="1640"/>
        <v>0</v>
      </c>
      <c r="BK221" s="239">
        <f t="shared" si="1640"/>
        <v>0</v>
      </c>
      <c r="BL221" s="239">
        <f t="shared" si="1640"/>
        <v>0</v>
      </c>
      <c r="BM221" s="361"/>
      <c r="BN221" s="579"/>
      <c r="BO221" s="1089"/>
      <c r="BP221" s="1089"/>
      <c r="BQ221" s="1089"/>
      <c r="BR221" s="1089"/>
      <c r="BS221" s="1089"/>
      <c r="BT221" s="1089"/>
      <c r="BU221" s="1089"/>
      <c r="BV221" s="1089"/>
      <c r="BW221" s="1089"/>
      <c r="BX221" s="1089"/>
      <c r="BY221" s="1089"/>
      <c r="BZ221" s="1089"/>
    </row>
    <row r="222" spans="1:78" ht="50.1" customHeight="1" thickBot="1" x14ac:dyDescent="0.2">
      <c r="A222" s="2597"/>
      <c r="B222" s="2676" t="s">
        <v>12</v>
      </c>
      <c r="C222" s="2652"/>
      <c r="D222" s="2017"/>
      <c r="E222" s="1538"/>
      <c r="F222" s="2098">
        <f>Dren_Quantificacao!D157</f>
        <v>0</v>
      </c>
      <c r="G222" s="2098">
        <f>Dren_Quantificacao!E157</f>
        <v>0</v>
      </c>
      <c r="H222" s="2098">
        <f>Dren_Quantificacao!F157</f>
        <v>0</v>
      </c>
      <c r="I222" s="2098">
        <f>Dren_Quantificacao!G157</f>
        <v>0</v>
      </c>
      <c r="J222" s="2098"/>
      <c r="K222" s="2098"/>
      <c r="L222" s="2098"/>
      <c r="M222" s="2098"/>
      <c r="N222" s="2436"/>
      <c r="O222" s="2098">
        <f>Dren_Quantificacao!M157</f>
        <v>0</v>
      </c>
      <c r="P222" s="2098">
        <f>Dren_Quantificacao!N157</f>
        <v>0</v>
      </c>
      <c r="Q222" s="2098">
        <f>Dren_Quantificacao!O157</f>
        <v>0</v>
      </c>
      <c r="R222" s="2098">
        <f>Dren_Quantificacao!P157</f>
        <v>0</v>
      </c>
      <c r="S222" s="2098">
        <f>Dren_Quantificacao!Q157</f>
        <v>0</v>
      </c>
      <c r="T222" s="2098">
        <f>Dren_Quantificacao!R157</f>
        <v>0</v>
      </c>
      <c r="U222" s="2098">
        <f>Dren_Quantificacao!S157</f>
        <v>0</v>
      </c>
      <c r="V222" s="2098">
        <f>Dren_Quantificacao!T157</f>
        <v>0</v>
      </c>
      <c r="W222" s="2098"/>
      <c r="X222" s="2436"/>
      <c r="Y222" s="2098">
        <f>Dren_Quantificacao!W157</f>
        <v>0</v>
      </c>
      <c r="Z222" s="2098">
        <f>Dren_Quantificacao!X157</f>
        <v>0</v>
      </c>
      <c r="AA222" s="2098">
        <f>Dren_Quantificacao!Y157</f>
        <v>0</v>
      </c>
      <c r="AB222" s="2098">
        <f>Dren_Quantificacao!Z157</f>
        <v>0</v>
      </c>
      <c r="AC222" s="2098">
        <f>Dren_Quantificacao!AA157</f>
        <v>0</v>
      </c>
      <c r="AD222" s="2098">
        <f>Dren_Quantificacao!AB157</f>
        <v>0</v>
      </c>
      <c r="AE222" s="2098">
        <f>Dren_Quantificacao!AC157</f>
        <v>0</v>
      </c>
      <c r="AF222" s="2098">
        <f>Dren_Quantificacao!AD157</f>
        <v>0</v>
      </c>
      <c r="AG222" s="2098">
        <f>Dren_Quantificacao!AE157</f>
        <v>0</v>
      </c>
      <c r="AH222" s="2098">
        <f>Dren_Quantificacao!AF157</f>
        <v>0</v>
      </c>
      <c r="AI222" s="2098"/>
      <c r="AJ222" s="2098"/>
      <c r="AK222" s="2098"/>
      <c r="AL222" s="2098"/>
      <c r="AM222" s="2098"/>
      <c r="AN222" s="2098"/>
      <c r="AO222" s="2098"/>
      <c r="AP222" s="2098"/>
      <c r="AQ222" s="2098"/>
      <c r="AR222" s="2436"/>
      <c r="AS222" s="2098">
        <f>Dren_Quantificacao!AQ157</f>
        <v>0</v>
      </c>
      <c r="AT222" s="2098">
        <f>Dren_Quantificacao!AR157</f>
        <v>0</v>
      </c>
      <c r="AU222" s="2098">
        <f>Dren_Quantificacao!AS157</f>
        <v>0</v>
      </c>
      <c r="AV222" s="2098">
        <f>Dren_Quantificacao!AT157</f>
        <v>0</v>
      </c>
      <c r="AW222" s="2098">
        <f>Dren_Quantificacao!AU157</f>
        <v>0</v>
      </c>
      <c r="AX222" s="2098">
        <f>Dren_Quantificacao!AW157</f>
        <v>0</v>
      </c>
      <c r="AY222" s="2098">
        <f>Dren_Quantificacao!AX157</f>
        <v>0</v>
      </c>
      <c r="AZ222" s="2098">
        <f>Dren_Quantificacao!AY157</f>
        <v>0</v>
      </c>
      <c r="BA222" s="2098">
        <f>Dren_Quantificacao!AZ157</f>
        <v>0</v>
      </c>
      <c r="BB222" s="135">
        <f>Dren_Quantificacao!BA157</f>
        <v>0</v>
      </c>
      <c r="BC222" s="135">
        <f>Dren_Quantificacao!BB157</f>
        <v>0</v>
      </c>
      <c r="BD222" s="135">
        <f>Dren_Quantificacao!BC157</f>
        <v>0</v>
      </c>
      <c r="BE222" s="135">
        <f>Dren_Quantificacao!BD157</f>
        <v>0</v>
      </c>
      <c r="BF222" s="135">
        <f>Dren_Quantificacao!BE157</f>
        <v>0</v>
      </c>
      <c r="BG222" s="135">
        <f>Dren_Quantificacao!BF157</f>
        <v>0</v>
      </c>
      <c r="BH222" s="135">
        <f>Dren_Quantificacao!BG157</f>
        <v>0</v>
      </c>
      <c r="BI222" s="135">
        <f>Dren_Quantificacao!BH157</f>
        <v>0</v>
      </c>
      <c r="BJ222" s="135">
        <f>Dren_Quantificacao!BI157</f>
        <v>0</v>
      </c>
      <c r="BK222" s="135">
        <f>Dren_Quantificacao!BJ157</f>
        <v>0</v>
      </c>
      <c r="BL222" s="135">
        <f>Dren_Quantificacao!BK157</f>
        <v>0</v>
      </c>
      <c r="BM222" s="577"/>
      <c r="BN222" s="668">
        <v>1</v>
      </c>
    </row>
    <row r="223" spans="1:78" ht="19.5" thickTop="1" x14ac:dyDescent="0.15"/>
  </sheetData>
  <autoFilter ref="BN1:BN222" xr:uid="{00000000-0009-0000-0000-000012000000}">
    <filterColumn colId="0">
      <customFilters>
        <customFilter operator="notEqual" val=" "/>
      </customFilters>
    </filterColumn>
  </autoFilter>
  <mergeCells count="43">
    <mergeCell ref="B28:C28"/>
    <mergeCell ref="B164:B169"/>
    <mergeCell ref="B82:B86"/>
    <mergeCell ref="B87:B91"/>
    <mergeCell ref="B154:B159"/>
    <mergeCell ref="B29:C29"/>
    <mergeCell ref="B40:B47"/>
    <mergeCell ref="B97:B103"/>
    <mergeCell ref="B104:B108"/>
    <mergeCell ref="B31:B32"/>
    <mergeCell ref="B70:B79"/>
    <mergeCell ref="B80:B81"/>
    <mergeCell ref="B113:B117"/>
    <mergeCell ref="B118:B119"/>
    <mergeCell ref="B48:B58"/>
    <mergeCell ref="B212:B221"/>
    <mergeCell ref="B181:B185"/>
    <mergeCell ref="B92:B96"/>
    <mergeCell ref="B191:C191"/>
    <mergeCell ref="B144:B153"/>
    <mergeCell ref="B120:B132"/>
    <mergeCell ref="B133:B143"/>
    <mergeCell ref="B186:B188"/>
    <mergeCell ref="B160:B163"/>
    <mergeCell ref="B198:B200"/>
    <mergeCell ref="B201:B211"/>
    <mergeCell ref="B189:B190"/>
    <mergeCell ref="A1:A222"/>
    <mergeCell ref="B1:C1"/>
    <mergeCell ref="B2:C2"/>
    <mergeCell ref="B3:B5"/>
    <mergeCell ref="B6:C6"/>
    <mergeCell ref="B7:C7"/>
    <mergeCell ref="B30:C30"/>
    <mergeCell ref="B33:B39"/>
    <mergeCell ref="B109:B112"/>
    <mergeCell ref="B8:B10"/>
    <mergeCell ref="B222:C222"/>
    <mergeCell ref="B11:B27"/>
    <mergeCell ref="B170:B175"/>
    <mergeCell ref="B176:B180"/>
    <mergeCell ref="B192:B197"/>
    <mergeCell ref="B59:B69"/>
  </mergeCells>
  <conditionalFormatting sqref="D10">
    <cfRule type="cellIs" dxfId="118" priority="185" operator="greaterThan">
      <formula>3</formula>
    </cfRule>
  </conditionalFormatting>
  <conditionalFormatting sqref="D28">
    <cfRule type="cellIs" dxfId="117" priority="188" operator="equal">
      <formula>"rocha"</formula>
    </cfRule>
  </conditionalFormatting>
  <conditionalFormatting sqref="D29">
    <cfRule type="expression" dxfId="116" priority="116">
      <formula>D$29=2</formula>
    </cfRule>
  </conditionalFormatting>
  <conditionalFormatting sqref="D30">
    <cfRule type="expression" dxfId="115" priority="187">
      <formula>D$28="rocha"</formula>
    </cfRule>
    <cfRule type="expression" dxfId="114" priority="193">
      <formula>D11&gt;3.5</formula>
    </cfRule>
  </conditionalFormatting>
  <conditionalFormatting sqref="F28:BI28">
    <cfRule type="cellIs" dxfId="113" priority="39" operator="equal">
      <formula>"rocha"</formula>
    </cfRule>
  </conditionalFormatting>
  <conditionalFormatting sqref="F29:BI29">
    <cfRule type="expression" dxfId="112" priority="122">
      <formula>F$29=2</formula>
    </cfRule>
  </conditionalFormatting>
  <conditionalFormatting sqref="F30:BL30">
    <cfRule type="expression" dxfId="111" priority="11">
      <formula>F$28="rocha"</formula>
    </cfRule>
    <cfRule type="expression" dxfId="110" priority="12">
      <formula>F11&gt;3.5</formula>
    </cfRule>
  </conditionalFormatting>
  <conditionalFormatting sqref="AX10:BI10">
    <cfRule type="cellIs" dxfId="109" priority="275" operator="greaterThan">
      <formula>3</formula>
    </cfRule>
  </conditionalFormatting>
  <hyperlinks>
    <hyperlink ref="B1:C1" location="PAINEL!A1" display="TRECHOS" xr:uid="{00000000-0004-0000-1200-000000000000}"/>
  </hyperlinks>
  <pageMargins left="0.39370078740157483" right="0.39370078740157483" top="0.59055118110236227" bottom="0.59055118110236227" header="0.23622047244094491" footer="0.23622047244094491"/>
  <pageSetup paperSize="9" scale="54" fitToWidth="12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AY97 AY200:AY202 BA97" formula="1"/>
    <ignoredError sqref="BM30" evalError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pageSetUpPr fitToPage="1"/>
  </sheetPr>
  <dimension ref="A1:V111"/>
  <sheetViews>
    <sheetView showZeros="0" topLeftCell="A12" zoomScale="85" zoomScaleNormal="85" workbookViewId="0">
      <selection activeCell="K24" sqref="K24"/>
    </sheetView>
  </sheetViews>
  <sheetFormatPr defaultColWidth="9" defaultRowHeight="12.75" x14ac:dyDescent="0.15"/>
  <cols>
    <col min="1" max="1" width="15.625" style="325" customWidth="1"/>
    <col min="2" max="2" width="90.625" style="325" customWidth="1"/>
    <col min="3" max="3" width="7.625" style="325" customWidth="1"/>
    <col min="4" max="4" width="6.5" style="325" customWidth="1"/>
    <col min="5" max="6" width="12.625" style="325" customWidth="1"/>
    <col min="7" max="7" width="18.25" style="325" customWidth="1"/>
    <col min="8" max="8" width="12.875" style="325" customWidth="1"/>
    <col min="9" max="9" width="8.25" style="325" customWidth="1"/>
    <col min="10" max="10" width="16" style="325" customWidth="1"/>
    <col min="11" max="11" width="10.625" style="325" customWidth="1"/>
    <col min="12" max="12" width="9" style="526" customWidth="1"/>
    <col min="13" max="13" width="13.25" style="526" customWidth="1"/>
    <col min="14" max="14" width="9" style="526" customWidth="1"/>
    <col min="15" max="17" width="9" style="325" customWidth="1"/>
    <col min="18" max="18" width="9" style="325"/>
    <col min="19" max="19" width="13.375" style="325" customWidth="1"/>
    <col min="20" max="16384" width="9" style="325"/>
  </cols>
  <sheetData>
    <row r="1" spans="1:22" s="4" customFormat="1" ht="24.95" customHeight="1" x14ac:dyDescent="0.15">
      <c r="A1" s="854" t="str">
        <f>Orçamento_Não_Deson!B1</f>
        <v>PREFEITURA MUNICIPAL DE RIBAS DO RIO PARDO / MS</v>
      </c>
      <c r="B1" s="459"/>
      <c r="C1" s="316"/>
      <c r="D1" s="316"/>
      <c r="H1" s="226"/>
      <c r="K1" s="873" t="s">
        <v>374</v>
      </c>
      <c r="L1" s="694" t="s">
        <v>766</v>
      </c>
      <c r="M1" s="317"/>
      <c r="N1" s="317"/>
      <c r="O1" s="317"/>
      <c r="P1" s="317"/>
    </row>
    <row r="2" spans="1:22" s="4" customFormat="1" ht="24.95" customHeight="1" x14ac:dyDescent="0.15">
      <c r="A2" s="460" t="str">
        <f>Orçamento_Não_Deson!B2</f>
        <v>ESTADO DE MATO GROSSO DO SUL</v>
      </c>
      <c r="B2" s="460"/>
      <c r="C2" s="318"/>
      <c r="D2" s="318"/>
      <c r="E2" s="319"/>
      <c r="H2" s="226"/>
      <c r="K2" s="873" t="s">
        <v>374</v>
      </c>
      <c r="L2" s="693" t="s">
        <v>2038</v>
      </c>
      <c r="M2" s="317"/>
    </row>
    <row r="3" spans="1:22" s="4" customFormat="1" ht="24.95" customHeight="1" x14ac:dyDescent="0.15">
      <c r="A3" s="320"/>
      <c r="B3" s="437"/>
      <c r="C3" s="318"/>
      <c r="D3" s="318"/>
      <c r="E3" s="319"/>
      <c r="H3" s="226"/>
      <c r="K3" s="873" t="s">
        <v>374</v>
      </c>
      <c r="L3" s="693" t="s">
        <v>767</v>
      </c>
      <c r="M3" s="317"/>
    </row>
    <row r="4" spans="1:22" s="4" customFormat="1" ht="24.95" customHeight="1" x14ac:dyDescent="0.15">
      <c r="A4" s="866">
        <f>Orçamento_Não_Deson!B4</f>
        <v>0</v>
      </c>
      <c r="B4" s="462">
        <f>Orçamento_Não_Deson!C4</f>
        <v>0</v>
      </c>
      <c r="C4" s="321"/>
      <c r="D4" s="321"/>
      <c r="E4" s="322"/>
      <c r="F4" s="226"/>
      <c r="G4" s="314"/>
      <c r="H4" s="226"/>
      <c r="K4" s="873" t="s">
        <v>374</v>
      </c>
      <c r="L4" s="693" t="s">
        <v>768</v>
      </c>
      <c r="M4" s="317"/>
    </row>
    <row r="5" spans="1:22" s="4" customFormat="1" ht="24.95" customHeight="1" x14ac:dyDescent="0.15">
      <c r="A5" s="866" t="str">
        <f>Orçamento_Não_Deson!B5</f>
        <v>OBRA :</v>
      </c>
      <c r="B5" s="462" t="str">
        <f>Orçamento_Não_Deson!C5</f>
        <v xml:space="preserve">INFRAESTRUTURA URBANA - PAVIMENTAÇÃO ASFÁLTICA E DRENAGEM DE ÁGUAS PLUVIAIS </v>
      </c>
      <c r="C5" s="438"/>
      <c r="D5" s="438"/>
      <c r="E5" s="323"/>
      <c r="F5" s="1685" t="s">
        <v>114</v>
      </c>
      <c r="G5" s="1699" t="str">
        <f>Orçamento_Não_Deson!J1</f>
        <v>Junho/2023</v>
      </c>
      <c r="H5" s="226"/>
      <c r="K5" s="873" t="s">
        <v>374</v>
      </c>
      <c r="L5" s="317"/>
      <c r="M5" s="317"/>
    </row>
    <row r="6" spans="1:22" s="4" customFormat="1" ht="24.95" customHeight="1" x14ac:dyDescent="0.15">
      <c r="A6" s="866" t="str">
        <f>Orçamento_Não_Deson!B6</f>
        <v>LOCAL :</v>
      </c>
      <c r="B6" s="462" t="str">
        <f>Orçamento_Não_Deson!C6</f>
        <v>PARQUE ESTORIL - ETAPAS 03 E 04</v>
      </c>
      <c r="C6" s="438"/>
      <c r="D6" s="438"/>
      <c r="E6" s="321"/>
      <c r="F6" s="1685" t="s">
        <v>420</v>
      </c>
      <c r="G6" s="1686" t="str">
        <f>Orçamento_Não_Deson!$J$2</f>
        <v>NÃO DESONERADA</v>
      </c>
      <c r="H6" s="226"/>
      <c r="K6" s="873" t="s">
        <v>374</v>
      </c>
      <c r="L6" s="693" t="s">
        <v>2039</v>
      </c>
    </row>
    <row r="7" spans="1:22" s="4" customFormat="1" ht="24.95" customHeight="1" x14ac:dyDescent="0.15">
      <c r="A7" s="866" t="str">
        <f>Orçamento_Não_Deson!B7</f>
        <v>MUNICÍPIO :</v>
      </c>
      <c r="B7" s="462" t="str">
        <f>Orçamento_Não_Deson!C7</f>
        <v>RIBAS DO RIO PARDO / MS</v>
      </c>
      <c r="C7" s="439"/>
      <c r="D7" s="439"/>
      <c r="E7" s="321"/>
      <c r="F7" s="321"/>
      <c r="G7" s="321"/>
      <c r="H7" s="324"/>
      <c r="K7" s="873" t="s">
        <v>374</v>
      </c>
      <c r="L7" s="693" t="s">
        <v>2040</v>
      </c>
    </row>
    <row r="8" spans="1:22" s="4" customFormat="1" ht="24.95" customHeight="1" x14ac:dyDescent="0.15">
      <c r="A8" s="323"/>
      <c r="B8" s="323"/>
      <c r="C8" s="439"/>
      <c r="D8" s="439"/>
      <c r="E8" s="321"/>
      <c r="F8" s="321"/>
      <c r="G8" s="321"/>
      <c r="I8" s="523" t="s">
        <v>74</v>
      </c>
      <c r="J8" s="483">
        <v>0.8</v>
      </c>
      <c r="K8" s="873" t="s">
        <v>374</v>
      </c>
      <c r="N8" s="317"/>
    </row>
    <row r="9" spans="1:22" s="4" customFormat="1" ht="24.95" customHeight="1" x14ac:dyDescent="0.15">
      <c r="B9" s="323"/>
      <c r="C9" s="323"/>
      <c r="D9" s="323"/>
      <c r="E9" s="321"/>
      <c r="F9" s="321"/>
      <c r="G9" s="321"/>
      <c r="I9" s="522" t="s">
        <v>73</v>
      </c>
      <c r="J9" s="482">
        <v>0.95</v>
      </c>
      <c r="K9" s="873" t="s">
        <v>374</v>
      </c>
      <c r="L9" s="526"/>
      <c r="M9" s="526"/>
      <c r="N9" s="526"/>
      <c r="O9" s="526"/>
      <c r="P9" s="526"/>
      <c r="Q9" s="526"/>
      <c r="R9" s="526"/>
      <c r="S9" s="526"/>
      <c r="T9" s="526"/>
      <c r="U9" s="526"/>
      <c r="V9" s="526"/>
    </row>
    <row r="10" spans="1:22" s="4" customFormat="1" ht="24.95" customHeight="1" x14ac:dyDescent="0.15">
      <c r="A10" s="517" t="s">
        <v>667</v>
      </c>
      <c r="B10" s="480"/>
      <c r="C10" s="480"/>
      <c r="D10" s="480"/>
      <c r="E10" s="321"/>
      <c r="F10" s="321"/>
      <c r="G10" s="321"/>
      <c r="I10" s="521" t="s">
        <v>72</v>
      </c>
      <c r="J10" s="481">
        <v>1</v>
      </c>
      <c r="K10" s="873" t="s">
        <v>374</v>
      </c>
      <c r="L10" s="526"/>
      <c r="M10" s="526"/>
      <c r="N10" s="526"/>
      <c r="O10" s="526"/>
      <c r="P10" s="526"/>
      <c r="Q10" s="526"/>
      <c r="R10" s="526"/>
      <c r="S10" s="526"/>
      <c r="T10" s="526"/>
      <c r="U10" s="526"/>
      <c r="V10" s="526"/>
    </row>
    <row r="11" spans="1:22" s="4" customFormat="1" ht="24.95" customHeight="1" thickBot="1" x14ac:dyDescent="0.2">
      <c r="K11" s="873" t="s">
        <v>374</v>
      </c>
      <c r="L11" s="526"/>
      <c r="M11" s="526"/>
      <c r="N11" s="526"/>
      <c r="O11" s="526"/>
      <c r="P11" s="526"/>
      <c r="Q11" s="526"/>
      <c r="R11" s="526"/>
      <c r="S11" s="526"/>
      <c r="T11" s="526"/>
      <c r="U11" s="526"/>
      <c r="V11" s="526"/>
    </row>
    <row r="12" spans="1:22" s="3" customFormat="1" ht="50.1" customHeight="1" thickTop="1" thickBot="1" x14ac:dyDescent="0.2">
      <c r="A12" s="685" t="s">
        <v>186</v>
      </c>
      <c r="B12" s="667" t="s">
        <v>40</v>
      </c>
      <c r="C12" s="667" t="s">
        <v>33</v>
      </c>
      <c r="D12" s="666" t="s">
        <v>668</v>
      </c>
      <c r="E12" s="666" t="s">
        <v>336</v>
      </c>
      <c r="F12" s="525" t="s">
        <v>665</v>
      </c>
      <c r="G12" s="525" t="s">
        <v>666</v>
      </c>
      <c r="H12" s="667" t="s">
        <v>771</v>
      </c>
      <c r="I12" s="686" t="s">
        <v>772</v>
      </c>
      <c r="J12" s="2378" t="s">
        <v>620</v>
      </c>
      <c r="L12" s="526"/>
      <c r="M12" s="526"/>
      <c r="N12" s="526"/>
      <c r="O12" s="526"/>
      <c r="P12" s="526"/>
      <c r="Q12" s="526"/>
      <c r="R12" s="526"/>
      <c r="S12" s="526"/>
      <c r="T12" s="526"/>
      <c r="U12" s="526"/>
      <c r="V12" s="526"/>
    </row>
    <row r="13" spans="1:22" ht="24.95" customHeight="1" thickTop="1" x14ac:dyDescent="0.15">
      <c r="A13" s="529"/>
      <c r="B13" s="528" t="s">
        <v>37</v>
      </c>
      <c r="C13" s="530"/>
      <c r="D13" s="714">
        <f>SUM(D14:D111)</f>
        <v>121</v>
      </c>
      <c r="E13" s="529"/>
      <c r="F13" s="327"/>
      <c r="G13" s="326">
        <f>SUM(G14:G111)</f>
        <v>13400657.84</v>
      </c>
      <c r="H13" s="532" t="str">
        <f ca="1">IF(G13=Orçamento_Não_Deson!J12,"","ERRO SOMATÓRIO")</f>
        <v/>
      </c>
      <c r="I13" s="531"/>
      <c r="J13" s="687">
        <f ca="1">G13-Orçamento_Não_Deson!J12</f>
        <v>0</v>
      </c>
      <c r="K13" s="898" t="s">
        <v>374</v>
      </c>
      <c r="O13" s="526"/>
      <c r="P13" s="526"/>
      <c r="Q13" s="526"/>
      <c r="R13" s="526"/>
      <c r="S13" s="526"/>
      <c r="T13" s="526"/>
      <c r="U13" s="526"/>
      <c r="V13" s="526"/>
    </row>
    <row r="14" spans="1:22" ht="39.950000000000003" customHeight="1" x14ac:dyDescent="0.15">
      <c r="A14" s="317" t="str">
        <f>Planilha6!A4</f>
        <v>PA/0040</v>
      </c>
      <c r="B14" s="518" t="str">
        <f>VLOOKUP($A14,'Orçamento auxliar'!A:F,2,0)</f>
        <v>Construção de pavimento com aplicação de concreto betuminoso usinado à quente (CBUQ - faixa C - CAP 30/45 - usina comercial), camada de rolamento, exclusive transporte da mistura (REF. SINAPI COD. 95995)</v>
      </c>
      <c r="C14" s="688" t="str">
        <f>VLOOKUP($A14,'Orçamento auxliar'!A:F,3,0)</f>
        <v>M3</v>
      </c>
      <c r="D14" s="317">
        <f>VLOOKUP($A14,Planilha6!$A:$D,2,0)</f>
        <v>1</v>
      </c>
      <c r="E14" s="519">
        <f>VLOOKUP($A14,Planilha6!$A:$D,3,0)</f>
        <v>1857.01</v>
      </c>
      <c r="F14" s="519">
        <f>VLOOKUP($A14,'Orçamento auxliar'!A:F,5,0)</f>
        <v>1919.62</v>
      </c>
      <c r="G14" s="519">
        <f>VLOOKUP($A14,Planilha6!$A:$E,4,0)</f>
        <v>3564753.53</v>
      </c>
      <c r="H14" s="520">
        <f t="shared" ref="H14" si="0">G14/$G$13</f>
        <v>0.26601332356680779</v>
      </c>
      <c r="I14" s="520">
        <f t="shared" ref="I14" si="1">I13+H14</f>
        <v>0.26601332356680779</v>
      </c>
      <c r="J14" s="689" t="str">
        <f t="shared" ref="J14" si="2">IF(I14&lt;=$J$8,$I$8,IF(I14&lt;=$J$9,$I$9,$I$10))</f>
        <v>A</v>
      </c>
      <c r="K14" s="898" t="s">
        <v>374</v>
      </c>
    </row>
    <row r="15" spans="1:22" ht="39.950000000000003" customHeight="1" x14ac:dyDescent="0.15">
      <c r="A15" s="317">
        <f>Planilha6!A5</f>
        <v>94991</v>
      </c>
      <c r="B15" s="518" t="str">
        <f>VLOOKUP($A15,'Orçamento auxliar'!A:F,2,0)</f>
        <v>Execução de passeio (calçada) ou piso de concreto com concreto moldado in loco, usinado, acabamento convencional, não armado. AF_07/2016</v>
      </c>
      <c r="C15" s="688" t="str">
        <f>VLOOKUP($A15,'Orçamento auxliar'!A:F,3,0)</f>
        <v>M3</v>
      </c>
      <c r="D15" s="317">
        <f>VLOOKUP($A15,Planilha6!$A:$D,2,0)</f>
        <v>1</v>
      </c>
      <c r="E15" s="519">
        <f>VLOOKUP($A15,Planilha6!$A:$D,3,0)</f>
        <v>1064.58</v>
      </c>
      <c r="F15" s="519">
        <f>VLOOKUP($A15,'Orçamento auxliar'!A:F,5,0)</f>
        <v>932.21</v>
      </c>
      <c r="G15" s="519">
        <f>VLOOKUP($A15,Planilha6!$A:$E,4,0)</f>
        <v>992412.12</v>
      </c>
      <c r="H15" s="520">
        <f t="shared" ref="H15:H78" si="3">G15/$G$13</f>
        <v>7.4056970325570223E-2</v>
      </c>
      <c r="I15" s="520">
        <f t="shared" ref="I15:I78" si="4">I14+H15</f>
        <v>0.34007029389237803</v>
      </c>
      <c r="J15" s="689" t="str">
        <f t="shared" ref="J15:J78" si="5">IF(I15&lt;=$J$8,$I$8,IF(I15&lt;=$J$9,$I$9,$I$10))</f>
        <v>A</v>
      </c>
      <c r="K15" s="898" t="s">
        <v>374</v>
      </c>
    </row>
    <row r="16" spans="1:22" ht="30" customHeight="1" x14ac:dyDescent="0.15">
      <c r="A16" s="317">
        <f>Planilha6!A6</f>
        <v>4721</v>
      </c>
      <c r="B16" s="518" t="str">
        <f>VLOOKUP($A16,'Orçamento auxliar'!A:F,2,0)</f>
        <v>Pedra britada n. 1 (9,5 A 19 mm) posto pedreira/fornecedor, sem frete</v>
      </c>
      <c r="C16" s="688" t="str">
        <f>VLOOKUP($A16,'Orçamento auxliar'!A:F,3,0)</f>
        <v xml:space="preserve">M3    </v>
      </c>
      <c r="D16" s="317">
        <f>VLOOKUP($A16,Planilha6!$A:$D,2,0)</f>
        <v>2</v>
      </c>
      <c r="E16" s="519">
        <f>VLOOKUP($A16,Planilha6!$A:$D,3,0)</f>
        <v>8108.98</v>
      </c>
      <c r="F16" s="519">
        <f>VLOOKUP($A16,'Orçamento auxliar'!A:F,5,0)</f>
        <v>111.8</v>
      </c>
      <c r="G16" s="519">
        <f>VLOOKUP($A16,Planilha6!$A:$E,4,0)</f>
        <v>906583.96</v>
      </c>
      <c r="H16" s="520">
        <f t="shared" si="3"/>
        <v>6.7652198184921339E-2</v>
      </c>
      <c r="I16" s="520">
        <f t="shared" si="4"/>
        <v>0.40772249207729938</v>
      </c>
      <c r="J16" s="689" t="str">
        <f t="shared" si="5"/>
        <v>A</v>
      </c>
      <c r="K16" s="898" t="s">
        <v>374</v>
      </c>
    </row>
    <row r="17" spans="1:11" ht="39.950000000000003" customHeight="1" x14ac:dyDescent="0.15">
      <c r="A17" s="317">
        <f>Planilha6!A7</f>
        <v>93593</v>
      </c>
      <c r="B17" s="518" t="str">
        <f>VLOOKUP($A17,'Orçamento auxliar'!A:F,2,0)</f>
        <v>Transporte com caminhão basculante de 14 m3, em via urbana pavimentada, adicional para DMT excedente a 30,00 km (unidade: m3xkm). AF_07/2020</v>
      </c>
      <c r="C17" s="688" t="str">
        <f>VLOOKUP($A17,'Orçamento auxliar'!A:F,3,0)</f>
        <v>M3XKM</v>
      </c>
      <c r="D17" s="317">
        <f>VLOOKUP($A17,Planilha6!$A:$D,2,0)</f>
        <v>4</v>
      </c>
      <c r="E17" s="519">
        <f>VLOOKUP($A17,Planilha6!$A:$D,3,0)</f>
        <v>914645.16</v>
      </c>
      <c r="F17" s="519">
        <f>VLOOKUP($A17,'Orçamento auxliar'!A:F,5,0)</f>
        <v>0.94</v>
      </c>
      <c r="G17" s="519">
        <f>VLOOKUP($A17,Planilha6!$A:$E,4,0)</f>
        <v>859766.43</v>
      </c>
      <c r="H17" s="520">
        <f t="shared" si="3"/>
        <v>6.4158524175854936E-2</v>
      </c>
      <c r="I17" s="520">
        <f t="shared" si="4"/>
        <v>0.47188101625315432</v>
      </c>
      <c r="J17" s="689" t="str">
        <f t="shared" si="5"/>
        <v>A</v>
      </c>
      <c r="K17" s="898" t="s">
        <v>374</v>
      </c>
    </row>
    <row r="18" spans="1:11" ht="39.950000000000003" customHeight="1" x14ac:dyDescent="0.15">
      <c r="A18" s="317" t="str">
        <f>Planilha6!A8</f>
        <v>SC/0005</v>
      </c>
      <c r="B18" s="518" t="str">
        <f>VLOOKUP($A18,'Orçamento auxliar'!A:F,2,0)</f>
        <v>Meio-fio (guia) com sarjeta, concreto FCK = 15mpa, seção 615 cm², moldado no local, inclusive escavação e pintura a cal em uma demão</v>
      </c>
      <c r="C18" s="688" t="str">
        <f>VLOOKUP($A18,'Orçamento auxliar'!A:F,3,0)</f>
        <v>M</v>
      </c>
      <c r="D18" s="317">
        <f>VLOOKUP($A18,Planilha6!$A:$D,2,0)</f>
        <v>1</v>
      </c>
      <c r="E18" s="519">
        <f>VLOOKUP($A18,Planilha6!$A:$D,3,0)</f>
        <v>13324.31</v>
      </c>
      <c r="F18" s="519">
        <f>VLOOKUP($A18,'Orçamento auxliar'!A:F,5,0)</f>
        <v>63.23</v>
      </c>
      <c r="G18" s="519">
        <f>VLOOKUP($A18,Planilha6!$A:$E,4,0)</f>
        <v>842496.12</v>
      </c>
      <c r="H18" s="520">
        <f t="shared" si="3"/>
        <v>6.2869758340162202E-2</v>
      </c>
      <c r="I18" s="520">
        <f t="shared" si="4"/>
        <v>0.53475077459331655</v>
      </c>
      <c r="J18" s="689" t="str">
        <f t="shared" si="5"/>
        <v>A</v>
      </c>
      <c r="K18" s="898" t="s">
        <v>374</v>
      </c>
    </row>
    <row r="19" spans="1:11" ht="30" customHeight="1" x14ac:dyDescent="0.15">
      <c r="A19" s="317" t="str">
        <f>Planilha6!A9</f>
        <v>CPU Adm Local</v>
      </c>
      <c r="B19" s="518" t="str">
        <f>VLOOKUP($A19,'Orçamento auxliar'!A:F,2,0)</f>
        <v>Administração local do canteiro de obras</v>
      </c>
      <c r="C19" s="688" t="str">
        <f>VLOOKUP($A19,'Orçamento auxliar'!A:F,3,0)</f>
        <v xml:space="preserve">un </v>
      </c>
      <c r="D19" s="317">
        <f>VLOOKUP($A19,Planilha6!$A:$D,2,0)</f>
        <v>1</v>
      </c>
      <c r="E19" s="519">
        <f>VLOOKUP($A19,Planilha6!$A:$D,3,0)</f>
        <v>1</v>
      </c>
      <c r="F19" s="519">
        <f>VLOOKUP($A19,'Orçamento auxliar'!A:F,5,0)</f>
        <v>625998.32999999996</v>
      </c>
      <c r="G19" s="519">
        <f>VLOOKUP($A19,Planilha6!$A:$E,4,0)</f>
        <v>625998.32999999996</v>
      </c>
      <c r="H19" s="520">
        <f t="shared" si="3"/>
        <v>4.6713999974795264E-2</v>
      </c>
      <c r="I19" s="520">
        <f t="shared" si="4"/>
        <v>0.58146477456811185</v>
      </c>
      <c r="J19" s="689" t="str">
        <f t="shared" si="5"/>
        <v>A</v>
      </c>
      <c r="K19" s="898" t="s">
        <v>374</v>
      </c>
    </row>
    <row r="20" spans="1:11" ht="30" customHeight="1" x14ac:dyDescent="0.15">
      <c r="A20" s="317" t="str">
        <f>Planilha6!A10</f>
        <v>PA/0025</v>
      </c>
      <c r="B20" s="518" t="str">
        <f>VLOOKUP($A20,'Orçamento auxliar'!A:F,2,0)</f>
        <v>Imprimação da base, execução e fornecimento de emulsão asfáltica EAI (REF. SINAPI COD. 102470)</v>
      </c>
      <c r="C20" s="688" t="str">
        <f>VLOOKUP($A20,'Orçamento auxliar'!A:F,3,0)</f>
        <v>M2</v>
      </c>
      <c r="D20" s="317">
        <f>VLOOKUP($A20,Planilha6!$A:$D,2,0)</f>
        <v>2</v>
      </c>
      <c r="E20" s="519">
        <f>VLOOKUP($A20,Planilha6!$A:$D,3,0)</f>
        <v>56810.76</v>
      </c>
      <c r="F20" s="519">
        <f>VLOOKUP($A20,'Orçamento auxliar'!A:F,5,0)</f>
        <v>6.19</v>
      </c>
      <c r="G20" s="519">
        <f>VLOOKUP($A20,Planilha6!$A:$E,4,0)</f>
        <v>351658.59</v>
      </c>
      <c r="H20" s="520">
        <f t="shared" si="3"/>
        <v>2.6241890077241165E-2</v>
      </c>
      <c r="I20" s="520">
        <f t="shared" si="4"/>
        <v>0.60770666464535306</v>
      </c>
      <c r="J20" s="689" t="str">
        <f t="shared" si="5"/>
        <v>A</v>
      </c>
      <c r="K20" s="898" t="s">
        <v>374</v>
      </c>
    </row>
    <row r="21" spans="1:11" ht="39.950000000000003" customHeight="1" x14ac:dyDescent="0.15">
      <c r="A21" s="317">
        <f>Planilha6!A11</f>
        <v>7753</v>
      </c>
      <c r="B21" s="518" t="str">
        <f>VLOOKUP($A21,'Orçamento auxliar'!A:F,2,0)</f>
        <v>Tubo de concreto armado para aguas pluviais, classe PA-1, com encaixe ponta e bolsa, diâmetro nominal de 1,00 m (800,00 kg/m) - Aquisição</v>
      </c>
      <c r="C21" s="688" t="str">
        <f>VLOOKUP($A21,'Orçamento auxliar'!A:F,3,0)</f>
        <v xml:space="preserve">M     </v>
      </c>
      <c r="D21" s="317">
        <f>VLOOKUP($A21,Planilha6!$A:$D,2,0)</f>
        <v>1</v>
      </c>
      <c r="E21" s="519">
        <f>VLOOKUP($A21,Planilha6!$A:$D,3,0)</f>
        <v>585.66999999999996</v>
      </c>
      <c r="F21" s="519">
        <f>VLOOKUP($A21,'Orçamento auxliar'!A:F,5,0)</f>
        <v>555.07000000000005</v>
      </c>
      <c r="G21" s="519">
        <f>VLOOKUP($A21,Planilha6!$A:$E,4,0)</f>
        <v>325087.84000000003</v>
      </c>
      <c r="H21" s="520">
        <f t="shared" si="3"/>
        <v>2.4259095626606941E-2</v>
      </c>
      <c r="I21" s="520">
        <f t="shared" si="4"/>
        <v>0.63196576027195994</v>
      </c>
      <c r="J21" s="689" t="str">
        <f t="shared" si="5"/>
        <v>A</v>
      </c>
      <c r="K21" s="898" t="s">
        <v>374</v>
      </c>
    </row>
    <row r="22" spans="1:11" ht="39.950000000000003" customHeight="1" x14ac:dyDescent="0.15">
      <c r="A22" s="317">
        <f>Planilha6!A12</f>
        <v>93599</v>
      </c>
      <c r="B22" s="518" t="str">
        <f>VLOOKUP($A22,'Orçamento auxliar'!A:F,2,0)</f>
        <v>Transporte com caminhão basculante de 14 m3, em via urbana pavimentada, adicional para DMT excedente a 30,00 km (unidade: txkm). AF_07/2020</v>
      </c>
      <c r="C22" s="688" t="str">
        <f>VLOOKUP($A22,'Orçamento auxliar'!A:F,3,0)</f>
        <v>TXKM</v>
      </c>
      <c r="D22" s="317">
        <f>VLOOKUP($A22,Planilha6!$A:$D,2,0)</f>
        <v>2</v>
      </c>
      <c r="E22" s="519">
        <f>VLOOKUP($A22,Planilha6!$A:$D,3,0)</f>
        <v>518649.25</v>
      </c>
      <c r="F22" s="519">
        <f>VLOOKUP($A22,'Orçamento auxliar'!A:F,5,0)</f>
        <v>0.62</v>
      </c>
      <c r="G22" s="519">
        <f>VLOOKUP($A22,Planilha6!$A:$E,4,0)</f>
        <v>321562.51999999996</v>
      </c>
      <c r="H22" s="520">
        <f t="shared" si="3"/>
        <v>2.3996024959323934E-2</v>
      </c>
      <c r="I22" s="520">
        <f t="shared" si="4"/>
        <v>0.6559617852312839</v>
      </c>
      <c r="J22" s="689" t="str">
        <f t="shared" si="5"/>
        <v>A</v>
      </c>
      <c r="K22" s="898" t="s">
        <v>374</v>
      </c>
    </row>
    <row r="23" spans="1:11" ht="39.950000000000003" customHeight="1" x14ac:dyDescent="0.15">
      <c r="A23" s="317">
        <f>Planilha6!A13</f>
        <v>101767</v>
      </c>
      <c r="B23" s="518" t="str">
        <f>VLOOKUP($A23,'Orçamento auxliar'!A:F,2,0)</f>
        <v>Execução e compactação de base e ou sub base para pavimentação de solos estabilizados granulometricamente com mistura de solos em pista - exclusive solo, escavação, carga e transporte. AF_11/2019</v>
      </c>
      <c r="C23" s="688" t="str">
        <f>VLOOKUP($A23,'Orçamento auxliar'!A:F,3,0)</f>
        <v>M3</v>
      </c>
      <c r="D23" s="317">
        <f>VLOOKUP($A23,Planilha6!$A:$D,2,0)</f>
        <v>2</v>
      </c>
      <c r="E23" s="519">
        <f>VLOOKUP($A23,Planilha6!$A:$D,3,0)</f>
        <v>9829.07</v>
      </c>
      <c r="F23" s="519">
        <f>VLOOKUP($A23,'Orçamento auxliar'!A:F,5,0)</f>
        <v>31.63</v>
      </c>
      <c r="G23" s="519">
        <f>VLOOKUP($A23,Planilha6!$A:$E,4,0)</f>
        <v>310893.46999999997</v>
      </c>
      <c r="H23" s="520">
        <f t="shared" si="3"/>
        <v>2.3199866283579403E-2</v>
      </c>
      <c r="I23" s="520">
        <f t="shared" si="4"/>
        <v>0.6791616515148633</v>
      </c>
      <c r="J23" s="689" t="str">
        <f t="shared" si="5"/>
        <v>A</v>
      </c>
      <c r="K23" s="898" t="s">
        <v>374</v>
      </c>
    </row>
    <row r="24" spans="1:11" ht="30" customHeight="1" x14ac:dyDescent="0.15">
      <c r="A24" s="317">
        <f>Planilha6!A14</f>
        <v>6079</v>
      </c>
      <c r="B24" s="518" t="str">
        <f>VLOOKUP($A24,'Orçamento auxliar'!A:F,2,0)</f>
        <v>Argila, argila vermelha ou argila arenosa (retirada na jazida, sem transporte)</v>
      </c>
      <c r="C24" s="688" t="str">
        <f>VLOOKUP($A24,'Orçamento auxliar'!A:F,3,0)</f>
        <v xml:space="preserve">M3    </v>
      </c>
      <c r="D24" s="317">
        <f>VLOOKUP($A24,Planilha6!$A:$D,2,0)</f>
        <v>3</v>
      </c>
      <c r="E24" s="519">
        <f>VLOOKUP($A24,Planilha6!$A:$D,3,0)</f>
        <v>6817.6900000000005</v>
      </c>
      <c r="F24" s="519">
        <f>VLOOKUP($A24,'Orçamento auxliar'!A:F,5,0)</f>
        <v>38.840000000000003</v>
      </c>
      <c r="G24" s="519">
        <f>VLOOKUP($A24,Planilha6!$A:$E,4,0)</f>
        <v>264799.06</v>
      </c>
      <c r="H24" s="520">
        <f t="shared" si="3"/>
        <v>1.9760153804509049E-2</v>
      </c>
      <c r="I24" s="520">
        <f t="shared" si="4"/>
        <v>0.69892180531937231</v>
      </c>
      <c r="J24" s="689" t="str">
        <f t="shared" si="5"/>
        <v>A</v>
      </c>
      <c r="K24" s="898" t="s">
        <v>374</v>
      </c>
    </row>
    <row r="25" spans="1:11" ht="39.950000000000003" customHeight="1" x14ac:dyDescent="0.15">
      <c r="A25" s="317" t="str">
        <f>Planilha6!A15</f>
        <v>ES/0010</v>
      </c>
      <c r="B25" s="518" t="str">
        <f>VLOOKUP($A25,'Orçamento auxliar'!A:F,2,0)</f>
        <v>Escoramento de vala, tipo blindado, com profundidade de 1,5 a 3,0 m, largura maior ou igual a 1,5 m e menor que 2,5 m. Altura do escoramento igual a 2,4 m.  Execução e fornecimento, inclui material. (REF. SINAPI COD. 03.ESCO.VALA.040/01)</v>
      </c>
      <c r="C25" s="688" t="str">
        <f>VLOOKUP($A25,'Orçamento auxliar'!A:F,3,0)</f>
        <v>M2</v>
      </c>
      <c r="D25" s="317">
        <f>VLOOKUP($A25,Planilha6!$A:$D,2,0)</f>
        <v>1</v>
      </c>
      <c r="E25" s="519">
        <f>VLOOKUP($A25,Planilha6!$A:$D,3,0)</f>
        <v>9535.8700000000008</v>
      </c>
      <c r="F25" s="519">
        <f>VLOOKUP($A25,'Orçamento auxliar'!A:F,5,0)</f>
        <v>26.52</v>
      </c>
      <c r="G25" s="519">
        <f>VLOOKUP($A25,Planilha6!$A:$E,4,0)</f>
        <v>252891.27</v>
      </c>
      <c r="H25" s="520">
        <f t="shared" si="3"/>
        <v>1.887155638323499E-2</v>
      </c>
      <c r="I25" s="520">
        <f t="shared" si="4"/>
        <v>0.71779336170260732</v>
      </c>
      <c r="J25" s="689" t="str">
        <f t="shared" si="5"/>
        <v>A</v>
      </c>
      <c r="K25" s="898" t="s">
        <v>374</v>
      </c>
    </row>
    <row r="26" spans="1:11" ht="39.950000000000003" customHeight="1" x14ac:dyDescent="0.15">
      <c r="A26" s="317">
        <f>Planilha6!A16</f>
        <v>7750</v>
      </c>
      <c r="B26" s="518" t="str">
        <f>VLOOKUP($A26,'Orçamento auxliar'!A:F,2,0)</f>
        <v>Tubo de concreto armado para aguas pluviais, classe PA-1, com encaixe ponta e bolsa, diâmetro nominal de 0,80 m (533,00 kg/m) - Aquisição</v>
      </c>
      <c r="C26" s="688" t="str">
        <f>VLOOKUP($A26,'Orçamento auxliar'!A:F,3,0)</f>
        <v xml:space="preserve">M     </v>
      </c>
      <c r="D26" s="317">
        <f>VLOOKUP($A26,Planilha6!$A:$D,2,0)</f>
        <v>1</v>
      </c>
      <c r="E26" s="519">
        <f>VLOOKUP($A26,Planilha6!$A:$D,3,0)</f>
        <v>504.57</v>
      </c>
      <c r="F26" s="519">
        <f>VLOOKUP($A26,'Orçamento auxliar'!A:F,5,0)</f>
        <v>473.72</v>
      </c>
      <c r="G26" s="519">
        <f>VLOOKUP($A26,Planilha6!$A:$E,4,0)</f>
        <v>239024.9</v>
      </c>
      <c r="H26" s="520">
        <f t="shared" si="3"/>
        <v>1.7836803450538664E-2</v>
      </c>
      <c r="I26" s="520">
        <f t="shared" si="4"/>
        <v>0.73563016515314594</v>
      </c>
      <c r="J26" s="689" t="str">
        <f t="shared" si="5"/>
        <v>A</v>
      </c>
      <c r="K26" s="898" t="s">
        <v>374</v>
      </c>
    </row>
    <row r="27" spans="1:11" ht="39.950000000000003" customHeight="1" x14ac:dyDescent="0.15">
      <c r="A27" s="317" t="str">
        <f>Planilha6!A17</f>
        <v>DR/0135</v>
      </c>
      <c r="B27" s="518" t="str">
        <f>VLOOKUP($A27,'Orçamento auxliar'!A:F,2,0)</f>
        <v>PV-1 - Poço de Visita, com dimensões internas de 1,98m x 1,98m x 1,50m (bxbxh), em alvenaria de bloco de concreto estrutural FBK 14mpa, conforme projeto tipo. Exclusive pescoço e tampão</v>
      </c>
      <c r="C27" s="688" t="str">
        <f>VLOOKUP($A27,'Orçamento auxliar'!A:F,3,0)</f>
        <v>UN</v>
      </c>
      <c r="D27" s="317">
        <f>VLOOKUP($A27,Planilha6!$A:$D,2,0)</f>
        <v>1</v>
      </c>
      <c r="E27" s="519">
        <f>VLOOKUP($A27,Planilha6!$A:$D,3,0)</f>
        <v>29</v>
      </c>
      <c r="F27" s="519">
        <f>VLOOKUP($A27,'Orçamento auxliar'!A:F,5,0)</f>
        <v>8069.78</v>
      </c>
      <c r="G27" s="519">
        <f>VLOOKUP($A27,Planilha6!$A:$E,4,0)</f>
        <v>234023.62</v>
      </c>
      <c r="H27" s="520">
        <f t="shared" si="3"/>
        <v>1.7463591921693302E-2</v>
      </c>
      <c r="I27" s="520">
        <f t="shared" si="4"/>
        <v>0.75309375707483928</v>
      </c>
      <c r="J27" s="689" t="str">
        <f t="shared" si="5"/>
        <v>A</v>
      </c>
      <c r="K27" s="898" t="s">
        <v>374</v>
      </c>
    </row>
    <row r="28" spans="1:11" ht="30" customHeight="1" x14ac:dyDescent="0.15">
      <c r="A28" s="317">
        <f>Planilha6!A18</f>
        <v>100576</v>
      </c>
      <c r="B28" s="518" t="str">
        <f>VLOOKUP($A28,'Orçamento auxliar'!A:F,2,0)</f>
        <v>Regularização e compactação de subleito de solo predominantemente argiloso. AF_11/2019</v>
      </c>
      <c r="C28" s="688" t="str">
        <f>VLOOKUP($A28,'Orçamento auxliar'!A:F,3,0)</f>
        <v>M2</v>
      </c>
      <c r="D28" s="317">
        <f>VLOOKUP($A28,Planilha6!$A:$D,2,0)</f>
        <v>1</v>
      </c>
      <c r="E28" s="519">
        <f>VLOOKUP($A28,Planilha6!$A:$D,3,0)</f>
        <v>63804.74</v>
      </c>
      <c r="F28" s="519">
        <f>VLOOKUP($A28,'Orçamento auxliar'!A:F,5,0)</f>
        <v>2.84</v>
      </c>
      <c r="G28" s="519">
        <f>VLOOKUP($A28,Planilha6!$A:$E,4,0)</f>
        <v>181205.46</v>
      </c>
      <c r="H28" s="520">
        <f t="shared" si="3"/>
        <v>1.3522131686633677E-2</v>
      </c>
      <c r="I28" s="520">
        <f t="shared" si="4"/>
        <v>0.76661588876147291</v>
      </c>
      <c r="J28" s="689" t="str">
        <f t="shared" si="5"/>
        <v>A</v>
      </c>
      <c r="K28" s="898" t="s">
        <v>374</v>
      </c>
    </row>
    <row r="29" spans="1:11" ht="30" customHeight="1" x14ac:dyDescent="0.15">
      <c r="A29" s="317" t="str">
        <f>Planilha6!A19</f>
        <v>PA/0023</v>
      </c>
      <c r="B29" s="518" t="str">
        <f>VLOOKUP($A29,'Orçamento auxliar'!A:F,2,0)</f>
        <v>Pintura de ligação, execução e fornecimento de emulsão asfáltica RR-1C (ref SINAPI cód 104375)</v>
      </c>
      <c r="C29" s="688" t="str">
        <f>VLOOKUP($A29,'Orçamento auxliar'!A:F,3,0)</f>
        <v>M2</v>
      </c>
      <c r="D29" s="317">
        <f>VLOOKUP($A29,Planilha6!$A:$D,2,0)</f>
        <v>1</v>
      </c>
      <c r="E29" s="519">
        <f>VLOOKUP($A29,Planilha6!$A:$D,3,0)</f>
        <v>56628.68</v>
      </c>
      <c r="F29" s="519">
        <f>VLOOKUP($A29,'Orçamento auxliar'!A:F,5,0)</f>
        <v>2.98</v>
      </c>
      <c r="G29" s="519">
        <f>VLOOKUP($A29,Planilha6!$A:$E,4,0)</f>
        <v>168753.46</v>
      </c>
      <c r="H29" s="520">
        <f t="shared" si="3"/>
        <v>1.2592923572474409E-2</v>
      </c>
      <c r="I29" s="520">
        <f t="shared" si="4"/>
        <v>0.77920881233394734</v>
      </c>
      <c r="J29" s="689" t="str">
        <f t="shared" si="5"/>
        <v>A</v>
      </c>
      <c r="K29" s="898" t="s">
        <v>374</v>
      </c>
    </row>
    <row r="30" spans="1:11" ht="39.950000000000003" customHeight="1" x14ac:dyDescent="0.15">
      <c r="A30" s="317">
        <f>Planilha6!A20</f>
        <v>95876</v>
      </c>
      <c r="B30" s="518" t="str">
        <f>VLOOKUP($A30,'Orçamento auxliar'!A:F,2,0)</f>
        <v>Transporte com caminhão basculante de 14 m3, em via urbana pavimentada, DMT até 30,00 km (unidade: m3xkm). AF_07/2020</v>
      </c>
      <c r="C30" s="688" t="str">
        <f>VLOOKUP($A30,'Orçamento auxliar'!A:F,3,0)</f>
        <v>M3XKM</v>
      </c>
      <c r="D30" s="317">
        <f>VLOOKUP($A30,Planilha6!$A:$D,2,0)</f>
        <v>7</v>
      </c>
      <c r="E30" s="519">
        <f>VLOOKUP($A30,Planilha6!$A:$D,3,0)</f>
        <v>71140.28</v>
      </c>
      <c r="F30" s="519">
        <f>VLOOKUP($A30,'Orçamento auxliar'!A:F,5,0)</f>
        <v>2.3199999999999998</v>
      </c>
      <c r="G30" s="519">
        <f>VLOOKUP($A30,Planilha6!$A:$E,4,0)</f>
        <v>165045.41999999998</v>
      </c>
      <c r="H30" s="520">
        <f t="shared" si="3"/>
        <v>1.2316217753680067E-2</v>
      </c>
      <c r="I30" s="520">
        <f t="shared" si="4"/>
        <v>0.79152503008762742</v>
      </c>
      <c r="J30" s="689" t="str">
        <f t="shared" si="5"/>
        <v>A</v>
      </c>
      <c r="K30" s="898" t="s">
        <v>374</v>
      </c>
    </row>
    <row r="31" spans="1:11" ht="39.950000000000003" customHeight="1" x14ac:dyDescent="0.15">
      <c r="A31" s="317" t="str">
        <f>Planilha6!A21</f>
        <v>DR/0275</v>
      </c>
      <c r="B31" s="518" t="str">
        <f>VLOOKUP($A31,'Orçamento auxliar'!A:F,2,0)</f>
        <v xml:space="preserve">BLTC - Boca-de-lobo tripla em concreto simples FCK 20 mpa, incluindo forma, escavação, sarjeta de contorno (chama) em concreto e grelhas em F°F° tipo pesada, conforme projeto </v>
      </c>
      <c r="C31" s="688" t="str">
        <f>VLOOKUP($A31,'Orçamento auxliar'!A:F,3,0)</f>
        <v>UN</v>
      </c>
      <c r="D31" s="317">
        <f>VLOOKUP($A31,Planilha6!$A:$D,2,0)</f>
        <v>1</v>
      </c>
      <c r="E31" s="519">
        <f>VLOOKUP($A31,Planilha6!$A:$D,3,0)</f>
        <v>27</v>
      </c>
      <c r="F31" s="519">
        <f>VLOOKUP($A31,'Orçamento auxliar'!A:F,5,0)</f>
        <v>5735.71</v>
      </c>
      <c r="G31" s="519">
        <f>VLOOKUP($A31,Planilha6!$A:$E,4,0)</f>
        <v>154864.17000000001</v>
      </c>
      <c r="H31" s="520">
        <f t="shared" si="3"/>
        <v>1.1556460275982989E-2</v>
      </c>
      <c r="I31" s="520">
        <f t="shared" si="4"/>
        <v>0.80308149036361043</v>
      </c>
      <c r="J31" s="689" t="str">
        <f t="shared" si="5"/>
        <v>B</v>
      </c>
      <c r="K31" s="898" t="s">
        <v>374</v>
      </c>
    </row>
    <row r="32" spans="1:11" ht="39.950000000000003" customHeight="1" x14ac:dyDescent="0.15">
      <c r="A32" s="317">
        <f>Planilha6!A22</f>
        <v>7791</v>
      </c>
      <c r="B32" s="518" t="str">
        <f>VLOOKUP($A32,'Orçamento auxliar'!A:F,2,0)</f>
        <v>Aquisição de tubo de concreto simples para aguas pluviais, classe PS-1, com encaixe ponta e bolsa, diâmetro nominal de 0,60 m (347 kg/m) - Aquisição</v>
      </c>
      <c r="C32" s="688" t="str">
        <f>VLOOKUP($A32,'Orçamento auxliar'!A:F,3,0)</f>
        <v xml:space="preserve">M     </v>
      </c>
      <c r="D32" s="317">
        <f>VLOOKUP($A32,Planilha6!$A:$D,2,0)</f>
        <v>1</v>
      </c>
      <c r="E32" s="519">
        <f>VLOOKUP($A32,Planilha6!$A:$D,3,0)</f>
        <v>1034.6300000000001</v>
      </c>
      <c r="F32" s="519">
        <f>VLOOKUP($A32,'Orçamento auxliar'!A:F,5,0)</f>
        <v>145.6</v>
      </c>
      <c r="G32" s="519">
        <f>VLOOKUP($A32,Planilha6!$A:$E,4,0)</f>
        <v>150642.12</v>
      </c>
      <c r="H32" s="520">
        <f t="shared" si="3"/>
        <v>1.1241397385010765E-2</v>
      </c>
      <c r="I32" s="520">
        <f t="shared" si="4"/>
        <v>0.81432288774862116</v>
      </c>
      <c r="J32" s="689" t="str">
        <f t="shared" si="5"/>
        <v>B</v>
      </c>
      <c r="K32" s="898" t="s">
        <v>374</v>
      </c>
    </row>
    <row r="33" spans="1:11" ht="39.950000000000003" customHeight="1" x14ac:dyDescent="0.15">
      <c r="A33" s="317">
        <f>Planilha6!A23</f>
        <v>100953</v>
      </c>
      <c r="B33" s="518" t="str">
        <f>VLOOKUP($A33,'Orçamento auxliar'!A:F,2,0)</f>
        <v>Transporte com caminhão carroceria com guindauto (munck), momento máximo de carga 11,7 tm, em via urbana pavimentada, adicional para DMT excedente a 30,00 km (unidade: txkm). AF_07/2020</v>
      </c>
      <c r="C33" s="688" t="str">
        <f>VLOOKUP($A33,'Orçamento auxliar'!A:F,3,0)</f>
        <v>TXKM</v>
      </c>
      <c r="D33" s="317">
        <f>VLOOKUP($A33,Planilha6!$A:$D,2,0)</f>
        <v>1</v>
      </c>
      <c r="E33" s="519">
        <f>VLOOKUP($A33,Planilha6!$A:$D,3,0)</f>
        <v>124085</v>
      </c>
      <c r="F33" s="519">
        <f>VLOOKUP($A33,'Orçamento auxliar'!A:F,5,0)</f>
        <v>1.18</v>
      </c>
      <c r="G33" s="519">
        <f>VLOOKUP($A33,Planilha6!$A:$E,4,0)</f>
        <v>146420.29999999999</v>
      </c>
      <c r="H33" s="520">
        <f t="shared" si="3"/>
        <v>1.0926351657375053E-2</v>
      </c>
      <c r="I33" s="520">
        <f t="shared" si="4"/>
        <v>0.82524923940599626</v>
      </c>
      <c r="J33" s="689" t="str">
        <f t="shared" si="5"/>
        <v>B</v>
      </c>
      <c r="K33" s="898" t="s">
        <v>374</v>
      </c>
    </row>
    <row r="34" spans="1:11" ht="50.1" customHeight="1" x14ac:dyDescent="0.15">
      <c r="A34" s="317" t="str">
        <f>Planilha6!A24</f>
        <v>SV/0090</v>
      </c>
      <c r="B34" s="518" t="str">
        <f>VLOOKUP($A34,'Orçamento auxliar'!A:F,2,0)</f>
        <v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v>
      </c>
      <c r="C34" s="688" t="str">
        <f>VLOOKUP($A34,'Orçamento auxliar'!A:F,3,0)</f>
        <v xml:space="preserve">UN </v>
      </c>
      <c r="D34" s="317">
        <f>VLOOKUP($A34,Planilha6!$A:$D,2,0)</f>
        <v>1</v>
      </c>
      <c r="E34" s="519">
        <f>VLOOKUP($A34,Planilha6!$A:$D,3,0)</f>
        <v>263</v>
      </c>
      <c r="F34" s="519">
        <f>VLOOKUP($A34,'Orçamento auxliar'!A:F,5,0)</f>
        <v>523.6</v>
      </c>
      <c r="G34" s="519">
        <f>VLOOKUP($A34,Planilha6!$A:$E,4,0)</f>
        <v>137706.79999999999</v>
      </c>
      <c r="H34" s="520">
        <f t="shared" si="3"/>
        <v>1.0276122384750031E-2</v>
      </c>
      <c r="I34" s="520">
        <f t="shared" si="4"/>
        <v>0.83552536179074632</v>
      </c>
      <c r="J34" s="689" t="str">
        <f t="shared" si="5"/>
        <v>B</v>
      </c>
      <c r="K34" s="898" t="s">
        <v>374</v>
      </c>
    </row>
    <row r="35" spans="1:11" ht="30" customHeight="1" x14ac:dyDescent="0.15">
      <c r="A35" s="317">
        <f>Planilha6!A25</f>
        <v>100939</v>
      </c>
      <c r="B35" s="518" t="str">
        <f>VLOOKUP($A35,'Orçamento auxliar'!A:F,2,0)</f>
        <v>Transporte com caminhão basculante de 14 m3, em via interna (dentro do canteiro - unidade:m3xkm). AF_07/2020</v>
      </c>
      <c r="C35" s="688" t="str">
        <f>VLOOKUP($A35,'Orçamento auxliar'!A:F,3,0)</f>
        <v>M3XKM</v>
      </c>
      <c r="D35" s="317">
        <f>VLOOKUP($A35,Planilha6!$A:$D,2,0)</f>
        <v>4</v>
      </c>
      <c r="E35" s="519">
        <f>VLOOKUP($A35,Planilha6!$A:$D,3,0)</f>
        <v>19279.34</v>
      </c>
      <c r="F35" s="519">
        <f>VLOOKUP($A35,'Orçamento auxliar'!A:F,5,0)</f>
        <v>7.1</v>
      </c>
      <c r="G35" s="519">
        <f>VLOOKUP($A35,Planilha6!$A:$E,4,0)</f>
        <v>136883.29999999999</v>
      </c>
      <c r="H35" s="520">
        <f t="shared" si="3"/>
        <v>1.02146701777142E-2</v>
      </c>
      <c r="I35" s="520">
        <f t="shared" si="4"/>
        <v>0.84574003196846048</v>
      </c>
      <c r="J35" s="689" t="str">
        <f t="shared" si="5"/>
        <v>B</v>
      </c>
      <c r="K35" s="898" t="s">
        <v>374</v>
      </c>
    </row>
    <row r="36" spans="1:11" ht="39.950000000000003" customHeight="1" x14ac:dyDescent="0.15">
      <c r="A36" s="317">
        <f>Planilha6!A26</f>
        <v>92824</v>
      </c>
      <c r="B36" s="518" t="str">
        <f>VLOOKUP($A36,'Orçamento auxliar'!A:F,2,0)</f>
        <v>Assentamento de tubo de concreto para redes coletoras de águas pluviais, diâmetro nominal de 0,60 m, junta rígida em argamassa 1:3 cimento:areia, instalado em local com alto nível de interferências (não inclui fornecimento). AF_12/2015</v>
      </c>
      <c r="C36" s="688" t="str">
        <f>VLOOKUP($A36,'Orçamento auxliar'!A:F,3,0)</f>
        <v>M</v>
      </c>
      <c r="D36" s="317">
        <f>VLOOKUP($A36,Planilha6!$A:$D,2,0)</f>
        <v>1</v>
      </c>
      <c r="E36" s="519">
        <f>VLOOKUP($A36,Planilha6!$A:$D,3,0)</f>
        <v>1034.6300000000001</v>
      </c>
      <c r="F36" s="519">
        <f>VLOOKUP($A36,'Orçamento auxliar'!A:F,5,0)</f>
        <v>107.6</v>
      </c>
      <c r="G36" s="519">
        <f>VLOOKUP($A36,Planilha6!$A:$E,4,0)</f>
        <v>111326.18</v>
      </c>
      <c r="H36" s="520">
        <f t="shared" si="3"/>
        <v>8.3075160435556634E-3</v>
      </c>
      <c r="I36" s="520">
        <f t="shared" si="4"/>
        <v>0.8540475480120161</v>
      </c>
      <c r="J36" s="689" t="str">
        <f t="shared" si="5"/>
        <v>B</v>
      </c>
      <c r="K36" s="898" t="s">
        <v>374</v>
      </c>
    </row>
    <row r="37" spans="1:11" ht="39.950000000000003" customHeight="1" x14ac:dyDescent="0.15">
      <c r="A37" s="317">
        <f>Planilha6!A27</f>
        <v>92828</v>
      </c>
      <c r="B37" s="518" t="str">
        <f>VLOOKUP($A37,'Orçamento auxliar'!A:F,2,0)</f>
        <v>Assentamento de tubo de concreto para redes coletoras de águas pluviais, diâmetro nominal de 1,00 m, junta rígida em argamassa 1:3 cimento:areia, instalado em local com alto nível de interferências (não inclui fornecimento). AF_12/2015</v>
      </c>
      <c r="C37" s="688" t="str">
        <f>VLOOKUP($A37,'Orçamento auxliar'!A:F,3,0)</f>
        <v>M</v>
      </c>
      <c r="D37" s="317">
        <f>VLOOKUP($A37,Planilha6!$A:$D,2,0)</f>
        <v>1</v>
      </c>
      <c r="E37" s="519">
        <f>VLOOKUP($A37,Planilha6!$A:$D,3,0)</f>
        <v>585.66999999999996</v>
      </c>
      <c r="F37" s="519">
        <f>VLOOKUP($A37,'Orçamento auxliar'!A:F,5,0)</f>
        <v>187.6</v>
      </c>
      <c r="G37" s="519">
        <f>VLOOKUP($A37,Planilha6!$A:$E,4,0)</f>
        <v>109871.69</v>
      </c>
      <c r="H37" s="520">
        <f t="shared" si="3"/>
        <v>8.1989773421451678E-3</v>
      </c>
      <c r="I37" s="520">
        <f t="shared" si="4"/>
        <v>0.86224652535416124</v>
      </c>
      <c r="J37" s="689" t="str">
        <f t="shared" si="5"/>
        <v>B</v>
      </c>
      <c r="K37" s="898" t="s">
        <v>374</v>
      </c>
    </row>
    <row r="38" spans="1:11" ht="30" customHeight="1" x14ac:dyDescent="0.15">
      <c r="A38" s="317" t="str">
        <f>Planilha6!A28</f>
        <v>SC/0082</v>
      </c>
      <c r="B38" s="518" t="str">
        <f>VLOOKUP($A38,'Orçamento auxliar'!A:F,2,0)</f>
        <v>Grama em placas, tipo esmeralda, incluindo plantio, adubo, fertilizante, calcário, terra orgânica e irrigação</v>
      </c>
      <c r="C38" s="688" t="str">
        <f>VLOOKUP($A38,'Orçamento auxliar'!A:F,3,0)</f>
        <v>M2</v>
      </c>
      <c r="D38" s="317">
        <f>VLOOKUP($A38,Planilha6!$A:$D,2,0)</f>
        <v>1</v>
      </c>
      <c r="E38" s="519">
        <f>VLOOKUP($A38,Planilha6!$A:$D,3,0)</f>
        <v>4064.81</v>
      </c>
      <c r="F38" s="519">
        <f>VLOOKUP($A38,'Orçamento auxliar'!A:F,5,0)</f>
        <v>26.89</v>
      </c>
      <c r="G38" s="519">
        <f>VLOOKUP($A38,Planilha6!$A:$E,4,0)</f>
        <v>109302.74</v>
      </c>
      <c r="H38" s="520">
        <f t="shared" si="3"/>
        <v>8.156520471236807E-3</v>
      </c>
      <c r="I38" s="520">
        <f t="shared" si="4"/>
        <v>0.87040304582539807</v>
      </c>
      <c r="J38" s="689" t="str">
        <f t="shared" si="5"/>
        <v>B</v>
      </c>
      <c r="K38" s="898" t="s">
        <v>374</v>
      </c>
    </row>
    <row r="39" spans="1:11" ht="39.950000000000003" customHeight="1" x14ac:dyDescent="0.15">
      <c r="A39" s="317" t="str">
        <f>Planilha6!A29</f>
        <v>DR/0265</v>
      </c>
      <c r="B39" s="518" t="str">
        <f>VLOOKUP($A39,'Orçamento auxliar'!A:F,2,0)</f>
        <v xml:space="preserve">BLSC - Boca-de-lobo simples em concreto simples FCK 20 mpa, incluindo forma, escavação, sarjeta de contorno (chama) em concreto e grelha em F°F° tipo pesada, conforme projeto </v>
      </c>
      <c r="C39" s="688" t="str">
        <f>VLOOKUP($A39,'Orçamento auxliar'!A:F,3,0)</f>
        <v>UN</v>
      </c>
      <c r="D39" s="317">
        <f>VLOOKUP($A39,Planilha6!$A:$D,2,0)</f>
        <v>1</v>
      </c>
      <c r="E39" s="519">
        <f>VLOOKUP($A39,Planilha6!$A:$D,3,0)</f>
        <v>49</v>
      </c>
      <c r="F39" s="519">
        <f>VLOOKUP($A39,'Orçamento auxliar'!A:F,5,0)</f>
        <v>2084.06</v>
      </c>
      <c r="G39" s="519">
        <f>VLOOKUP($A39,Planilha6!$A:$E,4,0)</f>
        <v>102118.94</v>
      </c>
      <c r="H39" s="520">
        <f t="shared" si="3"/>
        <v>7.6204423110619477E-3</v>
      </c>
      <c r="I39" s="520">
        <f t="shared" si="4"/>
        <v>0.87802348813646003</v>
      </c>
      <c r="J39" s="689" t="str">
        <f t="shared" si="5"/>
        <v>B</v>
      </c>
      <c r="K39" s="898" t="s">
        <v>374</v>
      </c>
    </row>
    <row r="40" spans="1:11" ht="39.950000000000003" customHeight="1" x14ac:dyDescent="0.15">
      <c r="A40" s="317">
        <f>Planilha6!A30</f>
        <v>100978</v>
      </c>
      <c r="B40" s="518" t="str">
        <f>VLOOKUP($A40,'Orçamento auxliar'!A:F,2,0)</f>
        <v>Carga, manobra e descarga de solos e materiais granulares em caminhão basculante 10 m3 - carga com escavadeira hidráulica (capacidade da caçamba: 1,20 m3 / potência: 155 HP) e descarga livre (unidade: m3). AF_07/2020</v>
      </c>
      <c r="C40" s="688" t="str">
        <f>VLOOKUP($A40,'Orçamento auxliar'!A:F,3,0)</f>
        <v>M3</v>
      </c>
      <c r="D40" s="317">
        <f>VLOOKUP($A40,Planilha6!$A:$D,2,0)</f>
        <v>2</v>
      </c>
      <c r="E40" s="519">
        <f>VLOOKUP($A40,Planilha6!$A:$D,3,0)</f>
        <v>13514.97</v>
      </c>
      <c r="F40" s="519">
        <f>VLOOKUP($A40,'Orçamento auxliar'!A:F,5,0)</f>
        <v>7.44</v>
      </c>
      <c r="G40" s="519">
        <f>VLOOKUP($A40,Planilha6!$A:$E,4,0)</f>
        <v>100551.37</v>
      </c>
      <c r="H40" s="520">
        <f t="shared" si="3"/>
        <v>7.5034652179433604E-3</v>
      </c>
      <c r="I40" s="520">
        <f t="shared" si="4"/>
        <v>0.88552695335440335</v>
      </c>
      <c r="J40" s="689" t="str">
        <f t="shared" si="5"/>
        <v>B</v>
      </c>
      <c r="K40" s="898" t="s">
        <v>374</v>
      </c>
    </row>
    <row r="41" spans="1:11" ht="39.950000000000003" customHeight="1" x14ac:dyDescent="0.15">
      <c r="A41" s="317">
        <f>Planilha6!A31</f>
        <v>92826</v>
      </c>
      <c r="B41" s="518" t="str">
        <f>VLOOKUP($A41,'Orçamento auxliar'!A:F,2,0)</f>
        <v>Assentamento de tubo de concreto para redes coletoras de águas pluviais, diâmetro nominal de 0,80 m, junta rígida em argamassa 1:3 cimento:areia, instalado em local com alto nível de interferências (não inclui fornecimento). AF_12/2015</v>
      </c>
      <c r="C41" s="688" t="str">
        <f>VLOOKUP($A41,'Orçamento auxliar'!A:F,3,0)</f>
        <v>M</v>
      </c>
      <c r="D41" s="317">
        <f>VLOOKUP($A41,Planilha6!$A:$D,2,0)</f>
        <v>1</v>
      </c>
      <c r="E41" s="519">
        <f>VLOOKUP($A41,Planilha6!$A:$D,3,0)</f>
        <v>504.57</v>
      </c>
      <c r="F41" s="519">
        <f>VLOOKUP($A41,'Orçamento auxliar'!A:F,5,0)</f>
        <v>144.01</v>
      </c>
      <c r="G41" s="519">
        <f>VLOOKUP($A41,Planilha6!$A:$E,4,0)</f>
        <v>72663.12</v>
      </c>
      <c r="H41" s="520">
        <f t="shared" si="3"/>
        <v>5.4223546983720311E-3</v>
      </c>
      <c r="I41" s="520">
        <f t="shared" si="4"/>
        <v>0.89094930805277539</v>
      </c>
      <c r="J41" s="689" t="str">
        <f t="shared" si="5"/>
        <v>B</v>
      </c>
      <c r="K41" s="898" t="s">
        <v>374</v>
      </c>
    </row>
    <row r="42" spans="1:11" ht="39.950000000000003" customHeight="1" x14ac:dyDescent="0.15">
      <c r="A42" s="317" t="str">
        <f>Planilha6!A32</f>
        <v>SR/0020</v>
      </c>
      <c r="B42" s="518" t="str">
        <f>VLOOKUP($A42,'Orçamento auxliar'!A:F,2,0)</f>
        <v>Demolição de concreto simples, de forma mecanizada, sem reaproveitamento (REF. SICRO COD. 1600989, db 01-2023)</v>
      </c>
      <c r="C42" s="688" t="str">
        <f>VLOOKUP($A42,'Orçamento auxliar'!A:F,3,0)</f>
        <v>M3</v>
      </c>
      <c r="D42" s="317">
        <f>VLOOKUP($A42,Planilha6!$A:$D,2,0)</f>
        <v>1</v>
      </c>
      <c r="E42" s="519">
        <f>VLOOKUP($A42,Planilha6!$A:$D,3,0)</f>
        <v>251.09</v>
      </c>
      <c r="F42" s="519">
        <f>VLOOKUP($A42,'Orçamento auxliar'!A:F,5,0)</f>
        <v>288.07</v>
      </c>
      <c r="G42" s="519">
        <f>VLOOKUP($A42,Planilha6!$A:$E,4,0)</f>
        <v>72331.490000000005</v>
      </c>
      <c r="H42" s="520">
        <f t="shared" si="3"/>
        <v>5.3976074058167288E-3</v>
      </c>
      <c r="I42" s="520">
        <f t="shared" si="4"/>
        <v>0.89634691545859213</v>
      </c>
      <c r="J42" s="689" t="str">
        <f t="shared" si="5"/>
        <v>B</v>
      </c>
      <c r="K42" s="898" t="s">
        <v>374</v>
      </c>
    </row>
    <row r="43" spans="1:11" ht="39.950000000000003" customHeight="1" x14ac:dyDescent="0.15">
      <c r="A43" s="317">
        <f>Planilha6!A33</f>
        <v>7781</v>
      </c>
      <c r="B43" s="518" t="str">
        <f>VLOOKUP($A43,'Orçamento auxliar'!A:F,2,0)</f>
        <v>Aquisição de tubo de concreto simples para aguas pluviais, classe PS-1, com encaixe ponta e bolsa, diâmetro nominal de 0,40 m (180 kg/m) - Aquisição</v>
      </c>
      <c r="C43" s="688" t="str">
        <f>VLOOKUP($A43,'Orçamento auxliar'!A:F,3,0)</f>
        <v xml:space="preserve">M     </v>
      </c>
      <c r="D43" s="317">
        <f>VLOOKUP($A43,Planilha6!$A:$D,2,0)</f>
        <v>1</v>
      </c>
      <c r="E43" s="519">
        <f>VLOOKUP($A43,Planilha6!$A:$D,3,0)</f>
        <v>802</v>
      </c>
      <c r="F43" s="519">
        <f>VLOOKUP($A43,'Orçamento auxliar'!A:F,5,0)</f>
        <v>81.72</v>
      </c>
      <c r="G43" s="519">
        <f>VLOOKUP($A43,Planilha6!$A:$E,4,0)</f>
        <v>65539.44</v>
      </c>
      <c r="H43" s="520">
        <f t="shared" si="3"/>
        <v>4.890762885115198E-3</v>
      </c>
      <c r="I43" s="520">
        <f t="shared" si="4"/>
        <v>0.90123767834370738</v>
      </c>
      <c r="J43" s="689" t="str">
        <f t="shared" si="5"/>
        <v>B</v>
      </c>
      <c r="K43" s="898" t="s">
        <v>374</v>
      </c>
    </row>
    <row r="44" spans="1:11" ht="50.1" customHeight="1" x14ac:dyDescent="0.15">
      <c r="A44" s="317">
        <f>Planilha6!A34</f>
        <v>93362</v>
      </c>
      <c r="B44" s="518" t="str">
        <f>VLOOKUP($A44,'Orçamento auxliar'!A:F,2,0)</f>
        <v>Reaterro mecanizado de vala com escavadeira hidráulica (capacidade da caçamba: 0,80 m3 / potência: 111 HP), largura de 1,50 a 2,50 m, profundidade de 1,50 a 3,00 m, com solo (sem substituição) de 1a categoria em locais com alto nível de interferência. AF_04/2016</v>
      </c>
      <c r="C44" s="688" t="str">
        <f>VLOOKUP($A44,'Orçamento auxliar'!A:F,3,0)</f>
        <v>M3</v>
      </c>
      <c r="D44" s="317">
        <f>VLOOKUP($A44,Planilha6!$A:$D,2,0)</f>
        <v>1</v>
      </c>
      <c r="E44" s="519">
        <f>VLOOKUP($A44,Planilha6!$A:$D,3,0)</f>
        <v>3980.6</v>
      </c>
      <c r="F44" s="519">
        <f>VLOOKUP($A44,'Orçamento auxliar'!A:F,5,0)</f>
        <v>15.35</v>
      </c>
      <c r="G44" s="519">
        <f>VLOOKUP($A44,Planilha6!$A:$E,4,0)</f>
        <v>61102.21</v>
      </c>
      <c r="H44" s="520">
        <f t="shared" si="3"/>
        <v>4.5596425734872733E-3</v>
      </c>
      <c r="I44" s="520">
        <f t="shared" si="4"/>
        <v>0.90579732091719467</v>
      </c>
      <c r="J44" s="689" t="str">
        <f t="shared" si="5"/>
        <v>B</v>
      </c>
      <c r="K44" s="898" t="s">
        <v>374</v>
      </c>
    </row>
    <row r="45" spans="1:11" ht="39.950000000000003" customHeight="1" x14ac:dyDescent="0.15">
      <c r="A45" s="317">
        <f>Planilha6!A35</f>
        <v>92821</v>
      </c>
      <c r="B45" s="518" t="str">
        <f>VLOOKUP($A45,'Orçamento auxliar'!A:F,2,0)</f>
        <v>Assentamento de tubo de concreto para redes coletoras de águas pluviais, diâmetro nominal de 0,40 m, junta rígida em argamassa 1:3 cimento:areia, instalado em local com alto nível de interferências (não inclui fornecimento). AF_12/2015</v>
      </c>
      <c r="C45" s="688" t="str">
        <f>VLOOKUP($A45,'Orçamento auxliar'!A:F,3,0)</f>
        <v>M</v>
      </c>
      <c r="D45" s="317">
        <f>VLOOKUP($A45,Planilha6!$A:$D,2,0)</f>
        <v>1</v>
      </c>
      <c r="E45" s="519">
        <f>VLOOKUP($A45,Planilha6!$A:$D,3,0)</f>
        <v>802</v>
      </c>
      <c r="F45" s="519">
        <f>VLOOKUP($A45,'Orçamento auxliar'!A:F,5,0)</f>
        <v>74.180000000000007</v>
      </c>
      <c r="G45" s="519">
        <f>VLOOKUP($A45,Planilha6!$A:$E,4,0)</f>
        <v>59492.36</v>
      </c>
      <c r="H45" s="520">
        <f t="shared" si="3"/>
        <v>4.4395104113784311E-3</v>
      </c>
      <c r="I45" s="520">
        <f t="shared" si="4"/>
        <v>0.91023683132857314</v>
      </c>
      <c r="J45" s="689" t="str">
        <f t="shared" si="5"/>
        <v>B</v>
      </c>
      <c r="K45" s="898" t="s">
        <v>374</v>
      </c>
    </row>
    <row r="46" spans="1:11" ht="30" customHeight="1" x14ac:dyDescent="0.15">
      <c r="A46" s="317">
        <f>Planilha6!A36</f>
        <v>98459</v>
      </c>
      <c r="B46" s="518" t="str">
        <f>VLOOKUP($A46,'Orçamento auxliar'!A:F,2,0)</f>
        <v>Tapume com telha metálica, sem pintura, trapezoidal espessura 0,5 mm, colunas, bases e parafusos</v>
      </c>
      <c r="C46" s="688" t="str">
        <f>VLOOKUP($A46,'Orçamento auxliar'!A:F,3,0)</f>
        <v>M2</v>
      </c>
      <c r="D46" s="317">
        <f>VLOOKUP($A46,Planilha6!$A:$D,2,0)</f>
        <v>1</v>
      </c>
      <c r="E46" s="519">
        <f>VLOOKUP($A46,Planilha6!$A:$D,3,0)</f>
        <v>400</v>
      </c>
      <c r="F46" s="519">
        <f>VLOOKUP($A46,'Orçamento auxliar'!A:F,5,0)</f>
        <v>147</v>
      </c>
      <c r="G46" s="519">
        <f>VLOOKUP($A46,Planilha6!$A:$E,4,0)</f>
        <v>58800</v>
      </c>
      <c r="H46" s="520">
        <f t="shared" si="3"/>
        <v>4.3878442910829521E-3</v>
      </c>
      <c r="I46" s="520">
        <f t="shared" si="4"/>
        <v>0.9146246756196561</v>
      </c>
      <c r="J46" s="689" t="str">
        <f t="shared" si="5"/>
        <v>B</v>
      </c>
      <c r="K46" s="898" t="s">
        <v>374</v>
      </c>
    </row>
    <row r="47" spans="1:11" ht="39.950000000000003" customHeight="1" x14ac:dyDescent="0.15">
      <c r="A47" s="317">
        <f>Planilha6!A37</f>
        <v>101570</v>
      </c>
      <c r="B47" s="518" t="str">
        <f>VLOOKUP($A47,'Orçamento auxliar'!A:F,2,0)</f>
        <v>Escoramento de vala, tipo pontaleteamento, com profundidade de 0,00 a 1,50 m, largura menor que 1,50 m. AF_08/2020</v>
      </c>
      <c r="C47" s="688" t="str">
        <f>VLOOKUP($A47,'Orçamento auxliar'!A:F,3,0)</f>
        <v>M2</v>
      </c>
      <c r="D47" s="317">
        <f>VLOOKUP($A47,Planilha6!$A:$D,2,0)</f>
        <v>1</v>
      </c>
      <c r="E47" s="519">
        <f>VLOOKUP($A47,Planilha6!$A:$D,3,0)</f>
        <v>2139.73</v>
      </c>
      <c r="F47" s="519">
        <f>VLOOKUP($A47,'Orçamento auxliar'!A:F,5,0)</f>
        <v>26.59</v>
      </c>
      <c r="G47" s="519">
        <f>VLOOKUP($A47,Planilha6!$A:$E,4,0)</f>
        <v>56895.42</v>
      </c>
      <c r="H47" s="520">
        <f t="shared" si="3"/>
        <v>4.2457184325810681E-3</v>
      </c>
      <c r="I47" s="520">
        <f t="shared" si="4"/>
        <v>0.91887039405223714</v>
      </c>
      <c r="J47" s="689" t="str">
        <f t="shared" si="5"/>
        <v>B</v>
      </c>
      <c r="K47" s="898" t="s">
        <v>374</v>
      </c>
    </row>
    <row r="48" spans="1:11" ht="50.1" customHeight="1" x14ac:dyDescent="0.15">
      <c r="A48" s="317">
        <f>Planilha6!A38</f>
        <v>102278</v>
      </c>
      <c r="B48" s="518" t="str">
        <f>VLOOKUP($A48,'Orçamento auxliar'!A:F,2,0)</f>
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</c>
      <c r="C48" s="688" t="str">
        <f>VLOOKUP($A48,'Orçamento auxliar'!A:F,3,0)</f>
        <v>M3</v>
      </c>
      <c r="D48" s="317">
        <f>VLOOKUP($A48,Planilha6!$A:$D,2,0)</f>
        <v>1</v>
      </c>
      <c r="E48" s="519">
        <f>VLOOKUP($A48,Planilha6!$A:$D,3,0)</f>
        <v>4953.38</v>
      </c>
      <c r="F48" s="519">
        <f>VLOOKUP($A48,'Orçamento auxliar'!A:F,5,0)</f>
        <v>10.79</v>
      </c>
      <c r="G48" s="519">
        <f>VLOOKUP($A48,Planilha6!$A:$E,4,0)</f>
        <v>53446.97</v>
      </c>
      <c r="H48" s="520">
        <f t="shared" si="3"/>
        <v>3.9883840508534319E-3</v>
      </c>
      <c r="I48" s="520">
        <f t="shared" si="4"/>
        <v>0.92285877810309058</v>
      </c>
      <c r="J48" s="689" t="str">
        <f t="shared" si="5"/>
        <v>B</v>
      </c>
      <c r="K48" s="898" t="s">
        <v>374</v>
      </c>
    </row>
    <row r="49" spans="1:11" ht="39.950000000000003" customHeight="1" x14ac:dyDescent="0.15">
      <c r="A49" s="317" t="str">
        <f>Planilha6!A39</f>
        <v>SC/0080</v>
      </c>
      <c r="B49" s="518" t="str">
        <f>VLOOKUP($A49,'Orçamento auxliar'!A:F,2,0)</f>
        <v>Piso tátil de alerta ou direcional com lajota cimentícia  40x40x2,5cm, nas cores da NBR 16537, assentado com argamassa de cimento e areia 1:3</v>
      </c>
      <c r="C49" s="688" t="str">
        <f>VLOOKUP($A49,'Orçamento auxliar'!A:F,3,0)</f>
        <v>M</v>
      </c>
      <c r="D49" s="317">
        <f>VLOOKUP($A49,Planilha6!$A:$D,2,0)</f>
        <v>1</v>
      </c>
      <c r="E49" s="519">
        <f>VLOOKUP($A49,Planilha6!$A:$D,3,0)</f>
        <v>702</v>
      </c>
      <c r="F49" s="519">
        <f>VLOOKUP($A49,'Orçamento auxliar'!A:F,5,0)</f>
        <v>74.47</v>
      </c>
      <c r="G49" s="519">
        <f>VLOOKUP($A49,Planilha6!$A:$E,4,0)</f>
        <v>52277.94</v>
      </c>
      <c r="H49" s="520">
        <f t="shared" si="3"/>
        <v>3.9011472887513113E-3</v>
      </c>
      <c r="I49" s="520">
        <f t="shared" si="4"/>
        <v>0.92675992539184193</v>
      </c>
      <c r="J49" s="689" t="str">
        <f t="shared" si="5"/>
        <v>B</v>
      </c>
      <c r="K49" s="898" t="s">
        <v>374</v>
      </c>
    </row>
    <row r="50" spans="1:11" ht="30" customHeight="1" x14ac:dyDescent="0.15">
      <c r="A50" s="317" t="str">
        <f>Planilha6!A40</f>
        <v>PA/0005</v>
      </c>
      <c r="B50" s="518" t="str">
        <f>VLOOKUP($A50,'Orçamento auxliar'!A:F,2,0)</f>
        <v>Preparo do subleito, escavação e carga. Exclusive transporte</v>
      </c>
      <c r="C50" s="688" t="str">
        <f>VLOOKUP($A50,'Orçamento auxliar'!A:F,3,0)</f>
        <v>M3</v>
      </c>
      <c r="D50" s="317">
        <f>VLOOKUP($A50,Planilha6!$A:$D,2,0)</f>
        <v>1</v>
      </c>
      <c r="E50" s="519">
        <f>VLOOKUP($A50,Planilha6!$A:$D,3,0)</f>
        <v>7392.66</v>
      </c>
      <c r="F50" s="519">
        <f>VLOOKUP($A50,'Orçamento auxliar'!A:F,5,0)</f>
        <v>6.65</v>
      </c>
      <c r="G50" s="519">
        <f>VLOOKUP($A50,Planilha6!$A:$E,4,0)</f>
        <v>49161.18</v>
      </c>
      <c r="H50" s="520">
        <f t="shared" si="3"/>
        <v>3.668564676971112E-3</v>
      </c>
      <c r="I50" s="520">
        <f t="shared" si="4"/>
        <v>0.93042849006881301</v>
      </c>
      <c r="J50" s="689" t="str">
        <f t="shared" si="5"/>
        <v>B</v>
      </c>
      <c r="K50" s="898" t="s">
        <v>374</v>
      </c>
    </row>
    <row r="51" spans="1:11" ht="39.950000000000003" customHeight="1" x14ac:dyDescent="0.15">
      <c r="A51" s="317">
        <f>Planilha6!A41</f>
        <v>96385</v>
      </c>
      <c r="B51" s="518" t="str">
        <f>VLOOKUP($A51,'Orçamento auxliar'!A:F,2,0)</f>
        <v>Execução e compactação de aterro com solo predominantemente argiloso - exclusive solo, escavação, carga e transporte. AF_11/2019</v>
      </c>
      <c r="C51" s="688" t="str">
        <f>VLOOKUP($A51,'Orçamento auxliar'!A:F,3,0)</f>
        <v>M3</v>
      </c>
      <c r="D51" s="317">
        <f>VLOOKUP($A51,Planilha6!$A:$D,2,0)</f>
        <v>1</v>
      </c>
      <c r="E51" s="519">
        <f>VLOOKUP($A51,Planilha6!$A:$D,3,0)</f>
        <v>3633.19</v>
      </c>
      <c r="F51" s="519">
        <f>VLOOKUP($A51,'Orçamento auxliar'!A:F,5,0)</f>
        <v>13.15</v>
      </c>
      <c r="G51" s="519">
        <f>VLOOKUP($A51,Planilha6!$A:$E,4,0)</f>
        <v>47776.44</v>
      </c>
      <c r="H51" s="520">
        <f t="shared" si="3"/>
        <v>3.5652309439161089E-3</v>
      </c>
      <c r="I51" s="520">
        <f t="shared" si="4"/>
        <v>0.93399372101272915</v>
      </c>
      <c r="J51" s="689" t="str">
        <f t="shared" si="5"/>
        <v>B</v>
      </c>
      <c r="K51" s="898" t="s">
        <v>374</v>
      </c>
    </row>
    <row r="52" spans="1:11" ht="30" customHeight="1" x14ac:dyDescent="0.15">
      <c r="A52" s="317">
        <f>Planilha6!A42</f>
        <v>93358</v>
      </c>
      <c r="B52" s="518" t="str">
        <f>VLOOKUP($A52,'Orçamento auxliar'!A:F,2,0)</f>
        <v>Escavação manual de vala com profundidade menor ou igual a 1,30 m. AF_03/2016</v>
      </c>
      <c r="C52" s="688" t="str">
        <f>VLOOKUP($A52,'Orçamento auxliar'!A:F,3,0)</f>
        <v>M3</v>
      </c>
      <c r="D52" s="317">
        <f>VLOOKUP($A52,Planilha6!$A:$D,2,0)</f>
        <v>1</v>
      </c>
      <c r="E52" s="519">
        <f>VLOOKUP($A52,Planilha6!$A:$D,3,0)</f>
        <v>494.43</v>
      </c>
      <c r="F52" s="519">
        <f>VLOOKUP($A52,'Orçamento auxliar'!A:F,5,0)</f>
        <v>90.38</v>
      </c>
      <c r="G52" s="519">
        <f>VLOOKUP($A52,Planilha6!$A:$E,4,0)</f>
        <v>44686.58</v>
      </c>
      <c r="H52" s="520">
        <f t="shared" si="3"/>
        <v>3.3346556962758778E-3</v>
      </c>
      <c r="I52" s="520">
        <f t="shared" si="4"/>
        <v>0.93732837670900504</v>
      </c>
      <c r="J52" s="689" t="str">
        <f t="shared" si="5"/>
        <v>B</v>
      </c>
      <c r="K52" s="898" t="s">
        <v>374</v>
      </c>
    </row>
    <row r="53" spans="1:11" ht="50.1" customHeight="1" x14ac:dyDescent="0.15">
      <c r="A53" s="317" t="str">
        <f>Planilha6!A43</f>
        <v>SV/0105</v>
      </c>
      <c r="B53" s="518" t="str">
        <f>VLOOKUP($A53,'Orçamento auxliar'!A:F,2,0)</f>
        <v>Placa de sinalização de alumínio, espessura 1,5 mm, com fundo, símbolos e tarjas em película refletiva com esferas inclusas tipo I-A da NBR 14644 (GT/GT), inclusive elementos de fixação, conforme especificação AGETRAN/PMCG - Incluso fornecimento</v>
      </c>
      <c r="C53" s="688" t="str">
        <f>VLOOKUP($A53,'Orçamento auxliar'!A:F,3,0)</f>
        <v>M2</v>
      </c>
      <c r="D53" s="317">
        <f>VLOOKUP($A53,Planilha6!$A:$D,2,0)</f>
        <v>1</v>
      </c>
      <c r="E53" s="519">
        <f>VLOOKUP($A53,Planilha6!$A:$D,3,0)</f>
        <v>47.93</v>
      </c>
      <c r="F53" s="519">
        <f>VLOOKUP($A53,'Orçamento auxliar'!A:F,5,0)</f>
        <v>915.14</v>
      </c>
      <c r="G53" s="519">
        <f>VLOOKUP($A53,Planilha6!$A:$E,4,0)</f>
        <v>43862.66</v>
      </c>
      <c r="H53" s="520">
        <f t="shared" si="3"/>
        <v>3.2731721474951116E-3</v>
      </c>
      <c r="I53" s="520">
        <f t="shared" si="4"/>
        <v>0.94060154885650016</v>
      </c>
      <c r="J53" s="689" t="str">
        <f t="shared" si="5"/>
        <v>B</v>
      </c>
      <c r="K53" s="898" t="s">
        <v>374</v>
      </c>
    </row>
    <row r="54" spans="1:11" ht="50.1" customHeight="1" x14ac:dyDescent="0.15">
      <c r="A54" s="317">
        <f>Planilha6!A44</f>
        <v>90102</v>
      </c>
      <c r="B54" s="518" t="str">
        <f>VLOOKUP($A54,'Orçamento auxliar'!A:F,2,0)</f>
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C54" s="688" t="str">
        <f>VLOOKUP($A54,'Orçamento auxliar'!A:F,3,0)</f>
        <v>M3</v>
      </c>
      <c r="D54" s="317">
        <f>VLOOKUP($A54,Planilha6!$A:$D,2,0)</f>
        <v>1</v>
      </c>
      <c r="E54" s="519">
        <f>VLOOKUP($A54,Planilha6!$A:$D,3,0)</f>
        <v>3278.74</v>
      </c>
      <c r="F54" s="519">
        <f>VLOOKUP($A54,'Orçamento auxliar'!A:F,5,0)</f>
        <v>13.36</v>
      </c>
      <c r="G54" s="519">
        <f>VLOOKUP($A54,Planilha6!$A:$E,4,0)</f>
        <v>43803.96</v>
      </c>
      <c r="H54" s="520">
        <f t="shared" si="3"/>
        <v>3.2687917655242513E-3</v>
      </c>
      <c r="I54" s="520">
        <f t="shared" si="4"/>
        <v>0.94387034062202446</v>
      </c>
      <c r="J54" s="689" t="str">
        <f t="shared" si="5"/>
        <v>B</v>
      </c>
      <c r="K54" s="898" t="s">
        <v>374</v>
      </c>
    </row>
    <row r="55" spans="1:11" ht="39.950000000000003" customHeight="1" x14ac:dyDescent="0.15">
      <c r="A55" s="317" t="str">
        <f>Planilha6!A45</f>
        <v>SV/0005</v>
      </c>
      <c r="B55" s="518" t="str">
        <f>VLOOKUP($A55,'Orçamento auxliar'!A:F,2,0)</f>
        <v>Pintura de faixas de pedestres e retenção e de zebrados - termoplástico por extrusão - espessura de 3,0 mm (REF. SICRO COD. 5213408 e 5213409)</v>
      </c>
      <c r="C55" s="688" t="str">
        <f>VLOOKUP($A55,'Orçamento auxliar'!A:F,3,0)</f>
        <v>M2</v>
      </c>
      <c r="D55" s="317">
        <f>VLOOKUP($A55,Planilha6!$A:$D,2,0)</f>
        <v>1</v>
      </c>
      <c r="E55" s="519">
        <f>VLOOKUP($A55,Planilha6!$A:$D,3,0)</f>
        <v>388.22</v>
      </c>
      <c r="F55" s="519">
        <f>VLOOKUP($A55,'Orçamento auxliar'!A:F,5,0)</f>
        <v>103.13</v>
      </c>
      <c r="G55" s="519">
        <f>VLOOKUP($A55,Planilha6!$A:$E,4,0)</f>
        <v>40037.120000000003</v>
      </c>
      <c r="H55" s="520">
        <f t="shared" si="3"/>
        <v>2.9876981024388278E-3</v>
      </c>
      <c r="I55" s="520">
        <f t="shared" si="4"/>
        <v>0.94685803872446328</v>
      </c>
      <c r="J55" s="689" t="str">
        <f t="shared" si="5"/>
        <v>B</v>
      </c>
      <c r="K55" s="898" t="s">
        <v>374</v>
      </c>
    </row>
    <row r="56" spans="1:11" ht="39.950000000000003" customHeight="1" x14ac:dyDescent="0.15">
      <c r="A56" s="317" t="str">
        <f>Planilha6!A46</f>
        <v>DR/0205</v>
      </c>
      <c r="B56" s="518" t="str">
        <f>VLOOKUP($A56,'Orçamento auxliar'!A:F,2,0)</f>
        <v>CP-1 - Caixa de Passagem, com dimensões internas de  1,92m x 1,92m x 1,60m (bxbxh), em alvenaria de bloco de concreto estrutural FBK 8 MPa, conforme projeto tipo</v>
      </c>
      <c r="C56" s="688" t="str">
        <f>VLOOKUP($A56,'Orçamento auxliar'!A:F,3,0)</f>
        <v>UN</v>
      </c>
      <c r="D56" s="317">
        <f>VLOOKUP($A56,Planilha6!$A:$D,2,0)</f>
        <v>1</v>
      </c>
      <c r="E56" s="519">
        <f>VLOOKUP($A56,Planilha6!$A:$D,3,0)</f>
        <v>5</v>
      </c>
      <c r="F56" s="519">
        <f>VLOOKUP($A56,'Orçamento auxliar'!A:F,5,0)</f>
        <v>7683.31</v>
      </c>
      <c r="G56" s="519">
        <f>VLOOKUP($A56,Planilha6!$A:$E,4,0)</f>
        <v>38416.550000000003</v>
      </c>
      <c r="H56" s="520">
        <f t="shared" si="3"/>
        <v>2.8667659796020881E-3</v>
      </c>
      <c r="I56" s="520">
        <f t="shared" si="4"/>
        <v>0.9497248047040654</v>
      </c>
      <c r="J56" s="689" t="str">
        <f t="shared" si="5"/>
        <v>B</v>
      </c>
      <c r="K56" s="898" t="s">
        <v>374</v>
      </c>
    </row>
    <row r="57" spans="1:11" ht="50.1" customHeight="1" x14ac:dyDescent="0.15">
      <c r="A57" s="317" t="str">
        <f>Planilha6!A47</f>
        <v>SP/0030</v>
      </c>
      <c r="B57" s="518" t="str">
        <f>VLOOKUP($A57,'Orçamento auxliar'!A:F,2,0)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C57" s="688" t="str">
        <f>VLOOKUP($A57,'Orçamento auxliar'!A:F,3,0)</f>
        <v>M</v>
      </c>
      <c r="D57" s="317">
        <f>VLOOKUP($A57,Planilha6!$A:$D,2,0)</f>
        <v>1</v>
      </c>
      <c r="E57" s="519">
        <f>VLOOKUP($A57,Planilha6!$A:$D,3,0)</f>
        <v>2949.66</v>
      </c>
      <c r="F57" s="519">
        <f>VLOOKUP($A57,'Orçamento auxliar'!A:F,5,0)</f>
        <v>12.58</v>
      </c>
      <c r="G57" s="519">
        <f>VLOOKUP($A57,Planilha6!$A:$E,4,0)</f>
        <v>37106.720000000001</v>
      </c>
      <c r="H57" s="520">
        <f t="shared" si="3"/>
        <v>2.7690222706260818E-3</v>
      </c>
      <c r="I57" s="520">
        <f t="shared" si="4"/>
        <v>0.95249382697469143</v>
      </c>
      <c r="J57" s="689" t="str">
        <f t="shared" si="5"/>
        <v>C</v>
      </c>
      <c r="K57" s="898" t="s">
        <v>374</v>
      </c>
    </row>
    <row r="58" spans="1:11" ht="50.1" customHeight="1" x14ac:dyDescent="0.15">
      <c r="A58" s="317">
        <f>Planilha6!A48</f>
        <v>93377</v>
      </c>
      <c r="B58" s="518" t="str">
        <f>VLOOKUP($A58,'Orçamento auxliar'!A:F,2,0)</f>
        <v>Reaterro mecanizado de vala com retroescavadeira (capacidade da caçamba da retro: 0,26 m3 / potência: 88 HP), largura de 0,80 a 1,50 m, profundidade de 1,50 a 3,00 m, com solo (sem substituição) de 1a categoria em locais com alto nível de interferência. AF_04/2016</v>
      </c>
      <c r="C58" s="688" t="str">
        <f>VLOOKUP($A58,'Orçamento auxliar'!A:F,3,0)</f>
        <v>M3</v>
      </c>
      <c r="D58" s="317">
        <f>VLOOKUP($A58,Planilha6!$A:$D,2,0)</f>
        <v>1</v>
      </c>
      <c r="E58" s="519">
        <f>VLOOKUP($A58,Planilha6!$A:$D,3,0)</f>
        <v>2884.36</v>
      </c>
      <c r="F58" s="519">
        <f>VLOOKUP($A58,'Orçamento auxliar'!A:F,5,0)</f>
        <v>12.7</v>
      </c>
      <c r="G58" s="519">
        <f>VLOOKUP($A58,Planilha6!$A:$E,4,0)</f>
        <v>36631.370000000003</v>
      </c>
      <c r="H58" s="520">
        <f t="shared" si="3"/>
        <v>2.7335501314463828E-3</v>
      </c>
      <c r="I58" s="520">
        <f t="shared" si="4"/>
        <v>0.95522737710613781</v>
      </c>
      <c r="J58" s="689" t="str">
        <f t="shared" si="5"/>
        <v>C</v>
      </c>
      <c r="K58" s="898" t="s">
        <v>374</v>
      </c>
    </row>
    <row r="59" spans="1:11" ht="30" customHeight="1" x14ac:dyDescent="0.15">
      <c r="A59" s="317">
        <f>Planilha6!A49</f>
        <v>98533</v>
      </c>
      <c r="B59" s="518" t="str">
        <f>VLOOKUP($A59,'Orçamento auxliar'!A:F,2,0)</f>
        <v>Poda em altura de árvore com diâmetro nominal de tronco maior ou igual a 0,20 m e menor que 0,40 m. AF_05/2018</v>
      </c>
      <c r="C59" s="688" t="str">
        <f>VLOOKUP($A59,'Orçamento auxliar'!A:F,3,0)</f>
        <v>UN</v>
      </c>
      <c r="D59" s="317">
        <f>VLOOKUP($A59,Planilha6!$A:$D,2,0)</f>
        <v>1</v>
      </c>
      <c r="E59" s="519">
        <f>VLOOKUP($A59,Planilha6!$A:$D,3,0)</f>
        <v>104</v>
      </c>
      <c r="F59" s="519">
        <f>VLOOKUP($A59,'Orçamento auxliar'!A:F,5,0)</f>
        <v>350.35</v>
      </c>
      <c r="G59" s="519">
        <f>VLOOKUP($A59,Planilha6!$A:$E,4,0)</f>
        <v>36436.400000000001</v>
      </c>
      <c r="H59" s="520">
        <f t="shared" si="3"/>
        <v>2.7190008457077361E-3</v>
      </c>
      <c r="I59" s="520">
        <f t="shared" si="4"/>
        <v>0.95794637795184556</v>
      </c>
      <c r="J59" s="689" t="str">
        <f t="shared" si="5"/>
        <v>C</v>
      </c>
      <c r="K59" s="898" t="s">
        <v>374</v>
      </c>
    </row>
    <row r="60" spans="1:11" ht="39.950000000000003" customHeight="1" x14ac:dyDescent="0.15">
      <c r="A60" s="317">
        <f>Planilha6!A50</f>
        <v>100979</v>
      </c>
      <c r="B60" s="518" t="str">
        <f>VLOOKUP($A60,'Orçamento auxliar'!A:F,2,0)</f>
        <v>Carga, manobra e descarga de solos e materiais granulares em caminhão basculante 14 m3 - carga com escavadeira hidráulica (capacidade da caçamba: 1,20 m3 / potência: 155 HP) e descarga livre (unidade: m3). AF_07/2020</v>
      </c>
      <c r="C60" s="688" t="str">
        <f>VLOOKUP($A60,'Orçamento auxliar'!A:F,3,0)</f>
        <v>M3</v>
      </c>
      <c r="D60" s="317">
        <f>VLOOKUP($A60,Planilha6!$A:$D,2,0)</f>
        <v>3</v>
      </c>
      <c r="E60" s="519">
        <f>VLOOKUP($A60,Planilha6!$A:$D,3,0)</f>
        <v>4909.28</v>
      </c>
      <c r="F60" s="519">
        <f>VLOOKUP($A60,'Orçamento auxliar'!A:F,5,0)</f>
        <v>7.25</v>
      </c>
      <c r="G60" s="519">
        <f>VLOOKUP($A60,Planilha6!$A:$E,4,0)</f>
        <v>35592.270000000004</v>
      </c>
      <c r="H60" s="520">
        <f t="shared" si="3"/>
        <v>2.6560091620099154E-3</v>
      </c>
      <c r="I60" s="520">
        <f t="shared" si="4"/>
        <v>0.96060238711385548</v>
      </c>
      <c r="J60" s="689" t="str">
        <f t="shared" si="5"/>
        <v>C</v>
      </c>
      <c r="K60" s="898" t="s">
        <v>374</v>
      </c>
    </row>
    <row r="61" spans="1:11" ht="39.950000000000003" customHeight="1" x14ac:dyDescent="0.15">
      <c r="A61" s="317" t="str">
        <f>Planilha6!A51</f>
        <v>SC/0010</v>
      </c>
      <c r="B61" s="518" t="str">
        <f>VLOOKUP($A61,'Orçamento auxliar'!A:F,2,0)</f>
        <v>Meio-fio (guia) simples, concreto FCK = 15mpa, seção 285cm2, moldado no local, inclusive escavação e pintura a cal em uma demão</v>
      </c>
      <c r="C61" s="688" t="str">
        <f>VLOOKUP($A61,'Orçamento auxliar'!A:F,3,0)</f>
        <v>M</v>
      </c>
      <c r="D61" s="317">
        <f>VLOOKUP($A61,Planilha6!$A:$D,2,0)</f>
        <v>1</v>
      </c>
      <c r="E61" s="519">
        <f>VLOOKUP($A61,Planilha6!$A:$D,3,0)</f>
        <v>1124.6500000000001</v>
      </c>
      <c r="F61" s="519">
        <f>VLOOKUP($A61,'Orçamento auxliar'!A:F,5,0)</f>
        <v>30.36</v>
      </c>
      <c r="G61" s="519">
        <f>VLOOKUP($A61,Planilha6!$A:$E,4,0)</f>
        <v>34144.370000000003</v>
      </c>
      <c r="H61" s="520">
        <f t="shared" si="3"/>
        <v>2.5479622275021091E-3</v>
      </c>
      <c r="I61" s="520">
        <f t="shared" si="4"/>
        <v>0.96315034934135757</v>
      </c>
      <c r="J61" s="689" t="str">
        <f t="shared" si="5"/>
        <v>C</v>
      </c>
      <c r="K61" s="898" t="s">
        <v>374</v>
      </c>
    </row>
    <row r="62" spans="1:11" ht="39.950000000000003" customHeight="1" x14ac:dyDescent="0.15">
      <c r="A62" s="317" t="str">
        <f>Planilha6!A52</f>
        <v>SV/0010</v>
      </c>
      <c r="B62" s="518" t="str">
        <f>VLOOKUP($A62,'Orçamento auxliar'!A:F,2,0)</f>
        <v>Pintura de setas e legendas - termoplástico por extrusão - espessura de 3,0 mm (REF. SICRO COD. 5213409, DB 04-21)</v>
      </c>
      <c r="C62" s="688" t="str">
        <f>VLOOKUP($A62,'Orçamento auxliar'!A:F,3,0)</f>
        <v>M2</v>
      </c>
      <c r="D62" s="317">
        <f>VLOOKUP($A62,Planilha6!$A:$D,2,0)</f>
        <v>1</v>
      </c>
      <c r="E62" s="519">
        <f>VLOOKUP($A62,Planilha6!$A:$D,3,0)</f>
        <v>288.58999999999997</v>
      </c>
      <c r="F62" s="519">
        <f>VLOOKUP($A62,'Orçamento auxliar'!A:F,5,0)</f>
        <v>117.29</v>
      </c>
      <c r="G62" s="519">
        <f>VLOOKUP($A62,Planilha6!$A:$E,4,0)</f>
        <v>33848.720000000001</v>
      </c>
      <c r="H62" s="520">
        <f t="shared" si="3"/>
        <v>2.5258998777630158E-3</v>
      </c>
      <c r="I62" s="520">
        <f t="shared" si="4"/>
        <v>0.96567624921912054</v>
      </c>
      <c r="J62" s="689" t="str">
        <f t="shared" si="5"/>
        <v>C</v>
      </c>
      <c r="K62" s="898" t="s">
        <v>374</v>
      </c>
    </row>
    <row r="63" spans="1:11" ht="39.950000000000003" customHeight="1" x14ac:dyDescent="0.15">
      <c r="A63" s="317" t="str">
        <f>Planilha6!A53</f>
        <v>SP/0004</v>
      </c>
      <c r="B63" s="518" t="str">
        <f>VLOOKUP($A63,'Orçamento auxliar'!A:F,2,0)</f>
        <v>Aluguel de banheiro quimico, incluindo transporte de ida e volta, manutencao e higienizacao 3 vezes por semana. Modelo Luxo, dimensões 2,31 x 1,15 x 1,15m. Cidade: Campo Grande/MS</v>
      </c>
      <c r="C63" s="688" t="str">
        <f>VLOOKUP($A63,'Orçamento auxliar'!A:F,3,0)</f>
        <v>UN.MÊS</v>
      </c>
      <c r="D63" s="317">
        <f>VLOOKUP($A63,Planilha6!$A:$D,2,0)</f>
        <v>1</v>
      </c>
      <c r="E63" s="519">
        <f>VLOOKUP($A63,Planilha6!$A:$D,3,0)</f>
        <v>12</v>
      </c>
      <c r="F63" s="519">
        <f>VLOOKUP($A63,'Orçamento auxliar'!A:F,5,0)</f>
        <v>2414</v>
      </c>
      <c r="G63" s="519">
        <f>VLOOKUP($A63,Planilha6!$A:$E,4,0)</f>
        <v>28968</v>
      </c>
      <c r="H63" s="520">
        <f t="shared" si="3"/>
        <v>2.1616849221784175E-3</v>
      </c>
      <c r="I63" s="520">
        <f t="shared" si="4"/>
        <v>0.96783793414129893</v>
      </c>
      <c r="J63" s="689" t="str">
        <f t="shared" si="5"/>
        <v>C</v>
      </c>
      <c r="K63" s="898" t="s">
        <v>374</v>
      </c>
    </row>
    <row r="64" spans="1:11" ht="39.950000000000003" customHeight="1" x14ac:dyDescent="0.15">
      <c r="A64" s="317" t="str">
        <f>Planilha6!A54</f>
        <v>DR/0355</v>
      </c>
      <c r="B64" s="518" t="str">
        <f>VLOOKUP($A64,'Orçamento auxliar'!A:F,2,0)</f>
        <v>Tampão F°F° articulado, classe D400, carga máxima 40 T, redondo tampa 600 mm para rede pluvial/esgoto. Incluindo fornecimento, assentamento e requadro em concreto FCK 20mpa, de 1,00m x 1,00m x 0,20m</v>
      </c>
      <c r="C64" s="688" t="str">
        <f>VLOOKUP($A64,'Orçamento auxliar'!A:F,3,0)</f>
        <v xml:space="preserve">UN </v>
      </c>
      <c r="D64" s="317">
        <f>VLOOKUP($A64,Planilha6!$A:$D,2,0)</f>
        <v>1</v>
      </c>
      <c r="E64" s="519">
        <f>VLOOKUP($A64,Planilha6!$A:$D,3,0)</f>
        <v>29</v>
      </c>
      <c r="F64" s="519">
        <f>VLOOKUP($A64,'Orçamento auxliar'!A:F,5,0)</f>
        <v>928.96</v>
      </c>
      <c r="G64" s="519">
        <f>VLOOKUP($A64,Planilha6!$A:$E,4,0)</f>
        <v>26939.84</v>
      </c>
      <c r="H64" s="520">
        <f t="shared" si="3"/>
        <v>2.0103371283450365E-3</v>
      </c>
      <c r="I64" s="520">
        <f t="shared" si="4"/>
        <v>0.96984827126964401</v>
      </c>
      <c r="J64" s="689" t="str">
        <f t="shared" si="5"/>
        <v>C</v>
      </c>
      <c r="K64" s="898" t="s">
        <v>374</v>
      </c>
    </row>
    <row r="65" spans="1:11" ht="39.950000000000003" customHeight="1" x14ac:dyDescent="0.15">
      <c r="A65" s="317" t="str">
        <f>Planilha6!A55</f>
        <v>SV/0015</v>
      </c>
      <c r="B65" s="518" t="str">
        <f>VLOOKUP($A65,'Orçamento auxliar'!A:F,2,0)</f>
        <v>Pintura de faixa - termoplástico por aspersão Hot Spray - espessura de 1,5 mm (REF. SICRO COD. 5213408, DB 04-21)</v>
      </c>
      <c r="C65" s="688" t="str">
        <f>VLOOKUP($A65,'Orçamento auxliar'!A:F,3,0)</f>
        <v>M2</v>
      </c>
      <c r="D65" s="317">
        <f>VLOOKUP($A65,Planilha6!$A:$D,2,0)</f>
        <v>1</v>
      </c>
      <c r="E65" s="519">
        <f>VLOOKUP($A65,Planilha6!$A:$D,3,0)</f>
        <v>390.6</v>
      </c>
      <c r="F65" s="519">
        <f>VLOOKUP($A65,'Orçamento auxliar'!A:F,5,0)</f>
        <v>60.67</v>
      </c>
      <c r="G65" s="519">
        <f>VLOOKUP($A65,Planilha6!$A:$E,4,0)</f>
        <v>23697.7</v>
      </c>
      <c r="H65" s="520">
        <f t="shared" si="3"/>
        <v>1.7683982594693278E-3</v>
      </c>
      <c r="I65" s="520">
        <f t="shared" si="4"/>
        <v>0.9716166695291133</v>
      </c>
      <c r="J65" s="689" t="str">
        <f t="shared" si="5"/>
        <v>C</v>
      </c>
      <c r="K65" s="898" t="s">
        <v>374</v>
      </c>
    </row>
    <row r="66" spans="1:11" ht="50.1" customHeight="1" x14ac:dyDescent="0.15">
      <c r="A66" s="317">
        <f>Planilha6!A56</f>
        <v>93375</v>
      </c>
      <c r="B66" s="518" t="str">
        <f>VLOOKUP($A66,'Orçamento auxliar'!A:F,2,0)</f>
        <v>Reaterro mecanizado de vala com retroescavadeira (capacidade da caçamba da retro: 0,26 m3 / potência: 88 HP), largura de 0,80 a 1,50 m, profundidade até 1,50 m, com solo (sem substituição) de 1a categoria em locais com alto nível de interferência. AF_04/2016</v>
      </c>
      <c r="C66" s="688" t="str">
        <f>VLOOKUP($A66,'Orçamento auxliar'!A:F,3,0)</f>
        <v>M3</v>
      </c>
      <c r="D66" s="317">
        <f>VLOOKUP($A66,Planilha6!$A:$D,2,0)</f>
        <v>1</v>
      </c>
      <c r="E66" s="519">
        <f>VLOOKUP($A66,Planilha6!$A:$D,3,0)</f>
        <v>996.2</v>
      </c>
      <c r="F66" s="519">
        <f>VLOOKUP($A66,'Orçamento auxliar'!A:F,5,0)</f>
        <v>23.29</v>
      </c>
      <c r="G66" s="519">
        <f>VLOOKUP($A66,Planilha6!$A:$E,4,0)</f>
        <v>23201.49</v>
      </c>
      <c r="H66" s="520">
        <f t="shared" si="3"/>
        <v>1.7313694802911258E-3</v>
      </c>
      <c r="I66" s="520">
        <f t="shared" si="4"/>
        <v>0.97334803900940448</v>
      </c>
      <c r="J66" s="689" t="str">
        <f t="shared" si="5"/>
        <v>C</v>
      </c>
      <c r="K66" s="898" t="s">
        <v>374</v>
      </c>
    </row>
    <row r="67" spans="1:11" ht="30" customHeight="1" x14ac:dyDescent="0.15">
      <c r="A67" s="317">
        <f>Planilha6!A57</f>
        <v>13521</v>
      </c>
      <c r="B67" s="518" t="str">
        <f>VLOOKUP($A67,'Orçamento auxliar'!A:F,2,0)</f>
        <v>Placa de aço esmaltada para identificação de rua, dimensões *45x20* cm</v>
      </c>
      <c r="C67" s="688" t="str">
        <f>VLOOKUP($A67,'Orçamento auxliar'!A:F,3,0)</f>
        <v xml:space="preserve">UN    </v>
      </c>
      <c r="D67" s="317">
        <f>VLOOKUP($A67,Planilha6!$A:$D,2,0)</f>
        <v>1</v>
      </c>
      <c r="E67" s="519">
        <f>VLOOKUP($A67,Planilha6!$A:$D,3,0)</f>
        <v>202</v>
      </c>
      <c r="F67" s="519">
        <f>VLOOKUP($A67,'Orçamento auxliar'!A:F,5,0)</f>
        <v>99.57</v>
      </c>
      <c r="G67" s="519">
        <f>VLOOKUP($A67,Planilha6!$A:$E,4,0)</f>
        <v>20113.14</v>
      </c>
      <c r="H67" s="520">
        <f t="shared" si="3"/>
        <v>1.5009069136862612E-3</v>
      </c>
      <c r="I67" s="520">
        <f t="shared" si="4"/>
        <v>0.97484894592309068</v>
      </c>
      <c r="J67" s="689" t="str">
        <f t="shared" si="5"/>
        <v>C</v>
      </c>
      <c r="K67" s="898" t="s">
        <v>374</v>
      </c>
    </row>
    <row r="68" spans="1:11" ht="30" customHeight="1" x14ac:dyDescent="0.15">
      <c r="A68" s="317">
        <f>Planilha6!A58</f>
        <v>10776</v>
      </c>
      <c r="B68" s="518" t="str">
        <f>VLOOKUP($A68,'Orçamento auxliar'!A:F,2,0)</f>
        <v>Locação de container 2,30  x  6,00 m, alt. 2,50 m, para escritório, sem divisórias internas e sem sanitário</v>
      </c>
      <c r="C68" s="688" t="str">
        <f>VLOOKUP($A68,'Orçamento auxliar'!A:F,3,0)</f>
        <v xml:space="preserve">MES   </v>
      </c>
      <c r="D68" s="317">
        <f>VLOOKUP($A68,Planilha6!$A:$D,2,0)</f>
        <v>1</v>
      </c>
      <c r="E68" s="519">
        <f>VLOOKUP($A68,Planilha6!$A:$D,3,0)</f>
        <v>24</v>
      </c>
      <c r="F68" s="519">
        <f>VLOOKUP($A68,'Orçamento auxliar'!A:F,5,0)</f>
        <v>794.91</v>
      </c>
      <c r="G68" s="519">
        <f>VLOOKUP($A68,Planilha6!$A:$E,4,0)</f>
        <v>19077.84</v>
      </c>
      <c r="H68" s="520">
        <f t="shared" si="3"/>
        <v>1.4236495124182651E-3</v>
      </c>
      <c r="I68" s="520">
        <f t="shared" si="4"/>
        <v>0.97627259543550893</v>
      </c>
      <c r="J68" s="689" t="str">
        <f t="shared" si="5"/>
        <v>C</v>
      </c>
      <c r="K68" s="898" t="s">
        <v>374</v>
      </c>
    </row>
    <row r="69" spans="1:11" ht="39.950000000000003" customHeight="1" x14ac:dyDescent="0.15">
      <c r="A69" s="317" t="str">
        <f>Planilha6!A59</f>
        <v>SC/0120</v>
      </c>
      <c r="B69" s="518" t="str">
        <f>VLOOKUP($A69,'Orçamento auxliar'!A:F,2,0)</f>
        <v>Portão para veículos em tela arame galvanizado n.12 malha 2" e moldura em tubos de aco com duas folhas de abrir, incluso ferragens (REF. SINAPI COD. 74238/2 - Descontinuado)</v>
      </c>
      <c r="C69" s="688" t="str">
        <f>VLOOKUP($A69,'Orçamento auxliar'!A:F,3,0)</f>
        <v>M2</v>
      </c>
      <c r="D69" s="317">
        <f>VLOOKUP($A69,Planilha6!$A:$D,2,0)</f>
        <v>1</v>
      </c>
      <c r="E69" s="519">
        <f>VLOOKUP($A69,Planilha6!$A:$D,3,0)</f>
        <v>14.4</v>
      </c>
      <c r="F69" s="519">
        <f>VLOOKUP($A69,'Orçamento auxliar'!A:F,5,0)</f>
        <v>1239.06</v>
      </c>
      <c r="G69" s="519">
        <f>VLOOKUP($A69,Planilha6!$A:$E,4,0)</f>
        <v>17842.46</v>
      </c>
      <c r="H69" s="520">
        <f t="shared" si="3"/>
        <v>1.33146150084823E-3</v>
      </c>
      <c r="I69" s="520">
        <f t="shared" si="4"/>
        <v>0.9776040569363571</v>
      </c>
      <c r="J69" s="689" t="str">
        <f t="shared" si="5"/>
        <v>C</v>
      </c>
      <c r="K69" s="898" t="s">
        <v>374</v>
      </c>
    </row>
    <row r="70" spans="1:11" ht="39.950000000000003" customHeight="1" x14ac:dyDescent="0.15">
      <c r="A70" s="317" t="str">
        <f>Planilha6!A60</f>
        <v>SC/0110</v>
      </c>
      <c r="B70" s="518" t="str">
        <f>VLOOKUP($A70,'Orçamento auxliar'!A:F,2,0)</f>
        <v>Cerca com mourões de madeira roliça Ø 11cm, espaçamento de 2,00m, altura livre de 1,50m, cravado 0,50m, com 5 fios de arame liso ovalado 15x17, conforme projeto</v>
      </c>
      <c r="C70" s="688" t="str">
        <f>VLOOKUP($A70,'Orçamento auxliar'!A:F,3,0)</f>
        <v>M</v>
      </c>
      <c r="D70" s="317">
        <f>VLOOKUP($A70,Planilha6!$A:$D,2,0)</f>
        <v>1</v>
      </c>
      <c r="E70" s="519">
        <f>VLOOKUP($A70,Planilha6!$A:$D,3,0)</f>
        <v>400</v>
      </c>
      <c r="F70" s="519">
        <f>VLOOKUP($A70,'Orçamento auxliar'!A:F,5,0)</f>
        <v>42.73</v>
      </c>
      <c r="G70" s="519">
        <f>VLOOKUP($A70,Planilha6!$A:$E,4,0)</f>
        <v>17092</v>
      </c>
      <c r="H70" s="520">
        <f t="shared" si="3"/>
        <v>1.2754597725032281E-3</v>
      </c>
      <c r="I70" s="520">
        <f t="shared" si="4"/>
        <v>0.97887951670886031</v>
      </c>
      <c r="J70" s="689" t="str">
        <f t="shared" si="5"/>
        <v>C</v>
      </c>
      <c r="K70" s="898" t="s">
        <v>374</v>
      </c>
    </row>
    <row r="71" spans="1:11" ht="50.1" customHeight="1" x14ac:dyDescent="0.15">
      <c r="A71" s="317">
        <f>Planilha6!A61</f>
        <v>90100</v>
      </c>
      <c r="B71" s="518" t="str">
        <f>VLOOKUP($A71,'Orçamento auxliar'!A:F,2,0)</f>
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C71" s="688" t="str">
        <f>VLOOKUP($A71,'Orçamento auxliar'!A:F,3,0)</f>
        <v>M3</v>
      </c>
      <c r="D71" s="317">
        <f>VLOOKUP($A71,Planilha6!$A:$D,2,0)</f>
        <v>1</v>
      </c>
      <c r="E71" s="519">
        <f>VLOOKUP($A71,Planilha6!$A:$D,3,0)</f>
        <v>1141.33</v>
      </c>
      <c r="F71" s="519">
        <f>VLOOKUP($A71,'Orçamento auxliar'!A:F,5,0)</f>
        <v>14.84</v>
      </c>
      <c r="G71" s="519">
        <f>VLOOKUP($A71,Planilha6!$A:$E,4,0)</f>
        <v>16937.330000000002</v>
      </c>
      <c r="H71" s="520">
        <f t="shared" si="3"/>
        <v>1.2639178018144222E-3</v>
      </c>
      <c r="I71" s="520">
        <f t="shared" si="4"/>
        <v>0.98014343451067476</v>
      </c>
      <c r="J71" s="689" t="str">
        <f t="shared" si="5"/>
        <v>C</v>
      </c>
      <c r="K71" s="898" t="s">
        <v>374</v>
      </c>
    </row>
    <row r="72" spans="1:11" ht="30" customHeight="1" x14ac:dyDescent="0.15">
      <c r="A72" s="317" t="str">
        <f>Planilha6!A62</f>
        <v>SP/0060</v>
      </c>
      <c r="B72" s="518" t="str">
        <f>VLOOKUP($A72,'Orçamento auxliar'!A:F,2,0)</f>
        <v>Reparo em ramal de ligação predial de água</v>
      </c>
      <c r="C72" s="688" t="str">
        <f>VLOOKUP($A72,'Orçamento auxliar'!A:F,3,0)</f>
        <v xml:space="preserve">UN </v>
      </c>
      <c r="D72" s="317">
        <f>VLOOKUP($A72,Planilha6!$A:$D,2,0)</f>
        <v>1</v>
      </c>
      <c r="E72" s="519">
        <f>VLOOKUP($A72,Planilha6!$A:$D,3,0)</f>
        <v>52</v>
      </c>
      <c r="F72" s="519">
        <f>VLOOKUP($A72,'Orçamento auxliar'!A:F,5,0)</f>
        <v>314.37</v>
      </c>
      <c r="G72" s="519">
        <f>VLOOKUP($A72,Planilha6!$A:$E,4,0)</f>
        <v>16347.24</v>
      </c>
      <c r="H72" s="520">
        <f t="shared" si="3"/>
        <v>1.2198833964109331E-3</v>
      </c>
      <c r="I72" s="520">
        <f t="shared" si="4"/>
        <v>0.98136331790708564</v>
      </c>
      <c r="J72" s="689" t="str">
        <f t="shared" si="5"/>
        <v>C</v>
      </c>
      <c r="K72" s="898" t="s">
        <v>374</v>
      </c>
    </row>
    <row r="73" spans="1:11" ht="30" customHeight="1" x14ac:dyDescent="0.15">
      <c r="A73" s="317" t="str">
        <f>Planilha6!A63</f>
        <v>SR/0100</v>
      </c>
      <c r="B73" s="518" t="str">
        <f>VLOOKUP($A73,'Orçamento auxliar'!A:F,2,0)</f>
        <v>Recorte mecânico de pavimento asfáltico ou piso de concreto, com serra de disco diamantado para piso/asfalto</v>
      </c>
      <c r="C73" s="688" t="str">
        <f>VLOOKUP($A73,'Orçamento auxliar'!A:F,3,0)</f>
        <v>M</v>
      </c>
      <c r="D73" s="317">
        <f>VLOOKUP($A73,Planilha6!$A:$D,2,0)</f>
        <v>1</v>
      </c>
      <c r="E73" s="519">
        <f>VLOOKUP($A73,Planilha6!$A:$D,3,0)</f>
        <v>3859.97</v>
      </c>
      <c r="F73" s="519">
        <f>VLOOKUP($A73,'Orçamento auxliar'!A:F,5,0)</f>
        <v>3.98</v>
      </c>
      <c r="G73" s="519">
        <f>VLOOKUP($A73,Planilha6!$A:$E,4,0)</f>
        <v>15362.68</v>
      </c>
      <c r="H73" s="520">
        <f t="shared" si="3"/>
        <v>1.1464123764240517E-3</v>
      </c>
      <c r="I73" s="520">
        <f t="shared" si="4"/>
        <v>0.98250973028350974</v>
      </c>
      <c r="J73" s="689" t="str">
        <f t="shared" si="5"/>
        <v>C</v>
      </c>
      <c r="K73" s="898" t="s">
        <v>374</v>
      </c>
    </row>
    <row r="74" spans="1:11" ht="30" customHeight="1" x14ac:dyDescent="0.15">
      <c r="A74" s="317">
        <f>Planilha6!A64</f>
        <v>97636</v>
      </c>
      <c r="B74" s="518" t="str">
        <f>VLOOKUP($A74,'Orçamento auxliar'!A:F,2,0)</f>
        <v>Demolição parcial de pavimento asfáltico, de forma mecanizada, sem reaproveitamento. AF_12/2017</v>
      </c>
      <c r="C74" s="688" t="str">
        <f>VLOOKUP($A74,'Orçamento auxliar'!A:F,3,0)</f>
        <v>M2</v>
      </c>
      <c r="D74" s="317">
        <f>VLOOKUP($A74,Planilha6!$A:$D,2,0)</f>
        <v>1</v>
      </c>
      <c r="E74" s="519">
        <f>VLOOKUP($A74,Planilha6!$A:$D,3,0)</f>
        <v>712.25</v>
      </c>
      <c r="F74" s="519">
        <f>VLOOKUP($A74,'Orçamento auxliar'!A:F,5,0)</f>
        <v>21.38</v>
      </c>
      <c r="G74" s="519">
        <f>VLOOKUP($A74,Planilha6!$A:$E,4,0)</f>
        <v>15227.9</v>
      </c>
      <c r="H74" s="520">
        <f t="shared" si="3"/>
        <v>1.1363546612275864E-3</v>
      </c>
      <c r="I74" s="520">
        <f t="shared" si="4"/>
        <v>0.98364608494473738</v>
      </c>
      <c r="J74" s="689" t="str">
        <f t="shared" si="5"/>
        <v>C</v>
      </c>
      <c r="K74" s="898" t="s">
        <v>374</v>
      </c>
    </row>
    <row r="75" spans="1:11" ht="39.950000000000003" customHeight="1" x14ac:dyDescent="0.15">
      <c r="A75" s="317" t="str">
        <f>Planilha6!A65</f>
        <v>SC/0068</v>
      </c>
      <c r="B75" s="518" t="str">
        <f>VLOOKUP($A75,'Orçamento auxliar'!A:F,2,0)</f>
        <v>Revestimento de pátio com pedra britada com espessura de 5 cm com regularização do terreno com motoniveladora. Exclusive transporte. (REF SINAPI COD 100575)</v>
      </c>
      <c r="C75" s="688" t="str">
        <f>VLOOKUP($A75,'Orçamento auxliar'!A:F,3,0)</f>
        <v>M2</v>
      </c>
      <c r="D75" s="317">
        <f>VLOOKUP($A75,Planilha6!$A:$D,2,0)</f>
        <v>1</v>
      </c>
      <c r="E75" s="519">
        <f>VLOOKUP($A75,Planilha6!$A:$D,3,0)</f>
        <v>2500</v>
      </c>
      <c r="F75" s="519">
        <f>VLOOKUP($A75,'Orçamento auxliar'!A:F,5,0)</f>
        <v>6.09</v>
      </c>
      <c r="G75" s="519">
        <f>VLOOKUP($A75,Planilha6!$A:$E,4,0)</f>
        <v>15225</v>
      </c>
      <c r="H75" s="520">
        <f t="shared" si="3"/>
        <v>1.1361382539411215E-3</v>
      </c>
      <c r="I75" s="520">
        <f t="shared" si="4"/>
        <v>0.98478222319867847</v>
      </c>
      <c r="J75" s="689" t="str">
        <f t="shared" si="5"/>
        <v>C</v>
      </c>
      <c r="K75" s="898" t="s">
        <v>374</v>
      </c>
    </row>
    <row r="76" spans="1:11" ht="30" customHeight="1" x14ac:dyDescent="0.15">
      <c r="A76" s="317">
        <f>Planilha6!A66</f>
        <v>101616</v>
      </c>
      <c r="B76" s="518" t="str">
        <f>VLOOKUP($A76,'Orçamento auxliar'!A:F,2,0)</f>
        <v>Preparo de fundo de vala com largura menor que 1,50 m (acerto do solo natural). AF_08/2020</v>
      </c>
      <c r="C76" s="688" t="str">
        <f>VLOOKUP($A76,'Orçamento auxliar'!A:F,3,0)</f>
        <v>M2</v>
      </c>
      <c r="D76" s="317">
        <f>VLOOKUP($A76,Planilha6!$A:$D,2,0)</f>
        <v>1</v>
      </c>
      <c r="E76" s="519">
        <f>VLOOKUP($A76,Planilha6!$A:$D,3,0)</f>
        <v>2173.7399999999998</v>
      </c>
      <c r="F76" s="519">
        <f>VLOOKUP($A76,'Orçamento auxliar'!A:F,5,0)</f>
        <v>6.65</v>
      </c>
      <c r="G76" s="519">
        <f>VLOOKUP($A76,Planilha6!$A:$E,4,0)</f>
        <v>14455.37</v>
      </c>
      <c r="H76" s="520">
        <f t="shared" si="3"/>
        <v>1.0787059988093838E-3</v>
      </c>
      <c r="I76" s="520">
        <f t="shared" si="4"/>
        <v>0.98586092919748791</v>
      </c>
      <c r="J76" s="689" t="str">
        <f t="shared" si="5"/>
        <v>C</v>
      </c>
      <c r="K76" s="898" t="s">
        <v>374</v>
      </c>
    </row>
    <row r="77" spans="1:11" ht="30" customHeight="1" x14ac:dyDescent="0.15">
      <c r="A77" s="317">
        <f>Planilha6!A67</f>
        <v>10777</v>
      </c>
      <c r="B77" s="518" t="str">
        <f>VLOOKUP($A77,'Orçamento auxliar'!A:F,2,0)</f>
        <v>Locação de container 2,30 x 4,30 m, alt. 2,50 m, para sanitário, com 3 bacias, 4 chuveiros, 1 lavatório e 1 mictório</v>
      </c>
      <c r="C77" s="688" t="str">
        <f>VLOOKUP($A77,'Orçamento auxliar'!A:F,3,0)</f>
        <v xml:space="preserve">MES   </v>
      </c>
      <c r="D77" s="317">
        <f>VLOOKUP($A77,Planilha6!$A:$D,2,0)</f>
        <v>1</v>
      </c>
      <c r="E77" s="519">
        <f>VLOOKUP($A77,Planilha6!$A:$D,3,0)</f>
        <v>12</v>
      </c>
      <c r="F77" s="519">
        <f>VLOOKUP($A77,'Orçamento auxliar'!A:F,5,0)</f>
        <v>1155.28</v>
      </c>
      <c r="G77" s="519">
        <f>VLOOKUP($A77,Planilha6!$A:$E,4,0)</f>
        <v>13863.36</v>
      </c>
      <c r="H77" s="520">
        <f t="shared" si="3"/>
        <v>1.0345283168576149E-3</v>
      </c>
      <c r="I77" s="520">
        <f t="shared" si="4"/>
        <v>0.98689545751434549</v>
      </c>
      <c r="J77" s="689" t="str">
        <f t="shared" si="5"/>
        <v>C</v>
      </c>
      <c r="K77" s="898" t="s">
        <v>374</v>
      </c>
    </row>
    <row r="78" spans="1:11" ht="30" customHeight="1" x14ac:dyDescent="0.15">
      <c r="A78" s="317">
        <f>Planilha6!A68</f>
        <v>10775</v>
      </c>
      <c r="B78" s="518" t="str">
        <f>VLOOKUP($A78,'Orçamento auxliar'!A:F,2,0)</f>
        <v>Locação de container 2,30  x  6,00 m, alt. 2,50 m, com 1 sanitário, para escritório, completo, sem divisórias internas</v>
      </c>
      <c r="C78" s="688" t="str">
        <f>VLOOKUP($A78,'Orçamento auxliar'!A:F,3,0)</f>
        <v xml:space="preserve">MES   </v>
      </c>
      <c r="D78" s="317">
        <f>VLOOKUP($A78,Planilha6!$A:$D,2,0)</f>
        <v>1</v>
      </c>
      <c r="E78" s="519">
        <f>VLOOKUP($A78,Planilha6!$A:$D,3,0)</f>
        <v>12</v>
      </c>
      <c r="F78" s="519">
        <f>VLOOKUP($A78,'Orçamento auxliar'!A:F,5,0)</f>
        <v>1017.5</v>
      </c>
      <c r="G78" s="519">
        <f>VLOOKUP($A78,Planilha6!$A:$E,4,0)</f>
        <v>12210</v>
      </c>
      <c r="H78" s="520">
        <f t="shared" si="3"/>
        <v>9.1114929921977622E-4</v>
      </c>
      <c r="I78" s="520">
        <f t="shared" si="4"/>
        <v>0.98780660681356525</v>
      </c>
      <c r="J78" s="689" t="str">
        <f t="shared" si="5"/>
        <v>C</v>
      </c>
      <c r="K78" s="898" t="s">
        <v>374</v>
      </c>
    </row>
    <row r="79" spans="1:11" ht="39.950000000000003" customHeight="1" x14ac:dyDescent="0.15">
      <c r="A79" s="317">
        <f>Planilha6!A69</f>
        <v>98051</v>
      </c>
      <c r="B79" s="518" t="str">
        <f>VLOOKUP($A79,'Orçamento auxliar'!A:F,2,0)</f>
        <v>Chaminé circular para poço de visita para esgoto, em alvenaria com tijolos cerâmicos maciços, diâmetro interno = 0,6 m. af_12/2020</v>
      </c>
      <c r="C79" s="688" t="str">
        <f>VLOOKUP($A79,'Orçamento auxliar'!A:F,3,0)</f>
        <v>M</v>
      </c>
      <c r="D79" s="317">
        <f>VLOOKUP($A79,Planilha6!$A:$D,2,0)</f>
        <v>1</v>
      </c>
      <c r="E79" s="519">
        <f>VLOOKUP($A79,Planilha6!$A:$D,3,0)</f>
        <v>10.84</v>
      </c>
      <c r="F79" s="519">
        <f>VLOOKUP($A79,'Orçamento auxliar'!A:F,5,0)</f>
        <v>1123.23</v>
      </c>
      <c r="G79" s="519">
        <f>VLOOKUP($A79,Planilha6!$A:$E,4,0)</f>
        <v>12175.81</v>
      </c>
      <c r="H79" s="520">
        <f t="shared" ref="H79:H89" si="6">G79/$G$13</f>
        <v>9.0859793193555631E-4</v>
      </c>
      <c r="I79" s="520">
        <f t="shared" ref="I79:I89" si="7">I78+H79</f>
        <v>0.98871520474550079</v>
      </c>
      <c r="J79" s="689" t="str">
        <f t="shared" ref="J79:J89" si="8">IF(I79&lt;=$J$8,$I$8,IF(I79&lt;=$J$9,$I$9,$I$10))</f>
        <v>C</v>
      </c>
      <c r="K79" s="898" t="s">
        <v>374</v>
      </c>
    </row>
    <row r="80" spans="1:11" ht="30" customHeight="1" x14ac:dyDescent="0.15">
      <c r="A80" s="317">
        <f>Planilha6!A70</f>
        <v>97084</v>
      </c>
      <c r="B80" s="518" t="str">
        <f>VLOOKUP($A80,'Orçamento auxliar'!A:F,2,0)</f>
        <v>Compactação mecânica de solo para execução de radier, com compactador de solos tipo placa vibratória. AF_09/2021</v>
      </c>
      <c r="C80" s="688" t="str">
        <f>VLOOKUP($A80,'Orçamento auxliar'!A:F,3,0)</f>
        <v>M2</v>
      </c>
      <c r="D80" s="317">
        <f>VLOOKUP($A80,Planilha6!$A:$D,2,0)</f>
        <v>1</v>
      </c>
      <c r="E80" s="519">
        <f>VLOOKUP($A80,Planilha6!$A:$D,3,0)</f>
        <v>15489.17</v>
      </c>
      <c r="F80" s="519">
        <f>VLOOKUP($A80,'Orçamento auxliar'!A:F,5,0)</f>
        <v>0.72</v>
      </c>
      <c r="G80" s="519">
        <f>VLOOKUP($A80,Planilha6!$A:$E,4,0)</f>
        <v>11152.2</v>
      </c>
      <c r="H80" s="520">
        <f t="shared" si="6"/>
        <v>8.3221287590162069E-4</v>
      </c>
      <c r="I80" s="520">
        <f t="shared" si="7"/>
        <v>0.98954741762140241</v>
      </c>
      <c r="J80" s="689" t="str">
        <f t="shared" si="8"/>
        <v>C</v>
      </c>
      <c r="K80" s="898" t="s">
        <v>374</v>
      </c>
    </row>
    <row r="81" spans="1:11" ht="50.1" customHeight="1" x14ac:dyDescent="0.15">
      <c r="A81" s="317" t="str">
        <f>Planilha6!A71</f>
        <v>SP/0020</v>
      </c>
      <c r="B81" s="518" t="str">
        <f>VLOOKUP($A81,'Orçamento auxliar'!A:F,2,0)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C81" s="688" t="str">
        <f>VLOOKUP($A81,'Orçamento auxliar'!A:F,3,0)</f>
        <v>M2</v>
      </c>
      <c r="D81" s="317">
        <f>VLOOKUP($A81,Planilha6!$A:$D,2,0)</f>
        <v>1</v>
      </c>
      <c r="E81" s="519">
        <f>VLOOKUP($A81,Planilha6!$A:$D,3,0)</f>
        <v>62</v>
      </c>
      <c r="F81" s="519">
        <f>VLOOKUP($A81,'Orçamento auxliar'!A:F,5,0)</f>
        <v>164.71</v>
      </c>
      <c r="G81" s="519">
        <f>VLOOKUP($A81,Planilha6!$A:$E,4,0)</f>
        <v>10212.02</v>
      </c>
      <c r="H81" s="520">
        <f t="shared" si="6"/>
        <v>7.620536336296757E-4</v>
      </c>
      <c r="I81" s="520">
        <f t="shared" si="7"/>
        <v>0.9903094712550321</v>
      </c>
      <c r="J81" s="689" t="str">
        <f t="shared" si="8"/>
        <v>C</v>
      </c>
      <c r="K81" s="898" t="s">
        <v>374</v>
      </c>
    </row>
    <row r="82" spans="1:11" ht="39.950000000000003" customHeight="1" x14ac:dyDescent="0.15">
      <c r="A82" s="317">
        <f>Planilha6!A72</f>
        <v>98526</v>
      </c>
      <c r="B82" s="518" t="str">
        <f>VLOOKUP($A82,'Orçamento auxliar'!A:F,2,0)</f>
        <v>Remoção de raízes remanescentes de tronco de árvore com diâmetro maior ou igual a 0,20 m e menor que 0,40 m. AF_05/2018</v>
      </c>
      <c r="C82" s="688" t="str">
        <f>VLOOKUP($A82,'Orçamento auxliar'!A:F,3,0)</f>
        <v>UN</v>
      </c>
      <c r="D82" s="317">
        <f>VLOOKUP($A82,Planilha6!$A:$D,2,0)</f>
        <v>1</v>
      </c>
      <c r="E82" s="519">
        <f>VLOOKUP($A82,Planilha6!$A:$D,3,0)</f>
        <v>104</v>
      </c>
      <c r="F82" s="519">
        <f>VLOOKUP($A82,'Orçamento auxliar'!A:F,5,0)</f>
        <v>92.38</v>
      </c>
      <c r="G82" s="519">
        <f>VLOOKUP($A82,Planilha6!$A:$E,4,0)</f>
        <v>9607.52</v>
      </c>
      <c r="H82" s="520">
        <f t="shared" si="6"/>
        <v>7.1694390788206266E-4</v>
      </c>
      <c r="I82" s="520">
        <f t="shared" si="7"/>
        <v>0.99102641516291412</v>
      </c>
      <c r="J82" s="689" t="str">
        <f t="shared" si="8"/>
        <v>C</v>
      </c>
      <c r="K82" s="898" t="s">
        <v>374</v>
      </c>
    </row>
    <row r="83" spans="1:11" ht="30" customHeight="1" x14ac:dyDescent="0.15">
      <c r="A83" s="317" t="str">
        <f>Planilha6!A73</f>
        <v>SP/0050</v>
      </c>
      <c r="B83" s="518" t="str">
        <f>VLOOKUP($A83,'Orçamento auxliar'!A:F,2,0)</f>
        <v>Sondagem de investigação de interferências subterrâneas, incluindo escavações mecânica e manual e reaterro</v>
      </c>
      <c r="C83" s="688" t="str">
        <f>VLOOKUP($A83,'Orçamento auxliar'!A:F,3,0)</f>
        <v xml:space="preserve">UN </v>
      </c>
      <c r="D83" s="317">
        <f>VLOOKUP($A83,Planilha6!$A:$D,2,0)</f>
        <v>1</v>
      </c>
      <c r="E83" s="519">
        <f>VLOOKUP($A83,Planilha6!$A:$D,3,0)</f>
        <v>26</v>
      </c>
      <c r="F83" s="519">
        <f>VLOOKUP($A83,'Orçamento auxliar'!A:F,5,0)</f>
        <v>368.78</v>
      </c>
      <c r="G83" s="519">
        <f>VLOOKUP($A83,Planilha6!$A:$E,4,0)</f>
        <v>9588.2800000000007</v>
      </c>
      <c r="H83" s="520">
        <f t="shared" si="6"/>
        <v>7.1550815747117088E-4</v>
      </c>
      <c r="I83" s="520">
        <f t="shared" si="7"/>
        <v>0.99174192332038524</v>
      </c>
      <c r="J83" s="689" t="str">
        <f t="shared" si="8"/>
        <v>C</v>
      </c>
      <c r="K83" s="898" t="s">
        <v>374</v>
      </c>
    </row>
    <row r="84" spans="1:11" ht="39.950000000000003" customHeight="1" x14ac:dyDescent="0.15">
      <c r="A84" s="317" t="str">
        <f>Planilha6!A74</f>
        <v>RE/0050</v>
      </c>
      <c r="B84" s="518" t="str">
        <f>VLOOKUP($A84,'Orçamento auxliar'!A:F,2,0)</f>
        <v>CBUQ (usina comercial) - aplicação manual em fechamento de vala e remendos. Incluindo fornecimento dos materiais e compactação com rolo tandem compacto. Exclusive transporte. Ref BP 09.05.0500 RIO SCO</v>
      </c>
      <c r="C84" s="688" t="str">
        <f>VLOOKUP($A84,'Orçamento auxliar'!A:F,3,0)</f>
        <v>M3</v>
      </c>
      <c r="D84" s="317">
        <f>VLOOKUP($A84,Planilha6!$A:$D,2,0)</f>
        <v>1</v>
      </c>
      <c r="E84" s="519">
        <f>VLOOKUP($A84,Planilha6!$A:$D,3,0)</f>
        <v>4.63</v>
      </c>
      <c r="F84" s="519">
        <f>VLOOKUP($A84,'Orçamento auxliar'!A:F,5,0)</f>
        <v>1830.58</v>
      </c>
      <c r="G84" s="519">
        <f>VLOOKUP($A84,Planilha6!$A:$E,4,0)</f>
        <v>8475.58</v>
      </c>
      <c r="H84" s="520">
        <f t="shared" si="6"/>
        <v>6.324749203506266E-4</v>
      </c>
      <c r="I84" s="520">
        <f t="shared" si="7"/>
        <v>0.99237439824073592</v>
      </c>
      <c r="J84" s="689" t="str">
        <f t="shared" si="8"/>
        <v>C</v>
      </c>
      <c r="K84" s="898" t="s">
        <v>374</v>
      </c>
    </row>
    <row r="85" spans="1:11" ht="39.950000000000003" customHeight="1" x14ac:dyDescent="0.15">
      <c r="A85" s="317">
        <f>Planilha6!A75</f>
        <v>102333</v>
      </c>
      <c r="B85" s="518" t="str">
        <f>VLOOKUP($A85,'Orçamento auxliar'!A:F,2,0)</f>
        <v>Transporte com caminhão tanque de transporte de material asfáltico de 20.000 l, em via urbana pavimentada, adicional para DMT excedente a 30,00 km (unidade: txkm). AF_07/2020</v>
      </c>
      <c r="C85" s="688" t="str">
        <f>VLOOKUP($A85,'Orçamento auxliar'!A:F,3,0)</f>
        <v>TXKM</v>
      </c>
      <c r="D85" s="317">
        <f>VLOOKUP($A85,Planilha6!$A:$D,2,0)</f>
        <v>2</v>
      </c>
      <c r="E85" s="519">
        <f>VLOOKUP($A85,Planilha6!$A:$D,3,0)</f>
        <v>10516.32</v>
      </c>
      <c r="F85" s="519">
        <f>VLOOKUP($A85,'Orçamento auxliar'!A:F,5,0)</f>
        <v>0.78</v>
      </c>
      <c r="G85" s="519">
        <f>VLOOKUP($A85,Planilha6!$A:$E,4,0)</f>
        <v>8202.7200000000012</v>
      </c>
      <c r="H85" s="520">
        <f t="shared" si="6"/>
        <v>6.1211323339033935E-4</v>
      </c>
      <c r="I85" s="520">
        <f t="shared" si="7"/>
        <v>0.99298651147412631</v>
      </c>
      <c r="J85" s="689" t="str">
        <f t="shared" si="8"/>
        <v>C</v>
      </c>
      <c r="K85" s="898" t="s">
        <v>374</v>
      </c>
    </row>
    <row r="86" spans="1:11" ht="50.1" customHeight="1" x14ac:dyDescent="0.15">
      <c r="A86" s="317" t="str">
        <f>Planilha6!A76</f>
        <v>ES/0015</v>
      </c>
      <c r="B86" s="518" t="str">
        <f>VLOOKUP($A86,'Orçamento auxliar'!A:F,2,0)</f>
        <v>Escoramento de vala, tipo blindado, com profundidade de 3,0 a 4,5 m, largura maior ou igual a 1,5 m e menor que 2,5 m. Altura do escoramento igual a 2,4 m.  Execução e fornecimento, inclui material. (REF. SINAPI COD. 03.ESCO.VALA.042/01)</v>
      </c>
      <c r="C86" s="688" t="str">
        <f>VLOOKUP($A86,'Orçamento auxliar'!A:F,3,0)</f>
        <v>M2</v>
      </c>
      <c r="D86" s="317">
        <f>VLOOKUP($A86,Planilha6!$A:$D,2,0)</f>
        <v>1</v>
      </c>
      <c r="E86" s="519">
        <f>VLOOKUP($A86,Planilha6!$A:$D,3,0)</f>
        <v>346.7</v>
      </c>
      <c r="F86" s="519">
        <f>VLOOKUP($A86,'Orçamento auxliar'!A:F,5,0)</f>
        <v>22.81</v>
      </c>
      <c r="G86" s="519">
        <f>VLOOKUP($A86,Planilha6!$A:$E,4,0)</f>
        <v>7908.22</v>
      </c>
      <c r="H86" s="520">
        <f t="shared" si="6"/>
        <v>5.9013670033380994E-4</v>
      </c>
      <c r="I86" s="520">
        <f t="shared" si="7"/>
        <v>0.99357664817446012</v>
      </c>
      <c r="J86" s="689" t="str">
        <f t="shared" si="8"/>
        <v>C</v>
      </c>
      <c r="K86" s="898" t="s">
        <v>374</v>
      </c>
    </row>
    <row r="87" spans="1:11" ht="30" customHeight="1" x14ac:dyDescent="0.15">
      <c r="A87" s="317">
        <f>Planilha6!A77</f>
        <v>13244</v>
      </c>
      <c r="B87" s="518" t="str">
        <f>VLOOKUP($A87,'Orçamento auxliar'!A:F,2,0)</f>
        <v>Segurança de trânsito - cone de sinalização em pvc rígido com faixa refletiva, h = 70 / 76 cm</v>
      </c>
      <c r="C87" s="688" t="str">
        <f>VLOOKUP($A87,'Orçamento auxliar'!A:F,3,0)</f>
        <v xml:space="preserve">UN    </v>
      </c>
      <c r="D87" s="317">
        <f>VLOOKUP($A87,Planilha6!$A:$D,2,0)</f>
        <v>1</v>
      </c>
      <c r="E87" s="519">
        <f>VLOOKUP($A87,Planilha6!$A:$D,3,0)</f>
        <v>126</v>
      </c>
      <c r="F87" s="519">
        <f>VLOOKUP($A87,'Orçamento auxliar'!A:F,5,0)</f>
        <v>62.64</v>
      </c>
      <c r="G87" s="519">
        <f>VLOOKUP($A87,Planilha6!$A:$E,4,0)</f>
        <v>7892.64</v>
      </c>
      <c r="H87" s="520">
        <f t="shared" si="6"/>
        <v>5.8897407084307742E-4</v>
      </c>
      <c r="I87" s="520">
        <f t="shared" si="7"/>
        <v>0.99416562224530325</v>
      </c>
      <c r="J87" s="689" t="str">
        <f t="shared" si="8"/>
        <v>C</v>
      </c>
      <c r="K87" s="898" t="s">
        <v>374</v>
      </c>
    </row>
    <row r="88" spans="1:11" ht="39.950000000000003" customHeight="1" x14ac:dyDescent="0.15">
      <c r="A88" s="317">
        <f>Planilha6!A78</f>
        <v>98529</v>
      </c>
      <c r="B88" s="518" t="str">
        <f>VLOOKUP($A88,'Orçamento auxliar'!A:F,2,0)</f>
        <v>Corte raso e recorte de árvore com diâmetro nominal de tronco maior ou igual a 0,20 m e menor que 0,40 m. AF_05/2018</v>
      </c>
      <c r="C88" s="688" t="str">
        <f>VLOOKUP($A88,'Orçamento auxliar'!A:F,3,0)</f>
        <v>UN</v>
      </c>
      <c r="D88" s="317">
        <f>VLOOKUP($A88,Planilha6!$A:$D,2,0)</f>
        <v>1</v>
      </c>
      <c r="E88" s="519">
        <f>VLOOKUP($A88,Planilha6!$A:$D,3,0)</f>
        <v>104</v>
      </c>
      <c r="F88" s="519">
        <f>VLOOKUP($A88,'Orçamento auxliar'!A:F,5,0)</f>
        <v>73.430000000000007</v>
      </c>
      <c r="G88" s="519">
        <f>VLOOKUP($A88,Planilha6!$A:$E,4,0)</f>
        <v>7636.72</v>
      </c>
      <c r="H88" s="520">
        <f t="shared" si="6"/>
        <v>5.6987650092855447E-4</v>
      </c>
      <c r="I88" s="520">
        <f t="shared" si="7"/>
        <v>0.99473549874623179</v>
      </c>
      <c r="J88" s="689" t="str">
        <f t="shared" si="8"/>
        <v>C</v>
      </c>
      <c r="K88" s="898" t="s">
        <v>374</v>
      </c>
    </row>
    <row r="89" spans="1:11" ht="39.950000000000003" customHeight="1" x14ac:dyDescent="0.15">
      <c r="A89" s="317">
        <f>Planilha6!A79</f>
        <v>101617</v>
      </c>
      <c r="B89" s="518" t="str">
        <f>VLOOKUP($A89,'Orçamento auxliar'!A:F,2,0)</f>
        <v>Preparo de fundo de vala com largura maior ou igual a 1,50 m e menor que 2,50 m (acerto do solo natural). AF_08/2020</v>
      </c>
      <c r="C89" s="688" t="str">
        <f>VLOOKUP($A89,'Orçamento auxliar'!A:F,3,0)</f>
        <v>M2</v>
      </c>
      <c r="D89" s="317">
        <f>VLOOKUP($A89,Planilha6!$A:$D,2,0)</f>
        <v>1</v>
      </c>
      <c r="E89" s="519">
        <f>VLOOKUP($A89,Planilha6!$A:$D,3,0)</f>
        <v>1978.65</v>
      </c>
      <c r="F89" s="519">
        <f>VLOOKUP($A89,'Orçamento auxliar'!A:F,5,0)</f>
        <v>3.28</v>
      </c>
      <c r="G89" s="519">
        <f>VLOOKUP($A89,Planilha6!$A:$E,4,0)</f>
        <v>6489.97</v>
      </c>
      <c r="H89" s="520">
        <f t="shared" si="6"/>
        <v>4.8430234377210246E-4</v>
      </c>
      <c r="I89" s="520">
        <f t="shared" si="7"/>
        <v>0.99521980109000385</v>
      </c>
      <c r="J89" s="689" t="str">
        <f t="shared" si="8"/>
        <v>C</v>
      </c>
      <c r="K89" s="898" t="s">
        <v>374</v>
      </c>
    </row>
    <row r="90" spans="1:11" ht="30" customHeight="1" x14ac:dyDescent="0.15">
      <c r="A90" s="317">
        <f>Planilha6!A80</f>
        <v>93585</v>
      </c>
      <c r="B90" s="518" t="str">
        <f>VLOOKUP($A90,'Orçamento auxliar'!A:F,2,0)</f>
        <v>Execução de guarita em canteiro de obra em chapa de madeira compensada, não incluso mobiliário. AF_04/2016</v>
      </c>
      <c r="C90" s="688" t="str">
        <f>VLOOKUP($A90,'Orçamento auxliar'!A:F,3,0)</f>
        <v>M2</v>
      </c>
      <c r="D90" s="317">
        <f>VLOOKUP($A90,Planilha6!$A:$D,2,0)</f>
        <v>1</v>
      </c>
      <c r="E90" s="519">
        <f>VLOOKUP($A90,Planilha6!$A:$D,3,0)</f>
        <v>4</v>
      </c>
      <c r="F90" s="519">
        <f>VLOOKUP($A90,'Orçamento auxliar'!A:F,5,0)</f>
        <v>1573.79</v>
      </c>
      <c r="G90" s="519">
        <f>VLOOKUP($A90,Planilha6!$A:$E,4,0)</f>
        <v>6295.16</v>
      </c>
      <c r="H90" s="520">
        <f t="shared" ref="H90:H93" si="9">G90/$G$13</f>
        <v>4.6976499774581214E-4</v>
      </c>
      <c r="I90" s="520">
        <f t="shared" ref="I90:I93" si="10">I89+H90</f>
        <v>0.99568956608774961</v>
      </c>
      <c r="J90" s="689" t="str">
        <f t="shared" ref="J90:J93" si="11">IF(I90&lt;=$J$8,$I$8,IF(I90&lt;=$J$9,$I$9,$I$10))</f>
        <v>C</v>
      </c>
      <c r="K90" s="898" t="s">
        <v>374</v>
      </c>
    </row>
    <row r="91" spans="1:11" ht="39.950000000000003" customHeight="1" x14ac:dyDescent="0.15">
      <c r="A91" s="317">
        <f>Planilha6!A81</f>
        <v>101573</v>
      </c>
      <c r="B91" s="518" t="str">
        <f>VLOOKUP($A91,'Orçamento auxliar'!A:F,2,0)</f>
        <v>Escoramento de vala, tipo pontaleteamento, com profundidade de 1,50 a 3,00 m, largura maior ou igual a 1,50 m e menor que 2,50 m. AF_08/2020</v>
      </c>
      <c r="C91" s="688" t="str">
        <f>VLOOKUP($A91,'Orçamento auxliar'!A:F,3,0)</f>
        <v>M2</v>
      </c>
      <c r="D91" s="317">
        <f>VLOOKUP($A91,Planilha6!$A:$D,2,0)</f>
        <v>1</v>
      </c>
      <c r="E91" s="519">
        <f>VLOOKUP($A91,Planilha6!$A:$D,3,0)</f>
        <v>201.43</v>
      </c>
      <c r="F91" s="519">
        <f>VLOOKUP($A91,'Orçamento auxliar'!A:F,5,0)</f>
        <v>30.27</v>
      </c>
      <c r="G91" s="519">
        <f>VLOOKUP($A91,Planilha6!$A:$E,4,0)</f>
        <v>6097.28</v>
      </c>
      <c r="H91" s="520">
        <f t="shared" si="9"/>
        <v>4.5499855848867791E-4</v>
      </c>
      <c r="I91" s="520">
        <f t="shared" si="10"/>
        <v>0.99614456464623824</v>
      </c>
      <c r="J91" s="689" t="str">
        <f t="shared" si="11"/>
        <v>C</v>
      </c>
      <c r="K91" s="898" t="s">
        <v>374</v>
      </c>
    </row>
    <row r="92" spans="1:11" ht="30" customHeight="1" x14ac:dyDescent="0.15">
      <c r="A92" s="317" t="str">
        <f>Planilha6!A82</f>
        <v>SP/0025</v>
      </c>
      <c r="B92" s="518" t="str">
        <f>VLOOKUP($A92,'Orçamento auxliar'!A:F,2,0)</f>
        <v>Segurança de trânsito - sinalização de advertência de obra com elemento luminoso (balde vermelho)</v>
      </c>
      <c r="C92" s="688" t="str">
        <f>VLOOKUP($A92,'Orçamento auxliar'!A:F,3,0)</f>
        <v>M</v>
      </c>
      <c r="D92" s="317">
        <f>VLOOKUP($A92,Planilha6!$A:$D,2,0)</f>
        <v>1</v>
      </c>
      <c r="E92" s="519">
        <f>VLOOKUP($A92,Planilha6!$A:$D,3,0)</f>
        <v>1463.44</v>
      </c>
      <c r="F92" s="519">
        <f>VLOOKUP($A92,'Orçamento auxliar'!A:F,5,0)</f>
        <v>4.0599999999999996</v>
      </c>
      <c r="G92" s="519">
        <f>VLOOKUP($A92,Planilha6!$A:$E,4,0)</f>
        <v>5941.56</v>
      </c>
      <c r="H92" s="520">
        <f t="shared" si="9"/>
        <v>4.4337823343753105E-4</v>
      </c>
      <c r="I92" s="520">
        <f t="shared" si="10"/>
        <v>0.99658794287967578</v>
      </c>
      <c r="J92" s="689" t="str">
        <f t="shared" si="11"/>
        <v>C</v>
      </c>
      <c r="K92" s="898" t="s">
        <v>374</v>
      </c>
    </row>
    <row r="93" spans="1:11" ht="50.1" customHeight="1" x14ac:dyDescent="0.15">
      <c r="A93" s="317">
        <f>Planilha6!A83</f>
        <v>93364</v>
      </c>
      <c r="B93" s="518" t="str">
        <f>VLOOKUP($A93,'Orçamento auxliar'!A:F,2,0)</f>
        <v>Reaterro mecanizado de vala com escavadeira hidráulica (capacidade da caçamba: 0,80 m3 / potência: 111 HP), largura de 1,50 a 2,50 m, profundidade de 3,00  a 4,50 m, com solo (sem substituição) de 1a categoria em locais com alto nível de interferência. AF_04/2016</v>
      </c>
      <c r="C93" s="688" t="str">
        <f>VLOOKUP($A93,'Orçamento auxliar'!A:F,3,0)</f>
        <v>M3</v>
      </c>
      <c r="D93" s="317">
        <f>VLOOKUP($A93,Planilha6!$A:$D,2,0)</f>
        <v>1</v>
      </c>
      <c r="E93" s="519">
        <f>VLOOKUP($A93,Planilha6!$A:$D,3,0)</f>
        <v>433.52</v>
      </c>
      <c r="F93" s="519">
        <f>VLOOKUP($A93,'Orçamento auxliar'!A:F,5,0)</f>
        <v>13.14</v>
      </c>
      <c r="G93" s="519">
        <f>VLOOKUP($A93,Planilha6!$A:$E,4,0)</f>
        <v>5696.45</v>
      </c>
      <c r="H93" s="520">
        <f t="shared" si="9"/>
        <v>4.2508734033910682E-4</v>
      </c>
      <c r="I93" s="520">
        <f t="shared" si="10"/>
        <v>0.99701303022001486</v>
      </c>
      <c r="J93" s="689" t="str">
        <f t="shared" si="11"/>
        <v>C</v>
      </c>
      <c r="K93" s="898" t="s">
        <v>374</v>
      </c>
    </row>
    <row r="94" spans="1:11" ht="50.1" customHeight="1" x14ac:dyDescent="0.15">
      <c r="A94" s="317">
        <f>Planilha6!A84</f>
        <v>90087</v>
      </c>
      <c r="B94" s="518" t="str">
        <f>VLOOKUP($A94,'Orçamento auxliar'!A:F,2,0)</f>
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C94" s="688" t="str">
        <f>VLOOKUP($A94,'Orçamento auxliar'!A:F,3,0)</f>
        <v>M3</v>
      </c>
      <c r="D94" s="317">
        <f>VLOOKUP($A94,Planilha6!$A:$D,2,0)</f>
        <v>1</v>
      </c>
      <c r="E94" s="519">
        <f>VLOOKUP($A94,Planilha6!$A:$D,3,0)</f>
        <v>515.21</v>
      </c>
      <c r="F94" s="519">
        <f>VLOOKUP($A94,'Orçamento auxliar'!A:F,5,0)</f>
        <v>10.34</v>
      </c>
      <c r="G94" s="519">
        <f>VLOOKUP($A94,Planilha6!$A:$E,4,0)</f>
        <v>5327.27</v>
      </c>
      <c r="H94" s="520">
        <f t="shared" ref="H94:H111" si="12">G94/$G$13</f>
        <v>3.9753794654009316E-4</v>
      </c>
      <c r="I94" s="520">
        <f t="shared" ref="I94:I111" si="13">I93+H94</f>
        <v>0.99741056816655493</v>
      </c>
      <c r="J94" s="689" t="str">
        <f t="shared" ref="J94:J111" si="14">IF(I94&lt;=$J$8,$I$8,IF(I94&lt;=$J$9,$I$9,$I$10))</f>
        <v>C</v>
      </c>
      <c r="K94" s="898" t="s">
        <v>374</v>
      </c>
    </row>
    <row r="95" spans="1:11" ht="39.950000000000003" customHeight="1" x14ac:dyDescent="0.15">
      <c r="A95" s="317">
        <f>Planilha6!A85</f>
        <v>98525</v>
      </c>
      <c r="B95" s="518" t="str">
        <f>VLOOKUP($A95,'Orçamento auxliar'!A:F,2,0)</f>
        <v>Limpeza mecanizada de camada vegetal, vegetação e pequenas árvores (diâmetro nominal de tronco menor que 0,20 m), com trator de esteiras. AF_05/2018</v>
      </c>
      <c r="C95" s="688" t="str">
        <f>VLOOKUP($A95,'Orçamento auxliar'!A:F,3,0)</f>
        <v>M2</v>
      </c>
      <c r="D95" s="317">
        <f>VLOOKUP($A95,Planilha6!$A:$D,2,0)</f>
        <v>1</v>
      </c>
      <c r="E95" s="519">
        <f>VLOOKUP($A95,Planilha6!$A:$D,3,0)</f>
        <v>10000</v>
      </c>
      <c r="F95" s="519">
        <f>VLOOKUP($A95,'Orçamento auxliar'!A:F,5,0)</f>
        <v>0.41</v>
      </c>
      <c r="G95" s="519">
        <f>VLOOKUP($A95,Planilha6!$A:$E,4,0)</f>
        <v>4100</v>
      </c>
      <c r="H95" s="520">
        <f t="shared" si="12"/>
        <v>3.0595512914013777E-4</v>
      </c>
      <c r="I95" s="520">
        <f t="shared" si="13"/>
        <v>0.99771652329569505</v>
      </c>
      <c r="J95" s="689" t="str">
        <f t="shared" si="14"/>
        <v>C</v>
      </c>
      <c r="K95" s="898" t="s">
        <v>374</v>
      </c>
    </row>
    <row r="96" spans="1:11" ht="39.950000000000003" customHeight="1" x14ac:dyDescent="0.15">
      <c r="A96" s="317">
        <f>Planilha6!A86</f>
        <v>94962</v>
      </c>
      <c r="B96" s="518" t="str">
        <f>VLOOKUP($A96,'Orçamento auxliar'!A:F,2,0)</f>
        <v>Concreto magro para lastro, traço 1:4,5:4,5 (cimento/ areia média/ brita 1) - preparo mecânico com betoneira 400 l. AF_07/2016</v>
      </c>
      <c r="C96" s="688" t="str">
        <f>VLOOKUP($A96,'Orçamento auxliar'!A:F,3,0)</f>
        <v>M3</v>
      </c>
      <c r="D96" s="317">
        <f>VLOOKUP($A96,Planilha6!$A:$D,2,0)</f>
        <v>1</v>
      </c>
      <c r="E96" s="519">
        <f>VLOOKUP($A96,Planilha6!$A:$D,3,0)</f>
        <v>8.42</v>
      </c>
      <c r="F96" s="519">
        <f>VLOOKUP($A96,'Orçamento auxliar'!A:F,5,0)</f>
        <v>459.68</v>
      </c>
      <c r="G96" s="519">
        <f>VLOOKUP($A96,Planilha6!$A:$E,4,0)</f>
        <v>3870.5</v>
      </c>
      <c r="H96" s="520">
        <f t="shared" si="12"/>
        <v>2.8882910422851302E-4</v>
      </c>
      <c r="I96" s="520">
        <f t="shared" si="13"/>
        <v>0.99800535239992361</v>
      </c>
      <c r="J96" s="689" t="str">
        <f t="shared" si="14"/>
        <v>C</v>
      </c>
      <c r="K96" s="898" t="s">
        <v>374</v>
      </c>
    </row>
    <row r="97" spans="1:11" ht="39.950000000000003" customHeight="1" x14ac:dyDescent="0.15">
      <c r="A97" s="317" t="str">
        <f>Planilha6!A87</f>
        <v>ST/0070</v>
      </c>
      <c r="B97" s="518" t="str">
        <f>VLOOKUP($A97,'Orçamento auxliar'!A:F,2,0)</f>
        <v>Carga, manobra e descarga de materiais diversos em caminhão carroceria - carga e descaga manuais (REF. SICRO COD. 5915474)</v>
      </c>
      <c r="C97" s="688" t="str">
        <f>VLOOKUP($A97,'Orçamento auxliar'!A:F,3,0)</f>
        <v>T</v>
      </c>
      <c r="D97" s="317">
        <f>VLOOKUP($A97,Planilha6!$A:$D,2,0)</f>
        <v>1</v>
      </c>
      <c r="E97" s="519">
        <f>VLOOKUP($A97,Planilha6!$A:$D,3,0)</f>
        <v>107</v>
      </c>
      <c r="F97" s="519">
        <f>VLOOKUP($A97,'Orçamento auxliar'!A:F,5,0)</f>
        <v>34.31</v>
      </c>
      <c r="G97" s="519">
        <f>VLOOKUP($A97,Planilha6!$A:$E,4,0)</f>
        <v>3671.17</v>
      </c>
      <c r="H97" s="520">
        <f t="shared" si="12"/>
        <v>2.7395446132814628E-4</v>
      </c>
      <c r="I97" s="520">
        <f t="shared" si="13"/>
        <v>0.99827930686125177</v>
      </c>
      <c r="J97" s="689" t="str">
        <f t="shared" si="14"/>
        <v>C</v>
      </c>
      <c r="K97" s="898" t="s">
        <v>374</v>
      </c>
    </row>
    <row r="98" spans="1:11" ht="39.950000000000003" customHeight="1" x14ac:dyDescent="0.15">
      <c r="A98" s="317" t="str">
        <f>Planilha6!A88</f>
        <v>SP/0001</v>
      </c>
      <c r="B98" s="518" t="str">
        <f>VLOOKUP($A98,'Orçamento auxliar'!A:F,2,0)</f>
        <v>Placa de identificação de obra pública, inclusive pintura e adesivos, estrutura e suporte de madeira. Incluso fornecimento de material e instalação. Ref SINAPI, CÓD 74209/001, DB 01/2020</v>
      </c>
      <c r="C98" s="688" t="str">
        <f>VLOOKUP($A98,'Orçamento auxliar'!A:F,3,0)</f>
        <v>M2</v>
      </c>
      <c r="D98" s="317">
        <f>VLOOKUP($A98,Planilha6!$A:$D,2,0)</f>
        <v>1</v>
      </c>
      <c r="E98" s="519">
        <f>VLOOKUP($A98,Planilha6!$A:$D,3,0)</f>
        <v>8</v>
      </c>
      <c r="F98" s="519">
        <f>VLOOKUP($A98,'Orçamento auxliar'!A:F,5,0)</f>
        <v>430.35</v>
      </c>
      <c r="G98" s="519">
        <f>VLOOKUP($A98,Planilha6!$A:$E,4,0)</f>
        <v>3442.8</v>
      </c>
      <c r="H98" s="520">
        <f t="shared" si="12"/>
        <v>2.5691276063504061E-4</v>
      </c>
      <c r="I98" s="520">
        <f t="shared" si="13"/>
        <v>0.99853621962188677</v>
      </c>
      <c r="J98" s="689" t="str">
        <f t="shared" si="14"/>
        <v>C</v>
      </c>
      <c r="K98" s="898" t="s">
        <v>374</v>
      </c>
    </row>
    <row r="99" spans="1:11" ht="39.950000000000003" customHeight="1" x14ac:dyDescent="0.15">
      <c r="A99" s="317">
        <f>Planilha6!A89</f>
        <v>100983</v>
      </c>
      <c r="B99" s="518" t="str">
        <f>VLOOKUP($A99,'Orçamento auxliar'!A:F,2,0)</f>
        <v>Carga, manobra e descarga de entulho em caminhão basculante 14 m3 - carga com escavadeira hidráulica  (capacidade da caçamba: 0,80 m3 / potência: 111 HP) e descarga livre (unidade: m3). AF_07/2020</v>
      </c>
      <c r="C99" s="688" t="str">
        <f>VLOOKUP($A99,'Orçamento auxliar'!A:F,3,0)</f>
        <v>M3</v>
      </c>
      <c r="D99" s="317">
        <f>VLOOKUP($A99,Planilha6!$A:$D,2,0)</f>
        <v>1</v>
      </c>
      <c r="E99" s="519">
        <f>VLOOKUP($A99,Planilha6!$A:$D,3,0)</f>
        <v>345.12</v>
      </c>
      <c r="F99" s="519">
        <f>VLOOKUP($A99,'Orçamento auxliar'!A:F,5,0)</f>
        <v>9.82</v>
      </c>
      <c r="G99" s="519">
        <f>VLOOKUP($A99,Planilha6!$A:$E,4,0)</f>
        <v>3389.07</v>
      </c>
      <c r="H99" s="520">
        <f t="shared" si="12"/>
        <v>2.5290325597926021E-4</v>
      </c>
      <c r="I99" s="520">
        <f t="shared" si="13"/>
        <v>0.99878912287786603</v>
      </c>
      <c r="J99" s="689" t="str">
        <f t="shared" si="14"/>
        <v>C</v>
      </c>
      <c r="K99" s="898" t="s">
        <v>374</v>
      </c>
    </row>
    <row r="100" spans="1:11" ht="30" customHeight="1" x14ac:dyDescent="0.15">
      <c r="A100" s="317">
        <f>Planilha6!A90</f>
        <v>98534</v>
      </c>
      <c r="B100" s="518" t="str">
        <f>VLOOKUP($A100,'Orçamento auxliar'!A:F,2,0)</f>
        <v>Poda em altura de árvore com diâmetro nominal de tronco maior ou igual a 0,40 m e menor que 0,60 m. AF_05/2018</v>
      </c>
      <c r="C100" s="688" t="str">
        <f>VLOOKUP($A100,'Orçamento auxliar'!A:F,3,0)</f>
        <v>UN</v>
      </c>
      <c r="D100" s="317">
        <f>VLOOKUP($A100,Planilha6!$A:$D,2,0)</f>
        <v>1</v>
      </c>
      <c r="E100" s="519">
        <f>VLOOKUP($A100,Planilha6!$A:$D,3,0)</f>
        <v>3</v>
      </c>
      <c r="F100" s="519">
        <f>VLOOKUP($A100,'Orçamento auxliar'!A:F,5,0)</f>
        <v>898.59</v>
      </c>
      <c r="G100" s="519">
        <f>VLOOKUP($A100,Planilha6!$A:$E,4,0)</f>
        <v>2695.77</v>
      </c>
      <c r="H100" s="520">
        <f t="shared" si="12"/>
        <v>2.0116698987368518E-4</v>
      </c>
      <c r="I100" s="520">
        <f t="shared" si="13"/>
        <v>0.99899028986773974</v>
      </c>
      <c r="J100" s="689" t="str">
        <f t="shared" si="14"/>
        <v>C</v>
      </c>
      <c r="K100" s="898" t="s">
        <v>374</v>
      </c>
    </row>
    <row r="101" spans="1:11" ht="30" customHeight="1" x14ac:dyDescent="0.15">
      <c r="A101" s="317">
        <f>Planilha6!A91</f>
        <v>100575</v>
      </c>
      <c r="B101" s="518" t="str">
        <f>VLOOKUP($A101,'Orçamento auxliar'!A:F,2,0)</f>
        <v>Regularização de superfícies com motoniveladora. AF_11/2019</v>
      </c>
      <c r="C101" s="688" t="str">
        <f>VLOOKUP($A101,'Orçamento auxliar'!A:F,3,0)</f>
        <v>M2</v>
      </c>
      <c r="D101" s="317">
        <f>VLOOKUP($A101,Planilha6!$A:$D,2,0)</f>
        <v>2</v>
      </c>
      <c r="E101" s="519">
        <f>VLOOKUP($A101,Planilha6!$A:$D,3,0)</f>
        <v>17681.3</v>
      </c>
      <c r="F101" s="519">
        <f>VLOOKUP($A101,'Orçamento auxliar'!A:F,5,0)</f>
        <v>0.13</v>
      </c>
      <c r="G101" s="519">
        <f>VLOOKUP($A101,Planilha6!$A:$E,4,0)</f>
        <v>2298.56</v>
      </c>
      <c r="H101" s="520">
        <f t="shared" si="12"/>
        <v>1.7152590771618418E-4</v>
      </c>
      <c r="I101" s="520">
        <f t="shared" si="13"/>
        <v>0.99916181577545593</v>
      </c>
      <c r="J101" s="689" t="str">
        <f t="shared" si="14"/>
        <v>C</v>
      </c>
      <c r="K101" s="898" t="s">
        <v>374</v>
      </c>
    </row>
    <row r="102" spans="1:11" ht="39.950000000000003" customHeight="1" x14ac:dyDescent="0.15">
      <c r="A102" s="317" t="str">
        <f>Planilha6!A92</f>
        <v>DR/0040</v>
      </c>
      <c r="B102" s="518" t="str">
        <f>VLOOKUP($A102,'Orçamento auxliar'!A:F,2,0)</f>
        <v>Arrancamento e remoção de canalização, Ø ≤ 60 cm. Exclusive bota-fora</v>
      </c>
      <c r="C102" s="688" t="str">
        <f>VLOOKUP($A102,'Orçamento auxliar'!A:F,3,0)</f>
        <v>M</v>
      </c>
      <c r="D102" s="317">
        <f>VLOOKUP($A102,Planilha6!$A:$D,2,0)</f>
        <v>1</v>
      </c>
      <c r="E102" s="519">
        <f>VLOOKUP($A102,Planilha6!$A:$D,3,0)</f>
        <v>24.93</v>
      </c>
      <c r="F102" s="519">
        <f>VLOOKUP($A102,'Orçamento auxliar'!A:F,5,0)</f>
        <v>89.3</v>
      </c>
      <c r="G102" s="519">
        <f>VLOOKUP($A102,Planilha6!$A:$E,4,0)</f>
        <v>2226.2399999999998</v>
      </c>
      <c r="H102" s="520">
        <f t="shared" si="12"/>
        <v>1.6612915773096105E-4</v>
      </c>
      <c r="I102" s="520">
        <f t="shared" si="13"/>
        <v>0.99932794493318688</v>
      </c>
      <c r="J102" s="689" t="str">
        <f t="shared" si="14"/>
        <v>C</v>
      </c>
      <c r="K102" s="898" t="s">
        <v>374</v>
      </c>
    </row>
    <row r="103" spans="1:11" ht="39.950000000000003" customHeight="1" x14ac:dyDescent="0.15">
      <c r="A103" s="317" t="str">
        <f>Planilha6!A93</f>
        <v>DR/0170</v>
      </c>
      <c r="B103" s="518" t="str">
        <f>VLOOKUP($A103,'Orçamento auxliar'!A:F,2,0)</f>
        <v>APV-1 - Acréscimo para Poço de Visita, com dimensões internas de 1,98m x 1,98m, em alvenaria de bloco de concreto estrutural FBK 14mpa, conforme projeto tipo</v>
      </c>
      <c r="C103" s="688" t="str">
        <f>VLOOKUP($A103,'Orçamento auxliar'!A:F,3,0)</f>
        <v>M</v>
      </c>
      <c r="D103" s="317">
        <f>VLOOKUP($A103,Planilha6!$A:$D,2,0)</f>
        <v>1</v>
      </c>
      <c r="E103" s="519">
        <f>VLOOKUP($A103,Planilha6!$A:$D,3,0)</f>
        <v>0.96</v>
      </c>
      <c r="F103" s="519">
        <f>VLOOKUP($A103,'Orçamento auxliar'!A:F,5,0)</f>
        <v>1992.73</v>
      </c>
      <c r="G103" s="519">
        <f>VLOOKUP($A103,Planilha6!$A:$E,4,0)</f>
        <v>1913.02</v>
      </c>
      <c r="H103" s="520">
        <f t="shared" si="12"/>
        <v>1.4275567832869912E-4</v>
      </c>
      <c r="I103" s="520">
        <f t="shared" si="13"/>
        <v>0.99947070061151555</v>
      </c>
      <c r="J103" s="689" t="str">
        <f t="shared" si="14"/>
        <v>C</v>
      </c>
      <c r="K103" s="898" t="s">
        <v>374</v>
      </c>
    </row>
    <row r="104" spans="1:11" ht="39.950000000000003" customHeight="1" x14ac:dyDescent="0.15">
      <c r="A104" s="317" t="str">
        <f>Planilha6!A94</f>
        <v>SC/0030</v>
      </c>
      <c r="B104" s="518" t="str">
        <f>VLOOKUP($A104,'Orçamento auxliar'!A:F,2,0)</f>
        <v xml:space="preserve">Tento (acabamento de limpa-rodas), concreto FCK = 15 mpa, seção 330cm², moldado no local, inclusive escavação </v>
      </c>
      <c r="C104" s="688" t="str">
        <f>VLOOKUP($A104,'Orçamento auxliar'!A:F,3,0)</f>
        <v>M</v>
      </c>
      <c r="D104" s="317">
        <f>VLOOKUP($A104,Planilha6!$A:$D,2,0)</f>
        <v>1</v>
      </c>
      <c r="E104" s="519">
        <f>VLOOKUP($A104,Planilha6!$A:$D,3,0)</f>
        <v>53</v>
      </c>
      <c r="F104" s="519">
        <f>VLOOKUP($A104,'Orçamento auxliar'!A:F,5,0)</f>
        <v>34.01</v>
      </c>
      <c r="G104" s="519">
        <f>VLOOKUP($A104,Planilha6!$A:$E,4,0)</f>
        <v>1802.53</v>
      </c>
      <c r="H104" s="520">
        <f t="shared" si="12"/>
        <v>1.3451056071438355E-4</v>
      </c>
      <c r="I104" s="520">
        <f t="shared" si="13"/>
        <v>0.99960521117222989</v>
      </c>
      <c r="J104" s="689" t="str">
        <f t="shared" si="14"/>
        <v>C</v>
      </c>
      <c r="K104" s="898" t="s">
        <v>374</v>
      </c>
    </row>
    <row r="105" spans="1:11" ht="39.950000000000003" customHeight="1" x14ac:dyDescent="0.15">
      <c r="A105" s="317" t="str">
        <f>Planilha6!A95</f>
        <v>RE/0055</v>
      </c>
      <c r="B105" s="518" t="str">
        <f>VLOOKUP($A105,'Orçamento auxliar'!A:F,2,0)</f>
        <v>CBUQ (usina comercial) - aplicação com motoniveladora (reperfilamento). Incluindo fornecimento de materiais. Exclusive transporte</v>
      </c>
      <c r="C105" s="688" t="str">
        <f>VLOOKUP($A105,'Orçamento auxliar'!A:F,3,0)</f>
        <v>M3</v>
      </c>
      <c r="D105" s="317">
        <f>VLOOKUP($A105,Planilha6!$A:$D,2,0)</f>
        <v>1</v>
      </c>
      <c r="E105" s="519">
        <f>VLOOKUP($A105,Planilha6!$A:$D,3,0)</f>
        <v>0.84</v>
      </c>
      <c r="F105" s="519">
        <f>VLOOKUP($A105,'Orçamento auxliar'!A:F,5,0)</f>
        <v>1863.48</v>
      </c>
      <c r="G105" s="519">
        <f>VLOOKUP($A105,Planilha6!$A:$E,4,0)</f>
        <v>1565.32</v>
      </c>
      <c r="H105" s="520">
        <f t="shared" si="12"/>
        <v>1.1680919091357085E-4</v>
      </c>
      <c r="I105" s="520">
        <f t="shared" si="13"/>
        <v>0.9997220203631435</v>
      </c>
      <c r="J105" s="689" t="str">
        <f t="shared" si="14"/>
        <v>C</v>
      </c>
      <c r="K105" s="898" t="s">
        <v>374</v>
      </c>
    </row>
    <row r="106" spans="1:11" ht="39.950000000000003" customHeight="1" x14ac:dyDescent="0.15">
      <c r="A106" s="317">
        <f>Planilha6!A96</f>
        <v>100948</v>
      </c>
      <c r="B106" s="518" t="str">
        <f>VLOOKUP($A106,'Orçamento auxliar'!A:F,2,0)</f>
        <v>Transporte com caminhão carroceria 9t, em via urbana pavimentada, adicional para DMT excedente a 30,00 km (unidade: txkm). AF_07/2020</v>
      </c>
      <c r="C106" s="688" t="str">
        <f>VLOOKUP($A106,'Orçamento auxliar'!A:F,3,0)</f>
        <v>TXKM</v>
      </c>
      <c r="D106" s="317">
        <f>VLOOKUP($A106,Planilha6!$A:$D,2,0)</f>
        <v>1</v>
      </c>
      <c r="E106" s="519">
        <f>VLOOKUP($A106,Planilha6!$A:$D,3,0)</f>
        <v>1347</v>
      </c>
      <c r="F106" s="519">
        <f>VLOOKUP($A106,'Orçamento auxliar'!A:F,5,0)</f>
        <v>0.94</v>
      </c>
      <c r="G106" s="519">
        <f>VLOOKUP($A106,Planilha6!$A:$E,4,0)</f>
        <v>1266.18</v>
      </c>
      <c r="H106" s="520">
        <f t="shared" si="12"/>
        <v>9.4486406198697484E-5</v>
      </c>
      <c r="I106" s="520">
        <f t="shared" si="13"/>
        <v>0.99981650676934219</v>
      </c>
      <c r="J106" s="689" t="str">
        <f t="shared" si="14"/>
        <v>C</v>
      </c>
      <c r="K106" s="898" t="s">
        <v>374</v>
      </c>
    </row>
    <row r="107" spans="1:11" ht="39.950000000000003" customHeight="1" x14ac:dyDescent="0.15">
      <c r="A107" s="317">
        <f>Planilha6!A97</f>
        <v>100947</v>
      </c>
      <c r="B107" s="518" t="str">
        <f>VLOOKUP($A107,'Orçamento auxliar'!A:F,2,0)</f>
        <v>Transporte com caminhão carroceria 9t, em via urbana pavimentada, DMT até 30,00 km (unidade: txkm). AF_07/2020</v>
      </c>
      <c r="C107" s="688" t="str">
        <f>VLOOKUP($A107,'Orçamento auxliar'!A:F,3,0)</f>
        <v>TXKM</v>
      </c>
      <c r="D107" s="317">
        <f>VLOOKUP($A107,Planilha6!$A:$D,2,0)</f>
        <v>1</v>
      </c>
      <c r="E107" s="519">
        <f>VLOOKUP($A107,Planilha6!$A:$D,3,0)</f>
        <v>428</v>
      </c>
      <c r="F107" s="519">
        <f>VLOOKUP($A107,'Orçamento auxliar'!A:F,5,0)</f>
        <v>2.36</v>
      </c>
      <c r="G107" s="519">
        <f>VLOOKUP($A107,Planilha6!$A:$E,4,0)</f>
        <v>1010.08</v>
      </c>
      <c r="H107" s="520">
        <f t="shared" si="12"/>
        <v>7.5375404107773275E-5</v>
      </c>
      <c r="I107" s="520">
        <f t="shared" si="13"/>
        <v>0.99989188217344993</v>
      </c>
      <c r="J107" s="689" t="str">
        <f t="shared" si="14"/>
        <v>C</v>
      </c>
      <c r="K107" s="898" t="s">
        <v>374</v>
      </c>
    </row>
    <row r="108" spans="1:11" ht="39.950000000000003" customHeight="1" x14ac:dyDescent="0.15">
      <c r="A108" s="317">
        <f>Planilha6!A98</f>
        <v>98527</v>
      </c>
      <c r="B108" s="518" t="str">
        <f>VLOOKUP($A108,'Orçamento auxliar'!A:F,2,0)</f>
        <v>Remoção de raízes remanescentes de tronco de árvore com diâmetro maior ou igual a 0,40 m e menor que 0,60 m. AF_05/2018</v>
      </c>
      <c r="C108" s="688" t="str">
        <f>VLOOKUP($A108,'Orçamento auxliar'!A:F,3,0)</f>
        <v>UN</v>
      </c>
      <c r="D108" s="317">
        <f>VLOOKUP($A108,Planilha6!$A:$D,2,0)</f>
        <v>1</v>
      </c>
      <c r="E108" s="519">
        <f>VLOOKUP($A108,Planilha6!$A:$D,3,0)</f>
        <v>3</v>
      </c>
      <c r="F108" s="519">
        <f>VLOOKUP($A108,'Orçamento auxliar'!A:F,5,0)</f>
        <v>198.91</v>
      </c>
      <c r="G108" s="519">
        <f>VLOOKUP($A108,Planilha6!$A:$E,4,0)</f>
        <v>596.73</v>
      </c>
      <c r="H108" s="520">
        <f t="shared" si="12"/>
        <v>4.4529903466291323E-5</v>
      </c>
      <c r="I108" s="520">
        <f t="shared" si="13"/>
        <v>0.99993641207691619</v>
      </c>
      <c r="J108" s="689" t="str">
        <f t="shared" si="14"/>
        <v>C</v>
      </c>
      <c r="K108" s="898" t="s">
        <v>374</v>
      </c>
    </row>
    <row r="109" spans="1:11" ht="39.950000000000003" customHeight="1" x14ac:dyDescent="0.15">
      <c r="A109" s="317">
        <f>Planilha6!A99</f>
        <v>98530</v>
      </c>
      <c r="B109" s="518" t="str">
        <f>VLOOKUP($A109,'Orçamento auxliar'!A:F,2,0)</f>
        <v>Corte raso e recorte de árvore com diâmetro nominal de tronco maior ou igual a 0,40 m e menor que 0,60 m. AF_05/2018</v>
      </c>
      <c r="C109" s="688" t="str">
        <f>VLOOKUP($A109,'Orçamento auxliar'!A:F,3,0)</f>
        <v>UN</v>
      </c>
      <c r="D109" s="317">
        <f>VLOOKUP($A109,Planilha6!$A:$D,2,0)</f>
        <v>1</v>
      </c>
      <c r="E109" s="519">
        <f>VLOOKUP($A109,Planilha6!$A:$D,3,0)</f>
        <v>3</v>
      </c>
      <c r="F109" s="519">
        <f>VLOOKUP($A109,'Orçamento auxliar'!A:F,5,0)</f>
        <v>130.81</v>
      </c>
      <c r="G109" s="519">
        <f>VLOOKUP($A109,Planilha6!$A:$E,4,0)</f>
        <v>392.43</v>
      </c>
      <c r="H109" s="520">
        <f t="shared" si="12"/>
        <v>2.9284383250844945E-5</v>
      </c>
      <c r="I109" s="520">
        <f t="shared" si="13"/>
        <v>0.99996569646016709</v>
      </c>
      <c r="J109" s="689" t="str">
        <f t="shared" si="14"/>
        <v>C</v>
      </c>
      <c r="K109" s="898" t="s">
        <v>374</v>
      </c>
    </row>
    <row r="110" spans="1:11" ht="39.950000000000003" customHeight="1" x14ac:dyDescent="0.15">
      <c r="A110" s="317">
        <f>Planilha6!A100</f>
        <v>90105</v>
      </c>
      <c r="B110" s="518" t="str">
        <f>VLOOKUP($A110,'Orçamento auxliar'!A:F,2,0)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C110" s="688" t="str">
        <f>VLOOKUP($A110,'Orçamento auxliar'!A:F,3,0)</f>
        <v>M3</v>
      </c>
      <c r="D110" s="317">
        <f>VLOOKUP($A110,Planilha6!$A:$D,2,0)</f>
        <v>1</v>
      </c>
      <c r="E110" s="519">
        <f>VLOOKUP($A110,Planilha6!$A:$D,3,0)</f>
        <v>32.78</v>
      </c>
      <c r="F110" s="519">
        <f>VLOOKUP($A110,'Orçamento auxliar'!A:F,5,0)</f>
        <v>9.64</v>
      </c>
      <c r="G110" s="519">
        <f>VLOOKUP($A110,Planilha6!$A:$E,4,0)</f>
        <v>315.99</v>
      </c>
      <c r="H110" s="520">
        <f t="shared" si="12"/>
        <v>2.3580185672437109E-5</v>
      </c>
      <c r="I110" s="520">
        <f t="shared" si="13"/>
        <v>0.99998927664583948</v>
      </c>
      <c r="J110" s="689" t="str">
        <f t="shared" si="14"/>
        <v>C</v>
      </c>
      <c r="K110" s="898" t="s">
        <v>374</v>
      </c>
    </row>
    <row r="111" spans="1:11" ht="39.950000000000003" customHeight="1" x14ac:dyDescent="0.15">
      <c r="A111" s="317">
        <f>Planilha6!A101</f>
        <v>95875</v>
      </c>
      <c r="B111" s="518" t="str">
        <f>VLOOKUP($A111,'Orçamento auxliar'!A:F,2,0)</f>
        <v>Transporte com caminhão basculante de 10 m3, em via urbana pavimentada, DMT até 30,00 km (unidade: m3xkm). AF_07/2020</v>
      </c>
      <c r="C111" s="688" t="str">
        <f>VLOOKUP($A111,'Orçamento auxliar'!A:F,3,0)</f>
        <v>M3XKM</v>
      </c>
      <c r="D111" s="317">
        <f>VLOOKUP($A111,Planilha6!$A:$D,2,0)</f>
        <v>1</v>
      </c>
      <c r="E111" s="519">
        <f>VLOOKUP($A111,Planilha6!$A:$D,3,0)</f>
        <v>54.64</v>
      </c>
      <c r="F111" s="519">
        <f>VLOOKUP($A111,'Orçamento auxliar'!A:F,5,0)</f>
        <v>2.63</v>
      </c>
      <c r="G111" s="519">
        <f>VLOOKUP($A111,Planilha6!$A:$E,4,0)</f>
        <v>143.69999999999999</v>
      </c>
      <c r="H111" s="520">
        <f t="shared" si="12"/>
        <v>1.0723354160350683E-5</v>
      </c>
      <c r="I111" s="520">
        <f t="shared" si="13"/>
        <v>0.99999999999999978</v>
      </c>
      <c r="J111" s="689" t="str">
        <f t="shared" si="14"/>
        <v>C</v>
      </c>
      <c r="K111" s="898" t="s">
        <v>374</v>
      </c>
    </row>
  </sheetData>
  <autoFilter ref="A1:H12" xr:uid="{00000000-0009-0000-0000-000001000000}"/>
  <sortState xmlns:xlrd2="http://schemas.microsoft.com/office/spreadsheetml/2017/richdata2" ref="A14:J84">
    <sortCondition descending="1" ref="G14:G84"/>
  </sortState>
  <conditionalFormatting sqref="J14:J111">
    <cfRule type="cellIs" dxfId="714" priority="33" operator="equal">
      <formula>"C"</formula>
    </cfRule>
    <cfRule type="cellIs" dxfId="713" priority="34" operator="equal">
      <formula>"B"</formula>
    </cfRule>
    <cfRule type="cellIs" dxfId="712" priority="35" operator="equal">
      <formula>"A"</formula>
    </cfRule>
  </conditionalFormatting>
  <printOptions horizontalCentered="1"/>
  <pageMargins left="0.39370078740157483" right="0.39370078740157483" top="0.78740157480314965" bottom="0.78740157480314965" header="0.31496062992125984" footer="0.23622047244094491"/>
  <pageSetup paperSize="9" scale="65" fitToHeight="21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27" filterMode="1">
    <tabColor theme="5" tint="0.59999389629810485"/>
  </sheetPr>
  <dimension ref="A1:CX186"/>
  <sheetViews>
    <sheetView showZeros="0" zoomScaleNormal="100" zoomScaleSheetLayoutView="100" workbookViewId="0">
      <pane xSplit="5" ySplit="1" topLeftCell="AR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C10" sqref="C10"/>
    </sheetView>
  </sheetViews>
  <sheetFormatPr defaultColWidth="9" defaultRowHeight="19.5" customHeight="1" x14ac:dyDescent="0.15"/>
  <cols>
    <col min="1" max="1" width="9.75" style="133" customWidth="1"/>
    <col min="2" max="2" width="14.625" style="13" customWidth="1"/>
    <col min="3" max="3" width="35.625" style="13" customWidth="1"/>
    <col min="4" max="4" width="4.375" style="986" hidden="1" customWidth="1"/>
    <col min="5" max="5" width="8.375" style="13" hidden="1" customWidth="1"/>
    <col min="6" max="6" width="12.625" style="133" hidden="1" customWidth="1"/>
    <col min="7" max="9" width="12.625" style="133" customWidth="1"/>
    <col min="10" max="13" width="12.625" style="133" hidden="1" customWidth="1"/>
    <col min="14" max="14" width="2.625" style="133" customWidth="1"/>
    <col min="15" max="22" width="12.625" style="133" customWidth="1"/>
    <col min="23" max="23" width="12.625" style="133" hidden="1" customWidth="1"/>
    <col min="24" max="24" width="2.625" style="133" customWidth="1"/>
    <col min="25" max="34" width="12.625" style="133" customWidth="1"/>
    <col min="35" max="43" width="12.625" style="133" hidden="1" customWidth="1"/>
    <col min="44" max="44" width="2.625" style="133" customWidth="1"/>
    <col min="45" max="49" width="12.625" style="133" customWidth="1"/>
    <col min="50" max="50" width="12.625" style="133" hidden="1" customWidth="1"/>
    <col min="51" max="51" width="12.625" style="133" customWidth="1"/>
    <col min="52" max="52" width="12.625" style="133" hidden="1" customWidth="1"/>
    <col min="53" max="53" width="12.625" style="133" customWidth="1"/>
    <col min="54" max="64" width="12.625" style="133" hidden="1" customWidth="1"/>
    <col min="65" max="65" width="12.625" style="133" customWidth="1"/>
    <col min="66" max="66" width="13.875" style="133" customWidth="1"/>
    <col min="67" max="70" width="10.75" style="970" customWidth="1"/>
    <col min="71" max="76" width="9" style="133"/>
    <col min="77" max="77" width="9.5" style="133" bestFit="1" customWidth="1"/>
    <col min="78" max="85" width="9" style="133"/>
    <col min="86" max="86" width="9.5" style="133" bestFit="1" customWidth="1"/>
    <col min="87" max="16384" width="9" style="133"/>
  </cols>
  <sheetData>
    <row r="1" spans="1:101" s="16" customFormat="1" ht="30.75" customHeight="1" thickTop="1" thickBot="1" x14ac:dyDescent="0.2">
      <c r="A1" s="2595" t="s">
        <v>323</v>
      </c>
      <c r="B1" s="2608" t="s">
        <v>346</v>
      </c>
      <c r="C1" s="2609"/>
      <c r="D1" s="991"/>
      <c r="E1" s="1505" t="s">
        <v>587</v>
      </c>
      <c r="F1" s="225">
        <f ca="1">Dren_Quantificacao!D1</f>
        <v>0</v>
      </c>
      <c r="G1" s="225">
        <f ca="1">Dren_Quantificacao!E1</f>
        <v>2</v>
      </c>
      <c r="H1" s="225">
        <f ca="1">Dren_Quantificacao!F1</f>
        <v>3</v>
      </c>
      <c r="I1" s="225">
        <f ca="1">Dren_Quantificacao!G1</f>
        <v>4</v>
      </c>
      <c r="J1" s="225"/>
      <c r="K1" s="225"/>
      <c r="L1" s="225"/>
      <c r="M1" s="225"/>
      <c r="N1" s="2422"/>
      <c r="O1" s="225">
        <f ca="1">Dren_Quantificacao!M1</f>
        <v>10</v>
      </c>
      <c r="P1" s="225">
        <f ca="1">Dren_Quantificacao!N1</f>
        <v>11</v>
      </c>
      <c r="Q1" s="225">
        <f ca="1">Dren_Quantificacao!O1</f>
        <v>12</v>
      </c>
      <c r="R1" s="225">
        <f ca="1">Dren_Quantificacao!P1</f>
        <v>13</v>
      </c>
      <c r="S1" s="225">
        <f ca="1">Dren_Quantificacao!Q1</f>
        <v>14</v>
      </c>
      <c r="T1" s="225">
        <f ca="1">Dren_Quantificacao!R1</f>
        <v>15</v>
      </c>
      <c r="U1" s="225">
        <f ca="1">Dren_Quantificacao!S1</f>
        <v>16</v>
      </c>
      <c r="V1" s="225">
        <f ca="1">Dren_Quantificacao!T1</f>
        <v>17</v>
      </c>
      <c r="W1" s="225"/>
      <c r="X1" s="2422"/>
      <c r="Y1" s="225">
        <f ca="1">Dren_Quantificacao!W1</f>
        <v>20</v>
      </c>
      <c r="Z1" s="225">
        <f ca="1">Dren_Quantificacao!X1</f>
        <v>21</v>
      </c>
      <c r="AA1" s="225">
        <f ca="1">Dren_Quantificacao!Y1</f>
        <v>22</v>
      </c>
      <c r="AB1" s="225">
        <f ca="1">Dren_Quantificacao!Z1</f>
        <v>23</v>
      </c>
      <c r="AC1" s="225">
        <f ca="1">Dren_Quantificacao!AA1</f>
        <v>24</v>
      </c>
      <c r="AD1" s="225">
        <f ca="1">Dren_Quantificacao!AB1</f>
        <v>25</v>
      </c>
      <c r="AE1" s="225">
        <f ca="1">Dren_Quantificacao!AC1</f>
        <v>26</v>
      </c>
      <c r="AF1" s="225">
        <f ca="1">Dren_Quantificacao!AD1</f>
        <v>27</v>
      </c>
      <c r="AG1" s="225">
        <f ca="1">Dren_Quantificacao!AE1</f>
        <v>28</v>
      </c>
      <c r="AH1" s="225">
        <f ca="1">Dren_Quantificacao!AF1</f>
        <v>29</v>
      </c>
      <c r="AI1" s="225"/>
      <c r="AJ1" s="225"/>
      <c r="AK1" s="225"/>
      <c r="AL1" s="225"/>
      <c r="AM1" s="225"/>
      <c r="AN1" s="225"/>
      <c r="AO1" s="225"/>
      <c r="AP1" s="225"/>
      <c r="AQ1" s="225"/>
      <c r="AR1" s="2422"/>
      <c r="AS1" s="225">
        <f ca="1">Dren_Quantificacao!AQ1</f>
        <v>40</v>
      </c>
      <c r="AT1" s="225">
        <f ca="1">Dren_Quantificacao!AR1</f>
        <v>41</v>
      </c>
      <c r="AU1" s="225">
        <f ca="1">Dren_Quantificacao!AS1</f>
        <v>42</v>
      </c>
      <c r="AV1" s="225">
        <f ca="1">Dren_Quantificacao!AT1</f>
        <v>43</v>
      </c>
      <c r="AW1" s="225">
        <f ca="1">Dren_Quantificacao!AU1</f>
        <v>44</v>
      </c>
      <c r="AX1" s="225" t="str">
        <f>Dren_Quantificacao!AW1</f>
        <v>RAMAL CONCRETO Ø 0,40 (m) SOLO baixa inter.</v>
      </c>
      <c r="AY1" s="225" t="str">
        <f>Dren_Quantificacao!AX1</f>
        <v>RAMAL CONCRETO Ø 0,40 (m) SOLO alta inter.</v>
      </c>
      <c r="AZ1" s="225" t="str">
        <f>Dren_Quantificacao!AY1</f>
        <v>RAMAL CONCRETO Ø 0,60 (m) SOLO baixa inter.</v>
      </c>
      <c r="BA1" s="225" t="str">
        <f>Dren_Quantificacao!AZ1</f>
        <v>RAMAL CONCRETO Ø 0,60 (m) SOLO alta inter.</v>
      </c>
      <c r="BB1" s="225" t="str">
        <f>Dren_Quantificacao!BA1</f>
        <v>RAMAL CONCRETO Ø 0,40 (m) ROCHA</v>
      </c>
      <c r="BC1" s="225" t="str">
        <f>+Dren_Quantificacao!BB1</f>
        <v>RAMAL CONCRETO Ø 0,60 (m) ROCHA</v>
      </c>
      <c r="BD1" s="225" t="str">
        <f>+Dren_Quantificacao!BC1</f>
        <v>RAMAL PEAD Ø 0,40 (m) SOLO baixa inter.</v>
      </c>
      <c r="BE1" s="225" t="str">
        <f>+Dren_Quantificacao!BD1</f>
        <v>RAMAL PEAD Ø 0,40 (m) SOLO alta inter.</v>
      </c>
      <c r="BF1" s="225" t="str">
        <f>+Dren_Quantificacao!BE1</f>
        <v>RAMAL PEAD Ø 0,50 (m) SOLO baixa inter.</v>
      </c>
      <c r="BG1" s="225" t="str">
        <f>+Dren_Quantificacao!BF1</f>
        <v>RAMAL PEAD Ø 0,50 (m) SOLO alta inter.</v>
      </c>
      <c r="BH1" s="225" t="str">
        <f>+Dren_Quantificacao!BG1</f>
        <v>RAMAL PEAD Ø 0,40 (m) ROCHA</v>
      </c>
      <c r="BI1" s="225" t="str">
        <f>+Dren_Quantificacao!BH1</f>
        <v>RAMAL PEAD Ø 0,50 (m) ROCHA</v>
      </c>
      <c r="BJ1" s="225" t="s">
        <v>143</v>
      </c>
      <c r="BK1" s="225" t="s">
        <v>143</v>
      </c>
      <c r="BL1" s="225" t="s">
        <v>143</v>
      </c>
      <c r="BM1" s="367" t="s">
        <v>0</v>
      </c>
      <c r="BN1" s="578" t="s">
        <v>1359</v>
      </c>
      <c r="BO1" s="1810" t="s">
        <v>2105</v>
      </c>
      <c r="BP1" s="1811" t="str">
        <f ca="1">IF(BO2=BP2,"OK","Erro")</f>
        <v>OK</v>
      </c>
      <c r="BQ1" s="970"/>
      <c r="BR1" s="970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</row>
    <row r="2" spans="1:101" ht="21.95" customHeight="1" thickTop="1" thickBot="1" x14ac:dyDescent="0.3">
      <c r="A2" s="2707"/>
      <c r="B2" s="2647" t="s">
        <v>3</v>
      </c>
      <c r="C2" s="2648"/>
      <c r="D2" s="995"/>
      <c r="E2" s="2245"/>
      <c r="F2" s="244">
        <f>Dren_Quantificacao!D3</f>
        <v>0</v>
      </c>
      <c r="G2" s="244">
        <f ca="1">Dren_Quantificacao!E3</f>
        <v>72.02</v>
      </c>
      <c r="H2" s="244">
        <f ca="1">Dren_Quantificacao!F3</f>
        <v>59.18</v>
      </c>
      <c r="I2" s="244">
        <f ca="1">Dren_Quantificacao!G3</f>
        <v>59.18</v>
      </c>
      <c r="J2" s="244"/>
      <c r="K2" s="244"/>
      <c r="L2" s="244"/>
      <c r="M2" s="244"/>
      <c r="N2" s="2457"/>
      <c r="O2" s="244">
        <f ca="1">Dren_Quantificacao!M3</f>
        <v>66.88</v>
      </c>
      <c r="P2" s="244">
        <f ca="1">Dren_Quantificacao!N3</f>
        <v>87.75</v>
      </c>
      <c r="Q2" s="244">
        <f ca="1">Dren_Quantificacao!O3</f>
        <v>89.12</v>
      </c>
      <c r="R2" s="244">
        <f ca="1">Dren_Quantificacao!P3</f>
        <v>91.12</v>
      </c>
      <c r="S2" s="244">
        <f ca="1">Dren_Quantificacao!Q3</f>
        <v>87.12</v>
      </c>
      <c r="T2" s="244">
        <f ca="1">Dren_Quantificacao!R3</f>
        <v>94.76</v>
      </c>
      <c r="U2" s="244">
        <f ca="1">Dren_Quantificacao!S3</f>
        <v>94.76</v>
      </c>
      <c r="V2" s="244">
        <f ca="1">Dren_Quantificacao!T3</f>
        <v>54.76</v>
      </c>
      <c r="W2" s="244"/>
      <c r="X2" s="2457"/>
      <c r="Y2" s="244">
        <f ca="1">Dren_Quantificacao!W3</f>
        <v>72.03</v>
      </c>
      <c r="Z2" s="244">
        <f ca="1">Dren_Quantificacao!X3</f>
        <v>94.68</v>
      </c>
      <c r="AA2" s="244">
        <f ca="1">Dren_Quantificacao!Y3</f>
        <v>94.68</v>
      </c>
      <c r="AB2" s="244">
        <f ca="1">Dren_Quantificacao!Z3</f>
        <v>94.68</v>
      </c>
      <c r="AC2" s="244">
        <f ca="1">Dren_Quantificacao!AA3</f>
        <v>72.12</v>
      </c>
      <c r="AD2" s="244">
        <f ca="1">Dren_Quantificacao!AB3</f>
        <v>72.05</v>
      </c>
      <c r="AE2" s="244">
        <f ca="1">Dren_Quantificacao!AC3</f>
        <v>72.3</v>
      </c>
      <c r="AF2" s="244">
        <f ca="1">Dren_Quantificacao!AD3</f>
        <v>84.78</v>
      </c>
      <c r="AG2" s="244">
        <f ca="1">Dren_Quantificacao!AE3</f>
        <v>92.19</v>
      </c>
      <c r="AH2" s="244">
        <f ca="1">Dren_Quantificacao!AF3</f>
        <v>92.19</v>
      </c>
      <c r="AI2" s="244"/>
      <c r="AJ2" s="244"/>
      <c r="AK2" s="244"/>
      <c r="AL2" s="244"/>
      <c r="AM2" s="244"/>
      <c r="AN2" s="244"/>
      <c r="AO2" s="244"/>
      <c r="AP2" s="244"/>
      <c r="AQ2" s="244"/>
      <c r="AR2" s="2457"/>
      <c r="AS2" s="244">
        <f ca="1">Dren_Quantificacao!AQ3</f>
        <v>72.22</v>
      </c>
      <c r="AT2" s="244">
        <f ca="1">Dren_Quantificacao!AR3</f>
        <v>72.040000000000006</v>
      </c>
      <c r="AU2" s="244">
        <f ca="1">Dren_Quantificacao!AS3</f>
        <v>72.02</v>
      </c>
      <c r="AV2" s="244">
        <f ca="1">Dren_Quantificacao!AT3</f>
        <v>72.010000000000005</v>
      </c>
      <c r="AW2" s="244">
        <f ca="1">Dren_Quantificacao!AU3</f>
        <v>72.23</v>
      </c>
      <c r="AX2" s="244">
        <f>Dren_Quantificacao!AW3</f>
        <v>0</v>
      </c>
      <c r="AY2" s="244">
        <f>Dren_Quantificacao!AX3</f>
        <v>802</v>
      </c>
      <c r="AZ2" s="244">
        <f>Dren_Quantificacao!AY3</f>
        <v>0</v>
      </c>
      <c r="BA2" s="244">
        <f>Dren_Quantificacao!AZ3</f>
        <v>66</v>
      </c>
      <c r="BB2" s="244">
        <f>Dren_Quantificacao!BA3</f>
        <v>0</v>
      </c>
      <c r="BC2" s="244">
        <f>+Dren_Quantificacao!BB3</f>
        <v>0</v>
      </c>
      <c r="BD2" s="244">
        <f>+Dren_Quantificacao!BC3</f>
        <v>0</v>
      </c>
      <c r="BE2" s="244">
        <f>+Dren_Quantificacao!BD3</f>
        <v>0</v>
      </c>
      <c r="BF2" s="244">
        <f>+Dren_Quantificacao!BE3</f>
        <v>0</v>
      </c>
      <c r="BG2" s="244">
        <f>+Dren_Quantificacao!BF3</f>
        <v>0</v>
      </c>
      <c r="BH2" s="244">
        <f>+Dren_Quantificacao!BG3</f>
        <v>0</v>
      </c>
      <c r="BI2" s="244">
        <f>+Dren_Quantificacao!BH3</f>
        <v>0</v>
      </c>
      <c r="BJ2" s="244">
        <f>+Dren_Quantificacao!BI113</f>
        <v>0</v>
      </c>
      <c r="BK2" s="244">
        <f>+Dren_Quantificacao!BJ113</f>
        <v>0</v>
      </c>
      <c r="BL2" s="244">
        <f>+Dren_Quantificacao!BK113</f>
        <v>0</v>
      </c>
      <c r="BM2" s="352">
        <f ca="1">ROUND(SUM(F2:BL2),2)</f>
        <v>2926.87</v>
      </c>
      <c r="BN2" s="579">
        <f t="shared" ref="BN2:BN33" ca="1" si="0">SUM(F2:BM2)</f>
        <v>5853.74</v>
      </c>
      <c r="BO2" s="1817">
        <f ca="1">SUMPRODUCT(F2:BI2,F3:BI3)</f>
        <v>2926.87</v>
      </c>
      <c r="BP2" s="1817">
        <f ca="1">SUM(BM10:BM59)</f>
        <v>2926.8700000000003</v>
      </c>
      <c r="CO2" s="961"/>
      <c r="CQ2" s="961"/>
      <c r="CR2" s="961"/>
      <c r="CS2" s="961"/>
    </row>
    <row r="3" spans="1:101" s="14" customFormat="1" ht="21.95" customHeight="1" x14ac:dyDescent="0.25">
      <c r="A3" s="2707"/>
      <c r="B3" s="2605" t="s">
        <v>4</v>
      </c>
      <c r="C3" s="552" t="s">
        <v>41</v>
      </c>
      <c r="D3" s="996"/>
      <c r="E3" s="2238"/>
      <c r="F3" s="228">
        <f>Dren_Quantificacao!D4</f>
        <v>0</v>
      </c>
      <c r="G3" s="228">
        <f ca="1">Dren_Quantificacao!E4</f>
        <v>1</v>
      </c>
      <c r="H3" s="228">
        <f ca="1">Dren_Quantificacao!F4</f>
        <v>1</v>
      </c>
      <c r="I3" s="228">
        <f ca="1">Dren_Quantificacao!G4</f>
        <v>1</v>
      </c>
      <c r="J3" s="228"/>
      <c r="K3" s="228"/>
      <c r="L3" s="228"/>
      <c r="M3" s="228"/>
      <c r="N3" s="2424"/>
      <c r="O3" s="228">
        <f ca="1">Dren_Quantificacao!M4</f>
        <v>1</v>
      </c>
      <c r="P3" s="228">
        <f ca="1">Dren_Quantificacao!N4</f>
        <v>1</v>
      </c>
      <c r="Q3" s="228">
        <f ca="1">Dren_Quantificacao!O4</f>
        <v>1</v>
      </c>
      <c r="R3" s="228">
        <f ca="1">Dren_Quantificacao!P4</f>
        <v>1</v>
      </c>
      <c r="S3" s="228">
        <f ca="1">Dren_Quantificacao!Q4</f>
        <v>1</v>
      </c>
      <c r="T3" s="228">
        <f ca="1">Dren_Quantificacao!R4</f>
        <v>1</v>
      </c>
      <c r="U3" s="228">
        <f ca="1">Dren_Quantificacao!S4</f>
        <v>1</v>
      </c>
      <c r="V3" s="228">
        <f ca="1">Dren_Quantificacao!T4</f>
        <v>1</v>
      </c>
      <c r="W3" s="228"/>
      <c r="X3" s="2424"/>
      <c r="Y3" s="228">
        <f ca="1">Dren_Quantificacao!W4</f>
        <v>1</v>
      </c>
      <c r="Z3" s="228">
        <f ca="1">Dren_Quantificacao!X4</f>
        <v>1</v>
      </c>
      <c r="AA3" s="228">
        <f ca="1">Dren_Quantificacao!Y4</f>
        <v>1</v>
      </c>
      <c r="AB3" s="228">
        <f ca="1">Dren_Quantificacao!Z4</f>
        <v>1</v>
      </c>
      <c r="AC3" s="228">
        <f ca="1">Dren_Quantificacao!AA4</f>
        <v>1</v>
      </c>
      <c r="AD3" s="228">
        <f ca="1">Dren_Quantificacao!AB4</f>
        <v>1</v>
      </c>
      <c r="AE3" s="228">
        <f ca="1">Dren_Quantificacao!AC4</f>
        <v>1</v>
      </c>
      <c r="AF3" s="228">
        <f ca="1">Dren_Quantificacao!AD4</f>
        <v>1</v>
      </c>
      <c r="AG3" s="228">
        <f ca="1">Dren_Quantificacao!AE4</f>
        <v>1</v>
      </c>
      <c r="AH3" s="228">
        <f ca="1">Dren_Quantificacao!AF4</f>
        <v>1</v>
      </c>
      <c r="AI3" s="228"/>
      <c r="AJ3" s="228"/>
      <c r="AK3" s="228"/>
      <c r="AL3" s="228"/>
      <c r="AM3" s="228"/>
      <c r="AN3" s="228"/>
      <c r="AO3" s="228"/>
      <c r="AP3" s="228"/>
      <c r="AQ3" s="228"/>
      <c r="AR3" s="2424"/>
      <c r="AS3" s="228">
        <f ca="1">Dren_Quantificacao!AQ4</f>
        <v>1</v>
      </c>
      <c r="AT3" s="228">
        <f ca="1">Dren_Quantificacao!AR4</f>
        <v>1</v>
      </c>
      <c r="AU3" s="228">
        <f ca="1">Dren_Quantificacao!AS4</f>
        <v>1</v>
      </c>
      <c r="AV3" s="228">
        <f ca="1">Dren_Quantificacao!AT4</f>
        <v>1</v>
      </c>
      <c r="AW3" s="228">
        <f ca="1">Dren_Quantificacao!AU4</f>
        <v>1</v>
      </c>
      <c r="AX3" s="228">
        <f>Dren_Quantificacao!AW4</f>
        <v>1</v>
      </c>
      <c r="AY3" s="228">
        <f>Dren_Quantificacao!AX4</f>
        <v>1</v>
      </c>
      <c r="AZ3" s="228">
        <f>Dren_Quantificacao!AY4</f>
        <v>1</v>
      </c>
      <c r="BA3" s="228">
        <f>Dren_Quantificacao!AZ4</f>
        <v>1</v>
      </c>
      <c r="BB3" s="228">
        <f>Dren_Quantificacao!BA4</f>
        <v>1</v>
      </c>
      <c r="BC3" s="228">
        <f>+Dren_Quantificacao!BB4</f>
        <v>1</v>
      </c>
      <c r="BD3" s="228">
        <f>+Dren_Quantificacao!BC4</f>
        <v>1</v>
      </c>
      <c r="BE3" s="228">
        <f>+Dren_Quantificacao!BD4</f>
        <v>1</v>
      </c>
      <c r="BF3" s="228">
        <f>+Dren_Quantificacao!BE4</f>
        <v>1</v>
      </c>
      <c r="BG3" s="228">
        <f>+Dren_Quantificacao!BF4</f>
        <v>1</v>
      </c>
      <c r="BH3" s="228">
        <f>+Dren_Quantificacao!BG4</f>
        <v>1</v>
      </c>
      <c r="BI3" s="228">
        <f>+Dren_Quantificacao!BH4</f>
        <v>1</v>
      </c>
      <c r="BJ3" s="229"/>
      <c r="BK3" s="229"/>
      <c r="BL3" s="229"/>
      <c r="BM3" s="354"/>
      <c r="BN3" s="579">
        <f t="shared" ca="1" si="0"/>
        <v>38</v>
      </c>
      <c r="BO3" s="970"/>
      <c r="BP3" s="970"/>
      <c r="BQ3" s="970"/>
      <c r="BR3" s="970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971"/>
      <c r="CP3" s="133"/>
      <c r="CQ3" s="971"/>
      <c r="CR3" s="971"/>
      <c r="CS3" s="971"/>
      <c r="CU3" s="133"/>
      <c r="CV3" s="133"/>
    </row>
    <row r="4" spans="1:101" ht="21.95" customHeight="1" x14ac:dyDescent="0.15">
      <c r="A4" s="2707"/>
      <c r="B4" s="2606"/>
      <c r="C4" s="567" t="s">
        <v>71</v>
      </c>
      <c r="D4" s="997"/>
      <c r="E4" s="1287"/>
      <c r="F4" s="134">
        <f>Dren_Quantificacao!D5</f>
        <v>0</v>
      </c>
      <c r="G4" s="134">
        <f ca="1">Dren_Quantificacao!E5</f>
        <v>0.6</v>
      </c>
      <c r="H4" s="134">
        <f ca="1">Dren_Quantificacao!F5</f>
        <v>0.6</v>
      </c>
      <c r="I4" s="134">
        <f ca="1">Dren_Quantificacao!G5</f>
        <v>0.6</v>
      </c>
      <c r="J4" s="134"/>
      <c r="K4" s="134"/>
      <c r="L4" s="134"/>
      <c r="M4" s="134"/>
      <c r="N4" s="2406"/>
      <c r="O4" s="134">
        <f ca="1">Dren_Quantificacao!M5</f>
        <v>0.6</v>
      </c>
      <c r="P4" s="134">
        <f ca="1">Dren_Quantificacao!N5</f>
        <v>0.6</v>
      </c>
      <c r="Q4" s="134">
        <f ca="1">Dren_Quantificacao!O5</f>
        <v>0.6</v>
      </c>
      <c r="R4" s="134">
        <f ca="1">Dren_Quantificacao!P5</f>
        <v>0.6</v>
      </c>
      <c r="S4" s="134">
        <f ca="1">Dren_Quantificacao!Q5</f>
        <v>0.6</v>
      </c>
      <c r="T4" s="134">
        <f ca="1">Dren_Quantificacao!R5</f>
        <v>1</v>
      </c>
      <c r="U4" s="134">
        <f ca="1">Dren_Quantificacao!S5</f>
        <v>1</v>
      </c>
      <c r="V4" s="134">
        <f ca="1">Dren_Quantificacao!T5</f>
        <v>1</v>
      </c>
      <c r="W4" s="134"/>
      <c r="X4" s="2406"/>
      <c r="Y4" s="134">
        <f ca="1">Dren_Quantificacao!W5</f>
        <v>0.8</v>
      </c>
      <c r="Z4" s="134">
        <f ca="1">Dren_Quantificacao!X5</f>
        <v>0.6</v>
      </c>
      <c r="AA4" s="134">
        <f ca="1">Dren_Quantificacao!Y5</f>
        <v>0.6</v>
      </c>
      <c r="AB4" s="134">
        <f ca="1">Dren_Quantificacao!Z5</f>
        <v>0.6</v>
      </c>
      <c r="AC4" s="134">
        <f ca="1">Dren_Quantificacao!AA5</f>
        <v>0.8</v>
      </c>
      <c r="AD4" s="134">
        <f ca="1">Dren_Quantificacao!AB5</f>
        <v>0.8</v>
      </c>
      <c r="AE4" s="134">
        <f ca="1">Dren_Quantificacao!AC5</f>
        <v>0.8</v>
      </c>
      <c r="AF4" s="134">
        <f ca="1">Dren_Quantificacao!AD5</f>
        <v>1</v>
      </c>
      <c r="AG4" s="134">
        <f ca="1">Dren_Quantificacao!AE5</f>
        <v>1</v>
      </c>
      <c r="AH4" s="134">
        <f ca="1">Dren_Quantificacao!AF5</f>
        <v>1</v>
      </c>
      <c r="AI4" s="134"/>
      <c r="AJ4" s="134"/>
      <c r="AK4" s="134"/>
      <c r="AL4" s="134"/>
      <c r="AM4" s="134"/>
      <c r="AN4" s="134"/>
      <c r="AO4" s="134"/>
      <c r="AP4" s="134"/>
      <c r="AQ4" s="134"/>
      <c r="AR4" s="2406"/>
      <c r="AS4" s="134">
        <f ca="1">Dren_Quantificacao!AQ5</f>
        <v>0.6</v>
      </c>
      <c r="AT4" s="134">
        <f ca="1">Dren_Quantificacao!AR5</f>
        <v>0.8</v>
      </c>
      <c r="AU4" s="134">
        <f ca="1">Dren_Quantificacao!AS5</f>
        <v>0.8</v>
      </c>
      <c r="AV4" s="134">
        <f ca="1">Dren_Quantificacao!AT5</f>
        <v>0.8</v>
      </c>
      <c r="AW4" s="134">
        <f ca="1">Dren_Quantificacao!AU5</f>
        <v>1</v>
      </c>
      <c r="AX4" s="134">
        <f>Dren_Quantificacao!AW5</f>
        <v>0.4</v>
      </c>
      <c r="AY4" s="134">
        <f>Dren_Quantificacao!AX5</f>
        <v>0.4</v>
      </c>
      <c r="AZ4" s="134">
        <f>Dren_Quantificacao!AY5</f>
        <v>0.6</v>
      </c>
      <c r="BA4" s="134">
        <f>Dren_Quantificacao!AZ5</f>
        <v>0.6</v>
      </c>
      <c r="BB4" s="134">
        <f>Dren_Quantificacao!BA5</f>
        <v>0.4</v>
      </c>
      <c r="BC4" s="134">
        <f>+Dren_Quantificacao!BB5</f>
        <v>0.6</v>
      </c>
      <c r="BD4" s="134">
        <f>+Dren_Quantificacao!BC5</f>
        <v>0.4</v>
      </c>
      <c r="BE4" s="134">
        <f>+Dren_Quantificacao!BD5</f>
        <v>0.4</v>
      </c>
      <c r="BF4" s="134">
        <f>+Dren_Quantificacao!BE5</f>
        <v>0.5</v>
      </c>
      <c r="BG4" s="134">
        <f>+Dren_Quantificacao!BF5</f>
        <v>0.5</v>
      </c>
      <c r="BH4" s="134">
        <f>+Dren_Quantificacao!BG5</f>
        <v>0.4</v>
      </c>
      <c r="BI4" s="134">
        <f>+Dren_Quantificacao!BH5</f>
        <v>0.5</v>
      </c>
      <c r="BJ4" s="11"/>
      <c r="BK4" s="11"/>
      <c r="BL4" s="11"/>
      <c r="BM4" s="348"/>
      <c r="BN4" s="579">
        <f t="shared" ca="1" si="0"/>
        <v>25.5</v>
      </c>
      <c r="BR4" s="133"/>
    </row>
    <row r="5" spans="1:101" ht="21.95" customHeight="1" thickBot="1" x14ac:dyDescent="0.2">
      <c r="A5" s="2707"/>
      <c r="B5" s="2607"/>
      <c r="C5" s="566" t="s">
        <v>917</v>
      </c>
      <c r="D5" s="998"/>
      <c r="E5" s="2242"/>
      <c r="F5" s="231">
        <f>Dren_Quantificacao!D9</f>
        <v>0</v>
      </c>
      <c r="G5" s="231" t="str">
        <f ca="1">Dren_Quantificacao!E9</f>
        <v>PS-1</v>
      </c>
      <c r="H5" s="231" t="str">
        <f ca="1">Dren_Quantificacao!F9</f>
        <v>PS-1</v>
      </c>
      <c r="I5" s="231" t="str">
        <f ca="1">Dren_Quantificacao!G9</f>
        <v>PS-1</v>
      </c>
      <c r="J5" s="231"/>
      <c r="K5" s="231"/>
      <c r="L5" s="231"/>
      <c r="M5" s="231"/>
      <c r="N5" s="2438"/>
      <c r="O5" s="231" t="str">
        <f ca="1">Dren_Quantificacao!M9</f>
        <v>PS-1</v>
      </c>
      <c r="P5" s="231" t="str">
        <f ca="1">Dren_Quantificacao!N9</f>
        <v>PS-1</v>
      </c>
      <c r="Q5" s="231" t="str">
        <f ca="1">Dren_Quantificacao!O9</f>
        <v>PS-1</v>
      </c>
      <c r="R5" s="231" t="str">
        <f ca="1">Dren_Quantificacao!P9</f>
        <v>PS-1</v>
      </c>
      <c r="S5" s="231" t="str">
        <f ca="1">Dren_Quantificacao!Q9</f>
        <v>PS-1</v>
      </c>
      <c r="T5" s="231" t="str">
        <f ca="1">Dren_Quantificacao!R9</f>
        <v>PA-1</v>
      </c>
      <c r="U5" s="231" t="str">
        <f ca="1">Dren_Quantificacao!S9</f>
        <v>PA-1</v>
      </c>
      <c r="V5" s="231" t="str">
        <f ca="1">Dren_Quantificacao!T9</f>
        <v>PA-1</v>
      </c>
      <c r="W5" s="231"/>
      <c r="X5" s="2438"/>
      <c r="Y5" s="231" t="str">
        <f ca="1">Dren_Quantificacao!W9</f>
        <v>PA-1</v>
      </c>
      <c r="Z5" s="231" t="str">
        <f ca="1">Dren_Quantificacao!X9</f>
        <v>PS-1</v>
      </c>
      <c r="AA5" s="231" t="str">
        <f ca="1">Dren_Quantificacao!Y9</f>
        <v>PS-1</v>
      </c>
      <c r="AB5" s="231" t="str">
        <f ca="1">Dren_Quantificacao!Z9</f>
        <v>PS-1</v>
      </c>
      <c r="AC5" s="231" t="str">
        <f ca="1">Dren_Quantificacao!AA9</f>
        <v>PA-1</v>
      </c>
      <c r="AD5" s="231" t="str">
        <f ca="1">Dren_Quantificacao!AB9</f>
        <v>PA-1</v>
      </c>
      <c r="AE5" s="231" t="str">
        <f ca="1">Dren_Quantificacao!AC9</f>
        <v>PA-1</v>
      </c>
      <c r="AF5" s="231" t="str">
        <f ca="1">Dren_Quantificacao!AD9</f>
        <v>PA-1</v>
      </c>
      <c r="AG5" s="231" t="str">
        <f ca="1">Dren_Quantificacao!AE9</f>
        <v>PA-1</v>
      </c>
      <c r="AH5" s="231" t="str">
        <f ca="1">Dren_Quantificacao!AF9</f>
        <v>PA-1</v>
      </c>
      <c r="AI5" s="231"/>
      <c r="AJ5" s="231"/>
      <c r="AK5" s="231"/>
      <c r="AL5" s="231"/>
      <c r="AM5" s="231"/>
      <c r="AN5" s="231"/>
      <c r="AO5" s="231"/>
      <c r="AP5" s="231"/>
      <c r="AQ5" s="231"/>
      <c r="AR5" s="2438"/>
      <c r="AS5" s="231" t="str">
        <f ca="1">Dren_Quantificacao!AQ9</f>
        <v>PS-1</v>
      </c>
      <c r="AT5" s="231" t="str">
        <f ca="1">Dren_Quantificacao!AR9</f>
        <v>PA-1</v>
      </c>
      <c r="AU5" s="231" t="str">
        <f ca="1">Dren_Quantificacao!AS9</f>
        <v>PA-1</v>
      </c>
      <c r="AV5" s="231" t="str">
        <f ca="1">Dren_Quantificacao!AT9</f>
        <v>PA-1</v>
      </c>
      <c r="AW5" s="231" t="str">
        <f ca="1">Dren_Quantificacao!AU9</f>
        <v>PA-1</v>
      </c>
      <c r="AX5" s="231" t="str">
        <f>Dren_Quantificacao!AW9</f>
        <v>PS-1</v>
      </c>
      <c r="AY5" s="231" t="str">
        <f>Dren_Quantificacao!AX9</f>
        <v>PS-1</v>
      </c>
      <c r="AZ5" s="231" t="str">
        <f>Dren_Quantificacao!AY9</f>
        <v>PS-1</v>
      </c>
      <c r="BA5" s="231" t="str">
        <f>Dren_Quantificacao!AZ9</f>
        <v>PS-1</v>
      </c>
      <c r="BB5" s="231" t="str">
        <f>Dren_Quantificacao!BA9</f>
        <v>PS-1</v>
      </c>
      <c r="BC5" s="231" t="str">
        <f>+Dren_Quantificacao!BB9</f>
        <v>PS-1</v>
      </c>
      <c r="BD5" s="231" t="str">
        <f>+Dren_Quantificacao!BC9</f>
        <v>PEAD</v>
      </c>
      <c r="BE5" s="231" t="str">
        <f>+Dren_Quantificacao!BD9</f>
        <v>PEAD</v>
      </c>
      <c r="BF5" s="231" t="str">
        <f>+Dren_Quantificacao!BE9</f>
        <v>PEAD</v>
      </c>
      <c r="BG5" s="231" t="str">
        <f>+Dren_Quantificacao!BF9</f>
        <v>PEAD</v>
      </c>
      <c r="BH5" s="231" t="str">
        <f>+Dren_Quantificacao!BG9</f>
        <v>PEAD</v>
      </c>
      <c r="BI5" s="231" t="str">
        <f>+Dren_Quantificacao!BH9</f>
        <v>PEAD</v>
      </c>
      <c r="BJ5" s="232"/>
      <c r="BK5" s="232"/>
      <c r="BL5" s="232"/>
      <c r="BM5" s="797">
        <f ca="1">+COUNTA(F5:BI5)</f>
        <v>39</v>
      </c>
      <c r="BN5" s="579">
        <f t="shared" ca="1" si="0"/>
        <v>39</v>
      </c>
      <c r="BO5" s="2716" t="s">
        <v>1196</v>
      </c>
      <c r="BP5" s="2717"/>
      <c r="BQ5" s="2717"/>
      <c r="BR5" s="2717"/>
      <c r="BS5" s="2717"/>
      <c r="BT5" s="2717"/>
      <c r="BU5" s="2717"/>
      <c r="BV5" s="2717"/>
      <c r="BW5" s="2718"/>
      <c r="BX5" s="2716" t="s">
        <v>1197</v>
      </c>
      <c r="BY5" s="2717"/>
      <c r="BZ5" s="2717"/>
      <c r="CA5" s="2717"/>
      <c r="CB5" s="2717"/>
      <c r="CC5" s="2717"/>
      <c r="CD5" s="2717"/>
      <c r="CE5" s="2717"/>
      <c r="CF5" s="2718"/>
      <c r="CG5" s="2716" t="s">
        <v>1198</v>
      </c>
      <c r="CH5" s="2717"/>
      <c r="CI5" s="2717"/>
      <c r="CJ5" s="2717"/>
      <c r="CK5" s="2717"/>
      <c r="CL5" s="2717"/>
      <c r="CM5" s="2718"/>
      <c r="CN5" s="2714" t="s">
        <v>1199</v>
      </c>
      <c r="CO5" s="2716" t="s">
        <v>1186</v>
      </c>
      <c r="CP5" s="2717"/>
      <c r="CQ5" s="2717"/>
      <c r="CR5" s="2717"/>
      <c r="CS5" s="2717"/>
      <c r="CT5" s="2718"/>
      <c r="CU5" s="2714" t="s">
        <v>1210</v>
      </c>
      <c r="CV5" s="2714" t="s">
        <v>1200</v>
      </c>
    </row>
    <row r="6" spans="1:101" ht="21.95" hidden="1" customHeight="1" x14ac:dyDescent="0.15">
      <c r="A6" s="2707"/>
      <c r="B6" s="2698" t="s">
        <v>209</v>
      </c>
      <c r="C6" s="2709"/>
      <c r="D6" s="999"/>
      <c r="E6" s="2238"/>
      <c r="F6" s="235">
        <f>Dren_Quantificacao!D7</f>
        <v>0</v>
      </c>
      <c r="G6" s="235">
        <f ca="1">Dren_Quantificacao!E7</f>
        <v>0</v>
      </c>
      <c r="H6" s="235">
        <f ca="1">Dren_Quantificacao!F7</f>
        <v>0</v>
      </c>
      <c r="I6" s="235">
        <f ca="1">Dren_Quantificacao!G7</f>
        <v>0</v>
      </c>
      <c r="J6" s="235"/>
      <c r="K6" s="235"/>
      <c r="L6" s="235"/>
      <c r="M6" s="235"/>
      <c r="N6" s="2458"/>
      <c r="O6" s="235">
        <f ca="1">Dren_Quantificacao!M7</f>
        <v>0</v>
      </c>
      <c r="P6" s="235">
        <f ca="1">Dren_Quantificacao!N7</f>
        <v>0</v>
      </c>
      <c r="Q6" s="235">
        <f ca="1">Dren_Quantificacao!O7</f>
        <v>0</v>
      </c>
      <c r="R6" s="235">
        <f ca="1">Dren_Quantificacao!P7</f>
        <v>0</v>
      </c>
      <c r="S6" s="235">
        <f ca="1">Dren_Quantificacao!Q7</f>
        <v>0</v>
      </c>
      <c r="T6" s="235">
        <f ca="1">Dren_Quantificacao!R7</f>
        <v>0</v>
      </c>
      <c r="U6" s="235">
        <f ca="1">Dren_Quantificacao!S7</f>
        <v>0</v>
      </c>
      <c r="V6" s="235">
        <f ca="1">Dren_Quantificacao!T7</f>
        <v>0</v>
      </c>
      <c r="W6" s="235"/>
      <c r="X6" s="2458"/>
      <c r="Y6" s="235">
        <f ca="1">Dren_Quantificacao!W7</f>
        <v>0</v>
      </c>
      <c r="Z6" s="235">
        <f ca="1">Dren_Quantificacao!X7</f>
        <v>0</v>
      </c>
      <c r="AA6" s="235">
        <f ca="1">Dren_Quantificacao!Y7</f>
        <v>0</v>
      </c>
      <c r="AB6" s="235">
        <f ca="1">Dren_Quantificacao!Z7</f>
        <v>0</v>
      </c>
      <c r="AC6" s="235">
        <f ca="1">Dren_Quantificacao!AA7</f>
        <v>0</v>
      </c>
      <c r="AD6" s="235">
        <f ca="1">Dren_Quantificacao!AB7</f>
        <v>0</v>
      </c>
      <c r="AE6" s="235">
        <f ca="1">Dren_Quantificacao!AC7</f>
        <v>0</v>
      </c>
      <c r="AF6" s="235">
        <f ca="1">Dren_Quantificacao!AD7</f>
        <v>0</v>
      </c>
      <c r="AG6" s="235">
        <f ca="1">Dren_Quantificacao!AE7</f>
        <v>0</v>
      </c>
      <c r="AH6" s="235">
        <f ca="1">Dren_Quantificacao!AF7</f>
        <v>0</v>
      </c>
      <c r="AI6" s="235"/>
      <c r="AJ6" s="235"/>
      <c r="AK6" s="235"/>
      <c r="AL6" s="235"/>
      <c r="AM6" s="235"/>
      <c r="AN6" s="235"/>
      <c r="AO6" s="235"/>
      <c r="AP6" s="235"/>
      <c r="AQ6" s="235"/>
      <c r="AR6" s="2458"/>
      <c r="AS6" s="235">
        <f ca="1">Dren_Quantificacao!AQ7</f>
        <v>0</v>
      </c>
      <c r="AT6" s="235">
        <f ca="1">Dren_Quantificacao!AR7</f>
        <v>0</v>
      </c>
      <c r="AU6" s="235">
        <f ca="1">Dren_Quantificacao!AS7</f>
        <v>0</v>
      </c>
      <c r="AV6" s="235">
        <f ca="1">Dren_Quantificacao!AT7</f>
        <v>0</v>
      </c>
      <c r="AW6" s="235">
        <f ca="1">Dren_Quantificacao!AU7</f>
        <v>0</v>
      </c>
      <c r="AX6" s="235">
        <f>Dren_Quantificacao!AW7</f>
        <v>0</v>
      </c>
      <c r="AY6" s="235">
        <f>Dren_Quantificacao!AX7</f>
        <v>0</v>
      </c>
      <c r="AZ6" s="235">
        <f>Dren_Quantificacao!AY7</f>
        <v>0</v>
      </c>
      <c r="BA6" s="235">
        <f>Dren_Quantificacao!AZ7</f>
        <v>0</v>
      </c>
      <c r="BB6" s="235">
        <f>Dren_Quantificacao!BA7</f>
        <v>0</v>
      </c>
      <c r="BC6" s="235">
        <f>Dren_Quantificacao!BB7</f>
        <v>0</v>
      </c>
      <c r="BD6" s="235">
        <f>Dren_Quantificacao!BC7</f>
        <v>0</v>
      </c>
      <c r="BE6" s="235">
        <f>Dren_Quantificacao!BD7</f>
        <v>0</v>
      </c>
      <c r="BF6" s="235">
        <f>Dren_Quantificacao!BE7</f>
        <v>0</v>
      </c>
      <c r="BG6" s="235">
        <f>Dren_Quantificacao!BF7</f>
        <v>0</v>
      </c>
      <c r="BH6" s="235">
        <f>Dren_Quantificacao!BG7</f>
        <v>0</v>
      </c>
      <c r="BI6" s="235">
        <f>Dren_Quantificacao!BH7</f>
        <v>0</v>
      </c>
      <c r="BJ6" s="236"/>
      <c r="BK6" s="236"/>
      <c r="BL6" s="236"/>
      <c r="BM6" s="355"/>
      <c r="BN6" s="579">
        <f t="shared" ca="1" si="0"/>
        <v>0</v>
      </c>
      <c r="BO6" s="1024" t="s">
        <v>1188</v>
      </c>
      <c r="BP6" s="1024" t="s">
        <v>1203</v>
      </c>
      <c r="BQ6" s="1024" t="s">
        <v>1182</v>
      </c>
      <c r="BR6" s="1024" t="s">
        <v>1183</v>
      </c>
      <c r="BS6" s="1024" t="s">
        <v>1184</v>
      </c>
      <c r="BT6" s="1024" t="s">
        <v>1190</v>
      </c>
      <c r="BU6" s="1024" t="s">
        <v>1189</v>
      </c>
      <c r="BV6" s="1024" t="s">
        <v>1187</v>
      </c>
      <c r="BW6" s="1024" t="s">
        <v>1185</v>
      </c>
      <c r="BX6" s="1024" t="s">
        <v>1188</v>
      </c>
      <c r="BY6" s="1024" t="s">
        <v>1203</v>
      </c>
      <c r="BZ6" s="1024" t="s">
        <v>1182</v>
      </c>
      <c r="CA6" s="1024" t="s">
        <v>1183</v>
      </c>
      <c r="CB6" s="1024" t="s">
        <v>1184</v>
      </c>
      <c r="CC6" s="1024" t="s">
        <v>1190</v>
      </c>
      <c r="CD6" s="1024" t="s">
        <v>1189</v>
      </c>
      <c r="CE6" s="1024" t="s">
        <v>1187</v>
      </c>
      <c r="CF6" s="1024" t="s">
        <v>1185</v>
      </c>
      <c r="CG6" s="1024" t="s">
        <v>1181</v>
      </c>
      <c r="CH6" s="1024" t="s">
        <v>1203</v>
      </c>
      <c r="CI6" s="1024" t="s">
        <v>1182</v>
      </c>
      <c r="CJ6" s="1024" t="s">
        <v>1183</v>
      </c>
      <c r="CK6" s="1024" t="s">
        <v>1184</v>
      </c>
      <c r="CL6" s="1024" t="s">
        <v>1185</v>
      </c>
      <c r="CM6" s="1024" t="s">
        <v>641</v>
      </c>
      <c r="CN6" s="2715"/>
      <c r="CO6" s="1033" t="s">
        <v>1201</v>
      </c>
      <c r="CP6" s="1033" t="s">
        <v>1195</v>
      </c>
      <c r="CQ6" s="1033" t="s">
        <v>1193</v>
      </c>
      <c r="CR6" s="1033" t="s">
        <v>1194</v>
      </c>
      <c r="CS6" s="1033" t="s">
        <v>1205</v>
      </c>
      <c r="CT6" s="1033" t="s">
        <v>1202</v>
      </c>
      <c r="CU6" s="2715"/>
      <c r="CV6" s="2715"/>
    </row>
    <row r="7" spans="1:101" ht="21.95" hidden="1" customHeight="1" thickBot="1" x14ac:dyDescent="0.2">
      <c r="A7" s="2707"/>
      <c r="B7" s="2706" t="s">
        <v>210</v>
      </c>
      <c r="C7" s="2710"/>
      <c r="D7" s="1000"/>
      <c r="E7" s="2239"/>
      <c r="F7" s="233">
        <f>Dren_Quantificacao!D8</f>
        <v>0</v>
      </c>
      <c r="G7" s="233">
        <f ca="1">Dren_Quantificacao!E8</f>
        <v>0</v>
      </c>
      <c r="H7" s="233">
        <f ca="1">Dren_Quantificacao!F8</f>
        <v>0</v>
      </c>
      <c r="I7" s="233">
        <f ca="1">Dren_Quantificacao!G8</f>
        <v>0</v>
      </c>
      <c r="J7" s="233"/>
      <c r="K7" s="233"/>
      <c r="L7" s="233"/>
      <c r="M7" s="233"/>
      <c r="N7" s="2425"/>
      <c r="O7" s="233">
        <f ca="1">Dren_Quantificacao!M8</f>
        <v>0</v>
      </c>
      <c r="P7" s="233">
        <f ca="1">Dren_Quantificacao!N8</f>
        <v>0</v>
      </c>
      <c r="Q7" s="233">
        <f ca="1">Dren_Quantificacao!O8</f>
        <v>0</v>
      </c>
      <c r="R7" s="233">
        <f ca="1">Dren_Quantificacao!P8</f>
        <v>0</v>
      </c>
      <c r="S7" s="233">
        <f ca="1">Dren_Quantificacao!Q8</f>
        <v>0</v>
      </c>
      <c r="T7" s="233">
        <f ca="1">Dren_Quantificacao!R8</f>
        <v>0</v>
      </c>
      <c r="U7" s="233">
        <f ca="1">Dren_Quantificacao!S8</f>
        <v>0</v>
      </c>
      <c r="V7" s="233">
        <f ca="1">Dren_Quantificacao!T8</f>
        <v>0</v>
      </c>
      <c r="W7" s="233"/>
      <c r="X7" s="2425"/>
      <c r="Y7" s="233">
        <f ca="1">Dren_Quantificacao!W8</f>
        <v>0</v>
      </c>
      <c r="Z7" s="233">
        <f ca="1">Dren_Quantificacao!X8</f>
        <v>0</v>
      </c>
      <c r="AA7" s="233">
        <f ca="1">Dren_Quantificacao!Y8</f>
        <v>0</v>
      </c>
      <c r="AB7" s="233">
        <f ca="1">Dren_Quantificacao!Z8</f>
        <v>0</v>
      </c>
      <c r="AC7" s="233">
        <f ca="1">Dren_Quantificacao!AA8</f>
        <v>0</v>
      </c>
      <c r="AD7" s="233">
        <f ca="1">Dren_Quantificacao!AB8</f>
        <v>0</v>
      </c>
      <c r="AE7" s="233">
        <f ca="1">Dren_Quantificacao!AC8</f>
        <v>0</v>
      </c>
      <c r="AF7" s="233">
        <f ca="1">Dren_Quantificacao!AD8</f>
        <v>0</v>
      </c>
      <c r="AG7" s="233">
        <f ca="1">Dren_Quantificacao!AE8</f>
        <v>0</v>
      </c>
      <c r="AH7" s="233">
        <f ca="1">Dren_Quantificacao!AF8</f>
        <v>0</v>
      </c>
      <c r="AI7" s="233"/>
      <c r="AJ7" s="233"/>
      <c r="AK7" s="233"/>
      <c r="AL7" s="233"/>
      <c r="AM7" s="233"/>
      <c r="AN7" s="233"/>
      <c r="AO7" s="233"/>
      <c r="AP7" s="233"/>
      <c r="AQ7" s="233"/>
      <c r="AR7" s="2425"/>
      <c r="AS7" s="233">
        <f ca="1">Dren_Quantificacao!AQ8</f>
        <v>0</v>
      </c>
      <c r="AT7" s="233">
        <f ca="1">Dren_Quantificacao!AR8</f>
        <v>0</v>
      </c>
      <c r="AU7" s="233">
        <f ca="1">Dren_Quantificacao!AS8</f>
        <v>0</v>
      </c>
      <c r="AV7" s="233">
        <f ca="1">Dren_Quantificacao!AT8</f>
        <v>0</v>
      </c>
      <c r="AW7" s="233">
        <f ca="1">Dren_Quantificacao!AU8</f>
        <v>0</v>
      </c>
      <c r="AX7" s="233">
        <f>Dren_Quantificacao!AW8</f>
        <v>0</v>
      </c>
      <c r="AY7" s="233">
        <f>Dren_Quantificacao!AX8</f>
        <v>0</v>
      </c>
      <c r="AZ7" s="233">
        <f>Dren_Quantificacao!AY8</f>
        <v>0</v>
      </c>
      <c r="BA7" s="233">
        <f>Dren_Quantificacao!AZ8</f>
        <v>0</v>
      </c>
      <c r="BB7" s="233">
        <f>Dren_Quantificacao!BA8</f>
        <v>0</v>
      </c>
      <c r="BC7" s="233">
        <f>+Dren_Quantificacao!BB8</f>
        <v>0</v>
      </c>
      <c r="BD7" s="233">
        <f>+Dren_Quantificacao!BC8</f>
        <v>0</v>
      </c>
      <c r="BE7" s="233">
        <f>+Dren_Quantificacao!BD8</f>
        <v>0</v>
      </c>
      <c r="BF7" s="233">
        <f>+Dren_Quantificacao!BE8</f>
        <v>0</v>
      </c>
      <c r="BG7" s="233">
        <f>+Dren_Quantificacao!BF8</f>
        <v>0</v>
      </c>
      <c r="BH7" s="233">
        <f>+Dren_Quantificacao!BG8</f>
        <v>0</v>
      </c>
      <c r="BI7" s="233">
        <f>+Dren_Quantificacao!BH8</f>
        <v>0</v>
      </c>
      <c r="BJ7" s="234"/>
      <c r="BK7" s="234"/>
      <c r="BL7" s="234"/>
      <c r="BM7" s="353"/>
      <c r="BN7" s="579">
        <f t="shared" ca="1" si="0"/>
        <v>0</v>
      </c>
      <c r="BO7" s="1025">
        <v>94968</v>
      </c>
      <c r="BP7" s="1025">
        <v>90279</v>
      </c>
      <c r="BQ7" s="1025">
        <v>94963</v>
      </c>
      <c r="BR7" s="1025">
        <v>94964</v>
      </c>
      <c r="BS7" s="1025">
        <v>94965</v>
      </c>
      <c r="BT7" s="1025">
        <v>100475</v>
      </c>
      <c r="BU7" s="1025">
        <v>88631</v>
      </c>
      <c r="BV7" s="1025">
        <v>87878</v>
      </c>
      <c r="BW7" s="1025">
        <v>73361</v>
      </c>
      <c r="BX7" s="1025">
        <v>94968</v>
      </c>
      <c r="BY7" s="1025">
        <v>90279</v>
      </c>
      <c r="BZ7" s="1025">
        <v>94963</v>
      </c>
      <c r="CA7" s="1025">
        <v>94964</v>
      </c>
      <c r="CB7" s="1025">
        <v>94965</v>
      </c>
      <c r="CC7" s="1025">
        <v>100475</v>
      </c>
      <c r="CD7" s="1025">
        <v>88631</v>
      </c>
      <c r="CE7" s="1025">
        <v>87878</v>
      </c>
      <c r="CF7" s="1025">
        <v>73361</v>
      </c>
      <c r="CG7" s="1025">
        <v>94968</v>
      </c>
      <c r="CH7" s="1025">
        <v>90279</v>
      </c>
      <c r="CI7" s="1025">
        <v>94963</v>
      </c>
      <c r="CJ7" s="1025">
        <v>94964</v>
      </c>
      <c r="CK7" s="1025">
        <v>94965</v>
      </c>
      <c r="CL7" s="1025">
        <v>87878</v>
      </c>
      <c r="CM7" s="1025">
        <v>100324</v>
      </c>
      <c r="CN7" s="2715"/>
      <c r="CO7" s="1025">
        <v>92411</v>
      </c>
      <c r="CP7" s="1025">
        <v>96536</v>
      </c>
      <c r="CQ7" s="1025">
        <v>92431</v>
      </c>
      <c r="CR7" s="1025">
        <v>92517</v>
      </c>
      <c r="CS7" s="1025">
        <v>92415</v>
      </c>
      <c r="CT7" s="1025">
        <v>73301</v>
      </c>
      <c r="CU7" s="2715"/>
      <c r="CV7" s="2715"/>
    </row>
    <row r="8" spans="1:101" ht="21.95" customHeight="1" thickBot="1" x14ac:dyDescent="0.2">
      <c r="A8" s="2707"/>
      <c r="B8" s="2612" t="s">
        <v>493</v>
      </c>
      <c r="C8" s="2613"/>
      <c r="D8" s="1001"/>
      <c r="E8" s="2240"/>
      <c r="F8" s="365">
        <f>MAX(Dre_Terraplenagem!F8:F9)-F4-F7</f>
        <v>0</v>
      </c>
      <c r="G8" s="365">
        <f ca="1">MAX(Dre_Terraplenagem!G8:G9)-G4-G7</f>
        <v>1.520360000000005</v>
      </c>
      <c r="H8" s="365">
        <f ca="1">MAX(Dre_Terraplenagem!H8:H9)-H4-H7</f>
        <v>1.520360000000005</v>
      </c>
      <c r="I8" s="365">
        <f ca="1">MAX(Dre_Terraplenagem!I8:I9)-I4-I7</f>
        <v>1.5070399999999835</v>
      </c>
      <c r="J8" s="365"/>
      <c r="K8" s="365"/>
      <c r="L8" s="365"/>
      <c r="M8" s="365"/>
      <c r="N8" s="2456"/>
      <c r="O8" s="365">
        <f ca="1">MAX(Dre_Terraplenagem!O8:O9)-O4-O7</f>
        <v>1.5008400000000051</v>
      </c>
      <c r="P8" s="365">
        <f ca="1">MAX(Dre_Terraplenagem!P8:P9)-P4-P7</f>
        <v>1.5045900000000301</v>
      </c>
      <c r="Q8" s="365">
        <f ca="1">MAX(Dre_Terraplenagem!Q8:Q9)-Q4-Q7</f>
        <v>1.6407900000001177</v>
      </c>
      <c r="R8" s="365">
        <f ca="1">MAX(Dre_Terraplenagem!R8:R9)-R4-R7</f>
        <v>1.6721900000001368</v>
      </c>
      <c r="S8" s="365">
        <f ca="1">MAX(Dre_Terraplenagem!S8:S9)-S4-S7</f>
        <v>1.6721900000001368</v>
      </c>
      <c r="T8" s="365">
        <f ca="1">MAX(Dre_Terraplenagem!T8:T9)-T4-T7</f>
        <v>1.4396700000000919</v>
      </c>
      <c r="U8" s="365">
        <f ca="1">MAX(Dre_Terraplenagem!U8:U9)-U4-U7</f>
        <v>1.4264300000000958</v>
      </c>
      <c r="V8" s="365">
        <f ca="1">MAX(Dre_Terraplenagem!V8:V9)-V4-V7</f>
        <v>1.5164300000000708</v>
      </c>
      <c r="W8" s="365"/>
      <c r="X8" s="2456"/>
      <c r="Y8" s="365">
        <f ca="1">MAX(Dre_Terraplenagem!Y8:Y9)-Y4-Y7</f>
        <v>1.5283900000000699</v>
      </c>
      <c r="Z8" s="365">
        <f ca="1">MAX(Dre_Terraplenagem!Z8:Z9)-Z4-Z7</f>
        <v>1.5172400000000379</v>
      </c>
      <c r="AA8" s="365">
        <f ca="1">MAX(Dre_Terraplenagem!AA8:AA9)-AA4-AA7</f>
        <v>1.5244400000000495</v>
      </c>
      <c r="AB8" s="365">
        <f ca="1">MAX(Dre_Terraplenagem!AB8:AB9)-AB4-AB7</f>
        <v>1.5244400000000495</v>
      </c>
      <c r="AC8" s="365">
        <f ca="1">MAX(Dre_Terraplenagem!AC8:AC9)-AC4-AC7</f>
        <v>1.5283900000000699</v>
      </c>
      <c r="AD8" s="365">
        <f ca="1">MAX(Dre_Terraplenagem!AD8:AD9)-AD4-AD7</f>
        <v>1.4335500000000365</v>
      </c>
      <c r="AE8" s="365">
        <f ca="1">MAX(Dre_Terraplenagem!AE8:AE9)-AE4-AE7</f>
        <v>1.4305000000000632</v>
      </c>
      <c r="AF8" s="365">
        <f ca="1">MAX(Dre_Terraplenagem!AF8:AF9)-AF4-AF7</f>
        <v>1.5145400000000677</v>
      </c>
      <c r="AG8" s="365">
        <f ca="1">MAX(Dre_Terraplenagem!AG8:AG9)-AG4-AG7</f>
        <v>1.5145400000000677</v>
      </c>
      <c r="AH8" s="365">
        <f ca="1">MAX(Dre_Terraplenagem!AH8:AH9)-AH4-AH7</f>
        <v>1.9462400000001026</v>
      </c>
      <c r="AI8" s="365"/>
      <c r="AJ8" s="365"/>
      <c r="AK8" s="365"/>
      <c r="AL8" s="365"/>
      <c r="AM8" s="365"/>
      <c r="AN8" s="365"/>
      <c r="AO8" s="365"/>
      <c r="AP8" s="365"/>
      <c r="AQ8" s="365"/>
      <c r="AR8" s="2456"/>
      <c r="AS8" s="365">
        <f ca="1">MAX(Dre_Terraplenagem!AS8:AS9)-AS4-AS7</f>
        <v>1.5514199999999732</v>
      </c>
      <c r="AT8" s="365">
        <f ca="1">MAX(Dre_Terraplenagem!AT8:AT9)-AT4-AT7</f>
        <v>1.3730600000000208</v>
      </c>
      <c r="AU8" s="365">
        <f ca="1">MAX(Dre_Terraplenagem!AU8:AU9)-AU4-AU7</f>
        <v>1.3774600000000532</v>
      </c>
      <c r="AV8" s="365">
        <f ca="1">MAX(Dre_Terraplenagem!AV8:AV9)-AV4-AV7</f>
        <v>1.3774600000000532</v>
      </c>
      <c r="AW8" s="365">
        <f ca="1">MAX(Dre_Terraplenagem!AW8:AW9)-AW4-AW7</f>
        <v>2.4462400000001026</v>
      </c>
      <c r="AX8" s="365">
        <f>Dren_Quantificacao!AW12</f>
        <v>0.85</v>
      </c>
      <c r="AY8" s="365">
        <f>Dren_Quantificacao!AX12</f>
        <v>0.85</v>
      </c>
      <c r="AZ8" s="365">
        <f>Dren_Quantificacao!AY12</f>
        <v>0.79999999999999993</v>
      </c>
      <c r="BA8" s="365">
        <f>Dren_Quantificacao!AZ12</f>
        <v>0.79999999999999993</v>
      </c>
      <c r="BB8" s="365">
        <f>Dren_Quantificacao!BA12</f>
        <v>0.85</v>
      </c>
      <c r="BC8" s="365">
        <f>+Dren_Quantificacao!BB12</f>
        <v>0.79999999999999993</v>
      </c>
      <c r="BD8" s="365">
        <f>+Dren_Quantificacao!BC12</f>
        <v>0.85</v>
      </c>
      <c r="BE8" s="365">
        <f>+Dren_Quantificacao!BD12</f>
        <v>0.85</v>
      </c>
      <c r="BF8" s="365">
        <f>+Dren_Quantificacao!BE12</f>
        <v>0.89999999999999991</v>
      </c>
      <c r="BG8" s="365">
        <f>+Dren_Quantificacao!BF12</f>
        <v>0.89999999999999991</v>
      </c>
      <c r="BH8" s="365">
        <f>+Dren_Quantificacao!BG12</f>
        <v>0.85</v>
      </c>
      <c r="BI8" s="365">
        <f>+Dren_Quantificacao!BH12</f>
        <v>0.89999999999999991</v>
      </c>
      <c r="BJ8" s="356"/>
      <c r="BK8" s="356"/>
      <c r="BL8" s="356"/>
      <c r="BM8" s="357"/>
      <c r="BN8" s="579">
        <f t="shared" ca="1" si="0"/>
        <v>50.708800000001496</v>
      </c>
      <c r="BO8" s="1026">
        <v>213.45</v>
      </c>
      <c r="BP8" s="1026">
        <v>428.12360000000001</v>
      </c>
      <c r="BQ8" s="1026">
        <v>273.06</v>
      </c>
      <c r="BR8" s="1026">
        <v>322.98</v>
      </c>
      <c r="BS8" s="1026">
        <v>362.66</v>
      </c>
      <c r="BT8" s="1026">
        <v>486</v>
      </c>
      <c r="BU8" s="1026">
        <v>362.66</v>
      </c>
      <c r="BV8" s="1034">
        <v>422.63</v>
      </c>
      <c r="BW8" s="1026">
        <v>148.41399999999999</v>
      </c>
      <c r="BX8" s="1027">
        <v>0.83199999999999996</v>
      </c>
      <c r="BY8" s="1027">
        <v>0.67369999999999997</v>
      </c>
      <c r="BZ8" s="1027">
        <v>0.80500000000000005</v>
      </c>
      <c r="CA8" s="1027">
        <v>0.75580000000000003</v>
      </c>
      <c r="CB8" s="1027">
        <v>0.72299999999999998</v>
      </c>
      <c r="CC8" s="1026">
        <v>1.08</v>
      </c>
      <c r="CD8" s="1026">
        <v>1.1499999999999999</v>
      </c>
      <c r="CE8" s="1034">
        <v>0.94</v>
      </c>
      <c r="CF8" s="1027">
        <v>0.57889999999999997</v>
      </c>
      <c r="CG8" s="1035">
        <v>0.58199999999999996</v>
      </c>
      <c r="CH8" s="1027">
        <v>0.67369999999999997</v>
      </c>
      <c r="CI8" s="1027">
        <v>0.57899999999999996</v>
      </c>
      <c r="CJ8" s="1027">
        <v>0.58699999999999997</v>
      </c>
      <c r="CK8" s="1027">
        <v>0.59299999999999997</v>
      </c>
      <c r="CL8" s="1027">
        <v>0.9446</v>
      </c>
      <c r="CM8" s="1027">
        <v>1.1299999999999999</v>
      </c>
      <c r="CN8" s="2719"/>
      <c r="CO8" s="1036">
        <v>7.1000000000000004E-3</v>
      </c>
      <c r="CP8" s="1036">
        <v>1.21E-2</v>
      </c>
      <c r="CQ8" s="1036">
        <v>5.7000000000000002E-3</v>
      </c>
      <c r="CR8" s="1036">
        <v>4.4000000000000003E-3</v>
      </c>
      <c r="CS8" s="1036">
        <v>2.75E-2</v>
      </c>
      <c r="CT8" s="1036">
        <v>3.7000000000000002E-3</v>
      </c>
      <c r="CU8" s="1037">
        <f>8.7/1000</f>
        <v>8.6999999999999994E-3</v>
      </c>
      <c r="CV8" s="1037">
        <f>2.5/1000</f>
        <v>2.5000000000000001E-3</v>
      </c>
    </row>
    <row r="9" spans="1:101" ht="21.95" customHeight="1" thickBot="1" x14ac:dyDescent="0.2">
      <c r="A9" s="2707"/>
      <c r="B9" s="2702" t="s">
        <v>1086</v>
      </c>
      <c r="C9" s="2666"/>
      <c r="D9" s="1000"/>
      <c r="E9" s="2239"/>
      <c r="F9" s="240">
        <f>Dre_Terraplenagem!F29</f>
        <v>0</v>
      </c>
      <c r="G9" s="240">
        <f>Dre_Terraplenagem!G29</f>
        <v>1</v>
      </c>
      <c r="H9" s="240">
        <f>Dre_Terraplenagem!H29</f>
        <v>1</v>
      </c>
      <c r="I9" s="240">
        <f>Dre_Terraplenagem!I29</f>
        <v>1</v>
      </c>
      <c r="J9" s="240"/>
      <c r="K9" s="240"/>
      <c r="L9" s="240"/>
      <c r="M9" s="240"/>
      <c r="N9" s="2442"/>
      <c r="O9" s="240">
        <f>Dre_Terraplenagem!O29</f>
        <v>1</v>
      </c>
      <c r="P9" s="240">
        <f>Dre_Terraplenagem!P29</f>
        <v>1</v>
      </c>
      <c r="Q9" s="240">
        <f>Dre_Terraplenagem!Q29</f>
        <v>1</v>
      </c>
      <c r="R9" s="240">
        <f>Dre_Terraplenagem!R29</f>
        <v>1</v>
      </c>
      <c r="S9" s="240">
        <f>Dre_Terraplenagem!S29</f>
        <v>1</v>
      </c>
      <c r="T9" s="240">
        <f>Dre_Terraplenagem!T29</f>
        <v>1</v>
      </c>
      <c r="U9" s="240">
        <f>Dre_Terraplenagem!U29</f>
        <v>1</v>
      </c>
      <c r="V9" s="240">
        <f>Dre_Terraplenagem!V29</f>
        <v>1</v>
      </c>
      <c r="W9" s="240"/>
      <c r="X9" s="2442"/>
      <c r="Y9" s="240">
        <f>Dre_Terraplenagem!Y29</f>
        <v>1</v>
      </c>
      <c r="Z9" s="240">
        <f>Dre_Terraplenagem!Z29</f>
        <v>1</v>
      </c>
      <c r="AA9" s="240">
        <f>Dre_Terraplenagem!AA29</f>
        <v>1</v>
      </c>
      <c r="AB9" s="240">
        <f>Dre_Terraplenagem!AB29</f>
        <v>1</v>
      </c>
      <c r="AC9" s="240">
        <f>Dre_Terraplenagem!AC29</f>
        <v>1</v>
      </c>
      <c r="AD9" s="240">
        <f>Dre_Terraplenagem!AD29</f>
        <v>1</v>
      </c>
      <c r="AE9" s="240">
        <f>Dre_Terraplenagem!AE29</f>
        <v>1</v>
      </c>
      <c r="AF9" s="240">
        <f>Dre_Terraplenagem!AF29</f>
        <v>1</v>
      </c>
      <c r="AG9" s="240">
        <f>Dre_Terraplenagem!AG29</f>
        <v>1</v>
      </c>
      <c r="AH9" s="240">
        <f>Dre_Terraplenagem!AH29</f>
        <v>1</v>
      </c>
      <c r="AI9" s="240"/>
      <c r="AJ9" s="240"/>
      <c r="AK9" s="240"/>
      <c r="AL9" s="240"/>
      <c r="AM9" s="240"/>
      <c r="AN9" s="240"/>
      <c r="AO9" s="240"/>
      <c r="AP9" s="240"/>
      <c r="AQ9" s="240"/>
      <c r="AR9" s="2442"/>
      <c r="AS9" s="240">
        <f>Dre_Terraplenagem!AS29</f>
        <v>1</v>
      </c>
      <c r="AT9" s="240">
        <f>Dre_Terraplenagem!AT29</f>
        <v>1</v>
      </c>
      <c r="AU9" s="240">
        <f>Dre_Terraplenagem!AU29</f>
        <v>1</v>
      </c>
      <c r="AV9" s="240">
        <f>Dre_Terraplenagem!AV29</f>
        <v>1</v>
      </c>
      <c r="AW9" s="240">
        <f>Dre_Terraplenagem!AW29</f>
        <v>1</v>
      </c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6"/>
      <c r="BK9" s="236"/>
      <c r="BL9" s="236"/>
      <c r="BM9" s="355"/>
      <c r="BN9" s="579">
        <f t="shared" si="0"/>
        <v>26</v>
      </c>
      <c r="BO9" s="1047"/>
      <c r="BP9" s="1038"/>
      <c r="BQ9" s="1038"/>
      <c r="BR9" s="1038"/>
      <c r="BS9" s="1038"/>
      <c r="BT9" s="1038"/>
      <c r="BU9" s="1038"/>
      <c r="BV9" s="1038"/>
      <c r="BW9" s="1039"/>
      <c r="BX9" s="1038"/>
      <c r="BY9" s="1038"/>
      <c r="BZ9" s="1038"/>
      <c r="CA9" s="1038"/>
      <c r="CB9" s="1038"/>
      <c r="CC9" s="1038"/>
      <c r="CD9" s="1038"/>
      <c r="CE9" s="1038"/>
      <c r="CF9" s="1040"/>
      <c r="CG9" s="1038"/>
      <c r="CH9" s="1038"/>
      <c r="CI9" s="1038"/>
      <c r="CJ9" s="1038"/>
      <c r="CK9" s="1038"/>
      <c r="CL9" s="1038"/>
      <c r="CM9" s="1039"/>
      <c r="CN9" s="1040"/>
      <c r="CO9" s="1038"/>
      <c r="CP9" s="1038"/>
      <c r="CQ9" s="1038"/>
      <c r="CR9" s="1038"/>
      <c r="CS9" s="1038"/>
      <c r="CT9" s="1040"/>
      <c r="CU9" s="1041"/>
      <c r="CV9" s="1038"/>
      <c r="CW9" s="973"/>
    </row>
    <row r="10" spans="1:101" ht="21.95" customHeight="1" x14ac:dyDescent="0.15">
      <c r="A10" s="2707"/>
      <c r="B10" s="2605" t="s">
        <v>1118</v>
      </c>
      <c r="C10" s="550" t="s">
        <v>1120</v>
      </c>
      <c r="D10" s="1002"/>
      <c r="E10" s="2241"/>
      <c r="F10" s="238">
        <f>Dren_Quantificacao!D144+Dren_Quantificacao!D147</f>
        <v>0</v>
      </c>
      <c r="G10" s="238">
        <f>Dren_Quantificacao!E144+Dren_Quantificacao!E147</f>
        <v>20</v>
      </c>
      <c r="H10" s="238">
        <f>Dren_Quantificacao!F144+Dren_Quantificacao!F147</f>
        <v>21</v>
      </c>
      <c r="I10" s="238">
        <f>Dren_Quantificacao!G144+Dren_Quantificacao!G147</f>
        <v>7</v>
      </c>
      <c r="J10" s="238"/>
      <c r="K10" s="238"/>
      <c r="L10" s="238"/>
      <c r="M10" s="238"/>
      <c r="N10" s="2439"/>
      <c r="O10" s="238">
        <f>Dren_Quantificacao!M144+Dren_Quantificacao!M147</f>
        <v>48</v>
      </c>
      <c r="P10" s="238">
        <f>Dren_Quantificacao!N144+Dren_Quantificacao!N147</f>
        <v>83</v>
      </c>
      <c r="Q10" s="238">
        <f>Dren_Quantificacao!O144+Dren_Quantificacao!O147</f>
        <v>10</v>
      </c>
      <c r="R10" s="238">
        <f>Dren_Quantificacao!P144+Dren_Quantificacao!P147</f>
        <v>22</v>
      </c>
      <c r="S10" s="238">
        <f>Dren_Quantificacao!Q144+Dren_Quantificacao!Q147</f>
        <v>22</v>
      </c>
      <c r="T10" s="238">
        <f>Dren_Quantificacao!R144+Dren_Quantificacao!R147</f>
        <v>38</v>
      </c>
      <c r="U10" s="238">
        <f>Dren_Quantificacao!S144+Dren_Quantificacao!S147</f>
        <v>22</v>
      </c>
      <c r="V10" s="238">
        <f>Dren_Quantificacao!T144+Dren_Quantificacao!T147</f>
        <v>22</v>
      </c>
      <c r="W10" s="238"/>
      <c r="X10" s="2439"/>
      <c r="Y10" s="238">
        <f>Dren_Quantificacao!W144+Dren_Quantificacao!W147</f>
        <v>45</v>
      </c>
      <c r="Z10" s="238">
        <f>Dren_Quantificacao!X144+Dren_Quantificacao!X147</f>
        <v>19</v>
      </c>
      <c r="AA10" s="238">
        <f>Dren_Quantificacao!Y144+Dren_Quantificacao!Y147</f>
        <v>3</v>
      </c>
      <c r="AB10" s="238">
        <f>Dren_Quantificacao!Z144+Dren_Quantificacao!Z147</f>
        <v>20</v>
      </c>
      <c r="AC10" s="238">
        <f>Dren_Quantificacao!AA144+Dren_Quantificacao!AA147</f>
        <v>10</v>
      </c>
      <c r="AD10" s="238">
        <f>Dren_Quantificacao!AB144+Dren_Quantificacao!AB147</f>
        <v>46</v>
      </c>
      <c r="AE10" s="238">
        <f>Dren_Quantificacao!AC144+Dren_Quantificacao!AC147</f>
        <v>46</v>
      </c>
      <c r="AF10" s="238">
        <f>Dren_Quantificacao!AD144+Dren_Quantificacao!AD147</f>
        <v>25</v>
      </c>
      <c r="AG10" s="238">
        <f>Dren_Quantificacao!AE144+Dren_Quantificacao!AE147</f>
        <v>3</v>
      </c>
      <c r="AH10" s="238">
        <f>Dren_Quantificacao!AF144+Dren_Quantificacao!AF147</f>
        <v>3</v>
      </c>
      <c r="AI10" s="238"/>
      <c r="AJ10" s="238"/>
      <c r="AK10" s="238"/>
      <c r="AL10" s="238"/>
      <c r="AM10" s="238"/>
      <c r="AN10" s="238"/>
      <c r="AO10" s="238"/>
      <c r="AP10" s="238"/>
      <c r="AQ10" s="238"/>
      <c r="AR10" s="2439"/>
      <c r="AS10" s="238">
        <f>Dren_Quantificacao!AQ144+Dren_Quantificacao!AQ147</f>
        <v>50</v>
      </c>
      <c r="AT10" s="238">
        <f>Dren_Quantificacao!AR144+Dren_Quantificacao!AR147</f>
        <v>48</v>
      </c>
      <c r="AU10" s="238">
        <f>Dren_Quantificacao!AS144+Dren_Quantificacao!AS147</f>
        <v>48</v>
      </c>
      <c r="AV10" s="238">
        <f>Dren_Quantificacao!AT144+Dren_Quantificacao!AT147</f>
        <v>38</v>
      </c>
      <c r="AW10" s="238">
        <f>Dren_Quantificacao!AU144+Dren_Quantificacao!AU147</f>
        <v>83</v>
      </c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1"/>
      <c r="BL10" s="241"/>
      <c r="BM10" s="362">
        <f t="shared" ref="BM10:BM41" si="1">ROUND(SUM(F10:BL10),2)</f>
        <v>802</v>
      </c>
      <c r="BN10" s="579">
        <f t="shared" si="0"/>
        <v>1604</v>
      </c>
      <c r="BO10" s="1047"/>
      <c r="BP10" s="1038"/>
      <c r="BQ10" s="1038"/>
      <c r="BR10" s="1038"/>
      <c r="BS10" s="1038"/>
      <c r="BT10" s="1038">
        <v>2E-3</v>
      </c>
      <c r="BU10" s="1038"/>
      <c r="BV10" s="1038"/>
      <c r="BW10" s="1040"/>
      <c r="BX10" s="1038"/>
      <c r="BY10" s="1038"/>
      <c r="BZ10" s="1038"/>
      <c r="CA10" s="1038"/>
      <c r="CB10" s="1038"/>
      <c r="CC10" s="1038">
        <v>2E-3</v>
      </c>
      <c r="CD10" s="1038"/>
      <c r="CE10" s="1038"/>
      <c r="CF10" s="1040"/>
      <c r="CG10" s="1038"/>
      <c r="CH10" s="1038"/>
      <c r="CI10" s="1038"/>
      <c r="CJ10" s="1038"/>
      <c r="CK10" s="1038"/>
      <c r="CL10" s="1038"/>
      <c r="CM10" s="1040"/>
      <c r="CN10" s="1040"/>
      <c r="CO10" s="1038"/>
      <c r="CP10" s="1038"/>
      <c r="CQ10" s="1038"/>
      <c r="CR10" s="1038"/>
      <c r="CS10" s="1038"/>
      <c r="CT10" s="1040"/>
      <c r="CU10" s="1041"/>
      <c r="CV10" s="1038"/>
      <c r="CW10" s="973"/>
    </row>
    <row r="11" spans="1:101" ht="21.95" customHeight="1" x14ac:dyDescent="0.15">
      <c r="A11" s="2707"/>
      <c r="B11" s="2606"/>
      <c r="C11" s="567" t="s">
        <v>630</v>
      </c>
      <c r="D11" s="1003"/>
      <c r="E11" s="1287"/>
      <c r="F11" s="158">
        <f>Dren_Quantificacao!D146+Dren_Quantificacao!D148</f>
        <v>0</v>
      </c>
      <c r="G11" s="158">
        <f>Dren_Quantificacao!E146+Dren_Quantificacao!E148</f>
        <v>0</v>
      </c>
      <c r="H11" s="158">
        <f>Dren_Quantificacao!F146+Dren_Quantificacao!F148</f>
        <v>0</v>
      </c>
      <c r="I11" s="158">
        <f>Dren_Quantificacao!G146+Dren_Quantificacao!G148</f>
        <v>0</v>
      </c>
      <c r="J11" s="158"/>
      <c r="K11" s="158"/>
      <c r="L11" s="158"/>
      <c r="M11" s="158"/>
      <c r="N11" s="2416"/>
      <c r="O11" s="158">
        <f>Dren_Quantificacao!M146+Dren_Quantificacao!M148</f>
        <v>0</v>
      </c>
      <c r="P11" s="158">
        <f>Dren_Quantificacao!N146+Dren_Quantificacao!N148</f>
        <v>0</v>
      </c>
      <c r="Q11" s="158">
        <f>Dren_Quantificacao!O146+Dren_Quantificacao!O148</f>
        <v>0</v>
      </c>
      <c r="R11" s="158">
        <f>Dren_Quantificacao!P146+Dren_Quantificacao!P148</f>
        <v>0</v>
      </c>
      <c r="S11" s="158">
        <f>Dren_Quantificacao!Q146+Dren_Quantificacao!Q148</f>
        <v>0</v>
      </c>
      <c r="T11" s="158">
        <f>Dren_Quantificacao!R146+Dren_Quantificacao!R148</f>
        <v>0</v>
      </c>
      <c r="U11" s="158">
        <f>Dren_Quantificacao!S146+Dren_Quantificacao!S148</f>
        <v>0</v>
      </c>
      <c r="V11" s="158">
        <f>Dren_Quantificacao!T146+Dren_Quantificacao!T148</f>
        <v>0</v>
      </c>
      <c r="W11" s="158"/>
      <c r="X11" s="2416"/>
      <c r="Y11" s="158">
        <f>Dren_Quantificacao!W146+Dren_Quantificacao!W148</f>
        <v>20</v>
      </c>
      <c r="Z11" s="158">
        <f>Dren_Quantificacao!X146+Dren_Quantificacao!X148</f>
        <v>0</v>
      </c>
      <c r="AA11" s="158">
        <f>Dren_Quantificacao!Y146+Dren_Quantificacao!Y148</f>
        <v>0</v>
      </c>
      <c r="AB11" s="158">
        <f>Dren_Quantificacao!Z146+Dren_Quantificacao!Z148</f>
        <v>0</v>
      </c>
      <c r="AC11" s="158">
        <f>Dren_Quantificacao!AA146+Dren_Quantificacao!AA148</f>
        <v>0</v>
      </c>
      <c r="AD11" s="158">
        <f>Dren_Quantificacao!AB146+Dren_Quantificacao!AB148</f>
        <v>0</v>
      </c>
      <c r="AE11" s="158">
        <f>Dren_Quantificacao!AC146+Dren_Quantificacao!AC148</f>
        <v>19</v>
      </c>
      <c r="AF11" s="158">
        <f>Dren_Quantificacao!AD146+Dren_Quantificacao!AD148</f>
        <v>27</v>
      </c>
      <c r="AG11" s="158">
        <f>Dren_Quantificacao!AE146+Dren_Quantificacao!AE148</f>
        <v>0</v>
      </c>
      <c r="AH11" s="158">
        <f>Dren_Quantificacao!AF146+Dren_Quantificacao!AF148</f>
        <v>0</v>
      </c>
      <c r="AI11" s="158"/>
      <c r="AJ11" s="158"/>
      <c r="AK11" s="158"/>
      <c r="AL11" s="158"/>
      <c r="AM11" s="158"/>
      <c r="AN11" s="158"/>
      <c r="AO11" s="158"/>
      <c r="AP11" s="158"/>
      <c r="AQ11" s="158"/>
      <c r="AR11" s="2416"/>
      <c r="AS11" s="158">
        <f>Dren_Quantificacao!AQ146+Dren_Quantificacao!AQ148</f>
        <v>0</v>
      </c>
      <c r="AT11" s="158">
        <f>Dren_Quantificacao!AR146+Dren_Quantificacao!AR148</f>
        <v>0</v>
      </c>
      <c r="AU11" s="158">
        <f>Dren_Quantificacao!AS146+Dren_Quantificacao!AS148</f>
        <v>0</v>
      </c>
      <c r="AV11" s="158">
        <f>Dren_Quantificacao!AT146+Dren_Quantificacao!AT148</f>
        <v>0</v>
      </c>
      <c r="AW11" s="158">
        <f>Dren_Quantificacao!AU146+Dren_Quantificacao!AU148</f>
        <v>0</v>
      </c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350">
        <f t="shared" si="1"/>
        <v>66</v>
      </c>
      <c r="BN11" s="579">
        <f t="shared" si="0"/>
        <v>132</v>
      </c>
      <c r="BO11" s="1047"/>
      <c r="BP11" s="1038"/>
      <c r="BQ11" s="1038"/>
      <c r="BR11" s="1038"/>
      <c r="BS11" s="1038"/>
      <c r="BT11" s="1038">
        <v>5.0000000000000001E-3</v>
      </c>
      <c r="BU11" s="1038"/>
      <c r="BV11" s="1038"/>
      <c r="BW11" s="1040"/>
      <c r="BX11" s="1038"/>
      <c r="BY11" s="1038"/>
      <c r="BZ11" s="1038"/>
      <c r="CA11" s="1038"/>
      <c r="CB11" s="1038"/>
      <c r="CC11" s="1038">
        <v>5.0000000000000001E-3</v>
      </c>
      <c r="CD11" s="1038"/>
      <c r="CE11" s="1038"/>
      <c r="CF11" s="1040"/>
      <c r="CG11" s="1038"/>
      <c r="CH11" s="1038"/>
      <c r="CI11" s="1038"/>
      <c r="CJ11" s="1038"/>
      <c r="CK11" s="1038"/>
      <c r="CL11" s="1038"/>
      <c r="CM11" s="1040"/>
      <c r="CN11" s="1040"/>
      <c r="CO11" s="1038"/>
      <c r="CP11" s="1038"/>
      <c r="CQ11" s="1038"/>
      <c r="CR11" s="1038"/>
      <c r="CS11" s="1038"/>
      <c r="CT11" s="1040"/>
      <c r="CU11" s="1041"/>
      <c r="CV11" s="1038"/>
      <c r="CW11" s="973"/>
    </row>
    <row r="12" spans="1:101" ht="21.95" customHeight="1" thickBot="1" x14ac:dyDescent="0.2">
      <c r="A12" s="2707"/>
      <c r="B12" s="2607"/>
      <c r="C12" s="566">
        <v>0.6</v>
      </c>
      <c r="D12" s="1004"/>
      <c r="E12" s="2242"/>
      <c r="F12" s="239">
        <f t="shared" ref="F12:G12" si="2">IF(F$4&lt;&gt;$C12,0,IF(AND(F$5="PS-1",F9=1),F2*F3,0))</f>
        <v>0</v>
      </c>
      <c r="G12" s="239">
        <f t="shared" ca="1" si="2"/>
        <v>72.02</v>
      </c>
      <c r="H12" s="239">
        <f t="shared" ref="H12:I12" ca="1" si="3">IF(H$4&lt;&gt;$C12,0,IF(AND(H$5="PS-1",H9=1),H2*H3,0))</f>
        <v>59.18</v>
      </c>
      <c r="I12" s="239">
        <f t="shared" ca="1" si="3"/>
        <v>59.18</v>
      </c>
      <c r="J12" s="239"/>
      <c r="K12" s="239"/>
      <c r="L12" s="239"/>
      <c r="M12" s="239"/>
      <c r="N12" s="2440"/>
      <c r="O12" s="239">
        <f t="shared" ref="O12:V12" ca="1" si="4">IF(O$4&lt;&gt;$C12,0,IF(AND(O$5="PS-1",O9=1),O2*O3,0))</f>
        <v>66.88</v>
      </c>
      <c r="P12" s="239">
        <f t="shared" ca="1" si="4"/>
        <v>87.75</v>
      </c>
      <c r="Q12" s="239">
        <f t="shared" ca="1" si="4"/>
        <v>89.12</v>
      </c>
      <c r="R12" s="239">
        <f t="shared" ca="1" si="4"/>
        <v>91.12</v>
      </c>
      <c r="S12" s="239">
        <f t="shared" ca="1" si="4"/>
        <v>87.12</v>
      </c>
      <c r="T12" s="239">
        <f t="shared" ca="1" si="4"/>
        <v>0</v>
      </c>
      <c r="U12" s="239">
        <f t="shared" ca="1" si="4"/>
        <v>0</v>
      </c>
      <c r="V12" s="239">
        <f t="shared" ca="1" si="4"/>
        <v>0</v>
      </c>
      <c r="W12" s="239"/>
      <c r="X12" s="2440"/>
      <c r="Y12" s="239">
        <f t="shared" ref="Y12:AH12" ca="1" si="5">IF(Y$4&lt;&gt;$C12,0,IF(AND(Y$5="PS-1",Y9=1),Y2*Y3,0))</f>
        <v>0</v>
      </c>
      <c r="Z12" s="239">
        <f t="shared" ca="1" si="5"/>
        <v>94.68</v>
      </c>
      <c r="AA12" s="239">
        <f t="shared" ca="1" si="5"/>
        <v>94.68</v>
      </c>
      <c r="AB12" s="239">
        <f t="shared" ca="1" si="5"/>
        <v>94.68</v>
      </c>
      <c r="AC12" s="239">
        <f t="shared" ca="1" si="5"/>
        <v>0</v>
      </c>
      <c r="AD12" s="239">
        <f t="shared" ca="1" si="5"/>
        <v>0</v>
      </c>
      <c r="AE12" s="239">
        <f t="shared" ca="1" si="5"/>
        <v>0</v>
      </c>
      <c r="AF12" s="239">
        <f t="shared" ca="1" si="5"/>
        <v>0</v>
      </c>
      <c r="AG12" s="239">
        <f t="shared" ca="1" si="5"/>
        <v>0</v>
      </c>
      <c r="AH12" s="239">
        <f t="shared" ca="1" si="5"/>
        <v>0</v>
      </c>
      <c r="AI12" s="239"/>
      <c r="AJ12" s="239"/>
      <c r="AK12" s="239"/>
      <c r="AL12" s="239"/>
      <c r="AM12" s="239"/>
      <c r="AN12" s="239"/>
      <c r="AO12" s="239"/>
      <c r="AP12" s="239"/>
      <c r="AQ12" s="239"/>
      <c r="AR12" s="2440"/>
      <c r="AS12" s="239">
        <f t="shared" ref="AS12:AW12" ca="1" si="6">IF(AS$4&lt;&gt;$C12,0,IF(AND(AS$5="PS-1",AS9=1),AS2*AS3,0))</f>
        <v>72.22</v>
      </c>
      <c r="AT12" s="239">
        <f t="shared" ca="1" si="6"/>
        <v>0</v>
      </c>
      <c r="AU12" s="239">
        <f t="shared" ca="1" si="6"/>
        <v>0</v>
      </c>
      <c r="AV12" s="239">
        <f t="shared" ca="1" si="6"/>
        <v>0</v>
      </c>
      <c r="AW12" s="239">
        <f t="shared" ca="1" si="6"/>
        <v>0</v>
      </c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361">
        <f t="shared" ca="1" si="1"/>
        <v>968.63</v>
      </c>
      <c r="BN12" s="579">
        <f t="shared" ca="1" si="0"/>
        <v>1937.2600000000002</v>
      </c>
      <c r="BO12" s="1047"/>
      <c r="BP12" s="1038"/>
      <c r="BQ12" s="1038"/>
      <c r="BR12" s="1038"/>
      <c r="BS12" s="1038"/>
      <c r="BT12" s="1038">
        <v>5.0000000000000001E-3</v>
      </c>
      <c r="BU12" s="1038"/>
      <c r="BV12" s="1038"/>
      <c r="BW12" s="1040"/>
      <c r="BX12" s="1038"/>
      <c r="BY12" s="1038"/>
      <c r="BZ12" s="1038"/>
      <c r="CA12" s="1038"/>
      <c r="CB12" s="1038"/>
      <c r="CC12" s="1038">
        <v>5.0000000000000001E-3</v>
      </c>
      <c r="CD12" s="1038"/>
      <c r="CE12" s="1038"/>
      <c r="CF12" s="1040"/>
      <c r="CG12" s="1038"/>
      <c r="CH12" s="1038"/>
      <c r="CI12" s="1038"/>
      <c r="CJ12" s="1038"/>
      <c r="CK12" s="1038"/>
      <c r="CL12" s="1038"/>
      <c r="CM12" s="1040"/>
      <c r="CN12" s="1040"/>
      <c r="CO12" s="1038"/>
      <c r="CP12" s="1038"/>
      <c r="CQ12" s="1038"/>
      <c r="CR12" s="1038"/>
      <c r="CS12" s="1038"/>
      <c r="CT12" s="1040"/>
      <c r="CU12" s="1041"/>
      <c r="CV12" s="1038"/>
      <c r="CW12" s="973"/>
    </row>
    <row r="13" spans="1:101" ht="21.95" hidden="1" customHeight="1" x14ac:dyDescent="0.15">
      <c r="A13" s="2707"/>
      <c r="B13" s="2605" t="s">
        <v>1119</v>
      </c>
      <c r="C13" s="550">
        <v>0.4</v>
      </c>
      <c r="D13" s="1003"/>
      <c r="E13" s="1287"/>
      <c r="F13" s="238">
        <f>Dren_Quantificacao!D143</f>
        <v>0</v>
      </c>
      <c r="G13" s="238">
        <f>Dren_Quantificacao!E143</f>
        <v>0</v>
      </c>
      <c r="H13" s="238">
        <f>Dren_Quantificacao!F143</f>
        <v>0</v>
      </c>
      <c r="I13" s="238">
        <f>Dren_Quantificacao!G143</f>
        <v>0</v>
      </c>
      <c r="J13" s="238"/>
      <c r="K13" s="238"/>
      <c r="L13" s="238"/>
      <c r="M13" s="238"/>
      <c r="N13" s="2439"/>
      <c r="O13" s="238">
        <f>Dren_Quantificacao!M143</f>
        <v>0</v>
      </c>
      <c r="P13" s="238">
        <f>Dren_Quantificacao!N143</f>
        <v>0</v>
      </c>
      <c r="Q13" s="238">
        <f>Dren_Quantificacao!O143</f>
        <v>0</v>
      </c>
      <c r="R13" s="238">
        <f>Dren_Quantificacao!P143</f>
        <v>0</v>
      </c>
      <c r="S13" s="238">
        <f>Dren_Quantificacao!Q143</f>
        <v>0</v>
      </c>
      <c r="T13" s="238">
        <f>Dren_Quantificacao!R143</f>
        <v>0</v>
      </c>
      <c r="U13" s="238">
        <f>Dren_Quantificacao!S143</f>
        <v>0</v>
      </c>
      <c r="V13" s="238">
        <f>Dren_Quantificacao!T143</f>
        <v>0</v>
      </c>
      <c r="W13" s="238"/>
      <c r="X13" s="2439"/>
      <c r="Y13" s="238">
        <f>Dren_Quantificacao!W143</f>
        <v>0</v>
      </c>
      <c r="Z13" s="238">
        <f>Dren_Quantificacao!X143</f>
        <v>0</v>
      </c>
      <c r="AA13" s="238">
        <f>Dren_Quantificacao!Y143</f>
        <v>0</v>
      </c>
      <c r="AB13" s="238">
        <f>Dren_Quantificacao!Z143</f>
        <v>0</v>
      </c>
      <c r="AC13" s="238">
        <f>Dren_Quantificacao!AA143</f>
        <v>0</v>
      </c>
      <c r="AD13" s="238">
        <f>Dren_Quantificacao!AB143</f>
        <v>0</v>
      </c>
      <c r="AE13" s="238">
        <f>Dren_Quantificacao!AC143</f>
        <v>0</v>
      </c>
      <c r="AF13" s="238">
        <f>Dren_Quantificacao!AD143</f>
        <v>0</v>
      </c>
      <c r="AG13" s="238">
        <f>Dren_Quantificacao!AE143</f>
        <v>0</v>
      </c>
      <c r="AH13" s="238">
        <f>Dren_Quantificacao!AF143</f>
        <v>0</v>
      </c>
      <c r="AI13" s="238"/>
      <c r="AJ13" s="238"/>
      <c r="AK13" s="238"/>
      <c r="AL13" s="238"/>
      <c r="AM13" s="238"/>
      <c r="AN13" s="238"/>
      <c r="AO13" s="238"/>
      <c r="AP13" s="238"/>
      <c r="AQ13" s="238"/>
      <c r="AR13" s="2439"/>
      <c r="AS13" s="238">
        <f>Dren_Quantificacao!AQ143</f>
        <v>0</v>
      </c>
      <c r="AT13" s="238">
        <f>Dren_Quantificacao!AR143</f>
        <v>0</v>
      </c>
      <c r="AU13" s="238">
        <f>Dren_Quantificacao!AS143</f>
        <v>0</v>
      </c>
      <c r="AV13" s="238">
        <f>Dren_Quantificacao!AT143</f>
        <v>0</v>
      </c>
      <c r="AW13" s="238">
        <f>Dren_Quantificacao!AU143</f>
        <v>0</v>
      </c>
      <c r="AX13" s="241"/>
      <c r="AY13" s="159"/>
      <c r="AZ13" s="241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362">
        <f t="shared" si="1"/>
        <v>0</v>
      </c>
      <c r="BN13" s="579">
        <f t="shared" si="0"/>
        <v>0</v>
      </c>
      <c r="BO13" s="1047"/>
      <c r="BP13" s="1038"/>
      <c r="BQ13" s="1038"/>
      <c r="BR13" s="1038"/>
      <c r="BS13" s="1038"/>
      <c r="BT13" s="1038">
        <v>2E-3</v>
      </c>
      <c r="BU13" s="1038"/>
      <c r="BV13" s="1038"/>
      <c r="BW13" s="1040"/>
      <c r="BX13" s="1038"/>
      <c r="BY13" s="1038"/>
      <c r="BZ13" s="1038"/>
      <c r="CA13" s="1038"/>
      <c r="CB13" s="1038"/>
      <c r="CC13" s="1038">
        <v>2E-3</v>
      </c>
      <c r="CD13" s="1038"/>
      <c r="CE13" s="1038"/>
      <c r="CF13" s="1040"/>
      <c r="CG13" s="1038"/>
      <c r="CH13" s="1038"/>
      <c r="CI13" s="1038"/>
      <c r="CJ13" s="1038"/>
      <c r="CK13" s="1038"/>
      <c r="CL13" s="1038"/>
      <c r="CM13" s="1040"/>
      <c r="CN13" s="1040"/>
      <c r="CO13" s="1038"/>
      <c r="CP13" s="1038"/>
      <c r="CQ13" s="1038"/>
      <c r="CR13" s="1038"/>
      <c r="CS13" s="1038"/>
      <c r="CT13" s="1040"/>
      <c r="CU13" s="1041"/>
      <c r="CV13" s="1038"/>
      <c r="CW13" s="973"/>
    </row>
    <row r="14" spans="1:101" ht="21.95" hidden="1" customHeight="1" x14ac:dyDescent="0.15">
      <c r="A14" s="2707"/>
      <c r="B14" s="2606"/>
      <c r="C14" s="567" t="s">
        <v>630</v>
      </c>
      <c r="D14" s="1003"/>
      <c r="E14" s="1287"/>
      <c r="F14" s="158">
        <f>Dren_Quantificacao!D145</f>
        <v>0</v>
      </c>
      <c r="G14" s="158">
        <f>Dren_Quantificacao!E145</f>
        <v>0</v>
      </c>
      <c r="H14" s="158">
        <f>Dren_Quantificacao!F145</f>
        <v>0</v>
      </c>
      <c r="I14" s="158">
        <f>Dren_Quantificacao!G145</f>
        <v>0</v>
      </c>
      <c r="J14" s="158"/>
      <c r="K14" s="158"/>
      <c r="L14" s="158"/>
      <c r="M14" s="158"/>
      <c r="N14" s="2416"/>
      <c r="O14" s="158">
        <f>Dren_Quantificacao!M145</f>
        <v>0</v>
      </c>
      <c r="P14" s="158">
        <f>Dren_Quantificacao!N145</f>
        <v>0</v>
      </c>
      <c r="Q14" s="158">
        <f>Dren_Quantificacao!O145</f>
        <v>0</v>
      </c>
      <c r="R14" s="158">
        <f>Dren_Quantificacao!P145</f>
        <v>0</v>
      </c>
      <c r="S14" s="158">
        <f>Dren_Quantificacao!Q145</f>
        <v>0</v>
      </c>
      <c r="T14" s="158">
        <f>Dren_Quantificacao!R145</f>
        <v>0</v>
      </c>
      <c r="U14" s="158">
        <f>Dren_Quantificacao!S145</f>
        <v>0</v>
      </c>
      <c r="V14" s="158">
        <f>Dren_Quantificacao!T145</f>
        <v>0</v>
      </c>
      <c r="W14" s="158"/>
      <c r="X14" s="2416"/>
      <c r="Y14" s="158">
        <f>Dren_Quantificacao!W145</f>
        <v>0</v>
      </c>
      <c r="Z14" s="158">
        <f>Dren_Quantificacao!X145</f>
        <v>0</v>
      </c>
      <c r="AA14" s="158">
        <f>Dren_Quantificacao!Y145</f>
        <v>0</v>
      </c>
      <c r="AB14" s="158">
        <f>Dren_Quantificacao!Z145</f>
        <v>0</v>
      </c>
      <c r="AC14" s="158">
        <f>Dren_Quantificacao!AA145</f>
        <v>0</v>
      </c>
      <c r="AD14" s="158">
        <f>Dren_Quantificacao!AB145</f>
        <v>0</v>
      </c>
      <c r="AE14" s="158">
        <f>Dren_Quantificacao!AC145</f>
        <v>0</v>
      </c>
      <c r="AF14" s="158">
        <f>Dren_Quantificacao!AD145</f>
        <v>0</v>
      </c>
      <c r="AG14" s="158">
        <f>Dren_Quantificacao!AE145</f>
        <v>0</v>
      </c>
      <c r="AH14" s="158">
        <f>Dren_Quantificacao!AF145</f>
        <v>0</v>
      </c>
      <c r="AI14" s="158"/>
      <c r="AJ14" s="158"/>
      <c r="AK14" s="158"/>
      <c r="AL14" s="158"/>
      <c r="AM14" s="158"/>
      <c r="AN14" s="158"/>
      <c r="AO14" s="158"/>
      <c r="AP14" s="158"/>
      <c r="AQ14" s="158"/>
      <c r="AR14" s="2416"/>
      <c r="AS14" s="158">
        <f>Dren_Quantificacao!AQ145</f>
        <v>0</v>
      </c>
      <c r="AT14" s="158">
        <f>Dren_Quantificacao!AR145</f>
        <v>0</v>
      </c>
      <c r="AU14" s="158">
        <f>Dren_Quantificacao!AS145</f>
        <v>0</v>
      </c>
      <c r="AV14" s="158">
        <f>Dren_Quantificacao!AT145</f>
        <v>0</v>
      </c>
      <c r="AW14" s="158">
        <f>Dren_Quantificacao!AU145</f>
        <v>0</v>
      </c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350">
        <f t="shared" si="1"/>
        <v>0</v>
      </c>
      <c r="BN14" s="579">
        <f t="shared" si="0"/>
        <v>0</v>
      </c>
      <c r="BO14" s="1047"/>
      <c r="BP14" s="1038"/>
      <c r="BQ14" s="1038"/>
      <c r="BR14" s="1038"/>
      <c r="BS14" s="1038"/>
      <c r="BT14" s="1038">
        <v>5.0000000000000001E-3</v>
      </c>
      <c r="BU14" s="1038"/>
      <c r="BV14" s="1038"/>
      <c r="BW14" s="1040"/>
      <c r="BX14" s="1038"/>
      <c r="BY14" s="1038"/>
      <c r="BZ14" s="1038"/>
      <c r="CA14" s="1038"/>
      <c r="CB14" s="1038"/>
      <c r="CC14" s="1038">
        <v>5.0000000000000001E-3</v>
      </c>
      <c r="CD14" s="1038"/>
      <c r="CE14" s="1038"/>
      <c r="CF14" s="1040"/>
      <c r="CG14" s="1038"/>
      <c r="CH14" s="1038"/>
      <c r="CI14" s="1038"/>
      <c r="CJ14" s="1038"/>
      <c r="CK14" s="1038"/>
      <c r="CL14" s="1038"/>
      <c r="CM14" s="1040"/>
      <c r="CN14" s="1040"/>
      <c r="CO14" s="1038"/>
      <c r="CP14" s="1038"/>
      <c r="CQ14" s="1038"/>
      <c r="CR14" s="1038"/>
      <c r="CS14" s="1038"/>
      <c r="CT14" s="1040"/>
      <c r="CU14" s="1041"/>
      <c r="CV14" s="1038"/>
      <c r="CW14" s="973"/>
    </row>
    <row r="15" spans="1:101" ht="21.95" hidden="1" customHeight="1" thickBot="1" x14ac:dyDescent="0.2">
      <c r="A15" s="2707"/>
      <c r="B15" s="2607"/>
      <c r="C15" s="566">
        <v>0.6</v>
      </c>
      <c r="D15" s="1003"/>
      <c r="E15" s="1287"/>
      <c r="F15" s="158">
        <f t="shared" ref="F15:G15" si="7">IF(F$4&lt;&gt;$C15,0,IF(AND(F$5="PS-1",F9=2),F2*F3,0))</f>
        <v>0</v>
      </c>
      <c r="G15" s="158">
        <f t="shared" ca="1" si="7"/>
        <v>0</v>
      </c>
      <c r="H15" s="158">
        <f t="shared" ref="H15:I15" ca="1" si="8">IF(H$4&lt;&gt;$C15,0,IF(AND(H$5="PS-1",H9=2),H2*H3,0))</f>
        <v>0</v>
      </c>
      <c r="I15" s="158">
        <f t="shared" ca="1" si="8"/>
        <v>0</v>
      </c>
      <c r="J15" s="158"/>
      <c r="K15" s="158"/>
      <c r="L15" s="158"/>
      <c r="M15" s="158"/>
      <c r="N15" s="2416"/>
      <c r="O15" s="158">
        <f t="shared" ref="O15:V15" ca="1" si="9">IF(O$4&lt;&gt;$C15,0,IF(AND(O$5="PS-1",O9=2),O2*O3,0))</f>
        <v>0</v>
      </c>
      <c r="P15" s="158">
        <f t="shared" ca="1" si="9"/>
        <v>0</v>
      </c>
      <c r="Q15" s="158">
        <f t="shared" ca="1" si="9"/>
        <v>0</v>
      </c>
      <c r="R15" s="158">
        <f t="shared" ca="1" si="9"/>
        <v>0</v>
      </c>
      <c r="S15" s="158">
        <f t="shared" ca="1" si="9"/>
        <v>0</v>
      </c>
      <c r="T15" s="158">
        <f t="shared" ca="1" si="9"/>
        <v>0</v>
      </c>
      <c r="U15" s="158">
        <f t="shared" ca="1" si="9"/>
        <v>0</v>
      </c>
      <c r="V15" s="158">
        <f t="shared" ca="1" si="9"/>
        <v>0</v>
      </c>
      <c r="W15" s="158"/>
      <c r="X15" s="2416"/>
      <c r="Y15" s="158">
        <f t="shared" ref="Y15:AH15" ca="1" si="10">IF(Y$4&lt;&gt;$C15,0,IF(AND(Y$5="PS-1",Y9=2),Y2*Y3,0))</f>
        <v>0</v>
      </c>
      <c r="Z15" s="158">
        <f t="shared" ca="1" si="10"/>
        <v>0</v>
      </c>
      <c r="AA15" s="158">
        <f t="shared" ca="1" si="10"/>
        <v>0</v>
      </c>
      <c r="AB15" s="158">
        <f t="shared" ca="1" si="10"/>
        <v>0</v>
      </c>
      <c r="AC15" s="158">
        <f t="shared" ca="1" si="10"/>
        <v>0</v>
      </c>
      <c r="AD15" s="158">
        <f t="shared" ca="1" si="10"/>
        <v>0</v>
      </c>
      <c r="AE15" s="158">
        <f t="shared" ca="1" si="10"/>
        <v>0</v>
      </c>
      <c r="AF15" s="158">
        <f t="shared" ca="1" si="10"/>
        <v>0</v>
      </c>
      <c r="AG15" s="158">
        <f t="shared" ca="1" si="10"/>
        <v>0</v>
      </c>
      <c r="AH15" s="158">
        <f t="shared" ca="1" si="10"/>
        <v>0</v>
      </c>
      <c r="AI15" s="158"/>
      <c r="AJ15" s="158"/>
      <c r="AK15" s="158"/>
      <c r="AL15" s="158"/>
      <c r="AM15" s="158"/>
      <c r="AN15" s="158"/>
      <c r="AO15" s="158"/>
      <c r="AP15" s="158"/>
      <c r="AQ15" s="158"/>
      <c r="AR15" s="2416"/>
      <c r="AS15" s="158">
        <f t="shared" ref="AS15:AW15" ca="1" si="11">IF(AS$4&lt;&gt;$C15,0,IF(AND(AS$5="PS-1",AS9=2),AS2*AS3,0))</f>
        <v>0</v>
      </c>
      <c r="AT15" s="158">
        <f t="shared" ca="1" si="11"/>
        <v>0</v>
      </c>
      <c r="AU15" s="158">
        <f t="shared" ca="1" si="11"/>
        <v>0</v>
      </c>
      <c r="AV15" s="158">
        <f t="shared" ca="1" si="11"/>
        <v>0</v>
      </c>
      <c r="AW15" s="158">
        <f t="shared" ca="1" si="11"/>
        <v>0</v>
      </c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361">
        <f t="shared" ca="1" si="1"/>
        <v>0</v>
      </c>
      <c r="BN15" s="579">
        <f t="shared" ca="1" si="0"/>
        <v>0</v>
      </c>
      <c r="BO15" s="1047"/>
      <c r="BP15" s="1038"/>
      <c r="BQ15" s="1038"/>
      <c r="BR15" s="1038"/>
      <c r="BS15" s="1038"/>
      <c r="BT15" s="1038">
        <v>5.0000000000000001E-3</v>
      </c>
      <c r="BU15" s="1038"/>
      <c r="BV15" s="1038"/>
      <c r="BW15" s="1040"/>
      <c r="BX15" s="1038"/>
      <c r="BY15" s="1038"/>
      <c r="BZ15" s="1038"/>
      <c r="CA15" s="1038"/>
      <c r="CB15" s="1038"/>
      <c r="CC15" s="1038">
        <v>5.0000000000000001E-3</v>
      </c>
      <c r="CD15" s="1038"/>
      <c r="CE15" s="1038"/>
      <c r="CF15" s="1040"/>
      <c r="CG15" s="1038"/>
      <c r="CH15" s="1038"/>
      <c r="CI15" s="1038"/>
      <c r="CJ15" s="1038"/>
      <c r="CK15" s="1038"/>
      <c r="CL15" s="1038"/>
      <c r="CM15" s="1040"/>
      <c r="CN15" s="1040"/>
      <c r="CO15" s="1038"/>
      <c r="CP15" s="1038"/>
      <c r="CQ15" s="1038"/>
      <c r="CR15" s="1038"/>
      <c r="CS15" s="1038"/>
      <c r="CT15" s="1040"/>
      <c r="CU15" s="1041"/>
      <c r="CV15" s="1038"/>
      <c r="CW15" s="973"/>
    </row>
    <row r="16" spans="1:101" ht="21.95" hidden="1" customHeight="1" x14ac:dyDescent="0.15">
      <c r="A16" s="2707"/>
      <c r="B16" s="2605" t="s">
        <v>1175</v>
      </c>
      <c r="C16" s="958">
        <v>0.6</v>
      </c>
      <c r="D16" s="1005"/>
      <c r="E16" s="2246"/>
      <c r="F16" s="238">
        <f t="shared" ref="F16:G16" si="12">IF(F$4&lt;&gt;$C16,0,IF(AND(F$5="PA-1",F9=1),F2*F3,0))</f>
        <v>0</v>
      </c>
      <c r="G16" s="238">
        <f t="shared" ca="1" si="12"/>
        <v>0</v>
      </c>
      <c r="H16" s="238">
        <f t="shared" ref="H16:I16" ca="1" si="13">IF(H$4&lt;&gt;$C16,0,IF(AND(H$5="PA-1",H9=1),H2*H3,0))</f>
        <v>0</v>
      </c>
      <c r="I16" s="238">
        <f t="shared" ca="1" si="13"/>
        <v>0</v>
      </c>
      <c r="J16" s="238"/>
      <c r="K16" s="238"/>
      <c r="L16" s="238"/>
      <c r="M16" s="238"/>
      <c r="N16" s="2439"/>
      <c r="O16" s="238">
        <f t="shared" ref="O16:V16" ca="1" si="14">IF(O$4&lt;&gt;$C16,0,IF(AND(O$5="PA-1",O9=1),O2*O3,0))</f>
        <v>0</v>
      </c>
      <c r="P16" s="238">
        <f t="shared" ca="1" si="14"/>
        <v>0</v>
      </c>
      <c r="Q16" s="238">
        <f t="shared" ca="1" si="14"/>
        <v>0</v>
      </c>
      <c r="R16" s="238">
        <f t="shared" ca="1" si="14"/>
        <v>0</v>
      </c>
      <c r="S16" s="238">
        <f t="shared" ca="1" si="14"/>
        <v>0</v>
      </c>
      <c r="T16" s="238">
        <f t="shared" ca="1" si="14"/>
        <v>0</v>
      </c>
      <c r="U16" s="238">
        <f t="shared" ca="1" si="14"/>
        <v>0</v>
      </c>
      <c r="V16" s="238">
        <f t="shared" ca="1" si="14"/>
        <v>0</v>
      </c>
      <c r="W16" s="238"/>
      <c r="X16" s="2439"/>
      <c r="Y16" s="238">
        <f t="shared" ref="Y16:AH16" ca="1" si="15">IF(Y$4&lt;&gt;$C16,0,IF(AND(Y$5="PA-1",Y9=1),Y2*Y3,0))</f>
        <v>0</v>
      </c>
      <c r="Z16" s="238">
        <f t="shared" ca="1" si="15"/>
        <v>0</v>
      </c>
      <c r="AA16" s="238">
        <f t="shared" ca="1" si="15"/>
        <v>0</v>
      </c>
      <c r="AB16" s="238">
        <f t="shared" ca="1" si="15"/>
        <v>0</v>
      </c>
      <c r="AC16" s="238">
        <f t="shared" ca="1" si="15"/>
        <v>0</v>
      </c>
      <c r="AD16" s="238">
        <f t="shared" ca="1" si="15"/>
        <v>0</v>
      </c>
      <c r="AE16" s="238">
        <f t="shared" ca="1" si="15"/>
        <v>0</v>
      </c>
      <c r="AF16" s="238">
        <f t="shared" ca="1" si="15"/>
        <v>0</v>
      </c>
      <c r="AG16" s="238">
        <f t="shared" ca="1" si="15"/>
        <v>0</v>
      </c>
      <c r="AH16" s="238">
        <f t="shared" ca="1" si="15"/>
        <v>0</v>
      </c>
      <c r="AI16" s="238"/>
      <c r="AJ16" s="238"/>
      <c r="AK16" s="238"/>
      <c r="AL16" s="238"/>
      <c r="AM16" s="238"/>
      <c r="AN16" s="238"/>
      <c r="AO16" s="238"/>
      <c r="AP16" s="238"/>
      <c r="AQ16" s="238"/>
      <c r="AR16" s="2439"/>
      <c r="AS16" s="238">
        <f t="shared" ref="AS16:AW16" ca="1" si="16">IF(AS$4&lt;&gt;$C16,0,IF(AND(AS$5="PA-1",AS9=1),AS2*AS3,0))</f>
        <v>0</v>
      </c>
      <c r="AT16" s="238">
        <f t="shared" ca="1" si="16"/>
        <v>0</v>
      </c>
      <c r="AU16" s="238">
        <f t="shared" ca="1" si="16"/>
        <v>0</v>
      </c>
      <c r="AV16" s="238">
        <f t="shared" ca="1" si="16"/>
        <v>0</v>
      </c>
      <c r="AW16" s="238">
        <f t="shared" ca="1" si="16"/>
        <v>0</v>
      </c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362">
        <f t="shared" ca="1" si="1"/>
        <v>0</v>
      </c>
      <c r="BN16" s="579">
        <f t="shared" ca="1" si="0"/>
        <v>0</v>
      </c>
      <c r="BO16" s="1047"/>
      <c r="BP16" s="1038"/>
      <c r="BQ16" s="1038"/>
      <c r="BR16" s="1038"/>
      <c r="BS16" s="1038"/>
      <c r="BT16" s="1038">
        <v>5.0000000000000001E-3</v>
      </c>
      <c r="BU16" s="1038"/>
      <c r="BV16" s="1038"/>
      <c r="BW16" s="1040"/>
      <c r="BX16" s="1038"/>
      <c r="BY16" s="1038"/>
      <c r="BZ16" s="1038"/>
      <c r="CA16" s="1038"/>
      <c r="CB16" s="1038"/>
      <c r="CC16" s="1038">
        <v>5.0000000000000001E-3</v>
      </c>
      <c r="CD16" s="1038"/>
      <c r="CE16" s="1038"/>
      <c r="CF16" s="1040"/>
      <c r="CG16" s="1038"/>
      <c r="CH16" s="1038"/>
      <c r="CI16" s="1038"/>
      <c r="CJ16" s="1038"/>
      <c r="CK16" s="1038"/>
      <c r="CL16" s="1038"/>
      <c r="CM16" s="1040"/>
      <c r="CN16" s="1040"/>
      <c r="CO16" s="1038"/>
      <c r="CP16" s="1038"/>
      <c r="CQ16" s="1038"/>
      <c r="CR16" s="1038"/>
      <c r="CS16" s="1038"/>
      <c r="CT16" s="1040"/>
      <c r="CU16" s="1041"/>
      <c r="CV16" s="1038"/>
      <c r="CW16" s="973"/>
    </row>
    <row r="17" spans="1:101" ht="21.95" customHeight="1" x14ac:dyDescent="0.15">
      <c r="A17" s="2707"/>
      <c r="B17" s="2606"/>
      <c r="C17" s="959">
        <v>0.8</v>
      </c>
      <c r="D17" s="1006"/>
      <c r="E17" s="2247"/>
      <c r="F17" s="158">
        <f t="shared" ref="F17:AW20" si="17">IF(F$4&lt;&gt;$C17,0,IF(AND(F$5="PA-1",F$9=1),F$2*F$3,0))</f>
        <v>0</v>
      </c>
      <c r="G17" s="158">
        <f t="shared" ca="1" si="17"/>
        <v>0</v>
      </c>
      <c r="H17" s="158">
        <f t="shared" ca="1" si="17"/>
        <v>0</v>
      </c>
      <c r="I17" s="158">
        <f t="shared" ca="1" si="17"/>
        <v>0</v>
      </c>
      <c r="J17" s="158"/>
      <c r="K17" s="158"/>
      <c r="L17" s="158"/>
      <c r="M17" s="158"/>
      <c r="N17" s="2416"/>
      <c r="O17" s="158">
        <f t="shared" ca="1" si="17"/>
        <v>0</v>
      </c>
      <c r="P17" s="158">
        <f t="shared" ca="1" si="17"/>
        <v>0</v>
      </c>
      <c r="Q17" s="158">
        <f t="shared" ca="1" si="17"/>
        <v>0</v>
      </c>
      <c r="R17" s="158">
        <f t="shared" ca="1" si="17"/>
        <v>0</v>
      </c>
      <c r="S17" s="158">
        <f t="shared" ca="1" si="17"/>
        <v>0</v>
      </c>
      <c r="T17" s="158">
        <f t="shared" ca="1" si="17"/>
        <v>0</v>
      </c>
      <c r="U17" s="158">
        <f t="shared" ca="1" si="17"/>
        <v>0</v>
      </c>
      <c r="V17" s="158">
        <f t="shared" ca="1" si="17"/>
        <v>0</v>
      </c>
      <c r="W17" s="158"/>
      <c r="X17" s="2416"/>
      <c r="Y17" s="158">
        <f t="shared" ca="1" si="17"/>
        <v>72.03</v>
      </c>
      <c r="Z17" s="158">
        <f t="shared" ca="1" si="17"/>
        <v>0</v>
      </c>
      <c r="AA17" s="158">
        <f t="shared" ca="1" si="17"/>
        <v>0</v>
      </c>
      <c r="AB17" s="158">
        <f t="shared" ca="1" si="17"/>
        <v>0</v>
      </c>
      <c r="AC17" s="158">
        <f t="shared" ca="1" si="17"/>
        <v>72.12</v>
      </c>
      <c r="AD17" s="158">
        <f t="shared" ca="1" si="17"/>
        <v>72.05</v>
      </c>
      <c r="AE17" s="158">
        <f t="shared" ca="1" si="17"/>
        <v>72.3</v>
      </c>
      <c r="AF17" s="158">
        <f t="shared" ca="1" si="17"/>
        <v>0</v>
      </c>
      <c r="AG17" s="158">
        <f t="shared" ca="1" si="17"/>
        <v>0</v>
      </c>
      <c r="AH17" s="158">
        <f t="shared" ca="1" si="17"/>
        <v>0</v>
      </c>
      <c r="AI17" s="158"/>
      <c r="AJ17" s="158"/>
      <c r="AK17" s="158"/>
      <c r="AL17" s="158"/>
      <c r="AM17" s="158"/>
      <c r="AN17" s="158"/>
      <c r="AO17" s="158"/>
      <c r="AP17" s="158"/>
      <c r="AQ17" s="158"/>
      <c r="AR17" s="2416"/>
      <c r="AS17" s="158">
        <f t="shared" ca="1" si="17"/>
        <v>0</v>
      </c>
      <c r="AT17" s="158">
        <f t="shared" ca="1" si="17"/>
        <v>72.040000000000006</v>
      </c>
      <c r="AU17" s="158">
        <f t="shared" ca="1" si="17"/>
        <v>72.02</v>
      </c>
      <c r="AV17" s="158">
        <f t="shared" ca="1" si="17"/>
        <v>72.010000000000005</v>
      </c>
      <c r="AW17" s="158">
        <f t="shared" ca="1" si="17"/>
        <v>0</v>
      </c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350">
        <f t="shared" ca="1" si="1"/>
        <v>504.57</v>
      </c>
      <c r="BN17" s="579">
        <f t="shared" ca="1" si="0"/>
        <v>1009.14</v>
      </c>
      <c r="BO17" s="1047"/>
      <c r="BP17" s="1038"/>
      <c r="BQ17" s="1038"/>
      <c r="BR17" s="1038"/>
      <c r="BS17" s="1038"/>
      <c r="BT17" s="1038">
        <v>1.2E-2</v>
      </c>
      <c r="BU17" s="1038"/>
      <c r="BV17" s="1038"/>
      <c r="BW17" s="1040"/>
      <c r="BX17" s="1038"/>
      <c r="BY17" s="1038"/>
      <c r="BZ17" s="1038"/>
      <c r="CA17" s="1038"/>
      <c r="CB17" s="1038"/>
      <c r="CC17" s="1038">
        <v>1.2E-2</v>
      </c>
      <c r="CD17" s="1038"/>
      <c r="CE17" s="1038"/>
      <c r="CF17" s="1040"/>
      <c r="CG17" s="1038"/>
      <c r="CH17" s="1038"/>
      <c r="CI17" s="1038"/>
      <c r="CJ17" s="1038"/>
      <c r="CK17" s="1038"/>
      <c r="CL17" s="1038"/>
      <c r="CM17" s="1040"/>
      <c r="CN17" s="1040"/>
      <c r="CO17" s="1038"/>
      <c r="CP17" s="1038"/>
      <c r="CQ17" s="1038"/>
      <c r="CR17" s="1038"/>
      <c r="CS17" s="1038"/>
      <c r="CT17" s="1040"/>
      <c r="CU17" s="1041"/>
      <c r="CV17" s="1038"/>
      <c r="CW17" s="973"/>
    </row>
    <row r="18" spans="1:101" ht="21.95" customHeight="1" thickBot="1" x14ac:dyDescent="0.2">
      <c r="A18" s="2707"/>
      <c r="B18" s="2606"/>
      <c r="C18" s="959">
        <v>1</v>
      </c>
      <c r="D18" s="1006"/>
      <c r="E18" s="2247"/>
      <c r="F18" s="158">
        <f t="shared" si="17"/>
        <v>0</v>
      </c>
      <c r="G18" s="158">
        <f t="shared" ca="1" si="17"/>
        <v>0</v>
      </c>
      <c r="H18" s="158">
        <f t="shared" ca="1" si="17"/>
        <v>0</v>
      </c>
      <c r="I18" s="158">
        <f t="shared" ca="1" si="17"/>
        <v>0</v>
      </c>
      <c r="J18" s="158"/>
      <c r="K18" s="158"/>
      <c r="L18" s="158"/>
      <c r="M18" s="158"/>
      <c r="N18" s="2416"/>
      <c r="O18" s="158">
        <f t="shared" ca="1" si="17"/>
        <v>0</v>
      </c>
      <c r="P18" s="158">
        <f t="shared" ca="1" si="17"/>
        <v>0</v>
      </c>
      <c r="Q18" s="158">
        <f t="shared" ca="1" si="17"/>
        <v>0</v>
      </c>
      <c r="R18" s="158">
        <f t="shared" ca="1" si="17"/>
        <v>0</v>
      </c>
      <c r="S18" s="158">
        <f t="shared" ca="1" si="17"/>
        <v>0</v>
      </c>
      <c r="T18" s="158">
        <f t="shared" ca="1" si="17"/>
        <v>94.76</v>
      </c>
      <c r="U18" s="158">
        <f t="shared" ca="1" si="17"/>
        <v>94.76</v>
      </c>
      <c r="V18" s="158">
        <f t="shared" ca="1" si="17"/>
        <v>54.76</v>
      </c>
      <c r="W18" s="158"/>
      <c r="X18" s="2416"/>
      <c r="Y18" s="158">
        <f t="shared" ca="1" si="17"/>
        <v>0</v>
      </c>
      <c r="Z18" s="158">
        <f t="shared" ca="1" si="17"/>
        <v>0</v>
      </c>
      <c r="AA18" s="158">
        <f t="shared" ca="1" si="17"/>
        <v>0</v>
      </c>
      <c r="AB18" s="158">
        <f t="shared" ca="1" si="17"/>
        <v>0</v>
      </c>
      <c r="AC18" s="158">
        <f t="shared" ca="1" si="17"/>
        <v>0</v>
      </c>
      <c r="AD18" s="158">
        <f t="shared" ca="1" si="17"/>
        <v>0</v>
      </c>
      <c r="AE18" s="158">
        <f t="shared" ca="1" si="17"/>
        <v>0</v>
      </c>
      <c r="AF18" s="158">
        <f t="shared" ca="1" si="17"/>
        <v>84.78</v>
      </c>
      <c r="AG18" s="158">
        <f t="shared" ca="1" si="17"/>
        <v>92.19</v>
      </c>
      <c r="AH18" s="158">
        <f t="shared" ca="1" si="17"/>
        <v>92.19</v>
      </c>
      <c r="AI18" s="158"/>
      <c r="AJ18" s="158"/>
      <c r="AK18" s="158"/>
      <c r="AL18" s="158"/>
      <c r="AM18" s="158"/>
      <c r="AN18" s="158"/>
      <c r="AO18" s="158"/>
      <c r="AP18" s="158"/>
      <c r="AQ18" s="158"/>
      <c r="AR18" s="2416"/>
      <c r="AS18" s="158">
        <f t="shared" ca="1" si="17"/>
        <v>0</v>
      </c>
      <c r="AT18" s="158">
        <f t="shared" ca="1" si="17"/>
        <v>0</v>
      </c>
      <c r="AU18" s="158">
        <f t="shared" ca="1" si="17"/>
        <v>0</v>
      </c>
      <c r="AV18" s="158">
        <f t="shared" ca="1" si="17"/>
        <v>0</v>
      </c>
      <c r="AW18" s="158">
        <f t="shared" ca="1" si="17"/>
        <v>72.23</v>
      </c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350">
        <f t="shared" ca="1" si="1"/>
        <v>585.66999999999996</v>
      </c>
      <c r="BN18" s="579">
        <f t="shared" ca="1" si="0"/>
        <v>1171.3400000000001</v>
      </c>
      <c r="BO18" s="1047"/>
      <c r="BP18" s="1038"/>
      <c r="BQ18" s="1038"/>
      <c r="BR18" s="1038"/>
      <c r="BS18" s="1038"/>
      <c r="BT18" s="1038">
        <v>2.8000000000000001E-2</v>
      </c>
      <c r="BU18" s="1038"/>
      <c r="BV18" s="1038"/>
      <c r="BW18" s="1040"/>
      <c r="BX18" s="1038"/>
      <c r="BY18" s="1038"/>
      <c r="BZ18" s="1038"/>
      <c r="CA18" s="1038"/>
      <c r="CB18" s="1038"/>
      <c r="CC18" s="1038">
        <v>2.8000000000000001E-2</v>
      </c>
      <c r="CD18" s="1038"/>
      <c r="CE18" s="1038"/>
      <c r="CF18" s="1040"/>
      <c r="CG18" s="1038"/>
      <c r="CH18" s="1038"/>
      <c r="CI18" s="1038"/>
      <c r="CJ18" s="1038"/>
      <c r="CK18" s="1038"/>
      <c r="CL18" s="1038"/>
      <c r="CM18" s="1040"/>
      <c r="CN18" s="1040"/>
      <c r="CO18" s="1038"/>
      <c r="CP18" s="1038"/>
      <c r="CQ18" s="1038"/>
      <c r="CR18" s="1038"/>
      <c r="CS18" s="1038"/>
      <c r="CT18" s="1040"/>
      <c r="CU18" s="1041"/>
      <c r="CV18" s="1038"/>
      <c r="CW18" s="973"/>
    </row>
    <row r="19" spans="1:101" ht="21.95" hidden="1" customHeight="1" x14ac:dyDescent="0.15">
      <c r="A19" s="2707"/>
      <c r="B19" s="2606"/>
      <c r="C19" s="959">
        <v>1.2</v>
      </c>
      <c r="D19" s="1006"/>
      <c r="E19" s="2247"/>
      <c r="F19" s="158">
        <f t="shared" si="17"/>
        <v>0</v>
      </c>
      <c r="G19" s="158">
        <f t="shared" ca="1" si="17"/>
        <v>0</v>
      </c>
      <c r="H19" s="158">
        <f t="shared" ca="1" si="17"/>
        <v>0</v>
      </c>
      <c r="I19" s="158">
        <f t="shared" ca="1" si="17"/>
        <v>0</v>
      </c>
      <c r="J19" s="158"/>
      <c r="K19" s="158"/>
      <c r="L19" s="158"/>
      <c r="M19" s="158"/>
      <c r="N19" s="2416"/>
      <c r="O19" s="158">
        <f t="shared" ca="1" si="17"/>
        <v>0</v>
      </c>
      <c r="P19" s="158">
        <f t="shared" ca="1" si="17"/>
        <v>0</v>
      </c>
      <c r="Q19" s="158">
        <f t="shared" ca="1" si="17"/>
        <v>0</v>
      </c>
      <c r="R19" s="158">
        <f t="shared" ca="1" si="17"/>
        <v>0</v>
      </c>
      <c r="S19" s="158">
        <f t="shared" ca="1" si="17"/>
        <v>0</v>
      </c>
      <c r="T19" s="158">
        <f t="shared" ca="1" si="17"/>
        <v>0</v>
      </c>
      <c r="U19" s="158">
        <f t="shared" ca="1" si="17"/>
        <v>0</v>
      </c>
      <c r="V19" s="158">
        <f t="shared" ca="1" si="17"/>
        <v>0</v>
      </c>
      <c r="W19" s="158"/>
      <c r="X19" s="2416"/>
      <c r="Y19" s="158">
        <f t="shared" ca="1" si="17"/>
        <v>0</v>
      </c>
      <c r="Z19" s="158">
        <f t="shared" ca="1" si="17"/>
        <v>0</v>
      </c>
      <c r="AA19" s="158">
        <f t="shared" ca="1" si="17"/>
        <v>0</v>
      </c>
      <c r="AB19" s="158">
        <f t="shared" ca="1" si="17"/>
        <v>0</v>
      </c>
      <c r="AC19" s="158">
        <f t="shared" ca="1" si="17"/>
        <v>0</v>
      </c>
      <c r="AD19" s="158">
        <f t="shared" ca="1" si="17"/>
        <v>0</v>
      </c>
      <c r="AE19" s="158">
        <f t="shared" ca="1" si="17"/>
        <v>0</v>
      </c>
      <c r="AF19" s="158">
        <f t="shared" ca="1" si="17"/>
        <v>0</v>
      </c>
      <c r="AG19" s="158">
        <f t="shared" ca="1" si="17"/>
        <v>0</v>
      </c>
      <c r="AH19" s="158">
        <f t="shared" ca="1" si="17"/>
        <v>0</v>
      </c>
      <c r="AI19" s="158"/>
      <c r="AJ19" s="158"/>
      <c r="AK19" s="158"/>
      <c r="AL19" s="158"/>
      <c r="AM19" s="158"/>
      <c r="AN19" s="158"/>
      <c r="AO19" s="158"/>
      <c r="AP19" s="158"/>
      <c r="AQ19" s="158"/>
      <c r="AR19" s="2416"/>
      <c r="AS19" s="158">
        <f t="shared" ca="1" si="17"/>
        <v>0</v>
      </c>
      <c r="AT19" s="158">
        <f t="shared" ca="1" si="17"/>
        <v>0</v>
      </c>
      <c r="AU19" s="158">
        <f t="shared" ca="1" si="17"/>
        <v>0</v>
      </c>
      <c r="AV19" s="158">
        <f t="shared" ca="1" si="17"/>
        <v>0</v>
      </c>
      <c r="AW19" s="158">
        <f t="shared" ca="1" si="17"/>
        <v>0</v>
      </c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350">
        <f t="shared" ca="1" si="1"/>
        <v>0</v>
      </c>
      <c r="BN19" s="579">
        <f t="shared" ca="1" si="0"/>
        <v>0</v>
      </c>
      <c r="BO19" s="1047"/>
      <c r="BP19" s="1038"/>
      <c r="BQ19" s="1038"/>
      <c r="BR19" s="1038"/>
      <c r="BS19" s="1038"/>
      <c r="BT19" s="1038">
        <v>3.4700000000000002E-2</v>
      </c>
      <c r="BU19" s="1038"/>
      <c r="BV19" s="1038"/>
      <c r="BW19" s="1040"/>
      <c r="BX19" s="1038"/>
      <c r="BY19" s="1038"/>
      <c r="BZ19" s="1038"/>
      <c r="CA19" s="1038"/>
      <c r="CB19" s="1038"/>
      <c r="CC19" s="1038">
        <v>3.4700000000000002E-2</v>
      </c>
      <c r="CD19" s="1038"/>
      <c r="CE19" s="1038"/>
      <c r="CF19" s="1040"/>
      <c r="CG19" s="1038"/>
      <c r="CH19" s="1038"/>
      <c r="CI19" s="1038"/>
      <c r="CJ19" s="1038"/>
      <c r="CK19" s="1038"/>
      <c r="CL19" s="1038"/>
      <c r="CM19" s="1040"/>
      <c r="CN19" s="1040"/>
      <c r="CO19" s="1038"/>
      <c r="CP19" s="1038"/>
      <c r="CQ19" s="1038"/>
      <c r="CR19" s="1038"/>
      <c r="CS19" s="1038"/>
      <c r="CT19" s="1040"/>
      <c r="CU19" s="1041"/>
      <c r="CV19" s="1038"/>
      <c r="CW19" s="973"/>
    </row>
    <row r="20" spans="1:101" ht="21.95" hidden="1" customHeight="1" thickBot="1" x14ac:dyDescent="0.2">
      <c r="A20" s="2707"/>
      <c r="B20" s="2607"/>
      <c r="C20" s="960">
        <v>1.5</v>
      </c>
      <c r="D20" s="1007"/>
      <c r="E20" s="2248"/>
      <c r="F20" s="239">
        <f t="shared" si="17"/>
        <v>0</v>
      </c>
      <c r="G20" s="239">
        <f t="shared" ca="1" si="17"/>
        <v>0</v>
      </c>
      <c r="H20" s="239">
        <f t="shared" ca="1" si="17"/>
        <v>0</v>
      </c>
      <c r="I20" s="239">
        <f t="shared" ca="1" si="17"/>
        <v>0</v>
      </c>
      <c r="J20" s="239"/>
      <c r="K20" s="239"/>
      <c r="L20" s="239"/>
      <c r="M20" s="239"/>
      <c r="N20" s="2440"/>
      <c r="O20" s="239">
        <f t="shared" ca="1" si="17"/>
        <v>0</v>
      </c>
      <c r="P20" s="239">
        <f t="shared" ca="1" si="17"/>
        <v>0</v>
      </c>
      <c r="Q20" s="239">
        <f t="shared" ca="1" si="17"/>
        <v>0</v>
      </c>
      <c r="R20" s="239">
        <f t="shared" ca="1" si="17"/>
        <v>0</v>
      </c>
      <c r="S20" s="239">
        <f t="shared" ca="1" si="17"/>
        <v>0</v>
      </c>
      <c r="T20" s="239">
        <f t="shared" ca="1" si="17"/>
        <v>0</v>
      </c>
      <c r="U20" s="239">
        <f t="shared" ca="1" si="17"/>
        <v>0</v>
      </c>
      <c r="V20" s="239">
        <f t="shared" ca="1" si="17"/>
        <v>0</v>
      </c>
      <c r="W20" s="239"/>
      <c r="X20" s="2440"/>
      <c r="Y20" s="239">
        <f t="shared" ca="1" si="17"/>
        <v>0</v>
      </c>
      <c r="Z20" s="239">
        <f t="shared" ca="1" si="17"/>
        <v>0</v>
      </c>
      <c r="AA20" s="239">
        <f t="shared" ca="1" si="17"/>
        <v>0</v>
      </c>
      <c r="AB20" s="239">
        <f t="shared" ca="1" si="17"/>
        <v>0</v>
      </c>
      <c r="AC20" s="239">
        <f t="shared" ca="1" si="17"/>
        <v>0</v>
      </c>
      <c r="AD20" s="239">
        <f t="shared" ca="1" si="17"/>
        <v>0</v>
      </c>
      <c r="AE20" s="239">
        <f t="shared" ca="1" si="17"/>
        <v>0</v>
      </c>
      <c r="AF20" s="239">
        <f t="shared" ca="1" si="17"/>
        <v>0</v>
      </c>
      <c r="AG20" s="239">
        <f t="shared" ca="1" si="17"/>
        <v>0</v>
      </c>
      <c r="AH20" s="239">
        <f t="shared" ca="1" si="17"/>
        <v>0</v>
      </c>
      <c r="AI20" s="239"/>
      <c r="AJ20" s="239"/>
      <c r="AK20" s="239"/>
      <c r="AL20" s="239"/>
      <c r="AM20" s="239"/>
      <c r="AN20" s="239"/>
      <c r="AO20" s="239"/>
      <c r="AP20" s="239"/>
      <c r="AQ20" s="239"/>
      <c r="AR20" s="2440"/>
      <c r="AS20" s="239">
        <f t="shared" ca="1" si="17"/>
        <v>0</v>
      </c>
      <c r="AT20" s="239">
        <f t="shared" ca="1" si="17"/>
        <v>0</v>
      </c>
      <c r="AU20" s="239">
        <f t="shared" ca="1" si="17"/>
        <v>0</v>
      </c>
      <c r="AV20" s="239">
        <f t="shared" ca="1" si="17"/>
        <v>0</v>
      </c>
      <c r="AW20" s="239">
        <f t="shared" ca="1" si="17"/>
        <v>0</v>
      </c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361">
        <f t="shared" ca="1" si="1"/>
        <v>0</v>
      </c>
      <c r="BN20" s="579">
        <f t="shared" ca="1" si="0"/>
        <v>0</v>
      </c>
      <c r="BO20" s="1047"/>
      <c r="BP20" s="1038"/>
      <c r="BQ20" s="1038"/>
      <c r="BR20" s="1038"/>
      <c r="BS20" s="1038"/>
      <c r="BT20" s="1038">
        <v>4.6199999999999998E-2</v>
      </c>
      <c r="BU20" s="1038"/>
      <c r="BV20" s="1038"/>
      <c r="BW20" s="1040"/>
      <c r="BX20" s="1038"/>
      <c r="BY20" s="1038"/>
      <c r="BZ20" s="1038"/>
      <c r="CA20" s="1038"/>
      <c r="CB20" s="1038"/>
      <c r="CC20" s="1038">
        <v>4.6199999999999998E-2</v>
      </c>
      <c r="CD20" s="1038"/>
      <c r="CE20" s="1038"/>
      <c r="CF20" s="1040"/>
      <c r="CG20" s="1038"/>
      <c r="CH20" s="1038"/>
      <c r="CI20" s="1038"/>
      <c r="CJ20" s="1038"/>
      <c r="CK20" s="1038"/>
      <c r="CL20" s="1038"/>
      <c r="CM20" s="1040"/>
      <c r="CN20" s="1040"/>
      <c r="CO20" s="1038"/>
      <c r="CP20" s="1038"/>
      <c r="CQ20" s="1038"/>
      <c r="CR20" s="1038"/>
      <c r="CS20" s="1038"/>
      <c r="CT20" s="1040"/>
      <c r="CU20" s="1041"/>
      <c r="CV20" s="1038"/>
      <c r="CW20" s="973"/>
    </row>
    <row r="21" spans="1:101" ht="21.95" hidden="1" customHeight="1" x14ac:dyDescent="0.15">
      <c r="A21" s="2707"/>
      <c r="B21" s="2605" t="s">
        <v>1176</v>
      </c>
      <c r="C21" s="2268">
        <v>0.6</v>
      </c>
      <c r="D21" s="1003"/>
      <c r="E21" s="1287"/>
      <c r="F21" s="158">
        <f t="shared" ref="F21:G21" si="18">IF(F$4&lt;&gt;$C21,0,IF(AND(F$5="PA-1",F9=2),F2*F3,0))</f>
        <v>0</v>
      </c>
      <c r="G21" s="158">
        <f t="shared" ca="1" si="18"/>
        <v>0</v>
      </c>
      <c r="H21" s="158">
        <f t="shared" ref="H21:I21" ca="1" si="19">IF(H$4&lt;&gt;$C21,0,IF(AND(H$5="PA-1",H9=2),H2*H3,0))</f>
        <v>0</v>
      </c>
      <c r="I21" s="158">
        <f t="shared" ca="1" si="19"/>
        <v>0</v>
      </c>
      <c r="J21" s="158"/>
      <c r="K21" s="158"/>
      <c r="L21" s="158"/>
      <c r="M21" s="158"/>
      <c r="N21" s="2416"/>
      <c r="O21" s="158">
        <f t="shared" ref="O21:V21" ca="1" si="20">IF(O$4&lt;&gt;$C21,0,IF(AND(O$5="PA-1",O9=2),O2*O3,0))</f>
        <v>0</v>
      </c>
      <c r="P21" s="158">
        <f t="shared" ca="1" si="20"/>
        <v>0</v>
      </c>
      <c r="Q21" s="158">
        <f t="shared" ca="1" si="20"/>
        <v>0</v>
      </c>
      <c r="R21" s="158">
        <f t="shared" ca="1" si="20"/>
        <v>0</v>
      </c>
      <c r="S21" s="158">
        <f t="shared" ca="1" si="20"/>
        <v>0</v>
      </c>
      <c r="T21" s="158">
        <f t="shared" ca="1" si="20"/>
        <v>0</v>
      </c>
      <c r="U21" s="158">
        <f t="shared" ca="1" si="20"/>
        <v>0</v>
      </c>
      <c r="V21" s="158">
        <f t="shared" ca="1" si="20"/>
        <v>0</v>
      </c>
      <c r="W21" s="158"/>
      <c r="X21" s="2416"/>
      <c r="Y21" s="158">
        <f t="shared" ref="Y21:AH21" ca="1" si="21">IF(Y$4&lt;&gt;$C21,0,IF(AND(Y$5="PA-1",Y9=2),Y2*Y3,0))</f>
        <v>0</v>
      </c>
      <c r="Z21" s="158">
        <f t="shared" ca="1" si="21"/>
        <v>0</v>
      </c>
      <c r="AA21" s="158">
        <f t="shared" ca="1" si="21"/>
        <v>0</v>
      </c>
      <c r="AB21" s="158">
        <f t="shared" ca="1" si="21"/>
        <v>0</v>
      </c>
      <c r="AC21" s="158">
        <f t="shared" ca="1" si="21"/>
        <v>0</v>
      </c>
      <c r="AD21" s="158">
        <f t="shared" ca="1" si="21"/>
        <v>0</v>
      </c>
      <c r="AE21" s="158">
        <f t="shared" ca="1" si="21"/>
        <v>0</v>
      </c>
      <c r="AF21" s="158">
        <f t="shared" ca="1" si="21"/>
        <v>0</v>
      </c>
      <c r="AG21" s="158">
        <f t="shared" ca="1" si="21"/>
        <v>0</v>
      </c>
      <c r="AH21" s="158">
        <f t="shared" ca="1" si="21"/>
        <v>0</v>
      </c>
      <c r="AI21" s="158"/>
      <c r="AJ21" s="158"/>
      <c r="AK21" s="158"/>
      <c r="AL21" s="158"/>
      <c r="AM21" s="158"/>
      <c r="AN21" s="158"/>
      <c r="AO21" s="158"/>
      <c r="AP21" s="158"/>
      <c r="AQ21" s="158"/>
      <c r="AR21" s="2416"/>
      <c r="AS21" s="158">
        <f t="shared" ref="AS21:AW21" ca="1" si="22">IF(AS$4&lt;&gt;$C21,0,IF(AND(AS$5="PA-1",AS9=2),AS2*AS3,0))</f>
        <v>0</v>
      </c>
      <c r="AT21" s="158">
        <f t="shared" ca="1" si="22"/>
        <v>0</v>
      </c>
      <c r="AU21" s="158">
        <f t="shared" ca="1" si="22"/>
        <v>0</v>
      </c>
      <c r="AV21" s="158">
        <f t="shared" ca="1" si="22"/>
        <v>0</v>
      </c>
      <c r="AW21" s="158">
        <f t="shared" ca="1" si="22"/>
        <v>0</v>
      </c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362">
        <f t="shared" ca="1" si="1"/>
        <v>0</v>
      </c>
      <c r="BN21" s="579">
        <f t="shared" ca="1" si="0"/>
        <v>0</v>
      </c>
      <c r="BO21" s="1047"/>
      <c r="BP21" s="1038"/>
      <c r="BQ21" s="1038"/>
      <c r="BR21" s="1038"/>
      <c r="BS21" s="1038"/>
      <c r="BT21" s="1038">
        <v>5.0000000000000001E-3</v>
      </c>
      <c r="BU21" s="1038"/>
      <c r="BV21" s="1038"/>
      <c r="BW21" s="1040"/>
      <c r="BX21" s="1038"/>
      <c r="BY21" s="1038"/>
      <c r="BZ21" s="1038"/>
      <c r="CA21" s="1038"/>
      <c r="CB21" s="1038"/>
      <c r="CC21" s="1038">
        <v>5.0000000000000001E-3</v>
      </c>
      <c r="CD21" s="1038"/>
      <c r="CE21" s="1038"/>
      <c r="CF21" s="1040"/>
      <c r="CG21" s="1038"/>
      <c r="CH21" s="1038"/>
      <c r="CI21" s="1038"/>
      <c r="CJ21" s="1038"/>
      <c r="CK21" s="1038"/>
      <c r="CL21" s="1038"/>
      <c r="CM21" s="1040"/>
      <c r="CN21" s="1040"/>
      <c r="CO21" s="1038"/>
      <c r="CP21" s="1038"/>
      <c r="CQ21" s="1038"/>
      <c r="CR21" s="1038"/>
      <c r="CS21" s="1038"/>
      <c r="CT21" s="1040"/>
      <c r="CU21" s="1041"/>
      <c r="CV21" s="1038"/>
      <c r="CW21" s="973"/>
    </row>
    <row r="22" spans="1:101" ht="21.95" hidden="1" customHeight="1" x14ac:dyDescent="0.15">
      <c r="A22" s="2707"/>
      <c r="B22" s="2606"/>
      <c r="C22" s="567">
        <v>0.8</v>
      </c>
      <c r="D22" s="1003"/>
      <c r="E22" s="1287"/>
      <c r="F22" s="158">
        <f t="shared" ref="F22:AW25" si="23">IF(F$4&lt;&gt;$C22,0,IF(AND(F$5="PA-1",F$9=2),F$2*F$3,0))</f>
        <v>0</v>
      </c>
      <c r="G22" s="158">
        <f t="shared" ca="1" si="23"/>
        <v>0</v>
      </c>
      <c r="H22" s="158">
        <f t="shared" ca="1" si="23"/>
        <v>0</v>
      </c>
      <c r="I22" s="158">
        <f t="shared" ca="1" si="23"/>
        <v>0</v>
      </c>
      <c r="J22" s="158"/>
      <c r="K22" s="158"/>
      <c r="L22" s="158"/>
      <c r="M22" s="158"/>
      <c r="N22" s="2416"/>
      <c r="O22" s="158">
        <f t="shared" ca="1" si="23"/>
        <v>0</v>
      </c>
      <c r="P22" s="158">
        <f t="shared" ca="1" si="23"/>
        <v>0</v>
      </c>
      <c r="Q22" s="158">
        <f t="shared" ca="1" si="23"/>
        <v>0</v>
      </c>
      <c r="R22" s="158">
        <f t="shared" ca="1" si="23"/>
        <v>0</v>
      </c>
      <c r="S22" s="158">
        <f t="shared" ca="1" si="23"/>
        <v>0</v>
      </c>
      <c r="T22" s="158">
        <f t="shared" ca="1" si="23"/>
        <v>0</v>
      </c>
      <c r="U22" s="158">
        <f t="shared" ca="1" si="23"/>
        <v>0</v>
      </c>
      <c r="V22" s="158">
        <f t="shared" ca="1" si="23"/>
        <v>0</v>
      </c>
      <c r="W22" s="158"/>
      <c r="X22" s="2416"/>
      <c r="Y22" s="158">
        <f t="shared" ca="1" si="23"/>
        <v>0</v>
      </c>
      <c r="Z22" s="158">
        <f t="shared" ca="1" si="23"/>
        <v>0</v>
      </c>
      <c r="AA22" s="158">
        <f t="shared" ca="1" si="23"/>
        <v>0</v>
      </c>
      <c r="AB22" s="158">
        <f t="shared" ca="1" si="23"/>
        <v>0</v>
      </c>
      <c r="AC22" s="158">
        <f t="shared" ca="1" si="23"/>
        <v>0</v>
      </c>
      <c r="AD22" s="158">
        <f t="shared" ca="1" si="23"/>
        <v>0</v>
      </c>
      <c r="AE22" s="158">
        <f t="shared" ca="1" si="23"/>
        <v>0</v>
      </c>
      <c r="AF22" s="158">
        <f t="shared" ca="1" si="23"/>
        <v>0</v>
      </c>
      <c r="AG22" s="158">
        <f t="shared" ca="1" si="23"/>
        <v>0</v>
      </c>
      <c r="AH22" s="158">
        <f t="shared" ca="1" si="23"/>
        <v>0</v>
      </c>
      <c r="AI22" s="158"/>
      <c r="AJ22" s="158"/>
      <c r="AK22" s="158"/>
      <c r="AL22" s="158"/>
      <c r="AM22" s="158"/>
      <c r="AN22" s="158"/>
      <c r="AO22" s="158"/>
      <c r="AP22" s="158"/>
      <c r="AQ22" s="158"/>
      <c r="AR22" s="2416"/>
      <c r="AS22" s="158">
        <f t="shared" ca="1" si="23"/>
        <v>0</v>
      </c>
      <c r="AT22" s="158">
        <f t="shared" ca="1" si="23"/>
        <v>0</v>
      </c>
      <c r="AU22" s="158">
        <f t="shared" ca="1" si="23"/>
        <v>0</v>
      </c>
      <c r="AV22" s="158">
        <f t="shared" ca="1" si="23"/>
        <v>0</v>
      </c>
      <c r="AW22" s="158">
        <f t="shared" ca="1" si="23"/>
        <v>0</v>
      </c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350">
        <f t="shared" ca="1" si="1"/>
        <v>0</v>
      </c>
      <c r="BN22" s="579">
        <f t="shared" ca="1" si="0"/>
        <v>0</v>
      </c>
      <c r="BO22" s="1047"/>
      <c r="BP22" s="1038"/>
      <c r="BQ22" s="1038"/>
      <c r="BR22" s="1038"/>
      <c r="BS22" s="1038"/>
      <c r="BT22" s="1038">
        <v>1.2E-2</v>
      </c>
      <c r="BU22" s="1038"/>
      <c r="BV22" s="1038"/>
      <c r="BW22" s="1040"/>
      <c r="BX22" s="1038"/>
      <c r="BY22" s="1038"/>
      <c r="BZ22" s="1038"/>
      <c r="CA22" s="1038"/>
      <c r="CB22" s="1038"/>
      <c r="CC22" s="1038">
        <v>1.2E-2</v>
      </c>
      <c r="CD22" s="1038"/>
      <c r="CE22" s="1038"/>
      <c r="CF22" s="1040"/>
      <c r="CG22" s="1038"/>
      <c r="CH22" s="1038"/>
      <c r="CI22" s="1038"/>
      <c r="CJ22" s="1038"/>
      <c r="CK22" s="1038"/>
      <c r="CL22" s="1038"/>
      <c r="CM22" s="1040"/>
      <c r="CN22" s="1040"/>
      <c r="CO22" s="1038"/>
      <c r="CP22" s="1038"/>
      <c r="CQ22" s="1038"/>
      <c r="CR22" s="1038"/>
      <c r="CS22" s="1038"/>
      <c r="CT22" s="1040"/>
      <c r="CU22" s="1041"/>
      <c r="CV22" s="1038"/>
      <c r="CW22" s="973"/>
    </row>
    <row r="23" spans="1:101" ht="21.95" hidden="1" customHeight="1" x14ac:dyDescent="0.15">
      <c r="A23" s="2707"/>
      <c r="B23" s="2606"/>
      <c r="C23" s="567">
        <v>1</v>
      </c>
      <c r="D23" s="1003"/>
      <c r="E23" s="1287"/>
      <c r="F23" s="158">
        <f t="shared" si="23"/>
        <v>0</v>
      </c>
      <c r="G23" s="158">
        <f t="shared" ca="1" si="23"/>
        <v>0</v>
      </c>
      <c r="H23" s="158">
        <f t="shared" ca="1" si="23"/>
        <v>0</v>
      </c>
      <c r="I23" s="158">
        <f t="shared" ca="1" si="23"/>
        <v>0</v>
      </c>
      <c r="J23" s="158"/>
      <c r="K23" s="158"/>
      <c r="L23" s="158"/>
      <c r="M23" s="158"/>
      <c r="N23" s="2416"/>
      <c r="O23" s="158">
        <f t="shared" ca="1" si="23"/>
        <v>0</v>
      </c>
      <c r="P23" s="158">
        <f t="shared" ca="1" si="23"/>
        <v>0</v>
      </c>
      <c r="Q23" s="158">
        <f t="shared" ca="1" si="23"/>
        <v>0</v>
      </c>
      <c r="R23" s="158">
        <f t="shared" ca="1" si="23"/>
        <v>0</v>
      </c>
      <c r="S23" s="158">
        <f t="shared" ca="1" si="23"/>
        <v>0</v>
      </c>
      <c r="T23" s="158">
        <f t="shared" ca="1" si="23"/>
        <v>0</v>
      </c>
      <c r="U23" s="158">
        <f t="shared" ca="1" si="23"/>
        <v>0</v>
      </c>
      <c r="V23" s="158">
        <f t="shared" ca="1" si="23"/>
        <v>0</v>
      </c>
      <c r="W23" s="158"/>
      <c r="X23" s="2416"/>
      <c r="Y23" s="158">
        <f t="shared" ca="1" si="23"/>
        <v>0</v>
      </c>
      <c r="Z23" s="158">
        <f t="shared" ca="1" si="23"/>
        <v>0</v>
      </c>
      <c r="AA23" s="158">
        <f t="shared" ca="1" si="23"/>
        <v>0</v>
      </c>
      <c r="AB23" s="158">
        <f t="shared" ca="1" si="23"/>
        <v>0</v>
      </c>
      <c r="AC23" s="158">
        <f t="shared" ca="1" si="23"/>
        <v>0</v>
      </c>
      <c r="AD23" s="158">
        <f t="shared" ca="1" si="23"/>
        <v>0</v>
      </c>
      <c r="AE23" s="158">
        <f t="shared" ca="1" si="23"/>
        <v>0</v>
      </c>
      <c r="AF23" s="158">
        <f t="shared" ca="1" si="23"/>
        <v>0</v>
      </c>
      <c r="AG23" s="158">
        <f t="shared" ca="1" si="23"/>
        <v>0</v>
      </c>
      <c r="AH23" s="158">
        <f t="shared" ca="1" si="23"/>
        <v>0</v>
      </c>
      <c r="AI23" s="158"/>
      <c r="AJ23" s="158"/>
      <c r="AK23" s="158"/>
      <c r="AL23" s="158"/>
      <c r="AM23" s="158"/>
      <c r="AN23" s="158"/>
      <c r="AO23" s="158"/>
      <c r="AP23" s="158"/>
      <c r="AQ23" s="158"/>
      <c r="AR23" s="2416"/>
      <c r="AS23" s="158">
        <f t="shared" ca="1" si="23"/>
        <v>0</v>
      </c>
      <c r="AT23" s="158">
        <f t="shared" ca="1" si="23"/>
        <v>0</v>
      </c>
      <c r="AU23" s="158">
        <f t="shared" ca="1" si="23"/>
        <v>0</v>
      </c>
      <c r="AV23" s="158">
        <f t="shared" ca="1" si="23"/>
        <v>0</v>
      </c>
      <c r="AW23" s="158">
        <f t="shared" ca="1" si="23"/>
        <v>0</v>
      </c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350">
        <f t="shared" ca="1" si="1"/>
        <v>0</v>
      </c>
      <c r="BN23" s="579">
        <f t="shared" ca="1" si="0"/>
        <v>0</v>
      </c>
      <c r="BO23" s="1047"/>
      <c r="BP23" s="1038"/>
      <c r="BQ23" s="1038"/>
      <c r="BR23" s="1038"/>
      <c r="BS23" s="1038"/>
      <c r="BT23" s="1038">
        <v>2.8000000000000001E-2</v>
      </c>
      <c r="BU23" s="1038"/>
      <c r="BV23" s="1038"/>
      <c r="BW23" s="1040"/>
      <c r="BX23" s="1038"/>
      <c r="BY23" s="1038"/>
      <c r="BZ23" s="1038"/>
      <c r="CA23" s="1038"/>
      <c r="CB23" s="1038"/>
      <c r="CC23" s="1038">
        <v>2.8000000000000001E-2</v>
      </c>
      <c r="CD23" s="1038"/>
      <c r="CE23" s="1038"/>
      <c r="CF23" s="1040"/>
      <c r="CG23" s="1038"/>
      <c r="CH23" s="1038"/>
      <c r="CI23" s="1038"/>
      <c r="CJ23" s="1038"/>
      <c r="CK23" s="1038"/>
      <c r="CL23" s="1038"/>
      <c r="CM23" s="1040"/>
      <c r="CN23" s="1040"/>
      <c r="CO23" s="1038"/>
      <c r="CP23" s="1038"/>
      <c r="CQ23" s="1038"/>
      <c r="CR23" s="1038"/>
      <c r="CS23" s="1038"/>
      <c r="CT23" s="1040"/>
      <c r="CU23" s="1041"/>
      <c r="CV23" s="1038"/>
      <c r="CW23" s="973"/>
    </row>
    <row r="24" spans="1:101" ht="21.95" hidden="1" customHeight="1" x14ac:dyDescent="0.15">
      <c r="A24" s="2707"/>
      <c r="B24" s="2606"/>
      <c r="C24" s="567">
        <v>1.2</v>
      </c>
      <c r="D24" s="1003"/>
      <c r="E24" s="1287"/>
      <c r="F24" s="158">
        <f t="shared" si="23"/>
        <v>0</v>
      </c>
      <c r="G24" s="158">
        <f t="shared" ca="1" si="23"/>
        <v>0</v>
      </c>
      <c r="H24" s="158">
        <f t="shared" ca="1" si="23"/>
        <v>0</v>
      </c>
      <c r="I24" s="158">
        <f t="shared" ca="1" si="23"/>
        <v>0</v>
      </c>
      <c r="J24" s="158"/>
      <c r="K24" s="158"/>
      <c r="L24" s="158"/>
      <c r="M24" s="158"/>
      <c r="N24" s="2416"/>
      <c r="O24" s="158">
        <f t="shared" ca="1" si="23"/>
        <v>0</v>
      </c>
      <c r="P24" s="158">
        <f t="shared" ca="1" si="23"/>
        <v>0</v>
      </c>
      <c r="Q24" s="158">
        <f t="shared" ca="1" si="23"/>
        <v>0</v>
      </c>
      <c r="R24" s="158">
        <f t="shared" ca="1" si="23"/>
        <v>0</v>
      </c>
      <c r="S24" s="158">
        <f t="shared" ca="1" si="23"/>
        <v>0</v>
      </c>
      <c r="T24" s="158">
        <f t="shared" ca="1" si="23"/>
        <v>0</v>
      </c>
      <c r="U24" s="158">
        <f t="shared" ca="1" si="23"/>
        <v>0</v>
      </c>
      <c r="V24" s="158">
        <f t="shared" ca="1" si="23"/>
        <v>0</v>
      </c>
      <c r="W24" s="158"/>
      <c r="X24" s="2416"/>
      <c r="Y24" s="158">
        <f t="shared" ca="1" si="23"/>
        <v>0</v>
      </c>
      <c r="Z24" s="158">
        <f t="shared" ca="1" si="23"/>
        <v>0</v>
      </c>
      <c r="AA24" s="158">
        <f t="shared" ca="1" si="23"/>
        <v>0</v>
      </c>
      <c r="AB24" s="158">
        <f t="shared" ca="1" si="23"/>
        <v>0</v>
      </c>
      <c r="AC24" s="158">
        <f t="shared" ca="1" si="23"/>
        <v>0</v>
      </c>
      <c r="AD24" s="158">
        <f t="shared" ca="1" si="23"/>
        <v>0</v>
      </c>
      <c r="AE24" s="158">
        <f t="shared" ca="1" si="23"/>
        <v>0</v>
      </c>
      <c r="AF24" s="158">
        <f t="shared" ca="1" si="23"/>
        <v>0</v>
      </c>
      <c r="AG24" s="158">
        <f t="shared" ca="1" si="23"/>
        <v>0</v>
      </c>
      <c r="AH24" s="158">
        <f t="shared" ca="1" si="23"/>
        <v>0</v>
      </c>
      <c r="AI24" s="158"/>
      <c r="AJ24" s="158"/>
      <c r="AK24" s="158"/>
      <c r="AL24" s="158"/>
      <c r="AM24" s="158"/>
      <c r="AN24" s="158"/>
      <c r="AO24" s="158"/>
      <c r="AP24" s="158"/>
      <c r="AQ24" s="158"/>
      <c r="AR24" s="2416"/>
      <c r="AS24" s="158">
        <f t="shared" ca="1" si="23"/>
        <v>0</v>
      </c>
      <c r="AT24" s="158">
        <f t="shared" ca="1" si="23"/>
        <v>0</v>
      </c>
      <c r="AU24" s="158">
        <f t="shared" ca="1" si="23"/>
        <v>0</v>
      </c>
      <c r="AV24" s="158">
        <f t="shared" ca="1" si="23"/>
        <v>0</v>
      </c>
      <c r="AW24" s="158">
        <f t="shared" ca="1" si="23"/>
        <v>0</v>
      </c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350">
        <f t="shared" ca="1" si="1"/>
        <v>0</v>
      </c>
      <c r="BN24" s="579">
        <f t="shared" ca="1" si="0"/>
        <v>0</v>
      </c>
      <c r="BO24" s="1047"/>
      <c r="BP24" s="1038"/>
      <c r="BQ24" s="1038"/>
      <c r="BR24" s="1038"/>
      <c r="BS24" s="1038"/>
      <c r="BT24" s="1038">
        <v>3.4700000000000002E-2</v>
      </c>
      <c r="BU24" s="1038"/>
      <c r="BV24" s="1038"/>
      <c r="BW24" s="1040"/>
      <c r="BX24" s="1038"/>
      <c r="BY24" s="1038"/>
      <c r="BZ24" s="1038"/>
      <c r="CA24" s="1038"/>
      <c r="CB24" s="1038"/>
      <c r="CC24" s="1038">
        <v>3.4700000000000002E-2</v>
      </c>
      <c r="CD24" s="1038"/>
      <c r="CE24" s="1038"/>
      <c r="CF24" s="1040"/>
      <c r="CG24" s="1038"/>
      <c r="CH24" s="1038"/>
      <c r="CI24" s="1038"/>
      <c r="CJ24" s="1038"/>
      <c r="CK24" s="1038"/>
      <c r="CL24" s="1038"/>
      <c r="CM24" s="1040"/>
      <c r="CN24" s="1040"/>
      <c r="CO24" s="1038"/>
      <c r="CP24" s="1038"/>
      <c r="CQ24" s="1038"/>
      <c r="CR24" s="1038"/>
      <c r="CS24" s="1038"/>
      <c r="CT24" s="1040"/>
      <c r="CU24" s="1041"/>
      <c r="CV24" s="1038"/>
      <c r="CW24" s="973"/>
    </row>
    <row r="25" spans="1:101" ht="21.95" hidden="1" customHeight="1" thickBot="1" x14ac:dyDescent="0.2">
      <c r="A25" s="2707"/>
      <c r="B25" s="2607"/>
      <c r="C25" s="566">
        <v>1.5</v>
      </c>
      <c r="D25" s="1003"/>
      <c r="E25" s="1287"/>
      <c r="F25" s="158">
        <f t="shared" si="23"/>
        <v>0</v>
      </c>
      <c r="G25" s="158">
        <f t="shared" ca="1" si="23"/>
        <v>0</v>
      </c>
      <c r="H25" s="158">
        <f t="shared" ca="1" si="23"/>
        <v>0</v>
      </c>
      <c r="I25" s="158">
        <f t="shared" ca="1" si="23"/>
        <v>0</v>
      </c>
      <c r="J25" s="158"/>
      <c r="K25" s="158"/>
      <c r="L25" s="158"/>
      <c r="M25" s="158"/>
      <c r="N25" s="2416"/>
      <c r="O25" s="158">
        <f t="shared" ca="1" si="23"/>
        <v>0</v>
      </c>
      <c r="P25" s="158">
        <f t="shared" ca="1" si="23"/>
        <v>0</v>
      </c>
      <c r="Q25" s="158">
        <f t="shared" ca="1" si="23"/>
        <v>0</v>
      </c>
      <c r="R25" s="158">
        <f t="shared" ca="1" si="23"/>
        <v>0</v>
      </c>
      <c r="S25" s="158">
        <f t="shared" ca="1" si="23"/>
        <v>0</v>
      </c>
      <c r="T25" s="158">
        <f t="shared" ca="1" si="23"/>
        <v>0</v>
      </c>
      <c r="U25" s="158">
        <f t="shared" ca="1" si="23"/>
        <v>0</v>
      </c>
      <c r="V25" s="158">
        <f t="shared" ca="1" si="23"/>
        <v>0</v>
      </c>
      <c r="W25" s="158"/>
      <c r="X25" s="2416"/>
      <c r="Y25" s="158">
        <f t="shared" ca="1" si="23"/>
        <v>0</v>
      </c>
      <c r="Z25" s="158">
        <f t="shared" ca="1" si="23"/>
        <v>0</v>
      </c>
      <c r="AA25" s="158">
        <f t="shared" ca="1" si="23"/>
        <v>0</v>
      </c>
      <c r="AB25" s="158">
        <f t="shared" ca="1" si="23"/>
        <v>0</v>
      </c>
      <c r="AC25" s="158">
        <f t="shared" ca="1" si="23"/>
        <v>0</v>
      </c>
      <c r="AD25" s="158">
        <f t="shared" ca="1" si="23"/>
        <v>0</v>
      </c>
      <c r="AE25" s="158">
        <f t="shared" ca="1" si="23"/>
        <v>0</v>
      </c>
      <c r="AF25" s="158">
        <f t="shared" ca="1" si="23"/>
        <v>0</v>
      </c>
      <c r="AG25" s="158">
        <f t="shared" ca="1" si="23"/>
        <v>0</v>
      </c>
      <c r="AH25" s="158">
        <f t="shared" ca="1" si="23"/>
        <v>0</v>
      </c>
      <c r="AI25" s="158"/>
      <c r="AJ25" s="158"/>
      <c r="AK25" s="158"/>
      <c r="AL25" s="158"/>
      <c r="AM25" s="158"/>
      <c r="AN25" s="158"/>
      <c r="AO25" s="158"/>
      <c r="AP25" s="158"/>
      <c r="AQ25" s="158"/>
      <c r="AR25" s="2416"/>
      <c r="AS25" s="158">
        <f t="shared" ca="1" si="23"/>
        <v>0</v>
      </c>
      <c r="AT25" s="158">
        <f t="shared" ca="1" si="23"/>
        <v>0</v>
      </c>
      <c r="AU25" s="158">
        <f t="shared" ca="1" si="23"/>
        <v>0</v>
      </c>
      <c r="AV25" s="158">
        <f t="shared" ca="1" si="23"/>
        <v>0</v>
      </c>
      <c r="AW25" s="158">
        <f t="shared" ca="1" si="23"/>
        <v>0</v>
      </c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361">
        <f t="shared" ca="1" si="1"/>
        <v>0</v>
      </c>
      <c r="BN25" s="579">
        <f t="shared" ca="1" si="0"/>
        <v>0</v>
      </c>
      <c r="BO25" s="1047"/>
      <c r="BP25" s="1038"/>
      <c r="BQ25" s="1038"/>
      <c r="BR25" s="1038"/>
      <c r="BS25" s="1038"/>
      <c r="BT25" s="1038">
        <v>4.6199999999999998E-2</v>
      </c>
      <c r="BU25" s="1038"/>
      <c r="BV25" s="1038"/>
      <c r="BW25" s="1040"/>
      <c r="BX25" s="1038"/>
      <c r="BY25" s="1038"/>
      <c r="BZ25" s="1038"/>
      <c r="CA25" s="1038"/>
      <c r="CB25" s="1038"/>
      <c r="CC25" s="1038">
        <v>4.6199999999999998E-2</v>
      </c>
      <c r="CD25" s="1038"/>
      <c r="CE25" s="1038"/>
      <c r="CF25" s="1040"/>
      <c r="CG25" s="1038"/>
      <c r="CH25" s="1038"/>
      <c r="CI25" s="1038"/>
      <c r="CJ25" s="1038"/>
      <c r="CK25" s="1038"/>
      <c r="CL25" s="1038"/>
      <c r="CM25" s="1040"/>
      <c r="CN25" s="1040"/>
      <c r="CO25" s="1038"/>
      <c r="CP25" s="1038"/>
      <c r="CQ25" s="1038"/>
      <c r="CR25" s="1038"/>
      <c r="CS25" s="1038"/>
      <c r="CT25" s="1040"/>
      <c r="CU25" s="1041"/>
      <c r="CV25" s="1038"/>
      <c r="CW25" s="973"/>
    </row>
    <row r="26" spans="1:101" ht="21.95" hidden="1" customHeight="1" x14ac:dyDescent="0.15">
      <c r="A26" s="2707"/>
      <c r="B26" s="2605" t="s">
        <v>1177</v>
      </c>
      <c r="C26" s="550">
        <v>0.6</v>
      </c>
      <c r="D26" s="1002"/>
      <c r="E26" s="2241"/>
      <c r="F26" s="238">
        <f t="shared" ref="F26:AW30" si="24">IF(F$4&lt;&gt;$C26,0,IF(AND(F$5="PA-2",F$9=1),F$2*F$3,0))</f>
        <v>0</v>
      </c>
      <c r="G26" s="238">
        <f t="shared" ca="1" si="24"/>
        <v>0</v>
      </c>
      <c r="H26" s="238">
        <f t="shared" ca="1" si="24"/>
        <v>0</v>
      </c>
      <c r="I26" s="238">
        <f t="shared" ca="1" si="24"/>
        <v>0</v>
      </c>
      <c r="J26" s="238"/>
      <c r="K26" s="238"/>
      <c r="L26" s="238"/>
      <c r="M26" s="238"/>
      <c r="N26" s="2439"/>
      <c r="O26" s="238">
        <f t="shared" ca="1" si="24"/>
        <v>0</v>
      </c>
      <c r="P26" s="238">
        <f t="shared" ca="1" si="24"/>
        <v>0</v>
      </c>
      <c r="Q26" s="238">
        <f t="shared" ca="1" si="24"/>
        <v>0</v>
      </c>
      <c r="R26" s="238">
        <f t="shared" ca="1" si="24"/>
        <v>0</v>
      </c>
      <c r="S26" s="238">
        <f t="shared" ca="1" si="24"/>
        <v>0</v>
      </c>
      <c r="T26" s="238">
        <f t="shared" ca="1" si="24"/>
        <v>0</v>
      </c>
      <c r="U26" s="238">
        <f t="shared" ca="1" si="24"/>
        <v>0</v>
      </c>
      <c r="V26" s="238">
        <f t="shared" ca="1" si="24"/>
        <v>0</v>
      </c>
      <c r="W26" s="238"/>
      <c r="X26" s="2439"/>
      <c r="Y26" s="238">
        <f t="shared" ca="1" si="24"/>
        <v>0</v>
      </c>
      <c r="Z26" s="238">
        <f t="shared" ca="1" si="24"/>
        <v>0</v>
      </c>
      <c r="AA26" s="238">
        <f t="shared" ca="1" si="24"/>
        <v>0</v>
      </c>
      <c r="AB26" s="238">
        <f t="shared" ca="1" si="24"/>
        <v>0</v>
      </c>
      <c r="AC26" s="238">
        <f t="shared" ca="1" si="24"/>
        <v>0</v>
      </c>
      <c r="AD26" s="238">
        <f t="shared" ca="1" si="24"/>
        <v>0</v>
      </c>
      <c r="AE26" s="238">
        <f t="shared" ca="1" si="24"/>
        <v>0</v>
      </c>
      <c r="AF26" s="238">
        <f t="shared" ca="1" si="24"/>
        <v>0</v>
      </c>
      <c r="AG26" s="238">
        <f t="shared" ca="1" si="24"/>
        <v>0</v>
      </c>
      <c r="AH26" s="238">
        <f t="shared" ca="1" si="24"/>
        <v>0</v>
      </c>
      <c r="AI26" s="238"/>
      <c r="AJ26" s="238"/>
      <c r="AK26" s="238"/>
      <c r="AL26" s="238"/>
      <c r="AM26" s="238"/>
      <c r="AN26" s="238"/>
      <c r="AO26" s="238"/>
      <c r="AP26" s="238"/>
      <c r="AQ26" s="238"/>
      <c r="AR26" s="2439"/>
      <c r="AS26" s="238">
        <f t="shared" ca="1" si="24"/>
        <v>0</v>
      </c>
      <c r="AT26" s="238">
        <f t="shared" ca="1" si="24"/>
        <v>0</v>
      </c>
      <c r="AU26" s="238">
        <f t="shared" ca="1" si="24"/>
        <v>0</v>
      </c>
      <c r="AV26" s="238">
        <f t="shared" ca="1" si="24"/>
        <v>0</v>
      </c>
      <c r="AW26" s="238">
        <f t="shared" ca="1" si="24"/>
        <v>0</v>
      </c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362">
        <f t="shared" ca="1" si="1"/>
        <v>0</v>
      </c>
      <c r="BN26" s="579">
        <f t="shared" ca="1" si="0"/>
        <v>0</v>
      </c>
      <c r="BO26" s="1047"/>
      <c r="BP26" s="1038"/>
      <c r="BQ26" s="1038"/>
      <c r="BR26" s="1038"/>
      <c r="BS26" s="1038"/>
      <c r="BT26" s="1038">
        <v>5.0000000000000001E-3</v>
      </c>
      <c r="BU26" s="1038"/>
      <c r="BV26" s="1038"/>
      <c r="BW26" s="1040"/>
      <c r="BX26" s="1038"/>
      <c r="BY26" s="1038"/>
      <c r="BZ26" s="1038"/>
      <c r="CA26" s="1038"/>
      <c r="CB26" s="1038"/>
      <c r="CC26" s="1038">
        <v>5.0000000000000001E-3</v>
      </c>
      <c r="CD26" s="1038"/>
      <c r="CE26" s="1038"/>
      <c r="CF26" s="1040"/>
      <c r="CG26" s="1038"/>
      <c r="CH26" s="1038"/>
      <c r="CI26" s="1038"/>
      <c r="CJ26" s="1038"/>
      <c r="CK26" s="1038"/>
      <c r="CL26" s="1038"/>
      <c r="CM26" s="1040"/>
      <c r="CN26" s="1040"/>
      <c r="CO26" s="1038"/>
      <c r="CP26" s="1038"/>
      <c r="CQ26" s="1038"/>
      <c r="CR26" s="1038"/>
      <c r="CS26" s="1038"/>
      <c r="CT26" s="1040"/>
      <c r="CU26" s="1041"/>
      <c r="CV26" s="1038"/>
      <c r="CW26" s="973"/>
    </row>
    <row r="27" spans="1:101" ht="21.95" hidden="1" customHeight="1" x14ac:dyDescent="0.15">
      <c r="A27" s="2707"/>
      <c r="B27" s="2606"/>
      <c r="C27" s="567">
        <v>0.8</v>
      </c>
      <c r="D27" s="1003"/>
      <c r="E27" s="1287"/>
      <c r="F27" s="158">
        <f t="shared" si="24"/>
        <v>0</v>
      </c>
      <c r="G27" s="158">
        <f t="shared" ca="1" si="24"/>
        <v>0</v>
      </c>
      <c r="H27" s="158">
        <f t="shared" ca="1" si="24"/>
        <v>0</v>
      </c>
      <c r="I27" s="158">
        <f t="shared" ca="1" si="24"/>
        <v>0</v>
      </c>
      <c r="J27" s="158"/>
      <c r="K27" s="158"/>
      <c r="L27" s="158"/>
      <c r="M27" s="158"/>
      <c r="N27" s="2416"/>
      <c r="O27" s="158">
        <f t="shared" ca="1" si="24"/>
        <v>0</v>
      </c>
      <c r="P27" s="158">
        <f t="shared" ca="1" si="24"/>
        <v>0</v>
      </c>
      <c r="Q27" s="158">
        <f t="shared" ca="1" si="24"/>
        <v>0</v>
      </c>
      <c r="R27" s="158">
        <f t="shared" ca="1" si="24"/>
        <v>0</v>
      </c>
      <c r="S27" s="158">
        <f t="shared" ca="1" si="24"/>
        <v>0</v>
      </c>
      <c r="T27" s="158">
        <f t="shared" ca="1" si="24"/>
        <v>0</v>
      </c>
      <c r="U27" s="158">
        <f t="shared" ca="1" si="24"/>
        <v>0</v>
      </c>
      <c r="V27" s="158">
        <f t="shared" ca="1" si="24"/>
        <v>0</v>
      </c>
      <c r="W27" s="158"/>
      <c r="X27" s="2416"/>
      <c r="Y27" s="158">
        <f t="shared" ca="1" si="24"/>
        <v>0</v>
      </c>
      <c r="Z27" s="158">
        <f t="shared" ca="1" si="24"/>
        <v>0</v>
      </c>
      <c r="AA27" s="158">
        <f t="shared" ca="1" si="24"/>
        <v>0</v>
      </c>
      <c r="AB27" s="158">
        <f t="shared" ca="1" si="24"/>
        <v>0</v>
      </c>
      <c r="AC27" s="158">
        <f t="shared" ca="1" si="24"/>
        <v>0</v>
      </c>
      <c r="AD27" s="158">
        <f t="shared" ca="1" si="24"/>
        <v>0</v>
      </c>
      <c r="AE27" s="158">
        <f t="shared" ca="1" si="24"/>
        <v>0</v>
      </c>
      <c r="AF27" s="158">
        <f t="shared" ca="1" si="24"/>
        <v>0</v>
      </c>
      <c r="AG27" s="158">
        <f t="shared" ca="1" si="24"/>
        <v>0</v>
      </c>
      <c r="AH27" s="158">
        <f t="shared" ca="1" si="24"/>
        <v>0</v>
      </c>
      <c r="AI27" s="158"/>
      <c r="AJ27" s="158"/>
      <c r="AK27" s="158"/>
      <c r="AL27" s="158"/>
      <c r="AM27" s="158"/>
      <c r="AN27" s="158"/>
      <c r="AO27" s="158"/>
      <c r="AP27" s="158"/>
      <c r="AQ27" s="158"/>
      <c r="AR27" s="2416"/>
      <c r="AS27" s="158">
        <f t="shared" ca="1" si="24"/>
        <v>0</v>
      </c>
      <c r="AT27" s="158">
        <f t="shared" ca="1" si="24"/>
        <v>0</v>
      </c>
      <c r="AU27" s="158">
        <f t="shared" ca="1" si="24"/>
        <v>0</v>
      </c>
      <c r="AV27" s="158">
        <f t="shared" ca="1" si="24"/>
        <v>0</v>
      </c>
      <c r="AW27" s="158">
        <f t="shared" ca="1" si="24"/>
        <v>0</v>
      </c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350">
        <f t="shared" ca="1" si="1"/>
        <v>0</v>
      </c>
      <c r="BN27" s="579">
        <f t="shared" ca="1" si="0"/>
        <v>0</v>
      </c>
      <c r="BO27" s="1047"/>
      <c r="BP27" s="1038"/>
      <c r="BQ27" s="1038"/>
      <c r="BR27" s="1038"/>
      <c r="BS27" s="1038"/>
      <c r="BT27" s="1038">
        <v>1.2E-2</v>
      </c>
      <c r="BU27" s="1038"/>
      <c r="BV27" s="1038"/>
      <c r="BW27" s="1040"/>
      <c r="BX27" s="1038"/>
      <c r="BY27" s="1038"/>
      <c r="BZ27" s="1038"/>
      <c r="CA27" s="1038"/>
      <c r="CB27" s="1038"/>
      <c r="CC27" s="1038">
        <v>1.2E-2</v>
      </c>
      <c r="CD27" s="1038"/>
      <c r="CE27" s="1038"/>
      <c r="CF27" s="1040"/>
      <c r="CG27" s="1038"/>
      <c r="CH27" s="1038"/>
      <c r="CI27" s="1038"/>
      <c r="CJ27" s="1038"/>
      <c r="CK27" s="1038"/>
      <c r="CL27" s="1038"/>
      <c r="CM27" s="1040"/>
      <c r="CN27" s="1040"/>
      <c r="CO27" s="1038"/>
      <c r="CP27" s="1038"/>
      <c r="CQ27" s="1038"/>
      <c r="CR27" s="1038"/>
      <c r="CS27" s="1038"/>
      <c r="CT27" s="1040"/>
      <c r="CU27" s="1041"/>
      <c r="CV27" s="1038"/>
      <c r="CW27" s="973"/>
    </row>
    <row r="28" spans="1:101" ht="21.95" hidden="1" customHeight="1" x14ac:dyDescent="0.15">
      <c r="A28" s="2707"/>
      <c r="B28" s="2606"/>
      <c r="C28" s="567">
        <v>1</v>
      </c>
      <c r="D28" s="1003"/>
      <c r="E28" s="1287"/>
      <c r="F28" s="158">
        <f t="shared" si="24"/>
        <v>0</v>
      </c>
      <c r="G28" s="158">
        <f t="shared" ca="1" si="24"/>
        <v>0</v>
      </c>
      <c r="H28" s="158">
        <f t="shared" ca="1" si="24"/>
        <v>0</v>
      </c>
      <c r="I28" s="158">
        <f t="shared" ca="1" si="24"/>
        <v>0</v>
      </c>
      <c r="J28" s="158"/>
      <c r="K28" s="158"/>
      <c r="L28" s="158"/>
      <c r="M28" s="158"/>
      <c r="N28" s="2416"/>
      <c r="O28" s="158">
        <f t="shared" ca="1" si="24"/>
        <v>0</v>
      </c>
      <c r="P28" s="158">
        <f t="shared" ca="1" si="24"/>
        <v>0</v>
      </c>
      <c r="Q28" s="158">
        <f t="shared" ca="1" si="24"/>
        <v>0</v>
      </c>
      <c r="R28" s="158">
        <f t="shared" ca="1" si="24"/>
        <v>0</v>
      </c>
      <c r="S28" s="158">
        <f t="shared" ca="1" si="24"/>
        <v>0</v>
      </c>
      <c r="T28" s="158">
        <f t="shared" ca="1" si="24"/>
        <v>0</v>
      </c>
      <c r="U28" s="158">
        <f t="shared" ca="1" si="24"/>
        <v>0</v>
      </c>
      <c r="V28" s="158">
        <f t="shared" ca="1" si="24"/>
        <v>0</v>
      </c>
      <c r="W28" s="158"/>
      <c r="X28" s="2416"/>
      <c r="Y28" s="158">
        <f t="shared" ca="1" si="24"/>
        <v>0</v>
      </c>
      <c r="Z28" s="158">
        <f t="shared" ca="1" si="24"/>
        <v>0</v>
      </c>
      <c r="AA28" s="158">
        <f t="shared" ca="1" si="24"/>
        <v>0</v>
      </c>
      <c r="AB28" s="158">
        <f t="shared" ca="1" si="24"/>
        <v>0</v>
      </c>
      <c r="AC28" s="158">
        <f t="shared" ca="1" si="24"/>
        <v>0</v>
      </c>
      <c r="AD28" s="158">
        <f t="shared" ca="1" si="24"/>
        <v>0</v>
      </c>
      <c r="AE28" s="158">
        <f t="shared" ca="1" si="24"/>
        <v>0</v>
      </c>
      <c r="AF28" s="158">
        <f t="shared" ca="1" si="24"/>
        <v>0</v>
      </c>
      <c r="AG28" s="158">
        <f t="shared" ca="1" si="24"/>
        <v>0</v>
      </c>
      <c r="AH28" s="158">
        <f t="shared" ca="1" si="24"/>
        <v>0</v>
      </c>
      <c r="AI28" s="158"/>
      <c r="AJ28" s="158"/>
      <c r="AK28" s="158"/>
      <c r="AL28" s="158"/>
      <c r="AM28" s="158"/>
      <c r="AN28" s="158"/>
      <c r="AO28" s="158"/>
      <c r="AP28" s="158"/>
      <c r="AQ28" s="158"/>
      <c r="AR28" s="2416"/>
      <c r="AS28" s="158">
        <f t="shared" ca="1" si="24"/>
        <v>0</v>
      </c>
      <c r="AT28" s="158">
        <f t="shared" ca="1" si="24"/>
        <v>0</v>
      </c>
      <c r="AU28" s="158">
        <f t="shared" ca="1" si="24"/>
        <v>0</v>
      </c>
      <c r="AV28" s="158">
        <f t="shared" ca="1" si="24"/>
        <v>0</v>
      </c>
      <c r="AW28" s="158">
        <f t="shared" ca="1" si="24"/>
        <v>0</v>
      </c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59"/>
      <c r="BM28" s="350">
        <f t="shared" ca="1" si="1"/>
        <v>0</v>
      </c>
      <c r="BN28" s="579">
        <f t="shared" ca="1" si="0"/>
        <v>0</v>
      </c>
      <c r="BO28" s="1047"/>
      <c r="BP28" s="1038"/>
      <c r="BQ28" s="1038"/>
      <c r="BR28" s="1038"/>
      <c r="BS28" s="1038"/>
      <c r="BT28" s="1038">
        <v>2.8000000000000001E-2</v>
      </c>
      <c r="BU28" s="1038"/>
      <c r="BV28" s="1038"/>
      <c r="BW28" s="1040"/>
      <c r="BX28" s="1038"/>
      <c r="BY28" s="1038"/>
      <c r="BZ28" s="1038"/>
      <c r="CA28" s="1038"/>
      <c r="CB28" s="1038"/>
      <c r="CC28" s="1038">
        <v>2.8000000000000001E-2</v>
      </c>
      <c r="CD28" s="1038"/>
      <c r="CE28" s="1038"/>
      <c r="CF28" s="1040"/>
      <c r="CG28" s="1038"/>
      <c r="CH28" s="1038"/>
      <c r="CI28" s="1038"/>
      <c r="CJ28" s="1038"/>
      <c r="CK28" s="1038"/>
      <c r="CL28" s="1038"/>
      <c r="CM28" s="1040"/>
      <c r="CN28" s="1040"/>
      <c r="CO28" s="1038"/>
      <c r="CP28" s="1038"/>
      <c r="CQ28" s="1038"/>
      <c r="CR28" s="1038"/>
      <c r="CS28" s="1038"/>
      <c r="CT28" s="1040"/>
      <c r="CU28" s="1041"/>
      <c r="CV28" s="1038"/>
      <c r="CW28" s="973"/>
    </row>
    <row r="29" spans="1:101" ht="21.95" hidden="1" customHeight="1" x14ac:dyDescent="0.15">
      <c r="A29" s="2707"/>
      <c r="B29" s="2606"/>
      <c r="C29" s="567">
        <v>1.2</v>
      </c>
      <c r="D29" s="1003"/>
      <c r="E29" s="1287"/>
      <c r="F29" s="158">
        <f t="shared" si="24"/>
        <v>0</v>
      </c>
      <c r="G29" s="158">
        <f t="shared" ca="1" si="24"/>
        <v>0</v>
      </c>
      <c r="H29" s="158">
        <f t="shared" ca="1" si="24"/>
        <v>0</v>
      </c>
      <c r="I29" s="158">
        <f t="shared" ca="1" si="24"/>
        <v>0</v>
      </c>
      <c r="J29" s="158"/>
      <c r="K29" s="158"/>
      <c r="L29" s="158"/>
      <c r="M29" s="158"/>
      <c r="N29" s="2416"/>
      <c r="O29" s="158">
        <f t="shared" ca="1" si="24"/>
        <v>0</v>
      </c>
      <c r="P29" s="158">
        <f t="shared" ca="1" si="24"/>
        <v>0</v>
      </c>
      <c r="Q29" s="158">
        <f t="shared" ca="1" si="24"/>
        <v>0</v>
      </c>
      <c r="R29" s="158">
        <f t="shared" ca="1" si="24"/>
        <v>0</v>
      </c>
      <c r="S29" s="158">
        <f t="shared" ca="1" si="24"/>
        <v>0</v>
      </c>
      <c r="T29" s="158">
        <f t="shared" ca="1" si="24"/>
        <v>0</v>
      </c>
      <c r="U29" s="158">
        <f t="shared" ca="1" si="24"/>
        <v>0</v>
      </c>
      <c r="V29" s="158">
        <f t="shared" ca="1" si="24"/>
        <v>0</v>
      </c>
      <c r="W29" s="158"/>
      <c r="X29" s="2416"/>
      <c r="Y29" s="158">
        <f t="shared" ca="1" si="24"/>
        <v>0</v>
      </c>
      <c r="Z29" s="158">
        <f t="shared" ca="1" si="24"/>
        <v>0</v>
      </c>
      <c r="AA29" s="158">
        <f t="shared" ca="1" si="24"/>
        <v>0</v>
      </c>
      <c r="AB29" s="158">
        <f t="shared" ca="1" si="24"/>
        <v>0</v>
      </c>
      <c r="AC29" s="158">
        <f t="shared" ca="1" si="24"/>
        <v>0</v>
      </c>
      <c r="AD29" s="158">
        <f t="shared" ca="1" si="24"/>
        <v>0</v>
      </c>
      <c r="AE29" s="158">
        <f t="shared" ca="1" si="24"/>
        <v>0</v>
      </c>
      <c r="AF29" s="158">
        <f t="shared" ca="1" si="24"/>
        <v>0</v>
      </c>
      <c r="AG29" s="158">
        <f t="shared" ca="1" si="24"/>
        <v>0</v>
      </c>
      <c r="AH29" s="158">
        <f t="shared" ca="1" si="24"/>
        <v>0</v>
      </c>
      <c r="AI29" s="158"/>
      <c r="AJ29" s="158"/>
      <c r="AK29" s="158"/>
      <c r="AL29" s="158"/>
      <c r="AM29" s="158"/>
      <c r="AN29" s="158"/>
      <c r="AO29" s="158"/>
      <c r="AP29" s="158"/>
      <c r="AQ29" s="158"/>
      <c r="AR29" s="2416"/>
      <c r="AS29" s="158">
        <f t="shared" ca="1" si="24"/>
        <v>0</v>
      </c>
      <c r="AT29" s="158">
        <f t="shared" ca="1" si="24"/>
        <v>0</v>
      </c>
      <c r="AU29" s="158">
        <f t="shared" ca="1" si="24"/>
        <v>0</v>
      </c>
      <c r="AV29" s="158">
        <f t="shared" ca="1" si="24"/>
        <v>0</v>
      </c>
      <c r="AW29" s="158">
        <f t="shared" ca="1" si="24"/>
        <v>0</v>
      </c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350">
        <f t="shared" ca="1" si="1"/>
        <v>0</v>
      </c>
      <c r="BN29" s="579">
        <f t="shared" ca="1" si="0"/>
        <v>0</v>
      </c>
      <c r="BO29" s="1047"/>
      <c r="BP29" s="1038"/>
      <c r="BQ29" s="1038"/>
      <c r="BR29" s="1038"/>
      <c r="BS29" s="1038"/>
      <c r="BT29" s="1038">
        <v>3.4700000000000002E-2</v>
      </c>
      <c r="BU29" s="1038"/>
      <c r="BV29" s="1038"/>
      <c r="BW29" s="1040"/>
      <c r="BX29" s="1038"/>
      <c r="BY29" s="1038"/>
      <c r="BZ29" s="1038"/>
      <c r="CA29" s="1038"/>
      <c r="CB29" s="1038"/>
      <c r="CC29" s="1038">
        <v>3.4700000000000002E-2</v>
      </c>
      <c r="CD29" s="1038"/>
      <c r="CE29" s="1038"/>
      <c r="CF29" s="1040"/>
      <c r="CG29" s="1038"/>
      <c r="CH29" s="1038"/>
      <c r="CI29" s="1038"/>
      <c r="CJ29" s="1038"/>
      <c r="CK29" s="1038"/>
      <c r="CL29" s="1038"/>
      <c r="CM29" s="1040"/>
      <c r="CN29" s="1040"/>
      <c r="CO29" s="1038"/>
      <c r="CP29" s="1038"/>
      <c r="CQ29" s="1038"/>
      <c r="CR29" s="1038"/>
      <c r="CS29" s="1038"/>
      <c r="CT29" s="1040"/>
      <c r="CU29" s="1041"/>
      <c r="CV29" s="1038"/>
      <c r="CW29" s="973"/>
    </row>
    <row r="30" spans="1:101" ht="21.95" hidden="1" customHeight="1" thickBot="1" x14ac:dyDescent="0.2">
      <c r="A30" s="2707"/>
      <c r="B30" s="2607"/>
      <c r="C30" s="566">
        <v>1.5</v>
      </c>
      <c r="D30" s="1004"/>
      <c r="E30" s="2242"/>
      <c r="F30" s="239">
        <f t="shared" si="24"/>
        <v>0</v>
      </c>
      <c r="G30" s="239">
        <f t="shared" ca="1" si="24"/>
        <v>0</v>
      </c>
      <c r="H30" s="239">
        <f t="shared" ca="1" si="24"/>
        <v>0</v>
      </c>
      <c r="I30" s="239">
        <f t="shared" ca="1" si="24"/>
        <v>0</v>
      </c>
      <c r="J30" s="239"/>
      <c r="K30" s="239"/>
      <c r="L30" s="239"/>
      <c r="M30" s="239"/>
      <c r="N30" s="2440"/>
      <c r="O30" s="239">
        <f t="shared" ca="1" si="24"/>
        <v>0</v>
      </c>
      <c r="P30" s="239">
        <f t="shared" ca="1" si="24"/>
        <v>0</v>
      </c>
      <c r="Q30" s="239">
        <f t="shared" ca="1" si="24"/>
        <v>0</v>
      </c>
      <c r="R30" s="239">
        <f t="shared" ca="1" si="24"/>
        <v>0</v>
      </c>
      <c r="S30" s="239">
        <f t="shared" ca="1" si="24"/>
        <v>0</v>
      </c>
      <c r="T30" s="239">
        <f t="shared" ca="1" si="24"/>
        <v>0</v>
      </c>
      <c r="U30" s="239">
        <f t="shared" ca="1" si="24"/>
        <v>0</v>
      </c>
      <c r="V30" s="239">
        <f t="shared" ca="1" si="24"/>
        <v>0</v>
      </c>
      <c r="W30" s="239"/>
      <c r="X30" s="2440"/>
      <c r="Y30" s="239">
        <f t="shared" ca="1" si="24"/>
        <v>0</v>
      </c>
      <c r="Z30" s="239">
        <f t="shared" ca="1" si="24"/>
        <v>0</v>
      </c>
      <c r="AA30" s="239">
        <f t="shared" ca="1" si="24"/>
        <v>0</v>
      </c>
      <c r="AB30" s="239">
        <f t="shared" ca="1" si="24"/>
        <v>0</v>
      </c>
      <c r="AC30" s="239">
        <f t="shared" ca="1" si="24"/>
        <v>0</v>
      </c>
      <c r="AD30" s="239">
        <f t="shared" ca="1" si="24"/>
        <v>0</v>
      </c>
      <c r="AE30" s="239">
        <f t="shared" ca="1" si="24"/>
        <v>0</v>
      </c>
      <c r="AF30" s="239">
        <f t="shared" ca="1" si="24"/>
        <v>0</v>
      </c>
      <c r="AG30" s="239">
        <f t="shared" ca="1" si="24"/>
        <v>0</v>
      </c>
      <c r="AH30" s="239">
        <f t="shared" ca="1" si="24"/>
        <v>0</v>
      </c>
      <c r="AI30" s="239"/>
      <c r="AJ30" s="239"/>
      <c r="AK30" s="239"/>
      <c r="AL30" s="239"/>
      <c r="AM30" s="239"/>
      <c r="AN30" s="239"/>
      <c r="AO30" s="239"/>
      <c r="AP30" s="239"/>
      <c r="AQ30" s="239"/>
      <c r="AR30" s="2440"/>
      <c r="AS30" s="239">
        <f t="shared" ref="AS30:AW30" ca="1" si="25">IF(AS$4&lt;&gt;$C30,0,IF(AND(AS$5="PA-2",AS$9=1),AS$2*AS$3,0))</f>
        <v>0</v>
      </c>
      <c r="AT30" s="239">
        <f t="shared" ca="1" si="25"/>
        <v>0</v>
      </c>
      <c r="AU30" s="239">
        <f t="shared" ca="1" si="25"/>
        <v>0</v>
      </c>
      <c r="AV30" s="239">
        <f t="shared" ca="1" si="25"/>
        <v>0</v>
      </c>
      <c r="AW30" s="239">
        <f t="shared" ca="1" si="25"/>
        <v>0</v>
      </c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361">
        <f t="shared" ca="1" si="1"/>
        <v>0</v>
      </c>
      <c r="BN30" s="579">
        <f t="shared" ca="1" si="0"/>
        <v>0</v>
      </c>
      <c r="BO30" s="1047"/>
      <c r="BP30" s="1038"/>
      <c r="BQ30" s="1038"/>
      <c r="BR30" s="1038"/>
      <c r="BS30" s="1038"/>
      <c r="BT30" s="1038">
        <v>4.6199999999999998E-2</v>
      </c>
      <c r="BU30" s="1038"/>
      <c r="BV30" s="1038"/>
      <c r="BW30" s="1040"/>
      <c r="BX30" s="1038"/>
      <c r="BY30" s="1038"/>
      <c r="BZ30" s="1038"/>
      <c r="CA30" s="1038"/>
      <c r="CB30" s="1038"/>
      <c r="CC30" s="1038">
        <v>4.6199999999999998E-2</v>
      </c>
      <c r="CD30" s="1038"/>
      <c r="CE30" s="1038"/>
      <c r="CF30" s="1040"/>
      <c r="CG30" s="1038"/>
      <c r="CH30" s="1038"/>
      <c r="CI30" s="1038"/>
      <c r="CJ30" s="1038"/>
      <c r="CK30" s="1038"/>
      <c r="CL30" s="1038"/>
      <c r="CM30" s="1040"/>
      <c r="CN30" s="1040"/>
      <c r="CO30" s="1038"/>
      <c r="CP30" s="1038"/>
      <c r="CQ30" s="1038"/>
      <c r="CR30" s="1038"/>
      <c r="CS30" s="1038"/>
      <c r="CT30" s="1040"/>
      <c r="CU30" s="1041"/>
      <c r="CV30" s="1038"/>
      <c r="CW30" s="973"/>
    </row>
    <row r="31" spans="1:101" ht="21.95" hidden="1" customHeight="1" x14ac:dyDescent="0.15">
      <c r="A31" s="2707"/>
      <c r="B31" s="2605" t="s">
        <v>1178</v>
      </c>
      <c r="C31" s="550">
        <v>0.6</v>
      </c>
      <c r="D31" s="1003"/>
      <c r="E31" s="1287"/>
      <c r="F31" s="158">
        <f t="shared" ref="F31:AW35" si="26">IF(F$4&lt;&gt;$C31,0,IF(AND(F$5="PA-2",F$9=2),F$2*F$3,0))</f>
        <v>0</v>
      </c>
      <c r="G31" s="158">
        <f t="shared" ca="1" si="26"/>
        <v>0</v>
      </c>
      <c r="H31" s="158">
        <f t="shared" ca="1" si="26"/>
        <v>0</v>
      </c>
      <c r="I31" s="158">
        <f t="shared" ca="1" si="26"/>
        <v>0</v>
      </c>
      <c r="J31" s="158"/>
      <c r="K31" s="158"/>
      <c r="L31" s="158"/>
      <c r="M31" s="158"/>
      <c r="N31" s="2416"/>
      <c r="O31" s="158">
        <f t="shared" ca="1" si="26"/>
        <v>0</v>
      </c>
      <c r="P31" s="158">
        <f t="shared" ca="1" si="26"/>
        <v>0</v>
      </c>
      <c r="Q31" s="158">
        <f t="shared" ca="1" si="26"/>
        <v>0</v>
      </c>
      <c r="R31" s="158">
        <f t="shared" ca="1" si="26"/>
        <v>0</v>
      </c>
      <c r="S31" s="158">
        <f t="shared" ca="1" si="26"/>
        <v>0</v>
      </c>
      <c r="T31" s="158">
        <f t="shared" ca="1" si="26"/>
        <v>0</v>
      </c>
      <c r="U31" s="158">
        <f t="shared" ca="1" si="26"/>
        <v>0</v>
      </c>
      <c r="V31" s="158">
        <f t="shared" ca="1" si="26"/>
        <v>0</v>
      </c>
      <c r="W31" s="158"/>
      <c r="X31" s="2416"/>
      <c r="Y31" s="158">
        <f t="shared" ca="1" si="26"/>
        <v>0</v>
      </c>
      <c r="Z31" s="158">
        <f t="shared" ca="1" si="26"/>
        <v>0</v>
      </c>
      <c r="AA31" s="158">
        <f t="shared" ca="1" si="26"/>
        <v>0</v>
      </c>
      <c r="AB31" s="158">
        <f t="shared" ca="1" si="26"/>
        <v>0</v>
      </c>
      <c r="AC31" s="158">
        <f t="shared" ca="1" si="26"/>
        <v>0</v>
      </c>
      <c r="AD31" s="158">
        <f t="shared" ca="1" si="26"/>
        <v>0</v>
      </c>
      <c r="AE31" s="158">
        <f t="shared" ca="1" si="26"/>
        <v>0</v>
      </c>
      <c r="AF31" s="158">
        <f t="shared" ca="1" si="26"/>
        <v>0</v>
      </c>
      <c r="AG31" s="158">
        <f t="shared" ca="1" si="26"/>
        <v>0</v>
      </c>
      <c r="AH31" s="158">
        <f t="shared" ca="1" si="26"/>
        <v>0</v>
      </c>
      <c r="AI31" s="158"/>
      <c r="AJ31" s="158"/>
      <c r="AK31" s="158"/>
      <c r="AL31" s="158"/>
      <c r="AM31" s="158"/>
      <c r="AN31" s="158"/>
      <c r="AO31" s="158"/>
      <c r="AP31" s="158"/>
      <c r="AQ31" s="158"/>
      <c r="AR31" s="2416"/>
      <c r="AS31" s="158">
        <f t="shared" ca="1" si="26"/>
        <v>0</v>
      </c>
      <c r="AT31" s="158">
        <f t="shared" ca="1" si="26"/>
        <v>0</v>
      </c>
      <c r="AU31" s="158">
        <f t="shared" ca="1" si="26"/>
        <v>0</v>
      </c>
      <c r="AV31" s="158">
        <f t="shared" ca="1" si="26"/>
        <v>0</v>
      </c>
      <c r="AW31" s="158">
        <f t="shared" ca="1" si="26"/>
        <v>0</v>
      </c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362">
        <f t="shared" ca="1" si="1"/>
        <v>0</v>
      </c>
      <c r="BN31" s="579">
        <f t="shared" ca="1" si="0"/>
        <v>0</v>
      </c>
      <c r="BO31" s="1047"/>
      <c r="BP31" s="1038"/>
      <c r="BQ31" s="1038"/>
      <c r="BR31" s="1038"/>
      <c r="BS31" s="1038"/>
      <c r="BT31" s="1038">
        <v>5.0000000000000001E-3</v>
      </c>
      <c r="BU31" s="1038"/>
      <c r="BV31" s="1038"/>
      <c r="BW31" s="1040"/>
      <c r="BX31" s="1038"/>
      <c r="BY31" s="1038"/>
      <c r="BZ31" s="1038"/>
      <c r="CA31" s="1038"/>
      <c r="CB31" s="1038"/>
      <c r="CC31" s="1038">
        <v>5.0000000000000001E-3</v>
      </c>
      <c r="CD31" s="1038"/>
      <c r="CE31" s="1038"/>
      <c r="CF31" s="1040"/>
      <c r="CG31" s="1038"/>
      <c r="CH31" s="1038"/>
      <c r="CI31" s="1038"/>
      <c r="CJ31" s="1038"/>
      <c r="CK31" s="1038"/>
      <c r="CL31" s="1038"/>
      <c r="CM31" s="1040"/>
      <c r="CN31" s="1040"/>
      <c r="CO31" s="1038"/>
      <c r="CP31" s="1038"/>
      <c r="CQ31" s="1038"/>
      <c r="CR31" s="1038"/>
      <c r="CS31" s="1038"/>
      <c r="CT31" s="1040"/>
      <c r="CU31" s="1041"/>
      <c r="CV31" s="1038"/>
      <c r="CW31" s="973"/>
    </row>
    <row r="32" spans="1:101" ht="21.95" hidden="1" customHeight="1" x14ac:dyDescent="0.15">
      <c r="A32" s="2707"/>
      <c r="B32" s="2606"/>
      <c r="C32" s="567">
        <v>0.8</v>
      </c>
      <c r="D32" s="1003"/>
      <c r="E32" s="1287"/>
      <c r="F32" s="158">
        <f t="shared" si="26"/>
        <v>0</v>
      </c>
      <c r="G32" s="158">
        <f t="shared" ca="1" si="26"/>
        <v>0</v>
      </c>
      <c r="H32" s="158">
        <f t="shared" ca="1" si="26"/>
        <v>0</v>
      </c>
      <c r="I32" s="158">
        <f t="shared" ca="1" si="26"/>
        <v>0</v>
      </c>
      <c r="J32" s="158"/>
      <c r="K32" s="158"/>
      <c r="L32" s="158"/>
      <c r="M32" s="158"/>
      <c r="N32" s="2416"/>
      <c r="O32" s="158">
        <f t="shared" ca="1" si="26"/>
        <v>0</v>
      </c>
      <c r="P32" s="158">
        <f t="shared" ca="1" si="26"/>
        <v>0</v>
      </c>
      <c r="Q32" s="158">
        <f t="shared" ca="1" si="26"/>
        <v>0</v>
      </c>
      <c r="R32" s="158">
        <f t="shared" ca="1" si="26"/>
        <v>0</v>
      </c>
      <c r="S32" s="158">
        <f t="shared" ca="1" si="26"/>
        <v>0</v>
      </c>
      <c r="T32" s="158">
        <f t="shared" ca="1" si="26"/>
        <v>0</v>
      </c>
      <c r="U32" s="158">
        <f t="shared" ca="1" si="26"/>
        <v>0</v>
      </c>
      <c r="V32" s="158">
        <f t="shared" ca="1" si="26"/>
        <v>0</v>
      </c>
      <c r="W32" s="158"/>
      <c r="X32" s="2416"/>
      <c r="Y32" s="158">
        <f t="shared" ca="1" si="26"/>
        <v>0</v>
      </c>
      <c r="Z32" s="158">
        <f t="shared" ca="1" si="26"/>
        <v>0</v>
      </c>
      <c r="AA32" s="158">
        <f t="shared" ca="1" si="26"/>
        <v>0</v>
      </c>
      <c r="AB32" s="158">
        <f t="shared" ca="1" si="26"/>
        <v>0</v>
      </c>
      <c r="AC32" s="158">
        <f t="shared" ca="1" si="26"/>
        <v>0</v>
      </c>
      <c r="AD32" s="158">
        <f t="shared" ca="1" si="26"/>
        <v>0</v>
      </c>
      <c r="AE32" s="158">
        <f t="shared" ca="1" si="26"/>
        <v>0</v>
      </c>
      <c r="AF32" s="158">
        <f t="shared" ca="1" si="26"/>
        <v>0</v>
      </c>
      <c r="AG32" s="158">
        <f t="shared" ca="1" si="26"/>
        <v>0</v>
      </c>
      <c r="AH32" s="158">
        <f t="shared" ca="1" si="26"/>
        <v>0</v>
      </c>
      <c r="AI32" s="158"/>
      <c r="AJ32" s="158"/>
      <c r="AK32" s="158"/>
      <c r="AL32" s="158"/>
      <c r="AM32" s="158"/>
      <c r="AN32" s="158"/>
      <c r="AO32" s="158"/>
      <c r="AP32" s="158"/>
      <c r="AQ32" s="158"/>
      <c r="AR32" s="2416"/>
      <c r="AS32" s="158">
        <f t="shared" ca="1" si="26"/>
        <v>0</v>
      </c>
      <c r="AT32" s="158">
        <f t="shared" ca="1" si="26"/>
        <v>0</v>
      </c>
      <c r="AU32" s="158">
        <f t="shared" ca="1" si="26"/>
        <v>0</v>
      </c>
      <c r="AV32" s="158">
        <f t="shared" ca="1" si="26"/>
        <v>0</v>
      </c>
      <c r="AW32" s="158">
        <f t="shared" ca="1" si="26"/>
        <v>0</v>
      </c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350">
        <f t="shared" ca="1" si="1"/>
        <v>0</v>
      </c>
      <c r="BN32" s="579">
        <f t="shared" ca="1" si="0"/>
        <v>0</v>
      </c>
      <c r="BO32" s="1047"/>
      <c r="BP32" s="1038"/>
      <c r="BQ32" s="1038"/>
      <c r="BR32" s="1038"/>
      <c r="BS32" s="1038"/>
      <c r="BT32" s="1038">
        <v>1.2E-2</v>
      </c>
      <c r="BU32" s="1038"/>
      <c r="BV32" s="1038"/>
      <c r="BW32" s="1040"/>
      <c r="BX32" s="1038"/>
      <c r="BY32" s="1038"/>
      <c r="BZ32" s="1038"/>
      <c r="CA32" s="1038"/>
      <c r="CB32" s="1038"/>
      <c r="CC32" s="1038">
        <v>1.2E-2</v>
      </c>
      <c r="CD32" s="1038"/>
      <c r="CE32" s="1038"/>
      <c r="CF32" s="1040"/>
      <c r="CG32" s="1038"/>
      <c r="CH32" s="1038"/>
      <c r="CI32" s="1038"/>
      <c r="CJ32" s="1038"/>
      <c r="CK32" s="1038"/>
      <c r="CL32" s="1038"/>
      <c r="CM32" s="1040"/>
      <c r="CN32" s="1040"/>
      <c r="CO32" s="1038"/>
      <c r="CP32" s="1038"/>
      <c r="CQ32" s="1038"/>
      <c r="CR32" s="1038"/>
      <c r="CS32" s="1038"/>
      <c r="CT32" s="1040"/>
      <c r="CU32" s="1041"/>
      <c r="CV32" s="1038"/>
      <c r="CW32" s="973"/>
    </row>
    <row r="33" spans="1:101" ht="21.95" hidden="1" customHeight="1" x14ac:dyDescent="0.15">
      <c r="A33" s="2707"/>
      <c r="B33" s="2606"/>
      <c r="C33" s="567">
        <v>1</v>
      </c>
      <c r="D33" s="1003"/>
      <c r="E33" s="1287"/>
      <c r="F33" s="158">
        <f t="shared" si="26"/>
        <v>0</v>
      </c>
      <c r="G33" s="158">
        <f t="shared" ca="1" si="26"/>
        <v>0</v>
      </c>
      <c r="H33" s="158">
        <f t="shared" ca="1" si="26"/>
        <v>0</v>
      </c>
      <c r="I33" s="158">
        <f t="shared" ca="1" si="26"/>
        <v>0</v>
      </c>
      <c r="J33" s="158"/>
      <c r="K33" s="158"/>
      <c r="L33" s="158"/>
      <c r="M33" s="158"/>
      <c r="N33" s="2416"/>
      <c r="O33" s="158">
        <f t="shared" ca="1" si="26"/>
        <v>0</v>
      </c>
      <c r="P33" s="158">
        <f t="shared" ca="1" si="26"/>
        <v>0</v>
      </c>
      <c r="Q33" s="158">
        <f t="shared" ca="1" si="26"/>
        <v>0</v>
      </c>
      <c r="R33" s="158">
        <f t="shared" ca="1" si="26"/>
        <v>0</v>
      </c>
      <c r="S33" s="158">
        <f t="shared" ca="1" si="26"/>
        <v>0</v>
      </c>
      <c r="T33" s="158">
        <f t="shared" ca="1" si="26"/>
        <v>0</v>
      </c>
      <c r="U33" s="158">
        <f t="shared" ca="1" si="26"/>
        <v>0</v>
      </c>
      <c r="V33" s="158">
        <f t="shared" ca="1" si="26"/>
        <v>0</v>
      </c>
      <c r="W33" s="158"/>
      <c r="X33" s="2416"/>
      <c r="Y33" s="158">
        <f t="shared" ca="1" si="26"/>
        <v>0</v>
      </c>
      <c r="Z33" s="158">
        <f t="shared" ca="1" si="26"/>
        <v>0</v>
      </c>
      <c r="AA33" s="158">
        <f t="shared" ca="1" si="26"/>
        <v>0</v>
      </c>
      <c r="AB33" s="158">
        <f t="shared" ca="1" si="26"/>
        <v>0</v>
      </c>
      <c r="AC33" s="158">
        <f t="shared" ca="1" si="26"/>
        <v>0</v>
      </c>
      <c r="AD33" s="158">
        <f t="shared" ca="1" si="26"/>
        <v>0</v>
      </c>
      <c r="AE33" s="158">
        <f t="shared" ca="1" si="26"/>
        <v>0</v>
      </c>
      <c r="AF33" s="158">
        <f t="shared" ca="1" si="26"/>
        <v>0</v>
      </c>
      <c r="AG33" s="158">
        <f t="shared" ca="1" si="26"/>
        <v>0</v>
      </c>
      <c r="AH33" s="158">
        <f t="shared" ca="1" si="26"/>
        <v>0</v>
      </c>
      <c r="AI33" s="158"/>
      <c r="AJ33" s="158"/>
      <c r="AK33" s="158"/>
      <c r="AL33" s="158"/>
      <c r="AM33" s="158"/>
      <c r="AN33" s="158"/>
      <c r="AO33" s="158"/>
      <c r="AP33" s="158"/>
      <c r="AQ33" s="158"/>
      <c r="AR33" s="2416"/>
      <c r="AS33" s="158">
        <f t="shared" ca="1" si="26"/>
        <v>0</v>
      </c>
      <c r="AT33" s="158">
        <f t="shared" ca="1" si="26"/>
        <v>0</v>
      </c>
      <c r="AU33" s="158">
        <f t="shared" ca="1" si="26"/>
        <v>0</v>
      </c>
      <c r="AV33" s="158">
        <f t="shared" ca="1" si="26"/>
        <v>0</v>
      </c>
      <c r="AW33" s="158">
        <f t="shared" ca="1" si="26"/>
        <v>0</v>
      </c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350">
        <f t="shared" ca="1" si="1"/>
        <v>0</v>
      </c>
      <c r="BN33" s="579">
        <f t="shared" ca="1" si="0"/>
        <v>0</v>
      </c>
      <c r="BO33" s="1047"/>
      <c r="BP33" s="1038"/>
      <c r="BQ33" s="1038"/>
      <c r="BR33" s="1038"/>
      <c r="BS33" s="1038"/>
      <c r="BT33" s="1038">
        <v>2.8000000000000001E-2</v>
      </c>
      <c r="BU33" s="1038"/>
      <c r="BV33" s="1038"/>
      <c r="BW33" s="1040"/>
      <c r="BX33" s="1038"/>
      <c r="BY33" s="1038"/>
      <c r="BZ33" s="1038"/>
      <c r="CA33" s="1038"/>
      <c r="CB33" s="1038"/>
      <c r="CC33" s="1038">
        <v>2.8000000000000001E-2</v>
      </c>
      <c r="CD33" s="1038"/>
      <c r="CE33" s="1038"/>
      <c r="CF33" s="1040"/>
      <c r="CG33" s="1038"/>
      <c r="CH33" s="1038"/>
      <c r="CI33" s="1038"/>
      <c r="CJ33" s="1038"/>
      <c r="CK33" s="1038"/>
      <c r="CL33" s="1038"/>
      <c r="CM33" s="1040"/>
      <c r="CN33" s="1040"/>
      <c r="CO33" s="1038"/>
      <c r="CP33" s="1038"/>
      <c r="CQ33" s="1038"/>
      <c r="CR33" s="1038"/>
      <c r="CS33" s="1038"/>
      <c r="CT33" s="1040"/>
      <c r="CU33" s="1041"/>
      <c r="CV33" s="1038"/>
      <c r="CW33" s="973"/>
    </row>
    <row r="34" spans="1:101" ht="21.95" hidden="1" customHeight="1" x14ac:dyDescent="0.15">
      <c r="A34" s="2707"/>
      <c r="B34" s="2606"/>
      <c r="C34" s="567">
        <v>1.2</v>
      </c>
      <c r="D34" s="1003"/>
      <c r="E34" s="1287"/>
      <c r="F34" s="158">
        <f t="shared" si="26"/>
        <v>0</v>
      </c>
      <c r="G34" s="158">
        <f t="shared" ca="1" si="26"/>
        <v>0</v>
      </c>
      <c r="H34" s="158">
        <f t="shared" ca="1" si="26"/>
        <v>0</v>
      </c>
      <c r="I34" s="158">
        <f t="shared" ca="1" si="26"/>
        <v>0</v>
      </c>
      <c r="J34" s="158"/>
      <c r="K34" s="158"/>
      <c r="L34" s="158"/>
      <c r="M34" s="158"/>
      <c r="N34" s="2416"/>
      <c r="O34" s="158">
        <f t="shared" ca="1" si="26"/>
        <v>0</v>
      </c>
      <c r="P34" s="158">
        <f t="shared" ca="1" si="26"/>
        <v>0</v>
      </c>
      <c r="Q34" s="158">
        <f t="shared" ca="1" si="26"/>
        <v>0</v>
      </c>
      <c r="R34" s="158">
        <f t="shared" ca="1" si="26"/>
        <v>0</v>
      </c>
      <c r="S34" s="158">
        <f t="shared" ca="1" si="26"/>
        <v>0</v>
      </c>
      <c r="T34" s="158">
        <f t="shared" ca="1" si="26"/>
        <v>0</v>
      </c>
      <c r="U34" s="158">
        <f t="shared" ca="1" si="26"/>
        <v>0</v>
      </c>
      <c r="V34" s="158">
        <f t="shared" ca="1" si="26"/>
        <v>0</v>
      </c>
      <c r="W34" s="158"/>
      <c r="X34" s="2416"/>
      <c r="Y34" s="158">
        <f t="shared" ca="1" si="26"/>
        <v>0</v>
      </c>
      <c r="Z34" s="158">
        <f t="shared" ca="1" si="26"/>
        <v>0</v>
      </c>
      <c r="AA34" s="158">
        <f t="shared" ca="1" si="26"/>
        <v>0</v>
      </c>
      <c r="AB34" s="158">
        <f t="shared" ca="1" si="26"/>
        <v>0</v>
      </c>
      <c r="AC34" s="158">
        <f t="shared" ca="1" si="26"/>
        <v>0</v>
      </c>
      <c r="AD34" s="158">
        <f t="shared" ca="1" si="26"/>
        <v>0</v>
      </c>
      <c r="AE34" s="158">
        <f t="shared" ca="1" si="26"/>
        <v>0</v>
      </c>
      <c r="AF34" s="158">
        <f t="shared" ca="1" si="26"/>
        <v>0</v>
      </c>
      <c r="AG34" s="158">
        <f t="shared" ca="1" si="26"/>
        <v>0</v>
      </c>
      <c r="AH34" s="158">
        <f t="shared" ca="1" si="26"/>
        <v>0</v>
      </c>
      <c r="AI34" s="158"/>
      <c r="AJ34" s="158"/>
      <c r="AK34" s="158"/>
      <c r="AL34" s="158"/>
      <c r="AM34" s="158"/>
      <c r="AN34" s="158"/>
      <c r="AO34" s="158"/>
      <c r="AP34" s="158"/>
      <c r="AQ34" s="158"/>
      <c r="AR34" s="2416"/>
      <c r="AS34" s="158">
        <f t="shared" ca="1" si="26"/>
        <v>0</v>
      </c>
      <c r="AT34" s="158">
        <f t="shared" ca="1" si="26"/>
        <v>0</v>
      </c>
      <c r="AU34" s="158">
        <f t="shared" ca="1" si="26"/>
        <v>0</v>
      </c>
      <c r="AV34" s="158">
        <f t="shared" ca="1" si="26"/>
        <v>0</v>
      </c>
      <c r="AW34" s="158">
        <f t="shared" ca="1" si="26"/>
        <v>0</v>
      </c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350">
        <f t="shared" ca="1" si="1"/>
        <v>0</v>
      </c>
      <c r="BN34" s="579">
        <f t="shared" ref="BN34:BN65" ca="1" si="27">SUM(F34:BM34)</f>
        <v>0</v>
      </c>
      <c r="BO34" s="1047"/>
      <c r="BP34" s="1038"/>
      <c r="BQ34" s="1038"/>
      <c r="BR34" s="1038"/>
      <c r="BS34" s="1038"/>
      <c r="BT34" s="1038">
        <v>3.4700000000000002E-2</v>
      </c>
      <c r="BU34" s="1038"/>
      <c r="BV34" s="1038"/>
      <c r="BW34" s="1040"/>
      <c r="BX34" s="1038"/>
      <c r="BY34" s="1038"/>
      <c r="BZ34" s="1038"/>
      <c r="CA34" s="1038"/>
      <c r="CB34" s="1038"/>
      <c r="CC34" s="1038">
        <v>3.4700000000000002E-2</v>
      </c>
      <c r="CD34" s="1038"/>
      <c r="CE34" s="1038"/>
      <c r="CF34" s="1040"/>
      <c r="CG34" s="1038"/>
      <c r="CH34" s="1038"/>
      <c r="CI34" s="1038"/>
      <c r="CJ34" s="1038"/>
      <c r="CK34" s="1038"/>
      <c r="CL34" s="1038"/>
      <c r="CM34" s="1040"/>
      <c r="CN34" s="1040"/>
      <c r="CO34" s="1038"/>
      <c r="CP34" s="1038"/>
      <c r="CQ34" s="1038"/>
      <c r="CR34" s="1038"/>
      <c r="CS34" s="1038"/>
      <c r="CT34" s="1040"/>
      <c r="CU34" s="1041"/>
      <c r="CV34" s="1038"/>
      <c r="CW34" s="973"/>
    </row>
    <row r="35" spans="1:101" ht="21.95" hidden="1" customHeight="1" thickBot="1" x14ac:dyDescent="0.2">
      <c r="A35" s="2707"/>
      <c r="B35" s="2607"/>
      <c r="C35" s="566">
        <v>1.5</v>
      </c>
      <c r="D35" s="1003"/>
      <c r="E35" s="1287"/>
      <c r="F35" s="158">
        <f t="shared" si="26"/>
        <v>0</v>
      </c>
      <c r="G35" s="158">
        <f t="shared" ca="1" si="26"/>
        <v>0</v>
      </c>
      <c r="H35" s="158">
        <f t="shared" ca="1" si="26"/>
        <v>0</v>
      </c>
      <c r="I35" s="158">
        <f t="shared" ca="1" si="26"/>
        <v>0</v>
      </c>
      <c r="J35" s="158"/>
      <c r="K35" s="158"/>
      <c r="L35" s="158"/>
      <c r="M35" s="158"/>
      <c r="N35" s="2416"/>
      <c r="O35" s="158">
        <f t="shared" ca="1" si="26"/>
        <v>0</v>
      </c>
      <c r="P35" s="158">
        <f t="shared" ca="1" si="26"/>
        <v>0</v>
      </c>
      <c r="Q35" s="158">
        <f t="shared" ca="1" si="26"/>
        <v>0</v>
      </c>
      <c r="R35" s="158">
        <f t="shared" ca="1" si="26"/>
        <v>0</v>
      </c>
      <c r="S35" s="158">
        <f t="shared" ca="1" si="26"/>
        <v>0</v>
      </c>
      <c r="T35" s="158">
        <f t="shared" ca="1" si="26"/>
        <v>0</v>
      </c>
      <c r="U35" s="158">
        <f t="shared" ca="1" si="26"/>
        <v>0</v>
      </c>
      <c r="V35" s="158">
        <f t="shared" ca="1" si="26"/>
        <v>0</v>
      </c>
      <c r="W35" s="158"/>
      <c r="X35" s="2416"/>
      <c r="Y35" s="158">
        <f t="shared" ca="1" si="26"/>
        <v>0</v>
      </c>
      <c r="Z35" s="158">
        <f t="shared" ca="1" si="26"/>
        <v>0</v>
      </c>
      <c r="AA35" s="158">
        <f t="shared" ca="1" si="26"/>
        <v>0</v>
      </c>
      <c r="AB35" s="158">
        <f t="shared" ca="1" si="26"/>
        <v>0</v>
      </c>
      <c r="AC35" s="158">
        <f t="shared" ca="1" si="26"/>
        <v>0</v>
      </c>
      <c r="AD35" s="158">
        <f t="shared" ca="1" si="26"/>
        <v>0</v>
      </c>
      <c r="AE35" s="158">
        <f t="shared" ca="1" si="26"/>
        <v>0</v>
      </c>
      <c r="AF35" s="158">
        <f t="shared" ca="1" si="26"/>
        <v>0</v>
      </c>
      <c r="AG35" s="158">
        <f t="shared" ca="1" si="26"/>
        <v>0</v>
      </c>
      <c r="AH35" s="158">
        <f t="shared" ca="1" si="26"/>
        <v>0</v>
      </c>
      <c r="AI35" s="158"/>
      <c r="AJ35" s="158"/>
      <c r="AK35" s="158"/>
      <c r="AL35" s="158"/>
      <c r="AM35" s="158"/>
      <c r="AN35" s="158"/>
      <c r="AO35" s="158"/>
      <c r="AP35" s="158"/>
      <c r="AQ35" s="158"/>
      <c r="AR35" s="2416"/>
      <c r="AS35" s="158">
        <f t="shared" ref="AS35:AW35" ca="1" si="28">IF(AS$4&lt;&gt;$C35,0,IF(AND(AS$5="PA-2",AS$9=2),AS$2*AS$3,0))</f>
        <v>0</v>
      </c>
      <c r="AT35" s="158">
        <f t="shared" ca="1" si="28"/>
        <v>0</v>
      </c>
      <c r="AU35" s="158">
        <f t="shared" ca="1" si="28"/>
        <v>0</v>
      </c>
      <c r="AV35" s="158">
        <f t="shared" ca="1" si="28"/>
        <v>0</v>
      </c>
      <c r="AW35" s="158">
        <f t="shared" ca="1" si="28"/>
        <v>0</v>
      </c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361">
        <f t="shared" ca="1" si="1"/>
        <v>0</v>
      </c>
      <c r="BN35" s="579">
        <f t="shared" ca="1" si="27"/>
        <v>0</v>
      </c>
      <c r="BO35" s="1047"/>
      <c r="BP35" s="1038"/>
      <c r="BQ35" s="1038"/>
      <c r="BR35" s="1038"/>
      <c r="BS35" s="1038"/>
      <c r="BT35" s="1038">
        <v>4.6199999999999998E-2</v>
      </c>
      <c r="BU35" s="1038"/>
      <c r="BV35" s="1038"/>
      <c r="BW35" s="1040"/>
      <c r="BX35" s="1038"/>
      <c r="BY35" s="1038"/>
      <c r="BZ35" s="1038"/>
      <c r="CA35" s="1038"/>
      <c r="CB35" s="1038"/>
      <c r="CC35" s="1038">
        <v>4.6199999999999998E-2</v>
      </c>
      <c r="CD35" s="1038"/>
      <c r="CE35" s="1038"/>
      <c r="CF35" s="1040"/>
      <c r="CG35" s="1038"/>
      <c r="CH35" s="1038"/>
      <c r="CI35" s="1038"/>
      <c r="CJ35" s="1038"/>
      <c r="CK35" s="1038"/>
      <c r="CL35" s="1038"/>
      <c r="CM35" s="1040"/>
      <c r="CN35" s="1040"/>
      <c r="CO35" s="1038"/>
      <c r="CP35" s="1038"/>
      <c r="CQ35" s="1038"/>
      <c r="CR35" s="1038"/>
      <c r="CS35" s="1038"/>
      <c r="CT35" s="1040"/>
      <c r="CU35" s="1041"/>
      <c r="CV35" s="1038"/>
      <c r="CW35" s="973"/>
    </row>
    <row r="36" spans="1:101" ht="21.95" hidden="1" customHeight="1" x14ac:dyDescent="0.15">
      <c r="A36" s="2707"/>
      <c r="B36" s="2605" t="s">
        <v>1179</v>
      </c>
      <c r="C36" s="550" t="s">
        <v>1120</v>
      </c>
      <c r="D36" s="1002"/>
      <c r="E36" s="2241"/>
      <c r="F36" s="238">
        <f>Dren_Quantificacao!D150+Dren_Quantificacao!D153</f>
        <v>0</v>
      </c>
      <c r="G36" s="238">
        <f>Dren_Quantificacao!E150+Dren_Quantificacao!E153</f>
        <v>0</v>
      </c>
      <c r="H36" s="238">
        <f>Dren_Quantificacao!F150+Dren_Quantificacao!F153</f>
        <v>0</v>
      </c>
      <c r="I36" s="238">
        <f>Dren_Quantificacao!G150+Dren_Quantificacao!G153</f>
        <v>0</v>
      </c>
      <c r="J36" s="238"/>
      <c r="K36" s="238"/>
      <c r="L36" s="238"/>
      <c r="M36" s="238"/>
      <c r="N36" s="2439"/>
      <c r="O36" s="238">
        <f>Dren_Quantificacao!M150+Dren_Quantificacao!M153</f>
        <v>0</v>
      </c>
      <c r="P36" s="238">
        <f>Dren_Quantificacao!N150+Dren_Quantificacao!N153</f>
        <v>0</v>
      </c>
      <c r="Q36" s="238">
        <f>Dren_Quantificacao!O150+Dren_Quantificacao!O153</f>
        <v>0</v>
      </c>
      <c r="R36" s="238">
        <f>Dren_Quantificacao!P150+Dren_Quantificacao!P153</f>
        <v>0</v>
      </c>
      <c r="S36" s="238">
        <f>Dren_Quantificacao!Q150+Dren_Quantificacao!Q153</f>
        <v>0</v>
      </c>
      <c r="T36" s="238">
        <f>Dren_Quantificacao!R150+Dren_Quantificacao!R153</f>
        <v>0</v>
      </c>
      <c r="U36" s="238">
        <f>Dren_Quantificacao!S150+Dren_Quantificacao!S153</f>
        <v>0</v>
      </c>
      <c r="V36" s="238">
        <f>Dren_Quantificacao!T150+Dren_Quantificacao!T153</f>
        <v>0</v>
      </c>
      <c r="W36" s="238"/>
      <c r="X36" s="2439"/>
      <c r="Y36" s="238">
        <f>Dren_Quantificacao!W150+Dren_Quantificacao!W153</f>
        <v>0</v>
      </c>
      <c r="Z36" s="238">
        <f>Dren_Quantificacao!X150+Dren_Quantificacao!X153</f>
        <v>0</v>
      </c>
      <c r="AA36" s="238">
        <f>Dren_Quantificacao!Y150+Dren_Quantificacao!Y153</f>
        <v>0</v>
      </c>
      <c r="AB36" s="238">
        <f>Dren_Quantificacao!Z150+Dren_Quantificacao!Z153</f>
        <v>0</v>
      </c>
      <c r="AC36" s="238">
        <f>Dren_Quantificacao!AA150+Dren_Quantificacao!AA153</f>
        <v>0</v>
      </c>
      <c r="AD36" s="238">
        <f>Dren_Quantificacao!AB150+Dren_Quantificacao!AB153</f>
        <v>0</v>
      </c>
      <c r="AE36" s="238">
        <f>Dren_Quantificacao!AC150+Dren_Quantificacao!AC153</f>
        <v>0</v>
      </c>
      <c r="AF36" s="238">
        <f>Dren_Quantificacao!AD150+Dren_Quantificacao!AD153</f>
        <v>0</v>
      </c>
      <c r="AG36" s="238">
        <f>Dren_Quantificacao!AE150+Dren_Quantificacao!AE153</f>
        <v>0</v>
      </c>
      <c r="AH36" s="238">
        <f>Dren_Quantificacao!AF150+Dren_Quantificacao!AF153</f>
        <v>0</v>
      </c>
      <c r="AI36" s="238"/>
      <c r="AJ36" s="238"/>
      <c r="AK36" s="238"/>
      <c r="AL36" s="238"/>
      <c r="AM36" s="238"/>
      <c r="AN36" s="238"/>
      <c r="AO36" s="238"/>
      <c r="AP36" s="238"/>
      <c r="AQ36" s="238"/>
      <c r="AR36" s="2439"/>
      <c r="AS36" s="238">
        <f>Dren_Quantificacao!AQ150+Dren_Quantificacao!AQ153</f>
        <v>0</v>
      </c>
      <c r="AT36" s="238">
        <f>Dren_Quantificacao!AR150+Dren_Quantificacao!AR153</f>
        <v>0</v>
      </c>
      <c r="AU36" s="238">
        <f>Dren_Quantificacao!AS150+Dren_Quantificacao!AS153</f>
        <v>0</v>
      </c>
      <c r="AV36" s="238">
        <f>Dren_Quantificacao!AT150+Dren_Quantificacao!AT153</f>
        <v>0</v>
      </c>
      <c r="AW36" s="238">
        <f>Dren_Quantificacao!AU150+Dren_Quantificacao!AU153</f>
        <v>0</v>
      </c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362">
        <f t="shared" si="1"/>
        <v>0</v>
      </c>
      <c r="BN36" s="579">
        <f t="shared" si="27"/>
        <v>0</v>
      </c>
      <c r="BO36" s="1047"/>
      <c r="BP36" s="1038"/>
      <c r="BQ36" s="1038"/>
      <c r="BR36" s="1038"/>
      <c r="BS36" s="1038"/>
      <c r="BT36" s="1038"/>
      <c r="BU36" s="1038"/>
      <c r="BV36" s="1038"/>
      <c r="BW36" s="1040"/>
      <c r="BX36" s="1038"/>
      <c r="BY36" s="1038"/>
      <c r="BZ36" s="1038"/>
      <c r="CA36" s="1038"/>
      <c r="CB36" s="1038"/>
      <c r="CC36" s="1038"/>
      <c r="CD36" s="1038"/>
      <c r="CE36" s="1038"/>
      <c r="CF36" s="1040"/>
      <c r="CG36" s="1038"/>
      <c r="CH36" s="1038"/>
      <c r="CI36" s="1038"/>
      <c r="CJ36" s="1038"/>
      <c r="CK36" s="1038"/>
      <c r="CL36" s="1038"/>
      <c r="CM36" s="1040"/>
      <c r="CN36" s="1040"/>
      <c r="CO36" s="1038"/>
      <c r="CP36" s="1038"/>
      <c r="CQ36" s="1038"/>
      <c r="CR36" s="1038"/>
      <c r="CS36" s="1038"/>
      <c r="CT36" s="1040"/>
      <c r="CU36" s="1041"/>
      <c r="CV36" s="1038"/>
      <c r="CW36" s="973"/>
    </row>
    <row r="37" spans="1:101" ht="21.95" hidden="1" customHeight="1" x14ac:dyDescent="0.15">
      <c r="A37" s="2707"/>
      <c r="B37" s="2606"/>
      <c r="C37" s="567">
        <v>0.5</v>
      </c>
      <c r="D37" s="1003"/>
      <c r="E37" s="1287"/>
      <c r="F37" s="158">
        <f t="shared" ref="F37:AW37" si="29">IF(F$4&lt;&gt;$C37,0,IF(AND(F$5="P",F$9=1),F$2*F$3,0))</f>
        <v>0</v>
      </c>
      <c r="G37" s="158">
        <f t="shared" ca="1" si="29"/>
        <v>0</v>
      </c>
      <c r="H37" s="158">
        <f t="shared" ca="1" si="29"/>
        <v>0</v>
      </c>
      <c r="I37" s="158">
        <f t="shared" ca="1" si="29"/>
        <v>0</v>
      </c>
      <c r="J37" s="158"/>
      <c r="K37" s="158"/>
      <c r="L37" s="158"/>
      <c r="M37" s="158"/>
      <c r="N37" s="2416"/>
      <c r="O37" s="158">
        <f t="shared" ca="1" si="29"/>
        <v>0</v>
      </c>
      <c r="P37" s="158">
        <f t="shared" ca="1" si="29"/>
        <v>0</v>
      </c>
      <c r="Q37" s="158">
        <f t="shared" ca="1" si="29"/>
        <v>0</v>
      </c>
      <c r="R37" s="158">
        <f t="shared" ca="1" si="29"/>
        <v>0</v>
      </c>
      <c r="S37" s="158">
        <f t="shared" ca="1" si="29"/>
        <v>0</v>
      </c>
      <c r="T37" s="158">
        <f t="shared" ca="1" si="29"/>
        <v>0</v>
      </c>
      <c r="U37" s="158">
        <f t="shared" ca="1" si="29"/>
        <v>0</v>
      </c>
      <c r="V37" s="158">
        <f t="shared" ca="1" si="29"/>
        <v>0</v>
      </c>
      <c r="W37" s="158"/>
      <c r="X37" s="2416"/>
      <c r="Y37" s="158">
        <f t="shared" ca="1" si="29"/>
        <v>0</v>
      </c>
      <c r="Z37" s="158">
        <f t="shared" ca="1" si="29"/>
        <v>0</v>
      </c>
      <c r="AA37" s="158">
        <f t="shared" ca="1" si="29"/>
        <v>0</v>
      </c>
      <c r="AB37" s="158">
        <f t="shared" ca="1" si="29"/>
        <v>0</v>
      </c>
      <c r="AC37" s="158">
        <f t="shared" ca="1" si="29"/>
        <v>0</v>
      </c>
      <c r="AD37" s="158">
        <f t="shared" ca="1" si="29"/>
        <v>0</v>
      </c>
      <c r="AE37" s="158">
        <f t="shared" ca="1" si="29"/>
        <v>0</v>
      </c>
      <c r="AF37" s="158">
        <f t="shared" ca="1" si="29"/>
        <v>0</v>
      </c>
      <c r="AG37" s="158">
        <f t="shared" ca="1" si="29"/>
        <v>0</v>
      </c>
      <c r="AH37" s="158">
        <f t="shared" ca="1" si="29"/>
        <v>0</v>
      </c>
      <c r="AI37" s="158"/>
      <c r="AJ37" s="158"/>
      <c r="AK37" s="158"/>
      <c r="AL37" s="158"/>
      <c r="AM37" s="158"/>
      <c r="AN37" s="158"/>
      <c r="AO37" s="158"/>
      <c r="AP37" s="158"/>
      <c r="AQ37" s="158"/>
      <c r="AR37" s="2416"/>
      <c r="AS37" s="158">
        <f t="shared" ca="1" si="29"/>
        <v>0</v>
      </c>
      <c r="AT37" s="158">
        <f t="shared" ca="1" si="29"/>
        <v>0</v>
      </c>
      <c r="AU37" s="158">
        <f t="shared" ca="1" si="29"/>
        <v>0</v>
      </c>
      <c r="AV37" s="158">
        <f t="shared" ca="1" si="29"/>
        <v>0</v>
      </c>
      <c r="AW37" s="158">
        <f t="shared" ca="1" si="29"/>
        <v>0</v>
      </c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350">
        <f t="shared" ca="1" si="1"/>
        <v>0</v>
      </c>
      <c r="BN37" s="579">
        <f t="shared" ca="1" si="27"/>
        <v>0</v>
      </c>
      <c r="BO37" s="1047"/>
      <c r="BP37" s="1038"/>
      <c r="BQ37" s="1038"/>
      <c r="BR37" s="1038"/>
      <c r="BS37" s="1038"/>
      <c r="BT37" s="1038"/>
      <c r="BU37" s="1038"/>
      <c r="BV37" s="1038"/>
      <c r="BW37" s="1040"/>
      <c r="BX37" s="1038"/>
      <c r="BY37" s="1038"/>
      <c r="BZ37" s="1038"/>
      <c r="CA37" s="1038"/>
      <c r="CB37" s="1038"/>
      <c r="CC37" s="1038"/>
      <c r="CD37" s="1038"/>
      <c r="CE37" s="1038"/>
      <c r="CF37" s="1040"/>
      <c r="CG37" s="1038"/>
      <c r="CH37" s="1038"/>
      <c r="CI37" s="1038"/>
      <c r="CJ37" s="1038"/>
      <c r="CK37" s="1038"/>
      <c r="CL37" s="1038"/>
      <c r="CM37" s="1040"/>
      <c r="CN37" s="1040"/>
      <c r="CO37" s="1038"/>
      <c r="CP37" s="1038"/>
      <c r="CQ37" s="1038"/>
      <c r="CR37" s="1038"/>
      <c r="CS37" s="1038"/>
      <c r="CT37" s="1040"/>
      <c r="CU37" s="1041"/>
      <c r="CV37" s="1038"/>
      <c r="CW37" s="973"/>
    </row>
    <row r="38" spans="1:101" ht="21.95" hidden="1" customHeight="1" x14ac:dyDescent="0.15">
      <c r="A38" s="2707"/>
      <c r="B38" s="2606"/>
      <c r="C38" s="568" t="s">
        <v>1571</v>
      </c>
      <c r="D38" s="1003"/>
      <c r="E38" s="1287"/>
      <c r="F38" s="158">
        <f>Dren_Quantificacao!D152+Dren_Quantificacao!D154</f>
        <v>0</v>
      </c>
      <c r="G38" s="158">
        <f>Dren_Quantificacao!E152+Dren_Quantificacao!E154</f>
        <v>0</v>
      </c>
      <c r="H38" s="158">
        <f>Dren_Quantificacao!F152+Dren_Quantificacao!F154</f>
        <v>0</v>
      </c>
      <c r="I38" s="158">
        <f>Dren_Quantificacao!G152+Dren_Quantificacao!G154</f>
        <v>0</v>
      </c>
      <c r="J38" s="158"/>
      <c r="K38" s="158"/>
      <c r="L38" s="158"/>
      <c r="M38" s="158"/>
      <c r="N38" s="2416"/>
      <c r="O38" s="158">
        <f>Dren_Quantificacao!M152+Dren_Quantificacao!M154</f>
        <v>0</v>
      </c>
      <c r="P38" s="158">
        <f>Dren_Quantificacao!N152+Dren_Quantificacao!N154</f>
        <v>0</v>
      </c>
      <c r="Q38" s="158">
        <f>Dren_Quantificacao!O152+Dren_Quantificacao!O154</f>
        <v>0</v>
      </c>
      <c r="R38" s="158">
        <f>Dren_Quantificacao!P152+Dren_Quantificacao!P154</f>
        <v>0</v>
      </c>
      <c r="S38" s="158">
        <f>Dren_Quantificacao!Q152+Dren_Quantificacao!Q154</f>
        <v>0</v>
      </c>
      <c r="T38" s="158">
        <f>Dren_Quantificacao!R152+Dren_Quantificacao!R154</f>
        <v>0</v>
      </c>
      <c r="U38" s="158">
        <f>Dren_Quantificacao!S152+Dren_Quantificacao!S154</f>
        <v>0</v>
      </c>
      <c r="V38" s="158">
        <f>Dren_Quantificacao!T152+Dren_Quantificacao!T154</f>
        <v>0</v>
      </c>
      <c r="W38" s="158"/>
      <c r="X38" s="2416"/>
      <c r="Y38" s="158">
        <f>Dren_Quantificacao!W152+Dren_Quantificacao!W154</f>
        <v>0</v>
      </c>
      <c r="Z38" s="158">
        <f>Dren_Quantificacao!X152+Dren_Quantificacao!X154</f>
        <v>0</v>
      </c>
      <c r="AA38" s="158">
        <f>Dren_Quantificacao!Y152+Dren_Quantificacao!Y154</f>
        <v>0</v>
      </c>
      <c r="AB38" s="158">
        <f>Dren_Quantificacao!Z152+Dren_Quantificacao!Z154</f>
        <v>0</v>
      </c>
      <c r="AC38" s="158">
        <f>Dren_Quantificacao!AA152+Dren_Quantificacao!AA154</f>
        <v>0</v>
      </c>
      <c r="AD38" s="158">
        <f>Dren_Quantificacao!AB152+Dren_Quantificacao!AB154</f>
        <v>0</v>
      </c>
      <c r="AE38" s="158">
        <f>Dren_Quantificacao!AC152+Dren_Quantificacao!AC154</f>
        <v>0</v>
      </c>
      <c r="AF38" s="158">
        <f>Dren_Quantificacao!AD152+Dren_Quantificacao!AD154</f>
        <v>0</v>
      </c>
      <c r="AG38" s="158">
        <f>Dren_Quantificacao!AE152+Dren_Quantificacao!AE154</f>
        <v>0</v>
      </c>
      <c r="AH38" s="158">
        <f>Dren_Quantificacao!AF152+Dren_Quantificacao!AF154</f>
        <v>0</v>
      </c>
      <c r="AI38" s="158"/>
      <c r="AJ38" s="158"/>
      <c r="AK38" s="158"/>
      <c r="AL38" s="158"/>
      <c r="AM38" s="158"/>
      <c r="AN38" s="158"/>
      <c r="AO38" s="158"/>
      <c r="AP38" s="158"/>
      <c r="AQ38" s="158"/>
      <c r="AR38" s="2416"/>
      <c r="AS38" s="158">
        <f>Dren_Quantificacao!AQ152+Dren_Quantificacao!AQ154</f>
        <v>0</v>
      </c>
      <c r="AT38" s="158">
        <f>Dren_Quantificacao!AR152+Dren_Quantificacao!AR154</f>
        <v>0</v>
      </c>
      <c r="AU38" s="158">
        <f>Dren_Quantificacao!AS152+Dren_Quantificacao!AS154</f>
        <v>0</v>
      </c>
      <c r="AV38" s="158">
        <f>Dren_Quantificacao!AT152+Dren_Quantificacao!AT154</f>
        <v>0</v>
      </c>
      <c r="AW38" s="158">
        <f>Dren_Quantificacao!AU152+Dren_Quantificacao!AU154</f>
        <v>0</v>
      </c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350">
        <f t="shared" si="1"/>
        <v>0</v>
      </c>
      <c r="BN38" s="579">
        <f t="shared" si="27"/>
        <v>0</v>
      </c>
      <c r="BO38" s="1047"/>
      <c r="BP38" s="1038"/>
      <c r="BQ38" s="1038"/>
      <c r="BR38" s="1038"/>
      <c r="BS38" s="1038"/>
      <c r="BT38" s="1038"/>
      <c r="BU38" s="1038"/>
      <c r="BV38" s="1038"/>
      <c r="BW38" s="1040"/>
      <c r="BX38" s="1038"/>
      <c r="BY38" s="1038"/>
      <c r="BZ38" s="1038"/>
      <c r="CA38" s="1038"/>
      <c r="CB38" s="1038"/>
      <c r="CC38" s="1038"/>
      <c r="CD38" s="1038"/>
      <c r="CE38" s="1038"/>
      <c r="CF38" s="1040"/>
      <c r="CG38" s="1038"/>
      <c r="CH38" s="1038"/>
      <c r="CI38" s="1038"/>
      <c r="CJ38" s="1038"/>
      <c r="CK38" s="1038"/>
      <c r="CL38" s="1038"/>
      <c r="CM38" s="1040"/>
      <c r="CN38" s="1040"/>
      <c r="CO38" s="1038"/>
      <c r="CP38" s="1038"/>
      <c r="CQ38" s="1038"/>
      <c r="CR38" s="1038"/>
      <c r="CS38" s="1038"/>
      <c r="CT38" s="1040"/>
      <c r="CU38" s="1041"/>
      <c r="CV38" s="1038"/>
      <c r="CW38" s="973"/>
    </row>
    <row r="39" spans="1:101" ht="21.95" hidden="1" customHeight="1" x14ac:dyDescent="0.15">
      <c r="A39" s="2707"/>
      <c r="B39" s="2606"/>
      <c r="C39" s="567">
        <v>0.6</v>
      </c>
      <c r="D39" s="1003"/>
      <c r="E39" s="1287"/>
      <c r="F39" s="158">
        <f t="shared" ref="F39:AH45" si="30">IF(F$4&lt;&gt;$C39,0,IF(AND(F$5="P",F$9=1),F$2*F$3,0))</f>
        <v>0</v>
      </c>
      <c r="G39" s="158">
        <f t="shared" ca="1" si="30"/>
        <v>0</v>
      </c>
      <c r="H39" s="158">
        <f t="shared" ca="1" si="30"/>
        <v>0</v>
      </c>
      <c r="I39" s="158">
        <f t="shared" ca="1" si="30"/>
        <v>0</v>
      </c>
      <c r="J39" s="158"/>
      <c r="K39" s="158"/>
      <c r="L39" s="158"/>
      <c r="M39" s="158"/>
      <c r="N39" s="2416"/>
      <c r="O39" s="158">
        <f t="shared" ca="1" si="30"/>
        <v>0</v>
      </c>
      <c r="P39" s="158">
        <f t="shared" ca="1" si="30"/>
        <v>0</v>
      </c>
      <c r="Q39" s="158">
        <f t="shared" ca="1" si="30"/>
        <v>0</v>
      </c>
      <c r="R39" s="158">
        <f t="shared" ca="1" si="30"/>
        <v>0</v>
      </c>
      <c r="S39" s="158">
        <f t="shared" ca="1" si="30"/>
        <v>0</v>
      </c>
      <c r="T39" s="158">
        <f t="shared" ca="1" si="30"/>
        <v>0</v>
      </c>
      <c r="U39" s="158">
        <f t="shared" ca="1" si="30"/>
        <v>0</v>
      </c>
      <c r="V39" s="158">
        <f t="shared" ca="1" si="30"/>
        <v>0</v>
      </c>
      <c r="W39" s="158"/>
      <c r="X39" s="2416"/>
      <c r="Y39" s="158">
        <f t="shared" ca="1" si="30"/>
        <v>0</v>
      </c>
      <c r="Z39" s="158">
        <f t="shared" ca="1" si="30"/>
        <v>0</v>
      </c>
      <c r="AA39" s="158">
        <f t="shared" ca="1" si="30"/>
        <v>0</v>
      </c>
      <c r="AB39" s="158">
        <f t="shared" ca="1" si="30"/>
        <v>0</v>
      </c>
      <c r="AC39" s="158">
        <f t="shared" ca="1" si="30"/>
        <v>0</v>
      </c>
      <c r="AD39" s="158">
        <f t="shared" ca="1" si="30"/>
        <v>0</v>
      </c>
      <c r="AE39" s="158">
        <f t="shared" ca="1" si="30"/>
        <v>0</v>
      </c>
      <c r="AF39" s="158">
        <f t="shared" ca="1" si="30"/>
        <v>0</v>
      </c>
      <c r="AG39" s="158">
        <f t="shared" ca="1" si="30"/>
        <v>0</v>
      </c>
      <c r="AH39" s="158">
        <f t="shared" ca="1" si="30"/>
        <v>0</v>
      </c>
      <c r="AI39" s="158"/>
      <c r="AJ39" s="158"/>
      <c r="AK39" s="158"/>
      <c r="AL39" s="158"/>
      <c r="AM39" s="158"/>
      <c r="AN39" s="158"/>
      <c r="AO39" s="158"/>
      <c r="AP39" s="158"/>
      <c r="AQ39" s="158"/>
      <c r="AR39" s="2416"/>
      <c r="AS39" s="158">
        <f t="shared" ref="AS39:AW44" ca="1" si="31">IF(AS$4&lt;&gt;$C39,0,IF(AND(AS$5="P",AS$9=1),AS$2*AS$3,0))</f>
        <v>0</v>
      </c>
      <c r="AT39" s="158">
        <f t="shared" ca="1" si="31"/>
        <v>0</v>
      </c>
      <c r="AU39" s="158">
        <f t="shared" ca="1" si="31"/>
        <v>0</v>
      </c>
      <c r="AV39" s="158">
        <f t="shared" ca="1" si="31"/>
        <v>0</v>
      </c>
      <c r="AW39" s="158">
        <f t="shared" ca="1" si="31"/>
        <v>0</v>
      </c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350">
        <f t="shared" ca="1" si="1"/>
        <v>0</v>
      </c>
      <c r="BN39" s="579">
        <f t="shared" ca="1" si="27"/>
        <v>0</v>
      </c>
      <c r="BO39" s="1047"/>
      <c r="BP39" s="1038"/>
      <c r="BQ39" s="1038"/>
      <c r="BR39" s="1038"/>
      <c r="BS39" s="1038"/>
      <c r="BT39" s="1038"/>
      <c r="BU39" s="1038"/>
      <c r="BV39" s="1038"/>
      <c r="BW39" s="1040"/>
      <c r="BX39" s="1038"/>
      <c r="BY39" s="1038"/>
      <c r="BZ39" s="1038"/>
      <c r="CA39" s="1038"/>
      <c r="CB39" s="1038"/>
      <c r="CC39" s="1038"/>
      <c r="CD39" s="1038"/>
      <c r="CE39" s="1038"/>
      <c r="CF39" s="1040"/>
      <c r="CG39" s="1038"/>
      <c r="CH39" s="1038"/>
      <c r="CI39" s="1038"/>
      <c r="CJ39" s="1038"/>
      <c r="CK39" s="1038"/>
      <c r="CL39" s="1038"/>
      <c r="CM39" s="1040"/>
      <c r="CN39" s="1040"/>
      <c r="CO39" s="1038"/>
      <c r="CP39" s="1038"/>
      <c r="CQ39" s="1038"/>
      <c r="CR39" s="1038"/>
      <c r="CS39" s="1038"/>
      <c r="CT39" s="1040"/>
      <c r="CU39" s="1041"/>
      <c r="CV39" s="1038"/>
      <c r="CW39" s="973"/>
    </row>
    <row r="40" spans="1:101" ht="21.95" hidden="1" customHeight="1" x14ac:dyDescent="0.15">
      <c r="A40" s="2707"/>
      <c r="B40" s="2606"/>
      <c r="C40" s="567">
        <v>0.75</v>
      </c>
      <c r="D40" s="1003"/>
      <c r="E40" s="1287"/>
      <c r="F40" s="158">
        <f t="shared" si="30"/>
        <v>0</v>
      </c>
      <c r="G40" s="158">
        <f t="shared" ca="1" si="30"/>
        <v>0</v>
      </c>
      <c r="H40" s="158">
        <f t="shared" ca="1" si="30"/>
        <v>0</v>
      </c>
      <c r="I40" s="158">
        <f t="shared" ca="1" si="30"/>
        <v>0</v>
      </c>
      <c r="J40" s="158"/>
      <c r="K40" s="158"/>
      <c r="L40" s="158"/>
      <c r="M40" s="158"/>
      <c r="N40" s="2416"/>
      <c r="O40" s="158">
        <f t="shared" ca="1" si="30"/>
        <v>0</v>
      </c>
      <c r="P40" s="158">
        <f t="shared" ca="1" si="30"/>
        <v>0</v>
      </c>
      <c r="Q40" s="158">
        <f t="shared" ca="1" si="30"/>
        <v>0</v>
      </c>
      <c r="R40" s="158">
        <f t="shared" ca="1" si="30"/>
        <v>0</v>
      </c>
      <c r="S40" s="158">
        <f t="shared" ca="1" si="30"/>
        <v>0</v>
      </c>
      <c r="T40" s="158">
        <f t="shared" ca="1" si="30"/>
        <v>0</v>
      </c>
      <c r="U40" s="158">
        <f t="shared" ca="1" si="30"/>
        <v>0</v>
      </c>
      <c r="V40" s="158">
        <f t="shared" ca="1" si="30"/>
        <v>0</v>
      </c>
      <c r="W40" s="158"/>
      <c r="X40" s="2416"/>
      <c r="Y40" s="158">
        <f t="shared" ca="1" si="30"/>
        <v>0</v>
      </c>
      <c r="Z40" s="158">
        <f t="shared" ca="1" si="30"/>
        <v>0</v>
      </c>
      <c r="AA40" s="158">
        <f t="shared" ca="1" si="30"/>
        <v>0</v>
      </c>
      <c r="AB40" s="158">
        <f t="shared" ca="1" si="30"/>
        <v>0</v>
      </c>
      <c r="AC40" s="158">
        <f t="shared" ca="1" si="30"/>
        <v>0</v>
      </c>
      <c r="AD40" s="158">
        <f t="shared" ca="1" si="30"/>
        <v>0</v>
      </c>
      <c r="AE40" s="158">
        <f t="shared" ca="1" si="30"/>
        <v>0</v>
      </c>
      <c r="AF40" s="158">
        <f t="shared" ca="1" si="30"/>
        <v>0</v>
      </c>
      <c r="AG40" s="158">
        <f t="shared" ca="1" si="30"/>
        <v>0</v>
      </c>
      <c r="AH40" s="158">
        <f t="shared" ca="1" si="30"/>
        <v>0</v>
      </c>
      <c r="AI40" s="158"/>
      <c r="AJ40" s="158"/>
      <c r="AK40" s="158"/>
      <c r="AL40" s="158"/>
      <c r="AM40" s="158"/>
      <c r="AN40" s="158"/>
      <c r="AO40" s="158"/>
      <c r="AP40" s="158"/>
      <c r="AQ40" s="158"/>
      <c r="AR40" s="2416"/>
      <c r="AS40" s="158">
        <f t="shared" ca="1" si="31"/>
        <v>0</v>
      </c>
      <c r="AT40" s="158">
        <f t="shared" ca="1" si="31"/>
        <v>0</v>
      </c>
      <c r="AU40" s="158">
        <f t="shared" ca="1" si="31"/>
        <v>0</v>
      </c>
      <c r="AV40" s="158">
        <f t="shared" ca="1" si="31"/>
        <v>0</v>
      </c>
      <c r="AW40" s="158">
        <f t="shared" ca="1" si="31"/>
        <v>0</v>
      </c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350">
        <f t="shared" ca="1" si="1"/>
        <v>0</v>
      </c>
      <c r="BN40" s="579">
        <f t="shared" ca="1" si="27"/>
        <v>0</v>
      </c>
      <c r="BO40" s="1047"/>
      <c r="BP40" s="1038"/>
      <c r="BQ40" s="1038"/>
      <c r="BR40" s="1038"/>
      <c r="BS40" s="1038"/>
      <c r="BT40" s="1038"/>
      <c r="BU40" s="1038"/>
      <c r="BV40" s="1038"/>
      <c r="BW40" s="1040"/>
      <c r="BX40" s="1038"/>
      <c r="BY40" s="1038"/>
      <c r="BZ40" s="1038"/>
      <c r="CA40" s="1038"/>
      <c r="CB40" s="1038"/>
      <c r="CC40" s="1038"/>
      <c r="CD40" s="1038"/>
      <c r="CE40" s="1038"/>
      <c r="CF40" s="1040"/>
      <c r="CG40" s="1038"/>
      <c r="CH40" s="1038"/>
      <c r="CI40" s="1038"/>
      <c r="CJ40" s="1038"/>
      <c r="CK40" s="1038"/>
      <c r="CL40" s="1038"/>
      <c r="CM40" s="1040"/>
      <c r="CN40" s="1040"/>
      <c r="CO40" s="1038"/>
      <c r="CP40" s="1038"/>
      <c r="CQ40" s="1038"/>
      <c r="CR40" s="1038"/>
      <c r="CS40" s="1038"/>
      <c r="CT40" s="1040"/>
      <c r="CU40" s="1041"/>
      <c r="CV40" s="1038"/>
      <c r="CW40" s="973"/>
    </row>
    <row r="41" spans="1:101" ht="21.95" hidden="1" customHeight="1" x14ac:dyDescent="0.15">
      <c r="A41" s="2707"/>
      <c r="B41" s="2606"/>
      <c r="C41" s="567">
        <v>0.8</v>
      </c>
      <c r="D41" s="1003"/>
      <c r="E41" s="1287"/>
      <c r="F41" s="158">
        <f t="shared" si="30"/>
        <v>0</v>
      </c>
      <c r="G41" s="158">
        <f t="shared" ca="1" si="30"/>
        <v>0</v>
      </c>
      <c r="H41" s="158">
        <f t="shared" ca="1" si="30"/>
        <v>0</v>
      </c>
      <c r="I41" s="158">
        <f t="shared" ca="1" si="30"/>
        <v>0</v>
      </c>
      <c r="J41" s="158"/>
      <c r="K41" s="158"/>
      <c r="L41" s="158"/>
      <c r="M41" s="158"/>
      <c r="N41" s="2416"/>
      <c r="O41" s="158">
        <f t="shared" ca="1" si="30"/>
        <v>0</v>
      </c>
      <c r="P41" s="158">
        <f t="shared" ca="1" si="30"/>
        <v>0</v>
      </c>
      <c r="Q41" s="158">
        <f t="shared" ca="1" si="30"/>
        <v>0</v>
      </c>
      <c r="R41" s="158">
        <f t="shared" ca="1" si="30"/>
        <v>0</v>
      </c>
      <c r="S41" s="158">
        <f t="shared" ca="1" si="30"/>
        <v>0</v>
      </c>
      <c r="T41" s="158">
        <f t="shared" ca="1" si="30"/>
        <v>0</v>
      </c>
      <c r="U41" s="158">
        <f t="shared" ca="1" si="30"/>
        <v>0</v>
      </c>
      <c r="V41" s="158">
        <f t="shared" ca="1" si="30"/>
        <v>0</v>
      </c>
      <c r="W41" s="158"/>
      <c r="X41" s="2416"/>
      <c r="Y41" s="158">
        <f t="shared" ca="1" si="30"/>
        <v>0</v>
      </c>
      <c r="Z41" s="158">
        <f t="shared" ca="1" si="30"/>
        <v>0</v>
      </c>
      <c r="AA41" s="158">
        <f t="shared" ca="1" si="30"/>
        <v>0</v>
      </c>
      <c r="AB41" s="158">
        <f t="shared" ca="1" si="30"/>
        <v>0</v>
      </c>
      <c r="AC41" s="158">
        <f t="shared" ca="1" si="30"/>
        <v>0</v>
      </c>
      <c r="AD41" s="158">
        <f t="shared" ca="1" si="30"/>
        <v>0</v>
      </c>
      <c r="AE41" s="158">
        <f t="shared" ca="1" si="30"/>
        <v>0</v>
      </c>
      <c r="AF41" s="158">
        <f t="shared" ca="1" si="30"/>
        <v>0</v>
      </c>
      <c r="AG41" s="158">
        <f t="shared" ca="1" si="30"/>
        <v>0</v>
      </c>
      <c r="AH41" s="158">
        <f t="shared" ca="1" si="30"/>
        <v>0</v>
      </c>
      <c r="AI41" s="158"/>
      <c r="AJ41" s="158"/>
      <c r="AK41" s="158"/>
      <c r="AL41" s="158"/>
      <c r="AM41" s="158"/>
      <c r="AN41" s="158"/>
      <c r="AO41" s="158"/>
      <c r="AP41" s="158"/>
      <c r="AQ41" s="158"/>
      <c r="AR41" s="2416"/>
      <c r="AS41" s="158">
        <f t="shared" ca="1" si="31"/>
        <v>0</v>
      </c>
      <c r="AT41" s="158">
        <f t="shared" ca="1" si="31"/>
        <v>0</v>
      </c>
      <c r="AU41" s="158">
        <f t="shared" ca="1" si="31"/>
        <v>0</v>
      </c>
      <c r="AV41" s="158">
        <f t="shared" ca="1" si="31"/>
        <v>0</v>
      </c>
      <c r="AW41" s="158">
        <f t="shared" ca="1" si="31"/>
        <v>0</v>
      </c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350">
        <f t="shared" ca="1" si="1"/>
        <v>0</v>
      </c>
      <c r="BN41" s="579">
        <f t="shared" ca="1" si="27"/>
        <v>0</v>
      </c>
      <c r="BO41" s="1047"/>
      <c r="BP41" s="1038"/>
      <c r="BQ41" s="1038"/>
      <c r="BR41" s="1038"/>
      <c r="BS41" s="1038"/>
      <c r="BT41" s="1038"/>
      <c r="BU41" s="1038"/>
      <c r="BV41" s="1038"/>
      <c r="BW41" s="1040"/>
      <c r="BX41" s="1038"/>
      <c r="BY41" s="1038"/>
      <c r="BZ41" s="1038"/>
      <c r="CA41" s="1038"/>
      <c r="CB41" s="1038"/>
      <c r="CC41" s="1038"/>
      <c r="CD41" s="1038"/>
      <c r="CE41" s="1038"/>
      <c r="CF41" s="1040"/>
      <c r="CG41" s="1038"/>
      <c r="CH41" s="1038"/>
      <c r="CI41" s="1038"/>
      <c r="CJ41" s="1038"/>
      <c r="CK41" s="1038"/>
      <c r="CL41" s="1038"/>
      <c r="CM41" s="1040"/>
      <c r="CN41" s="1040"/>
      <c r="CO41" s="1038"/>
      <c r="CP41" s="1038"/>
      <c r="CQ41" s="1038"/>
      <c r="CR41" s="1038"/>
      <c r="CS41" s="1038"/>
      <c r="CT41" s="1040"/>
      <c r="CU41" s="1041"/>
      <c r="CV41" s="1038"/>
      <c r="CW41" s="973"/>
    </row>
    <row r="42" spans="1:101" ht="21.95" hidden="1" customHeight="1" x14ac:dyDescent="0.15">
      <c r="A42" s="2707"/>
      <c r="B42" s="2606"/>
      <c r="C42" s="567">
        <v>0.9</v>
      </c>
      <c r="D42" s="1003"/>
      <c r="E42" s="1287"/>
      <c r="F42" s="158">
        <f t="shared" si="30"/>
        <v>0</v>
      </c>
      <c r="G42" s="158">
        <f t="shared" ca="1" si="30"/>
        <v>0</v>
      </c>
      <c r="H42" s="158">
        <f t="shared" ca="1" si="30"/>
        <v>0</v>
      </c>
      <c r="I42" s="158">
        <f t="shared" ca="1" si="30"/>
        <v>0</v>
      </c>
      <c r="J42" s="158"/>
      <c r="K42" s="158"/>
      <c r="L42" s="158"/>
      <c r="M42" s="158"/>
      <c r="N42" s="2416"/>
      <c r="O42" s="158">
        <f t="shared" ca="1" si="30"/>
        <v>0</v>
      </c>
      <c r="P42" s="158">
        <f t="shared" ca="1" si="30"/>
        <v>0</v>
      </c>
      <c r="Q42" s="158">
        <f t="shared" ca="1" si="30"/>
        <v>0</v>
      </c>
      <c r="R42" s="158">
        <f t="shared" ca="1" si="30"/>
        <v>0</v>
      </c>
      <c r="S42" s="158">
        <f t="shared" ca="1" si="30"/>
        <v>0</v>
      </c>
      <c r="T42" s="158">
        <f t="shared" ca="1" si="30"/>
        <v>0</v>
      </c>
      <c r="U42" s="158">
        <f t="shared" ca="1" si="30"/>
        <v>0</v>
      </c>
      <c r="V42" s="158">
        <f t="shared" ca="1" si="30"/>
        <v>0</v>
      </c>
      <c r="W42" s="158"/>
      <c r="X42" s="2416"/>
      <c r="Y42" s="158">
        <f t="shared" ca="1" si="30"/>
        <v>0</v>
      </c>
      <c r="Z42" s="158">
        <f t="shared" ca="1" si="30"/>
        <v>0</v>
      </c>
      <c r="AA42" s="158">
        <f t="shared" ca="1" si="30"/>
        <v>0</v>
      </c>
      <c r="AB42" s="158">
        <f t="shared" ca="1" si="30"/>
        <v>0</v>
      </c>
      <c r="AC42" s="158">
        <f t="shared" ca="1" si="30"/>
        <v>0</v>
      </c>
      <c r="AD42" s="158">
        <f t="shared" ca="1" si="30"/>
        <v>0</v>
      </c>
      <c r="AE42" s="158">
        <f t="shared" ca="1" si="30"/>
        <v>0</v>
      </c>
      <c r="AF42" s="158">
        <f t="shared" ca="1" si="30"/>
        <v>0</v>
      </c>
      <c r="AG42" s="158">
        <f t="shared" ca="1" si="30"/>
        <v>0</v>
      </c>
      <c r="AH42" s="158">
        <f t="shared" ca="1" si="30"/>
        <v>0</v>
      </c>
      <c r="AI42" s="158"/>
      <c r="AJ42" s="158"/>
      <c r="AK42" s="158"/>
      <c r="AL42" s="158"/>
      <c r="AM42" s="158"/>
      <c r="AN42" s="158"/>
      <c r="AO42" s="158"/>
      <c r="AP42" s="158"/>
      <c r="AQ42" s="158"/>
      <c r="AR42" s="2416"/>
      <c r="AS42" s="158">
        <f t="shared" ca="1" si="31"/>
        <v>0</v>
      </c>
      <c r="AT42" s="158">
        <f t="shared" ca="1" si="31"/>
        <v>0</v>
      </c>
      <c r="AU42" s="158">
        <f t="shared" ca="1" si="31"/>
        <v>0</v>
      </c>
      <c r="AV42" s="158">
        <f t="shared" ca="1" si="31"/>
        <v>0</v>
      </c>
      <c r="AW42" s="158">
        <f t="shared" ca="1" si="31"/>
        <v>0</v>
      </c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350">
        <f t="shared" ref="BM42:BM66" ca="1" si="32">ROUND(SUM(F42:BL42),2)</f>
        <v>0</v>
      </c>
      <c r="BN42" s="579">
        <f t="shared" ca="1" si="27"/>
        <v>0</v>
      </c>
      <c r="BO42" s="1047"/>
      <c r="BP42" s="1038"/>
      <c r="BQ42" s="1038"/>
      <c r="BR42" s="1038"/>
      <c r="BS42" s="1038"/>
      <c r="BT42" s="1038"/>
      <c r="BU42" s="1038"/>
      <c r="BV42" s="1038"/>
      <c r="BW42" s="1040"/>
      <c r="BX42" s="1038"/>
      <c r="BY42" s="1038"/>
      <c r="BZ42" s="1038"/>
      <c r="CA42" s="1038"/>
      <c r="CB42" s="1038"/>
      <c r="CC42" s="1038"/>
      <c r="CD42" s="1038"/>
      <c r="CE42" s="1038"/>
      <c r="CF42" s="1040"/>
      <c r="CG42" s="1038"/>
      <c r="CH42" s="1038"/>
      <c r="CI42" s="1038"/>
      <c r="CJ42" s="1038"/>
      <c r="CK42" s="1038"/>
      <c r="CL42" s="1038"/>
      <c r="CM42" s="1040"/>
      <c r="CN42" s="1040"/>
      <c r="CO42" s="1038"/>
      <c r="CP42" s="1038"/>
      <c r="CQ42" s="1038"/>
      <c r="CR42" s="1038"/>
      <c r="CS42" s="1038"/>
      <c r="CT42" s="1040"/>
      <c r="CU42" s="1041"/>
      <c r="CV42" s="1038"/>
      <c r="CW42" s="973"/>
    </row>
    <row r="43" spans="1:101" ht="21.95" hidden="1" customHeight="1" x14ac:dyDescent="0.15">
      <c r="A43" s="2707"/>
      <c r="B43" s="2606"/>
      <c r="C43" s="567">
        <v>1</v>
      </c>
      <c r="D43" s="1003"/>
      <c r="E43" s="1287"/>
      <c r="F43" s="158">
        <f t="shared" si="30"/>
        <v>0</v>
      </c>
      <c r="G43" s="158">
        <f t="shared" ca="1" si="30"/>
        <v>0</v>
      </c>
      <c r="H43" s="158">
        <f t="shared" ca="1" si="30"/>
        <v>0</v>
      </c>
      <c r="I43" s="158">
        <f t="shared" ca="1" si="30"/>
        <v>0</v>
      </c>
      <c r="J43" s="158"/>
      <c r="K43" s="158"/>
      <c r="L43" s="158"/>
      <c r="M43" s="158"/>
      <c r="N43" s="2416"/>
      <c r="O43" s="158">
        <f t="shared" ca="1" si="30"/>
        <v>0</v>
      </c>
      <c r="P43" s="158">
        <f t="shared" ca="1" si="30"/>
        <v>0</v>
      </c>
      <c r="Q43" s="158">
        <f t="shared" ca="1" si="30"/>
        <v>0</v>
      </c>
      <c r="R43" s="158">
        <f t="shared" ca="1" si="30"/>
        <v>0</v>
      </c>
      <c r="S43" s="158">
        <f t="shared" ca="1" si="30"/>
        <v>0</v>
      </c>
      <c r="T43" s="158">
        <f t="shared" ca="1" si="30"/>
        <v>0</v>
      </c>
      <c r="U43" s="158">
        <f t="shared" ca="1" si="30"/>
        <v>0</v>
      </c>
      <c r="V43" s="158">
        <f t="shared" ca="1" si="30"/>
        <v>0</v>
      </c>
      <c r="W43" s="158"/>
      <c r="X43" s="2416"/>
      <c r="Y43" s="158">
        <f t="shared" ca="1" si="30"/>
        <v>0</v>
      </c>
      <c r="Z43" s="158">
        <f t="shared" ca="1" si="30"/>
        <v>0</v>
      </c>
      <c r="AA43" s="158">
        <f t="shared" ca="1" si="30"/>
        <v>0</v>
      </c>
      <c r="AB43" s="158">
        <f t="shared" ca="1" si="30"/>
        <v>0</v>
      </c>
      <c r="AC43" s="158">
        <f t="shared" ca="1" si="30"/>
        <v>0</v>
      </c>
      <c r="AD43" s="158">
        <f t="shared" ca="1" si="30"/>
        <v>0</v>
      </c>
      <c r="AE43" s="158">
        <f t="shared" ca="1" si="30"/>
        <v>0</v>
      </c>
      <c r="AF43" s="158">
        <f t="shared" ca="1" si="30"/>
        <v>0</v>
      </c>
      <c r="AG43" s="158">
        <f t="shared" ca="1" si="30"/>
        <v>0</v>
      </c>
      <c r="AH43" s="158">
        <f t="shared" ca="1" si="30"/>
        <v>0</v>
      </c>
      <c r="AI43" s="158"/>
      <c r="AJ43" s="158"/>
      <c r="AK43" s="158"/>
      <c r="AL43" s="158"/>
      <c r="AM43" s="158"/>
      <c r="AN43" s="158"/>
      <c r="AO43" s="158"/>
      <c r="AP43" s="158"/>
      <c r="AQ43" s="158"/>
      <c r="AR43" s="2416"/>
      <c r="AS43" s="158">
        <f t="shared" ca="1" si="31"/>
        <v>0</v>
      </c>
      <c r="AT43" s="158">
        <f t="shared" ca="1" si="31"/>
        <v>0</v>
      </c>
      <c r="AU43" s="158">
        <f t="shared" ca="1" si="31"/>
        <v>0</v>
      </c>
      <c r="AV43" s="158">
        <f t="shared" ca="1" si="31"/>
        <v>0</v>
      </c>
      <c r="AW43" s="158">
        <f t="shared" ca="1" si="31"/>
        <v>0</v>
      </c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350">
        <f t="shared" ca="1" si="32"/>
        <v>0</v>
      </c>
      <c r="BN43" s="579">
        <f t="shared" ca="1" si="27"/>
        <v>0</v>
      </c>
      <c r="BO43" s="1047"/>
      <c r="BP43" s="1038"/>
      <c r="BQ43" s="1038"/>
      <c r="BR43" s="1038"/>
      <c r="BS43" s="1038"/>
      <c r="BT43" s="1038"/>
      <c r="BU43" s="1038"/>
      <c r="BV43" s="1038"/>
      <c r="BW43" s="1040"/>
      <c r="BX43" s="1038"/>
      <c r="BY43" s="1038"/>
      <c r="BZ43" s="1038"/>
      <c r="CA43" s="1038"/>
      <c r="CB43" s="1038"/>
      <c r="CC43" s="1038"/>
      <c r="CD43" s="1038"/>
      <c r="CE43" s="1038"/>
      <c r="CF43" s="1040"/>
      <c r="CG43" s="1038"/>
      <c r="CH43" s="1038"/>
      <c r="CI43" s="1038"/>
      <c r="CJ43" s="1038"/>
      <c r="CK43" s="1038"/>
      <c r="CL43" s="1038"/>
      <c r="CM43" s="1040"/>
      <c r="CN43" s="1040"/>
      <c r="CO43" s="1038"/>
      <c r="CP43" s="1038"/>
      <c r="CQ43" s="1038"/>
      <c r="CR43" s="1038"/>
      <c r="CS43" s="1038"/>
      <c r="CT43" s="1040"/>
      <c r="CU43" s="1041"/>
      <c r="CV43" s="1038"/>
      <c r="CW43" s="973"/>
    </row>
    <row r="44" spans="1:101" ht="21.95" hidden="1" customHeight="1" x14ac:dyDescent="0.15">
      <c r="A44" s="2707"/>
      <c r="B44" s="2606"/>
      <c r="C44" s="567">
        <v>1.2</v>
      </c>
      <c r="D44" s="1003"/>
      <c r="E44" s="1287"/>
      <c r="F44" s="158">
        <f t="shared" si="30"/>
        <v>0</v>
      </c>
      <c r="G44" s="158">
        <f t="shared" ca="1" si="30"/>
        <v>0</v>
      </c>
      <c r="H44" s="158">
        <f t="shared" ca="1" si="30"/>
        <v>0</v>
      </c>
      <c r="I44" s="158">
        <f t="shared" ca="1" si="30"/>
        <v>0</v>
      </c>
      <c r="J44" s="158"/>
      <c r="K44" s="158"/>
      <c r="L44" s="158"/>
      <c r="M44" s="158"/>
      <c r="N44" s="2416"/>
      <c r="O44" s="158">
        <f t="shared" ca="1" si="30"/>
        <v>0</v>
      </c>
      <c r="P44" s="158">
        <f t="shared" ca="1" si="30"/>
        <v>0</v>
      </c>
      <c r="Q44" s="158">
        <f t="shared" ca="1" si="30"/>
        <v>0</v>
      </c>
      <c r="R44" s="158">
        <f t="shared" ca="1" si="30"/>
        <v>0</v>
      </c>
      <c r="S44" s="158">
        <f t="shared" ca="1" si="30"/>
        <v>0</v>
      </c>
      <c r="T44" s="158">
        <f t="shared" ca="1" si="30"/>
        <v>0</v>
      </c>
      <c r="U44" s="158">
        <f t="shared" ca="1" si="30"/>
        <v>0</v>
      </c>
      <c r="V44" s="158">
        <f t="shared" ca="1" si="30"/>
        <v>0</v>
      </c>
      <c r="W44" s="158"/>
      <c r="X44" s="2416"/>
      <c r="Y44" s="158">
        <f t="shared" ca="1" si="30"/>
        <v>0</v>
      </c>
      <c r="Z44" s="158">
        <f t="shared" ca="1" si="30"/>
        <v>0</v>
      </c>
      <c r="AA44" s="158">
        <f t="shared" ca="1" si="30"/>
        <v>0</v>
      </c>
      <c r="AB44" s="158">
        <f t="shared" ca="1" si="30"/>
        <v>0</v>
      </c>
      <c r="AC44" s="158">
        <f t="shared" ref="AC44:AH44" ca="1" si="33">IF(AC$4&lt;&gt;$C44,0,IF(AND(AC$5="P",AC$9=1),AC$2*AC$3,0))</f>
        <v>0</v>
      </c>
      <c r="AD44" s="158">
        <f t="shared" ca="1" si="33"/>
        <v>0</v>
      </c>
      <c r="AE44" s="158">
        <f t="shared" ca="1" si="33"/>
        <v>0</v>
      </c>
      <c r="AF44" s="158">
        <f t="shared" ca="1" si="33"/>
        <v>0</v>
      </c>
      <c r="AG44" s="158">
        <f t="shared" ca="1" si="33"/>
        <v>0</v>
      </c>
      <c r="AH44" s="158">
        <f t="shared" ca="1" si="33"/>
        <v>0</v>
      </c>
      <c r="AI44" s="158"/>
      <c r="AJ44" s="158"/>
      <c r="AK44" s="158"/>
      <c r="AL44" s="158"/>
      <c r="AM44" s="158"/>
      <c r="AN44" s="158"/>
      <c r="AO44" s="158"/>
      <c r="AP44" s="158"/>
      <c r="AQ44" s="158"/>
      <c r="AR44" s="2416"/>
      <c r="AS44" s="158">
        <f t="shared" ca="1" si="31"/>
        <v>0</v>
      </c>
      <c r="AT44" s="158">
        <f t="shared" ca="1" si="31"/>
        <v>0</v>
      </c>
      <c r="AU44" s="158">
        <f t="shared" ca="1" si="31"/>
        <v>0</v>
      </c>
      <c r="AV44" s="158">
        <f t="shared" ca="1" si="31"/>
        <v>0</v>
      </c>
      <c r="AW44" s="158">
        <f t="shared" ca="1" si="31"/>
        <v>0</v>
      </c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350">
        <f t="shared" ca="1" si="32"/>
        <v>0</v>
      </c>
      <c r="BN44" s="579">
        <f t="shared" ca="1" si="27"/>
        <v>0</v>
      </c>
      <c r="BO44" s="1047"/>
      <c r="BP44" s="1038"/>
      <c r="BQ44" s="1038"/>
      <c r="BR44" s="1038"/>
      <c r="BS44" s="1038"/>
      <c r="BT44" s="1038"/>
      <c r="BU44" s="1038"/>
      <c r="BV44" s="1038"/>
      <c r="BW44" s="1040"/>
      <c r="BX44" s="1038"/>
      <c r="BY44" s="1038"/>
      <c r="BZ44" s="1038"/>
      <c r="CA44" s="1038"/>
      <c r="CB44" s="1038"/>
      <c r="CC44" s="1038"/>
      <c r="CD44" s="1038"/>
      <c r="CE44" s="1038"/>
      <c r="CF44" s="1040"/>
      <c r="CG44" s="1038"/>
      <c r="CH44" s="1038"/>
      <c r="CI44" s="1038"/>
      <c r="CJ44" s="1038"/>
      <c r="CK44" s="1038"/>
      <c r="CL44" s="1038"/>
      <c r="CM44" s="1040"/>
      <c r="CN44" s="1040"/>
      <c r="CO44" s="1038"/>
      <c r="CP44" s="1038"/>
      <c r="CQ44" s="1038"/>
      <c r="CR44" s="1038"/>
      <c r="CS44" s="1038"/>
      <c r="CT44" s="1040"/>
      <c r="CU44" s="1041"/>
      <c r="CV44" s="1038"/>
      <c r="CW44" s="973"/>
    </row>
    <row r="45" spans="1:101" ht="21.95" hidden="1" customHeight="1" thickBot="1" x14ac:dyDescent="0.2">
      <c r="A45" s="2707"/>
      <c r="B45" s="2607"/>
      <c r="C45" s="566">
        <v>1.5</v>
      </c>
      <c r="D45" s="1004"/>
      <c r="E45" s="2242"/>
      <c r="F45" s="239">
        <f t="shared" si="30"/>
        <v>0</v>
      </c>
      <c r="G45" s="239">
        <f t="shared" ref="G45:AW45" ca="1" si="34">IF(G$4&lt;&gt;$C45,0,IF(AND(G$5="P",G$9=1),G$2*G$3,0))</f>
        <v>0</v>
      </c>
      <c r="H45" s="239">
        <f t="shared" ca="1" si="34"/>
        <v>0</v>
      </c>
      <c r="I45" s="239">
        <f t="shared" ca="1" si="34"/>
        <v>0</v>
      </c>
      <c r="J45" s="239"/>
      <c r="K45" s="239"/>
      <c r="L45" s="239"/>
      <c r="M45" s="239"/>
      <c r="N45" s="2440"/>
      <c r="O45" s="239">
        <f t="shared" ca="1" si="34"/>
        <v>0</v>
      </c>
      <c r="P45" s="239">
        <f t="shared" ca="1" si="34"/>
        <v>0</v>
      </c>
      <c r="Q45" s="239">
        <f t="shared" ca="1" si="34"/>
        <v>0</v>
      </c>
      <c r="R45" s="239">
        <f t="shared" ca="1" si="34"/>
        <v>0</v>
      </c>
      <c r="S45" s="239">
        <f t="shared" ca="1" si="34"/>
        <v>0</v>
      </c>
      <c r="T45" s="239">
        <f t="shared" ca="1" si="34"/>
        <v>0</v>
      </c>
      <c r="U45" s="239">
        <f t="shared" ca="1" si="34"/>
        <v>0</v>
      </c>
      <c r="V45" s="239">
        <f t="shared" ca="1" si="34"/>
        <v>0</v>
      </c>
      <c r="W45" s="239"/>
      <c r="X45" s="2440"/>
      <c r="Y45" s="239">
        <f t="shared" ca="1" si="34"/>
        <v>0</v>
      </c>
      <c r="Z45" s="239">
        <f t="shared" ca="1" si="34"/>
        <v>0</v>
      </c>
      <c r="AA45" s="239">
        <f t="shared" ca="1" si="34"/>
        <v>0</v>
      </c>
      <c r="AB45" s="239">
        <f t="shared" ca="1" si="34"/>
        <v>0</v>
      </c>
      <c r="AC45" s="239">
        <f t="shared" ca="1" si="34"/>
        <v>0</v>
      </c>
      <c r="AD45" s="239">
        <f t="shared" ca="1" si="34"/>
        <v>0</v>
      </c>
      <c r="AE45" s="239">
        <f t="shared" ca="1" si="34"/>
        <v>0</v>
      </c>
      <c r="AF45" s="239">
        <f t="shared" ca="1" si="34"/>
        <v>0</v>
      </c>
      <c r="AG45" s="239">
        <f t="shared" ca="1" si="34"/>
        <v>0</v>
      </c>
      <c r="AH45" s="239">
        <f t="shared" ca="1" si="34"/>
        <v>0</v>
      </c>
      <c r="AI45" s="239"/>
      <c r="AJ45" s="239"/>
      <c r="AK45" s="239"/>
      <c r="AL45" s="239"/>
      <c r="AM45" s="239"/>
      <c r="AN45" s="239"/>
      <c r="AO45" s="239"/>
      <c r="AP45" s="239"/>
      <c r="AQ45" s="239"/>
      <c r="AR45" s="2440"/>
      <c r="AS45" s="239">
        <f t="shared" ca="1" si="34"/>
        <v>0</v>
      </c>
      <c r="AT45" s="239">
        <f t="shared" ca="1" si="34"/>
        <v>0</v>
      </c>
      <c r="AU45" s="239">
        <f t="shared" ca="1" si="34"/>
        <v>0</v>
      </c>
      <c r="AV45" s="239">
        <f t="shared" ca="1" si="34"/>
        <v>0</v>
      </c>
      <c r="AW45" s="239">
        <f t="shared" ca="1" si="34"/>
        <v>0</v>
      </c>
      <c r="AX45" s="237"/>
      <c r="AY45" s="237"/>
      <c r="AZ45" s="237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7"/>
      <c r="BM45" s="361">
        <f t="shared" ca="1" si="32"/>
        <v>0</v>
      </c>
      <c r="BN45" s="579">
        <f t="shared" ca="1" si="27"/>
        <v>0</v>
      </c>
      <c r="BO45" s="1047"/>
      <c r="BP45" s="1038"/>
      <c r="BQ45" s="1038"/>
      <c r="BR45" s="1038"/>
      <c r="BS45" s="1038"/>
      <c r="BT45" s="1038"/>
      <c r="BU45" s="1038"/>
      <c r="BV45" s="1038"/>
      <c r="BW45" s="1040"/>
      <c r="BX45" s="1038"/>
      <c r="BY45" s="1038"/>
      <c r="BZ45" s="1038"/>
      <c r="CA45" s="1038"/>
      <c r="CB45" s="1038"/>
      <c r="CC45" s="1038"/>
      <c r="CD45" s="1038"/>
      <c r="CE45" s="1038"/>
      <c r="CF45" s="1040"/>
      <c r="CG45" s="1038"/>
      <c r="CH45" s="1038"/>
      <c r="CI45" s="1038"/>
      <c r="CJ45" s="1038"/>
      <c r="CK45" s="1038"/>
      <c r="CL45" s="1038"/>
      <c r="CM45" s="1040"/>
      <c r="CN45" s="1040"/>
      <c r="CO45" s="1038"/>
      <c r="CP45" s="1038"/>
      <c r="CQ45" s="1038"/>
      <c r="CR45" s="1038"/>
      <c r="CS45" s="1038"/>
      <c r="CT45" s="1040"/>
      <c r="CU45" s="1041"/>
      <c r="CV45" s="1038"/>
      <c r="CW45" s="973"/>
    </row>
    <row r="46" spans="1:101" ht="21.95" hidden="1" customHeight="1" x14ac:dyDescent="0.15">
      <c r="A46" s="2707"/>
      <c r="B46" s="2605" t="s">
        <v>1180</v>
      </c>
      <c r="C46" s="550" t="s">
        <v>1120</v>
      </c>
      <c r="D46" s="1003"/>
      <c r="E46" s="1287"/>
      <c r="F46" s="158">
        <f>Dren_Quantificacao!D149</f>
        <v>0</v>
      </c>
      <c r="G46" s="158">
        <f>Dren_Quantificacao!E149</f>
        <v>0</v>
      </c>
      <c r="H46" s="158">
        <f>Dren_Quantificacao!F149</f>
        <v>0</v>
      </c>
      <c r="I46" s="158">
        <f>Dren_Quantificacao!G149</f>
        <v>0</v>
      </c>
      <c r="J46" s="158"/>
      <c r="K46" s="158"/>
      <c r="L46" s="158"/>
      <c r="M46" s="158"/>
      <c r="N46" s="2416"/>
      <c r="O46" s="158">
        <f>Dren_Quantificacao!M149</f>
        <v>0</v>
      </c>
      <c r="P46" s="158">
        <f>Dren_Quantificacao!N149</f>
        <v>0</v>
      </c>
      <c r="Q46" s="158">
        <f>Dren_Quantificacao!O149</f>
        <v>0</v>
      </c>
      <c r="R46" s="158">
        <f>Dren_Quantificacao!P149</f>
        <v>0</v>
      </c>
      <c r="S46" s="158">
        <f>Dren_Quantificacao!Q149</f>
        <v>0</v>
      </c>
      <c r="T46" s="158">
        <f>Dren_Quantificacao!R149</f>
        <v>0</v>
      </c>
      <c r="U46" s="158">
        <f>Dren_Quantificacao!S149</f>
        <v>0</v>
      </c>
      <c r="V46" s="158">
        <f>Dren_Quantificacao!T149</f>
        <v>0</v>
      </c>
      <c r="W46" s="158"/>
      <c r="X46" s="2416"/>
      <c r="Y46" s="158">
        <f>Dren_Quantificacao!W149</f>
        <v>0</v>
      </c>
      <c r="Z46" s="158">
        <f>Dren_Quantificacao!X149</f>
        <v>0</v>
      </c>
      <c r="AA46" s="158">
        <f>Dren_Quantificacao!Y149</f>
        <v>0</v>
      </c>
      <c r="AB46" s="158">
        <f>Dren_Quantificacao!Z149</f>
        <v>0</v>
      </c>
      <c r="AC46" s="158">
        <f>Dren_Quantificacao!AA149</f>
        <v>0</v>
      </c>
      <c r="AD46" s="158">
        <f>Dren_Quantificacao!AB149</f>
        <v>0</v>
      </c>
      <c r="AE46" s="158">
        <f>Dren_Quantificacao!AC149</f>
        <v>0</v>
      </c>
      <c r="AF46" s="158">
        <f>Dren_Quantificacao!AD149</f>
        <v>0</v>
      </c>
      <c r="AG46" s="158">
        <f>Dren_Quantificacao!AE149</f>
        <v>0</v>
      </c>
      <c r="AH46" s="158">
        <f>Dren_Quantificacao!AF149</f>
        <v>0</v>
      </c>
      <c r="AI46" s="158"/>
      <c r="AJ46" s="158"/>
      <c r="AK46" s="158"/>
      <c r="AL46" s="158"/>
      <c r="AM46" s="158"/>
      <c r="AN46" s="158"/>
      <c r="AO46" s="158"/>
      <c r="AP46" s="158"/>
      <c r="AQ46" s="158"/>
      <c r="AR46" s="2416"/>
      <c r="AS46" s="158">
        <f>Dren_Quantificacao!AQ149</f>
        <v>0</v>
      </c>
      <c r="AT46" s="158">
        <f>Dren_Quantificacao!AR149</f>
        <v>0</v>
      </c>
      <c r="AU46" s="158">
        <f>Dren_Quantificacao!AS149</f>
        <v>0</v>
      </c>
      <c r="AV46" s="158">
        <f>Dren_Quantificacao!AT149</f>
        <v>0</v>
      </c>
      <c r="AW46" s="158">
        <f>Dren_Quantificacao!AU149</f>
        <v>0</v>
      </c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362">
        <f t="shared" si="32"/>
        <v>0</v>
      </c>
      <c r="BN46" s="579">
        <f t="shared" si="27"/>
        <v>0</v>
      </c>
      <c r="BO46" s="1047"/>
      <c r="BP46" s="1038"/>
      <c r="BQ46" s="1038"/>
      <c r="BR46" s="1038"/>
      <c r="BS46" s="1038"/>
      <c r="BT46" s="1038"/>
      <c r="BU46" s="1038"/>
      <c r="BV46" s="1038"/>
      <c r="BW46" s="1040"/>
      <c r="BX46" s="1038"/>
      <c r="BY46" s="1038"/>
      <c r="BZ46" s="1038"/>
      <c r="CA46" s="1038"/>
      <c r="CB46" s="1038"/>
      <c r="CC46" s="1038"/>
      <c r="CD46" s="1038"/>
      <c r="CE46" s="1038"/>
      <c r="CF46" s="1040"/>
      <c r="CG46" s="1038"/>
      <c r="CH46" s="1038"/>
      <c r="CI46" s="1038"/>
      <c r="CJ46" s="1038"/>
      <c r="CK46" s="1038"/>
      <c r="CL46" s="1038"/>
      <c r="CM46" s="1040"/>
      <c r="CN46" s="1040"/>
      <c r="CO46" s="1038"/>
      <c r="CP46" s="1038"/>
      <c r="CQ46" s="1038"/>
      <c r="CR46" s="1038"/>
      <c r="CS46" s="1038"/>
      <c r="CT46" s="1040"/>
      <c r="CU46" s="1041"/>
      <c r="CV46" s="1038"/>
      <c r="CW46" s="973"/>
    </row>
    <row r="47" spans="1:101" ht="21.95" hidden="1" customHeight="1" x14ac:dyDescent="0.15">
      <c r="A47" s="2707"/>
      <c r="B47" s="2606"/>
      <c r="C47" s="567">
        <v>0.5</v>
      </c>
      <c r="D47" s="1003"/>
      <c r="E47" s="1287"/>
      <c r="F47" s="158">
        <f t="shared" ref="F47:AW47" si="35">IF(F$4&lt;&gt;$C47,0,IF(AND(F$5="P",F$9=2),F$2*F$3,0))</f>
        <v>0</v>
      </c>
      <c r="G47" s="158">
        <f t="shared" ca="1" si="35"/>
        <v>0</v>
      </c>
      <c r="H47" s="158">
        <f t="shared" ca="1" si="35"/>
        <v>0</v>
      </c>
      <c r="I47" s="158">
        <f t="shared" ca="1" si="35"/>
        <v>0</v>
      </c>
      <c r="J47" s="158"/>
      <c r="K47" s="158"/>
      <c r="L47" s="158"/>
      <c r="M47" s="158"/>
      <c r="N47" s="2416"/>
      <c r="O47" s="158">
        <f t="shared" ca="1" si="35"/>
        <v>0</v>
      </c>
      <c r="P47" s="158">
        <f t="shared" ca="1" si="35"/>
        <v>0</v>
      </c>
      <c r="Q47" s="158">
        <f t="shared" ca="1" si="35"/>
        <v>0</v>
      </c>
      <c r="R47" s="158">
        <f t="shared" ca="1" si="35"/>
        <v>0</v>
      </c>
      <c r="S47" s="158">
        <f t="shared" ca="1" si="35"/>
        <v>0</v>
      </c>
      <c r="T47" s="158">
        <f t="shared" ca="1" si="35"/>
        <v>0</v>
      </c>
      <c r="U47" s="158">
        <f t="shared" ca="1" si="35"/>
        <v>0</v>
      </c>
      <c r="V47" s="158">
        <f t="shared" ca="1" si="35"/>
        <v>0</v>
      </c>
      <c r="W47" s="158"/>
      <c r="X47" s="2416"/>
      <c r="Y47" s="158">
        <f t="shared" ca="1" si="35"/>
        <v>0</v>
      </c>
      <c r="Z47" s="158">
        <f t="shared" ca="1" si="35"/>
        <v>0</v>
      </c>
      <c r="AA47" s="158">
        <f t="shared" ca="1" si="35"/>
        <v>0</v>
      </c>
      <c r="AB47" s="158">
        <f t="shared" ca="1" si="35"/>
        <v>0</v>
      </c>
      <c r="AC47" s="158">
        <f t="shared" ca="1" si="35"/>
        <v>0</v>
      </c>
      <c r="AD47" s="158">
        <f t="shared" ca="1" si="35"/>
        <v>0</v>
      </c>
      <c r="AE47" s="158">
        <f t="shared" ca="1" si="35"/>
        <v>0</v>
      </c>
      <c r="AF47" s="158">
        <f t="shared" ca="1" si="35"/>
        <v>0</v>
      </c>
      <c r="AG47" s="158">
        <f t="shared" ca="1" si="35"/>
        <v>0</v>
      </c>
      <c r="AH47" s="158">
        <f t="shared" ca="1" si="35"/>
        <v>0</v>
      </c>
      <c r="AI47" s="158"/>
      <c r="AJ47" s="158"/>
      <c r="AK47" s="158"/>
      <c r="AL47" s="158"/>
      <c r="AM47" s="158"/>
      <c r="AN47" s="158"/>
      <c r="AO47" s="158"/>
      <c r="AP47" s="158"/>
      <c r="AQ47" s="158"/>
      <c r="AR47" s="2416"/>
      <c r="AS47" s="158">
        <f t="shared" ca="1" si="35"/>
        <v>0</v>
      </c>
      <c r="AT47" s="158">
        <f t="shared" ca="1" si="35"/>
        <v>0</v>
      </c>
      <c r="AU47" s="158">
        <f t="shared" ca="1" si="35"/>
        <v>0</v>
      </c>
      <c r="AV47" s="158">
        <f t="shared" ca="1" si="35"/>
        <v>0</v>
      </c>
      <c r="AW47" s="158">
        <f t="shared" ca="1" si="35"/>
        <v>0</v>
      </c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350">
        <f t="shared" ca="1" si="32"/>
        <v>0</v>
      </c>
      <c r="BN47" s="579">
        <f t="shared" ca="1" si="27"/>
        <v>0</v>
      </c>
      <c r="BO47" s="1047"/>
      <c r="BP47" s="1038"/>
      <c r="BQ47" s="1038"/>
      <c r="BR47" s="1038"/>
      <c r="BS47" s="1038"/>
      <c r="BT47" s="1038"/>
      <c r="BU47" s="1038"/>
      <c r="BV47" s="1038"/>
      <c r="BW47" s="1040"/>
      <c r="BX47" s="1038"/>
      <c r="BY47" s="1038"/>
      <c r="BZ47" s="1038"/>
      <c r="CA47" s="1038"/>
      <c r="CB47" s="1038"/>
      <c r="CC47" s="1038"/>
      <c r="CD47" s="1038"/>
      <c r="CE47" s="1038"/>
      <c r="CF47" s="1040"/>
      <c r="CG47" s="1038"/>
      <c r="CH47" s="1038"/>
      <c r="CI47" s="1038"/>
      <c r="CJ47" s="1038"/>
      <c r="CK47" s="1038"/>
      <c r="CL47" s="1038"/>
      <c r="CM47" s="1040"/>
      <c r="CN47" s="1040"/>
      <c r="CO47" s="1038"/>
      <c r="CP47" s="1038"/>
      <c r="CQ47" s="1038"/>
      <c r="CR47" s="1038"/>
      <c r="CS47" s="1038"/>
      <c r="CT47" s="1040"/>
      <c r="CU47" s="1041"/>
      <c r="CV47" s="1038"/>
      <c r="CW47" s="973"/>
    </row>
    <row r="48" spans="1:101" ht="21.95" hidden="1" customHeight="1" x14ac:dyDescent="0.15">
      <c r="A48" s="2707"/>
      <c r="B48" s="2606"/>
      <c r="C48" s="567" t="s">
        <v>1571</v>
      </c>
      <c r="D48" s="1003"/>
      <c r="E48" s="1287"/>
      <c r="F48" s="158">
        <f>Dren_Quantificacao!D151</f>
        <v>0</v>
      </c>
      <c r="G48" s="158">
        <f>Dren_Quantificacao!E151</f>
        <v>0</v>
      </c>
      <c r="H48" s="158">
        <f>Dren_Quantificacao!F151</f>
        <v>0</v>
      </c>
      <c r="I48" s="158">
        <f>Dren_Quantificacao!G151</f>
        <v>0</v>
      </c>
      <c r="J48" s="158"/>
      <c r="K48" s="158"/>
      <c r="L48" s="158"/>
      <c r="M48" s="158"/>
      <c r="N48" s="2416"/>
      <c r="O48" s="158">
        <f>Dren_Quantificacao!M151</f>
        <v>0</v>
      </c>
      <c r="P48" s="158">
        <f>Dren_Quantificacao!N151</f>
        <v>0</v>
      </c>
      <c r="Q48" s="158">
        <f>Dren_Quantificacao!O151</f>
        <v>0</v>
      </c>
      <c r="R48" s="158">
        <f>Dren_Quantificacao!P151</f>
        <v>0</v>
      </c>
      <c r="S48" s="158">
        <f>Dren_Quantificacao!Q151</f>
        <v>0</v>
      </c>
      <c r="T48" s="158">
        <f>Dren_Quantificacao!R151</f>
        <v>0</v>
      </c>
      <c r="U48" s="158">
        <f>Dren_Quantificacao!S151</f>
        <v>0</v>
      </c>
      <c r="V48" s="158">
        <f>Dren_Quantificacao!T151</f>
        <v>0</v>
      </c>
      <c r="W48" s="158"/>
      <c r="X48" s="2416"/>
      <c r="Y48" s="158">
        <f>Dren_Quantificacao!W151</f>
        <v>0</v>
      </c>
      <c r="Z48" s="158">
        <f>Dren_Quantificacao!X151</f>
        <v>0</v>
      </c>
      <c r="AA48" s="158">
        <f>Dren_Quantificacao!Y151</f>
        <v>0</v>
      </c>
      <c r="AB48" s="158">
        <f>Dren_Quantificacao!Z151</f>
        <v>0</v>
      </c>
      <c r="AC48" s="158">
        <f>Dren_Quantificacao!AA151</f>
        <v>0</v>
      </c>
      <c r="AD48" s="158">
        <f>Dren_Quantificacao!AB151</f>
        <v>0</v>
      </c>
      <c r="AE48" s="158">
        <f>Dren_Quantificacao!AC151</f>
        <v>0</v>
      </c>
      <c r="AF48" s="158">
        <f>Dren_Quantificacao!AD151</f>
        <v>0</v>
      </c>
      <c r="AG48" s="158">
        <f>Dren_Quantificacao!AE151</f>
        <v>0</v>
      </c>
      <c r="AH48" s="158">
        <f>Dren_Quantificacao!AF151</f>
        <v>0</v>
      </c>
      <c r="AI48" s="158"/>
      <c r="AJ48" s="158"/>
      <c r="AK48" s="158"/>
      <c r="AL48" s="158"/>
      <c r="AM48" s="158"/>
      <c r="AN48" s="158"/>
      <c r="AO48" s="158"/>
      <c r="AP48" s="158"/>
      <c r="AQ48" s="158"/>
      <c r="AR48" s="2416"/>
      <c r="AS48" s="158">
        <f>Dren_Quantificacao!AQ151</f>
        <v>0</v>
      </c>
      <c r="AT48" s="158">
        <f>Dren_Quantificacao!AR151</f>
        <v>0</v>
      </c>
      <c r="AU48" s="158">
        <f>Dren_Quantificacao!AS151</f>
        <v>0</v>
      </c>
      <c r="AV48" s="158">
        <f>Dren_Quantificacao!AT151</f>
        <v>0</v>
      </c>
      <c r="AW48" s="158">
        <f>Dren_Quantificacao!AU151</f>
        <v>0</v>
      </c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350">
        <f t="shared" si="32"/>
        <v>0</v>
      </c>
      <c r="BN48" s="579">
        <f t="shared" si="27"/>
        <v>0</v>
      </c>
      <c r="BO48" s="1047"/>
      <c r="BP48" s="1038"/>
      <c r="BQ48" s="1038"/>
      <c r="BR48" s="1038"/>
      <c r="BS48" s="1038"/>
      <c r="BT48" s="1038"/>
      <c r="BU48" s="1038"/>
      <c r="BV48" s="1038"/>
      <c r="BW48" s="1040"/>
      <c r="BX48" s="1038"/>
      <c r="BY48" s="1038"/>
      <c r="BZ48" s="1038"/>
      <c r="CA48" s="1038"/>
      <c r="CB48" s="1038"/>
      <c r="CC48" s="1038"/>
      <c r="CD48" s="1038"/>
      <c r="CE48" s="1038"/>
      <c r="CF48" s="1040"/>
      <c r="CG48" s="1038"/>
      <c r="CH48" s="1038"/>
      <c r="CI48" s="1038"/>
      <c r="CJ48" s="1038"/>
      <c r="CK48" s="1038"/>
      <c r="CL48" s="1038"/>
      <c r="CM48" s="1040"/>
      <c r="CN48" s="1040"/>
      <c r="CO48" s="1038"/>
      <c r="CP48" s="1038"/>
      <c r="CQ48" s="1038"/>
      <c r="CR48" s="1038"/>
      <c r="CS48" s="1038"/>
      <c r="CT48" s="1040"/>
      <c r="CU48" s="1041"/>
      <c r="CV48" s="1038"/>
      <c r="CW48" s="973"/>
    </row>
    <row r="49" spans="1:101" ht="21.95" hidden="1" customHeight="1" x14ac:dyDescent="0.15">
      <c r="A49" s="2707"/>
      <c r="B49" s="2606"/>
      <c r="C49" s="567">
        <v>0.6</v>
      </c>
      <c r="D49" s="1003"/>
      <c r="E49" s="1287"/>
      <c r="F49" s="158">
        <f t="shared" ref="F49:AH55" si="36">IF(F$4&lt;&gt;$C49,0,IF(AND(F$5="P",F$9=2),F$2*F$3,0))</f>
        <v>0</v>
      </c>
      <c r="G49" s="158">
        <f t="shared" ca="1" si="36"/>
        <v>0</v>
      </c>
      <c r="H49" s="158">
        <f t="shared" ca="1" si="36"/>
        <v>0</v>
      </c>
      <c r="I49" s="158">
        <f t="shared" ca="1" si="36"/>
        <v>0</v>
      </c>
      <c r="J49" s="158"/>
      <c r="K49" s="158"/>
      <c r="L49" s="158"/>
      <c r="M49" s="158"/>
      <c r="N49" s="2416"/>
      <c r="O49" s="158">
        <f t="shared" ca="1" si="36"/>
        <v>0</v>
      </c>
      <c r="P49" s="158">
        <f t="shared" ca="1" si="36"/>
        <v>0</v>
      </c>
      <c r="Q49" s="158">
        <f t="shared" ca="1" si="36"/>
        <v>0</v>
      </c>
      <c r="R49" s="158">
        <f t="shared" ca="1" si="36"/>
        <v>0</v>
      </c>
      <c r="S49" s="158">
        <f t="shared" ca="1" si="36"/>
        <v>0</v>
      </c>
      <c r="T49" s="158">
        <f t="shared" ca="1" si="36"/>
        <v>0</v>
      </c>
      <c r="U49" s="158">
        <f t="shared" ca="1" si="36"/>
        <v>0</v>
      </c>
      <c r="V49" s="158">
        <f t="shared" ca="1" si="36"/>
        <v>0</v>
      </c>
      <c r="W49" s="158"/>
      <c r="X49" s="2416"/>
      <c r="Y49" s="158">
        <f t="shared" ca="1" si="36"/>
        <v>0</v>
      </c>
      <c r="Z49" s="158">
        <f t="shared" ca="1" si="36"/>
        <v>0</v>
      </c>
      <c r="AA49" s="158">
        <f t="shared" ca="1" si="36"/>
        <v>0</v>
      </c>
      <c r="AB49" s="158">
        <f t="shared" ca="1" si="36"/>
        <v>0</v>
      </c>
      <c r="AC49" s="158">
        <f t="shared" ca="1" si="36"/>
        <v>0</v>
      </c>
      <c r="AD49" s="158">
        <f t="shared" ca="1" si="36"/>
        <v>0</v>
      </c>
      <c r="AE49" s="158">
        <f t="shared" ca="1" si="36"/>
        <v>0</v>
      </c>
      <c r="AF49" s="158">
        <f t="shared" ca="1" si="36"/>
        <v>0</v>
      </c>
      <c r="AG49" s="158">
        <f t="shared" ca="1" si="36"/>
        <v>0</v>
      </c>
      <c r="AH49" s="158">
        <f t="shared" ca="1" si="36"/>
        <v>0</v>
      </c>
      <c r="AI49" s="158"/>
      <c r="AJ49" s="158"/>
      <c r="AK49" s="158"/>
      <c r="AL49" s="158"/>
      <c r="AM49" s="158"/>
      <c r="AN49" s="158"/>
      <c r="AO49" s="158"/>
      <c r="AP49" s="158"/>
      <c r="AQ49" s="158"/>
      <c r="AR49" s="2416"/>
      <c r="AS49" s="158">
        <f t="shared" ref="AS49:AW54" ca="1" si="37">IF(AS$4&lt;&gt;$C49,0,IF(AND(AS$5="P",AS$9=2),AS$2*AS$3,0))</f>
        <v>0</v>
      </c>
      <c r="AT49" s="158">
        <f t="shared" ca="1" si="37"/>
        <v>0</v>
      </c>
      <c r="AU49" s="158">
        <f t="shared" ca="1" si="37"/>
        <v>0</v>
      </c>
      <c r="AV49" s="158">
        <f t="shared" ca="1" si="37"/>
        <v>0</v>
      </c>
      <c r="AW49" s="158">
        <f t="shared" ca="1" si="37"/>
        <v>0</v>
      </c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350">
        <f t="shared" ca="1" si="32"/>
        <v>0</v>
      </c>
      <c r="BN49" s="579">
        <f t="shared" ca="1" si="27"/>
        <v>0</v>
      </c>
      <c r="BO49" s="1047"/>
      <c r="BP49" s="1038"/>
      <c r="BQ49" s="1038"/>
      <c r="BR49" s="1038"/>
      <c r="BS49" s="1038"/>
      <c r="BT49" s="1038"/>
      <c r="BU49" s="1038"/>
      <c r="BV49" s="1038"/>
      <c r="BW49" s="1040"/>
      <c r="BX49" s="1038"/>
      <c r="BY49" s="1038"/>
      <c r="BZ49" s="1038"/>
      <c r="CA49" s="1038"/>
      <c r="CB49" s="1038"/>
      <c r="CC49" s="1038"/>
      <c r="CD49" s="1038"/>
      <c r="CE49" s="1038"/>
      <c r="CF49" s="1040"/>
      <c r="CG49" s="1038"/>
      <c r="CH49" s="1038"/>
      <c r="CI49" s="1038"/>
      <c r="CJ49" s="1038"/>
      <c r="CK49" s="1038"/>
      <c r="CL49" s="1038"/>
      <c r="CM49" s="1040"/>
      <c r="CN49" s="1040"/>
      <c r="CO49" s="1038"/>
      <c r="CP49" s="1038"/>
      <c r="CQ49" s="1038"/>
      <c r="CR49" s="1038"/>
      <c r="CS49" s="1038"/>
      <c r="CT49" s="1040"/>
      <c r="CU49" s="1041"/>
      <c r="CV49" s="1038"/>
      <c r="CW49" s="973"/>
    </row>
    <row r="50" spans="1:101" ht="21.95" hidden="1" customHeight="1" x14ac:dyDescent="0.15">
      <c r="A50" s="2707"/>
      <c r="B50" s="2606"/>
      <c r="C50" s="567">
        <v>0.75</v>
      </c>
      <c r="D50" s="1003"/>
      <c r="E50" s="1287"/>
      <c r="F50" s="158">
        <f t="shared" si="36"/>
        <v>0</v>
      </c>
      <c r="G50" s="158">
        <f t="shared" ca="1" si="36"/>
        <v>0</v>
      </c>
      <c r="H50" s="158">
        <f t="shared" ca="1" si="36"/>
        <v>0</v>
      </c>
      <c r="I50" s="158">
        <f t="shared" ca="1" si="36"/>
        <v>0</v>
      </c>
      <c r="J50" s="158"/>
      <c r="K50" s="158"/>
      <c r="L50" s="158"/>
      <c r="M50" s="158"/>
      <c r="N50" s="2416"/>
      <c r="O50" s="158">
        <f t="shared" ca="1" si="36"/>
        <v>0</v>
      </c>
      <c r="P50" s="158">
        <f t="shared" ca="1" si="36"/>
        <v>0</v>
      </c>
      <c r="Q50" s="158">
        <f t="shared" ca="1" si="36"/>
        <v>0</v>
      </c>
      <c r="R50" s="158">
        <f t="shared" ca="1" si="36"/>
        <v>0</v>
      </c>
      <c r="S50" s="158">
        <f t="shared" ca="1" si="36"/>
        <v>0</v>
      </c>
      <c r="T50" s="158">
        <f t="shared" ca="1" si="36"/>
        <v>0</v>
      </c>
      <c r="U50" s="158">
        <f t="shared" ca="1" si="36"/>
        <v>0</v>
      </c>
      <c r="V50" s="158">
        <f t="shared" ca="1" si="36"/>
        <v>0</v>
      </c>
      <c r="W50" s="158"/>
      <c r="X50" s="2416"/>
      <c r="Y50" s="158">
        <f t="shared" ca="1" si="36"/>
        <v>0</v>
      </c>
      <c r="Z50" s="158">
        <f t="shared" ca="1" si="36"/>
        <v>0</v>
      </c>
      <c r="AA50" s="158">
        <f t="shared" ca="1" si="36"/>
        <v>0</v>
      </c>
      <c r="AB50" s="158">
        <f t="shared" ca="1" si="36"/>
        <v>0</v>
      </c>
      <c r="AC50" s="158">
        <f t="shared" ca="1" si="36"/>
        <v>0</v>
      </c>
      <c r="AD50" s="158">
        <f t="shared" ca="1" si="36"/>
        <v>0</v>
      </c>
      <c r="AE50" s="158">
        <f t="shared" ca="1" si="36"/>
        <v>0</v>
      </c>
      <c r="AF50" s="158">
        <f t="shared" ca="1" si="36"/>
        <v>0</v>
      </c>
      <c r="AG50" s="158">
        <f t="shared" ca="1" si="36"/>
        <v>0</v>
      </c>
      <c r="AH50" s="158">
        <f t="shared" ca="1" si="36"/>
        <v>0</v>
      </c>
      <c r="AI50" s="158"/>
      <c r="AJ50" s="158"/>
      <c r="AK50" s="158"/>
      <c r="AL50" s="158"/>
      <c r="AM50" s="158"/>
      <c r="AN50" s="158"/>
      <c r="AO50" s="158"/>
      <c r="AP50" s="158"/>
      <c r="AQ50" s="158"/>
      <c r="AR50" s="2416"/>
      <c r="AS50" s="158">
        <f t="shared" ca="1" si="37"/>
        <v>0</v>
      </c>
      <c r="AT50" s="158">
        <f t="shared" ca="1" si="37"/>
        <v>0</v>
      </c>
      <c r="AU50" s="158">
        <f t="shared" ca="1" si="37"/>
        <v>0</v>
      </c>
      <c r="AV50" s="158">
        <f t="shared" ca="1" si="37"/>
        <v>0</v>
      </c>
      <c r="AW50" s="158">
        <f t="shared" ca="1" si="37"/>
        <v>0</v>
      </c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350">
        <f t="shared" ca="1" si="32"/>
        <v>0</v>
      </c>
      <c r="BN50" s="579">
        <f t="shared" ca="1" si="27"/>
        <v>0</v>
      </c>
      <c r="BO50" s="1047"/>
      <c r="BP50" s="1038"/>
      <c r="BQ50" s="1038"/>
      <c r="BR50" s="1038"/>
      <c r="BS50" s="1038"/>
      <c r="BT50" s="1038"/>
      <c r="BU50" s="1038"/>
      <c r="BV50" s="1038"/>
      <c r="BW50" s="1040"/>
      <c r="BX50" s="1038"/>
      <c r="BY50" s="1038"/>
      <c r="BZ50" s="1038"/>
      <c r="CA50" s="1038"/>
      <c r="CB50" s="1038"/>
      <c r="CC50" s="1038"/>
      <c r="CD50" s="1038"/>
      <c r="CE50" s="1038"/>
      <c r="CF50" s="1040"/>
      <c r="CG50" s="1038"/>
      <c r="CH50" s="1038"/>
      <c r="CI50" s="1038"/>
      <c r="CJ50" s="1038"/>
      <c r="CK50" s="1038"/>
      <c r="CL50" s="1038"/>
      <c r="CM50" s="1040"/>
      <c r="CN50" s="1040"/>
      <c r="CO50" s="1038"/>
      <c r="CP50" s="1038"/>
      <c r="CQ50" s="1038"/>
      <c r="CR50" s="1038"/>
      <c r="CS50" s="1038"/>
      <c r="CT50" s="1040"/>
      <c r="CU50" s="1041"/>
      <c r="CV50" s="1038"/>
      <c r="CW50" s="973"/>
    </row>
    <row r="51" spans="1:101" ht="21.95" hidden="1" customHeight="1" x14ac:dyDescent="0.15">
      <c r="A51" s="2707"/>
      <c r="B51" s="2606"/>
      <c r="C51" s="567">
        <v>0.8</v>
      </c>
      <c r="D51" s="1003"/>
      <c r="E51" s="1287"/>
      <c r="F51" s="158">
        <f t="shared" si="36"/>
        <v>0</v>
      </c>
      <c r="G51" s="158">
        <f t="shared" ca="1" si="36"/>
        <v>0</v>
      </c>
      <c r="H51" s="158">
        <f t="shared" ca="1" si="36"/>
        <v>0</v>
      </c>
      <c r="I51" s="158">
        <f t="shared" ca="1" si="36"/>
        <v>0</v>
      </c>
      <c r="J51" s="158"/>
      <c r="K51" s="158"/>
      <c r="L51" s="158"/>
      <c r="M51" s="158"/>
      <c r="N51" s="2416"/>
      <c r="O51" s="158">
        <f t="shared" ca="1" si="36"/>
        <v>0</v>
      </c>
      <c r="P51" s="158">
        <f t="shared" ca="1" si="36"/>
        <v>0</v>
      </c>
      <c r="Q51" s="158">
        <f t="shared" ca="1" si="36"/>
        <v>0</v>
      </c>
      <c r="R51" s="158">
        <f t="shared" ca="1" si="36"/>
        <v>0</v>
      </c>
      <c r="S51" s="158">
        <f t="shared" ca="1" si="36"/>
        <v>0</v>
      </c>
      <c r="T51" s="158">
        <f t="shared" ca="1" si="36"/>
        <v>0</v>
      </c>
      <c r="U51" s="158">
        <f t="shared" ca="1" si="36"/>
        <v>0</v>
      </c>
      <c r="V51" s="158">
        <f t="shared" ca="1" si="36"/>
        <v>0</v>
      </c>
      <c r="W51" s="158"/>
      <c r="X51" s="2416"/>
      <c r="Y51" s="158">
        <f t="shared" ca="1" si="36"/>
        <v>0</v>
      </c>
      <c r="Z51" s="158">
        <f t="shared" ca="1" si="36"/>
        <v>0</v>
      </c>
      <c r="AA51" s="158">
        <f t="shared" ca="1" si="36"/>
        <v>0</v>
      </c>
      <c r="AB51" s="158">
        <f t="shared" ca="1" si="36"/>
        <v>0</v>
      </c>
      <c r="AC51" s="158">
        <f t="shared" ca="1" si="36"/>
        <v>0</v>
      </c>
      <c r="AD51" s="158">
        <f t="shared" ca="1" si="36"/>
        <v>0</v>
      </c>
      <c r="AE51" s="158">
        <f t="shared" ca="1" si="36"/>
        <v>0</v>
      </c>
      <c r="AF51" s="158">
        <f t="shared" ca="1" si="36"/>
        <v>0</v>
      </c>
      <c r="AG51" s="158">
        <f t="shared" ca="1" si="36"/>
        <v>0</v>
      </c>
      <c r="AH51" s="158">
        <f t="shared" ca="1" si="36"/>
        <v>0</v>
      </c>
      <c r="AI51" s="158"/>
      <c r="AJ51" s="158"/>
      <c r="AK51" s="158"/>
      <c r="AL51" s="158"/>
      <c r="AM51" s="158"/>
      <c r="AN51" s="158"/>
      <c r="AO51" s="158"/>
      <c r="AP51" s="158"/>
      <c r="AQ51" s="158"/>
      <c r="AR51" s="2416"/>
      <c r="AS51" s="158">
        <f t="shared" ca="1" si="37"/>
        <v>0</v>
      </c>
      <c r="AT51" s="158">
        <f t="shared" ca="1" si="37"/>
        <v>0</v>
      </c>
      <c r="AU51" s="158">
        <f t="shared" ca="1" si="37"/>
        <v>0</v>
      </c>
      <c r="AV51" s="158">
        <f t="shared" ca="1" si="37"/>
        <v>0</v>
      </c>
      <c r="AW51" s="158">
        <f t="shared" ca="1" si="37"/>
        <v>0</v>
      </c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350">
        <f t="shared" ca="1" si="32"/>
        <v>0</v>
      </c>
      <c r="BN51" s="579">
        <f t="shared" ca="1" si="27"/>
        <v>0</v>
      </c>
      <c r="BO51" s="1047"/>
      <c r="BP51" s="1038"/>
      <c r="BQ51" s="1038"/>
      <c r="BR51" s="1038"/>
      <c r="BS51" s="1038"/>
      <c r="BT51" s="1038"/>
      <c r="BU51" s="1038"/>
      <c r="BV51" s="1038"/>
      <c r="BW51" s="1040"/>
      <c r="BX51" s="1038"/>
      <c r="BY51" s="1038"/>
      <c r="BZ51" s="1038"/>
      <c r="CA51" s="1038"/>
      <c r="CB51" s="1038"/>
      <c r="CC51" s="1038"/>
      <c r="CD51" s="1038"/>
      <c r="CE51" s="1038"/>
      <c r="CF51" s="1040"/>
      <c r="CG51" s="1038"/>
      <c r="CH51" s="1038"/>
      <c r="CI51" s="1038"/>
      <c r="CJ51" s="1038"/>
      <c r="CK51" s="1038"/>
      <c r="CL51" s="1038"/>
      <c r="CM51" s="1040"/>
      <c r="CN51" s="1040"/>
      <c r="CO51" s="1038"/>
      <c r="CP51" s="1038"/>
      <c r="CQ51" s="1038"/>
      <c r="CR51" s="1038"/>
      <c r="CS51" s="1038"/>
      <c r="CT51" s="1040"/>
      <c r="CU51" s="1041"/>
      <c r="CV51" s="1038"/>
      <c r="CW51" s="973"/>
    </row>
    <row r="52" spans="1:101" ht="21.95" hidden="1" customHeight="1" x14ac:dyDescent="0.15">
      <c r="A52" s="2707"/>
      <c r="B52" s="2606"/>
      <c r="C52" s="567">
        <v>0.9</v>
      </c>
      <c r="D52" s="1003"/>
      <c r="E52" s="1287"/>
      <c r="F52" s="158">
        <f t="shared" si="36"/>
        <v>0</v>
      </c>
      <c r="G52" s="158">
        <f t="shared" ca="1" si="36"/>
        <v>0</v>
      </c>
      <c r="H52" s="158">
        <f t="shared" ca="1" si="36"/>
        <v>0</v>
      </c>
      <c r="I52" s="158">
        <f t="shared" ca="1" si="36"/>
        <v>0</v>
      </c>
      <c r="J52" s="158"/>
      <c r="K52" s="158"/>
      <c r="L52" s="158"/>
      <c r="M52" s="158"/>
      <c r="N52" s="2416"/>
      <c r="O52" s="158">
        <f t="shared" ca="1" si="36"/>
        <v>0</v>
      </c>
      <c r="P52" s="158">
        <f t="shared" ca="1" si="36"/>
        <v>0</v>
      </c>
      <c r="Q52" s="158">
        <f t="shared" ca="1" si="36"/>
        <v>0</v>
      </c>
      <c r="R52" s="158">
        <f t="shared" ca="1" si="36"/>
        <v>0</v>
      </c>
      <c r="S52" s="158">
        <f t="shared" ca="1" si="36"/>
        <v>0</v>
      </c>
      <c r="T52" s="158">
        <f t="shared" ca="1" si="36"/>
        <v>0</v>
      </c>
      <c r="U52" s="158">
        <f t="shared" ca="1" si="36"/>
        <v>0</v>
      </c>
      <c r="V52" s="158">
        <f t="shared" ca="1" si="36"/>
        <v>0</v>
      </c>
      <c r="W52" s="158"/>
      <c r="X52" s="2416"/>
      <c r="Y52" s="158">
        <f t="shared" ca="1" si="36"/>
        <v>0</v>
      </c>
      <c r="Z52" s="158">
        <f t="shared" ca="1" si="36"/>
        <v>0</v>
      </c>
      <c r="AA52" s="158">
        <f t="shared" ca="1" si="36"/>
        <v>0</v>
      </c>
      <c r="AB52" s="158">
        <f t="shared" ca="1" si="36"/>
        <v>0</v>
      </c>
      <c r="AC52" s="158">
        <f t="shared" ca="1" si="36"/>
        <v>0</v>
      </c>
      <c r="AD52" s="158">
        <f t="shared" ca="1" si="36"/>
        <v>0</v>
      </c>
      <c r="AE52" s="158">
        <f t="shared" ca="1" si="36"/>
        <v>0</v>
      </c>
      <c r="AF52" s="158">
        <f t="shared" ca="1" si="36"/>
        <v>0</v>
      </c>
      <c r="AG52" s="158">
        <f t="shared" ca="1" si="36"/>
        <v>0</v>
      </c>
      <c r="AH52" s="158">
        <f t="shared" ca="1" si="36"/>
        <v>0</v>
      </c>
      <c r="AI52" s="158"/>
      <c r="AJ52" s="158"/>
      <c r="AK52" s="158"/>
      <c r="AL52" s="158"/>
      <c r="AM52" s="158"/>
      <c r="AN52" s="158"/>
      <c r="AO52" s="158"/>
      <c r="AP52" s="158"/>
      <c r="AQ52" s="158"/>
      <c r="AR52" s="2416"/>
      <c r="AS52" s="158">
        <f t="shared" ca="1" si="37"/>
        <v>0</v>
      </c>
      <c r="AT52" s="158">
        <f t="shared" ca="1" si="37"/>
        <v>0</v>
      </c>
      <c r="AU52" s="158">
        <f t="shared" ca="1" si="37"/>
        <v>0</v>
      </c>
      <c r="AV52" s="158">
        <f t="shared" ca="1" si="37"/>
        <v>0</v>
      </c>
      <c r="AW52" s="158">
        <f t="shared" ca="1" si="37"/>
        <v>0</v>
      </c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350">
        <f t="shared" ca="1" si="32"/>
        <v>0</v>
      </c>
      <c r="BN52" s="579">
        <f t="shared" ca="1" si="27"/>
        <v>0</v>
      </c>
      <c r="BO52" s="1047"/>
      <c r="BP52" s="1038"/>
      <c r="BQ52" s="1038"/>
      <c r="BR52" s="1038"/>
      <c r="BS52" s="1038"/>
      <c r="BT52" s="1038"/>
      <c r="BU52" s="1038"/>
      <c r="BV52" s="1038"/>
      <c r="BW52" s="1040"/>
      <c r="BX52" s="1038"/>
      <c r="BY52" s="1038"/>
      <c r="BZ52" s="1038"/>
      <c r="CA52" s="1038"/>
      <c r="CB52" s="1038"/>
      <c r="CC52" s="1038"/>
      <c r="CD52" s="1038"/>
      <c r="CE52" s="1038"/>
      <c r="CF52" s="1040"/>
      <c r="CG52" s="1038"/>
      <c r="CH52" s="1038"/>
      <c r="CI52" s="1038"/>
      <c r="CJ52" s="1038"/>
      <c r="CK52" s="1038"/>
      <c r="CL52" s="1038"/>
      <c r="CM52" s="1040"/>
      <c r="CN52" s="1040"/>
      <c r="CO52" s="1038"/>
      <c r="CP52" s="1038"/>
      <c r="CQ52" s="1038"/>
      <c r="CR52" s="1038"/>
      <c r="CS52" s="1038"/>
      <c r="CT52" s="1040"/>
      <c r="CU52" s="1041"/>
      <c r="CV52" s="1038"/>
      <c r="CW52" s="973"/>
    </row>
    <row r="53" spans="1:101" ht="21.95" hidden="1" customHeight="1" x14ac:dyDescent="0.15">
      <c r="A53" s="2707"/>
      <c r="B53" s="2606"/>
      <c r="C53" s="567">
        <v>1</v>
      </c>
      <c r="D53" s="1003"/>
      <c r="E53" s="1287"/>
      <c r="F53" s="158">
        <f t="shared" si="36"/>
        <v>0</v>
      </c>
      <c r="G53" s="158">
        <f t="shared" ca="1" si="36"/>
        <v>0</v>
      </c>
      <c r="H53" s="158">
        <f t="shared" ca="1" si="36"/>
        <v>0</v>
      </c>
      <c r="I53" s="158">
        <f t="shared" ca="1" si="36"/>
        <v>0</v>
      </c>
      <c r="J53" s="158"/>
      <c r="K53" s="158"/>
      <c r="L53" s="158"/>
      <c r="M53" s="158"/>
      <c r="N53" s="2416"/>
      <c r="O53" s="158">
        <f t="shared" ca="1" si="36"/>
        <v>0</v>
      </c>
      <c r="P53" s="158">
        <f t="shared" ca="1" si="36"/>
        <v>0</v>
      </c>
      <c r="Q53" s="158">
        <f t="shared" ca="1" si="36"/>
        <v>0</v>
      </c>
      <c r="R53" s="158">
        <f t="shared" ca="1" si="36"/>
        <v>0</v>
      </c>
      <c r="S53" s="158">
        <f t="shared" ca="1" si="36"/>
        <v>0</v>
      </c>
      <c r="T53" s="158">
        <f t="shared" ca="1" si="36"/>
        <v>0</v>
      </c>
      <c r="U53" s="158">
        <f t="shared" ca="1" si="36"/>
        <v>0</v>
      </c>
      <c r="V53" s="158">
        <f t="shared" ca="1" si="36"/>
        <v>0</v>
      </c>
      <c r="W53" s="158"/>
      <c r="X53" s="2416"/>
      <c r="Y53" s="158">
        <f t="shared" ca="1" si="36"/>
        <v>0</v>
      </c>
      <c r="Z53" s="158">
        <f t="shared" ca="1" si="36"/>
        <v>0</v>
      </c>
      <c r="AA53" s="158">
        <f t="shared" ca="1" si="36"/>
        <v>0</v>
      </c>
      <c r="AB53" s="158">
        <f t="shared" ca="1" si="36"/>
        <v>0</v>
      </c>
      <c r="AC53" s="158">
        <f t="shared" ca="1" si="36"/>
        <v>0</v>
      </c>
      <c r="AD53" s="158">
        <f t="shared" ca="1" si="36"/>
        <v>0</v>
      </c>
      <c r="AE53" s="158">
        <f t="shared" ca="1" si="36"/>
        <v>0</v>
      </c>
      <c r="AF53" s="158">
        <f t="shared" ca="1" si="36"/>
        <v>0</v>
      </c>
      <c r="AG53" s="158">
        <f t="shared" ca="1" si="36"/>
        <v>0</v>
      </c>
      <c r="AH53" s="158">
        <f t="shared" ca="1" si="36"/>
        <v>0</v>
      </c>
      <c r="AI53" s="158"/>
      <c r="AJ53" s="158"/>
      <c r="AK53" s="158"/>
      <c r="AL53" s="158"/>
      <c r="AM53" s="158"/>
      <c r="AN53" s="158"/>
      <c r="AO53" s="158"/>
      <c r="AP53" s="158"/>
      <c r="AQ53" s="158"/>
      <c r="AR53" s="2416"/>
      <c r="AS53" s="158">
        <f t="shared" ca="1" si="37"/>
        <v>0</v>
      </c>
      <c r="AT53" s="158">
        <f t="shared" ca="1" si="37"/>
        <v>0</v>
      </c>
      <c r="AU53" s="158">
        <f t="shared" ca="1" si="37"/>
        <v>0</v>
      </c>
      <c r="AV53" s="158">
        <f t="shared" ca="1" si="37"/>
        <v>0</v>
      </c>
      <c r="AW53" s="158">
        <f t="shared" ca="1" si="37"/>
        <v>0</v>
      </c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350">
        <f t="shared" ca="1" si="32"/>
        <v>0</v>
      </c>
      <c r="BN53" s="579">
        <f t="shared" ca="1" si="27"/>
        <v>0</v>
      </c>
      <c r="BO53" s="1047"/>
      <c r="BP53" s="1038"/>
      <c r="BQ53" s="1038"/>
      <c r="BR53" s="1038"/>
      <c r="BS53" s="1038"/>
      <c r="BT53" s="1038"/>
      <c r="BU53" s="1038"/>
      <c r="BV53" s="1038"/>
      <c r="BW53" s="1040"/>
      <c r="BX53" s="1038"/>
      <c r="BY53" s="1038"/>
      <c r="BZ53" s="1038"/>
      <c r="CA53" s="1038"/>
      <c r="CB53" s="1038"/>
      <c r="CC53" s="1038"/>
      <c r="CD53" s="1038"/>
      <c r="CE53" s="1038"/>
      <c r="CF53" s="1040"/>
      <c r="CG53" s="1038"/>
      <c r="CH53" s="1038"/>
      <c r="CI53" s="1038"/>
      <c r="CJ53" s="1038"/>
      <c r="CK53" s="1038"/>
      <c r="CL53" s="1038"/>
      <c r="CM53" s="1040"/>
      <c r="CN53" s="1040"/>
      <c r="CO53" s="1038"/>
      <c r="CP53" s="1038"/>
      <c r="CQ53" s="1038"/>
      <c r="CR53" s="1038"/>
      <c r="CS53" s="1038"/>
      <c r="CT53" s="1040"/>
      <c r="CU53" s="1041"/>
      <c r="CV53" s="1038"/>
      <c r="CW53" s="973"/>
    </row>
    <row r="54" spans="1:101" ht="21.95" hidden="1" customHeight="1" x14ac:dyDescent="0.15">
      <c r="A54" s="2707"/>
      <c r="B54" s="2606"/>
      <c r="C54" s="567">
        <v>1.2</v>
      </c>
      <c r="D54" s="1003"/>
      <c r="E54" s="1287"/>
      <c r="F54" s="158">
        <f t="shared" si="36"/>
        <v>0</v>
      </c>
      <c r="G54" s="158">
        <f t="shared" ca="1" si="36"/>
        <v>0</v>
      </c>
      <c r="H54" s="158">
        <f t="shared" ca="1" si="36"/>
        <v>0</v>
      </c>
      <c r="I54" s="158">
        <f t="shared" ca="1" si="36"/>
        <v>0</v>
      </c>
      <c r="J54" s="158"/>
      <c r="K54" s="158"/>
      <c r="L54" s="158"/>
      <c r="M54" s="158"/>
      <c r="N54" s="2416"/>
      <c r="O54" s="158">
        <f t="shared" ca="1" si="36"/>
        <v>0</v>
      </c>
      <c r="P54" s="158">
        <f t="shared" ca="1" si="36"/>
        <v>0</v>
      </c>
      <c r="Q54" s="158">
        <f t="shared" ca="1" si="36"/>
        <v>0</v>
      </c>
      <c r="R54" s="158">
        <f t="shared" ca="1" si="36"/>
        <v>0</v>
      </c>
      <c r="S54" s="158">
        <f t="shared" ca="1" si="36"/>
        <v>0</v>
      </c>
      <c r="T54" s="158">
        <f t="shared" ca="1" si="36"/>
        <v>0</v>
      </c>
      <c r="U54" s="158">
        <f t="shared" ca="1" si="36"/>
        <v>0</v>
      </c>
      <c r="V54" s="158">
        <f t="shared" ca="1" si="36"/>
        <v>0</v>
      </c>
      <c r="W54" s="158"/>
      <c r="X54" s="2416"/>
      <c r="Y54" s="158">
        <f t="shared" ca="1" si="36"/>
        <v>0</v>
      </c>
      <c r="Z54" s="158">
        <f t="shared" ca="1" si="36"/>
        <v>0</v>
      </c>
      <c r="AA54" s="158">
        <f t="shared" ca="1" si="36"/>
        <v>0</v>
      </c>
      <c r="AB54" s="158">
        <f t="shared" ca="1" si="36"/>
        <v>0</v>
      </c>
      <c r="AC54" s="158">
        <f t="shared" ref="AC54:AH54" ca="1" si="38">IF(AC$4&lt;&gt;$C54,0,IF(AND(AC$5="P",AC$9=2),AC$2*AC$3,0))</f>
        <v>0</v>
      </c>
      <c r="AD54" s="158">
        <f t="shared" ca="1" si="38"/>
        <v>0</v>
      </c>
      <c r="AE54" s="158">
        <f t="shared" ca="1" si="38"/>
        <v>0</v>
      </c>
      <c r="AF54" s="158">
        <f t="shared" ca="1" si="38"/>
        <v>0</v>
      </c>
      <c r="AG54" s="158">
        <f t="shared" ca="1" si="38"/>
        <v>0</v>
      </c>
      <c r="AH54" s="158">
        <f t="shared" ca="1" si="38"/>
        <v>0</v>
      </c>
      <c r="AI54" s="158"/>
      <c r="AJ54" s="158"/>
      <c r="AK54" s="158"/>
      <c r="AL54" s="158"/>
      <c r="AM54" s="158"/>
      <c r="AN54" s="158"/>
      <c r="AO54" s="158"/>
      <c r="AP54" s="158"/>
      <c r="AQ54" s="158"/>
      <c r="AR54" s="2416"/>
      <c r="AS54" s="158">
        <f t="shared" ca="1" si="37"/>
        <v>0</v>
      </c>
      <c r="AT54" s="158">
        <f t="shared" ca="1" si="37"/>
        <v>0</v>
      </c>
      <c r="AU54" s="158">
        <f t="shared" ca="1" si="37"/>
        <v>0</v>
      </c>
      <c r="AV54" s="158">
        <f t="shared" ca="1" si="37"/>
        <v>0</v>
      </c>
      <c r="AW54" s="158">
        <f t="shared" ca="1" si="37"/>
        <v>0</v>
      </c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350">
        <f t="shared" ca="1" si="32"/>
        <v>0</v>
      </c>
      <c r="BN54" s="579">
        <f t="shared" ca="1" si="27"/>
        <v>0</v>
      </c>
      <c r="BO54" s="1047"/>
      <c r="BP54" s="1038"/>
      <c r="BQ54" s="1038"/>
      <c r="BR54" s="1038"/>
      <c r="BS54" s="1038"/>
      <c r="BT54" s="1038"/>
      <c r="BU54" s="1038"/>
      <c r="BV54" s="1038"/>
      <c r="BW54" s="1040"/>
      <c r="BX54" s="1038"/>
      <c r="BY54" s="1038"/>
      <c r="BZ54" s="1038"/>
      <c r="CA54" s="1038"/>
      <c r="CB54" s="1038"/>
      <c r="CC54" s="1038"/>
      <c r="CD54" s="1038"/>
      <c r="CE54" s="1038"/>
      <c r="CF54" s="1040"/>
      <c r="CG54" s="1038"/>
      <c r="CH54" s="1038"/>
      <c r="CI54" s="1038"/>
      <c r="CJ54" s="1038"/>
      <c r="CK54" s="1038"/>
      <c r="CL54" s="1038"/>
      <c r="CM54" s="1040"/>
      <c r="CN54" s="1040"/>
      <c r="CO54" s="1038"/>
      <c r="CP54" s="1038"/>
      <c r="CQ54" s="1038"/>
      <c r="CR54" s="1038"/>
      <c r="CS54" s="1038"/>
      <c r="CT54" s="1040"/>
      <c r="CU54" s="1041"/>
      <c r="CV54" s="1038"/>
      <c r="CW54" s="973"/>
    </row>
    <row r="55" spans="1:101" ht="21.95" hidden="1" customHeight="1" thickBot="1" x14ac:dyDescent="0.2">
      <c r="A55" s="2707"/>
      <c r="B55" s="2607"/>
      <c r="C55" s="566">
        <v>1.5</v>
      </c>
      <c r="D55" s="1003"/>
      <c r="E55" s="1287"/>
      <c r="F55" s="158">
        <f t="shared" si="36"/>
        <v>0</v>
      </c>
      <c r="G55" s="158">
        <f t="shared" ref="G55:AW55" ca="1" si="39">IF(G$4&lt;&gt;$C55,0,IF(AND(G$5="P",G$9=2),G$2*G$3,0))</f>
        <v>0</v>
      </c>
      <c r="H55" s="158">
        <f t="shared" ca="1" si="39"/>
        <v>0</v>
      </c>
      <c r="I55" s="158">
        <f t="shared" ca="1" si="39"/>
        <v>0</v>
      </c>
      <c r="J55" s="158"/>
      <c r="K55" s="158"/>
      <c r="L55" s="158"/>
      <c r="M55" s="158"/>
      <c r="N55" s="2416"/>
      <c r="O55" s="158">
        <f t="shared" ca="1" si="39"/>
        <v>0</v>
      </c>
      <c r="P55" s="158">
        <f t="shared" ca="1" si="39"/>
        <v>0</v>
      </c>
      <c r="Q55" s="158">
        <f t="shared" ca="1" si="39"/>
        <v>0</v>
      </c>
      <c r="R55" s="158">
        <f t="shared" ca="1" si="39"/>
        <v>0</v>
      </c>
      <c r="S55" s="158">
        <f t="shared" ca="1" si="39"/>
        <v>0</v>
      </c>
      <c r="T55" s="158">
        <f t="shared" ca="1" si="39"/>
        <v>0</v>
      </c>
      <c r="U55" s="158">
        <f t="shared" ca="1" si="39"/>
        <v>0</v>
      </c>
      <c r="V55" s="158">
        <f t="shared" ca="1" si="39"/>
        <v>0</v>
      </c>
      <c r="W55" s="158"/>
      <c r="X55" s="2416"/>
      <c r="Y55" s="158">
        <f t="shared" ca="1" si="39"/>
        <v>0</v>
      </c>
      <c r="Z55" s="158">
        <f t="shared" ca="1" si="39"/>
        <v>0</v>
      </c>
      <c r="AA55" s="158">
        <f t="shared" ca="1" si="39"/>
        <v>0</v>
      </c>
      <c r="AB55" s="158">
        <f t="shared" ca="1" si="39"/>
        <v>0</v>
      </c>
      <c r="AC55" s="158">
        <f t="shared" ca="1" si="39"/>
        <v>0</v>
      </c>
      <c r="AD55" s="158">
        <f t="shared" ca="1" si="39"/>
        <v>0</v>
      </c>
      <c r="AE55" s="158">
        <f t="shared" ca="1" si="39"/>
        <v>0</v>
      </c>
      <c r="AF55" s="158">
        <f t="shared" ca="1" si="39"/>
        <v>0</v>
      </c>
      <c r="AG55" s="158">
        <f t="shared" ca="1" si="39"/>
        <v>0</v>
      </c>
      <c r="AH55" s="158">
        <f t="shared" ca="1" si="39"/>
        <v>0</v>
      </c>
      <c r="AI55" s="158"/>
      <c r="AJ55" s="158"/>
      <c r="AK55" s="158"/>
      <c r="AL55" s="158"/>
      <c r="AM55" s="158"/>
      <c r="AN55" s="158"/>
      <c r="AO55" s="158"/>
      <c r="AP55" s="158"/>
      <c r="AQ55" s="158"/>
      <c r="AR55" s="2416"/>
      <c r="AS55" s="158">
        <f t="shared" ca="1" si="39"/>
        <v>0</v>
      </c>
      <c r="AT55" s="158">
        <f t="shared" ca="1" si="39"/>
        <v>0</v>
      </c>
      <c r="AU55" s="158">
        <f t="shared" ca="1" si="39"/>
        <v>0</v>
      </c>
      <c r="AV55" s="158">
        <f t="shared" ca="1" si="39"/>
        <v>0</v>
      </c>
      <c r="AW55" s="158">
        <f t="shared" ca="1" si="39"/>
        <v>0</v>
      </c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361">
        <f t="shared" ca="1" si="32"/>
        <v>0</v>
      </c>
      <c r="BN55" s="579">
        <f t="shared" ca="1" si="27"/>
        <v>0</v>
      </c>
      <c r="BO55" s="1047"/>
      <c r="BP55" s="1038"/>
      <c r="BQ55" s="1038"/>
      <c r="BR55" s="1038"/>
      <c r="BS55" s="1038"/>
      <c r="BT55" s="1038"/>
      <c r="BU55" s="1038"/>
      <c r="BV55" s="1038"/>
      <c r="BW55" s="1040"/>
      <c r="BX55" s="1038"/>
      <c r="BY55" s="1038"/>
      <c r="BZ55" s="1038"/>
      <c r="CA55" s="1038"/>
      <c r="CB55" s="1038"/>
      <c r="CC55" s="1038"/>
      <c r="CD55" s="1038"/>
      <c r="CE55" s="1038"/>
      <c r="CF55" s="1040"/>
      <c r="CG55" s="1038"/>
      <c r="CH55" s="1038"/>
      <c r="CI55" s="1038"/>
      <c r="CJ55" s="1038"/>
      <c r="CK55" s="1038"/>
      <c r="CL55" s="1038"/>
      <c r="CM55" s="1040"/>
      <c r="CN55" s="1040"/>
      <c r="CO55" s="1038"/>
      <c r="CP55" s="1038"/>
      <c r="CQ55" s="1038"/>
      <c r="CR55" s="1038"/>
      <c r="CS55" s="1038"/>
      <c r="CT55" s="1040"/>
      <c r="CU55" s="1041"/>
      <c r="CV55" s="1038"/>
      <c r="CW55" s="973"/>
    </row>
    <row r="56" spans="1:101" ht="21.95" hidden="1" customHeight="1" x14ac:dyDescent="0.15">
      <c r="A56" s="2707"/>
      <c r="B56" s="2605" t="s">
        <v>1122</v>
      </c>
      <c r="C56" s="550" t="s">
        <v>172</v>
      </c>
      <c r="D56" s="1002"/>
      <c r="E56" s="2241"/>
      <c r="F56" s="238">
        <f t="shared" ref="F56:AW56" si="40">IF(F$6=1.5,F$2*F$3,0)</f>
        <v>0</v>
      </c>
      <c r="G56" s="238">
        <f t="shared" ca="1" si="40"/>
        <v>0</v>
      </c>
      <c r="H56" s="238">
        <f t="shared" ca="1" si="40"/>
        <v>0</v>
      </c>
      <c r="I56" s="238">
        <f t="shared" ca="1" si="40"/>
        <v>0</v>
      </c>
      <c r="J56" s="238"/>
      <c r="K56" s="238"/>
      <c r="L56" s="238"/>
      <c r="M56" s="238"/>
      <c r="N56" s="2439"/>
      <c r="O56" s="238">
        <f t="shared" ca="1" si="40"/>
        <v>0</v>
      </c>
      <c r="P56" s="238">
        <f t="shared" ca="1" si="40"/>
        <v>0</v>
      </c>
      <c r="Q56" s="238">
        <f t="shared" ca="1" si="40"/>
        <v>0</v>
      </c>
      <c r="R56" s="238">
        <f t="shared" ca="1" si="40"/>
        <v>0</v>
      </c>
      <c r="S56" s="238">
        <f t="shared" ca="1" si="40"/>
        <v>0</v>
      </c>
      <c r="T56" s="238">
        <f t="shared" ca="1" si="40"/>
        <v>0</v>
      </c>
      <c r="U56" s="238">
        <f t="shared" ca="1" si="40"/>
        <v>0</v>
      </c>
      <c r="V56" s="238">
        <f t="shared" ca="1" si="40"/>
        <v>0</v>
      </c>
      <c r="W56" s="238"/>
      <c r="X56" s="2439"/>
      <c r="Y56" s="238">
        <f t="shared" ca="1" si="40"/>
        <v>0</v>
      </c>
      <c r="Z56" s="238">
        <f t="shared" ca="1" si="40"/>
        <v>0</v>
      </c>
      <c r="AA56" s="238">
        <f t="shared" ca="1" si="40"/>
        <v>0</v>
      </c>
      <c r="AB56" s="238">
        <f t="shared" ca="1" si="40"/>
        <v>0</v>
      </c>
      <c r="AC56" s="238">
        <f t="shared" ca="1" si="40"/>
        <v>0</v>
      </c>
      <c r="AD56" s="238">
        <f t="shared" ca="1" si="40"/>
        <v>0</v>
      </c>
      <c r="AE56" s="238">
        <f t="shared" ca="1" si="40"/>
        <v>0</v>
      </c>
      <c r="AF56" s="238">
        <f t="shared" ca="1" si="40"/>
        <v>0</v>
      </c>
      <c r="AG56" s="238">
        <f t="shared" ca="1" si="40"/>
        <v>0</v>
      </c>
      <c r="AH56" s="238">
        <f t="shared" ca="1" si="40"/>
        <v>0</v>
      </c>
      <c r="AI56" s="238"/>
      <c r="AJ56" s="238"/>
      <c r="AK56" s="238"/>
      <c r="AL56" s="238"/>
      <c r="AM56" s="238"/>
      <c r="AN56" s="238"/>
      <c r="AO56" s="238"/>
      <c r="AP56" s="238"/>
      <c r="AQ56" s="238"/>
      <c r="AR56" s="2439"/>
      <c r="AS56" s="238">
        <f t="shared" ca="1" si="40"/>
        <v>0</v>
      </c>
      <c r="AT56" s="238">
        <f t="shared" ca="1" si="40"/>
        <v>0</v>
      </c>
      <c r="AU56" s="238">
        <f t="shared" ca="1" si="40"/>
        <v>0</v>
      </c>
      <c r="AV56" s="238">
        <f t="shared" ca="1" si="40"/>
        <v>0</v>
      </c>
      <c r="AW56" s="238">
        <f t="shared" ca="1" si="40"/>
        <v>0</v>
      </c>
      <c r="AX56" s="241"/>
      <c r="AY56" s="241"/>
      <c r="AZ56" s="241"/>
      <c r="BA56" s="241"/>
      <c r="BB56" s="241"/>
      <c r="BC56" s="241"/>
      <c r="BD56" s="241"/>
      <c r="BE56" s="241"/>
      <c r="BF56" s="241"/>
      <c r="BG56" s="241"/>
      <c r="BH56" s="241"/>
      <c r="BI56" s="241"/>
      <c r="BJ56" s="241"/>
      <c r="BK56" s="241"/>
      <c r="BL56" s="241"/>
      <c r="BM56" s="362">
        <f t="shared" ca="1" si="32"/>
        <v>0</v>
      </c>
      <c r="BN56" s="579">
        <f t="shared" ca="1" si="27"/>
        <v>0</v>
      </c>
      <c r="BO56" s="1047"/>
      <c r="BP56" s="1038"/>
      <c r="BQ56" s="1038"/>
      <c r="BR56" s="1038"/>
      <c r="BS56" s="1038"/>
      <c r="BT56" s="1038">
        <v>3.2000000000000001E-2</v>
      </c>
      <c r="BU56" s="1038"/>
      <c r="BV56" s="1038"/>
      <c r="BW56" s="1040"/>
      <c r="BX56" s="1038"/>
      <c r="BY56" s="1038"/>
      <c r="BZ56" s="1038"/>
      <c r="CA56" s="1038"/>
      <c r="CB56" s="1038"/>
      <c r="CC56" s="1038">
        <v>3.2000000000000001E-2</v>
      </c>
      <c r="CD56" s="1038"/>
      <c r="CE56" s="1038"/>
      <c r="CF56" s="1040"/>
      <c r="CG56" s="1038"/>
      <c r="CH56" s="1038"/>
      <c r="CI56" s="1038"/>
      <c r="CJ56" s="1038"/>
      <c r="CK56" s="1038"/>
      <c r="CL56" s="1038"/>
      <c r="CM56" s="1040"/>
      <c r="CN56" s="1040"/>
      <c r="CO56" s="1038"/>
      <c r="CP56" s="1038"/>
      <c r="CQ56" s="1038"/>
      <c r="CR56" s="1038"/>
      <c r="CS56" s="1038"/>
      <c r="CT56" s="1040"/>
      <c r="CU56" s="1041"/>
      <c r="CV56" s="1038"/>
      <c r="CW56" s="973"/>
    </row>
    <row r="57" spans="1:101" ht="21.95" hidden="1" customHeight="1" x14ac:dyDescent="0.15">
      <c r="A57" s="2707"/>
      <c r="B57" s="2606"/>
      <c r="C57" s="567" t="s">
        <v>154</v>
      </c>
      <c r="D57" s="1003"/>
      <c r="E57" s="1287"/>
      <c r="F57" s="158">
        <f t="shared" ref="F57:AW57" si="41">IF(F$6=2,F$2*F$3,0)</f>
        <v>0</v>
      </c>
      <c r="G57" s="158">
        <f t="shared" ca="1" si="41"/>
        <v>0</v>
      </c>
      <c r="H57" s="158">
        <f t="shared" ca="1" si="41"/>
        <v>0</v>
      </c>
      <c r="I57" s="158">
        <f t="shared" ca="1" si="41"/>
        <v>0</v>
      </c>
      <c r="J57" s="158"/>
      <c r="K57" s="158"/>
      <c r="L57" s="158"/>
      <c r="M57" s="158"/>
      <c r="N57" s="2416"/>
      <c r="O57" s="158">
        <f t="shared" ca="1" si="41"/>
        <v>0</v>
      </c>
      <c r="P57" s="158">
        <f t="shared" ca="1" si="41"/>
        <v>0</v>
      </c>
      <c r="Q57" s="158">
        <f t="shared" ca="1" si="41"/>
        <v>0</v>
      </c>
      <c r="R57" s="158">
        <f t="shared" ca="1" si="41"/>
        <v>0</v>
      </c>
      <c r="S57" s="158">
        <f t="shared" ca="1" si="41"/>
        <v>0</v>
      </c>
      <c r="T57" s="158">
        <f t="shared" ca="1" si="41"/>
        <v>0</v>
      </c>
      <c r="U57" s="158">
        <f t="shared" ca="1" si="41"/>
        <v>0</v>
      </c>
      <c r="V57" s="158">
        <f t="shared" ca="1" si="41"/>
        <v>0</v>
      </c>
      <c r="W57" s="158"/>
      <c r="X57" s="2416"/>
      <c r="Y57" s="158">
        <f t="shared" ca="1" si="41"/>
        <v>0</v>
      </c>
      <c r="Z57" s="158">
        <f t="shared" ca="1" si="41"/>
        <v>0</v>
      </c>
      <c r="AA57" s="158">
        <f t="shared" ca="1" si="41"/>
        <v>0</v>
      </c>
      <c r="AB57" s="158">
        <f t="shared" ca="1" si="41"/>
        <v>0</v>
      </c>
      <c r="AC57" s="158">
        <f t="shared" ca="1" si="41"/>
        <v>0</v>
      </c>
      <c r="AD57" s="158">
        <f t="shared" ca="1" si="41"/>
        <v>0</v>
      </c>
      <c r="AE57" s="158">
        <f t="shared" ca="1" si="41"/>
        <v>0</v>
      </c>
      <c r="AF57" s="158">
        <f t="shared" ca="1" si="41"/>
        <v>0</v>
      </c>
      <c r="AG57" s="158">
        <f t="shared" ca="1" si="41"/>
        <v>0</v>
      </c>
      <c r="AH57" s="158">
        <f t="shared" ca="1" si="41"/>
        <v>0</v>
      </c>
      <c r="AI57" s="158"/>
      <c r="AJ57" s="158"/>
      <c r="AK57" s="158"/>
      <c r="AL57" s="158"/>
      <c r="AM57" s="158"/>
      <c r="AN57" s="158"/>
      <c r="AO57" s="158"/>
      <c r="AP57" s="158"/>
      <c r="AQ57" s="158"/>
      <c r="AR57" s="2416"/>
      <c r="AS57" s="158">
        <f t="shared" ca="1" si="41"/>
        <v>0</v>
      </c>
      <c r="AT57" s="158">
        <f t="shared" ca="1" si="41"/>
        <v>0</v>
      </c>
      <c r="AU57" s="158">
        <f t="shared" ca="1" si="41"/>
        <v>0</v>
      </c>
      <c r="AV57" s="158">
        <f t="shared" ca="1" si="41"/>
        <v>0</v>
      </c>
      <c r="AW57" s="158">
        <f t="shared" ca="1" si="41"/>
        <v>0</v>
      </c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350">
        <f t="shared" ca="1" si="32"/>
        <v>0</v>
      </c>
      <c r="BN57" s="579">
        <f t="shared" ca="1" si="27"/>
        <v>0</v>
      </c>
      <c r="BO57" s="1047"/>
      <c r="BP57" s="1038"/>
      <c r="BQ57" s="1038"/>
      <c r="BR57" s="1038"/>
      <c r="BS57" s="1038"/>
      <c r="BT57" s="1038">
        <v>4.2999999999999997E-2</v>
      </c>
      <c r="BU57" s="1038"/>
      <c r="BV57" s="1038"/>
      <c r="BW57" s="1040"/>
      <c r="BX57" s="1038"/>
      <c r="BY57" s="1038"/>
      <c r="BZ57" s="1038"/>
      <c r="CA57" s="1038"/>
      <c r="CB57" s="1038"/>
      <c r="CC57" s="1038">
        <v>4.2999999999999997E-2</v>
      </c>
      <c r="CD57" s="1038"/>
      <c r="CE57" s="1038"/>
      <c r="CF57" s="1040"/>
      <c r="CG57" s="1038"/>
      <c r="CH57" s="1038"/>
      <c r="CI57" s="1038"/>
      <c r="CJ57" s="1038"/>
      <c r="CK57" s="1038"/>
      <c r="CL57" s="1038"/>
      <c r="CM57" s="1040"/>
      <c r="CN57" s="1040"/>
      <c r="CO57" s="1038"/>
      <c r="CP57" s="1038"/>
      <c r="CQ57" s="1038"/>
      <c r="CR57" s="1038"/>
      <c r="CS57" s="1038"/>
      <c r="CT57" s="1040"/>
      <c r="CU57" s="1041"/>
      <c r="CV57" s="1038"/>
      <c r="CW57" s="973"/>
    </row>
    <row r="58" spans="1:101" ht="21.95" hidden="1" customHeight="1" x14ac:dyDescent="0.15">
      <c r="A58" s="2707"/>
      <c r="B58" s="2606"/>
      <c r="C58" s="567" t="s">
        <v>155</v>
      </c>
      <c r="D58" s="1003"/>
      <c r="E58" s="1287"/>
      <c r="F58" s="158">
        <f t="shared" ref="F58:AW58" si="42">IF(F$6=2.5,F$2*F$3,0)</f>
        <v>0</v>
      </c>
      <c r="G58" s="158">
        <f t="shared" ca="1" si="42"/>
        <v>0</v>
      </c>
      <c r="H58" s="158">
        <f t="shared" ca="1" si="42"/>
        <v>0</v>
      </c>
      <c r="I58" s="158">
        <f t="shared" ca="1" si="42"/>
        <v>0</v>
      </c>
      <c r="J58" s="158"/>
      <c r="K58" s="158"/>
      <c r="L58" s="158"/>
      <c r="M58" s="158"/>
      <c r="N58" s="2416"/>
      <c r="O58" s="158">
        <f t="shared" ca="1" si="42"/>
        <v>0</v>
      </c>
      <c r="P58" s="158">
        <f t="shared" ca="1" si="42"/>
        <v>0</v>
      </c>
      <c r="Q58" s="158">
        <f t="shared" ca="1" si="42"/>
        <v>0</v>
      </c>
      <c r="R58" s="158">
        <f t="shared" ca="1" si="42"/>
        <v>0</v>
      </c>
      <c r="S58" s="158">
        <f t="shared" ca="1" si="42"/>
        <v>0</v>
      </c>
      <c r="T58" s="158">
        <f t="shared" ca="1" si="42"/>
        <v>0</v>
      </c>
      <c r="U58" s="158">
        <f t="shared" ca="1" si="42"/>
        <v>0</v>
      </c>
      <c r="V58" s="158">
        <f t="shared" ca="1" si="42"/>
        <v>0</v>
      </c>
      <c r="W58" s="158"/>
      <c r="X58" s="2416"/>
      <c r="Y58" s="158">
        <f t="shared" ca="1" si="42"/>
        <v>0</v>
      </c>
      <c r="Z58" s="158">
        <f t="shared" ca="1" si="42"/>
        <v>0</v>
      </c>
      <c r="AA58" s="158">
        <f t="shared" ca="1" si="42"/>
        <v>0</v>
      </c>
      <c r="AB58" s="158">
        <f t="shared" ca="1" si="42"/>
        <v>0</v>
      </c>
      <c r="AC58" s="158">
        <f t="shared" ca="1" si="42"/>
        <v>0</v>
      </c>
      <c r="AD58" s="158">
        <f t="shared" ca="1" si="42"/>
        <v>0</v>
      </c>
      <c r="AE58" s="158">
        <f t="shared" ca="1" si="42"/>
        <v>0</v>
      </c>
      <c r="AF58" s="158">
        <f t="shared" ca="1" si="42"/>
        <v>0</v>
      </c>
      <c r="AG58" s="158">
        <f t="shared" ca="1" si="42"/>
        <v>0</v>
      </c>
      <c r="AH58" s="158">
        <f t="shared" ca="1" si="42"/>
        <v>0</v>
      </c>
      <c r="AI58" s="158"/>
      <c r="AJ58" s="158"/>
      <c r="AK58" s="158"/>
      <c r="AL58" s="158"/>
      <c r="AM58" s="158"/>
      <c r="AN58" s="158"/>
      <c r="AO58" s="158"/>
      <c r="AP58" s="158"/>
      <c r="AQ58" s="158"/>
      <c r="AR58" s="2416"/>
      <c r="AS58" s="158">
        <f t="shared" ca="1" si="42"/>
        <v>0</v>
      </c>
      <c r="AT58" s="158">
        <f t="shared" ca="1" si="42"/>
        <v>0</v>
      </c>
      <c r="AU58" s="158">
        <f t="shared" ca="1" si="42"/>
        <v>0</v>
      </c>
      <c r="AV58" s="158">
        <f t="shared" ca="1" si="42"/>
        <v>0</v>
      </c>
      <c r="AW58" s="158">
        <f t="shared" ca="1" si="42"/>
        <v>0</v>
      </c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350">
        <f t="shared" ca="1" si="32"/>
        <v>0</v>
      </c>
      <c r="BN58" s="579">
        <f t="shared" ca="1" si="27"/>
        <v>0</v>
      </c>
      <c r="BO58" s="1047"/>
      <c r="BP58" s="1038"/>
      <c r="BQ58" s="1038"/>
      <c r="BR58" s="1038"/>
      <c r="BS58" s="1038"/>
      <c r="BT58" s="1038">
        <v>5.3999999999999999E-2</v>
      </c>
      <c r="BU58" s="1038"/>
      <c r="BV58" s="1038"/>
      <c r="BW58" s="1040"/>
      <c r="BX58" s="1038"/>
      <c r="BY58" s="1038"/>
      <c r="BZ58" s="1038"/>
      <c r="CA58" s="1038"/>
      <c r="CB58" s="1038"/>
      <c r="CC58" s="1038">
        <v>5.3999999999999999E-2</v>
      </c>
      <c r="CD58" s="1038"/>
      <c r="CE58" s="1038"/>
      <c r="CF58" s="1040"/>
      <c r="CG58" s="1038"/>
      <c r="CH58" s="1038"/>
      <c r="CI58" s="1038"/>
      <c r="CJ58" s="1038"/>
      <c r="CK58" s="1038"/>
      <c r="CL58" s="1038"/>
      <c r="CM58" s="1040"/>
      <c r="CN58" s="1040"/>
      <c r="CO58" s="1038"/>
      <c r="CP58" s="1038"/>
      <c r="CQ58" s="1038"/>
      <c r="CR58" s="1038"/>
      <c r="CS58" s="1038"/>
      <c r="CT58" s="1040"/>
      <c r="CU58" s="1041"/>
      <c r="CV58" s="1038"/>
      <c r="CW58" s="973"/>
    </row>
    <row r="59" spans="1:101" ht="21.95" hidden="1" customHeight="1" thickBot="1" x14ac:dyDescent="0.2">
      <c r="A59" s="2707"/>
      <c r="B59" s="2607"/>
      <c r="C59" s="566" t="s">
        <v>211</v>
      </c>
      <c r="D59" s="1004"/>
      <c r="E59" s="2242"/>
      <c r="F59" s="239">
        <f t="shared" ref="F59:AW59" si="43">IF(F$6=3,F$2*F$3,0)</f>
        <v>0</v>
      </c>
      <c r="G59" s="239">
        <f t="shared" ca="1" si="43"/>
        <v>0</v>
      </c>
      <c r="H59" s="239">
        <f t="shared" ca="1" si="43"/>
        <v>0</v>
      </c>
      <c r="I59" s="239">
        <f t="shared" ca="1" si="43"/>
        <v>0</v>
      </c>
      <c r="J59" s="239"/>
      <c r="K59" s="239"/>
      <c r="L59" s="239"/>
      <c r="M59" s="239"/>
      <c r="N59" s="2440"/>
      <c r="O59" s="239">
        <f t="shared" ca="1" si="43"/>
        <v>0</v>
      </c>
      <c r="P59" s="239">
        <f t="shared" ca="1" si="43"/>
        <v>0</v>
      </c>
      <c r="Q59" s="239">
        <f t="shared" ca="1" si="43"/>
        <v>0</v>
      </c>
      <c r="R59" s="239">
        <f t="shared" ca="1" si="43"/>
        <v>0</v>
      </c>
      <c r="S59" s="239">
        <f t="shared" ca="1" si="43"/>
        <v>0</v>
      </c>
      <c r="T59" s="239">
        <f t="shared" ca="1" si="43"/>
        <v>0</v>
      </c>
      <c r="U59" s="239">
        <f t="shared" ca="1" si="43"/>
        <v>0</v>
      </c>
      <c r="V59" s="239">
        <f t="shared" ca="1" si="43"/>
        <v>0</v>
      </c>
      <c r="W59" s="239"/>
      <c r="X59" s="2440"/>
      <c r="Y59" s="239">
        <f t="shared" ca="1" si="43"/>
        <v>0</v>
      </c>
      <c r="Z59" s="239">
        <f t="shared" ca="1" si="43"/>
        <v>0</v>
      </c>
      <c r="AA59" s="239">
        <f t="shared" ca="1" si="43"/>
        <v>0</v>
      </c>
      <c r="AB59" s="239">
        <f t="shared" ca="1" si="43"/>
        <v>0</v>
      </c>
      <c r="AC59" s="239">
        <f t="shared" ca="1" si="43"/>
        <v>0</v>
      </c>
      <c r="AD59" s="239">
        <f t="shared" ca="1" si="43"/>
        <v>0</v>
      </c>
      <c r="AE59" s="239">
        <f t="shared" ca="1" si="43"/>
        <v>0</v>
      </c>
      <c r="AF59" s="239">
        <f t="shared" ca="1" si="43"/>
        <v>0</v>
      </c>
      <c r="AG59" s="239">
        <f t="shared" ca="1" si="43"/>
        <v>0</v>
      </c>
      <c r="AH59" s="239">
        <f t="shared" ca="1" si="43"/>
        <v>0</v>
      </c>
      <c r="AI59" s="239"/>
      <c r="AJ59" s="239"/>
      <c r="AK59" s="239"/>
      <c r="AL59" s="239"/>
      <c r="AM59" s="239"/>
      <c r="AN59" s="239"/>
      <c r="AO59" s="239"/>
      <c r="AP59" s="239"/>
      <c r="AQ59" s="239"/>
      <c r="AR59" s="2440"/>
      <c r="AS59" s="239">
        <f t="shared" ca="1" si="43"/>
        <v>0</v>
      </c>
      <c r="AT59" s="239">
        <f t="shared" ca="1" si="43"/>
        <v>0</v>
      </c>
      <c r="AU59" s="239">
        <f t="shared" ca="1" si="43"/>
        <v>0</v>
      </c>
      <c r="AV59" s="239">
        <f t="shared" ca="1" si="43"/>
        <v>0</v>
      </c>
      <c r="AW59" s="239">
        <f t="shared" ca="1" si="43"/>
        <v>0</v>
      </c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361">
        <f t="shared" ca="1" si="32"/>
        <v>0</v>
      </c>
      <c r="BN59" s="579">
        <f t="shared" ca="1" si="27"/>
        <v>0</v>
      </c>
      <c r="BO59" s="1047"/>
      <c r="BP59" s="1038"/>
      <c r="BQ59" s="1038"/>
      <c r="BR59" s="1038"/>
      <c r="BS59" s="1038"/>
      <c r="BT59" s="1038">
        <v>7.1999999999999995E-2</v>
      </c>
      <c r="BU59" s="1038"/>
      <c r="BV59" s="1038"/>
      <c r="BW59" s="1040"/>
      <c r="BX59" s="1038"/>
      <c r="BY59" s="1038"/>
      <c r="BZ59" s="1038"/>
      <c r="CA59" s="1038"/>
      <c r="CB59" s="1038"/>
      <c r="CC59" s="1038">
        <v>7.1999999999999995E-2</v>
      </c>
      <c r="CD59" s="1038"/>
      <c r="CE59" s="1038"/>
      <c r="CF59" s="1040"/>
      <c r="CG59" s="1038"/>
      <c r="CH59" s="1038"/>
      <c r="CI59" s="1038"/>
      <c r="CJ59" s="1038"/>
      <c r="CK59" s="1038"/>
      <c r="CL59" s="1038"/>
      <c r="CM59" s="1040"/>
      <c r="CN59" s="1040"/>
      <c r="CO59" s="1038"/>
      <c r="CP59" s="1038"/>
      <c r="CQ59" s="1038"/>
      <c r="CR59" s="1038"/>
      <c r="CS59" s="1038"/>
      <c r="CT59" s="1040"/>
      <c r="CU59" s="1041"/>
      <c r="CV59" s="1038"/>
      <c r="CW59" s="973"/>
    </row>
    <row r="60" spans="1:101" s="14" customFormat="1" ht="21.95" customHeight="1" thickBot="1" x14ac:dyDescent="0.2">
      <c r="A60" s="2707"/>
      <c r="B60" s="2704" t="s">
        <v>498</v>
      </c>
      <c r="C60" s="552" t="s">
        <v>17</v>
      </c>
      <c r="D60" s="1011"/>
      <c r="E60" s="2249"/>
      <c r="F60" s="228">
        <f>Dren_Quantificacao!D41</f>
        <v>0</v>
      </c>
      <c r="G60" s="228">
        <f>Dren_Quantificacao!E41</f>
        <v>1</v>
      </c>
      <c r="H60" s="228">
        <f>Dren_Quantificacao!F41</f>
        <v>1</v>
      </c>
      <c r="I60" s="228">
        <f>Dren_Quantificacao!G41</f>
        <v>1</v>
      </c>
      <c r="J60" s="228"/>
      <c r="K60" s="228"/>
      <c r="L60" s="228"/>
      <c r="M60" s="228"/>
      <c r="N60" s="2424"/>
      <c r="O60" s="228">
        <f>Dren_Quantificacao!M41</f>
        <v>1</v>
      </c>
      <c r="P60" s="228">
        <f>Dren_Quantificacao!N41</f>
        <v>1</v>
      </c>
      <c r="Q60" s="228">
        <f>Dren_Quantificacao!O41</f>
        <v>1</v>
      </c>
      <c r="R60" s="228">
        <f>Dren_Quantificacao!P41</f>
        <v>1</v>
      </c>
      <c r="S60" s="228">
        <f>Dren_Quantificacao!Q41</f>
        <v>1</v>
      </c>
      <c r="T60" s="228">
        <f>Dren_Quantificacao!R41</f>
        <v>1</v>
      </c>
      <c r="U60" s="228">
        <f>Dren_Quantificacao!S41</f>
        <v>1</v>
      </c>
      <c r="V60" s="228">
        <f>Dren_Quantificacao!T41</f>
        <v>2</v>
      </c>
      <c r="W60" s="228"/>
      <c r="X60" s="2424"/>
      <c r="Y60" s="228">
        <f>Dren_Quantificacao!W41</f>
        <v>2</v>
      </c>
      <c r="Z60" s="228">
        <f>Dren_Quantificacao!X41</f>
        <v>1</v>
      </c>
      <c r="AA60" s="228">
        <f>Dren_Quantificacao!Y41</f>
        <v>1</v>
      </c>
      <c r="AB60" s="228">
        <f>Dren_Quantificacao!Z41</f>
        <v>1</v>
      </c>
      <c r="AC60" s="228">
        <f>Dren_Quantificacao!AA41</f>
        <v>1</v>
      </c>
      <c r="AD60" s="228">
        <f>Dren_Quantificacao!AB41</f>
        <v>1</v>
      </c>
      <c r="AE60" s="228">
        <f>Dren_Quantificacao!AC41</f>
        <v>2</v>
      </c>
      <c r="AF60" s="228">
        <f>Dren_Quantificacao!AD41</f>
        <v>1</v>
      </c>
      <c r="AG60" s="228">
        <f>Dren_Quantificacao!AE41</f>
        <v>1</v>
      </c>
      <c r="AH60" s="228">
        <f>Dren_Quantificacao!AF41</f>
        <v>1</v>
      </c>
      <c r="AI60" s="228"/>
      <c r="AJ60" s="228"/>
      <c r="AK60" s="228"/>
      <c r="AL60" s="228"/>
      <c r="AM60" s="228"/>
      <c r="AN60" s="228"/>
      <c r="AO60" s="228"/>
      <c r="AP60" s="228"/>
      <c r="AQ60" s="228"/>
      <c r="AR60" s="2424"/>
      <c r="AS60" s="228">
        <f>Dren_Quantificacao!AQ41</f>
        <v>1</v>
      </c>
      <c r="AT60" s="228">
        <f>Dren_Quantificacao!AR41</f>
        <v>1</v>
      </c>
      <c r="AU60" s="228">
        <f>Dren_Quantificacao!AS41</f>
        <v>1</v>
      </c>
      <c r="AV60" s="228">
        <f>Dren_Quantificacao!AT41</f>
        <v>1</v>
      </c>
      <c r="AW60" s="228">
        <f>Dren_Quantificacao!AU41</f>
        <v>1</v>
      </c>
      <c r="AX60" s="229"/>
      <c r="AY60" s="229"/>
      <c r="AZ60" s="229"/>
      <c r="BA60" s="229"/>
      <c r="BB60" s="229"/>
      <c r="BC60" s="229"/>
      <c r="BD60" s="229"/>
      <c r="BE60" s="229"/>
      <c r="BF60" s="229"/>
      <c r="BG60" s="229"/>
      <c r="BH60" s="229"/>
      <c r="BI60" s="229"/>
      <c r="BJ60" s="229"/>
      <c r="BK60" s="229"/>
      <c r="BL60" s="229"/>
      <c r="BM60" s="358">
        <f t="shared" si="32"/>
        <v>29</v>
      </c>
      <c r="BN60" s="579">
        <f t="shared" si="27"/>
        <v>58</v>
      </c>
      <c r="BO60" s="1047">
        <f>+'[4]DR-0135'!$G$44</f>
        <v>0.51029999999999998</v>
      </c>
      <c r="BP60" s="1038"/>
      <c r="BQ60" s="1038"/>
      <c r="BR60" s="1038">
        <f>+'[4]DR-0135'!$G$45</f>
        <v>2.3508800000000001</v>
      </c>
      <c r="BS60" s="1038"/>
      <c r="BT60" s="1038">
        <f>+'[4]DR-0135'!$G$50</f>
        <v>0.53412599999999999</v>
      </c>
      <c r="BU60" s="1038"/>
      <c r="BV60" s="1038">
        <f>+'[4]DR-0135'!$G$51</f>
        <v>13.464</v>
      </c>
      <c r="BW60" s="1040"/>
      <c r="BX60" s="1038">
        <f>+'[4]DR-0135'!$G$44</f>
        <v>0.51029999999999998</v>
      </c>
      <c r="BY60" s="1038"/>
      <c r="BZ60" s="1038"/>
      <c r="CA60" s="1038">
        <f>+'[4]DR-0135'!$G$45</f>
        <v>2.3508800000000001</v>
      </c>
      <c r="CB60" s="1038"/>
      <c r="CC60" s="1038">
        <f>+'[4]DR-0135'!$G$50</f>
        <v>0.53412599999999999</v>
      </c>
      <c r="CD60" s="1038"/>
      <c r="CE60" s="1038">
        <f>+'[4]DR-0135'!$G$51</f>
        <v>13.464</v>
      </c>
      <c r="CF60" s="1040"/>
      <c r="CG60" s="1038">
        <f>+'[4]DR-0135'!$G$44</f>
        <v>0.51029999999999998</v>
      </c>
      <c r="CH60" s="1038"/>
      <c r="CI60" s="1038"/>
      <c r="CJ60" s="1038">
        <f>+'[4]DR-0135'!$G$45</f>
        <v>2.3508800000000001</v>
      </c>
      <c r="CK60" s="1038"/>
      <c r="CL60" s="1038"/>
      <c r="CM60" s="1040">
        <v>0.84099999999999997</v>
      </c>
      <c r="CN60" s="1040">
        <f>+'[4]DR-0135'!$G$52*1.016+'[4]DR-0135'!$G$55+'[4]DR-0135'!$G$56*4.48+'[4]DR-0135'!$G$57</f>
        <v>135.36749200000003</v>
      </c>
      <c r="CO60" s="1038"/>
      <c r="CP60" s="1038">
        <f>+'[4]DR-0135'!$G$54</f>
        <v>2.9159999999999999</v>
      </c>
      <c r="CQ60" s="1038"/>
      <c r="CR60" s="1038">
        <f>+'[4]DR-0135'!$G$53</f>
        <v>5.0244</v>
      </c>
      <c r="CS60" s="1038"/>
      <c r="CT60" s="1040"/>
      <c r="CU60" s="1041">
        <f>+'[4]DR-0135'!$G$47+'[4]DR-0135'!$G$48/2+'[4]DR-0135'!$G$49</f>
        <v>249.27575999999999</v>
      </c>
      <c r="CV60" s="1038"/>
      <c r="CW60" s="973"/>
    </row>
    <row r="61" spans="1:101" s="14" customFormat="1" ht="21.95" hidden="1" customHeight="1" x14ac:dyDescent="0.15">
      <c r="A61" s="2707"/>
      <c r="B61" s="2705"/>
      <c r="C61" s="662" t="s">
        <v>18</v>
      </c>
      <c r="D61" s="1012"/>
      <c r="F61" s="18">
        <f>Dren_Quantificacao!D42</f>
        <v>0</v>
      </c>
      <c r="G61" s="18">
        <f>Dren_Quantificacao!E42</f>
        <v>0</v>
      </c>
      <c r="H61" s="18">
        <f>Dren_Quantificacao!F42</f>
        <v>0</v>
      </c>
      <c r="I61" s="18">
        <f>Dren_Quantificacao!G42</f>
        <v>0</v>
      </c>
      <c r="J61" s="18"/>
      <c r="K61" s="18"/>
      <c r="L61" s="18"/>
      <c r="M61" s="18"/>
      <c r="N61" s="2414"/>
      <c r="O61" s="18">
        <f>Dren_Quantificacao!M42</f>
        <v>0</v>
      </c>
      <c r="P61" s="18">
        <f>Dren_Quantificacao!N42</f>
        <v>0</v>
      </c>
      <c r="Q61" s="18">
        <f>Dren_Quantificacao!O42</f>
        <v>0</v>
      </c>
      <c r="R61" s="18">
        <f>Dren_Quantificacao!P42</f>
        <v>0</v>
      </c>
      <c r="S61" s="18">
        <f>Dren_Quantificacao!Q42</f>
        <v>0</v>
      </c>
      <c r="T61" s="18">
        <f>Dren_Quantificacao!R42</f>
        <v>0</v>
      </c>
      <c r="U61" s="18">
        <f>Dren_Quantificacao!S42</f>
        <v>0</v>
      </c>
      <c r="V61" s="18">
        <f>Dren_Quantificacao!T42</f>
        <v>0</v>
      </c>
      <c r="W61" s="18"/>
      <c r="X61" s="2414"/>
      <c r="Y61" s="18">
        <f>Dren_Quantificacao!W42</f>
        <v>0</v>
      </c>
      <c r="Z61" s="18">
        <f>Dren_Quantificacao!X42</f>
        <v>0</v>
      </c>
      <c r="AA61" s="18">
        <f>Dren_Quantificacao!Y42</f>
        <v>0</v>
      </c>
      <c r="AB61" s="18">
        <f>Dren_Quantificacao!Z42</f>
        <v>0</v>
      </c>
      <c r="AC61" s="18">
        <f>Dren_Quantificacao!AA42</f>
        <v>0</v>
      </c>
      <c r="AD61" s="18">
        <f>Dren_Quantificacao!AB42</f>
        <v>0</v>
      </c>
      <c r="AE61" s="18">
        <f>Dren_Quantificacao!AC42</f>
        <v>0</v>
      </c>
      <c r="AF61" s="18">
        <f>Dren_Quantificacao!AD42</f>
        <v>0</v>
      </c>
      <c r="AG61" s="18">
        <f>Dren_Quantificacao!AE42</f>
        <v>0</v>
      </c>
      <c r="AH61" s="18">
        <f>Dren_Quantificacao!AF42</f>
        <v>0</v>
      </c>
      <c r="AI61" s="18"/>
      <c r="AJ61" s="18"/>
      <c r="AK61" s="18"/>
      <c r="AL61" s="18"/>
      <c r="AM61" s="18"/>
      <c r="AN61" s="18"/>
      <c r="AO61" s="18"/>
      <c r="AP61" s="18"/>
      <c r="AQ61" s="18"/>
      <c r="AR61" s="2414"/>
      <c r="AS61" s="18">
        <f>Dren_Quantificacao!AQ42</f>
        <v>0</v>
      </c>
      <c r="AT61" s="18">
        <f>Dren_Quantificacao!AR42</f>
        <v>0</v>
      </c>
      <c r="AU61" s="18">
        <f>Dren_Quantificacao!AS42</f>
        <v>0</v>
      </c>
      <c r="AV61" s="18">
        <f>Dren_Quantificacao!AT42</f>
        <v>0</v>
      </c>
      <c r="AW61" s="18">
        <f>Dren_Quantificacao!AU42</f>
        <v>0</v>
      </c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349">
        <f t="shared" si="32"/>
        <v>0</v>
      </c>
      <c r="BN61" s="579">
        <f t="shared" si="27"/>
        <v>0</v>
      </c>
      <c r="BO61" s="1047">
        <f>+'[4]DR-0140'!$G$44</f>
        <v>0.64259999999999995</v>
      </c>
      <c r="BP61" s="1038"/>
      <c r="BQ61" s="1038"/>
      <c r="BR61" s="1038">
        <f>+'[4]DR-0140'!$G$45</f>
        <v>2.9756800000000001</v>
      </c>
      <c r="BS61" s="1038"/>
      <c r="BT61" s="1038">
        <f>+'[4]DR-0140'!$G$50</f>
        <v>0.80887799999999999</v>
      </c>
      <c r="BU61" s="1038"/>
      <c r="BV61" s="1038">
        <f>+'[4]DR-0140'!$G$51</f>
        <v>20.504000000000001</v>
      </c>
      <c r="BW61" s="1040"/>
      <c r="BX61" s="1038">
        <f>+'[4]DR-0140'!$G$44</f>
        <v>0.64259999999999995</v>
      </c>
      <c r="BY61" s="1038"/>
      <c r="BZ61" s="1038"/>
      <c r="CA61" s="1038">
        <f>+'[4]DR-0140'!$G$45</f>
        <v>2.9756800000000001</v>
      </c>
      <c r="CB61" s="1038"/>
      <c r="CC61" s="1038">
        <f>+'[4]DR-0140'!$G$50</f>
        <v>0.80887799999999999</v>
      </c>
      <c r="CD61" s="1038"/>
      <c r="CE61" s="1038">
        <f>+'[4]DR-0140'!$G$51</f>
        <v>20.504000000000001</v>
      </c>
      <c r="CF61" s="1040"/>
      <c r="CG61" s="1038">
        <f>+'[4]DR-0140'!$G$44</f>
        <v>0.64259999999999995</v>
      </c>
      <c r="CH61" s="1038"/>
      <c r="CI61" s="1038"/>
      <c r="CJ61" s="1038">
        <f>+'[4]DR-0140'!$G$45</f>
        <v>2.9756800000000001</v>
      </c>
      <c r="CK61" s="1038"/>
      <c r="CL61" s="1038"/>
      <c r="CM61" s="1040">
        <v>0.84099999999999997</v>
      </c>
      <c r="CN61" s="1040">
        <f>+'[4]DR-0140'!$G$52*1.016+'[4]DR-0140'!$G$55+'[4]DR-0140'!$G$56*4.48+'[4]DR-0140'!$G$57</f>
        <v>171.86545000000001</v>
      </c>
      <c r="CO61" s="1038"/>
      <c r="CP61" s="1038">
        <f>+'[4]DR-0140'!$G$54</f>
        <v>3.294</v>
      </c>
      <c r="CQ61" s="1038"/>
      <c r="CR61" s="1038">
        <f>+'[4]DR-0140'!$G$53</f>
        <v>6.5784000000000002</v>
      </c>
      <c r="CS61" s="1038"/>
      <c r="CT61" s="1040"/>
      <c r="CU61" s="1041">
        <f>+'[4]DR-0140'!$G$47+'[4]DR-0140'!$G$48/2+'[4]DR-0140'!$G$49</f>
        <v>375.35255999999998</v>
      </c>
      <c r="CV61" s="1038"/>
      <c r="CW61" s="973"/>
    </row>
    <row r="62" spans="1:101" s="14" customFormat="1" ht="21.95" hidden="1" customHeight="1" x14ac:dyDescent="0.15">
      <c r="A62" s="2707"/>
      <c r="B62" s="2705"/>
      <c r="C62" s="662" t="s">
        <v>19</v>
      </c>
      <c r="D62" s="1012"/>
      <c r="F62" s="18">
        <f>Dren_Quantificacao!D43</f>
        <v>0</v>
      </c>
      <c r="G62" s="18">
        <f>Dren_Quantificacao!E43</f>
        <v>0</v>
      </c>
      <c r="H62" s="18">
        <f>Dren_Quantificacao!F43</f>
        <v>0</v>
      </c>
      <c r="I62" s="18">
        <f>Dren_Quantificacao!G43</f>
        <v>0</v>
      </c>
      <c r="J62" s="18"/>
      <c r="K62" s="18"/>
      <c r="L62" s="18"/>
      <c r="M62" s="18"/>
      <c r="N62" s="2414"/>
      <c r="O62" s="18">
        <f>Dren_Quantificacao!M43</f>
        <v>0</v>
      </c>
      <c r="P62" s="18">
        <f>Dren_Quantificacao!N43</f>
        <v>0</v>
      </c>
      <c r="Q62" s="18">
        <f>Dren_Quantificacao!O43</f>
        <v>0</v>
      </c>
      <c r="R62" s="18">
        <f>Dren_Quantificacao!P43</f>
        <v>0</v>
      </c>
      <c r="S62" s="18">
        <f>Dren_Quantificacao!Q43</f>
        <v>0</v>
      </c>
      <c r="T62" s="18">
        <f>Dren_Quantificacao!R43</f>
        <v>0</v>
      </c>
      <c r="U62" s="18">
        <f>Dren_Quantificacao!S43</f>
        <v>0</v>
      </c>
      <c r="V62" s="18">
        <f>Dren_Quantificacao!T43</f>
        <v>0</v>
      </c>
      <c r="W62" s="18"/>
      <c r="X62" s="2414"/>
      <c r="Y62" s="18">
        <f>Dren_Quantificacao!W43</f>
        <v>0</v>
      </c>
      <c r="Z62" s="18">
        <f>Dren_Quantificacao!X43</f>
        <v>0</v>
      </c>
      <c r="AA62" s="18">
        <f>Dren_Quantificacao!Y43</f>
        <v>0</v>
      </c>
      <c r="AB62" s="18">
        <f>Dren_Quantificacao!Z43</f>
        <v>0</v>
      </c>
      <c r="AC62" s="18">
        <f>Dren_Quantificacao!AA43</f>
        <v>0</v>
      </c>
      <c r="AD62" s="18">
        <f>Dren_Quantificacao!AB43</f>
        <v>0</v>
      </c>
      <c r="AE62" s="18">
        <f>Dren_Quantificacao!AC43</f>
        <v>0</v>
      </c>
      <c r="AF62" s="18">
        <f>Dren_Quantificacao!AD43</f>
        <v>0</v>
      </c>
      <c r="AG62" s="18">
        <f>Dren_Quantificacao!AE43</f>
        <v>0</v>
      </c>
      <c r="AH62" s="18">
        <f>Dren_Quantificacao!AF43</f>
        <v>0</v>
      </c>
      <c r="AI62" s="18"/>
      <c r="AJ62" s="18"/>
      <c r="AK62" s="18"/>
      <c r="AL62" s="18"/>
      <c r="AM62" s="18"/>
      <c r="AN62" s="18"/>
      <c r="AO62" s="18"/>
      <c r="AP62" s="18"/>
      <c r="AQ62" s="18"/>
      <c r="AR62" s="2414"/>
      <c r="AS62" s="18">
        <f>Dren_Quantificacao!AQ43</f>
        <v>0</v>
      </c>
      <c r="AT62" s="18">
        <f>Dren_Quantificacao!AR43</f>
        <v>0</v>
      </c>
      <c r="AU62" s="18">
        <f>Dren_Quantificacao!AS43</f>
        <v>0</v>
      </c>
      <c r="AV62" s="18">
        <f>Dren_Quantificacao!AT43</f>
        <v>0</v>
      </c>
      <c r="AW62" s="18">
        <f>Dren_Quantificacao!AU43</f>
        <v>0</v>
      </c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349">
        <f t="shared" si="32"/>
        <v>0</v>
      </c>
      <c r="BN62" s="579">
        <f t="shared" si="27"/>
        <v>0</v>
      </c>
      <c r="BO62" s="1047">
        <f>+'[4]DR-0145'!$G$44</f>
        <v>0.79379999999999995</v>
      </c>
      <c r="BP62" s="1038"/>
      <c r="BQ62" s="1038"/>
      <c r="BR62" s="1038">
        <f>+'[4]DR-0145'!$G$45</f>
        <v>3.6668799999999999</v>
      </c>
      <c r="BS62" s="1038"/>
      <c r="BT62" s="1038">
        <f>+'[4]DR-0145'!$G$50</f>
        <v>0.94334200000000001</v>
      </c>
      <c r="BU62" s="1038"/>
      <c r="BV62" s="1038">
        <f>+'[4]DR-0145'!$G$51</f>
        <v>24.024000000000001</v>
      </c>
      <c r="BW62" s="1040"/>
      <c r="BX62" s="1038">
        <f>+'[4]DR-0145'!$G$44</f>
        <v>0.79379999999999995</v>
      </c>
      <c r="BY62" s="1038"/>
      <c r="BZ62" s="1038"/>
      <c r="CA62" s="1038">
        <f>+'[4]DR-0145'!$G$45</f>
        <v>3.6668799999999999</v>
      </c>
      <c r="CB62" s="1038"/>
      <c r="CC62" s="1038">
        <f>+'[4]DR-0145'!$G$50</f>
        <v>0.94334200000000001</v>
      </c>
      <c r="CD62" s="1038"/>
      <c r="CE62" s="1038">
        <f>+'[4]DR-0145'!$G$51</f>
        <v>24.024000000000001</v>
      </c>
      <c r="CF62" s="1040"/>
      <c r="CG62" s="1038">
        <f>+'[4]DR-0145'!$G$44</f>
        <v>0.79379999999999995</v>
      </c>
      <c r="CH62" s="1038"/>
      <c r="CI62" s="1038"/>
      <c r="CJ62" s="1038">
        <f>+'[4]DR-0145'!$G$45</f>
        <v>3.6668799999999999</v>
      </c>
      <c r="CK62" s="1038"/>
      <c r="CL62" s="1038"/>
      <c r="CM62" s="1040">
        <v>0.84099999999999997</v>
      </c>
      <c r="CN62" s="1040">
        <f>+'[4]DR-0145'!$G$52*1.016+'[4]DR-0145'!$G$55+'[4]DR-0145'!$G$56*4.48+'[4]DR-0145'!$G$57</f>
        <v>211.33740200000003</v>
      </c>
      <c r="CO62" s="1038"/>
      <c r="CP62" s="1038">
        <f>+'[4]DR-0145'!$G$54</f>
        <v>3.726</v>
      </c>
      <c r="CQ62" s="1038"/>
      <c r="CR62" s="1038">
        <f>+'[4]DR-0145'!$G$53</f>
        <v>8.3544</v>
      </c>
      <c r="CS62" s="1038"/>
      <c r="CT62" s="1040"/>
      <c r="CU62" s="1041">
        <f>+'[4]DR-0145'!$G$47+'[4]DR-0145'!$G$48/2+'[4]DR-0145'!$G$49</f>
        <v>435.65015999999997</v>
      </c>
      <c r="CV62" s="1038"/>
      <c r="CW62" s="973"/>
    </row>
    <row r="63" spans="1:101" s="14" customFormat="1" ht="21.95" hidden="1" customHeight="1" x14ac:dyDescent="0.15">
      <c r="A63" s="2707"/>
      <c r="B63" s="2705"/>
      <c r="C63" s="662" t="s">
        <v>20</v>
      </c>
      <c r="D63" s="1012"/>
      <c r="F63" s="18">
        <f>Dren_Quantificacao!D44</f>
        <v>0</v>
      </c>
      <c r="G63" s="18">
        <f>Dren_Quantificacao!E44</f>
        <v>0</v>
      </c>
      <c r="H63" s="18">
        <f>Dren_Quantificacao!F44</f>
        <v>0</v>
      </c>
      <c r="I63" s="18">
        <f>Dren_Quantificacao!G44</f>
        <v>0</v>
      </c>
      <c r="J63" s="18"/>
      <c r="K63" s="18"/>
      <c r="L63" s="18"/>
      <c r="M63" s="18"/>
      <c r="N63" s="2414"/>
      <c r="O63" s="18">
        <f>Dren_Quantificacao!M44</f>
        <v>0</v>
      </c>
      <c r="P63" s="18">
        <f>Dren_Quantificacao!N44</f>
        <v>0</v>
      </c>
      <c r="Q63" s="18">
        <f>Dren_Quantificacao!O44</f>
        <v>0</v>
      </c>
      <c r="R63" s="18">
        <f>Dren_Quantificacao!P44</f>
        <v>0</v>
      </c>
      <c r="S63" s="18">
        <f>Dren_Quantificacao!Q44</f>
        <v>0</v>
      </c>
      <c r="T63" s="18">
        <f>Dren_Quantificacao!R44</f>
        <v>0</v>
      </c>
      <c r="U63" s="18">
        <f>Dren_Quantificacao!S44</f>
        <v>0</v>
      </c>
      <c r="V63" s="18">
        <f>Dren_Quantificacao!T44</f>
        <v>0</v>
      </c>
      <c r="W63" s="18"/>
      <c r="X63" s="2414"/>
      <c r="Y63" s="18">
        <f>Dren_Quantificacao!W44</f>
        <v>0</v>
      </c>
      <c r="Z63" s="18">
        <f>Dren_Quantificacao!X44</f>
        <v>0</v>
      </c>
      <c r="AA63" s="18">
        <f>Dren_Quantificacao!Y44</f>
        <v>0</v>
      </c>
      <c r="AB63" s="18">
        <f>Dren_Quantificacao!Z44</f>
        <v>0</v>
      </c>
      <c r="AC63" s="18">
        <f>Dren_Quantificacao!AA44</f>
        <v>0</v>
      </c>
      <c r="AD63" s="18">
        <f>Dren_Quantificacao!AB44</f>
        <v>0</v>
      </c>
      <c r="AE63" s="18">
        <f>Dren_Quantificacao!AC44</f>
        <v>0</v>
      </c>
      <c r="AF63" s="18">
        <f>Dren_Quantificacao!AD44</f>
        <v>0</v>
      </c>
      <c r="AG63" s="18">
        <f>Dren_Quantificacao!AE44</f>
        <v>0</v>
      </c>
      <c r="AH63" s="18">
        <f>Dren_Quantificacao!AF44</f>
        <v>0</v>
      </c>
      <c r="AI63" s="18"/>
      <c r="AJ63" s="18"/>
      <c r="AK63" s="18"/>
      <c r="AL63" s="18"/>
      <c r="AM63" s="18"/>
      <c r="AN63" s="18"/>
      <c r="AO63" s="18"/>
      <c r="AP63" s="18"/>
      <c r="AQ63" s="18"/>
      <c r="AR63" s="2414"/>
      <c r="AS63" s="18">
        <f>Dren_Quantificacao!AQ44</f>
        <v>0</v>
      </c>
      <c r="AT63" s="18">
        <f>Dren_Quantificacao!AR44</f>
        <v>0</v>
      </c>
      <c r="AU63" s="18">
        <f>Dren_Quantificacao!AS44</f>
        <v>0</v>
      </c>
      <c r="AV63" s="18">
        <f>Dren_Quantificacao!AT44</f>
        <v>0</v>
      </c>
      <c r="AW63" s="18">
        <f>Dren_Quantificacao!AU44</f>
        <v>0</v>
      </c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349">
        <f t="shared" si="32"/>
        <v>0</v>
      </c>
      <c r="BN63" s="579">
        <f t="shared" si="27"/>
        <v>0</v>
      </c>
      <c r="BO63" s="1047">
        <f>+'[4]DR-0150'!$G$44</f>
        <v>1.0772999999999999</v>
      </c>
      <c r="BP63" s="1038"/>
      <c r="BQ63" s="1038"/>
      <c r="BR63" s="1038">
        <f>+'[4]DR-0150'!$G$45</f>
        <v>4.9628800000000002</v>
      </c>
      <c r="BS63" s="1038"/>
      <c r="BT63" s="1038">
        <f>+'[4]DR-0150'!$G$50</f>
        <v>1.195462</v>
      </c>
      <c r="BU63" s="1038"/>
      <c r="BV63" s="1038">
        <f>+'[4]DR-0150'!$G$51</f>
        <v>30.623999999999999</v>
      </c>
      <c r="BW63" s="1040"/>
      <c r="BX63" s="1038">
        <f>+'[4]DR-0150'!$G$44</f>
        <v>1.0772999999999999</v>
      </c>
      <c r="BY63" s="1038"/>
      <c r="BZ63" s="1038"/>
      <c r="CA63" s="1038">
        <f>+'[4]DR-0150'!$G$45</f>
        <v>4.9628800000000002</v>
      </c>
      <c r="CB63" s="1038"/>
      <c r="CC63" s="1038">
        <f>+'[4]DR-0150'!$G$50</f>
        <v>1.195462</v>
      </c>
      <c r="CD63" s="1038"/>
      <c r="CE63" s="1038">
        <f>+'[4]DR-0150'!$G$51</f>
        <v>30.623999999999999</v>
      </c>
      <c r="CF63" s="1040"/>
      <c r="CG63" s="1038">
        <f>+'[4]DR-0150'!$G$44</f>
        <v>1.0772999999999999</v>
      </c>
      <c r="CH63" s="1038"/>
      <c r="CI63" s="1038"/>
      <c r="CJ63" s="1038">
        <f>+'[4]DR-0150'!$G$45</f>
        <v>4.9628800000000002</v>
      </c>
      <c r="CK63" s="1038"/>
      <c r="CL63" s="1038"/>
      <c r="CM63" s="1040">
        <v>0.84099999999999997</v>
      </c>
      <c r="CN63" s="1040">
        <f>+'[4]DR-0150'!$G$52*1.016+'[4]DR-0150'!$G$55+'[4]DR-0150'!$G$56*4.48+'[4]DR-0150'!$G$57</f>
        <v>285.34731200000004</v>
      </c>
      <c r="CO63" s="1038"/>
      <c r="CP63" s="1038">
        <f>+'[4]DR-0150'!$G$54</f>
        <v>4.5359999999999996</v>
      </c>
      <c r="CQ63" s="1038"/>
      <c r="CR63" s="1038">
        <f>+'[4]DR-0150'!$G$53</f>
        <v>11.6844</v>
      </c>
      <c r="CS63" s="1038"/>
      <c r="CT63" s="1040"/>
      <c r="CU63" s="1041">
        <f>+'[4]DR-0150'!$G$47+'[4]DR-0150'!$G$48/2+'[4]DR-0150'!$G$49</f>
        <v>548.70816000000002</v>
      </c>
      <c r="CV63" s="1038"/>
      <c r="CW63" s="973"/>
    </row>
    <row r="64" spans="1:101" s="14" customFormat="1" ht="21.95" hidden="1" customHeight="1" x14ac:dyDescent="0.15">
      <c r="A64" s="2707"/>
      <c r="B64" s="2705"/>
      <c r="C64" s="662" t="s">
        <v>21</v>
      </c>
      <c r="D64" s="1012"/>
      <c r="F64" s="18">
        <f>Dren_Quantificacao!D45</f>
        <v>0</v>
      </c>
      <c r="G64" s="18">
        <f>Dren_Quantificacao!E45</f>
        <v>0</v>
      </c>
      <c r="H64" s="18">
        <f>Dren_Quantificacao!F45</f>
        <v>0</v>
      </c>
      <c r="I64" s="18">
        <f>Dren_Quantificacao!G45</f>
        <v>0</v>
      </c>
      <c r="J64" s="18"/>
      <c r="K64" s="18"/>
      <c r="L64" s="18"/>
      <c r="M64" s="18"/>
      <c r="N64" s="2414"/>
      <c r="O64" s="18">
        <f>Dren_Quantificacao!M45</f>
        <v>0</v>
      </c>
      <c r="P64" s="18">
        <f>Dren_Quantificacao!N45</f>
        <v>0</v>
      </c>
      <c r="Q64" s="18">
        <f>Dren_Quantificacao!O45</f>
        <v>0</v>
      </c>
      <c r="R64" s="18">
        <f>Dren_Quantificacao!P45</f>
        <v>0</v>
      </c>
      <c r="S64" s="18">
        <f>Dren_Quantificacao!Q45</f>
        <v>0</v>
      </c>
      <c r="T64" s="18">
        <f>Dren_Quantificacao!R45</f>
        <v>0</v>
      </c>
      <c r="U64" s="18">
        <f>Dren_Quantificacao!S45</f>
        <v>0</v>
      </c>
      <c r="V64" s="18">
        <f>Dren_Quantificacao!T45</f>
        <v>0</v>
      </c>
      <c r="W64" s="18"/>
      <c r="X64" s="2414"/>
      <c r="Y64" s="18">
        <f>Dren_Quantificacao!W45</f>
        <v>0</v>
      </c>
      <c r="Z64" s="18">
        <f>Dren_Quantificacao!X45</f>
        <v>0</v>
      </c>
      <c r="AA64" s="18">
        <f>Dren_Quantificacao!Y45</f>
        <v>0</v>
      </c>
      <c r="AB64" s="18">
        <f>Dren_Quantificacao!Z45</f>
        <v>0</v>
      </c>
      <c r="AC64" s="18">
        <f>Dren_Quantificacao!AA45</f>
        <v>0</v>
      </c>
      <c r="AD64" s="18">
        <f>Dren_Quantificacao!AB45</f>
        <v>0</v>
      </c>
      <c r="AE64" s="18">
        <f>Dren_Quantificacao!AC45</f>
        <v>0</v>
      </c>
      <c r="AF64" s="18">
        <f>Dren_Quantificacao!AD45</f>
        <v>0</v>
      </c>
      <c r="AG64" s="18">
        <f>Dren_Quantificacao!AE45</f>
        <v>0</v>
      </c>
      <c r="AH64" s="18">
        <f>Dren_Quantificacao!AF45</f>
        <v>0</v>
      </c>
      <c r="AI64" s="18"/>
      <c r="AJ64" s="18"/>
      <c r="AK64" s="18"/>
      <c r="AL64" s="18"/>
      <c r="AM64" s="18"/>
      <c r="AN64" s="18"/>
      <c r="AO64" s="18"/>
      <c r="AP64" s="18"/>
      <c r="AQ64" s="18"/>
      <c r="AR64" s="2414"/>
      <c r="AS64" s="18">
        <f>Dren_Quantificacao!AQ45</f>
        <v>0</v>
      </c>
      <c r="AT64" s="18">
        <f>Dren_Quantificacao!AR45</f>
        <v>0</v>
      </c>
      <c r="AU64" s="18">
        <f>Dren_Quantificacao!AS45</f>
        <v>0</v>
      </c>
      <c r="AV64" s="18">
        <f>Dren_Quantificacao!AT45</f>
        <v>0</v>
      </c>
      <c r="AW64" s="18">
        <f>Dren_Quantificacao!AU45</f>
        <v>0</v>
      </c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349">
        <f t="shared" si="32"/>
        <v>0</v>
      </c>
      <c r="BN64" s="579">
        <f t="shared" si="27"/>
        <v>0</v>
      </c>
      <c r="BO64" s="1047">
        <f>+'[4]DR-0155'!$G$44</f>
        <v>1.3796999999999999</v>
      </c>
      <c r="BP64" s="1038"/>
      <c r="BQ64" s="1038"/>
      <c r="BR64" s="1038">
        <f>+'[4]DR-0155'!$G$45</f>
        <v>6.3452799999999998</v>
      </c>
      <c r="BS64" s="1038"/>
      <c r="BT64" s="1038">
        <f>+'[4]DR-0155'!$G$50</f>
        <v>1.4643900000000001</v>
      </c>
      <c r="BU64" s="1038"/>
      <c r="BV64" s="1038">
        <f>+'[4]DR-0155'!$G$51</f>
        <v>37.664000000000001</v>
      </c>
      <c r="BW64" s="1040"/>
      <c r="BX64" s="1038">
        <f>+'[4]DR-0155'!$G$44</f>
        <v>1.3796999999999999</v>
      </c>
      <c r="BY64" s="1038"/>
      <c r="BZ64" s="1038"/>
      <c r="CA64" s="1038">
        <f>+'[4]DR-0155'!$G$45</f>
        <v>6.3452799999999998</v>
      </c>
      <c r="CB64" s="1038"/>
      <c r="CC64" s="1038">
        <f>+'[4]DR-0155'!$G$50</f>
        <v>1.4643900000000001</v>
      </c>
      <c r="CD64" s="1038"/>
      <c r="CE64" s="1038">
        <f>+'[4]DR-0155'!$G$51</f>
        <v>37.664000000000001</v>
      </c>
      <c r="CF64" s="1040"/>
      <c r="CG64" s="1038">
        <f>+'[4]DR-0155'!$G$44</f>
        <v>1.3796999999999999</v>
      </c>
      <c r="CH64" s="1038"/>
      <c r="CI64" s="1038"/>
      <c r="CJ64" s="1038">
        <f>+'[4]DR-0155'!$G$45</f>
        <v>6.3452799999999998</v>
      </c>
      <c r="CK64" s="1038"/>
      <c r="CL64" s="1038"/>
      <c r="CM64" s="1040">
        <v>0.84099999999999997</v>
      </c>
      <c r="CN64" s="1040">
        <f>+'[4]DR-0155'!$G$52*1.016+'[4]DR-0155'!$G$55+'[4]DR-0155'!$G$56*4.48+'[4]DR-0155'!$G$57</f>
        <v>364.29121600000002</v>
      </c>
      <c r="CO64" s="1038"/>
      <c r="CP64" s="1038">
        <f>+'[4]DR-0155'!$G$54</f>
        <v>5.4</v>
      </c>
      <c r="CQ64" s="1038"/>
      <c r="CR64" s="1038">
        <f>+'[4]DR-0155'!$G$53</f>
        <v>15.2364</v>
      </c>
      <c r="CS64" s="1038"/>
      <c r="CT64" s="1040"/>
      <c r="CU64" s="1041">
        <f>+'[4]DR-0155'!$G$47+'[4]DR-0155'!$G$48/2+'[4]DR-0155'!$G$49</f>
        <v>669.30336</v>
      </c>
      <c r="CV64" s="1038"/>
      <c r="CW64" s="973"/>
    </row>
    <row r="65" spans="1:101" s="14" customFormat="1" ht="21.95" hidden="1" customHeight="1" x14ac:dyDescent="0.15">
      <c r="A65" s="2707"/>
      <c r="B65" s="2705"/>
      <c r="C65" s="662" t="s">
        <v>22</v>
      </c>
      <c r="D65" s="1012"/>
      <c r="F65" s="18">
        <f>Dren_Quantificacao!D46</f>
        <v>0</v>
      </c>
      <c r="G65" s="18">
        <f>Dren_Quantificacao!E46</f>
        <v>0</v>
      </c>
      <c r="H65" s="18">
        <f>Dren_Quantificacao!F46</f>
        <v>0</v>
      </c>
      <c r="I65" s="18">
        <f>Dren_Quantificacao!G46</f>
        <v>0</v>
      </c>
      <c r="J65" s="18"/>
      <c r="K65" s="18"/>
      <c r="L65" s="18"/>
      <c r="M65" s="18"/>
      <c r="N65" s="2414"/>
      <c r="O65" s="18">
        <f>Dren_Quantificacao!M46</f>
        <v>0</v>
      </c>
      <c r="P65" s="18">
        <f>Dren_Quantificacao!N46</f>
        <v>0</v>
      </c>
      <c r="Q65" s="18">
        <f>Dren_Quantificacao!O46</f>
        <v>0</v>
      </c>
      <c r="R65" s="18">
        <f>Dren_Quantificacao!P46</f>
        <v>0</v>
      </c>
      <c r="S65" s="18">
        <f>Dren_Quantificacao!Q46</f>
        <v>0</v>
      </c>
      <c r="T65" s="18">
        <f>Dren_Quantificacao!R46</f>
        <v>0</v>
      </c>
      <c r="U65" s="18">
        <f>Dren_Quantificacao!S46</f>
        <v>0</v>
      </c>
      <c r="V65" s="18">
        <f>Dren_Quantificacao!T46</f>
        <v>0</v>
      </c>
      <c r="W65" s="18"/>
      <c r="X65" s="2414"/>
      <c r="Y65" s="18">
        <f>Dren_Quantificacao!W46</f>
        <v>0</v>
      </c>
      <c r="Z65" s="18">
        <f>Dren_Quantificacao!X46</f>
        <v>0</v>
      </c>
      <c r="AA65" s="18">
        <f>Dren_Quantificacao!Y46</f>
        <v>0</v>
      </c>
      <c r="AB65" s="18">
        <f>Dren_Quantificacao!Z46</f>
        <v>0</v>
      </c>
      <c r="AC65" s="18">
        <f>Dren_Quantificacao!AA46</f>
        <v>0</v>
      </c>
      <c r="AD65" s="18">
        <f>Dren_Quantificacao!AB46</f>
        <v>0</v>
      </c>
      <c r="AE65" s="18">
        <f>Dren_Quantificacao!AC46</f>
        <v>0</v>
      </c>
      <c r="AF65" s="18">
        <f>Dren_Quantificacao!AD46</f>
        <v>0</v>
      </c>
      <c r="AG65" s="18">
        <f>Dren_Quantificacao!AE46</f>
        <v>0</v>
      </c>
      <c r="AH65" s="18">
        <f>Dren_Quantificacao!AF46</f>
        <v>0</v>
      </c>
      <c r="AI65" s="18"/>
      <c r="AJ65" s="18"/>
      <c r="AK65" s="18"/>
      <c r="AL65" s="18"/>
      <c r="AM65" s="18"/>
      <c r="AN65" s="18"/>
      <c r="AO65" s="18"/>
      <c r="AP65" s="18"/>
      <c r="AQ65" s="18"/>
      <c r="AR65" s="2414"/>
      <c r="AS65" s="18">
        <f>Dren_Quantificacao!AQ46</f>
        <v>0</v>
      </c>
      <c r="AT65" s="18">
        <f>Dren_Quantificacao!AR46</f>
        <v>0</v>
      </c>
      <c r="AU65" s="18">
        <f>Dren_Quantificacao!AS46</f>
        <v>0</v>
      </c>
      <c r="AV65" s="18">
        <f>Dren_Quantificacao!AT46</f>
        <v>0</v>
      </c>
      <c r="AW65" s="18">
        <f>Dren_Quantificacao!AU46</f>
        <v>0</v>
      </c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349">
        <f t="shared" si="32"/>
        <v>0</v>
      </c>
      <c r="BN65" s="579">
        <f t="shared" si="27"/>
        <v>0</v>
      </c>
      <c r="BO65" s="1047">
        <f>+'[4]DR-0160'!$G$44</f>
        <v>1.7955000000000001</v>
      </c>
      <c r="BP65" s="1038"/>
      <c r="BQ65" s="1038"/>
      <c r="BR65" s="1038">
        <f>+'[4]DR-0160'!$G$45</f>
        <v>8.2460799999999992</v>
      </c>
      <c r="BS65" s="1038"/>
      <c r="BT65" s="1038">
        <f>+'[4]DR-0160'!$G$50</f>
        <v>1.834166</v>
      </c>
      <c r="BU65" s="1038"/>
      <c r="BV65" s="1038">
        <f>+'[4]DR-0160'!$G$51</f>
        <v>47.344000000000001</v>
      </c>
      <c r="BW65" s="1040"/>
      <c r="BX65" s="1038">
        <f>+'[4]DR-0160'!$G$44</f>
        <v>1.7955000000000001</v>
      </c>
      <c r="BY65" s="1038"/>
      <c r="BZ65" s="1038"/>
      <c r="CA65" s="1038">
        <f>+'[4]DR-0160'!$G$45</f>
        <v>8.2460799999999992</v>
      </c>
      <c r="CB65" s="1038"/>
      <c r="CC65" s="1038">
        <f>+'[4]DR-0160'!$G$50</f>
        <v>1.834166</v>
      </c>
      <c r="CD65" s="1038"/>
      <c r="CE65" s="1038">
        <f>+'[4]DR-0160'!$G$51</f>
        <v>47.344000000000001</v>
      </c>
      <c r="CF65" s="1040"/>
      <c r="CG65" s="1038">
        <f>+'[4]DR-0160'!$G$44</f>
        <v>1.7955000000000001</v>
      </c>
      <c r="CH65" s="1038"/>
      <c r="CI65" s="1038"/>
      <c r="CJ65" s="1038">
        <f>+'[4]DR-0160'!$G$45</f>
        <v>8.2460799999999992</v>
      </c>
      <c r="CK65" s="1038"/>
      <c r="CL65" s="1038"/>
      <c r="CM65" s="1040">
        <v>0.84099999999999997</v>
      </c>
      <c r="CN65" s="1040">
        <f>+'[4]DR-0160'!$G$52*1.016+'[4]DR-0160'!$G$55+'[4]DR-0160'!$G$56*4.48+'[4]DR-0160'!$G$57</f>
        <v>472.83908400000007</v>
      </c>
      <c r="CO65" s="1038"/>
      <c r="CP65" s="1038">
        <f>+'[4]DR-0160'!$G$54</f>
        <v>6.5880000000000001</v>
      </c>
      <c r="CQ65" s="1038"/>
      <c r="CR65" s="1038">
        <f>+'[4]DR-0160'!$G$53</f>
        <v>20.1204</v>
      </c>
      <c r="CS65" s="1038"/>
      <c r="CT65" s="1040"/>
      <c r="CU65" s="1041">
        <f>+'[4]DR-0160'!$G$47+'[4]DR-0160'!$G$48/2+'[4]DR-0160'!$G$49</f>
        <v>835.12175999999999</v>
      </c>
      <c r="CV65" s="1038"/>
      <c r="CW65" s="973"/>
    </row>
    <row r="66" spans="1:101" s="14" customFormat="1" ht="21.95" hidden="1" customHeight="1" thickBot="1" x14ac:dyDescent="0.2">
      <c r="A66" s="2707"/>
      <c r="B66" s="2711"/>
      <c r="C66" s="566" t="s">
        <v>467</v>
      </c>
      <c r="D66" s="1013"/>
      <c r="E66" s="2250"/>
      <c r="F66" s="359">
        <f>Dren_Quantificacao!D47</f>
        <v>0</v>
      </c>
      <c r="G66" s="359">
        <f>Dren_Quantificacao!E47</f>
        <v>0</v>
      </c>
      <c r="H66" s="359">
        <f>Dren_Quantificacao!F47</f>
        <v>0</v>
      </c>
      <c r="I66" s="359">
        <f>Dren_Quantificacao!G47</f>
        <v>0</v>
      </c>
      <c r="J66" s="359"/>
      <c r="K66" s="359"/>
      <c r="L66" s="359"/>
      <c r="M66" s="359"/>
      <c r="N66" s="2441"/>
      <c r="O66" s="359">
        <f>Dren_Quantificacao!M47</f>
        <v>0</v>
      </c>
      <c r="P66" s="359">
        <f>Dren_Quantificacao!N47</f>
        <v>0</v>
      </c>
      <c r="Q66" s="359">
        <f>Dren_Quantificacao!O47</f>
        <v>0</v>
      </c>
      <c r="R66" s="359">
        <f>Dren_Quantificacao!P47</f>
        <v>0</v>
      </c>
      <c r="S66" s="359">
        <f>Dren_Quantificacao!Q47</f>
        <v>0</v>
      </c>
      <c r="T66" s="359">
        <f>Dren_Quantificacao!R47</f>
        <v>0</v>
      </c>
      <c r="U66" s="359">
        <f>Dren_Quantificacao!S47</f>
        <v>0</v>
      </c>
      <c r="V66" s="359">
        <f>Dren_Quantificacao!T47</f>
        <v>0</v>
      </c>
      <c r="W66" s="359"/>
      <c r="X66" s="2441"/>
      <c r="Y66" s="359">
        <f>Dren_Quantificacao!W47</f>
        <v>0</v>
      </c>
      <c r="Z66" s="359">
        <f>Dren_Quantificacao!X47</f>
        <v>0</v>
      </c>
      <c r="AA66" s="359">
        <f>Dren_Quantificacao!Y47</f>
        <v>0</v>
      </c>
      <c r="AB66" s="359">
        <f>Dren_Quantificacao!Z47</f>
        <v>0</v>
      </c>
      <c r="AC66" s="359">
        <f>Dren_Quantificacao!AA47</f>
        <v>0</v>
      </c>
      <c r="AD66" s="359">
        <f>Dren_Quantificacao!AB47</f>
        <v>0</v>
      </c>
      <c r="AE66" s="359">
        <f>Dren_Quantificacao!AC47</f>
        <v>0</v>
      </c>
      <c r="AF66" s="359">
        <f>Dren_Quantificacao!AD47</f>
        <v>0</v>
      </c>
      <c r="AG66" s="359">
        <f>Dren_Quantificacao!AE47</f>
        <v>0</v>
      </c>
      <c r="AH66" s="359">
        <f>Dren_Quantificacao!AF47</f>
        <v>0</v>
      </c>
      <c r="AI66" s="359"/>
      <c r="AJ66" s="359"/>
      <c r="AK66" s="359"/>
      <c r="AL66" s="359"/>
      <c r="AM66" s="359"/>
      <c r="AN66" s="359"/>
      <c r="AO66" s="359"/>
      <c r="AP66" s="359"/>
      <c r="AQ66" s="359"/>
      <c r="AR66" s="2441"/>
      <c r="AS66" s="359">
        <f>Dren_Quantificacao!AQ47</f>
        <v>0</v>
      </c>
      <c r="AT66" s="359">
        <f>Dren_Quantificacao!AR47</f>
        <v>0</v>
      </c>
      <c r="AU66" s="359">
        <f>Dren_Quantificacao!AS47</f>
        <v>0</v>
      </c>
      <c r="AV66" s="359">
        <f>Dren_Quantificacao!AT47</f>
        <v>0</v>
      </c>
      <c r="AW66" s="359">
        <f>Dren_Quantificacao!AU47</f>
        <v>0</v>
      </c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360">
        <f t="shared" si="32"/>
        <v>0</v>
      </c>
      <c r="BN66" s="579">
        <f t="shared" ref="BN66:BN97" si="44">SUM(F66:BM66)</f>
        <v>0</v>
      </c>
      <c r="BO66" s="1047"/>
      <c r="BP66" s="1038"/>
      <c r="BQ66" s="1038"/>
      <c r="BR66" s="1038">
        <f>+'[4]DR-0165'!$G$44</f>
        <v>0.37265999999999999</v>
      </c>
      <c r="BS66" s="1038"/>
      <c r="BT66" s="1038">
        <f>+'[4]DR-0165'!$G$50</f>
        <v>0.227019</v>
      </c>
      <c r="BU66" s="1038"/>
      <c r="BV66" s="1038">
        <f>+'[4]DR-0165'!$G$49</f>
        <v>4.8301990000000004</v>
      </c>
      <c r="BW66" s="1040"/>
      <c r="BX66" s="1038"/>
      <c r="BY66" s="1038"/>
      <c r="BZ66" s="1038"/>
      <c r="CA66" s="1038">
        <f>+'[4]DR-0165'!$G$44</f>
        <v>0.37265999999999999</v>
      </c>
      <c r="CB66" s="1038"/>
      <c r="CC66" s="1038">
        <f>+'[4]DR-0165'!$G$50</f>
        <v>0.227019</v>
      </c>
      <c r="CD66" s="1038"/>
      <c r="CE66" s="1038">
        <f>+'[4]DR-0165'!$G$49</f>
        <v>4.8301990000000004</v>
      </c>
      <c r="CF66" s="1040"/>
      <c r="CG66" s="1038"/>
      <c r="CH66" s="1038"/>
      <c r="CI66" s="1038"/>
      <c r="CJ66" s="1038">
        <f>+'[4]DR-0165'!$G$44</f>
        <v>0.37265999999999999</v>
      </c>
      <c r="CK66" s="1038"/>
      <c r="CL66" s="1038"/>
      <c r="CM66" s="1040">
        <f>+'[4]DR-0165'!$G$43</f>
        <v>0.212058</v>
      </c>
      <c r="CN66" s="1040">
        <f>+'[4]DR-0165'!$G$46*4.48+'[4]DR-0165'!$G$47</f>
        <v>15.886642160000001</v>
      </c>
      <c r="CO66" s="1038"/>
      <c r="CP66" s="1038"/>
      <c r="CQ66" s="1038"/>
      <c r="CR66" s="1038"/>
      <c r="CS66" s="1038"/>
      <c r="CT66" s="1040"/>
      <c r="CU66" s="1041"/>
      <c r="CV66" s="1038">
        <f>+'[4]DR-0165'!$G$48</f>
        <v>772.83179299999995</v>
      </c>
      <c r="CW66" s="973"/>
    </row>
    <row r="67" spans="1:101" s="14" customFormat="1" ht="21.95" customHeight="1" x14ac:dyDescent="0.15">
      <c r="A67" s="2707"/>
      <c r="B67" s="2703" t="s">
        <v>2249</v>
      </c>
      <c r="C67" s="552" t="s">
        <v>2233</v>
      </c>
      <c r="D67" s="1012"/>
      <c r="F67" s="238">
        <f>Dren_Quantificacao!D63</f>
        <v>0</v>
      </c>
      <c r="G67" s="238">
        <f ca="1">Dren_Quantificacao!E63</f>
        <v>424.90800000000002</v>
      </c>
      <c r="H67" s="238">
        <f ca="1">Dren_Quantificacao!F63</f>
        <v>423.63200000000001</v>
      </c>
      <c r="I67" s="238">
        <f ca="1">Dren_Quantificacao!G63</f>
        <v>422.08</v>
      </c>
      <c r="J67" s="238"/>
      <c r="K67" s="238"/>
      <c r="L67" s="238"/>
      <c r="M67" s="238"/>
      <c r="N67" s="2439"/>
      <c r="O67" s="238">
        <f ca="1">Dren_Quantificacao!M63</f>
        <v>438.44200000000001</v>
      </c>
      <c r="P67" s="238">
        <f ca="1">Dren_Quantificacao!N63</f>
        <v>437.23899999999998</v>
      </c>
      <c r="Q67" s="238">
        <f ca="1">Dren_Quantificacao!O63</f>
        <v>435.4</v>
      </c>
      <c r="R67" s="238">
        <f ca="1">Dren_Quantificacao!P63</f>
        <v>434.54500000000002</v>
      </c>
      <c r="S67" s="238">
        <f ca="1">Dren_Quantificacao!Q63</f>
        <v>432.75400000000002</v>
      </c>
      <c r="T67" s="238">
        <f ca="1">Dren_Quantificacao!R63</f>
        <v>430.19499999999999</v>
      </c>
      <c r="U67" s="238">
        <f ca="1">Dren_Quantificacao!S63</f>
        <v>427.411</v>
      </c>
      <c r="V67" s="238">
        <f ca="1">Dren_Quantificacao!T63</f>
        <v>425.34899999999999</v>
      </c>
      <c r="W67" s="238"/>
      <c r="X67" s="2439"/>
      <c r="Y67" s="238">
        <f ca="1">Dren_Quantificacao!W63</f>
        <v>433.76799999999997</v>
      </c>
      <c r="Z67" s="238">
        <f ca="1">Dren_Quantificacao!X63</f>
        <v>437.322</v>
      </c>
      <c r="AA67" s="238">
        <f ca="1">Dren_Quantificacao!Y63</f>
        <v>435.63499999999999</v>
      </c>
      <c r="AB67" s="238">
        <f ca="1">Dren_Quantificacao!Z63</f>
        <v>434.22199999999998</v>
      </c>
      <c r="AC67" s="238">
        <f ca="1">Dren_Quantificacao!AA63</f>
        <v>432.86</v>
      </c>
      <c r="AD67" s="238">
        <f ca="1">Dren_Quantificacao!AB63</f>
        <v>431.46699999999998</v>
      </c>
      <c r="AE67" s="238">
        <f ca="1">Dren_Quantificacao!AC63</f>
        <v>429.36700000000002</v>
      </c>
      <c r="AF67" s="238">
        <f ca="1">Dren_Quantificacao!AD63</f>
        <v>427.56700000000001</v>
      </c>
      <c r="AG67" s="238">
        <f ca="1">Dren_Quantificacao!AE63</f>
        <v>426.125</v>
      </c>
      <c r="AH67" s="238">
        <f ca="1">Dren_Quantificacao!AF63</f>
        <v>424.90800000000002</v>
      </c>
      <c r="AI67" s="238"/>
      <c r="AJ67" s="238"/>
      <c r="AK67" s="238"/>
      <c r="AL67" s="238"/>
      <c r="AM67" s="238"/>
      <c r="AN67" s="238"/>
      <c r="AO67" s="238"/>
      <c r="AP67" s="238"/>
      <c r="AQ67" s="238"/>
      <c r="AR67" s="2439"/>
      <c r="AS67" s="238">
        <f ca="1">Dren_Quantificacao!AQ63</f>
        <v>429.08300000000003</v>
      </c>
      <c r="AT67" s="238">
        <f ca="1">Dren_Quantificacao!AR63</f>
        <v>428.34</v>
      </c>
      <c r="AU67" s="238">
        <f ca="1">Dren_Quantificacao!AS63</f>
        <v>427.209</v>
      </c>
      <c r="AV67" s="238">
        <f ca="1">Dren_Quantificacao!AT63</f>
        <v>425.77300000000002</v>
      </c>
      <c r="AW67" s="238">
        <f ca="1">Dren_Quantificacao!AU63</f>
        <v>423.791</v>
      </c>
      <c r="AX67" s="229"/>
      <c r="AY67" s="229"/>
      <c r="AZ67" s="229"/>
      <c r="BA67" s="229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2099"/>
      <c r="BN67" s="579">
        <f t="shared" ca="1" si="44"/>
        <v>11179.392</v>
      </c>
      <c r="BO67" s="1047"/>
      <c r="BP67" s="1038"/>
      <c r="BQ67" s="1038"/>
      <c r="BR67" s="1038"/>
      <c r="BS67" s="1038"/>
      <c r="BT67" s="1038"/>
      <c r="BU67" s="1038"/>
      <c r="BV67" s="1038"/>
      <c r="BW67" s="1040"/>
      <c r="BX67" s="1038"/>
      <c r="BY67" s="1038"/>
      <c r="BZ67" s="1038"/>
      <c r="CA67" s="1038"/>
      <c r="CB67" s="1038"/>
      <c r="CC67" s="1038"/>
      <c r="CD67" s="1038"/>
      <c r="CE67" s="1038"/>
      <c r="CF67" s="1040"/>
      <c r="CG67" s="1038"/>
      <c r="CH67" s="1038"/>
      <c r="CI67" s="1038"/>
      <c r="CJ67" s="1038"/>
      <c r="CK67" s="1038"/>
      <c r="CL67" s="1038"/>
      <c r="CM67" s="1040"/>
      <c r="CN67" s="1040"/>
      <c r="CO67" s="1038"/>
      <c r="CP67" s="1038"/>
      <c r="CQ67" s="1038"/>
      <c r="CR67" s="1038"/>
      <c r="CS67" s="1038"/>
      <c r="CT67" s="1040"/>
      <c r="CU67" s="1041"/>
      <c r="CV67" s="1038"/>
      <c r="CW67" s="973"/>
    </row>
    <row r="68" spans="1:101" s="14" customFormat="1" ht="21.95" customHeight="1" x14ac:dyDescent="0.15">
      <c r="A68" s="2707"/>
      <c r="B68" s="2625"/>
      <c r="C68" s="1864" t="s">
        <v>2234</v>
      </c>
      <c r="D68" s="1012"/>
      <c r="F68" s="158">
        <f>IF(AND(F84=0,SUM(F99:F103)=0),0,Dren_Quantificacao!D64)</f>
        <v>0</v>
      </c>
      <c r="G68" s="158">
        <f ca="1">IF(AND(G84=0,SUM(G99:G103)=0),0,Dren_Quantificacao!E64)</f>
        <v>424.90800000000002</v>
      </c>
      <c r="H68" s="158">
        <f ca="1">IF(AND(H84=0,SUM(H99:H103)=0),0,Dren_Quantificacao!F64)</f>
        <v>423.63200000000001</v>
      </c>
      <c r="I68" s="158">
        <f ca="1">IF(AND(I84=0,SUM(I99:I103)=0),0,Dren_Quantificacao!G64)</f>
        <v>422.08</v>
      </c>
      <c r="J68" s="158"/>
      <c r="K68" s="158"/>
      <c r="L68" s="158"/>
      <c r="M68" s="158"/>
      <c r="N68" s="2416"/>
      <c r="O68" s="158">
        <f ca="1">IF(AND(O84=0,SUM(O99:O103)=0),0,Dren_Quantificacao!M64)</f>
        <v>438.44200000000001</v>
      </c>
      <c r="P68" s="158">
        <f ca="1">IF(AND(P84=0,SUM(P99:P103)=0),0,Dren_Quantificacao!N64)</f>
        <v>437.23899999999998</v>
      </c>
      <c r="Q68" s="158">
        <f ca="1">IF(AND(Q84=0,SUM(Q99:Q103)=0),0,Dren_Quantificacao!O64)</f>
        <v>435.4</v>
      </c>
      <c r="R68" s="158">
        <f ca="1">IF(AND(R84=0,SUM(R99:R103)=0),0,Dren_Quantificacao!P64)</f>
        <v>434.54500000000002</v>
      </c>
      <c r="S68" s="158">
        <f ca="1">IF(AND(S84=0,SUM(S99:S103)=0),0,Dren_Quantificacao!Q64)</f>
        <v>432.75400000000002</v>
      </c>
      <c r="T68" s="158">
        <f ca="1">IF(AND(T84=0,SUM(T99:T103)=0),0,Dren_Quantificacao!R64)</f>
        <v>430.19499999999999</v>
      </c>
      <c r="U68" s="158">
        <f ca="1">IF(AND(U84=0,SUM(U99:U103)=0),0,Dren_Quantificacao!S64)</f>
        <v>427.411</v>
      </c>
      <c r="V68" s="158">
        <f ca="1">IF(AND(V84=0,SUM(V99:V103)=0),0,Dren_Quantificacao!T64)</f>
        <v>425.34899999999999</v>
      </c>
      <c r="W68" s="158"/>
      <c r="X68" s="2416"/>
      <c r="Y68" s="158">
        <f ca="1">IF(AND(Y84=0,SUM(Y99:Y103)=0),0,Dren_Quantificacao!W64)</f>
        <v>433.76799999999997</v>
      </c>
      <c r="Z68" s="158">
        <f ca="1">IF(AND(Z84=0,SUM(Z99:Z103)=0),0,Dren_Quantificacao!X64)</f>
        <v>437.322</v>
      </c>
      <c r="AA68" s="158">
        <f ca="1">IF(AND(AA84=0,SUM(AA99:AA103)=0),0,Dren_Quantificacao!Y64)</f>
        <v>435.63499999999999</v>
      </c>
      <c r="AB68" s="158">
        <f ca="1">IF(AND(AB84=0,SUM(AB99:AB103)=0),0,Dren_Quantificacao!Z64)</f>
        <v>434.22199999999998</v>
      </c>
      <c r="AC68" s="158">
        <f ca="1">IF(AND(AC84=0,SUM(AC99:AC103)=0),0,Dren_Quantificacao!AA64)</f>
        <v>432.86</v>
      </c>
      <c r="AD68" s="158">
        <f ca="1">IF(AND(AD84=0,SUM(AD99:AD103)=0),0,Dren_Quantificacao!AB64)</f>
        <v>431.46699999999998</v>
      </c>
      <c r="AE68" s="158">
        <f ca="1">IF(AND(AE84=0,SUM(AE99:AE103)=0),0,Dren_Quantificacao!AC64)</f>
        <v>429.36700000000002</v>
      </c>
      <c r="AF68" s="158">
        <f ca="1">IF(AND(AF84=0,SUM(AF99:AF103)=0),0,Dren_Quantificacao!AD64)</f>
        <v>427.56700000000001</v>
      </c>
      <c r="AG68" s="158">
        <f ca="1">IF(AND(AG84=0,SUM(AG99:AG103)=0),0,Dren_Quantificacao!AE64)</f>
        <v>426.125</v>
      </c>
      <c r="AH68" s="158">
        <f ca="1">IF(AND(AH84=0,SUM(AH99:AH103)=0),0,Dren_Quantificacao!AF64)</f>
        <v>424.90800000000002</v>
      </c>
      <c r="AI68" s="158"/>
      <c r="AJ68" s="158"/>
      <c r="AK68" s="158"/>
      <c r="AL68" s="158"/>
      <c r="AM68" s="158"/>
      <c r="AN68" s="158"/>
      <c r="AO68" s="158"/>
      <c r="AP68" s="158"/>
      <c r="AQ68" s="158"/>
      <c r="AR68" s="2416"/>
      <c r="AS68" s="158">
        <f ca="1">IF(AND(AS84=0,SUM(AS99:AS103)=0),0,Dren_Quantificacao!AQ64)</f>
        <v>0</v>
      </c>
      <c r="AT68" s="158">
        <f ca="1">IF(AND(AT84=0,SUM(AT99:AT103)=0),0,Dren_Quantificacao!AR64)</f>
        <v>428.34</v>
      </c>
      <c r="AU68" s="158">
        <f ca="1">IF(AND(AU84=0,SUM(AU99:AU103)=0),0,Dren_Quantificacao!AS64)</f>
        <v>427.209</v>
      </c>
      <c r="AV68" s="158">
        <f ca="1">IF(AND(AV84=0,SUM(AV99:AV103)=0),0,Dren_Quantificacao!AT64)</f>
        <v>425.77300000000002</v>
      </c>
      <c r="AW68" s="158">
        <f ca="1">IF(AND(AW84=0,SUM(AW99:AW103)=0),0,Dren_Quantificacao!AU64)</f>
        <v>423.791</v>
      </c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876"/>
      <c r="BN68" s="579">
        <f t="shared" ca="1" si="44"/>
        <v>10750.308999999999</v>
      </c>
      <c r="BO68" s="1047"/>
      <c r="BP68" s="1038"/>
      <c r="BQ68" s="1038"/>
      <c r="BR68" s="1038"/>
      <c r="BS68" s="1038"/>
      <c r="BT68" s="1038"/>
      <c r="BU68" s="1038"/>
      <c r="BV68" s="1038"/>
      <c r="BW68" s="1040"/>
      <c r="BX68" s="1038"/>
      <c r="BY68" s="1038"/>
      <c r="BZ68" s="1038"/>
      <c r="CA68" s="1038"/>
      <c r="CB68" s="1038"/>
      <c r="CC68" s="1038"/>
      <c r="CD68" s="1038"/>
      <c r="CE68" s="1038"/>
      <c r="CF68" s="1040"/>
      <c r="CG68" s="1038"/>
      <c r="CH68" s="1038"/>
      <c r="CI68" s="1038"/>
      <c r="CJ68" s="1038"/>
      <c r="CK68" s="1038"/>
      <c r="CL68" s="1038"/>
      <c r="CM68" s="1040"/>
      <c r="CN68" s="1040"/>
      <c r="CO68" s="1038"/>
      <c r="CP68" s="1038"/>
      <c r="CQ68" s="1038"/>
      <c r="CR68" s="1038"/>
      <c r="CS68" s="1038"/>
      <c r="CT68" s="1040"/>
      <c r="CU68" s="1041"/>
      <c r="CV68" s="1038"/>
      <c r="CW68" s="973"/>
    </row>
    <row r="69" spans="1:101" s="14" customFormat="1" ht="21.95" customHeight="1" x14ac:dyDescent="0.15">
      <c r="A69" s="2707"/>
      <c r="B69" s="2625"/>
      <c r="C69" s="1864" t="s">
        <v>2235</v>
      </c>
      <c r="D69" s="1012"/>
      <c r="F69" s="158">
        <f>Dren_Quantificacao!D65</f>
        <v>0</v>
      </c>
      <c r="G69" s="158">
        <f ca="1">Dren_Quantificacao!E65</f>
        <v>422.80799999999999</v>
      </c>
      <c r="H69" s="158">
        <f ca="1">Dren_Quantificacao!F65</f>
        <v>421.51164</v>
      </c>
      <c r="I69" s="158">
        <f ca="1">Dren_Quantificacao!G65</f>
        <v>419.97296</v>
      </c>
      <c r="J69" s="158"/>
      <c r="K69" s="158"/>
      <c r="L69" s="158"/>
      <c r="M69" s="158"/>
      <c r="N69" s="2416"/>
      <c r="O69" s="158">
        <f ca="1">Dren_Quantificacao!M65</f>
        <v>436.34199999999998</v>
      </c>
      <c r="P69" s="158">
        <f ca="1">Dren_Quantificacao!N65</f>
        <v>435.13815999999997</v>
      </c>
      <c r="Q69" s="158">
        <f ca="1">Dren_Quantificacao!O65</f>
        <v>433.19540999999992</v>
      </c>
      <c r="R69" s="158">
        <f ca="1">Dren_Quantificacao!P65</f>
        <v>432.3042099999999</v>
      </c>
      <c r="S69" s="158">
        <f ca="1">Dren_Quantificacao!Q65</f>
        <v>430.48180999999988</v>
      </c>
      <c r="T69" s="158">
        <f ca="1">Dren_Quantificacao!R65</f>
        <v>427.7553299999999</v>
      </c>
      <c r="U69" s="158">
        <f ca="1">Dren_Quantificacao!S65</f>
        <v>425.0072899999999</v>
      </c>
      <c r="V69" s="158">
        <f ca="1">Dren_Quantificacao!T65</f>
        <v>422.83256999999992</v>
      </c>
      <c r="W69" s="158"/>
      <c r="X69" s="2416"/>
      <c r="Y69" s="158">
        <f ca="1">Dren_Quantificacao!W65</f>
        <v>431.46799999999996</v>
      </c>
      <c r="Z69" s="158">
        <f ca="1">Dren_Quantificacao!X65</f>
        <v>435.22199999999998</v>
      </c>
      <c r="AA69" s="158">
        <f ca="1">Dren_Quantificacao!Y65</f>
        <v>433.51775999999995</v>
      </c>
      <c r="AB69" s="158">
        <f ca="1">Dren_Quantificacao!Z65</f>
        <v>432.09755999999993</v>
      </c>
      <c r="AC69" s="158">
        <f ca="1">Dren_Quantificacao!AA65</f>
        <v>430.53160999999994</v>
      </c>
      <c r="AD69" s="158">
        <f ca="1">Dren_Quantificacao!AB65</f>
        <v>429.23344999999995</v>
      </c>
      <c r="AE69" s="158">
        <f ca="1">Dren_Quantificacao!AC65</f>
        <v>427.14399999999995</v>
      </c>
      <c r="AF69" s="158">
        <f ca="1">Dren_Quantificacao!AD65</f>
        <v>425.13649999999996</v>
      </c>
      <c r="AG69" s="158">
        <f ca="1">Dren_Quantificacao!AE65</f>
        <v>423.61045999999993</v>
      </c>
      <c r="AH69" s="158">
        <f ca="1">Dren_Quantificacao!AF65</f>
        <v>422.50417999999991</v>
      </c>
      <c r="AI69" s="158"/>
      <c r="AJ69" s="158"/>
      <c r="AK69" s="158"/>
      <c r="AL69" s="158"/>
      <c r="AM69" s="158"/>
      <c r="AN69" s="158"/>
      <c r="AO69" s="158"/>
      <c r="AP69" s="158"/>
      <c r="AQ69" s="158"/>
      <c r="AR69" s="2416"/>
      <c r="AS69" s="158">
        <f ca="1">Dren_Quantificacao!AQ65</f>
        <v>426.983</v>
      </c>
      <c r="AT69" s="158">
        <f ca="1">Dren_Quantificacao!AR65</f>
        <v>426.18858</v>
      </c>
      <c r="AU69" s="158">
        <f ca="1">Dren_Quantificacao!AS65</f>
        <v>425.03593999999998</v>
      </c>
      <c r="AV69" s="158">
        <f ca="1">Dren_Quantificacao!AT65</f>
        <v>423.59553999999997</v>
      </c>
      <c r="AW69" s="158">
        <f ca="1">Dren_Quantificacao!AU65</f>
        <v>420.34475999999989</v>
      </c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876"/>
      <c r="BN69" s="579">
        <f t="shared" ca="1" si="44"/>
        <v>11119.962719999998</v>
      </c>
      <c r="BO69" s="1047"/>
      <c r="BP69" s="1038"/>
      <c r="BQ69" s="1038"/>
      <c r="BR69" s="1038"/>
      <c r="BS69" s="1038"/>
      <c r="BT69" s="1038"/>
      <c r="BU69" s="1038"/>
      <c r="BV69" s="1038"/>
      <c r="BW69" s="1040"/>
      <c r="BX69" s="1038"/>
      <c r="BY69" s="1038"/>
      <c r="BZ69" s="1038"/>
      <c r="CA69" s="1038"/>
      <c r="CB69" s="1038"/>
      <c r="CC69" s="1038"/>
      <c r="CD69" s="1038"/>
      <c r="CE69" s="1038"/>
      <c r="CF69" s="1040"/>
      <c r="CG69" s="1038"/>
      <c r="CH69" s="1038"/>
      <c r="CI69" s="1038"/>
      <c r="CJ69" s="1038"/>
      <c r="CK69" s="1038"/>
      <c r="CL69" s="1038"/>
      <c r="CM69" s="1040"/>
      <c r="CN69" s="1040"/>
      <c r="CO69" s="1038"/>
      <c r="CP69" s="1038"/>
      <c r="CQ69" s="1038"/>
      <c r="CR69" s="1038"/>
      <c r="CS69" s="1038"/>
      <c r="CT69" s="1040"/>
      <c r="CU69" s="1041"/>
      <c r="CV69" s="1038"/>
      <c r="CW69" s="973"/>
    </row>
    <row r="70" spans="1:101" s="14" customFormat="1" ht="21.95" customHeight="1" x14ac:dyDescent="0.15">
      <c r="A70" s="2707"/>
      <c r="B70" s="2625"/>
      <c r="C70" s="1864" t="s">
        <v>2236</v>
      </c>
      <c r="D70" s="1012"/>
      <c r="F70" s="158">
        <f t="shared" ref="F70:G70" si="45">IF(F68=0,F67-F69,F68-F69)</f>
        <v>0</v>
      </c>
      <c r="G70" s="158">
        <f t="shared" ca="1" si="45"/>
        <v>2.1000000000000227</v>
      </c>
      <c r="H70" s="158">
        <f t="shared" ref="H70:I70" ca="1" si="46">IF(H68=0,H67-H69,H68-H69)</f>
        <v>2.1203600000000051</v>
      </c>
      <c r="I70" s="158">
        <f t="shared" ca="1" si="46"/>
        <v>2.1070399999999836</v>
      </c>
      <c r="J70" s="158"/>
      <c r="K70" s="158"/>
      <c r="L70" s="158"/>
      <c r="M70" s="158"/>
      <c r="N70" s="2416"/>
      <c r="O70" s="158">
        <f t="shared" ref="O70:V70" ca="1" si="47">IF(O68=0,O67-O69,O68-O69)</f>
        <v>2.1000000000000227</v>
      </c>
      <c r="P70" s="158">
        <f t="shared" ca="1" si="47"/>
        <v>2.1008400000000051</v>
      </c>
      <c r="Q70" s="158">
        <f t="shared" ca="1" si="47"/>
        <v>2.2045900000000529</v>
      </c>
      <c r="R70" s="158">
        <f t="shared" ca="1" si="47"/>
        <v>2.2407900000001177</v>
      </c>
      <c r="S70" s="158">
        <f t="shared" ca="1" si="47"/>
        <v>2.2721900000001369</v>
      </c>
      <c r="T70" s="158">
        <f t="shared" ca="1" si="47"/>
        <v>2.4396700000000919</v>
      </c>
      <c r="U70" s="158">
        <f t="shared" ca="1" si="47"/>
        <v>2.4037100000001033</v>
      </c>
      <c r="V70" s="158">
        <f t="shared" ca="1" si="47"/>
        <v>2.5164300000000708</v>
      </c>
      <c r="W70" s="158"/>
      <c r="X70" s="2416"/>
      <c r="Y70" s="158">
        <f t="shared" ref="Y70:AH70" ca="1" si="48">IF(Y68=0,Y67-Y69,Y68-Y69)</f>
        <v>2.3000000000000114</v>
      </c>
      <c r="Z70" s="158">
        <f t="shared" ca="1" si="48"/>
        <v>2.1000000000000227</v>
      </c>
      <c r="AA70" s="158">
        <f t="shared" ca="1" si="48"/>
        <v>2.117240000000038</v>
      </c>
      <c r="AB70" s="158">
        <f t="shared" ca="1" si="48"/>
        <v>2.1244400000000496</v>
      </c>
      <c r="AC70" s="158">
        <f t="shared" ca="1" si="48"/>
        <v>2.3283900000000699</v>
      </c>
      <c r="AD70" s="158">
        <f t="shared" ca="1" si="48"/>
        <v>2.2335500000000366</v>
      </c>
      <c r="AE70" s="158">
        <f t="shared" ca="1" si="48"/>
        <v>2.22300000000007</v>
      </c>
      <c r="AF70" s="158">
        <f t="shared" ca="1" si="48"/>
        <v>2.4305000000000518</v>
      </c>
      <c r="AG70" s="158">
        <f t="shared" ca="1" si="48"/>
        <v>2.5145400000000677</v>
      </c>
      <c r="AH70" s="158">
        <f t="shared" ca="1" si="48"/>
        <v>2.4038200000001098</v>
      </c>
      <c r="AI70" s="158"/>
      <c r="AJ70" s="158"/>
      <c r="AK70" s="158"/>
      <c r="AL70" s="158"/>
      <c r="AM70" s="158"/>
      <c r="AN70" s="158"/>
      <c r="AO70" s="158"/>
      <c r="AP70" s="158"/>
      <c r="AQ70" s="158"/>
      <c r="AR70" s="2416"/>
      <c r="AS70" s="158">
        <f t="shared" ref="AS70:AW70" ca="1" si="49">IF(AS68=0,AS67-AS69,AS68-AS69)</f>
        <v>2.1000000000000227</v>
      </c>
      <c r="AT70" s="158">
        <f t="shared" ca="1" si="49"/>
        <v>2.1514199999999732</v>
      </c>
      <c r="AU70" s="158">
        <f t="shared" ca="1" si="49"/>
        <v>2.1730600000000209</v>
      </c>
      <c r="AV70" s="158">
        <f t="shared" ca="1" si="49"/>
        <v>2.1774600000000532</v>
      </c>
      <c r="AW70" s="158">
        <f t="shared" ca="1" si="49"/>
        <v>3.4462400000001026</v>
      </c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876"/>
      <c r="BN70" s="579">
        <f t="shared" ca="1" si="44"/>
        <v>59.429280000001313</v>
      </c>
      <c r="BO70" s="1047"/>
      <c r="BP70" s="1038"/>
      <c r="BQ70" s="1038"/>
      <c r="BR70" s="1038"/>
      <c r="BS70" s="1038"/>
      <c r="BT70" s="1038"/>
      <c r="BU70" s="1038"/>
      <c r="BV70" s="1038"/>
      <c r="BW70" s="1040"/>
      <c r="BX70" s="1038"/>
      <c r="BY70" s="1038"/>
      <c r="BZ70" s="1038"/>
      <c r="CA70" s="1038"/>
      <c r="CB70" s="1038"/>
      <c r="CC70" s="1038"/>
      <c r="CD70" s="1038"/>
      <c r="CE70" s="1038"/>
      <c r="CF70" s="1040"/>
      <c r="CG70" s="1038"/>
      <c r="CH70" s="1038"/>
      <c r="CI70" s="1038"/>
      <c r="CJ70" s="1038"/>
      <c r="CK70" s="1038"/>
      <c r="CL70" s="1038"/>
      <c r="CM70" s="1040"/>
      <c r="CN70" s="1040"/>
      <c r="CO70" s="1038"/>
      <c r="CP70" s="1038"/>
      <c r="CQ70" s="1038"/>
      <c r="CR70" s="1038"/>
      <c r="CS70" s="1038"/>
      <c r="CT70" s="1040"/>
      <c r="CU70" s="1041"/>
      <c r="CV70" s="1038"/>
      <c r="CW70" s="973"/>
    </row>
    <row r="71" spans="1:101" s="14" customFormat="1" ht="21.95" customHeight="1" x14ac:dyDescent="0.15">
      <c r="A71" s="2707"/>
      <c r="B71" s="2625"/>
      <c r="C71" s="1864" t="s">
        <v>2245</v>
      </c>
      <c r="D71" s="1012"/>
      <c r="F71" s="158">
        <f>Dren_Quantificacao!D66</f>
        <v>0</v>
      </c>
      <c r="G71" s="158">
        <f ca="1">Dren_Quantificacao!E66</f>
        <v>422.23764</v>
      </c>
      <c r="H71" s="158">
        <f ca="1">Dren_Quantificacao!F66</f>
        <v>420.69896</v>
      </c>
      <c r="I71" s="158">
        <f ca="1">Dren_Quantificacao!G66</f>
        <v>419.16028</v>
      </c>
      <c r="J71" s="158"/>
      <c r="K71" s="158"/>
      <c r="L71" s="158"/>
      <c r="M71" s="158"/>
      <c r="N71" s="2416"/>
      <c r="O71" s="158">
        <f ca="1">Dren_Quantificacao!M66</f>
        <v>435.86415999999997</v>
      </c>
      <c r="P71" s="158">
        <f ca="1">Dren_Quantificacao!N66</f>
        <v>434.02140999999995</v>
      </c>
      <c r="Q71" s="158">
        <f ca="1">Dren_Quantificacao!O66</f>
        <v>433.0302099999999</v>
      </c>
      <c r="R71" s="158">
        <f ca="1">Dren_Quantificacao!P66</f>
        <v>431.20780999999988</v>
      </c>
      <c r="S71" s="158">
        <f ca="1">Dren_Quantificacao!Q66</f>
        <v>428.68132999999989</v>
      </c>
      <c r="T71" s="158">
        <f ca="1">Dren_Quantificacao!R66</f>
        <v>426.21728999999988</v>
      </c>
      <c r="U71" s="158">
        <f ca="1">Dren_Quantificacao!S66</f>
        <v>424.13256999999987</v>
      </c>
      <c r="V71" s="158">
        <f ca="1">Dren_Quantificacao!T66</f>
        <v>423.22116999999992</v>
      </c>
      <c r="W71" s="158"/>
      <c r="X71" s="2416"/>
      <c r="Y71" s="158">
        <f ca="1">Dren_Quantificacao!W66</f>
        <v>431.49960999999996</v>
      </c>
      <c r="Z71" s="158">
        <f ca="1">Dren_Quantificacao!X66</f>
        <v>434.24375999999995</v>
      </c>
      <c r="AA71" s="158">
        <f ca="1">Dren_Quantificacao!Y66</f>
        <v>432.82355999999993</v>
      </c>
      <c r="AB71" s="158">
        <f ca="1">Dren_Quantificacao!Z66</f>
        <v>431.49803999999995</v>
      </c>
      <c r="AC71" s="158">
        <f ca="1">Dren_Quantificacao!AA66</f>
        <v>430.20144999999997</v>
      </c>
      <c r="AD71" s="158">
        <f ca="1">Dren_Quantificacao!AB66</f>
        <v>428.11199999999997</v>
      </c>
      <c r="AE71" s="158">
        <f ca="1">Dren_Quantificacao!AC66</f>
        <v>426.30449999999996</v>
      </c>
      <c r="AF71" s="158">
        <f ca="1">Dren_Quantificacao!AD66</f>
        <v>424.82045999999991</v>
      </c>
      <c r="AG71" s="158">
        <f ca="1">Dren_Quantificacao!AE66</f>
        <v>423.71417999999989</v>
      </c>
      <c r="AH71" s="158">
        <f ca="1">Dren_Quantificacao!AF66</f>
        <v>422.05475999999987</v>
      </c>
      <c r="AI71" s="158"/>
      <c r="AJ71" s="158"/>
      <c r="AK71" s="158"/>
      <c r="AL71" s="158"/>
      <c r="AM71" s="158"/>
      <c r="AN71" s="158"/>
      <c r="AO71" s="158"/>
      <c r="AP71" s="158"/>
      <c r="AQ71" s="158"/>
      <c r="AR71" s="2416"/>
      <c r="AS71" s="158">
        <f ca="1">Dren_Quantificacao!AQ66</f>
        <v>0</v>
      </c>
      <c r="AT71" s="158">
        <f ca="1">Dren_Quantificacao!AR66</f>
        <v>426.00394</v>
      </c>
      <c r="AU71" s="158">
        <f ca="1">Dren_Quantificacao!AS66</f>
        <v>424.56353999999999</v>
      </c>
      <c r="AV71" s="158">
        <f ca="1">Dren_Quantificacao!AT66</f>
        <v>422.61926999999997</v>
      </c>
      <c r="AW71" s="158">
        <f ca="1">Dren_Quantificacao!AU66</f>
        <v>419.60454999999985</v>
      </c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876"/>
      <c r="BN71" s="579">
        <f t="shared" ca="1" si="44"/>
        <v>10676.536449999998</v>
      </c>
      <c r="BO71" s="1047"/>
      <c r="BP71" s="1038"/>
      <c r="BQ71" s="1038"/>
      <c r="BR71" s="1038"/>
      <c r="BS71" s="1038"/>
      <c r="BT71" s="1038"/>
      <c r="BU71" s="1038"/>
      <c r="BV71" s="1038"/>
      <c r="BW71" s="1040"/>
      <c r="BX71" s="1038"/>
      <c r="BY71" s="1038"/>
      <c r="BZ71" s="1038"/>
      <c r="CA71" s="1038"/>
      <c r="CB71" s="1038"/>
      <c r="CC71" s="1038"/>
      <c r="CD71" s="1038"/>
      <c r="CE71" s="1038"/>
      <c r="CF71" s="1040"/>
      <c r="CG71" s="1038"/>
      <c r="CH71" s="1038"/>
      <c r="CI71" s="1038"/>
      <c r="CJ71" s="1038"/>
      <c r="CK71" s="1038"/>
      <c r="CL71" s="1038"/>
      <c r="CM71" s="1040"/>
      <c r="CN71" s="1040"/>
      <c r="CO71" s="1038"/>
      <c r="CP71" s="1038"/>
      <c r="CQ71" s="1038"/>
      <c r="CR71" s="1038"/>
      <c r="CS71" s="1038"/>
      <c r="CT71" s="1040"/>
      <c r="CU71" s="1041"/>
      <c r="CV71" s="1038"/>
      <c r="CW71" s="973"/>
    </row>
    <row r="72" spans="1:101" s="14" customFormat="1" ht="21.95" customHeight="1" x14ac:dyDescent="0.15">
      <c r="A72" s="2707"/>
      <c r="B72" s="2625"/>
      <c r="C72" s="1864" t="s">
        <v>2244</v>
      </c>
      <c r="D72" s="1012"/>
      <c r="F72" s="158">
        <f>Dren_Quantificacao!D67</f>
        <v>0</v>
      </c>
      <c r="G72" s="158">
        <f ca="1">Dren_Quantificacao!E67</f>
        <v>423.53399999999999</v>
      </c>
      <c r="H72" s="158">
        <f ca="1">Dren_Quantificacao!F67</f>
        <v>422.23764</v>
      </c>
      <c r="I72" s="158">
        <f ca="1">Dren_Quantificacao!G67</f>
        <v>420.69896</v>
      </c>
      <c r="J72" s="158"/>
      <c r="K72" s="158"/>
      <c r="L72" s="158"/>
      <c r="M72" s="158"/>
      <c r="N72" s="2416"/>
      <c r="O72" s="158">
        <f ca="1">Dren_Quantificacao!M67</f>
        <v>437.06799999999998</v>
      </c>
      <c r="P72" s="158">
        <f ca="1">Dren_Quantificacao!N67</f>
        <v>435.86415999999997</v>
      </c>
      <c r="Q72" s="158">
        <f ca="1">Dren_Quantificacao!O67</f>
        <v>433.92140999999992</v>
      </c>
      <c r="R72" s="158">
        <f ca="1">Dren_Quantificacao!P67</f>
        <v>433.0302099999999</v>
      </c>
      <c r="S72" s="158">
        <f ca="1">Dren_Quantificacao!Q67</f>
        <v>431.20780999999988</v>
      </c>
      <c r="T72" s="158">
        <f ca="1">Dren_Quantificacao!R67</f>
        <v>428.96532999999988</v>
      </c>
      <c r="U72" s="158">
        <f ca="1">Dren_Quantificacao!S67</f>
        <v>426.21728999999988</v>
      </c>
      <c r="V72" s="158">
        <f ca="1">Dren_Quantificacao!T67</f>
        <v>424.0425699999999</v>
      </c>
      <c r="W72" s="158"/>
      <c r="X72" s="2416"/>
      <c r="Y72" s="158">
        <f ca="1">Dren_Quantificacao!W67</f>
        <v>432.43599999999998</v>
      </c>
      <c r="Z72" s="158">
        <f ca="1">Dren_Quantificacao!X67</f>
        <v>435.94799999999998</v>
      </c>
      <c r="AA72" s="158">
        <f ca="1">Dren_Quantificacao!Y67</f>
        <v>434.24375999999995</v>
      </c>
      <c r="AB72" s="158">
        <f ca="1">Dren_Quantificacao!Z67</f>
        <v>432.82355999999993</v>
      </c>
      <c r="AC72" s="158">
        <f ca="1">Dren_Quantificacao!AA67</f>
        <v>431.49960999999996</v>
      </c>
      <c r="AD72" s="158">
        <f ca="1">Dren_Quantificacao!AB67</f>
        <v>430.20144999999997</v>
      </c>
      <c r="AE72" s="158">
        <f ca="1">Dren_Quantificacao!AC67</f>
        <v>428.11199999999997</v>
      </c>
      <c r="AF72" s="158">
        <f ca="1">Dren_Quantificacao!AD67</f>
        <v>426.34649999999993</v>
      </c>
      <c r="AG72" s="158">
        <f ca="1">Dren_Quantificacao!AE67</f>
        <v>424.82045999999991</v>
      </c>
      <c r="AH72" s="158">
        <f ca="1">Dren_Quantificacao!AF67</f>
        <v>423.71417999999989</v>
      </c>
      <c r="AI72" s="158"/>
      <c r="AJ72" s="158"/>
      <c r="AK72" s="158"/>
      <c r="AL72" s="158"/>
      <c r="AM72" s="158"/>
      <c r="AN72" s="158"/>
      <c r="AO72" s="158"/>
      <c r="AP72" s="158"/>
      <c r="AQ72" s="158"/>
      <c r="AR72" s="2416"/>
      <c r="AS72" s="158">
        <f ca="1">Dren_Quantificacao!AQ67</f>
        <v>0</v>
      </c>
      <c r="AT72" s="158">
        <f ca="1">Dren_Quantificacao!AR67</f>
        <v>427.15658000000002</v>
      </c>
      <c r="AU72" s="158">
        <f ca="1">Dren_Quantificacao!AS67</f>
        <v>426.00394</v>
      </c>
      <c r="AV72" s="158">
        <f ca="1">Dren_Quantificacao!AT67</f>
        <v>424.56353999999999</v>
      </c>
      <c r="AW72" s="158">
        <f ca="1">Dren_Quantificacao!AU67</f>
        <v>421.55475999999987</v>
      </c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876"/>
      <c r="BN72" s="579">
        <f t="shared" ca="1" si="44"/>
        <v>10716.211719999996</v>
      </c>
      <c r="BO72" s="1047"/>
      <c r="BP72" s="1038"/>
      <c r="BQ72" s="1038"/>
      <c r="BR72" s="1038"/>
      <c r="BS72" s="1038"/>
      <c r="BT72" s="1038"/>
      <c r="BU72" s="1038"/>
      <c r="BV72" s="1038"/>
      <c r="BW72" s="1040"/>
      <c r="BX72" s="1038"/>
      <c r="BY72" s="1038"/>
      <c r="BZ72" s="1038"/>
      <c r="CA72" s="1038"/>
      <c r="CB72" s="1038"/>
      <c r="CC72" s="1038"/>
      <c r="CD72" s="1038"/>
      <c r="CE72" s="1038"/>
      <c r="CF72" s="1040"/>
      <c r="CG72" s="1038"/>
      <c r="CH72" s="1038"/>
      <c r="CI72" s="1038"/>
      <c r="CJ72" s="1038"/>
      <c r="CK72" s="1038"/>
      <c r="CL72" s="1038"/>
      <c r="CM72" s="1040"/>
      <c r="CN72" s="1040"/>
      <c r="CO72" s="1038"/>
      <c r="CP72" s="1038"/>
      <c r="CQ72" s="1038"/>
      <c r="CR72" s="1038"/>
      <c r="CS72" s="1038"/>
      <c r="CT72" s="1040"/>
      <c r="CU72" s="1041"/>
      <c r="CV72" s="1038"/>
      <c r="CW72" s="973"/>
    </row>
    <row r="73" spans="1:101" s="14" customFormat="1" ht="21.95" customHeight="1" x14ac:dyDescent="0.15">
      <c r="A73" s="2707"/>
      <c r="B73" s="2625"/>
      <c r="C73" s="1864" t="s">
        <v>2246</v>
      </c>
      <c r="D73" s="1012"/>
      <c r="F73" s="158">
        <f>Dren_Quantificacao!D68</f>
        <v>0</v>
      </c>
      <c r="G73" s="158">
        <f ca="1">Dren_Quantificacao!E68</f>
        <v>0</v>
      </c>
      <c r="H73" s="158">
        <f ca="1">Dren_Quantificacao!F68</f>
        <v>422.23764</v>
      </c>
      <c r="I73" s="158">
        <f ca="1">Dren_Quantificacao!G68</f>
        <v>420.69896</v>
      </c>
      <c r="J73" s="158"/>
      <c r="K73" s="158"/>
      <c r="L73" s="158"/>
      <c r="M73" s="158"/>
      <c r="N73" s="2416"/>
      <c r="O73" s="158">
        <f ca="1">Dren_Quantificacao!M68</f>
        <v>0</v>
      </c>
      <c r="P73" s="158">
        <f ca="1">Dren_Quantificacao!N68</f>
        <v>435.86415999999997</v>
      </c>
      <c r="Q73" s="158">
        <f ca="1">Dren_Quantificacao!O68</f>
        <v>434.02140999999995</v>
      </c>
      <c r="R73" s="158">
        <f ca="1">Dren_Quantificacao!P68</f>
        <v>433.0302099999999</v>
      </c>
      <c r="S73" s="158">
        <f ca="1">Dren_Quantificacao!Q68</f>
        <v>431.20780999999988</v>
      </c>
      <c r="T73" s="158">
        <f ca="1">Dren_Quantificacao!R68</f>
        <v>428.68132999999989</v>
      </c>
      <c r="U73" s="158">
        <f ca="1">Dren_Quantificacao!S68</f>
        <v>426.21728999999988</v>
      </c>
      <c r="V73" s="158">
        <f ca="1">Dren_Quantificacao!T68</f>
        <v>424.13256999999987</v>
      </c>
      <c r="W73" s="158"/>
      <c r="X73" s="2416"/>
      <c r="Y73" s="158">
        <f ca="1">Dren_Quantificacao!W68</f>
        <v>0</v>
      </c>
      <c r="Z73" s="158">
        <f ca="1">Dren_Quantificacao!X68</f>
        <v>0</v>
      </c>
      <c r="AA73" s="158">
        <f ca="1">Dren_Quantificacao!Y68</f>
        <v>434.24375999999995</v>
      </c>
      <c r="AB73" s="158">
        <f ca="1">Dren_Quantificacao!Z68</f>
        <v>432.82355999999993</v>
      </c>
      <c r="AC73" s="158">
        <f ca="1">Dren_Quantificacao!AA68</f>
        <v>431.49960999999996</v>
      </c>
      <c r="AD73" s="158">
        <f ca="1">Dren_Quantificacao!AB68</f>
        <v>430.20144999999997</v>
      </c>
      <c r="AE73" s="158">
        <f ca="1">Dren_Quantificacao!AC68</f>
        <v>428.11199999999997</v>
      </c>
      <c r="AF73" s="158">
        <f ca="1">Dren_Quantificacao!AD68</f>
        <v>426.30449999999996</v>
      </c>
      <c r="AG73" s="158">
        <f ca="1">Dren_Quantificacao!AE68</f>
        <v>424.82045999999991</v>
      </c>
      <c r="AH73" s="158">
        <f ca="1">Dren_Quantificacao!AF68</f>
        <v>423.71417999999989</v>
      </c>
      <c r="AI73" s="158"/>
      <c r="AJ73" s="158"/>
      <c r="AK73" s="158"/>
      <c r="AL73" s="158"/>
      <c r="AM73" s="158"/>
      <c r="AN73" s="158"/>
      <c r="AO73" s="158"/>
      <c r="AP73" s="158"/>
      <c r="AQ73" s="158"/>
      <c r="AR73" s="2416"/>
      <c r="AS73" s="158">
        <f ca="1">Dren_Quantificacao!AQ68</f>
        <v>0</v>
      </c>
      <c r="AT73" s="158">
        <f ca="1">Dren_Quantificacao!AR68</f>
        <v>0</v>
      </c>
      <c r="AU73" s="158">
        <f ca="1">Dren_Quantificacao!AS68</f>
        <v>426.00394</v>
      </c>
      <c r="AV73" s="158">
        <f ca="1">Dren_Quantificacao!AT68</f>
        <v>424.56353999999999</v>
      </c>
      <c r="AW73" s="158">
        <f ca="1">Dren_Quantificacao!AU68</f>
        <v>422.05475999999987</v>
      </c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876"/>
      <c r="BN73" s="579">
        <f t="shared" ca="1" si="44"/>
        <v>8560.4331399999974</v>
      </c>
      <c r="BO73" s="1047"/>
      <c r="BP73" s="1038"/>
      <c r="BQ73" s="1038"/>
      <c r="BR73" s="1038"/>
      <c r="BS73" s="1038"/>
      <c r="BT73" s="1038"/>
      <c r="BU73" s="1038"/>
      <c r="BV73" s="1038"/>
      <c r="BW73" s="1040"/>
      <c r="BX73" s="1038"/>
      <c r="BY73" s="1038"/>
      <c r="BZ73" s="1038"/>
      <c r="CA73" s="1038"/>
      <c r="CB73" s="1038"/>
      <c r="CC73" s="1038"/>
      <c r="CD73" s="1038"/>
      <c r="CE73" s="1038"/>
      <c r="CF73" s="1040"/>
      <c r="CG73" s="1038"/>
      <c r="CH73" s="1038"/>
      <c r="CI73" s="1038"/>
      <c r="CJ73" s="1038"/>
      <c r="CK73" s="1038"/>
      <c r="CL73" s="1038"/>
      <c r="CM73" s="1040"/>
      <c r="CN73" s="1040"/>
      <c r="CO73" s="1038"/>
      <c r="CP73" s="1038"/>
      <c r="CQ73" s="1038"/>
      <c r="CR73" s="1038"/>
      <c r="CS73" s="1038"/>
      <c r="CT73" s="1040"/>
      <c r="CU73" s="1041"/>
      <c r="CV73" s="1038"/>
      <c r="CW73" s="973"/>
    </row>
    <row r="74" spans="1:101" s="14" customFormat="1" ht="21.95" customHeight="1" x14ac:dyDescent="0.15">
      <c r="A74" s="2707"/>
      <c r="B74" s="2625"/>
      <c r="C74" s="1864" t="s">
        <v>2247</v>
      </c>
      <c r="D74" s="1012"/>
      <c r="F74" s="158">
        <f>Dren_Quantificacao!D69</f>
        <v>0</v>
      </c>
      <c r="G74" s="158">
        <f ca="1">Dren_Quantificacao!E69</f>
        <v>0</v>
      </c>
      <c r="H74" s="158">
        <f ca="1">Dren_Quantificacao!F69</f>
        <v>0</v>
      </c>
      <c r="I74" s="158">
        <f ca="1">Dren_Quantificacao!G69</f>
        <v>0</v>
      </c>
      <c r="J74" s="158"/>
      <c r="K74" s="158"/>
      <c r="L74" s="158"/>
      <c r="M74" s="158"/>
      <c r="N74" s="2416"/>
      <c r="O74" s="158">
        <f ca="1">Dren_Quantificacao!M69</f>
        <v>0</v>
      </c>
      <c r="P74" s="158">
        <f ca="1">Dren_Quantificacao!N69</f>
        <v>0</v>
      </c>
      <c r="Q74" s="158">
        <f ca="1">Dren_Quantificacao!O69</f>
        <v>0</v>
      </c>
      <c r="R74" s="158">
        <f ca="1">Dren_Quantificacao!P69</f>
        <v>0</v>
      </c>
      <c r="S74" s="158">
        <f ca="1">Dren_Quantificacao!Q69</f>
        <v>0</v>
      </c>
      <c r="T74" s="158">
        <f ca="1">Dren_Quantificacao!R69</f>
        <v>0</v>
      </c>
      <c r="U74" s="158">
        <f ca="1">Dren_Quantificacao!S69</f>
        <v>0</v>
      </c>
      <c r="V74" s="158">
        <f ca="1">Dren_Quantificacao!T69</f>
        <v>0</v>
      </c>
      <c r="W74" s="158"/>
      <c r="X74" s="2416"/>
      <c r="Y74" s="158">
        <f ca="1">Dren_Quantificacao!W69</f>
        <v>0</v>
      </c>
      <c r="Z74" s="158">
        <f ca="1">Dren_Quantificacao!X69</f>
        <v>0</v>
      </c>
      <c r="AA74" s="158">
        <f ca="1">Dren_Quantificacao!Y69</f>
        <v>0</v>
      </c>
      <c r="AB74" s="158">
        <f ca="1">Dren_Quantificacao!Z69</f>
        <v>0</v>
      </c>
      <c r="AC74" s="158">
        <f ca="1">Dren_Quantificacao!AA69</f>
        <v>431.49803999999995</v>
      </c>
      <c r="AD74" s="158">
        <f ca="1">Dren_Quantificacao!AB69</f>
        <v>0</v>
      </c>
      <c r="AE74" s="158">
        <f ca="1">Dren_Quantificacao!AC69</f>
        <v>0</v>
      </c>
      <c r="AF74" s="158">
        <f ca="1">Dren_Quantificacao!AD69</f>
        <v>0</v>
      </c>
      <c r="AG74" s="158">
        <f ca="1">Dren_Quantificacao!AE69</f>
        <v>0</v>
      </c>
      <c r="AH74" s="158">
        <f ca="1">Dren_Quantificacao!AF69</f>
        <v>0</v>
      </c>
      <c r="AI74" s="158"/>
      <c r="AJ74" s="158"/>
      <c r="AK74" s="158"/>
      <c r="AL74" s="158"/>
      <c r="AM74" s="158"/>
      <c r="AN74" s="158"/>
      <c r="AO74" s="158"/>
      <c r="AP74" s="158"/>
      <c r="AQ74" s="158"/>
      <c r="AR74" s="2416"/>
      <c r="AS74" s="158">
        <f ca="1">Dren_Quantificacao!AQ69</f>
        <v>0</v>
      </c>
      <c r="AT74" s="158">
        <f ca="1">Dren_Quantificacao!AR69</f>
        <v>0</v>
      </c>
      <c r="AU74" s="158">
        <f ca="1">Dren_Quantificacao!AS69</f>
        <v>0</v>
      </c>
      <c r="AV74" s="158">
        <f ca="1">Dren_Quantificacao!AT69</f>
        <v>0</v>
      </c>
      <c r="AW74" s="158">
        <f ca="1">Dren_Quantificacao!AU69</f>
        <v>422.61926999999997</v>
      </c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876"/>
      <c r="BN74" s="579">
        <f t="shared" ca="1" si="44"/>
        <v>854.11730999999986</v>
      </c>
      <c r="BO74" s="1047"/>
      <c r="BP74" s="1038"/>
      <c r="BQ74" s="1038"/>
      <c r="BR74" s="1038"/>
      <c r="BS74" s="1038"/>
      <c r="BT74" s="1038"/>
      <c r="BU74" s="1038"/>
      <c r="BV74" s="1038"/>
      <c r="BW74" s="1040"/>
      <c r="BX74" s="1038"/>
      <c r="BY74" s="1038"/>
      <c r="BZ74" s="1038"/>
      <c r="CA74" s="1038"/>
      <c r="CB74" s="1038"/>
      <c r="CC74" s="1038"/>
      <c r="CD74" s="1038"/>
      <c r="CE74" s="1038"/>
      <c r="CF74" s="1040"/>
      <c r="CG74" s="1038"/>
      <c r="CH74" s="1038"/>
      <c r="CI74" s="1038"/>
      <c r="CJ74" s="1038"/>
      <c r="CK74" s="1038"/>
      <c r="CL74" s="1038"/>
      <c r="CM74" s="1040"/>
      <c r="CN74" s="1040"/>
      <c r="CO74" s="1038"/>
      <c r="CP74" s="1038"/>
      <c r="CQ74" s="1038"/>
      <c r="CR74" s="1038"/>
      <c r="CS74" s="1038"/>
      <c r="CT74" s="1040"/>
      <c r="CU74" s="1041"/>
      <c r="CV74" s="1038"/>
      <c r="CW74" s="973"/>
    </row>
    <row r="75" spans="1:101" s="14" customFormat="1" ht="21.95" customHeight="1" thickBot="1" x14ac:dyDescent="0.2">
      <c r="A75" s="2707"/>
      <c r="B75" s="2625"/>
      <c r="C75" s="1864" t="s">
        <v>2243</v>
      </c>
      <c r="D75" s="1013"/>
      <c r="E75" s="2250"/>
      <c r="F75" s="239">
        <f>ROUND(IF(F67=0,0,IF(F6&gt;0,0,Dren_Quantificacao!D70)),2)</f>
        <v>0</v>
      </c>
      <c r="G75" s="239">
        <f ca="1">ROUND(IF(G67=0,0,IF(G6&gt;0,0,Dren_Quantificacao!E70)),2)</f>
        <v>1.5</v>
      </c>
      <c r="H75" s="239">
        <f ca="1">ROUND(IF(H67=0,0,IF(H6&gt;0,0,Dren_Quantificacao!F70)),2)</f>
        <v>1.5</v>
      </c>
      <c r="I75" s="239">
        <f ca="1">ROUND(IF(I67=0,0,IF(I6&gt;0,0,Dren_Quantificacao!G70)),2)</f>
        <v>1.5</v>
      </c>
      <c r="J75" s="239"/>
      <c r="K75" s="239"/>
      <c r="L75" s="239"/>
      <c r="M75" s="239"/>
      <c r="N75" s="2440"/>
      <c r="O75" s="239">
        <f ca="1">ROUND(IF(O67=0,0,IF(O6&gt;0,0,Dren_Quantificacao!M70)),2)</f>
        <v>1.5</v>
      </c>
      <c r="P75" s="239">
        <f ca="1">ROUND(IF(P67=0,0,IF(P6&gt;0,0,Dren_Quantificacao!N70)),2)</f>
        <v>1.5</v>
      </c>
      <c r="Q75" s="239">
        <f ca="1">ROUND(IF(Q67=0,0,IF(Q6&gt;0,0,Dren_Quantificacao!O70)),2)</f>
        <v>1.5</v>
      </c>
      <c r="R75" s="239">
        <f ca="1">ROUND(IF(R67=0,0,IF(R6&gt;0,0,Dren_Quantificacao!P70)),2)</f>
        <v>1.5</v>
      </c>
      <c r="S75" s="239">
        <f ca="1">ROUND(IF(S67=0,0,IF(S6&gt;0,0,Dren_Quantificacao!Q70)),2)</f>
        <v>1.5</v>
      </c>
      <c r="T75" s="239">
        <f ca="1">ROUND(IF(T67=0,0,IF(T6&gt;0,0,Dren_Quantificacao!R70)),2)</f>
        <v>1.5</v>
      </c>
      <c r="U75" s="239">
        <f ca="1">ROUND(IF(U67=0,0,IF(U6&gt;0,0,Dren_Quantificacao!S70)),2)</f>
        <v>1.5</v>
      </c>
      <c r="V75" s="239">
        <f ca="1">ROUND(IF(V67=0,0,IF(V6&gt;0,0,Dren_Quantificacao!T70)),2)</f>
        <v>1.5</v>
      </c>
      <c r="W75" s="239"/>
      <c r="X75" s="2440"/>
      <c r="Y75" s="239">
        <f ca="1">ROUND(IF(Y67=0,0,IF(Y6&gt;0,0,Dren_Quantificacao!W70)),2)</f>
        <v>1.5</v>
      </c>
      <c r="Z75" s="239">
        <f ca="1">ROUND(IF(Z67=0,0,IF(Z6&gt;0,0,Dren_Quantificacao!X70)),2)</f>
        <v>1.5</v>
      </c>
      <c r="AA75" s="239">
        <f ca="1">ROUND(IF(AA67=0,0,IF(AA6&gt;0,0,Dren_Quantificacao!Y70)),2)</f>
        <v>1.5</v>
      </c>
      <c r="AB75" s="239">
        <f ca="1">ROUND(IF(AB67=0,0,IF(AB6&gt;0,0,Dren_Quantificacao!Z70)),2)</f>
        <v>1.5</v>
      </c>
      <c r="AC75" s="239">
        <f ca="1">ROUND(IF(AC67=0,0,IF(AC6&gt;0,0,Dren_Quantificacao!AA70)),2)</f>
        <v>1.5</v>
      </c>
      <c r="AD75" s="239">
        <f ca="1">ROUND(IF(AD67=0,0,IF(AD6&gt;0,0,Dren_Quantificacao!AB70)),2)</f>
        <v>1.5</v>
      </c>
      <c r="AE75" s="239">
        <f ca="1">ROUND(IF(AE67=0,0,IF(AE6&gt;0,0,Dren_Quantificacao!AC70)),2)</f>
        <v>1.5</v>
      </c>
      <c r="AF75" s="239">
        <f ca="1">ROUND(IF(AF67=0,0,IF(AF6&gt;0,0,Dren_Quantificacao!AD70)),2)</f>
        <v>1.5</v>
      </c>
      <c r="AG75" s="239">
        <f ca="1">ROUND(IF(AG67=0,0,IF(AG6&gt;0,0,Dren_Quantificacao!AE70)),2)</f>
        <v>1.5</v>
      </c>
      <c r="AH75" s="239">
        <f ca="1">ROUND(IF(AH67=0,0,IF(AH6&gt;0,0,Dren_Quantificacao!AF70)),2)</f>
        <v>1.5</v>
      </c>
      <c r="AI75" s="239"/>
      <c r="AJ75" s="239"/>
      <c r="AK75" s="239"/>
      <c r="AL75" s="239"/>
      <c r="AM75" s="239"/>
      <c r="AN75" s="239"/>
      <c r="AO75" s="239"/>
      <c r="AP75" s="239"/>
      <c r="AQ75" s="239"/>
      <c r="AR75" s="2440"/>
      <c r="AS75" s="239">
        <f ca="1">ROUND(IF(AS67=0,0,IF(AS6&gt;0,0,Dren_Quantificacao!AQ70)),2)</f>
        <v>1.5</v>
      </c>
      <c r="AT75" s="239">
        <f ca="1">ROUND(IF(AT67=0,0,IF(AT6&gt;0,0,Dren_Quantificacao!AR70)),2)</f>
        <v>1.5</v>
      </c>
      <c r="AU75" s="239">
        <f ca="1">ROUND(IF(AU67=0,0,IF(AU6&gt;0,0,Dren_Quantificacao!AS70)),2)</f>
        <v>1.5</v>
      </c>
      <c r="AV75" s="239">
        <f ca="1">ROUND(IF(AV67=0,0,IF(AV6&gt;0,0,Dren_Quantificacao!AT70)),2)</f>
        <v>1.5</v>
      </c>
      <c r="AW75" s="239">
        <f ca="1">ROUND(IF(AW67=0,0,IF(AW6&gt;0,0,Dren_Quantificacao!AU70)),2)</f>
        <v>2.46</v>
      </c>
      <c r="AX75" s="232"/>
      <c r="AY75" s="232"/>
      <c r="AZ75" s="232"/>
      <c r="BA75" s="232"/>
      <c r="BB75" s="232"/>
      <c r="BC75" s="232"/>
      <c r="BD75" s="232"/>
      <c r="BE75" s="232"/>
      <c r="BF75" s="232"/>
      <c r="BG75" s="232"/>
      <c r="BH75" s="232"/>
      <c r="BI75" s="232"/>
      <c r="BJ75" s="232"/>
      <c r="BK75" s="232"/>
      <c r="BL75" s="232"/>
      <c r="BM75" s="595">
        <f t="shared" ref="BM75:BM106" ca="1" si="50">ROUND(SUM(F75:BL75),2)</f>
        <v>39.96</v>
      </c>
      <c r="BN75" s="579">
        <f t="shared" ca="1" si="44"/>
        <v>79.92</v>
      </c>
      <c r="BO75" s="1047"/>
      <c r="BP75" s="1038"/>
      <c r="BQ75" s="1038"/>
      <c r="BR75" s="1038"/>
      <c r="BS75" s="1038"/>
      <c r="BT75" s="1038"/>
      <c r="BU75" s="1038"/>
      <c r="BV75" s="1038"/>
      <c r="BW75" s="1040"/>
      <c r="BX75" s="1038"/>
      <c r="BY75" s="1038"/>
      <c r="BZ75" s="1038"/>
      <c r="CA75" s="1038"/>
      <c r="CB75" s="1038"/>
      <c r="CC75" s="1038"/>
      <c r="CD75" s="1038"/>
      <c r="CE75" s="1038"/>
      <c r="CF75" s="1040"/>
      <c r="CG75" s="1038"/>
      <c r="CH75" s="1038"/>
      <c r="CI75" s="1038"/>
      <c r="CJ75" s="1038"/>
      <c r="CK75" s="1038"/>
      <c r="CL75" s="1038"/>
      <c r="CM75" s="1040"/>
      <c r="CN75" s="1040"/>
      <c r="CO75" s="1038"/>
      <c r="CP75" s="1038"/>
      <c r="CQ75" s="1038"/>
      <c r="CR75" s="1038"/>
      <c r="CS75" s="1038"/>
      <c r="CT75" s="1040"/>
      <c r="CU75" s="1041"/>
      <c r="CV75" s="1038"/>
      <c r="CW75" s="973"/>
    </row>
    <row r="76" spans="1:101" s="14" customFormat="1" ht="21.95" customHeight="1" thickBot="1" x14ac:dyDescent="0.2">
      <c r="A76" s="2707"/>
      <c r="B76" s="2704" t="s">
        <v>1173</v>
      </c>
      <c r="C76" s="552" t="s">
        <v>17</v>
      </c>
      <c r="D76" s="1014"/>
      <c r="E76" s="133"/>
      <c r="F76" s="238">
        <f>ROUND(IF(F60+F102&gt;0,Dren_Quantificacao!D$71,0),2)</f>
        <v>0</v>
      </c>
      <c r="G76" s="238">
        <f ca="1">ROUND(IF(G60+G102&gt;0,Dren_Quantificacao!E$71,0),2)</f>
        <v>0</v>
      </c>
      <c r="H76" s="238">
        <f ca="1">ROUND(IF(H60+H102&gt;0,Dren_Quantificacao!F$71,0),2)</f>
        <v>0</v>
      </c>
      <c r="I76" s="238">
        <f ca="1">ROUND(IF(I60+I102&gt;0,Dren_Quantificacao!G$71,0),2)</f>
        <v>0</v>
      </c>
      <c r="J76" s="238"/>
      <c r="K76" s="238"/>
      <c r="L76" s="238"/>
      <c r="M76" s="238"/>
      <c r="N76" s="2439"/>
      <c r="O76" s="238">
        <f ca="1">ROUND(IF(O60+O102&gt;0,Dren_Quantificacao!M$71,0),2)</f>
        <v>0</v>
      </c>
      <c r="P76" s="238">
        <f ca="1">ROUND(IF(P60+P102&gt;0,Dren_Quantificacao!N$71,0),2)</f>
        <v>0</v>
      </c>
      <c r="Q76" s="238">
        <f ca="1">ROUND(IF(Q60+Q102&gt;0,Dren_Quantificacao!O$71,0),2)</f>
        <v>0</v>
      </c>
      <c r="R76" s="238">
        <f ca="1">ROUND(IF(R60+R102&gt;0,Dren_Quantificacao!P$71,0),2)</f>
        <v>0</v>
      </c>
      <c r="S76" s="238">
        <f ca="1">ROUND(IF(S60+S102&gt;0,Dren_Quantificacao!Q$71,0),2)</f>
        <v>0</v>
      </c>
      <c r="T76" s="238">
        <f ca="1">ROUND(IF(T60+T102&gt;0,Dren_Quantificacao!R$71,0),2)</f>
        <v>0</v>
      </c>
      <c r="U76" s="238">
        <f ca="1">ROUND(IF(U60+U102&gt;0,Dren_Quantificacao!S$71,0),2)</f>
        <v>0</v>
      </c>
      <c r="V76" s="238">
        <f ca="1">ROUND(IF(V60+V102&gt;0,Dren_Quantificacao!T$71,0),2)</f>
        <v>0</v>
      </c>
      <c r="W76" s="238"/>
      <c r="X76" s="2439"/>
      <c r="Y76" s="238">
        <f ca="1">ROUND(IF(Y60+Y102&gt;0,Dren_Quantificacao!W$71,0),2)</f>
        <v>0</v>
      </c>
      <c r="Z76" s="238">
        <f ca="1">ROUND(IF(Z60+Z102&gt;0,Dren_Quantificacao!X$71,0),2)</f>
        <v>0</v>
      </c>
      <c r="AA76" s="238">
        <f ca="1">ROUND(IF(AA60+AA102&gt;0,Dren_Quantificacao!Y$71,0),2)</f>
        <v>0</v>
      </c>
      <c r="AB76" s="238">
        <f ca="1">ROUND(IF(AB60+AB102&gt;0,Dren_Quantificacao!Z$71,0),2)</f>
        <v>0</v>
      </c>
      <c r="AC76" s="238">
        <f ca="1">ROUND(IF(AC60+AC102&gt;0,Dren_Quantificacao!AA$71,0),2)</f>
        <v>0</v>
      </c>
      <c r="AD76" s="238">
        <f ca="1">ROUND(IF(AD60+AD102&gt;0,Dren_Quantificacao!AB$71,0),2)</f>
        <v>0</v>
      </c>
      <c r="AE76" s="238">
        <f ca="1">ROUND(IF(AE60+AE102&gt;0,Dren_Quantificacao!AC$71,0),2)</f>
        <v>0</v>
      </c>
      <c r="AF76" s="238">
        <f ca="1">ROUND(IF(AF60+AF102&gt;0,Dren_Quantificacao!AD$71,0),2)</f>
        <v>0</v>
      </c>
      <c r="AG76" s="238">
        <f ca="1">ROUND(IF(AG60+AG102&gt;0,Dren_Quantificacao!AE$71,0),2)</f>
        <v>0</v>
      </c>
      <c r="AH76" s="238">
        <f ca="1">ROUND(IF(AH60+AH102&gt;0,Dren_Quantificacao!AF$71,0),2)</f>
        <v>0</v>
      </c>
      <c r="AI76" s="238"/>
      <c r="AJ76" s="238"/>
      <c r="AK76" s="238"/>
      <c r="AL76" s="238"/>
      <c r="AM76" s="238"/>
      <c r="AN76" s="238"/>
      <c r="AO76" s="238"/>
      <c r="AP76" s="238"/>
      <c r="AQ76" s="238"/>
      <c r="AR76" s="2439"/>
      <c r="AS76" s="238">
        <f ca="1">ROUND(IF(AS60+AS102&gt;0,Dren_Quantificacao!AQ$71,0),2)</f>
        <v>0</v>
      </c>
      <c r="AT76" s="238">
        <f ca="1">ROUND(IF(AT60+AT102&gt;0,Dren_Quantificacao!AR$71,0),2)</f>
        <v>0</v>
      </c>
      <c r="AU76" s="238">
        <f ca="1">ROUND(IF(AU60+AU102&gt;0,Dren_Quantificacao!AS$71,0),2)</f>
        <v>0</v>
      </c>
      <c r="AV76" s="238">
        <f ca="1">ROUND(IF(AV60+AV102&gt;0,Dren_Quantificacao!AT$71,0),2)</f>
        <v>0</v>
      </c>
      <c r="AW76" s="238">
        <f ca="1">ROUND(IF(AW60+AW102&gt;0,Dren_Quantificacao!AU$71,0),2)</f>
        <v>0.96</v>
      </c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362">
        <f t="shared" ca="1" si="50"/>
        <v>0.96</v>
      </c>
      <c r="BN76" s="579">
        <f t="shared" ca="1" si="44"/>
        <v>1.92</v>
      </c>
      <c r="BO76" s="1047"/>
      <c r="BP76" s="1038"/>
      <c r="BQ76" s="1038"/>
      <c r="BR76" s="1038">
        <f>+'[4]DR-0170'!$G$41</f>
        <v>0.13503999999999999</v>
      </c>
      <c r="BS76" s="1038"/>
      <c r="BT76" s="1038">
        <f>+'[4]DR-0170'!$G$46</f>
        <v>0.31419200000000003</v>
      </c>
      <c r="BU76" s="1038"/>
      <c r="BV76" s="1038">
        <f>+'[4]DR-0170'!$G$47</f>
        <v>7.92</v>
      </c>
      <c r="BW76" s="1040"/>
      <c r="BX76" s="1038"/>
      <c r="BY76" s="1038"/>
      <c r="BZ76" s="1038"/>
      <c r="CA76" s="1038">
        <f>+'[4]DR-0170'!$G$41</f>
        <v>0.13503999999999999</v>
      </c>
      <c r="CB76" s="1038"/>
      <c r="CC76" s="1038">
        <f>+'[4]DR-0170'!$G$46</f>
        <v>0.31419200000000003</v>
      </c>
      <c r="CD76" s="1038"/>
      <c r="CE76" s="1038">
        <f>+'[4]DR-0170'!$G$47</f>
        <v>7.92</v>
      </c>
      <c r="CF76" s="1040"/>
      <c r="CG76" s="1038"/>
      <c r="CH76" s="1038"/>
      <c r="CI76" s="1038"/>
      <c r="CJ76" s="1038">
        <f>+'[4]DR-0170'!$G$41</f>
        <v>0.13503999999999999</v>
      </c>
      <c r="CK76" s="1038"/>
      <c r="CL76" s="1038"/>
      <c r="CM76" s="1040"/>
      <c r="CN76" s="1040">
        <f>+'[4]DR-0170'!$G$48*1.016+'[4]DR-0170'!$G$49</f>
        <v>11.96672</v>
      </c>
      <c r="CO76" s="1038"/>
      <c r="CP76" s="1038"/>
      <c r="CQ76" s="1038"/>
      <c r="CR76" s="1038"/>
      <c r="CS76" s="1038"/>
      <c r="CT76" s="1040"/>
      <c r="CU76" s="1041">
        <f>+'[4]DR-0170'!$G$43+'[4]DR-0170'!$G$44/2+'[4]DR-0170'!$G$45</f>
        <v>146.6328</v>
      </c>
      <c r="CV76" s="1038"/>
      <c r="CW76" s="973"/>
    </row>
    <row r="77" spans="1:101" s="14" customFormat="1" ht="21.95" hidden="1" customHeight="1" x14ac:dyDescent="0.15">
      <c r="A77" s="2707"/>
      <c r="B77" s="2705"/>
      <c r="C77" s="662" t="s">
        <v>18</v>
      </c>
      <c r="D77" s="1014"/>
      <c r="E77" s="133"/>
      <c r="F77" s="158">
        <f>ROUND(IF(F61&gt;0,Dren_Quantificacao!D$71,0),)</f>
        <v>0</v>
      </c>
      <c r="G77" s="158">
        <f>ROUND(IF(G61&gt;0,Dren_Quantificacao!E$71,0),)</f>
        <v>0</v>
      </c>
      <c r="H77" s="158">
        <f>ROUND(IF(H61&gt;0,Dren_Quantificacao!F$71,0),)</f>
        <v>0</v>
      </c>
      <c r="I77" s="158">
        <f>ROUND(IF(I61&gt;0,Dren_Quantificacao!G$71,0),)</f>
        <v>0</v>
      </c>
      <c r="J77" s="158"/>
      <c r="K77" s="158"/>
      <c r="L77" s="158"/>
      <c r="M77" s="158"/>
      <c r="N77" s="2416"/>
      <c r="O77" s="158">
        <f>ROUND(IF(O61&gt;0,Dren_Quantificacao!M$71,0),)</f>
        <v>0</v>
      </c>
      <c r="P77" s="158">
        <f>ROUND(IF(P61&gt;0,Dren_Quantificacao!N$71,0),)</f>
        <v>0</v>
      </c>
      <c r="Q77" s="158">
        <f>ROUND(IF(Q61&gt;0,Dren_Quantificacao!O$71,0),)</f>
        <v>0</v>
      </c>
      <c r="R77" s="158">
        <f>ROUND(IF(R61&gt;0,Dren_Quantificacao!P$71,0),)</f>
        <v>0</v>
      </c>
      <c r="S77" s="158">
        <f>ROUND(IF(S61&gt;0,Dren_Quantificacao!Q$71,0),)</f>
        <v>0</v>
      </c>
      <c r="T77" s="158">
        <f>ROUND(IF(T61&gt;0,Dren_Quantificacao!R$71,0),)</f>
        <v>0</v>
      </c>
      <c r="U77" s="158">
        <f>ROUND(IF(U61&gt;0,Dren_Quantificacao!S$71,0),)</f>
        <v>0</v>
      </c>
      <c r="V77" s="158">
        <f>ROUND(IF(V61&gt;0,Dren_Quantificacao!T$71,0),)</f>
        <v>0</v>
      </c>
      <c r="W77" s="158"/>
      <c r="X77" s="2416"/>
      <c r="Y77" s="158">
        <f>ROUND(IF(Y61&gt;0,Dren_Quantificacao!W$71,0),)</f>
        <v>0</v>
      </c>
      <c r="Z77" s="158">
        <f>ROUND(IF(Z61&gt;0,Dren_Quantificacao!X$71,0),)</f>
        <v>0</v>
      </c>
      <c r="AA77" s="158">
        <f>ROUND(IF(AA61&gt;0,Dren_Quantificacao!Y$71,0),)</f>
        <v>0</v>
      </c>
      <c r="AB77" s="158">
        <f>ROUND(IF(AB61&gt;0,Dren_Quantificacao!Z$71,0),)</f>
        <v>0</v>
      </c>
      <c r="AC77" s="158">
        <f>ROUND(IF(AC61&gt;0,Dren_Quantificacao!AA$71,0),)</f>
        <v>0</v>
      </c>
      <c r="AD77" s="158">
        <f>ROUND(IF(AD61&gt;0,Dren_Quantificacao!AB$71,0),)</f>
        <v>0</v>
      </c>
      <c r="AE77" s="158">
        <f>ROUND(IF(AE61&gt;0,Dren_Quantificacao!AC$71,0),)</f>
        <v>0</v>
      </c>
      <c r="AF77" s="158">
        <f>ROUND(IF(AF61&gt;0,Dren_Quantificacao!AD$71,0),)</f>
        <v>0</v>
      </c>
      <c r="AG77" s="158">
        <f>ROUND(IF(AG61&gt;0,Dren_Quantificacao!AE$71,0),)</f>
        <v>0</v>
      </c>
      <c r="AH77" s="158">
        <f>ROUND(IF(AH61&gt;0,Dren_Quantificacao!AF$71,0),)</f>
        <v>0</v>
      </c>
      <c r="AI77" s="158"/>
      <c r="AJ77" s="158"/>
      <c r="AK77" s="158"/>
      <c r="AL77" s="158"/>
      <c r="AM77" s="158"/>
      <c r="AN77" s="158"/>
      <c r="AO77" s="158"/>
      <c r="AP77" s="158"/>
      <c r="AQ77" s="158"/>
      <c r="AR77" s="2416"/>
      <c r="AS77" s="158">
        <f>ROUND(IF(AS61&gt;0,Dren_Quantificacao!AQ$71,0),)</f>
        <v>0</v>
      </c>
      <c r="AT77" s="158">
        <f>ROUND(IF(AT61&gt;0,Dren_Quantificacao!AR$71,0),)</f>
        <v>0</v>
      </c>
      <c r="AU77" s="158">
        <f>ROUND(IF(AU61&gt;0,Dren_Quantificacao!AS$71,0),)</f>
        <v>0</v>
      </c>
      <c r="AV77" s="158">
        <f>ROUND(IF(AV61&gt;0,Dren_Quantificacao!AT$71,0),)</f>
        <v>0</v>
      </c>
      <c r="AW77" s="158">
        <f>ROUND(IF(AW61&gt;0,Dren_Quantificacao!AU$71,0),)</f>
        <v>0</v>
      </c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350">
        <f t="shared" si="50"/>
        <v>0</v>
      </c>
      <c r="BN77" s="579">
        <f t="shared" si="44"/>
        <v>0</v>
      </c>
      <c r="BO77" s="1047"/>
      <c r="BP77" s="1038"/>
      <c r="BQ77" s="1038"/>
      <c r="BR77" s="1038">
        <f>+'[4]DR-0175'!$G$41</f>
        <v>0.15184</v>
      </c>
      <c r="BS77" s="1038"/>
      <c r="BT77" s="1038">
        <f>+'[4]DR-0175'!$G$46</f>
        <v>0.367672</v>
      </c>
      <c r="BU77" s="1038"/>
      <c r="BV77" s="1038">
        <f>+'[4]DR-0175'!$G$47</f>
        <v>9.32</v>
      </c>
      <c r="BW77" s="1040"/>
      <c r="BX77" s="1038"/>
      <c r="BY77" s="1038"/>
      <c r="BZ77" s="1038"/>
      <c r="CA77" s="1038">
        <f>+'[4]DR-0175'!$G$41</f>
        <v>0.15184</v>
      </c>
      <c r="CB77" s="1038"/>
      <c r="CC77" s="1038">
        <f>+'[4]DR-0175'!$G$46</f>
        <v>0.367672</v>
      </c>
      <c r="CD77" s="1038"/>
      <c r="CE77" s="1038">
        <f>+'[4]DR-0175'!$G$47</f>
        <v>9.32</v>
      </c>
      <c r="CF77" s="1040"/>
      <c r="CG77" s="1038"/>
      <c r="CH77" s="1038"/>
      <c r="CI77" s="1038"/>
      <c r="CJ77" s="1038">
        <f>+'[4]DR-0175'!$G$41</f>
        <v>0.15184</v>
      </c>
      <c r="CK77" s="1038"/>
      <c r="CL77" s="1038"/>
      <c r="CM77" s="1040"/>
      <c r="CN77" s="1040">
        <f>+'[4]DR-0175'!$G$48*1.016+'[4]DR-0175'!$G$49</f>
        <v>13.38912</v>
      </c>
      <c r="CO77" s="1038"/>
      <c r="CP77" s="1038"/>
      <c r="CQ77" s="1038"/>
      <c r="CR77" s="1038"/>
      <c r="CS77" s="1038"/>
      <c r="CT77" s="1040"/>
      <c r="CU77" s="1041">
        <f>+'[4]DR-0175'!$G$43+'[4]DR-0175'!$G$44/2+'[4]DR-0175'!$G$45</f>
        <v>170.6148</v>
      </c>
      <c r="CV77" s="1038"/>
      <c r="CW77" s="973"/>
    </row>
    <row r="78" spans="1:101" s="14" customFormat="1" ht="21.95" hidden="1" customHeight="1" x14ac:dyDescent="0.15">
      <c r="A78" s="2707"/>
      <c r="B78" s="2705"/>
      <c r="C78" s="662" t="s">
        <v>19</v>
      </c>
      <c r="D78" s="1014"/>
      <c r="E78" s="133"/>
      <c r="F78" s="158">
        <f>ROUND(IF(F62&gt;0,Dren_Quantificacao!D$71,0),2)</f>
        <v>0</v>
      </c>
      <c r="G78" s="158">
        <f>ROUND(IF(G62&gt;0,Dren_Quantificacao!E$71,0),2)</f>
        <v>0</v>
      </c>
      <c r="H78" s="158">
        <f>ROUND(IF(H62&gt;0,Dren_Quantificacao!F$71,0),2)</f>
        <v>0</v>
      </c>
      <c r="I78" s="158">
        <f>ROUND(IF(I62&gt;0,Dren_Quantificacao!G$71,0),2)</f>
        <v>0</v>
      </c>
      <c r="J78" s="158"/>
      <c r="K78" s="158"/>
      <c r="L78" s="158"/>
      <c r="M78" s="158"/>
      <c r="N78" s="2416"/>
      <c r="O78" s="158">
        <f>ROUND(IF(O62&gt;0,Dren_Quantificacao!M$71,0),2)</f>
        <v>0</v>
      </c>
      <c r="P78" s="158">
        <f>ROUND(IF(P62&gt;0,Dren_Quantificacao!N$71,0),2)</f>
        <v>0</v>
      </c>
      <c r="Q78" s="158">
        <f>ROUND(IF(Q62&gt;0,Dren_Quantificacao!O$71,0),2)</f>
        <v>0</v>
      </c>
      <c r="R78" s="158">
        <f>ROUND(IF(R62&gt;0,Dren_Quantificacao!P$71,0),2)</f>
        <v>0</v>
      </c>
      <c r="S78" s="158">
        <f>ROUND(IF(S62&gt;0,Dren_Quantificacao!Q$71,0),2)</f>
        <v>0</v>
      </c>
      <c r="T78" s="158">
        <f>ROUND(IF(T62&gt;0,Dren_Quantificacao!R$71,0),2)</f>
        <v>0</v>
      </c>
      <c r="U78" s="158">
        <f>ROUND(IF(U62&gt;0,Dren_Quantificacao!S$71,0),2)</f>
        <v>0</v>
      </c>
      <c r="V78" s="158">
        <f>ROUND(IF(V62&gt;0,Dren_Quantificacao!T$71,0),2)</f>
        <v>0</v>
      </c>
      <c r="W78" s="158"/>
      <c r="X78" s="2416"/>
      <c r="Y78" s="158">
        <f>ROUND(IF(Y62&gt;0,Dren_Quantificacao!W$71,0),2)</f>
        <v>0</v>
      </c>
      <c r="Z78" s="158">
        <f>ROUND(IF(Z62&gt;0,Dren_Quantificacao!X$71,0),2)</f>
        <v>0</v>
      </c>
      <c r="AA78" s="158">
        <f>ROUND(IF(AA62&gt;0,Dren_Quantificacao!Y$71,0),2)</f>
        <v>0</v>
      </c>
      <c r="AB78" s="158">
        <f>ROUND(IF(AB62&gt;0,Dren_Quantificacao!Z$71,0),2)</f>
        <v>0</v>
      </c>
      <c r="AC78" s="158">
        <f>ROUND(IF(AC62&gt;0,Dren_Quantificacao!AA$71,0),2)</f>
        <v>0</v>
      </c>
      <c r="AD78" s="158">
        <f>ROUND(IF(AD62&gt;0,Dren_Quantificacao!AB$71,0),2)</f>
        <v>0</v>
      </c>
      <c r="AE78" s="158">
        <f>ROUND(IF(AE62&gt;0,Dren_Quantificacao!AC$71,0),2)</f>
        <v>0</v>
      </c>
      <c r="AF78" s="158">
        <f>ROUND(IF(AF62&gt;0,Dren_Quantificacao!AD$71,0),2)</f>
        <v>0</v>
      </c>
      <c r="AG78" s="158">
        <f>ROUND(IF(AG62&gt;0,Dren_Quantificacao!AE$71,0),2)</f>
        <v>0</v>
      </c>
      <c r="AH78" s="158">
        <f>ROUND(IF(AH62&gt;0,Dren_Quantificacao!AF$71,0),2)</f>
        <v>0</v>
      </c>
      <c r="AI78" s="158"/>
      <c r="AJ78" s="158"/>
      <c r="AK78" s="158"/>
      <c r="AL78" s="158"/>
      <c r="AM78" s="158"/>
      <c r="AN78" s="158"/>
      <c r="AO78" s="158"/>
      <c r="AP78" s="158"/>
      <c r="AQ78" s="158"/>
      <c r="AR78" s="2416"/>
      <c r="AS78" s="158">
        <f>ROUND(IF(AS62&gt;0,Dren_Quantificacao!AQ$71,0),2)</f>
        <v>0</v>
      </c>
      <c r="AT78" s="158">
        <f>ROUND(IF(AT62&gt;0,Dren_Quantificacao!AR$71,0),2)</f>
        <v>0</v>
      </c>
      <c r="AU78" s="158">
        <f>ROUND(IF(AU62&gt;0,Dren_Quantificacao!AS$71,0),2)</f>
        <v>0</v>
      </c>
      <c r="AV78" s="158">
        <f>ROUND(IF(AV62&gt;0,Dren_Quantificacao!AT$71,0),2)</f>
        <v>0</v>
      </c>
      <c r="AW78" s="158">
        <f>ROUND(IF(AW62&gt;0,Dren_Quantificacao!AU$71,0),2)</f>
        <v>0</v>
      </c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350">
        <f t="shared" si="50"/>
        <v>0</v>
      </c>
      <c r="BN78" s="579">
        <f t="shared" si="44"/>
        <v>0</v>
      </c>
      <c r="BO78" s="1047"/>
      <c r="BP78" s="1038"/>
      <c r="BQ78" s="1038"/>
      <c r="BR78" s="1038">
        <f>+'[4]DR-0180'!$G$41</f>
        <v>0.17104</v>
      </c>
      <c r="BS78" s="1038"/>
      <c r="BT78" s="1038">
        <f>+'[4]DR-0180'!$G$46</f>
        <v>0.42879200000000001</v>
      </c>
      <c r="BU78" s="1038"/>
      <c r="BV78" s="1038">
        <f>+'[4]DR-0180'!$G$47</f>
        <v>10.92</v>
      </c>
      <c r="BW78" s="1040"/>
      <c r="BX78" s="1038"/>
      <c r="BY78" s="1038"/>
      <c r="BZ78" s="1038"/>
      <c r="CA78" s="1038">
        <f>+'[4]DR-0180'!$G$41</f>
        <v>0.17104</v>
      </c>
      <c r="CB78" s="1038"/>
      <c r="CC78" s="1038">
        <f>+'[4]DR-0180'!$G$46</f>
        <v>0.42879200000000001</v>
      </c>
      <c r="CD78" s="1038"/>
      <c r="CE78" s="1038">
        <f>+'[4]DR-0180'!$G$47</f>
        <v>10.92</v>
      </c>
      <c r="CF78" s="1040"/>
      <c r="CG78" s="1038"/>
      <c r="CH78" s="1038"/>
      <c r="CI78" s="1038"/>
      <c r="CJ78" s="1038">
        <f>+'[4]DR-0180'!$G$41</f>
        <v>0.17104</v>
      </c>
      <c r="CK78" s="1038"/>
      <c r="CL78" s="1038"/>
      <c r="CM78" s="1040"/>
      <c r="CN78" s="1040">
        <f>+'[4]DR-0180'!$G$48*1.016+'[4]DR-0180'!$G$49</f>
        <v>15.014720000000001</v>
      </c>
      <c r="CO78" s="1038"/>
      <c r="CP78" s="1038"/>
      <c r="CQ78" s="1038"/>
      <c r="CR78" s="1038"/>
      <c r="CS78" s="1038"/>
      <c r="CT78" s="1040"/>
      <c r="CU78" s="1041">
        <f>+'[4]DR-0180'!$G$43+'[4]DR-0180'!$G$44/2+'[4]DR-0180'!$G$45</f>
        <v>198.02279999999999</v>
      </c>
      <c r="CV78" s="1038"/>
      <c r="CW78" s="973"/>
    </row>
    <row r="79" spans="1:101" s="14" customFormat="1" ht="21.95" hidden="1" customHeight="1" x14ac:dyDescent="0.15">
      <c r="A79" s="2707"/>
      <c r="B79" s="2705"/>
      <c r="C79" s="662" t="s">
        <v>20</v>
      </c>
      <c r="D79" s="1014"/>
      <c r="E79" s="133"/>
      <c r="F79" s="158">
        <f>ROUND(IF(F63&gt;0,Dren_Quantificacao!D$71,0),2)</f>
        <v>0</v>
      </c>
      <c r="G79" s="158">
        <f>ROUND(IF(G63&gt;0,Dren_Quantificacao!E$71,0),2)</f>
        <v>0</v>
      </c>
      <c r="H79" s="158">
        <f>ROUND(IF(H63&gt;0,Dren_Quantificacao!F$71,0),2)</f>
        <v>0</v>
      </c>
      <c r="I79" s="158">
        <f>ROUND(IF(I63&gt;0,Dren_Quantificacao!G$71,0),2)</f>
        <v>0</v>
      </c>
      <c r="J79" s="158"/>
      <c r="K79" s="158"/>
      <c r="L79" s="158"/>
      <c r="M79" s="158"/>
      <c r="N79" s="2416"/>
      <c r="O79" s="158">
        <f>ROUND(IF(O63&gt;0,Dren_Quantificacao!M$71,0),2)</f>
        <v>0</v>
      </c>
      <c r="P79" s="158">
        <f>ROUND(IF(P63&gt;0,Dren_Quantificacao!N$71,0),2)</f>
        <v>0</v>
      </c>
      <c r="Q79" s="158">
        <f>ROUND(IF(Q63&gt;0,Dren_Quantificacao!O$71,0),2)</f>
        <v>0</v>
      </c>
      <c r="R79" s="158">
        <f>ROUND(IF(R63&gt;0,Dren_Quantificacao!P$71,0),2)</f>
        <v>0</v>
      </c>
      <c r="S79" s="158">
        <f>ROUND(IF(S63&gt;0,Dren_Quantificacao!Q$71,0),2)</f>
        <v>0</v>
      </c>
      <c r="T79" s="158">
        <f>ROUND(IF(T63&gt;0,Dren_Quantificacao!R$71,0),2)</f>
        <v>0</v>
      </c>
      <c r="U79" s="158">
        <f>ROUND(IF(U63&gt;0,Dren_Quantificacao!S$71,0),2)</f>
        <v>0</v>
      </c>
      <c r="V79" s="158">
        <f>ROUND(IF(V63&gt;0,Dren_Quantificacao!T$71,0),2)</f>
        <v>0</v>
      </c>
      <c r="W79" s="158"/>
      <c r="X79" s="2416"/>
      <c r="Y79" s="158">
        <f>ROUND(IF(Y63&gt;0,Dren_Quantificacao!W$71,0),2)</f>
        <v>0</v>
      </c>
      <c r="Z79" s="158">
        <f>ROUND(IF(Z63&gt;0,Dren_Quantificacao!X$71,0),2)</f>
        <v>0</v>
      </c>
      <c r="AA79" s="158">
        <f>ROUND(IF(AA63&gt;0,Dren_Quantificacao!Y$71,0),2)</f>
        <v>0</v>
      </c>
      <c r="AB79" s="158">
        <f>ROUND(IF(AB63&gt;0,Dren_Quantificacao!Z$71,0),2)</f>
        <v>0</v>
      </c>
      <c r="AC79" s="158">
        <f>ROUND(IF(AC63&gt;0,Dren_Quantificacao!AA$71,0),2)</f>
        <v>0</v>
      </c>
      <c r="AD79" s="158">
        <f>ROUND(IF(AD63&gt;0,Dren_Quantificacao!AB$71,0),2)</f>
        <v>0</v>
      </c>
      <c r="AE79" s="158">
        <f>ROUND(IF(AE63&gt;0,Dren_Quantificacao!AC$71,0),2)</f>
        <v>0</v>
      </c>
      <c r="AF79" s="158">
        <f>ROUND(IF(AF63&gt;0,Dren_Quantificacao!AD$71,0),2)</f>
        <v>0</v>
      </c>
      <c r="AG79" s="158">
        <f>ROUND(IF(AG63&gt;0,Dren_Quantificacao!AE$71,0),2)</f>
        <v>0</v>
      </c>
      <c r="AH79" s="158">
        <f>ROUND(IF(AH63&gt;0,Dren_Quantificacao!AF$71,0),2)</f>
        <v>0</v>
      </c>
      <c r="AI79" s="158"/>
      <c r="AJ79" s="158"/>
      <c r="AK79" s="158"/>
      <c r="AL79" s="158"/>
      <c r="AM79" s="158"/>
      <c r="AN79" s="158"/>
      <c r="AO79" s="158"/>
      <c r="AP79" s="158"/>
      <c r="AQ79" s="158"/>
      <c r="AR79" s="2416"/>
      <c r="AS79" s="158">
        <f>ROUND(IF(AS63&gt;0,Dren_Quantificacao!AQ$71,0),2)</f>
        <v>0</v>
      </c>
      <c r="AT79" s="158">
        <f>ROUND(IF(AT63&gt;0,Dren_Quantificacao!AR$71,0),2)</f>
        <v>0</v>
      </c>
      <c r="AU79" s="158">
        <f>ROUND(IF(AU63&gt;0,Dren_Quantificacao!AS$71,0),2)</f>
        <v>0</v>
      </c>
      <c r="AV79" s="158">
        <f>ROUND(IF(AV63&gt;0,Dren_Quantificacao!AT$71,0),2)</f>
        <v>0</v>
      </c>
      <c r="AW79" s="158">
        <f>ROUND(IF(AW63&gt;0,Dren_Quantificacao!AU$71,0),2)</f>
        <v>0</v>
      </c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350">
        <f t="shared" si="50"/>
        <v>0</v>
      </c>
      <c r="BN79" s="579">
        <f t="shared" si="44"/>
        <v>0</v>
      </c>
      <c r="BO79" s="1047"/>
      <c r="BP79" s="1038"/>
      <c r="BQ79" s="1038"/>
      <c r="BR79" s="1038">
        <f>+'[4]DR-0185'!$G$41</f>
        <v>0.20704</v>
      </c>
      <c r="BS79" s="1038"/>
      <c r="BT79" s="1038">
        <f>+'[4]DR-0185'!$G$46</f>
        <v>0.54339199999999999</v>
      </c>
      <c r="BU79" s="1038"/>
      <c r="BV79" s="1038">
        <f>+'[4]DR-0185'!$G$47</f>
        <v>13.92</v>
      </c>
      <c r="BW79" s="1040"/>
      <c r="BX79" s="1038"/>
      <c r="BY79" s="1038"/>
      <c r="BZ79" s="1038"/>
      <c r="CA79" s="1038">
        <f>+'[4]DR-0185'!$G$41</f>
        <v>0.20704</v>
      </c>
      <c r="CB79" s="1038"/>
      <c r="CC79" s="1038">
        <f>+'[4]DR-0185'!$G$46</f>
        <v>0.54339199999999999</v>
      </c>
      <c r="CD79" s="1038"/>
      <c r="CE79" s="1038">
        <f>+'[4]DR-0185'!$G$47</f>
        <v>13.92</v>
      </c>
      <c r="CF79" s="1040"/>
      <c r="CG79" s="1038"/>
      <c r="CH79" s="1038"/>
      <c r="CI79" s="1038"/>
      <c r="CJ79" s="1038">
        <f>+'[4]DR-0185'!$G$41</f>
        <v>0.20704</v>
      </c>
      <c r="CK79" s="1038"/>
      <c r="CL79" s="1038"/>
      <c r="CM79" s="1040"/>
      <c r="CN79" s="1040">
        <f>+'[4]DR-0185'!$G$48*1.016+'[4]DR-0185'!$G$49</f>
        <v>18.062719999999999</v>
      </c>
      <c r="CO79" s="1038"/>
      <c r="CP79" s="1038"/>
      <c r="CQ79" s="1038"/>
      <c r="CR79" s="1038"/>
      <c r="CS79" s="1038"/>
      <c r="CT79" s="1040"/>
      <c r="CU79" s="1041">
        <f>+'[4]DR-0185'!$G$43+'[4]DR-0185'!$G$44/2+'[4]DR-0185'!$G$45</f>
        <v>249.4128</v>
      </c>
      <c r="CV79" s="1038"/>
      <c r="CW79" s="973"/>
    </row>
    <row r="80" spans="1:101" s="14" customFormat="1" ht="21.95" hidden="1" customHeight="1" x14ac:dyDescent="0.15">
      <c r="A80" s="2707"/>
      <c r="B80" s="2705"/>
      <c r="C80" s="662" t="s">
        <v>21</v>
      </c>
      <c r="D80" s="1014"/>
      <c r="E80" s="133"/>
      <c r="F80" s="158">
        <f>ROUND(IF(F64&gt;0,Dren_Quantificacao!D$71,0),2)</f>
        <v>0</v>
      </c>
      <c r="G80" s="158">
        <f>ROUND(IF(G64&gt;0,Dren_Quantificacao!E$71,0),2)</f>
        <v>0</v>
      </c>
      <c r="H80" s="158">
        <f>ROUND(IF(H64&gt;0,Dren_Quantificacao!F$71,0),2)</f>
        <v>0</v>
      </c>
      <c r="I80" s="158">
        <f>ROUND(IF(I64&gt;0,Dren_Quantificacao!G$71,0),2)</f>
        <v>0</v>
      </c>
      <c r="J80" s="158"/>
      <c r="K80" s="158"/>
      <c r="L80" s="158"/>
      <c r="M80" s="158"/>
      <c r="N80" s="2416"/>
      <c r="O80" s="158">
        <f>ROUND(IF(O64&gt;0,Dren_Quantificacao!M$71,0),2)</f>
        <v>0</v>
      </c>
      <c r="P80" s="158">
        <f>ROUND(IF(P64&gt;0,Dren_Quantificacao!N$71,0),2)</f>
        <v>0</v>
      </c>
      <c r="Q80" s="158">
        <f>ROUND(IF(Q64&gt;0,Dren_Quantificacao!O$71,0),2)</f>
        <v>0</v>
      </c>
      <c r="R80" s="158">
        <f>ROUND(IF(R64&gt;0,Dren_Quantificacao!P$71,0),2)</f>
        <v>0</v>
      </c>
      <c r="S80" s="158">
        <f>ROUND(IF(S64&gt;0,Dren_Quantificacao!Q$71,0),2)</f>
        <v>0</v>
      </c>
      <c r="T80" s="158">
        <f>ROUND(IF(T64&gt;0,Dren_Quantificacao!R$71,0),2)</f>
        <v>0</v>
      </c>
      <c r="U80" s="158">
        <f>ROUND(IF(U64&gt;0,Dren_Quantificacao!S$71,0),2)</f>
        <v>0</v>
      </c>
      <c r="V80" s="158">
        <f>ROUND(IF(V64&gt;0,Dren_Quantificacao!T$71,0),2)</f>
        <v>0</v>
      </c>
      <c r="W80" s="158"/>
      <c r="X80" s="2416"/>
      <c r="Y80" s="158">
        <f>ROUND(IF(Y64&gt;0,Dren_Quantificacao!W$71,0),2)</f>
        <v>0</v>
      </c>
      <c r="Z80" s="158">
        <f>ROUND(IF(Z64&gt;0,Dren_Quantificacao!X$71,0),2)</f>
        <v>0</v>
      </c>
      <c r="AA80" s="158">
        <f>ROUND(IF(AA64&gt;0,Dren_Quantificacao!Y$71,0),2)</f>
        <v>0</v>
      </c>
      <c r="AB80" s="158">
        <f>ROUND(IF(AB64&gt;0,Dren_Quantificacao!Z$71,0),2)</f>
        <v>0</v>
      </c>
      <c r="AC80" s="158">
        <f>ROUND(IF(AC64&gt;0,Dren_Quantificacao!AA$71,0),2)</f>
        <v>0</v>
      </c>
      <c r="AD80" s="158">
        <f>ROUND(IF(AD64&gt;0,Dren_Quantificacao!AB$71,0),2)</f>
        <v>0</v>
      </c>
      <c r="AE80" s="158">
        <f>ROUND(IF(AE64&gt;0,Dren_Quantificacao!AC$71,0),2)</f>
        <v>0</v>
      </c>
      <c r="AF80" s="158">
        <f>ROUND(IF(AF64&gt;0,Dren_Quantificacao!AD$71,0),2)</f>
        <v>0</v>
      </c>
      <c r="AG80" s="158">
        <f>ROUND(IF(AG64&gt;0,Dren_Quantificacao!AE$71,0),2)</f>
        <v>0</v>
      </c>
      <c r="AH80" s="158">
        <f>ROUND(IF(AH64&gt;0,Dren_Quantificacao!AF$71,0),2)</f>
        <v>0</v>
      </c>
      <c r="AI80" s="158"/>
      <c r="AJ80" s="158"/>
      <c r="AK80" s="158"/>
      <c r="AL80" s="158"/>
      <c r="AM80" s="158"/>
      <c r="AN80" s="158"/>
      <c r="AO80" s="158"/>
      <c r="AP80" s="158"/>
      <c r="AQ80" s="158"/>
      <c r="AR80" s="2416"/>
      <c r="AS80" s="158">
        <f>ROUND(IF(AS64&gt;0,Dren_Quantificacao!AQ$71,0),2)</f>
        <v>0</v>
      </c>
      <c r="AT80" s="158">
        <f>ROUND(IF(AT64&gt;0,Dren_Quantificacao!AR$71,0),2)</f>
        <v>0</v>
      </c>
      <c r="AU80" s="158">
        <f>ROUND(IF(AU64&gt;0,Dren_Quantificacao!AS$71,0),2)</f>
        <v>0</v>
      </c>
      <c r="AV80" s="158">
        <f>ROUND(IF(AV64&gt;0,Dren_Quantificacao!AT$71,0),2)</f>
        <v>0</v>
      </c>
      <c r="AW80" s="158">
        <f>ROUND(IF(AW64&gt;0,Dren_Quantificacao!AU$71,0),2)</f>
        <v>0</v>
      </c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350">
        <f t="shared" si="50"/>
        <v>0</v>
      </c>
      <c r="BN80" s="579">
        <f t="shared" si="44"/>
        <v>0</v>
      </c>
      <c r="BO80" s="1047"/>
      <c r="BP80" s="1038"/>
      <c r="BQ80" s="1038"/>
      <c r="BR80" s="1038">
        <f>+'[4]DR-0190'!$G$41</f>
        <v>0.24543999999999999</v>
      </c>
      <c r="BS80" s="1038"/>
      <c r="BT80" s="1038">
        <f>+'[4]DR-0190'!$G$46</f>
        <v>0.665632</v>
      </c>
      <c r="BU80" s="1038"/>
      <c r="BV80" s="1038">
        <f>+'[4]DR-0190'!$G$47</f>
        <v>17.12</v>
      </c>
      <c r="BW80" s="1040"/>
      <c r="BX80" s="1038"/>
      <c r="BY80" s="1038"/>
      <c r="BZ80" s="1038"/>
      <c r="CA80" s="1038">
        <f>+'[4]DR-0190'!$G$41</f>
        <v>0.24543999999999999</v>
      </c>
      <c r="CB80" s="1038"/>
      <c r="CC80" s="1038">
        <f>+'[4]DR-0190'!$G$46</f>
        <v>0.665632</v>
      </c>
      <c r="CD80" s="1038"/>
      <c r="CE80" s="1038">
        <f>+'[4]DR-0190'!$G$47</f>
        <v>17.12</v>
      </c>
      <c r="CF80" s="1040"/>
      <c r="CG80" s="1038"/>
      <c r="CH80" s="1038"/>
      <c r="CI80" s="1038"/>
      <c r="CJ80" s="1038">
        <f>+'[4]DR-0190'!$G$41</f>
        <v>0.24543999999999999</v>
      </c>
      <c r="CK80" s="1038"/>
      <c r="CL80" s="1038"/>
      <c r="CM80" s="1040"/>
      <c r="CN80" s="1040">
        <f>+'[4]DR-0190'!$G$48*1.016+'[4]DR-0190'!$G$49</f>
        <v>21.313920000000003</v>
      </c>
      <c r="CO80" s="1038"/>
      <c r="CP80" s="1038"/>
      <c r="CQ80" s="1038"/>
      <c r="CR80" s="1038"/>
      <c r="CS80" s="1038"/>
      <c r="CT80" s="1040"/>
      <c r="CU80" s="1041">
        <f>+'[4]DR-0190'!$G$43+'[4]DR-0190'!$G$44/2+'[4]DR-0190'!$G$45</f>
        <v>304.22879999999998</v>
      </c>
      <c r="CV80" s="1038"/>
      <c r="CW80" s="973"/>
    </row>
    <row r="81" spans="1:101" s="14" customFormat="1" ht="21.95" hidden="1" customHeight="1" thickBot="1" x14ac:dyDescent="0.2">
      <c r="A81" s="2707"/>
      <c r="B81" s="2711"/>
      <c r="C81" s="662" t="s">
        <v>22</v>
      </c>
      <c r="D81" s="1014"/>
      <c r="E81" s="133"/>
      <c r="F81" s="158">
        <f>ROUND(IF(F65&gt;0,Dren_Quantificacao!D$71,0),2)</f>
        <v>0</v>
      </c>
      <c r="G81" s="158">
        <f>ROUND(IF(G65&gt;0,Dren_Quantificacao!E$71,0),2)</f>
        <v>0</v>
      </c>
      <c r="H81" s="158">
        <f>ROUND(IF(H65&gt;0,Dren_Quantificacao!F$71,0),2)</f>
        <v>0</v>
      </c>
      <c r="I81" s="158">
        <f>ROUND(IF(I65&gt;0,Dren_Quantificacao!G$71,0),2)</f>
        <v>0</v>
      </c>
      <c r="J81" s="158"/>
      <c r="K81" s="158"/>
      <c r="L81" s="158"/>
      <c r="M81" s="158"/>
      <c r="N81" s="2416"/>
      <c r="O81" s="158">
        <f>ROUND(IF(O65&gt;0,Dren_Quantificacao!M$71,0),2)</f>
        <v>0</v>
      </c>
      <c r="P81" s="158">
        <f>ROUND(IF(P65&gt;0,Dren_Quantificacao!N$71,0),2)</f>
        <v>0</v>
      </c>
      <c r="Q81" s="158">
        <f>ROUND(IF(Q65&gt;0,Dren_Quantificacao!O$71,0),2)</f>
        <v>0</v>
      </c>
      <c r="R81" s="158">
        <f>ROUND(IF(R65&gt;0,Dren_Quantificacao!P$71,0),2)</f>
        <v>0</v>
      </c>
      <c r="S81" s="158">
        <f>ROUND(IF(S65&gt;0,Dren_Quantificacao!Q$71,0),2)</f>
        <v>0</v>
      </c>
      <c r="T81" s="158">
        <f>ROUND(IF(T65&gt;0,Dren_Quantificacao!R$71,0),2)</f>
        <v>0</v>
      </c>
      <c r="U81" s="158">
        <f>ROUND(IF(U65&gt;0,Dren_Quantificacao!S$71,0),2)</f>
        <v>0</v>
      </c>
      <c r="V81" s="158">
        <f>ROUND(IF(V65&gt;0,Dren_Quantificacao!T$71,0),2)</f>
        <v>0</v>
      </c>
      <c r="W81" s="158"/>
      <c r="X81" s="2416"/>
      <c r="Y81" s="158">
        <f>ROUND(IF(Y65&gt;0,Dren_Quantificacao!W$71,0),2)</f>
        <v>0</v>
      </c>
      <c r="Z81" s="158">
        <f>ROUND(IF(Z65&gt;0,Dren_Quantificacao!X$71,0),2)</f>
        <v>0</v>
      </c>
      <c r="AA81" s="158">
        <f>ROUND(IF(AA65&gt;0,Dren_Quantificacao!Y$71,0),2)</f>
        <v>0</v>
      </c>
      <c r="AB81" s="158">
        <f>ROUND(IF(AB65&gt;0,Dren_Quantificacao!Z$71,0),2)</f>
        <v>0</v>
      </c>
      <c r="AC81" s="158">
        <f>ROUND(IF(AC65&gt;0,Dren_Quantificacao!AA$71,0),2)</f>
        <v>0</v>
      </c>
      <c r="AD81" s="158">
        <f>ROUND(IF(AD65&gt;0,Dren_Quantificacao!AB$71,0),2)</f>
        <v>0</v>
      </c>
      <c r="AE81" s="158">
        <f>ROUND(IF(AE65&gt;0,Dren_Quantificacao!AC$71,0),2)</f>
        <v>0</v>
      </c>
      <c r="AF81" s="158">
        <f>ROUND(IF(AF65&gt;0,Dren_Quantificacao!AD$71,0),2)</f>
        <v>0</v>
      </c>
      <c r="AG81" s="158">
        <f>ROUND(IF(AG65&gt;0,Dren_Quantificacao!AE$71,0),2)</f>
        <v>0</v>
      </c>
      <c r="AH81" s="158">
        <f>ROUND(IF(AH65&gt;0,Dren_Quantificacao!AF$71,0),2)</f>
        <v>0</v>
      </c>
      <c r="AI81" s="158"/>
      <c r="AJ81" s="158"/>
      <c r="AK81" s="158"/>
      <c r="AL81" s="158"/>
      <c r="AM81" s="158"/>
      <c r="AN81" s="158"/>
      <c r="AO81" s="158"/>
      <c r="AP81" s="158"/>
      <c r="AQ81" s="158"/>
      <c r="AR81" s="2416"/>
      <c r="AS81" s="158">
        <f>ROUND(IF(AS65&gt;0,Dren_Quantificacao!AQ$71,0),2)</f>
        <v>0</v>
      </c>
      <c r="AT81" s="158">
        <f>ROUND(IF(AT65&gt;0,Dren_Quantificacao!AR$71,0),2)</f>
        <v>0</v>
      </c>
      <c r="AU81" s="158">
        <f>ROUND(IF(AU65&gt;0,Dren_Quantificacao!AS$71,0),2)</f>
        <v>0</v>
      </c>
      <c r="AV81" s="158">
        <f>ROUND(IF(AV65&gt;0,Dren_Quantificacao!AT$71,0),2)</f>
        <v>0</v>
      </c>
      <c r="AW81" s="158">
        <f>ROUND(IF(AW65&gt;0,Dren_Quantificacao!AU$71,0),2)</f>
        <v>0</v>
      </c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361">
        <f t="shared" si="50"/>
        <v>0</v>
      </c>
      <c r="BN81" s="579">
        <f t="shared" si="44"/>
        <v>0</v>
      </c>
      <c r="BO81" s="1047"/>
      <c r="BP81" s="1038"/>
      <c r="BQ81" s="1038"/>
      <c r="BR81" s="1038">
        <f>+'[4]DR-0195'!$G$41</f>
        <v>0.29824000000000001</v>
      </c>
      <c r="BS81" s="1038"/>
      <c r="BT81" s="1038">
        <f>+'[4]DR-0195'!$G$46</f>
        <v>0.83371200000000001</v>
      </c>
      <c r="BU81" s="1038"/>
      <c r="BV81" s="1038">
        <f>+'[4]DR-0195'!$G$47</f>
        <v>21.52</v>
      </c>
      <c r="BW81" s="1040"/>
      <c r="BX81" s="1038"/>
      <c r="BY81" s="1038"/>
      <c r="BZ81" s="1038"/>
      <c r="CA81" s="1038">
        <f>+'[4]DR-0195'!$G$41</f>
        <v>0.29824000000000001</v>
      </c>
      <c r="CB81" s="1038"/>
      <c r="CC81" s="1038">
        <f>+'[4]DR-0195'!$G$46</f>
        <v>0.83371200000000001</v>
      </c>
      <c r="CD81" s="1038"/>
      <c r="CE81" s="1038">
        <f>+'[4]DR-0195'!$G$47</f>
        <v>21.52</v>
      </c>
      <c r="CF81" s="1040"/>
      <c r="CG81" s="1038"/>
      <c r="CH81" s="1038"/>
      <c r="CI81" s="1038"/>
      <c r="CJ81" s="1038">
        <f>+'[4]DR-0195'!$G$41</f>
        <v>0.29824000000000001</v>
      </c>
      <c r="CK81" s="1038"/>
      <c r="CL81" s="1038"/>
      <c r="CM81" s="1040"/>
      <c r="CN81" s="1040">
        <f>+'[4]DR-0195'!$G$48*1.016+'[4]DR-0195'!$G$49</f>
        <v>25.784320000000001</v>
      </c>
      <c r="CO81" s="1038"/>
      <c r="CP81" s="1038"/>
      <c r="CQ81" s="1038"/>
      <c r="CR81" s="1038"/>
      <c r="CS81" s="1038"/>
      <c r="CT81" s="1040"/>
      <c r="CU81" s="1041">
        <f>+'[4]DR-0195'!$G$43+'[4]DR-0195'!$G$44/2+'[4]DR-0195'!$G$45</f>
        <v>379.60079999999999</v>
      </c>
      <c r="CV81" s="1038"/>
      <c r="CW81" s="973"/>
    </row>
    <row r="82" spans="1:101" s="14" customFormat="1" ht="21.95" hidden="1" customHeight="1" thickBot="1" x14ac:dyDescent="0.2">
      <c r="A82" s="2707"/>
      <c r="B82" s="2712" t="s">
        <v>1138</v>
      </c>
      <c r="C82" s="2713"/>
      <c r="D82" s="1015"/>
      <c r="E82" s="2251"/>
      <c r="F82" s="240">
        <f>ROUND(Dren_Quantificacao!D72,2)</f>
        <v>0</v>
      </c>
      <c r="G82" s="240">
        <f ca="1">ROUND(Dren_Quantificacao!E72,2)</f>
        <v>0</v>
      </c>
      <c r="H82" s="240">
        <f ca="1">ROUND(Dren_Quantificacao!F72,2)</f>
        <v>0</v>
      </c>
      <c r="I82" s="240">
        <f ca="1">ROUND(Dren_Quantificacao!G72,2)</f>
        <v>0</v>
      </c>
      <c r="J82" s="240"/>
      <c r="K82" s="240"/>
      <c r="L82" s="240"/>
      <c r="M82" s="240"/>
      <c r="N82" s="2442"/>
      <c r="O82" s="240">
        <f ca="1">ROUND(Dren_Quantificacao!M72,2)</f>
        <v>0</v>
      </c>
      <c r="P82" s="240">
        <f ca="1">ROUND(Dren_Quantificacao!N72,2)</f>
        <v>0</v>
      </c>
      <c r="Q82" s="240">
        <f ca="1">ROUND(Dren_Quantificacao!O72,2)</f>
        <v>0</v>
      </c>
      <c r="R82" s="240">
        <f ca="1">ROUND(Dren_Quantificacao!P72,2)</f>
        <v>0</v>
      </c>
      <c r="S82" s="240">
        <f ca="1">ROUND(Dren_Quantificacao!Q72,2)</f>
        <v>0</v>
      </c>
      <c r="T82" s="240">
        <f ca="1">ROUND(Dren_Quantificacao!R72,2)</f>
        <v>0</v>
      </c>
      <c r="U82" s="240">
        <f ca="1">ROUND(Dren_Quantificacao!S72,2)</f>
        <v>0</v>
      </c>
      <c r="V82" s="240">
        <f ca="1">ROUND(Dren_Quantificacao!T72,2)</f>
        <v>0</v>
      </c>
      <c r="W82" s="240"/>
      <c r="X82" s="2442"/>
      <c r="Y82" s="240">
        <f ca="1">ROUND(Dren_Quantificacao!W72,2)</f>
        <v>0</v>
      </c>
      <c r="Z82" s="240">
        <f ca="1">ROUND(Dren_Quantificacao!X72,2)</f>
        <v>0</v>
      </c>
      <c r="AA82" s="240">
        <f ca="1">ROUND(Dren_Quantificacao!Y72,2)</f>
        <v>0</v>
      </c>
      <c r="AB82" s="240">
        <f ca="1">ROUND(Dren_Quantificacao!Z72,2)</f>
        <v>0</v>
      </c>
      <c r="AC82" s="240">
        <f ca="1">ROUND(Dren_Quantificacao!AA72,2)</f>
        <v>0</v>
      </c>
      <c r="AD82" s="240">
        <f ca="1">ROUND(Dren_Quantificacao!AB72,2)</f>
        <v>0</v>
      </c>
      <c r="AE82" s="240">
        <f ca="1">ROUND(Dren_Quantificacao!AC72,2)</f>
        <v>0</v>
      </c>
      <c r="AF82" s="240">
        <f ca="1">ROUND(Dren_Quantificacao!AD72,2)</f>
        <v>0</v>
      </c>
      <c r="AG82" s="240">
        <f ca="1">ROUND(Dren_Quantificacao!AE72,2)</f>
        <v>0</v>
      </c>
      <c r="AH82" s="240">
        <f ca="1">ROUND(Dren_Quantificacao!AF72,2)</f>
        <v>0</v>
      </c>
      <c r="AI82" s="240"/>
      <c r="AJ82" s="240"/>
      <c r="AK82" s="240"/>
      <c r="AL82" s="240"/>
      <c r="AM82" s="240"/>
      <c r="AN82" s="240"/>
      <c r="AO82" s="240"/>
      <c r="AP82" s="240"/>
      <c r="AQ82" s="240"/>
      <c r="AR82" s="2442"/>
      <c r="AS82" s="240">
        <f ca="1">ROUND(Dren_Quantificacao!AQ72,2)</f>
        <v>0</v>
      </c>
      <c r="AT82" s="240">
        <f ca="1">ROUND(Dren_Quantificacao!AR72,2)</f>
        <v>0</v>
      </c>
      <c r="AU82" s="240">
        <f ca="1">ROUND(Dren_Quantificacao!AS72,2)</f>
        <v>0</v>
      </c>
      <c r="AV82" s="240">
        <f ca="1">ROUND(Dren_Quantificacao!AT72,2)</f>
        <v>0</v>
      </c>
      <c r="AW82" s="240">
        <f ca="1">ROUND(Dren_Quantificacao!AU72,2)</f>
        <v>0</v>
      </c>
      <c r="AX82" s="1093"/>
      <c r="AY82" s="1093"/>
      <c r="AZ82" s="1093"/>
      <c r="BA82" s="1093"/>
      <c r="BB82" s="1093"/>
      <c r="BC82" s="1093"/>
      <c r="BD82" s="1093"/>
      <c r="BE82" s="1093"/>
      <c r="BF82" s="1093"/>
      <c r="BG82" s="1093"/>
      <c r="BH82" s="1093"/>
      <c r="BI82" s="1093"/>
      <c r="BJ82" s="1093"/>
      <c r="BK82" s="1093"/>
      <c r="BL82" s="1093"/>
      <c r="BM82" s="366">
        <f t="shared" ca="1" si="50"/>
        <v>0</v>
      </c>
      <c r="BN82" s="579">
        <f t="shared" ca="1" si="44"/>
        <v>0</v>
      </c>
      <c r="BO82" s="1047"/>
      <c r="BP82" s="1038"/>
      <c r="BQ82" s="1038"/>
      <c r="BR82" s="1038">
        <f>+'[4]DR-0200'!$G$41</f>
        <v>0.56735999999999998</v>
      </c>
      <c r="BS82" s="1038"/>
      <c r="BT82" s="1038">
        <f>+'[4]DR-0200'!$G$46</f>
        <v>0.35898000000000002</v>
      </c>
      <c r="BU82" s="1038"/>
      <c r="BV82" s="1038">
        <f>+'[4]DR-0200'!$G$47</f>
        <v>8.94</v>
      </c>
      <c r="BW82" s="1040"/>
      <c r="BX82" s="1038"/>
      <c r="BY82" s="1038"/>
      <c r="BZ82" s="1038"/>
      <c r="CA82" s="1038"/>
      <c r="CB82" s="1038"/>
      <c r="CC82" s="1038">
        <f>+'[4]DR-0200'!$G$46</f>
        <v>0.35898000000000002</v>
      </c>
      <c r="CD82" s="1038"/>
      <c r="CE82" s="1038">
        <f>+'[4]DR-0200'!$G$47</f>
        <v>8.94</v>
      </c>
      <c r="CF82" s="1040"/>
      <c r="CG82" s="1038"/>
      <c r="CH82" s="1038"/>
      <c r="CI82" s="1038"/>
      <c r="CJ82" s="1038"/>
      <c r="CK82" s="1038"/>
      <c r="CL82" s="1038"/>
      <c r="CM82" s="1040"/>
      <c r="CN82" s="1040">
        <f>+'[4]DR-0200'!$G$48*1.016+'[4]DR-0200'!$G$50+'[4]DR-0200'!$G$51*4.48+'[4]DR-0200'!$G$52</f>
        <v>44.777305000000005</v>
      </c>
      <c r="CO82" s="1038"/>
      <c r="CP82" s="1038"/>
      <c r="CQ82" s="1038"/>
      <c r="CR82" s="1038">
        <f>+'[4]DR-0200'!$G$49</f>
        <v>2.8488000000000002</v>
      </c>
      <c r="CS82" s="1038"/>
      <c r="CT82" s="1040"/>
      <c r="CU82" s="1041">
        <f>+'[4]DR-0200'!$G$43+'[4]DR-0200'!$G$44/2+'[4]DR-0200'!$G$45</f>
        <v>169.58699999999999</v>
      </c>
      <c r="CV82" s="1038"/>
      <c r="CW82" s="973"/>
    </row>
    <row r="83" spans="1:101" ht="21.95" customHeight="1" thickBot="1" x14ac:dyDescent="0.2">
      <c r="A83" s="2707"/>
      <c r="B83" s="2700" t="s">
        <v>1140</v>
      </c>
      <c r="C83" s="2701"/>
      <c r="D83" s="1016"/>
      <c r="E83" s="2252"/>
      <c r="F83" s="365">
        <f>ROUND(Dren_Quantificacao!D73,2)</f>
        <v>0</v>
      </c>
      <c r="G83" s="365">
        <f ca="1">ROUND(Dren_Quantificacao!E73,2)</f>
        <v>0.28000000000000003</v>
      </c>
      <c r="H83" s="365">
        <f ca="1">ROUND(Dren_Quantificacao!F73,2)</f>
        <v>0.3</v>
      </c>
      <c r="I83" s="365">
        <f ca="1">ROUND(Dren_Quantificacao!G73,2)</f>
        <v>0.28999999999999998</v>
      </c>
      <c r="J83" s="365"/>
      <c r="K83" s="365"/>
      <c r="L83" s="365"/>
      <c r="M83" s="365"/>
      <c r="N83" s="2456"/>
      <c r="O83" s="365">
        <f ca="1">ROUND(Dren_Quantificacao!M73,2)</f>
        <v>0.28000000000000003</v>
      </c>
      <c r="P83" s="365">
        <f ca="1">ROUND(Dren_Quantificacao!N73,2)</f>
        <v>0.28000000000000003</v>
      </c>
      <c r="Q83" s="365">
        <f ca="1">ROUND(Dren_Quantificacao!O73,2)</f>
        <v>0.38</v>
      </c>
      <c r="R83" s="365">
        <f ca="1">ROUND(Dren_Quantificacao!P73,2)</f>
        <v>0.42</v>
      </c>
      <c r="S83" s="365">
        <f ca="1">ROUND(Dren_Quantificacao!Q73,2)</f>
        <v>0.45</v>
      </c>
      <c r="T83" s="365">
        <f ca="1">ROUND(Dren_Quantificacao!R73,2)</f>
        <v>0.62</v>
      </c>
      <c r="U83" s="365">
        <f ca="1">ROUND(Dren_Quantificacao!S73,2)</f>
        <v>0.57999999999999996</v>
      </c>
      <c r="V83" s="365">
        <f ca="1">ROUND(Dren_Quantificacao!T73,2)</f>
        <v>0.7</v>
      </c>
      <c r="W83" s="365"/>
      <c r="X83" s="2456"/>
      <c r="Y83" s="365">
        <f ca="1">ROUND(Dren_Quantificacao!W73,2)</f>
        <v>0.48</v>
      </c>
      <c r="Z83" s="365">
        <f ca="1">ROUND(Dren_Quantificacao!X73,2)</f>
        <v>0.28000000000000003</v>
      </c>
      <c r="AA83" s="365">
        <f ca="1">ROUND(Dren_Quantificacao!Y73,2)</f>
        <v>0.3</v>
      </c>
      <c r="AB83" s="365">
        <f ca="1">ROUND(Dren_Quantificacao!Z73,2)</f>
        <v>0.3</v>
      </c>
      <c r="AC83" s="365">
        <f ca="1">ROUND(Dren_Quantificacao!AA73,2)</f>
        <v>0.51</v>
      </c>
      <c r="AD83" s="365">
        <f ca="1">ROUND(Dren_Quantificacao!AB73,2)</f>
        <v>0.41</v>
      </c>
      <c r="AE83" s="365">
        <f ca="1">ROUND(Dren_Quantificacao!AC73,2)</f>
        <v>0.4</v>
      </c>
      <c r="AF83" s="365">
        <f ca="1">ROUND(Dren_Quantificacao!AD73,2)</f>
        <v>0.61</v>
      </c>
      <c r="AG83" s="365">
        <f ca="1">ROUND(Dren_Quantificacao!AE73,2)</f>
        <v>0.69</v>
      </c>
      <c r="AH83" s="365">
        <f ca="1">ROUND(Dren_Quantificacao!AF73,2)</f>
        <v>0.57999999999999996</v>
      </c>
      <c r="AI83" s="365"/>
      <c r="AJ83" s="365"/>
      <c r="AK83" s="365"/>
      <c r="AL83" s="365"/>
      <c r="AM83" s="365"/>
      <c r="AN83" s="365"/>
      <c r="AO83" s="365"/>
      <c r="AP83" s="365"/>
      <c r="AQ83" s="365"/>
      <c r="AR83" s="2456"/>
      <c r="AS83" s="365">
        <f ca="1">ROUND(Dren_Quantificacao!AQ73,2)</f>
        <v>0</v>
      </c>
      <c r="AT83" s="365">
        <f ca="1">ROUND(Dren_Quantificacao!AR73,2)</f>
        <v>0.33</v>
      </c>
      <c r="AU83" s="365">
        <f ca="1">ROUND(Dren_Quantificacao!AS73,2)</f>
        <v>0.35</v>
      </c>
      <c r="AV83" s="365">
        <f ca="1">ROUND(Dren_Quantificacao!AT73,2)</f>
        <v>0.36</v>
      </c>
      <c r="AW83" s="365">
        <f ca="1">ROUND(Dren_Quantificacao!AU73,2)</f>
        <v>0.66</v>
      </c>
      <c r="AX83" s="1093"/>
      <c r="AY83" s="1093"/>
      <c r="AZ83" s="1093"/>
      <c r="BA83" s="1093"/>
      <c r="BB83" s="1093"/>
      <c r="BC83" s="1093"/>
      <c r="BD83" s="1093"/>
      <c r="BE83" s="1093"/>
      <c r="BF83" s="1093"/>
      <c r="BG83" s="1093"/>
      <c r="BH83" s="1093"/>
      <c r="BI83" s="1093"/>
      <c r="BJ83" s="1093"/>
      <c r="BK83" s="1093"/>
      <c r="BL83" s="1093"/>
      <c r="BM83" s="366">
        <f t="shared" ca="1" si="50"/>
        <v>10.84</v>
      </c>
      <c r="BN83" s="579">
        <f t="shared" ca="1" si="44"/>
        <v>21.68</v>
      </c>
      <c r="BO83" s="1047"/>
      <c r="BP83" s="1038"/>
      <c r="BQ83" s="1038"/>
      <c r="BR83" s="1038"/>
      <c r="BS83" s="1038"/>
      <c r="BT83" s="1038">
        <v>0.40679999999999999</v>
      </c>
      <c r="BU83" s="1038">
        <v>2.2000000000000001E-3</v>
      </c>
      <c r="BV83" s="1038"/>
      <c r="BW83" s="1040"/>
      <c r="BX83" s="1038"/>
      <c r="BY83" s="1038"/>
      <c r="BZ83" s="1038"/>
      <c r="CA83" s="1038"/>
      <c r="CB83" s="1038"/>
      <c r="CC83" s="1038">
        <v>0.40679999999999999</v>
      </c>
      <c r="CD83" s="1038">
        <v>2.2000000000000001E-3</v>
      </c>
      <c r="CE83" s="1038"/>
      <c r="CF83" s="1040"/>
      <c r="CG83" s="1038"/>
      <c r="CH83" s="1038"/>
      <c r="CI83" s="1038"/>
      <c r="CJ83" s="1038"/>
      <c r="CK83" s="1038"/>
      <c r="CL83" s="1038"/>
      <c r="CM83" s="1040"/>
      <c r="CN83" s="1040">
        <v>1.163</v>
      </c>
      <c r="CO83" s="1038"/>
      <c r="CP83" s="1038">
        <v>0.377</v>
      </c>
      <c r="CQ83" s="1038"/>
      <c r="CR83" s="1038"/>
      <c r="CS83" s="1038"/>
      <c r="CT83" s="1040"/>
      <c r="CU83" s="1041"/>
      <c r="CV83" s="1038">
        <v>356.25659999999999</v>
      </c>
      <c r="CW83" s="973"/>
    </row>
    <row r="84" spans="1:101" ht="21.95" customHeight="1" thickBot="1" x14ac:dyDescent="0.2">
      <c r="A84" s="2707"/>
      <c r="B84" s="2612" t="s">
        <v>494</v>
      </c>
      <c r="C84" s="2613"/>
      <c r="D84" s="1015"/>
      <c r="E84" s="2251"/>
      <c r="F84" s="240">
        <f>SUM(F60:F66)+IF(F7&gt;0,1,0)</f>
        <v>0</v>
      </c>
      <c r="G84" s="240">
        <f t="shared" ref="G84" ca="1" si="51">SUM(G60:G66)+IF(G7&gt;0,1,0)</f>
        <v>1</v>
      </c>
      <c r="H84" s="240">
        <f t="shared" ref="H84:I84" ca="1" si="52">SUM(H60:H66)+IF(H7&gt;0,1,0)</f>
        <v>1</v>
      </c>
      <c r="I84" s="240">
        <f t="shared" ca="1" si="52"/>
        <v>1</v>
      </c>
      <c r="J84" s="240"/>
      <c r="K84" s="240"/>
      <c r="L84" s="240"/>
      <c r="M84" s="240"/>
      <c r="N84" s="2442"/>
      <c r="O84" s="240">
        <f t="shared" ref="O84:V84" ca="1" si="53">SUM(O60:O66)+IF(O7&gt;0,1,0)</f>
        <v>1</v>
      </c>
      <c r="P84" s="240">
        <f t="shared" ca="1" si="53"/>
        <v>1</v>
      </c>
      <c r="Q84" s="240">
        <f t="shared" ca="1" si="53"/>
        <v>1</v>
      </c>
      <c r="R84" s="240">
        <f t="shared" ca="1" si="53"/>
        <v>1</v>
      </c>
      <c r="S84" s="240">
        <f t="shared" ca="1" si="53"/>
        <v>1</v>
      </c>
      <c r="T84" s="240">
        <f t="shared" ca="1" si="53"/>
        <v>1</v>
      </c>
      <c r="U84" s="240">
        <f t="shared" ca="1" si="53"/>
        <v>1</v>
      </c>
      <c r="V84" s="240">
        <f t="shared" ca="1" si="53"/>
        <v>2</v>
      </c>
      <c r="W84" s="240"/>
      <c r="X84" s="2442"/>
      <c r="Y84" s="240">
        <f t="shared" ref="Y84:AH84" ca="1" si="54">SUM(Y60:Y66)+IF(Y7&gt;0,1,0)</f>
        <v>2</v>
      </c>
      <c r="Z84" s="240">
        <f t="shared" ca="1" si="54"/>
        <v>1</v>
      </c>
      <c r="AA84" s="240">
        <f t="shared" ca="1" si="54"/>
        <v>1</v>
      </c>
      <c r="AB84" s="240">
        <f t="shared" ca="1" si="54"/>
        <v>1</v>
      </c>
      <c r="AC84" s="240">
        <f t="shared" ca="1" si="54"/>
        <v>1</v>
      </c>
      <c r="AD84" s="240">
        <f t="shared" ca="1" si="54"/>
        <v>1</v>
      </c>
      <c r="AE84" s="240">
        <f t="shared" ca="1" si="54"/>
        <v>2</v>
      </c>
      <c r="AF84" s="240">
        <f t="shared" ca="1" si="54"/>
        <v>1</v>
      </c>
      <c r="AG84" s="240">
        <f t="shared" ca="1" si="54"/>
        <v>1</v>
      </c>
      <c r="AH84" s="240">
        <f t="shared" ca="1" si="54"/>
        <v>1</v>
      </c>
      <c r="AI84" s="240"/>
      <c r="AJ84" s="240"/>
      <c r="AK84" s="240"/>
      <c r="AL84" s="240"/>
      <c r="AM84" s="240"/>
      <c r="AN84" s="240"/>
      <c r="AO84" s="240"/>
      <c r="AP84" s="240"/>
      <c r="AQ84" s="240"/>
      <c r="AR84" s="2442"/>
      <c r="AS84" s="240">
        <f t="shared" ref="AS84:AW84" ca="1" si="55">SUM(AS60:AS66)+IF(AS7&gt;0,1,0)</f>
        <v>1</v>
      </c>
      <c r="AT84" s="240">
        <f t="shared" ca="1" si="55"/>
        <v>1</v>
      </c>
      <c r="AU84" s="240">
        <f t="shared" ca="1" si="55"/>
        <v>1</v>
      </c>
      <c r="AV84" s="240">
        <f t="shared" ca="1" si="55"/>
        <v>1</v>
      </c>
      <c r="AW84" s="240">
        <f t="shared" ca="1" si="55"/>
        <v>1</v>
      </c>
      <c r="AX84" s="364"/>
      <c r="AY84" s="364"/>
      <c r="AZ84" s="364"/>
      <c r="BA84" s="364"/>
      <c r="BB84" s="364"/>
      <c r="BC84" s="364"/>
      <c r="BD84" s="364"/>
      <c r="BE84" s="364"/>
      <c r="BF84" s="364"/>
      <c r="BG84" s="364"/>
      <c r="BH84" s="364"/>
      <c r="BI84" s="364"/>
      <c r="BJ84" s="364"/>
      <c r="BK84" s="364"/>
      <c r="BL84" s="364"/>
      <c r="BM84" s="962">
        <f t="shared" ca="1" si="50"/>
        <v>29</v>
      </c>
      <c r="BN84" s="579">
        <f t="shared" ca="1" si="44"/>
        <v>58</v>
      </c>
      <c r="BO84" s="1047"/>
      <c r="BP84" s="1038"/>
      <c r="BQ84" s="1038"/>
      <c r="BR84" s="1038"/>
      <c r="BS84" s="1038"/>
      <c r="BT84" s="1038"/>
      <c r="BU84" s="1038"/>
      <c r="BV84" s="1038"/>
      <c r="BW84" s="1040"/>
      <c r="BX84" s="1038"/>
      <c r="BY84" s="1038"/>
      <c r="BZ84" s="1038"/>
      <c r="CA84" s="1038"/>
      <c r="CB84" s="1038"/>
      <c r="CC84" s="1038"/>
      <c r="CD84" s="1038"/>
      <c r="CE84" s="1038"/>
      <c r="CF84" s="1040"/>
      <c r="CG84" s="1038"/>
      <c r="CH84" s="1038"/>
      <c r="CI84" s="1038"/>
      <c r="CJ84" s="1038"/>
      <c r="CK84" s="1038"/>
      <c r="CL84" s="1038"/>
      <c r="CM84" s="1040"/>
      <c r="CN84" s="1040"/>
      <c r="CO84" s="1038"/>
      <c r="CP84" s="1038"/>
      <c r="CQ84" s="1038"/>
      <c r="CR84" s="1038"/>
      <c r="CS84" s="1038"/>
      <c r="CT84" s="1040"/>
      <c r="CU84" s="1041"/>
      <c r="CV84" s="1038"/>
      <c r="CW84" s="973"/>
    </row>
    <row r="85" spans="1:101" s="14" customFormat="1" ht="32.1" hidden="1" customHeight="1" x14ac:dyDescent="0.15">
      <c r="A85" s="2707"/>
      <c r="B85" s="2628" t="s">
        <v>2689</v>
      </c>
      <c r="C85" s="2644"/>
      <c r="D85" s="1012"/>
      <c r="F85" s="18">
        <f>+Dren_Quantificacao!D48</f>
        <v>0</v>
      </c>
      <c r="G85" s="18">
        <f>+Dren_Quantificacao!E48</f>
        <v>0</v>
      </c>
      <c r="H85" s="18">
        <f>+Dren_Quantificacao!F48</f>
        <v>0</v>
      </c>
      <c r="I85" s="18">
        <f>+Dren_Quantificacao!G48</f>
        <v>0</v>
      </c>
      <c r="J85" s="18"/>
      <c r="K85" s="18"/>
      <c r="L85" s="18"/>
      <c r="M85" s="18"/>
      <c r="N85" s="2414"/>
      <c r="O85" s="18">
        <f>+Dren_Quantificacao!M48</f>
        <v>0</v>
      </c>
      <c r="P85" s="18">
        <f>+Dren_Quantificacao!N48</f>
        <v>0</v>
      </c>
      <c r="Q85" s="18">
        <f>+Dren_Quantificacao!O48</f>
        <v>0</v>
      </c>
      <c r="R85" s="18">
        <f>+Dren_Quantificacao!P48</f>
        <v>0</v>
      </c>
      <c r="S85" s="18">
        <f>+Dren_Quantificacao!Q48</f>
        <v>0</v>
      </c>
      <c r="T85" s="18">
        <f>+Dren_Quantificacao!R48</f>
        <v>0</v>
      </c>
      <c r="U85" s="18">
        <f>+Dren_Quantificacao!S48</f>
        <v>0</v>
      </c>
      <c r="V85" s="18">
        <f>+Dren_Quantificacao!T48</f>
        <v>0</v>
      </c>
      <c r="W85" s="18"/>
      <c r="X85" s="2414"/>
      <c r="Y85" s="18">
        <f>+Dren_Quantificacao!W48</f>
        <v>0</v>
      </c>
      <c r="Z85" s="18">
        <f>+Dren_Quantificacao!X48</f>
        <v>0</v>
      </c>
      <c r="AA85" s="18">
        <f>+Dren_Quantificacao!Y48</f>
        <v>0</v>
      </c>
      <c r="AB85" s="18">
        <f>+Dren_Quantificacao!Z48</f>
        <v>0</v>
      </c>
      <c r="AC85" s="18">
        <f>+Dren_Quantificacao!AA48</f>
        <v>0</v>
      </c>
      <c r="AD85" s="18">
        <f>+Dren_Quantificacao!AB48</f>
        <v>0</v>
      </c>
      <c r="AE85" s="18">
        <f>+Dren_Quantificacao!AC48</f>
        <v>0</v>
      </c>
      <c r="AF85" s="18">
        <f>+Dren_Quantificacao!AD48</f>
        <v>0</v>
      </c>
      <c r="AG85" s="18">
        <f>+Dren_Quantificacao!AE48</f>
        <v>0</v>
      </c>
      <c r="AH85" s="18">
        <f>+Dren_Quantificacao!AF48</f>
        <v>0</v>
      </c>
      <c r="AI85" s="18"/>
      <c r="AJ85" s="18"/>
      <c r="AK85" s="18"/>
      <c r="AL85" s="18"/>
      <c r="AM85" s="18"/>
      <c r="AN85" s="18"/>
      <c r="AO85" s="18"/>
      <c r="AP85" s="18"/>
      <c r="AQ85" s="18"/>
      <c r="AR85" s="2414"/>
      <c r="AS85" s="18">
        <f>+Dren_Quantificacao!AQ48</f>
        <v>0</v>
      </c>
      <c r="AT85" s="18">
        <f>+Dren_Quantificacao!AR48</f>
        <v>0</v>
      </c>
      <c r="AU85" s="18">
        <f>+Dren_Quantificacao!AS48</f>
        <v>0</v>
      </c>
      <c r="AV85" s="18">
        <f>+Dren_Quantificacao!AT48</f>
        <v>0</v>
      </c>
      <c r="AW85" s="18">
        <f>+Dren_Quantificacao!AU48</f>
        <v>0</v>
      </c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358">
        <f t="shared" si="50"/>
        <v>0</v>
      </c>
      <c r="BN85" s="579">
        <f t="shared" si="44"/>
        <v>0</v>
      </c>
      <c r="BO85" s="2321">
        <f>0.25+0.06</f>
        <v>0.31</v>
      </c>
      <c r="BP85" s="2321">
        <f>0.73508*2</f>
        <v>1.4701599999999999</v>
      </c>
      <c r="BQ85" s="2321">
        <f>0.63334+0.61459</f>
        <v>1.24793</v>
      </c>
      <c r="BR85" s="1038"/>
      <c r="BS85" s="1038"/>
      <c r="BT85" s="1038"/>
      <c r="BU85" s="1038"/>
      <c r="BV85" s="1038"/>
      <c r="BW85" s="1040"/>
      <c r="BX85" s="1038"/>
      <c r="BY85" s="1038"/>
      <c r="BZ85" s="1038"/>
      <c r="CA85" s="1038"/>
      <c r="CB85" s="1038"/>
      <c r="CC85" s="1038"/>
      <c r="CD85" s="1038"/>
      <c r="CE85" s="1038"/>
      <c r="CF85" s="1040"/>
      <c r="CG85" s="1038"/>
      <c r="CH85" s="1038"/>
      <c r="CI85" s="1038"/>
      <c r="CJ85" s="1038"/>
      <c r="CK85" s="1038"/>
      <c r="CL85" s="1038"/>
      <c r="CM85" s="1040"/>
      <c r="CN85" s="1040"/>
      <c r="CO85" s="1038"/>
      <c r="CP85" s="1038"/>
      <c r="CQ85" s="1038"/>
      <c r="CR85" s="1038"/>
      <c r="CS85" s="1038"/>
      <c r="CT85" s="1040"/>
      <c r="CU85" s="1041"/>
      <c r="CV85" s="1038"/>
      <c r="CW85" s="973"/>
    </row>
    <row r="86" spans="1:101" s="14" customFormat="1" ht="32.1" hidden="1" customHeight="1" x14ac:dyDescent="0.15">
      <c r="A86" s="2707"/>
      <c r="B86" s="2628" t="s">
        <v>2690</v>
      </c>
      <c r="C86" s="2644"/>
      <c r="D86" s="1012"/>
      <c r="F86" s="18">
        <f>+Dren_Quantificacao!D49</f>
        <v>0</v>
      </c>
      <c r="G86" s="18">
        <f>+Dren_Quantificacao!E49</f>
        <v>0</v>
      </c>
      <c r="H86" s="18">
        <f>+Dren_Quantificacao!F49</f>
        <v>0</v>
      </c>
      <c r="I86" s="18">
        <f>+Dren_Quantificacao!G49</f>
        <v>0</v>
      </c>
      <c r="J86" s="18"/>
      <c r="K86" s="18"/>
      <c r="L86" s="18"/>
      <c r="M86" s="18"/>
      <c r="N86" s="2414"/>
      <c r="O86" s="18">
        <f>+Dren_Quantificacao!M49</f>
        <v>0</v>
      </c>
      <c r="P86" s="18">
        <f>+Dren_Quantificacao!N49</f>
        <v>0</v>
      </c>
      <c r="Q86" s="18">
        <f>+Dren_Quantificacao!O49</f>
        <v>0</v>
      </c>
      <c r="R86" s="18">
        <f>+Dren_Quantificacao!P49</f>
        <v>0</v>
      </c>
      <c r="S86" s="18">
        <f>+Dren_Quantificacao!Q49</f>
        <v>0</v>
      </c>
      <c r="T86" s="18">
        <f>+Dren_Quantificacao!R49</f>
        <v>0</v>
      </c>
      <c r="U86" s="18">
        <f>+Dren_Quantificacao!S49</f>
        <v>0</v>
      </c>
      <c r="V86" s="18">
        <f>+Dren_Quantificacao!T49</f>
        <v>0</v>
      </c>
      <c r="W86" s="18"/>
      <c r="X86" s="2414"/>
      <c r="Y86" s="18">
        <f>+Dren_Quantificacao!W49</f>
        <v>0</v>
      </c>
      <c r="Z86" s="18">
        <f>+Dren_Quantificacao!X49</f>
        <v>0</v>
      </c>
      <c r="AA86" s="18">
        <f>+Dren_Quantificacao!Y49</f>
        <v>0</v>
      </c>
      <c r="AB86" s="18">
        <f>+Dren_Quantificacao!Z49</f>
        <v>0</v>
      </c>
      <c r="AC86" s="18">
        <f>+Dren_Quantificacao!AA49</f>
        <v>0</v>
      </c>
      <c r="AD86" s="18">
        <f>+Dren_Quantificacao!AB49</f>
        <v>0</v>
      </c>
      <c r="AE86" s="18">
        <f>+Dren_Quantificacao!AC49</f>
        <v>0</v>
      </c>
      <c r="AF86" s="18">
        <f>+Dren_Quantificacao!AD49</f>
        <v>0</v>
      </c>
      <c r="AG86" s="18">
        <f>+Dren_Quantificacao!AE49</f>
        <v>0</v>
      </c>
      <c r="AH86" s="18">
        <f>+Dren_Quantificacao!AF49</f>
        <v>0</v>
      </c>
      <c r="AI86" s="18"/>
      <c r="AJ86" s="18"/>
      <c r="AK86" s="18"/>
      <c r="AL86" s="18"/>
      <c r="AM86" s="18"/>
      <c r="AN86" s="18"/>
      <c r="AO86" s="18"/>
      <c r="AP86" s="18"/>
      <c r="AQ86" s="18"/>
      <c r="AR86" s="2414"/>
      <c r="AS86" s="18">
        <f>+Dren_Quantificacao!AQ49</f>
        <v>0</v>
      </c>
      <c r="AT86" s="18">
        <f>+Dren_Quantificacao!AR49</f>
        <v>0</v>
      </c>
      <c r="AU86" s="18">
        <f>+Dren_Quantificacao!AS49</f>
        <v>0</v>
      </c>
      <c r="AV86" s="18">
        <f>+Dren_Quantificacao!AT49</f>
        <v>0</v>
      </c>
      <c r="AW86" s="18">
        <f>+Dren_Quantificacao!AU49</f>
        <v>0</v>
      </c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2320">
        <f t="shared" si="50"/>
        <v>0</v>
      </c>
      <c r="BN86" s="579">
        <f t="shared" si="44"/>
        <v>0</v>
      </c>
      <c r="BO86" s="2321">
        <v>0.14749999999999999</v>
      </c>
      <c r="BP86" s="2321">
        <f>0.36754*2</f>
        <v>0.73507999999999996</v>
      </c>
      <c r="BQ86" s="2321">
        <v>0.63334000000000001</v>
      </c>
      <c r="BR86" s="1038"/>
      <c r="BS86" s="1038"/>
      <c r="BT86" s="1038"/>
      <c r="BU86" s="1038"/>
      <c r="BV86" s="1038"/>
      <c r="BW86" s="1040"/>
      <c r="BX86" s="1038"/>
      <c r="BY86" s="1038"/>
      <c r="BZ86" s="1038"/>
      <c r="CA86" s="1038"/>
      <c r="CB86" s="1038"/>
      <c r="CC86" s="1038"/>
      <c r="CD86" s="1038"/>
      <c r="CE86" s="1038"/>
      <c r="CF86" s="1040"/>
      <c r="CG86" s="1038"/>
      <c r="CH86" s="1038"/>
      <c r="CI86" s="1038"/>
      <c r="CJ86" s="1038"/>
      <c r="CK86" s="1038"/>
      <c r="CL86" s="1038"/>
      <c r="CM86" s="1040"/>
      <c r="CN86" s="1040"/>
      <c r="CO86" s="1038"/>
      <c r="CP86" s="1038"/>
      <c r="CQ86" s="1038"/>
      <c r="CR86" s="1038"/>
      <c r="CS86" s="1038"/>
      <c r="CT86" s="1040"/>
      <c r="CU86" s="1041"/>
      <c r="CV86" s="1038"/>
      <c r="CW86" s="973"/>
    </row>
    <row r="87" spans="1:101" s="14" customFormat="1" ht="32.1" hidden="1" customHeight="1" x14ac:dyDescent="0.15">
      <c r="A87" s="2707"/>
      <c r="B87" s="2628" t="s">
        <v>2693</v>
      </c>
      <c r="C87" s="2644"/>
      <c r="D87" s="1012"/>
      <c r="F87" s="18">
        <f>+Dren_Quantificacao!D50</f>
        <v>0</v>
      </c>
      <c r="G87" s="18">
        <f>+Dren_Quantificacao!E50</f>
        <v>0</v>
      </c>
      <c r="H87" s="18">
        <f>+Dren_Quantificacao!F50</f>
        <v>0</v>
      </c>
      <c r="I87" s="18">
        <f>+Dren_Quantificacao!G50</f>
        <v>0</v>
      </c>
      <c r="J87" s="18"/>
      <c r="K87" s="18"/>
      <c r="L87" s="18"/>
      <c r="M87" s="18"/>
      <c r="N87" s="2414"/>
      <c r="O87" s="18">
        <f>+Dren_Quantificacao!M50</f>
        <v>0</v>
      </c>
      <c r="P87" s="18">
        <f>+Dren_Quantificacao!N50</f>
        <v>0</v>
      </c>
      <c r="Q87" s="18">
        <f>+Dren_Quantificacao!O50</f>
        <v>0</v>
      </c>
      <c r="R87" s="18">
        <f>+Dren_Quantificacao!P50</f>
        <v>0</v>
      </c>
      <c r="S87" s="18">
        <f>+Dren_Quantificacao!Q50</f>
        <v>0</v>
      </c>
      <c r="T87" s="18">
        <f>+Dren_Quantificacao!R50</f>
        <v>0</v>
      </c>
      <c r="U87" s="18">
        <f>+Dren_Quantificacao!S50</f>
        <v>0</v>
      </c>
      <c r="V87" s="18">
        <f>+Dren_Quantificacao!T50</f>
        <v>0</v>
      </c>
      <c r="W87" s="18"/>
      <c r="X87" s="2414"/>
      <c r="Y87" s="18">
        <f>+Dren_Quantificacao!W50</f>
        <v>0</v>
      </c>
      <c r="Z87" s="18">
        <f>+Dren_Quantificacao!X50</f>
        <v>0</v>
      </c>
      <c r="AA87" s="18">
        <f>+Dren_Quantificacao!Y50</f>
        <v>0</v>
      </c>
      <c r="AB87" s="18">
        <f>+Dren_Quantificacao!Z50</f>
        <v>0</v>
      </c>
      <c r="AC87" s="18">
        <f>+Dren_Quantificacao!AA50</f>
        <v>0</v>
      </c>
      <c r="AD87" s="18">
        <f>+Dren_Quantificacao!AB50</f>
        <v>0</v>
      </c>
      <c r="AE87" s="18">
        <f>+Dren_Quantificacao!AC50</f>
        <v>0</v>
      </c>
      <c r="AF87" s="18">
        <f>+Dren_Quantificacao!AD50</f>
        <v>0</v>
      </c>
      <c r="AG87" s="18">
        <f>+Dren_Quantificacao!AE50</f>
        <v>0</v>
      </c>
      <c r="AH87" s="18">
        <f>+Dren_Quantificacao!AF50</f>
        <v>0</v>
      </c>
      <c r="AI87" s="18"/>
      <c r="AJ87" s="18"/>
      <c r="AK87" s="18"/>
      <c r="AL87" s="18"/>
      <c r="AM87" s="18"/>
      <c r="AN87" s="18"/>
      <c r="AO87" s="18"/>
      <c r="AP87" s="18"/>
      <c r="AQ87" s="18"/>
      <c r="AR87" s="2414"/>
      <c r="AS87" s="18">
        <f>+Dren_Quantificacao!AQ50</f>
        <v>0</v>
      </c>
      <c r="AT87" s="18">
        <f>+Dren_Quantificacao!AR50</f>
        <v>0</v>
      </c>
      <c r="AU87" s="18">
        <f>+Dren_Quantificacao!AS50</f>
        <v>0</v>
      </c>
      <c r="AV87" s="18">
        <f>+Dren_Quantificacao!AT50</f>
        <v>0</v>
      </c>
      <c r="AW87" s="18">
        <f>+Dren_Quantificacao!AU50</f>
        <v>0</v>
      </c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349">
        <f t="shared" si="50"/>
        <v>0</v>
      </c>
      <c r="BN87" s="579">
        <f t="shared" si="44"/>
        <v>0</v>
      </c>
      <c r="BO87" s="2321">
        <f>2.1+0.092</f>
        <v>2.1920000000000002</v>
      </c>
      <c r="BP87" s="2321">
        <f>0.73508*2</f>
        <v>1.4701599999999999</v>
      </c>
      <c r="BQ87" s="2321">
        <f>0.63334+0.61459</f>
        <v>1.24793</v>
      </c>
      <c r="BR87" s="1038"/>
      <c r="BS87" s="1038"/>
      <c r="BT87" s="1038"/>
      <c r="BU87" s="1038"/>
      <c r="BV87" s="1038"/>
      <c r="BW87" s="1040"/>
      <c r="BX87" s="1038"/>
      <c r="BY87" s="1038"/>
      <c r="BZ87" s="1038"/>
      <c r="CA87" s="1038"/>
      <c r="CB87" s="1038"/>
      <c r="CC87" s="1038"/>
      <c r="CD87" s="1038"/>
      <c r="CE87" s="1038"/>
      <c r="CF87" s="1040"/>
      <c r="CG87" s="1038"/>
      <c r="CH87" s="1038"/>
      <c r="CI87" s="1038"/>
      <c r="CJ87" s="1038"/>
      <c r="CK87" s="1038"/>
      <c r="CL87" s="1038"/>
      <c r="CM87" s="1040"/>
      <c r="CN87" s="1040"/>
      <c r="CO87" s="1038"/>
      <c r="CP87" s="1038"/>
      <c r="CQ87" s="1038"/>
      <c r="CR87" s="1038"/>
      <c r="CS87" s="1038"/>
      <c r="CT87" s="1040"/>
      <c r="CU87" s="1041"/>
      <c r="CV87" s="1038"/>
      <c r="CW87" s="973"/>
    </row>
    <row r="88" spans="1:101" s="14" customFormat="1" ht="32.1" hidden="1" customHeight="1" x14ac:dyDescent="0.15">
      <c r="A88" s="2707"/>
      <c r="B88" s="2628" t="s">
        <v>2691</v>
      </c>
      <c r="C88" s="2644"/>
      <c r="D88" s="1012"/>
      <c r="F88" s="18">
        <f>+Dren_Quantificacao!D51</f>
        <v>0</v>
      </c>
      <c r="G88" s="18">
        <f>+Dren_Quantificacao!E51</f>
        <v>0</v>
      </c>
      <c r="H88" s="18">
        <f>+Dren_Quantificacao!F51</f>
        <v>0</v>
      </c>
      <c r="I88" s="18">
        <f>+Dren_Quantificacao!G51</f>
        <v>0</v>
      </c>
      <c r="J88" s="18"/>
      <c r="K88" s="18"/>
      <c r="L88" s="18"/>
      <c r="M88" s="18"/>
      <c r="N88" s="2414"/>
      <c r="O88" s="18">
        <f>+Dren_Quantificacao!M51</f>
        <v>0</v>
      </c>
      <c r="P88" s="18">
        <f>+Dren_Quantificacao!N51</f>
        <v>0</v>
      </c>
      <c r="Q88" s="18">
        <f>+Dren_Quantificacao!O51</f>
        <v>0</v>
      </c>
      <c r="R88" s="18">
        <f>+Dren_Quantificacao!P51</f>
        <v>0</v>
      </c>
      <c r="S88" s="18">
        <f>+Dren_Quantificacao!Q51</f>
        <v>0</v>
      </c>
      <c r="T88" s="18">
        <f>+Dren_Quantificacao!R51</f>
        <v>0</v>
      </c>
      <c r="U88" s="18">
        <f>+Dren_Quantificacao!S51</f>
        <v>0</v>
      </c>
      <c r="V88" s="18">
        <f>+Dren_Quantificacao!T51</f>
        <v>0</v>
      </c>
      <c r="W88" s="18"/>
      <c r="X88" s="2414"/>
      <c r="Y88" s="18">
        <f>+Dren_Quantificacao!W51</f>
        <v>0</v>
      </c>
      <c r="Z88" s="18">
        <f>+Dren_Quantificacao!X51</f>
        <v>0</v>
      </c>
      <c r="AA88" s="18">
        <f>+Dren_Quantificacao!Y51</f>
        <v>0</v>
      </c>
      <c r="AB88" s="18">
        <f>+Dren_Quantificacao!Z51</f>
        <v>0</v>
      </c>
      <c r="AC88" s="18">
        <f>+Dren_Quantificacao!AA51</f>
        <v>0</v>
      </c>
      <c r="AD88" s="18">
        <f>+Dren_Quantificacao!AB51</f>
        <v>0</v>
      </c>
      <c r="AE88" s="18">
        <f>+Dren_Quantificacao!AC51</f>
        <v>0</v>
      </c>
      <c r="AF88" s="18">
        <f>+Dren_Quantificacao!AD51</f>
        <v>0</v>
      </c>
      <c r="AG88" s="18">
        <f>+Dren_Quantificacao!AE51</f>
        <v>0</v>
      </c>
      <c r="AH88" s="18">
        <f>+Dren_Quantificacao!AF51</f>
        <v>0</v>
      </c>
      <c r="AI88" s="18"/>
      <c r="AJ88" s="18"/>
      <c r="AK88" s="18"/>
      <c r="AL88" s="18"/>
      <c r="AM88" s="18"/>
      <c r="AN88" s="18"/>
      <c r="AO88" s="18"/>
      <c r="AP88" s="18"/>
      <c r="AQ88" s="18"/>
      <c r="AR88" s="2414"/>
      <c r="AS88" s="18">
        <f>+Dren_Quantificacao!AQ51</f>
        <v>0</v>
      </c>
      <c r="AT88" s="18">
        <f>+Dren_Quantificacao!AR51</f>
        <v>0</v>
      </c>
      <c r="AU88" s="18">
        <f>+Dren_Quantificacao!AS51</f>
        <v>0</v>
      </c>
      <c r="AV88" s="18">
        <f>+Dren_Quantificacao!AT51</f>
        <v>0</v>
      </c>
      <c r="AW88" s="18">
        <f>+Dren_Quantificacao!AU51</f>
        <v>0</v>
      </c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349">
        <f t="shared" si="50"/>
        <v>0</v>
      </c>
      <c r="BN88" s="579">
        <f t="shared" si="44"/>
        <v>0</v>
      </c>
      <c r="BO88" s="2321">
        <v>0.11</v>
      </c>
      <c r="BP88" s="2321">
        <f>0.36754*2</f>
        <v>0.73507999999999996</v>
      </c>
      <c r="BQ88" s="2321">
        <v>0.63334000000000001</v>
      </c>
      <c r="BR88" s="1038"/>
      <c r="BS88" s="1038"/>
      <c r="BT88" s="1038"/>
      <c r="BU88" s="1038"/>
      <c r="BV88" s="1038"/>
      <c r="BW88" s="1040"/>
      <c r="BX88" s="1038"/>
      <c r="BY88" s="1038"/>
      <c r="BZ88" s="1038"/>
      <c r="CA88" s="1038"/>
      <c r="CB88" s="1038"/>
      <c r="CC88" s="1038"/>
      <c r="CD88" s="1038"/>
      <c r="CE88" s="1038"/>
      <c r="CF88" s="1040"/>
      <c r="CG88" s="1038"/>
      <c r="CH88" s="1038"/>
      <c r="CI88" s="1038"/>
      <c r="CJ88" s="1038"/>
      <c r="CK88" s="1038"/>
      <c r="CL88" s="1038"/>
      <c r="CM88" s="1040"/>
      <c r="CN88" s="1040"/>
      <c r="CO88" s="1038"/>
      <c r="CP88" s="1038"/>
      <c r="CQ88" s="1038"/>
      <c r="CR88" s="1038"/>
      <c r="CS88" s="1038"/>
      <c r="CT88" s="1040"/>
      <c r="CU88" s="1041"/>
      <c r="CV88" s="1038"/>
      <c r="CW88" s="973"/>
    </row>
    <row r="89" spans="1:101" s="14" customFormat="1" ht="32.1" hidden="1" customHeight="1" x14ac:dyDescent="0.15">
      <c r="A89" s="2707"/>
      <c r="B89" s="2628" t="s">
        <v>2692</v>
      </c>
      <c r="C89" s="2644"/>
      <c r="D89" s="1012"/>
      <c r="F89" s="18">
        <f>+Dren_Quantificacao!D52</f>
        <v>0</v>
      </c>
      <c r="G89" s="18">
        <f>+Dren_Quantificacao!E52</f>
        <v>0</v>
      </c>
      <c r="H89" s="18">
        <f>+Dren_Quantificacao!F52</f>
        <v>0</v>
      </c>
      <c r="I89" s="18">
        <f>+Dren_Quantificacao!G52</f>
        <v>0</v>
      </c>
      <c r="J89" s="18"/>
      <c r="K89" s="18"/>
      <c r="L89" s="18"/>
      <c r="M89" s="18"/>
      <c r="N89" s="2414"/>
      <c r="O89" s="18">
        <f>+Dren_Quantificacao!M52</f>
        <v>0</v>
      </c>
      <c r="P89" s="18">
        <f>+Dren_Quantificacao!N52</f>
        <v>0</v>
      </c>
      <c r="Q89" s="18">
        <f>+Dren_Quantificacao!O52</f>
        <v>0</v>
      </c>
      <c r="R89" s="18">
        <f>+Dren_Quantificacao!P52</f>
        <v>0</v>
      </c>
      <c r="S89" s="18">
        <f>+Dren_Quantificacao!Q52</f>
        <v>0</v>
      </c>
      <c r="T89" s="18">
        <f>+Dren_Quantificacao!R52</f>
        <v>0</v>
      </c>
      <c r="U89" s="18">
        <f>+Dren_Quantificacao!S52</f>
        <v>0</v>
      </c>
      <c r="V89" s="18">
        <f>+Dren_Quantificacao!T52</f>
        <v>0</v>
      </c>
      <c r="W89" s="18"/>
      <c r="X89" s="2414"/>
      <c r="Y89" s="18">
        <f>+Dren_Quantificacao!W52</f>
        <v>0</v>
      </c>
      <c r="Z89" s="18">
        <f>+Dren_Quantificacao!X52</f>
        <v>0</v>
      </c>
      <c r="AA89" s="18">
        <f>+Dren_Quantificacao!Y52</f>
        <v>0</v>
      </c>
      <c r="AB89" s="18">
        <f>+Dren_Quantificacao!Z52</f>
        <v>0</v>
      </c>
      <c r="AC89" s="18">
        <f>+Dren_Quantificacao!AA52</f>
        <v>0</v>
      </c>
      <c r="AD89" s="18">
        <f>+Dren_Quantificacao!AB52</f>
        <v>0</v>
      </c>
      <c r="AE89" s="18">
        <f>+Dren_Quantificacao!AC52</f>
        <v>0</v>
      </c>
      <c r="AF89" s="18">
        <f>+Dren_Quantificacao!AD52</f>
        <v>0</v>
      </c>
      <c r="AG89" s="18">
        <f>+Dren_Quantificacao!AE52</f>
        <v>0</v>
      </c>
      <c r="AH89" s="18">
        <f>+Dren_Quantificacao!AF52</f>
        <v>0</v>
      </c>
      <c r="AI89" s="18"/>
      <c r="AJ89" s="18"/>
      <c r="AK89" s="18"/>
      <c r="AL89" s="18"/>
      <c r="AM89" s="18"/>
      <c r="AN89" s="18"/>
      <c r="AO89" s="18"/>
      <c r="AP89" s="18"/>
      <c r="AQ89" s="18"/>
      <c r="AR89" s="2414"/>
      <c r="AS89" s="18">
        <f>+Dren_Quantificacao!AQ52</f>
        <v>0</v>
      </c>
      <c r="AT89" s="18">
        <f>+Dren_Quantificacao!AR52</f>
        <v>0</v>
      </c>
      <c r="AU89" s="18">
        <f>+Dren_Quantificacao!AS52</f>
        <v>0</v>
      </c>
      <c r="AV89" s="18">
        <f>+Dren_Quantificacao!AT52</f>
        <v>0</v>
      </c>
      <c r="AW89" s="18">
        <f>+Dren_Quantificacao!AU52</f>
        <v>0</v>
      </c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349">
        <f t="shared" si="50"/>
        <v>0</v>
      </c>
      <c r="BN89" s="579">
        <f t="shared" si="44"/>
        <v>0</v>
      </c>
      <c r="BO89" s="2321">
        <v>0.14000000000000001</v>
      </c>
      <c r="BP89" s="2321">
        <f>0.36754*2</f>
        <v>0.73507999999999996</v>
      </c>
      <c r="BQ89" s="2321">
        <v>0.63334000000000001</v>
      </c>
      <c r="BR89" s="1038"/>
      <c r="BS89" s="1038"/>
      <c r="BT89" s="1038"/>
      <c r="BU89" s="1038"/>
      <c r="BV89" s="1038"/>
      <c r="BW89" s="1040"/>
      <c r="BX89" s="1038"/>
      <c r="BY89" s="1038"/>
      <c r="BZ89" s="1038"/>
      <c r="CA89" s="1038"/>
      <c r="CB89" s="1038"/>
      <c r="CC89" s="1038"/>
      <c r="CD89" s="1038"/>
      <c r="CE89" s="1038"/>
      <c r="CF89" s="1040"/>
      <c r="CG89" s="1038"/>
      <c r="CH89" s="1038"/>
      <c r="CI89" s="1038"/>
      <c r="CJ89" s="1038"/>
      <c r="CK89" s="1038"/>
      <c r="CL89" s="1038"/>
      <c r="CM89" s="1040"/>
      <c r="CN89" s="1040"/>
      <c r="CO89" s="1038"/>
      <c r="CP89" s="1038"/>
      <c r="CQ89" s="1038"/>
      <c r="CR89" s="1038"/>
      <c r="CS89" s="1038"/>
      <c r="CT89" s="1040"/>
      <c r="CU89" s="1041"/>
      <c r="CV89" s="1038"/>
      <c r="CW89" s="973"/>
    </row>
    <row r="90" spans="1:101" s="14" customFormat="1" ht="21.95" hidden="1" customHeight="1" thickBot="1" x14ac:dyDescent="0.2">
      <c r="A90" s="2707"/>
      <c r="B90" s="2624" t="s">
        <v>2694</v>
      </c>
      <c r="C90" s="2697"/>
      <c r="D90" s="1012"/>
      <c r="F90" s="18">
        <f>+Dren_Quantificacao!D53</f>
        <v>0</v>
      </c>
      <c r="G90" s="18">
        <f>+Dren_Quantificacao!E53</f>
        <v>0</v>
      </c>
      <c r="H90" s="18">
        <f>+Dren_Quantificacao!F53</f>
        <v>0</v>
      </c>
      <c r="I90" s="18">
        <f>+Dren_Quantificacao!G53</f>
        <v>0</v>
      </c>
      <c r="J90" s="18"/>
      <c r="K90" s="18"/>
      <c r="L90" s="18"/>
      <c r="M90" s="18"/>
      <c r="N90" s="2414"/>
      <c r="O90" s="18">
        <f>+Dren_Quantificacao!M53</f>
        <v>0</v>
      </c>
      <c r="P90" s="18">
        <f>+Dren_Quantificacao!N53</f>
        <v>0</v>
      </c>
      <c r="Q90" s="18">
        <f>+Dren_Quantificacao!O53</f>
        <v>0</v>
      </c>
      <c r="R90" s="18">
        <f>+Dren_Quantificacao!P53</f>
        <v>0</v>
      </c>
      <c r="S90" s="18">
        <f>+Dren_Quantificacao!Q53</f>
        <v>0</v>
      </c>
      <c r="T90" s="18">
        <f>+Dren_Quantificacao!R53</f>
        <v>0</v>
      </c>
      <c r="U90" s="18">
        <f>+Dren_Quantificacao!S53</f>
        <v>0</v>
      </c>
      <c r="V90" s="18">
        <f>+Dren_Quantificacao!T53</f>
        <v>0</v>
      </c>
      <c r="W90" s="18"/>
      <c r="X90" s="2414"/>
      <c r="Y90" s="18">
        <f>+Dren_Quantificacao!W53</f>
        <v>0</v>
      </c>
      <c r="Z90" s="18">
        <f>+Dren_Quantificacao!X53</f>
        <v>0</v>
      </c>
      <c r="AA90" s="18">
        <f>+Dren_Quantificacao!Y53</f>
        <v>0</v>
      </c>
      <c r="AB90" s="18">
        <f>+Dren_Quantificacao!Z53</f>
        <v>0</v>
      </c>
      <c r="AC90" s="18">
        <f>+Dren_Quantificacao!AA53</f>
        <v>0</v>
      </c>
      <c r="AD90" s="18">
        <f>+Dren_Quantificacao!AB53</f>
        <v>0</v>
      </c>
      <c r="AE90" s="18">
        <f>+Dren_Quantificacao!AC53</f>
        <v>0</v>
      </c>
      <c r="AF90" s="18">
        <f>+Dren_Quantificacao!AD53</f>
        <v>0</v>
      </c>
      <c r="AG90" s="18">
        <f>+Dren_Quantificacao!AE53</f>
        <v>0</v>
      </c>
      <c r="AH90" s="18">
        <f>+Dren_Quantificacao!AF53</f>
        <v>0</v>
      </c>
      <c r="AI90" s="18"/>
      <c r="AJ90" s="18"/>
      <c r="AK90" s="18"/>
      <c r="AL90" s="18"/>
      <c r="AM90" s="18"/>
      <c r="AN90" s="18"/>
      <c r="AO90" s="18"/>
      <c r="AP90" s="18"/>
      <c r="AQ90" s="18"/>
      <c r="AR90" s="2414"/>
      <c r="AS90" s="18">
        <f>+Dren_Quantificacao!AQ53</f>
        <v>0</v>
      </c>
      <c r="AT90" s="18">
        <f>+Dren_Quantificacao!AR53</f>
        <v>0</v>
      </c>
      <c r="AU90" s="18">
        <f>+Dren_Quantificacao!AS53</f>
        <v>0</v>
      </c>
      <c r="AV90" s="18">
        <f>+Dren_Quantificacao!AT53</f>
        <v>0</v>
      </c>
      <c r="AW90" s="18">
        <f>+Dren_Quantificacao!AU53</f>
        <v>0</v>
      </c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349">
        <f t="shared" si="50"/>
        <v>0</v>
      </c>
      <c r="BN90" s="579">
        <f t="shared" si="44"/>
        <v>0</v>
      </c>
      <c r="BO90" s="2321">
        <v>1.619</v>
      </c>
      <c r="BP90" s="2321">
        <f>0.36754*2</f>
        <v>0.73507999999999996</v>
      </c>
      <c r="BQ90" s="2321">
        <v>0.63334000000000001</v>
      </c>
      <c r="BR90" s="1038"/>
      <c r="BS90" s="1038"/>
      <c r="BT90" s="1038"/>
      <c r="BU90" s="1038"/>
      <c r="BV90" s="1038"/>
      <c r="BW90" s="1040"/>
      <c r="BX90" s="1038"/>
      <c r="BY90" s="1038"/>
      <c r="BZ90" s="1038"/>
      <c r="CA90" s="1038"/>
      <c r="CB90" s="1038"/>
      <c r="CC90" s="1038"/>
      <c r="CD90" s="1038"/>
      <c r="CE90" s="1038"/>
      <c r="CF90" s="1040"/>
      <c r="CG90" s="1038"/>
      <c r="CH90" s="1038"/>
      <c r="CI90" s="1038"/>
      <c r="CJ90" s="1038"/>
      <c r="CK90" s="1038"/>
      <c r="CL90" s="1038"/>
      <c r="CM90" s="1040"/>
      <c r="CN90" s="1040"/>
      <c r="CO90" s="1038"/>
      <c r="CP90" s="1038"/>
      <c r="CQ90" s="1038"/>
      <c r="CR90" s="1038"/>
      <c r="CS90" s="1038"/>
      <c r="CT90" s="1040"/>
      <c r="CU90" s="1041"/>
      <c r="CV90" s="1038"/>
      <c r="CW90" s="973"/>
    </row>
    <row r="91" spans="1:101" s="14" customFormat="1" ht="21.95" hidden="1" customHeight="1" x14ac:dyDescent="0.15">
      <c r="A91" s="2707"/>
      <c r="B91" s="2698" t="s">
        <v>585</v>
      </c>
      <c r="C91" s="2699"/>
      <c r="D91" s="1011"/>
      <c r="E91" s="2249"/>
      <c r="F91" s="235">
        <f>+(F85*$BO$85*$BQ$85)+(F86*$BO$86*$BQ$86)+(F87*$BO$87*$BQ$87)+(F88*$BO$88*$BQ$88)+(F89*$BO$89*$BQ$89)+(F90*$BO$90*$BQ$90)</f>
        <v>0</v>
      </c>
      <c r="G91" s="235">
        <f t="shared" ref="G91" si="56">+(G85*$BO$85*$BQ$85)+(G86*$BO$86*$BQ$86)+(G87*$BO$87*$BQ$87)+(G88*$BO$88*$BQ$88)+(G89*$BO$89*$BQ$89)+(G90*$BO$90*$BQ$90)</f>
        <v>0</v>
      </c>
      <c r="H91" s="235">
        <f t="shared" ref="H91" si="57">+(H85*$BO$85*$BQ$85)+(H86*$BO$86*$BQ$86)+(H87*$BO$87*$BQ$87)+(H88*$BO$88*$BQ$88)+(H89*$BO$89*$BQ$89)+(H90*$BO$90*$BQ$90)</f>
        <v>0</v>
      </c>
      <c r="I91" s="235">
        <f t="shared" ref="I91" si="58">+(I85*$BO$85*$BQ$85)+(I86*$BO$86*$BQ$86)+(I87*$BO$87*$BQ$87)+(I88*$BO$88*$BQ$88)+(I89*$BO$89*$BQ$89)+(I90*$BO$90*$BQ$90)</f>
        <v>0</v>
      </c>
      <c r="J91" s="235"/>
      <c r="K91" s="235"/>
      <c r="L91" s="235"/>
      <c r="M91" s="235"/>
      <c r="N91" s="2458"/>
      <c r="O91" s="235">
        <f t="shared" ref="O91" si="59">+(O85*$BO$85*$BQ$85)+(O86*$BO$86*$BQ$86)+(O87*$BO$87*$BQ$87)+(O88*$BO$88*$BQ$88)+(O89*$BO$89*$BQ$89)+(O90*$BO$90*$BQ$90)</f>
        <v>0</v>
      </c>
      <c r="P91" s="235">
        <f t="shared" ref="P91" si="60">+(P85*$BO$85*$BQ$85)+(P86*$BO$86*$BQ$86)+(P87*$BO$87*$BQ$87)+(P88*$BO$88*$BQ$88)+(P89*$BO$89*$BQ$89)+(P90*$BO$90*$BQ$90)</f>
        <v>0</v>
      </c>
      <c r="Q91" s="235">
        <f t="shared" ref="Q91" si="61">+(Q85*$BO$85*$BQ$85)+(Q86*$BO$86*$BQ$86)+(Q87*$BO$87*$BQ$87)+(Q88*$BO$88*$BQ$88)+(Q89*$BO$89*$BQ$89)+(Q90*$BO$90*$BQ$90)</f>
        <v>0</v>
      </c>
      <c r="R91" s="235">
        <f t="shared" ref="R91" si="62">+(R85*$BO$85*$BQ$85)+(R86*$BO$86*$BQ$86)+(R87*$BO$87*$BQ$87)+(R88*$BO$88*$BQ$88)+(R89*$BO$89*$BQ$89)+(R90*$BO$90*$BQ$90)</f>
        <v>0</v>
      </c>
      <c r="S91" s="235">
        <f t="shared" ref="S91" si="63">+(S85*$BO$85*$BQ$85)+(S86*$BO$86*$BQ$86)+(S87*$BO$87*$BQ$87)+(S88*$BO$88*$BQ$88)+(S89*$BO$89*$BQ$89)+(S90*$BO$90*$BQ$90)</f>
        <v>0</v>
      </c>
      <c r="T91" s="235">
        <f t="shared" ref="T91" si="64">+(T85*$BO$85*$BQ$85)+(T86*$BO$86*$BQ$86)+(T87*$BO$87*$BQ$87)+(T88*$BO$88*$BQ$88)+(T89*$BO$89*$BQ$89)+(T90*$BO$90*$BQ$90)</f>
        <v>0</v>
      </c>
      <c r="U91" s="235">
        <f t="shared" ref="U91" si="65">+(U85*$BO$85*$BQ$85)+(U86*$BO$86*$BQ$86)+(U87*$BO$87*$BQ$87)+(U88*$BO$88*$BQ$88)+(U89*$BO$89*$BQ$89)+(U90*$BO$90*$BQ$90)</f>
        <v>0</v>
      </c>
      <c r="V91" s="235">
        <f t="shared" ref="V91" si="66">+(V85*$BO$85*$BQ$85)+(V86*$BO$86*$BQ$86)+(V87*$BO$87*$BQ$87)+(V88*$BO$88*$BQ$88)+(V89*$BO$89*$BQ$89)+(V90*$BO$90*$BQ$90)</f>
        <v>0</v>
      </c>
      <c r="W91" s="235"/>
      <c r="X91" s="2458"/>
      <c r="Y91" s="235">
        <f t="shared" ref="Y91" si="67">+(Y85*$BO$85*$BQ$85)+(Y86*$BO$86*$BQ$86)+(Y87*$BO$87*$BQ$87)+(Y88*$BO$88*$BQ$88)+(Y89*$BO$89*$BQ$89)+(Y90*$BO$90*$BQ$90)</f>
        <v>0</v>
      </c>
      <c r="Z91" s="235">
        <f t="shared" ref="Z91" si="68">+(Z85*$BO$85*$BQ$85)+(Z86*$BO$86*$BQ$86)+(Z87*$BO$87*$BQ$87)+(Z88*$BO$88*$BQ$88)+(Z89*$BO$89*$BQ$89)+(Z90*$BO$90*$BQ$90)</f>
        <v>0</v>
      </c>
      <c r="AA91" s="235">
        <f t="shared" ref="AA91" si="69">+(AA85*$BO$85*$BQ$85)+(AA86*$BO$86*$BQ$86)+(AA87*$BO$87*$BQ$87)+(AA88*$BO$88*$BQ$88)+(AA89*$BO$89*$BQ$89)+(AA90*$BO$90*$BQ$90)</f>
        <v>0</v>
      </c>
      <c r="AB91" s="235">
        <f t="shared" ref="AB91" si="70">+(AB85*$BO$85*$BQ$85)+(AB86*$BO$86*$BQ$86)+(AB87*$BO$87*$BQ$87)+(AB88*$BO$88*$BQ$88)+(AB89*$BO$89*$BQ$89)+(AB90*$BO$90*$BQ$90)</f>
        <v>0</v>
      </c>
      <c r="AC91" s="235">
        <f t="shared" ref="AC91" si="71">+(AC85*$BO$85*$BQ$85)+(AC86*$BO$86*$BQ$86)+(AC87*$BO$87*$BQ$87)+(AC88*$BO$88*$BQ$88)+(AC89*$BO$89*$BQ$89)+(AC90*$BO$90*$BQ$90)</f>
        <v>0</v>
      </c>
      <c r="AD91" s="235">
        <f t="shared" ref="AD91" si="72">+(AD85*$BO$85*$BQ$85)+(AD86*$BO$86*$BQ$86)+(AD87*$BO$87*$BQ$87)+(AD88*$BO$88*$BQ$88)+(AD89*$BO$89*$BQ$89)+(AD90*$BO$90*$BQ$90)</f>
        <v>0</v>
      </c>
      <c r="AE91" s="235">
        <f t="shared" ref="AE91" si="73">+(AE85*$BO$85*$BQ$85)+(AE86*$BO$86*$BQ$86)+(AE87*$BO$87*$BQ$87)+(AE88*$BO$88*$BQ$88)+(AE89*$BO$89*$BQ$89)+(AE90*$BO$90*$BQ$90)</f>
        <v>0</v>
      </c>
      <c r="AF91" s="235">
        <f t="shared" ref="AF91" si="74">+(AF85*$BO$85*$BQ$85)+(AF86*$BO$86*$BQ$86)+(AF87*$BO$87*$BQ$87)+(AF88*$BO$88*$BQ$88)+(AF89*$BO$89*$BQ$89)+(AF90*$BO$90*$BQ$90)</f>
        <v>0</v>
      </c>
      <c r="AG91" s="235">
        <f t="shared" ref="AG91" si="75">+(AG85*$BO$85*$BQ$85)+(AG86*$BO$86*$BQ$86)+(AG87*$BO$87*$BQ$87)+(AG88*$BO$88*$BQ$88)+(AG89*$BO$89*$BQ$89)+(AG90*$BO$90*$BQ$90)</f>
        <v>0</v>
      </c>
      <c r="AH91" s="235">
        <f t="shared" ref="AH91" si="76">+(AH85*$BO$85*$BQ$85)+(AH86*$BO$86*$BQ$86)+(AH87*$BO$87*$BQ$87)+(AH88*$BO$88*$BQ$88)+(AH89*$BO$89*$BQ$89)+(AH90*$BO$90*$BQ$90)</f>
        <v>0</v>
      </c>
      <c r="AI91" s="235"/>
      <c r="AJ91" s="235"/>
      <c r="AK91" s="235"/>
      <c r="AL91" s="235"/>
      <c r="AM91" s="235"/>
      <c r="AN91" s="235"/>
      <c r="AO91" s="235"/>
      <c r="AP91" s="235"/>
      <c r="AQ91" s="235"/>
      <c r="AR91" s="2458"/>
      <c r="AS91" s="235">
        <f t="shared" ref="AS91" si="77">+(AS85*$BO$85*$BQ$85)+(AS86*$BO$86*$BQ$86)+(AS87*$BO$87*$BQ$87)+(AS88*$BO$88*$BQ$88)+(AS89*$BO$89*$BQ$89)+(AS90*$BO$90*$BQ$90)</f>
        <v>0</v>
      </c>
      <c r="AT91" s="235">
        <f t="shared" ref="AT91" si="78">+(AT85*$BO$85*$BQ$85)+(AT86*$BO$86*$BQ$86)+(AT87*$BO$87*$BQ$87)+(AT88*$BO$88*$BQ$88)+(AT89*$BO$89*$BQ$89)+(AT90*$BO$90*$BQ$90)</f>
        <v>0</v>
      </c>
      <c r="AU91" s="235">
        <f t="shared" ref="AU91" si="79">+(AU85*$BO$85*$BQ$85)+(AU86*$BO$86*$BQ$86)+(AU87*$BO$87*$BQ$87)+(AU88*$BO$88*$BQ$88)+(AU89*$BO$89*$BQ$89)+(AU90*$BO$90*$BQ$90)</f>
        <v>0</v>
      </c>
      <c r="AV91" s="235">
        <f t="shared" ref="AV91" si="80">+(AV85*$BO$85*$BQ$85)+(AV86*$BO$86*$BQ$86)+(AV87*$BO$87*$BQ$87)+(AV88*$BO$88*$BQ$88)+(AV89*$BO$89*$BQ$89)+(AV90*$BO$90*$BQ$90)</f>
        <v>0</v>
      </c>
      <c r="AW91" s="235">
        <f t="shared" ref="AW91" si="81">+(AW85*$BO$85*$BQ$85)+(AW86*$BO$86*$BQ$86)+(AW87*$BO$87*$BQ$87)+(AW88*$BO$88*$BQ$88)+(AW89*$BO$89*$BQ$89)+(AW90*$BO$90*$BQ$90)</f>
        <v>0</v>
      </c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22">
        <f t="shared" si="50"/>
        <v>0</v>
      </c>
      <c r="BN91" s="579">
        <f t="shared" si="44"/>
        <v>0</v>
      </c>
      <c r="BO91" s="1047"/>
      <c r="BP91" s="1038"/>
      <c r="BQ91" s="1038"/>
      <c r="BR91" s="1038"/>
      <c r="BS91" s="1038"/>
      <c r="BT91" s="1038"/>
      <c r="BU91" s="1038"/>
      <c r="BV91" s="1038"/>
      <c r="BW91" s="1040"/>
      <c r="BX91" s="1038"/>
      <c r="BY91" s="1038"/>
      <c r="BZ91" s="1038"/>
      <c r="CA91" s="1038"/>
      <c r="CB91" s="1038"/>
      <c r="CC91" s="1038"/>
      <c r="CD91" s="1038"/>
      <c r="CE91" s="1038"/>
      <c r="CF91" s="1040"/>
      <c r="CG91" s="1038"/>
      <c r="CH91" s="1038"/>
      <c r="CI91" s="1038"/>
      <c r="CJ91" s="1038"/>
      <c r="CK91" s="1038"/>
      <c r="CL91" s="1038"/>
      <c r="CM91" s="1040"/>
      <c r="CN91" s="1040"/>
      <c r="CO91" s="1038"/>
      <c r="CP91" s="1038"/>
      <c r="CQ91" s="1038"/>
      <c r="CR91" s="1038"/>
      <c r="CS91" s="1038"/>
      <c r="CT91" s="1040"/>
      <c r="CU91" s="1041"/>
      <c r="CV91" s="1038"/>
      <c r="CW91" s="973"/>
    </row>
    <row r="92" spans="1:101" s="14" customFormat="1" ht="21.95" hidden="1" customHeight="1" thickBot="1" x14ac:dyDescent="0.2">
      <c r="A92" s="2707"/>
      <c r="B92" s="2628" t="s">
        <v>642</v>
      </c>
      <c r="C92" s="2644"/>
      <c r="D92" s="1012"/>
      <c r="F92" s="134">
        <f>+(F85*$BO$85*$BP$85)+(F86*$BO$86*$BP$86)+(F87*$BO$87*$BP$87)+(F88*$BO$88*$BP$88)+(F89*$BO$89*$BP$89)+(F90*$BO$90*$BP$90)</f>
        <v>0</v>
      </c>
      <c r="G92" s="134">
        <f t="shared" ref="G92" si="82">+(G85*$BO$85*$BP$85)+(G86*$BO$86*$BP$86)+(G87*$BO$87*$BP$87)+(G88*$BO$88*$BP$88)+(G89*$BO$89*$BP$89)+(G90*$BO$90*$BP$90)</f>
        <v>0</v>
      </c>
      <c r="H92" s="134">
        <f t="shared" ref="H92:I92" si="83">+(H85*$BO$85*$BP$85)+(H86*$BO$86*$BP$86)+(H87*$BO$87*$BP$87)+(H88*$BO$88*$BP$88)+(H89*$BO$89*$BP$89)+(H90*$BO$90*$BP$90)</f>
        <v>0</v>
      </c>
      <c r="I92" s="134">
        <f t="shared" si="83"/>
        <v>0</v>
      </c>
      <c r="J92" s="134"/>
      <c r="K92" s="134"/>
      <c r="L92" s="134"/>
      <c r="M92" s="134"/>
      <c r="N92" s="2406"/>
      <c r="O92" s="134">
        <f t="shared" ref="O92:V92" si="84">+(O85*$BO$85*$BP$85)+(O86*$BO$86*$BP$86)+(O87*$BO$87*$BP$87)+(O88*$BO$88*$BP$88)+(O89*$BO$89*$BP$89)+(O90*$BO$90*$BP$90)</f>
        <v>0</v>
      </c>
      <c r="P92" s="134">
        <f t="shared" si="84"/>
        <v>0</v>
      </c>
      <c r="Q92" s="134">
        <f t="shared" si="84"/>
        <v>0</v>
      </c>
      <c r="R92" s="134">
        <f t="shared" si="84"/>
        <v>0</v>
      </c>
      <c r="S92" s="134">
        <f t="shared" si="84"/>
        <v>0</v>
      </c>
      <c r="T92" s="134">
        <f t="shared" si="84"/>
        <v>0</v>
      </c>
      <c r="U92" s="134">
        <f t="shared" si="84"/>
        <v>0</v>
      </c>
      <c r="V92" s="134">
        <f t="shared" si="84"/>
        <v>0</v>
      </c>
      <c r="W92" s="134"/>
      <c r="X92" s="2406"/>
      <c r="Y92" s="134">
        <f t="shared" ref="Y92:AH92" si="85">+(Y85*$BO$85*$BP$85)+(Y86*$BO$86*$BP$86)+(Y87*$BO$87*$BP$87)+(Y88*$BO$88*$BP$88)+(Y89*$BO$89*$BP$89)+(Y90*$BO$90*$BP$90)</f>
        <v>0</v>
      </c>
      <c r="Z92" s="134">
        <f t="shared" si="85"/>
        <v>0</v>
      </c>
      <c r="AA92" s="134">
        <f t="shared" si="85"/>
        <v>0</v>
      </c>
      <c r="AB92" s="134">
        <f t="shared" si="85"/>
        <v>0</v>
      </c>
      <c r="AC92" s="134">
        <f t="shared" si="85"/>
        <v>0</v>
      </c>
      <c r="AD92" s="134">
        <f t="shared" si="85"/>
        <v>0</v>
      </c>
      <c r="AE92" s="134">
        <f t="shared" si="85"/>
        <v>0</v>
      </c>
      <c r="AF92" s="134">
        <f t="shared" si="85"/>
        <v>0</v>
      </c>
      <c r="AG92" s="134">
        <f t="shared" si="85"/>
        <v>0</v>
      </c>
      <c r="AH92" s="134">
        <f t="shared" si="85"/>
        <v>0</v>
      </c>
      <c r="AI92" s="134"/>
      <c r="AJ92" s="134"/>
      <c r="AK92" s="134"/>
      <c r="AL92" s="134"/>
      <c r="AM92" s="134"/>
      <c r="AN92" s="134"/>
      <c r="AO92" s="134"/>
      <c r="AP92" s="134"/>
      <c r="AQ92" s="134"/>
      <c r="AR92" s="2406"/>
      <c r="AS92" s="134">
        <f t="shared" ref="AS92:AW92" si="86">+(AS85*$BO$85*$BP$85)+(AS86*$BO$86*$BP$86)+(AS87*$BO$87*$BP$87)+(AS88*$BO$88*$BP$88)+(AS89*$BO$89*$BP$89)+(AS90*$BO$90*$BP$90)</f>
        <v>0</v>
      </c>
      <c r="AT92" s="134">
        <f t="shared" si="86"/>
        <v>0</v>
      </c>
      <c r="AU92" s="134">
        <f t="shared" si="86"/>
        <v>0</v>
      </c>
      <c r="AV92" s="134">
        <f t="shared" si="86"/>
        <v>0</v>
      </c>
      <c r="AW92" s="134">
        <f t="shared" si="86"/>
        <v>0</v>
      </c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2320">
        <f t="shared" si="50"/>
        <v>0</v>
      </c>
      <c r="BN92" s="579">
        <f t="shared" si="44"/>
        <v>0</v>
      </c>
      <c r="BO92" s="1047"/>
      <c r="BP92" s="1038"/>
      <c r="BQ92" s="1038"/>
      <c r="BR92" s="1038"/>
      <c r="BS92" s="1038"/>
      <c r="BT92" s="1038"/>
      <c r="BU92" s="1038"/>
      <c r="BV92" s="1038"/>
      <c r="BW92" s="1040"/>
      <c r="BX92" s="1038"/>
      <c r="BY92" s="1038"/>
      <c r="BZ92" s="1038"/>
      <c r="CA92" s="1038"/>
      <c r="CB92" s="1038"/>
      <c r="CC92" s="1038"/>
      <c r="CD92" s="1038"/>
      <c r="CE92" s="1038"/>
      <c r="CF92" s="1040"/>
      <c r="CG92" s="1038"/>
      <c r="CH92" s="1038"/>
      <c r="CI92" s="1038"/>
      <c r="CJ92" s="1038"/>
      <c r="CK92" s="1038"/>
      <c r="CL92" s="1038"/>
      <c r="CM92" s="1040"/>
      <c r="CN92" s="1040"/>
      <c r="CO92" s="1038"/>
      <c r="CP92" s="1038"/>
      <c r="CQ92" s="1038"/>
      <c r="CR92" s="1038"/>
      <c r="CS92" s="1038"/>
      <c r="CT92" s="1040"/>
      <c r="CU92" s="1041"/>
      <c r="CV92" s="1038"/>
      <c r="CW92" s="973"/>
    </row>
    <row r="93" spans="1:101" ht="21.95" hidden="1" customHeight="1" x14ac:dyDescent="0.15">
      <c r="A93" s="2707"/>
      <c r="B93" s="2605" t="s">
        <v>495</v>
      </c>
      <c r="C93" s="550" t="s">
        <v>330</v>
      </c>
      <c r="D93" s="1011"/>
      <c r="E93" s="2249"/>
      <c r="F93" s="1094">
        <f>Dren_Quantificacao!D75</f>
        <v>0</v>
      </c>
      <c r="G93" s="1094">
        <f>Dren_Quantificacao!E75</f>
        <v>0</v>
      </c>
      <c r="H93" s="1094">
        <f>Dren_Quantificacao!F75</f>
        <v>0</v>
      </c>
      <c r="I93" s="1094">
        <f>Dren_Quantificacao!G75</f>
        <v>0</v>
      </c>
      <c r="J93" s="1094"/>
      <c r="K93" s="1094"/>
      <c r="L93" s="1094"/>
      <c r="M93" s="1094"/>
      <c r="N93" s="2459"/>
      <c r="O93" s="1094">
        <f>Dren_Quantificacao!M75</f>
        <v>0</v>
      </c>
      <c r="P93" s="1094">
        <f>Dren_Quantificacao!N75</f>
        <v>0</v>
      </c>
      <c r="Q93" s="1094">
        <f>Dren_Quantificacao!O75</f>
        <v>0</v>
      </c>
      <c r="R93" s="1094">
        <f>Dren_Quantificacao!P75</f>
        <v>0</v>
      </c>
      <c r="S93" s="1094">
        <f>Dren_Quantificacao!Q75</f>
        <v>0</v>
      </c>
      <c r="T93" s="1094">
        <f>Dren_Quantificacao!R75</f>
        <v>0</v>
      </c>
      <c r="U93" s="1094">
        <f>Dren_Quantificacao!S75</f>
        <v>0</v>
      </c>
      <c r="V93" s="1094">
        <f>Dren_Quantificacao!T75</f>
        <v>0</v>
      </c>
      <c r="W93" s="1094"/>
      <c r="X93" s="2459"/>
      <c r="Y93" s="1094">
        <f>Dren_Quantificacao!W75</f>
        <v>0</v>
      </c>
      <c r="Z93" s="1094">
        <f>Dren_Quantificacao!X75</f>
        <v>0</v>
      </c>
      <c r="AA93" s="1094">
        <f>Dren_Quantificacao!Y75</f>
        <v>0</v>
      </c>
      <c r="AB93" s="1094">
        <f>Dren_Quantificacao!Z75</f>
        <v>0</v>
      </c>
      <c r="AC93" s="1094">
        <f>Dren_Quantificacao!AA75</f>
        <v>0</v>
      </c>
      <c r="AD93" s="1094">
        <f>Dren_Quantificacao!AB75</f>
        <v>0</v>
      </c>
      <c r="AE93" s="1094">
        <f>Dren_Quantificacao!AC75</f>
        <v>0</v>
      </c>
      <c r="AF93" s="1094">
        <f>Dren_Quantificacao!AD75</f>
        <v>0</v>
      </c>
      <c r="AG93" s="1094">
        <f>Dren_Quantificacao!AE75</f>
        <v>0</v>
      </c>
      <c r="AH93" s="1094">
        <f>Dren_Quantificacao!AF75</f>
        <v>0</v>
      </c>
      <c r="AI93" s="1094"/>
      <c r="AJ93" s="1094"/>
      <c r="AK93" s="1094"/>
      <c r="AL93" s="1094"/>
      <c r="AM93" s="1094"/>
      <c r="AN93" s="1094"/>
      <c r="AO93" s="1094"/>
      <c r="AP93" s="1094"/>
      <c r="AQ93" s="1094"/>
      <c r="AR93" s="2459"/>
      <c r="AS93" s="1094">
        <f>Dren_Quantificacao!AQ75</f>
        <v>0</v>
      </c>
      <c r="AT93" s="1094">
        <f>Dren_Quantificacao!AR75</f>
        <v>0</v>
      </c>
      <c r="AU93" s="1094">
        <f>Dren_Quantificacao!AS75</f>
        <v>0</v>
      </c>
      <c r="AV93" s="1094">
        <f>Dren_Quantificacao!AT75</f>
        <v>0</v>
      </c>
      <c r="AW93" s="1094">
        <f>Dren_Quantificacao!AU75</f>
        <v>0</v>
      </c>
      <c r="AX93" s="1095"/>
      <c r="AY93" s="1095"/>
      <c r="AZ93" s="1095"/>
      <c r="BA93" s="1095"/>
      <c r="BB93" s="1095"/>
      <c r="BC93" s="1095"/>
      <c r="BD93" s="1095"/>
      <c r="BE93" s="1095"/>
      <c r="BF93" s="1095"/>
      <c r="BG93" s="1095"/>
      <c r="BH93" s="1095"/>
      <c r="BI93" s="1095"/>
      <c r="BJ93" s="1095"/>
      <c r="BK93" s="1095"/>
      <c r="BL93" s="1095"/>
      <c r="BM93" s="1096">
        <f t="shared" si="50"/>
        <v>0</v>
      </c>
      <c r="BN93" s="579">
        <f t="shared" si="44"/>
        <v>0</v>
      </c>
      <c r="BO93" s="1047"/>
      <c r="BP93" s="1038"/>
      <c r="BQ93" s="1038"/>
      <c r="BR93" s="1038"/>
      <c r="BS93" s="1038"/>
      <c r="BT93" s="1038"/>
      <c r="BU93" s="1038"/>
      <c r="BV93" s="1038"/>
      <c r="BW93" s="1040"/>
      <c r="BX93" s="1038"/>
      <c r="BY93" s="1038"/>
      <c r="BZ93" s="1038"/>
      <c r="CA93" s="1038"/>
      <c r="CB93" s="1038"/>
      <c r="CC93" s="1038"/>
      <c r="CD93" s="1038"/>
      <c r="CE93" s="1038"/>
      <c r="CF93" s="1040"/>
      <c r="CG93" s="1038"/>
      <c r="CH93" s="1038"/>
      <c r="CI93" s="1038"/>
      <c r="CJ93" s="1038"/>
      <c r="CK93" s="1038"/>
      <c r="CL93" s="1038"/>
      <c r="CM93" s="1040"/>
      <c r="CN93" s="1040"/>
      <c r="CO93" s="1038"/>
      <c r="CP93" s="1038"/>
      <c r="CQ93" s="1038"/>
      <c r="CR93" s="1038"/>
      <c r="CS93" s="1038"/>
      <c r="CT93" s="1040"/>
      <c r="CU93" s="1041"/>
      <c r="CV93" s="1038"/>
      <c r="CW93" s="973"/>
    </row>
    <row r="94" spans="1:101" s="14" customFormat="1" ht="21.95" hidden="1" customHeight="1" thickBot="1" x14ac:dyDescent="0.2">
      <c r="A94" s="2707"/>
      <c r="B94" s="2607"/>
      <c r="C94" s="1299" t="s">
        <v>1174</v>
      </c>
      <c r="D94" s="1300"/>
      <c r="E94" s="2253"/>
      <c r="F94" s="1102">
        <f>Dren_Quantificacao!D74</f>
        <v>0</v>
      </c>
      <c r="G94" s="1102">
        <f>Dren_Quantificacao!E74</f>
        <v>0</v>
      </c>
      <c r="H94" s="1102">
        <f>Dren_Quantificacao!F74</f>
        <v>0</v>
      </c>
      <c r="I94" s="1102">
        <f>Dren_Quantificacao!G74</f>
        <v>0</v>
      </c>
      <c r="J94" s="1102"/>
      <c r="K94" s="1102"/>
      <c r="L94" s="1102"/>
      <c r="M94" s="1102"/>
      <c r="N94" s="2460"/>
      <c r="O94" s="1102">
        <f>Dren_Quantificacao!M74</f>
        <v>0</v>
      </c>
      <c r="P94" s="1102">
        <f>Dren_Quantificacao!N74</f>
        <v>0</v>
      </c>
      <c r="Q94" s="1102">
        <f>Dren_Quantificacao!O74</f>
        <v>0</v>
      </c>
      <c r="R94" s="1102">
        <f>Dren_Quantificacao!P74</f>
        <v>0</v>
      </c>
      <c r="S94" s="1102">
        <f>Dren_Quantificacao!Q74</f>
        <v>0</v>
      </c>
      <c r="T94" s="1102">
        <f>Dren_Quantificacao!R74</f>
        <v>0</v>
      </c>
      <c r="U94" s="1102">
        <f>Dren_Quantificacao!S74</f>
        <v>0</v>
      </c>
      <c r="V94" s="1102">
        <f>Dren_Quantificacao!T74</f>
        <v>0</v>
      </c>
      <c r="W94" s="1102"/>
      <c r="X94" s="2460"/>
      <c r="Y94" s="1102">
        <f>Dren_Quantificacao!W74</f>
        <v>0</v>
      </c>
      <c r="Z94" s="1102">
        <f>Dren_Quantificacao!X74</f>
        <v>0</v>
      </c>
      <c r="AA94" s="1102">
        <f>Dren_Quantificacao!Y74</f>
        <v>0</v>
      </c>
      <c r="AB94" s="1102">
        <f>Dren_Quantificacao!Z74</f>
        <v>0</v>
      </c>
      <c r="AC94" s="1102">
        <f>Dren_Quantificacao!AA74</f>
        <v>0</v>
      </c>
      <c r="AD94" s="1102">
        <f>Dren_Quantificacao!AB74</f>
        <v>0</v>
      </c>
      <c r="AE94" s="1102">
        <f>Dren_Quantificacao!AC74</f>
        <v>0</v>
      </c>
      <c r="AF94" s="1102">
        <f>Dren_Quantificacao!AD74</f>
        <v>0</v>
      </c>
      <c r="AG94" s="1102">
        <f>Dren_Quantificacao!AE74</f>
        <v>0</v>
      </c>
      <c r="AH94" s="1102">
        <f>Dren_Quantificacao!AF74</f>
        <v>0</v>
      </c>
      <c r="AI94" s="1102"/>
      <c r="AJ94" s="1102"/>
      <c r="AK94" s="1102"/>
      <c r="AL94" s="1102"/>
      <c r="AM94" s="1102"/>
      <c r="AN94" s="1102"/>
      <c r="AO94" s="1102"/>
      <c r="AP94" s="1102"/>
      <c r="AQ94" s="1102"/>
      <c r="AR94" s="2460"/>
      <c r="AS94" s="1102">
        <f>Dren_Quantificacao!AQ74</f>
        <v>0</v>
      </c>
      <c r="AT94" s="1102">
        <f>Dren_Quantificacao!AR74</f>
        <v>0</v>
      </c>
      <c r="AU94" s="1102">
        <f>Dren_Quantificacao!AS74</f>
        <v>0</v>
      </c>
      <c r="AV94" s="1102">
        <f>Dren_Quantificacao!AT74</f>
        <v>0</v>
      </c>
      <c r="AW94" s="1102">
        <f>Dren_Quantificacao!AU74</f>
        <v>0</v>
      </c>
      <c r="AX94" s="1103"/>
      <c r="AY94" s="1103"/>
      <c r="AZ94" s="1103"/>
      <c r="BA94" s="1103"/>
      <c r="BB94" s="1103"/>
      <c r="BC94" s="1103"/>
      <c r="BD94" s="1103"/>
      <c r="BE94" s="1103"/>
      <c r="BF94" s="1103"/>
      <c r="BG94" s="1103"/>
      <c r="BH94" s="1103"/>
      <c r="BI94" s="1103"/>
      <c r="BJ94" s="1103"/>
      <c r="BK94" s="1103"/>
      <c r="BL94" s="1103"/>
      <c r="BM94" s="1104">
        <f t="shared" si="50"/>
        <v>0</v>
      </c>
      <c r="BN94" s="579">
        <f t="shared" si="44"/>
        <v>0</v>
      </c>
      <c r="BO94" s="1047"/>
      <c r="BP94" s="1038"/>
      <c r="BQ94" s="1038"/>
      <c r="BR94" s="1038"/>
      <c r="BS94" s="1038"/>
      <c r="BT94" s="1038"/>
      <c r="BU94" s="1038"/>
      <c r="BV94" s="1038"/>
      <c r="BW94" s="1040"/>
      <c r="BX94" s="1038"/>
      <c r="BY94" s="1038"/>
      <c r="BZ94" s="1038"/>
      <c r="CA94" s="1038"/>
      <c r="CB94" s="1038"/>
      <c r="CC94" s="1038"/>
      <c r="CD94" s="1038"/>
      <c r="CE94" s="1038"/>
      <c r="CF94" s="1040"/>
      <c r="CG94" s="1038"/>
      <c r="CH94" s="1038"/>
      <c r="CI94" s="1038"/>
      <c r="CJ94" s="1038"/>
      <c r="CK94" s="1038"/>
      <c r="CL94" s="1038"/>
      <c r="CM94" s="1040"/>
      <c r="CN94" s="1040"/>
      <c r="CO94" s="1038"/>
      <c r="CP94" s="1038"/>
      <c r="CQ94" s="1038"/>
      <c r="CR94" s="1038"/>
      <c r="CS94" s="1038"/>
      <c r="CT94" s="1040"/>
      <c r="CU94" s="1041"/>
      <c r="CV94" s="1038"/>
      <c r="CW94" s="973"/>
    </row>
    <row r="95" spans="1:101" s="14" customFormat="1" ht="21.95" hidden="1" customHeight="1" x14ac:dyDescent="0.25">
      <c r="A95" s="2707"/>
      <c r="B95" s="2703" t="s">
        <v>503</v>
      </c>
      <c r="C95" s="552" t="s">
        <v>505</v>
      </c>
      <c r="D95" s="999"/>
      <c r="E95" s="2238"/>
      <c r="F95" s="1099">
        <f>Dren_Quantificacao!D76</f>
        <v>0</v>
      </c>
      <c r="G95" s="1099">
        <f>Dren_Quantificacao!E76</f>
        <v>0</v>
      </c>
      <c r="H95" s="1099">
        <f>Dren_Quantificacao!F76</f>
        <v>0</v>
      </c>
      <c r="I95" s="1099">
        <f>Dren_Quantificacao!G76</f>
        <v>0</v>
      </c>
      <c r="J95" s="1099"/>
      <c r="K95" s="1099"/>
      <c r="L95" s="1099"/>
      <c r="M95" s="1099"/>
      <c r="N95" s="2461"/>
      <c r="O95" s="1099">
        <f>Dren_Quantificacao!M76</f>
        <v>0</v>
      </c>
      <c r="P95" s="1099">
        <f>Dren_Quantificacao!N76</f>
        <v>0</v>
      </c>
      <c r="Q95" s="1099">
        <f>Dren_Quantificacao!O76</f>
        <v>0</v>
      </c>
      <c r="R95" s="1099">
        <f>Dren_Quantificacao!P76</f>
        <v>0</v>
      </c>
      <c r="S95" s="1099">
        <f>Dren_Quantificacao!Q76</f>
        <v>0</v>
      </c>
      <c r="T95" s="1099">
        <f>Dren_Quantificacao!R76</f>
        <v>0</v>
      </c>
      <c r="U95" s="1099">
        <f>Dren_Quantificacao!S76</f>
        <v>0</v>
      </c>
      <c r="V95" s="1099">
        <f>Dren_Quantificacao!T76</f>
        <v>0</v>
      </c>
      <c r="W95" s="1099"/>
      <c r="X95" s="2461"/>
      <c r="Y95" s="1099">
        <f>Dren_Quantificacao!W76</f>
        <v>0</v>
      </c>
      <c r="Z95" s="1099">
        <f>Dren_Quantificacao!X76</f>
        <v>0</v>
      </c>
      <c r="AA95" s="1099">
        <f>Dren_Quantificacao!Y76</f>
        <v>0</v>
      </c>
      <c r="AB95" s="1099">
        <f>Dren_Quantificacao!Z76</f>
        <v>0</v>
      </c>
      <c r="AC95" s="1099">
        <f>Dren_Quantificacao!AA76</f>
        <v>0</v>
      </c>
      <c r="AD95" s="1099">
        <f>Dren_Quantificacao!AB76</f>
        <v>0</v>
      </c>
      <c r="AE95" s="1099">
        <f>Dren_Quantificacao!AC76</f>
        <v>0</v>
      </c>
      <c r="AF95" s="1099">
        <f>Dren_Quantificacao!AD76</f>
        <v>0</v>
      </c>
      <c r="AG95" s="1099">
        <f>Dren_Quantificacao!AE76</f>
        <v>0</v>
      </c>
      <c r="AH95" s="1099">
        <f>Dren_Quantificacao!AF76</f>
        <v>0</v>
      </c>
      <c r="AI95" s="1099"/>
      <c r="AJ95" s="1099"/>
      <c r="AK95" s="1099"/>
      <c r="AL95" s="1099"/>
      <c r="AM95" s="1099"/>
      <c r="AN95" s="1099"/>
      <c r="AO95" s="1099"/>
      <c r="AP95" s="1099"/>
      <c r="AQ95" s="1099"/>
      <c r="AR95" s="2461"/>
      <c r="AS95" s="1099">
        <f>Dren_Quantificacao!AQ76</f>
        <v>0</v>
      </c>
      <c r="AT95" s="1099">
        <f>Dren_Quantificacao!AR76</f>
        <v>0</v>
      </c>
      <c r="AU95" s="1099">
        <f>Dren_Quantificacao!AS76</f>
        <v>0</v>
      </c>
      <c r="AV95" s="1099">
        <f>Dren_Quantificacao!AT76</f>
        <v>0</v>
      </c>
      <c r="AW95" s="1099">
        <f>Dren_Quantificacao!AU76</f>
        <v>0</v>
      </c>
      <c r="AX95" s="1100"/>
      <c r="AY95" s="1100"/>
      <c r="AZ95" s="1100"/>
      <c r="BA95" s="1100"/>
      <c r="BB95" s="1100"/>
      <c r="BC95" s="1100"/>
      <c r="BD95" s="1100"/>
      <c r="BE95" s="1100"/>
      <c r="BF95" s="1100"/>
      <c r="BG95" s="1100"/>
      <c r="BH95" s="1100"/>
      <c r="BI95" s="1100"/>
      <c r="BJ95" s="1100"/>
      <c r="BK95" s="1100"/>
      <c r="BL95" s="1100"/>
      <c r="BM95" s="1101">
        <f t="shared" si="50"/>
        <v>0</v>
      </c>
      <c r="BN95" s="579">
        <f t="shared" si="44"/>
        <v>0</v>
      </c>
      <c r="BO95" s="1047"/>
      <c r="BP95" s="1038"/>
      <c r="BQ95" s="1038"/>
      <c r="BR95" s="1038"/>
      <c r="BS95" s="1038"/>
      <c r="BT95" s="1038"/>
      <c r="BU95" s="1038"/>
      <c r="BV95" s="1042"/>
      <c r="BW95" s="1043"/>
      <c r="BX95" s="1038"/>
      <c r="BY95" s="1038"/>
      <c r="BZ95" s="1038"/>
      <c r="CA95" s="1038"/>
      <c r="CB95" s="1038"/>
      <c r="CC95" s="1038"/>
      <c r="CD95" s="1038"/>
      <c r="CE95" s="1038"/>
      <c r="CF95" s="1040"/>
      <c r="CG95" s="1038"/>
      <c r="CH95" s="1038"/>
      <c r="CI95" s="1038"/>
      <c r="CJ95" s="1038"/>
      <c r="CK95" s="1038"/>
      <c r="CL95" s="1038"/>
      <c r="CM95" s="1040"/>
      <c r="CN95" s="1040"/>
      <c r="CO95" s="1038"/>
      <c r="CP95" s="1038"/>
      <c r="CQ95" s="1038"/>
      <c r="CR95" s="1038"/>
      <c r="CS95" s="1038"/>
      <c r="CT95" s="1040"/>
      <c r="CU95" s="1041"/>
      <c r="CV95" s="1038"/>
      <c r="CW95" s="973"/>
    </row>
    <row r="96" spans="1:101" s="14" customFormat="1" ht="21.95" hidden="1" customHeight="1" thickBot="1" x14ac:dyDescent="0.3">
      <c r="A96" s="2707"/>
      <c r="B96" s="2706"/>
      <c r="C96" s="976" t="s">
        <v>506</v>
      </c>
      <c r="D96" s="1000"/>
      <c r="E96" s="2239"/>
      <c r="F96" s="1102">
        <f>Dren_Quantificacao!D77</f>
        <v>0</v>
      </c>
      <c r="G96" s="1102">
        <f>Dren_Quantificacao!E77</f>
        <v>0</v>
      </c>
      <c r="H96" s="1102">
        <f>Dren_Quantificacao!F77</f>
        <v>0</v>
      </c>
      <c r="I96" s="1102">
        <f>Dren_Quantificacao!G77</f>
        <v>0</v>
      </c>
      <c r="J96" s="1102"/>
      <c r="K96" s="1102"/>
      <c r="L96" s="1102"/>
      <c r="M96" s="1102"/>
      <c r="N96" s="2460"/>
      <c r="O96" s="1102">
        <f>Dren_Quantificacao!M77</f>
        <v>0</v>
      </c>
      <c r="P96" s="1102">
        <f>Dren_Quantificacao!N77</f>
        <v>0</v>
      </c>
      <c r="Q96" s="1102">
        <f>Dren_Quantificacao!O77</f>
        <v>0</v>
      </c>
      <c r="R96" s="1102">
        <f>Dren_Quantificacao!P77</f>
        <v>0</v>
      </c>
      <c r="S96" s="1102">
        <f>Dren_Quantificacao!Q77</f>
        <v>0</v>
      </c>
      <c r="T96" s="1102">
        <f>Dren_Quantificacao!R77</f>
        <v>0</v>
      </c>
      <c r="U96" s="1102">
        <f>Dren_Quantificacao!S77</f>
        <v>0</v>
      </c>
      <c r="V96" s="1102">
        <f>Dren_Quantificacao!T77</f>
        <v>0</v>
      </c>
      <c r="W96" s="1102"/>
      <c r="X96" s="2460"/>
      <c r="Y96" s="1102">
        <f>Dren_Quantificacao!W77</f>
        <v>0</v>
      </c>
      <c r="Z96" s="1102">
        <f>Dren_Quantificacao!X77</f>
        <v>0</v>
      </c>
      <c r="AA96" s="1102">
        <f>Dren_Quantificacao!Y77</f>
        <v>0</v>
      </c>
      <c r="AB96" s="1102">
        <f>Dren_Quantificacao!Z77</f>
        <v>0</v>
      </c>
      <c r="AC96" s="1102">
        <f>Dren_Quantificacao!AA77</f>
        <v>0</v>
      </c>
      <c r="AD96" s="1102">
        <f>Dren_Quantificacao!AB77</f>
        <v>0</v>
      </c>
      <c r="AE96" s="1102">
        <f>Dren_Quantificacao!AC77</f>
        <v>0</v>
      </c>
      <c r="AF96" s="1102">
        <f>Dren_Quantificacao!AD77</f>
        <v>0</v>
      </c>
      <c r="AG96" s="1102">
        <f>Dren_Quantificacao!AE77</f>
        <v>0</v>
      </c>
      <c r="AH96" s="1102">
        <f>Dren_Quantificacao!AF77</f>
        <v>0</v>
      </c>
      <c r="AI96" s="1102"/>
      <c r="AJ96" s="1102"/>
      <c r="AK96" s="1102"/>
      <c r="AL96" s="1102"/>
      <c r="AM96" s="1102"/>
      <c r="AN96" s="1102"/>
      <c r="AO96" s="1102"/>
      <c r="AP96" s="1102"/>
      <c r="AQ96" s="1102"/>
      <c r="AR96" s="2460"/>
      <c r="AS96" s="1102">
        <f>Dren_Quantificacao!AQ77</f>
        <v>0</v>
      </c>
      <c r="AT96" s="1102">
        <f>Dren_Quantificacao!AR77</f>
        <v>0</v>
      </c>
      <c r="AU96" s="1102">
        <f>Dren_Quantificacao!AS77</f>
        <v>0</v>
      </c>
      <c r="AV96" s="1102">
        <f>Dren_Quantificacao!AT77</f>
        <v>0</v>
      </c>
      <c r="AW96" s="1102">
        <f>Dren_Quantificacao!AU77</f>
        <v>0</v>
      </c>
      <c r="AX96" s="1103"/>
      <c r="AY96" s="1103"/>
      <c r="AZ96" s="1103"/>
      <c r="BA96" s="1103"/>
      <c r="BB96" s="1103"/>
      <c r="BC96" s="1103"/>
      <c r="BD96" s="1103"/>
      <c r="BE96" s="1103"/>
      <c r="BF96" s="1103"/>
      <c r="BG96" s="1103"/>
      <c r="BH96" s="1103"/>
      <c r="BI96" s="1103"/>
      <c r="BJ96" s="1103"/>
      <c r="BK96" s="1103"/>
      <c r="BL96" s="1103"/>
      <c r="BM96" s="1104">
        <f t="shared" si="50"/>
        <v>0</v>
      </c>
      <c r="BN96" s="579">
        <f t="shared" si="44"/>
        <v>0</v>
      </c>
      <c r="BO96" s="1047"/>
      <c r="BP96" s="1038"/>
      <c r="BQ96" s="1038"/>
      <c r="BR96" s="1038"/>
      <c r="BS96" s="1038"/>
      <c r="BT96" s="1038"/>
      <c r="BU96" s="1038"/>
      <c r="BV96" s="1044"/>
      <c r="BW96" s="1045"/>
      <c r="BX96" s="1038"/>
      <c r="BY96" s="1044"/>
      <c r="BZ96" s="1038"/>
      <c r="CA96" s="1038"/>
      <c r="CB96" s="1038"/>
      <c r="CC96" s="1038"/>
      <c r="CD96" s="1038"/>
      <c r="CE96" s="1038"/>
      <c r="CF96" s="1040"/>
      <c r="CG96" s="1038"/>
      <c r="CH96" s="1038"/>
      <c r="CI96" s="1038"/>
      <c r="CJ96" s="1038"/>
      <c r="CK96" s="1038"/>
      <c r="CL96" s="1038"/>
      <c r="CM96" s="1040"/>
      <c r="CN96" s="1040"/>
      <c r="CO96" s="1038"/>
      <c r="CP96" s="1038"/>
      <c r="CQ96" s="1038"/>
      <c r="CR96" s="1038"/>
      <c r="CS96" s="1038"/>
      <c r="CT96" s="1040"/>
      <c r="CU96" s="1041"/>
      <c r="CV96" s="1038"/>
      <c r="CW96" s="973"/>
    </row>
    <row r="97" spans="1:101" s="14" customFormat="1" ht="21.95" hidden="1" customHeight="1" x14ac:dyDescent="0.25">
      <c r="A97" s="2707"/>
      <c r="B97" s="2703" t="s">
        <v>504</v>
      </c>
      <c r="C97" s="552" t="s">
        <v>505</v>
      </c>
      <c r="D97" s="999"/>
      <c r="E97" s="2238"/>
      <c r="F97" s="1099">
        <f>Dren_Quantificacao!D78</f>
        <v>0</v>
      </c>
      <c r="G97" s="1099">
        <f>Dren_Quantificacao!E78</f>
        <v>0</v>
      </c>
      <c r="H97" s="1099">
        <f>Dren_Quantificacao!F78</f>
        <v>0</v>
      </c>
      <c r="I97" s="1099">
        <f>Dren_Quantificacao!G78</f>
        <v>0</v>
      </c>
      <c r="J97" s="1099"/>
      <c r="K97" s="1099"/>
      <c r="L97" s="1099"/>
      <c r="M97" s="1099"/>
      <c r="N97" s="2461"/>
      <c r="O97" s="1099">
        <f>Dren_Quantificacao!M78</f>
        <v>0</v>
      </c>
      <c r="P97" s="1099">
        <f>Dren_Quantificacao!N78</f>
        <v>0</v>
      </c>
      <c r="Q97" s="1099">
        <f>Dren_Quantificacao!O78</f>
        <v>0</v>
      </c>
      <c r="R97" s="1099">
        <f>Dren_Quantificacao!P78</f>
        <v>0</v>
      </c>
      <c r="S97" s="1099">
        <f>Dren_Quantificacao!Q78</f>
        <v>0</v>
      </c>
      <c r="T97" s="1099">
        <f>Dren_Quantificacao!R78</f>
        <v>0</v>
      </c>
      <c r="U97" s="1099">
        <f>Dren_Quantificacao!S78</f>
        <v>0</v>
      </c>
      <c r="V97" s="1099">
        <f>Dren_Quantificacao!T78</f>
        <v>0</v>
      </c>
      <c r="W97" s="1099"/>
      <c r="X97" s="2461"/>
      <c r="Y97" s="1099">
        <f>Dren_Quantificacao!W78</f>
        <v>0</v>
      </c>
      <c r="Z97" s="1099">
        <f>Dren_Quantificacao!X78</f>
        <v>0</v>
      </c>
      <c r="AA97" s="1099">
        <f>Dren_Quantificacao!Y78</f>
        <v>0</v>
      </c>
      <c r="AB97" s="1099">
        <f>Dren_Quantificacao!Z78</f>
        <v>0</v>
      </c>
      <c r="AC97" s="1099">
        <f>Dren_Quantificacao!AA78</f>
        <v>0</v>
      </c>
      <c r="AD97" s="1099">
        <f>Dren_Quantificacao!AB78</f>
        <v>0</v>
      </c>
      <c r="AE97" s="1099">
        <f>Dren_Quantificacao!AC78</f>
        <v>0</v>
      </c>
      <c r="AF97" s="1099">
        <f>Dren_Quantificacao!AD78</f>
        <v>0</v>
      </c>
      <c r="AG97" s="1099">
        <f>Dren_Quantificacao!AE78</f>
        <v>0</v>
      </c>
      <c r="AH97" s="1099">
        <f>Dren_Quantificacao!AF78</f>
        <v>0</v>
      </c>
      <c r="AI97" s="1099"/>
      <c r="AJ97" s="1099"/>
      <c r="AK97" s="1099"/>
      <c r="AL97" s="1099"/>
      <c r="AM97" s="1099"/>
      <c r="AN97" s="1099"/>
      <c r="AO97" s="1099"/>
      <c r="AP97" s="1099"/>
      <c r="AQ97" s="1099"/>
      <c r="AR97" s="2461"/>
      <c r="AS97" s="1099">
        <f>Dren_Quantificacao!AQ78</f>
        <v>0</v>
      </c>
      <c r="AT97" s="1099">
        <f>Dren_Quantificacao!AR78</f>
        <v>0</v>
      </c>
      <c r="AU97" s="1099">
        <f>Dren_Quantificacao!AS78</f>
        <v>0</v>
      </c>
      <c r="AV97" s="1099">
        <f>Dren_Quantificacao!AT78</f>
        <v>0</v>
      </c>
      <c r="AW97" s="1099">
        <f>Dren_Quantificacao!AU78</f>
        <v>0</v>
      </c>
      <c r="AX97" s="1100"/>
      <c r="AY97" s="1100"/>
      <c r="AZ97" s="1100"/>
      <c r="BA97" s="1100"/>
      <c r="BB97" s="1100"/>
      <c r="BC97" s="1100"/>
      <c r="BD97" s="1100"/>
      <c r="BE97" s="1100"/>
      <c r="BF97" s="1100"/>
      <c r="BG97" s="1100"/>
      <c r="BH97" s="1100"/>
      <c r="BI97" s="1100"/>
      <c r="BJ97" s="1100"/>
      <c r="BK97" s="1100"/>
      <c r="BL97" s="1100"/>
      <c r="BM97" s="1101">
        <f t="shared" si="50"/>
        <v>0</v>
      </c>
      <c r="BN97" s="579">
        <f t="shared" si="44"/>
        <v>0</v>
      </c>
      <c r="BO97" s="1047"/>
      <c r="BP97" s="1038"/>
      <c r="BQ97" s="1038"/>
      <c r="BR97" s="1038"/>
      <c r="BS97" s="1038"/>
      <c r="BT97" s="1038"/>
      <c r="BU97" s="1038"/>
      <c r="BV97" s="1038"/>
      <c r="BW97" s="1040"/>
      <c r="BX97" s="1038"/>
      <c r="BY97" s="1044"/>
      <c r="BZ97" s="1038"/>
      <c r="CA97" s="1038"/>
      <c r="CB97" s="1038"/>
      <c r="CC97" s="1038"/>
      <c r="CD97" s="1038"/>
      <c r="CE97" s="1038"/>
      <c r="CF97" s="1040"/>
      <c r="CG97" s="1038"/>
      <c r="CH97" s="1038"/>
      <c r="CI97" s="1038"/>
      <c r="CJ97" s="1038"/>
      <c r="CK97" s="1038"/>
      <c r="CL97" s="1038"/>
      <c r="CM97" s="1040"/>
      <c r="CN97" s="1040"/>
      <c r="CO97" s="1038"/>
      <c r="CP97" s="1038"/>
      <c r="CQ97" s="1038"/>
      <c r="CR97" s="1038"/>
      <c r="CS97" s="1038"/>
      <c r="CT97" s="1040"/>
      <c r="CU97" s="1041"/>
      <c r="CV97" s="1038"/>
      <c r="CW97" s="973"/>
    </row>
    <row r="98" spans="1:101" s="14" customFormat="1" ht="21.95" hidden="1" customHeight="1" thickBot="1" x14ac:dyDescent="0.3">
      <c r="A98" s="2707"/>
      <c r="B98" s="2706"/>
      <c r="C98" s="976" t="s">
        <v>506</v>
      </c>
      <c r="D98" s="1000"/>
      <c r="E98" s="2239"/>
      <c r="F98" s="1102">
        <f>Dren_Quantificacao!D79</f>
        <v>0</v>
      </c>
      <c r="G98" s="1102">
        <f>Dren_Quantificacao!E79</f>
        <v>0</v>
      </c>
      <c r="H98" s="1102">
        <f>Dren_Quantificacao!F79</f>
        <v>0</v>
      </c>
      <c r="I98" s="1102">
        <f>Dren_Quantificacao!G79</f>
        <v>0</v>
      </c>
      <c r="J98" s="1102"/>
      <c r="K98" s="1102"/>
      <c r="L98" s="1102"/>
      <c r="M98" s="1102"/>
      <c r="N98" s="2460"/>
      <c r="O98" s="1102">
        <f>Dren_Quantificacao!M79</f>
        <v>0</v>
      </c>
      <c r="P98" s="1102">
        <f>Dren_Quantificacao!N79</f>
        <v>0</v>
      </c>
      <c r="Q98" s="1102">
        <f>Dren_Quantificacao!O79</f>
        <v>0</v>
      </c>
      <c r="R98" s="1102">
        <f>Dren_Quantificacao!P79</f>
        <v>0</v>
      </c>
      <c r="S98" s="1102">
        <f>Dren_Quantificacao!Q79</f>
        <v>0</v>
      </c>
      <c r="T98" s="1102">
        <f>Dren_Quantificacao!R79</f>
        <v>0</v>
      </c>
      <c r="U98" s="1102">
        <f>Dren_Quantificacao!S79</f>
        <v>0</v>
      </c>
      <c r="V98" s="1102">
        <f>Dren_Quantificacao!T79</f>
        <v>0</v>
      </c>
      <c r="W98" s="1102"/>
      <c r="X98" s="2460"/>
      <c r="Y98" s="1102">
        <f>Dren_Quantificacao!W79</f>
        <v>0</v>
      </c>
      <c r="Z98" s="1102">
        <f>Dren_Quantificacao!X79</f>
        <v>0</v>
      </c>
      <c r="AA98" s="1102">
        <f>Dren_Quantificacao!Y79</f>
        <v>0</v>
      </c>
      <c r="AB98" s="1102">
        <f>Dren_Quantificacao!Z79</f>
        <v>0</v>
      </c>
      <c r="AC98" s="1102">
        <f>Dren_Quantificacao!AA79</f>
        <v>0</v>
      </c>
      <c r="AD98" s="1102">
        <f>Dren_Quantificacao!AB79</f>
        <v>0</v>
      </c>
      <c r="AE98" s="1102">
        <f>Dren_Quantificacao!AC79</f>
        <v>0</v>
      </c>
      <c r="AF98" s="1102">
        <f>Dren_Quantificacao!AD79</f>
        <v>0</v>
      </c>
      <c r="AG98" s="1102">
        <f>Dren_Quantificacao!AE79</f>
        <v>0</v>
      </c>
      <c r="AH98" s="1102">
        <f>Dren_Quantificacao!AF79</f>
        <v>0</v>
      </c>
      <c r="AI98" s="1102"/>
      <c r="AJ98" s="1102"/>
      <c r="AK98" s="1102"/>
      <c r="AL98" s="1102"/>
      <c r="AM98" s="1102"/>
      <c r="AN98" s="1102"/>
      <c r="AO98" s="1102"/>
      <c r="AP98" s="1102"/>
      <c r="AQ98" s="1102"/>
      <c r="AR98" s="2460"/>
      <c r="AS98" s="1102">
        <f>Dren_Quantificacao!AQ79</f>
        <v>0</v>
      </c>
      <c r="AT98" s="1102">
        <f>Dren_Quantificacao!AR79</f>
        <v>0</v>
      </c>
      <c r="AU98" s="1102">
        <f>Dren_Quantificacao!AS79</f>
        <v>0</v>
      </c>
      <c r="AV98" s="1102">
        <f>Dren_Quantificacao!AT79</f>
        <v>0</v>
      </c>
      <c r="AW98" s="1102">
        <f>Dren_Quantificacao!AU79</f>
        <v>0</v>
      </c>
      <c r="AX98" s="1103"/>
      <c r="AY98" s="1103"/>
      <c r="AZ98" s="1103"/>
      <c r="BA98" s="1103"/>
      <c r="BB98" s="1103"/>
      <c r="BC98" s="1103"/>
      <c r="BD98" s="1103"/>
      <c r="BE98" s="1103"/>
      <c r="BF98" s="1103"/>
      <c r="BG98" s="1103"/>
      <c r="BH98" s="1103"/>
      <c r="BI98" s="1103"/>
      <c r="BJ98" s="1103"/>
      <c r="BK98" s="1103"/>
      <c r="BL98" s="1103"/>
      <c r="BM98" s="1104">
        <f t="shared" si="50"/>
        <v>0</v>
      </c>
      <c r="BN98" s="579">
        <f t="shared" ref="BN98:BN129" si="87">SUM(F98:BM98)</f>
        <v>0</v>
      </c>
      <c r="BO98" s="1047"/>
      <c r="BP98" s="1038"/>
      <c r="BQ98" s="1038"/>
      <c r="BR98" s="1038"/>
      <c r="BS98" s="1038"/>
      <c r="BT98" s="1038"/>
      <c r="BU98" s="1038"/>
      <c r="BV98" s="1038"/>
      <c r="BW98" s="1040"/>
      <c r="BX98" s="1038"/>
      <c r="BY98" s="1044"/>
      <c r="BZ98" s="1038"/>
      <c r="CA98" s="1038"/>
      <c r="CB98" s="1038"/>
      <c r="CC98" s="1038"/>
      <c r="CD98" s="1038"/>
      <c r="CE98" s="1038"/>
      <c r="CF98" s="1040"/>
      <c r="CG98" s="1038"/>
      <c r="CH98" s="1038"/>
      <c r="CI98" s="1038"/>
      <c r="CJ98" s="1038"/>
      <c r="CK98" s="1038"/>
      <c r="CL98" s="1038"/>
      <c r="CM98" s="1040"/>
      <c r="CN98" s="1040"/>
      <c r="CO98" s="1038"/>
      <c r="CP98" s="1038"/>
      <c r="CQ98" s="1038"/>
      <c r="CR98" s="1038"/>
      <c r="CS98" s="1038"/>
      <c r="CT98" s="1040"/>
      <c r="CU98" s="1041"/>
      <c r="CV98" s="1038"/>
      <c r="CW98" s="973"/>
    </row>
    <row r="99" spans="1:101" s="14" customFormat="1" ht="21.95" customHeight="1" thickBot="1" x14ac:dyDescent="0.2">
      <c r="A99" s="2707"/>
      <c r="B99" s="2702" t="s">
        <v>499</v>
      </c>
      <c r="C99" s="2363" t="s">
        <v>47</v>
      </c>
      <c r="D99" s="999"/>
      <c r="E99" s="2238"/>
      <c r="F99" s="1099">
        <f>Dren_Quantificacao!D80</f>
        <v>0</v>
      </c>
      <c r="G99" s="1099">
        <f>Dren_Quantificacao!E80</f>
        <v>0</v>
      </c>
      <c r="H99" s="1099">
        <f>Dren_Quantificacao!F80</f>
        <v>0</v>
      </c>
      <c r="I99" s="1099">
        <f>Dren_Quantificacao!G80</f>
        <v>0</v>
      </c>
      <c r="J99" s="1099"/>
      <c r="K99" s="1099"/>
      <c r="L99" s="1099"/>
      <c r="M99" s="1099"/>
      <c r="N99" s="2461"/>
      <c r="O99" s="1099">
        <f>Dren_Quantificacao!M80</f>
        <v>0</v>
      </c>
      <c r="P99" s="1099">
        <f>Dren_Quantificacao!N80</f>
        <v>1</v>
      </c>
      <c r="Q99" s="1099">
        <f>Dren_Quantificacao!O80</f>
        <v>0</v>
      </c>
      <c r="R99" s="1099">
        <f>Dren_Quantificacao!P80</f>
        <v>0</v>
      </c>
      <c r="S99" s="1099">
        <f>Dren_Quantificacao!Q80</f>
        <v>0</v>
      </c>
      <c r="T99" s="1099">
        <f>Dren_Quantificacao!R80</f>
        <v>1</v>
      </c>
      <c r="U99" s="1099">
        <f>Dren_Quantificacao!S80</f>
        <v>0</v>
      </c>
      <c r="V99" s="1099">
        <f>Dren_Quantificacao!T80</f>
        <v>0</v>
      </c>
      <c r="W99" s="1099"/>
      <c r="X99" s="2461"/>
      <c r="Y99" s="1099">
        <f>Dren_Quantificacao!W80</f>
        <v>0</v>
      </c>
      <c r="Z99" s="1099">
        <f>Dren_Quantificacao!X80</f>
        <v>0</v>
      </c>
      <c r="AA99" s="1099">
        <f>Dren_Quantificacao!Y80</f>
        <v>0</v>
      </c>
      <c r="AB99" s="1099">
        <f>Dren_Quantificacao!Z80</f>
        <v>1</v>
      </c>
      <c r="AC99" s="1099">
        <f>Dren_Quantificacao!AA80</f>
        <v>0</v>
      </c>
      <c r="AD99" s="1099">
        <f>Dren_Quantificacao!AB80</f>
        <v>1</v>
      </c>
      <c r="AE99" s="1099">
        <f>Dren_Quantificacao!AC80</f>
        <v>0</v>
      </c>
      <c r="AF99" s="1099">
        <f>Dren_Quantificacao!AD80</f>
        <v>1</v>
      </c>
      <c r="AG99" s="1099">
        <f>Dren_Quantificacao!AE80</f>
        <v>0</v>
      </c>
      <c r="AH99" s="1099">
        <f>Dren_Quantificacao!AF80</f>
        <v>0</v>
      </c>
      <c r="AI99" s="1099"/>
      <c r="AJ99" s="1099"/>
      <c r="AK99" s="1099"/>
      <c r="AL99" s="1099"/>
      <c r="AM99" s="1099"/>
      <c r="AN99" s="1099"/>
      <c r="AO99" s="1099"/>
      <c r="AP99" s="1099"/>
      <c r="AQ99" s="1099"/>
      <c r="AR99" s="2461"/>
      <c r="AS99" s="1099">
        <f>Dren_Quantificacao!AQ80</f>
        <v>0</v>
      </c>
      <c r="AT99" s="1099">
        <f>Dren_Quantificacao!AR80</f>
        <v>0</v>
      </c>
      <c r="AU99" s="1099">
        <f>Dren_Quantificacao!AS80</f>
        <v>0</v>
      </c>
      <c r="AV99" s="1099">
        <f>Dren_Quantificacao!AT80</f>
        <v>0</v>
      </c>
      <c r="AW99" s="1099">
        <f>Dren_Quantificacao!AU80</f>
        <v>0</v>
      </c>
      <c r="AX99" s="1100"/>
      <c r="AY99" s="1100"/>
      <c r="AZ99" s="1100"/>
      <c r="BA99" s="1100"/>
      <c r="BB99" s="1100"/>
      <c r="BC99" s="1100"/>
      <c r="BD99" s="1100"/>
      <c r="BE99" s="1100"/>
      <c r="BF99" s="1100"/>
      <c r="BG99" s="1100"/>
      <c r="BH99" s="1100"/>
      <c r="BI99" s="1100"/>
      <c r="BJ99" s="1100"/>
      <c r="BK99" s="1100"/>
      <c r="BL99" s="1100"/>
      <c r="BM99" s="1101">
        <f t="shared" si="50"/>
        <v>5</v>
      </c>
      <c r="BN99" s="579">
        <f t="shared" si="87"/>
        <v>10</v>
      </c>
      <c r="BO99" s="1047">
        <f>+'[4]DR-0205'!$G$44</f>
        <v>2.1521919999999999</v>
      </c>
      <c r="BP99" s="1038"/>
      <c r="BQ99" s="1038"/>
      <c r="BR99" s="1038">
        <f>+'[4]DR-0205'!$G$45</f>
        <v>2.6400639999999997</v>
      </c>
      <c r="BS99" s="1038"/>
      <c r="BT99" s="1038">
        <f>+'[4]DR-0205'!$G$50</f>
        <v>7.68</v>
      </c>
      <c r="BU99" s="1038"/>
      <c r="BV99" s="1038">
        <f>+'[4]DR-0205'!$G$51</f>
        <v>4.7615999999999996</v>
      </c>
      <c r="BW99" s="1040"/>
      <c r="BX99" s="1038">
        <f>+'[4]DR-0205'!$G$44</f>
        <v>2.1521919999999999</v>
      </c>
      <c r="BY99" s="1038"/>
      <c r="BZ99" s="1038"/>
      <c r="CA99" s="1038">
        <f>+'[4]DR-0205'!$G$45</f>
        <v>2.6400639999999997</v>
      </c>
      <c r="CB99" s="1038"/>
      <c r="CC99" s="1038">
        <f>+'[4]DR-0205'!$G$50</f>
        <v>7.68</v>
      </c>
      <c r="CD99" s="1038"/>
      <c r="CE99" s="1038">
        <f>+'[4]DR-0205'!$G$51</f>
        <v>4.7615999999999996</v>
      </c>
      <c r="CF99" s="1040"/>
      <c r="CG99" s="1038">
        <f>+'[4]DR-0205'!$G$44</f>
        <v>2.1521919999999999</v>
      </c>
      <c r="CH99" s="1038"/>
      <c r="CI99" s="1038"/>
      <c r="CJ99" s="1038">
        <f>+'[4]DR-0205'!$G$45</f>
        <v>2.6400639999999997</v>
      </c>
      <c r="CK99" s="1038"/>
      <c r="CL99" s="1038"/>
      <c r="CM99" s="1040">
        <v>0.84099999999999997</v>
      </c>
      <c r="CN99" s="1040">
        <f>+'[4]DR-0205'!$G$52*1.016+'[4]DR-0205'!$G$55+'[4]DR-0205'!$G$56*4.48+'[4]DR-0205'!$G$57</f>
        <v>118.13759820000001</v>
      </c>
      <c r="CO99" s="1038"/>
      <c r="CP99" s="1038">
        <f>+'[4]DR-0205'!$G$54</f>
        <v>20.8</v>
      </c>
      <c r="CQ99" s="1038"/>
      <c r="CR99" s="1038">
        <f>+'[4]DR-0205'!$G$53</f>
        <v>8.3660639999999997</v>
      </c>
      <c r="CS99" s="1038"/>
      <c r="CT99" s="1040"/>
      <c r="CU99" s="1041">
        <f>+'[4]DR-0205'!$G$47+'[4]DR-0205'!$G$48/2+'[4]DR-0205'!$G$49</f>
        <v>70.504729499999996</v>
      </c>
      <c r="CV99" s="1038"/>
      <c r="CW99" s="973"/>
    </row>
    <row r="100" spans="1:101" s="14" customFormat="1" ht="21.95" hidden="1" customHeight="1" x14ac:dyDescent="0.15">
      <c r="A100" s="2707"/>
      <c r="B100" s="2625"/>
      <c r="C100" s="662" t="s">
        <v>1191</v>
      </c>
      <c r="D100" s="1008"/>
      <c r="E100" s="2243"/>
      <c r="F100" s="1105">
        <f>Dren_Quantificacao!D81</f>
        <v>0</v>
      </c>
      <c r="G100" s="1105">
        <f>Dren_Quantificacao!E81</f>
        <v>0</v>
      </c>
      <c r="H100" s="1105">
        <f>Dren_Quantificacao!F81</f>
        <v>0</v>
      </c>
      <c r="I100" s="1105">
        <f>Dren_Quantificacao!G81</f>
        <v>0</v>
      </c>
      <c r="J100" s="1105"/>
      <c r="K100" s="1105"/>
      <c r="L100" s="1105"/>
      <c r="M100" s="1105"/>
      <c r="N100" s="2462"/>
      <c r="O100" s="1105">
        <f>Dren_Quantificacao!M81</f>
        <v>0</v>
      </c>
      <c r="P100" s="1105">
        <f>Dren_Quantificacao!N81</f>
        <v>0</v>
      </c>
      <c r="Q100" s="1105">
        <f>Dren_Quantificacao!O81</f>
        <v>0</v>
      </c>
      <c r="R100" s="1105">
        <f>Dren_Quantificacao!P81</f>
        <v>0</v>
      </c>
      <c r="S100" s="1105">
        <f>Dren_Quantificacao!Q81</f>
        <v>0</v>
      </c>
      <c r="T100" s="1105">
        <f>Dren_Quantificacao!R81</f>
        <v>0</v>
      </c>
      <c r="U100" s="1105">
        <f>Dren_Quantificacao!S81</f>
        <v>0</v>
      </c>
      <c r="V100" s="1105">
        <f>Dren_Quantificacao!T81</f>
        <v>0</v>
      </c>
      <c r="W100" s="1105"/>
      <c r="X100" s="2462"/>
      <c r="Y100" s="1105">
        <f>Dren_Quantificacao!W81</f>
        <v>0</v>
      </c>
      <c r="Z100" s="1105">
        <f>Dren_Quantificacao!X81</f>
        <v>0</v>
      </c>
      <c r="AA100" s="1105">
        <f>Dren_Quantificacao!Y81</f>
        <v>0</v>
      </c>
      <c r="AB100" s="1105">
        <f>Dren_Quantificacao!Z81</f>
        <v>0</v>
      </c>
      <c r="AC100" s="1105">
        <f>Dren_Quantificacao!AA81</f>
        <v>0</v>
      </c>
      <c r="AD100" s="1105">
        <f>Dren_Quantificacao!AB81</f>
        <v>0</v>
      </c>
      <c r="AE100" s="1105">
        <f>Dren_Quantificacao!AC81</f>
        <v>0</v>
      </c>
      <c r="AF100" s="1105">
        <f>Dren_Quantificacao!AD81</f>
        <v>0</v>
      </c>
      <c r="AG100" s="1105">
        <f>Dren_Quantificacao!AE81</f>
        <v>0</v>
      </c>
      <c r="AH100" s="1105">
        <f>Dren_Quantificacao!AF81</f>
        <v>0</v>
      </c>
      <c r="AI100" s="1105"/>
      <c r="AJ100" s="1105"/>
      <c r="AK100" s="1105"/>
      <c r="AL100" s="1105"/>
      <c r="AM100" s="1105"/>
      <c r="AN100" s="1105"/>
      <c r="AO100" s="1105"/>
      <c r="AP100" s="1105"/>
      <c r="AQ100" s="1105"/>
      <c r="AR100" s="2462"/>
      <c r="AS100" s="1105">
        <f>Dren_Quantificacao!AQ81</f>
        <v>0</v>
      </c>
      <c r="AT100" s="1105">
        <f>Dren_Quantificacao!AR81</f>
        <v>0</v>
      </c>
      <c r="AU100" s="1105">
        <f>Dren_Quantificacao!AS81</f>
        <v>0</v>
      </c>
      <c r="AV100" s="1105">
        <f>Dren_Quantificacao!AT81</f>
        <v>0</v>
      </c>
      <c r="AW100" s="1105">
        <f>Dren_Quantificacao!AU81</f>
        <v>0</v>
      </c>
      <c r="AX100" s="1106"/>
      <c r="AY100" s="1106"/>
      <c r="AZ100" s="1106"/>
      <c r="BA100" s="1106"/>
      <c r="BB100" s="1106"/>
      <c r="BC100" s="1106"/>
      <c r="BD100" s="1106"/>
      <c r="BE100" s="1106"/>
      <c r="BF100" s="1106"/>
      <c r="BG100" s="1106"/>
      <c r="BH100" s="1106"/>
      <c r="BI100" s="1106"/>
      <c r="BJ100" s="1106"/>
      <c r="BK100" s="1106"/>
      <c r="BL100" s="1106"/>
      <c r="BM100" s="1107">
        <f t="shared" si="50"/>
        <v>0</v>
      </c>
      <c r="BN100" s="579">
        <f t="shared" si="87"/>
        <v>0</v>
      </c>
      <c r="BO100" s="1047">
        <f>+'[4]DR-0210'!$G$44</f>
        <v>3.6748639999999999</v>
      </c>
      <c r="BP100" s="1038"/>
      <c r="BQ100" s="1038"/>
      <c r="BR100" s="1038">
        <f>+'[4]DR-0210'!$G$45</f>
        <v>280</v>
      </c>
      <c r="BS100" s="1038"/>
      <c r="BT100" s="1038">
        <f>+'[4]DR-0210'!$G$50</f>
        <v>6.7055999999999996</v>
      </c>
      <c r="BU100" s="1038"/>
      <c r="BV100" s="1038">
        <f>+'[4]DR-0210'!$G$51</f>
        <v>3.3372000000000002</v>
      </c>
      <c r="BW100" s="1040"/>
      <c r="BX100" s="1038">
        <f>+'[4]DR-0210'!$G$44</f>
        <v>3.6748639999999999</v>
      </c>
      <c r="BY100" s="1038"/>
      <c r="BZ100" s="1038"/>
      <c r="CA100" s="1038">
        <f>+'[4]DR-0210'!$G$45</f>
        <v>280</v>
      </c>
      <c r="CB100" s="1038"/>
      <c r="CC100" s="1038">
        <f>+'[4]DR-0210'!$G$50</f>
        <v>6.7055999999999996</v>
      </c>
      <c r="CD100" s="1038"/>
      <c r="CE100" s="1038">
        <f>+'[4]DR-0210'!$G$51</f>
        <v>3.3372000000000002</v>
      </c>
      <c r="CF100" s="1040"/>
      <c r="CG100" s="1038">
        <f>+'[4]DR-0210'!$G$44</f>
        <v>3.6748639999999999</v>
      </c>
      <c r="CH100" s="1038"/>
      <c r="CI100" s="1038"/>
      <c r="CJ100" s="1038">
        <f>+'[4]DR-0210'!$G$45</f>
        <v>280</v>
      </c>
      <c r="CK100" s="1038"/>
      <c r="CL100" s="1038"/>
      <c r="CM100" s="1040">
        <v>0.84099999999999997</v>
      </c>
      <c r="CN100" s="1040">
        <f>+'[4]DR-0210'!$G$52*1.016+'[4]DR-0210'!$G$55+'[4]DR-0210'!$G$56*4.48+'[4]DR-0210'!$G$57</f>
        <v>152.123746568</v>
      </c>
      <c r="CO100" s="1038"/>
      <c r="CP100" s="1038">
        <f>+'[4]DR-0210'!$G$54</f>
        <v>22</v>
      </c>
      <c r="CQ100" s="1038"/>
      <c r="CR100" s="1038">
        <f>+'[4]DR-0210'!$G$53</f>
        <v>27.3</v>
      </c>
      <c r="CS100" s="1038"/>
      <c r="CT100" s="1040"/>
      <c r="CU100" s="1041">
        <f>+'[4]DR-0210'!$G$47+'[4]DR-0210'!$G$48/2+'[4]DR-0210'!$G$49</f>
        <v>29.104584000000003</v>
      </c>
      <c r="CV100" s="1038"/>
      <c r="CW100" s="973"/>
    </row>
    <row r="101" spans="1:101" s="14" customFormat="1" ht="21.95" hidden="1" customHeight="1" x14ac:dyDescent="0.15">
      <c r="A101" s="2707"/>
      <c r="B101" s="2625"/>
      <c r="C101" s="1864" t="s">
        <v>1192</v>
      </c>
      <c r="D101" s="1008"/>
      <c r="E101" s="2243"/>
      <c r="F101" s="1108">
        <f>Dren_Quantificacao!D82</f>
        <v>0</v>
      </c>
      <c r="G101" s="1108">
        <f>Dren_Quantificacao!E82</f>
        <v>0</v>
      </c>
      <c r="H101" s="1108">
        <f>Dren_Quantificacao!F82</f>
        <v>0</v>
      </c>
      <c r="I101" s="1108">
        <f>Dren_Quantificacao!G82</f>
        <v>0</v>
      </c>
      <c r="J101" s="1108"/>
      <c r="K101" s="1108"/>
      <c r="L101" s="1108"/>
      <c r="M101" s="1108"/>
      <c r="N101" s="2463"/>
      <c r="O101" s="1108">
        <f>Dren_Quantificacao!M82</f>
        <v>0</v>
      </c>
      <c r="P101" s="1108">
        <f>Dren_Quantificacao!N82</f>
        <v>0</v>
      </c>
      <c r="Q101" s="1108">
        <f>Dren_Quantificacao!O82</f>
        <v>0</v>
      </c>
      <c r="R101" s="1108">
        <f>Dren_Quantificacao!P82</f>
        <v>0</v>
      </c>
      <c r="S101" s="1108">
        <f>Dren_Quantificacao!Q82</f>
        <v>0</v>
      </c>
      <c r="T101" s="1108">
        <f>Dren_Quantificacao!R82</f>
        <v>0</v>
      </c>
      <c r="U101" s="1108">
        <f>Dren_Quantificacao!S82</f>
        <v>0</v>
      </c>
      <c r="V101" s="1108">
        <f>Dren_Quantificacao!T82</f>
        <v>0</v>
      </c>
      <c r="W101" s="1108"/>
      <c r="X101" s="2463"/>
      <c r="Y101" s="1108">
        <f>Dren_Quantificacao!W82</f>
        <v>0</v>
      </c>
      <c r="Z101" s="1108">
        <f>Dren_Quantificacao!X82</f>
        <v>0</v>
      </c>
      <c r="AA101" s="1108">
        <f>Dren_Quantificacao!Y82</f>
        <v>0</v>
      </c>
      <c r="AB101" s="1108">
        <f>Dren_Quantificacao!Z82</f>
        <v>0</v>
      </c>
      <c r="AC101" s="1108">
        <f>Dren_Quantificacao!AA82</f>
        <v>0</v>
      </c>
      <c r="AD101" s="1108">
        <f>Dren_Quantificacao!AB82</f>
        <v>0</v>
      </c>
      <c r="AE101" s="1108">
        <f>Dren_Quantificacao!AC82</f>
        <v>0</v>
      </c>
      <c r="AF101" s="1108">
        <f>Dren_Quantificacao!AD82</f>
        <v>0</v>
      </c>
      <c r="AG101" s="1108">
        <f>Dren_Quantificacao!AE82</f>
        <v>0</v>
      </c>
      <c r="AH101" s="1108">
        <f>Dren_Quantificacao!AF82</f>
        <v>0</v>
      </c>
      <c r="AI101" s="1108"/>
      <c r="AJ101" s="1108"/>
      <c r="AK101" s="1108"/>
      <c r="AL101" s="1108"/>
      <c r="AM101" s="1108"/>
      <c r="AN101" s="1108"/>
      <c r="AO101" s="1108"/>
      <c r="AP101" s="1108"/>
      <c r="AQ101" s="1108"/>
      <c r="AR101" s="2463"/>
      <c r="AS101" s="1108">
        <f>Dren_Quantificacao!AQ82</f>
        <v>0</v>
      </c>
      <c r="AT101" s="1108">
        <f>Dren_Quantificacao!AR82</f>
        <v>0</v>
      </c>
      <c r="AU101" s="1108">
        <f>Dren_Quantificacao!AS82</f>
        <v>0</v>
      </c>
      <c r="AV101" s="1108">
        <f>Dren_Quantificacao!AT82</f>
        <v>0</v>
      </c>
      <c r="AW101" s="1108">
        <f>Dren_Quantificacao!AU82</f>
        <v>0</v>
      </c>
      <c r="AX101" s="1106"/>
      <c r="AY101" s="1106"/>
      <c r="AZ101" s="1106"/>
      <c r="BA101" s="1106"/>
      <c r="BB101" s="1106"/>
      <c r="BC101" s="1106"/>
      <c r="BD101" s="1106"/>
      <c r="BE101" s="1106"/>
      <c r="BF101" s="1106"/>
      <c r="BG101" s="1106"/>
      <c r="BH101" s="1106"/>
      <c r="BI101" s="1106"/>
      <c r="BJ101" s="1106"/>
      <c r="BK101" s="1106"/>
      <c r="BL101" s="1106"/>
      <c r="BM101" s="1110">
        <f t="shared" si="50"/>
        <v>0</v>
      </c>
      <c r="BN101" s="579">
        <f t="shared" si="87"/>
        <v>0</v>
      </c>
      <c r="BO101" s="1047">
        <f>+'[4]DR-0215'!$G$44</f>
        <v>0.79379999999999995</v>
      </c>
      <c r="BP101" s="1038"/>
      <c r="BQ101" s="1038"/>
      <c r="BR101" s="1038">
        <f>+'[4]DR-0215'!$G$45</f>
        <v>3.5358399999999999</v>
      </c>
      <c r="BS101" s="1038"/>
      <c r="BT101" s="1038">
        <f>+'[4]DR-0215'!$G$50</f>
        <v>0.94334200000000001</v>
      </c>
      <c r="BU101" s="1038"/>
      <c r="BV101" s="1038">
        <f>+'[4]DR-0215'!$G$51</f>
        <v>24.024000000000001</v>
      </c>
      <c r="BW101" s="1040"/>
      <c r="BX101" s="1038">
        <f>+'[4]DR-0215'!$G$44</f>
        <v>0.79379999999999995</v>
      </c>
      <c r="BY101" s="1038"/>
      <c r="BZ101" s="1038"/>
      <c r="CA101" s="1038">
        <f>+'[4]DR-0215'!$G$45</f>
        <v>3.5358399999999999</v>
      </c>
      <c r="CB101" s="1038"/>
      <c r="CC101" s="1038">
        <f>+'[4]DR-0215'!$G$50</f>
        <v>0.94334200000000001</v>
      </c>
      <c r="CD101" s="1038"/>
      <c r="CE101" s="1038">
        <f>+'[4]DR-0215'!$G$51</f>
        <v>24.024000000000001</v>
      </c>
      <c r="CF101" s="1040"/>
      <c r="CG101" s="1038">
        <f>+'[4]DR-0215'!$G$44</f>
        <v>0.79379999999999995</v>
      </c>
      <c r="CH101" s="1038"/>
      <c r="CI101" s="1038"/>
      <c r="CJ101" s="1038">
        <f>+'[4]DR-0215'!$G$45</f>
        <v>3.5358399999999999</v>
      </c>
      <c r="CK101" s="1038"/>
      <c r="CL101" s="1038"/>
      <c r="CM101" s="1040">
        <v>0.84099999999999997</v>
      </c>
      <c r="CN101" s="1040">
        <f>+'[4]DR-0215'!$G$52*1.016+'[4]DR-0215'!$G$55+'[4]DR-0215'!$G$56*4.48+'[4]DR-0215'!$G$57</f>
        <v>200.24268200000003</v>
      </c>
      <c r="CO101" s="1038"/>
      <c r="CP101" s="1038">
        <f>+'[4]DR-0215'!$G$54</f>
        <v>3.726</v>
      </c>
      <c r="CQ101" s="1038"/>
      <c r="CR101" s="1038">
        <f>+'[4]DR-0215'!$G$53</f>
        <v>8.3544</v>
      </c>
      <c r="CS101" s="1038"/>
      <c r="CT101" s="1040"/>
      <c r="CU101" s="1041">
        <f>+'[4]DR-0215'!$G$47+'[4]DR-0215'!$G$48/2+'[4]DR-0215'!$G$49</f>
        <v>435.65015999999997</v>
      </c>
      <c r="CV101" s="1038"/>
      <c r="CW101" s="973"/>
    </row>
    <row r="102" spans="1:101" s="14" customFormat="1" ht="21.95" hidden="1" customHeight="1" x14ac:dyDescent="0.15">
      <c r="A102" s="2707"/>
      <c r="B102" s="2625"/>
      <c r="C102" s="972" t="s">
        <v>48</v>
      </c>
      <c r="D102" s="1008"/>
      <c r="E102" s="2243"/>
      <c r="F102" s="1105">
        <f>Dren_Quantificacao!D83</f>
        <v>0</v>
      </c>
      <c r="G102" s="1105">
        <f>Dren_Quantificacao!E83</f>
        <v>0</v>
      </c>
      <c r="H102" s="1105">
        <f>Dren_Quantificacao!F83</f>
        <v>0</v>
      </c>
      <c r="I102" s="1105">
        <f>Dren_Quantificacao!G83</f>
        <v>0</v>
      </c>
      <c r="J102" s="1105"/>
      <c r="K102" s="1105"/>
      <c r="L102" s="1105"/>
      <c r="M102" s="1105"/>
      <c r="N102" s="2462"/>
      <c r="O102" s="1105">
        <f>Dren_Quantificacao!M83</f>
        <v>0</v>
      </c>
      <c r="P102" s="1105">
        <f>Dren_Quantificacao!N83</f>
        <v>0</v>
      </c>
      <c r="Q102" s="1105">
        <f>Dren_Quantificacao!O83</f>
        <v>0</v>
      </c>
      <c r="R102" s="1105">
        <f>Dren_Quantificacao!P83</f>
        <v>0</v>
      </c>
      <c r="S102" s="1105">
        <f>Dren_Quantificacao!Q83</f>
        <v>0</v>
      </c>
      <c r="T102" s="1105">
        <f>Dren_Quantificacao!R83</f>
        <v>0</v>
      </c>
      <c r="U102" s="1105">
        <f>Dren_Quantificacao!S83</f>
        <v>0</v>
      </c>
      <c r="V102" s="1105">
        <f>Dren_Quantificacao!T83</f>
        <v>0</v>
      </c>
      <c r="W102" s="1105"/>
      <c r="X102" s="2462"/>
      <c r="Y102" s="1105">
        <f>Dren_Quantificacao!W83</f>
        <v>0</v>
      </c>
      <c r="Z102" s="1105">
        <f>Dren_Quantificacao!X83</f>
        <v>0</v>
      </c>
      <c r="AA102" s="1105">
        <f>Dren_Quantificacao!Y83</f>
        <v>0</v>
      </c>
      <c r="AB102" s="1105">
        <f>Dren_Quantificacao!Z83</f>
        <v>0</v>
      </c>
      <c r="AC102" s="1105">
        <f>Dren_Quantificacao!AA83</f>
        <v>0</v>
      </c>
      <c r="AD102" s="1105">
        <f>Dren_Quantificacao!AB83</f>
        <v>0</v>
      </c>
      <c r="AE102" s="1105">
        <f>Dren_Quantificacao!AC83</f>
        <v>0</v>
      </c>
      <c r="AF102" s="1105">
        <f>Dren_Quantificacao!AD83</f>
        <v>0</v>
      </c>
      <c r="AG102" s="1105">
        <f>Dren_Quantificacao!AE83</f>
        <v>0</v>
      </c>
      <c r="AH102" s="1105">
        <f>Dren_Quantificacao!AF83</f>
        <v>0</v>
      </c>
      <c r="AI102" s="1105"/>
      <c r="AJ102" s="1105"/>
      <c r="AK102" s="1105"/>
      <c r="AL102" s="1105"/>
      <c r="AM102" s="1105"/>
      <c r="AN102" s="1105"/>
      <c r="AO102" s="1105"/>
      <c r="AP102" s="1105"/>
      <c r="AQ102" s="1105"/>
      <c r="AR102" s="2462"/>
      <c r="AS102" s="1105">
        <f>Dren_Quantificacao!AQ83</f>
        <v>0</v>
      </c>
      <c r="AT102" s="1105">
        <f>Dren_Quantificacao!AR83</f>
        <v>0</v>
      </c>
      <c r="AU102" s="1105">
        <f>Dren_Quantificacao!AS83</f>
        <v>0</v>
      </c>
      <c r="AV102" s="1105">
        <f>Dren_Quantificacao!AT83</f>
        <v>0</v>
      </c>
      <c r="AW102" s="1105">
        <f>Dren_Quantificacao!AU83</f>
        <v>0</v>
      </c>
      <c r="AX102" s="1298"/>
      <c r="AY102" s="1298"/>
      <c r="AZ102" s="1298"/>
      <c r="BA102" s="1298"/>
      <c r="BB102" s="1298"/>
      <c r="BC102" s="1298"/>
      <c r="BD102" s="1298"/>
      <c r="BE102" s="1298"/>
      <c r="BF102" s="1298"/>
      <c r="BG102" s="1298"/>
      <c r="BH102" s="1298"/>
      <c r="BI102" s="1298"/>
      <c r="BJ102" s="1298"/>
      <c r="BK102" s="1298"/>
      <c r="BL102" s="1298"/>
      <c r="BM102" s="2323">
        <f t="shared" si="50"/>
        <v>0</v>
      </c>
      <c r="BN102" s="579">
        <f t="shared" si="87"/>
        <v>0</v>
      </c>
      <c r="BO102" s="1047"/>
      <c r="BP102" s="1038"/>
      <c r="BQ102" s="1038"/>
      <c r="BR102" s="1038"/>
      <c r="BS102" s="1038"/>
      <c r="BT102" s="1038"/>
      <c r="BU102" s="1038"/>
      <c r="BV102" s="1038"/>
      <c r="BW102" s="1040"/>
      <c r="BX102" s="1038"/>
      <c r="BY102" s="1038"/>
      <c r="BZ102" s="1038"/>
      <c r="CA102" s="1038"/>
      <c r="CB102" s="1038"/>
      <c r="CC102" s="1038"/>
      <c r="CD102" s="1038"/>
      <c r="CE102" s="1038"/>
      <c r="CF102" s="1040"/>
      <c r="CG102" s="1038"/>
      <c r="CH102" s="1038"/>
      <c r="CI102" s="1038"/>
      <c r="CJ102" s="1038"/>
      <c r="CK102" s="1038"/>
      <c r="CL102" s="1038"/>
      <c r="CM102" s="1040"/>
      <c r="CN102" s="1040"/>
      <c r="CO102" s="1038"/>
      <c r="CP102" s="1038"/>
      <c r="CQ102" s="1038"/>
      <c r="CR102" s="1038"/>
      <c r="CS102" s="1038"/>
      <c r="CT102" s="1040"/>
      <c r="CU102" s="1041"/>
      <c r="CV102" s="1038"/>
      <c r="CW102" s="973"/>
    </row>
    <row r="103" spans="1:101" s="14" customFormat="1" ht="21.95" hidden="1" customHeight="1" thickBot="1" x14ac:dyDescent="0.2">
      <c r="A103" s="2707"/>
      <c r="B103" s="2625"/>
      <c r="C103" s="972" t="s">
        <v>468</v>
      </c>
      <c r="D103" s="1009"/>
      <c r="E103" s="2254"/>
      <c r="F103" s="1108">
        <f>Dren_Quantificacao!D84</f>
        <v>0</v>
      </c>
      <c r="G103" s="1108">
        <f>Dren_Quantificacao!E84</f>
        <v>0</v>
      </c>
      <c r="H103" s="1108">
        <f>Dren_Quantificacao!F84</f>
        <v>0</v>
      </c>
      <c r="I103" s="1108">
        <f>Dren_Quantificacao!G84</f>
        <v>0</v>
      </c>
      <c r="J103" s="1108"/>
      <c r="K103" s="1108"/>
      <c r="L103" s="1108"/>
      <c r="M103" s="1108"/>
      <c r="N103" s="2463"/>
      <c r="O103" s="1108">
        <f>Dren_Quantificacao!M84</f>
        <v>0</v>
      </c>
      <c r="P103" s="1108">
        <f>Dren_Quantificacao!N84</f>
        <v>0</v>
      </c>
      <c r="Q103" s="1108">
        <f>Dren_Quantificacao!O84</f>
        <v>0</v>
      </c>
      <c r="R103" s="1108">
        <f>Dren_Quantificacao!P84</f>
        <v>0</v>
      </c>
      <c r="S103" s="1108">
        <f>Dren_Quantificacao!Q84</f>
        <v>0</v>
      </c>
      <c r="T103" s="1108">
        <f>Dren_Quantificacao!R84</f>
        <v>0</v>
      </c>
      <c r="U103" s="1108">
        <f>Dren_Quantificacao!S84</f>
        <v>0</v>
      </c>
      <c r="V103" s="1108">
        <f>Dren_Quantificacao!T84</f>
        <v>0</v>
      </c>
      <c r="W103" s="1108"/>
      <c r="X103" s="2463"/>
      <c r="Y103" s="1108">
        <f>Dren_Quantificacao!W84</f>
        <v>0</v>
      </c>
      <c r="Z103" s="1108">
        <f>Dren_Quantificacao!X84</f>
        <v>0</v>
      </c>
      <c r="AA103" s="1108">
        <f>Dren_Quantificacao!Y84</f>
        <v>0</v>
      </c>
      <c r="AB103" s="1108">
        <f>Dren_Quantificacao!Z84</f>
        <v>0</v>
      </c>
      <c r="AC103" s="1108">
        <f>Dren_Quantificacao!AA84</f>
        <v>0</v>
      </c>
      <c r="AD103" s="1108">
        <f>Dren_Quantificacao!AB84</f>
        <v>0</v>
      </c>
      <c r="AE103" s="1108">
        <f>Dren_Quantificacao!AC84</f>
        <v>0</v>
      </c>
      <c r="AF103" s="1108">
        <f>Dren_Quantificacao!AD84</f>
        <v>0</v>
      </c>
      <c r="AG103" s="1108">
        <f>Dren_Quantificacao!AE84</f>
        <v>0</v>
      </c>
      <c r="AH103" s="1108">
        <f>Dren_Quantificacao!AF84</f>
        <v>0</v>
      </c>
      <c r="AI103" s="1108"/>
      <c r="AJ103" s="1108"/>
      <c r="AK103" s="1108"/>
      <c r="AL103" s="1108"/>
      <c r="AM103" s="1108"/>
      <c r="AN103" s="1108"/>
      <c r="AO103" s="1108"/>
      <c r="AP103" s="1108"/>
      <c r="AQ103" s="1108"/>
      <c r="AR103" s="2463"/>
      <c r="AS103" s="1108">
        <f>Dren_Quantificacao!AQ84</f>
        <v>0</v>
      </c>
      <c r="AT103" s="1108">
        <f>Dren_Quantificacao!AR84</f>
        <v>0</v>
      </c>
      <c r="AU103" s="1108">
        <f>Dren_Quantificacao!AS84</f>
        <v>0</v>
      </c>
      <c r="AV103" s="1108">
        <f>Dren_Quantificacao!AT84</f>
        <v>0</v>
      </c>
      <c r="AW103" s="1108">
        <f>Dren_Quantificacao!AU84</f>
        <v>0</v>
      </c>
      <c r="AX103" s="1109"/>
      <c r="AY103" s="1109"/>
      <c r="AZ103" s="1109"/>
      <c r="BA103" s="1109"/>
      <c r="BB103" s="1109"/>
      <c r="BC103" s="1109"/>
      <c r="BD103" s="1109"/>
      <c r="BE103" s="1109"/>
      <c r="BF103" s="1109"/>
      <c r="BG103" s="1109"/>
      <c r="BH103" s="1109"/>
      <c r="BI103" s="1109"/>
      <c r="BJ103" s="1109"/>
      <c r="BK103" s="1109"/>
      <c r="BL103" s="1109"/>
      <c r="BM103" s="1110">
        <f t="shared" si="50"/>
        <v>0</v>
      </c>
      <c r="BN103" s="579">
        <f t="shared" si="87"/>
        <v>0</v>
      </c>
      <c r="BO103" s="1047"/>
      <c r="BP103" s="1038"/>
      <c r="BQ103" s="1038"/>
      <c r="BR103" s="1038"/>
      <c r="BS103" s="1038"/>
      <c r="BT103" s="1038"/>
      <c r="BU103" s="1038"/>
      <c r="BV103" s="1038"/>
      <c r="BW103" s="1040"/>
      <c r="BX103" s="1038"/>
      <c r="BY103" s="1038"/>
      <c r="BZ103" s="1038"/>
      <c r="CA103" s="1038"/>
      <c r="CB103" s="1038"/>
      <c r="CC103" s="1038"/>
      <c r="CD103" s="1038"/>
      <c r="CE103" s="1038"/>
      <c r="CF103" s="1040"/>
      <c r="CG103" s="1038"/>
      <c r="CH103" s="1038"/>
      <c r="CI103" s="1038"/>
      <c r="CJ103" s="1038"/>
      <c r="CK103" s="1038"/>
      <c r="CL103" s="1038"/>
      <c r="CM103" s="1040"/>
      <c r="CN103" s="1040"/>
      <c r="CO103" s="1038"/>
      <c r="CP103" s="1038"/>
      <c r="CQ103" s="1038"/>
      <c r="CR103" s="1038"/>
      <c r="CS103" s="1038"/>
      <c r="CT103" s="1040"/>
      <c r="CU103" s="1041"/>
      <c r="CV103" s="1038"/>
      <c r="CW103" s="973"/>
    </row>
    <row r="104" spans="1:101" s="14" customFormat="1" ht="21.95" hidden="1" customHeight="1" x14ac:dyDescent="0.15">
      <c r="A104" s="2707"/>
      <c r="B104" s="2703" t="s">
        <v>500</v>
      </c>
      <c r="C104" s="552" t="s">
        <v>635</v>
      </c>
      <c r="D104" s="999"/>
      <c r="E104" s="2238"/>
      <c r="F104" s="1099">
        <f>Dren_Quantificacao!D54</f>
        <v>0</v>
      </c>
      <c r="G104" s="1099">
        <f>Dren_Quantificacao!E54</f>
        <v>0</v>
      </c>
      <c r="H104" s="1099">
        <f>Dren_Quantificacao!F54</f>
        <v>0</v>
      </c>
      <c r="I104" s="1099">
        <f>Dren_Quantificacao!G54</f>
        <v>0</v>
      </c>
      <c r="J104" s="1099"/>
      <c r="K104" s="1099"/>
      <c r="L104" s="1099"/>
      <c r="M104" s="1099"/>
      <c r="N104" s="2461"/>
      <c r="O104" s="1099">
        <f>Dren_Quantificacao!M54</f>
        <v>0</v>
      </c>
      <c r="P104" s="1099">
        <f>Dren_Quantificacao!N54</f>
        <v>0</v>
      </c>
      <c r="Q104" s="1099">
        <f>Dren_Quantificacao!O54</f>
        <v>0</v>
      </c>
      <c r="R104" s="1099">
        <f>Dren_Quantificacao!P54</f>
        <v>0</v>
      </c>
      <c r="S104" s="1099">
        <f>Dren_Quantificacao!Q54</f>
        <v>0</v>
      </c>
      <c r="T104" s="1099">
        <f>Dren_Quantificacao!R54</f>
        <v>0</v>
      </c>
      <c r="U104" s="1099">
        <f>Dren_Quantificacao!S54</f>
        <v>0</v>
      </c>
      <c r="V104" s="1099">
        <f>Dren_Quantificacao!T54</f>
        <v>0</v>
      </c>
      <c r="W104" s="1099"/>
      <c r="X104" s="2461"/>
      <c r="Y104" s="1099">
        <f>Dren_Quantificacao!W54</f>
        <v>0</v>
      </c>
      <c r="Z104" s="1099">
        <f>Dren_Quantificacao!X54</f>
        <v>0</v>
      </c>
      <c r="AA104" s="1099">
        <f>Dren_Quantificacao!Y54</f>
        <v>0</v>
      </c>
      <c r="AB104" s="1099">
        <f>Dren_Quantificacao!Z54</f>
        <v>0</v>
      </c>
      <c r="AC104" s="1099">
        <f>Dren_Quantificacao!AA54</f>
        <v>0</v>
      </c>
      <c r="AD104" s="1099">
        <f>Dren_Quantificacao!AB54</f>
        <v>0</v>
      </c>
      <c r="AE104" s="1099">
        <f>Dren_Quantificacao!AC54</f>
        <v>0</v>
      </c>
      <c r="AF104" s="1099">
        <f>Dren_Quantificacao!AD54</f>
        <v>0</v>
      </c>
      <c r="AG104" s="1099">
        <f>Dren_Quantificacao!AE54</f>
        <v>0</v>
      </c>
      <c r="AH104" s="1099">
        <f>Dren_Quantificacao!AF54</f>
        <v>0</v>
      </c>
      <c r="AI104" s="1099"/>
      <c r="AJ104" s="1099"/>
      <c r="AK104" s="1099"/>
      <c r="AL104" s="1099"/>
      <c r="AM104" s="1099"/>
      <c r="AN104" s="1099"/>
      <c r="AO104" s="1099"/>
      <c r="AP104" s="1099"/>
      <c r="AQ104" s="1099"/>
      <c r="AR104" s="2461"/>
      <c r="AS104" s="1099">
        <f>Dren_Quantificacao!AQ54</f>
        <v>0</v>
      </c>
      <c r="AT104" s="1099">
        <f>Dren_Quantificacao!AR54</f>
        <v>0</v>
      </c>
      <c r="AU104" s="1099">
        <f>Dren_Quantificacao!AS54</f>
        <v>0</v>
      </c>
      <c r="AV104" s="1099">
        <f>Dren_Quantificacao!AT54</f>
        <v>0</v>
      </c>
      <c r="AW104" s="1099">
        <f>Dren_Quantificacao!AU54</f>
        <v>0</v>
      </c>
      <c r="AX104" s="1100"/>
      <c r="AY104" s="1100"/>
      <c r="AZ104" s="1100"/>
      <c r="BA104" s="1100"/>
      <c r="BB104" s="1100"/>
      <c r="BC104" s="1100"/>
      <c r="BD104" s="1100"/>
      <c r="BE104" s="1100"/>
      <c r="BF104" s="1100"/>
      <c r="BG104" s="1100"/>
      <c r="BH104" s="1100"/>
      <c r="BI104" s="1100"/>
      <c r="BJ104" s="1100"/>
      <c r="BK104" s="1100"/>
      <c r="BL104" s="1100"/>
      <c r="BM104" s="1101">
        <f t="shared" si="50"/>
        <v>0</v>
      </c>
      <c r="BN104" s="579">
        <f t="shared" si="87"/>
        <v>0</v>
      </c>
      <c r="BO104" s="1047"/>
      <c r="BP104" s="1038"/>
      <c r="BQ104" s="1038"/>
      <c r="BR104" s="1038">
        <f>+'[4]DR-0250'!$G$46</f>
        <v>0.67500000000000004</v>
      </c>
      <c r="BS104" s="1038"/>
      <c r="BT104" s="1038"/>
      <c r="BU104" s="1038"/>
      <c r="BV104" s="1038"/>
      <c r="BW104" s="1040"/>
      <c r="BX104" s="1038"/>
      <c r="BY104" s="1038"/>
      <c r="BZ104" s="1038"/>
      <c r="CA104" s="1038">
        <f>+'[4]DR-0250'!$G$46</f>
        <v>0.67500000000000004</v>
      </c>
      <c r="CB104" s="1038"/>
      <c r="CC104" s="1038"/>
      <c r="CD104" s="1038"/>
      <c r="CE104" s="1038"/>
      <c r="CF104" s="1040"/>
      <c r="CG104" s="1038"/>
      <c r="CH104" s="1038"/>
      <c r="CI104" s="1038"/>
      <c r="CJ104" s="1038">
        <f>+'[4]DR-0250'!$G$46</f>
        <v>0.67500000000000004</v>
      </c>
      <c r="CK104" s="1038"/>
      <c r="CL104" s="1038"/>
      <c r="CM104" s="1040"/>
      <c r="CN104" s="1040">
        <f>+'[4]DR-0250'!$G$45</f>
        <v>0.67500000000000004</v>
      </c>
      <c r="CO104" s="1038"/>
      <c r="CP104" s="1038"/>
      <c r="CQ104" s="1038">
        <f>+'[4]DR-0250'!$G$44</f>
        <v>10.59</v>
      </c>
      <c r="CR104" s="1038"/>
      <c r="CS104" s="1038"/>
      <c r="CT104" s="1040"/>
      <c r="CU104" s="1041"/>
      <c r="CV104" s="1038"/>
      <c r="CW104" s="973"/>
    </row>
    <row r="105" spans="1:101" s="14" customFormat="1" ht="21.95" hidden="1" customHeight="1" x14ac:dyDescent="0.15">
      <c r="A105" s="2707"/>
      <c r="B105" s="2625"/>
      <c r="C105" s="662" t="s">
        <v>636</v>
      </c>
      <c r="D105" s="1008"/>
      <c r="E105" s="2243"/>
      <c r="F105" s="1105">
        <f>Dren_Quantificacao!D55</f>
        <v>0</v>
      </c>
      <c r="G105" s="1105">
        <f>Dren_Quantificacao!E55</f>
        <v>0</v>
      </c>
      <c r="H105" s="1105">
        <f>Dren_Quantificacao!F55</f>
        <v>0</v>
      </c>
      <c r="I105" s="1105">
        <f>Dren_Quantificacao!G55</f>
        <v>0</v>
      </c>
      <c r="J105" s="1105"/>
      <c r="K105" s="1105"/>
      <c r="L105" s="1105"/>
      <c r="M105" s="1105"/>
      <c r="N105" s="2462"/>
      <c r="O105" s="1105">
        <f>Dren_Quantificacao!M55</f>
        <v>0</v>
      </c>
      <c r="P105" s="1105">
        <f>Dren_Quantificacao!N55</f>
        <v>0</v>
      </c>
      <c r="Q105" s="1105">
        <f>Dren_Quantificacao!O55</f>
        <v>0</v>
      </c>
      <c r="R105" s="1105">
        <f>Dren_Quantificacao!P55</f>
        <v>0</v>
      </c>
      <c r="S105" s="1105">
        <f>Dren_Quantificacao!Q55</f>
        <v>0</v>
      </c>
      <c r="T105" s="1105">
        <f>Dren_Quantificacao!R55</f>
        <v>0</v>
      </c>
      <c r="U105" s="1105">
        <f>Dren_Quantificacao!S55</f>
        <v>0</v>
      </c>
      <c r="V105" s="1105">
        <f>Dren_Quantificacao!T55</f>
        <v>0</v>
      </c>
      <c r="W105" s="1105"/>
      <c r="X105" s="2462"/>
      <c r="Y105" s="1105">
        <f>Dren_Quantificacao!W55</f>
        <v>0</v>
      </c>
      <c r="Z105" s="1105">
        <f>Dren_Quantificacao!X55</f>
        <v>0</v>
      </c>
      <c r="AA105" s="1105">
        <f>Dren_Quantificacao!Y55</f>
        <v>0</v>
      </c>
      <c r="AB105" s="1105">
        <f>Dren_Quantificacao!Z55</f>
        <v>0</v>
      </c>
      <c r="AC105" s="1105">
        <f>Dren_Quantificacao!AA55</f>
        <v>0</v>
      </c>
      <c r="AD105" s="1105">
        <f>Dren_Quantificacao!AB55</f>
        <v>0</v>
      </c>
      <c r="AE105" s="1105">
        <f>Dren_Quantificacao!AC55</f>
        <v>0</v>
      </c>
      <c r="AF105" s="1105">
        <f>Dren_Quantificacao!AD55</f>
        <v>0</v>
      </c>
      <c r="AG105" s="1105">
        <f>Dren_Quantificacao!AE55</f>
        <v>0</v>
      </c>
      <c r="AH105" s="1105">
        <f>Dren_Quantificacao!AF55</f>
        <v>0</v>
      </c>
      <c r="AI105" s="1105"/>
      <c r="AJ105" s="1105"/>
      <c r="AK105" s="1105"/>
      <c r="AL105" s="1105"/>
      <c r="AM105" s="1105"/>
      <c r="AN105" s="1105"/>
      <c r="AO105" s="1105"/>
      <c r="AP105" s="1105"/>
      <c r="AQ105" s="1105"/>
      <c r="AR105" s="2462"/>
      <c r="AS105" s="1105">
        <f>Dren_Quantificacao!AQ55</f>
        <v>0</v>
      </c>
      <c r="AT105" s="1105">
        <f>Dren_Quantificacao!AR55</f>
        <v>0</v>
      </c>
      <c r="AU105" s="1105">
        <f>Dren_Quantificacao!AS55</f>
        <v>0</v>
      </c>
      <c r="AV105" s="1105">
        <f>Dren_Quantificacao!AT55</f>
        <v>0</v>
      </c>
      <c r="AW105" s="1105">
        <f>Dren_Quantificacao!AU55</f>
        <v>0</v>
      </c>
      <c r="AX105" s="1106"/>
      <c r="AY105" s="1106"/>
      <c r="AZ105" s="1106"/>
      <c r="BA105" s="1106"/>
      <c r="BB105" s="1106"/>
      <c r="BC105" s="1106"/>
      <c r="BD105" s="1106"/>
      <c r="BE105" s="1106"/>
      <c r="BF105" s="1106"/>
      <c r="BG105" s="1106"/>
      <c r="BH105" s="1106"/>
      <c r="BI105" s="1106"/>
      <c r="BJ105" s="1106"/>
      <c r="BK105" s="1106"/>
      <c r="BL105" s="1106"/>
      <c r="BM105" s="1107">
        <f t="shared" si="50"/>
        <v>0</v>
      </c>
      <c r="BN105" s="579">
        <f t="shared" si="87"/>
        <v>0</v>
      </c>
      <c r="BO105" s="1047"/>
      <c r="BP105" s="1038"/>
      <c r="BQ105" s="1038"/>
      <c r="BR105" s="1038">
        <f>+'[4]DR-0255'!$G$46</f>
        <v>24.83</v>
      </c>
      <c r="BS105" s="1038"/>
      <c r="BT105" s="1038"/>
      <c r="BU105" s="1038"/>
      <c r="BV105" s="1038"/>
      <c r="BW105" s="1040"/>
      <c r="BX105" s="1038"/>
      <c r="BY105" s="1038"/>
      <c r="BZ105" s="1038"/>
      <c r="CA105" s="1038">
        <f>+'[4]DR-0255'!$G$46</f>
        <v>24.83</v>
      </c>
      <c r="CB105" s="1038"/>
      <c r="CC105" s="1038"/>
      <c r="CD105" s="1038"/>
      <c r="CE105" s="1038"/>
      <c r="CF105" s="1040"/>
      <c r="CG105" s="1038"/>
      <c r="CH105" s="1038"/>
      <c r="CI105" s="1038"/>
      <c r="CJ105" s="1038">
        <f>+'[4]DR-0255'!$G$46</f>
        <v>24.83</v>
      </c>
      <c r="CK105" s="1038"/>
      <c r="CL105" s="1038"/>
      <c r="CM105" s="1040"/>
      <c r="CN105" s="1040">
        <f>+'[4]DR-0255'!$G$45</f>
        <v>1.48</v>
      </c>
      <c r="CO105" s="1038"/>
      <c r="CP105" s="1038"/>
      <c r="CQ105" s="1038">
        <f>+'[4]DR-0255'!$G$44</f>
        <v>0.96</v>
      </c>
      <c r="CR105" s="1038"/>
      <c r="CS105" s="1038"/>
      <c r="CT105" s="1040"/>
      <c r="CU105" s="1041"/>
      <c r="CV105" s="1038"/>
      <c r="CW105" s="973"/>
    </row>
    <row r="106" spans="1:101" s="14" customFormat="1" ht="21.95" hidden="1" customHeight="1" thickBot="1" x14ac:dyDescent="0.2">
      <c r="A106" s="2707"/>
      <c r="B106" s="2625"/>
      <c r="C106" s="2275" t="s">
        <v>637</v>
      </c>
      <c r="D106" s="1008"/>
      <c r="E106" s="2243"/>
      <c r="F106" s="1105">
        <f>Dren_Quantificacao!D56</f>
        <v>0</v>
      </c>
      <c r="G106" s="1105">
        <f>Dren_Quantificacao!E56</f>
        <v>0</v>
      </c>
      <c r="H106" s="1105">
        <f>Dren_Quantificacao!F56</f>
        <v>0</v>
      </c>
      <c r="I106" s="1105">
        <f>Dren_Quantificacao!G56</f>
        <v>0</v>
      </c>
      <c r="J106" s="1105"/>
      <c r="K106" s="1105"/>
      <c r="L106" s="1105"/>
      <c r="M106" s="1105"/>
      <c r="N106" s="2462"/>
      <c r="O106" s="1105">
        <f>Dren_Quantificacao!M56</f>
        <v>0</v>
      </c>
      <c r="P106" s="1105">
        <f>Dren_Quantificacao!N56</f>
        <v>0</v>
      </c>
      <c r="Q106" s="1105">
        <f>Dren_Quantificacao!O56</f>
        <v>0</v>
      </c>
      <c r="R106" s="1105">
        <f>Dren_Quantificacao!P56</f>
        <v>0</v>
      </c>
      <c r="S106" s="1105">
        <f>Dren_Quantificacao!Q56</f>
        <v>0</v>
      </c>
      <c r="T106" s="1105">
        <f>Dren_Quantificacao!R56</f>
        <v>0</v>
      </c>
      <c r="U106" s="1105">
        <f>Dren_Quantificacao!S56</f>
        <v>0</v>
      </c>
      <c r="V106" s="1105">
        <f>Dren_Quantificacao!T56</f>
        <v>0</v>
      </c>
      <c r="W106" s="1105"/>
      <c r="X106" s="2462"/>
      <c r="Y106" s="1105">
        <f>Dren_Quantificacao!W56</f>
        <v>0</v>
      </c>
      <c r="Z106" s="1105">
        <f>Dren_Quantificacao!X56</f>
        <v>0</v>
      </c>
      <c r="AA106" s="1105">
        <f>Dren_Quantificacao!Y56</f>
        <v>0</v>
      </c>
      <c r="AB106" s="1105">
        <f>Dren_Quantificacao!Z56</f>
        <v>0</v>
      </c>
      <c r="AC106" s="1105">
        <f>Dren_Quantificacao!AA56</f>
        <v>0</v>
      </c>
      <c r="AD106" s="1105">
        <f>Dren_Quantificacao!AB56</f>
        <v>0</v>
      </c>
      <c r="AE106" s="1105">
        <f>Dren_Quantificacao!AC56</f>
        <v>0</v>
      </c>
      <c r="AF106" s="1105">
        <f>Dren_Quantificacao!AD56</f>
        <v>0</v>
      </c>
      <c r="AG106" s="1105">
        <f>Dren_Quantificacao!AE56</f>
        <v>0</v>
      </c>
      <c r="AH106" s="1105">
        <f>Dren_Quantificacao!AF56</f>
        <v>0</v>
      </c>
      <c r="AI106" s="1105"/>
      <c r="AJ106" s="1105"/>
      <c r="AK106" s="1105"/>
      <c r="AL106" s="1105"/>
      <c r="AM106" s="1105"/>
      <c r="AN106" s="1105"/>
      <c r="AO106" s="1105"/>
      <c r="AP106" s="1105"/>
      <c r="AQ106" s="1105"/>
      <c r="AR106" s="2462"/>
      <c r="AS106" s="1105">
        <f>Dren_Quantificacao!AQ56</f>
        <v>0</v>
      </c>
      <c r="AT106" s="1105">
        <f>Dren_Quantificacao!AR56</f>
        <v>0</v>
      </c>
      <c r="AU106" s="1105">
        <f>Dren_Quantificacao!AS56</f>
        <v>0</v>
      </c>
      <c r="AV106" s="1105">
        <f>Dren_Quantificacao!AT56</f>
        <v>0</v>
      </c>
      <c r="AW106" s="1105">
        <f>Dren_Quantificacao!AU56</f>
        <v>0</v>
      </c>
      <c r="AX106" s="1106"/>
      <c r="AY106" s="1106"/>
      <c r="AZ106" s="1106"/>
      <c r="BA106" s="1106"/>
      <c r="BB106" s="1106"/>
      <c r="BC106" s="1106"/>
      <c r="BD106" s="1106"/>
      <c r="BE106" s="1106"/>
      <c r="BF106" s="1106"/>
      <c r="BG106" s="1106"/>
      <c r="BH106" s="1106"/>
      <c r="BI106" s="1106"/>
      <c r="BJ106" s="1106"/>
      <c r="BK106" s="1106"/>
      <c r="BL106" s="1106"/>
      <c r="BM106" s="1107">
        <f t="shared" si="50"/>
        <v>0</v>
      </c>
      <c r="BN106" s="579">
        <f t="shared" si="87"/>
        <v>0</v>
      </c>
      <c r="BO106" s="1047"/>
      <c r="BP106" s="1038"/>
      <c r="BQ106" s="1038"/>
      <c r="BR106" s="1038">
        <f>+'[4]DR-0260'!$G$46</f>
        <v>39.07</v>
      </c>
      <c r="BS106" s="1038"/>
      <c r="BT106" s="1038"/>
      <c r="BU106" s="1038"/>
      <c r="BV106" s="1038"/>
      <c r="BW106" s="1040"/>
      <c r="BX106" s="1038"/>
      <c r="BY106" s="1038"/>
      <c r="BZ106" s="1038"/>
      <c r="CA106" s="1038">
        <f>+'[4]DR-0260'!$G$46</f>
        <v>39.07</v>
      </c>
      <c r="CB106" s="1038"/>
      <c r="CC106" s="1038"/>
      <c r="CD106" s="1038"/>
      <c r="CE106" s="1038"/>
      <c r="CF106" s="1040"/>
      <c r="CG106" s="1038"/>
      <c r="CH106" s="1038"/>
      <c r="CI106" s="1038"/>
      <c r="CJ106" s="1038">
        <f>+'[4]DR-0260'!$G$46</f>
        <v>39.07</v>
      </c>
      <c r="CK106" s="1038"/>
      <c r="CL106" s="1038"/>
      <c r="CM106" s="1040"/>
      <c r="CN106" s="1040">
        <f>+'[4]DR-0260'!$G$45</f>
        <v>2.96</v>
      </c>
      <c r="CO106" s="1038"/>
      <c r="CP106" s="1038"/>
      <c r="CQ106" s="1038">
        <f>+'[4]DR-0260'!$G$44</f>
        <v>1.92</v>
      </c>
      <c r="CR106" s="1038"/>
      <c r="CS106" s="1038"/>
      <c r="CT106" s="1040"/>
      <c r="CU106" s="1041"/>
      <c r="CV106" s="1038"/>
      <c r="CW106" s="973"/>
    </row>
    <row r="107" spans="1:101" s="14" customFormat="1" ht="21.95" customHeight="1" thickBot="1" x14ac:dyDescent="0.2">
      <c r="A107" s="2707"/>
      <c r="B107" s="2702"/>
      <c r="C107" s="662" t="s">
        <v>638</v>
      </c>
      <c r="D107" s="2361"/>
      <c r="E107" s="2362"/>
      <c r="F107" s="2343">
        <f>Dren_Quantificacao!D57</f>
        <v>0</v>
      </c>
      <c r="G107" s="2343">
        <f>Dren_Quantificacao!E57</f>
        <v>0</v>
      </c>
      <c r="H107" s="2343">
        <f>Dren_Quantificacao!F57</f>
        <v>3</v>
      </c>
      <c r="I107" s="2343">
        <f>Dren_Quantificacao!G57</f>
        <v>2</v>
      </c>
      <c r="J107" s="2343"/>
      <c r="K107" s="2343"/>
      <c r="L107" s="2343"/>
      <c r="M107" s="2343"/>
      <c r="N107" s="2464"/>
      <c r="O107" s="2343">
        <f>Dren_Quantificacao!M57</f>
        <v>2</v>
      </c>
      <c r="P107" s="2343">
        <f>Dren_Quantificacao!N57</f>
        <v>7</v>
      </c>
      <c r="Q107" s="2343">
        <f>Dren_Quantificacao!O57</f>
        <v>1</v>
      </c>
      <c r="R107" s="2343">
        <f>Dren_Quantificacao!P57</f>
        <v>2</v>
      </c>
      <c r="S107" s="2343">
        <f>Dren_Quantificacao!Q57</f>
        <v>2</v>
      </c>
      <c r="T107" s="2343">
        <f>Dren_Quantificacao!R57</f>
        <v>4</v>
      </c>
      <c r="U107" s="2343">
        <f>Dren_Quantificacao!S57</f>
        <v>2</v>
      </c>
      <c r="V107" s="2343">
        <f>Dren_Quantificacao!T57</f>
        <v>2</v>
      </c>
      <c r="W107" s="2343"/>
      <c r="X107" s="2464"/>
      <c r="Y107" s="2343">
        <f>Dren_Quantificacao!W57</f>
        <v>0</v>
      </c>
      <c r="Z107" s="2343">
        <f>Dren_Quantificacao!X57</f>
        <v>0</v>
      </c>
      <c r="AA107" s="2343">
        <f>Dren_Quantificacao!Y57</f>
        <v>1</v>
      </c>
      <c r="AB107" s="2343">
        <f>Dren_Quantificacao!Z57</f>
        <v>3</v>
      </c>
      <c r="AC107" s="2343">
        <f>Dren_Quantificacao!AA57</f>
        <v>1</v>
      </c>
      <c r="AD107" s="2343">
        <f>Dren_Quantificacao!AB57</f>
        <v>2</v>
      </c>
      <c r="AE107" s="2343">
        <f>Dren_Quantificacao!AC57</f>
        <v>0</v>
      </c>
      <c r="AF107" s="2343">
        <f>Dren_Quantificacao!AD57</f>
        <v>2</v>
      </c>
      <c r="AG107" s="2343">
        <f>Dren_Quantificacao!AE57</f>
        <v>1</v>
      </c>
      <c r="AH107" s="2343">
        <f>Dren_Quantificacao!AF57</f>
        <v>1</v>
      </c>
      <c r="AI107" s="2343"/>
      <c r="AJ107" s="2343"/>
      <c r="AK107" s="2343"/>
      <c r="AL107" s="2343"/>
      <c r="AM107" s="2343"/>
      <c r="AN107" s="2343"/>
      <c r="AO107" s="2343"/>
      <c r="AP107" s="2343"/>
      <c r="AQ107" s="2343"/>
      <c r="AR107" s="2464"/>
      <c r="AS107" s="2343">
        <f>Dren_Quantificacao!AQ57</f>
        <v>0</v>
      </c>
      <c r="AT107" s="2343">
        <f>Dren_Quantificacao!AR57</f>
        <v>2</v>
      </c>
      <c r="AU107" s="2343">
        <f>Dren_Quantificacao!AS57</f>
        <v>2</v>
      </c>
      <c r="AV107" s="2343">
        <f>Dren_Quantificacao!AT57</f>
        <v>2</v>
      </c>
      <c r="AW107" s="2343">
        <f>Dren_Quantificacao!AU57</f>
        <v>5</v>
      </c>
      <c r="AX107" s="1298"/>
      <c r="AY107" s="1298"/>
      <c r="AZ107" s="1298"/>
      <c r="BA107" s="1298"/>
      <c r="BB107" s="1298"/>
      <c r="BC107" s="1298"/>
      <c r="BD107" s="1298"/>
      <c r="BE107" s="1298"/>
      <c r="BF107" s="1298"/>
      <c r="BG107" s="1298"/>
      <c r="BH107" s="1298"/>
      <c r="BI107" s="1298"/>
      <c r="BJ107" s="1298"/>
      <c r="BK107" s="1298"/>
      <c r="BL107" s="1298"/>
      <c r="BM107" s="2323">
        <f t="shared" ref="BM107:BM138" si="88">ROUND(SUM(F107:BL107),2)</f>
        <v>49</v>
      </c>
      <c r="BN107" s="579">
        <f t="shared" si="87"/>
        <v>98</v>
      </c>
      <c r="BO107" s="1047"/>
      <c r="BP107" s="1038"/>
      <c r="BQ107" s="1038"/>
      <c r="BR107" s="1038">
        <f>+'[4]DR-0265'!$G$47</f>
        <v>0.72899999999999998</v>
      </c>
      <c r="BS107" s="1038"/>
      <c r="BT107" s="1038"/>
      <c r="BU107" s="1038"/>
      <c r="BV107" s="1038"/>
      <c r="BW107" s="1040"/>
      <c r="BX107" s="1038"/>
      <c r="BY107" s="1038"/>
      <c r="BZ107" s="1038"/>
      <c r="CA107" s="1038">
        <f>+'[4]DR-0265'!$G$47</f>
        <v>0.72899999999999998</v>
      </c>
      <c r="CB107" s="1038"/>
      <c r="CC107" s="1038"/>
      <c r="CD107" s="1038"/>
      <c r="CE107" s="1038"/>
      <c r="CF107" s="1040"/>
      <c r="CG107" s="1038"/>
      <c r="CH107" s="1038"/>
      <c r="CI107" s="1038"/>
      <c r="CJ107" s="1038">
        <f>+'[4]DR-0265'!$G$47</f>
        <v>0.72899999999999998</v>
      </c>
      <c r="CK107" s="1038"/>
      <c r="CL107" s="1038"/>
      <c r="CM107" s="1040"/>
      <c r="CN107" s="1040">
        <f>+'[4]DR-0265'!$G$46+'[4]DR-0265'!$G$45</f>
        <v>5.2290000000000001</v>
      </c>
      <c r="CO107" s="1038"/>
      <c r="CP107" s="1038"/>
      <c r="CQ107" s="1038">
        <f>+'[4]DR-0265'!$G$44</f>
        <v>0.92</v>
      </c>
      <c r="CR107" s="1038"/>
      <c r="CS107" s="1038"/>
      <c r="CT107" s="1040"/>
      <c r="CU107" s="1041"/>
      <c r="CV107" s="1038"/>
      <c r="CW107" s="973"/>
    </row>
    <row r="108" spans="1:101" s="14" customFormat="1" ht="21.95" hidden="1" customHeight="1" thickBot="1" x14ac:dyDescent="0.2">
      <c r="A108" s="2707"/>
      <c r="B108" s="2625"/>
      <c r="C108" s="662" t="s">
        <v>639</v>
      </c>
      <c r="D108" s="1008"/>
      <c r="E108" s="2243"/>
      <c r="F108" s="1105">
        <f>Dren_Quantificacao!D58</f>
        <v>0</v>
      </c>
      <c r="G108" s="1105">
        <f>Dren_Quantificacao!E58</f>
        <v>0</v>
      </c>
      <c r="H108" s="1105">
        <f>Dren_Quantificacao!F58</f>
        <v>0</v>
      </c>
      <c r="I108" s="1105">
        <f>Dren_Quantificacao!G58</f>
        <v>0</v>
      </c>
      <c r="J108" s="1105"/>
      <c r="K108" s="1105"/>
      <c r="L108" s="1105"/>
      <c r="M108" s="1105"/>
      <c r="N108" s="2462"/>
      <c r="O108" s="1105">
        <f>Dren_Quantificacao!M58</f>
        <v>0</v>
      </c>
      <c r="P108" s="1105">
        <f>Dren_Quantificacao!N58</f>
        <v>0</v>
      </c>
      <c r="Q108" s="1105">
        <f>Dren_Quantificacao!O58</f>
        <v>0</v>
      </c>
      <c r="R108" s="1105">
        <f>Dren_Quantificacao!P58</f>
        <v>0</v>
      </c>
      <c r="S108" s="1105">
        <f>Dren_Quantificacao!Q58</f>
        <v>0</v>
      </c>
      <c r="T108" s="1105">
        <f>Dren_Quantificacao!R58</f>
        <v>0</v>
      </c>
      <c r="U108" s="1105">
        <f>Dren_Quantificacao!S58</f>
        <v>0</v>
      </c>
      <c r="V108" s="1105">
        <f>Dren_Quantificacao!T58</f>
        <v>0</v>
      </c>
      <c r="W108" s="1105"/>
      <c r="X108" s="2462"/>
      <c r="Y108" s="1105">
        <f>Dren_Quantificacao!W58</f>
        <v>0</v>
      </c>
      <c r="Z108" s="1105">
        <f>Dren_Quantificacao!X58</f>
        <v>0</v>
      </c>
      <c r="AA108" s="1105">
        <f>Dren_Quantificacao!Y58</f>
        <v>0</v>
      </c>
      <c r="AB108" s="1105">
        <f>Dren_Quantificacao!Z58</f>
        <v>0</v>
      </c>
      <c r="AC108" s="1105">
        <f>Dren_Quantificacao!AA58</f>
        <v>0</v>
      </c>
      <c r="AD108" s="1105">
        <f>Dren_Quantificacao!AB58</f>
        <v>0</v>
      </c>
      <c r="AE108" s="1105">
        <f>Dren_Quantificacao!AC58</f>
        <v>0</v>
      </c>
      <c r="AF108" s="1105">
        <f>Dren_Quantificacao!AD58</f>
        <v>0</v>
      </c>
      <c r="AG108" s="1105">
        <f>Dren_Quantificacao!AE58</f>
        <v>0</v>
      </c>
      <c r="AH108" s="1105">
        <f>Dren_Quantificacao!AF58</f>
        <v>0</v>
      </c>
      <c r="AI108" s="1105"/>
      <c r="AJ108" s="1105"/>
      <c r="AK108" s="1105"/>
      <c r="AL108" s="1105"/>
      <c r="AM108" s="1105"/>
      <c r="AN108" s="1105"/>
      <c r="AO108" s="1105"/>
      <c r="AP108" s="1105"/>
      <c r="AQ108" s="1105"/>
      <c r="AR108" s="2462"/>
      <c r="AS108" s="1105">
        <f>Dren_Quantificacao!AQ58</f>
        <v>0</v>
      </c>
      <c r="AT108" s="1105">
        <f>Dren_Quantificacao!AR58</f>
        <v>0</v>
      </c>
      <c r="AU108" s="1105">
        <f>Dren_Quantificacao!AS58</f>
        <v>0</v>
      </c>
      <c r="AV108" s="1105">
        <f>Dren_Quantificacao!AT58</f>
        <v>0</v>
      </c>
      <c r="AW108" s="1105">
        <f>Dren_Quantificacao!AU58</f>
        <v>0</v>
      </c>
      <c r="AX108" s="1106"/>
      <c r="AY108" s="1106"/>
      <c r="AZ108" s="1106"/>
      <c r="BA108" s="1106"/>
      <c r="BB108" s="1106"/>
      <c r="BC108" s="1106"/>
      <c r="BD108" s="1106"/>
      <c r="BE108" s="1106"/>
      <c r="BF108" s="1106"/>
      <c r="BG108" s="1106"/>
      <c r="BH108" s="1106"/>
      <c r="BI108" s="1106"/>
      <c r="BJ108" s="1106"/>
      <c r="BK108" s="1106"/>
      <c r="BL108" s="1106"/>
      <c r="BM108" s="1107">
        <f t="shared" si="88"/>
        <v>0</v>
      </c>
      <c r="BN108" s="579">
        <f t="shared" si="87"/>
        <v>0</v>
      </c>
      <c r="BO108" s="1047"/>
      <c r="BP108" s="1038"/>
      <c r="BQ108" s="1038"/>
      <c r="BR108" s="1038">
        <f>+'[4]DR-0270'!$G$47</f>
        <v>1.272</v>
      </c>
      <c r="BS108" s="1038"/>
      <c r="BT108" s="1038"/>
      <c r="BU108" s="1038"/>
      <c r="BV108" s="1038"/>
      <c r="BW108" s="1040"/>
      <c r="BX108" s="1038"/>
      <c r="BY108" s="1038"/>
      <c r="BZ108" s="1038"/>
      <c r="CA108" s="1038">
        <f>+'[4]DR-0270'!$G$47</f>
        <v>1.272</v>
      </c>
      <c r="CB108" s="1038"/>
      <c r="CC108" s="1038"/>
      <c r="CD108" s="1038"/>
      <c r="CE108" s="1038"/>
      <c r="CF108" s="1040"/>
      <c r="CG108" s="1038"/>
      <c r="CH108" s="1038"/>
      <c r="CI108" s="1038"/>
      <c r="CJ108" s="1038">
        <f>+'[4]DR-0270'!$G$47</f>
        <v>1.272</v>
      </c>
      <c r="CK108" s="1038"/>
      <c r="CL108" s="1038"/>
      <c r="CM108" s="1040"/>
      <c r="CN108" s="1040">
        <f>+'[4]DR-0270'!$G$46+'[4]DR-0270'!$G$45</f>
        <v>9.8620000000000001</v>
      </c>
      <c r="CO108" s="1038"/>
      <c r="CP108" s="1038"/>
      <c r="CQ108" s="1038">
        <f>+'[4]DR-0270'!$G$44</f>
        <v>2.5300000000000002</v>
      </c>
      <c r="CR108" s="1038"/>
      <c r="CS108" s="1038"/>
      <c r="CT108" s="1040"/>
      <c r="CU108" s="1041"/>
      <c r="CV108" s="1038"/>
      <c r="CW108" s="973"/>
    </row>
    <row r="109" spans="1:101" s="14" customFormat="1" ht="21.95" customHeight="1" thickBot="1" x14ac:dyDescent="0.2">
      <c r="A109" s="2707"/>
      <c r="B109" s="2702"/>
      <c r="C109" s="662" t="s">
        <v>640</v>
      </c>
      <c r="D109" s="1009"/>
      <c r="E109" s="2254"/>
      <c r="F109" s="1108">
        <f>Dren_Quantificacao!D59</f>
        <v>0</v>
      </c>
      <c r="G109" s="1108">
        <f>Dren_Quantificacao!E59</f>
        <v>2</v>
      </c>
      <c r="H109" s="1108">
        <f>Dren_Quantificacao!F59</f>
        <v>0</v>
      </c>
      <c r="I109" s="1108">
        <f>Dren_Quantificacao!G59</f>
        <v>0</v>
      </c>
      <c r="J109" s="1108"/>
      <c r="K109" s="1108"/>
      <c r="L109" s="1108"/>
      <c r="M109" s="1108"/>
      <c r="N109" s="2463"/>
      <c r="O109" s="1108">
        <f>Dren_Quantificacao!M59</f>
        <v>2</v>
      </c>
      <c r="P109" s="1108">
        <f>Dren_Quantificacao!N59</f>
        <v>0</v>
      </c>
      <c r="Q109" s="1108">
        <f>Dren_Quantificacao!O59</f>
        <v>0</v>
      </c>
      <c r="R109" s="1108">
        <f>Dren_Quantificacao!P59</f>
        <v>0</v>
      </c>
      <c r="S109" s="1108">
        <f>Dren_Quantificacao!Q59</f>
        <v>0</v>
      </c>
      <c r="T109" s="1108">
        <f>Dren_Quantificacao!R59</f>
        <v>0</v>
      </c>
      <c r="U109" s="1108">
        <f>Dren_Quantificacao!S59</f>
        <v>0</v>
      </c>
      <c r="V109" s="1108">
        <f>Dren_Quantificacao!T59</f>
        <v>0</v>
      </c>
      <c r="W109" s="1108"/>
      <c r="X109" s="2463"/>
      <c r="Y109" s="1108">
        <f>Dren_Quantificacao!W59</f>
        <v>4</v>
      </c>
      <c r="Z109" s="1108">
        <f>Dren_Quantificacao!X59</f>
        <v>2</v>
      </c>
      <c r="AA109" s="1108">
        <f>Dren_Quantificacao!Y59</f>
        <v>0</v>
      </c>
      <c r="AB109" s="1108">
        <f>Dren_Quantificacao!Z59</f>
        <v>0</v>
      </c>
      <c r="AC109" s="1108">
        <f>Dren_Quantificacao!AA59</f>
        <v>0</v>
      </c>
      <c r="AD109" s="1108">
        <f>Dren_Quantificacao!AB59</f>
        <v>1</v>
      </c>
      <c r="AE109" s="1108">
        <f>Dren_Quantificacao!AC59</f>
        <v>4</v>
      </c>
      <c r="AF109" s="1108">
        <f>Dren_Quantificacao!AD59</f>
        <v>2</v>
      </c>
      <c r="AG109" s="1108">
        <f>Dren_Quantificacao!AE59</f>
        <v>0</v>
      </c>
      <c r="AH109" s="1108">
        <f>Dren_Quantificacao!AF59</f>
        <v>0</v>
      </c>
      <c r="AI109" s="1108"/>
      <c r="AJ109" s="1108"/>
      <c r="AK109" s="1108"/>
      <c r="AL109" s="1108"/>
      <c r="AM109" s="1108"/>
      <c r="AN109" s="1108"/>
      <c r="AO109" s="1108"/>
      <c r="AP109" s="1108"/>
      <c r="AQ109" s="1108"/>
      <c r="AR109" s="2463"/>
      <c r="AS109" s="1108">
        <f>Dren_Quantificacao!AQ59</f>
        <v>4</v>
      </c>
      <c r="AT109" s="1108">
        <f>Dren_Quantificacao!AR59</f>
        <v>2</v>
      </c>
      <c r="AU109" s="1108">
        <f>Dren_Quantificacao!AS59</f>
        <v>2</v>
      </c>
      <c r="AV109" s="1108">
        <f>Dren_Quantificacao!AT59</f>
        <v>1</v>
      </c>
      <c r="AW109" s="1108">
        <f>Dren_Quantificacao!AU59</f>
        <v>1</v>
      </c>
      <c r="AX109" s="1109"/>
      <c r="AY109" s="1109"/>
      <c r="AZ109" s="1109"/>
      <c r="BA109" s="1109"/>
      <c r="BB109" s="1109"/>
      <c r="BC109" s="1109"/>
      <c r="BD109" s="1109"/>
      <c r="BE109" s="1109"/>
      <c r="BF109" s="1109"/>
      <c r="BG109" s="1109"/>
      <c r="BH109" s="1109"/>
      <c r="BI109" s="1109"/>
      <c r="BJ109" s="1109"/>
      <c r="BK109" s="1109"/>
      <c r="BL109" s="1109"/>
      <c r="BM109" s="1110">
        <f t="shared" si="88"/>
        <v>27</v>
      </c>
      <c r="BN109" s="579">
        <f t="shared" si="87"/>
        <v>54</v>
      </c>
      <c r="BO109" s="1047"/>
      <c r="BP109" s="1038"/>
      <c r="BQ109" s="1038"/>
      <c r="BR109" s="1038">
        <f>+'[4]DR-0275'!$G$47</f>
        <v>1.8150000000000002</v>
      </c>
      <c r="BS109" s="1038"/>
      <c r="BT109" s="1038"/>
      <c r="BU109" s="1038"/>
      <c r="BV109" s="1038"/>
      <c r="BW109" s="1040"/>
      <c r="BX109" s="1038"/>
      <c r="BY109" s="1038"/>
      <c r="BZ109" s="1038"/>
      <c r="CA109" s="1038">
        <f>+'[4]DR-0275'!$G$47</f>
        <v>1.8150000000000002</v>
      </c>
      <c r="CB109" s="1038"/>
      <c r="CC109" s="1038"/>
      <c r="CD109" s="1038"/>
      <c r="CE109" s="1038"/>
      <c r="CF109" s="1040"/>
      <c r="CG109" s="1038"/>
      <c r="CH109" s="1038"/>
      <c r="CI109" s="1038"/>
      <c r="CJ109" s="1038">
        <f>+'[4]DR-0275'!$G$47</f>
        <v>1.8150000000000002</v>
      </c>
      <c r="CK109" s="1038"/>
      <c r="CL109" s="1038"/>
      <c r="CM109" s="1040"/>
      <c r="CN109" s="1040">
        <f>+'[4]DR-0275'!$G$46+'[4]DR-0275'!$G$45</f>
        <v>14.494999999999999</v>
      </c>
      <c r="CO109" s="1038"/>
      <c r="CP109" s="1038"/>
      <c r="CQ109" s="1038">
        <f>+'[4]DR-0275'!$G$44</f>
        <v>4.2300000000000004</v>
      </c>
      <c r="CR109" s="1038"/>
      <c r="CS109" s="1038"/>
      <c r="CT109" s="1040"/>
      <c r="CU109" s="1041"/>
      <c r="CV109" s="1038"/>
      <c r="CW109" s="973"/>
    </row>
    <row r="110" spans="1:101" s="14" customFormat="1" ht="21.95" hidden="1" customHeight="1" x14ac:dyDescent="0.15">
      <c r="A110" s="2707"/>
      <c r="B110" s="2625"/>
      <c r="C110" s="662" t="s">
        <v>1123</v>
      </c>
      <c r="D110" s="1008"/>
      <c r="E110" s="2243"/>
      <c r="F110" s="1105">
        <f>Dren_Quantificacao!D60</f>
        <v>0</v>
      </c>
      <c r="G110" s="1105">
        <f>Dren_Quantificacao!E60</f>
        <v>0</v>
      </c>
      <c r="H110" s="1105">
        <f>Dren_Quantificacao!F60</f>
        <v>0</v>
      </c>
      <c r="I110" s="1105">
        <f>Dren_Quantificacao!G60</f>
        <v>0</v>
      </c>
      <c r="J110" s="1105"/>
      <c r="K110" s="1105"/>
      <c r="L110" s="1105"/>
      <c r="M110" s="1105"/>
      <c r="N110" s="2462"/>
      <c r="O110" s="1105">
        <f>Dren_Quantificacao!M60</f>
        <v>0</v>
      </c>
      <c r="P110" s="1105">
        <f>Dren_Quantificacao!N60</f>
        <v>0</v>
      </c>
      <c r="Q110" s="1105">
        <f>Dren_Quantificacao!O60</f>
        <v>0</v>
      </c>
      <c r="R110" s="1105">
        <f>Dren_Quantificacao!P60</f>
        <v>0</v>
      </c>
      <c r="S110" s="1105">
        <f>Dren_Quantificacao!Q60</f>
        <v>0</v>
      </c>
      <c r="T110" s="1105">
        <f>Dren_Quantificacao!R60</f>
        <v>0</v>
      </c>
      <c r="U110" s="1105">
        <f>Dren_Quantificacao!S60</f>
        <v>0</v>
      </c>
      <c r="V110" s="1105">
        <f>Dren_Quantificacao!T60</f>
        <v>0</v>
      </c>
      <c r="W110" s="1105"/>
      <c r="X110" s="2462"/>
      <c r="Y110" s="1105">
        <f>Dren_Quantificacao!W60</f>
        <v>0</v>
      </c>
      <c r="Z110" s="1105">
        <f>Dren_Quantificacao!X60</f>
        <v>0</v>
      </c>
      <c r="AA110" s="1105">
        <f>Dren_Quantificacao!Y60</f>
        <v>0</v>
      </c>
      <c r="AB110" s="1105">
        <f>Dren_Quantificacao!Z60</f>
        <v>0</v>
      </c>
      <c r="AC110" s="1105">
        <f>Dren_Quantificacao!AA60</f>
        <v>0</v>
      </c>
      <c r="AD110" s="1105">
        <f>Dren_Quantificacao!AB60</f>
        <v>0</v>
      </c>
      <c r="AE110" s="1105">
        <f>Dren_Quantificacao!AC60</f>
        <v>0</v>
      </c>
      <c r="AF110" s="1105">
        <f>Dren_Quantificacao!AD60</f>
        <v>0</v>
      </c>
      <c r="AG110" s="1105">
        <f>Dren_Quantificacao!AE60</f>
        <v>0</v>
      </c>
      <c r="AH110" s="1105">
        <f>Dren_Quantificacao!AF60</f>
        <v>0</v>
      </c>
      <c r="AI110" s="1105"/>
      <c r="AJ110" s="1105"/>
      <c r="AK110" s="1105"/>
      <c r="AL110" s="1105"/>
      <c r="AM110" s="1105"/>
      <c r="AN110" s="1105"/>
      <c r="AO110" s="1105"/>
      <c r="AP110" s="1105"/>
      <c r="AQ110" s="1105"/>
      <c r="AR110" s="2462"/>
      <c r="AS110" s="1105">
        <f>Dren_Quantificacao!AQ60</f>
        <v>0</v>
      </c>
      <c r="AT110" s="1105">
        <f>Dren_Quantificacao!AR60</f>
        <v>0</v>
      </c>
      <c r="AU110" s="1105">
        <f>Dren_Quantificacao!AS60</f>
        <v>0</v>
      </c>
      <c r="AV110" s="1105">
        <f>Dren_Quantificacao!AT60</f>
        <v>0</v>
      </c>
      <c r="AW110" s="1105">
        <f>Dren_Quantificacao!AU60</f>
        <v>0</v>
      </c>
      <c r="AX110" s="1106"/>
      <c r="AY110" s="1106"/>
      <c r="AZ110" s="1106"/>
      <c r="BA110" s="1106"/>
      <c r="BB110" s="1106"/>
      <c r="BC110" s="1106"/>
      <c r="BD110" s="1106"/>
      <c r="BE110" s="1106"/>
      <c r="BF110" s="1106"/>
      <c r="BG110" s="1106"/>
      <c r="BH110" s="1106"/>
      <c r="BI110" s="1106"/>
      <c r="BJ110" s="1106"/>
      <c r="BK110" s="1106"/>
      <c r="BL110" s="1106"/>
      <c r="BM110" s="1107">
        <f t="shared" si="88"/>
        <v>0</v>
      </c>
      <c r="BN110" s="579">
        <f t="shared" si="87"/>
        <v>0</v>
      </c>
      <c r="BO110" s="1047"/>
      <c r="BP110" s="1038"/>
      <c r="BQ110" s="1038"/>
      <c r="BR110" s="1038">
        <f>+'[4]DR-0280'!$G$46</f>
        <v>0.23710000000000003</v>
      </c>
      <c r="BS110" s="1038"/>
      <c r="BT110" s="1038"/>
      <c r="BU110" s="1038"/>
      <c r="BV110" s="1038"/>
      <c r="BW110" s="1040"/>
      <c r="BX110" s="1038"/>
      <c r="BY110" s="1038"/>
      <c r="BZ110" s="1038"/>
      <c r="CA110" s="1038">
        <f>+'[4]DR-0280'!$G$46</f>
        <v>0.23710000000000003</v>
      </c>
      <c r="CB110" s="1038"/>
      <c r="CC110" s="1038"/>
      <c r="CD110" s="1038"/>
      <c r="CE110" s="1038"/>
      <c r="CF110" s="1040"/>
      <c r="CG110" s="1038"/>
      <c r="CH110" s="1038"/>
      <c r="CI110" s="1038"/>
      <c r="CJ110" s="1038">
        <f>+'[4]DR-0280'!$G$46</f>
        <v>0.23710000000000003</v>
      </c>
      <c r="CK110" s="1038"/>
      <c r="CL110" s="1038"/>
      <c r="CM110" s="1040"/>
      <c r="CN110" s="1040"/>
      <c r="CO110" s="1038"/>
      <c r="CP110" s="1038">
        <f>+'[4]DR-0280'!$G$45</f>
        <v>0.23710000000000003</v>
      </c>
      <c r="CQ110" s="1038"/>
      <c r="CR110" s="1038"/>
      <c r="CS110" s="1038"/>
      <c r="CT110" s="1040"/>
      <c r="CU110" s="1041"/>
      <c r="CV110" s="1038"/>
      <c r="CW110" s="973"/>
    </row>
    <row r="111" spans="1:101" s="14" customFormat="1" ht="21.95" hidden="1" customHeight="1" x14ac:dyDescent="0.15">
      <c r="A111" s="2707"/>
      <c r="B111" s="2625"/>
      <c r="C111" s="662" t="s">
        <v>1124</v>
      </c>
      <c r="D111" s="1008"/>
      <c r="E111" s="2243"/>
      <c r="F111" s="1105">
        <f>Dren_Quantificacao!D61</f>
        <v>0</v>
      </c>
      <c r="G111" s="1105">
        <f>Dren_Quantificacao!E61</f>
        <v>0</v>
      </c>
      <c r="H111" s="1105">
        <f>Dren_Quantificacao!F61</f>
        <v>0</v>
      </c>
      <c r="I111" s="1105">
        <f>Dren_Quantificacao!G61</f>
        <v>0</v>
      </c>
      <c r="J111" s="1105"/>
      <c r="K111" s="1105"/>
      <c r="L111" s="1105"/>
      <c r="M111" s="1105"/>
      <c r="N111" s="2462"/>
      <c r="O111" s="1105">
        <f>Dren_Quantificacao!M61</f>
        <v>0</v>
      </c>
      <c r="P111" s="1105">
        <f>Dren_Quantificacao!N61</f>
        <v>0</v>
      </c>
      <c r="Q111" s="1105">
        <f>Dren_Quantificacao!O61</f>
        <v>0</v>
      </c>
      <c r="R111" s="1105">
        <f>Dren_Quantificacao!P61</f>
        <v>0</v>
      </c>
      <c r="S111" s="1105">
        <f>Dren_Quantificacao!Q61</f>
        <v>0</v>
      </c>
      <c r="T111" s="1105">
        <f>Dren_Quantificacao!R61</f>
        <v>0</v>
      </c>
      <c r="U111" s="1105">
        <f>Dren_Quantificacao!S61</f>
        <v>0</v>
      </c>
      <c r="V111" s="1105">
        <f>Dren_Quantificacao!T61</f>
        <v>0</v>
      </c>
      <c r="W111" s="1105"/>
      <c r="X111" s="2462"/>
      <c r="Y111" s="1105">
        <f>Dren_Quantificacao!W61</f>
        <v>0</v>
      </c>
      <c r="Z111" s="1105">
        <f>Dren_Quantificacao!X61</f>
        <v>0</v>
      </c>
      <c r="AA111" s="1105">
        <f>Dren_Quantificacao!Y61</f>
        <v>0</v>
      </c>
      <c r="AB111" s="1105">
        <f>Dren_Quantificacao!Z61</f>
        <v>0</v>
      </c>
      <c r="AC111" s="1105">
        <f>Dren_Quantificacao!AA61</f>
        <v>0</v>
      </c>
      <c r="AD111" s="1105">
        <f>Dren_Quantificacao!AB61</f>
        <v>0</v>
      </c>
      <c r="AE111" s="1105">
        <f>Dren_Quantificacao!AC61</f>
        <v>0</v>
      </c>
      <c r="AF111" s="1105">
        <f>Dren_Quantificacao!AD61</f>
        <v>0</v>
      </c>
      <c r="AG111" s="1105">
        <f>Dren_Quantificacao!AE61</f>
        <v>0</v>
      </c>
      <c r="AH111" s="1105">
        <f>Dren_Quantificacao!AF61</f>
        <v>0</v>
      </c>
      <c r="AI111" s="1105"/>
      <c r="AJ111" s="1105"/>
      <c r="AK111" s="1105"/>
      <c r="AL111" s="1105"/>
      <c r="AM111" s="1105"/>
      <c r="AN111" s="1105"/>
      <c r="AO111" s="1105"/>
      <c r="AP111" s="1105"/>
      <c r="AQ111" s="1105"/>
      <c r="AR111" s="2462"/>
      <c r="AS111" s="1105">
        <f>Dren_Quantificacao!AQ61</f>
        <v>0</v>
      </c>
      <c r="AT111" s="1105">
        <f>Dren_Quantificacao!AR61</f>
        <v>0</v>
      </c>
      <c r="AU111" s="1105">
        <f>Dren_Quantificacao!AS61</f>
        <v>0</v>
      </c>
      <c r="AV111" s="1105">
        <f>Dren_Quantificacao!AT61</f>
        <v>0</v>
      </c>
      <c r="AW111" s="1105">
        <f>Dren_Quantificacao!AU61</f>
        <v>0</v>
      </c>
      <c r="AX111" s="1106"/>
      <c r="AY111" s="1106"/>
      <c r="AZ111" s="1106"/>
      <c r="BA111" s="1106"/>
      <c r="BB111" s="1106"/>
      <c r="BC111" s="1106"/>
      <c r="BD111" s="1106"/>
      <c r="BE111" s="1106"/>
      <c r="BF111" s="1106"/>
      <c r="BG111" s="1106"/>
      <c r="BH111" s="1106"/>
      <c r="BI111" s="1106"/>
      <c r="BJ111" s="1106"/>
      <c r="BK111" s="1106"/>
      <c r="BL111" s="1106"/>
      <c r="BM111" s="1107">
        <f t="shared" si="88"/>
        <v>0</v>
      </c>
      <c r="BN111" s="579">
        <f t="shared" si="87"/>
        <v>0</v>
      </c>
      <c r="BO111" s="1047"/>
      <c r="BP111" s="1038"/>
      <c r="BQ111" s="1038"/>
      <c r="BR111" s="1038">
        <f>+'[4]DR-0285'!$G$46</f>
        <v>0.36421999999999999</v>
      </c>
      <c r="BS111" s="1038"/>
      <c r="BT111" s="1038"/>
      <c r="BU111" s="1038"/>
      <c r="BV111" s="1038"/>
      <c r="BW111" s="1040"/>
      <c r="BX111" s="1038"/>
      <c r="BY111" s="1038"/>
      <c r="BZ111" s="1038"/>
      <c r="CA111" s="1038">
        <f>+'[4]DR-0285'!$G$46</f>
        <v>0.36421999999999999</v>
      </c>
      <c r="CB111" s="1038"/>
      <c r="CC111" s="1038"/>
      <c r="CD111" s="1038"/>
      <c r="CE111" s="1038"/>
      <c r="CF111" s="1040"/>
      <c r="CG111" s="1038"/>
      <c r="CH111" s="1038"/>
      <c r="CI111" s="1038"/>
      <c r="CJ111" s="1038">
        <f>+'[4]DR-0285'!$G$46</f>
        <v>0.36421999999999999</v>
      </c>
      <c r="CK111" s="1038"/>
      <c r="CL111" s="1038"/>
      <c r="CM111" s="1040"/>
      <c r="CN111" s="1040"/>
      <c r="CO111" s="1038"/>
      <c r="CP111" s="1038">
        <f>+'[4]DR-0285'!$G$45</f>
        <v>0.36421999999999999</v>
      </c>
      <c r="CQ111" s="1038"/>
      <c r="CR111" s="1038"/>
      <c r="CS111" s="1038"/>
      <c r="CT111" s="1040"/>
      <c r="CU111" s="1041"/>
      <c r="CV111" s="1038"/>
      <c r="CW111" s="973"/>
    </row>
    <row r="112" spans="1:101" s="14" customFormat="1" ht="21.95" hidden="1" customHeight="1" thickBot="1" x14ac:dyDescent="0.2">
      <c r="A112" s="2707"/>
      <c r="B112" s="2625"/>
      <c r="C112" s="662" t="s">
        <v>1125</v>
      </c>
      <c r="D112" s="1009"/>
      <c r="E112" s="2254"/>
      <c r="F112" s="1108">
        <f>Dren_Quantificacao!D62</f>
        <v>0</v>
      </c>
      <c r="G112" s="1108">
        <f>Dren_Quantificacao!E62</f>
        <v>0</v>
      </c>
      <c r="H112" s="1108">
        <f>Dren_Quantificacao!F62</f>
        <v>0</v>
      </c>
      <c r="I112" s="1108">
        <f>Dren_Quantificacao!G62</f>
        <v>0</v>
      </c>
      <c r="J112" s="1108"/>
      <c r="K112" s="1108"/>
      <c r="L112" s="1108"/>
      <c r="M112" s="1108"/>
      <c r="N112" s="2463"/>
      <c r="O112" s="1108">
        <f>Dren_Quantificacao!M62</f>
        <v>0</v>
      </c>
      <c r="P112" s="1108">
        <f>Dren_Quantificacao!N62</f>
        <v>0</v>
      </c>
      <c r="Q112" s="1108">
        <f>Dren_Quantificacao!O62</f>
        <v>0</v>
      </c>
      <c r="R112" s="1108">
        <f>Dren_Quantificacao!P62</f>
        <v>0</v>
      </c>
      <c r="S112" s="1108">
        <f>Dren_Quantificacao!Q62</f>
        <v>0</v>
      </c>
      <c r="T112" s="1108">
        <f>Dren_Quantificacao!R62</f>
        <v>0</v>
      </c>
      <c r="U112" s="1108">
        <f>Dren_Quantificacao!S62</f>
        <v>0</v>
      </c>
      <c r="V112" s="1108">
        <f>Dren_Quantificacao!T62</f>
        <v>0</v>
      </c>
      <c r="W112" s="1108"/>
      <c r="X112" s="2463"/>
      <c r="Y112" s="1108">
        <f>Dren_Quantificacao!W62</f>
        <v>0</v>
      </c>
      <c r="Z112" s="1108">
        <f>Dren_Quantificacao!X62</f>
        <v>0</v>
      </c>
      <c r="AA112" s="1108">
        <f>Dren_Quantificacao!Y62</f>
        <v>0</v>
      </c>
      <c r="AB112" s="1108">
        <f>Dren_Quantificacao!Z62</f>
        <v>0</v>
      </c>
      <c r="AC112" s="1108">
        <f>Dren_Quantificacao!AA62</f>
        <v>0</v>
      </c>
      <c r="AD112" s="1108">
        <f>Dren_Quantificacao!AB62</f>
        <v>0</v>
      </c>
      <c r="AE112" s="1108">
        <f>Dren_Quantificacao!AC62</f>
        <v>0</v>
      </c>
      <c r="AF112" s="1108">
        <f>Dren_Quantificacao!AD62</f>
        <v>0</v>
      </c>
      <c r="AG112" s="1108">
        <f>Dren_Quantificacao!AE62</f>
        <v>0</v>
      </c>
      <c r="AH112" s="1108">
        <f>Dren_Quantificacao!AF62</f>
        <v>0</v>
      </c>
      <c r="AI112" s="1108"/>
      <c r="AJ112" s="1108"/>
      <c r="AK112" s="1108"/>
      <c r="AL112" s="1108"/>
      <c r="AM112" s="1108"/>
      <c r="AN112" s="1108"/>
      <c r="AO112" s="1108"/>
      <c r="AP112" s="1108"/>
      <c r="AQ112" s="1108"/>
      <c r="AR112" s="2463"/>
      <c r="AS112" s="1108">
        <f>Dren_Quantificacao!AQ62</f>
        <v>0</v>
      </c>
      <c r="AT112" s="1108">
        <f>Dren_Quantificacao!AR62</f>
        <v>0</v>
      </c>
      <c r="AU112" s="1108">
        <f>Dren_Quantificacao!AS62</f>
        <v>0</v>
      </c>
      <c r="AV112" s="1108">
        <f>Dren_Quantificacao!AT62</f>
        <v>0</v>
      </c>
      <c r="AW112" s="1108">
        <f>Dren_Quantificacao!AU62</f>
        <v>0</v>
      </c>
      <c r="AX112" s="1109"/>
      <c r="AY112" s="1109"/>
      <c r="AZ112" s="1109"/>
      <c r="BA112" s="1109"/>
      <c r="BB112" s="1109"/>
      <c r="BC112" s="1109"/>
      <c r="BD112" s="1109"/>
      <c r="BE112" s="1109"/>
      <c r="BF112" s="1109"/>
      <c r="BG112" s="1109"/>
      <c r="BH112" s="1109"/>
      <c r="BI112" s="1109"/>
      <c r="BJ112" s="1109"/>
      <c r="BK112" s="1109"/>
      <c r="BL112" s="1109"/>
      <c r="BM112" s="1110">
        <f t="shared" si="88"/>
        <v>0</v>
      </c>
      <c r="BN112" s="579">
        <f t="shared" si="87"/>
        <v>0</v>
      </c>
      <c r="BO112" s="1047"/>
      <c r="BP112" s="1038"/>
      <c r="BQ112" s="1038"/>
      <c r="BR112" s="1038">
        <f>+'[4]DR-0290'!$G$46</f>
        <v>0.49125000000000002</v>
      </c>
      <c r="BS112" s="1038"/>
      <c r="BT112" s="1038"/>
      <c r="BU112" s="1038"/>
      <c r="BV112" s="1038"/>
      <c r="BW112" s="1040"/>
      <c r="BX112" s="1038"/>
      <c r="BY112" s="1038"/>
      <c r="BZ112" s="1038"/>
      <c r="CA112" s="1038">
        <f>+'[4]DR-0290'!$G$46</f>
        <v>0.49125000000000002</v>
      </c>
      <c r="CB112" s="1038"/>
      <c r="CC112" s="1038"/>
      <c r="CD112" s="1038"/>
      <c r="CE112" s="1038"/>
      <c r="CF112" s="1040"/>
      <c r="CG112" s="1038"/>
      <c r="CH112" s="1038"/>
      <c r="CI112" s="1038"/>
      <c r="CJ112" s="1038">
        <f>+'[4]DR-0290'!$G$46</f>
        <v>0.49125000000000002</v>
      </c>
      <c r="CK112" s="1038"/>
      <c r="CL112" s="1038"/>
      <c r="CM112" s="1040"/>
      <c r="CN112" s="1040"/>
      <c r="CO112" s="1038"/>
      <c r="CP112" s="1038">
        <f>+'[4]DR-0290'!$G$45</f>
        <v>0.49125000000000002</v>
      </c>
      <c r="CQ112" s="1038"/>
      <c r="CR112" s="1038"/>
      <c r="CS112" s="1038"/>
      <c r="CT112" s="1040"/>
      <c r="CU112" s="1041"/>
      <c r="CV112" s="1038"/>
      <c r="CW112" s="973"/>
    </row>
    <row r="113" spans="1:102" s="14" customFormat="1" ht="21.95" hidden="1" customHeight="1" x14ac:dyDescent="0.15">
      <c r="A113" s="2707"/>
      <c r="B113" s="2703" t="s">
        <v>501</v>
      </c>
      <c r="C113" s="550">
        <v>0.4</v>
      </c>
      <c r="D113" s="1002"/>
      <c r="E113" s="2241"/>
      <c r="F113" s="1099">
        <f>Dren_Quantificacao!D85</f>
        <v>0</v>
      </c>
      <c r="G113" s="1099">
        <f>Dren_Quantificacao!E85</f>
        <v>0</v>
      </c>
      <c r="H113" s="1099">
        <f>Dren_Quantificacao!F85</f>
        <v>0</v>
      </c>
      <c r="I113" s="1099">
        <f>Dren_Quantificacao!G85</f>
        <v>0</v>
      </c>
      <c r="J113" s="1099"/>
      <c r="K113" s="1099"/>
      <c r="L113" s="1099"/>
      <c r="M113" s="1099"/>
      <c r="N113" s="2461"/>
      <c r="O113" s="1099">
        <f>Dren_Quantificacao!M85</f>
        <v>0</v>
      </c>
      <c r="P113" s="1099">
        <f>Dren_Quantificacao!N85</f>
        <v>0</v>
      </c>
      <c r="Q113" s="1099">
        <f>Dren_Quantificacao!O85</f>
        <v>0</v>
      </c>
      <c r="R113" s="1099">
        <f>Dren_Quantificacao!P85</f>
        <v>0</v>
      </c>
      <c r="S113" s="1099">
        <f>Dren_Quantificacao!Q85</f>
        <v>0</v>
      </c>
      <c r="T113" s="1099">
        <f>Dren_Quantificacao!R85</f>
        <v>0</v>
      </c>
      <c r="U113" s="1099">
        <f>Dren_Quantificacao!S85</f>
        <v>0</v>
      </c>
      <c r="V113" s="1099">
        <f>Dren_Quantificacao!T85</f>
        <v>0</v>
      </c>
      <c r="W113" s="1099"/>
      <c r="X113" s="2461"/>
      <c r="Y113" s="1099">
        <f>Dren_Quantificacao!W85</f>
        <v>0</v>
      </c>
      <c r="Z113" s="1099">
        <f>Dren_Quantificacao!X85</f>
        <v>0</v>
      </c>
      <c r="AA113" s="1099">
        <f>Dren_Quantificacao!Y85</f>
        <v>0</v>
      </c>
      <c r="AB113" s="1099">
        <f>Dren_Quantificacao!Z85</f>
        <v>0</v>
      </c>
      <c r="AC113" s="1099">
        <f>Dren_Quantificacao!AA85</f>
        <v>0</v>
      </c>
      <c r="AD113" s="1099">
        <f>Dren_Quantificacao!AB85</f>
        <v>0</v>
      </c>
      <c r="AE113" s="1099">
        <f>Dren_Quantificacao!AC85</f>
        <v>0</v>
      </c>
      <c r="AF113" s="1099">
        <f>Dren_Quantificacao!AD85</f>
        <v>0</v>
      </c>
      <c r="AG113" s="1099">
        <f>Dren_Quantificacao!AE85</f>
        <v>0</v>
      </c>
      <c r="AH113" s="1099">
        <f>Dren_Quantificacao!AF85</f>
        <v>0</v>
      </c>
      <c r="AI113" s="1099"/>
      <c r="AJ113" s="1099"/>
      <c r="AK113" s="1099"/>
      <c r="AL113" s="1099"/>
      <c r="AM113" s="1099"/>
      <c r="AN113" s="1099"/>
      <c r="AO113" s="1099"/>
      <c r="AP113" s="1099"/>
      <c r="AQ113" s="1099"/>
      <c r="AR113" s="2461"/>
      <c r="AS113" s="1099">
        <f>Dren_Quantificacao!AQ85</f>
        <v>0</v>
      </c>
      <c r="AT113" s="1099">
        <f>Dren_Quantificacao!AR85</f>
        <v>0</v>
      </c>
      <c r="AU113" s="1099">
        <f>Dren_Quantificacao!AS85</f>
        <v>0</v>
      </c>
      <c r="AV113" s="1099">
        <f>Dren_Quantificacao!AT85</f>
        <v>0</v>
      </c>
      <c r="AW113" s="1099">
        <f>Dren_Quantificacao!AU85</f>
        <v>0</v>
      </c>
      <c r="AX113" s="1100"/>
      <c r="AY113" s="1100"/>
      <c r="AZ113" s="1100"/>
      <c r="BA113" s="1100"/>
      <c r="BB113" s="1100"/>
      <c r="BC113" s="1100"/>
      <c r="BD113" s="1100"/>
      <c r="BE113" s="1100"/>
      <c r="BF113" s="1100"/>
      <c r="BG113" s="1100"/>
      <c r="BH113" s="1100"/>
      <c r="BI113" s="1100"/>
      <c r="BJ113" s="1100"/>
      <c r="BK113" s="1100"/>
      <c r="BL113" s="1100"/>
      <c r="BM113" s="1101">
        <f t="shared" si="88"/>
        <v>0</v>
      </c>
      <c r="BN113" s="579">
        <f t="shared" si="87"/>
        <v>0</v>
      </c>
      <c r="BO113" s="1047"/>
      <c r="BP113" s="1038"/>
      <c r="BQ113" s="1038"/>
      <c r="BR113" s="1038"/>
      <c r="BS113" s="1038"/>
      <c r="BT113" s="1038"/>
      <c r="BU113" s="1038"/>
      <c r="BV113" s="1038"/>
      <c r="BW113" s="1040">
        <f>+'[4]DR-0305'!$G$41</f>
        <v>0.66039999999999999</v>
      </c>
      <c r="BX113" s="1038"/>
      <c r="BY113" s="1038"/>
      <c r="BZ113" s="1038"/>
      <c r="CA113" s="1038"/>
      <c r="CB113" s="1038"/>
      <c r="CC113" s="1038"/>
      <c r="CD113" s="1038"/>
      <c r="CE113" s="1038"/>
      <c r="CF113" s="1040">
        <f>+'[4]DR-0305'!$G$41</f>
        <v>0.66039999999999999</v>
      </c>
      <c r="CG113" s="1038"/>
      <c r="CH113" s="1038"/>
      <c r="CI113" s="1038"/>
      <c r="CJ113" s="1038"/>
      <c r="CK113" s="1038"/>
      <c r="CL113" s="1038">
        <f>+'[4]DR-0305'!$G$41</f>
        <v>0.66039999999999999</v>
      </c>
      <c r="CM113" s="1040"/>
      <c r="CN113" s="1040"/>
      <c r="CO113" s="1038">
        <f>+'[4]DR-0305'!$G$42</f>
        <v>4.407</v>
      </c>
      <c r="CP113" s="1038"/>
      <c r="CQ113" s="1038"/>
      <c r="CR113" s="1038"/>
      <c r="CS113" s="1038"/>
      <c r="CT113" s="1040"/>
      <c r="CU113" s="1041"/>
      <c r="CV113" s="1038"/>
      <c r="CW113" s="973"/>
    </row>
    <row r="114" spans="1:102" s="14" customFormat="1" ht="21.95" hidden="1" customHeight="1" thickBot="1" x14ac:dyDescent="0.2">
      <c r="A114" s="2707"/>
      <c r="B114" s="2625"/>
      <c r="C114" s="568">
        <v>0.6</v>
      </c>
      <c r="D114" s="1003"/>
      <c r="E114" s="1287"/>
      <c r="F114" s="1105">
        <f>Dren_Quantificacao!D86</f>
        <v>0</v>
      </c>
      <c r="G114" s="1105">
        <f>Dren_Quantificacao!E86</f>
        <v>0</v>
      </c>
      <c r="H114" s="1105">
        <f>Dren_Quantificacao!F86</f>
        <v>0</v>
      </c>
      <c r="I114" s="1105">
        <f>Dren_Quantificacao!G86</f>
        <v>0</v>
      </c>
      <c r="J114" s="1105"/>
      <c r="K114" s="1105"/>
      <c r="L114" s="1105"/>
      <c r="M114" s="1105"/>
      <c r="N114" s="2462"/>
      <c r="O114" s="1105">
        <f>Dren_Quantificacao!M86</f>
        <v>0</v>
      </c>
      <c r="P114" s="1105">
        <f>Dren_Quantificacao!N86</f>
        <v>0</v>
      </c>
      <c r="Q114" s="1105">
        <f>Dren_Quantificacao!O86</f>
        <v>0</v>
      </c>
      <c r="R114" s="1105">
        <f>Dren_Quantificacao!P86</f>
        <v>0</v>
      </c>
      <c r="S114" s="1105">
        <f>Dren_Quantificacao!Q86</f>
        <v>0</v>
      </c>
      <c r="T114" s="1105">
        <f>Dren_Quantificacao!R86</f>
        <v>0</v>
      </c>
      <c r="U114" s="1105">
        <f>Dren_Quantificacao!S86</f>
        <v>0</v>
      </c>
      <c r="V114" s="1105">
        <f>Dren_Quantificacao!T86</f>
        <v>0</v>
      </c>
      <c r="W114" s="1105"/>
      <c r="X114" s="2462"/>
      <c r="Y114" s="1105">
        <f>Dren_Quantificacao!W86</f>
        <v>0</v>
      </c>
      <c r="Z114" s="1105">
        <f>Dren_Quantificacao!X86</f>
        <v>0</v>
      </c>
      <c r="AA114" s="1105">
        <f>Dren_Quantificacao!Y86</f>
        <v>0</v>
      </c>
      <c r="AB114" s="1105">
        <f>Dren_Quantificacao!Z86</f>
        <v>0</v>
      </c>
      <c r="AC114" s="1105">
        <f>Dren_Quantificacao!AA86</f>
        <v>0</v>
      </c>
      <c r="AD114" s="1105">
        <f>Dren_Quantificacao!AB86</f>
        <v>0</v>
      </c>
      <c r="AE114" s="1105">
        <f>Dren_Quantificacao!AC86</f>
        <v>0</v>
      </c>
      <c r="AF114" s="1105">
        <f>Dren_Quantificacao!AD86</f>
        <v>0</v>
      </c>
      <c r="AG114" s="1105">
        <f>Dren_Quantificacao!AE86</f>
        <v>0</v>
      </c>
      <c r="AH114" s="1105">
        <f>Dren_Quantificacao!AF86</f>
        <v>0</v>
      </c>
      <c r="AI114" s="1105"/>
      <c r="AJ114" s="1105"/>
      <c r="AK114" s="1105"/>
      <c r="AL114" s="1105"/>
      <c r="AM114" s="1105"/>
      <c r="AN114" s="1105"/>
      <c r="AO114" s="1105"/>
      <c r="AP114" s="1105"/>
      <c r="AQ114" s="1105"/>
      <c r="AR114" s="2462"/>
      <c r="AS114" s="1105">
        <f>Dren_Quantificacao!AQ86</f>
        <v>0</v>
      </c>
      <c r="AT114" s="1105">
        <f>Dren_Quantificacao!AR86</f>
        <v>0</v>
      </c>
      <c r="AU114" s="1105">
        <f>Dren_Quantificacao!AS86</f>
        <v>0</v>
      </c>
      <c r="AV114" s="1105">
        <f>Dren_Quantificacao!AT86</f>
        <v>0</v>
      </c>
      <c r="AW114" s="1105">
        <f>Dren_Quantificacao!AU86</f>
        <v>0</v>
      </c>
      <c r="AX114" s="1106"/>
      <c r="AY114" s="1106"/>
      <c r="AZ114" s="1106"/>
      <c r="BA114" s="1106"/>
      <c r="BB114" s="1106"/>
      <c r="BC114" s="1106"/>
      <c r="BD114" s="1106"/>
      <c r="BE114" s="1106"/>
      <c r="BF114" s="1106"/>
      <c r="BG114" s="1106"/>
      <c r="BH114" s="1106"/>
      <c r="BI114" s="1106"/>
      <c r="BJ114" s="1106"/>
      <c r="BK114" s="1106"/>
      <c r="BL114" s="1106"/>
      <c r="BM114" s="1107">
        <f t="shared" si="88"/>
        <v>0</v>
      </c>
      <c r="BN114" s="579">
        <f t="shared" si="87"/>
        <v>0</v>
      </c>
      <c r="BO114" s="1047"/>
      <c r="BP114" s="1038"/>
      <c r="BQ114" s="1038"/>
      <c r="BR114" s="1038"/>
      <c r="BS114" s="1038"/>
      <c r="BT114" s="1038"/>
      <c r="BU114" s="1038"/>
      <c r="BV114" s="1038"/>
      <c r="BW114" s="1040">
        <f>+'[4]DR-0310'!$G$41</f>
        <v>1.2385999999999999</v>
      </c>
      <c r="BX114" s="1038"/>
      <c r="BY114" s="1038"/>
      <c r="BZ114" s="1038"/>
      <c r="CA114" s="1038"/>
      <c r="CB114" s="1038"/>
      <c r="CC114" s="1038"/>
      <c r="CD114" s="1038"/>
      <c r="CE114" s="1038"/>
      <c r="CF114" s="1040">
        <f>+'[4]DR-0310'!$G$41</f>
        <v>1.2385999999999999</v>
      </c>
      <c r="CG114" s="1038"/>
      <c r="CH114" s="1038"/>
      <c r="CI114" s="1038"/>
      <c r="CJ114" s="1038"/>
      <c r="CK114" s="1038"/>
      <c r="CL114" s="1038">
        <f>+'[4]DR-0310'!$G$41</f>
        <v>1.2385999999999999</v>
      </c>
      <c r="CM114" s="1040"/>
      <c r="CN114" s="1040"/>
      <c r="CO114" s="1038">
        <f>+'[4]DR-0310'!$G$42</f>
        <v>6.6445999999999996</v>
      </c>
      <c r="CP114" s="1038"/>
      <c r="CQ114" s="1038"/>
      <c r="CR114" s="1038"/>
      <c r="CS114" s="1038"/>
      <c r="CT114" s="1040"/>
      <c r="CU114" s="1041"/>
      <c r="CV114" s="1038"/>
      <c r="CW114" s="973"/>
    </row>
    <row r="115" spans="1:102" s="14" customFormat="1" ht="21.95" hidden="1" customHeight="1" thickBot="1" x14ac:dyDescent="0.2">
      <c r="A115" s="2707"/>
      <c r="B115" s="2702"/>
      <c r="C115" s="567">
        <v>0.8</v>
      </c>
      <c r="D115" s="1003"/>
      <c r="E115" s="1287"/>
      <c r="F115" s="1105">
        <f>Dren_Quantificacao!D87</f>
        <v>0</v>
      </c>
      <c r="G115" s="1105">
        <f>Dren_Quantificacao!E87</f>
        <v>0</v>
      </c>
      <c r="H115" s="1105">
        <f>Dren_Quantificacao!F87</f>
        <v>0</v>
      </c>
      <c r="I115" s="1105">
        <f>Dren_Quantificacao!G87</f>
        <v>0</v>
      </c>
      <c r="J115" s="1105"/>
      <c r="K115" s="1105"/>
      <c r="L115" s="1105"/>
      <c r="M115" s="1105"/>
      <c r="N115" s="2462"/>
      <c r="O115" s="1105">
        <f>Dren_Quantificacao!M87</f>
        <v>0</v>
      </c>
      <c r="P115" s="1105">
        <f>Dren_Quantificacao!N87</f>
        <v>0</v>
      </c>
      <c r="Q115" s="1105">
        <f>Dren_Quantificacao!O87</f>
        <v>0</v>
      </c>
      <c r="R115" s="1105">
        <f>Dren_Quantificacao!P87</f>
        <v>0</v>
      </c>
      <c r="S115" s="1105">
        <f>Dren_Quantificacao!Q87</f>
        <v>0</v>
      </c>
      <c r="T115" s="1105">
        <f>Dren_Quantificacao!R87</f>
        <v>0</v>
      </c>
      <c r="U115" s="1105">
        <f>Dren_Quantificacao!S87</f>
        <v>0</v>
      </c>
      <c r="V115" s="1105">
        <f>Dren_Quantificacao!T87</f>
        <v>0</v>
      </c>
      <c r="W115" s="1105"/>
      <c r="X115" s="2462"/>
      <c r="Y115" s="1105">
        <f>Dren_Quantificacao!W87</f>
        <v>0</v>
      </c>
      <c r="Z115" s="1105">
        <f>Dren_Quantificacao!X87</f>
        <v>0</v>
      </c>
      <c r="AA115" s="1105">
        <f>Dren_Quantificacao!Y87</f>
        <v>0</v>
      </c>
      <c r="AB115" s="1105">
        <f>Dren_Quantificacao!Z87</f>
        <v>0</v>
      </c>
      <c r="AC115" s="1105">
        <f>Dren_Quantificacao!AA87</f>
        <v>0</v>
      </c>
      <c r="AD115" s="1105">
        <f>Dren_Quantificacao!AB87</f>
        <v>0</v>
      </c>
      <c r="AE115" s="1105">
        <f>Dren_Quantificacao!AC87</f>
        <v>0</v>
      </c>
      <c r="AF115" s="1105">
        <f>Dren_Quantificacao!AD87</f>
        <v>0</v>
      </c>
      <c r="AG115" s="1105">
        <f>Dren_Quantificacao!AE87</f>
        <v>0</v>
      </c>
      <c r="AH115" s="1105">
        <f>Dren_Quantificacao!AF87</f>
        <v>0</v>
      </c>
      <c r="AI115" s="1105"/>
      <c r="AJ115" s="1105"/>
      <c r="AK115" s="1105"/>
      <c r="AL115" s="1105"/>
      <c r="AM115" s="1105"/>
      <c r="AN115" s="1105"/>
      <c r="AO115" s="1105"/>
      <c r="AP115" s="1105"/>
      <c r="AQ115" s="1105"/>
      <c r="AR115" s="2462"/>
      <c r="AS115" s="1105">
        <f>Dren_Quantificacao!AQ87</f>
        <v>0</v>
      </c>
      <c r="AT115" s="1105">
        <f>Dren_Quantificacao!AR87</f>
        <v>0</v>
      </c>
      <c r="AU115" s="1105">
        <f>Dren_Quantificacao!AS87</f>
        <v>0</v>
      </c>
      <c r="AV115" s="1105">
        <f>Dren_Quantificacao!AT87</f>
        <v>0</v>
      </c>
      <c r="AW115" s="1105">
        <f>Dren_Quantificacao!AU87</f>
        <v>0</v>
      </c>
      <c r="AX115" s="1106"/>
      <c r="AY115" s="1106"/>
      <c r="AZ115" s="1106"/>
      <c r="BA115" s="1106"/>
      <c r="BB115" s="1106"/>
      <c r="BC115" s="1106"/>
      <c r="BD115" s="1106"/>
      <c r="BE115" s="1106"/>
      <c r="BF115" s="1106"/>
      <c r="BG115" s="1106"/>
      <c r="BH115" s="1106"/>
      <c r="BI115" s="1106"/>
      <c r="BJ115" s="1106"/>
      <c r="BK115" s="1106"/>
      <c r="BL115" s="1106"/>
      <c r="BM115" s="1107">
        <f t="shared" si="88"/>
        <v>0</v>
      </c>
      <c r="BN115" s="579">
        <f t="shared" si="87"/>
        <v>0</v>
      </c>
      <c r="BO115" s="1047"/>
      <c r="BP115" s="1038"/>
      <c r="BQ115" s="1038"/>
      <c r="BR115" s="1038"/>
      <c r="BS115" s="1038"/>
      <c r="BT115" s="1038"/>
      <c r="BU115" s="1038"/>
      <c r="BV115" s="1038"/>
      <c r="BW115" s="1040">
        <f>+'[4]DR-0315'!$G$41</f>
        <v>2.2320000000000002</v>
      </c>
      <c r="BX115" s="1038"/>
      <c r="BY115" s="1038"/>
      <c r="BZ115" s="1038"/>
      <c r="CA115" s="1038"/>
      <c r="CB115" s="1038"/>
      <c r="CC115" s="1038"/>
      <c r="CD115" s="1038"/>
      <c r="CE115" s="1038"/>
      <c r="CF115" s="1040">
        <f>+'[4]DR-0315'!$G$41</f>
        <v>2.2320000000000002</v>
      </c>
      <c r="CG115" s="1038"/>
      <c r="CH115" s="1038"/>
      <c r="CI115" s="1038"/>
      <c r="CJ115" s="1038"/>
      <c r="CK115" s="1038"/>
      <c r="CL115" s="1038">
        <f>+'[4]DR-0315'!$G$41</f>
        <v>2.2320000000000002</v>
      </c>
      <c r="CM115" s="1040"/>
      <c r="CN115" s="1040"/>
      <c r="CO115" s="1038">
        <f>+'[4]DR-0315'!$G$42</f>
        <v>9.7668999999999997</v>
      </c>
      <c r="CP115" s="1038"/>
      <c r="CQ115" s="1038"/>
      <c r="CR115" s="1038"/>
      <c r="CS115" s="1038"/>
      <c r="CT115" s="1040"/>
      <c r="CU115" s="1041"/>
      <c r="CV115" s="1038"/>
      <c r="CW115" s="973"/>
    </row>
    <row r="116" spans="1:102" s="14" customFormat="1" ht="21.95" hidden="1" customHeight="1" x14ac:dyDescent="0.15">
      <c r="A116" s="2707"/>
      <c r="B116" s="2625"/>
      <c r="C116" s="567">
        <v>1</v>
      </c>
      <c r="D116" s="1003"/>
      <c r="E116" s="1287"/>
      <c r="F116" s="1105">
        <f>Dren_Quantificacao!D88</f>
        <v>0</v>
      </c>
      <c r="G116" s="1105">
        <f>Dren_Quantificacao!E88</f>
        <v>0</v>
      </c>
      <c r="H116" s="1105">
        <f>Dren_Quantificacao!F88</f>
        <v>0</v>
      </c>
      <c r="I116" s="1105">
        <f>Dren_Quantificacao!G88</f>
        <v>0</v>
      </c>
      <c r="J116" s="1105"/>
      <c r="K116" s="1105"/>
      <c r="L116" s="1105"/>
      <c r="M116" s="1105"/>
      <c r="N116" s="2462"/>
      <c r="O116" s="1105">
        <f>Dren_Quantificacao!M88</f>
        <v>0</v>
      </c>
      <c r="P116" s="1105">
        <f>Dren_Quantificacao!N88</f>
        <v>0</v>
      </c>
      <c r="Q116" s="1105">
        <f>Dren_Quantificacao!O88</f>
        <v>0</v>
      </c>
      <c r="R116" s="1105">
        <f>Dren_Quantificacao!P88</f>
        <v>0</v>
      </c>
      <c r="S116" s="1105">
        <f>Dren_Quantificacao!Q88</f>
        <v>0</v>
      </c>
      <c r="T116" s="1105">
        <f>Dren_Quantificacao!R88</f>
        <v>0</v>
      </c>
      <c r="U116" s="1105">
        <f>Dren_Quantificacao!S88</f>
        <v>0</v>
      </c>
      <c r="V116" s="1105">
        <f>Dren_Quantificacao!T88</f>
        <v>0</v>
      </c>
      <c r="W116" s="1105"/>
      <c r="X116" s="2462"/>
      <c r="Y116" s="1105">
        <f>Dren_Quantificacao!W88</f>
        <v>0</v>
      </c>
      <c r="Z116" s="1105">
        <f>Dren_Quantificacao!X88</f>
        <v>0</v>
      </c>
      <c r="AA116" s="1105">
        <f>Dren_Quantificacao!Y88</f>
        <v>0</v>
      </c>
      <c r="AB116" s="1105">
        <f>Dren_Quantificacao!Z88</f>
        <v>0</v>
      </c>
      <c r="AC116" s="1105">
        <f>Dren_Quantificacao!AA88</f>
        <v>0</v>
      </c>
      <c r="AD116" s="1105">
        <f>Dren_Quantificacao!AB88</f>
        <v>0</v>
      </c>
      <c r="AE116" s="1105">
        <f>Dren_Quantificacao!AC88</f>
        <v>0</v>
      </c>
      <c r="AF116" s="1105">
        <f>Dren_Quantificacao!AD88</f>
        <v>0</v>
      </c>
      <c r="AG116" s="1105">
        <f>Dren_Quantificacao!AE88</f>
        <v>0</v>
      </c>
      <c r="AH116" s="1105">
        <f>Dren_Quantificacao!AF88</f>
        <v>0</v>
      </c>
      <c r="AI116" s="1105"/>
      <c r="AJ116" s="1105"/>
      <c r="AK116" s="1105"/>
      <c r="AL116" s="1105"/>
      <c r="AM116" s="1105"/>
      <c r="AN116" s="1105"/>
      <c r="AO116" s="1105"/>
      <c r="AP116" s="1105"/>
      <c r="AQ116" s="1105"/>
      <c r="AR116" s="2462"/>
      <c r="AS116" s="1105">
        <f>Dren_Quantificacao!AQ88</f>
        <v>0</v>
      </c>
      <c r="AT116" s="1105">
        <f>Dren_Quantificacao!AR88</f>
        <v>0</v>
      </c>
      <c r="AU116" s="1105">
        <f>Dren_Quantificacao!AS88</f>
        <v>0</v>
      </c>
      <c r="AV116" s="1105">
        <f>Dren_Quantificacao!AT88</f>
        <v>0</v>
      </c>
      <c r="AW116" s="1105">
        <f>Dren_Quantificacao!AU88</f>
        <v>0</v>
      </c>
      <c r="AX116" s="1106"/>
      <c r="AY116" s="1106"/>
      <c r="AZ116" s="1106"/>
      <c r="BA116" s="1106"/>
      <c r="BB116" s="1106"/>
      <c r="BC116" s="1106"/>
      <c r="BD116" s="1106"/>
      <c r="BE116" s="1106"/>
      <c r="BF116" s="1106"/>
      <c r="BG116" s="1106"/>
      <c r="BH116" s="1106"/>
      <c r="BI116" s="1106"/>
      <c r="BJ116" s="1106"/>
      <c r="BK116" s="1106"/>
      <c r="BL116" s="1106"/>
      <c r="BM116" s="1107">
        <f t="shared" si="88"/>
        <v>0</v>
      </c>
      <c r="BN116" s="579">
        <f t="shared" si="87"/>
        <v>0</v>
      </c>
      <c r="BO116" s="1047"/>
      <c r="BP116" s="1038"/>
      <c r="BQ116" s="1038"/>
      <c r="BR116" s="1038"/>
      <c r="BS116" s="1038"/>
      <c r="BT116" s="1038"/>
      <c r="BU116" s="1038"/>
      <c r="BV116" s="1038"/>
      <c r="BW116" s="1040">
        <f>+'[4]DR-0320'!$G$41</f>
        <v>3.629</v>
      </c>
      <c r="BX116" s="1038"/>
      <c r="BY116" s="1038"/>
      <c r="BZ116" s="1038"/>
      <c r="CA116" s="1038"/>
      <c r="CB116" s="1038"/>
      <c r="CC116" s="1038"/>
      <c r="CD116" s="1038"/>
      <c r="CE116" s="1038"/>
      <c r="CF116" s="1040">
        <f>+'[4]DR-0320'!$G$41</f>
        <v>3.629</v>
      </c>
      <c r="CG116" s="1038"/>
      <c r="CH116" s="1038"/>
      <c r="CI116" s="1038"/>
      <c r="CJ116" s="1038"/>
      <c r="CK116" s="1038"/>
      <c r="CL116" s="1038">
        <f>+'[4]DR-0320'!$G$41</f>
        <v>3.629</v>
      </c>
      <c r="CM116" s="1040"/>
      <c r="CN116" s="1040"/>
      <c r="CO116" s="1038">
        <f>+'[4]DR-0320'!$G$42</f>
        <v>13.464</v>
      </c>
      <c r="CP116" s="1038"/>
      <c r="CQ116" s="1038"/>
      <c r="CR116" s="1038"/>
      <c r="CS116" s="1038"/>
      <c r="CT116" s="1040"/>
      <c r="CU116" s="1041"/>
      <c r="CV116" s="1038"/>
      <c r="CW116" s="973"/>
    </row>
    <row r="117" spans="1:102" s="14" customFormat="1" ht="21.95" hidden="1" customHeight="1" x14ac:dyDescent="0.15">
      <c r="A117" s="2707"/>
      <c r="B117" s="2625"/>
      <c r="C117" s="567">
        <v>1.2</v>
      </c>
      <c r="D117" s="1003"/>
      <c r="E117" s="1287"/>
      <c r="F117" s="1105">
        <f>Dren_Quantificacao!D89</f>
        <v>0</v>
      </c>
      <c r="G117" s="1105">
        <f>Dren_Quantificacao!E89</f>
        <v>0</v>
      </c>
      <c r="H117" s="1105">
        <f>Dren_Quantificacao!F89</f>
        <v>0</v>
      </c>
      <c r="I117" s="1105">
        <f>Dren_Quantificacao!G89</f>
        <v>0</v>
      </c>
      <c r="J117" s="1105"/>
      <c r="K117" s="1105"/>
      <c r="L117" s="1105"/>
      <c r="M117" s="1105"/>
      <c r="N117" s="2462"/>
      <c r="O117" s="1105">
        <f>Dren_Quantificacao!M89</f>
        <v>0</v>
      </c>
      <c r="P117" s="1105">
        <f>Dren_Quantificacao!N89</f>
        <v>0</v>
      </c>
      <c r="Q117" s="1105">
        <f>Dren_Quantificacao!O89</f>
        <v>0</v>
      </c>
      <c r="R117" s="1105">
        <f>Dren_Quantificacao!P89</f>
        <v>0</v>
      </c>
      <c r="S117" s="1105">
        <f>Dren_Quantificacao!Q89</f>
        <v>0</v>
      </c>
      <c r="T117" s="1105">
        <f>Dren_Quantificacao!R89</f>
        <v>0</v>
      </c>
      <c r="U117" s="1105">
        <f>Dren_Quantificacao!S89</f>
        <v>0</v>
      </c>
      <c r="V117" s="1105">
        <f>Dren_Quantificacao!T89</f>
        <v>0</v>
      </c>
      <c r="W117" s="1105"/>
      <c r="X117" s="2462"/>
      <c r="Y117" s="1105">
        <f>Dren_Quantificacao!W89</f>
        <v>0</v>
      </c>
      <c r="Z117" s="1105">
        <f>Dren_Quantificacao!X89</f>
        <v>0</v>
      </c>
      <c r="AA117" s="1105">
        <f>Dren_Quantificacao!Y89</f>
        <v>0</v>
      </c>
      <c r="AB117" s="1105">
        <f>Dren_Quantificacao!Z89</f>
        <v>0</v>
      </c>
      <c r="AC117" s="1105">
        <f>Dren_Quantificacao!AA89</f>
        <v>0</v>
      </c>
      <c r="AD117" s="1105">
        <f>Dren_Quantificacao!AB89</f>
        <v>0</v>
      </c>
      <c r="AE117" s="1105">
        <f>Dren_Quantificacao!AC89</f>
        <v>0</v>
      </c>
      <c r="AF117" s="1105">
        <f>Dren_Quantificacao!AD89</f>
        <v>0</v>
      </c>
      <c r="AG117" s="1105">
        <f>Dren_Quantificacao!AE89</f>
        <v>0</v>
      </c>
      <c r="AH117" s="1105">
        <f>Dren_Quantificacao!AF89</f>
        <v>0</v>
      </c>
      <c r="AI117" s="1105"/>
      <c r="AJ117" s="1105"/>
      <c r="AK117" s="1105"/>
      <c r="AL117" s="1105"/>
      <c r="AM117" s="1105"/>
      <c r="AN117" s="1105"/>
      <c r="AO117" s="1105"/>
      <c r="AP117" s="1105"/>
      <c r="AQ117" s="1105"/>
      <c r="AR117" s="2462"/>
      <c r="AS117" s="1105">
        <f>Dren_Quantificacao!AQ89</f>
        <v>0</v>
      </c>
      <c r="AT117" s="1105">
        <f>Dren_Quantificacao!AR89</f>
        <v>0</v>
      </c>
      <c r="AU117" s="1105">
        <f>Dren_Quantificacao!AS89</f>
        <v>0</v>
      </c>
      <c r="AV117" s="1105">
        <f>Dren_Quantificacao!AT89</f>
        <v>0</v>
      </c>
      <c r="AW117" s="1105">
        <f>Dren_Quantificacao!AU89</f>
        <v>0</v>
      </c>
      <c r="AX117" s="1106"/>
      <c r="AY117" s="1106"/>
      <c r="AZ117" s="1106"/>
      <c r="BA117" s="1106"/>
      <c r="BB117" s="1106"/>
      <c r="BC117" s="1106"/>
      <c r="BD117" s="1106"/>
      <c r="BE117" s="1106"/>
      <c r="BF117" s="1106"/>
      <c r="BG117" s="1106"/>
      <c r="BH117" s="1106"/>
      <c r="BI117" s="1106"/>
      <c r="BJ117" s="1106"/>
      <c r="BK117" s="1106"/>
      <c r="BL117" s="1106"/>
      <c r="BM117" s="1107">
        <f t="shared" si="88"/>
        <v>0</v>
      </c>
      <c r="BN117" s="579">
        <f t="shared" si="87"/>
        <v>0</v>
      </c>
      <c r="BO117" s="1047"/>
      <c r="BP117" s="1038"/>
      <c r="BQ117" s="1038"/>
      <c r="BR117" s="1038"/>
      <c r="BS117" s="1038"/>
      <c r="BT117" s="1038"/>
      <c r="BU117" s="1038"/>
      <c r="BV117" s="1038"/>
      <c r="BW117" s="1040">
        <f>+'[4]DR-0325'!$G$41</f>
        <v>5.4016999999999999</v>
      </c>
      <c r="BX117" s="1038"/>
      <c r="BY117" s="1038"/>
      <c r="BZ117" s="1038"/>
      <c r="CA117" s="1038"/>
      <c r="CB117" s="1038"/>
      <c r="CC117" s="1038"/>
      <c r="CD117" s="1038"/>
      <c r="CE117" s="1038"/>
      <c r="CF117" s="1040">
        <f>+'[4]DR-0325'!$G$41</f>
        <v>5.4016999999999999</v>
      </c>
      <c r="CG117" s="1038"/>
      <c r="CH117" s="1038"/>
      <c r="CI117" s="1038"/>
      <c r="CJ117" s="1038"/>
      <c r="CK117" s="1038"/>
      <c r="CL117" s="1038">
        <f>+'[4]DR-0325'!$G$41</f>
        <v>5.4016999999999999</v>
      </c>
      <c r="CM117" s="1040"/>
      <c r="CN117" s="1040"/>
      <c r="CO117" s="1038">
        <f>+'[4]DR-0325'!$G$42</f>
        <v>17.460899999999999</v>
      </c>
      <c r="CP117" s="1038"/>
      <c r="CQ117" s="1038"/>
      <c r="CR117" s="1038"/>
      <c r="CS117" s="1038"/>
      <c r="CT117" s="1040"/>
      <c r="CU117" s="1041"/>
      <c r="CV117" s="1038"/>
      <c r="CW117" s="973"/>
    </row>
    <row r="118" spans="1:102" s="14" customFormat="1" ht="21.95" hidden="1" customHeight="1" x14ac:dyDescent="0.15">
      <c r="A118" s="2707"/>
      <c r="B118" s="2625"/>
      <c r="C118" s="567">
        <v>1.5</v>
      </c>
      <c r="D118" s="1443"/>
      <c r="E118" s="2255"/>
      <c r="F118" s="1108">
        <f>Dren_Quantificacao!D90</f>
        <v>0</v>
      </c>
      <c r="G118" s="1108">
        <f>Dren_Quantificacao!E90</f>
        <v>0</v>
      </c>
      <c r="H118" s="1108">
        <f>Dren_Quantificacao!F90</f>
        <v>0</v>
      </c>
      <c r="I118" s="1108">
        <f>Dren_Quantificacao!G90</f>
        <v>0</v>
      </c>
      <c r="J118" s="1108"/>
      <c r="K118" s="1108"/>
      <c r="L118" s="1108"/>
      <c r="M118" s="1108"/>
      <c r="N118" s="2463"/>
      <c r="O118" s="1108">
        <f>Dren_Quantificacao!M90</f>
        <v>0</v>
      </c>
      <c r="P118" s="1108">
        <f>Dren_Quantificacao!N90</f>
        <v>0</v>
      </c>
      <c r="Q118" s="1108">
        <f>Dren_Quantificacao!O90</f>
        <v>0</v>
      </c>
      <c r="R118" s="1108">
        <f>Dren_Quantificacao!P90</f>
        <v>0</v>
      </c>
      <c r="S118" s="1108">
        <f>Dren_Quantificacao!Q90</f>
        <v>0</v>
      </c>
      <c r="T118" s="1108">
        <f>Dren_Quantificacao!R90</f>
        <v>0</v>
      </c>
      <c r="U118" s="1108">
        <f>Dren_Quantificacao!S90</f>
        <v>0</v>
      </c>
      <c r="V118" s="1108">
        <f>Dren_Quantificacao!T90</f>
        <v>0</v>
      </c>
      <c r="W118" s="1108"/>
      <c r="X118" s="2463"/>
      <c r="Y118" s="1108">
        <f>Dren_Quantificacao!W90</f>
        <v>0</v>
      </c>
      <c r="Z118" s="1108">
        <f>Dren_Quantificacao!X90</f>
        <v>0</v>
      </c>
      <c r="AA118" s="1108">
        <f>Dren_Quantificacao!Y90</f>
        <v>0</v>
      </c>
      <c r="AB118" s="1108">
        <f>Dren_Quantificacao!Z90</f>
        <v>0</v>
      </c>
      <c r="AC118" s="1108">
        <f>Dren_Quantificacao!AA90</f>
        <v>0</v>
      </c>
      <c r="AD118" s="1108">
        <f>Dren_Quantificacao!AB90</f>
        <v>0</v>
      </c>
      <c r="AE118" s="1108">
        <f>Dren_Quantificacao!AC90</f>
        <v>0</v>
      </c>
      <c r="AF118" s="1108">
        <f>Dren_Quantificacao!AD90</f>
        <v>0</v>
      </c>
      <c r="AG118" s="1108">
        <f>Dren_Quantificacao!AE90</f>
        <v>0</v>
      </c>
      <c r="AH118" s="1108">
        <f>Dren_Quantificacao!AF90</f>
        <v>0</v>
      </c>
      <c r="AI118" s="1108"/>
      <c r="AJ118" s="1108"/>
      <c r="AK118" s="1108"/>
      <c r="AL118" s="1108"/>
      <c r="AM118" s="1108"/>
      <c r="AN118" s="1108"/>
      <c r="AO118" s="1108"/>
      <c r="AP118" s="1108"/>
      <c r="AQ118" s="1108"/>
      <c r="AR118" s="2463"/>
      <c r="AS118" s="1108">
        <f>Dren_Quantificacao!AQ90</f>
        <v>0</v>
      </c>
      <c r="AT118" s="1108">
        <f>Dren_Quantificacao!AR90</f>
        <v>0</v>
      </c>
      <c r="AU118" s="1108">
        <f>Dren_Quantificacao!AS90</f>
        <v>0</v>
      </c>
      <c r="AV118" s="1108">
        <f>Dren_Quantificacao!AT90</f>
        <v>0</v>
      </c>
      <c r="AW118" s="1108">
        <f>Dren_Quantificacao!AU90</f>
        <v>0</v>
      </c>
      <c r="AX118" s="1109"/>
      <c r="AY118" s="1109"/>
      <c r="AZ118" s="1109"/>
      <c r="BA118" s="1109"/>
      <c r="BB118" s="1109"/>
      <c r="BC118" s="1109"/>
      <c r="BD118" s="1109"/>
      <c r="BE118" s="1109"/>
      <c r="BF118" s="1109"/>
      <c r="BG118" s="1109"/>
      <c r="BH118" s="1109"/>
      <c r="BI118" s="1109"/>
      <c r="BJ118" s="1109"/>
      <c r="BK118" s="1109"/>
      <c r="BL118" s="1109"/>
      <c r="BM118" s="1110">
        <f t="shared" si="88"/>
        <v>0</v>
      </c>
      <c r="BN118" s="579">
        <f t="shared" si="87"/>
        <v>0</v>
      </c>
      <c r="BO118" s="1047"/>
      <c r="BP118" s="1038"/>
      <c r="BQ118" s="1038"/>
      <c r="BR118" s="1038"/>
      <c r="BS118" s="1038"/>
      <c r="BT118" s="1038"/>
      <c r="BU118" s="1038"/>
      <c r="BV118" s="1038"/>
      <c r="BW118" s="1040">
        <f>+'[4]DR-0330'!$G$41</f>
        <v>8.9499999999999993</v>
      </c>
      <c r="BX118" s="1038"/>
      <c r="BY118" s="1038"/>
      <c r="BZ118" s="1038"/>
      <c r="CA118" s="1038"/>
      <c r="CB118" s="1038"/>
      <c r="CC118" s="1038"/>
      <c r="CD118" s="1038"/>
      <c r="CE118" s="1038"/>
      <c r="CF118" s="1040">
        <f>+'[4]DR-0330'!$G$41</f>
        <v>8.9499999999999993</v>
      </c>
      <c r="CG118" s="1038"/>
      <c r="CH118" s="1038"/>
      <c r="CI118" s="1038"/>
      <c r="CJ118" s="1038"/>
      <c r="CK118" s="1038"/>
      <c r="CL118" s="1038">
        <f>+'[4]DR-0330'!$G$41</f>
        <v>8.9499999999999993</v>
      </c>
      <c r="CM118" s="1040"/>
      <c r="CN118" s="1040"/>
      <c r="CO118" s="1038">
        <f>+'[4]DR-0330'!$G$42</f>
        <v>24.334399999999999</v>
      </c>
      <c r="CP118" s="1038"/>
      <c r="CQ118" s="1038"/>
      <c r="CR118" s="1038"/>
      <c r="CS118" s="1038"/>
      <c r="CT118" s="1040"/>
      <c r="CU118" s="1041"/>
      <c r="CV118" s="1038"/>
      <c r="CW118" s="973"/>
    </row>
    <row r="119" spans="1:102" s="14" customFormat="1" ht="21.95" hidden="1" customHeight="1" x14ac:dyDescent="0.15">
      <c r="A119" s="2707"/>
      <c r="B119" s="2625"/>
      <c r="C119" s="559" t="s">
        <v>172</v>
      </c>
      <c r="D119" s="1003"/>
      <c r="E119" s="1287"/>
      <c r="F119" s="1105">
        <f>Dren_Quantificacao!D91</f>
        <v>0</v>
      </c>
      <c r="G119" s="1105">
        <f>Dren_Quantificacao!E91</f>
        <v>0</v>
      </c>
      <c r="H119" s="1105">
        <f>Dren_Quantificacao!F91</f>
        <v>0</v>
      </c>
      <c r="I119" s="1105">
        <f>Dren_Quantificacao!G91</f>
        <v>0</v>
      </c>
      <c r="J119" s="1105"/>
      <c r="K119" s="1105"/>
      <c r="L119" s="1105"/>
      <c r="M119" s="1105"/>
      <c r="N119" s="2462"/>
      <c r="O119" s="1105">
        <f>Dren_Quantificacao!M91</f>
        <v>0</v>
      </c>
      <c r="P119" s="1105">
        <f>Dren_Quantificacao!N91</f>
        <v>0</v>
      </c>
      <c r="Q119" s="1105">
        <f>Dren_Quantificacao!O91</f>
        <v>0</v>
      </c>
      <c r="R119" s="1105">
        <f>Dren_Quantificacao!P91</f>
        <v>0</v>
      </c>
      <c r="S119" s="1105">
        <f>Dren_Quantificacao!Q91</f>
        <v>0</v>
      </c>
      <c r="T119" s="1105">
        <f>Dren_Quantificacao!R91</f>
        <v>0</v>
      </c>
      <c r="U119" s="1105">
        <f>Dren_Quantificacao!S91</f>
        <v>0</v>
      </c>
      <c r="V119" s="1105">
        <f>Dren_Quantificacao!T91</f>
        <v>0</v>
      </c>
      <c r="W119" s="1105"/>
      <c r="X119" s="2462"/>
      <c r="Y119" s="1105">
        <f>Dren_Quantificacao!W91</f>
        <v>0</v>
      </c>
      <c r="Z119" s="1105">
        <f>Dren_Quantificacao!X91</f>
        <v>0</v>
      </c>
      <c r="AA119" s="1105">
        <f>Dren_Quantificacao!Y91</f>
        <v>0</v>
      </c>
      <c r="AB119" s="1105">
        <f>Dren_Quantificacao!Z91</f>
        <v>0</v>
      </c>
      <c r="AC119" s="1105">
        <f>Dren_Quantificacao!AA91</f>
        <v>0</v>
      </c>
      <c r="AD119" s="1105">
        <f>Dren_Quantificacao!AB91</f>
        <v>0</v>
      </c>
      <c r="AE119" s="1105">
        <f>Dren_Quantificacao!AC91</f>
        <v>0</v>
      </c>
      <c r="AF119" s="1105">
        <f>Dren_Quantificacao!AD91</f>
        <v>0</v>
      </c>
      <c r="AG119" s="1105">
        <f>Dren_Quantificacao!AE91</f>
        <v>0</v>
      </c>
      <c r="AH119" s="1105">
        <f>Dren_Quantificacao!AF91</f>
        <v>0</v>
      </c>
      <c r="AI119" s="1105"/>
      <c r="AJ119" s="1105"/>
      <c r="AK119" s="1105"/>
      <c r="AL119" s="1105"/>
      <c r="AM119" s="1105"/>
      <c r="AN119" s="1105"/>
      <c r="AO119" s="1105"/>
      <c r="AP119" s="1105"/>
      <c r="AQ119" s="1105"/>
      <c r="AR119" s="2462"/>
      <c r="AS119" s="1105">
        <f>Dren_Quantificacao!AQ91</f>
        <v>0</v>
      </c>
      <c r="AT119" s="1105">
        <f>Dren_Quantificacao!AR91</f>
        <v>0</v>
      </c>
      <c r="AU119" s="1105">
        <f>Dren_Quantificacao!AS91</f>
        <v>0</v>
      </c>
      <c r="AV119" s="1105">
        <f>Dren_Quantificacao!AT91</f>
        <v>0</v>
      </c>
      <c r="AW119" s="1105">
        <f>Dren_Quantificacao!AU91</f>
        <v>0</v>
      </c>
      <c r="AX119" s="1106"/>
      <c r="AY119" s="1106"/>
      <c r="AZ119" s="1106"/>
      <c r="BA119" s="1106"/>
      <c r="BB119" s="1106"/>
      <c r="BC119" s="1106"/>
      <c r="BD119" s="1106"/>
      <c r="BE119" s="1106"/>
      <c r="BF119" s="1106"/>
      <c r="BG119" s="1106"/>
      <c r="BH119" s="1106"/>
      <c r="BI119" s="1106"/>
      <c r="BJ119" s="1106"/>
      <c r="BK119" s="1106"/>
      <c r="BL119" s="1106"/>
      <c r="BM119" s="1107">
        <f t="shared" si="88"/>
        <v>0</v>
      </c>
      <c r="BN119" s="579">
        <f t="shared" si="87"/>
        <v>0</v>
      </c>
      <c r="BO119" s="1047"/>
      <c r="BP119" s="1038"/>
      <c r="BQ119" s="1038"/>
      <c r="BR119" s="1038"/>
      <c r="BS119" s="1038"/>
      <c r="BT119" s="1038"/>
      <c r="BU119" s="1038"/>
      <c r="BV119" s="1038"/>
      <c r="BW119" s="1040"/>
      <c r="BX119" s="1038"/>
      <c r="BY119" s="1038"/>
      <c r="BZ119" s="1038"/>
      <c r="CA119" s="1038"/>
      <c r="CB119" s="1038"/>
      <c r="CC119" s="1038"/>
      <c r="CD119" s="1038"/>
      <c r="CE119" s="1038"/>
      <c r="CF119" s="1040"/>
      <c r="CG119" s="1038"/>
      <c r="CH119" s="1038"/>
      <c r="CI119" s="1038"/>
      <c r="CJ119" s="1038"/>
      <c r="CK119" s="1038"/>
      <c r="CL119" s="1038"/>
      <c r="CM119" s="1040"/>
      <c r="CN119" s="1040"/>
      <c r="CO119" s="1038"/>
      <c r="CP119" s="1038"/>
      <c r="CQ119" s="1038"/>
      <c r="CR119" s="1038"/>
      <c r="CS119" s="1038"/>
      <c r="CT119" s="1040"/>
      <c r="CU119" s="1041"/>
      <c r="CV119" s="1038"/>
      <c r="CW119" s="973"/>
    </row>
    <row r="120" spans="1:102" s="14" customFormat="1" ht="21.95" hidden="1" customHeight="1" x14ac:dyDescent="0.15">
      <c r="A120" s="2707"/>
      <c r="B120" s="2625"/>
      <c r="C120" s="559" t="s">
        <v>154</v>
      </c>
      <c r="D120" s="1003"/>
      <c r="E120" s="1287"/>
      <c r="F120" s="1105">
        <f>Dren_Quantificacao!D92</f>
        <v>0</v>
      </c>
      <c r="G120" s="1105">
        <f>Dren_Quantificacao!E92</f>
        <v>0</v>
      </c>
      <c r="H120" s="1105">
        <f>Dren_Quantificacao!F92</f>
        <v>0</v>
      </c>
      <c r="I120" s="1105">
        <f>Dren_Quantificacao!G92</f>
        <v>0</v>
      </c>
      <c r="J120" s="1105"/>
      <c r="K120" s="1105"/>
      <c r="L120" s="1105"/>
      <c r="M120" s="1105"/>
      <c r="N120" s="2462"/>
      <c r="O120" s="1105">
        <f>Dren_Quantificacao!M92</f>
        <v>0</v>
      </c>
      <c r="P120" s="1105">
        <f>Dren_Quantificacao!N92</f>
        <v>0</v>
      </c>
      <c r="Q120" s="1105">
        <f>Dren_Quantificacao!O92</f>
        <v>0</v>
      </c>
      <c r="R120" s="1105">
        <f>Dren_Quantificacao!P92</f>
        <v>0</v>
      </c>
      <c r="S120" s="1105">
        <f>Dren_Quantificacao!Q92</f>
        <v>0</v>
      </c>
      <c r="T120" s="1105">
        <f>Dren_Quantificacao!R92</f>
        <v>0</v>
      </c>
      <c r="U120" s="1105">
        <f>Dren_Quantificacao!S92</f>
        <v>0</v>
      </c>
      <c r="V120" s="1105">
        <f>Dren_Quantificacao!T92</f>
        <v>0</v>
      </c>
      <c r="W120" s="1105"/>
      <c r="X120" s="2462"/>
      <c r="Y120" s="1105">
        <f>Dren_Quantificacao!W92</f>
        <v>0</v>
      </c>
      <c r="Z120" s="1105">
        <f>Dren_Quantificacao!X92</f>
        <v>0</v>
      </c>
      <c r="AA120" s="1105">
        <f>Dren_Quantificacao!Y92</f>
        <v>0</v>
      </c>
      <c r="AB120" s="1105">
        <f>Dren_Quantificacao!Z92</f>
        <v>0</v>
      </c>
      <c r="AC120" s="1105">
        <f>Dren_Quantificacao!AA92</f>
        <v>0</v>
      </c>
      <c r="AD120" s="1105">
        <f>Dren_Quantificacao!AB92</f>
        <v>0</v>
      </c>
      <c r="AE120" s="1105">
        <f>Dren_Quantificacao!AC92</f>
        <v>0</v>
      </c>
      <c r="AF120" s="1105">
        <f>Dren_Quantificacao!AD92</f>
        <v>0</v>
      </c>
      <c r="AG120" s="1105">
        <f>Dren_Quantificacao!AE92</f>
        <v>0</v>
      </c>
      <c r="AH120" s="1105">
        <f>Dren_Quantificacao!AF92</f>
        <v>0</v>
      </c>
      <c r="AI120" s="1105"/>
      <c r="AJ120" s="1105"/>
      <c r="AK120" s="1105"/>
      <c r="AL120" s="1105"/>
      <c r="AM120" s="1105"/>
      <c r="AN120" s="1105"/>
      <c r="AO120" s="1105"/>
      <c r="AP120" s="1105"/>
      <c r="AQ120" s="1105"/>
      <c r="AR120" s="2462"/>
      <c r="AS120" s="1105">
        <f>Dren_Quantificacao!AQ92</f>
        <v>0</v>
      </c>
      <c r="AT120" s="1105">
        <f>Dren_Quantificacao!AR92</f>
        <v>0</v>
      </c>
      <c r="AU120" s="1105">
        <f>Dren_Quantificacao!AS92</f>
        <v>0</v>
      </c>
      <c r="AV120" s="1105">
        <f>Dren_Quantificacao!AT92</f>
        <v>0</v>
      </c>
      <c r="AW120" s="1105">
        <f>Dren_Quantificacao!AU92</f>
        <v>0</v>
      </c>
      <c r="AX120" s="1106"/>
      <c r="AY120" s="1106"/>
      <c r="AZ120" s="1106"/>
      <c r="BA120" s="1106"/>
      <c r="BB120" s="1106"/>
      <c r="BC120" s="1106"/>
      <c r="BD120" s="1106"/>
      <c r="BE120" s="1106"/>
      <c r="BF120" s="1106"/>
      <c r="BG120" s="1106"/>
      <c r="BH120" s="1106"/>
      <c r="BI120" s="1106"/>
      <c r="BJ120" s="1106"/>
      <c r="BK120" s="1106"/>
      <c r="BL120" s="1106"/>
      <c r="BM120" s="1107">
        <f t="shared" si="88"/>
        <v>0</v>
      </c>
      <c r="BN120" s="579">
        <f t="shared" si="87"/>
        <v>0</v>
      </c>
      <c r="BO120" s="1047"/>
      <c r="BP120" s="1038"/>
      <c r="BQ120" s="1038"/>
      <c r="BR120" s="1038"/>
      <c r="BS120" s="1038"/>
      <c r="BT120" s="1038"/>
      <c r="BU120" s="1038"/>
      <c r="BV120" s="1038"/>
      <c r="BW120" s="1040"/>
      <c r="BX120" s="1038"/>
      <c r="BY120" s="1038"/>
      <c r="BZ120" s="1038"/>
      <c r="CA120" s="1038"/>
      <c r="CB120" s="1038"/>
      <c r="CC120" s="1038"/>
      <c r="CD120" s="1038"/>
      <c r="CE120" s="1038"/>
      <c r="CF120" s="1040"/>
      <c r="CG120" s="1038"/>
      <c r="CH120" s="1038"/>
      <c r="CI120" s="1038"/>
      <c r="CJ120" s="1038"/>
      <c r="CK120" s="1038"/>
      <c r="CL120" s="1038"/>
      <c r="CM120" s="1040"/>
      <c r="CN120" s="1040"/>
      <c r="CO120" s="1038"/>
      <c r="CP120" s="1038"/>
      <c r="CQ120" s="1038"/>
      <c r="CR120" s="1038"/>
      <c r="CS120" s="1038"/>
      <c r="CT120" s="1040"/>
      <c r="CU120" s="1041"/>
      <c r="CV120" s="1038"/>
      <c r="CW120" s="973"/>
    </row>
    <row r="121" spans="1:102" s="14" customFormat="1" ht="21.95" hidden="1" customHeight="1" x14ac:dyDescent="0.15">
      <c r="A121" s="2707"/>
      <c r="B121" s="2625"/>
      <c r="C121" s="559" t="s">
        <v>155</v>
      </c>
      <c r="D121" s="1003"/>
      <c r="E121" s="1287"/>
      <c r="F121" s="1105">
        <f>Dren_Quantificacao!D93</f>
        <v>0</v>
      </c>
      <c r="G121" s="1105">
        <f>Dren_Quantificacao!E93</f>
        <v>0</v>
      </c>
      <c r="H121" s="1105">
        <f>Dren_Quantificacao!F93</f>
        <v>0</v>
      </c>
      <c r="I121" s="1105">
        <f>Dren_Quantificacao!G93</f>
        <v>0</v>
      </c>
      <c r="J121" s="1105"/>
      <c r="K121" s="1105"/>
      <c r="L121" s="1105"/>
      <c r="M121" s="1105"/>
      <c r="N121" s="2462"/>
      <c r="O121" s="1105">
        <f>Dren_Quantificacao!M93</f>
        <v>0</v>
      </c>
      <c r="P121" s="1105">
        <f>Dren_Quantificacao!N93</f>
        <v>0</v>
      </c>
      <c r="Q121" s="1105">
        <f>Dren_Quantificacao!O93</f>
        <v>0</v>
      </c>
      <c r="R121" s="1105">
        <f>Dren_Quantificacao!P93</f>
        <v>0</v>
      </c>
      <c r="S121" s="1105">
        <f>Dren_Quantificacao!Q93</f>
        <v>0</v>
      </c>
      <c r="T121" s="1105">
        <f>Dren_Quantificacao!R93</f>
        <v>0</v>
      </c>
      <c r="U121" s="1105">
        <f>Dren_Quantificacao!S93</f>
        <v>0</v>
      </c>
      <c r="V121" s="1105">
        <f>Dren_Quantificacao!T93</f>
        <v>0</v>
      </c>
      <c r="W121" s="1105"/>
      <c r="X121" s="2462"/>
      <c r="Y121" s="1105">
        <f>Dren_Quantificacao!W93</f>
        <v>0</v>
      </c>
      <c r="Z121" s="1105">
        <f>Dren_Quantificacao!X93</f>
        <v>0</v>
      </c>
      <c r="AA121" s="1105">
        <f>Dren_Quantificacao!Y93</f>
        <v>0</v>
      </c>
      <c r="AB121" s="1105">
        <f>Dren_Quantificacao!Z93</f>
        <v>0</v>
      </c>
      <c r="AC121" s="1105">
        <f>Dren_Quantificacao!AA93</f>
        <v>0</v>
      </c>
      <c r="AD121" s="1105">
        <f>Dren_Quantificacao!AB93</f>
        <v>0</v>
      </c>
      <c r="AE121" s="1105">
        <f>Dren_Quantificacao!AC93</f>
        <v>0</v>
      </c>
      <c r="AF121" s="1105">
        <f>Dren_Quantificacao!AD93</f>
        <v>0</v>
      </c>
      <c r="AG121" s="1105">
        <f>Dren_Quantificacao!AE93</f>
        <v>0</v>
      </c>
      <c r="AH121" s="1105">
        <f>Dren_Quantificacao!AF93</f>
        <v>0</v>
      </c>
      <c r="AI121" s="1105"/>
      <c r="AJ121" s="1105"/>
      <c r="AK121" s="1105"/>
      <c r="AL121" s="1105"/>
      <c r="AM121" s="1105"/>
      <c r="AN121" s="1105"/>
      <c r="AO121" s="1105"/>
      <c r="AP121" s="1105"/>
      <c r="AQ121" s="1105"/>
      <c r="AR121" s="2462"/>
      <c r="AS121" s="1105">
        <f>Dren_Quantificacao!AQ93</f>
        <v>0</v>
      </c>
      <c r="AT121" s="1105">
        <f>Dren_Quantificacao!AR93</f>
        <v>0</v>
      </c>
      <c r="AU121" s="1105">
        <f>Dren_Quantificacao!AS93</f>
        <v>0</v>
      </c>
      <c r="AV121" s="1105">
        <f>Dren_Quantificacao!AT93</f>
        <v>0</v>
      </c>
      <c r="AW121" s="1105">
        <f>Dren_Quantificacao!AU93</f>
        <v>0</v>
      </c>
      <c r="AX121" s="1106"/>
      <c r="AY121" s="1106"/>
      <c r="AZ121" s="1106"/>
      <c r="BA121" s="1106"/>
      <c r="BB121" s="1106"/>
      <c r="BC121" s="1106"/>
      <c r="BD121" s="1106"/>
      <c r="BE121" s="1106"/>
      <c r="BF121" s="1106"/>
      <c r="BG121" s="1106"/>
      <c r="BH121" s="1106"/>
      <c r="BI121" s="1106"/>
      <c r="BJ121" s="1106"/>
      <c r="BK121" s="1106"/>
      <c r="BL121" s="1106"/>
      <c r="BM121" s="1107">
        <f t="shared" si="88"/>
        <v>0</v>
      </c>
      <c r="BN121" s="579">
        <f t="shared" si="87"/>
        <v>0</v>
      </c>
      <c r="BO121" s="1047"/>
      <c r="BP121" s="1038"/>
      <c r="BQ121" s="1038"/>
      <c r="BR121" s="1038"/>
      <c r="BS121" s="1038"/>
      <c r="BT121" s="1038"/>
      <c r="BU121" s="1038"/>
      <c r="BV121" s="1038"/>
      <c r="BW121" s="1040"/>
      <c r="BX121" s="1038"/>
      <c r="BY121" s="1038"/>
      <c r="BZ121" s="1038"/>
      <c r="CA121" s="1038"/>
      <c r="CB121" s="1038"/>
      <c r="CC121" s="1038"/>
      <c r="CD121" s="1038"/>
      <c r="CE121" s="1038"/>
      <c r="CF121" s="1040"/>
      <c r="CG121" s="1038"/>
      <c r="CH121" s="1038"/>
      <c r="CI121" s="1038"/>
      <c r="CJ121" s="1038"/>
      <c r="CK121" s="1038"/>
      <c r="CL121" s="1038"/>
      <c r="CM121" s="1040"/>
      <c r="CN121" s="1040"/>
      <c r="CO121" s="1038"/>
      <c r="CP121" s="1038"/>
      <c r="CQ121" s="1038"/>
      <c r="CR121" s="1038"/>
      <c r="CS121" s="1038"/>
      <c r="CT121" s="1040"/>
      <c r="CU121" s="1041"/>
      <c r="CV121" s="1038"/>
      <c r="CW121" s="973"/>
    </row>
    <row r="122" spans="1:102" s="14" customFormat="1" ht="21.95" hidden="1" customHeight="1" thickBot="1" x14ac:dyDescent="0.2">
      <c r="A122" s="2707"/>
      <c r="B122" s="2706"/>
      <c r="C122" s="559" t="s">
        <v>211</v>
      </c>
      <c r="D122" s="1003"/>
      <c r="E122" s="1287"/>
      <c r="F122" s="1102">
        <f>Dren_Quantificacao!D94</f>
        <v>0</v>
      </c>
      <c r="G122" s="1102">
        <f>Dren_Quantificacao!E94</f>
        <v>0</v>
      </c>
      <c r="H122" s="1102">
        <f>Dren_Quantificacao!F94</f>
        <v>0</v>
      </c>
      <c r="I122" s="1102">
        <f>Dren_Quantificacao!G94</f>
        <v>0</v>
      </c>
      <c r="J122" s="1102"/>
      <c r="K122" s="1102"/>
      <c r="L122" s="1102"/>
      <c r="M122" s="1102"/>
      <c r="N122" s="2460"/>
      <c r="O122" s="1102">
        <f>Dren_Quantificacao!M94</f>
        <v>0</v>
      </c>
      <c r="P122" s="1102">
        <f>Dren_Quantificacao!N94</f>
        <v>0</v>
      </c>
      <c r="Q122" s="1102">
        <f>Dren_Quantificacao!O94</f>
        <v>0</v>
      </c>
      <c r="R122" s="1102">
        <f>Dren_Quantificacao!P94</f>
        <v>0</v>
      </c>
      <c r="S122" s="1102">
        <f>Dren_Quantificacao!Q94</f>
        <v>0</v>
      </c>
      <c r="T122" s="1102">
        <f>Dren_Quantificacao!R94</f>
        <v>0</v>
      </c>
      <c r="U122" s="1102">
        <f>Dren_Quantificacao!S94</f>
        <v>0</v>
      </c>
      <c r="V122" s="1102">
        <f>Dren_Quantificacao!T94</f>
        <v>0</v>
      </c>
      <c r="W122" s="1102"/>
      <c r="X122" s="2460"/>
      <c r="Y122" s="1102">
        <f>Dren_Quantificacao!W94</f>
        <v>0</v>
      </c>
      <c r="Z122" s="1102">
        <f>Dren_Quantificacao!X94</f>
        <v>0</v>
      </c>
      <c r="AA122" s="1102">
        <f>Dren_Quantificacao!Y94</f>
        <v>0</v>
      </c>
      <c r="AB122" s="1102">
        <f>Dren_Quantificacao!Z94</f>
        <v>0</v>
      </c>
      <c r="AC122" s="1102">
        <f>Dren_Quantificacao!AA94</f>
        <v>0</v>
      </c>
      <c r="AD122" s="1102">
        <f>Dren_Quantificacao!AB94</f>
        <v>0</v>
      </c>
      <c r="AE122" s="1102">
        <f>Dren_Quantificacao!AC94</f>
        <v>0</v>
      </c>
      <c r="AF122" s="1102">
        <f>Dren_Quantificacao!AD94</f>
        <v>0</v>
      </c>
      <c r="AG122" s="1102">
        <f>Dren_Quantificacao!AE94</f>
        <v>0</v>
      </c>
      <c r="AH122" s="1102">
        <f>Dren_Quantificacao!AF94</f>
        <v>0</v>
      </c>
      <c r="AI122" s="1102"/>
      <c r="AJ122" s="1102"/>
      <c r="AK122" s="1102"/>
      <c r="AL122" s="1102"/>
      <c r="AM122" s="1102"/>
      <c r="AN122" s="1102"/>
      <c r="AO122" s="1102"/>
      <c r="AP122" s="1102"/>
      <c r="AQ122" s="1102"/>
      <c r="AR122" s="2460"/>
      <c r="AS122" s="1102">
        <f>Dren_Quantificacao!AQ94</f>
        <v>0</v>
      </c>
      <c r="AT122" s="1102">
        <f>Dren_Quantificacao!AR94</f>
        <v>0</v>
      </c>
      <c r="AU122" s="1102">
        <f>Dren_Quantificacao!AS94</f>
        <v>0</v>
      </c>
      <c r="AV122" s="1102">
        <f>Dren_Quantificacao!AT94</f>
        <v>0</v>
      </c>
      <c r="AW122" s="1102">
        <f>Dren_Quantificacao!AU94</f>
        <v>0</v>
      </c>
      <c r="AX122" s="1106"/>
      <c r="AY122" s="1106"/>
      <c r="AZ122" s="1106"/>
      <c r="BA122" s="1106"/>
      <c r="BB122" s="1106"/>
      <c r="BC122" s="1106"/>
      <c r="BD122" s="1106"/>
      <c r="BE122" s="1106"/>
      <c r="BF122" s="1106"/>
      <c r="BG122" s="1106"/>
      <c r="BH122" s="1106"/>
      <c r="BI122" s="1106"/>
      <c r="BJ122" s="1106"/>
      <c r="BK122" s="1106"/>
      <c r="BL122" s="1106"/>
      <c r="BM122" s="1107">
        <f t="shared" si="88"/>
        <v>0</v>
      </c>
      <c r="BN122" s="579">
        <f t="shared" si="87"/>
        <v>0</v>
      </c>
      <c r="BO122" s="1047"/>
      <c r="BP122" s="1038"/>
      <c r="BQ122" s="1038"/>
      <c r="BR122" s="1038"/>
      <c r="BS122" s="1038"/>
      <c r="BT122" s="1038"/>
      <c r="BU122" s="1038"/>
      <c r="BV122" s="1038"/>
      <c r="BW122" s="1040"/>
      <c r="BX122" s="1038"/>
      <c r="BY122" s="1038"/>
      <c r="BZ122" s="1038"/>
      <c r="CA122" s="1038"/>
      <c r="CB122" s="1038"/>
      <c r="CC122" s="1038"/>
      <c r="CD122" s="1038"/>
      <c r="CE122" s="1038"/>
      <c r="CF122" s="1040"/>
      <c r="CG122" s="1038"/>
      <c r="CH122" s="1038"/>
      <c r="CI122" s="1038"/>
      <c r="CJ122" s="1038"/>
      <c r="CK122" s="1038"/>
      <c r="CL122" s="1038"/>
      <c r="CM122" s="1040"/>
      <c r="CN122" s="1040"/>
      <c r="CO122" s="1038"/>
      <c r="CP122" s="1038"/>
      <c r="CQ122" s="1038"/>
      <c r="CR122" s="1038"/>
      <c r="CS122" s="1038"/>
      <c r="CT122" s="1040"/>
      <c r="CU122" s="1041"/>
      <c r="CV122" s="1038"/>
      <c r="CW122" s="973"/>
    </row>
    <row r="123" spans="1:102" s="14" customFormat="1" ht="21.95" hidden="1" customHeight="1" x14ac:dyDescent="0.15">
      <c r="A123" s="2707"/>
      <c r="B123" s="2704" t="s">
        <v>643</v>
      </c>
      <c r="C123" s="552">
        <v>1</v>
      </c>
      <c r="D123" s="999"/>
      <c r="E123" s="2238"/>
      <c r="F123" s="1099">
        <f>Dren_Quantificacao!D95</f>
        <v>0</v>
      </c>
      <c r="G123" s="1099">
        <f>Dren_Quantificacao!E95</f>
        <v>0</v>
      </c>
      <c r="H123" s="1099">
        <f>Dren_Quantificacao!F95</f>
        <v>0</v>
      </c>
      <c r="I123" s="1099">
        <f>Dren_Quantificacao!G95</f>
        <v>0</v>
      </c>
      <c r="J123" s="1099"/>
      <c r="K123" s="1099"/>
      <c r="L123" s="1099"/>
      <c r="M123" s="1099"/>
      <c r="N123" s="2461"/>
      <c r="O123" s="1099">
        <f>Dren_Quantificacao!M95</f>
        <v>0</v>
      </c>
      <c r="P123" s="1099">
        <f>Dren_Quantificacao!N95</f>
        <v>0</v>
      </c>
      <c r="Q123" s="1099">
        <f>Dren_Quantificacao!O95</f>
        <v>0</v>
      </c>
      <c r="R123" s="1099">
        <f>Dren_Quantificacao!P95</f>
        <v>0</v>
      </c>
      <c r="S123" s="1099">
        <f>Dren_Quantificacao!Q95</f>
        <v>0</v>
      </c>
      <c r="T123" s="1099">
        <f>Dren_Quantificacao!R95</f>
        <v>0</v>
      </c>
      <c r="U123" s="1099">
        <f>Dren_Quantificacao!S95</f>
        <v>0</v>
      </c>
      <c r="V123" s="1099">
        <f>Dren_Quantificacao!T95</f>
        <v>0</v>
      </c>
      <c r="W123" s="1099"/>
      <c r="X123" s="2461"/>
      <c r="Y123" s="1099">
        <f>Dren_Quantificacao!W95</f>
        <v>0</v>
      </c>
      <c r="Z123" s="1099">
        <f>Dren_Quantificacao!X95</f>
        <v>0</v>
      </c>
      <c r="AA123" s="1099">
        <f>Dren_Quantificacao!Y95</f>
        <v>0</v>
      </c>
      <c r="AB123" s="1099">
        <f>Dren_Quantificacao!Z95</f>
        <v>0</v>
      </c>
      <c r="AC123" s="1099">
        <f>Dren_Quantificacao!AA95</f>
        <v>0</v>
      </c>
      <c r="AD123" s="1099">
        <f>Dren_Quantificacao!AB95</f>
        <v>0</v>
      </c>
      <c r="AE123" s="1099">
        <f>Dren_Quantificacao!AC95</f>
        <v>0</v>
      </c>
      <c r="AF123" s="1099">
        <f>Dren_Quantificacao!AD95</f>
        <v>0</v>
      </c>
      <c r="AG123" s="1099">
        <f>Dren_Quantificacao!AE95</f>
        <v>0</v>
      </c>
      <c r="AH123" s="1099">
        <f>Dren_Quantificacao!AF95</f>
        <v>0</v>
      </c>
      <c r="AI123" s="1099"/>
      <c r="AJ123" s="1099"/>
      <c r="AK123" s="1099"/>
      <c r="AL123" s="1099"/>
      <c r="AM123" s="1099"/>
      <c r="AN123" s="1099"/>
      <c r="AO123" s="1099"/>
      <c r="AP123" s="1099"/>
      <c r="AQ123" s="1099"/>
      <c r="AR123" s="2461"/>
      <c r="AS123" s="1099">
        <f>Dren_Quantificacao!AQ95</f>
        <v>0</v>
      </c>
      <c r="AT123" s="1099">
        <f>Dren_Quantificacao!AR95</f>
        <v>0</v>
      </c>
      <c r="AU123" s="1099">
        <f>Dren_Quantificacao!AS95</f>
        <v>0</v>
      </c>
      <c r="AV123" s="1099">
        <f>Dren_Quantificacao!AT95</f>
        <v>0</v>
      </c>
      <c r="AW123" s="1099">
        <f>Dren_Quantificacao!AU95</f>
        <v>0</v>
      </c>
      <c r="AX123" s="1100"/>
      <c r="AY123" s="1100"/>
      <c r="AZ123" s="1100"/>
      <c r="BA123" s="1100"/>
      <c r="BB123" s="1100"/>
      <c r="BC123" s="1100"/>
      <c r="BD123" s="1100"/>
      <c r="BE123" s="1100"/>
      <c r="BF123" s="1100"/>
      <c r="BG123" s="1100"/>
      <c r="BH123" s="1100"/>
      <c r="BI123" s="1100"/>
      <c r="BJ123" s="1100"/>
      <c r="BK123" s="1100"/>
      <c r="BL123" s="1100"/>
      <c r="BM123" s="1111">
        <f t="shared" si="88"/>
        <v>0</v>
      </c>
      <c r="BN123" s="579">
        <f t="shared" si="87"/>
        <v>0</v>
      </c>
      <c r="BO123" s="1047">
        <v>0.9</v>
      </c>
      <c r="BP123" s="1038"/>
      <c r="BQ123" s="1038"/>
      <c r="BR123" s="1038"/>
      <c r="BS123" s="1038">
        <v>8.24</v>
      </c>
      <c r="BT123" s="1038"/>
      <c r="BU123" s="1038"/>
      <c r="BV123" s="1038"/>
      <c r="BW123" s="1040"/>
      <c r="BX123" s="1038">
        <v>0.9</v>
      </c>
      <c r="BY123" s="1038"/>
      <c r="BZ123" s="1038"/>
      <c r="CA123" s="1038"/>
      <c r="CB123" s="1038">
        <v>8.24</v>
      </c>
      <c r="CC123" s="1038"/>
      <c r="CD123" s="1038"/>
      <c r="CE123" s="1038"/>
      <c r="CF123" s="1040"/>
      <c r="CG123" s="1038">
        <v>0.9</v>
      </c>
      <c r="CH123" s="1038"/>
      <c r="CI123" s="1038"/>
      <c r="CJ123" s="1038"/>
      <c r="CK123" s="1038">
        <v>8.24</v>
      </c>
      <c r="CL123" s="1038"/>
      <c r="CM123" s="1040"/>
      <c r="CN123" s="1040">
        <v>34.36</v>
      </c>
      <c r="CO123" s="1038"/>
      <c r="CP123" s="1038"/>
      <c r="CQ123" s="1038"/>
      <c r="CR123" s="1038"/>
      <c r="CS123" s="1038">
        <v>34.299999999999997</v>
      </c>
      <c r="CT123" s="1040">
        <v>3</v>
      </c>
      <c r="CU123" s="1041"/>
      <c r="CV123" s="1038"/>
      <c r="CW123" s="973"/>
    </row>
    <row r="124" spans="1:102" s="14" customFormat="1" ht="21.95" hidden="1" customHeight="1" x14ac:dyDescent="0.15">
      <c r="A124" s="2707"/>
      <c r="B124" s="2705"/>
      <c r="C124" s="662">
        <v>2</v>
      </c>
      <c r="D124" s="1008"/>
      <c r="E124" s="2243"/>
      <c r="F124" s="1105">
        <f>Dren_Quantificacao!D96</f>
        <v>0</v>
      </c>
      <c r="G124" s="1105">
        <f>Dren_Quantificacao!E96</f>
        <v>0</v>
      </c>
      <c r="H124" s="1105">
        <f>Dren_Quantificacao!F96</f>
        <v>0</v>
      </c>
      <c r="I124" s="1105">
        <f>Dren_Quantificacao!G96</f>
        <v>0</v>
      </c>
      <c r="J124" s="1105"/>
      <c r="K124" s="1105"/>
      <c r="L124" s="1105"/>
      <c r="M124" s="1105"/>
      <c r="N124" s="2462"/>
      <c r="O124" s="1105">
        <f>Dren_Quantificacao!M96</f>
        <v>0</v>
      </c>
      <c r="P124" s="1105">
        <f>Dren_Quantificacao!N96</f>
        <v>0</v>
      </c>
      <c r="Q124" s="1105">
        <f>Dren_Quantificacao!O96</f>
        <v>0</v>
      </c>
      <c r="R124" s="1105">
        <f>Dren_Quantificacao!P96</f>
        <v>0</v>
      </c>
      <c r="S124" s="1105">
        <f>Dren_Quantificacao!Q96</f>
        <v>0</v>
      </c>
      <c r="T124" s="1105">
        <f>Dren_Quantificacao!R96</f>
        <v>0</v>
      </c>
      <c r="U124" s="1105">
        <f>Dren_Quantificacao!S96</f>
        <v>0</v>
      </c>
      <c r="V124" s="1105">
        <f>Dren_Quantificacao!T96</f>
        <v>0</v>
      </c>
      <c r="W124" s="1105"/>
      <c r="X124" s="2462"/>
      <c r="Y124" s="1105">
        <f>Dren_Quantificacao!W96</f>
        <v>0</v>
      </c>
      <c r="Z124" s="1105">
        <f>Dren_Quantificacao!X96</f>
        <v>0</v>
      </c>
      <c r="AA124" s="1105">
        <f>Dren_Quantificacao!Y96</f>
        <v>0</v>
      </c>
      <c r="AB124" s="1105">
        <f>Dren_Quantificacao!Z96</f>
        <v>0</v>
      </c>
      <c r="AC124" s="1105">
        <f>Dren_Quantificacao!AA96</f>
        <v>0</v>
      </c>
      <c r="AD124" s="1105">
        <f>Dren_Quantificacao!AB96</f>
        <v>0</v>
      </c>
      <c r="AE124" s="1105">
        <f>Dren_Quantificacao!AC96</f>
        <v>0</v>
      </c>
      <c r="AF124" s="1105">
        <f>Dren_Quantificacao!AD96</f>
        <v>0</v>
      </c>
      <c r="AG124" s="1105">
        <f>Dren_Quantificacao!AE96</f>
        <v>0</v>
      </c>
      <c r="AH124" s="1105">
        <f>Dren_Quantificacao!AF96</f>
        <v>0</v>
      </c>
      <c r="AI124" s="1105"/>
      <c r="AJ124" s="1105"/>
      <c r="AK124" s="1105"/>
      <c r="AL124" s="1105"/>
      <c r="AM124" s="1105"/>
      <c r="AN124" s="1105"/>
      <c r="AO124" s="1105"/>
      <c r="AP124" s="1105"/>
      <c r="AQ124" s="1105"/>
      <c r="AR124" s="2462"/>
      <c r="AS124" s="1105">
        <f>Dren_Quantificacao!AQ96</f>
        <v>0</v>
      </c>
      <c r="AT124" s="1105">
        <f>Dren_Quantificacao!AR96</f>
        <v>0</v>
      </c>
      <c r="AU124" s="1105">
        <f>Dren_Quantificacao!AS96</f>
        <v>0</v>
      </c>
      <c r="AV124" s="1105">
        <f>Dren_Quantificacao!AT96</f>
        <v>0</v>
      </c>
      <c r="AW124" s="1105">
        <f>Dren_Quantificacao!AU96</f>
        <v>0</v>
      </c>
      <c r="AX124" s="1106"/>
      <c r="AY124" s="1106"/>
      <c r="AZ124" s="1106"/>
      <c r="BA124" s="1106"/>
      <c r="BB124" s="1106"/>
      <c r="BC124" s="1106"/>
      <c r="BD124" s="1106"/>
      <c r="BE124" s="1106"/>
      <c r="BF124" s="1106"/>
      <c r="BG124" s="1106"/>
      <c r="BH124" s="1106"/>
      <c r="BI124" s="1106"/>
      <c r="BJ124" s="1106"/>
      <c r="BK124" s="1106"/>
      <c r="BL124" s="1106"/>
      <c r="BM124" s="1112">
        <f t="shared" si="88"/>
        <v>0</v>
      </c>
      <c r="BN124" s="579">
        <f t="shared" si="87"/>
        <v>0</v>
      </c>
      <c r="BO124" s="1047">
        <v>1.3</v>
      </c>
      <c r="BP124" s="1038"/>
      <c r="BQ124" s="1038"/>
      <c r="BR124" s="1038"/>
      <c r="BS124" s="1038">
        <v>12.48</v>
      </c>
      <c r="BT124" s="1038"/>
      <c r="BU124" s="1038"/>
      <c r="BV124" s="1038"/>
      <c r="BW124" s="1040"/>
      <c r="BX124" s="1038">
        <v>1.3</v>
      </c>
      <c r="BY124" s="1038"/>
      <c r="BZ124" s="1038"/>
      <c r="CA124" s="1038"/>
      <c r="CB124" s="1038">
        <v>12.48</v>
      </c>
      <c r="CC124" s="1038"/>
      <c r="CD124" s="1038"/>
      <c r="CE124" s="1038"/>
      <c r="CF124" s="1040"/>
      <c r="CG124" s="1038">
        <v>1.3</v>
      </c>
      <c r="CH124" s="1038"/>
      <c r="CI124" s="1038"/>
      <c r="CJ124" s="1038"/>
      <c r="CK124" s="1038">
        <v>12.48</v>
      </c>
      <c r="CL124" s="1038"/>
      <c r="CM124" s="1040"/>
      <c r="CN124" s="1040">
        <v>45.28</v>
      </c>
      <c r="CO124" s="1038"/>
      <c r="CP124" s="1038"/>
      <c r="CQ124" s="1038"/>
      <c r="CR124" s="1038"/>
      <c r="CS124" s="1038">
        <v>50.6</v>
      </c>
      <c r="CT124" s="1040">
        <v>5.88</v>
      </c>
      <c r="CU124" s="1041"/>
      <c r="CV124" s="1038"/>
      <c r="CW124" s="973"/>
      <c r="CX124" s="973"/>
    </row>
    <row r="125" spans="1:102" s="14" customFormat="1" ht="21.95" hidden="1" customHeight="1" x14ac:dyDescent="0.15">
      <c r="A125" s="2707"/>
      <c r="B125" s="2705"/>
      <c r="C125" s="662">
        <v>3</v>
      </c>
      <c r="D125" s="1008"/>
      <c r="E125" s="2243"/>
      <c r="F125" s="1105">
        <f>Dren_Quantificacao!D97</f>
        <v>0</v>
      </c>
      <c r="G125" s="1105">
        <f>Dren_Quantificacao!E97</f>
        <v>0</v>
      </c>
      <c r="H125" s="1105">
        <f>Dren_Quantificacao!F97</f>
        <v>0</v>
      </c>
      <c r="I125" s="1105">
        <f>Dren_Quantificacao!G97</f>
        <v>0</v>
      </c>
      <c r="J125" s="1105"/>
      <c r="K125" s="1105"/>
      <c r="L125" s="1105"/>
      <c r="M125" s="1105"/>
      <c r="N125" s="2462"/>
      <c r="O125" s="1105">
        <f>Dren_Quantificacao!M97</f>
        <v>0</v>
      </c>
      <c r="P125" s="1105">
        <f>Dren_Quantificacao!N97</f>
        <v>0</v>
      </c>
      <c r="Q125" s="1105">
        <f>Dren_Quantificacao!O97</f>
        <v>0</v>
      </c>
      <c r="R125" s="1105">
        <f>Dren_Quantificacao!P97</f>
        <v>0</v>
      </c>
      <c r="S125" s="1105">
        <f>Dren_Quantificacao!Q97</f>
        <v>0</v>
      </c>
      <c r="T125" s="1105">
        <f>Dren_Quantificacao!R97</f>
        <v>0</v>
      </c>
      <c r="U125" s="1105">
        <f>Dren_Quantificacao!S97</f>
        <v>0</v>
      </c>
      <c r="V125" s="1105">
        <f>Dren_Quantificacao!T97</f>
        <v>0</v>
      </c>
      <c r="W125" s="1105"/>
      <c r="X125" s="2462"/>
      <c r="Y125" s="1105">
        <f>Dren_Quantificacao!W97</f>
        <v>0</v>
      </c>
      <c r="Z125" s="1105">
        <f>Dren_Quantificacao!X97</f>
        <v>0</v>
      </c>
      <c r="AA125" s="1105">
        <f>Dren_Quantificacao!Y97</f>
        <v>0</v>
      </c>
      <c r="AB125" s="1105">
        <f>Dren_Quantificacao!Z97</f>
        <v>0</v>
      </c>
      <c r="AC125" s="1105">
        <f>Dren_Quantificacao!AA97</f>
        <v>0</v>
      </c>
      <c r="AD125" s="1105">
        <f>Dren_Quantificacao!AB97</f>
        <v>0</v>
      </c>
      <c r="AE125" s="1105">
        <f>Dren_Quantificacao!AC97</f>
        <v>0</v>
      </c>
      <c r="AF125" s="1105">
        <f>Dren_Quantificacao!AD97</f>
        <v>0</v>
      </c>
      <c r="AG125" s="1105">
        <f>Dren_Quantificacao!AE97</f>
        <v>0</v>
      </c>
      <c r="AH125" s="1105">
        <f>Dren_Quantificacao!AF97</f>
        <v>0</v>
      </c>
      <c r="AI125" s="1105"/>
      <c r="AJ125" s="1105"/>
      <c r="AK125" s="1105"/>
      <c r="AL125" s="1105"/>
      <c r="AM125" s="1105"/>
      <c r="AN125" s="1105"/>
      <c r="AO125" s="1105"/>
      <c r="AP125" s="1105"/>
      <c r="AQ125" s="1105"/>
      <c r="AR125" s="2462"/>
      <c r="AS125" s="1105">
        <f>Dren_Quantificacao!AQ97</f>
        <v>0</v>
      </c>
      <c r="AT125" s="1105">
        <f>Dren_Quantificacao!AR97</f>
        <v>0</v>
      </c>
      <c r="AU125" s="1105">
        <f>Dren_Quantificacao!AS97</f>
        <v>0</v>
      </c>
      <c r="AV125" s="1105">
        <f>Dren_Quantificacao!AT97</f>
        <v>0</v>
      </c>
      <c r="AW125" s="1105">
        <f>Dren_Quantificacao!AU97</f>
        <v>0</v>
      </c>
      <c r="AX125" s="1106"/>
      <c r="AY125" s="1106"/>
      <c r="AZ125" s="1106"/>
      <c r="BA125" s="1106"/>
      <c r="BB125" s="1106"/>
      <c r="BC125" s="1106"/>
      <c r="BD125" s="1106"/>
      <c r="BE125" s="1106"/>
      <c r="BF125" s="1106"/>
      <c r="BG125" s="1106"/>
      <c r="BH125" s="1106"/>
      <c r="BI125" s="1106"/>
      <c r="BJ125" s="1106"/>
      <c r="BK125" s="1106"/>
      <c r="BL125" s="1106"/>
      <c r="BM125" s="1112">
        <f t="shared" si="88"/>
        <v>0</v>
      </c>
      <c r="BN125" s="579">
        <f t="shared" si="87"/>
        <v>0</v>
      </c>
      <c r="BO125" s="1047">
        <v>1.8</v>
      </c>
      <c r="BP125" s="1038"/>
      <c r="BQ125" s="1038"/>
      <c r="BR125" s="1038"/>
      <c r="BS125" s="1038">
        <v>17.600000000000001</v>
      </c>
      <c r="BT125" s="1038"/>
      <c r="BU125" s="1038"/>
      <c r="BV125" s="1038"/>
      <c r="BW125" s="1040"/>
      <c r="BX125" s="1038">
        <v>1.8</v>
      </c>
      <c r="BY125" s="1038"/>
      <c r="BZ125" s="1038"/>
      <c r="CA125" s="1038"/>
      <c r="CB125" s="1038">
        <v>17.600000000000001</v>
      </c>
      <c r="CC125" s="1038"/>
      <c r="CD125" s="1038"/>
      <c r="CE125" s="1038"/>
      <c r="CF125" s="1040"/>
      <c r="CG125" s="1038">
        <v>1.8</v>
      </c>
      <c r="CH125" s="1038"/>
      <c r="CI125" s="1038"/>
      <c r="CJ125" s="1038"/>
      <c r="CK125" s="1038">
        <v>17.600000000000001</v>
      </c>
      <c r="CL125" s="1038"/>
      <c r="CM125" s="1040"/>
      <c r="CN125" s="1040">
        <v>59.3</v>
      </c>
      <c r="CO125" s="1038"/>
      <c r="CP125" s="1038"/>
      <c r="CQ125" s="1038"/>
      <c r="CR125" s="1038"/>
      <c r="CS125" s="1038">
        <v>70.099999999999994</v>
      </c>
      <c r="CT125" s="1040">
        <v>10.130000000000001</v>
      </c>
      <c r="CU125" s="1041"/>
      <c r="CV125" s="1038"/>
      <c r="CW125" s="973"/>
      <c r="CX125" s="973"/>
    </row>
    <row r="126" spans="1:102" s="14" customFormat="1" ht="21.95" hidden="1" customHeight="1" x14ac:dyDescent="0.15">
      <c r="A126" s="2707"/>
      <c r="B126" s="2705"/>
      <c r="C126" s="662">
        <v>4</v>
      </c>
      <c r="D126" s="1008"/>
      <c r="E126" s="2243"/>
      <c r="F126" s="1105">
        <f>Dren_Quantificacao!D98</f>
        <v>0</v>
      </c>
      <c r="G126" s="1105">
        <f>Dren_Quantificacao!E98</f>
        <v>0</v>
      </c>
      <c r="H126" s="1105">
        <f>Dren_Quantificacao!F98</f>
        <v>0</v>
      </c>
      <c r="I126" s="1105">
        <f>Dren_Quantificacao!G98</f>
        <v>0</v>
      </c>
      <c r="J126" s="1105"/>
      <c r="K126" s="1105"/>
      <c r="L126" s="1105"/>
      <c r="M126" s="1105"/>
      <c r="N126" s="2462"/>
      <c r="O126" s="1105">
        <f>Dren_Quantificacao!M98</f>
        <v>0</v>
      </c>
      <c r="P126" s="1105">
        <f>Dren_Quantificacao!N98</f>
        <v>0</v>
      </c>
      <c r="Q126" s="1105">
        <f>Dren_Quantificacao!O98</f>
        <v>0</v>
      </c>
      <c r="R126" s="1105">
        <f>Dren_Quantificacao!P98</f>
        <v>0</v>
      </c>
      <c r="S126" s="1105">
        <f>Dren_Quantificacao!Q98</f>
        <v>0</v>
      </c>
      <c r="T126" s="1105">
        <f>Dren_Quantificacao!R98</f>
        <v>0</v>
      </c>
      <c r="U126" s="1105">
        <f>Dren_Quantificacao!S98</f>
        <v>0</v>
      </c>
      <c r="V126" s="1105">
        <f>Dren_Quantificacao!T98</f>
        <v>0</v>
      </c>
      <c r="W126" s="1105"/>
      <c r="X126" s="2462"/>
      <c r="Y126" s="1105">
        <f>Dren_Quantificacao!W98</f>
        <v>0</v>
      </c>
      <c r="Z126" s="1105">
        <f>Dren_Quantificacao!X98</f>
        <v>0</v>
      </c>
      <c r="AA126" s="1105">
        <f>Dren_Quantificacao!Y98</f>
        <v>0</v>
      </c>
      <c r="AB126" s="1105">
        <f>Dren_Quantificacao!Z98</f>
        <v>0</v>
      </c>
      <c r="AC126" s="1105">
        <f>Dren_Quantificacao!AA98</f>
        <v>0</v>
      </c>
      <c r="AD126" s="1105">
        <f>Dren_Quantificacao!AB98</f>
        <v>0</v>
      </c>
      <c r="AE126" s="1105">
        <f>Dren_Quantificacao!AC98</f>
        <v>0</v>
      </c>
      <c r="AF126" s="1105">
        <f>Dren_Quantificacao!AD98</f>
        <v>0</v>
      </c>
      <c r="AG126" s="1105">
        <f>Dren_Quantificacao!AE98</f>
        <v>0</v>
      </c>
      <c r="AH126" s="1105">
        <f>Dren_Quantificacao!AF98</f>
        <v>0</v>
      </c>
      <c r="AI126" s="1105"/>
      <c r="AJ126" s="1105"/>
      <c r="AK126" s="1105"/>
      <c r="AL126" s="1105"/>
      <c r="AM126" s="1105"/>
      <c r="AN126" s="1105"/>
      <c r="AO126" s="1105"/>
      <c r="AP126" s="1105"/>
      <c r="AQ126" s="1105"/>
      <c r="AR126" s="2462"/>
      <c r="AS126" s="1105">
        <f>Dren_Quantificacao!AQ98</f>
        <v>0</v>
      </c>
      <c r="AT126" s="1105">
        <f>Dren_Quantificacao!AR98</f>
        <v>0</v>
      </c>
      <c r="AU126" s="1105">
        <f>Dren_Quantificacao!AS98</f>
        <v>0</v>
      </c>
      <c r="AV126" s="1105">
        <f>Dren_Quantificacao!AT98</f>
        <v>0</v>
      </c>
      <c r="AW126" s="1105">
        <f>Dren_Quantificacao!AU98</f>
        <v>0</v>
      </c>
      <c r="AX126" s="1106"/>
      <c r="AY126" s="1106"/>
      <c r="AZ126" s="1106"/>
      <c r="BA126" s="1106"/>
      <c r="BB126" s="1106"/>
      <c r="BC126" s="1106"/>
      <c r="BD126" s="1106"/>
      <c r="BE126" s="1106"/>
      <c r="BF126" s="1106"/>
      <c r="BG126" s="1106"/>
      <c r="BH126" s="1106"/>
      <c r="BI126" s="1106"/>
      <c r="BJ126" s="1106"/>
      <c r="BK126" s="1106"/>
      <c r="BL126" s="1106"/>
      <c r="BM126" s="1112">
        <f t="shared" si="88"/>
        <v>0</v>
      </c>
      <c r="BN126" s="579">
        <f t="shared" si="87"/>
        <v>0</v>
      </c>
      <c r="BO126" s="1047">
        <v>2.4</v>
      </c>
      <c r="BP126" s="1038"/>
      <c r="BQ126" s="1038"/>
      <c r="BR126" s="1038"/>
      <c r="BS126" s="1038">
        <v>23.72</v>
      </c>
      <c r="BT126" s="1038"/>
      <c r="BU126" s="1038"/>
      <c r="BV126" s="1038"/>
      <c r="BW126" s="1040"/>
      <c r="BX126" s="1038">
        <v>2.4</v>
      </c>
      <c r="BY126" s="1038"/>
      <c r="BZ126" s="1038"/>
      <c r="CA126" s="1038"/>
      <c r="CB126" s="1038">
        <v>23.72</v>
      </c>
      <c r="CC126" s="1038"/>
      <c r="CD126" s="1038"/>
      <c r="CE126" s="1038"/>
      <c r="CF126" s="1040"/>
      <c r="CG126" s="1038">
        <v>2.4</v>
      </c>
      <c r="CH126" s="1038"/>
      <c r="CI126" s="1038"/>
      <c r="CJ126" s="1038"/>
      <c r="CK126" s="1038">
        <v>23.72</v>
      </c>
      <c r="CL126" s="1038"/>
      <c r="CM126" s="1040"/>
      <c r="CN126" s="1040">
        <v>74.98</v>
      </c>
      <c r="CO126" s="1038"/>
      <c r="CP126" s="1038"/>
      <c r="CQ126" s="1038"/>
      <c r="CR126" s="1038"/>
      <c r="CS126" s="1038">
        <v>92.7</v>
      </c>
      <c r="CT126" s="1040">
        <v>16.11</v>
      </c>
      <c r="CU126" s="1041"/>
      <c r="CV126" s="1038"/>
      <c r="CW126" s="973"/>
      <c r="CX126" s="973"/>
    </row>
    <row r="127" spans="1:102" s="14" customFormat="1" ht="21.95" hidden="1" customHeight="1" x14ac:dyDescent="0.15">
      <c r="A127" s="2707"/>
      <c r="B127" s="2705"/>
      <c r="C127" s="662">
        <v>5</v>
      </c>
      <c r="D127" s="1008"/>
      <c r="E127" s="2243"/>
      <c r="F127" s="1105">
        <f>Dren_Quantificacao!D99</f>
        <v>0</v>
      </c>
      <c r="G127" s="1105">
        <f>Dren_Quantificacao!E99</f>
        <v>0</v>
      </c>
      <c r="H127" s="1105">
        <f>Dren_Quantificacao!F99</f>
        <v>0</v>
      </c>
      <c r="I127" s="1105">
        <f>Dren_Quantificacao!G99</f>
        <v>0</v>
      </c>
      <c r="J127" s="1105"/>
      <c r="K127" s="1105"/>
      <c r="L127" s="1105"/>
      <c r="M127" s="1105"/>
      <c r="N127" s="2462"/>
      <c r="O127" s="1105">
        <f>Dren_Quantificacao!M99</f>
        <v>0</v>
      </c>
      <c r="P127" s="1105">
        <f>Dren_Quantificacao!N99</f>
        <v>0</v>
      </c>
      <c r="Q127" s="1105">
        <f>Dren_Quantificacao!O99</f>
        <v>0</v>
      </c>
      <c r="R127" s="1105">
        <f>Dren_Quantificacao!P99</f>
        <v>0</v>
      </c>
      <c r="S127" s="1105">
        <f>Dren_Quantificacao!Q99</f>
        <v>0</v>
      </c>
      <c r="T127" s="1105">
        <f>Dren_Quantificacao!R99</f>
        <v>0</v>
      </c>
      <c r="U127" s="1105">
        <f>Dren_Quantificacao!S99</f>
        <v>0</v>
      </c>
      <c r="V127" s="1105">
        <f>Dren_Quantificacao!T99</f>
        <v>0</v>
      </c>
      <c r="W127" s="1105"/>
      <c r="X127" s="2462"/>
      <c r="Y127" s="1105">
        <f>Dren_Quantificacao!W99</f>
        <v>0</v>
      </c>
      <c r="Z127" s="1105">
        <f>Dren_Quantificacao!X99</f>
        <v>0</v>
      </c>
      <c r="AA127" s="1105">
        <f>Dren_Quantificacao!Y99</f>
        <v>0</v>
      </c>
      <c r="AB127" s="1105">
        <f>Dren_Quantificacao!Z99</f>
        <v>0</v>
      </c>
      <c r="AC127" s="1105">
        <f>Dren_Quantificacao!AA99</f>
        <v>0</v>
      </c>
      <c r="AD127" s="1105">
        <f>Dren_Quantificacao!AB99</f>
        <v>0</v>
      </c>
      <c r="AE127" s="1105">
        <f>Dren_Quantificacao!AC99</f>
        <v>0</v>
      </c>
      <c r="AF127" s="1105">
        <f>Dren_Quantificacao!AD99</f>
        <v>0</v>
      </c>
      <c r="AG127" s="1105">
        <f>Dren_Quantificacao!AE99</f>
        <v>0</v>
      </c>
      <c r="AH127" s="1105">
        <f>Dren_Quantificacao!AF99</f>
        <v>0</v>
      </c>
      <c r="AI127" s="1105"/>
      <c r="AJ127" s="1105"/>
      <c r="AK127" s="1105"/>
      <c r="AL127" s="1105"/>
      <c r="AM127" s="1105"/>
      <c r="AN127" s="1105"/>
      <c r="AO127" s="1105"/>
      <c r="AP127" s="1105"/>
      <c r="AQ127" s="1105"/>
      <c r="AR127" s="2462"/>
      <c r="AS127" s="1105">
        <f>Dren_Quantificacao!AQ99</f>
        <v>0</v>
      </c>
      <c r="AT127" s="1105">
        <f>Dren_Quantificacao!AR99</f>
        <v>0</v>
      </c>
      <c r="AU127" s="1105">
        <f>Dren_Quantificacao!AS99</f>
        <v>0</v>
      </c>
      <c r="AV127" s="1105">
        <f>Dren_Quantificacao!AT99</f>
        <v>0</v>
      </c>
      <c r="AW127" s="1105">
        <f>Dren_Quantificacao!AU99</f>
        <v>0</v>
      </c>
      <c r="AX127" s="1106"/>
      <c r="AY127" s="1106"/>
      <c r="AZ127" s="1106"/>
      <c r="BA127" s="1106"/>
      <c r="BB127" s="1106"/>
      <c r="BC127" s="1106"/>
      <c r="BD127" s="1106"/>
      <c r="BE127" s="1106"/>
      <c r="BF127" s="1106"/>
      <c r="BG127" s="1106"/>
      <c r="BH127" s="1106"/>
      <c r="BI127" s="1106"/>
      <c r="BJ127" s="1106"/>
      <c r="BK127" s="1106"/>
      <c r="BL127" s="1106"/>
      <c r="BM127" s="1112">
        <f t="shared" si="88"/>
        <v>0</v>
      </c>
      <c r="BN127" s="579">
        <f t="shared" si="87"/>
        <v>0</v>
      </c>
      <c r="BO127" s="1047">
        <v>3.7</v>
      </c>
      <c r="BP127" s="1038"/>
      <c r="BQ127" s="1038"/>
      <c r="BR127" s="1038"/>
      <c r="BS127" s="1038">
        <v>39.14</v>
      </c>
      <c r="BT127" s="1038"/>
      <c r="BU127" s="1038"/>
      <c r="BV127" s="1038"/>
      <c r="BW127" s="1040"/>
      <c r="BX127" s="1038">
        <v>3.7</v>
      </c>
      <c r="BY127" s="1038"/>
      <c r="BZ127" s="1038"/>
      <c r="CA127" s="1038"/>
      <c r="CB127" s="1038">
        <v>39.14</v>
      </c>
      <c r="CC127" s="1038"/>
      <c r="CD127" s="1038"/>
      <c r="CE127" s="1038"/>
      <c r="CF127" s="1040"/>
      <c r="CG127" s="1038">
        <v>3.7</v>
      </c>
      <c r="CH127" s="1038"/>
      <c r="CI127" s="1038"/>
      <c r="CJ127" s="1038"/>
      <c r="CK127" s="1038">
        <v>39.14</v>
      </c>
      <c r="CL127" s="1038"/>
      <c r="CM127" s="1040"/>
      <c r="CN127" s="1040">
        <v>109.04</v>
      </c>
      <c r="CO127" s="1038"/>
      <c r="CP127" s="1038"/>
      <c r="CQ127" s="1038"/>
      <c r="CR127" s="1038"/>
      <c r="CS127" s="1038">
        <v>147.6</v>
      </c>
      <c r="CT127" s="1040">
        <v>34.22</v>
      </c>
      <c r="CU127" s="1041"/>
      <c r="CV127" s="1038"/>
      <c r="CW127" s="973"/>
      <c r="CX127" s="973"/>
    </row>
    <row r="128" spans="1:102" s="14" customFormat="1" ht="21.95" hidden="1" customHeight="1" x14ac:dyDescent="0.15">
      <c r="A128" s="2707"/>
      <c r="B128" s="2705"/>
      <c r="C128" s="662">
        <v>6</v>
      </c>
      <c r="D128" s="1009"/>
      <c r="E128" s="2254"/>
      <c r="F128" s="1108">
        <f>Dren_Quantificacao!D100</f>
        <v>0</v>
      </c>
      <c r="G128" s="1108">
        <f>Dren_Quantificacao!E100</f>
        <v>0</v>
      </c>
      <c r="H128" s="1108">
        <f>Dren_Quantificacao!F100</f>
        <v>0</v>
      </c>
      <c r="I128" s="1108">
        <f>Dren_Quantificacao!G100</f>
        <v>0</v>
      </c>
      <c r="J128" s="1108"/>
      <c r="K128" s="1108"/>
      <c r="L128" s="1108"/>
      <c r="M128" s="1108"/>
      <c r="N128" s="2463"/>
      <c r="O128" s="1108">
        <f>Dren_Quantificacao!M100</f>
        <v>0</v>
      </c>
      <c r="P128" s="1108">
        <f>Dren_Quantificacao!N100</f>
        <v>0</v>
      </c>
      <c r="Q128" s="1108">
        <f>Dren_Quantificacao!O100</f>
        <v>0</v>
      </c>
      <c r="R128" s="1108">
        <f>Dren_Quantificacao!P100</f>
        <v>0</v>
      </c>
      <c r="S128" s="1108">
        <f>Dren_Quantificacao!Q100</f>
        <v>0</v>
      </c>
      <c r="T128" s="1108">
        <f>Dren_Quantificacao!R100</f>
        <v>0</v>
      </c>
      <c r="U128" s="1108">
        <f>Dren_Quantificacao!S100</f>
        <v>0</v>
      </c>
      <c r="V128" s="1108">
        <f>Dren_Quantificacao!T100</f>
        <v>0</v>
      </c>
      <c r="W128" s="1108"/>
      <c r="X128" s="2463"/>
      <c r="Y128" s="1108">
        <f>Dren_Quantificacao!W100</f>
        <v>0</v>
      </c>
      <c r="Z128" s="1108">
        <f>Dren_Quantificacao!X100</f>
        <v>0</v>
      </c>
      <c r="AA128" s="1108">
        <f>Dren_Quantificacao!Y100</f>
        <v>0</v>
      </c>
      <c r="AB128" s="1108">
        <f>Dren_Quantificacao!Z100</f>
        <v>0</v>
      </c>
      <c r="AC128" s="1108">
        <f>Dren_Quantificacao!AA100</f>
        <v>0</v>
      </c>
      <c r="AD128" s="1108">
        <f>Dren_Quantificacao!AB100</f>
        <v>0</v>
      </c>
      <c r="AE128" s="1108">
        <f>Dren_Quantificacao!AC100</f>
        <v>0</v>
      </c>
      <c r="AF128" s="1108">
        <f>Dren_Quantificacao!AD100</f>
        <v>0</v>
      </c>
      <c r="AG128" s="1108">
        <f>Dren_Quantificacao!AE100</f>
        <v>0</v>
      </c>
      <c r="AH128" s="1108">
        <f>Dren_Quantificacao!AF100</f>
        <v>0</v>
      </c>
      <c r="AI128" s="1108"/>
      <c r="AJ128" s="1108"/>
      <c r="AK128" s="1108"/>
      <c r="AL128" s="1108"/>
      <c r="AM128" s="1108"/>
      <c r="AN128" s="1108"/>
      <c r="AO128" s="1108"/>
      <c r="AP128" s="1108"/>
      <c r="AQ128" s="1108"/>
      <c r="AR128" s="2463"/>
      <c r="AS128" s="1108">
        <f>Dren_Quantificacao!AQ100</f>
        <v>0</v>
      </c>
      <c r="AT128" s="1108">
        <f>Dren_Quantificacao!AR100</f>
        <v>0</v>
      </c>
      <c r="AU128" s="1108">
        <f>Dren_Quantificacao!AS100</f>
        <v>0</v>
      </c>
      <c r="AV128" s="1108">
        <f>Dren_Quantificacao!AT100</f>
        <v>0</v>
      </c>
      <c r="AW128" s="1108">
        <f>Dren_Quantificacao!AU100</f>
        <v>0</v>
      </c>
      <c r="AX128" s="1109"/>
      <c r="AY128" s="1109"/>
      <c r="AZ128" s="1109"/>
      <c r="BA128" s="1109"/>
      <c r="BB128" s="1109"/>
      <c r="BC128" s="1109"/>
      <c r="BD128" s="1109"/>
      <c r="BE128" s="1109"/>
      <c r="BF128" s="1109"/>
      <c r="BG128" s="1109"/>
      <c r="BH128" s="1109"/>
      <c r="BI128" s="1109"/>
      <c r="BJ128" s="1109"/>
      <c r="BK128" s="1109"/>
      <c r="BL128" s="1109"/>
      <c r="BM128" s="1113">
        <f t="shared" si="88"/>
        <v>0</v>
      </c>
      <c r="BN128" s="579">
        <f t="shared" si="87"/>
        <v>0</v>
      </c>
      <c r="BO128" s="1047">
        <v>4.5</v>
      </c>
      <c r="BP128" s="1038"/>
      <c r="BQ128" s="1038"/>
      <c r="BR128" s="1038"/>
      <c r="BS128" s="1038">
        <v>48.36</v>
      </c>
      <c r="BT128" s="1038"/>
      <c r="BU128" s="1038"/>
      <c r="BV128" s="1038"/>
      <c r="BW128" s="1040"/>
      <c r="BX128" s="1038">
        <v>4.5</v>
      </c>
      <c r="BY128" s="1038"/>
      <c r="BZ128" s="1038"/>
      <c r="CA128" s="1038"/>
      <c r="CB128" s="1038">
        <v>48.36</v>
      </c>
      <c r="CC128" s="1038"/>
      <c r="CD128" s="1038"/>
      <c r="CE128" s="1038"/>
      <c r="CF128" s="1040"/>
      <c r="CG128" s="1038">
        <v>4.5</v>
      </c>
      <c r="CH128" s="1038"/>
      <c r="CI128" s="1038"/>
      <c r="CJ128" s="1038"/>
      <c r="CK128" s="1038">
        <v>48.36</v>
      </c>
      <c r="CL128" s="1038"/>
      <c r="CM128" s="1040"/>
      <c r="CN128" s="1040">
        <v>126.26</v>
      </c>
      <c r="CO128" s="1046"/>
      <c r="CP128" s="1038"/>
      <c r="CQ128" s="1038"/>
      <c r="CR128" s="1038"/>
      <c r="CS128" s="1038">
        <v>179.6</v>
      </c>
      <c r="CT128" s="1040">
        <v>46.87</v>
      </c>
      <c r="CU128" s="1041"/>
      <c r="CV128" s="1038"/>
      <c r="CW128" s="973"/>
      <c r="CX128" s="973"/>
    </row>
    <row r="129" spans="1:102" s="14" customFormat="1" ht="21.95" hidden="1" customHeight="1" x14ac:dyDescent="0.15">
      <c r="A129" s="2707"/>
      <c r="B129" s="2705"/>
      <c r="C129" s="559" t="s">
        <v>1204</v>
      </c>
      <c r="D129" s="1003"/>
      <c r="E129" s="1287"/>
      <c r="F129" s="1114">
        <f t="shared" ref="F129:G129" si="89">0.9*F123+1.3*F124+1.8*F125+2.4*F126+3.7*F127+4.5*F128</f>
        <v>0</v>
      </c>
      <c r="G129" s="1114">
        <f t="shared" si="89"/>
        <v>0</v>
      </c>
      <c r="H129" s="1114">
        <f t="shared" ref="H129:I129" si="90">0.9*H123+1.3*H124+1.8*H125+2.4*H126+3.7*H127+4.5*H128</f>
        <v>0</v>
      </c>
      <c r="I129" s="1114">
        <f t="shared" si="90"/>
        <v>0</v>
      </c>
      <c r="J129" s="1114"/>
      <c r="K129" s="1114"/>
      <c r="L129" s="1114"/>
      <c r="M129" s="1114"/>
      <c r="N129" s="2465"/>
      <c r="O129" s="1114">
        <f t="shared" ref="O129:V129" si="91">0.9*O123+1.3*O124+1.8*O125+2.4*O126+3.7*O127+4.5*O128</f>
        <v>0</v>
      </c>
      <c r="P129" s="1114">
        <f t="shared" si="91"/>
        <v>0</v>
      </c>
      <c r="Q129" s="1114">
        <f t="shared" si="91"/>
        <v>0</v>
      </c>
      <c r="R129" s="1114">
        <f t="shared" si="91"/>
        <v>0</v>
      </c>
      <c r="S129" s="1114">
        <f t="shared" si="91"/>
        <v>0</v>
      </c>
      <c r="T129" s="1114">
        <f t="shared" si="91"/>
        <v>0</v>
      </c>
      <c r="U129" s="1114">
        <f t="shared" si="91"/>
        <v>0</v>
      </c>
      <c r="V129" s="1114">
        <f t="shared" si="91"/>
        <v>0</v>
      </c>
      <c r="W129" s="1114"/>
      <c r="X129" s="2465"/>
      <c r="Y129" s="1114">
        <f t="shared" ref="Y129:AH129" si="92">0.9*Y123+1.3*Y124+1.8*Y125+2.4*Y126+3.7*Y127+4.5*Y128</f>
        <v>0</v>
      </c>
      <c r="Z129" s="1114">
        <f t="shared" si="92"/>
        <v>0</v>
      </c>
      <c r="AA129" s="1114">
        <f t="shared" si="92"/>
        <v>0</v>
      </c>
      <c r="AB129" s="1114">
        <f t="shared" si="92"/>
        <v>0</v>
      </c>
      <c r="AC129" s="1114">
        <f t="shared" si="92"/>
        <v>0</v>
      </c>
      <c r="AD129" s="1114">
        <f t="shared" si="92"/>
        <v>0</v>
      </c>
      <c r="AE129" s="1114">
        <f t="shared" si="92"/>
        <v>0</v>
      </c>
      <c r="AF129" s="1114">
        <f t="shared" si="92"/>
        <v>0</v>
      </c>
      <c r="AG129" s="1114">
        <f t="shared" si="92"/>
        <v>0</v>
      </c>
      <c r="AH129" s="1114">
        <f t="shared" si="92"/>
        <v>0</v>
      </c>
      <c r="AI129" s="1114"/>
      <c r="AJ129" s="1114"/>
      <c r="AK129" s="1114"/>
      <c r="AL129" s="1114"/>
      <c r="AM129" s="1114"/>
      <c r="AN129" s="1114"/>
      <c r="AO129" s="1114"/>
      <c r="AP129" s="1114"/>
      <c r="AQ129" s="1114"/>
      <c r="AR129" s="2465"/>
      <c r="AS129" s="1114">
        <f t="shared" ref="AS129:AW129" si="93">0.9*AS123+1.3*AS124+1.8*AS125+2.4*AS126+3.7*AS127+4.5*AS128</f>
        <v>0</v>
      </c>
      <c r="AT129" s="1114">
        <f t="shared" si="93"/>
        <v>0</v>
      </c>
      <c r="AU129" s="1114">
        <f t="shared" si="93"/>
        <v>0</v>
      </c>
      <c r="AV129" s="1114">
        <f t="shared" si="93"/>
        <v>0</v>
      </c>
      <c r="AW129" s="1114">
        <f t="shared" si="93"/>
        <v>0</v>
      </c>
      <c r="AX129" s="1115"/>
      <c r="AY129" s="1115"/>
      <c r="AZ129" s="1115"/>
      <c r="BA129" s="1115"/>
      <c r="BB129" s="1115"/>
      <c r="BC129" s="1115"/>
      <c r="BD129" s="1115"/>
      <c r="BE129" s="1115"/>
      <c r="BF129" s="1115"/>
      <c r="BG129" s="1115"/>
      <c r="BH129" s="1115"/>
      <c r="BI129" s="1115"/>
      <c r="BJ129" s="1115"/>
      <c r="BK129" s="1115"/>
      <c r="BL129" s="1115"/>
      <c r="BM129" s="1116">
        <f t="shared" si="88"/>
        <v>0</v>
      </c>
      <c r="BN129" s="579">
        <f t="shared" si="87"/>
        <v>0</v>
      </c>
      <c r="BO129" s="1047"/>
      <c r="BP129" s="1038"/>
      <c r="BQ129" s="1038"/>
      <c r="BR129" s="1038"/>
      <c r="BS129" s="1038"/>
      <c r="BT129" s="1038"/>
      <c r="BU129" s="1038"/>
      <c r="BV129" s="1038"/>
      <c r="BW129" s="1040"/>
      <c r="BX129" s="1038"/>
      <c r="BY129" s="1038"/>
      <c r="BZ129" s="1038"/>
      <c r="CA129" s="1038"/>
      <c r="CB129" s="1038"/>
      <c r="CC129" s="1038"/>
      <c r="CD129" s="1038"/>
      <c r="CE129" s="1038"/>
      <c r="CF129" s="1040"/>
      <c r="CG129" s="1038"/>
      <c r="CH129" s="1038"/>
      <c r="CI129" s="1038"/>
      <c r="CJ129" s="1038"/>
      <c r="CK129" s="1038"/>
      <c r="CL129" s="1038"/>
      <c r="CM129" s="1040"/>
      <c r="CN129" s="1040"/>
      <c r="CO129" s="1038"/>
      <c r="CP129" s="1038"/>
      <c r="CQ129" s="1038"/>
      <c r="CR129" s="1038"/>
      <c r="CS129" s="1038"/>
      <c r="CT129" s="1040"/>
      <c r="CU129" s="1041"/>
      <c r="CV129" s="1038"/>
      <c r="CW129" s="973"/>
      <c r="CX129" s="973"/>
    </row>
    <row r="130" spans="1:102" s="14" customFormat="1" ht="21.95" hidden="1" customHeight="1" x14ac:dyDescent="0.15">
      <c r="A130" s="2707"/>
      <c r="B130" s="2705"/>
      <c r="C130" s="567" t="s">
        <v>218</v>
      </c>
      <c r="D130" s="1003"/>
      <c r="E130" s="1287"/>
      <c r="F130" s="1114">
        <f t="shared" ref="F130:G130" si="94">8.24*F123+12.48*F124+17.6*F125+23.72*F126+39.14*F127+48.36*F128</f>
        <v>0</v>
      </c>
      <c r="G130" s="1114">
        <f t="shared" si="94"/>
        <v>0</v>
      </c>
      <c r="H130" s="1114">
        <f t="shared" ref="H130:I130" si="95">8.24*H123+12.48*H124+17.6*H125+23.72*H126+39.14*H127+48.36*H128</f>
        <v>0</v>
      </c>
      <c r="I130" s="1114">
        <f t="shared" si="95"/>
        <v>0</v>
      </c>
      <c r="J130" s="1114"/>
      <c r="K130" s="1114"/>
      <c r="L130" s="1114"/>
      <c r="M130" s="1114"/>
      <c r="N130" s="2465"/>
      <c r="O130" s="1114">
        <f t="shared" ref="O130:V130" si="96">8.24*O123+12.48*O124+17.6*O125+23.72*O126+39.14*O127+48.36*O128</f>
        <v>0</v>
      </c>
      <c r="P130" s="1114">
        <f t="shared" si="96"/>
        <v>0</v>
      </c>
      <c r="Q130" s="1114">
        <f t="shared" si="96"/>
        <v>0</v>
      </c>
      <c r="R130" s="1114">
        <f t="shared" si="96"/>
        <v>0</v>
      </c>
      <c r="S130" s="1114">
        <f t="shared" si="96"/>
        <v>0</v>
      </c>
      <c r="T130" s="1114">
        <f t="shared" si="96"/>
        <v>0</v>
      </c>
      <c r="U130" s="1114">
        <f t="shared" si="96"/>
        <v>0</v>
      </c>
      <c r="V130" s="1114">
        <f t="shared" si="96"/>
        <v>0</v>
      </c>
      <c r="W130" s="1114"/>
      <c r="X130" s="2465"/>
      <c r="Y130" s="1114">
        <f t="shared" ref="Y130:AH130" si="97">8.24*Y123+12.48*Y124+17.6*Y125+23.72*Y126+39.14*Y127+48.36*Y128</f>
        <v>0</v>
      </c>
      <c r="Z130" s="1114">
        <f t="shared" si="97"/>
        <v>0</v>
      </c>
      <c r="AA130" s="1114">
        <f t="shared" si="97"/>
        <v>0</v>
      </c>
      <c r="AB130" s="1114">
        <f t="shared" si="97"/>
        <v>0</v>
      </c>
      <c r="AC130" s="1114">
        <f t="shared" si="97"/>
        <v>0</v>
      </c>
      <c r="AD130" s="1114">
        <f t="shared" si="97"/>
        <v>0</v>
      </c>
      <c r="AE130" s="1114">
        <f t="shared" si="97"/>
        <v>0</v>
      </c>
      <c r="AF130" s="1114">
        <f t="shared" si="97"/>
        <v>0</v>
      </c>
      <c r="AG130" s="1114">
        <f t="shared" si="97"/>
        <v>0</v>
      </c>
      <c r="AH130" s="1114">
        <f t="shared" si="97"/>
        <v>0</v>
      </c>
      <c r="AI130" s="1114"/>
      <c r="AJ130" s="1114"/>
      <c r="AK130" s="1114"/>
      <c r="AL130" s="1114"/>
      <c r="AM130" s="1114"/>
      <c r="AN130" s="1114"/>
      <c r="AO130" s="1114"/>
      <c r="AP130" s="1114"/>
      <c r="AQ130" s="1114"/>
      <c r="AR130" s="2465"/>
      <c r="AS130" s="1114">
        <f t="shared" ref="AS130:AW130" si="98">8.24*AS123+12.48*AS124+17.6*AS125+23.72*AS126+39.14*AS127+48.36*AS128</f>
        <v>0</v>
      </c>
      <c r="AT130" s="1114">
        <f t="shared" si="98"/>
        <v>0</v>
      </c>
      <c r="AU130" s="1114">
        <f t="shared" si="98"/>
        <v>0</v>
      </c>
      <c r="AV130" s="1114">
        <f t="shared" si="98"/>
        <v>0</v>
      </c>
      <c r="AW130" s="1114">
        <f t="shared" si="98"/>
        <v>0</v>
      </c>
      <c r="AX130" s="1115"/>
      <c r="AY130" s="1115"/>
      <c r="AZ130" s="1115"/>
      <c r="BA130" s="1115"/>
      <c r="BB130" s="1115"/>
      <c r="BC130" s="1115"/>
      <c r="BD130" s="1115"/>
      <c r="BE130" s="1115"/>
      <c r="BF130" s="1115"/>
      <c r="BG130" s="1115"/>
      <c r="BH130" s="1115"/>
      <c r="BI130" s="1115"/>
      <c r="BJ130" s="1115"/>
      <c r="BK130" s="1115"/>
      <c r="BL130" s="1115"/>
      <c r="BM130" s="1116">
        <f t="shared" si="88"/>
        <v>0</v>
      </c>
      <c r="BN130" s="579">
        <f t="shared" ref="BN130:BN161" si="99">SUM(F130:BM130)</f>
        <v>0</v>
      </c>
      <c r="BO130" s="1047"/>
      <c r="BP130" s="1038"/>
      <c r="BQ130" s="1038"/>
      <c r="BR130" s="1038"/>
      <c r="BS130" s="1038"/>
      <c r="BT130" s="1038"/>
      <c r="BU130" s="1038"/>
      <c r="BV130" s="1038"/>
      <c r="BW130" s="1040"/>
      <c r="BX130" s="1038"/>
      <c r="BY130" s="1038"/>
      <c r="BZ130" s="1038"/>
      <c r="CA130" s="1038"/>
      <c r="CB130" s="1038"/>
      <c r="CC130" s="1038"/>
      <c r="CD130" s="1038"/>
      <c r="CE130" s="1038"/>
      <c r="CF130" s="1040"/>
      <c r="CG130" s="1038"/>
      <c r="CH130" s="1038"/>
      <c r="CI130" s="1038"/>
      <c r="CJ130" s="1038"/>
      <c r="CK130" s="1038"/>
      <c r="CL130" s="1038"/>
      <c r="CM130" s="1040"/>
      <c r="CN130" s="1040"/>
      <c r="CO130" s="1038"/>
      <c r="CP130" s="1038"/>
      <c r="CQ130" s="1038"/>
      <c r="CR130" s="1038"/>
      <c r="CS130" s="1038"/>
      <c r="CT130" s="1040"/>
      <c r="CU130" s="1041"/>
      <c r="CV130" s="1038"/>
      <c r="CW130" s="973"/>
      <c r="CX130" s="973"/>
    </row>
    <row r="131" spans="1:102" s="14" customFormat="1" ht="21.95" hidden="1" customHeight="1" x14ac:dyDescent="0.15">
      <c r="A131" s="2707"/>
      <c r="B131" s="2705"/>
      <c r="C131" s="567" t="s">
        <v>1214</v>
      </c>
      <c r="D131" s="1003"/>
      <c r="E131" s="1287"/>
      <c r="F131" s="1114">
        <f t="shared" ref="F131:G131" si="100">34.3*F123+50.6*F124+70.1*F125+92.7*F126+147.6*F127+179.6*F128</f>
        <v>0</v>
      </c>
      <c r="G131" s="1114">
        <f t="shared" si="100"/>
        <v>0</v>
      </c>
      <c r="H131" s="1114">
        <f t="shared" ref="H131:I131" si="101">34.3*H123+50.6*H124+70.1*H125+92.7*H126+147.6*H127+179.6*H128</f>
        <v>0</v>
      </c>
      <c r="I131" s="1114">
        <f t="shared" si="101"/>
        <v>0</v>
      </c>
      <c r="J131" s="1114"/>
      <c r="K131" s="1114"/>
      <c r="L131" s="1114"/>
      <c r="M131" s="1114"/>
      <c r="N131" s="2465"/>
      <c r="O131" s="1114">
        <f t="shared" ref="O131:V131" si="102">34.3*O123+50.6*O124+70.1*O125+92.7*O126+147.6*O127+179.6*O128</f>
        <v>0</v>
      </c>
      <c r="P131" s="1114">
        <f t="shared" si="102"/>
        <v>0</v>
      </c>
      <c r="Q131" s="1114">
        <f t="shared" si="102"/>
        <v>0</v>
      </c>
      <c r="R131" s="1114">
        <f t="shared" si="102"/>
        <v>0</v>
      </c>
      <c r="S131" s="1114">
        <f t="shared" si="102"/>
        <v>0</v>
      </c>
      <c r="T131" s="1114">
        <f t="shared" si="102"/>
        <v>0</v>
      </c>
      <c r="U131" s="1114">
        <f t="shared" si="102"/>
        <v>0</v>
      </c>
      <c r="V131" s="1114">
        <f t="shared" si="102"/>
        <v>0</v>
      </c>
      <c r="W131" s="1114"/>
      <c r="X131" s="2465"/>
      <c r="Y131" s="1114">
        <f t="shared" ref="Y131:AH131" si="103">34.3*Y123+50.6*Y124+70.1*Y125+92.7*Y126+147.6*Y127+179.6*Y128</f>
        <v>0</v>
      </c>
      <c r="Z131" s="1114">
        <f t="shared" si="103"/>
        <v>0</v>
      </c>
      <c r="AA131" s="1114">
        <f t="shared" si="103"/>
        <v>0</v>
      </c>
      <c r="AB131" s="1114">
        <f t="shared" si="103"/>
        <v>0</v>
      </c>
      <c r="AC131" s="1114">
        <f t="shared" si="103"/>
        <v>0</v>
      </c>
      <c r="AD131" s="1114">
        <f t="shared" si="103"/>
        <v>0</v>
      </c>
      <c r="AE131" s="1114">
        <f t="shared" si="103"/>
        <v>0</v>
      </c>
      <c r="AF131" s="1114">
        <f t="shared" si="103"/>
        <v>0</v>
      </c>
      <c r="AG131" s="1114">
        <f t="shared" si="103"/>
        <v>0</v>
      </c>
      <c r="AH131" s="1114">
        <f t="shared" si="103"/>
        <v>0</v>
      </c>
      <c r="AI131" s="1114"/>
      <c r="AJ131" s="1114"/>
      <c r="AK131" s="1114"/>
      <c r="AL131" s="1114"/>
      <c r="AM131" s="1114"/>
      <c r="AN131" s="1114"/>
      <c r="AO131" s="1114"/>
      <c r="AP131" s="1114"/>
      <c r="AQ131" s="1114"/>
      <c r="AR131" s="2465"/>
      <c r="AS131" s="1114">
        <f t="shared" ref="AS131:AW131" si="104">34.3*AS123+50.6*AS124+70.1*AS125+92.7*AS126+147.6*AS127+179.6*AS128</f>
        <v>0</v>
      </c>
      <c r="AT131" s="1114">
        <f t="shared" si="104"/>
        <v>0</v>
      </c>
      <c r="AU131" s="1114">
        <f t="shared" si="104"/>
        <v>0</v>
      </c>
      <c r="AV131" s="1114">
        <f t="shared" si="104"/>
        <v>0</v>
      </c>
      <c r="AW131" s="1114">
        <f t="shared" si="104"/>
        <v>0</v>
      </c>
      <c r="AX131" s="1115"/>
      <c r="AY131" s="1115"/>
      <c r="AZ131" s="1115"/>
      <c r="BA131" s="1115"/>
      <c r="BB131" s="1115"/>
      <c r="BC131" s="1115"/>
      <c r="BD131" s="1115"/>
      <c r="BE131" s="1115"/>
      <c r="BF131" s="1115"/>
      <c r="BG131" s="1115"/>
      <c r="BH131" s="1115"/>
      <c r="BI131" s="1115"/>
      <c r="BJ131" s="1115"/>
      <c r="BK131" s="1115"/>
      <c r="BL131" s="1115"/>
      <c r="BM131" s="1116">
        <f t="shared" si="88"/>
        <v>0</v>
      </c>
      <c r="BN131" s="579">
        <f t="shared" si="99"/>
        <v>0</v>
      </c>
      <c r="BO131" s="1047"/>
      <c r="BP131" s="1038"/>
      <c r="BQ131" s="1038"/>
      <c r="BR131" s="1038"/>
      <c r="BS131" s="1038"/>
      <c r="BT131" s="1038"/>
      <c r="BU131" s="1038"/>
      <c r="BV131" s="1038"/>
      <c r="BW131" s="1040"/>
      <c r="BX131" s="1038"/>
      <c r="BY131" s="1038"/>
      <c r="BZ131" s="1038"/>
      <c r="CA131" s="1038"/>
      <c r="CB131" s="1038"/>
      <c r="CC131" s="1038"/>
      <c r="CD131" s="1038"/>
      <c r="CE131" s="1038"/>
      <c r="CF131" s="1040"/>
      <c r="CG131" s="1038"/>
      <c r="CH131" s="1038"/>
      <c r="CI131" s="1038"/>
      <c r="CJ131" s="1038"/>
      <c r="CK131" s="1038"/>
      <c r="CL131" s="1038"/>
      <c r="CM131" s="1040"/>
      <c r="CN131" s="1040"/>
      <c r="CO131" s="1038"/>
      <c r="CP131" s="1038"/>
      <c r="CQ131" s="1038"/>
      <c r="CR131" s="1038"/>
      <c r="CS131" s="1038"/>
      <c r="CT131" s="1040"/>
      <c r="CU131" s="1041"/>
      <c r="CV131" s="1038"/>
      <c r="CW131" s="973"/>
      <c r="CX131" s="973"/>
    </row>
    <row r="132" spans="1:102" s="14" customFormat="1" ht="21.95" hidden="1" customHeight="1" x14ac:dyDescent="0.15">
      <c r="A132" s="2707"/>
      <c r="B132" s="2705"/>
      <c r="C132" s="567" t="s">
        <v>492</v>
      </c>
      <c r="D132" s="1003"/>
      <c r="E132" s="1287"/>
      <c r="F132" s="1114">
        <f t="shared" ref="F132:G132" si="105">34.36*F123+45.28*F124+59.3*F125+74.98*F126+109.04*F127+126.26*F128</f>
        <v>0</v>
      </c>
      <c r="G132" s="1114">
        <f t="shared" si="105"/>
        <v>0</v>
      </c>
      <c r="H132" s="1114">
        <f t="shared" ref="H132:I132" si="106">34.36*H123+45.28*H124+59.3*H125+74.98*H126+109.04*H127+126.26*H128</f>
        <v>0</v>
      </c>
      <c r="I132" s="1114">
        <f t="shared" si="106"/>
        <v>0</v>
      </c>
      <c r="J132" s="1114"/>
      <c r="K132" s="1114"/>
      <c r="L132" s="1114"/>
      <c r="M132" s="1114"/>
      <c r="N132" s="2465"/>
      <c r="O132" s="1114">
        <f t="shared" ref="O132:V132" si="107">34.36*O123+45.28*O124+59.3*O125+74.98*O126+109.04*O127+126.26*O128</f>
        <v>0</v>
      </c>
      <c r="P132" s="1114">
        <f t="shared" si="107"/>
        <v>0</v>
      </c>
      <c r="Q132" s="1114">
        <f t="shared" si="107"/>
        <v>0</v>
      </c>
      <c r="R132" s="1114">
        <f t="shared" si="107"/>
        <v>0</v>
      </c>
      <c r="S132" s="1114">
        <f t="shared" si="107"/>
        <v>0</v>
      </c>
      <c r="T132" s="1114">
        <f t="shared" si="107"/>
        <v>0</v>
      </c>
      <c r="U132" s="1114">
        <f t="shared" si="107"/>
        <v>0</v>
      </c>
      <c r="V132" s="1114">
        <f t="shared" si="107"/>
        <v>0</v>
      </c>
      <c r="W132" s="1114"/>
      <c r="X132" s="2465"/>
      <c r="Y132" s="1114">
        <f t="shared" ref="Y132:AH132" si="108">34.36*Y123+45.28*Y124+59.3*Y125+74.98*Y126+109.04*Y127+126.26*Y128</f>
        <v>0</v>
      </c>
      <c r="Z132" s="1114">
        <f t="shared" si="108"/>
        <v>0</v>
      </c>
      <c r="AA132" s="1114">
        <f t="shared" si="108"/>
        <v>0</v>
      </c>
      <c r="AB132" s="1114">
        <f t="shared" si="108"/>
        <v>0</v>
      </c>
      <c r="AC132" s="1114">
        <f t="shared" si="108"/>
        <v>0</v>
      </c>
      <c r="AD132" s="1114">
        <f t="shared" si="108"/>
        <v>0</v>
      </c>
      <c r="AE132" s="1114">
        <f t="shared" si="108"/>
        <v>0</v>
      </c>
      <c r="AF132" s="1114">
        <f t="shared" si="108"/>
        <v>0</v>
      </c>
      <c r="AG132" s="1114">
        <f t="shared" si="108"/>
        <v>0</v>
      </c>
      <c r="AH132" s="1114">
        <f t="shared" si="108"/>
        <v>0</v>
      </c>
      <c r="AI132" s="1114"/>
      <c r="AJ132" s="1114"/>
      <c r="AK132" s="1114"/>
      <c r="AL132" s="1114"/>
      <c r="AM132" s="1114"/>
      <c r="AN132" s="1114"/>
      <c r="AO132" s="1114"/>
      <c r="AP132" s="1114"/>
      <c r="AQ132" s="1114"/>
      <c r="AR132" s="2465"/>
      <c r="AS132" s="1114">
        <f t="shared" ref="AS132:AW132" si="109">34.36*AS123+45.28*AS124+59.3*AS125+74.98*AS126+109.04*AS127+126.26*AS128</f>
        <v>0</v>
      </c>
      <c r="AT132" s="1114">
        <f t="shared" si="109"/>
        <v>0</v>
      </c>
      <c r="AU132" s="1114">
        <f t="shared" si="109"/>
        <v>0</v>
      </c>
      <c r="AV132" s="1114">
        <f t="shared" si="109"/>
        <v>0</v>
      </c>
      <c r="AW132" s="1114">
        <f t="shared" si="109"/>
        <v>0</v>
      </c>
      <c r="AX132" s="1115"/>
      <c r="AY132" s="1115"/>
      <c r="AZ132" s="1115"/>
      <c r="BA132" s="1115"/>
      <c r="BB132" s="1115"/>
      <c r="BC132" s="1115"/>
      <c r="BD132" s="1115"/>
      <c r="BE132" s="1115"/>
      <c r="BF132" s="1115"/>
      <c r="BG132" s="1115"/>
      <c r="BH132" s="1115"/>
      <c r="BI132" s="1115"/>
      <c r="BJ132" s="1115"/>
      <c r="BK132" s="1115"/>
      <c r="BL132" s="1115"/>
      <c r="BM132" s="1116">
        <f t="shared" si="88"/>
        <v>0</v>
      </c>
      <c r="BN132" s="579">
        <f t="shared" si="99"/>
        <v>0</v>
      </c>
      <c r="BO132" s="1047"/>
      <c r="BP132" s="1038"/>
      <c r="BQ132" s="1038"/>
      <c r="BR132" s="1038"/>
      <c r="BS132" s="1038"/>
      <c r="BT132" s="1038"/>
      <c r="BU132" s="1038"/>
      <c r="BV132" s="1038"/>
      <c r="BW132" s="1040"/>
      <c r="BX132" s="1038"/>
      <c r="BY132" s="1038"/>
      <c r="BZ132" s="1038"/>
      <c r="CA132" s="1038"/>
      <c r="CB132" s="1038"/>
      <c r="CC132" s="1038"/>
      <c r="CD132" s="1038"/>
      <c r="CE132" s="1038"/>
      <c r="CF132" s="1040"/>
      <c r="CG132" s="1038"/>
      <c r="CH132" s="1038"/>
      <c r="CI132" s="1038"/>
      <c r="CJ132" s="1038"/>
      <c r="CK132" s="1038"/>
      <c r="CL132" s="1038"/>
      <c r="CM132" s="1040"/>
      <c r="CN132" s="1040"/>
      <c r="CO132" s="1038"/>
      <c r="CP132" s="1038"/>
      <c r="CQ132" s="1038"/>
      <c r="CR132" s="1038"/>
      <c r="CS132" s="1038"/>
      <c r="CT132" s="1040"/>
      <c r="CU132" s="1041"/>
      <c r="CV132" s="1038"/>
      <c r="CW132" s="973"/>
      <c r="CX132" s="973"/>
    </row>
    <row r="133" spans="1:102" s="14" customFormat="1" ht="21.95" hidden="1" customHeight="1" thickBot="1" x14ac:dyDescent="0.2">
      <c r="A133" s="2707"/>
      <c r="B133" s="2705"/>
      <c r="C133" s="567" t="s">
        <v>219</v>
      </c>
      <c r="D133" s="1010"/>
      <c r="E133" s="2255"/>
      <c r="F133" s="1117">
        <f t="shared" ref="F133:G133" si="110">3*F123+5.88*F124+10.13*F125+16.11*F126+34.22*F127+46.87*F128</f>
        <v>0</v>
      </c>
      <c r="G133" s="1117">
        <f t="shared" si="110"/>
        <v>0</v>
      </c>
      <c r="H133" s="1117">
        <f t="shared" ref="H133:I133" si="111">3*H123+5.88*H124+10.13*H125+16.11*H126+34.22*H127+46.87*H128</f>
        <v>0</v>
      </c>
      <c r="I133" s="1117">
        <f t="shared" si="111"/>
        <v>0</v>
      </c>
      <c r="J133" s="1117"/>
      <c r="K133" s="1117"/>
      <c r="L133" s="1117"/>
      <c r="M133" s="1117"/>
      <c r="N133" s="2466"/>
      <c r="O133" s="1117">
        <f t="shared" ref="O133:V133" si="112">3*O123+5.88*O124+10.13*O125+16.11*O126+34.22*O127+46.87*O128</f>
        <v>0</v>
      </c>
      <c r="P133" s="1117">
        <f t="shared" si="112"/>
        <v>0</v>
      </c>
      <c r="Q133" s="1117">
        <f t="shared" si="112"/>
        <v>0</v>
      </c>
      <c r="R133" s="1117">
        <f t="shared" si="112"/>
        <v>0</v>
      </c>
      <c r="S133" s="1117">
        <f t="shared" si="112"/>
        <v>0</v>
      </c>
      <c r="T133" s="1117">
        <f t="shared" si="112"/>
        <v>0</v>
      </c>
      <c r="U133" s="1117">
        <f t="shared" si="112"/>
        <v>0</v>
      </c>
      <c r="V133" s="1117">
        <f t="shared" si="112"/>
        <v>0</v>
      </c>
      <c r="W133" s="1117"/>
      <c r="X133" s="2466"/>
      <c r="Y133" s="1117">
        <f t="shared" ref="Y133:AH133" si="113">3*Y123+5.88*Y124+10.13*Y125+16.11*Y126+34.22*Y127+46.87*Y128</f>
        <v>0</v>
      </c>
      <c r="Z133" s="1117">
        <f t="shared" si="113"/>
        <v>0</v>
      </c>
      <c r="AA133" s="1117">
        <f t="shared" si="113"/>
        <v>0</v>
      </c>
      <c r="AB133" s="1117">
        <f t="shared" si="113"/>
        <v>0</v>
      </c>
      <c r="AC133" s="1117">
        <f t="shared" si="113"/>
        <v>0</v>
      </c>
      <c r="AD133" s="1117">
        <f t="shared" si="113"/>
        <v>0</v>
      </c>
      <c r="AE133" s="1117">
        <f t="shared" si="113"/>
        <v>0</v>
      </c>
      <c r="AF133" s="1117">
        <f t="shared" si="113"/>
        <v>0</v>
      </c>
      <c r="AG133" s="1117">
        <f t="shared" si="113"/>
        <v>0</v>
      </c>
      <c r="AH133" s="1117">
        <f t="shared" si="113"/>
        <v>0</v>
      </c>
      <c r="AI133" s="1117"/>
      <c r="AJ133" s="1117"/>
      <c r="AK133" s="1117"/>
      <c r="AL133" s="1117"/>
      <c r="AM133" s="1117"/>
      <c r="AN133" s="1117"/>
      <c r="AO133" s="1117"/>
      <c r="AP133" s="1117"/>
      <c r="AQ133" s="1117"/>
      <c r="AR133" s="2466"/>
      <c r="AS133" s="1117">
        <f t="shared" ref="AS133:AW133" si="114">3*AS123+5.88*AS124+10.13*AS125+16.11*AS126+34.22*AS127+46.87*AS128</f>
        <v>0</v>
      </c>
      <c r="AT133" s="1117">
        <f t="shared" si="114"/>
        <v>0</v>
      </c>
      <c r="AU133" s="1117">
        <f t="shared" si="114"/>
        <v>0</v>
      </c>
      <c r="AV133" s="1117">
        <f t="shared" si="114"/>
        <v>0</v>
      </c>
      <c r="AW133" s="1117">
        <f t="shared" si="114"/>
        <v>0</v>
      </c>
      <c r="AX133" s="1118"/>
      <c r="AY133" s="1118"/>
      <c r="AZ133" s="1118"/>
      <c r="BA133" s="1118"/>
      <c r="BB133" s="1118"/>
      <c r="BC133" s="1118"/>
      <c r="BD133" s="1118"/>
      <c r="BE133" s="1118"/>
      <c r="BF133" s="1118"/>
      <c r="BG133" s="1118"/>
      <c r="BH133" s="1118"/>
      <c r="BI133" s="1118"/>
      <c r="BJ133" s="1118"/>
      <c r="BK133" s="1118"/>
      <c r="BL133" s="1118"/>
      <c r="BM133" s="1119">
        <f t="shared" si="88"/>
        <v>0</v>
      </c>
      <c r="BN133" s="579">
        <f t="shared" si="99"/>
        <v>0</v>
      </c>
      <c r="BO133" s="1047"/>
      <c r="BP133" s="1038"/>
      <c r="BQ133" s="1038"/>
      <c r="BR133" s="1038"/>
      <c r="BS133" s="1038"/>
      <c r="BT133" s="1038"/>
      <c r="BU133" s="1038"/>
      <c r="BV133" s="1038"/>
      <c r="BW133" s="1040"/>
      <c r="BX133" s="1038"/>
      <c r="BY133" s="1038"/>
      <c r="BZ133" s="1038"/>
      <c r="CA133" s="1038"/>
      <c r="CB133" s="1038"/>
      <c r="CC133" s="1038"/>
      <c r="CD133" s="1038"/>
      <c r="CE133" s="1038"/>
      <c r="CF133" s="1040"/>
      <c r="CG133" s="1038"/>
      <c r="CH133" s="1038"/>
      <c r="CI133" s="1038"/>
      <c r="CJ133" s="1038"/>
      <c r="CK133" s="1038"/>
      <c r="CL133" s="1038"/>
      <c r="CM133" s="1040"/>
      <c r="CN133" s="1040"/>
      <c r="CO133" s="1038"/>
      <c r="CP133" s="1038"/>
      <c r="CQ133" s="1038"/>
      <c r="CR133" s="1038"/>
      <c r="CS133" s="1038"/>
      <c r="CT133" s="1040"/>
      <c r="CU133" s="1041"/>
      <c r="CV133" s="1038"/>
      <c r="CW133" s="973"/>
      <c r="CX133" s="973"/>
    </row>
    <row r="134" spans="1:102" s="14" customFormat="1" ht="21.95" hidden="1" customHeight="1" x14ac:dyDescent="0.15">
      <c r="A134" s="2707"/>
      <c r="B134" s="2605" t="s">
        <v>150</v>
      </c>
      <c r="C134" s="550" t="s">
        <v>1204</v>
      </c>
      <c r="D134" s="1002"/>
      <c r="E134" s="2241"/>
      <c r="F134" s="1120">
        <f>Dren_Quantificacao!D117</f>
        <v>0</v>
      </c>
      <c r="G134" s="1120">
        <f>Dren_Quantificacao!E117</f>
        <v>0</v>
      </c>
      <c r="H134" s="1120">
        <f>Dren_Quantificacao!F117</f>
        <v>0</v>
      </c>
      <c r="I134" s="1120">
        <f>Dren_Quantificacao!G117</f>
        <v>0</v>
      </c>
      <c r="J134" s="1120"/>
      <c r="K134" s="1120"/>
      <c r="L134" s="1120"/>
      <c r="M134" s="1120"/>
      <c r="N134" s="2467"/>
      <c r="O134" s="1120">
        <f>Dren_Quantificacao!M117</f>
        <v>0</v>
      </c>
      <c r="P134" s="1120">
        <f>Dren_Quantificacao!N117</f>
        <v>0</v>
      </c>
      <c r="Q134" s="1120">
        <f>Dren_Quantificacao!O117</f>
        <v>0</v>
      </c>
      <c r="R134" s="1120">
        <f>Dren_Quantificacao!P117</f>
        <v>0</v>
      </c>
      <c r="S134" s="1120">
        <f>Dren_Quantificacao!Q117</f>
        <v>0</v>
      </c>
      <c r="T134" s="1120">
        <f>Dren_Quantificacao!R117</f>
        <v>0</v>
      </c>
      <c r="U134" s="1120">
        <f>Dren_Quantificacao!S117</f>
        <v>0</v>
      </c>
      <c r="V134" s="1120">
        <f>Dren_Quantificacao!T117</f>
        <v>0</v>
      </c>
      <c r="W134" s="1120"/>
      <c r="X134" s="2467"/>
      <c r="Y134" s="1120">
        <f>Dren_Quantificacao!W117</f>
        <v>0</v>
      </c>
      <c r="Z134" s="1120">
        <f>Dren_Quantificacao!X117</f>
        <v>0</v>
      </c>
      <c r="AA134" s="1120">
        <f>Dren_Quantificacao!Y117</f>
        <v>0</v>
      </c>
      <c r="AB134" s="1120">
        <f>Dren_Quantificacao!Z117</f>
        <v>0</v>
      </c>
      <c r="AC134" s="1120">
        <f>Dren_Quantificacao!AA117</f>
        <v>0</v>
      </c>
      <c r="AD134" s="1120">
        <f>Dren_Quantificacao!AB117</f>
        <v>0</v>
      </c>
      <c r="AE134" s="1120">
        <f>Dren_Quantificacao!AC117</f>
        <v>0</v>
      </c>
      <c r="AF134" s="1120">
        <f>Dren_Quantificacao!AD117</f>
        <v>0</v>
      </c>
      <c r="AG134" s="1120">
        <f>Dren_Quantificacao!AE117</f>
        <v>0</v>
      </c>
      <c r="AH134" s="1120">
        <f>Dren_Quantificacao!AF117</f>
        <v>0</v>
      </c>
      <c r="AI134" s="1120"/>
      <c r="AJ134" s="1120"/>
      <c r="AK134" s="1120"/>
      <c r="AL134" s="1120"/>
      <c r="AM134" s="1120"/>
      <c r="AN134" s="1120"/>
      <c r="AO134" s="1120"/>
      <c r="AP134" s="1120"/>
      <c r="AQ134" s="1120"/>
      <c r="AR134" s="2467"/>
      <c r="AS134" s="1120">
        <f>Dren_Quantificacao!AQ117</f>
        <v>0</v>
      </c>
      <c r="AT134" s="1120">
        <f>Dren_Quantificacao!AR117</f>
        <v>0</v>
      </c>
      <c r="AU134" s="1120">
        <f>Dren_Quantificacao!AS117</f>
        <v>0</v>
      </c>
      <c r="AV134" s="1120">
        <f>Dren_Quantificacao!AT117</f>
        <v>0</v>
      </c>
      <c r="AW134" s="1120">
        <f>Dren_Quantificacao!AU117</f>
        <v>0</v>
      </c>
      <c r="AX134" s="1121">
        <f>Dren_Quantificacao!AW117</f>
        <v>0</v>
      </c>
      <c r="AY134" s="1121">
        <f>Dren_Quantificacao!AX117</f>
        <v>0</v>
      </c>
      <c r="AZ134" s="1121">
        <f>Dren_Quantificacao!AY117</f>
        <v>0</v>
      </c>
      <c r="BA134" s="1121">
        <f>Dren_Quantificacao!AZ117</f>
        <v>0</v>
      </c>
      <c r="BB134" s="1121">
        <f>Dren_Quantificacao!BA117</f>
        <v>0</v>
      </c>
      <c r="BC134" s="1121">
        <f>+Dren_Quantificacao!BB117</f>
        <v>0</v>
      </c>
      <c r="BD134" s="1121">
        <f>+Dren_Quantificacao!BC117</f>
        <v>0</v>
      </c>
      <c r="BE134" s="1121">
        <f>+Dren_Quantificacao!BD117</f>
        <v>0</v>
      </c>
      <c r="BF134" s="1121">
        <f>+Dren_Quantificacao!BE117</f>
        <v>0</v>
      </c>
      <c r="BG134" s="1121">
        <f>+Dren_Quantificacao!BF117</f>
        <v>0</v>
      </c>
      <c r="BH134" s="1121">
        <f>+Dren_Quantificacao!BG117</f>
        <v>0</v>
      </c>
      <c r="BI134" s="1121">
        <f>+Dren_Quantificacao!BH117</f>
        <v>0</v>
      </c>
      <c r="BJ134" s="1120">
        <f>+Dren_Quantificacao!BI117</f>
        <v>0</v>
      </c>
      <c r="BK134" s="1120">
        <f>+Dren_Quantificacao!BJ117</f>
        <v>0</v>
      </c>
      <c r="BL134" s="1120">
        <f>+Dren_Quantificacao!BK117</f>
        <v>0</v>
      </c>
      <c r="BM134" s="1122">
        <f t="shared" si="88"/>
        <v>0</v>
      </c>
      <c r="BN134" s="579">
        <f t="shared" si="99"/>
        <v>0</v>
      </c>
      <c r="BO134" s="1047">
        <v>1</v>
      </c>
      <c r="BP134" s="1038"/>
      <c r="BQ134" s="1038"/>
      <c r="BR134" s="1038"/>
      <c r="BS134" s="1038"/>
      <c r="BT134" s="1038"/>
      <c r="BU134" s="1038"/>
      <c r="BV134" s="1038"/>
      <c r="BW134" s="1040"/>
      <c r="BX134" s="1038">
        <v>1</v>
      </c>
      <c r="BY134" s="1038"/>
      <c r="BZ134" s="1038"/>
      <c r="CA134" s="1038"/>
      <c r="CB134" s="1038"/>
      <c r="CC134" s="1038"/>
      <c r="CD134" s="1038"/>
      <c r="CE134" s="1038"/>
      <c r="CF134" s="1040"/>
      <c r="CG134" s="1038">
        <v>1</v>
      </c>
      <c r="CH134" s="1038"/>
      <c r="CI134" s="1038"/>
      <c r="CJ134" s="1038"/>
      <c r="CK134" s="1038"/>
      <c r="CL134" s="1038"/>
      <c r="CM134" s="1040"/>
      <c r="CN134" s="1040"/>
      <c r="CO134" s="1038"/>
      <c r="CP134" s="1038"/>
      <c r="CQ134" s="1038"/>
      <c r="CR134" s="1038"/>
      <c r="CS134" s="1038"/>
      <c r="CT134" s="1040"/>
      <c r="CU134" s="1041"/>
      <c r="CV134" s="1038"/>
      <c r="CW134" s="973"/>
      <c r="CX134" s="973"/>
    </row>
    <row r="135" spans="1:102" s="14" customFormat="1" ht="21.95" hidden="1" customHeight="1" x14ac:dyDescent="0.15">
      <c r="A135" s="2707"/>
      <c r="B135" s="2606"/>
      <c r="C135" s="567" t="s">
        <v>218</v>
      </c>
      <c r="D135" s="1003"/>
      <c r="E135" s="1287"/>
      <c r="F135" s="1114">
        <f>Dren_Quantificacao!D118</f>
        <v>0</v>
      </c>
      <c r="G135" s="1114">
        <f>Dren_Quantificacao!E118</f>
        <v>0</v>
      </c>
      <c r="H135" s="1114">
        <f>Dren_Quantificacao!F118</f>
        <v>0</v>
      </c>
      <c r="I135" s="1114">
        <f>Dren_Quantificacao!G118</f>
        <v>0</v>
      </c>
      <c r="J135" s="1114"/>
      <c r="K135" s="1114"/>
      <c r="L135" s="1114"/>
      <c r="M135" s="1114"/>
      <c r="N135" s="2465"/>
      <c r="O135" s="1114">
        <f>Dren_Quantificacao!M118</f>
        <v>0</v>
      </c>
      <c r="P135" s="1114">
        <f>Dren_Quantificacao!N118</f>
        <v>0</v>
      </c>
      <c r="Q135" s="1114">
        <f>Dren_Quantificacao!O118</f>
        <v>0</v>
      </c>
      <c r="R135" s="1114">
        <f>Dren_Quantificacao!P118</f>
        <v>0</v>
      </c>
      <c r="S135" s="1114">
        <f>Dren_Quantificacao!Q118</f>
        <v>0</v>
      </c>
      <c r="T135" s="1114">
        <f>Dren_Quantificacao!R118</f>
        <v>0</v>
      </c>
      <c r="U135" s="1114">
        <f>Dren_Quantificacao!S118</f>
        <v>0</v>
      </c>
      <c r="V135" s="1114">
        <f>Dren_Quantificacao!T118</f>
        <v>0</v>
      </c>
      <c r="W135" s="1114"/>
      <c r="X135" s="2465"/>
      <c r="Y135" s="1114">
        <f>Dren_Quantificacao!W118</f>
        <v>0</v>
      </c>
      <c r="Z135" s="1114">
        <f>Dren_Quantificacao!X118</f>
        <v>0</v>
      </c>
      <c r="AA135" s="1114">
        <f>Dren_Quantificacao!Y118</f>
        <v>0</v>
      </c>
      <c r="AB135" s="1114">
        <f>Dren_Quantificacao!Z118</f>
        <v>0</v>
      </c>
      <c r="AC135" s="1114">
        <f>Dren_Quantificacao!AA118</f>
        <v>0</v>
      </c>
      <c r="AD135" s="1114">
        <f>Dren_Quantificacao!AB118</f>
        <v>0</v>
      </c>
      <c r="AE135" s="1114">
        <f>Dren_Quantificacao!AC118</f>
        <v>0</v>
      </c>
      <c r="AF135" s="1114">
        <f>Dren_Quantificacao!AD118</f>
        <v>0</v>
      </c>
      <c r="AG135" s="1114">
        <f>Dren_Quantificacao!AE118</f>
        <v>0</v>
      </c>
      <c r="AH135" s="1114">
        <f>Dren_Quantificacao!AF118</f>
        <v>0</v>
      </c>
      <c r="AI135" s="1114"/>
      <c r="AJ135" s="1114"/>
      <c r="AK135" s="1114"/>
      <c r="AL135" s="1114"/>
      <c r="AM135" s="1114"/>
      <c r="AN135" s="1114"/>
      <c r="AO135" s="1114"/>
      <c r="AP135" s="1114"/>
      <c r="AQ135" s="1114"/>
      <c r="AR135" s="2465"/>
      <c r="AS135" s="1114">
        <f>Dren_Quantificacao!AQ118</f>
        <v>0</v>
      </c>
      <c r="AT135" s="1114">
        <f>Dren_Quantificacao!AR118</f>
        <v>0</v>
      </c>
      <c r="AU135" s="1114">
        <f>Dren_Quantificacao!AS118</f>
        <v>0</v>
      </c>
      <c r="AV135" s="1114">
        <f>Dren_Quantificacao!AT118</f>
        <v>0</v>
      </c>
      <c r="AW135" s="1114">
        <f>Dren_Quantificacao!AU118</f>
        <v>0</v>
      </c>
      <c r="AX135" s="1115">
        <f>Dren_Quantificacao!AW118</f>
        <v>0</v>
      </c>
      <c r="AY135" s="1115">
        <f>Dren_Quantificacao!AX118</f>
        <v>0</v>
      </c>
      <c r="AZ135" s="1115">
        <f>Dren_Quantificacao!AY118</f>
        <v>0</v>
      </c>
      <c r="BA135" s="1115">
        <f>Dren_Quantificacao!AZ118</f>
        <v>0</v>
      </c>
      <c r="BB135" s="1115">
        <f>Dren_Quantificacao!BA118</f>
        <v>0</v>
      </c>
      <c r="BC135" s="1115">
        <f>+Dren_Quantificacao!BB118</f>
        <v>0</v>
      </c>
      <c r="BD135" s="1115">
        <f>+Dren_Quantificacao!BC118</f>
        <v>0</v>
      </c>
      <c r="BE135" s="1115">
        <f>+Dren_Quantificacao!BD118</f>
        <v>0</v>
      </c>
      <c r="BF135" s="1115">
        <f>+Dren_Quantificacao!BE118</f>
        <v>0</v>
      </c>
      <c r="BG135" s="1115">
        <f>+Dren_Quantificacao!BF118</f>
        <v>0</v>
      </c>
      <c r="BH135" s="1115">
        <f>+Dren_Quantificacao!BG118</f>
        <v>0</v>
      </c>
      <c r="BI135" s="1115">
        <f>+Dren_Quantificacao!BH118</f>
        <v>0</v>
      </c>
      <c r="BJ135" s="1114">
        <f>+Dren_Quantificacao!BI118</f>
        <v>0</v>
      </c>
      <c r="BK135" s="1114">
        <f>+Dren_Quantificacao!BJ118</f>
        <v>0</v>
      </c>
      <c r="BL135" s="1114">
        <f>+Dren_Quantificacao!BK118</f>
        <v>0</v>
      </c>
      <c r="BM135" s="1116">
        <f t="shared" si="88"/>
        <v>0</v>
      </c>
      <c r="BN135" s="579">
        <f t="shared" si="99"/>
        <v>0</v>
      </c>
      <c r="BO135" s="1047"/>
      <c r="BP135" s="1038"/>
      <c r="BQ135" s="1038"/>
      <c r="BR135" s="1038"/>
      <c r="BS135" s="1038">
        <v>1</v>
      </c>
      <c r="BT135" s="1038"/>
      <c r="BU135" s="1038"/>
      <c r="BV135" s="1038"/>
      <c r="BW135" s="1040"/>
      <c r="BX135" s="1038"/>
      <c r="BY135" s="1038"/>
      <c r="BZ135" s="1038"/>
      <c r="CA135" s="1038"/>
      <c r="CB135" s="1038">
        <v>1</v>
      </c>
      <c r="CC135" s="1038"/>
      <c r="CD135" s="1038"/>
      <c r="CE135" s="1038"/>
      <c r="CF135" s="1040"/>
      <c r="CG135" s="1038"/>
      <c r="CH135" s="1038"/>
      <c r="CI135" s="1038"/>
      <c r="CJ135" s="1038"/>
      <c r="CK135" s="1038">
        <v>1</v>
      </c>
      <c r="CL135" s="1038"/>
      <c r="CM135" s="1040"/>
      <c r="CN135" s="1040"/>
      <c r="CO135" s="1038"/>
      <c r="CP135" s="1038"/>
      <c r="CQ135" s="1038"/>
      <c r="CR135" s="1038"/>
      <c r="CS135" s="1038"/>
      <c r="CT135" s="1040"/>
      <c r="CU135" s="1041"/>
      <c r="CV135" s="1038"/>
      <c r="CW135" s="973"/>
      <c r="CX135" s="973"/>
    </row>
    <row r="136" spans="1:102" s="14" customFormat="1" ht="21.95" hidden="1" customHeight="1" x14ac:dyDescent="0.15">
      <c r="A136" s="2707"/>
      <c r="B136" s="2606"/>
      <c r="C136" s="567" t="s">
        <v>1214</v>
      </c>
      <c r="D136" s="1003"/>
      <c r="E136" s="1287"/>
      <c r="F136" s="1114">
        <f>Dren_Quantificacao!D119</f>
        <v>0</v>
      </c>
      <c r="G136" s="1114">
        <f>Dren_Quantificacao!E119</f>
        <v>0</v>
      </c>
      <c r="H136" s="1114">
        <f>Dren_Quantificacao!F119</f>
        <v>0</v>
      </c>
      <c r="I136" s="1114">
        <f>Dren_Quantificacao!G119</f>
        <v>0</v>
      </c>
      <c r="J136" s="1114"/>
      <c r="K136" s="1114"/>
      <c r="L136" s="1114"/>
      <c r="M136" s="1114"/>
      <c r="N136" s="2465"/>
      <c r="O136" s="1114">
        <f>Dren_Quantificacao!M119</f>
        <v>0</v>
      </c>
      <c r="P136" s="1114">
        <f>Dren_Quantificacao!N119</f>
        <v>0</v>
      </c>
      <c r="Q136" s="1114">
        <f>Dren_Quantificacao!O119</f>
        <v>0</v>
      </c>
      <c r="R136" s="1114">
        <f>Dren_Quantificacao!P119</f>
        <v>0</v>
      </c>
      <c r="S136" s="1114">
        <f>Dren_Quantificacao!Q119</f>
        <v>0</v>
      </c>
      <c r="T136" s="1114">
        <f>Dren_Quantificacao!R119</f>
        <v>0</v>
      </c>
      <c r="U136" s="1114">
        <f>Dren_Quantificacao!S119</f>
        <v>0</v>
      </c>
      <c r="V136" s="1114">
        <f>Dren_Quantificacao!T119</f>
        <v>0</v>
      </c>
      <c r="W136" s="1114"/>
      <c r="X136" s="2465"/>
      <c r="Y136" s="1114">
        <f>Dren_Quantificacao!W119</f>
        <v>0</v>
      </c>
      <c r="Z136" s="1114">
        <f>Dren_Quantificacao!X119</f>
        <v>0</v>
      </c>
      <c r="AA136" s="1114">
        <f>Dren_Quantificacao!Y119</f>
        <v>0</v>
      </c>
      <c r="AB136" s="1114">
        <f>Dren_Quantificacao!Z119</f>
        <v>0</v>
      </c>
      <c r="AC136" s="1114">
        <f>Dren_Quantificacao!AA119</f>
        <v>0</v>
      </c>
      <c r="AD136" s="1114">
        <f>Dren_Quantificacao!AB119</f>
        <v>0</v>
      </c>
      <c r="AE136" s="1114">
        <f>Dren_Quantificacao!AC119</f>
        <v>0</v>
      </c>
      <c r="AF136" s="1114">
        <f>Dren_Quantificacao!AD119</f>
        <v>0</v>
      </c>
      <c r="AG136" s="1114">
        <f>Dren_Quantificacao!AE119</f>
        <v>0</v>
      </c>
      <c r="AH136" s="1114">
        <f>Dren_Quantificacao!AF119</f>
        <v>0</v>
      </c>
      <c r="AI136" s="1114"/>
      <c r="AJ136" s="1114"/>
      <c r="AK136" s="1114"/>
      <c r="AL136" s="1114"/>
      <c r="AM136" s="1114"/>
      <c r="AN136" s="1114"/>
      <c r="AO136" s="1114"/>
      <c r="AP136" s="1114"/>
      <c r="AQ136" s="1114"/>
      <c r="AR136" s="2465"/>
      <c r="AS136" s="1114">
        <f>Dren_Quantificacao!AQ119</f>
        <v>0</v>
      </c>
      <c r="AT136" s="1114">
        <f>Dren_Quantificacao!AR119</f>
        <v>0</v>
      </c>
      <c r="AU136" s="1114">
        <f>Dren_Quantificacao!AS119</f>
        <v>0</v>
      </c>
      <c r="AV136" s="1114">
        <f>Dren_Quantificacao!AT119</f>
        <v>0</v>
      </c>
      <c r="AW136" s="1114">
        <f>Dren_Quantificacao!AU119</f>
        <v>0</v>
      </c>
      <c r="AX136" s="1115">
        <f>Dren_Quantificacao!AW119</f>
        <v>0</v>
      </c>
      <c r="AY136" s="1115">
        <f>Dren_Quantificacao!AX119</f>
        <v>0</v>
      </c>
      <c r="AZ136" s="1115">
        <f>Dren_Quantificacao!AY119</f>
        <v>0</v>
      </c>
      <c r="BA136" s="1115">
        <f>Dren_Quantificacao!AZ119</f>
        <v>0</v>
      </c>
      <c r="BB136" s="1115">
        <f>Dren_Quantificacao!BA119</f>
        <v>0</v>
      </c>
      <c r="BC136" s="1115">
        <f>+Dren_Quantificacao!BB119</f>
        <v>0</v>
      </c>
      <c r="BD136" s="1115">
        <f>+Dren_Quantificacao!BC119</f>
        <v>0</v>
      </c>
      <c r="BE136" s="1115">
        <f>+Dren_Quantificacao!BD119</f>
        <v>0</v>
      </c>
      <c r="BF136" s="1115">
        <f>+Dren_Quantificacao!BE119</f>
        <v>0</v>
      </c>
      <c r="BG136" s="1115">
        <f>+Dren_Quantificacao!BF119</f>
        <v>0</v>
      </c>
      <c r="BH136" s="1115">
        <f>+Dren_Quantificacao!BG119</f>
        <v>0</v>
      </c>
      <c r="BI136" s="1115">
        <f>+Dren_Quantificacao!BH119</f>
        <v>0</v>
      </c>
      <c r="BJ136" s="1114">
        <f>+Dren_Quantificacao!BI119</f>
        <v>0</v>
      </c>
      <c r="BK136" s="1114">
        <f>+Dren_Quantificacao!BJ119</f>
        <v>0</v>
      </c>
      <c r="BL136" s="1114">
        <f>+Dren_Quantificacao!BK119</f>
        <v>0</v>
      </c>
      <c r="BM136" s="1116">
        <f t="shared" si="88"/>
        <v>0</v>
      </c>
      <c r="BN136" s="579">
        <f t="shared" si="99"/>
        <v>0</v>
      </c>
      <c r="BO136" s="1047"/>
      <c r="BP136" s="1038"/>
      <c r="BQ136" s="1038"/>
      <c r="BR136" s="1038"/>
      <c r="BS136" s="1038"/>
      <c r="BT136" s="1038"/>
      <c r="BU136" s="1038"/>
      <c r="BV136" s="1038"/>
      <c r="BW136" s="1040"/>
      <c r="BX136" s="1038"/>
      <c r="BY136" s="1038"/>
      <c r="BZ136" s="1038"/>
      <c r="CA136" s="1038"/>
      <c r="CB136" s="1038"/>
      <c r="CC136" s="1038"/>
      <c r="CD136" s="1038"/>
      <c r="CE136" s="1038"/>
      <c r="CF136" s="1040"/>
      <c r="CG136" s="1038"/>
      <c r="CH136" s="1038"/>
      <c r="CI136" s="1038"/>
      <c r="CJ136" s="1038"/>
      <c r="CK136" s="1038"/>
      <c r="CL136" s="1038"/>
      <c r="CM136" s="1040"/>
      <c r="CN136" s="1040"/>
      <c r="CO136" s="1038"/>
      <c r="CP136" s="1038"/>
      <c r="CQ136" s="1038"/>
      <c r="CR136" s="1038"/>
      <c r="CS136" s="1038">
        <v>1</v>
      </c>
      <c r="CT136" s="1040"/>
      <c r="CU136" s="1041"/>
      <c r="CV136" s="1038"/>
      <c r="CW136" s="973"/>
      <c r="CX136" s="973"/>
    </row>
    <row r="137" spans="1:102" s="14" customFormat="1" ht="21.95" hidden="1" customHeight="1" x14ac:dyDescent="0.15">
      <c r="A137" s="2707"/>
      <c r="B137" s="2606"/>
      <c r="C137" s="567" t="s">
        <v>943</v>
      </c>
      <c r="D137" s="1003"/>
      <c r="E137" s="1287"/>
      <c r="F137" s="1114">
        <f>Dren_Quantificacao!D120</f>
        <v>0</v>
      </c>
      <c r="G137" s="1114">
        <f>Dren_Quantificacao!E120</f>
        <v>0</v>
      </c>
      <c r="H137" s="1114">
        <f>Dren_Quantificacao!F120</f>
        <v>0</v>
      </c>
      <c r="I137" s="1114">
        <f>Dren_Quantificacao!G120</f>
        <v>0</v>
      </c>
      <c r="J137" s="1114"/>
      <c r="K137" s="1114"/>
      <c r="L137" s="1114"/>
      <c r="M137" s="1114"/>
      <c r="N137" s="2465"/>
      <c r="O137" s="1114">
        <f>Dren_Quantificacao!M120</f>
        <v>0</v>
      </c>
      <c r="P137" s="1114">
        <f>Dren_Quantificacao!N120</f>
        <v>0</v>
      </c>
      <c r="Q137" s="1114">
        <f>Dren_Quantificacao!O120</f>
        <v>0</v>
      </c>
      <c r="R137" s="1114">
        <f>Dren_Quantificacao!P120</f>
        <v>0</v>
      </c>
      <c r="S137" s="1114">
        <f>Dren_Quantificacao!Q120</f>
        <v>0</v>
      </c>
      <c r="T137" s="1114">
        <f>Dren_Quantificacao!R120</f>
        <v>0</v>
      </c>
      <c r="U137" s="1114">
        <f>Dren_Quantificacao!S120</f>
        <v>0</v>
      </c>
      <c r="V137" s="1114">
        <f>Dren_Quantificacao!T120</f>
        <v>0</v>
      </c>
      <c r="W137" s="1114"/>
      <c r="X137" s="2465"/>
      <c r="Y137" s="1114">
        <f>Dren_Quantificacao!W120</f>
        <v>0</v>
      </c>
      <c r="Z137" s="1114">
        <f>Dren_Quantificacao!X120</f>
        <v>0</v>
      </c>
      <c r="AA137" s="1114">
        <f>Dren_Quantificacao!Y120</f>
        <v>0</v>
      </c>
      <c r="AB137" s="1114">
        <f>Dren_Quantificacao!Z120</f>
        <v>0</v>
      </c>
      <c r="AC137" s="1114">
        <f>Dren_Quantificacao!AA120</f>
        <v>0</v>
      </c>
      <c r="AD137" s="1114">
        <f>Dren_Quantificacao!AB120</f>
        <v>0</v>
      </c>
      <c r="AE137" s="1114">
        <f>Dren_Quantificacao!AC120</f>
        <v>0</v>
      </c>
      <c r="AF137" s="1114">
        <f>Dren_Quantificacao!AD120</f>
        <v>0</v>
      </c>
      <c r="AG137" s="1114">
        <f>Dren_Quantificacao!AE120</f>
        <v>0</v>
      </c>
      <c r="AH137" s="1114">
        <f>Dren_Quantificacao!AF120</f>
        <v>0</v>
      </c>
      <c r="AI137" s="1114"/>
      <c r="AJ137" s="1114"/>
      <c r="AK137" s="1114"/>
      <c r="AL137" s="1114"/>
      <c r="AM137" s="1114"/>
      <c r="AN137" s="1114"/>
      <c r="AO137" s="1114"/>
      <c r="AP137" s="1114"/>
      <c r="AQ137" s="1114"/>
      <c r="AR137" s="2465"/>
      <c r="AS137" s="1114">
        <f>Dren_Quantificacao!AQ120</f>
        <v>0</v>
      </c>
      <c r="AT137" s="1114">
        <f>Dren_Quantificacao!AR120</f>
        <v>0</v>
      </c>
      <c r="AU137" s="1114">
        <f>Dren_Quantificacao!AS120</f>
        <v>0</v>
      </c>
      <c r="AV137" s="1114">
        <f>Dren_Quantificacao!AT120</f>
        <v>0</v>
      </c>
      <c r="AW137" s="1114">
        <f>Dren_Quantificacao!AU120</f>
        <v>0</v>
      </c>
      <c r="AX137" s="1115"/>
      <c r="AY137" s="1115"/>
      <c r="AZ137" s="1115"/>
      <c r="BA137" s="1115"/>
      <c r="BB137" s="1115"/>
      <c r="BC137" s="1115"/>
      <c r="BD137" s="1115"/>
      <c r="BE137" s="1115"/>
      <c r="BF137" s="1115"/>
      <c r="BG137" s="1115"/>
      <c r="BH137" s="1115"/>
      <c r="BI137" s="1115"/>
      <c r="BJ137" s="1114"/>
      <c r="BK137" s="1114"/>
      <c r="BL137" s="1114"/>
      <c r="BM137" s="1116">
        <f t="shared" si="88"/>
        <v>0</v>
      </c>
      <c r="BN137" s="579">
        <f t="shared" si="99"/>
        <v>0</v>
      </c>
      <c r="BO137" s="1047"/>
      <c r="BP137" s="1038"/>
      <c r="BQ137" s="1038"/>
      <c r="BR137" s="1038"/>
      <c r="BS137" s="1038"/>
      <c r="BT137" s="1038"/>
      <c r="BU137" s="1038"/>
      <c r="BV137" s="1038"/>
      <c r="BW137" s="1040"/>
      <c r="BX137" s="1038"/>
      <c r="BY137" s="1038"/>
      <c r="BZ137" s="1038"/>
      <c r="CA137" s="1038"/>
      <c r="CB137" s="1038"/>
      <c r="CC137" s="1038"/>
      <c r="CD137" s="1038"/>
      <c r="CE137" s="1038"/>
      <c r="CF137" s="1040"/>
      <c r="CG137" s="1038"/>
      <c r="CH137" s="1038"/>
      <c r="CI137" s="1038"/>
      <c r="CJ137" s="1038"/>
      <c r="CK137" s="1038"/>
      <c r="CL137" s="1038"/>
      <c r="CM137" s="1040"/>
      <c r="CN137" s="1040"/>
      <c r="CO137" s="1038"/>
      <c r="CP137" s="1038"/>
      <c r="CQ137" s="1038"/>
      <c r="CR137" s="1038"/>
      <c r="CS137" s="1038"/>
      <c r="CT137" s="1040"/>
      <c r="CU137" s="1041"/>
      <c r="CV137" s="1038"/>
      <c r="CW137" s="973"/>
      <c r="CX137" s="973"/>
    </row>
    <row r="138" spans="1:102" s="14" customFormat="1" ht="21.95" hidden="1" customHeight="1" x14ac:dyDescent="0.15">
      <c r="A138" s="2707"/>
      <c r="B138" s="2606"/>
      <c r="C138" s="567" t="s">
        <v>507</v>
      </c>
      <c r="D138" s="1003"/>
      <c r="E138" s="2256">
        <v>0.154</v>
      </c>
      <c r="F138" s="1114">
        <f>Dren_Quantificacao!D121</f>
        <v>0</v>
      </c>
      <c r="G138" s="1114">
        <f>Dren_Quantificacao!E121</f>
        <v>0</v>
      </c>
      <c r="H138" s="1114">
        <f>Dren_Quantificacao!F121</f>
        <v>0</v>
      </c>
      <c r="I138" s="1114">
        <f>Dren_Quantificacao!G121</f>
        <v>0</v>
      </c>
      <c r="J138" s="1114"/>
      <c r="K138" s="1114"/>
      <c r="L138" s="1114"/>
      <c r="M138" s="1114"/>
      <c r="N138" s="2465"/>
      <c r="O138" s="1114">
        <f>Dren_Quantificacao!M121</f>
        <v>0</v>
      </c>
      <c r="P138" s="1114">
        <f>Dren_Quantificacao!N121</f>
        <v>0</v>
      </c>
      <c r="Q138" s="1114">
        <f>Dren_Quantificacao!O121</f>
        <v>0</v>
      </c>
      <c r="R138" s="1114">
        <f>Dren_Quantificacao!P121</f>
        <v>0</v>
      </c>
      <c r="S138" s="1114">
        <f>Dren_Quantificacao!Q121</f>
        <v>0</v>
      </c>
      <c r="T138" s="1114">
        <f>Dren_Quantificacao!R121</f>
        <v>0</v>
      </c>
      <c r="U138" s="1114">
        <f>Dren_Quantificacao!S121</f>
        <v>0</v>
      </c>
      <c r="V138" s="1114">
        <f>Dren_Quantificacao!T121</f>
        <v>0</v>
      </c>
      <c r="W138" s="1114"/>
      <c r="X138" s="2465"/>
      <c r="Y138" s="1114">
        <f>Dren_Quantificacao!W121</f>
        <v>0</v>
      </c>
      <c r="Z138" s="1114">
        <f>Dren_Quantificacao!X121</f>
        <v>0</v>
      </c>
      <c r="AA138" s="1114">
        <f>Dren_Quantificacao!Y121</f>
        <v>0</v>
      </c>
      <c r="AB138" s="1114">
        <f>Dren_Quantificacao!Z121</f>
        <v>0</v>
      </c>
      <c r="AC138" s="1114">
        <f>Dren_Quantificacao!AA121</f>
        <v>0</v>
      </c>
      <c r="AD138" s="1114">
        <f>Dren_Quantificacao!AB121</f>
        <v>0</v>
      </c>
      <c r="AE138" s="1114">
        <f>Dren_Quantificacao!AC121</f>
        <v>0</v>
      </c>
      <c r="AF138" s="1114">
        <f>Dren_Quantificacao!AD121</f>
        <v>0</v>
      </c>
      <c r="AG138" s="1114">
        <f>Dren_Quantificacao!AE121</f>
        <v>0</v>
      </c>
      <c r="AH138" s="1114">
        <f>Dren_Quantificacao!AF121</f>
        <v>0</v>
      </c>
      <c r="AI138" s="1114"/>
      <c r="AJ138" s="1114"/>
      <c r="AK138" s="1114"/>
      <c r="AL138" s="1114"/>
      <c r="AM138" s="1114"/>
      <c r="AN138" s="1114"/>
      <c r="AO138" s="1114"/>
      <c r="AP138" s="1114"/>
      <c r="AQ138" s="1114"/>
      <c r="AR138" s="2465"/>
      <c r="AS138" s="1114">
        <f>Dren_Quantificacao!AQ121</f>
        <v>0</v>
      </c>
      <c r="AT138" s="1114">
        <f>Dren_Quantificacao!AR121</f>
        <v>0</v>
      </c>
      <c r="AU138" s="1114">
        <f>Dren_Quantificacao!AS121</f>
        <v>0</v>
      </c>
      <c r="AV138" s="1114">
        <f>Dren_Quantificacao!AT121</f>
        <v>0</v>
      </c>
      <c r="AW138" s="1114">
        <f>Dren_Quantificacao!AU121</f>
        <v>0</v>
      </c>
      <c r="AX138" s="1115">
        <f>Dren_Quantificacao!AW121</f>
        <v>0</v>
      </c>
      <c r="AY138" s="1115">
        <f>Dren_Quantificacao!AX121</f>
        <v>0</v>
      </c>
      <c r="AZ138" s="1115">
        <f>Dren_Quantificacao!AY121</f>
        <v>0</v>
      </c>
      <c r="BA138" s="1115">
        <f>Dren_Quantificacao!AZ121</f>
        <v>0</v>
      </c>
      <c r="BB138" s="1115">
        <f>Dren_Quantificacao!BA121</f>
        <v>0</v>
      </c>
      <c r="BC138" s="1115">
        <f>+Dren_Quantificacao!BB121</f>
        <v>0</v>
      </c>
      <c r="BD138" s="1115">
        <f>+Dren_Quantificacao!BC121</f>
        <v>0</v>
      </c>
      <c r="BE138" s="1115">
        <f>+Dren_Quantificacao!BD121</f>
        <v>0</v>
      </c>
      <c r="BF138" s="1115">
        <f>+Dren_Quantificacao!BE121</f>
        <v>0</v>
      </c>
      <c r="BG138" s="1115">
        <f>+Dren_Quantificacao!BF121</f>
        <v>0</v>
      </c>
      <c r="BH138" s="1115">
        <f>+Dren_Quantificacao!BG121</f>
        <v>0</v>
      </c>
      <c r="BI138" s="1115">
        <f>+Dren_Quantificacao!BH121</f>
        <v>0</v>
      </c>
      <c r="BJ138" s="1114">
        <f>+Dren_Quantificacao!BI121</f>
        <v>0</v>
      </c>
      <c r="BK138" s="1114">
        <f>+Dren_Quantificacao!BJ121</f>
        <v>0</v>
      </c>
      <c r="BL138" s="1114">
        <f>+Dren_Quantificacao!BK121</f>
        <v>0</v>
      </c>
      <c r="BM138" s="1116">
        <f t="shared" si="88"/>
        <v>0</v>
      </c>
      <c r="BN138" s="579">
        <f t="shared" si="99"/>
        <v>0</v>
      </c>
      <c r="BO138" s="1047"/>
      <c r="BP138" s="1038"/>
      <c r="BQ138" s="1038"/>
      <c r="BR138" s="1038"/>
      <c r="BS138" s="1038"/>
      <c r="BT138" s="1038"/>
      <c r="BU138" s="1038"/>
      <c r="BV138" s="1038"/>
      <c r="BW138" s="1040"/>
      <c r="BX138" s="1038"/>
      <c r="BY138" s="1038"/>
      <c r="BZ138" s="1038"/>
      <c r="CA138" s="1038"/>
      <c r="CB138" s="1038"/>
      <c r="CC138" s="1038"/>
      <c r="CD138" s="1038"/>
      <c r="CE138" s="1038"/>
      <c r="CF138" s="1040"/>
      <c r="CG138" s="1038"/>
      <c r="CH138" s="1038"/>
      <c r="CI138" s="1038"/>
      <c r="CJ138" s="1038"/>
      <c r="CK138" s="1038"/>
      <c r="CL138" s="1038"/>
      <c r="CM138" s="1040"/>
      <c r="CN138" s="1040">
        <v>1</v>
      </c>
      <c r="CO138" s="1038"/>
      <c r="CP138" s="1038"/>
      <c r="CQ138" s="1038"/>
      <c r="CR138" s="1038"/>
      <c r="CS138" s="1038"/>
      <c r="CT138" s="1040"/>
      <c r="CU138" s="1041"/>
      <c r="CV138" s="1038"/>
      <c r="CW138" s="973"/>
      <c r="CX138" s="973"/>
    </row>
    <row r="139" spans="1:102" s="14" customFormat="1" ht="21.95" hidden="1" customHeight="1" x14ac:dyDescent="0.15">
      <c r="A139" s="2707"/>
      <c r="B139" s="2606"/>
      <c r="C139" s="567" t="s">
        <v>492</v>
      </c>
      <c r="D139" s="1003"/>
      <c r="E139" s="2256">
        <v>0.245</v>
      </c>
      <c r="F139" s="1114">
        <f>Dren_Quantificacao!D122</f>
        <v>0</v>
      </c>
      <c r="G139" s="1114">
        <f>Dren_Quantificacao!E122</f>
        <v>0</v>
      </c>
      <c r="H139" s="1114">
        <f>Dren_Quantificacao!F122</f>
        <v>0</v>
      </c>
      <c r="I139" s="1114">
        <f>Dren_Quantificacao!G122</f>
        <v>0</v>
      </c>
      <c r="J139" s="1114"/>
      <c r="K139" s="1114"/>
      <c r="L139" s="1114"/>
      <c r="M139" s="1114"/>
      <c r="N139" s="2465"/>
      <c r="O139" s="1114">
        <f>Dren_Quantificacao!M122</f>
        <v>0</v>
      </c>
      <c r="P139" s="1114">
        <f>Dren_Quantificacao!N122</f>
        <v>0</v>
      </c>
      <c r="Q139" s="1114">
        <f>Dren_Quantificacao!O122</f>
        <v>0</v>
      </c>
      <c r="R139" s="1114">
        <f>Dren_Quantificacao!P122</f>
        <v>0</v>
      </c>
      <c r="S139" s="1114">
        <f>Dren_Quantificacao!Q122</f>
        <v>0</v>
      </c>
      <c r="T139" s="1114">
        <f>Dren_Quantificacao!R122</f>
        <v>0</v>
      </c>
      <c r="U139" s="1114">
        <f>Dren_Quantificacao!S122</f>
        <v>0</v>
      </c>
      <c r="V139" s="1114">
        <f>Dren_Quantificacao!T122</f>
        <v>0</v>
      </c>
      <c r="W139" s="1114"/>
      <c r="X139" s="2465"/>
      <c r="Y139" s="1114">
        <f>Dren_Quantificacao!W122</f>
        <v>0</v>
      </c>
      <c r="Z139" s="1114">
        <f>Dren_Quantificacao!X122</f>
        <v>0</v>
      </c>
      <c r="AA139" s="1114">
        <f>Dren_Quantificacao!Y122</f>
        <v>0</v>
      </c>
      <c r="AB139" s="1114">
        <f>Dren_Quantificacao!Z122</f>
        <v>0</v>
      </c>
      <c r="AC139" s="1114">
        <f>Dren_Quantificacao!AA122</f>
        <v>0</v>
      </c>
      <c r="AD139" s="1114">
        <f>Dren_Quantificacao!AB122</f>
        <v>0</v>
      </c>
      <c r="AE139" s="1114">
        <f>Dren_Quantificacao!AC122</f>
        <v>0</v>
      </c>
      <c r="AF139" s="1114">
        <f>Dren_Quantificacao!AD122</f>
        <v>0</v>
      </c>
      <c r="AG139" s="1114">
        <f>Dren_Quantificacao!AE122</f>
        <v>0</v>
      </c>
      <c r="AH139" s="1114">
        <f>Dren_Quantificacao!AF122</f>
        <v>0</v>
      </c>
      <c r="AI139" s="1114"/>
      <c r="AJ139" s="1114"/>
      <c r="AK139" s="1114"/>
      <c r="AL139" s="1114"/>
      <c r="AM139" s="1114"/>
      <c r="AN139" s="1114"/>
      <c r="AO139" s="1114"/>
      <c r="AP139" s="1114"/>
      <c r="AQ139" s="1114"/>
      <c r="AR139" s="2465"/>
      <c r="AS139" s="1114">
        <f>Dren_Quantificacao!AQ122</f>
        <v>0</v>
      </c>
      <c r="AT139" s="1114">
        <f>Dren_Quantificacao!AR122</f>
        <v>0</v>
      </c>
      <c r="AU139" s="1114">
        <f>Dren_Quantificacao!AS122</f>
        <v>0</v>
      </c>
      <c r="AV139" s="1114">
        <f>Dren_Quantificacao!AT122</f>
        <v>0</v>
      </c>
      <c r="AW139" s="1114">
        <f>Dren_Quantificacao!AU122</f>
        <v>0</v>
      </c>
      <c r="AX139" s="1115">
        <f>Dren_Quantificacao!AW122</f>
        <v>0</v>
      </c>
      <c r="AY139" s="1115">
        <f>Dren_Quantificacao!AX122</f>
        <v>0</v>
      </c>
      <c r="AZ139" s="1115">
        <f>Dren_Quantificacao!AY122</f>
        <v>0</v>
      </c>
      <c r="BA139" s="1115">
        <f>Dren_Quantificacao!AZ122</f>
        <v>0</v>
      </c>
      <c r="BB139" s="1115">
        <f>Dren_Quantificacao!BA122</f>
        <v>0</v>
      </c>
      <c r="BC139" s="1115">
        <f>+Dren_Quantificacao!BB122</f>
        <v>0</v>
      </c>
      <c r="BD139" s="1115">
        <f>+Dren_Quantificacao!BC122</f>
        <v>0</v>
      </c>
      <c r="BE139" s="1115">
        <f>+Dren_Quantificacao!BD122</f>
        <v>0</v>
      </c>
      <c r="BF139" s="1115">
        <f>+Dren_Quantificacao!BE122</f>
        <v>0</v>
      </c>
      <c r="BG139" s="1115">
        <f>+Dren_Quantificacao!BF122</f>
        <v>0</v>
      </c>
      <c r="BH139" s="1115">
        <f>+Dren_Quantificacao!BG122</f>
        <v>0</v>
      </c>
      <c r="BI139" s="1115">
        <f>+Dren_Quantificacao!BH122</f>
        <v>0</v>
      </c>
      <c r="BJ139" s="1114">
        <f>+Dren_Quantificacao!BI122</f>
        <v>0</v>
      </c>
      <c r="BK139" s="1114">
        <f>+Dren_Quantificacao!BJ122</f>
        <v>0</v>
      </c>
      <c r="BL139" s="1114">
        <f>+Dren_Quantificacao!BK122</f>
        <v>0</v>
      </c>
      <c r="BM139" s="1116">
        <f t="shared" ref="BM139:BM143" si="115">ROUND(SUM(F139:BL139),2)</f>
        <v>0</v>
      </c>
      <c r="BN139" s="579">
        <f t="shared" si="99"/>
        <v>0</v>
      </c>
      <c r="BO139" s="1047"/>
      <c r="BP139" s="1038"/>
      <c r="BQ139" s="1038"/>
      <c r="BR139" s="1038"/>
      <c r="BS139" s="1038"/>
      <c r="BT139" s="1038"/>
      <c r="BU139" s="1038"/>
      <c r="BV139" s="1038"/>
      <c r="BW139" s="1040"/>
      <c r="BX139" s="1038"/>
      <c r="BY139" s="1038"/>
      <c r="BZ139" s="1038"/>
      <c r="CA139" s="1038"/>
      <c r="CB139" s="1038"/>
      <c r="CC139" s="1038"/>
      <c r="CD139" s="1038"/>
      <c r="CE139" s="1038"/>
      <c r="CF139" s="1040"/>
      <c r="CG139" s="1038"/>
      <c r="CH139" s="1038"/>
      <c r="CI139" s="1038"/>
      <c r="CJ139" s="1038"/>
      <c r="CK139" s="1038"/>
      <c r="CL139" s="1038"/>
      <c r="CM139" s="1040"/>
      <c r="CN139" s="1040">
        <v>1</v>
      </c>
      <c r="CO139" s="1038"/>
      <c r="CP139" s="1038"/>
      <c r="CQ139" s="1038"/>
      <c r="CR139" s="1038"/>
      <c r="CS139" s="1038"/>
      <c r="CT139" s="1040"/>
      <c r="CU139" s="1041"/>
      <c r="CV139" s="1038"/>
      <c r="CW139" s="973"/>
    </row>
    <row r="140" spans="1:102" s="14" customFormat="1" ht="21.95" hidden="1" customHeight="1" x14ac:dyDescent="0.15">
      <c r="A140" s="2707"/>
      <c r="B140" s="2606"/>
      <c r="C140" s="567" t="s">
        <v>508</v>
      </c>
      <c r="D140" s="1003"/>
      <c r="E140" s="2256">
        <v>0.39500000000000002</v>
      </c>
      <c r="F140" s="1114">
        <f>Dren_Quantificacao!D123</f>
        <v>0</v>
      </c>
      <c r="G140" s="1114">
        <f>Dren_Quantificacao!E123</f>
        <v>0</v>
      </c>
      <c r="H140" s="1114">
        <f>Dren_Quantificacao!F123</f>
        <v>0</v>
      </c>
      <c r="I140" s="1114">
        <f>Dren_Quantificacao!G123</f>
        <v>0</v>
      </c>
      <c r="J140" s="1114"/>
      <c r="K140" s="1114"/>
      <c r="L140" s="1114"/>
      <c r="M140" s="1114"/>
      <c r="N140" s="2465"/>
      <c r="O140" s="1114">
        <f>Dren_Quantificacao!M123</f>
        <v>0</v>
      </c>
      <c r="P140" s="1114">
        <f>Dren_Quantificacao!N123</f>
        <v>0</v>
      </c>
      <c r="Q140" s="1114">
        <f>Dren_Quantificacao!O123</f>
        <v>0</v>
      </c>
      <c r="R140" s="1114">
        <f>Dren_Quantificacao!P123</f>
        <v>0</v>
      </c>
      <c r="S140" s="1114">
        <f>Dren_Quantificacao!Q123</f>
        <v>0</v>
      </c>
      <c r="T140" s="1114">
        <f>Dren_Quantificacao!R123</f>
        <v>0</v>
      </c>
      <c r="U140" s="1114">
        <f>Dren_Quantificacao!S123</f>
        <v>0</v>
      </c>
      <c r="V140" s="1114">
        <f>Dren_Quantificacao!T123</f>
        <v>0</v>
      </c>
      <c r="W140" s="1114"/>
      <c r="X140" s="2465"/>
      <c r="Y140" s="1114">
        <f>Dren_Quantificacao!W123</f>
        <v>0</v>
      </c>
      <c r="Z140" s="1114">
        <f>Dren_Quantificacao!X123</f>
        <v>0</v>
      </c>
      <c r="AA140" s="1114">
        <f>Dren_Quantificacao!Y123</f>
        <v>0</v>
      </c>
      <c r="AB140" s="1114">
        <f>Dren_Quantificacao!Z123</f>
        <v>0</v>
      </c>
      <c r="AC140" s="1114">
        <f>Dren_Quantificacao!AA123</f>
        <v>0</v>
      </c>
      <c r="AD140" s="1114">
        <f>Dren_Quantificacao!AB123</f>
        <v>0</v>
      </c>
      <c r="AE140" s="1114">
        <f>Dren_Quantificacao!AC123</f>
        <v>0</v>
      </c>
      <c r="AF140" s="1114">
        <f>Dren_Quantificacao!AD123</f>
        <v>0</v>
      </c>
      <c r="AG140" s="1114">
        <f>Dren_Quantificacao!AE123</f>
        <v>0</v>
      </c>
      <c r="AH140" s="1114">
        <f>Dren_Quantificacao!AF123</f>
        <v>0</v>
      </c>
      <c r="AI140" s="1114"/>
      <c r="AJ140" s="1114"/>
      <c r="AK140" s="1114"/>
      <c r="AL140" s="1114"/>
      <c r="AM140" s="1114"/>
      <c r="AN140" s="1114"/>
      <c r="AO140" s="1114"/>
      <c r="AP140" s="1114"/>
      <c r="AQ140" s="1114"/>
      <c r="AR140" s="2465"/>
      <c r="AS140" s="1114">
        <f>Dren_Quantificacao!AQ123</f>
        <v>0</v>
      </c>
      <c r="AT140" s="1114">
        <f>Dren_Quantificacao!AR123</f>
        <v>0</v>
      </c>
      <c r="AU140" s="1114">
        <f>Dren_Quantificacao!AS123</f>
        <v>0</v>
      </c>
      <c r="AV140" s="1114">
        <f>Dren_Quantificacao!AT123</f>
        <v>0</v>
      </c>
      <c r="AW140" s="1114">
        <f>Dren_Quantificacao!AU123</f>
        <v>0</v>
      </c>
      <c r="AX140" s="1115">
        <f>Dren_Quantificacao!AW123</f>
        <v>0</v>
      </c>
      <c r="AY140" s="1115">
        <f>Dren_Quantificacao!AX123</f>
        <v>0</v>
      </c>
      <c r="AZ140" s="1115">
        <f>Dren_Quantificacao!AY123</f>
        <v>0</v>
      </c>
      <c r="BA140" s="1115">
        <f>Dren_Quantificacao!AZ123</f>
        <v>0</v>
      </c>
      <c r="BB140" s="1115">
        <f>Dren_Quantificacao!BA123</f>
        <v>0</v>
      </c>
      <c r="BC140" s="1115">
        <f>+Dren_Quantificacao!BB123</f>
        <v>0</v>
      </c>
      <c r="BD140" s="1115">
        <f>+Dren_Quantificacao!BC123</f>
        <v>0</v>
      </c>
      <c r="BE140" s="1115">
        <f>+Dren_Quantificacao!BD123</f>
        <v>0</v>
      </c>
      <c r="BF140" s="1115">
        <f>+Dren_Quantificacao!BE123</f>
        <v>0</v>
      </c>
      <c r="BG140" s="1115">
        <f>+Dren_Quantificacao!BF123</f>
        <v>0</v>
      </c>
      <c r="BH140" s="1115">
        <f>+Dren_Quantificacao!BG123</f>
        <v>0</v>
      </c>
      <c r="BI140" s="1115">
        <f>+Dren_Quantificacao!BH123</f>
        <v>0</v>
      </c>
      <c r="BJ140" s="1114">
        <f>+Dren_Quantificacao!BI123</f>
        <v>0</v>
      </c>
      <c r="BK140" s="1114">
        <f>+Dren_Quantificacao!BJ123</f>
        <v>0</v>
      </c>
      <c r="BL140" s="1114">
        <f>+Dren_Quantificacao!BK123</f>
        <v>0</v>
      </c>
      <c r="BM140" s="1116">
        <f t="shared" si="115"/>
        <v>0</v>
      </c>
      <c r="BN140" s="579">
        <f t="shared" si="99"/>
        <v>0</v>
      </c>
      <c r="BO140" s="1047"/>
      <c r="BP140" s="1038"/>
      <c r="BQ140" s="1038"/>
      <c r="BR140" s="1038"/>
      <c r="BS140" s="1038"/>
      <c r="BT140" s="1038"/>
      <c r="BU140" s="1038"/>
      <c r="BV140" s="1038"/>
      <c r="BW140" s="1040"/>
      <c r="BX140" s="1038"/>
      <c r="BY140" s="1038"/>
      <c r="BZ140" s="1038"/>
      <c r="CA140" s="1038"/>
      <c r="CB140" s="1038"/>
      <c r="CC140" s="1038"/>
      <c r="CD140" s="1038"/>
      <c r="CE140" s="1038"/>
      <c r="CF140" s="1040"/>
      <c r="CG140" s="1038"/>
      <c r="CH140" s="1038"/>
      <c r="CI140" s="1038"/>
      <c r="CJ140" s="1038"/>
      <c r="CK140" s="1038"/>
      <c r="CL140" s="1038"/>
      <c r="CM140" s="1040"/>
      <c r="CN140" s="1040">
        <v>1</v>
      </c>
      <c r="CO140" s="1038"/>
      <c r="CP140" s="1038"/>
      <c r="CQ140" s="1038"/>
      <c r="CR140" s="1038"/>
      <c r="CS140" s="1038"/>
      <c r="CT140" s="1040"/>
      <c r="CU140" s="1041"/>
      <c r="CV140" s="1038"/>
      <c r="CW140" s="973"/>
    </row>
    <row r="141" spans="1:102" s="14" customFormat="1" ht="21.95" hidden="1" customHeight="1" x14ac:dyDescent="0.15">
      <c r="A141" s="2707"/>
      <c r="B141" s="2606"/>
      <c r="C141" s="567" t="s">
        <v>509</v>
      </c>
      <c r="D141" s="1003"/>
      <c r="E141" s="2256">
        <v>0.61699999999999999</v>
      </c>
      <c r="F141" s="1114">
        <f>Dren_Quantificacao!D124</f>
        <v>0</v>
      </c>
      <c r="G141" s="1114">
        <f>Dren_Quantificacao!E124</f>
        <v>0</v>
      </c>
      <c r="H141" s="1114">
        <f>Dren_Quantificacao!F124</f>
        <v>0</v>
      </c>
      <c r="I141" s="1114">
        <f>Dren_Quantificacao!G124</f>
        <v>0</v>
      </c>
      <c r="J141" s="1114"/>
      <c r="K141" s="1114"/>
      <c r="L141" s="1114"/>
      <c r="M141" s="1114"/>
      <c r="N141" s="2465"/>
      <c r="O141" s="1114">
        <f>Dren_Quantificacao!M124</f>
        <v>0</v>
      </c>
      <c r="P141" s="1114">
        <f>Dren_Quantificacao!N124</f>
        <v>0</v>
      </c>
      <c r="Q141" s="1114">
        <f>Dren_Quantificacao!O124</f>
        <v>0</v>
      </c>
      <c r="R141" s="1114">
        <f>Dren_Quantificacao!P124</f>
        <v>0</v>
      </c>
      <c r="S141" s="1114">
        <f>Dren_Quantificacao!Q124</f>
        <v>0</v>
      </c>
      <c r="T141" s="1114">
        <f>Dren_Quantificacao!R124</f>
        <v>0</v>
      </c>
      <c r="U141" s="1114">
        <f>Dren_Quantificacao!S124</f>
        <v>0</v>
      </c>
      <c r="V141" s="1114">
        <f>Dren_Quantificacao!T124</f>
        <v>0</v>
      </c>
      <c r="W141" s="1114"/>
      <c r="X141" s="2465"/>
      <c r="Y141" s="1114">
        <f>Dren_Quantificacao!W124</f>
        <v>0</v>
      </c>
      <c r="Z141" s="1114">
        <f>Dren_Quantificacao!X124</f>
        <v>0</v>
      </c>
      <c r="AA141" s="1114">
        <f>Dren_Quantificacao!Y124</f>
        <v>0</v>
      </c>
      <c r="AB141" s="1114">
        <f>Dren_Quantificacao!Z124</f>
        <v>0</v>
      </c>
      <c r="AC141" s="1114">
        <f>Dren_Quantificacao!AA124</f>
        <v>0</v>
      </c>
      <c r="AD141" s="1114">
        <f>Dren_Quantificacao!AB124</f>
        <v>0</v>
      </c>
      <c r="AE141" s="1114">
        <f>Dren_Quantificacao!AC124</f>
        <v>0</v>
      </c>
      <c r="AF141" s="1114">
        <f>Dren_Quantificacao!AD124</f>
        <v>0</v>
      </c>
      <c r="AG141" s="1114">
        <f>Dren_Quantificacao!AE124</f>
        <v>0</v>
      </c>
      <c r="AH141" s="1114">
        <f>Dren_Quantificacao!AF124</f>
        <v>0</v>
      </c>
      <c r="AI141" s="1114"/>
      <c r="AJ141" s="1114"/>
      <c r="AK141" s="1114"/>
      <c r="AL141" s="1114"/>
      <c r="AM141" s="1114"/>
      <c r="AN141" s="1114"/>
      <c r="AO141" s="1114"/>
      <c r="AP141" s="1114"/>
      <c r="AQ141" s="1114"/>
      <c r="AR141" s="2465"/>
      <c r="AS141" s="1114">
        <f>Dren_Quantificacao!AQ124</f>
        <v>0</v>
      </c>
      <c r="AT141" s="1114">
        <f>Dren_Quantificacao!AR124</f>
        <v>0</v>
      </c>
      <c r="AU141" s="1114">
        <f>Dren_Quantificacao!AS124</f>
        <v>0</v>
      </c>
      <c r="AV141" s="1114">
        <f>Dren_Quantificacao!AT124</f>
        <v>0</v>
      </c>
      <c r="AW141" s="1114">
        <f>Dren_Quantificacao!AU124</f>
        <v>0</v>
      </c>
      <c r="AX141" s="1115">
        <f>Dren_Quantificacao!AW124</f>
        <v>0</v>
      </c>
      <c r="AY141" s="1115">
        <f>Dren_Quantificacao!AX124</f>
        <v>0</v>
      </c>
      <c r="AZ141" s="1115">
        <f>Dren_Quantificacao!AY124</f>
        <v>0</v>
      </c>
      <c r="BA141" s="1115">
        <f>Dren_Quantificacao!AZ124</f>
        <v>0</v>
      </c>
      <c r="BB141" s="1115">
        <f>Dren_Quantificacao!BA124</f>
        <v>0</v>
      </c>
      <c r="BC141" s="1115">
        <f>+Dren_Quantificacao!BB124</f>
        <v>0</v>
      </c>
      <c r="BD141" s="1115">
        <f>+Dren_Quantificacao!BC124</f>
        <v>0</v>
      </c>
      <c r="BE141" s="1115">
        <f>+Dren_Quantificacao!BD124</f>
        <v>0</v>
      </c>
      <c r="BF141" s="1115">
        <f>+Dren_Quantificacao!BE124</f>
        <v>0</v>
      </c>
      <c r="BG141" s="1115">
        <f>+Dren_Quantificacao!BF124</f>
        <v>0</v>
      </c>
      <c r="BH141" s="1115">
        <f>+Dren_Quantificacao!BG124</f>
        <v>0</v>
      </c>
      <c r="BI141" s="1115">
        <f>+Dren_Quantificacao!BH124</f>
        <v>0</v>
      </c>
      <c r="BJ141" s="1114">
        <f>+Dren_Quantificacao!BI124</f>
        <v>0</v>
      </c>
      <c r="BK141" s="1114">
        <f>+Dren_Quantificacao!BJ124</f>
        <v>0</v>
      </c>
      <c r="BL141" s="1114">
        <f>+Dren_Quantificacao!BK124</f>
        <v>0</v>
      </c>
      <c r="BM141" s="1116">
        <f t="shared" si="115"/>
        <v>0</v>
      </c>
      <c r="BN141" s="579">
        <f t="shared" si="99"/>
        <v>0</v>
      </c>
      <c r="BO141" s="1047"/>
      <c r="BP141" s="1038"/>
      <c r="BQ141" s="1038"/>
      <c r="BR141" s="1038"/>
      <c r="BS141" s="1038"/>
      <c r="BT141" s="1038"/>
      <c r="BU141" s="1038"/>
      <c r="BV141" s="1038"/>
      <c r="BW141" s="1040"/>
      <c r="BX141" s="1038"/>
      <c r="BY141" s="1038"/>
      <c r="BZ141" s="1038"/>
      <c r="CA141" s="1038"/>
      <c r="CB141" s="1038"/>
      <c r="CC141" s="1038"/>
      <c r="CD141" s="1038"/>
      <c r="CE141" s="1038"/>
      <c r="CF141" s="1040"/>
      <c r="CG141" s="1038"/>
      <c r="CH141" s="1038"/>
      <c r="CI141" s="1038"/>
      <c r="CJ141" s="1038"/>
      <c r="CK141" s="1038"/>
      <c r="CL141" s="1038"/>
      <c r="CM141" s="1040"/>
      <c r="CN141" s="1040">
        <v>1</v>
      </c>
      <c r="CO141" s="1038"/>
      <c r="CP141" s="1038"/>
      <c r="CQ141" s="1038"/>
      <c r="CR141" s="1038"/>
      <c r="CS141" s="1038"/>
      <c r="CT141" s="1040"/>
      <c r="CU141" s="1041"/>
      <c r="CV141" s="1038"/>
      <c r="CW141" s="973"/>
    </row>
    <row r="142" spans="1:102" s="14" customFormat="1" ht="21.95" hidden="1" customHeight="1" x14ac:dyDescent="0.15">
      <c r="A142" s="2707"/>
      <c r="B142" s="2606"/>
      <c r="C142" s="567" t="s">
        <v>510</v>
      </c>
      <c r="D142" s="1003"/>
      <c r="E142" s="2256">
        <v>0.96299999999999997</v>
      </c>
      <c r="F142" s="1114">
        <f>Dren_Quantificacao!D125</f>
        <v>0</v>
      </c>
      <c r="G142" s="1114">
        <f>Dren_Quantificacao!E125</f>
        <v>0</v>
      </c>
      <c r="H142" s="1114">
        <f>Dren_Quantificacao!F125</f>
        <v>0</v>
      </c>
      <c r="I142" s="1114">
        <f>Dren_Quantificacao!G125</f>
        <v>0</v>
      </c>
      <c r="J142" s="1114"/>
      <c r="K142" s="1114"/>
      <c r="L142" s="1114"/>
      <c r="M142" s="1114"/>
      <c r="N142" s="2465"/>
      <c r="O142" s="1114">
        <f>Dren_Quantificacao!M125</f>
        <v>0</v>
      </c>
      <c r="P142" s="1114">
        <f>Dren_Quantificacao!N125</f>
        <v>0</v>
      </c>
      <c r="Q142" s="1114">
        <f>Dren_Quantificacao!O125</f>
        <v>0</v>
      </c>
      <c r="R142" s="1114">
        <f>Dren_Quantificacao!P125</f>
        <v>0</v>
      </c>
      <c r="S142" s="1114">
        <f>Dren_Quantificacao!Q125</f>
        <v>0</v>
      </c>
      <c r="T142" s="1114">
        <f>Dren_Quantificacao!R125</f>
        <v>0</v>
      </c>
      <c r="U142" s="1114">
        <f>Dren_Quantificacao!S125</f>
        <v>0</v>
      </c>
      <c r="V142" s="1114">
        <f>Dren_Quantificacao!T125</f>
        <v>0</v>
      </c>
      <c r="W142" s="1114"/>
      <c r="X142" s="2465"/>
      <c r="Y142" s="1114">
        <f>Dren_Quantificacao!W125</f>
        <v>0</v>
      </c>
      <c r="Z142" s="1114">
        <f>Dren_Quantificacao!X125</f>
        <v>0</v>
      </c>
      <c r="AA142" s="1114">
        <f>Dren_Quantificacao!Y125</f>
        <v>0</v>
      </c>
      <c r="AB142" s="1114">
        <f>Dren_Quantificacao!Z125</f>
        <v>0</v>
      </c>
      <c r="AC142" s="1114">
        <f>Dren_Quantificacao!AA125</f>
        <v>0</v>
      </c>
      <c r="AD142" s="1114">
        <f>Dren_Quantificacao!AB125</f>
        <v>0</v>
      </c>
      <c r="AE142" s="1114">
        <f>Dren_Quantificacao!AC125</f>
        <v>0</v>
      </c>
      <c r="AF142" s="1114">
        <f>Dren_Quantificacao!AD125</f>
        <v>0</v>
      </c>
      <c r="AG142" s="1114">
        <f>Dren_Quantificacao!AE125</f>
        <v>0</v>
      </c>
      <c r="AH142" s="1114">
        <f>Dren_Quantificacao!AF125</f>
        <v>0</v>
      </c>
      <c r="AI142" s="1114"/>
      <c r="AJ142" s="1114"/>
      <c r="AK142" s="1114"/>
      <c r="AL142" s="1114"/>
      <c r="AM142" s="1114"/>
      <c r="AN142" s="1114"/>
      <c r="AO142" s="1114"/>
      <c r="AP142" s="1114"/>
      <c r="AQ142" s="1114"/>
      <c r="AR142" s="2465"/>
      <c r="AS142" s="1114">
        <f>Dren_Quantificacao!AQ125</f>
        <v>0</v>
      </c>
      <c r="AT142" s="1114">
        <f>Dren_Quantificacao!AR125</f>
        <v>0</v>
      </c>
      <c r="AU142" s="1114">
        <f>Dren_Quantificacao!AS125</f>
        <v>0</v>
      </c>
      <c r="AV142" s="1114">
        <f>Dren_Quantificacao!AT125</f>
        <v>0</v>
      </c>
      <c r="AW142" s="1114">
        <f>Dren_Quantificacao!AU125</f>
        <v>0</v>
      </c>
      <c r="AX142" s="1115">
        <f>Dren_Quantificacao!AW125</f>
        <v>0</v>
      </c>
      <c r="AY142" s="1115">
        <f>Dren_Quantificacao!AX125</f>
        <v>0</v>
      </c>
      <c r="AZ142" s="1115">
        <f>Dren_Quantificacao!AY125</f>
        <v>0</v>
      </c>
      <c r="BA142" s="1115">
        <f>Dren_Quantificacao!AZ125</f>
        <v>0</v>
      </c>
      <c r="BB142" s="1115">
        <f>Dren_Quantificacao!BA125</f>
        <v>0</v>
      </c>
      <c r="BC142" s="1115">
        <f>+Dren_Quantificacao!BB125</f>
        <v>0</v>
      </c>
      <c r="BD142" s="1115">
        <f>+Dren_Quantificacao!BC125</f>
        <v>0</v>
      </c>
      <c r="BE142" s="1115">
        <f>+Dren_Quantificacao!BD125</f>
        <v>0</v>
      </c>
      <c r="BF142" s="1115">
        <f>+Dren_Quantificacao!BE125</f>
        <v>0</v>
      </c>
      <c r="BG142" s="1115">
        <f>+Dren_Quantificacao!BF125</f>
        <v>0</v>
      </c>
      <c r="BH142" s="1115">
        <f>+Dren_Quantificacao!BG125</f>
        <v>0</v>
      </c>
      <c r="BI142" s="1115">
        <f>+Dren_Quantificacao!BH125</f>
        <v>0</v>
      </c>
      <c r="BJ142" s="1114">
        <f>+Dren_Quantificacao!BI125</f>
        <v>0</v>
      </c>
      <c r="BK142" s="1114">
        <f>+Dren_Quantificacao!BJ125</f>
        <v>0</v>
      </c>
      <c r="BL142" s="1114">
        <f>+Dren_Quantificacao!BK125</f>
        <v>0</v>
      </c>
      <c r="BM142" s="1116">
        <f t="shared" si="115"/>
        <v>0</v>
      </c>
      <c r="BN142" s="579">
        <f t="shared" si="99"/>
        <v>0</v>
      </c>
      <c r="BO142" s="1047"/>
      <c r="BP142" s="1038"/>
      <c r="BQ142" s="1038"/>
      <c r="BR142" s="1038"/>
      <c r="BS142" s="1038"/>
      <c r="BT142" s="1038"/>
      <c r="BU142" s="1038"/>
      <c r="BV142" s="1038"/>
      <c r="BW142" s="1040"/>
      <c r="BX142" s="1038"/>
      <c r="BY142" s="1038"/>
      <c r="BZ142" s="1038"/>
      <c r="CA142" s="1038"/>
      <c r="CB142" s="1038"/>
      <c r="CC142" s="1038"/>
      <c r="CD142" s="1038"/>
      <c r="CE142" s="1038"/>
      <c r="CF142" s="1040"/>
      <c r="CG142" s="1038"/>
      <c r="CH142" s="1038"/>
      <c r="CI142" s="1038"/>
      <c r="CJ142" s="1038"/>
      <c r="CK142" s="1038"/>
      <c r="CL142" s="1038"/>
      <c r="CM142" s="1040"/>
      <c r="CN142" s="1040">
        <v>1</v>
      </c>
      <c r="CO142" s="1038"/>
      <c r="CP142" s="1038"/>
      <c r="CQ142" s="1038"/>
      <c r="CR142" s="1038"/>
      <c r="CS142" s="1038"/>
      <c r="CT142" s="1040"/>
      <c r="CU142" s="1041"/>
      <c r="CV142" s="1038"/>
      <c r="CW142" s="973"/>
    </row>
    <row r="143" spans="1:102" s="14" customFormat="1" ht="21.95" hidden="1" customHeight="1" thickBot="1" x14ac:dyDescent="0.2">
      <c r="A143" s="2707"/>
      <c r="B143" s="2606"/>
      <c r="C143" s="567" t="s">
        <v>219</v>
      </c>
      <c r="D143" s="1010"/>
      <c r="E143" s="2255"/>
      <c r="F143" s="1117">
        <f>Dren_Quantificacao!D126</f>
        <v>0</v>
      </c>
      <c r="G143" s="1117">
        <f>Dren_Quantificacao!E126</f>
        <v>0</v>
      </c>
      <c r="H143" s="1117">
        <f>Dren_Quantificacao!F126</f>
        <v>0</v>
      </c>
      <c r="I143" s="1117">
        <f>Dren_Quantificacao!G126</f>
        <v>0</v>
      </c>
      <c r="J143" s="1117"/>
      <c r="K143" s="1117"/>
      <c r="L143" s="1117"/>
      <c r="M143" s="1117"/>
      <c r="N143" s="2466"/>
      <c r="O143" s="1117">
        <f>Dren_Quantificacao!M126</f>
        <v>0</v>
      </c>
      <c r="P143" s="1117">
        <f>Dren_Quantificacao!N126</f>
        <v>0</v>
      </c>
      <c r="Q143" s="1117">
        <f>Dren_Quantificacao!O126</f>
        <v>0</v>
      </c>
      <c r="R143" s="1117">
        <f>Dren_Quantificacao!P126</f>
        <v>0</v>
      </c>
      <c r="S143" s="1117">
        <f>Dren_Quantificacao!Q126</f>
        <v>0</v>
      </c>
      <c r="T143" s="1117">
        <f>Dren_Quantificacao!R126</f>
        <v>0</v>
      </c>
      <c r="U143" s="1117">
        <f>Dren_Quantificacao!S126</f>
        <v>0</v>
      </c>
      <c r="V143" s="1117">
        <f>Dren_Quantificacao!T126</f>
        <v>0</v>
      </c>
      <c r="W143" s="1117"/>
      <c r="X143" s="2466"/>
      <c r="Y143" s="1117">
        <f>Dren_Quantificacao!W126</f>
        <v>0</v>
      </c>
      <c r="Z143" s="1117">
        <f>Dren_Quantificacao!X126</f>
        <v>0</v>
      </c>
      <c r="AA143" s="1117">
        <f>Dren_Quantificacao!Y126</f>
        <v>0</v>
      </c>
      <c r="AB143" s="1117">
        <f>Dren_Quantificacao!Z126</f>
        <v>0</v>
      </c>
      <c r="AC143" s="1117">
        <f>Dren_Quantificacao!AA126</f>
        <v>0</v>
      </c>
      <c r="AD143" s="1117">
        <f>Dren_Quantificacao!AB126</f>
        <v>0</v>
      </c>
      <c r="AE143" s="1117">
        <f>Dren_Quantificacao!AC126</f>
        <v>0</v>
      </c>
      <c r="AF143" s="1117">
        <f>Dren_Quantificacao!AD126</f>
        <v>0</v>
      </c>
      <c r="AG143" s="1117">
        <f>Dren_Quantificacao!AE126</f>
        <v>0</v>
      </c>
      <c r="AH143" s="1117">
        <f>Dren_Quantificacao!AF126</f>
        <v>0</v>
      </c>
      <c r="AI143" s="1117"/>
      <c r="AJ143" s="1117"/>
      <c r="AK143" s="1117"/>
      <c r="AL143" s="1117"/>
      <c r="AM143" s="1117"/>
      <c r="AN143" s="1117"/>
      <c r="AO143" s="1117"/>
      <c r="AP143" s="1117"/>
      <c r="AQ143" s="1117"/>
      <c r="AR143" s="2466"/>
      <c r="AS143" s="1117">
        <f>Dren_Quantificacao!AQ126</f>
        <v>0</v>
      </c>
      <c r="AT143" s="1117">
        <f>Dren_Quantificacao!AR126</f>
        <v>0</v>
      </c>
      <c r="AU143" s="1117">
        <f>Dren_Quantificacao!AS126</f>
        <v>0</v>
      </c>
      <c r="AV143" s="1117">
        <f>Dren_Quantificacao!AT126</f>
        <v>0</v>
      </c>
      <c r="AW143" s="1117">
        <f>Dren_Quantificacao!AU126</f>
        <v>0</v>
      </c>
      <c r="AX143" s="1118">
        <f>Dren_Quantificacao!AW126</f>
        <v>0</v>
      </c>
      <c r="AY143" s="1118">
        <f>Dren_Quantificacao!AX126</f>
        <v>0</v>
      </c>
      <c r="AZ143" s="1118">
        <f>Dren_Quantificacao!AY126</f>
        <v>0</v>
      </c>
      <c r="BA143" s="1118">
        <f>Dren_Quantificacao!AZ126</f>
        <v>0</v>
      </c>
      <c r="BB143" s="1118">
        <f>Dren_Quantificacao!BA126</f>
        <v>0</v>
      </c>
      <c r="BC143" s="1118">
        <f>+Dren_Quantificacao!BB126</f>
        <v>0</v>
      </c>
      <c r="BD143" s="1118">
        <f>+Dren_Quantificacao!BC126</f>
        <v>0</v>
      </c>
      <c r="BE143" s="1118">
        <f>+Dren_Quantificacao!BD126</f>
        <v>0</v>
      </c>
      <c r="BF143" s="1118">
        <f>+Dren_Quantificacao!BE126</f>
        <v>0</v>
      </c>
      <c r="BG143" s="1118">
        <f>+Dren_Quantificacao!BF126</f>
        <v>0</v>
      </c>
      <c r="BH143" s="1118">
        <f>+Dren_Quantificacao!BG126</f>
        <v>0</v>
      </c>
      <c r="BI143" s="1118">
        <f>+Dren_Quantificacao!BH126</f>
        <v>0</v>
      </c>
      <c r="BJ143" s="1117">
        <f>+Dren_Quantificacao!BI126</f>
        <v>0</v>
      </c>
      <c r="BK143" s="1117">
        <f>+Dren_Quantificacao!BJ126</f>
        <v>0</v>
      </c>
      <c r="BL143" s="1117">
        <f>+Dren_Quantificacao!BK126</f>
        <v>0</v>
      </c>
      <c r="BM143" s="1119">
        <f t="shared" si="115"/>
        <v>0</v>
      </c>
      <c r="BN143" s="579">
        <f t="shared" si="99"/>
        <v>0</v>
      </c>
      <c r="BO143" s="1047"/>
      <c r="BP143" s="1038"/>
      <c r="BQ143" s="1038"/>
      <c r="BR143" s="1038"/>
      <c r="BS143" s="1038"/>
      <c r="BT143" s="1038"/>
      <c r="BU143" s="1038"/>
      <c r="BV143" s="1038"/>
      <c r="BW143" s="1040"/>
      <c r="BX143" s="1038"/>
      <c r="BY143" s="1038"/>
      <c r="BZ143" s="1038"/>
      <c r="CA143" s="1038"/>
      <c r="CB143" s="1038"/>
      <c r="CC143" s="1038"/>
      <c r="CD143" s="1038"/>
      <c r="CE143" s="1038"/>
      <c r="CF143" s="1040"/>
      <c r="CG143" s="1038"/>
      <c r="CH143" s="1038"/>
      <c r="CI143" s="1038"/>
      <c r="CJ143" s="1038"/>
      <c r="CK143" s="1038"/>
      <c r="CL143" s="1038"/>
      <c r="CM143" s="1040"/>
      <c r="CN143" s="1040"/>
      <c r="CO143" s="1038"/>
      <c r="CP143" s="1038"/>
      <c r="CQ143" s="1038"/>
      <c r="CR143" s="1038"/>
      <c r="CS143" s="1038">
        <v>1</v>
      </c>
      <c r="CT143" s="1040"/>
      <c r="CU143" s="1041"/>
      <c r="CV143" s="1038"/>
      <c r="CW143" s="973"/>
    </row>
    <row r="144" spans="1:102" s="14" customFormat="1" ht="21.95" hidden="1" customHeight="1" x14ac:dyDescent="0.15">
      <c r="A144" s="2707"/>
      <c r="B144" s="2605" t="s">
        <v>511</v>
      </c>
      <c r="C144" s="550" t="s">
        <v>66</v>
      </c>
      <c r="D144" s="1002"/>
      <c r="E144" s="2241"/>
      <c r="F144" s="1120">
        <f>Dren_Quantificacao!D114</f>
        <v>0</v>
      </c>
      <c r="G144" s="1120">
        <f>Dren_Quantificacao!E114</f>
        <v>0</v>
      </c>
      <c r="H144" s="1120">
        <f>Dren_Quantificacao!F114</f>
        <v>0</v>
      </c>
      <c r="I144" s="1120">
        <f>Dren_Quantificacao!G114</f>
        <v>0</v>
      </c>
      <c r="J144" s="1120"/>
      <c r="K144" s="1120"/>
      <c r="L144" s="1120"/>
      <c r="M144" s="1120"/>
      <c r="N144" s="2467"/>
      <c r="O144" s="1120">
        <f>Dren_Quantificacao!M114</f>
        <v>0</v>
      </c>
      <c r="P144" s="1120">
        <f>Dren_Quantificacao!N114</f>
        <v>0</v>
      </c>
      <c r="Q144" s="1120">
        <f>Dren_Quantificacao!O114</f>
        <v>0</v>
      </c>
      <c r="R144" s="1120">
        <f>Dren_Quantificacao!P114</f>
        <v>0</v>
      </c>
      <c r="S144" s="1120">
        <f>Dren_Quantificacao!Q114</f>
        <v>0</v>
      </c>
      <c r="T144" s="1120">
        <f>Dren_Quantificacao!R114</f>
        <v>0</v>
      </c>
      <c r="U144" s="1120">
        <f>Dren_Quantificacao!S114</f>
        <v>0</v>
      </c>
      <c r="V144" s="1120">
        <f>Dren_Quantificacao!T114</f>
        <v>0</v>
      </c>
      <c r="W144" s="1120"/>
      <c r="X144" s="2467"/>
      <c r="Y144" s="1120">
        <f>Dren_Quantificacao!W114</f>
        <v>0</v>
      </c>
      <c r="Z144" s="1120">
        <f>Dren_Quantificacao!X114</f>
        <v>0</v>
      </c>
      <c r="AA144" s="1120">
        <f>Dren_Quantificacao!Y114</f>
        <v>0</v>
      </c>
      <c r="AB144" s="1120">
        <f>Dren_Quantificacao!Z114</f>
        <v>0</v>
      </c>
      <c r="AC144" s="1120">
        <f>Dren_Quantificacao!AA114</f>
        <v>0</v>
      </c>
      <c r="AD144" s="1120">
        <f>Dren_Quantificacao!AB114</f>
        <v>0</v>
      </c>
      <c r="AE144" s="1120">
        <f>Dren_Quantificacao!AC114</f>
        <v>0</v>
      </c>
      <c r="AF144" s="1120">
        <f>Dren_Quantificacao!AD114</f>
        <v>0</v>
      </c>
      <c r="AG144" s="1120">
        <f>Dren_Quantificacao!AE114</f>
        <v>0</v>
      </c>
      <c r="AH144" s="1120">
        <f>Dren_Quantificacao!AF114</f>
        <v>0</v>
      </c>
      <c r="AI144" s="1120"/>
      <c r="AJ144" s="1120"/>
      <c r="AK144" s="1120"/>
      <c r="AL144" s="1120"/>
      <c r="AM144" s="1120"/>
      <c r="AN144" s="1120"/>
      <c r="AO144" s="1120"/>
      <c r="AP144" s="1120"/>
      <c r="AQ144" s="1120"/>
      <c r="AR144" s="2467"/>
      <c r="AS144" s="1120">
        <f>Dren_Quantificacao!AQ114</f>
        <v>0</v>
      </c>
      <c r="AT144" s="1120">
        <f>Dren_Quantificacao!AR114</f>
        <v>0</v>
      </c>
      <c r="AU144" s="1120">
        <f>Dren_Quantificacao!AS114</f>
        <v>0</v>
      </c>
      <c r="AV144" s="1120">
        <f>Dren_Quantificacao!AT114</f>
        <v>0</v>
      </c>
      <c r="AW144" s="1120">
        <f>Dren_Quantificacao!AU114</f>
        <v>0</v>
      </c>
      <c r="AX144" s="1121"/>
      <c r="AY144" s="1121"/>
      <c r="AZ144" s="1121"/>
      <c r="BA144" s="1121"/>
      <c r="BB144" s="1121"/>
      <c r="BC144" s="1121"/>
      <c r="BD144" s="1121"/>
      <c r="BE144" s="1121"/>
      <c r="BF144" s="1121"/>
      <c r="BG144" s="1121"/>
      <c r="BH144" s="1121"/>
      <c r="BI144" s="1121"/>
      <c r="BJ144" s="1120">
        <f>+Dren_Quantificacao!BI114</f>
        <v>0</v>
      </c>
      <c r="BK144" s="1120">
        <f>+Dren_Quantificacao!BJ114</f>
        <v>0</v>
      </c>
      <c r="BL144" s="1120">
        <f>+Dren_Quantificacao!BK114</f>
        <v>0</v>
      </c>
      <c r="BM144" s="1123"/>
      <c r="BN144" s="579">
        <f t="shared" si="99"/>
        <v>0</v>
      </c>
      <c r="BO144" s="1047"/>
      <c r="BP144" s="1038"/>
      <c r="BQ144" s="1038"/>
      <c r="BR144" s="1038"/>
      <c r="BS144" s="1038"/>
      <c r="BT144" s="1038"/>
      <c r="BU144" s="1038"/>
      <c r="BV144" s="1038"/>
      <c r="BW144" s="1040"/>
      <c r="BX144" s="1038"/>
      <c r="BY144" s="1038"/>
      <c r="BZ144" s="1038"/>
      <c r="CA144" s="1038"/>
      <c r="CB144" s="1038"/>
      <c r="CC144" s="1038"/>
      <c r="CD144" s="1038"/>
      <c r="CE144" s="1038"/>
      <c r="CF144" s="1040"/>
      <c r="CG144" s="1038"/>
      <c r="CH144" s="1038"/>
      <c r="CI144" s="1038"/>
      <c r="CJ144" s="1038"/>
      <c r="CK144" s="1038"/>
      <c r="CL144" s="1038"/>
      <c r="CM144" s="1040"/>
      <c r="CN144" s="1040"/>
      <c r="CO144" s="1038"/>
      <c r="CP144" s="1038"/>
      <c r="CQ144" s="1038"/>
      <c r="CR144" s="1038"/>
      <c r="CS144" s="1038"/>
      <c r="CT144" s="1040"/>
      <c r="CU144" s="1041"/>
      <c r="CV144" s="1038"/>
      <c r="CW144" s="973"/>
    </row>
    <row r="145" spans="1:101" s="14" customFormat="1" ht="21.95" hidden="1" customHeight="1" x14ac:dyDescent="0.15">
      <c r="A145" s="2707"/>
      <c r="B145" s="2606"/>
      <c r="C145" s="567" t="s">
        <v>164</v>
      </c>
      <c r="D145" s="1003"/>
      <c r="E145" s="1287"/>
      <c r="F145" s="1114">
        <f>Dren_Quantificacao!D115</f>
        <v>0</v>
      </c>
      <c r="G145" s="1114">
        <f>Dren_Quantificacao!E115</f>
        <v>0</v>
      </c>
      <c r="H145" s="1114">
        <f>Dren_Quantificacao!F115</f>
        <v>0</v>
      </c>
      <c r="I145" s="1114">
        <f>Dren_Quantificacao!G115</f>
        <v>0</v>
      </c>
      <c r="J145" s="1114"/>
      <c r="K145" s="1114"/>
      <c r="L145" s="1114"/>
      <c r="M145" s="1114"/>
      <c r="N145" s="2465"/>
      <c r="O145" s="1114">
        <f>Dren_Quantificacao!M115</f>
        <v>0</v>
      </c>
      <c r="P145" s="1114">
        <f>Dren_Quantificacao!N115</f>
        <v>0</v>
      </c>
      <c r="Q145" s="1114">
        <f>Dren_Quantificacao!O115</f>
        <v>0</v>
      </c>
      <c r="R145" s="1114">
        <f>Dren_Quantificacao!P115</f>
        <v>0</v>
      </c>
      <c r="S145" s="1114">
        <f>Dren_Quantificacao!Q115</f>
        <v>0</v>
      </c>
      <c r="T145" s="1114">
        <f>Dren_Quantificacao!R115</f>
        <v>0</v>
      </c>
      <c r="U145" s="1114">
        <f>Dren_Quantificacao!S115</f>
        <v>0</v>
      </c>
      <c r="V145" s="1114">
        <f>Dren_Quantificacao!T115</f>
        <v>0</v>
      </c>
      <c r="W145" s="1114"/>
      <c r="X145" s="2465"/>
      <c r="Y145" s="1114">
        <f>Dren_Quantificacao!W115</f>
        <v>0</v>
      </c>
      <c r="Z145" s="1114">
        <f>Dren_Quantificacao!X115</f>
        <v>0</v>
      </c>
      <c r="AA145" s="1114">
        <f>Dren_Quantificacao!Y115</f>
        <v>0</v>
      </c>
      <c r="AB145" s="1114">
        <f>Dren_Quantificacao!Z115</f>
        <v>0</v>
      </c>
      <c r="AC145" s="1114">
        <f>Dren_Quantificacao!AA115</f>
        <v>0</v>
      </c>
      <c r="AD145" s="1114">
        <f>Dren_Quantificacao!AB115</f>
        <v>0</v>
      </c>
      <c r="AE145" s="1114">
        <f>Dren_Quantificacao!AC115</f>
        <v>0</v>
      </c>
      <c r="AF145" s="1114">
        <f>Dren_Quantificacao!AD115</f>
        <v>0</v>
      </c>
      <c r="AG145" s="1114">
        <f>Dren_Quantificacao!AE115</f>
        <v>0</v>
      </c>
      <c r="AH145" s="1114">
        <f>Dren_Quantificacao!AF115</f>
        <v>0</v>
      </c>
      <c r="AI145" s="1114"/>
      <c r="AJ145" s="1114"/>
      <c r="AK145" s="1114"/>
      <c r="AL145" s="1114"/>
      <c r="AM145" s="1114"/>
      <c r="AN145" s="1114"/>
      <c r="AO145" s="1114"/>
      <c r="AP145" s="1114"/>
      <c r="AQ145" s="1114"/>
      <c r="AR145" s="2465"/>
      <c r="AS145" s="1114">
        <f>Dren_Quantificacao!AQ115</f>
        <v>0</v>
      </c>
      <c r="AT145" s="1114">
        <f>Dren_Quantificacao!AR115</f>
        <v>0</v>
      </c>
      <c r="AU145" s="1114">
        <f>Dren_Quantificacao!AS115</f>
        <v>0</v>
      </c>
      <c r="AV145" s="1114">
        <f>Dren_Quantificacao!AT115</f>
        <v>0</v>
      </c>
      <c r="AW145" s="1114">
        <f>Dren_Quantificacao!AU115</f>
        <v>0</v>
      </c>
      <c r="AX145" s="1115"/>
      <c r="AY145" s="1115"/>
      <c r="AZ145" s="1115"/>
      <c r="BA145" s="1115"/>
      <c r="BB145" s="1115"/>
      <c r="BC145" s="1115"/>
      <c r="BD145" s="1115"/>
      <c r="BE145" s="1115"/>
      <c r="BF145" s="1115"/>
      <c r="BG145" s="1115"/>
      <c r="BH145" s="1115"/>
      <c r="BI145" s="1115"/>
      <c r="BJ145" s="1114">
        <f>+Dren_Quantificacao!BI115</f>
        <v>0</v>
      </c>
      <c r="BK145" s="1114">
        <f>+Dren_Quantificacao!BJ115</f>
        <v>0</v>
      </c>
      <c r="BL145" s="1114">
        <f>+Dren_Quantificacao!BK115</f>
        <v>0</v>
      </c>
      <c r="BM145" s="1124"/>
      <c r="BN145" s="579">
        <f t="shared" si="99"/>
        <v>0</v>
      </c>
      <c r="BO145" s="1047"/>
      <c r="BP145" s="1038"/>
      <c r="BQ145" s="1038"/>
      <c r="BR145" s="1038"/>
      <c r="BS145" s="1038"/>
      <c r="BT145" s="1038"/>
      <c r="BU145" s="1038"/>
      <c r="BV145" s="1038"/>
      <c r="BW145" s="1040"/>
      <c r="BX145" s="1038"/>
      <c r="BY145" s="1038"/>
      <c r="BZ145" s="1038"/>
      <c r="CA145" s="1038"/>
      <c r="CB145" s="1038"/>
      <c r="CC145" s="1038"/>
      <c r="CD145" s="1038"/>
      <c r="CE145" s="1038"/>
      <c r="CF145" s="1040"/>
      <c r="CG145" s="1038"/>
      <c r="CH145" s="1038"/>
      <c r="CI145" s="1038"/>
      <c r="CJ145" s="1038"/>
      <c r="CK145" s="1038"/>
      <c r="CL145" s="1038"/>
      <c r="CM145" s="1040"/>
      <c r="CN145" s="1040"/>
      <c r="CO145" s="1038"/>
      <c r="CP145" s="1038"/>
      <c r="CQ145" s="1038"/>
      <c r="CR145" s="1038"/>
      <c r="CS145" s="1038"/>
      <c r="CT145" s="1040"/>
      <c r="CU145" s="1041"/>
      <c r="CV145" s="1038"/>
      <c r="CW145" s="973"/>
    </row>
    <row r="146" spans="1:101" s="14" customFormat="1" ht="21.95" hidden="1" customHeight="1" x14ac:dyDescent="0.15">
      <c r="A146" s="2707"/>
      <c r="B146" s="2606"/>
      <c r="C146" s="567" t="s">
        <v>3</v>
      </c>
      <c r="D146" s="1003"/>
      <c r="E146" s="1287"/>
      <c r="F146" s="1114">
        <f>Dren_Quantificacao!D116</f>
        <v>0</v>
      </c>
      <c r="G146" s="1114">
        <f>Dren_Quantificacao!E116</f>
        <v>0</v>
      </c>
      <c r="H146" s="1114">
        <f>Dren_Quantificacao!F116</f>
        <v>0</v>
      </c>
      <c r="I146" s="1114">
        <f>Dren_Quantificacao!G116</f>
        <v>0</v>
      </c>
      <c r="J146" s="1114"/>
      <c r="K146" s="1114"/>
      <c r="L146" s="1114"/>
      <c r="M146" s="1114"/>
      <c r="N146" s="2465"/>
      <c r="O146" s="1114">
        <f>Dren_Quantificacao!M116</f>
        <v>0</v>
      </c>
      <c r="P146" s="1114">
        <f>Dren_Quantificacao!N116</f>
        <v>0</v>
      </c>
      <c r="Q146" s="1114">
        <f>Dren_Quantificacao!O116</f>
        <v>0</v>
      </c>
      <c r="R146" s="1114">
        <f>Dren_Quantificacao!P116</f>
        <v>0</v>
      </c>
      <c r="S146" s="1114">
        <f>Dren_Quantificacao!Q116</f>
        <v>0</v>
      </c>
      <c r="T146" s="1114">
        <f>Dren_Quantificacao!R116</f>
        <v>0</v>
      </c>
      <c r="U146" s="1114">
        <f>Dren_Quantificacao!S116</f>
        <v>0</v>
      </c>
      <c r="V146" s="1114">
        <f>Dren_Quantificacao!T116</f>
        <v>0</v>
      </c>
      <c r="W146" s="1114"/>
      <c r="X146" s="2465"/>
      <c r="Y146" s="1114">
        <f>Dren_Quantificacao!W116</f>
        <v>0</v>
      </c>
      <c r="Z146" s="1114">
        <f>Dren_Quantificacao!X116</f>
        <v>0</v>
      </c>
      <c r="AA146" s="1114">
        <f>Dren_Quantificacao!Y116</f>
        <v>0</v>
      </c>
      <c r="AB146" s="1114">
        <f>Dren_Quantificacao!Z116</f>
        <v>0</v>
      </c>
      <c r="AC146" s="1114">
        <f>Dren_Quantificacao!AA116</f>
        <v>0</v>
      </c>
      <c r="AD146" s="1114">
        <f>Dren_Quantificacao!AB116</f>
        <v>0</v>
      </c>
      <c r="AE146" s="1114">
        <f>Dren_Quantificacao!AC116</f>
        <v>0</v>
      </c>
      <c r="AF146" s="1114">
        <f>Dren_Quantificacao!AD116</f>
        <v>0</v>
      </c>
      <c r="AG146" s="1114">
        <f>Dren_Quantificacao!AE116</f>
        <v>0</v>
      </c>
      <c r="AH146" s="1114">
        <f>Dren_Quantificacao!AF116</f>
        <v>0</v>
      </c>
      <c r="AI146" s="1114"/>
      <c r="AJ146" s="1114"/>
      <c r="AK146" s="1114"/>
      <c r="AL146" s="1114"/>
      <c r="AM146" s="1114"/>
      <c r="AN146" s="1114"/>
      <c r="AO146" s="1114"/>
      <c r="AP146" s="1114"/>
      <c r="AQ146" s="1114"/>
      <c r="AR146" s="2465"/>
      <c r="AS146" s="1114">
        <f>Dren_Quantificacao!AQ116</f>
        <v>0</v>
      </c>
      <c r="AT146" s="1114">
        <f>Dren_Quantificacao!AR116</f>
        <v>0</v>
      </c>
      <c r="AU146" s="1114">
        <f>Dren_Quantificacao!AS116</f>
        <v>0</v>
      </c>
      <c r="AV146" s="1114">
        <f>Dren_Quantificacao!AT116</f>
        <v>0</v>
      </c>
      <c r="AW146" s="1114">
        <f>Dren_Quantificacao!AU116</f>
        <v>0</v>
      </c>
      <c r="AX146" s="1115"/>
      <c r="AY146" s="1115"/>
      <c r="AZ146" s="1115"/>
      <c r="BA146" s="1115"/>
      <c r="BB146" s="1115"/>
      <c r="BC146" s="1115"/>
      <c r="BD146" s="1115"/>
      <c r="BE146" s="1115"/>
      <c r="BF146" s="1115"/>
      <c r="BG146" s="1115"/>
      <c r="BH146" s="1115"/>
      <c r="BI146" s="1115"/>
      <c r="BJ146" s="1114">
        <f>+Dren_Quantificacao!BI116</f>
        <v>0</v>
      </c>
      <c r="BK146" s="1114">
        <f>+Dren_Quantificacao!BJ116</f>
        <v>0</v>
      </c>
      <c r="BL146" s="1114">
        <f>+Dren_Quantificacao!BK116</f>
        <v>0</v>
      </c>
      <c r="BM146" s="1124"/>
      <c r="BN146" s="579">
        <f t="shared" si="99"/>
        <v>0</v>
      </c>
      <c r="BO146" s="1047"/>
      <c r="BP146" s="1038"/>
      <c r="BQ146" s="1038"/>
      <c r="BR146" s="1038"/>
      <c r="BS146" s="1038"/>
      <c r="BT146" s="1038"/>
      <c r="BU146" s="1038"/>
      <c r="BV146" s="1038"/>
      <c r="BW146" s="1040"/>
      <c r="BX146" s="1038"/>
      <c r="BY146" s="1038"/>
      <c r="BZ146" s="1038"/>
      <c r="CA146" s="1038"/>
      <c r="CB146" s="1038"/>
      <c r="CC146" s="1038"/>
      <c r="CD146" s="1038"/>
      <c r="CE146" s="1038"/>
      <c r="CF146" s="1040"/>
      <c r="CG146" s="1038"/>
      <c r="CH146" s="1038"/>
      <c r="CI146" s="1038"/>
      <c r="CJ146" s="1038"/>
      <c r="CK146" s="1038"/>
      <c r="CL146" s="1038"/>
      <c r="CM146" s="1040"/>
      <c r="CN146" s="1040"/>
      <c r="CO146" s="1038"/>
      <c r="CP146" s="1038"/>
      <c r="CQ146" s="1038"/>
      <c r="CR146" s="1038"/>
      <c r="CS146" s="1038"/>
      <c r="CT146" s="1040"/>
      <c r="CU146" s="1041"/>
      <c r="CV146" s="1038"/>
      <c r="CW146" s="973"/>
    </row>
    <row r="147" spans="1:101" s="14" customFormat="1" ht="21.95" hidden="1" customHeight="1" thickBot="1" x14ac:dyDescent="0.2">
      <c r="A147" s="2707"/>
      <c r="B147" s="2606"/>
      <c r="C147" s="567" t="s">
        <v>11</v>
      </c>
      <c r="D147" s="1010"/>
      <c r="E147" s="2255"/>
      <c r="F147" s="1117">
        <f t="shared" ref="F147:G147" si="116">F146*F145*F144</f>
        <v>0</v>
      </c>
      <c r="G147" s="1117">
        <f t="shared" si="116"/>
        <v>0</v>
      </c>
      <c r="H147" s="1117">
        <f t="shared" ref="H147:I147" si="117">H146*H145*H144</f>
        <v>0</v>
      </c>
      <c r="I147" s="1117">
        <f t="shared" si="117"/>
        <v>0</v>
      </c>
      <c r="J147" s="1117"/>
      <c r="K147" s="1117"/>
      <c r="L147" s="1117"/>
      <c r="M147" s="1117"/>
      <c r="N147" s="2466"/>
      <c r="O147" s="1117">
        <f t="shared" ref="O147:V147" si="118">O146*O145*O144</f>
        <v>0</v>
      </c>
      <c r="P147" s="1117">
        <f t="shared" si="118"/>
        <v>0</v>
      </c>
      <c r="Q147" s="1117">
        <f t="shared" si="118"/>
        <v>0</v>
      </c>
      <c r="R147" s="1117">
        <f t="shared" si="118"/>
        <v>0</v>
      </c>
      <c r="S147" s="1117">
        <f t="shared" si="118"/>
        <v>0</v>
      </c>
      <c r="T147" s="1117">
        <f t="shared" si="118"/>
        <v>0</v>
      </c>
      <c r="U147" s="1117">
        <f t="shared" si="118"/>
        <v>0</v>
      </c>
      <c r="V147" s="1117">
        <f t="shared" si="118"/>
        <v>0</v>
      </c>
      <c r="W147" s="1117"/>
      <c r="X147" s="2466"/>
      <c r="Y147" s="1117">
        <f t="shared" ref="Y147:AH147" si="119">Y146*Y145*Y144</f>
        <v>0</v>
      </c>
      <c r="Z147" s="1117">
        <f t="shared" si="119"/>
        <v>0</v>
      </c>
      <c r="AA147" s="1117">
        <f t="shared" si="119"/>
        <v>0</v>
      </c>
      <c r="AB147" s="1117">
        <f t="shared" si="119"/>
        <v>0</v>
      </c>
      <c r="AC147" s="1117">
        <f t="shared" si="119"/>
        <v>0</v>
      </c>
      <c r="AD147" s="1117">
        <f t="shared" si="119"/>
        <v>0</v>
      </c>
      <c r="AE147" s="1117">
        <f t="shared" si="119"/>
        <v>0</v>
      </c>
      <c r="AF147" s="1117">
        <f t="shared" si="119"/>
        <v>0</v>
      </c>
      <c r="AG147" s="1117">
        <f t="shared" si="119"/>
        <v>0</v>
      </c>
      <c r="AH147" s="1117">
        <f t="shared" si="119"/>
        <v>0</v>
      </c>
      <c r="AI147" s="1117"/>
      <c r="AJ147" s="1117"/>
      <c r="AK147" s="1117"/>
      <c r="AL147" s="1117"/>
      <c r="AM147" s="1117"/>
      <c r="AN147" s="1117"/>
      <c r="AO147" s="1117"/>
      <c r="AP147" s="1117"/>
      <c r="AQ147" s="1117"/>
      <c r="AR147" s="2466"/>
      <c r="AS147" s="1117">
        <f t="shared" ref="AS147:AW147" si="120">AS146*AS145*AS144</f>
        <v>0</v>
      </c>
      <c r="AT147" s="1117">
        <f t="shared" si="120"/>
        <v>0</v>
      </c>
      <c r="AU147" s="1117">
        <f t="shared" si="120"/>
        <v>0</v>
      </c>
      <c r="AV147" s="1117">
        <f t="shared" si="120"/>
        <v>0</v>
      </c>
      <c r="AW147" s="1117">
        <f t="shared" si="120"/>
        <v>0</v>
      </c>
      <c r="AX147" s="1118"/>
      <c r="AY147" s="1118"/>
      <c r="AZ147" s="1118"/>
      <c r="BA147" s="1118"/>
      <c r="BB147" s="1118"/>
      <c r="BC147" s="1118"/>
      <c r="BD147" s="1118"/>
      <c r="BE147" s="1118"/>
      <c r="BF147" s="1118"/>
      <c r="BG147" s="1118"/>
      <c r="BH147" s="1118"/>
      <c r="BI147" s="1118"/>
      <c r="BJ147" s="1117">
        <f>+BJ146*BJ145*BJ144</f>
        <v>0</v>
      </c>
      <c r="BK147" s="1117">
        <f>+BK146*BK145*BK144</f>
        <v>0</v>
      </c>
      <c r="BL147" s="1117">
        <f>+BL146*BL145*BL144</f>
        <v>0</v>
      </c>
      <c r="BM147" s="1119">
        <f>ROUND(SUM(F147:BL147),2)</f>
        <v>0</v>
      </c>
      <c r="BN147" s="579">
        <f t="shared" si="99"/>
        <v>0</v>
      </c>
      <c r="BO147" s="1047"/>
      <c r="BP147" s="1038"/>
      <c r="BQ147" s="1038"/>
      <c r="BR147" s="1038"/>
      <c r="BS147" s="1038"/>
      <c r="BT147" s="1038"/>
      <c r="BU147" s="1038"/>
      <c r="BV147" s="1038"/>
      <c r="BW147" s="1040">
        <v>1</v>
      </c>
      <c r="BX147" s="1038"/>
      <c r="BY147" s="1038"/>
      <c r="BZ147" s="1038"/>
      <c r="CA147" s="1038"/>
      <c r="CB147" s="1038"/>
      <c r="CC147" s="1038"/>
      <c r="CD147" s="1038"/>
      <c r="CE147" s="1038"/>
      <c r="CF147" s="1040">
        <v>1</v>
      </c>
      <c r="CG147" s="1038"/>
      <c r="CH147" s="1038"/>
      <c r="CI147" s="1038"/>
      <c r="CJ147" s="1038"/>
      <c r="CK147" s="1038"/>
      <c r="CL147" s="1038">
        <v>1</v>
      </c>
      <c r="CM147" s="1040"/>
      <c r="CN147" s="1040"/>
      <c r="CO147" s="1038"/>
      <c r="CP147" s="1038"/>
      <c r="CQ147" s="1038"/>
      <c r="CR147" s="1038"/>
      <c r="CS147" s="1038"/>
      <c r="CT147" s="1040"/>
      <c r="CU147" s="1041"/>
      <c r="CV147" s="1038"/>
      <c r="CW147" s="973"/>
    </row>
    <row r="148" spans="1:101" ht="21.95" hidden="1" customHeight="1" x14ac:dyDescent="0.15">
      <c r="A148" s="2707"/>
      <c r="B148" s="2649" t="s">
        <v>25</v>
      </c>
      <c r="C148" s="550" t="s">
        <v>58</v>
      </c>
      <c r="D148" s="1002"/>
      <c r="E148" s="2241"/>
      <c r="F148" s="1120">
        <f>Dren_Quantificacao!D101</f>
        <v>0</v>
      </c>
      <c r="G148" s="1120">
        <f>Dren_Quantificacao!E101</f>
        <v>0</v>
      </c>
      <c r="H148" s="1120">
        <f>Dren_Quantificacao!F101</f>
        <v>0</v>
      </c>
      <c r="I148" s="1120">
        <f>Dren_Quantificacao!G101</f>
        <v>0</v>
      </c>
      <c r="J148" s="1120"/>
      <c r="K148" s="1120"/>
      <c r="L148" s="1120"/>
      <c r="M148" s="1120"/>
      <c r="N148" s="2467"/>
      <c r="O148" s="1120">
        <f>Dren_Quantificacao!M101</f>
        <v>0</v>
      </c>
      <c r="P148" s="1120">
        <f>Dren_Quantificacao!N101</f>
        <v>0</v>
      </c>
      <c r="Q148" s="1120">
        <f>Dren_Quantificacao!O101</f>
        <v>0</v>
      </c>
      <c r="R148" s="1120">
        <f>Dren_Quantificacao!P101</f>
        <v>0</v>
      </c>
      <c r="S148" s="1120">
        <f>Dren_Quantificacao!Q101</f>
        <v>0</v>
      </c>
      <c r="T148" s="1120">
        <f>Dren_Quantificacao!R101</f>
        <v>0</v>
      </c>
      <c r="U148" s="1120">
        <f>Dren_Quantificacao!S101</f>
        <v>0</v>
      </c>
      <c r="V148" s="1120">
        <f>Dren_Quantificacao!T101</f>
        <v>0</v>
      </c>
      <c r="W148" s="1120"/>
      <c r="X148" s="2467"/>
      <c r="Y148" s="1120">
        <f>Dren_Quantificacao!W101</f>
        <v>0</v>
      </c>
      <c r="Z148" s="1120">
        <f>Dren_Quantificacao!X101</f>
        <v>0</v>
      </c>
      <c r="AA148" s="1120">
        <f>Dren_Quantificacao!Y101</f>
        <v>0</v>
      </c>
      <c r="AB148" s="1120">
        <f>Dren_Quantificacao!Z101</f>
        <v>0</v>
      </c>
      <c r="AC148" s="1120">
        <f>Dren_Quantificacao!AA101</f>
        <v>0</v>
      </c>
      <c r="AD148" s="1120">
        <f>Dren_Quantificacao!AB101</f>
        <v>0</v>
      </c>
      <c r="AE148" s="1120">
        <f>Dren_Quantificacao!AC101</f>
        <v>0</v>
      </c>
      <c r="AF148" s="1120">
        <f>Dren_Quantificacao!AD101</f>
        <v>0</v>
      </c>
      <c r="AG148" s="1120">
        <f>Dren_Quantificacao!AE101</f>
        <v>0</v>
      </c>
      <c r="AH148" s="1120">
        <f>Dren_Quantificacao!AF101</f>
        <v>0</v>
      </c>
      <c r="AI148" s="1120"/>
      <c r="AJ148" s="1120"/>
      <c r="AK148" s="1120"/>
      <c r="AL148" s="1120"/>
      <c r="AM148" s="1120"/>
      <c r="AN148" s="1120"/>
      <c r="AO148" s="1120"/>
      <c r="AP148" s="1120"/>
      <c r="AQ148" s="1120"/>
      <c r="AR148" s="2467"/>
      <c r="AS148" s="1120">
        <f>Dren_Quantificacao!AQ101</f>
        <v>0</v>
      </c>
      <c r="AT148" s="1120">
        <f>Dren_Quantificacao!AR101</f>
        <v>0</v>
      </c>
      <c r="AU148" s="1120">
        <f>Dren_Quantificacao!AS101</f>
        <v>0</v>
      </c>
      <c r="AV148" s="1120">
        <f>Dren_Quantificacao!AT101</f>
        <v>0</v>
      </c>
      <c r="AW148" s="1120">
        <f>Dren_Quantificacao!AU101</f>
        <v>0</v>
      </c>
      <c r="AX148" s="1121"/>
      <c r="AY148" s="1121"/>
      <c r="AZ148" s="1121"/>
      <c r="BA148" s="1121"/>
      <c r="BB148" s="1121"/>
      <c r="BC148" s="1121"/>
      <c r="BD148" s="1121"/>
      <c r="BE148" s="1121"/>
      <c r="BF148" s="1121"/>
      <c r="BG148" s="1121"/>
      <c r="BH148" s="1121"/>
      <c r="BI148" s="1121"/>
      <c r="BJ148" s="1120">
        <f>+Dren_Quantificacao!BI101</f>
        <v>0</v>
      </c>
      <c r="BK148" s="1120">
        <f>+Dren_Quantificacao!BJ101</f>
        <v>0</v>
      </c>
      <c r="BL148" s="1120">
        <f>+Dren_Quantificacao!BK101</f>
        <v>0</v>
      </c>
      <c r="BM148" s="1123"/>
      <c r="BN148" s="579">
        <f t="shared" si="99"/>
        <v>0</v>
      </c>
      <c r="BO148" s="973"/>
      <c r="BP148" s="973"/>
      <c r="BQ148" s="973"/>
      <c r="BR148" s="973"/>
      <c r="BS148" s="973"/>
      <c r="BT148" s="973"/>
      <c r="BU148" s="973"/>
      <c r="BV148" s="973"/>
      <c r="BW148" s="973"/>
      <c r="BX148" s="973"/>
      <c r="BY148" s="973"/>
      <c r="BZ148" s="973"/>
      <c r="CA148" s="973"/>
      <c r="CB148" s="973"/>
      <c r="CC148" s="973"/>
      <c r="CD148" s="973"/>
      <c r="CE148" s="973"/>
      <c r="CF148" s="973"/>
      <c r="CG148" s="973"/>
      <c r="CH148" s="973"/>
      <c r="CI148" s="973"/>
      <c r="CJ148" s="973"/>
      <c r="CK148" s="973"/>
      <c r="CL148" s="973"/>
      <c r="CM148" s="973"/>
      <c r="CN148" s="973"/>
      <c r="CO148" s="973"/>
      <c r="CP148" s="973"/>
      <c r="CQ148" s="973"/>
      <c r="CR148" s="973"/>
      <c r="CS148" s="973"/>
      <c r="CT148" s="973"/>
      <c r="CU148" s="973"/>
      <c r="CV148" s="973"/>
      <c r="CW148" s="973"/>
    </row>
    <row r="149" spans="1:101" ht="21.95" hidden="1" customHeight="1" x14ac:dyDescent="0.15">
      <c r="A149" s="2707"/>
      <c r="B149" s="2622"/>
      <c r="C149" s="567" t="s">
        <v>64</v>
      </c>
      <c r="D149" s="1003"/>
      <c r="E149" s="1287"/>
      <c r="F149" s="1114">
        <f>Dren_Quantificacao!D102</f>
        <v>0</v>
      </c>
      <c r="G149" s="1114">
        <f>Dren_Quantificacao!E102</f>
        <v>0</v>
      </c>
      <c r="H149" s="1114">
        <f>Dren_Quantificacao!F102</f>
        <v>0</v>
      </c>
      <c r="I149" s="1114">
        <f>Dren_Quantificacao!G102</f>
        <v>0</v>
      </c>
      <c r="J149" s="1114"/>
      <c r="K149" s="1114"/>
      <c r="L149" s="1114"/>
      <c r="M149" s="1114"/>
      <c r="N149" s="2465"/>
      <c r="O149" s="1114">
        <f>Dren_Quantificacao!M102</f>
        <v>0</v>
      </c>
      <c r="P149" s="1114">
        <f>Dren_Quantificacao!N102</f>
        <v>0</v>
      </c>
      <c r="Q149" s="1114">
        <f>Dren_Quantificacao!O102</f>
        <v>0</v>
      </c>
      <c r="R149" s="1114">
        <f>Dren_Quantificacao!P102</f>
        <v>0</v>
      </c>
      <c r="S149" s="1114">
        <f>Dren_Quantificacao!Q102</f>
        <v>0</v>
      </c>
      <c r="T149" s="1114">
        <f>Dren_Quantificacao!R102</f>
        <v>0</v>
      </c>
      <c r="U149" s="1114">
        <f>Dren_Quantificacao!S102</f>
        <v>0</v>
      </c>
      <c r="V149" s="1114">
        <f>Dren_Quantificacao!T102</f>
        <v>0</v>
      </c>
      <c r="W149" s="1114"/>
      <c r="X149" s="2465"/>
      <c r="Y149" s="1114">
        <f>Dren_Quantificacao!W102</f>
        <v>0</v>
      </c>
      <c r="Z149" s="1114">
        <f>Dren_Quantificacao!X102</f>
        <v>0</v>
      </c>
      <c r="AA149" s="1114">
        <f>Dren_Quantificacao!Y102</f>
        <v>0</v>
      </c>
      <c r="AB149" s="1114">
        <f>Dren_Quantificacao!Z102</f>
        <v>0</v>
      </c>
      <c r="AC149" s="1114">
        <f>Dren_Quantificacao!AA102</f>
        <v>0</v>
      </c>
      <c r="AD149" s="1114">
        <f>Dren_Quantificacao!AB102</f>
        <v>0</v>
      </c>
      <c r="AE149" s="1114">
        <f>Dren_Quantificacao!AC102</f>
        <v>0</v>
      </c>
      <c r="AF149" s="1114">
        <f>Dren_Quantificacao!AD102</f>
        <v>0</v>
      </c>
      <c r="AG149" s="1114">
        <f>Dren_Quantificacao!AE102</f>
        <v>0</v>
      </c>
      <c r="AH149" s="1114">
        <f>Dren_Quantificacao!AF102</f>
        <v>0</v>
      </c>
      <c r="AI149" s="1114"/>
      <c r="AJ149" s="1114"/>
      <c r="AK149" s="1114"/>
      <c r="AL149" s="1114"/>
      <c r="AM149" s="1114"/>
      <c r="AN149" s="1114"/>
      <c r="AO149" s="1114"/>
      <c r="AP149" s="1114"/>
      <c r="AQ149" s="1114"/>
      <c r="AR149" s="2465"/>
      <c r="AS149" s="1114">
        <f>Dren_Quantificacao!AQ102</f>
        <v>0</v>
      </c>
      <c r="AT149" s="1114">
        <f>Dren_Quantificacao!AR102</f>
        <v>0</v>
      </c>
      <c r="AU149" s="1114">
        <f>Dren_Quantificacao!AS102</f>
        <v>0</v>
      </c>
      <c r="AV149" s="1114">
        <f>Dren_Quantificacao!AT102</f>
        <v>0</v>
      </c>
      <c r="AW149" s="1114">
        <f>Dren_Quantificacao!AU102</f>
        <v>0</v>
      </c>
      <c r="AX149" s="1115"/>
      <c r="AY149" s="1115"/>
      <c r="AZ149" s="1115"/>
      <c r="BA149" s="1115"/>
      <c r="BB149" s="1115"/>
      <c r="BC149" s="1115"/>
      <c r="BD149" s="1115"/>
      <c r="BE149" s="1115"/>
      <c r="BF149" s="1115"/>
      <c r="BG149" s="1115"/>
      <c r="BH149" s="1115"/>
      <c r="BI149" s="1115"/>
      <c r="BJ149" s="1114">
        <f>+Dren_Quantificacao!BI102</f>
        <v>0</v>
      </c>
      <c r="BK149" s="1114">
        <f>+Dren_Quantificacao!BJ102</f>
        <v>0</v>
      </c>
      <c r="BL149" s="1114">
        <f>+Dren_Quantificacao!BK102</f>
        <v>0</v>
      </c>
      <c r="BM149" s="1124"/>
      <c r="BN149" s="579">
        <f t="shared" si="99"/>
        <v>0</v>
      </c>
      <c r="BO149" s="973"/>
      <c r="BP149" s="973"/>
      <c r="BQ149" s="973"/>
      <c r="BR149" s="973"/>
      <c r="BS149" s="973"/>
      <c r="BT149" s="973"/>
      <c r="BU149" s="973"/>
      <c r="BV149" s="973"/>
      <c r="BW149" s="973"/>
      <c r="BX149" s="973"/>
      <c r="BY149" s="973"/>
      <c r="BZ149" s="973"/>
      <c r="CA149" s="973"/>
      <c r="CB149" s="973"/>
      <c r="CC149" s="973"/>
      <c r="CD149" s="973"/>
      <c r="CE149" s="973"/>
      <c r="CF149" s="973"/>
      <c r="CG149" s="973"/>
      <c r="CH149" s="973"/>
      <c r="CI149" s="973"/>
      <c r="CJ149" s="973"/>
      <c r="CK149" s="973"/>
      <c r="CL149" s="973"/>
      <c r="CM149" s="973"/>
      <c r="CN149" s="973"/>
      <c r="CO149" s="973"/>
      <c r="CP149" s="973"/>
      <c r="CQ149" s="973"/>
      <c r="CR149" s="973"/>
      <c r="CS149" s="973"/>
      <c r="CT149" s="973"/>
      <c r="CU149" s="973"/>
      <c r="CV149" s="973"/>
      <c r="CW149" s="973"/>
    </row>
    <row r="150" spans="1:101" ht="21.95" hidden="1" customHeight="1" thickBot="1" x14ac:dyDescent="0.2">
      <c r="A150" s="2707"/>
      <c r="B150" s="2650"/>
      <c r="C150" s="566" t="s">
        <v>50</v>
      </c>
      <c r="D150" s="1004"/>
      <c r="E150" s="2242"/>
      <c r="F150" s="1125">
        <f t="shared" ref="F150:G150" si="121">F149*F148</f>
        <v>0</v>
      </c>
      <c r="G150" s="1125">
        <f t="shared" si="121"/>
        <v>0</v>
      </c>
      <c r="H150" s="1125">
        <f t="shared" ref="H150:I150" si="122">H149*H148</f>
        <v>0</v>
      </c>
      <c r="I150" s="1125">
        <f t="shared" si="122"/>
        <v>0</v>
      </c>
      <c r="J150" s="1125"/>
      <c r="K150" s="1125"/>
      <c r="L150" s="1125"/>
      <c r="M150" s="1125"/>
      <c r="N150" s="2468"/>
      <c r="O150" s="1125">
        <f t="shared" ref="O150:V150" si="123">O149*O148</f>
        <v>0</v>
      </c>
      <c r="P150" s="1125">
        <f t="shared" si="123"/>
        <v>0</v>
      </c>
      <c r="Q150" s="1125">
        <f t="shared" si="123"/>
        <v>0</v>
      </c>
      <c r="R150" s="1125">
        <f t="shared" si="123"/>
        <v>0</v>
      </c>
      <c r="S150" s="1125">
        <f t="shared" si="123"/>
        <v>0</v>
      </c>
      <c r="T150" s="1125">
        <f t="shared" si="123"/>
        <v>0</v>
      </c>
      <c r="U150" s="1125">
        <f t="shared" si="123"/>
        <v>0</v>
      </c>
      <c r="V150" s="1125">
        <f t="shared" si="123"/>
        <v>0</v>
      </c>
      <c r="W150" s="1125"/>
      <c r="X150" s="2468"/>
      <c r="Y150" s="1125">
        <f t="shared" ref="Y150:AH150" si="124">Y149*Y148</f>
        <v>0</v>
      </c>
      <c r="Z150" s="1125">
        <f t="shared" si="124"/>
        <v>0</v>
      </c>
      <c r="AA150" s="1125">
        <f t="shared" si="124"/>
        <v>0</v>
      </c>
      <c r="AB150" s="1125">
        <f t="shared" si="124"/>
        <v>0</v>
      </c>
      <c r="AC150" s="1125">
        <f t="shared" si="124"/>
        <v>0</v>
      </c>
      <c r="AD150" s="1125">
        <f t="shared" si="124"/>
        <v>0</v>
      </c>
      <c r="AE150" s="1125">
        <f t="shared" si="124"/>
        <v>0</v>
      </c>
      <c r="AF150" s="1125">
        <f t="shared" si="124"/>
        <v>0</v>
      </c>
      <c r="AG150" s="1125">
        <f t="shared" si="124"/>
        <v>0</v>
      </c>
      <c r="AH150" s="1125">
        <f t="shared" si="124"/>
        <v>0</v>
      </c>
      <c r="AI150" s="1125"/>
      <c r="AJ150" s="1125"/>
      <c r="AK150" s="1125"/>
      <c r="AL150" s="1125"/>
      <c r="AM150" s="1125"/>
      <c r="AN150" s="1125"/>
      <c r="AO150" s="1125"/>
      <c r="AP150" s="1125"/>
      <c r="AQ150" s="1125"/>
      <c r="AR150" s="2468"/>
      <c r="AS150" s="1125">
        <f t="shared" ref="AS150:AW150" si="125">AS149*AS148</f>
        <v>0</v>
      </c>
      <c r="AT150" s="1125">
        <f t="shared" si="125"/>
        <v>0</v>
      </c>
      <c r="AU150" s="1125">
        <f t="shared" si="125"/>
        <v>0</v>
      </c>
      <c r="AV150" s="1125">
        <f t="shared" si="125"/>
        <v>0</v>
      </c>
      <c r="AW150" s="1125">
        <f t="shared" si="125"/>
        <v>0</v>
      </c>
      <c r="AX150" s="1126"/>
      <c r="AY150" s="1126"/>
      <c r="AZ150" s="1126"/>
      <c r="BA150" s="1126"/>
      <c r="BB150" s="1126"/>
      <c r="BC150" s="1126"/>
      <c r="BD150" s="1126"/>
      <c r="BE150" s="1126"/>
      <c r="BF150" s="1126"/>
      <c r="BG150" s="1126"/>
      <c r="BH150" s="1126"/>
      <c r="BI150" s="1126"/>
      <c r="BJ150" s="1125">
        <f>+BJ149*BJ148</f>
        <v>0</v>
      </c>
      <c r="BK150" s="1125">
        <f>+BK149*BK148</f>
        <v>0</v>
      </c>
      <c r="BL150" s="1125">
        <f>+BL149*BL148</f>
        <v>0</v>
      </c>
      <c r="BM150" s="1127">
        <f t="shared" ref="BM150:BM162" si="126">ROUND(SUM(F150:BL150),2)</f>
        <v>0</v>
      </c>
      <c r="BN150" s="579">
        <f t="shared" si="99"/>
        <v>0</v>
      </c>
      <c r="BO150" s="973"/>
      <c r="BP150" s="973"/>
      <c r="BQ150" s="973"/>
      <c r="BR150" s="973"/>
      <c r="BS150" s="973"/>
      <c r="BT150" s="973"/>
      <c r="BU150" s="973"/>
      <c r="BV150" s="973"/>
      <c r="BW150" s="973"/>
      <c r="BX150" s="973"/>
      <c r="BY150" s="973"/>
      <c r="BZ150" s="973"/>
      <c r="CA150" s="973"/>
      <c r="CB150" s="973"/>
      <c r="CC150" s="973"/>
      <c r="CD150" s="973"/>
      <c r="CE150" s="973"/>
      <c r="CF150" s="973"/>
      <c r="CG150" s="973"/>
      <c r="CH150" s="973"/>
      <c r="CI150" s="973"/>
      <c r="CJ150" s="973"/>
      <c r="CK150" s="973"/>
      <c r="CL150" s="973"/>
      <c r="CM150" s="973"/>
      <c r="CN150" s="973"/>
      <c r="CO150" s="973"/>
      <c r="CP150" s="973"/>
      <c r="CQ150" s="973"/>
      <c r="CR150" s="973"/>
      <c r="CS150" s="973"/>
      <c r="CT150" s="973"/>
      <c r="CU150" s="973"/>
      <c r="CV150" s="973"/>
      <c r="CW150" s="973"/>
    </row>
    <row r="151" spans="1:101" ht="21.95" hidden="1" customHeight="1" thickBot="1" x14ac:dyDescent="0.2">
      <c r="A151" s="2707"/>
      <c r="B151" s="2612" t="s">
        <v>325</v>
      </c>
      <c r="C151" s="2613"/>
      <c r="D151" s="1001"/>
      <c r="E151" s="2240"/>
      <c r="F151" s="1128">
        <f>Dren_Quantificacao!D103</f>
        <v>0</v>
      </c>
      <c r="G151" s="1128">
        <f>Dren_Quantificacao!E103</f>
        <v>0</v>
      </c>
      <c r="H151" s="1128">
        <f>Dren_Quantificacao!F103</f>
        <v>0</v>
      </c>
      <c r="I151" s="1128">
        <f>Dren_Quantificacao!G103</f>
        <v>0</v>
      </c>
      <c r="J151" s="1128"/>
      <c r="K151" s="1128"/>
      <c r="L151" s="1128"/>
      <c r="M151" s="1128"/>
      <c r="N151" s="2469"/>
      <c r="O151" s="1128">
        <f>Dren_Quantificacao!M103</f>
        <v>0</v>
      </c>
      <c r="P151" s="1128">
        <f>Dren_Quantificacao!N103</f>
        <v>0</v>
      </c>
      <c r="Q151" s="1128">
        <f>Dren_Quantificacao!O103</f>
        <v>0</v>
      </c>
      <c r="R151" s="1128">
        <f>Dren_Quantificacao!P103</f>
        <v>0</v>
      </c>
      <c r="S151" s="1128">
        <f>Dren_Quantificacao!Q103</f>
        <v>0</v>
      </c>
      <c r="T151" s="1128">
        <f>Dren_Quantificacao!R103</f>
        <v>0</v>
      </c>
      <c r="U151" s="1128">
        <f>Dren_Quantificacao!S103</f>
        <v>0</v>
      </c>
      <c r="V151" s="1128">
        <f>Dren_Quantificacao!T103</f>
        <v>0</v>
      </c>
      <c r="W151" s="1128"/>
      <c r="X151" s="2469"/>
      <c r="Y151" s="1128">
        <f>Dren_Quantificacao!W103</f>
        <v>0</v>
      </c>
      <c r="Z151" s="1128">
        <f>Dren_Quantificacao!X103</f>
        <v>0</v>
      </c>
      <c r="AA151" s="1128">
        <f>Dren_Quantificacao!Y103</f>
        <v>0</v>
      </c>
      <c r="AB151" s="1128">
        <f>Dren_Quantificacao!Z103</f>
        <v>0</v>
      </c>
      <c r="AC151" s="1128">
        <f>Dren_Quantificacao!AA103</f>
        <v>0</v>
      </c>
      <c r="AD151" s="1128">
        <f>Dren_Quantificacao!AB103</f>
        <v>0</v>
      </c>
      <c r="AE151" s="1128">
        <f>Dren_Quantificacao!AC103</f>
        <v>0</v>
      </c>
      <c r="AF151" s="1128">
        <f>Dren_Quantificacao!AD103</f>
        <v>0</v>
      </c>
      <c r="AG151" s="1128">
        <f>Dren_Quantificacao!AE103</f>
        <v>0</v>
      </c>
      <c r="AH151" s="1128">
        <f>Dren_Quantificacao!AF103</f>
        <v>0</v>
      </c>
      <c r="AI151" s="1128"/>
      <c r="AJ151" s="1128"/>
      <c r="AK151" s="1128"/>
      <c r="AL151" s="1128"/>
      <c r="AM151" s="1128"/>
      <c r="AN151" s="1128"/>
      <c r="AO151" s="1128"/>
      <c r="AP151" s="1128"/>
      <c r="AQ151" s="1128"/>
      <c r="AR151" s="2469"/>
      <c r="AS151" s="1128">
        <f>Dren_Quantificacao!AQ103</f>
        <v>0</v>
      </c>
      <c r="AT151" s="1128">
        <f>Dren_Quantificacao!AR103</f>
        <v>0</v>
      </c>
      <c r="AU151" s="1128">
        <f>Dren_Quantificacao!AS103</f>
        <v>0</v>
      </c>
      <c r="AV151" s="1128">
        <f>Dren_Quantificacao!AT103</f>
        <v>0</v>
      </c>
      <c r="AW151" s="1128">
        <f>Dren_Quantificacao!AU103</f>
        <v>0</v>
      </c>
      <c r="AX151" s="1129"/>
      <c r="AY151" s="1129"/>
      <c r="AZ151" s="1129"/>
      <c r="BA151" s="1129"/>
      <c r="BB151" s="1129"/>
      <c r="BC151" s="1129"/>
      <c r="BD151" s="1129"/>
      <c r="BE151" s="1129"/>
      <c r="BF151" s="1129"/>
      <c r="BG151" s="1129"/>
      <c r="BH151" s="1129"/>
      <c r="BI151" s="1129"/>
      <c r="BJ151" s="1128"/>
      <c r="BK151" s="1128"/>
      <c r="BL151" s="1128"/>
      <c r="BM151" s="1130">
        <f t="shared" si="126"/>
        <v>0</v>
      </c>
      <c r="BN151" s="579">
        <f t="shared" si="99"/>
        <v>0</v>
      </c>
      <c r="BO151" s="973"/>
      <c r="BP151" s="973"/>
      <c r="BQ151" s="973"/>
      <c r="BR151" s="973"/>
      <c r="BS151" s="973"/>
      <c r="BT151" s="973"/>
      <c r="BU151" s="973"/>
      <c r="BV151" s="973"/>
      <c r="BW151" s="973"/>
      <c r="BX151" s="973"/>
      <c r="BY151" s="973"/>
      <c r="BZ151" s="973"/>
      <c r="CA151" s="973"/>
      <c r="CB151" s="973"/>
      <c r="CC151" s="973"/>
      <c r="CD151" s="973"/>
      <c r="CE151" s="973"/>
      <c r="CF151" s="973"/>
      <c r="CG151" s="973"/>
      <c r="CH151" s="973"/>
      <c r="CI151" s="973"/>
      <c r="CJ151" s="973"/>
      <c r="CK151" s="973"/>
      <c r="CL151" s="973"/>
      <c r="CM151" s="973"/>
      <c r="CN151" s="973"/>
      <c r="CO151" s="973"/>
      <c r="CP151" s="973"/>
      <c r="CQ151" s="973"/>
      <c r="CR151" s="973"/>
      <c r="CS151" s="973"/>
      <c r="CT151" s="973"/>
      <c r="CU151" s="973"/>
      <c r="CV151" s="973"/>
      <c r="CW151" s="973"/>
    </row>
    <row r="152" spans="1:101" ht="21.95" customHeight="1" x14ac:dyDescent="0.15">
      <c r="A152" s="2707"/>
      <c r="B152" s="2677" t="s">
        <v>1378</v>
      </c>
      <c r="C152" s="550" t="s">
        <v>1207</v>
      </c>
      <c r="D152" s="1152"/>
      <c r="E152" s="2241"/>
      <c r="F152" s="1120">
        <f t="shared" ref="F152:G159" si="127">F162</f>
        <v>0</v>
      </c>
      <c r="G152" s="1120">
        <f t="shared" ca="1" si="127"/>
        <v>8.2405330559600003</v>
      </c>
      <c r="H152" s="1120">
        <f t="shared" ref="H152:I152" ca="1" si="128">H162</f>
        <v>7.7482137690000004</v>
      </c>
      <c r="I152" s="1120">
        <f t="shared" ca="1" si="128"/>
        <v>7.4971683224800003</v>
      </c>
      <c r="J152" s="1120"/>
      <c r="K152" s="1120"/>
      <c r="L152" s="1120"/>
      <c r="M152" s="1120"/>
      <c r="N152" s="2467"/>
      <c r="O152" s="1120">
        <f t="shared" ref="O152:V152" ca="1" si="129">O162</f>
        <v>8.7261636959600004</v>
      </c>
      <c r="P152" s="1120">
        <f t="shared" ca="1" si="129"/>
        <v>15.872690757079999</v>
      </c>
      <c r="Q152" s="1120">
        <f t="shared" ca="1" si="129"/>
        <v>7.3552513411600007</v>
      </c>
      <c r="R152" s="1120">
        <f t="shared" ca="1" si="129"/>
        <v>7.6151678672400012</v>
      </c>
      <c r="S152" s="1120">
        <f t="shared" ca="1" si="129"/>
        <v>7.6114029468000002</v>
      </c>
      <c r="T152" s="1120">
        <f t="shared" ca="1" si="129"/>
        <v>16.26634597876</v>
      </c>
      <c r="U152" s="1120">
        <f t="shared" ca="1" si="129"/>
        <v>8.715000771559998</v>
      </c>
      <c r="V152" s="1120">
        <f t="shared" ca="1" si="129"/>
        <v>15.0125874032</v>
      </c>
      <c r="W152" s="1120"/>
      <c r="X152" s="2467"/>
      <c r="Y152" s="1120">
        <f t="shared" ref="Y152:AH152" ca="1" si="130">Y162</f>
        <v>16.588707659760004</v>
      </c>
      <c r="Z152" s="1120">
        <f t="shared" ca="1" si="130"/>
        <v>8.2946248559599987</v>
      </c>
      <c r="AA152" s="1120">
        <f t="shared" ca="1" si="130"/>
        <v>7.3460779289999989</v>
      </c>
      <c r="AB152" s="1120">
        <f t="shared" ca="1" si="130"/>
        <v>14.89045503012</v>
      </c>
      <c r="AC152" s="1120">
        <f t="shared" ca="1" si="130"/>
        <v>7.5850989259200006</v>
      </c>
      <c r="AD152" s="1120">
        <f t="shared" ca="1" si="130"/>
        <v>15.478441801839999</v>
      </c>
      <c r="AE152" s="1120">
        <f t="shared" ca="1" si="130"/>
        <v>16.5729440876</v>
      </c>
      <c r="AF152" s="1120">
        <f t="shared" ca="1" si="130"/>
        <v>16.883039672239999</v>
      </c>
      <c r="AG152" s="1120">
        <f t="shared" ca="1" si="130"/>
        <v>8.4479430832799984</v>
      </c>
      <c r="AH152" s="1120">
        <f t="shared" ca="1" si="130"/>
        <v>8.4261077915599998</v>
      </c>
      <c r="AI152" s="1120"/>
      <c r="AJ152" s="1120"/>
      <c r="AK152" s="1120"/>
      <c r="AL152" s="1120"/>
      <c r="AM152" s="1120"/>
      <c r="AN152" s="1120"/>
      <c r="AO152" s="1120"/>
      <c r="AP152" s="1120"/>
      <c r="AQ152" s="1120"/>
      <c r="AR152" s="2467"/>
      <c r="AS152" s="1120">
        <f t="shared" ref="AS152:AW152" ca="1" si="131">AS162</f>
        <v>9.3870157134000003</v>
      </c>
      <c r="AT152" s="1120">
        <f t="shared" ca="1" si="131"/>
        <v>8.9937077085600006</v>
      </c>
      <c r="AU152" s="1120">
        <f t="shared" ca="1" si="131"/>
        <v>8.9975611216000004</v>
      </c>
      <c r="AV152" s="1120">
        <f t="shared" ca="1" si="131"/>
        <v>8.4035591281199995</v>
      </c>
      <c r="AW152" s="1120">
        <f t="shared" ca="1" si="131"/>
        <v>13.177951149672001</v>
      </c>
      <c r="AX152" s="1121"/>
      <c r="AY152" s="1121"/>
      <c r="AZ152" s="1121"/>
      <c r="BA152" s="1121"/>
      <c r="BB152" s="1121"/>
      <c r="BC152" s="1121"/>
      <c r="BD152" s="1121"/>
      <c r="BE152" s="1121"/>
      <c r="BF152" s="1121"/>
      <c r="BG152" s="1121"/>
      <c r="BH152" s="1121"/>
      <c r="BI152" s="1121"/>
      <c r="BJ152" s="1120"/>
      <c r="BK152" s="1120"/>
      <c r="BL152" s="1120"/>
      <c r="BM152" s="1122">
        <f t="shared" ca="1" si="126"/>
        <v>280.13</v>
      </c>
      <c r="BN152" s="579">
        <f t="shared" ca="1" si="99"/>
        <v>560.26376156783203</v>
      </c>
      <c r="BO152" s="973"/>
      <c r="BP152" s="973"/>
      <c r="BQ152" s="973"/>
      <c r="BR152" s="973"/>
      <c r="BS152" s="973"/>
      <c r="BT152" s="973"/>
      <c r="BU152" s="973"/>
      <c r="BV152" s="973"/>
      <c r="BW152" s="973"/>
      <c r="BX152" s="973"/>
      <c r="BY152" s="973"/>
      <c r="BZ152" s="973"/>
      <c r="CA152" s="973"/>
      <c r="CB152" s="973"/>
      <c r="CC152" s="973"/>
      <c r="CD152" s="973"/>
      <c r="CE152" s="973"/>
      <c r="CF152" s="973"/>
      <c r="CG152" s="973"/>
      <c r="CH152" s="973"/>
      <c r="CI152" s="973"/>
      <c r="CJ152" s="973"/>
      <c r="CK152" s="973"/>
      <c r="CL152" s="973"/>
      <c r="CM152" s="973"/>
      <c r="CN152" s="973"/>
      <c r="CO152" s="973"/>
      <c r="CP152" s="973"/>
      <c r="CQ152" s="973"/>
      <c r="CR152" s="973"/>
      <c r="CS152" s="973"/>
      <c r="CT152" s="973"/>
      <c r="CU152" s="973"/>
      <c r="CV152" s="973"/>
      <c r="CW152" s="973"/>
    </row>
    <row r="153" spans="1:101" ht="21.95" customHeight="1" x14ac:dyDescent="0.15">
      <c r="A153" s="2707"/>
      <c r="B153" s="2678"/>
      <c r="C153" s="559" t="s">
        <v>585</v>
      </c>
      <c r="D153" s="997"/>
      <c r="E153" s="1287"/>
      <c r="F153" s="1114">
        <f t="shared" si="127"/>
        <v>0</v>
      </c>
      <c r="G153" s="1114">
        <f t="shared" ref="G153:G158" ca="1" si="132">G163</f>
        <v>18.733767503999999</v>
      </c>
      <c r="H153" s="1114">
        <f t="shared" ref="H153:I153" ca="1" si="133">H163</f>
        <v>17.584809583999998</v>
      </c>
      <c r="I153" s="1114">
        <f t="shared" ca="1" si="133"/>
        <v>16.999172643999998</v>
      </c>
      <c r="J153" s="1114"/>
      <c r="K153" s="1114"/>
      <c r="L153" s="1114"/>
      <c r="M153" s="1114"/>
      <c r="N153" s="2465"/>
      <c r="O153" s="1114">
        <f t="shared" ref="O153:V153" ca="1" si="134">O163</f>
        <v>19.868447904</v>
      </c>
      <c r="P153" s="1114">
        <f t="shared" ca="1" si="134"/>
        <v>36.624371019199998</v>
      </c>
      <c r="Q153" s="1114">
        <f t="shared" ca="1" si="134"/>
        <v>16.656119103999998</v>
      </c>
      <c r="R153" s="1114">
        <f t="shared" ca="1" si="134"/>
        <v>17.261492263999997</v>
      </c>
      <c r="S153" s="1114">
        <f t="shared" ca="1" si="134"/>
        <v>17.253148484</v>
      </c>
      <c r="T153" s="1114">
        <f t="shared" ca="1" si="134"/>
        <v>37.416165979199995</v>
      </c>
      <c r="U153" s="1114">
        <f t="shared" ca="1" si="134"/>
        <v>19.705686503999999</v>
      </c>
      <c r="V153" s="1114">
        <f t="shared" ca="1" si="134"/>
        <v>33.983492167999998</v>
      </c>
      <c r="W153" s="1114"/>
      <c r="X153" s="2465"/>
      <c r="Y153" s="1114">
        <f t="shared" ref="Y153:AH153" ca="1" si="135">Y163</f>
        <v>37.706677888000002</v>
      </c>
      <c r="Z153" s="1114">
        <f t="shared" ca="1" si="135"/>
        <v>18.853971504</v>
      </c>
      <c r="AA153" s="1114">
        <f t="shared" ca="1" si="135"/>
        <v>16.635673183999998</v>
      </c>
      <c r="AB153" s="1114">
        <f t="shared" ca="1" si="135"/>
        <v>34.330637699200004</v>
      </c>
      <c r="AC153" s="1114">
        <f t="shared" ca="1" si="135"/>
        <v>17.166989923999999</v>
      </c>
      <c r="AD153" s="1114">
        <f t="shared" ca="1" si="135"/>
        <v>35.6786986392</v>
      </c>
      <c r="AE153" s="1114">
        <f t="shared" ca="1" si="135"/>
        <v>37.671587168000002</v>
      </c>
      <c r="AF153" s="1114">
        <f t="shared" ca="1" si="135"/>
        <v>38.869269639199999</v>
      </c>
      <c r="AG153" s="1114">
        <f t="shared" ca="1" si="135"/>
        <v>19.084557644</v>
      </c>
      <c r="AH153" s="1114">
        <f t="shared" ca="1" si="135"/>
        <v>19.035951504</v>
      </c>
      <c r="AI153" s="1114"/>
      <c r="AJ153" s="1114"/>
      <c r="AK153" s="1114"/>
      <c r="AL153" s="1114"/>
      <c r="AM153" s="1114"/>
      <c r="AN153" s="1114"/>
      <c r="AO153" s="1114"/>
      <c r="AP153" s="1114"/>
      <c r="AQ153" s="1114"/>
      <c r="AR153" s="2465"/>
      <c r="AS153" s="1114">
        <f t="shared" ref="AS153:AW153" ca="1" si="136">AS163</f>
        <v>21.419476784</v>
      </c>
      <c r="AT153" s="1114">
        <f t="shared" ca="1" si="136"/>
        <v>20.463028004000002</v>
      </c>
      <c r="AU153" s="1114">
        <f t="shared" ca="1" si="136"/>
        <v>20.471606284000003</v>
      </c>
      <c r="AV153" s="1114">
        <f t="shared" ca="1" si="136"/>
        <v>19.082518424</v>
      </c>
      <c r="AW153" s="1114">
        <f t="shared" ca="1" si="136"/>
        <v>29.786943792320002</v>
      </c>
      <c r="AX153" s="1115"/>
      <c r="AY153" s="1115"/>
      <c r="AZ153" s="1115"/>
      <c r="BA153" s="1115"/>
      <c r="BB153" s="1115"/>
      <c r="BC153" s="1115"/>
      <c r="BD153" s="1115"/>
      <c r="BE153" s="1115"/>
      <c r="BF153" s="1115"/>
      <c r="BG153" s="1115"/>
      <c r="BH153" s="1115"/>
      <c r="BI153" s="1115"/>
      <c r="BJ153" s="1114"/>
      <c r="BK153" s="1114"/>
      <c r="BL153" s="1114"/>
      <c r="BM153" s="1116">
        <f t="shared" ca="1" si="126"/>
        <v>638.34</v>
      </c>
      <c r="BN153" s="579">
        <f t="shared" ca="1" si="99"/>
        <v>1276.68426124032</v>
      </c>
      <c r="BO153" s="973"/>
      <c r="BP153" s="973"/>
      <c r="BQ153" s="973"/>
      <c r="BR153" s="973"/>
      <c r="BS153" s="973"/>
      <c r="BT153" s="973"/>
      <c r="BU153" s="973"/>
      <c r="BV153" s="973"/>
      <c r="BW153" s="973"/>
      <c r="BX153" s="973"/>
      <c r="BY153" s="973"/>
      <c r="BZ153" s="973"/>
      <c r="CA153" s="973"/>
      <c r="CB153" s="973"/>
      <c r="CC153" s="973"/>
      <c r="CD153" s="973"/>
      <c r="CE153" s="973"/>
      <c r="CF153" s="973"/>
      <c r="CG153" s="973"/>
      <c r="CH153" s="973"/>
      <c r="CI153" s="973"/>
      <c r="CJ153" s="973"/>
      <c r="CK153" s="973"/>
      <c r="CL153" s="973"/>
      <c r="CM153" s="973"/>
      <c r="CN153" s="973"/>
      <c r="CO153" s="973"/>
      <c r="CP153" s="973"/>
      <c r="CQ153" s="973"/>
      <c r="CR153" s="973"/>
      <c r="CS153" s="973"/>
      <c r="CT153" s="973"/>
      <c r="CU153" s="973"/>
      <c r="CV153" s="973"/>
      <c r="CW153" s="973"/>
    </row>
    <row r="154" spans="1:101" ht="21.95" customHeight="1" x14ac:dyDescent="0.15">
      <c r="A154" s="2707"/>
      <c r="B154" s="2678"/>
      <c r="C154" s="559" t="s">
        <v>1206</v>
      </c>
      <c r="D154" s="997"/>
      <c r="E154" s="1287"/>
      <c r="F154" s="1114">
        <f t="shared" si="127"/>
        <v>0</v>
      </c>
      <c r="G154" s="1114">
        <f t="shared" ca="1" si="132"/>
        <v>4.7581011599999989</v>
      </c>
      <c r="H154" s="1114">
        <f t="shared" ref="H154:I154" ca="1" si="137">H164</f>
        <v>3.9110601599999995</v>
      </c>
      <c r="I154" s="1114">
        <f t="shared" ca="1" si="137"/>
        <v>3.4831371599999992</v>
      </c>
      <c r="J154" s="1114"/>
      <c r="K154" s="1114"/>
      <c r="L154" s="1114"/>
      <c r="M154" s="1114"/>
      <c r="N154" s="2465"/>
      <c r="O154" s="1114">
        <f t="shared" ref="O154:V154" ca="1" si="138">O164</f>
        <v>5.6139471599999995</v>
      </c>
      <c r="P154" s="1114">
        <f t="shared" ca="1" si="138"/>
        <v>9.3753754719999982</v>
      </c>
      <c r="Q154" s="1114">
        <f t="shared" ca="1" si="138"/>
        <v>3.0552141599999993</v>
      </c>
      <c r="R154" s="1114">
        <f t="shared" ca="1" si="138"/>
        <v>3.4831371599999992</v>
      </c>
      <c r="S154" s="1114">
        <f t="shared" ca="1" si="138"/>
        <v>3.4831371599999992</v>
      </c>
      <c r="T154" s="1114">
        <f t="shared" ca="1" si="138"/>
        <v>8.0916064719999987</v>
      </c>
      <c r="U154" s="1114">
        <f t="shared" ca="1" si="138"/>
        <v>3.4831371599999992</v>
      </c>
      <c r="V154" s="1114">
        <f t="shared" ca="1" si="138"/>
        <v>6.1104283199999987</v>
      </c>
      <c r="W154" s="1114"/>
      <c r="X154" s="2465"/>
      <c r="Y154" s="1114">
        <f t="shared" ref="Y154:AH154" ca="1" si="139">Y164</f>
        <v>9.5162023199999979</v>
      </c>
      <c r="Z154" s="1114">
        <f t="shared" ca="1" si="139"/>
        <v>4.7581011599999989</v>
      </c>
      <c r="AA154" s="1114">
        <f t="shared" ca="1" si="139"/>
        <v>3.0552141599999993</v>
      </c>
      <c r="AB154" s="1114">
        <f t="shared" ca="1" si="139"/>
        <v>7.6636834719999989</v>
      </c>
      <c r="AC154" s="1114">
        <f t="shared" ca="1" si="139"/>
        <v>3.0552141599999993</v>
      </c>
      <c r="AD154" s="1114">
        <f t="shared" ca="1" si="139"/>
        <v>8.3011654719999992</v>
      </c>
      <c r="AE154" s="1114">
        <f t="shared" ca="1" si="139"/>
        <v>9.5162023199999979</v>
      </c>
      <c r="AF154" s="1114">
        <f t="shared" ca="1" si="139"/>
        <v>9.3665704719999994</v>
      </c>
      <c r="AG154" s="1114">
        <f t="shared" ca="1" si="139"/>
        <v>3.0552141599999993</v>
      </c>
      <c r="AH154" s="1114">
        <f t="shared" ca="1" si="139"/>
        <v>3.0552141599999993</v>
      </c>
      <c r="AI154" s="1114"/>
      <c r="AJ154" s="1114"/>
      <c r="AK154" s="1114"/>
      <c r="AL154" s="1114"/>
      <c r="AM154" s="1114"/>
      <c r="AN154" s="1114"/>
      <c r="AO154" s="1114"/>
      <c r="AP154" s="1114"/>
      <c r="AQ154" s="1114"/>
      <c r="AR154" s="2465"/>
      <c r="AS154" s="1114">
        <f t="shared" ref="AS154:AW154" ca="1" si="140">AS164</f>
        <v>6.8889111599999993</v>
      </c>
      <c r="AT154" s="1114">
        <f t="shared" ca="1" si="140"/>
        <v>5.6139471599999995</v>
      </c>
      <c r="AU154" s="1114">
        <f t="shared" ca="1" si="140"/>
        <v>5.6139471599999995</v>
      </c>
      <c r="AV154" s="1114">
        <f t="shared" ca="1" si="140"/>
        <v>4.5485421599999993</v>
      </c>
      <c r="AW154" s="1114">
        <f t="shared" ca="1" si="140"/>
        <v>5.9084089007999996</v>
      </c>
      <c r="AX154" s="1115"/>
      <c r="AY154" s="1115"/>
      <c r="AZ154" s="1115"/>
      <c r="BA154" s="1115"/>
      <c r="BB154" s="1115"/>
      <c r="BC154" s="1115"/>
      <c r="BD154" s="1115"/>
      <c r="BE154" s="1115"/>
      <c r="BF154" s="1115"/>
      <c r="BG154" s="1115"/>
      <c r="BH154" s="1115"/>
      <c r="BI154" s="1115"/>
      <c r="BJ154" s="1114"/>
      <c r="BK154" s="1114"/>
      <c r="BL154" s="1114"/>
      <c r="BM154" s="1116">
        <f t="shared" ca="1" si="126"/>
        <v>144.76</v>
      </c>
      <c r="BN154" s="579">
        <f t="shared" ca="1" si="99"/>
        <v>289.52481994080006</v>
      </c>
      <c r="BO154" s="973"/>
      <c r="BP154" s="973"/>
      <c r="BQ154" s="973"/>
      <c r="BR154" s="973"/>
      <c r="BS154" s="973"/>
      <c r="BT154" s="973"/>
      <c r="BU154" s="973"/>
      <c r="BV154" s="973"/>
      <c r="BW154" s="973"/>
      <c r="BX154" s="973"/>
      <c r="BY154" s="973"/>
      <c r="BZ154" s="973"/>
      <c r="CA154" s="973"/>
      <c r="CB154" s="973"/>
      <c r="CC154" s="973"/>
      <c r="CD154" s="973"/>
      <c r="CE154" s="973"/>
      <c r="CF154" s="973"/>
      <c r="CG154" s="973"/>
      <c r="CH154" s="973"/>
      <c r="CI154" s="973"/>
      <c r="CJ154" s="973"/>
      <c r="CK154" s="973"/>
      <c r="CL154" s="973"/>
      <c r="CM154" s="973"/>
      <c r="CN154" s="973"/>
      <c r="CO154" s="973"/>
      <c r="CP154" s="973"/>
      <c r="CQ154" s="973"/>
      <c r="CR154" s="973"/>
      <c r="CS154" s="973"/>
      <c r="CT154" s="973"/>
      <c r="CU154" s="973"/>
      <c r="CV154" s="973"/>
      <c r="CW154" s="973"/>
    </row>
    <row r="155" spans="1:101" ht="21.95" customHeight="1" x14ac:dyDescent="0.15">
      <c r="A155" s="2707"/>
      <c r="B155" s="2678"/>
      <c r="C155" s="559" t="s">
        <v>1208</v>
      </c>
      <c r="D155" s="997"/>
      <c r="E155" s="1287"/>
      <c r="F155" s="1114">
        <f t="shared" si="127"/>
        <v>0</v>
      </c>
      <c r="G155" s="1114">
        <f t="shared" ca="1" si="132"/>
        <v>0.16468313200000004</v>
      </c>
      <c r="H155" s="1114">
        <f t="shared" ref="H155:I155" ca="1" si="141">H165</f>
        <v>0.15140339200000003</v>
      </c>
      <c r="I155" s="1114">
        <f t="shared" ca="1" si="141"/>
        <v>0.146162762</v>
      </c>
      <c r="J155" s="1114"/>
      <c r="K155" s="1114"/>
      <c r="L155" s="1114"/>
      <c r="M155" s="1114"/>
      <c r="N155" s="2465"/>
      <c r="O155" s="1114">
        <f t="shared" ref="O155:V155" ca="1" si="142">O165</f>
        <v>0.17514113200000003</v>
      </c>
      <c r="P155" s="1114">
        <f t="shared" ca="1" si="142"/>
        <v>0.29043373020000002</v>
      </c>
      <c r="Q155" s="1114">
        <f t="shared" ca="1" si="142"/>
        <v>0.14103843200000002</v>
      </c>
      <c r="R155" s="1114">
        <f t="shared" ca="1" si="142"/>
        <v>0.14631395200000002</v>
      </c>
      <c r="S155" s="1114">
        <f t="shared" ca="1" si="142"/>
        <v>0.14634884200000001</v>
      </c>
      <c r="T155" s="1114">
        <f t="shared" ca="1" si="142"/>
        <v>0.27514215020000005</v>
      </c>
      <c r="U155" s="1114">
        <f t="shared" ca="1" si="142"/>
        <v>0.14650003200000003</v>
      </c>
      <c r="V155" s="1114">
        <f t="shared" ca="1" si="142"/>
        <v>0.28200708400000007</v>
      </c>
      <c r="W155" s="1114"/>
      <c r="X155" s="2465"/>
      <c r="Y155" s="1114">
        <f t="shared" ref="Y155:AH155" ca="1" si="143">Y165</f>
        <v>0.32927322400000009</v>
      </c>
      <c r="Z155" s="1114">
        <f t="shared" ca="1" si="143"/>
        <v>0.16468313200000004</v>
      </c>
      <c r="AA155" s="1114">
        <f t="shared" ca="1" si="143"/>
        <v>0.14094539200000003</v>
      </c>
      <c r="AB155" s="1114">
        <f t="shared" ca="1" si="143"/>
        <v>0.2695409902</v>
      </c>
      <c r="AC155" s="1114">
        <f t="shared" ca="1" si="143"/>
        <v>0.14118962200000004</v>
      </c>
      <c r="AD155" s="1114">
        <f t="shared" ca="1" si="143"/>
        <v>0.27893492020000005</v>
      </c>
      <c r="AE155" s="1114">
        <f t="shared" ca="1" si="143"/>
        <v>0.32918018400000004</v>
      </c>
      <c r="AF155" s="1114">
        <f t="shared" ca="1" si="143"/>
        <v>0.2936625202</v>
      </c>
      <c r="AG155" s="1114">
        <f t="shared" ca="1" si="143"/>
        <v>0.14139896200000004</v>
      </c>
      <c r="AH155" s="1114">
        <f t="shared" ca="1" si="143"/>
        <v>0.14127103200000005</v>
      </c>
      <c r="AI155" s="1114"/>
      <c r="AJ155" s="1114"/>
      <c r="AK155" s="1114"/>
      <c r="AL155" s="1114"/>
      <c r="AM155" s="1114"/>
      <c r="AN155" s="1114"/>
      <c r="AO155" s="1114"/>
      <c r="AP155" s="1114"/>
      <c r="AQ155" s="1114"/>
      <c r="AR155" s="2465"/>
      <c r="AS155" s="1114">
        <f t="shared" ref="AS155:AW155" ca="1" si="144">AS165</f>
        <v>0.19334749200000001</v>
      </c>
      <c r="AT155" s="1114">
        <f t="shared" ca="1" si="144"/>
        <v>0.17519928200000004</v>
      </c>
      <c r="AU155" s="1114">
        <f t="shared" ca="1" si="144"/>
        <v>0.17522254200000004</v>
      </c>
      <c r="AV155" s="1114">
        <f t="shared" ca="1" si="144"/>
        <v>0.16073917200000001</v>
      </c>
      <c r="AW155" s="1114">
        <f t="shared" ca="1" si="144"/>
        <v>0.18826312320000005</v>
      </c>
      <c r="AX155" s="1115"/>
      <c r="AY155" s="1115"/>
      <c r="AZ155" s="1115"/>
      <c r="BA155" s="1115"/>
      <c r="BB155" s="1115"/>
      <c r="BC155" s="1115"/>
      <c r="BD155" s="1115"/>
      <c r="BE155" s="1115"/>
      <c r="BF155" s="1115"/>
      <c r="BG155" s="1115"/>
      <c r="BH155" s="1115"/>
      <c r="BI155" s="1115"/>
      <c r="BJ155" s="1114"/>
      <c r="BK155" s="1114"/>
      <c r="BL155" s="1114"/>
      <c r="BM155" s="1116">
        <f t="shared" ca="1" si="126"/>
        <v>5.19</v>
      </c>
      <c r="BN155" s="579">
        <f t="shared" ca="1" si="99"/>
        <v>10.378026230200003</v>
      </c>
      <c r="BO155" s="973"/>
      <c r="BP155" s="973"/>
      <c r="BQ155" s="973"/>
      <c r="BR155" s="973"/>
      <c r="BS155" s="973"/>
      <c r="BT155" s="973"/>
      <c r="BU155" s="973"/>
      <c r="BV155" s="973"/>
      <c r="BW155" s="973"/>
      <c r="BX155" s="973"/>
      <c r="BY155" s="973"/>
      <c r="BZ155" s="973"/>
      <c r="CA155" s="973"/>
      <c r="CB155" s="973"/>
      <c r="CC155" s="973"/>
      <c r="CD155" s="973"/>
      <c r="CE155" s="973"/>
      <c r="CF155" s="973"/>
      <c r="CG155" s="973"/>
      <c r="CH155" s="973"/>
      <c r="CI155" s="973"/>
      <c r="CJ155" s="973"/>
      <c r="CK155" s="973"/>
      <c r="CL155" s="973"/>
      <c r="CM155" s="973"/>
      <c r="CN155" s="973"/>
      <c r="CO155" s="973"/>
      <c r="CP155" s="973"/>
      <c r="CQ155" s="973"/>
      <c r="CR155" s="973"/>
      <c r="CS155" s="973"/>
      <c r="CT155" s="973"/>
      <c r="CU155" s="973"/>
      <c r="CV155" s="973"/>
      <c r="CW155" s="973"/>
    </row>
    <row r="156" spans="1:101" ht="21.95" customHeight="1" x14ac:dyDescent="0.15">
      <c r="A156" s="2707"/>
      <c r="B156" s="2678"/>
      <c r="C156" s="559" t="s">
        <v>1209</v>
      </c>
      <c r="D156" s="997"/>
      <c r="E156" s="1287"/>
      <c r="F156" s="1114">
        <f t="shared" si="127"/>
        <v>0</v>
      </c>
      <c r="G156" s="1114">
        <f t="shared" ca="1" si="132"/>
        <v>0.106890236</v>
      </c>
      <c r="H156" s="1114">
        <f t="shared" ref="H156:I156" ca="1" si="145">H166</f>
        <v>7.4491470000000004E-2</v>
      </c>
      <c r="I156" s="1114">
        <f t="shared" ca="1" si="145"/>
        <v>6.9201852999999994E-2</v>
      </c>
      <c r="J156" s="1114"/>
      <c r="K156" s="1114"/>
      <c r="L156" s="1114"/>
      <c r="M156" s="1114"/>
      <c r="N156" s="2465"/>
      <c r="O156" s="1114">
        <f t="shared" ref="O156:V156" ca="1" si="146">O166</f>
        <v>0.117378236</v>
      </c>
      <c r="P156" s="1114">
        <f t="shared" ca="1" si="146"/>
        <v>0.38386691760000002</v>
      </c>
      <c r="Q156" s="1114">
        <f t="shared" ca="1" si="146"/>
        <v>6.4368406000000003E-2</v>
      </c>
      <c r="R156" s="1114">
        <f t="shared" ca="1" si="146"/>
        <v>6.9794873999999993E-2</v>
      </c>
      <c r="S156" s="1114">
        <f t="shared" ca="1" si="146"/>
        <v>6.9931725E-2</v>
      </c>
      <c r="T156" s="1114">
        <f t="shared" ca="1" si="146"/>
        <v>0.36968589560000004</v>
      </c>
      <c r="U156" s="1114">
        <f t="shared" ca="1" si="146"/>
        <v>7.0524745999999999E-2</v>
      </c>
      <c r="V156" s="1114">
        <f t="shared" ca="1" si="146"/>
        <v>0.12846310999999999</v>
      </c>
      <c r="W156" s="1114"/>
      <c r="X156" s="2465"/>
      <c r="Y156" s="1114">
        <f t="shared" ref="Y156:AH156" ca="1" si="147">Y166</f>
        <v>0.21341553600000002</v>
      </c>
      <c r="Z156" s="1114">
        <f t="shared" ca="1" si="147"/>
        <v>0.106890236</v>
      </c>
      <c r="AA156" s="1114">
        <f t="shared" ca="1" si="147"/>
        <v>6.4003469999999993E-2</v>
      </c>
      <c r="AB156" s="1114">
        <f t="shared" ca="1" si="147"/>
        <v>0.36298215160000002</v>
      </c>
      <c r="AC156" s="1114">
        <f t="shared" ca="1" si="147"/>
        <v>6.4961427000000002E-2</v>
      </c>
      <c r="AD156" s="1114">
        <f t="shared" ca="1" si="147"/>
        <v>0.38235093860000002</v>
      </c>
      <c r="AE156" s="1114">
        <f t="shared" ca="1" si="147"/>
        <v>0.21305060000000001</v>
      </c>
      <c r="AF156" s="1114">
        <f t="shared" ca="1" si="147"/>
        <v>0.40737427860000003</v>
      </c>
      <c r="AG156" s="1114">
        <f t="shared" ca="1" si="147"/>
        <v>6.5782533000000004E-2</v>
      </c>
      <c r="AH156" s="1114">
        <f t="shared" ca="1" si="147"/>
        <v>6.5280746000000001E-2</v>
      </c>
      <c r="AI156" s="1114"/>
      <c r="AJ156" s="1114"/>
      <c r="AK156" s="1114"/>
      <c r="AL156" s="1114"/>
      <c r="AM156" s="1114"/>
      <c r="AN156" s="1114"/>
      <c r="AO156" s="1114"/>
      <c r="AP156" s="1114"/>
      <c r="AQ156" s="1114"/>
      <c r="AR156" s="2465"/>
      <c r="AS156" s="1114">
        <f t="shared" ref="AS156:AW156" ca="1" si="148">AS166</f>
        <v>0.15383496000000002</v>
      </c>
      <c r="AT156" s="1114">
        <f t="shared" ca="1" si="148"/>
        <v>0.117606321</v>
      </c>
      <c r="AU156" s="1114">
        <f t="shared" ca="1" si="148"/>
        <v>0.11769755500000001</v>
      </c>
      <c r="AV156" s="1114">
        <f t="shared" ca="1" si="148"/>
        <v>9.3632172E-2</v>
      </c>
      <c r="AW156" s="1114">
        <f t="shared" ca="1" si="148"/>
        <v>0.11073268200000001</v>
      </c>
      <c r="AX156" s="1115"/>
      <c r="AY156" s="1115"/>
      <c r="AZ156" s="1115"/>
      <c r="BA156" s="1115"/>
      <c r="BB156" s="1115"/>
      <c r="BC156" s="1115"/>
      <c r="BD156" s="1115"/>
      <c r="BE156" s="1115"/>
      <c r="BF156" s="1115"/>
      <c r="BG156" s="1115"/>
      <c r="BH156" s="1115"/>
      <c r="BI156" s="1115"/>
      <c r="BJ156" s="1114"/>
      <c r="BK156" s="1114"/>
      <c r="BL156" s="1114"/>
      <c r="BM156" s="1116">
        <f t="shared" ca="1" si="126"/>
        <v>4.0599999999999996</v>
      </c>
      <c r="BN156" s="579">
        <f t="shared" ca="1" si="99"/>
        <v>8.1241930759999992</v>
      </c>
      <c r="BO156" s="973"/>
      <c r="BP156" s="973"/>
      <c r="BQ156" s="973"/>
      <c r="BR156" s="973"/>
      <c r="BS156" s="973"/>
      <c r="BT156" s="973"/>
      <c r="BU156" s="973"/>
      <c r="BV156" s="973"/>
      <c r="BW156" s="973"/>
      <c r="BX156" s="973"/>
      <c r="BY156" s="973"/>
      <c r="BZ156" s="973"/>
      <c r="CA156" s="973"/>
      <c r="CB156" s="973"/>
      <c r="CC156" s="973"/>
      <c r="CD156" s="973"/>
      <c r="CE156" s="973"/>
      <c r="CF156" s="973"/>
      <c r="CG156" s="973"/>
      <c r="CH156" s="973"/>
      <c r="CI156" s="973"/>
      <c r="CJ156" s="973"/>
      <c r="CK156" s="973"/>
      <c r="CL156" s="973"/>
      <c r="CM156" s="973"/>
      <c r="CN156" s="973"/>
      <c r="CO156" s="973"/>
      <c r="CP156" s="973"/>
      <c r="CQ156" s="973"/>
      <c r="CR156" s="973"/>
      <c r="CS156" s="973"/>
      <c r="CT156" s="973"/>
      <c r="CU156" s="973"/>
      <c r="CV156" s="973"/>
      <c r="CW156" s="973"/>
    </row>
    <row r="157" spans="1:101" ht="21.95" customHeight="1" x14ac:dyDescent="0.15">
      <c r="A157" s="2707"/>
      <c r="B157" s="2678"/>
      <c r="C157" s="559" t="s">
        <v>1212</v>
      </c>
      <c r="D157" s="997"/>
      <c r="E157" s="1287"/>
      <c r="F157" s="1114">
        <f t="shared" si="127"/>
        <v>0</v>
      </c>
      <c r="G157" s="1114">
        <f t="shared" ca="1" si="132"/>
        <v>2.1686991119999997</v>
      </c>
      <c r="H157" s="1114">
        <f t="shared" ref="H157:I157" ca="1" si="149">H167</f>
        <v>2.1686991119999997</v>
      </c>
      <c r="I157" s="1114">
        <f t="shared" ca="1" si="149"/>
        <v>2.1686991119999997</v>
      </c>
      <c r="J157" s="1114"/>
      <c r="K157" s="1114"/>
      <c r="L157" s="1114"/>
      <c r="M157" s="1114"/>
      <c r="N157" s="2465"/>
      <c r="O157" s="1114">
        <f t="shared" ref="O157:V157" ca="1" si="150">O167</f>
        <v>2.1686991119999997</v>
      </c>
      <c r="P157" s="1114">
        <f t="shared" ca="1" si="150"/>
        <v>2.7820902586499994</v>
      </c>
      <c r="Q157" s="1114">
        <f t="shared" ca="1" si="150"/>
        <v>2.1686991119999997</v>
      </c>
      <c r="R157" s="1114">
        <f t="shared" ca="1" si="150"/>
        <v>2.1686991119999997</v>
      </c>
      <c r="S157" s="1114">
        <f t="shared" ca="1" si="150"/>
        <v>2.1686991119999997</v>
      </c>
      <c r="T157" s="1114">
        <f t="shared" ca="1" si="150"/>
        <v>2.7820902586499994</v>
      </c>
      <c r="U157" s="1114">
        <f t="shared" ca="1" si="150"/>
        <v>2.1686991119999997</v>
      </c>
      <c r="V157" s="1114">
        <f t="shared" ca="1" si="150"/>
        <v>4.3373982239999993</v>
      </c>
      <c r="W157" s="1114"/>
      <c r="X157" s="2465"/>
      <c r="Y157" s="1114">
        <f t="shared" ref="Y157:AH157" ca="1" si="151">Y167</f>
        <v>4.3373982239999993</v>
      </c>
      <c r="Z157" s="1114">
        <f t="shared" ca="1" si="151"/>
        <v>2.1686991119999997</v>
      </c>
      <c r="AA157" s="1114">
        <f t="shared" ca="1" si="151"/>
        <v>2.1686991119999997</v>
      </c>
      <c r="AB157" s="1114">
        <f t="shared" ca="1" si="151"/>
        <v>2.7820902586499994</v>
      </c>
      <c r="AC157" s="1114">
        <f t="shared" ca="1" si="151"/>
        <v>2.1686991119999997</v>
      </c>
      <c r="AD157" s="1114">
        <f t="shared" ca="1" si="151"/>
        <v>2.7820902586499994</v>
      </c>
      <c r="AE157" s="1114">
        <f t="shared" ca="1" si="151"/>
        <v>4.3373982239999993</v>
      </c>
      <c r="AF157" s="1114">
        <f t="shared" ca="1" si="151"/>
        <v>2.7820902586499994</v>
      </c>
      <c r="AG157" s="1114">
        <f t="shared" ca="1" si="151"/>
        <v>2.1686991119999997</v>
      </c>
      <c r="AH157" s="1114">
        <f t="shared" ca="1" si="151"/>
        <v>2.1686991119999997</v>
      </c>
      <c r="AI157" s="1114"/>
      <c r="AJ157" s="1114"/>
      <c r="AK157" s="1114"/>
      <c r="AL157" s="1114"/>
      <c r="AM157" s="1114"/>
      <c r="AN157" s="1114"/>
      <c r="AO157" s="1114"/>
      <c r="AP157" s="1114"/>
      <c r="AQ157" s="1114"/>
      <c r="AR157" s="2465"/>
      <c r="AS157" s="1114">
        <f t="shared" ref="AS157:AW157" ca="1" si="152">AS167</f>
        <v>2.1686991119999997</v>
      </c>
      <c r="AT157" s="1114">
        <f t="shared" ca="1" si="152"/>
        <v>2.1686991119999997</v>
      </c>
      <c r="AU157" s="1114">
        <f t="shared" ca="1" si="152"/>
        <v>2.1686991119999997</v>
      </c>
      <c r="AV157" s="1114">
        <f t="shared" ca="1" si="152"/>
        <v>2.1686991119999997</v>
      </c>
      <c r="AW157" s="1114">
        <f t="shared" ca="1" si="152"/>
        <v>3.3933762575999995</v>
      </c>
      <c r="AX157" s="1115"/>
      <c r="AY157" s="1115"/>
      <c r="AZ157" s="1115"/>
      <c r="BA157" s="1115"/>
      <c r="BB157" s="1115"/>
      <c r="BC157" s="1115"/>
      <c r="BD157" s="1115"/>
      <c r="BE157" s="1115"/>
      <c r="BF157" s="1115"/>
      <c r="BG157" s="1115"/>
      <c r="BH157" s="1115"/>
      <c r="BI157" s="1115"/>
      <c r="BJ157" s="1114"/>
      <c r="BK157" s="1114"/>
      <c r="BL157" s="1114"/>
      <c r="BM157" s="1116">
        <f t="shared" ca="1" si="126"/>
        <v>67.180000000000007</v>
      </c>
      <c r="BN157" s="579">
        <f t="shared" ca="1" si="99"/>
        <v>134.36390712684999</v>
      </c>
      <c r="BO157" s="973"/>
      <c r="BP157" s="973"/>
      <c r="BQ157" s="973"/>
      <c r="BR157" s="973"/>
      <c r="BS157" s="973"/>
      <c r="BT157" s="973"/>
      <c r="BU157" s="973"/>
      <c r="BV157" s="973"/>
      <c r="BW157" s="973"/>
      <c r="BX157" s="973"/>
      <c r="BY157" s="973"/>
      <c r="BZ157" s="973"/>
      <c r="CA157" s="973"/>
      <c r="CB157" s="973"/>
      <c r="CC157" s="973"/>
      <c r="CD157" s="973"/>
      <c r="CE157" s="973"/>
      <c r="CF157" s="973"/>
      <c r="CG157" s="973"/>
      <c r="CH157" s="973"/>
      <c r="CI157" s="973"/>
      <c r="CJ157" s="973"/>
      <c r="CK157" s="973"/>
      <c r="CL157" s="973"/>
      <c r="CM157" s="973"/>
      <c r="CN157" s="973"/>
      <c r="CO157" s="973"/>
      <c r="CP157" s="973"/>
      <c r="CQ157" s="973"/>
      <c r="CR157" s="973"/>
      <c r="CS157" s="973"/>
      <c r="CT157" s="973"/>
      <c r="CU157" s="973"/>
      <c r="CV157" s="973"/>
      <c r="CW157" s="973"/>
    </row>
    <row r="158" spans="1:101" ht="21.95" customHeight="1" thickBot="1" x14ac:dyDescent="0.2">
      <c r="A158" s="2707"/>
      <c r="B158" s="2678"/>
      <c r="C158" s="559" t="s">
        <v>1213</v>
      </c>
      <c r="D158" s="997"/>
      <c r="E158" s="1287"/>
      <c r="F158" s="1114">
        <f t="shared" si="127"/>
        <v>0</v>
      </c>
      <c r="G158" s="1114">
        <f t="shared" ca="1" si="132"/>
        <v>0.24937962000000002</v>
      </c>
      <c r="H158" s="1114">
        <f t="shared" ref="H158:I158" ca="1" si="153">H168</f>
        <v>0.26719244999999997</v>
      </c>
      <c r="I158" s="1114">
        <f t="shared" ca="1" si="153"/>
        <v>0.25828603499999997</v>
      </c>
      <c r="J158" s="1114"/>
      <c r="K158" s="1114"/>
      <c r="L158" s="1114"/>
      <c r="M158" s="1114"/>
      <c r="N158" s="2465"/>
      <c r="O158" s="1114">
        <f t="shared" ref="O158:V158" ca="1" si="154">O168</f>
        <v>0.24937962000000002</v>
      </c>
      <c r="P158" s="1114">
        <f t="shared" ca="1" si="154"/>
        <v>0.24937962000000002</v>
      </c>
      <c r="Q158" s="1114">
        <f t="shared" ca="1" si="154"/>
        <v>0.33844377000000003</v>
      </c>
      <c r="R158" s="1114">
        <f t="shared" ca="1" si="154"/>
        <v>0.37406942999999998</v>
      </c>
      <c r="S158" s="1114">
        <f t="shared" ca="1" si="154"/>
        <v>0.40078867500000004</v>
      </c>
      <c r="T158" s="1114">
        <f t="shared" ca="1" si="154"/>
        <v>0.55219772999999994</v>
      </c>
      <c r="U158" s="1114">
        <f t="shared" ca="1" si="154"/>
        <v>0.51657206999999994</v>
      </c>
      <c r="V158" s="1114">
        <f t="shared" ca="1" si="154"/>
        <v>0.62344904999999995</v>
      </c>
      <c r="W158" s="1114"/>
      <c r="X158" s="2465"/>
      <c r="Y158" s="1114">
        <f t="shared" ref="Y158:AH158" ca="1" si="155">Y168</f>
        <v>0.42750791999999999</v>
      </c>
      <c r="Z158" s="1114">
        <f t="shared" ca="1" si="155"/>
        <v>0.24937962000000002</v>
      </c>
      <c r="AA158" s="1114">
        <f t="shared" ca="1" si="155"/>
        <v>0.26719244999999997</v>
      </c>
      <c r="AB158" s="1114">
        <f t="shared" ca="1" si="155"/>
        <v>0.26719244999999997</v>
      </c>
      <c r="AC158" s="1114">
        <f t="shared" ca="1" si="155"/>
        <v>0.45422716499999999</v>
      </c>
      <c r="AD158" s="1114">
        <f t="shared" ca="1" si="155"/>
        <v>0.36516301499999998</v>
      </c>
      <c r="AE158" s="1114">
        <f t="shared" ca="1" si="155"/>
        <v>0.35625660000000003</v>
      </c>
      <c r="AF158" s="1114">
        <f t="shared" ca="1" si="155"/>
        <v>0.54329131499999994</v>
      </c>
      <c r="AG158" s="1114">
        <f t="shared" ca="1" si="155"/>
        <v>0.61454263499999995</v>
      </c>
      <c r="AH158" s="1114">
        <f t="shared" ca="1" si="155"/>
        <v>0.51657206999999994</v>
      </c>
      <c r="AI158" s="1114"/>
      <c r="AJ158" s="1114"/>
      <c r="AK158" s="1114"/>
      <c r="AL158" s="1114"/>
      <c r="AM158" s="1114"/>
      <c r="AN158" s="1114"/>
      <c r="AO158" s="1114"/>
      <c r="AP158" s="1114"/>
      <c r="AQ158" s="1114"/>
      <c r="AR158" s="2465"/>
      <c r="AS158" s="1114">
        <f t="shared" ref="AS158:AW158" ca="1" si="156">AS168</f>
        <v>0</v>
      </c>
      <c r="AT158" s="1114">
        <f t="shared" ca="1" si="156"/>
        <v>0.29391169500000003</v>
      </c>
      <c r="AU158" s="1114">
        <f t="shared" ca="1" si="156"/>
        <v>0.31172452499999997</v>
      </c>
      <c r="AV158" s="1114">
        <f t="shared" ca="1" si="156"/>
        <v>0.32063093999999998</v>
      </c>
      <c r="AW158" s="1114">
        <f t="shared" ca="1" si="156"/>
        <v>0.58782339000000006</v>
      </c>
      <c r="AX158" s="1115"/>
      <c r="AY158" s="1115"/>
      <c r="AZ158" s="1115"/>
      <c r="BA158" s="1115"/>
      <c r="BB158" s="1115"/>
      <c r="BC158" s="1115"/>
      <c r="BD158" s="1115"/>
      <c r="BE158" s="1115"/>
      <c r="BF158" s="1115"/>
      <c r="BG158" s="1115"/>
      <c r="BH158" s="1115"/>
      <c r="BI158" s="1115"/>
      <c r="BJ158" s="1114"/>
      <c r="BK158" s="1114"/>
      <c r="BL158" s="1114"/>
      <c r="BM158" s="1116">
        <f t="shared" ca="1" si="126"/>
        <v>9.65</v>
      </c>
      <c r="BN158" s="579">
        <f t="shared" ca="1" si="99"/>
        <v>19.304553859999999</v>
      </c>
      <c r="BO158" s="973"/>
      <c r="BP158" s="973"/>
      <c r="BQ158" s="973"/>
      <c r="BR158" s="973"/>
      <c r="BS158" s="973"/>
      <c r="BT158" s="973"/>
      <c r="BU158" s="973"/>
      <c r="BV158" s="973"/>
      <c r="BW158" s="973"/>
      <c r="BX158" s="973"/>
      <c r="BY158" s="973"/>
      <c r="BZ158" s="973"/>
      <c r="CA158" s="973"/>
      <c r="CB158" s="973"/>
      <c r="CC158" s="973"/>
      <c r="CD158" s="973"/>
      <c r="CE158" s="973"/>
      <c r="CF158" s="973"/>
      <c r="CG158" s="973"/>
      <c r="CH158" s="973"/>
      <c r="CI158" s="973"/>
      <c r="CJ158" s="973"/>
      <c r="CK158" s="973"/>
      <c r="CL158" s="973"/>
      <c r="CM158" s="973"/>
      <c r="CN158" s="973"/>
      <c r="CO158" s="973"/>
      <c r="CP158" s="973"/>
      <c r="CQ158" s="973"/>
      <c r="CR158" s="973"/>
      <c r="CS158" s="973"/>
      <c r="CT158" s="973"/>
      <c r="CU158" s="973"/>
      <c r="CV158" s="973"/>
      <c r="CW158" s="973"/>
    </row>
    <row r="159" spans="1:101" ht="21.95" hidden="1" customHeight="1" thickBot="1" x14ac:dyDescent="0.2">
      <c r="A159" s="2707"/>
      <c r="B159" s="2678"/>
      <c r="C159" s="568" t="s">
        <v>1211</v>
      </c>
      <c r="D159" s="997"/>
      <c r="E159" s="1287"/>
      <c r="F159" s="1114">
        <f t="shared" si="127"/>
        <v>0</v>
      </c>
      <c r="G159" s="1114">
        <f t="shared" ref="G159" si="157">G169</f>
        <v>0</v>
      </c>
      <c r="H159" s="1114">
        <f t="shared" ref="H159:I159" si="158">H169</f>
        <v>0</v>
      </c>
      <c r="I159" s="1114">
        <f t="shared" si="158"/>
        <v>0</v>
      </c>
      <c r="J159" s="1114"/>
      <c r="K159" s="1114"/>
      <c r="L159" s="1114"/>
      <c r="M159" s="1114"/>
      <c r="N159" s="2465"/>
      <c r="O159" s="1114">
        <f t="shared" ref="O159:V159" si="159">O169</f>
        <v>0</v>
      </c>
      <c r="P159" s="1114">
        <f t="shared" si="159"/>
        <v>0</v>
      </c>
      <c r="Q159" s="1114">
        <f t="shared" si="159"/>
        <v>0</v>
      </c>
      <c r="R159" s="1114">
        <f t="shared" si="159"/>
        <v>0</v>
      </c>
      <c r="S159" s="1114">
        <f t="shared" si="159"/>
        <v>0</v>
      </c>
      <c r="T159" s="1114">
        <f t="shared" si="159"/>
        <v>0</v>
      </c>
      <c r="U159" s="1114">
        <f t="shared" si="159"/>
        <v>0</v>
      </c>
      <c r="V159" s="1114">
        <f t="shared" si="159"/>
        <v>0</v>
      </c>
      <c r="W159" s="1114"/>
      <c r="X159" s="2465"/>
      <c r="Y159" s="1114">
        <f t="shared" ref="Y159:AH159" si="160">Y169</f>
        <v>0</v>
      </c>
      <c r="Z159" s="1114">
        <f t="shared" si="160"/>
        <v>0</v>
      </c>
      <c r="AA159" s="1114">
        <f t="shared" si="160"/>
        <v>0</v>
      </c>
      <c r="AB159" s="1114">
        <f t="shared" si="160"/>
        <v>0</v>
      </c>
      <c r="AC159" s="1114">
        <f t="shared" si="160"/>
        <v>0</v>
      </c>
      <c r="AD159" s="1114">
        <f t="shared" si="160"/>
        <v>0</v>
      </c>
      <c r="AE159" s="1114">
        <f t="shared" si="160"/>
        <v>0</v>
      </c>
      <c r="AF159" s="1114">
        <f t="shared" si="160"/>
        <v>0</v>
      </c>
      <c r="AG159" s="1114">
        <f t="shared" si="160"/>
        <v>0</v>
      </c>
      <c r="AH159" s="1114">
        <f t="shared" si="160"/>
        <v>0</v>
      </c>
      <c r="AI159" s="1114"/>
      <c r="AJ159" s="1114"/>
      <c r="AK159" s="1114"/>
      <c r="AL159" s="1114"/>
      <c r="AM159" s="1114"/>
      <c r="AN159" s="1114"/>
      <c r="AO159" s="1114"/>
      <c r="AP159" s="1114"/>
      <c r="AQ159" s="1114"/>
      <c r="AR159" s="2465"/>
      <c r="AS159" s="1114">
        <f t="shared" ref="AS159:AW159" si="161">AS169</f>
        <v>0</v>
      </c>
      <c r="AT159" s="1114">
        <f t="shared" si="161"/>
        <v>0</v>
      </c>
      <c r="AU159" s="1114">
        <f t="shared" si="161"/>
        <v>0</v>
      </c>
      <c r="AV159" s="1114">
        <f t="shared" si="161"/>
        <v>0</v>
      </c>
      <c r="AW159" s="1114">
        <f t="shared" si="161"/>
        <v>0</v>
      </c>
      <c r="AX159" s="1115"/>
      <c r="AY159" s="1115"/>
      <c r="AZ159" s="1115"/>
      <c r="BA159" s="1115"/>
      <c r="BB159" s="1115"/>
      <c r="BC159" s="1115"/>
      <c r="BD159" s="1115"/>
      <c r="BE159" s="1115"/>
      <c r="BF159" s="1115"/>
      <c r="BG159" s="1115"/>
      <c r="BH159" s="1115"/>
      <c r="BI159" s="1115"/>
      <c r="BJ159" s="1114"/>
      <c r="BK159" s="1114"/>
      <c r="BL159" s="1114"/>
      <c r="BM159" s="1116">
        <f t="shared" si="126"/>
        <v>0</v>
      </c>
      <c r="BN159" s="579">
        <f t="shared" si="99"/>
        <v>0</v>
      </c>
      <c r="BO159" s="973"/>
      <c r="BP159" s="973"/>
      <c r="BQ159" s="973"/>
      <c r="BR159" s="973"/>
      <c r="BS159" s="973"/>
      <c r="BT159" s="973"/>
      <c r="BU159" s="973"/>
      <c r="BV159" s="973"/>
      <c r="BW159" s="973"/>
      <c r="BX159" s="973"/>
      <c r="BY159" s="973"/>
      <c r="BZ159" s="973"/>
      <c r="CA159" s="973"/>
      <c r="CB159" s="973"/>
      <c r="CC159" s="973"/>
      <c r="CD159" s="973"/>
      <c r="CE159" s="973"/>
      <c r="CF159" s="973"/>
      <c r="CG159" s="973"/>
      <c r="CH159" s="973"/>
      <c r="CI159" s="973"/>
      <c r="CJ159" s="973"/>
      <c r="CK159" s="973"/>
      <c r="CL159" s="973"/>
      <c r="CM159" s="973"/>
      <c r="CN159" s="973"/>
      <c r="CO159" s="973"/>
      <c r="CP159" s="973"/>
      <c r="CQ159" s="973"/>
      <c r="CR159" s="973"/>
      <c r="CS159" s="973"/>
      <c r="CT159" s="973"/>
      <c r="CU159" s="973"/>
      <c r="CV159" s="973"/>
      <c r="CW159" s="973"/>
    </row>
    <row r="160" spans="1:101" ht="21.95" customHeight="1" x14ac:dyDescent="0.15">
      <c r="A160" s="2707"/>
      <c r="B160" s="2677"/>
      <c r="C160" s="567" t="s">
        <v>1536</v>
      </c>
      <c r="D160" s="997"/>
      <c r="E160" s="1287"/>
      <c r="F160" s="1114">
        <f>(F97+F94+F84)*0.07</f>
        <v>0</v>
      </c>
      <c r="G160" s="1114">
        <f t="shared" ref="G160" ca="1" si="162">(G97+G94+G84)*0.07</f>
        <v>7.0000000000000007E-2</v>
      </c>
      <c r="H160" s="1114">
        <f t="shared" ref="H160:I160" ca="1" si="163">(H97+H94+H84)*0.07</f>
        <v>7.0000000000000007E-2</v>
      </c>
      <c r="I160" s="1114">
        <f t="shared" ca="1" si="163"/>
        <v>7.0000000000000007E-2</v>
      </c>
      <c r="J160" s="1114"/>
      <c r="K160" s="1114"/>
      <c r="L160" s="1114"/>
      <c r="M160" s="1114"/>
      <c r="N160" s="2465"/>
      <c r="O160" s="1114">
        <f t="shared" ref="O160:V160" ca="1" si="164">(O97+O94+O84)*0.07</f>
        <v>7.0000000000000007E-2</v>
      </c>
      <c r="P160" s="1114">
        <f t="shared" ca="1" si="164"/>
        <v>7.0000000000000007E-2</v>
      </c>
      <c r="Q160" s="1114">
        <f t="shared" ca="1" si="164"/>
        <v>7.0000000000000007E-2</v>
      </c>
      <c r="R160" s="1114">
        <f t="shared" ca="1" si="164"/>
        <v>7.0000000000000007E-2</v>
      </c>
      <c r="S160" s="1114">
        <f t="shared" ca="1" si="164"/>
        <v>7.0000000000000007E-2</v>
      </c>
      <c r="T160" s="1114">
        <f t="shared" ca="1" si="164"/>
        <v>7.0000000000000007E-2</v>
      </c>
      <c r="U160" s="1114">
        <f t="shared" ca="1" si="164"/>
        <v>7.0000000000000007E-2</v>
      </c>
      <c r="V160" s="1114">
        <f t="shared" ca="1" si="164"/>
        <v>0.14000000000000001</v>
      </c>
      <c r="W160" s="1114"/>
      <c r="X160" s="2465"/>
      <c r="Y160" s="1114">
        <f t="shared" ref="Y160:AH160" ca="1" si="165">(Y97+Y94+Y84)*0.07</f>
        <v>0.14000000000000001</v>
      </c>
      <c r="Z160" s="1114">
        <f t="shared" ca="1" si="165"/>
        <v>7.0000000000000007E-2</v>
      </c>
      <c r="AA160" s="1114">
        <f t="shared" ca="1" si="165"/>
        <v>7.0000000000000007E-2</v>
      </c>
      <c r="AB160" s="1114">
        <f t="shared" ca="1" si="165"/>
        <v>7.0000000000000007E-2</v>
      </c>
      <c r="AC160" s="1114">
        <f t="shared" ca="1" si="165"/>
        <v>7.0000000000000007E-2</v>
      </c>
      <c r="AD160" s="1114">
        <f t="shared" ca="1" si="165"/>
        <v>7.0000000000000007E-2</v>
      </c>
      <c r="AE160" s="1114">
        <f t="shared" ca="1" si="165"/>
        <v>0.14000000000000001</v>
      </c>
      <c r="AF160" s="1114">
        <f t="shared" ca="1" si="165"/>
        <v>7.0000000000000007E-2</v>
      </c>
      <c r="AG160" s="1114">
        <f t="shared" ca="1" si="165"/>
        <v>7.0000000000000007E-2</v>
      </c>
      <c r="AH160" s="1114">
        <f t="shared" ca="1" si="165"/>
        <v>7.0000000000000007E-2</v>
      </c>
      <c r="AI160" s="1114"/>
      <c r="AJ160" s="1114"/>
      <c r="AK160" s="1114"/>
      <c r="AL160" s="1114"/>
      <c r="AM160" s="1114"/>
      <c r="AN160" s="1114"/>
      <c r="AO160" s="1114"/>
      <c r="AP160" s="1114"/>
      <c r="AQ160" s="1114"/>
      <c r="AR160" s="2465"/>
      <c r="AS160" s="1114">
        <f t="shared" ref="AS160:AW160" ca="1" si="166">(AS97+AS94+AS84)*0.07</f>
        <v>7.0000000000000007E-2</v>
      </c>
      <c r="AT160" s="1114">
        <f t="shared" ca="1" si="166"/>
        <v>7.0000000000000007E-2</v>
      </c>
      <c r="AU160" s="1114">
        <f t="shared" ca="1" si="166"/>
        <v>7.0000000000000007E-2</v>
      </c>
      <c r="AV160" s="1114">
        <f t="shared" ca="1" si="166"/>
        <v>7.0000000000000007E-2</v>
      </c>
      <c r="AW160" s="1114">
        <f t="shared" ca="1" si="166"/>
        <v>7.0000000000000007E-2</v>
      </c>
      <c r="AX160" s="1115"/>
      <c r="AY160" s="1115"/>
      <c r="AZ160" s="1115"/>
      <c r="BA160" s="1115"/>
      <c r="BB160" s="1115"/>
      <c r="BC160" s="1115"/>
      <c r="BD160" s="1115"/>
      <c r="BE160" s="1115"/>
      <c r="BF160" s="1115"/>
      <c r="BG160" s="1115"/>
      <c r="BH160" s="1115"/>
      <c r="BI160" s="1115"/>
      <c r="BJ160" s="1114"/>
      <c r="BK160" s="1114"/>
      <c r="BL160" s="1114"/>
      <c r="BM160" s="1116">
        <f t="shared" ca="1" si="126"/>
        <v>2.0299999999999998</v>
      </c>
      <c r="BN160" s="579">
        <f t="shared" ca="1" si="99"/>
        <v>4.0600000000000005</v>
      </c>
      <c r="BO160" s="973"/>
      <c r="BP160" s="973"/>
      <c r="BQ160" s="973"/>
      <c r="BR160" s="973"/>
      <c r="BS160" s="973"/>
      <c r="BT160" s="973"/>
      <c r="BU160" s="973"/>
      <c r="BV160" s="973"/>
      <c r="BW160" s="973"/>
      <c r="BX160" s="973"/>
      <c r="BY160" s="973"/>
      <c r="BZ160" s="973"/>
      <c r="CA160" s="973"/>
      <c r="CB160" s="973"/>
      <c r="CC160" s="973"/>
      <c r="CD160" s="973"/>
      <c r="CE160" s="973"/>
      <c r="CF160" s="973"/>
      <c r="CG160" s="973"/>
      <c r="CH160" s="973"/>
      <c r="CI160" s="973"/>
      <c r="CJ160" s="973"/>
      <c r="CK160" s="973"/>
      <c r="CL160" s="973"/>
      <c r="CM160" s="973"/>
      <c r="CN160" s="973"/>
      <c r="CO160" s="973"/>
      <c r="CP160" s="973"/>
      <c r="CQ160" s="973"/>
      <c r="CR160" s="973"/>
      <c r="CS160" s="973"/>
      <c r="CT160" s="973"/>
      <c r="CU160" s="973"/>
      <c r="CV160" s="973"/>
      <c r="CW160" s="973"/>
    </row>
    <row r="161" spans="1:101" ht="21.95" customHeight="1" thickBot="1" x14ac:dyDescent="0.2">
      <c r="A161" s="2707"/>
      <c r="B161" s="2670"/>
      <c r="C161" s="566" t="s">
        <v>761</v>
      </c>
      <c r="D161" s="998"/>
      <c r="E161" s="2242"/>
      <c r="F161" s="1125">
        <f t="shared" ref="F161:G161" si="167">F171</f>
        <v>0</v>
      </c>
      <c r="G161" s="1125">
        <f t="shared" ca="1" si="167"/>
        <v>28.590939999999996</v>
      </c>
      <c r="H161" s="1125">
        <f t="shared" ref="H161:I161" ca="1" si="168">H171</f>
        <v>24.315459999999998</v>
      </c>
      <c r="I161" s="1125">
        <f t="shared" ca="1" si="168"/>
        <v>21.795459999999999</v>
      </c>
      <c r="J161" s="1125"/>
      <c r="K161" s="1125"/>
      <c r="L161" s="1125"/>
      <c r="M161" s="1125"/>
      <c r="N161" s="2468"/>
      <c r="O161" s="1125">
        <f t="shared" ref="O161:V161" ca="1" si="169">O171</f>
        <v>31.847359999999998</v>
      </c>
      <c r="P161" s="1125">
        <f t="shared" ca="1" si="169"/>
        <v>45.389249999999997</v>
      </c>
      <c r="Q161" s="1125">
        <f t="shared" ca="1" si="169"/>
        <v>32.724640000000001</v>
      </c>
      <c r="R161" s="1125">
        <f t="shared" ca="1" si="169"/>
        <v>35.57864</v>
      </c>
      <c r="S161" s="1125">
        <f t="shared" ca="1" si="169"/>
        <v>34.190640000000002</v>
      </c>
      <c r="T161" s="1125">
        <f t="shared" ca="1" si="169"/>
        <v>82.64800000000001</v>
      </c>
      <c r="U161" s="1125">
        <f t="shared" ca="1" si="169"/>
        <v>79.768000000000001</v>
      </c>
      <c r="V161" s="1125">
        <f t="shared" ca="1" si="169"/>
        <v>47.768000000000001</v>
      </c>
      <c r="W161" s="1125"/>
      <c r="X161" s="2468"/>
      <c r="Y161" s="1125">
        <f t="shared" ref="Y161:AH161" ca="1" si="170">Y171</f>
        <v>53.431989999999999</v>
      </c>
      <c r="Z161" s="1125">
        <f t="shared" ca="1" si="170"/>
        <v>36.273960000000002</v>
      </c>
      <c r="AA161" s="1125">
        <f t="shared" ca="1" si="170"/>
        <v>33.39396</v>
      </c>
      <c r="AB161" s="1125">
        <f t="shared" ca="1" si="170"/>
        <v>36.453960000000002</v>
      </c>
      <c r="AC161" s="1125">
        <f t="shared" ca="1" si="170"/>
        <v>40.239960000000004</v>
      </c>
      <c r="AD161" s="1125">
        <f t="shared" ca="1" si="170"/>
        <v>46.682650000000002</v>
      </c>
      <c r="AE161" s="1125">
        <f t="shared" ca="1" si="170"/>
        <v>53.408899999999996</v>
      </c>
      <c r="AF161" s="1125">
        <f t="shared" ca="1" si="170"/>
        <v>81.692999999999998</v>
      </c>
      <c r="AG161" s="1125">
        <f t="shared" ca="1" si="170"/>
        <v>74.292000000000002</v>
      </c>
      <c r="AH161" s="1125">
        <f t="shared" ca="1" si="170"/>
        <v>74.292000000000002</v>
      </c>
      <c r="AI161" s="1125"/>
      <c r="AJ161" s="1125"/>
      <c r="AK161" s="1125"/>
      <c r="AL161" s="1125"/>
      <c r="AM161" s="1125"/>
      <c r="AN161" s="1125"/>
      <c r="AO161" s="1125"/>
      <c r="AP161" s="1125"/>
      <c r="AQ161" s="1125"/>
      <c r="AR161" s="2468"/>
      <c r="AS161" s="1125">
        <f t="shared" ref="AS161:AW161" ca="1" si="171">AS171</f>
        <v>34.060339999999997</v>
      </c>
      <c r="AT161" s="1125">
        <f t="shared" ca="1" si="171"/>
        <v>47.037320000000008</v>
      </c>
      <c r="AU161" s="1125">
        <f t="shared" ca="1" si="171"/>
        <v>47.02666</v>
      </c>
      <c r="AV161" s="1125">
        <f t="shared" ca="1" si="171"/>
        <v>45.221330000000009</v>
      </c>
      <c r="AW161" s="1125">
        <f t="shared" ca="1" si="171"/>
        <v>72.724000000000004</v>
      </c>
      <c r="AX161" s="1126"/>
      <c r="AY161" s="1126"/>
      <c r="AZ161" s="1126"/>
      <c r="BA161" s="1126"/>
      <c r="BB161" s="1126"/>
      <c r="BC161" s="1126"/>
      <c r="BD161" s="1126"/>
      <c r="BE161" s="1126"/>
      <c r="BF161" s="1126"/>
      <c r="BG161" s="1126"/>
      <c r="BH161" s="1126"/>
      <c r="BI161" s="1126"/>
      <c r="BJ161" s="1125"/>
      <c r="BK161" s="1125"/>
      <c r="BL161" s="1125"/>
      <c r="BM161" s="1127">
        <f t="shared" ca="1" si="126"/>
        <v>1240.8499999999999</v>
      </c>
      <c r="BN161" s="579">
        <f t="shared" ca="1" si="99"/>
        <v>2481.6984199999997</v>
      </c>
      <c r="BO161" s="973"/>
      <c r="BP161" s="973"/>
      <c r="BQ161" s="973"/>
      <c r="BR161" s="973"/>
      <c r="BS161" s="973"/>
      <c r="BT161" s="973"/>
      <c r="BU161" s="973"/>
      <c r="BV161" s="973"/>
      <c r="BW161" s="973"/>
      <c r="BX161" s="973"/>
      <c r="BY161" s="973"/>
      <c r="BZ161" s="973"/>
      <c r="CA161" s="973"/>
      <c r="CB161" s="973"/>
      <c r="CC161" s="973"/>
      <c r="CD161" s="973"/>
      <c r="CE161" s="973"/>
      <c r="CF161" s="973"/>
      <c r="CG161" s="973"/>
      <c r="CH161" s="973"/>
      <c r="CI161" s="973"/>
      <c r="CJ161" s="973"/>
      <c r="CK161" s="973"/>
      <c r="CL161" s="973"/>
      <c r="CM161" s="973"/>
      <c r="CN161" s="973"/>
      <c r="CO161" s="973"/>
      <c r="CP161" s="973"/>
      <c r="CQ161" s="973"/>
      <c r="CR161" s="973"/>
      <c r="CS161" s="973"/>
      <c r="CT161" s="973"/>
      <c r="CU161" s="973"/>
      <c r="CV161" s="973"/>
      <c r="CW161" s="973"/>
    </row>
    <row r="162" spans="1:101" ht="21.95" hidden="1" customHeight="1" x14ac:dyDescent="0.15">
      <c r="A162" s="2707"/>
      <c r="B162" s="2649" t="s">
        <v>1370</v>
      </c>
      <c r="C162" s="550" t="s">
        <v>1207</v>
      </c>
      <c r="D162" s="1002"/>
      <c r="E162" s="2241"/>
      <c r="F162" s="1120">
        <f>(SUMPRODUCT(F10:F35,$BT10:$BT35)*$BT$8+SUMPRODUCT(F60:F66,$BO60:$BO66)*$BO$8+SUMPRODUCT(F60:F82,$BR60:$BR82)*$BR$8+SUMPRODUCT(F56:F83,$BT56:$BT83)*$BT$8+SUMPRODUCT(F60:F82,$BV60:$BV82)*$BV$8+F83*$BU83*$BU$8+SUMPRODUCT(F99:F101,$BO99:$BO101)*$BO$8+SUMPRODUCT(F99:F101,$BR99:$BR101)*$BR$8+SUMPRODUCT(F99:F101,$BT99:$BT101)*$BT$8+SUMPRODUCT(F99:F101,$BV99:$BV101)*$BV$8+SUMPRODUCT(F104:F112,$BR104:$BR112)*$BR$8+SUMPRODUCT(F113:F118,$BW113:$BW118)*$BW$8+SUMPRODUCT(F123:F128,$BO123:$BO128)*$BO$8+SUMPRODUCT(F123:F128,$BS123:$BS128)*$BS$8+F134*$BO134*$BO$8+F135*$BS135*$BS$8+F147*$BW147*$BW$8)/1000</f>
        <v>0</v>
      </c>
      <c r="G162" s="1120">
        <f t="shared" ref="G162" ca="1" si="172">(SUMPRODUCT(G10:G35,$BT10:$BT35)*$BT$8+SUMPRODUCT(G60:G66,$BO60:$BO66)*$BO$8+SUMPRODUCT(G60:G82,$BR60:$BR82)*$BR$8+SUMPRODUCT(G56:G83,$BT56:$BT83)*$BT$8+SUMPRODUCT(G60:G82,$BV60:$BV82)*$BV$8+G83*$BU83*$BU$8+SUMPRODUCT(G99:G101,$BO99:$BO101)*$BO$8+SUMPRODUCT(G99:G101,$BR99:$BR101)*$BR$8+SUMPRODUCT(G99:G101,$BT99:$BT101)*$BT$8+SUMPRODUCT(G99:G101,$BV99:$BV101)*$BV$8+SUMPRODUCT(G104:G112,$BR104:$BR112)*$BR$8+SUMPRODUCT(G113:G118,$BW113:$BW118)*$BW$8+SUMPRODUCT(G123:G128,$BO123:$BO128)*$BO$8+SUMPRODUCT(G123:G128,$BS123:$BS128)*$BS$8+G134*$BO134*$BO$8+G135*$BS135*$BS$8+G147*$BW147*$BW$8)/1000</f>
        <v>8.2405330559600003</v>
      </c>
      <c r="H162" s="1120">
        <f t="shared" ref="H162:I162" ca="1" si="173">(SUMPRODUCT(H10:H35,$BT10:$BT35)*$BT$8+SUMPRODUCT(H60:H66,$BO60:$BO66)*$BO$8+SUMPRODUCT(H60:H82,$BR60:$BR82)*$BR$8+SUMPRODUCT(H56:H83,$BT56:$BT83)*$BT$8+SUMPRODUCT(H60:H82,$BV60:$BV82)*$BV$8+H83*$BU83*$BU$8+SUMPRODUCT(H99:H101,$BO99:$BO101)*$BO$8+SUMPRODUCT(H99:H101,$BR99:$BR101)*$BR$8+SUMPRODUCT(H99:H101,$BT99:$BT101)*$BT$8+SUMPRODUCT(H99:H101,$BV99:$BV101)*$BV$8+SUMPRODUCT(H104:H112,$BR104:$BR112)*$BR$8+SUMPRODUCT(H113:H118,$BW113:$BW118)*$BW$8+SUMPRODUCT(H123:H128,$BO123:$BO128)*$BO$8+SUMPRODUCT(H123:H128,$BS123:$BS128)*$BS$8+H134*$BO134*$BO$8+H135*$BS135*$BS$8+H147*$BW147*$BW$8)/1000</f>
        <v>7.7482137690000004</v>
      </c>
      <c r="I162" s="1120">
        <f t="shared" ca="1" si="173"/>
        <v>7.4971683224800003</v>
      </c>
      <c r="J162" s="1120"/>
      <c r="K162" s="1120"/>
      <c r="L162" s="1120"/>
      <c r="M162" s="1120"/>
      <c r="N162" s="2467"/>
      <c r="O162" s="1120">
        <f t="shared" ref="O162:V162" ca="1" si="174">(SUMPRODUCT(O10:O35,$BT10:$BT35)*$BT$8+SUMPRODUCT(O60:O66,$BO60:$BO66)*$BO$8+SUMPRODUCT(O60:O82,$BR60:$BR82)*$BR$8+SUMPRODUCT(O56:O83,$BT56:$BT83)*$BT$8+SUMPRODUCT(O60:O82,$BV60:$BV82)*$BV$8+O83*$BU83*$BU$8+SUMPRODUCT(O99:O101,$BO99:$BO101)*$BO$8+SUMPRODUCT(O99:O101,$BR99:$BR101)*$BR$8+SUMPRODUCT(O99:O101,$BT99:$BT101)*$BT$8+SUMPRODUCT(O99:O101,$BV99:$BV101)*$BV$8+SUMPRODUCT(O104:O112,$BR104:$BR112)*$BR$8+SUMPRODUCT(O113:O118,$BW113:$BW118)*$BW$8+SUMPRODUCT(O123:O128,$BO123:$BO128)*$BO$8+SUMPRODUCT(O123:O128,$BS123:$BS128)*$BS$8+O134*$BO134*$BO$8+O135*$BS135*$BS$8+O147*$BW147*$BW$8)/1000</f>
        <v>8.7261636959600004</v>
      </c>
      <c r="P162" s="1120">
        <f t="shared" ca="1" si="174"/>
        <v>15.872690757079999</v>
      </c>
      <c r="Q162" s="1120">
        <f t="shared" ca="1" si="174"/>
        <v>7.3552513411600007</v>
      </c>
      <c r="R162" s="1120">
        <f t="shared" ca="1" si="174"/>
        <v>7.6151678672400012</v>
      </c>
      <c r="S162" s="1120">
        <f t="shared" ca="1" si="174"/>
        <v>7.6114029468000002</v>
      </c>
      <c r="T162" s="1120">
        <f t="shared" ca="1" si="174"/>
        <v>16.26634597876</v>
      </c>
      <c r="U162" s="1120">
        <f t="shared" ca="1" si="174"/>
        <v>8.715000771559998</v>
      </c>
      <c r="V162" s="1120">
        <f t="shared" ca="1" si="174"/>
        <v>15.0125874032</v>
      </c>
      <c r="W162" s="1120"/>
      <c r="X162" s="2467"/>
      <c r="Y162" s="1120">
        <f t="shared" ref="Y162:AH162" ca="1" si="175">(SUMPRODUCT(Y10:Y35,$BT10:$BT35)*$BT$8+SUMPRODUCT(Y60:Y66,$BO60:$BO66)*$BO$8+SUMPRODUCT(Y60:Y82,$BR60:$BR82)*$BR$8+SUMPRODUCT(Y56:Y83,$BT56:$BT83)*$BT$8+SUMPRODUCT(Y60:Y82,$BV60:$BV82)*$BV$8+Y83*$BU83*$BU$8+SUMPRODUCT(Y99:Y101,$BO99:$BO101)*$BO$8+SUMPRODUCT(Y99:Y101,$BR99:$BR101)*$BR$8+SUMPRODUCT(Y99:Y101,$BT99:$BT101)*$BT$8+SUMPRODUCT(Y99:Y101,$BV99:$BV101)*$BV$8+SUMPRODUCT(Y104:Y112,$BR104:$BR112)*$BR$8+SUMPRODUCT(Y113:Y118,$BW113:$BW118)*$BW$8+SUMPRODUCT(Y123:Y128,$BO123:$BO128)*$BO$8+SUMPRODUCT(Y123:Y128,$BS123:$BS128)*$BS$8+Y134*$BO134*$BO$8+Y135*$BS135*$BS$8+Y147*$BW147*$BW$8)/1000</f>
        <v>16.588707659760004</v>
      </c>
      <c r="Z162" s="1120">
        <f t="shared" ca="1" si="175"/>
        <v>8.2946248559599987</v>
      </c>
      <c r="AA162" s="1120">
        <f t="shared" ca="1" si="175"/>
        <v>7.3460779289999989</v>
      </c>
      <c r="AB162" s="1120">
        <f t="shared" ca="1" si="175"/>
        <v>14.89045503012</v>
      </c>
      <c r="AC162" s="1120">
        <f t="shared" ca="1" si="175"/>
        <v>7.5850989259200006</v>
      </c>
      <c r="AD162" s="1120">
        <f t="shared" ca="1" si="175"/>
        <v>15.478441801839999</v>
      </c>
      <c r="AE162" s="1120">
        <f t="shared" ca="1" si="175"/>
        <v>16.5729440876</v>
      </c>
      <c r="AF162" s="1120">
        <f t="shared" ca="1" si="175"/>
        <v>16.883039672239999</v>
      </c>
      <c r="AG162" s="1120">
        <f t="shared" ca="1" si="175"/>
        <v>8.4479430832799984</v>
      </c>
      <c r="AH162" s="1120">
        <f t="shared" ca="1" si="175"/>
        <v>8.4261077915599998</v>
      </c>
      <c r="AI162" s="1120"/>
      <c r="AJ162" s="1120"/>
      <c r="AK162" s="1120"/>
      <c r="AL162" s="1120"/>
      <c r="AM162" s="1120"/>
      <c r="AN162" s="1120"/>
      <c r="AO162" s="1120"/>
      <c r="AP162" s="1120"/>
      <c r="AQ162" s="1120"/>
      <c r="AR162" s="2467"/>
      <c r="AS162" s="1120">
        <f t="shared" ref="AS162:AW162" ca="1" si="176">(SUMPRODUCT(AS10:AS35,$BT10:$BT35)*$BT$8+SUMPRODUCT(AS60:AS66,$BO60:$BO66)*$BO$8+SUMPRODUCT(AS60:AS82,$BR60:$BR82)*$BR$8+SUMPRODUCT(AS56:AS83,$BT56:$BT83)*$BT$8+SUMPRODUCT(AS60:AS82,$BV60:$BV82)*$BV$8+AS83*$BU83*$BU$8+SUMPRODUCT(AS99:AS101,$BO99:$BO101)*$BO$8+SUMPRODUCT(AS99:AS101,$BR99:$BR101)*$BR$8+SUMPRODUCT(AS99:AS101,$BT99:$BT101)*$BT$8+SUMPRODUCT(AS99:AS101,$BV99:$BV101)*$BV$8+SUMPRODUCT(AS104:AS112,$BR104:$BR112)*$BR$8+SUMPRODUCT(AS113:AS118,$BW113:$BW118)*$BW$8+SUMPRODUCT(AS123:AS128,$BO123:$BO128)*$BO$8+SUMPRODUCT(AS123:AS128,$BS123:$BS128)*$BS$8+AS134*$BO134*$BO$8+AS135*$BS135*$BS$8+AS147*$BW147*$BW$8)/1000</f>
        <v>9.3870157134000003</v>
      </c>
      <c r="AT162" s="1120">
        <f t="shared" ca="1" si="176"/>
        <v>8.9937077085600006</v>
      </c>
      <c r="AU162" s="1120">
        <f t="shared" ca="1" si="176"/>
        <v>8.9975611216000004</v>
      </c>
      <c r="AV162" s="1120">
        <f t="shared" ca="1" si="176"/>
        <v>8.4035591281199995</v>
      </c>
      <c r="AW162" s="1120">
        <f t="shared" ca="1" si="176"/>
        <v>13.177951149672001</v>
      </c>
      <c r="AX162" s="1121"/>
      <c r="AY162" s="1121"/>
      <c r="AZ162" s="1121"/>
      <c r="BA162" s="1121"/>
      <c r="BB162" s="1121"/>
      <c r="BC162" s="1121"/>
      <c r="BD162" s="1121"/>
      <c r="BE162" s="1121"/>
      <c r="BF162" s="1121"/>
      <c r="BG162" s="1121"/>
      <c r="BH162" s="1121"/>
      <c r="BI162" s="1121"/>
      <c r="BJ162" s="1120"/>
      <c r="BK162" s="1120"/>
      <c r="BL162" s="1120"/>
      <c r="BM162" s="1116">
        <f t="shared" ca="1" si="126"/>
        <v>280.13</v>
      </c>
      <c r="BN162" s="579"/>
      <c r="BO162" s="973"/>
      <c r="BP162" s="973"/>
      <c r="BQ162" s="973"/>
      <c r="BR162" s="973"/>
      <c r="BS162" s="973"/>
      <c r="BT162" s="973"/>
      <c r="BU162" s="973"/>
      <c r="BV162" s="973"/>
      <c r="BW162" s="973"/>
      <c r="BX162" s="973"/>
      <c r="BY162" s="973"/>
      <c r="BZ162" s="973"/>
      <c r="CA162" s="973"/>
      <c r="CB162" s="973"/>
      <c r="CC162" s="973"/>
      <c r="CD162" s="973"/>
      <c r="CE162" s="973"/>
      <c r="CF162" s="973"/>
      <c r="CG162" s="973"/>
      <c r="CH162" s="973"/>
      <c r="CI162" s="973"/>
      <c r="CJ162" s="973"/>
      <c r="CK162" s="973"/>
      <c r="CL162" s="973"/>
      <c r="CM162" s="973"/>
      <c r="CN162" s="973"/>
      <c r="CO162" s="973"/>
      <c r="CP162" s="973"/>
      <c r="CQ162" s="973"/>
      <c r="CR162" s="973"/>
      <c r="CS162" s="973"/>
      <c r="CT162" s="973"/>
      <c r="CU162" s="973"/>
      <c r="CV162" s="973"/>
      <c r="CW162" s="973"/>
    </row>
    <row r="163" spans="1:101" ht="21.95" hidden="1" customHeight="1" x14ac:dyDescent="0.15">
      <c r="A163" s="2707"/>
      <c r="B163" s="2606"/>
      <c r="C163" s="559" t="s">
        <v>585</v>
      </c>
      <c r="D163" s="1003"/>
      <c r="E163" s="1287"/>
      <c r="F163" s="1114">
        <f>SUMPRODUCT(F10:F35,$CC10:$CC35)*$CC$8+SUMPRODUCT(F60:F65,$BX60:$BX65)*$BX$8+SUMPRODUCT(F60:F81,$CA60:$CA81)*$CA$8+SUMPRODUCT(F56:F83,$CC56:$CC83)*$CC$8+F83*$CD83*$CD$8+SUMPRODUCT(F60:F82,$CE60:$CE82)*$CE$8+SUMPRODUCT(F99:F101,$BX99:$BX101)*$BX$8+SUMPRODUCT(F99:F101,$CA99:$CA101)*$CA$8+SUMPRODUCT(F99:F101,$CC99:$CC101)*$CC$8+SUMPRODUCT(F99:F101,$CE99:$CE101)*$CE$8+SUMPRODUCT(F104:F112,$CA104:$CA112)*$CA$8+SUMPRODUCT(F113:F118,$CF113:$CF118)*$CF$8+SUMPRODUCT(F123:F128,$BX123:$BX128)*$BX$8+SUMPRODUCT(F123:F128,$CB123:$CB128)*$CB$8+F134*$BX134*$BX$8+F135*$CB135*$CB$8+F147*$CF147*$CF$8+F91</f>
        <v>0</v>
      </c>
      <c r="G163" s="1114">
        <f t="shared" ref="G163" ca="1" si="177">SUMPRODUCT(G10:G35,$CC10:$CC35)*$CC$8+SUMPRODUCT(G60:G65,$BX60:$BX65)*$BX$8+SUMPRODUCT(G60:G81,$CA60:$CA81)*$CA$8+SUMPRODUCT(G56:G83,$CC56:$CC83)*$CC$8+G83*$CD83*$CD$8+SUMPRODUCT(G60:G82,$CE60:$CE82)*$CE$8+SUMPRODUCT(G99:G101,$BX99:$BX101)*$BX$8+SUMPRODUCT(G99:G101,$CA99:$CA101)*$CA$8+SUMPRODUCT(G99:G101,$CC99:$CC101)*$CC$8+SUMPRODUCT(G99:G101,$CE99:$CE101)*$CE$8+SUMPRODUCT(G104:G112,$CA104:$CA112)*$CA$8+SUMPRODUCT(G113:G118,$CF113:$CF118)*$CF$8+SUMPRODUCT(G123:G128,$BX123:$BX128)*$BX$8+SUMPRODUCT(G123:G128,$CB123:$CB128)*$CB$8+G134*$BX134*$BX$8+G135*$CB135*$CB$8+G147*$CF147*$CF$8+G91</f>
        <v>18.733767503999999</v>
      </c>
      <c r="H163" s="1114">
        <f t="shared" ref="H163:I163" ca="1" si="178">SUMPRODUCT(H10:H35,$CC10:$CC35)*$CC$8+SUMPRODUCT(H60:H65,$BX60:$BX65)*$BX$8+SUMPRODUCT(H60:H81,$CA60:$CA81)*$CA$8+SUMPRODUCT(H56:H83,$CC56:$CC83)*$CC$8+H83*$CD83*$CD$8+SUMPRODUCT(H60:H82,$CE60:$CE82)*$CE$8+SUMPRODUCT(H99:H101,$BX99:$BX101)*$BX$8+SUMPRODUCT(H99:H101,$CA99:$CA101)*$CA$8+SUMPRODUCT(H99:H101,$CC99:$CC101)*$CC$8+SUMPRODUCT(H99:H101,$CE99:$CE101)*$CE$8+SUMPRODUCT(H104:H112,$CA104:$CA112)*$CA$8+SUMPRODUCT(H113:H118,$CF113:$CF118)*$CF$8+SUMPRODUCT(H123:H128,$BX123:$BX128)*$BX$8+SUMPRODUCT(H123:H128,$CB123:$CB128)*$CB$8+H134*$BX134*$BX$8+H135*$CB135*$CB$8+H147*$CF147*$CF$8+H91</f>
        <v>17.584809583999998</v>
      </c>
      <c r="I163" s="1114">
        <f t="shared" ca="1" si="178"/>
        <v>16.999172643999998</v>
      </c>
      <c r="J163" s="1114"/>
      <c r="K163" s="1114"/>
      <c r="L163" s="1114"/>
      <c r="M163" s="1114"/>
      <c r="N163" s="2465"/>
      <c r="O163" s="1114">
        <f t="shared" ref="O163:V163" ca="1" si="179">SUMPRODUCT(O10:O35,$CC10:$CC35)*$CC$8+SUMPRODUCT(O60:O65,$BX60:$BX65)*$BX$8+SUMPRODUCT(O60:O81,$CA60:$CA81)*$CA$8+SUMPRODUCT(O56:O83,$CC56:$CC83)*$CC$8+O83*$CD83*$CD$8+SUMPRODUCT(O60:O82,$CE60:$CE82)*$CE$8+SUMPRODUCT(O99:O101,$BX99:$BX101)*$BX$8+SUMPRODUCT(O99:O101,$CA99:$CA101)*$CA$8+SUMPRODUCT(O99:O101,$CC99:$CC101)*$CC$8+SUMPRODUCT(O99:O101,$CE99:$CE101)*$CE$8+SUMPRODUCT(O104:O112,$CA104:$CA112)*$CA$8+SUMPRODUCT(O113:O118,$CF113:$CF118)*$CF$8+SUMPRODUCT(O123:O128,$BX123:$BX128)*$BX$8+SUMPRODUCT(O123:O128,$CB123:$CB128)*$CB$8+O134*$BX134*$BX$8+O135*$CB135*$CB$8+O147*$CF147*$CF$8+O91</f>
        <v>19.868447904</v>
      </c>
      <c r="P163" s="1114">
        <f t="shared" ca="1" si="179"/>
        <v>36.624371019199998</v>
      </c>
      <c r="Q163" s="1114">
        <f t="shared" ca="1" si="179"/>
        <v>16.656119103999998</v>
      </c>
      <c r="R163" s="1114">
        <f t="shared" ca="1" si="179"/>
        <v>17.261492263999997</v>
      </c>
      <c r="S163" s="1114">
        <f t="shared" ca="1" si="179"/>
        <v>17.253148484</v>
      </c>
      <c r="T163" s="1114">
        <f t="shared" ca="1" si="179"/>
        <v>37.416165979199995</v>
      </c>
      <c r="U163" s="1114">
        <f t="shared" ca="1" si="179"/>
        <v>19.705686503999999</v>
      </c>
      <c r="V163" s="1114">
        <f t="shared" ca="1" si="179"/>
        <v>33.983492167999998</v>
      </c>
      <c r="W163" s="1114"/>
      <c r="X163" s="2465"/>
      <c r="Y163" s="1114">
        <f t="shared" ref="Y163:AH163" ca="1" si="180">SUMPRODUCT(Y10:Y35,$CC10:$CC35)*$CC$8+SUMPRODUCT(Y60:Y65,$BX60:$BX65)*$BX$8+SUMPRODUCT(Y60:Y81,$CA60:$CA81)*$CA$8+SUMPRODUCT(Y56:Y83,$CC56:$CC83)*$CC$8+Y83*$CD83*$CD$8+SUMPRODUCT(Y60:Y82,$CE60:$CE82)*$CE$8+SUMPRODUCT(Y99:Y101,$BX99:$BX101)*$BX$8+SUMPRODUCT(Y99:Y101,$CA99:$CA101)*$CA$8+SUMPRODUCT(Y99:Y101,$CC99:$CC101)*$CC$8+SUMPRODUCT(Y99:Y101,$CE99:$CE101)*$CE$8+SUMPRODUCT(Y104:Y112,$CA104:$CA112)*$CA$8+SUMPRODUCT(Y113:Y118,$CF113:$CF118)*$CF$8+SUMPRODUCT(Y123:Y128,$BX123:$BX128)*$BX$8+SUMPRODUCT(Y123:Y128,$CB123:$CB128)*$CB$8+Y134*$BX134*$BX$8+Y135*$CB135*$CB$8+Y147*$CF147*$CF$8+Y91</f>
        <v>37.706677888000002</v>
      </c>
      <c r="Z163" s="1114">
        <f t="shared" ca="1" si="180"/>
        <v>18.853971504</v>
      </c>
      <c r="AA163" s="1114">
        <f t="shared" ca="1" si="180"/>
        <v>16.635673183999998</v>
      </c>
      <c r="AB163" s="1114">
        <f t="shared" ca="1" si="180"/>
        <v>34.330637699200004</v>
      </c>
      <c r="AC163" s="1114">
        <f t="shared" ca="1" si="180"/>
        <v>17.166989923999999</v>
      </c>
      <c r="AD163" s="1114">
        <f t="shared" ca="1" si="180"/>
        <v>35.6786986392</v>
      </c>
      <c r="AE163" s="1114">
        <f t="shared" ca="1" si="180"/>
        <v>37.671587168000002</v>
      </c>
      <c r="AF163" s="1114">
        <f t="shared" ca="1" si="180"/>
        <v>38.869269639199999</v>
      </c>
      <c r="AG163" s="1114">
        <f t="shared" ca="1" si="180"/>
        <v>19.084557644</v>
      </c>
      <c r="AH163" s="1114">
        <f t="shared" ca="1" si="180"/>
        <v>19.035951504</v>
      </c>
      <c r="AI163" s="1114"/>
      <c r="AJ163" s="1114"/>
      <c r="AK163" s="1114"/>
      <c r="AL163" s="1114"/>
      <c r="AM163" s="1114"/>
      <c r="AN163" s="1114"/>
      <c r="AO163" s="1114"/>
      <c r="AP163" s="1114"/>
      <c r="AQ163" s="1114"/>
      <c r="AR163" s="2465"/>
      <c r="AS163" s="1114">
        <f t="shared" ref="AS163:AW163" ca="1" si="181">SUMPRODUCT(AS10:AS35,$CC10:$CC35)*$CC$8+SUMPRODUCT(AS60:AS65,$BX60:$BX65)*$BX$8+SUMPRODUCT(AS60:AS81,$CA60:$CA81)*$CA$8+SUMPRODUCT(AS56:AS83,$CC56:$CC83)*$CC$8+AS83*$CD83*$CD$8+SUMPRODUCT(AS60:AS82,$CE60:$CE82)*$CE$8+SUMPRODUCT(AS99:AS101,$BX99:$BX101)*$BX$8+SUMPRODUCT(AS99:AS101,$CA99:$CA101)*$CA$8+SUMPRODUCT(AS99:AS101,$CC99:$CC101)*$CC$8+SUMPRODUCT(AS99:AS101,$CE99:$CE101)*$CE$8+SUMPRODUCT(AS104:AS112,$CA104:$CA112)*$CA$8+SUMPRODUCT(AS113:AS118,$CF113:$CF118)*$CF$8+SUMPRODUCT(AS123:AS128,$BX123:$BX128)*$BX$8+SUMPRODUCT(AS123:AS128,$CB123:$CB128)*$CB$8+AS134*$BX134*$BX$8+AS135*$CB135*$CB$8+AS147*$CF147*$CF$8+AS91</f>
        <v>21.419476784</v>
      </c>
      <c r="AT163" s="1114">
        <f t="shared" ca="1" si="181"/>
        <v>20.463028004000002</v>
      </c>
      <c r="AU163" s="1114">
        <f t="shared" ca="1" si="181"/>
        <v>20.471606284000003</v>
      </c>
      <c r="AV163" s="1114">
        <f t="shared" ca="1" si="181"/>
        <v>19.082518424</v>
      </c>
      <c r="AW163" s="1114">
        <f t="shared" ca="1" si="181"/>
        <v>29.786943792320002</v>
      </c>
      <c r="AX163" s="1115"/>
      <c r="AY163" s="1115"/>
      <c r="AZ163" s="1115"/>
      <c r="BA163" s="1115"/>
      <c r="BB163" s="1115"/>
      <c r="BC163" s="1115"/>
      <c r="BD163" s="1115"/>
      <c r="BE163" s="1115"/>
      <c r="BF163" s="1115"/>
      <c r="BG163" s="1115"/>
      <c r="BH163" s="1115"/>
      <c r="BI163" s="1115"/>
      <c r="BJ163" s="1114"/>
      <c r="BK163" s="1114"/>
      <c r="BL163" s="1114"/>
      <c r="BM163" s="1116"/>
      <c r="BN163" s="579"/>
      <c r="BO163" s="973"/>
      <c r="BP163" s="973"/>
      <c r="BQ163" s="973"/>
      <c r="BR163" s="973"/>
      <c r="BS163" s="973"/>
      <c r="BT163" s="973"/>
      <c r="BU163" s="973"/>
      <c r="BV163" s="973"/>
      <c r="BW163" s="973"/>
      <c r="BX163" s="973"/>
      <c r="BY163" s="973"/>
      <c r="BZ163" s="973"/>
      <c r="CA163" s="973"/>
      <c r="CB163" s="973"/>
      <c r="CC163" s="973"/>
      <c r="CD163" s="973"/>
      <c r="CE163" s="973"/>
      <c r="CF163" s="973"/>
      <c r="CG163" s="973"/>
      <c r="CH163" s="973"/>
      <c r="CI163" s="973"/>
      <c r="CJ163" s="973"/>
      <c r="CK163" s="973"/>
      <c r="CL163" s="973"/>
      <c r="CM163" s="973"/>
      <c r="CN163" s="973"/>
      <c r="CO163" s="973"/>
      <c r="CP163" s="973"/>
      <c r="CQ163" s="973"/>
      <c r="CR163" s="973"/>
      <c r="CS163" s="973"/>
      <c r="CT163" s="973"/>
      <c r="CU163" s="973"/>
      <c r="CV163" s="973"/>
      <c r="CW163" s="973"/>
    </row>
    <row r="164" spans="1:101" ht="21.95" hidden="1" customHeight="1" x14ac:dyDescent="0.15">
      <c r="A164" s="2707"/>
      <c r="B164" s="2606"/>
      <c r="C164" s="559" t="s">
        <v>1206</v>
      </c>
      <c r="D164" s="1003"/>
      <c r="E164" s="1287"/>
      <c r="F164" s="1114">
        <f>SUMPRODUCT(F60:F65,$CG60:$CG65)*$CG$8+SUMPRODUCT(F60:F81,$CJ60:$CJ81)*$CJ$8+SUMPRODUCT(F60:F66,$CM60:$CM66)*$CM$8+SUMPRODUCT(F99:F101,$CG99:$CG101)*$CG$8+SUMPRODUCT(F99:F101,$CJ99:$CJ101)*$CJ$8+SUMPRODUCT(F99:F101,$CM99:$CM101)*$CM$8+SUMPRODUCT(F104:F112,$CJ104:$CJ112)*$CJ$8+SUMPRODUCT(F113:F118,$CL113:$CL118)*$CL$8+SUMPRODUCT(F123:F128,$CG123:$CG128)*$CG$8+SUMPRODUCT(F123:F128,$CK123:$CK128)*$CK$8+F134*$CG134*$CG$8+F135*$CK135*$CK$8+F147*$CL147*$CL$8+F92</f>
        <v>0</v>
      </c>
      <c r="G164" s="1114">
        <f t="shared" ref="G164" ca="1" si="182">SUMPRODUCT(G60:G65,$CG60:$CG65)*$CG$8+SUMPRODUCT(G60:G81,$CJ60:$CJ81)*$CJ$8+SUMPRODUCT(G60:G66,$CM60:$CM66)*$CM$8+SUMPRODUCT(G99:G101,$CG99:$CG101)*$CG$8+SUMPRODUCT(G99:G101,$CJ99:$CJ101)*$CJ$8+SUMPRODUCT(G99:G101,$CM99:$CM101)*$CM$8+SUMPRODUCT(G104:G112,$CJ104:$CJ112)*$CJ$8+SUMPRODUCT(G113:G118,$CL113:$CL118)*$CL$8+SUMPRODUCT(G123:G128,$CG123:$CG128)*$CG$8+SUMPRODUCT(G123:G128,$CK123:$CK128)*$CK$8+G134*$CG134*$CG$8+G135*$CK135*$CK$8+G147*$CL147*$CL$8+G92</f>
        <v>4.7581011599999989</v>
      </c>
      <c r="H164" s="1114">
        <f t="shared" ref="H164:I164" ca="1" si="183">SUMPRODUCT(H60:H65,$CG60:$CG65)*$CG$8+SUMPRODUCT(H60:H81,$CJ60:$CJ81)*$CJ$8+SUMPRODUCT(H60:H66,$CM60:$CM66)*$CM$8+SUMPRODUCT(H99:H101,$CG99:$CG101)*$CG$8+SUMPRODUCT(H99:H101,$CJ99:$CJ101)*$CJ$8+SUMPRODUCT(H99:H101,$CM99:$CM101)*$CM$8+SUMPRODUCT(H104:H112,$CJ104:$CJ112)*$CJ$8+SUMPRODUCT(H113:H118,$CL113:$CL118)*$CL$8+SUMPRODUCT(H123:H128,$CG123:$CG128)*$CG$8+SUMPRODUCT(H123:H128,$CK123:$CK128)*$CK$8+H134*$CG134*$CG$8+H135*$CK135*$CK$8+H147*$CL147*$CL$8+H92</f>
        <v>3.9110601599999995</v>
      </c>
      <c r="I164" s="1114">
        <f t="shared" ca="1" si="183"/>
        <v>3.4831371599999992</v>
      </c>
      <c r="J164" s="1114"/>
      <c r="K164" s="1114"/>
      <c r="L164" s="1114"/>
      <c r="M164" s="1114"/>
      <c r="N164" s="2465"/>
      <c r="O164" s="1114">
        <f t="shared" ref="O164:V164" ca="1" si="184">SUMPRODUCT(O60:O65,$CG60:$CG65)*$CG$8+SUMPRODUCT(O60:O81,$CJ60:$CJ81)*$CJ$8+SUMPRODUCT(O60:O66,$CM60:$CM66)*$CM$8+SUMPRODUCT(O99:O101,$CG99:$CG101)*$CG$8+SUMPRODUCT(O99:O101,$CJ99:$CJ101)*$CJ$8+SUMPRODUCT(O99:O101,$CM99:$CM101)*$CM$8+SUMPRODUCT(O104:O112,$CJ104:$CJ112)*$CJ$8+SUMPRODUCT(O113:O118,$CL113:$CL118)*$CL$8+SUMPRODUCT(O123:O128,$CG123:$CG128)*$CG$8+SUMPRODUCT(O123:O128,$CK123:$CK128)*$CK$8+O134*$CG134*$CG$8+O135*$CK135*$CK$8+O147*$CL147*$CL$8+O92</f>
        <v>5.6139471599999995</v>
      </c>
      <c r="P164" s="1114">
        <f t="shared" ca="1" si="184"/>
        <v>9.3753754719999982</v>
      </c>
      <c r="Q164" s="1114">
        <f t="shared" ca="1" si="184"/>
        <v>3.0552141599999993</v>
      </c>
      <c r="R164" s="1114">
        <f t="shared" ca="1" si="184"/>
        <v>3.4831371599999992</v>
      </c>
      <c r="S164" s="1114">
        <f t="shared" ca="1" si="184"/>
        <v>3.4831371599999992</v>
      </c>
      <c r="T164" s="1114">
        <f t="shared" ca="1" si="184"/>
        <v>8.0916064719999987</v>
      </c>
      <c r="U164" s="1114">
        <f t="shared" ca="1" si="184"/>
        <v>3.4831371599999992</v>
      </c>
      <c r="V164" s="1114">
        <f t="shared" ca="1" si="184"/>
        <v>6.1104283199999987</v>
      </c>
      <c r="W164" s="1114"/>
      <c r="X164" s="2465"/>
      <c r="Y164" s="1114">
        <f t="shared" ref="Y164:AH164" ca="1" si="185">SUMPRODUCT(Y60:Y65,$CG60:$CG65)*$CG$8+SUMPRODUCT(Y60:Y81,$CJ60:$CJ81)*$CJ$8+SUMPRODUCT(Y60:Y66,$CM60:$CM66)*$CM$8+SUMPRODUCT(Y99:Y101,$CG99:$CG101)*$CG$8+SUMPRODUCT(Y99:Y101,$CJ99:$CJ101)*$CJ$8+SUMPRODUCT(Y99:Y101,$CM99:$CM101)*$CM$8+SUMPRODUCT(Y104:Y112,$CJ104:$CJ112)*$CJ$8+SUMPRODUCT(Y113:Y118,$CL113:$CL118)*$CL$8+SUMPRODUCT(Y123:Y128,$CG123:$CG128)*$CG$8+SUMPRODUCT(Y123:Y128,$CK123:$CK128)*$CK$8+Y134*$CG134*$CG$8+Y135*$CK135*$CK$8+Y147*$CL147*$CL$8+Y92</f>
        <v>9.5162023199999979</v>
      </c>
      <c r="Z164" s="1114">
        <f t="shared" ca="1" si="185"/>
        <v>4.7581011599999989</v>
      </c>
      <c r="AA164" s="1114">
        <f t="shared" ca="1" si="185"/>
        <v>3.0552141599999993</v>
      </c>
      <c r="AB164" s="1114">
        <f t="shared" ca="1" si="185"/>
        <v>7.6636834719999989</v>
      </c>
      <c r="AC164" s="1114">
        <f t="shared" ca="1" si="185"/>
        <v>3.0552141599999993</v>
      </c>
      <c r="AD164" s="1114">
        <f t="shared" ca="1" si="185"/>
        <v>8.3011654719999992</v>
      </c>
      <c r="AE164" s="1114">
        <f t="shared" ca="1" si="185"/>
        <v>9.5162023199999979</v>
      </c>
      <c r="AF164" s="1114">
        <f t="shared" ca="1" si="185"/>
        <v>9.3665704719999994</v>
      </c>
      <c r="AG164" s="1114">
        <f t="shared" ca="1" si="185"/>
        <v>3.0552141599999993</v>
      </c>
      <c r="AH164" s="1114">
        <f t="shared" ca="1" si="185"/>
        <v>3.0552141599999993</v>
      </c>
      <c r="AI164" s="1114"/>
      <c r="AJ164" s="1114"/>
      <c r="AK164" s="1114"/>
      <c r="AL164" s="1114"/>
      <c r="AM164" s="1114"/>
      <c r="AN164" s="1114"/>
      <c r="AO164" s="1114"/>
      <c r="AP164" s="1114"/>
      <c r="AQ164" s="1114"/>
      <c r="AR164" s="2465"/>
      <c r="AS164" s="1114">
        <f t="shared" ref="AS164:AW164" ca="1" si="186">SUMPRODUCT(AS60:AS65,$CG60:$CG65)*$CG$8+SUMPRODUCT(AS60:AS81,$CJ60:$CJ81)*$CJ$8+SUMPRODUCT(AS60:AS66,$CM60:$CM66)*$CM$8+SUMPRODUCT(AS99:AS101,$CG99:$CG101)*$CG$8+SUMPRODUCT(AS99:AS101,$CJ99:$CJ101)*$CJ$8+SUMPRODUCT(AS99:AS101,$CM99:$CM101)*$CM$8+SUMPRODUCT(AS104:AS112,$CJ104:$CJ112)*$CJ$8+SUMPRODUCT(AS113:AS118,$CL113:$CL118)*$CL$8+SUMPRODUCT(AS123:AS128,$CG123:$CG128)*$CG$8+SUMPRODUCT(AS123:AS128,$CK123:$CK128)*$CK$8+AS134*$CG134*$CG$8+AS135*$CK135*$CK$8+AS147*$CL147*$CL$8+AS92</f>
        <v>6.8889111599999993</v>
      </c>
      <c r="AT164" s="1114">
        <f t="shared" ca="1" si="186"/>
        <v>5.6139471599999995</v>
      </c>
      <c r="AU164" s="1114">
        <f t="shared" ca="1" si="186"/>
        <v>5.6139471599999995</v>
      </c>
      <c r="AV164" s="1114">
        <f t="shared" ca="1" si="186"/>
        <v>4.5485421599999993</v>
      </c>
      <c r="AW164" s="1114">
        <f t="shared" ca="1" si="186"/>
        <v>5.9084089007999996</v>
      </c>
      <c r="AX164" s="1115"/>
      <c r="AY164" s="1115"/>
      <c r="AZ164" s="1115"/>
      <c r="BA164" s="1115"/>
      <c r="BB164" s="1115"/>
      <c r="BC164" s="1115"/>
      <c r="BD164" s="1115"/>
      <c r="BE164" s="1115"/>
      <c r="BF164" s="1115"/>
      <c r="BG164" s="1115"/>
      <c r="BH164" s="1115"/>
      <c r="BI164" s="1115"/>
      <c r="BJ164" s="1114"/>
      <c r="BK164" s="1114"/>
      <c r="BL164" s="1114"/>
      <c r="BM164" s="1116"/>
      <c r="BN164" s="579"/>
      <c r="BO164" s="973"/>
      <c r="BP164" s="973"/>
      <c r="BQ164" s="973"/>
      <c r="BR164" s="973"/>
      <c r="BS164" s="973"/>
      <c r="BT164" s="973"/>
      <c r="BU164" s="973"/>
      <c r="BV164" s="973"/>
      <c r="BW164" s="973"/>
      <c r="BX164" s="973"/>
      <c r="BY164" s="973"/>
      <c r="BZ164" s="973"/>
      <c r="CA164" s="973"/>
      <c r="CB164" s="973"/>
      <c r="CC164" s="973"/>
      <c r="CD164" s="973"/>
      <c r="CE164" s="973"/>
      <c r="CF164" s="973"/>
      <c r="CG164" s="973"/>
      <c r="CH164" s="973"/>
      <c r="CI164" s="973"/>
      <c r="CJ164" s="973"/>
      <c r="CK164" s="973"/>
      <c r="CL164" s="973"/>
      <c r="CM164" s="973"/>
      <c r="CN164" s="973"/>
      <c r="CO164" s="973"/>
      <c r="CP164" s="973"/>
      <c r="CQ164" s="973"/>
      <c r="CR164" s="973"/>
      <c r="CS164" s="973"/>
      <c r="CT164" s="973"/>
      <c r="CU164" s="973"/>
      <c r="CV164" s="973"/>
      <c r="CW164" s="973"/>
    </row>
    <row r="165" spans="1:101" ht="21.95" hidden="1" customHeight="1" x14ac:dyDescent="0.15">
      <c r="A165" s="2707"/>
      <c r="B165" s="2606"/>
      <c r="C165" s="559" t="s">
        <v>1208</v>
      </c>
      <c r="D165" s="1003"/>
      <c r="E165" s="1287"/>
      <c r="F165" s="1114">
        <f>(SUMPRODUCT(F60:F83,$CN60:$CN83)+SUMPRODUCT(F99:F101,$CN99:$CN101)+SUMPRODUCT(F104:F109,$CN104:$CN109)+SUMPRODUCT(F123:F128,$CN123:$CN128)+SUMPRODUCT(F138:F142,$CN138:$CN142))/1000</f>
        <v>0</v>
      </c>
      <c r="G165" s="1114">
        <f t="shared" ref="G165" ca="1" si="187">(SUMPRODUCT(G60:G83,$CN60:$CN83)+SUMPRODUCT(G99:G101,$CN99:$CN101)+SUMPRODUCT(G104:G109,$CN104:$CN109)+SUMPRODUCT(G123:G128,$CN123:$CN128)+SUMPRODUCT(G138:G142,$CN138:$CN142))/1000</f>
        <v>0.16468313200000004</v>
      </c>
      <c r="H165" s="1114">
        <f t="shared" ref="H165:I165" ca="1" si="188">(SUMPRODUCT(H60:H83,$CN60:$CN83)+SUMPRODUCT(H99:H101,$CN99:$CN101)+SUMPRODUCT(H104:H109,$CN104:$CN109)+SUMPRODUCT(H123:H128,$CN123:$CN128)+SUMPRODUCT(H138:H142,$CN138:$CN142))/1000</f>
        <v>0.15140339200000003</v>
      </c>
      <c r="I165" s="1114">
        <f t="shared" ca="1" si="188"/>
        <v>0.146162762</v>
      </c>
      <c r="J165" s="1114"/>
      <c r="K165" s="1114"/>
      <c r="L165" s="1114"/>
      <c r="M165" s="1114"/>
      <c r="N165" s="2465"/>
      <c r="O165" s="1114">
        <f t="shared" ref="O165:V165" ca="1" si="189">(SUMPRODUCT(O60:O83,$CN60:$CN83)+SUMPRODUCT(O99:O101,$CN99:$CN101)+SUMPRODUCT(O104:O109,$CN104:$CN109)+SUMPRODUCT(O123:O128,$CN123:$CN128)+SUMPRODUCT(O138:O142,$CN138:$CN142))/1000</f>
        <v>0.17514113200000003</v>
      </c>
      <c r="P165" s="1114">
        <f t="shared" ca="1" si="189"/>
        <v>0.29043373020000002</v>
      </c>
      <c r="Q165" s="1114">
        <f t="shared" ca="1" si="189"/>
        <v>0.14103843200000002</v>
      </c>
      <c r="R165" s="1114">
        <f t="shared" ca="1" si="189"/>
        <v>0.14631395200000002</v>
      </c>
      <c r="S165" s="1114">
        <f t="shared" ca="1" si="189"/>
        <v>0.14634884200000001</v>
      </c>
      <c r="T165" s="1114">
        <f t="shared" ca="1" si="189"/>
        <v>0.27514215020000005</v>
      </c>
      <c r="U165" s="1114">
        <f t="shared" ca="1" si="189"/>
        <v>0.14650003200000003</v>
      </c>
      <c r="V165" s="1114">
        <f t="shared" ca="1" si="189"/>
        <v>0.28200708400000007</v>
      </c>
      <c r="W165" s="1114"/>
      <c r="X165" s="2465"/>
      <c r="Y165" s="1114">
        <f t="shared" ref="Y165:AH165" ca="1" si="190">(SUMPRODUCT(Y60:Y83,$CN60:$CN83)+SUMPRODUCT(Y99:Y101,$CN99:$CN101)+SUMPRODUCT(Y104:Y109,$CN104:$CN109)+SUMPRODUCT(Y123:Y128,$CN123:$CN128)+SUMPRODUCT(Y138:Y142,$CN138:$CN142))/1000</f>
        <v>0.32927322400000009</v>
      </c>
      <c r="Z165" s="1114">
        <f t="shared" ca="1" si="190"/>
        <v>0.16468313200000004</v>
      </c>
      <c r="AA165" s="1114">
        <f t="shared" ca="1" si="190"/>
        <v>0.14094539200000003</v>
      </c>
      <c r="AB165" s="1114">
        <f t="shared" ca="1" si="190"/>
        <v>0.2695409902</v>
      </c>
      <c r="AC165" s="1114">
        <f t="shared" ca="1" si="190"/>
        <v>0.14118962200000004</v>
      </c>
      <c r="AD165" s="1114">
        <f t="shared" ca="1" si="190"/>
        <v>0.27893492020000005</v>
      </c>
      <c r="AE165" s="1114">
        <f t="shared" ca="1" si="190"/>
        <v>0.32918018400000004</v>
      </c>
      <c r="AF165" s="1114">
        <f t="shared" ca="1" si="190"/>
        <v>0.2936625202</v>
      </c>
      <c r="AG165" s="1114">
        <f t="shared" ca="1" si="190"/>
        <v>0.14139896200000004</v>
      </c>
      <c r="AH165" s="1114">
        <f t="shared" ca="1" si="190"/>
        <v>0.14127103200000005</v>
      </c>
      <c r="AI165" s="1114"/>
      <c r="AJ165" s="1114"/>
      <c r="AK165" s="1114"/>
      <c r="AL165" s="1114"/>
      <c r="AM165" s="1114"/>
      <c r="AN165" s="1114"/>
      <c r="AO165" s="1114"/>
      <c r="AP165" s="1114"/>
      <c r="AQ165" s="1114"/>
      <c r="AR165" s="2465"/>
      <c r="AS165" s="1114">
        <f t="shared" ref="AS165:AW165" ca="1" si="191">(SUMPRODUCT(AS60:AS83,$CN60:$CN83)+SUMPRODUCT(AS99:AS101,$CN99:$CN101)+SUMPRODUCT(AS104:AS109,$CN104:$CN109)+SUMPRODUCT(AS123:AS128,$CN123:$CN128)+SUMPRODUCT(AS138:AS142,$CN138:$CN142))/1000</f>
        <v>0.19334749200000001</v>
      </c>
      <c r="AT165" s="1114">
        <f t="shared" ca="1" si="191"/>
        <v>0.17519928200000004</v>
      </c>
      <c r="AU165" s="1114">
        <f t="shared" ca="1" si="191"/>
        <v>0.17522254200000004</v>
      </c>
      <c r="AV165" s="1114">
        <f t="shared" ca="1" si="191"/>
        <v>0.16073917200000001</v>
      </c>
      <c r="AW165" s="1114">
        <f t="shared" ca="1" si="191"/>
        <v>0.18826312320000005</v>
      </c>
      <c r="AX165" s="1115"/>
      <c r="AY165" s="1115"/>
      <c r="AZ165" s="1115"/>
      <c r="BA165" s="1115"/>
      <c r="BB165" s="1115"/>
      <c r="BC165" s="1115"/>
      <c r="BD165" s="1115"/>
      <c r="BE165" s="1115"/>
      <c r="BF165" s="1115"/>
      <c r="BG165" s="1115"/>
      <c r="BH165" s="1115"/>
      <c r="BI165" s="1115"/>
      <c r="BJ165" s="1114"/>
      <c r="BK165" s="1114"/>
      <c r="BL165" s="1114"/>
      <c r="BM165" s="1116"/>
      <c r="BN165" s="579"/>
      <c r="BO165" s="973"/>
      <c r="BP165" s="973"/>
      <c r="BQ165" s="973"/>
      <c r="BR165" s="973"/>
      <c r="BS165" s="973"/>
      <c r="BT165" s="973"/>
      <c r="BU165" s="973"/>
      <c r="BV165" s="973"/>
      <c r="BW165" s="973"/>
      <c r="BX165" s="973"/>
      <c r="BY165" s="973"/>
      <c r="BZ165" s="973"/>
      <c r="CA165" s="973"/>
      <c r="CB165" s="973"/>
      <c r="CC165" s="973"/>
      <c r="CD165" s="973"/>
      <c r="CE165" s="973"/>
      <c r="CF165" s="973"/>
      <c r="CG165" s="973"/>
      <c r="CH165" s="973"/>
      <c r="CI165" s="973"/>
      <c r="CJ165" s="973"/>
      <c r="CK165" s="973"/>
      <c r="CL165" s="973"/>
      <c r="CM165" s="973"/>
      <c r="CN165" s="973"/>
      <c r="CO165" s="973"/>
      <c r="CP165" s="973"/>
      <c r="CQ165" s="973"/>
      <c r="CR165" s="973"/>
      <c r="CS165" s="973"/>
      <c r="CT165" s="973"/>
      <c r="CU165" s="973"/>
      <c r="CV165" s="973"/>
      <c r="CW165" s="973"/>
    </row>
    <row r="166" spans="1:101" ht="21.95" hidden="1" customHeight="1" x14ac:dyDescent="0.15">
      <c r="A166" s="2707"/>
      <c r="B166" s="2606"/>
      <c r="C166" s="559" t="s">
        <v>1209</v>
      </c>
      <c r="D166" s="1003"/>
      <c r="E166" s="1287"/>
      <c r="F166" s="1114">
        <f>SUMPRODUCT(F60:F65,$CP60:$CP65)*$CP$8+SUMPRODUCT(F60:F65,$CR60:$CR65)*$CR$8+F83*$CP83*$CP$8+F82*$CR82*$CR$8+SUMPRODUCT(F99:F101,$CP99:$CP101)*$CP$8+SUMPRODUCT(F99:F101,$CR99:$CR101)*$CR$8+SUMPRODUCT(F104:F109,$CQ104:$CQ109)*$CQ$8+SUMPRODUCT(F110:F112,$CP110:$CP112)*$CP$8+SUMPRODUCT(F113:F118,$CO113:$CO118)*$CO$8+SUMPRODUCT(F123:F128,$CS123:$CS128)*$CS$8+SUMPRODUCT(F123:F128,$CT123:$CT128)*$CT$8+F136*$CS136*$CS$8+F143*$CS143*CS8</f>
        <v>0</v>
      </c>
      <c r="G166" s="1114">
        <f t="shared" ref="G166" ca="1" si="192">SUMPRODUCT(G60:G65,$CP60:$CP65)*$CP$8+SUMPRODUCT(G60:G65,$CR60:$CR65)*$CR$8+G83*$CP83*$CP$8+G82*$CR82*$CR$8+SUMPRODUCT(G99:G101,$CP99:$CP101)*$CP$8+SUMPRODUCT(G99:G101,$CR99:$CR101)*$CR$8+SUMPRODUCT(G104:G109,$CQ104:$CQ109)*$CQ$8+SUMPRODUCT(G110:G112,$CP110:$CP112)*$CP$8+SUMPRODUCT(G113:G118,$CO113:$CO118)*$CO$8+SUMPRODUCT(G123:G128,$CS123:$CS128)*$CS$8+SUMPRODUCT(G123:G128,$CT123:$CT128)*$CT$8+G136*$CS136*$CS$8+G143*$CS143*CT8</f>
        <v>0.106890236</v>
      </c>
      <c r="H166" s="1114">
        <f t="shared" ref="H166" ca="1" si="193">SUMPRODUCT(H60:H65,$CP60:$CP65)*$CP$8+SUMPRODUCT(H60:H65,$CR60:$CR65)*$CR$8+H83*$CP83*$CP$8+H82*$CR82*$CR$8+SUMPRODUCT(H99:H101,$CP99:$CP101)*$CP$8+SUMPRODUCT(H99:H101,$CR99:$CR101)*$CR$8+SUMPRODUCT(H104:H109,$CQ104:$CQ109)*$CQ$8+SUMPRODUCT(H110:H112,$CP110:$CP112)*$CP$8+SUMPRODUCT(H113:H118,$CO113:$CO118)*$CO$8+SUMPRODUCT(H123:H128,$CS123:$CS128)*$CS$8+SUMPRODUCT(H123:H128,$CT123:$CT128)*$CT$8+H136*$CS136*$CS$8+H143*$CS143*CU8</f>
        <v>7.4491470000000004E-2</v>
      </c>
      <c r="I166" s="1114">
        <f t="shared" ref="I166" ca="1" si="194">SUMPRODUCT(I60:I65,$CP60:$CP65)*$CP$8+SUMPRODUCT(I60:I65,$CR60:$CR65)*$CR$8+I83*$CP83*$CP$8+I82*$CR82*$CR$8+SUMPRODUCT(I99:I101,$CP99:$CP101)*$CP$8+SUMPRODUCT(I99:I101,$CR99:$CR101)*$CR$8+SUMPRODUCT(I104:I109,$CQ104:$CQ109)*$CQ$8+SUMPRODUCT(I110:I112,$CP110:$CP112)*$CP$8+SUMPRODUCT(I113:I118,$CO113:$CO118)*$CO$8+SUMPRODUCT(I123:I128,$CS123:$CS128)*$CS$8+SUMPRODUCT(I123:I128,$CT123:$CT128)*$CT$8+I136*$CS136*$CS$8+I143*$CS143*CV8</f>
        <v>6.9201852999999994E-2</v>
      </c>
      <c r="J166" s="1114"/>
      <c r="K166" s="1114"/>
      <c r="L166" s="1114"/>
      <c r="M166" s="1114"/>
      <c r="N166" s="2465"/>
      <c r="O166" s="1114">
        <f t="shared" ref="O166" ca="1" si="195">SUMPRODUCT(O60:O65,$CP60:$CP65)*$CP$8+SUMPRODUCT(O60:O65,$CR60:$CR65)*$CR$8+O83*$CP83*$CP$8+O82*$CR82*$CR$8+SUMPRODUCT(O99:O101,$CP99:$CP101)*$CP$8+SUMPRODUCT(O99:O101,$CR99:$CR101)*$CR$8+SUMPRODUCT(O104:O109,$CQ104:$CQ109)*$CQ$8+SUMPRODUCT(O110:O112,$CP110:$CP112)*$CP$8+SUMPRODUCT(O113:O118,$CO113:$CO118)*$CO$8+SUMPRODUCT(O123:O128,$CS123:$CS128)*$CS$8+SUMPRODUCT(O123:O128,$CT123:$CT128)*$CT$8+O136*$CS136*$CS$8+O143*$CS143*DB8</f>
        <v>0.117378236</v>
      </c>
      <c r="P166" s="1114">
        <f t="shared" ref="P166" ca="1" si="196">SUMPRODUCT(P60:P65,$CP60:$CP65)*$CP$8+SUMPRODUCT(P60:P65,$CR60:$CR65)*$CR$8+P83*$CP83*$CP$8+P82*$CR82*$CR$8+SUMPRODUCT(P99:P101,$CP99:$CP101)*$CP$8+SUMPRODUCT(P99:P101,$CR99:$CR101)*$CR$8+SUMPRODUCT(P104:P109,$CQ104:$CQ109)*$CQ$8+SUMPRODUCT(P110:P112,$CP110:$CP112)*$CP$8+SUMPRODUCT(P113:P118,$CO113:$CO118)*$CO$8+SUMPRODUCT(P123:P128,$CS123:$CS128)*$CS$8+SUMPRODUCT(P123:P128,$CT123:$CT128)*$CT$8+P136*$CS136*$CS$8+P143*$CS143*DC8</f>
        <v>0.38386691760000002</v>
      </c>
      <c r="Q166" s="1114">
        <f t="shared" ref="Q166" ca="1" si="197">SUMPRODUCT(Q60:Q65,$CP60:$CP65)*$CP$8+SUMPRODUCT(Q60:Q65,$CR60:$CR65)*$CR$8+Q83*$CP83*$CP$8+Q82*$CR82*$CR$8+SUMPRODUCT(Q99:Q101,$CP99:$CP101)*$CP$8+SUMPRODUCT(Q99:Q101,$CR99:$CR101)*$CR$8+SUMPRODUCT(Q104:Q109,$CQ104:$CQ109)*$CQ$8+SUMPRODUCT(Q110:Q112,$CP110:$CP112)*$CP$8+SUMPRODUCT(Q113:Q118,$CO113:$CO118)*$CO$8+SUMPRODUCT(Q123:Q128,$CS123:$CS128)*$CS$8+SUMPRODUCT(Q123:Q128,$CT123:$CT128)*$CT$8+Q136*$CS136*$CS$8+Q143*$CS143*DD8</f>
        <v>6.4368406000000003E-2</v>
      </c>
      <c r="R166" s="1114">
        <f t="shared" ref="R166" ca="1" si="198">SUMPRODUCT(R60:R65,$CP60:$CP65)*$CP$8+SUMPRODUCT(R60:R65,$CR60:$CR65)*$CR$8+R83*$CP83*$CP$8+R82*$CR82*$CR$8+SUMPRODUCT(R99:R101,$CP99:$CP101)*$CP$8+SUMPRODUCT(R99:R101,$CR99:$CR101)*$CR$8+SUMPRODUCT(R104:R109,$CQ104:$CQ109)*$CQ$8+SUMPRODUCT(R110:R112,$CP110:$CP112)*$CP$8+SUMPRODUCT(R113:R118,$CO113:$CO118)*$CO$8+SUMPRODUCT(R123:R128,$CS123:$CS128)*$CS$8+SUMPRODUCT(R123:R128,$CT123:$CT128)*$CT$8+R136*$CS136*$CS$8+R143*$CS143*DE8</f>
        <v>6.9794873999999993E-2</v>
      </c>
      <c r="S166" s="1114">
        <f t="shared" ref="S166" ca="1" si="199">SUMPRODUCT(S60:S65,$CP60:$CP65)*$CP$8+SUMPRODUCT(S60:S65,$CR60:$CR65)*$CR$8+S83*$CP83*$CP$8+S82*$CR82*$CR$8+SUMPRODUCT(S99:S101,$CP99:$CP101)*$CP$8+SUMPRODUCT(S99:S101,$CR99:$CR101)*$CR$8+SUMPRODUCT(S104:S109,$CQ104:$CQ109)*$CQ$8+SUMPRODUCT(S110:S112,$CP110:$CP112)*$CP$8+SUMPRODUCT(S113:S118,$CO113:$CO118)*$CO$8+SUMPRODUCT(S123:S128,$CS123:$CS128)*$CS$8+SUMPRODUCT(S123:S128,$CT123:$CT128)*$CT$8+S136*$CS136*$CS$8+S143*$CS143*DF8</f>
        <v>6.9931725E-2</v>
      </c>
      <c r="T166" s="1114">
        <f t="shared" ref="T166" ca="1" si="200">SUMPRODUCT(T60:T65,$CP60:$CP65)*$CP$8+SUMPRODUCT(T60:T65,$CR60:$CR65)*$CR$8+T83*$CP83*$CP$8+T82*$CR82*$CR$8+SUMPRODUCT(T99:T101,$CP99:$CP101)*$CP$8+SUMPRODUCT(T99:T101,$CR99:$CR101)*$CR$8+SUMPRODUCT(T104:T109,$CQ104:$CQ109)*$CQ$8+SUMPRODUCT(T110:T112,$CP110:$CP112)*$CP$8+SUMPRODUCT(T113:T118,$CO113:$CO118)*$CO$8+SUMPRODUCT(T123:T128,$CS123:$CS128)*$CS$8+SUMPRODUCT(T123:T128,$CT123:$CT128)*$CT$8+T136*$CS136*$CS$8+T143*$CS143*DG8</f>
        <v>0.36968589560000004</v>
      </c>
      <c r="U166" s="1114">
        <f t="shared" ref="U166" ca="1" si="201">SUMPRODUCT(U60:U65,$CP60:$CP65)*$CP$8+SUMPRODUCT(U60:U65,$CR60:$CR65)*$CR$8+U83*$CP83*$CP$8+U82*$CR82*$CR$8+SUMPRODUCT(U99:U101,$CP99:$CP101)*$CP$8+SUMPRODUCT(U99:U101,$CR99:$CR101)*$CR$8+SUMPRODUCT(U104:U109,$CQ104:$CQ109)*$CQ$8+SUMPRODUCT(U110:U112,$CP110:$CP112)*$CP$8+SUMPRODUCT(U113:U118,$CO113:$CO118)*$CO$8+SUMPRODUCT(U123:U128,$CS123:$CS128)*$CS$8+SUMPRODUCT(U123:U128,$CT123:$CT128)*$CT$8+U136*$CS136*$CS$8+U143*$CS143*DH8</f>
        <v>7.0524745999999999E-2</v>
      </c>
      <c r="V166" s="1114">
        <f t="shared" ref="V166" ca="1" si="202">SUMPRODUCT(V60:V65,$CP60:$CP65)*$CP$8+SUMPRODUCT(V60:V65,$CR60:$CR65)*$CR$8+V83*$CP83*$CP$8+V82*$CR82*$CR$8+SUMPRODUCT(V99:V101,$CP99:$CP101)*$CP$8+SUMPRODUCT(V99:V101,$CR99:$CR101)*$CR$8+SUMPRODUCT(V104:V109,$CQ104:$CQ109)*$CQ$8+SUMPRODUCT(V110:V112,$CP110:$CP112)*$CP$8+SUMPRODUCT(V113:V118,$CO113:$CO118)*$CO$8+SUMPRODUCT(V123:V128,$CS123:$CS128)*$CS$8+SUMPRODUCT(V123:V128,$CT123:$CT128)*$CT$8+V136*$CS136*$CS$8+V143*$CS143*DI8</f>
        <v>0.12846310999999999</v>
      </c>
      <c r="W166" s="1114"/>
      <c r="X166" s="2465"/>
      <c r="Y166" s="1114">
        <f t="shared" ref="Y166" ca="1" si="203">SUMPRODUCT(Y60:Y65,$CP60:$CP65)*$CP$8+SUMPRODUCT(Y60:Y65,$CR60:$CR65)*$CR$8+Y83*$CP83*$CP$8+Y82*$CR82*$CR$8+SUMPRODUCT(Y99:Y101,$CP99:$CP101)*$CP$8+SUMPRODUCT(Y99:Y101,$CR99:$CR101)*$CR$8+SUMPRODUCT(Y104:Y109,$CQ104:$CQ109)*$CQ$8+SUMPRODUCT(Y110:Y112,$CP110:$CP112)*$CP$8+SUMPRODUCT(Y113:Y118,$CO113:$CO118)*$CO$8+SUMPRODUCT(Y123:Y128,$CS123:$CS128)*$CS$8+SUMPRODUCT(Y123:Y128,$CT123:$CT128)*$CT$8+Y136*$CS136*$CS$8+Y143*$CS143*DL8</f>
        <v>0.21341553600000002</v>
      </c>
      <c r="Z166" s="1114">
        <f t="shared" ref="Z166" ca="1" si="204">SUMPRODUCT(Z60:Z65,$CP60:$CP65)*$CP$8+SUMPRODUCT(Z60:Z65,$CR60:$CR65)*$CR$8+Z83*$CP83*$CP$8+Z82*$CR82*$CR$8+SUMPRODUCT(Z99:Z101,$CP99:$CP101)*$CP$8+SUMPRODUCT(Z99:Z101,$CR99:$CR101)*$CR$8+SUMPRODUCT(Z104:Z109,$CQ104:$CQ109)*$CQ$8+SUMPRODUCT(Z110:Z112,$CP110:$CP112)*$CP$8+SUMPRODUCT(Z113:Z118,$CO113:$CO118)*$CO$8+SUMPRODUCT(Z123:Z128,$CS123:$CS128)*$CS$8+SUMPRODUCT(Z123:Z128,$CT123:$CT128)*$CT$8+Z136*$CS136*$CS$8+Z143*$CS143*DM8</f>
        <v>0.106890236</v>
      </c>
      <c r="AA166" s="1114">
        <f t="shared" ref="AA166" ca="1" si="205">SUMPRODUCT(AA60:AA65,$CP60:$CP65)*$CP$8+SUMPRODUCT(AA60:AA65,$CR60:$CR65)*$CR$8+AA83*$CP83*$CP$8+AA82*$CR82*$CR$8+SUMPRODUCT(AA99:AA101,$CP99:$CP101)*$CP$8+SUMPRODUCT(AA99:AA101,$CR99:$CR101)*$CR$8+SUMPRODUCT(AA104:AA109,$CQ104:$CQ109)*$CQ$8+SUMPRODUCT(AA110:AA112,$CP110:$CP112)*$CP$8+SUMPRODUCT(AA113:AA118,$CO113:$CO118)*$CO$8+SUMPRODUCT(AA123:AA128,$CS123:$CS128)*$CS$8+SUMPRODUCT(AA123:AA128,$CT123:$CT128)*$CT$8+AA136*$CS136*$CS$8+AA143*$CS143*DN8</f>
        <v>6.4003469999999993E-2</v>
      </c>
      <c r="AB166" s="1114">
        <f t="shared" ref="AB166" ca="1" si="206">SUMPRODUCT(AB60:AB65,$CP60:$CP65)*$CP$8+SUMPRODUCT(AB60:AB65,$CR60:$CR65)*$CR$8+AB83*$CP83*$CP$8+AB82*$CR82*$CR$8+SUMPRODUCT(AB99:AB101,$CP99:$CP101)*$CP$8+SUMPRODUCT(AB99:AB101,$CR99:$CR101)*$CR$8+SUMPRODUCT(AB104:AB109,$CQ104:$CQ109)*$CQ$8+SUMPRODUCT(AB110:AB112,$CP110:$CP112)*$CP$8+SUMPRODUCT(AB113:AB118,$CO113:$CO118)*$CO$8+SUMPRODUCT(AB123:AB128,$CS123:$CS128)*$CS$8+SUMPRODUCT(AB123:AB128,$CT123:$CT128)*$CT$8+AB136*$CS136*$CS$8+AB143*$CS143*DO8</f>
        <v>0.36298215160000002</v>
      </c>
      <c r="AC166" s="1114">
        <f t="shared" ref="AC166" ca="1" si="207">SUMPRODUCT(AC60:AC65,$CP60:$CP65)*$CP$8+SUMPRODUCT(AC60:AC65,$CR60:$CR65)*$CR$8+AC83*$CP83*$CP$8+AC82*$CR82*$CR$8+SUMPRODUCT(AC99:AC101,$CP99:$CP101)*$CP$8+SUMPRODUCT(AC99:AC101,$CR99:$CR101)*$CR$8+SUMPRODUCT(AC104:AC109,$CQ104:$CQ109)*$CQ$8+SUMPRODUCT(AC110:AC112,$CP110:$CP112)*$CP$8+SUMPRODUCT(AC113:AC118,$CO113:$CO118)*$CO$8+SUMPRODUCT(AC123:AC128,$CS123:$CS128)*$CS$8+SUMPRODUCT(AC123:AC128,$CT123:$CT128)*$CT$8+AC136*$CS136*$CS$8+AC143*$CS143*DP8</f>
        <v>6.4961427000000002E-2</v>
      </c>
      <c r="AD166" s="1114">
        <f t="shared" ref="AD166" ca="1" si="208">SUMPRODUCT(AD60:AD65,$CP60:$CP65)*$CP$8+SUMPRODUCT(AD60:AD65,$CR60:$CR65)*$CR$8+AD83*$CP83*$CP$8+AD82*$CR82*$CR$8+SUMPRODUCT(AD99:AD101,$CP99:$CP101)*$CP$8+SUMPRODUCT(AD99:AD101,$CR99:$CR101)*$CR$8+SUMPRODUCT(AD104:AD109,$CQ104:$CQ109)*$CQ$8+SUMPRODUCT(AD110:AD112,$CP110:$CP112)*$CP$8+SUMPRODUCT(AD113:AD118,$CO113:$CO118)*$CO$8+SUMPRODUCT(AD123:AD128,$CS123:$CS128)*$CS$8+SUMPRODUCT(AD123:AD128,$CT123:$CT128)*$CT$8+AD136*$CS136*$CS$8+AD143*$CS143*DQ8</f>
        <v>0.38235093860000002</v>
      </c>
      <c r="AE166" s="1114">
        <f t="shared" ref="AE166" ca="1" si="209">SUMPRODUCT(AE60:AE65,$CP60:$CP65)*$CP$8+SUMPRODUCT(AE60:AE65,$CR60:$CR65)*$CR$8+AE83*$CP83*$CP$8+AE82*$CR82*$CR$8+SUMPRODUCT(AE99:AE101,$CP99:$CP101)*$CP$8+SUMPRODUCT(AE99:AE101,$CR99:$CR101)*$CR$8+SUMPRODUCT(AE104:AE109,$CQ104:$CQ109)*$CQ$8+SUMPRODUCT(AE110:AE112,$CP110:$CP112)*$CP$8+SUMPRODUCT(AE113:AE118,$CO113:$CO118)*$CO$8+SUMPRODUCT(AE123:AE128,$CS123:$CS128)*$CS$8+SUMPRODUCT(AE123:AE128,$CT123:$CT128)*$CT$8+AE136*$CS136*$CS$8+AE143*$CS143*DR8</f>
        <v>0.21305060000000001</v>
      </c>
      <c r="AF166" s="1114">
        <f t="shared" ref="AF166" ca="1" si="210">SUMPRODUCT(AF60:AF65,$CP60:$CP65)*$CP$8+SUMPRODUCT(AF60:AF65,$CR60:$CR65)*$CR$8+AF83*$CP83*$CP$8+AF82*$CR82*$CR$8+SUMPRODUCT(AF99:AF101,$CP99:$CP101)*$CP$8+SUMPRODUCT(AF99:AF101,$CR99:$CR101)*$CR$8+SUMPRODUCT(AF104:AF109,$CQ104:$CQ109)*$CQ$8+SUMPRODUCT(AF110:AF112,$CP110:$CP112)*$CP$8+SUMPRODUCT(AF113:AF118,$CO113:$CO118)*$CO$8+SUMPRODUCT(AF123:AF128,$CS123:$CS128)*$CS$8+SUMPRODUCT(AF123:AF128,$CT123:$CT128)*$CT$8+AF136*$CS136*$CS$8+AF143*$CS143*DS8</f>
        <v>0.40737427860000003</v>
      </c>
      <c r="AG166" s="1114">
        <f t="shared" ref="AG166" ca="1" si="211">SUMPRODUCT(AG60:AG65,$CP60:$CP65)*$CP$8+SUMPRODUCT(AG60:AG65,$CR60:$CR65)*$CR$8+AG83*$CP83*$CP$8+AG82*$CR82*$CR$8+SUMPRODUCT(AG99:AG101,$CP99:$CP101)*$CP$8+SUMPRODUCT(AG99:AG101,$CR99:$CR101)*$CR$8+SUMPRODUCT(AG104:AG109,$CQ104:$CQ109)*$CQ$8+SUMPRODUCT(AG110:AG112,$CP110:$CP112)*$CP$8+SUMPRODUCT(AG113:AG118,$CO113:$CO118)*$CO$8+SUMPRODUCT(AG123:AG128,$CS123:$CS128)*$CS$8+SUMPRODUCT(AG123:AG128,$CT123:$CT128)*$CT$8+AG136*$CS136*$CS$8+AG143*$CS143*DT8</f>
        <v>6.5782533000000004E-2</v>
      </c>
      <c r="AH166" s="1114">
        <f t="shared" ref="AH166" ca="1" si="212">SUMPRODUCT(AH60:AH65,$CP60:$CP65)*$CP$8+SUMPRODUCT(AH60:AH65,$CR60:$CR65)*$CR$8+AH83*$CP83*$CP$8+AH82*$CR82*$CR$8+SUMPRODUCT(AH99:AH101,$CP99:$CP101)*$CP$8+SUMPRODUCT(AH99:AH101,$CR99:$CR101)*$CR$8+SUMPRODUCT(AH104:AH109,$CQ104:$CQ109)*$CQ$8+SUMPRODUCT(AH110:AH112,$CP110:$CP112)*$CP$8+SUMPRODUCT(AH113:AH118,$CO113:$CO118)*$CO$8+SUMPRODUCT(AH123:AH128,$CS123:$CS128)*$CS$8+SUMPRODUCT(AH123:AH128,$CT123:$CT128)*$CT$8+AH136*$CS136*$CS$8+AH143*$CS143*DU8</f>
        <v>6.5280746000000001E-2</v>
      </c>
      <c r="AI166" s="1114"/>
      <c r="AJ166" s="1114"/>
      <c r="AK166" s="1114"/>
      <c r="AL166" s="1114"/>
      <c r="AM166" s="1114"/>
      <c r="AN166" s="1114"/>
      <c r="AO166" s="1114"/>
      <c r="AP166" s="1114"/>
      <c r="AQ166" s="1114"/>
      <c r="AR166" s="2465"/>
      <c r="AS166" s="1114">
        <f t="shared" ref="AS166" ca="1" si="213">SUMPRODUCT(AS60:AS65,$CP60:$CP65)*$CP$8+SUMPRODUCT(AS60:AS65,$CR60:$CR65)*$CR$8+AS83*$CP83*$CP$8+AS82*$CR82*$CR$8+SUMPRODUCT(AS99:AS101,$CP99:$CP101)*$CP$8+SUMPRODUCT(AS99:AS101,$CR99:$CR101)*$CR$8+SUMPRODUCT(AS104:AS109,$CQ104:$CQ109)*$CQ$8+SUMPRODUCT(AS110:AS112,$CP110:$CP112)*$CP$8+SUMPRODUCT(AS113:AS118,$CO113:$CO118)*$CO$8+SUMPRODUCT(AS123:AS128,$CS123:$CS128)*$CS$8+SUMPRODUCT(AS123:AS128,$CT123:$CT128)*$CT$8+AS136*$CS136*$CS$8+AS143*$CS143*EF8</f>
        <v>0.15383496000000002</v>
      </c>
      <c r="AT166" s="1114">
        <f t="shared" ref="AT166" ca="1" si="214">SUMPRODUCT(AT60:AT65,$CP60:$CP65)*$CP$8+SUMPRODUCT(AT60:AT65,$CR60:$CR65)*$CR$8+AT83*$CP83*$CP$8+AT82*$CR82*$CR$8+SUMPRODUCT(AT99:AT101,$CP99:$CP101)*$CP$8+SUMPRODUCT(AT99:AT101,$CR99:$CR101)*$CR$8+SUMPRODUCT(AT104:AT109,$CQ104:$CQ109)*$CQ$8+SUMPRODUCT(AT110:AT112,$CP110:$CP112)*$CP$8+SUMPRODUCT(AT113:AT118,$CO113:$CO118)*$CO$8+SUMPRODUCT(AT123:AT128,$CS123:$CS128)*$CS$8+SUMPRODUCT(AT123:AT128,$CT123:$CT128)*$CT$8+AT136*$CS136*$CS$8+AT143*$CS143*EG8</f>
        <v>0.117606321</v>
      </c>
      <c r="AU166" s="1114">
        <f t="shared" ref="AU166" ca="1" si="215">SUMPRODUCT(AU60:AU65,$CP60:$CP65)*$CP$8+SUMPRODUCT(AU60:AU65,$CR60:$CR65)*$CR$8+AU83*$CP83*$CP$8+AU82*$CR82*$CR$8+SUMPRODUCT(AU99:AU101,$CP99:$CP101)*$CP$8+SUMPRODUCT(AU99:AU101,$CR99:$CR101)*$CR$8+SUMPRODUCT(AU104:AU109,$CQ104:$CQ109)*$CQ$8+SUMPRODUCT(AU110:AU112,$CP110:$CP112)*$CP$8+SUMPRODUCT(AU113:AU118,$CO113:$CO118)*$CO$8+SUMPRODUCT(AU123:AU128,$CS123:$CS128)*$CS$8+SUMPRODUCT(AU123:AU128,$CT123:$CT128)*$CT$8+AU136*$CS136*$CS$8+AU143*$CS143*EH8</f>
        <v>0.11769755500000001</v>
      </c>
      <c r="AV166" s="1114">
        <f t="shared" ref="AV166" ca="1" si="216">SUMPRODUCT(AV60:AV65,$CP60:$CP65)*$CP$8+SUMPRODUCT(AV60:AV65,$CR60:$CR65)*$CR$8+AV83*$CP83*$CP$8+AV82*$CR82*$CR$8+SUMPRODUCT(AV99:AV101,$CP99:$CP101)*$CP$8+SUMPRODUCT(AV99:AV101,$CR99:$CR101)*$CR$8+SUMPRODUCT(AV104:AV109,$CQ104:$CQ109)*$CQ$8+SUMPRODUCT(AV110:AV112,$CP110:$CP112)*$CP$8+SUMPRODUCT(AV113:AV118,$CO113:$CO118)*$CO$8+SUMPRODUCT(AV123:AV128,$CS123:$CS128)*$CS$8+SUMPRODUCT(AV123:AV128,$CT123:$CT128)*$CT$8+AV136*$CS136*$CS$8+AV143*$CS143*EI8</f>
        <v>9.3632172E-2</v>
      </c>
      <c r="AW166" s="1114">
        <f t="shared" ref="AW166" ca="1" si="217">SUMPRODUCT(AW60:AW65,$CP60:$CP65)*$CP$8+SUMPRODUCT(AW60:AW65,$CR60:$CR65)*$CR$8+AW83*$CP83*$CP$8+AW82*$CR82*$CR$8+SUMPRODUCT(AW99:AW101,$CP99:$CP101)*$CP$8+SUMPRODUCT(AW99:AW101,$CR99:$CR101)*$CR$8+SUMPRODUCT(AW104:AW109,$CQ104:$CQ109)*$CQ$8+SUMPRODUCT(AW110:AW112,$CP110:$CP112)*$CP$8+SUMPRODUCT(AW113:AW118,$CO113:$CO118)*$CO$8+SUMPRODUCT(AW123:AW128,$CS123:$CS128)*$CS$8+SUMPRODUCT(AW123:AW128,$CT123:$CT128)*$CT$8+AW136*$CS136*$CS$8+AW143*$CS143*EJ8</f>
        <v>0.11073268200000001</v>
      </c>
      <c r="AX166" s="1115"/>
      <c r="AY166" s="1115"/>
      <c r="AZ166" s="1115"/>
      <c r="BA166" s="1115"/>
      <c r="BB166" s="1115"/>
      <c r="BC166" s="1115"/>
      <c r="BD166" s="1115"/>
      <c r="BE166" s="1115"/>
      <c r="BF166" s="1115"/>
      <c r="BG166" s="1115"/>
      <c r="BH166" s="1115"/>
      <c r="BI166" s="1115"/>
      <c r="BJ166" s="1114"/>
      <c r="BK166" s="1114"/>
      <c r="BL166" s="1114"/>
      <c r="BM166" s="1116"/>
      <c r="BN166" s="579"/>
      <c r="BO166" s="973"/>
      <c r="BP166" s="973"/>
      <c r="BQ166" s="973"/>
      <c r="BR166" s="973"/>
      <c r="BS166" s="973"/>
      <c r="BT166" s="973"/>
      <c r="BU166" s="973"/>
      <c r="BV166" s="973"/>
      <c r="BW166" s="973"/>
      <c r="BX166" s="973"/>
      <c r="BY166" s="973"/>
      <c r="BZ166" s="973"/>
      <c r="CA166" s="973"/>
      <c r="CB166" s="973"/>
      <c r="CC166" s="973"/>
      <c r="CD166" s="973"/>
      <c r="CE166" s="973"/>
      <c r="CF166" s="973"/>
      <c r="CG166" s="973"/>
      <c r="CH166" s="973"/>
      <c r="CI166" s="973"/>
      <c r="CJ166" s="973"/>
      <c r="CK166" s="973"/>
      <c r="CL166" s="973"/>
      <c r="CM166" s="973"/>
      <c r="CN166" s="973"/>
      <c r="CO166" s="973"/>
      <c r="CP166" s="973"/>
      <c r="CQ166" s="973"/>
      <c r="CR166" s="973"/>
      <c r="CS166" s="973"/>
      <c r="CT166" s="973"/>
      <c r="CU166" s="973"/>
      <c r="CV166" s="973"/>
      <c r="CW166" s="973"/>
    </row>
    <row r="167" spans="1:101" ht="21.95" hidden="1" customHeight="1" x14ac:dyDescent="0.15">
      <c r="A167" s="2707"/>
      <c r="B167" s="2606"/>
      <c r="C167" s="559" t="s">
        <v>1212</v>
      </c>
      <c r="D167" s="1003"/>
      <c r="E167" s="1287"/>
      <c r="F167" s="1114">
        <f>SUMPRODUCT(F60:F82,$CU60:$CU82)*$CU$8+SUMPRODUCT(F99:F101,$CU99:$CU101)*$CU$8</f>
        <v>0</v>
      </c>
      <c r="G167" s="1114">
        <f t="shared" ref="G167" ca="1" si="218">SUMPRODUCT(G60:G82,$CU60:$CU82)*$CU$8+SUMPRODUCT(G99:G101,$CU99:$CU101)*$CU$8</f>
        <v>2.1686991119999997</v>
      </c>
      <c r="H167" s="1114">
        <f t="shared" ref="H167:I167" ca="1" si="219">SUMPRODUCT(H60:H82,$CU60:$CU82)*$CU$8+SUMPRODUCT(H99:H101,$CU99:$CU101)*$CU$8</f>
        <v>2.1686991119999997</v>
      </c>
      <c r="I167" s="1114">
        <f t="shared" ca="1" si="219"/>
        <v>2.1686991119999997</v>
      </c>
      <c r="J167" s="1114"/>
      <c r="K167" s="1114"/>
      <c r="L167" s="1114"/>
      <c r="M167" s="1114"/>
      <c r="N167" s="2465"/>
      <c r="O167" s="1114">
        <f t="shared" ref="O167:V167" ca="1" si="220">SUMPRODUCT(O60:O82,$CU60:$CU82)*$CU$8+SUMPRODUCT(O99:O101,$CU99:$CU101)*$CU$8</f>
        <v>2.1686991119999997</v>
      </c>
      <c r="P167" s="1114">
        <f t="shared" ca="1" si="220"/>
        <v>2.7820902586499994</v>
      </c>
      <c r="Q167" s="1114">
        <f t="shared" ca="1" si="220"/>
        <v>2.1686991119999997</v>
      </c>
      <c r="R167" s="1114">
        <f t="shared" ca="1" si="220"/>
        <v>2.1686991119999997</v>
      </c>
      <c r="S167" s="1114">
        <f t="shared" ca="1" si="220"/>
        <v>2.1686991119999997</v>
      </c>
      <c r="T167" s="1114">
        <f t="shared" ca="1" si="220"/>
        <v>2.7820902586499994</v>
      </c>
      <c r="U167" s="1114">
        <f t="shared" ca="1" si="220"/>
        <v>2.1686991119999997</v>
      </c>
      <c r="V167" s="1114">
        <f t="shared" ca="1" si="220"/>
        <v>4.3373982239999993</v>
      </c>
      <c r="W167" s="1114"/>
      <c r="X167" s="2465"/>
      <c r="Y167" s="1114">
        <f t="shared" ref="Y167:AH167" ca="1" si="221">SUMPRODUCT(Y60:Y82,$CU60:$CU82)*$CU$8+SUMPRODUCT(Y99:Y101,$CU99:$CU101)*$CU$8</f>
        <v>4.3373982239999993</v>
      </c>
      <c r="Z167" s="1114">
        <f t="shared" ca="1" si="221"/>
        <v>2.1686991119999997</v>
      </c>
      <c r="AA167" s="1114">
        <f t="shared" ca="1" si="221"/>
        <v>2.1686991119999997</v>
      </c>
      <c r="AB167" s="1114">
        <f t="shared" ca="1" si="221"/>
        <v>2.7820902586499994</v>
      </c>
      <c r="AC167" s="1114">
        <f t="shared" ca="1" si="221"/>
        <v>2.1686991119999997</v>
      </c>
      <c r="AD167" s="1114">
        <f t="shared" ca="1" si="221"/>
        <v>2.7820902586499994</v>
      </c>
      <c r="AE167" s="1114">
        <f t="shared" ca="1" si="221"/>
        <v>4.3373982239999993</v>
      </c>
      <c r="AF167" s="1114">
        <f t="shared" ca="1" si="221"/>
        <v>2.7820902586499994</v>
      </c>
      <c r="AG167" s="1114">
        <f t="shared" ca="1" si="221"/>
        <v>2.1686991119999997</v>
      </c>
      <c r="AH167" s="1114">
        <f t="shared" ca="1" si="221"/>
        <v>2.1686991119999997</v>
      </c>
      <c r="AI167" s="1114"/>
      <c r="AJ167" s="1114"/>
      <c r="AK167" s="1114"/>
      <c r="AL167" s="1114"/>
      <c r="AM167" s="1114"/>
      <c r="AN167" s="1114"/>
      <c r="AO167" s="1114"/>
      <c r="AP167" s="1114"/>
      <c r="AQ167" s="1114"/>
      <c r="AR167" s="2465"/>
      <c r="AS167" s="1114">
        <f t="shared" ref="AS167:AW167" ca="1" si="222">SUMPRODUCT(AS60:AS82,$CU60:$CU82)*$CU$8+SUMPRODUCT(AS99:AS101,$CU99:$CU101)*$CU$8</f>
        <v>2.1686991119999997</v>
      </c>
      <c r="AT167" s="1114">
        <f t="shared" ca="1" si="222"/>
        <v>2.1686991119999997</v>
      </c>
      <c r="AU167" s="1114">
        <f t="shared" ca="1" si="222"/>
        <v>2.1686991119999997</v>
      </c>
      <c r="AV167" s="1114">
        <f t="shared" ca="1" si="222"/>
        <v>2.1686991119999997</v>
      </c>
      <c r="AW167" s="1114">
        <f t="shared" ca="1" si="222"/>
        <v>3.3933762575999995</v>
      </c>
      <c r="AX167" s="1115"/>
      <c r="AY167" s="1115"/>
      <c r="AZ167" s="1115"/>
      <c r="BA167" s="1115"/>
      <c r="BB167" s="1115"/>
      <c r="BC167" s="1115"/>
      <c r="BD167" s="1115"/>
      <c r="BE167" s="1115"/>
      <c r="BF167" s="1115"/>
      <c r="BG167" s="1115"/>
      <c r="BH167" s="1115"/>
      <c r="BI167" s="1115"/>
      <c r="BJ167" s="1114"/>
      <c r="BK167" s="1114"/>
      <c r="BL167" s="1114"/>
      <c r="BM167" s="1116"/>
      <c r="BN167" s="579"/>
      <c r="BO167" s="973"/>
      <c r="BP167" s="973"/>
      <c r="BQ167" s="973"/>
      <c r="BR167" s="973"/>
      <c r="BS167" s="973"/>
      <c r="BT167" s="973"/>
      <c r="BU167" s="973"/>
      <c r="BV167" s="973"/>
      <c r="BW167" s="973"/>
      <c r="BX167" s="973"/>
      <c r="BY167" s="973"/>
      <c r="BZ167" s="973"/>
      <c r="CA167" s="973"/>
      <c r="CB167" s="973"/>
      <c r="CC167" s="973"/>
      <c r="CD167" s="973"/>
      <c r="CE167" s="973"/>
      <c r="CF167" s="973"/>
      <c r="CG167" s="973"/>
      <c r="CH167" s="973"/>
      <c r="CI167" s="973"/>
      <c r="CJ167" s="973"/>
      <c r="CK167" s="973"/>
      <c r="CL167" s="973"/>
      <c r="CM167" s="973"/>
      <c r="CN167" s="973"/>
      <c r="CO167" s="973"/>
      <c r="CP167" s="973"/>
      <c r="CQ167" s="973"/>
      <c r="CR167" s="973"/>
      <c r="CS167" s="973"/>
      <c r="CT167" s="973"/>
      <c r="CU167" s="973"/>
      <c r="CV167" s="973"/>
      <c r="CW167" s="973"/>
    </row>
    <row r="168" spans="1:101" ht="21.95" hidden="1" customHeight="1" x14ac:dyDescent="0.15">
      <c r="A168" s="2707"/>
      <c r="B168" s="2606"/>
      <c r="C168" s="559" t="s">
        <v>1213</v>
      </c>
      <c r="D168" s="1003"/>
      <c r="E168" s="1287"/>
      <c r="F168" s="1114">
        <f>F66*$CV66*$CV$8+F83*$CV83*$CV$8</f>
        <v>0</v>
      </c>
      <c r="G168" s="1114">
        <f t="shared" ref="G168" ca="1" si="223">G66*$CV66*$CV$8+G83*$CV83*$CV$8</f>
        <v>0.24937962000000002</v>
      </c>
      <c r="H168" s="1114">
        <f t="shared" ref="H168:I168" ca="1" si="224">H66*$CV66*$CV$8+H83*$CV83*$CV$8</f>
        <v>0.26719244999999997</v>
      </c>
      <c r="I168" s="1114">
        <f t="shared" ca="1" si="224"/>
        <v>0.25828603499999997</v>
      </c>
      <c r="J168" s="1114"/>
      <c r="K168" s="1114"/>
      <c r="L168" s="1114"/>
      <c r="M168" s="1114"/>
      <c r="N168" s="2465"/>
      <c r="O168" s="1114">
        <f t="shared" ref="O168:V168" ca="1" si="225">O66*$CV66*$CV$8+O83*$CV83*$CV$8</f>
        <v>0.24937962000000002</v>
      </c>
      <c r="P168" s="1114">
        <f t="shared" ca="1" si="225"/>
        <v>0.24937962000000002</v>
      </c>
      <c r="Q168" s="1114">
        <f t="shared" ca="1" si="225"/>
        <v>0.33844377000000003</v>
      </c>
      <c r="R168" s="1114">
        <f t="shared" ca="1" si="225"/>
        <v>0.37406942999999998</v>
      </c>
      <c r="S168" s="1114">
        <f t="shared" ca="1" si="225"/>
        <v>0.40078867500000004</v>
      </c>
      <c r="T168" s="1114">
        <f t="shared" ca="1" si="225"/>
        <v>0.55219772999999994</v>
      </c>
      <c r="U168" s="1114">
        <f t="shared" ca="1" si="225"/>
        <v>0.51657206999999994</v>
      </c>
      <c r="V168" s="1114">
        <f t="shared" ca="1" si="225"/>
        <v>0.62344904999999995</v>
      </c>
      <c r="W168" s="1114"/>
      <c r="X168" s="2465"/>
      <c r="Y168" s="1114">
        <f t="shared" ref="Y168:AH168" ca="1" si="226">Y66*$CV66*$CV$8+Y83*$CV83*$CV$8</f>
        <v>0.42750791999999999</v>
      </c>
      <c r="Z168" s="1114">
        <f t="shared" ca="1" si="226"/>
        <v>0.24937962000000002</v>
      </c>
      <c r="AA168" s="1114">
        <f t="shared" ca="1" si="226"/>
        <v>0.26719244999999997</v>
      </c>
      <c r="AB168" s="1114">
        <f t="shared" ca="1" si="226"/>
        <v>0.26719244999999997</v>
      </c>
      <c r="AC168" s="1114">
        <f t="shared" ca="1" si="226"/>
        <v>0.45422716499999999</v>
      </c>
      <c r="AD168" s="1114">
        <f t="shared" ca="1" si="226"/>
        <v>0.36516301499999998</v>
      </c>
      <c r="AE168" s="1114">
        <f t="shared" ca="1" si="226"/>
        <v>0.35625660000000003</v>
      </c>
      <c r="AF168" s="1114">
        <f t="shared" ca="1" si="226"/>
        <v>0.54329131499999994</v>
      </c>
      <c r="AG168" s="1114">
        <f t="shared" ca="1" si="226"/>
        <v>0.61454263499999995</v>
      </c>
      <c r="AH168" s="1114">
        <f t="shared" ca="1" si="226"/>
        <v>0.51657206999999994</v>
      </c>
      <c r="AI168" s="1114"/>
      <c r="AJ168" s="1114"/>
      <c r="AK168" s="1114"/>
      <c r="AL168" s="1114"/>
      <c r="AM168" s="1114"/>
      <c r="AN168" s="1114"/>
      <c r="AO168" s="1114"/>
      <c r="AP168" s="1114"/>
      <c r="AQ168" s="1114"/>
      <c r="AR168" s="2465"/>
      <c r="AS168" s="1114">
        <f t="shared" ref="AS168:AW168" ca="1" si="227">AS66*$CV66*$CV$8+AS83*$CV83*$CV$8</f>
        <v>0</v>
      </c>
      <c r="AT168" s="1114">
        <f t="shared" ca="1" si="227"/>
        <v>0.29391169500000003</v>
      </c>
      <c r="AU168" s="1114">
        <f t="shared" ca="1" si="227"/>
        <v>0.31172452499999997</v>
      </c>
      <c r="AV168" s="1114">
        <f t="shared" ca="1" si="227"/>
        <v>0.32063093999999998</v>
      </c>
      <c r="AW168" s="1114">
        <f t="shared" ca="1" si="227"/>
        <v>0.58782339000000006</v>
      </c>
      <c r="AX168" s="1115"/>
      <c r="AY168" s="1115"/>
      <c r="AZ168" s="1115"/>
      <c r="BA168" s="1115"/>
      <c r="BB168" s="1115"/>
      <c r="BC168" s="1115"/>
      <c r="BD168" s="1115"/>
      <c r="BE168" s="1115"/>
      <c r="BF168" s="1115"/>
      <c r="BG168" s="1115"/>
      <c r="BH168" s="1115"/>
      <c r="BI168" s="1115"/>
      <c r="BJ168" s="1114"/>
      <c r="BK168" s="1114"/>
      <c r="BL168" s="1114"/>
      <c r="BM168" s="1116"/>
      <c r="BN168" s="579"/>
      <c r="BO168" s="973"/>
      <c r="BP168" s="973"/>
      <c r="BQ168" s="973"/>
      <c r="BR168" s="973"/>
      <c r="BS168" s="973"/>
      <c r="BT168" s="973"/>
      <c r="BU168" s="973"/>
      <c r="BV168" s="973"/>
      <c r="BW168" s="973"/>
      <c r="BX168" s="973"/>
      <c r="BY168" s="973"/>
      <c r="BZ168" s="973"/>
      <c r="CA168" s="973"/>
      <c r="CB168" s="973"/>
      <c r="CC168" s="973"/>
      <c r="CD168" s="973"/>
      <c r="CE168" s="973"/>
      <c r="CF168" s="973"/>
      <c r="CG168" s="973"/>
      <c r="CH168" s="973"/>
      <c r="CI168" s="973"/>
      <c r="CJ168" s="973"/>
      <c r="CK168" s="973"/>
      <c r="CL168" s="973"/>
      <c r="CM168" s="973"/>
      <c r="CN168" s="973"/>
      <c r="CO168" s="973"/>
      <c r="CP168" s="973"/>
      <c r="CQ168" s="973"/>
      <c r="CR168" s="973"/>
      <c r="CS168" s="973"/>
      <c r="CT168" s="973"/>
      <c r="CU168" s="973"/>
      <c r="CV168" s="973"/>
      <c r="CW168" s="973"/>
    </row>
    <row r="169" spans="1:101" ht="21.95" hidden="1" customHeight="1" x14ac:dyDescent="0.15">
      <c r="A169" s="2707"/>
      <c r="B169" s="2606"/>
      <c r="C169" s="567" t="s">
        <v>1211</v>
      </c>
      <c r="D169" s="1003"/>
      <c r="E169" s="1287"/>
      <c r="F169" s="1114">
        <f>F150*20/1000</f>
        <v>0</v>
      </c>
      <c r="G169" s="1114">
        <f t="shared" ref="G169" si="228">G150*20/1000</f>
        <v>0</v>
      </c>
      <c r="H169" s="1114">
        <f t="shared" ref="H169:I169" si="229">H150*20/1000</f>
        <v>0</v>
      </c>
      <c r="I169" s="1114">
        <f t="shared" si="229"/>
        <v>0</v>
      </c>
      <c r="J169" s="1114"/>
      <c r="K169" s="1114"/>
      <c r="L169" s="1114"/>
      <c r="M169" s="1114"/>
      <c r="N169" s="2465"/>
      <c r="O169" s="1114">
        <f t="shared" ref="O169:V169" si="230">O150*20/1000</f>
        <v>0</v>
      </c>
      <c r="P169" s="1114">
        <f t="shared" si="230"/>
        <v>0</v>
      </c>
      <c r="Q169" s="1114">
        <f t="shared" si="230"/>
        <v>0</v>
      </c>
      <c r="R169" s="1114">
        <f t="shared" si="230"/>
        <v>0</v>
      </c>
      <c r="S169" s="1114">
        <f t="shared" si="230"/>
        <v>0</v>
      </c>
      <c r="T169" s="1114">
        <f t="shared" si="230"/>
        <v>0</v>
      </c>
      <c r="U169" s="1114">
        <f t="shared" si="230"/>
        <v>0</v>
      </c>
      <c r="V169" s="1114">
        <f t="shared" si="230"/>
        <v>0</v>
      </c>
      <c r="W169" s="1114"/>
      <c r="X169" s="2465"/>
      <c r="Y169" s="1114">
        <f t="shared" ref="Y169:AH169" si="231">Y150*20/1000</f>
        <v>0</v>
      </c>
      <c r="Z169" s="1114">
        <f t="shared" si="231"/>
        <v>0</v>
      </c>
      <c r="AA169" s="1114">
        <f t="shared" si="231"/>
        <v>0</v>
      </c>
      <c r="AB169" s="1114">
        <f t="shared" si="231"/>
        <v>0</v>
      </c>
      <c r="AC169" s="1114">
        <f t="shared" si="231"/>
        <v>0</v>
      </c>
      <c r="AD169" s="1114">
        <f t="shared" si="231"/>
        <v>0</v>
      </c>
      <c r="AE169" s="1114">
        <f t="shared" si="231"/>
        <v>0</v>
      </c>
      <c r="AF169" s="1114">
        <f t="shared" si="231"/>
        <v>0</v>
      </c>
      <c r="AG169" s="1114">
        <f t="shared" si="231"/>
        <v>0</v>
      </c>
      <c r="AH169" s="1114">
        <f t="shared" si="231"/>
        <v>0</v>
      </c>
      <c r="AI169" s="1114"/>
      <c r="AJ169" s="1114"/>
      <c r="AK169" s="1114"/>
      <c r="AL169" s="1114"/>
      <c r="AM169" s="1114"/>
      <c r="AN169" s="1114"/>
      <c r="AO169" s="1114"/>
      <c r="AP169" s="1114"/>
      <c r="AQ169" s="1114"/>
      <c r="AR169" s="2465"/>
      <c r="AS169" s="1114">
        <f t="shared" ref="AS169:AW169" si="232">AS150*20/1000</f>
        <v>0</v>
      </c>
      <c r="AT169" s="1114">
        <f t="shared" si="232"/>
        <v>0</v>
      </c>
      <c r="AU169" s="1114">
        <f t="shared" si="232"/>
        <v>0</v>
      </c>
      <c r="AV169" s="1114">
        <f t="shared" si="232"/>
        <v>0</v>
      </c>
      <c r="AW169" s="1114">
        <f t="shared" si="232"/>
        <v>0</v>
      </c>
      <c r="AX169" s="1115"/>
      <c r="AY169" s="1115"/>
      <c r="AZ169" s="1115"/>
      <c r="BA169" s="1115"/>
      <c r="BB169" s="1115"/>
      <c r="BC169" s="1115"/>
      <c r="BD169" s="1115"/>
      <c r="BE169" s="1115"/>
      <c r="BF169" s="1115"/>
      <c r="BG169" s="1115"/>
      <c r="BH169" s="1115"/>
      <c r="BI169" s="1115"/>
      <c r="BJ169" s="1114"/>
      <c r="BK169" s="1114"/>
      <c r="BL169" s="1114"/>
      <c r="BM169" s="1116"/>
      <c r="BN169" s="579"/>
      <c r="BO169" s="973"/>
      <c r="BP169" s="973"/>
      <c r="BQ169" s="973"/>
      <c r="BR169" s="973"/>
      <c r="BS169" s="973"/>
      <c r="BT169" s="973"/>
      <c r="BU169" s="973"/>
      <c r="BV169" s="973"/>
      <c r="BW169" s="973"/>
      <c r="BX169" s="973"/>
      <c r="BY169" s="973"/>
      <c r="BZ169" s="973"/>
      <c r="CA169" s="973"/>
      <c r="CB169" s="973"/>
      <c r="CC169" s="973"/>
      <c r="CD169" s="973"/>
      <c r="CE169" s="973"/>
      <c r="CF169" s="973"/>
      <c r="CG169" s="973"/>
      <c r="CH169" s="973"/>
      <c r="CI169" s="973"/>
      <c r="CJ169" s="973"/>
      <c r="CK169" s="973"/>
      <c r="CL169" s="973"/>
      <c r="CM169" s="973"/>
      <c r="CN169" s="973"/>
      <c r="CO169" s="973"/>
      <c r="CP169" s="973"/>
      <c r="CQ169" s="973"/>
      <c r="CR169" s="973"/>
      <c r="CS169" s="973"/>
      <c r="CT169" s="973"/>
      <c r="CU169" s="973"/>
      <c r="CV169" s="973"/>
      <c r="CW169" s="973"/>
    </row>
    <row r="170" spans="1:101" ht="21.95" hidden="1" customHeight="1" x14ac:dyDescent="0.15">
      <c r="A170" s="2707"/>
      <c r="B170" s="2606"/>
      <c r="C170" s="567" t="s">
        <v>1536</v>
      </c>
      <c r="D170" s="1003"/>
      <c r="E170" s="1287"/>
      <c r="F170" s="1114">
        <f>F160</f>
        <v>0</v>
      </c>
      <c r="G170" s="1114">
        <f t="shared" ref="G170" ca="1" si="233">G160</f>
        <v>7.0000000000000007E-2</v>
      </c>
      <c r="H170" s="1114">
        <f t="shared" ref="H170:I170" ca="1" si="234">H160</f>
        <v>7.0000000000000007E-2</v>
      </c>
      <c r="I170" s="1114">
        <f t="shared" ca="1" si="234"/>
        <v>7.0000000000000007E-2</v>
      </c>
      <c r="J170" s="1114"/>
      <c r="K170" s="1114"/>
      <c r="L170" s="1114"/>
      <c r="M170" s="1114"/>
      <c r="N170" s="2465"/>
      <c r="O170" s="1114">
        <f t="shared" ref="O170:V170" ca="1" si="235">O160</f>
        <v>7.0000000000000007E-2</v>
      </c>
      <c r="P170" s="1114">
        <f t="shared" ca="1" si="235"/>
        <v>7.0000000000000007E-2</v>
      </c>
      <c r="Q170" s="1114">
        <f t="shared" ca="1" si="235"/>
        <v>7.0000000000000007E-2</v>
      </c>
      <c r="R170" s="1114">
        <f t="shared" ca="1" si="235"/>
        <v>7.0000000000000007E-2</v>
      </c>
      <c r="S170" s="1114">
        <f t="shared" ca="1" si="235"/>
        <v>7.0000000000000007E-2</v>
      </c>
      <c r="T170" s="1114">
        <f t="shared" ca="1" si="235"/>
        <v>7.0000000000000007E-2</v>
      </c>
      <c r="U170" s="1114">
        <f t="shared" ca="1" si="235"/>
        <v>7.0000000000000007E-2</v>
      </c>
      <c r="V170" s="1114">
        <f t="shared" ca="1" si="235"/>
        <v>0.14000000000000001</v>
      </c>
      <c r="W170" s="1114"/>
      <c r="X170" s="2465"/>
      <c r="Y170" s="1114">
        <f t="shared" ref="Y170:AH170" ca="1" si="236">Y160</f>
        <v>0.14000000000000001</v>
      </c>
      <c r="Z170" s="1114">
        <f t="shared" ca="1" si="236"/>
        <v>7.0000000000000007E-2</v>
      </c>
      <c r="AA170" s="1114">
        <f t="shared" ca="1" si="236"/>
        <v>7.0000000000000007E-2</v>
      </c>
      <c r="AB170" s="1114">
        <f t="shared" ca="1" si="236"/>
        <v>7.0000000000000007E-2</v>
      </c>
      <c r="AC170" s="1114">
        <f t="shared" ca="1" si="236"/>
        <v>7.0000000000000007E-2</v>
      </c>
      <c r="AD170" s="1114">
        <f t="shared" ca="1" si="236"/>
        <v>7.0000000000000007E-2</v>
      </c>
      <c r="AE170" s="1114">
        <f t="shared" ca="1" si="236"/>
        <v>0.14000000000000001</v>
      </c>
      <c r="AF170" s="1114">
        <f t="shared" ca="1" si="236"/>
        <v>7.0000000000000007E-2</v>
      </c>
      <c r="AG170" s="1114">
        <f t="shared" ca="1" si="236"/>
        <v>7.0000000000000007E-2</v>
      </c>
      <c r="AH170" s="1114">
        <f t="shared" ca="1" si="236"/>
        <v>7.0000000000000007E-2</v>
      </c>
      <c r="AI170" s="1114"/>
      <c r="AJ170" s="1114"/>
      <c r="AK170" s="1114"/>
      <c r="AL170" s="1114"/>
      <c r="AM170" s="1114"/>
      <c r="AN170" s="1114"/>
      <c r="AO170" s="1114"/>
      <c r="AP170" s="1114"/>
      <c r="AQ170" s="1114"/>
      <c r="AR170" s="2465"/>
      <c r="AS170" s="1114">
        <f t="shared" ref="AS170:AW170" ca="1" si="237">AS160</f>
        <v>7.0000000000000007E-2</v>
      </c>
      <c r="AT170" s="1114">
        <f t="shared" ca="1" si="237"/>
        <v>7.0000000000000007E-2</v>
      </c>
      <c r="AU170" s="1114">
        <f t="shared" ca="1" si="237"/>
        <v>7.0000000000000007E-2</v>
      </c>
      <c r="AV170" s="1114">
        <f t="shared" ca="1" si="237"/>
        <v>7.0000000000000007E-2</v>
      </c>
      <c r="AW170" s="1114">
        <f t="shared" ca="1" si="237"/>
        <v>7.0000000000000007E-2</v>
      </c>
      <c r="AX170" s="1115"/>
      <c r="AY170" s="1115"/>
      <c r="AZ170" s="1115"/>
      <c r="BA170" s="1115"/>
      <c r="BB170" s="1115"/>
      <c r="BC170" s="1115"/>
      <c r="BD170" s="1115"/>
      <c r="BE170" s="1115"/>
      <c r="BF170" s="1115"/>
      <c r="BG170" s="1115"/>
      <c r="BH170" s="1115"/>
      <c r="BI170" s="1115"/>
      <c r="BJ170" s="1114"/>
      <c r="BK170" s="1114"/>
      <c r="BL170" s="1114"/>
      <c r="BM170" s="1116"/>
      <c r="BN170" s="579"/>
      <c r="BO170" s="973"/>
      <c r="BP170" s="973"/>
      <c r="BQ170" s="973"/>
      <c r="BR170" s="973"/>
      <c r="BS170" s="973"/>
      <c r="BT170" s="973"/>
      <c r="BU170" s="973"/>
      <c r="BV170" s="973"/>
      <c r="BW170" s="973"/>
      <c r="BX170" s="973"/>
      <c r="BY170" s="973"/>
      <c r="BZ170" s="973"/>
      <c r="CA170" s="973"/>
      <c r="CB170" s="973"/>
      <c r="CC170" s="973"/>
      <c r="CD170" s="973"/>
      <c r="CE170" s="973"/>
      <c r="CF170" s="973"/>
      <c r="CG170" s="973"/>
      <c r="CH170" s="973"/>
      <c r="CI170" s="973"/>
      <c r="CJ170" s="973"/>
      <c r="CK170" s="973"/>
      <c r="CL170" s="973"/>
      <c r="CM170" s="973"/>
      <c r="CN170" s="973"/>
      <c r="CO170" s="973"/>
      <c r="CP170" s="973"/>
      <c r="CQ170" s="973"/>
      <c r="CR170" s="973"/>
      <c r="CS170" s="973"/>
      <c r="CT170" s="973"/>
      <c r="CU170" s="973"/>
      <c r="CV170" s="973"/>
      <c r="CW170" s="973"/>
    </row>
    <row r="171" spans="1:101" ht="21.95" hidden="1" customHeight="1" thickBot="1" x14ac:dyDescent="0.2">
      <c r="A171" s="2707"/>
      <c r="B171" s="2650"/>
      <c r="C171" s="566" t="s">
        <v>761</v>
      </c>
      <c r="D171" s="1004"/>
      <c r="E171" s="2242"/>
      <c r="F171" s="1125">
        <f>(F10+F13)*0.18+(F11+F12+F14+F15)*0.347+(F16+F21)*0.36+(F17+F22)*0.533+(F18+F23)*0.8+(F19+F24)*1.133+(F20+F25)*1.933+(F26+F31)*0.373+(F27+F32)*0.62+(F28+F33)*0.9+(F29+F34)*1.333+(F30+F35)*2.253+(F36+F46)*0.008+(F37+F47)*0.01133+(F38+F39+F48+F49)*0.01667+(F40+F50)*0.02367+(F41+F51)*0.029+(F42+F52)*0.0325+(F43+F53)*0.03833+(F44+F54)*0.04883+(F45+F55)*0.06667+F56*2.95+F57*4.08+F58*5+F59*6.7</f>
        <v>0</v>
      </c>
      <c r="G171" s="1125">
        <f t="shared" ref="G171" ca="1" si="238">(G10+G13)*0.18+(G11+G12+G14+G15)*0.347+(G16+G21)*0.36+(G17+G22)*0.533+(G18+G23)*0.8+(G19+G24)*1.133+(G20+G25)*1.933+(G26+G31)*0.373+(G27+G32)*0.62+(G28+G33)*0.9+(G29+G34)*1.333+(G30+G35)*2.253+(G36+G46)*0.008+(G37+G47)*0.01133+(G38+G39+G48+G49)*0.01667+(G40+G50)*0.02367+(G41+G51)*0.029+(G42+G52)*0.0325+(G43+G53)*0.03833+(G44+G54)*0.04883+(G45+G55)*0.06667+G56*2.95+G57*4.08+G58*5+G59*6.7</f>
        <v>28.590939999999996</v>
      </c>
      <c r="H171" s="1125">
        <f t="shared" ref="H171:I171" ca="1" si="239">(H10+H13)*0.18+(H11+H12+H14+H15)*0.347+(H16+H21)*0.36+(H17+H22)*0.533+(H18+H23)*0.8+(H19+H24)*1.133+(H20+H25)*1.933+(H26+H31)*0.373+(H27+H32)*0.62+(H28+H33)*0.9+(H29+H34)*1.333+(H30+H35)*2.253+(H36+H46)*0.008+(H37+H47)*0.01133+(H38+H39+H48+H49)*0.01667+(H40+H50)*0.02367+(H41+H51)*0.029+(H42+H52)*0.0325+(H43+H53)*0.03833+(H44+H54)*0.04883+(H45+H55)*0.06667+H56*2.95+H57*4.08+H58*5+H59*6.7</f>
        <v>24.315459999999998</v>
      </c>
      <c r="I171" s="1125">
        <f t="shared" ca="1" si="239"/>
        <v>21.795459999999999</v>
      </c>
      <c r="J171" s="1125"/>
      <c r="K171" s="1125"/>
      <c r="L171" s="1125"/>
      <c r="M171" s="1125"/>
      <c r="N171" s="2468"/>
      <c r="O171" s="1125">
        <f t="shared" ref="O171:V171" ca="1" si="240">(O10+O13)*0.18+(O11+O12+O14+O15)*0.347+(O16+O21)*0.36+(O17+O22)*0.533+(O18+O23)*0.8+(O19+O24)*1.133+(O20+O25)*1.933+(O26+O31)*0.373+(O27+O32)*0.62+(O28+O33)*0.9+(O29+O34)*1.333+(O30+O35)*2.253+(O36+O46)*0.008+(O37+O47)*0.01133+(O38+O39+O48+O49)*0.01667+(O40+O50)*0.02367+(O41+O51)*0.029+(O42+O52)*0.0325+(O43+O53)*0.03833+(O44+O54)*0.04883+(O45+O55)*0.06667+O56*2.95+O57*4.08+O58*5+O59*6.7</f>
        <v>31.847359999999998</v>
      </c>
      <c r="P171" s="1125">
        <f t="shared" ca="1" si="240"/>
        <v>45.389249999999997</v>
      </c>
      <c r="Q171" s="1125">
        <f t="shared" ca="1" si="240"/>
        <v>32.724640000000001</v>
      </c>
      <c r="R171" s="1125">
        <f t="shared" ca="1" si="240"/>
        <v>35.57864</v>
      </c>
      <c r="S171" s="1125">
        <f t="shared" ca="1" si="240"/>
        <v>34.190640000000002</v>
      </c>
      <c r="T171" s="1125">
        <f t="shared" ca="1" si="240"/>
        <v>82.64800000000001</v>
      </c>
      <c r="U171" s="1125">
        <f t="shared" ca="1" si="240"/>
        <v>79.768000000000001</v>
      </c>
      <c r="V171" s="1125">
        <f t="shared" ca="1" si="240"/>
        <v>47.768000000000001</v>
      </c>
      <c r="W171" s="1125"/>
      <c r="X171" s="2468"/>
      <c r="Y171" s="1125">
        <f t="shared" ref="Y171:AH171" ca="1" si="241">(Y10+Y13)*0.18+(Y11+Y12+Y14+Y15)*0.347+(Y16+Y21)*0.36+(Y17+Y22)*0.533+(Y18+Y23)*0.8+(Y19+Y24)*1.133+(Y20+Y25)*1.933+(Y26+Y31)*0.373+(Y27+Y32)*0.62+(Y28+Y33)*0.9+(Y29+Y34)*1.333+(Y30+Y35)*2.253+(Y36+Y46)*0.008+(Y37+Y47)*0.01133+(Y38+Y39+Y48+Y49)*0.01667+(Y40+Y50)*0.02367+(Y41+Y51)*0.029+(Y42+Y52)*0.0325+(Y43+Y53)*0.03833+(Y44+Y54)*0.04883+(Y45+Y55)*0.06667+Y56*2.95+Y57*4.08+Y58*5+Y59*6.7</f>
        <v>53.431989999999999</v>
      </c>
      <c r="Z171" s="1125">
        <f t="shared" ca="1" si="241"/>
        <v>36.273960000000002</v>
      </c>
      <c r="AA171" s="1125">
        <f t="shared" ca="1" si="241"/>
        <v>33.39396</v>
      </c>
      <c r="AB171" s="1125">
        <f t="shared" ca="1" si="241"/>
        <v>36.453960000000002</v>
      </c>
      <c r="AC171" s="1125">
        <f t="shared" ca="1" si="241"/>
        <v>40.239960000000004</v>
      </c>
      <c r="AD171" s="1125">
        <f t="shared" ca="1" si="241"/>
        <v>46.682650000000002</v>
      </c>
      <c r="AE171" s="1125">
        <f t="shared" ca="1" si="241"/>
        <v>53.408899999999996</v>
      </c>
      <c r="AF171" s="1125">
        <f t="shared" ca="1" si="241"/>
        <v>81.692999999999998</v>
      </c>
      <c r="AG171" s="1125">
        <f t="shared" ca="1" si="241"/>
        <v>74.292000000000002</v>
      </c>
      <c r="AH171" s="1125">
        <f t="shared" ca="1" si="241"/>
        <v>74.292000000000002</v>
      </c>
      <c r="AI171" s="1125"/>
      <c r="AJ171" s="1125"/>
      <c r="AK171" s="1125"/>
      <c r="AL171" s="1125"/>
      <c r="AM171" s="1125"/>
      <c r="AN171" s="1125"/>
      <c r="AO171" s="1125"/>
      <c r="AP171" s="1125"/>
      <c r="AQ171" s="1125"/>
      <c r="AR171" s="2468"/>
      <c r="AS171" s="1125">
        <f t="shared" ref="AS171:AW171" ca="1" si="242">(AS10+AS13)*0.18+(AS11+AS12+AS14+AS15)*0.347+(AS16+AS21)*0.36+(AS17+AS22)*0.533+(AS18+AS23)*0.8+(AS19+AS24)*1.133+(AS20+AS25)*1.933+(AS26+AS31)*0.373+(AS27+AS32)*0.62+(AS28+AS33)*0.9+(AS29+AS34)*1.333+(AS30+AS35)*2.253+(AS36+AS46)*0.008+(AS37+AS47)*0.01133+(AS38+AS39+AS48+AS49)*0.01667+(AS40+AS50)*0.02367+(AS41+AS51)*0.029+(AS42+AS52)*0.0325+(AS43+AS53)*0.03833+(AS44+AS54)*0.04883+(AS45+AS55)*0.06667+AS56*2.95+AS57*4.08+AS58*5+AS59*6.7</f>
        <v>34.060339999999997</v>
      </c>
      <c r="AT171" s="1125">
        <f t="shared" ca="1" si="242"/>
        <v>47.037320000000008</v>
      </c>
      <c r="AU171" s="1125">
        <f t="shared" ca="1" si="242"/>
        <v>47.02666</v>
      </c>
      <c r="AV171" s="1125">
        <f t="shared" ca="1" si="242"/>
        <v>45.221330000000009</v>
      </c>
      <c r="AW171" s="1125">
        <f t="shared" ca="1" si="242"/>
        <v>72.724000000000004</v>
      </c>
      <c r="AX171" s="1126"/>
      <c r="AY171" s="1126"/>
      <c r="AZ171" s="1126"/>
      <c r="BA171" s="1126"/>
      <c r="BB171" s="1126"/>
      <c r="BC171" s="1126"/>
      <c r="BD171" s="1126"/>
      <c r="BE171" s="1126"/>
      <c r="BF171" s="1126"/>
      <c r="BG171" s="1126"/>
      <c r="BH171" s="1126"/>
      <c r="BI171" s="1126"/>
      <c r="BJ171" s="1125">
        <f>+BJ134+BJ144+BJ148</f>
        <v>0</v>
      </c>
      <c r="BK171" s="1125">
        <f>+BK134+BK144+BK148</f>
        <v>0</v>
      </c>
      <c r="BL171" s="1125">
        <f>+BL134+BL144+BL148</f>
        <v>0</v>
      </c>
      <c r="BM171" s="1127"/>
      <c r="BN171" s="579"/>
      <c r="BO171" s="973"/>
      <c r="BP171" s="973"/>
      <c r="BQ171" s="973"/>
      <c r="BR171" s="973"/>
      <c r="BS171" s="973"/>
      <c r="BT171" s="973"/>
      <c r="BU171" s="973"/>
      <c r="BV171" s="973"/>
      <c r="BW171" s="973"/>
      <c r="BX171" s="973"/>
      <c r="BY171" s="973"/>
      <c r="BZ171" s="973"/>
      <c r="CA171" s="973"/>
      <c r="CB171" s="973"/>
      <c r="CC171" s="973"/>
      <c r="CD171" s="973"/>
      <c r="CE171" s="973"/>
      <c r="CF171" s="973"/>
      <c r="CG171" s="973"/>
      <c r="CH171" s="973"/>
      <c r="CI171" s="973"/>
      <c r="CJ171" s="973"/>
      <c r="CK171" s="973"/>
      <c r="CL171" s="973"/>
      <c r="CM171" s="973"/>
      <c r="CN171" s="973"/>
      <c r="CO171" s="973"/>
      <c r="CP171" s="973"/>
      <c r="CQ171" s="973"/>
      <c r="CR171" s="973"/>
      <c r="CS171" s="973"/>
      <c r="CT171" s="973"/>
      <c r="CU171" s="973"/>
      <c r="CV171" s="973"/>
      <c r="CW171" s="973"/>
    </row>
    <row r="172" spans="1:101" ht="50.1" customHeight="1" thickBot="1" x14ac:dyDescent="0.2">
      <c r="A172" s="2708"/>
      <c r="B172" s="2610" t="s">
        <v>12</v>
      </c>
      <c r="C172" s="2611"/>
      <c r="D172" s="990"/>
      <c r="E172" s="565"/>
      <c r="F172" s="603"/>
      <c r="G172" s="603"/>
      <c r="H172" s="603"/>
      <c r="I172" s="603"/>
      <c r="J172" s="603"/>
      <c r="K172" s="603"/>
      <c r="L172" s="603"/>
      <c r="M172" s="603"/>
      <c r="N172" s="2421"/>
      <c r="O172" s="603"/>
      <c r="P172" s="603"/>
      <c r="Q172" s="603"/>
      <c r="R172" s="603"/>
      <c r="S172" s="603"/>
      <c r="T172" s="603"/>
      <c r="U172" s="603"/>
      <c r="V172" s="603"/>
      <c r="W172" s="603"/>
      <c r="X172" s="2421"/>
      <c r="Y172" s="603"/>
      <c r="Z172" s="603"/>
      <c r="AA172" s="603"/>
      <c r="AB172" s="603"/>
      <c r="AC172" s="603"/>
      <c r="AD172" s="603"/>
      <c r="AE172" s="603"/>
      <c r="AF172" s="603"/>
      <c r="AG172" s="603"/>
      <c r="AH172" s="603"/>
      <c r="AI172" s="603"/>
      <c r="AJ172" s="603"/>
      <c r="AK172" s="603"/>
      <c r="AL172" s="603"/>
      <c r="AM172" s="603"/>
      <c r="AN172" s="603"/>
      <c r="AO172" s="603"/>
      <c r="AP172" s="603"/>
      <c r="AQ172" s="603"/>
      <c r="AR172" s="2421"/>
      <c r="AS172" s="603"/>
      <c r="AT172" s="603"/>
      <c r="AU172" s="603"/>
      <c r="AV172" s="603"/>
      <c r="AW172" s="603"/>
      <c r="AX172" s="603"/>
      <c r="AY172" s="603"/>
      <c r="AZ172" s="603"/>
      <c r="BA172" s="603"/>
      <c r="BB172" s="603"/>
      <c r="BC172" s="603"/>
      <c r="BD172" s="603"/>
      <c r="BE172" s="603"/>
      <c r="BF172" s="603"/>
      <c r="BG172" s="603"/>
      <c r="BH172" s="603"/>
      <c r="BI172" s="603"/>
      <c r="BJ172" s="603"/>
      <c r="BK172" s="603"/>
      <c r="BL172" s="603"/>
      <c r="BM172" s="2100">
        <v>1</v>
      </c>
      <c r="BN172" s="579">
        <f>SUM(F172:BM172)</f>
        <v>1</v>
      </c>
      <c r="BO172" s="973"/>
      <c r="BP172" s="973"/>
      <c r="BQ172" s="973"/>
      <c r="BR172" s="973"/>
      <c r="BS172" s="973"/>
      <c r="BT172" s="973"/>
      <c r="BU172" s="973"/>
      <c r="BV172" s="973"/>
      <c r="BW172" s="973"/>
      <c r="BX172" s="973"/>
      <c r="BY172" s="973"/>
      <c r="BZ172" s="973"/>
      <c r="CA172" s="973"/>
      <c r="CB172" s="973"/>
      <c r="CC172" s="973"/>
      <c r="CD172" s="973"/>
      <c r="CE172" s="973"/>
      <c r="CF172" s="973"/>
      <c r="CG172" s="973"/>
      <c r="CH172" s="973"/>
      <c r="CI172" s="973"/>
      <c r="CJ172" s="973"/>
      <c r="CK172" s="973"/>
      <c r="CL172" s="973"/>
      <c r="CM172" s="973"/>
      <c r="CN172" s="973"/>
      <c r="CO172" s="973"/>
      <c r="CP172" s="973"/>
      <c r="CQ172" s="973"/>
      <c r="CR172" s="973"/>
      <c r="CS172" s="973"/>
      <c r="CT172" s="973"/>
      <c r="CU172" s="973"/>
      <c r="CV172" s="973"/>
      <c r="CW172" s="973"/>
    </row>
    <row r="173" spans="1:101" thickTop="1" x14ac:dyDescent="0.15">
      <c r="BO173" s="973"/>
      <c r="BP173" s="973"/>
      <c r="BQ173" s="973"/>
      <c r="BR173" s="973"/>
      <c r="BS173" s="973"/>
      <c r="BT173" s="973"/>
      <c r="BU173" s="973"/>
      <c r="BV173" s="973"/>
      <c r="BW173" s="973"/>
      <c r="BX173" s="973"/>
      <c r="BY173" s="973"/>
      <c r="BZ173" s="973"/>
      <c r="CA173" s="973"/>
      <c r="CB173" s="973"/>
      <c r="CC173" s="973"/>
      <c r="CD173" s="973"/>
      <c r="CE173" s="973"/>
      <c r="CF173" s="973"/>
      <c r="CG173" s="973"/>
      <c r="CH173" s="973"/>
      <c r="CI173" s="973"/>
      <c r="CJ173" s="973"/>
      <c r="CK173" s="973"/>
      <c r="CL173" s="973"/>
      <c r="CM173" s="973"/>
      <c r="CN173" s="973"/>
      <c r="CO173" s="973"/>
      <c r="CP173" s="973"/>
      <c r="CQ173" s="973"/>
      <c r="CR173" s="973"/>
      <c r="CS173" s="973"/>
      <c r="CT173" s="973"/>
      <c r="CU173" s="973"/>
      <c r="CV173" s="973"/>
      <c r="CW173" s="973"/>
    </row>
    <row r="174" spans="1:101" ht="18.75" x14ac:dyDescent="0.15">
      <c r="C174" s="133"/>
      <c r="E174" s="133"/>
      <c r="BO174" s="973"/>
      <c r="BP174" s="973"/>
      <c r="BQ174" s="973"/>
      <c r="BR174" s="973"/>
      <c r="BS174" s="973"/>
      <c r="BT174" s="973"/>
      <c r="BU174" s="973"/>
      <c r="BV174" s="973"/>
      <c r="BW174" s="973"/>
      <c r="BX174" s="973"/>
      <c r="BY174" s="973"/>
      <c r="BZ174" s="973"/>
      <c r="CA174" s="973"/>
      <c r="CB174" s="973"/>
      <c r="CC174" s="973"/>
      <c r="CD174" s="973"/>
      <c r="CE174" s="973"/>
      <c r="CF174" s="973"/>
      <c r="CG174" s="973"/>
      <c r="CH174" s="973"/>
      <c r="CI174" s="973"/>
      <c r="CJ174" s="973"/>
      <c r="CK174" s="973"/>
      <c r="CL174" s="973"/>
      <c r="CM174" s="973"/>
      <c r="CN174" s="973"/>
      <c r="CO174" s="973"/>
      <c r="CP174" s="973"/>
      <c r="CQ174" s="973"/>
      <c r="CR174" s="973"/>
      <c r="CS174" s="973"/>
      <c r="CT174" s="973"/>
      <c r="CU174" s="973"/>
      <c r="CV174" s="973"/>
      <c r="CW174" s="973"/>
    </row>
    <row r="175" spans="1:101" s="13" customFormat="1" ht="18.75" x14ac:dyDescent="0.15">
      <c r="D175" s="986"/>
      <c r="BO175" s="973"/>
      <c r="BP175" s="973"/>
      <c r="BQ175" s="973"/>
      <c r="BR175" s="973"/>
      <c r="BS175" s="973"/>
      <c r="BT175" s="973"/>
      <c r="BU175" s="973"/>
      <c r="BV175" s="973"/>
      <c r="BW175" s="973"/>
      <c r="BX175" s="973"/>
      <c r="BY175" s="973"/>
      <c r="BZ175" s="973"/>
      <c r="CA175" s="973"/>
      <c r="CB175" s="973"/>
      <c r="CC175" s="973"/>
      <c r="CD175" s="973"/>
      <c r="CE175" s="973"/>
      <c r="CF175" s="973"/>
      <c r="CG175" s="973"/>
      <c r="CH175" s="973"/>
      <c r="CI175" s="973"/>
      <c r="CJ175" s="973"/>
      <c r="CK175" s="973"/>
      <c r="CL175" s="973"/>
      <c r="CM175" s="973"/>
      <c r="CN175" s="973"/>
      <c r="CO175" s="973"/>
      <c r="CP175" s="973"/>
      <c r="CQ175" s="973"/>
      <c r="CR175" s="973"/>
      <c r="CS175" s="973"/>
      <c r="CT175" s="973"/>
      <c r="CU175" s="973"/>
      <c r="CV175" s="973"/>
      <c r="CW175" s="973"/>
    </row>
    <row r="186" spans="5:5" ht="19.5" customHeight="1" x14ac:dyDescent="0.15">
      <c r="E186" s="13" t="s">
        <v>602</v>
      </c>
    </row>
  </sheetData>
  <autoFilter ref="BN1:BN172" xr:uid="{00000000-0009-0000-0000-000013000000}">
    <filterColumn colId="0">
      <customFilters>
        <customFilter operator="notEqual" val=" "/>
      </customFilters>
    </filterColumn>
  </autoFilter>
  <mergeCells count="52">
    <mergeCell ref="CU5:CU7"/>
    <mergeCell ref="CV5:CV7"/>
    <mergeCell ref="BO5:BW5"/>
    <mergeCell ref="BX5:CF5"/>
    <mergeCell ref="CG5:CM5"/>
    <mergeCell ref="CO5:CT5"/>
    <mergeCell ref="CN5:CN8"/>
    <mergeCell ref="B76:B81"/>
    <mergeCell ref="B82:C82"/>
    <mergeCell ref="B9:C9"/>
    <mergeCell ref="B13:B15"/>
    <mergeCell ref="B21:B25"/>
    <mergeCell ref="B31:B35"/>
    <mergeCell ref="B46:B55"/>
    <mergeCell ref="B67:B75"/>
    <mergeCell ref="A1:A172"/>
    <mergeCell ref="B1:C1"/>
    <mergeCell ref="B2:C2"/>
    <mergeCell ref="B3:B5"/>
    <mergeCell ref="B6:C6"/>
    <mergeCell ref="B7:C7"/>
    <mergeCell ref="B8:C8"/>
    <mergeCell ref="B10:B12"/>
    <mergeCell ref="B16:B20"/>
    <mergeCell ref="B26:B30"/>
    <mergeCell ref="B36:B45"/>
    <mergeCell ref="B56:B59"/>
    <mergeCell ref="B172:C172"/>
    <mergeCell ref="B95:B96"/>
    <mergeCell ref="B97:B98"/>
    <mergeCell ref="B60:B66"/>
    <mergeCell ref="B83:C83"/>
    <mergeCell ref="B84:C84"/>
    <mergeCell ref="B162:B171"/>
    <mergeCell ref="B93:B94"/>
    <mergeCell ref="B151:C151"/>
    <mergeCell ref="B148:B150"/>
    <mergeCell ref="B99:B103"/>
    <mergeCell ref="B104:B112"/>
    <mergeCell ref="B123:B133"/>
    <mergeCell ref="B134:B143"/>
    <mergeCell ref="B144:B147"/>
    <mergeCell ref="B152:B161"/>
    <mergeCell ref="B113:B122"/>
    <mergeCell ref="B85:C85"/>
    <mergeCell ref="B86:C86"/>
    <mergeCell ref="B87:C87"/>
    <mergeCell ref="B88:C88"/>
    <mergeCell ref="B89:C89"/>
    <mergeCell ref="B90:C90"/>
    <mergeCell ref="B91:C91"/>
    <mergeCell ref="B92:C92"/>
  </mergeCells>
  <phoneticPr fontId="140" type="noConversion"/>
  <conditionalFormatting sqref="F2:AW8">
    <cfRule type="cellIs" dxfId="108" priority="98" operator="lessThan">
      <formula>0</formula>
    </cfRule>
  </conditionalFormatting>
  <conditionalFormatting sqref="F10:AW172">
    <cfRule type="cellIs" dxfId="107" priority="93" operator="lessThan">
      <formula>0</formula>
    </cfRule>
  </conditionalFormatting>
  <conditionalFormatting sqref="BJ2:BM4 BA2:BI84 AX2:AZ172 BJ5:BL5 BJ6:BM84 D60:E93 BA85:BM92 BA93:BI170 BA171:BM171 BA172:BL172">
    <cfRule type="cellIs" dxfId="106" priority="456" operator="lessThan">
      <formula>0</formula>
    </cfRule>
  </conditionalFormatting>
  <conditionalFormatting sqref="BJ93:BM171">
    <cfRule type="cellIs" dxfId="105" priority="430" operator="lessThan">
      <formula>0</formula>
    </cfRule>
  </conditionalFormatting>
  <conditionalFormatting sqref="BM169:BM171">
    <cfRule type="cellIs" dxfId="104" priority="445" operator="lessThan">
      <formula>0</formula>
    </cfRule>
  </conditionalFormatting>
  <hyperlinks>
    <hyperlink ref="B1:C1" location="PAINEL!A1" display="TRECHOS" xr:uid="{00000000-0004-0000-1300-000000000000}"/>
  </hyperlinks>
  <pageMargins left="0.39370078740157483" right="0.39370078740157483" top="0.59055118110236227" bottom="0.59055118110236227" header="0.31496062992125984" footer="0.23622047244094491"/>
  <pageSetup paperSize="9" scale="50" fitToWidth="6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BP86:BP87 F38 F48 F160 G160 J160:N160 W160:X160 AI160:AR160" formula="1"/>
    <ignoredError sqref="C60:C65 C76:C8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28">
    <tabColor theme="5" tint="0.59999389629810485"/>
  </sheetPr>
  <dimension ref="A1:L112"/>
  <sheetViews>
    <sheetView showZeros="0" zoomScaleNormal="100" zoomScaleSheetLayoutView="85" workbookViewId="0">
      <pane xSplit="6" ySplit="1" topLeftCell="G101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35" sqref="G35"/>
    </sheetView>
  </sheetViews>
  <sheetFormatPr defaultColWidth="9" defaultRowHeight="18.75" x14ac:dyDescent="0.15"/>
  <cols>
    <col min="1" max="1" width="9.75" style="133" customWidth="1"/>
    <col min="2" max="2" width="16.75" style="13" customWidth="1"/>
    <col min="3" max="3" width="13.25" style="13" customWidth="1"/>
    <col min="4" max="4" width="25" style="13" customWidth="1"/>
    <col min="5" max="5" width="3.125" style="986" customWidth="1"/>
    <col min="6" max="6" width="8.375" style="13" customWidth="1"/>
    <col min="7" max="9" width="12.625" style="590" customWidth="1"/>
    <col min="10" max="10" width="12.625" style="1353" customWidth="1"/>
    <col min="11" max="11" width="21.875" style="133" customWidth="1"/>
    <col min="12" max="15" width="10.75" style="133" customWidth="1"/>
    <col min="16" max="16" width="15.625" style="133" customWidth="1"/>
    <col min="17" max="16384" width="9" style="133"/>
  </cols>
  <sheetData>
    <row r="1" spans="1:11" s="16" customFormat="1" ht="60" customHeight="1" thickTop="1" thickBot="1" x14ac:dyDescent="0.2">
      <c r="A1" s="2595" t="s">
        <v>2122</v>
      </c>
      <c r="B1" s="2608" t="s">
        <v>346</v>
      </c>
      <c r="C1" s="2732"/>
      <c r="D1" s="2609"/>
      <c r="E1" s="991"/>
      <c r="F1" s="974" t="s">
        <v>587</v>
      </c>
      <c r="G1" s="1350" t="s">
        <v>2646</v>
      </c>
      <c r="H1" s="1350"/>
      <c r="I1" s="1802"/>
      <c r="J1" s="1351" t="s">
        <v>0</v>
      </c>
      <c r="K1" s="578" t="s">
        <v>695</v>
      </c>
    </row>
    <row r="2" spans="1:11" ht="19.5" thickTop="1" x14ac:dyDescent="0.15">
      <c r="A2" s="2596"/>
      <c r="B2" s="2605" t="s">
        <v>35</v>
      </c>
      <c r="C2" s="2734" t="s">
        <v>2198</v>
      </c>
      <c r="D2" s="1837" t="s">
        <v>164</v>
      </c>
      <c r="E2" s="1356"/>
      <c r="F2" s="1357"/>
      <c r="G2" s="1838"/>
      <c r="H2" s="1838"/>
      <c r="I2" s="1838"/>
      <c r="J2" s="1854"/>
      <c r="K2" s="579"/>
    </row>
    <row r="3" spans="1:11" x14ac:dyDescent="0.15">
      <c r="A3" s="2596"/>
      <c r="B3" s="2606"/>
      <c r="C3" s="2725"/>
      <c r="D3" s="567" t="s">
        <v>1240</v>
      </c>
      <c r="F3" s="1358"/>
      <c r="G3" s="158"/>
      <c r="H3" s="158"/>
      <c r="I3" s="158"/>
      <c r="J3" s="595"/>
      <c r="K3" s="579"/>
    </row>
    <row r="4" spans="1:11" x14ac:dyDescent="0.15">
      <c r="A4" s="2596"/>
      <c r="B4" s="2606"/>
      <c r="C4" s="2725"/>
      <c r="D4" s="567" t="s">
        <v>2251</v>
      </c>
      <c r="F4" s="1358"/>
      <c r="G4" s="134"/>
      <c r="H4" s="134"/>
      <c r="I4" s="134"/>
      <c r="J4" s="595"/>
      <c r="K4" s="579"/>
    </row>
    <row r="5" spans="1:11" x14ac:dyDescent="0.15">
      <c r="A5" s="2596"/>
      <c r="B5" s="2606"/>
      <c r="C5" s="2725"/>
      <c r="D5" s="559" t="s">
        <v>2123</v>
      </c>
      <c r="F5" s="1358"/>
      <c r="G5" s="1841">
        <f>+G3*G2</f>
        <v>0</v>
      </c>
      <c r="H5" s="1841"/>
      <c r="I5" s="1841">
        <f>+I3*I2</f>
        <v>0</v>
      </c>
      <c r="J5" s="350">
        <f>SUM(G5:I5)</f>
        <v>0</v>
      </c>
      <c r="K5" s="579"/>
    </row>
    <row r="6" spans="1:11" x14ac:dyDescent="0.15">
      <c r="A6" s="2596"/>
      <c r="B6" s="2606"/>
      <c r="C6" s="2725"/>
      <c r="D6" s="559" t="s">
        <v>2124</v>
      </c>
      <c r="F6" s="1358"/>
      <c r="G6" s="158"/>
      <c r="H6" s="158"/>
      <c r="I6" s="158"/>
      <c r="J6" s="350">
        <f>SUM(G6:I6)</f>
        <v>0</v>
      </c>
      <c r="K6" s="579"/>
    </row>
    <row r="7" spans="1:11" x14ac:dyDescent="0.15">
      <c r="A7" s="2596"/>
      <c r="B7" s="2606"/>
      <c r="C7" s="2726"/>
      <c r="D7" s="567" t="s">
        <v>2125</v>
      </c>
      <c r="E7" s="1420"/>
      <c r="F7" s="1392"/>
      <c r="G7" s="1851">
        <f>(G5+G6)*G4</f>
        <v>0</v>
      </c>
      <c r="H7" s="1851"/>
      <c r="I7" s="1851">
        <f>(I5+I6)*I4</f>
        <v>0</v>
      </c>
      <c r="J7" s="1847">
        <f>SUM(G7:I7)</f>
        <v>0</v>
      </c>
      <c r="K7" s="579"/>
    </row>
    <row r="8" spans="1:11" ht="23.25" customHeight="1" x14ac:dyDescent="0.15">
      <c r="A8" s="2596"/>
      <c r="B8" s="2606"/>
      <c r="C8" s="2724" t="s">
        <v>2199</v>
      </c>
      <c r="D8" s="567" t="s">
        <v>164</v>
      </c>
      <c r="E8" s="1549"/>
      <c r="F8" s="1550"/>
      <c r="G8" s="458"/>
      <c r="H8" s="458"/>
      <c r="I8" s="458"/>
      <c r="J8" s="1849"/>
      <c r="K8" s="579">
        <f t="shared" ref="K8:K29" si="0">SUM(G8:J8)</f>
        <v>0</v>
      </c>
    </row>
    <row r="9" spans="1:11" x14ac:dyDescent="0.15">
      <c r="A9" s="2596"/>
      <c r="B9" s="2606"/>
      <c r="C9" s="2725"/>
      <c r="D9" s="567" t="s">
        <v>1240</v>
      </c>
      <c r="F9" s="1358"/>
      <c r="G9" s="158"/>
      <c r="H9" s="158"/>
      <c r="I9" s="158"/>
      <c r="J9" s="595"/>
      <c r="K9" s="579">
        <f t="shared" si="0"/>
        <v>0</v>
      </c>
    </row>
    <row r="10" spans="1:11" x14ac:dyDescent="0.15">
      <c r="A10" s="2596"/>
      <c r="B10" s="2606"/>
      <c r="C10" s="2725"/>
      <c r="D10" s="567" t="s">
        <v>1246</v>
      </c>
      <c r="F10" s="1358"/>
      <c r="G10" s="1419"/>
      <c r="H10" s="1419"/>
      <c r="I10" s="1419"/>
      <c r="J10" s="595"/>
      <c r="K10" s="579">
        <f t="shared" si="0"/>
        <v>0</v>
      </c>
    </row>
    <row r="11" spans="1:11" x14ac:dyDescent="0.15">
      <c r="A11" s="2596"/>
      <c r="B11" s="2606"/>
      <c r="C11" s="2725"/>
      <c r="D11" s="559" t="s">
        <v>2123</v>
      </c>
      <c r="F11" s="1358"/>
      <c r="G11" s="1841">
        <f>G9*G8</f>
        <v>0</v>
      </c>
      <c r="H11" s="1841"/>
      <c r="I11" s="1841">
        <f>I9*I8</f>
        <v>0</v>
      </c>
      <c r="J11" s="350">
        <f>SUM(G11:I11)</f>
        <v>0</v>
      </c>
      <c r="K11" s="579">
        <f t="shared" si="0"/>
        <v>0</v>
      </c>
    </row>
    <row r="12" spans="1:11" x14ac:dyDescent="0.15">
      <c r="A12" s="2596"/>
      <c r="B12" s="2606"/>
      <c r="C12" s="2725"/>
      <c r="D12" s="559" t="s">
        <v>2124</v>
      </c>
      <c r="F12" s="1358"/>
      <c r="G12" s="158"/>
      <c r="H12" s="158"/>
      <c r="I12" s="158"/>
      <c r="J12" s="350">
        <f>SUM(G12:I12)</f>
        <v>0</v>
      </c>
      <c r="K12" s="579">
        <f t="shared" si="0"/>
        <v>0</v>
      </c>
    </row>
    <row r="13" spans="1:11" ht="22.5" x14ac:dyDescent="0.15">
      <c r="A13" s="2596"/>
      <c r="B13" s="2606"/>
      <c r="C13" s="2726"/>
      <c r="D13" s="567" t="s">
        <v>2195</v>
      </c>
      <c r="E13" s="1420"/>
      <c r="F13" s="1392"/>
      <c r="G13" s="1851">
        <f>(G11+G12)*G10*1.1</f>
        <v>0</v>
      </c>
      <c r="H13" s="1851"/>
      <c r="I13" s="1851">
        <f>(I11+I12)*I10*1.1</f>
        <v>0</v>
      </c>
      <c r="J13" s="1847">
        <f>SUM(G13:I13)</f>
        <v>0</v>
      </c>
      <c r="K13" s="579">
        <f t="shared" si="0"/>
        <v>0</v>
      </c>
    </row>
    <row r="14" spans="1:11" ht="22.5" customHeight="1" x14ac:dyDescent="0.15">
      <c r="A14" s="2596"/>
      <c r="B14" s="2606"/>
      <c r="C14" s="2725" t="s">
        <v>2196</v>
      </c>
      <c r="D14" s="559" t="s">
        <v>2197</v>
      </c>
      <c r="F14" s="1358"/>
      <c r="G14" s="158"/>
      <c r="H14" s="158"/>
      <c r="I14" s="158"/>
      <c r="J14" s="350">
        <f>SUM(G14:I14)</f>
        <v>0</v>
      </c>
      <c r="K14" s="579"/>
    </row>
    <row r="15" spans="1:11" x14ac:dyDescent="0.15">
      <c r="A15" s="2596"/>
      <c r="B15" s="2606"/>
      <c r="C15" s="2725"/>
      <c r="D15" s="567" t="s">
        <v>1645</v>
      </c>
      <c r="F15" s="1358"/>
      <c r="G15" s="158"/>
      <c r="H15" s="158"/>
      <c r="I15" s="158"/>
      <c r="J15" s="350">
        <f>ROUND(SUM(G15:I15),2)</f>
        <v>0</v>
      </c>
      <c r="K15" s="579"/>
    </row>
    <row r="16" spans="1:11" ht="19.5" thickBot="1" x14ac:dyDescent="0.2">
      <c r="A16" s="2596"/>
      <c r="B16" s="2607"/>
      <c r="C16" s="2731"/>
      <c r="D16" s="566" t="s">
        <v>2127</v>
      </c>
      <c r="E16" s="987"/>
      <c r="F16" s="564"/>
      <c r="G16" s="359"/>
      <c r="H16" s="359"/>
      <c r="I16" s="359"/>
      <c r="J16" s="361">
        <f>SUM(G16:I16)</f>
        <v>0</v>
      </c>
      <c r="K16" s="579"/>
    </row>
    <row r="17" spans="1:11" x14ac:dyDescent="0.15">
      <c r="A17" s="2596"/>
      <c r="B17" s="2605" t="s">
        <v>1597</v>
      </c>
      <c r="C17" s="2729" t="s">
        <v>2128</v>
      </c>
      <c r="D17" s="550" t="s">
        <v>2129</v>
      </c>
      <c r="E17" s="985"/>
      <c r="F17" s="1358"/>
      <c r="G17" s="238"/>
      <c r="H17" s="238"/>
      <c r="I17" s="238"/>
      <c r="J17" s="350">
        <f t="shared" ref="J17:J25" si="1">ROUND(SUM(G17:I17),2)</f>
        <v>0</v>
      </c>
      <c r="K17" s="579">
        <f t="shared" si="0"/>
        <v>0</v>
      </c>
    </row>
    <row r="18" spans="1:11" x14ac:dyDescent="0.15">
      <c r="A18" s="2596"/>
      <c r="B18" s="2606"/>
      <c r="C18" s="2725"/>
      <c r="D18" s="567" t="s">
        <v>2130</v>
      </c>
      <c r="F18" s="1358"/>
      <c r="G18" s="158"/>
      <c r="H18" s="158"/>
      <c r="I18" s="158"/>
      <c r="J18" s="350">
        <f t="shared" si="1"/>
        <v>0</v>
      </c>
      <c r="K18" s="579">
        <f t="shared" si="0"/>
        <v>0</v>
      </c>
    </row>
    <row r="19" spans="1:11" x14ac:dyDescent="0.15">
      <c r="A19" s="2596"/>
      <c r="B19" s="2606"/>
      <c r="C19" s="2726"/>
      <c r="D19" s="567" t="s">
        <v>2131</v>
      </c>
      <c r="F19" s="1358"/>
      <c r="G19" s="158"/>
      <c r="H19" s="158"/>
      <c r="I19" s="158"/>
      <c r="J19" s="350">
        <f t="shared" si="1"/>
        <v>0</v>
      </c>
      <c r="K19" s="579">
        <f t="shared" si="0"/>
        <v>0</v>
      </c>
    </row>
    <row r="20" spans="1:11" ht="28.5" customHeight="1" x14ac:dyDescent="0.15">
      <c r="A20" s="2596"/>
      <c r="B20" s="2606"/>
      <c r="C20" s="2720" t="s">
        <v>2132</v>
      </c>
      <c r="D20" s="2721"/>
      <c r="E20" s="1842"/>
      <c r="F20" s="1843"/>
      <c r="G20" s="1844"/>
      <c r="H20" s="1844"/>
      <c r="I20" s="1844"/>
      <c r="J20" s="1845">
        <f t="shared" si="1"/>
        <v>0</v>
      </c>
      <c r="K20" s="579">
        <f t="shared" si="0"/>
        <v>0</v>
      </c>
    </row>
    <row r="21" spans="1:11" ht="22.5" x14ac:dyDescent="0.15">
      <c r="A21" s="2596"/>
      <c r="B21" s="2606"/>
      <c r="C21" s="2724" t="s">
        <v>2250</v>
      </c>
      <c r="D21" s="567" t="s">
        <v>1876</v>
      </c>
      <c r="E21" s="1548"/>
      <c r="F21" s="1358"/>
      <c r="G21" s="158"/>
      <c r="H21" s="158"/>
      <c r="I21" s="158"/>
      <c r="J21" s="350">
        <f t="shared" si="1"/>
        <v>0</v>
      </c>
      <c r="K21" s="579">
        <f t="shared" si="0"/>
        <v>0</v>
      </c>
    </row>
    <row r="22" spans="1:11" x14ac:dyDescent="0.15">
      <c r="A22" s="2596"/>
      <c r="B22" s="2606"/>
      <c r="C22" s="2725"/>
      <c r="D22" s="567" t="s">
        <v>2664</v>
      </c>
      <c r="E22" s="1548"/>
      <c r="F22" s="1358"/>
      <c r="G22" s="158"/>
      <c r="H22" s="158"/>
      <c r="I22" s="158"/>
      <c r="J22" s="350"/>
      <c r="K22" s="579"/>
    </row>
    <row r="23" spans="1:11" x14ac:dyDescent="0.15">
      <c r="A23" s="2596"/>
      <c r="B23" s="2606"/>
      <c r="C23" s="2725"/>
      <c r="D23" s="567" t="s">
        <v>2665</v>
      </c>
      <c r="E23" s="1548"/>
      <c r="F23" s="1358"/>
      <c r="G23" s="1841">
        <f>+G21*G22</f>
        <v>0</v>
      </c>
      <c r="H23" s="1841"/>
      <c r="I23" s="1841">
        <f t="shared" ref="I23" si="2">+I21*I22</f>
        <v>0</v>
      </c>
      <c r="J23" s="350">
        <f t="shared" si="1"/>
        <v>0</v>
      </c>
      <c r="K23" s="579">
        <f t="shared" si="0"/>
        <v>0</v>
      </c>
    </row>
    <row r="24" spans="1:11" x14ac:dyDescent="0.15">
      <c r="A24" s="2596"/>
      <c r="B24" s="2606"/>
      <c r="C24" s="2725"/>
      <c r="D24" s="567" t="s">
        <v>2666</v>
      </c>
      <c r="E24" s="1548"/>
      <c r="F24" s="1358"/>
      <c r="G24" s="158"/>
      <c r="H24" s="158"/>
      <c r="I24" s="158"/>
      <c r="J24" s="350"/>
      <c r="K24" s="579"/>
    </row>
    <row r="25" spans="1:11" ht="24.75" customHeight="1" x14ac:dyDescent="0.15">
      <c r="A25" s="2596"/>
      <c r="B25" s="2606"/>
      <c r="C25" s="2726"/>
      <c r="D25" s="567" t="s">
        <v>2667</v>
      </c>
      <c r="E25" s="1846"/>
      <c r="F25" s="1392"/>
      <c r="G25" s="1851">
        <f>+G24*G21</f>
        <v>0</v>
      </c>
      <c r="H25" s="1851"/>
      <c r="I25" s="1851">
        <f t="shared" ref="I25" si="3">+I24*I21</f>
        <v>0</v>
      </c>
      <c r="J25" s="507">
        <f t="shared" si="1"/>
        <v>0</v>
      </c>
      <c r="K25" s="579">
        <f t="shared" si="0"/>
        <v>0</v>
      </c>
    </row>
    <row r="26" spans="1:11" ht="22.5" customHeight="1" x14ac:dyDescent="0.15">
      <c r="A26" s="2596"/>
      <c r="B26" s="2606"/>
      <c r="C26" s="2724" t="s">
        <v>2651</v>
      </c>
      <c r="D26" s="567" t="s">
        <v>2202</v>
      </c>
      <c r="E26" s="1548"/>
      <c r="F26" s="1358"/>
      <c r="G26" s="158"/>
      <c r="H26" s="158"/>
      <c r="I26" s="158"/>
      <c r="J26" s="350">
        <f t="shared" ref="J26:J35" si="4">SUM(G26:I26)</f>
        <v>0</v>
      </c>
      <c r="K26" s="579">
        <f t="shared" si="0"/>
        <v>0</v>
      </c>
    </row>
    <row r="27" spans="1:11" x14ac:dyDescent="0.15">
      <c r="A27" s="2596"/>
      <c r="B27" s="2606"/>
      <c r="C27" s="2725"/>
      <c r="D27" s="567" t="s">
        <v>2203</v>
      </c>
      <c r="E27" s="1548"/>
      <c r="F27" s="1358"/>
      <c r="G27" s="158"/>
      <c r="H27" s="158"/>
      <c r="I27" s="158"/>
      <c r="J27" s="350">
        <f t="shared" si="4"/>
        <v>0</v>
      </c>
      <c r="K27" s="579">
        <f t="shared" si="0"/>
        <v>0</v>
      </c>
    </row>
    <row r="28" spans="1:11" x14ac:dyDescent="0.15">
      <c r="A28" s="2596"/>
      <c r="B28" s="2606"/>
      <c r="C28" s="2725"/>
      <c r="D28" s="567" t="s">
        <v>2204</v>
      </c>
      <c r="E28" s="1548"/>
      <c r="F28" s="1358"/>
      <c r="G28" s="158"/>
      <c r="H28" s="158"/>
      <c r="I28" s="158"/>
      <c r="J28" s="350">
        <f t="shared" si="4"/>
        <v>0</v>
      </c>
      <c r="K28" s="579">
        <f t="shared" si="0"/>
        <v>0</v>
      </c>
    </row>
    <row r="29" spans="1:11" x14ac:dyDescent="0.15">
      <c r="A29" s="2596"/>
      <c r="B29" s="2606"/>
      <c r="C29" s="2726"/>
      <c r="D29" s="567" t="s">
        <v>2205</v>
      </c>
      <c r="E29" s="1548"/>
      <c r="F29" s="1358"/>
      <c r="G29" s="1857"/>
      <c r="H29" s="1857"/>
      <c r="I29" s="1857"/>
      <c r="J29" s="350">
        <f t="shared" si="4"/>
        <v>0</v>
      </c>
      <c r="K29" s="579">
        <f t="shared" si="0"/>
        <v>0</v>
      </c>
    </row>
    <row r="30" spans="1:11" x14ac:dyDescent="0.15">
      <c r="A30" s="2596"/>
      <c r="B30" s="2606"/>
      <c r="C30" s="2720" t="s">
        <v>2649</v>
      </c>
      <c r="D30" s="2721"/>
      <c r="E30" s="1548"/>
      <c r="F30" s="1358"/>
      <c r="G30" s="158"/>
      <c r="H30" s="158"/>
      <c r="I30" s="158"/>
      <c r="J30" s="350">
        <f t="shared" si="4"/>
        <v>0</v>
      </c>
      <c r="K30" s="579"/>
    </row>
    <row r="31" spans="1:11" ht="27" customHeight="1" x14ac:dyDescent="0.15">
      <c r="A31" s="2596"/>
      <c r="B31" s="2606"/>
      <c r="C31" s="2724" t="s">
        <v>2650</v>
      </c>
      <c r="D31" s="2194" t="s">
        <v>2669</v>
      </c>
      <c r="E31" s="1548"/>
      <c r="F31" s="1358"/>
      <c r="G31" s="1841">
        <f>SUM(G26:G30)*1.25</f>
        <v>0</v>
      </c>
      <c r="H31" s="1841"/>
      <c r="I31" s="1841"/>
      <c r="J31" s="595">
        <f t="shared" si="4"/>
        <v>0</v>
      </c>
      <c r="K31" s="579">
        <f t="shared" ref="K31:K67" si="5">SUM(G31:J31)</f>
        <v>0</v>
      </c>
    </row>
    <row r="32" spans="1:11" ht="22.5" x14ac:dyDescent="0.15">
      <c r="A32" s="2596"/>
      <c r="B32" s="2606"/>
      <c r="C32" s="2725"/>
      <c r="D32" s="1827" t="s">
        <v>2670</v>
      </c>
      <c r="E32" s="1548"/>
      <c r="F32" s="1358"/>
      <c r="G32" s="158"/>
      <c r="H32" s="158"/>
      <c r="I32" s="158"/>
      <c r="J32" s="1839"/>
      <c r="K32" s="579">
        <f t="shared" si="5"/>
        <v>0</v>
      </c>
    </row>
    <row r="33" spans="1:11" x14ac:dyDescent="0.15">
      <c r="A33" s="2596"/>
      <c r="B33" s="2606"/>
      <c r="C33" s="2725"/>
      <c r="D33" s="1827" t="s">
        <v>743</v>
      </c>
      <c r="E33" s="1548"/>
      <c r="F33" s="1358"/>
      <c r="G33" s="158">
        <f t="shared" ref="G33" si="6">G31-G31*G32</f>
        <v>0</v>
      </c>
      <c r="H33" s="158"/>
      <c r="I33" s="158"/>
      <c r="J33" s="350">
        <f t="shared" si="4"/>
        <v>0</v>
      </c>
      <c r="K33" s="579">
        <f t="shared" si="5"/>
        <v>0</v>
      </c>
    </row>
    <row r="34" spans="1:11" ht="25.5" x14ac:dyDescent="0.15">
      <c r="A34" s="2596"/>
      <c r="B34" s="2606"/>
      <c r="C34" s="2725"/>
      <c r="D34" s="1827" t="s">
        <v>26</v>
      </c>
      <c r="E34" s="1548"/>
      <c r="F34" s="1358"/>
      <c r="G34" s="933" t="s">
        <v>2668</v>
      </c>
      <c r="H34" s="933"/>
      <c r="I34" s="933"/>
      <c r="J34" s="350"/>
      <c r="K34" s="579"/>
    </row>
    <row r="35" spans="1:11" x14ac:dyDescent="0.15">
      <c r="A35" s="2596"/>
      <c r="B35" s="2606"/>
      <c r="C35" s="2725"/>
      <c r="D35" s="1827" t="s">
        <v>2659</v>
      </c>
      <c r="E35" s="1548"/>
      <c r="F35" s="1358"/>
      <c r="G35" s="158"/>
      <c r="H35" s="158"/>
      <c r="I35" s="158"/>
      <c r="J35" s="595">
        <f t="shared" si="4"/>
        <v>0</v>
      </c>
      <c r="K35" s="579">
        <f t="shared" si="5"/>
        <v>0</v>
      </c>
    </row>
    <row r="36" spans="1:11" x14ac:dyDescent="0.15">
      <c r="A36" s="2596"/>
      <c r="B36" s="2606"/>
      <c r="C36" s="2726"/>
      <c r="D36" s="1827" t="s">
        <v>2660</v>
      </c>
      <c r="E36" s="1548"/>
      <c r="F36" s="1358"/>
      <c r="G36" s="158">
        <f>+G35*G33</f>
        <v>0</v>
      </c>
      <c r="H36" s="158"/>
      <c r="I36" s="158"/>
      <c r="J36" s="507">
        <f>IF(J33=0,0,ROUND(SUM(G36:I36),1)/J33)</f>
        <v>0</v>
      </c>
      <c r="K36" s="579">
        <f t="shared" si="5"/>
        <v>0</v>
      </c>
    </row>
    <row r="37" spans="1:11" x14ac:dyDescent="0.15">
      <c r="A37" s="2596"/>
      <c r="B37" s="2606"/>
      <c r="C37" s="2720" t="s">
        <v>2133</v>
      </c>
      <c r="D37" s="2721"/>
      <c r="E37" s="1842"/>
      <c r="F37" s="1843"/>
      <c r="G37" s="1855">
        <f>G17-G31*G32</f>
        <v>0</v>
      </c>
      <c r="H37" s="1855"/>
      <c r="I37" s="1855"/>
      <c r="J37" s="1845">
        <f t="shared" ref="J37:J69" si="7">ROUND(SUM(G37:I37),2)</f>
        <v>0</v>
      </c>
      <c r="K37" s="579">
        <f t="shared" si="5"/>
        <v>0</v>
      </c>
    </row>
    <row r="38" spans="1:11" x14ac:dyDescent="0.15">
      <c r="A38" s="2596"/>
      <c r="B38" s="2606"/>
      <c r="C38" s="2724" t="s">
        <v>2135</v>
      </c>
      <c r="D38" s="567" t="s">
        <v>2136</v>
      </c>
      <c r="E38" s="1548"/>
      <c r="F38" s="1358"/>
      <c r="G38" s="158">
        <f>G5</f>
        <v>0</v>
      </c>
      <c r="H38" s="158"/>
      <c r="I38" s="158"/>
      <c r="J38" s="350">
        <f t="shared" si="7"/>
        <v>0</v>
      </c>
      <c r="K38" s="579">
        <f t="shared" si="5"/>
        <v>0</v>
      </c>
    </row>
    <row r="39" spans="1:11" x14ac:dyDescent="0.15">
      <c r="A39" s="2596"/>
      <c r="B39" s="2606"/>
      <c r="C39" s="2725"/>
      <c r="D39" s="567" t="s">
        <v>2137</v>
      </c>
      <c r="E39" s="1548"/>
      <c r="F39" s="1358"/>
      <c r="G39" s="158"/>
      <c r="H39" s="158"/>
      <c r="I39" s="158"/>
      <c r="J39" s="350">
        <f t="shared" si="7"/>
        <v>0</v>
      </c>
      <c r="K39" s="579">
        <f t="shared" si="5"/>
        <v>0</v>
      </c>
    </row>
    <row r="40" spans="1:11" x14ac:dyDescent="0.15">
      <c r="A40" s="2596"/>
      <c r="B40" s="2606"/>
      <c r="C40" s="2725"/>
      <c r="D40" s="567" t="s">
        <v>2138</v>
      </c>
      <c r="F40" s="1358"/>
      <c r="G40" s="158"/>
      <c r="H40" s="158"/>
      <c r="I40" s="158"/>
      <c r="J40" s="350">
        <f t="shared" si="7"/>
        <v>0</v>
      </c>
      <c r="K40" s="579">
        <f t="shared" si="5"/>
        <v>0</v>
      </c>
    </row>
    <row r="41" spans="1:11" x14ac:dyDescent="0.15">
      <c r="A41" s="2596"/>
      <c r="B41" s="2606"/>
      <c r="C41" s="2725"/>
      <c r="D41" s="567" t="s">
        <v>642</v>
      </c>
      <c r="F41" s="1358"/>
      <c r="G41" s="158"/>
      <c r="H41" s="158"/>
      <c r="I41" s="158"/>
      <c r="J41" s="350">
        <f t="shared" si="7"/>
        <v>0</v>
      </c>
      <c r="K41" s="579">
        <f t="shared" si="5"/>
        <v>0</v>
      </c>
    </row>
    <row r="42" spans="1:11" ht="19.5" thickBot="1" x14ac:dyDescent="0.2">
      <c r="A42" s="2596"/>
      <c r="B42" s="2607"/>
      <c r="C42" s="2731"/>
      <c r="D42" s="566" t="s">
        <v>2139</v>
      </c>
      <c r="E42" s="987"/>
      <c r="F42" s="564"/>
      <c r="G42" s="1856"/>
      <c r="H42" s="1856"/>
      <c r="I42" s="1856"/>
      <c r="J42" s="361">
        <f t="shared" si="7"/>
        <v>0</v>
      </c>
      <c r="K42" s="579">
        <f t="shared" si="5"/>
        <v>0</v>
      </c>
    </row>
    <row r="43" spans="1:11" ht="20.65" customHeight="1" x14ac:dyDescent="0.15">
      <c r="A43" s="2596"/>
      <c r="B43" s="2605" t="s">
        <v>2656</v>
      </c>
      <c r="C43" s="2727" t="s">
        <v>2657</v>
      </c>
      <c r="D43" s="2728"/>
      <c r="F43" s="1358"/>
      <c r="G43" s="1857"/>
      <c r="H43" s="1857"/>
      <c r="I43" s="1857"/>
      <c r="J43" s="350">
        <f t="shared" ref="J43:J44" si="8">ROUND(SUM(G43:I43),2)</f>
        <v>0</v>
      </c>
      <c r="K43" s="579">
        <f t="shared" ref="K43:K44" si="9">SUM(G43:J43)</f>
        <v>0</v>
      </c>
    </row>
    <row r="44" spans="1:11" ht="19.5" thickBot="1" x14ac:dyDescent="0.2">
      <c r="A44" s="2596"/>
      <c r="B44" s="2607"/>
      <c r="C44" s="2722" t="s">
        <v>2658</v>
      </c>
      <c r="D44" s="2723"/>
      <c r="F44" s="1358"/>
      <c r="G44" s="1857"/>
      <c r="H44" s="1857"/>
      <c r="I44" s="1857"/>
      <c r="J44" s="361">
        <f t="shared" si="8"/>
        <v>0</v>
      </c>
      <c r="K44" s="579">
        <f t="shared" si="9"/>
        <v>0</v>
      </c>
    </row>
    <row r="45" spans="1:11" x14ac:dyDescent="0.15">
      <c r="A45" s="2596"/>
      <c r="B45" s="2605" t="s">
        <v>2175</v>
      </c>
      <c r="C45" s="2729" t="s">
        <v>151</v>
      </c>
      <c r="D45" s="550" t="s">
        <v>2140</v>
      </c>
      <c r="E45" s="985"/>
      <c r="F45" s="1359"/>
      <c r="G45" s="238"/>
      <c r="H45" s="238"/>
      <c r="I45" s="238"/>
      <c r="J45" s="350">
        <f t="shared" si="7"/>
        <v>0</v>
      </c>
      <c r="K45" s="579">
        <f t="shared" si="5"/>
        <v>0</v>
      </c>
    </row>
    <row r="46" spans="1:11" x14ac:dyDescent="0.15">
      <c r="A46" s="2596"/>
      <c r="B46" s="2606"/>
      <c r="C46" s="2725"/>
      <c r="D46" s="567" t="s">
        <v>2141</v>
      </c>
      <c r="F46" s="1358"/>
      <c r="G46" s="158"/>
      <c r="H46" s="158"/>
      <c r="I46" s="158"/>
      <c r="J46" s="350">
        <f t="shared" si="7"/>
        <v>0</v>
      </c>
      <c r="K46" s="579">
        <f t="shared" si="5"/>
        <v>0</v>
      </c>
    </row>
    <row r="47" spans="1:11" x14ac:dyDescent="0.15">
      <c r="A47" s="2596"/>
      <c r="B47" s="2606"/>
      <c r="C47" s="2725"/>
      <c r="D47" s="567" t="s">
        <v>2142</v>
      </c>
      <c r="F47" s="1358"/>
      <c r="G47" s="158"/>
      <c r="H47" s="158"/>
      <c r="I47" s="158"/>
      <c r="J47" s="350">
        <f t="shared" si="7"/>
        <v>0</v>
      </c>
      <c r="K47" s="579">
        <f t="shared" si="5"/>
        <v>0</v>
      </c>
    </row>
    <row r="48" spans="1:11" x14ac:dyDescent="0.15">
      <c r="A48" s="2596"/>
      <c r="B48" s="2606"/>
      <c r="C48" s="2725"/>
      <c r="D48" s="567" t="s">
        <v>2143</v>
      </c>
      <c r="F48" s="1358"/>
      <c r="G48" s="158"/>
      <c r="H48" s="158"/>
      <c r="I48" s="158"/>
      <c r="J48" s="350">
        <f t="shared" si="7"/>
        <v>0</v>
      </c>
      <c r="K48" s="579">
        <f t="shared" si="5"/>
        <v>0</v>
      </c>
    </row>
    <row r="49" spans="1:12" x14ac:dyDescent="0.15">
      <c r="A49" s="2596"/>
      <c r="B49" s="2606"/>
      <c r="C49" s="2725"/>
      <c r="D49" s="568" t="s">
        <v>2144</v>
      </c>
      <c r="F49" s="1358"/>
      <c r="G49" s="158"/>
      <c r="H49" s="158"/>
      <c r="I49" s="158"/>
      <c r="J49" s="350">
        <f t="shared" si="7"/>
        <v>0</v>
      </c>
      <c r="K49" s="579">
        <f t="shared" si="5"/>
        <v>0</v>
      </c>
      <c r="L49" s="133">
        <f>2022-35</f>
        <v>1987</v>
      </c>
    </row>
    <row r="50" spans="1:12" x14ac:dyDescent="0.15">
      <c r="A50" s="2596"/>
      <c r="B50" s="2606"/>
      <c r="C50" s="2726"/>
      <c r="D50" s="567" t="s">
        <v>2145</v>
      </c>
      <c r="E50" s="1846"/>
      <c r="F50" s="1392"/>
      <c r="G50" s="1858"/>
      <c r="H50" s="1858"/>
      <c r="I50" s="1858"/>
      <c r="J50" s="507">
        <f t="shared" si="7"/>
        <v>0</v>
      </c>
      <c r="K50" s="579">
        <f t="shared" si="5"/>
        <v>0</v>
      </c>
    </row>
    <row r="51" spans="1:12" x14ac:dyDescent="0.15">
      <c r="A51" s="2596"/>
      <c r="B51" s="2606"/>
      <c r="C51" s="2724" t="s">
        <v>547</v>
      </c>
      <c r="D51" s="567" t="s">
        <v>2156</v>
      </c>
      <c r="E51" s="1848"/>
      <c r="F51" s="1550"/>
      <c r="G51" s="458"/>
      <c r="H51" s="458"/>
      <c r="I51" s="458"/>
      <c r="J51" s="350">
        <f t="shared" si="7"/>
        <v>0</v>
      </c>
      <c r="K51" s="579">
        <f t="shared" si="5"/>
        <v>0</v>
      </c>
    </row>
    <row r="52" spans="1:12" x14ac:dyDescent="0.15">
      <c r="A52" s="2596"/>
      <c r="B52" s="2606"/>
      <c r="C52" s="2725"/>
      <c r="D52" s="567" t="s">
        <v>2157</v>
      </c>
      <c r="F52" s="1358"/>
      <c r="G52" s="158"/>
      <c r="H52" s="158"/>
      <c r="I52" s="158"/>
      <c r="J52" s="350">
        <f t="shared" si="7"/>
        <v>0</v>
      </c>
      <c r="K52" s="579">
        <f t="shared" si="5"/>
        <v>0</v>
      </c>
    </row>
    <row r="53" spans="1:12" x14ac:dyDescent="0.15">
      <c r="A53" s="2596"/>
      <c r="B53" s="2606"/>
      <c r="C53" s="2725"/>
      <c r="D53" s="568" t="s">
        <v>2158</v>
      </c>
      <c r="F53" s="1358"/>
      <c r="G53" s="158"/>
      <c r="H53" s="158"/>
      <c r="I53" s="158"/>
      <c r="J53" s="350">
        <f t="shared" si="7"/>
        <v>0</v>
      </c>
      <c r="K53" s="579">
        <f t="shared" si="5"/>
        <v>0</v>
      </c>
    </row>
    <row r="54" spans="1:12" x14ac:dyDescent="0.15">
      <c r="A54" s="2596"/>
      <c r="B54" s="2606"/>
      <c r="C54" s="2726"/>
      <c r="D54" s="567" t="s">
        <v>2159</v>
      </c>
      <c r="E54" s="1846"/>
      <c r="F54" s="1392"/>
      <c r="G54" s="596"/>
      <c r="H54" s="596"/>
      <c r="I54" s="596"/>
      <c r="J54" s="507">
        <f t="shared" si="7"/>
        <v>0</v>
      </c>
      <c r="K54" s="579">
        <f t="shared" si="5"/>
        <v>0</v>
      </c>
    </row>
    <row r="55" spans="1:12" x14ac:dyDescent="0.15">
      <c r="A55" s="2596"/>
      <c r="B55" s="2606"/>
      <c r="C55" s="2724" t="s">
        <v>548</v>
      </c>
      <c r="D55" s="559" t="s">
        <v>2146</v>
      </c>
      <c r="F55" s="1358"/>
      <c r="G55" s="158"/>
      <c r="H55" s="158"/>
      <c r="I55" s="158"/>
      <c r="J55" s="350">
        <f t="shared" si="7"/>
        <v>0</v>
      </c>
      <c r="K55" s="579">
        <f t="shared" si="5"/>
        <v>0</v>
      </c>
    </row>
    <row r="56" spans="1:12" x14ac:dyDescent="0.15">
      <c r="A56" s="2596"/>
      <c r="B56" s="2606"/>
      <c r="C56" s="2725"/>
      <c r="D56" s="567" t="s">
        <v>2147</v>
      </c>
      <c r="F56" s="1358"/>
      <c r="G56" s="158"/>
      <c r="H56" s="158"/>
      <c r="I56" s="158"/>
      <c r="J56" s="350">
        <f t="shared" si="7"/>
        <v>0</v>
      </c>
      <c r="K56" s="579">
        <f t="shared" si="5"/>
        <v>0</v>
      </c>
    </row>
    <row r="57" spans="1:12" x14ac:dyDescent="0.15">
      <c r="A57" s="2596"/>
      <c r="B57" s="2606"/>
      <c r="C57" s="2725"/>
      <c r="D57" s="567" t="s">
        <v>2148</v>
      </c>
      <c r="F57" s="1358"/>
      <c r="G57" s="158"/>
      <c r="H57" s="158"/>
      <c r="I57" s="158"/>
      <c r="J57" s="350">
        <f t="shared" si="7"/>
        <v>0</v>
      </c>
      <c r="K57" s="579">
        <f t="shared" si="5"/>
        <v>0</v>
      </c>
    </row>
    <row r="58" spans="1:12" x14ac:dyDescent="0.15">
      <c r="A58" s="2596"/>
      <c r="B58" s="2606"/>
      <c r="C58" s="2725"/>
      <c r="D58" s="567" t="s">
        <v>2149</v>
      </c>
      <c r="F58" s="1358"/>
      <c r="G58" s="158"/>
      <c r="H58" s="158"/>
      <c r="I58" s="158"/>
      <c r="J58" s="350">
        <f t="shared" si="7"/>
        <v>0</v>
      </c>
      <c r="K58" s="579">
        <f t="shared" si="5"/>
        <v>0</v>
      </c>
    </row>
    <row r="59" spans="1:12" x14ac:dyDescent="0.15">
      <c r="A59" s="2596"/>
      <c r="B59" s="2606"/>
      <c r="C59" s="2725"/>
      <c r="D59" s="567" t="s">
        <v>2150</v>
      </c>
      <c r="F59" s="1358"/>
      <c r="G59" s="158"/>
      <c r="H59" s="158"/>
      <c r="I59" s="158"/>
      <c r="J59" s="350">
        <f t="shared" si="7"/>
        <v>0</v>
      </c>
      <c r="K59" s="579">
        <f t="shared" si="5"/>
        <v>0</v>
      </c>
    </row>
    <row r="60" spans="1:12" x14ac:dyDescent="0.15">
      <c r="A60" s="2596"/>
      <c r="B60" s="2606"/>
      <c r="C60" s="2725"/>
      <c r="D60" s="567" t="s">
        <v>2151</v>
      </c>
      <c r="F60" s="1358"/>
      <c r="G60" s="158"/>
      <c r="H60" s="158"/>
      <c r="I60" s="158"/>
      <c r="J60" s="350">
        <f t="shared" si="7"/>
        <v>0</v>
      </c>
      <c r="K60" s="579">
        <f t="shared" si="5"/>
        <v>0</v>
      </c>
    </row>
    <row r="61" spans="1:12" x14ac:dyDescent="0.15">
      <c r="A61" s="2596"/>
      <c r="B61" s="2606"/>
      <c r="C61" s="2725"/>
      <c r="D61" s="567" t="s">
        <v>2152</v>
      </c>
      <c r="F61" s="1358"/>
      <c r="G61" s="158"/>
      <c r="H61" s="158"/>
      <c r="I61" s="158"/>
      <c r="J61" s="350">
        <f t="shared" si="7"/>
        <v>0</v>
      </c>
      <c r="K61" s="579">
        <f t="shared" si="5"/>
        <v>0</v>
      </c>
    </row>
    <row r="62" spans="1:12" x14ac:dyDescent="0.15">
      <c r="A62" s="2596"/>
      <c r="B62" s="2606"/>
      <c r="C62" s="2725"/>
      <c r="D62" s="567" t="s">
        <v>2153</v>
      </c>
      <c r="E62" s="1548"/>
      <c r="F62" s="1358"/>
      <c r="G62" s="1857"/>
      <c r="H62" s="1857"/>
      <c r="I62" s="1857"/>
      <c r="J62" s="350">
        <f t="shared" si="7"/>
        <v>0</v>
      </c>
      <c r="K62" s="579">
        <f t="shared" si="5"/>
        <v>0</v>
      </c>
    </row>
    <row r="63" spans="1:12" ht="22.5" x14ac:dyDescent="0.15">
      <c r="A63" s="2596"/>
      <c r="B63" s="2606"/>
      <c r="C63" s="2725"/>
      <c r="D63" s="567" t="s">
        <v>2154</v>
      </c>
      <c r="E63" s="1548"/>
      <c r="F63" s="1358"/>
      <c r="G63" s="158"/>
      <c r="H63" s="158"/>
      <c r="I63" s="158"/>
      <c r="J63" s="350">
        <f t="shared" si="7"/>
        <v>0</v>
      </c>
      <c r="K63" s="579">
        <f t="shared" si="5"/>
        <v>0</v>
      </c>
    </row>
    <row r="64" spans="1:12" ht="22.5" x14ac:dyDescent="0.15">
      <c r="A64" s="2596"/>
      <c r="B64" s="2606"/>
      <c r="C64" s="2726"/>
      <c r="D64" s="567" t="s">
        <v>2155</v>
      </c>
      <c r="E64" s="1846"/>
      <c r="F64" s="1392"/>
      <c r="G64" s="596"/>
      <c r="H64" s="596"/>
      <c r="I64" s="596"/>
      <c r="J64" s="507">
        <f t="shared" si="7"/>
        <v>0</v>
      </c>
      <c r="K64" s="579">
        <f t="shared" si="5"/>
        <v>0</v>
      </c>
    </row>
    <row r="65" spans="1:11" ht="22.5" customHeight="1" x14ac:dyDescent="0.15">
      <c r="A65" s="2596"/>
      <c r="B65" s="2606"/>
      <c r="C65" s="2724" t="s">
        <v>2206</v>
      </c>
      <c r="D65" s="567" t="s">
        <v>2209</v>
      </c>
      <c r="F65" s="1358"/>
      <c r="G65" s="158"/>
      <c r="H65" s="158"/>
      <c r="I65" s="158"/>
      <c r="J65" s="350">
        <f t="shared" si="7"/>
        <v>0</v>
      </c>
      <c r="K65" s="579">
        <f t="shared" si="5"/>
        <v>0</v>
      </c>
    </row>
    <row r="66" spans="1:11" ht="22.5" customHeight="1" x14ac:dyDescent="0.15">
      <c r="A66" s="2596"/>
      <c r="B66" s="2606"/>
      <c r="C66" s="2725"/>
      <c r="D66" s="975" t="s">
        <v>2210</v>
      </c>
      <c r="F66" s="1358"/>
      <c r="G66" s="158"/>
      <c r="H66" s="158"/>
      <c r="I66" s="158"/>
      <c r="J66" s="350">
        <f t="shared" si="7"/>
        <v>0</v>
      </c>
      <c r="K66" s="579">
        <f t="shared" si="5"/>
        <v>0</v>
      </c>
    </row>
    <row r="67" spans="1:11" ht="22.5" x14ac:dyDescent="0.15">
      <c r="A67" s="2596"/>
      <c r="B67" s="2606"/>
      <c r="C67" s="2725"/>
      <c r="D67" s="568" t="s">
        <v>2207</v>
      </c>
      <c r="F67" s="1358"/>
      <c r="G67" s="158"/>
      <c r="H67" s="158"/>
      <c r="I67" s="158"/>
      <c r="J67" s="350">
        <f t="shared" si="7"/>
        <v>0</v>
      </c>
      <c r="K67" s="579">
        <f t="shared" si="5"/>
        <v>0</v>
      </c>
    </row>
    <row r="68" spans="1:11" ht="22.5" x14ac:dyDescent="0.15">
      <c r="A68" s="2596"/>
      <c r="B68" s="2606"/>
      <c r="C68" s="2726"/>
      <c r="D68" s="567" t="s">
        <v>2208</v>
      </c>
      <c r="E68" s="1420"/>
      <c r="F68" s="1392"/>
      <c r="G68" s="596"/>
      <c r="H68" s="596"/>
      <c r="I68" s="596"/>
      <c r="J68" s="507">
        <f t="shared" si="7"/>
        <v>0</v>
      </c>
      <c r="K68" s="579">
        <f t="shared" ref="K68:K100" si="10">SUM(G68:J68)</f>
        <v>0</v>
      </c>
    </row>
    <row r="69" spans="1:11" x14ac:dyDescent="0.15">
      <c r="A69" s="2596"/>
      <c r="B69" s="2606"/>
      <c r="C69" s="2724" t="s">
        <v>2200</v>
      </c>
      <c r="D69" s="559" t="s">
        <v>2160</v>
      </c>
      <c r="F69" s="1358"/>
      <c r="G69" s="158"/>
      <c r="H69" s="158"/>
      <c r="I69" s="158"/>
      <c r="J69" s="350">
        <f t="shared" si="7"/>
        <v>0</v>
      </c>
      <c r="K69" s="579">
        <f t="shared" si="10"/>
        <v>0</v>
      </c>
    </row>
    <row r="70" spans="1:11" x14ac:dyDescent="0.15">
      <c r="A70" s="2596"/>
      <c r="B70" s="2606"/>
      <c r="C70" s="2725"/>
      <c r="D70" s="559" t="s">
        <v>2161</v>
      </c>
      <c r="F70" s="1358"/>
      <c r="G70" s="158"/>
      <c r="H70" s="158"/>
      <c r="I70" s="158"/>
      <c r="J70" s="350">
        <f t="shared" ref="J70:J90" si="11">ROUND(SUM(G70:I70),2)</f>
        <v>0</v>
      </c>
      <c r="K70" s="579">
        <f t="shared" si="10"/>
        <v>0</v>
      </c>
    </row>
    <row r="71" spans="1:11" x14ac:dyDescent="0.15">
      <c r="A71" s="2596"/>
      <c r="B71" s="2606"/>
      <c r="C71" s="2726"/>
      <c r="D71" s="559" t="s">
        <v>2162</v>
      </c>
      <c r="E71" s="1420"/>
      <c r="F71" s="1392"/>
      <c r="G71" s="596"/>
      <c r="H71" s="596"/>
      <c r="I71" s="596"/>
      <c r="J71" s="507">
        <f t="shared" si="11"/>
        <v>0</v>
      </c>
      <c r="K71" s="579">
        <f t="shared" si="10"/>
        <v>0</v>
      </c>
    </row>
    <row r="72" spans="1:11" x14ac:dyDescent="0.15">
      <c r="A72" s="2596"/>
      <c r="B72" s="2606"/>
      <c r="C72" s="2725" t="s">
        <v>2201</v>
      </c>
      <c r="D72" s="559" t="s">
        <v>2163</v>
      </c>
      <c r="F72" s="1358"/>
      <c r="G72" s="158"/>
      <c r="H72" s="158"/>
      <c r="I72" s="158"/>
      <c r="J72" s="350">
        <f t="shared" si="11"/>
        <v>0</v>
      </c>
      <c r="K72" s="579">
        <f t="shared" si="10"/>
        <v>0</v>
      </c>
    </row>
    <row r="73" spans="1:11" x14ac:dyDescent="0.15">
      <c r="A73" s="2596"/>
      <c r="B73" s="2606"/>
      <c r="C73" s="2725"/>
      <c r="D73" s="559" t="s">
        <v>2164</v>
      </c>
      <c r="F73" s="1358"/>
      <c r="G73" s="158"/>
      <c r="H73" s="158"/>
      <c r="I73" s="158"/>
      <c r="J73" s="350">
        <f t="shared" si="11"/>
        <v>0</v>
      </c>
      <c r="K73" s="579">
        <f t="shared" si="10"/>
        <v>0</v>
      </c>
    </row>
    <row r="74" spans="1:11" ht="22.5" x14ac:dyDescent="0.15">
      <c r="A74" s="2596"/>
      <c r="B74" s="2606"/>
      <c r="C74" s="2725"/>
      <c r="D74" s="559" t="s">
        <v>2165</v>
      </c>
      <c r="F74" s="1358"/>
      <c r="G74" s="158"/>
      <c r="H74" s="158"/>
      <c r="I74" s="158"/>
      <c r="J74" s="350">
        <f t="shared" si="11"/>
        <v>0</v>
      </c>
      <c r="K74" s="579">
        <f t="shared" si="10"/>
        <v>0</v>
      </c>
    </row>
    <row r="75" spans="1:11" x14ac:dyDescent="0.15">
      <c r="A75" s="2596"/>
      <c r="B75" s="2606"/>
      <c r="C75" s="2725"/>
      <c r="D75" s="559" t="s">
        <v>2166</v>
      </c>
      <c r="F75" s="1358"/>
      <c r="G75" s="158"/>
      <c r="H75" s="158"/>
      <c r="I75" s="158"/>
      <c r="J75" s="350">
        <f t="shared" si="11"/>
        <v>0</v>
      </c>
      <c r="K75" s="579">
        <f t="shared" si="10"/>
        <v>0</v>
      </c>
    </row>
    <row r="76" spans="1:11" x14ac:dyDescent="0.15">
      <c r="A76" s="2596"/>
      <c r="B76" s="2606"/>
      <c r="C76" s="2725"/>
      <c r="D76" s="975" t="s">
        <v>2167</v>
      </c>
      <c r="F76" s="1358"/>
      <c r="G76" s="158"/>
      <c r="H76" s="158"/>
      <c r="I76" s="158"/>
      <c r="J76" s="507">
        <f t="shared" si="11"/>
        <v>0</v>
      </c>
      <c r="K76" s="579">
        <f t="shared" si="10"/>
        <v>0</v>
      </c>
    </row>
    <row r="77" spans="1:11" x14ac:dyDescent="0.15">
      <c r="A77" s="2596"/>
      <c r="B77" s="2606"/>
      <c r="C77" s="2724" t="s">
        <v>2168</v>
      </c>
      <c r="D77" s="567" t="s">
        <v>2169</v>
      </c>
      <c r="E77" s="1549"/>
      <c r="F77" s="1550"/>
      <c r="G77" s="458"/>
      <c r="H77" s="458"/>
      <c r="I77" s="458"/>
      <c r="J77" s="350">
        <f t="shared" si="11"/>
        <v>0</v>
      </c>
      <c r="K77" s="579">
        <f t="shared" si="10"/>
        <v>0</v>
      </c>
    </row>
    <row r="78" spans="1:11" x14ac:dyDescent="0.15">
      <c r="A78" s="2596"/>
      <c r="B78" s="2606"/>
      <c r="C78" s="2725"/>
      <c r="D78" s="559" t="s">
        <v>2170</v>
      </c>
      <c r="F78" s="1358"/>
      <c r="G78" s="158"/>
      <c r="H78" s="158"/>
      <c r="I78" s="158"/>
      <c r="J78" s="350">
        <f t="shared" si="11"/>
        <v>0</v>
      </c>
      <c r="K78" s="579">
        <f t="shared" si="10"/>
        <v>0</v>
      </c>
    </row>
    <row r="79" spans="1:11" x14ac:dyDescent="0.15">
      <c r="A79" s="2596"/>
      <c r="B79" s="2606"/>
      <c r="C79" s="2726"/>
      <c r="D79" s="559" t="s">
        <v>2171</v>
      </c>
      <c r="E79" s="1420"/>
      <c r="F79" s="1392"/>
      <c r="G79" s="596"/>
      <c r="H79" s="596"/>
      <c r="I79" s="596"/>
      <c r="J79" s="507">
        <f t="shared" si="11"/>
        <v>0</v>
      </c>
      <c r="K79" s="579">
        <f t="shared" si="10"/>
        <v>0</v>
      </c>
    </row>
    <row r="80" spans="1:11" x14ac:dyDescent="0.15">
      <c r="A80" s="2596"/>
      <c r="B80" s="2606"/>
      <c r="C80" s="2720" t="s">
        <v>2176</v>
      </c>
      <c r="D80" s="2721"/>
      <c r="E80" s="1850"/>
      <c r="F80" s="1843"/>
      <c r="G80" s="1844"/>
      <c r="H80" s="1844"/>
      <c r="I80" s="1844"/>
      <c r="J80" s="507">
        <f t="shared" si="11"/>
        <v>0</v>
      </c>
      <c r="K80" s="579">
        <f t="shared" si="10"/>
        <v>0</v>
      </c>
    </row>
    <row r="81" spans="1:11" x14ac:dyDescent="0.15">
      <c r="A81" s="2596"/>
      <c r="B81" s="2606"/>
      <c r="C81" s="2725" t="s">
        <v>2172</v>
      </c>
      <c r="D81" s="559" t="s">
        <v>2173</v>
      </c>
      <c r="F81" s="1358"/>
      <c r="G81" s="158"/>
      <c r="H81" s="158"/>
      <c r="I81" s="158"/>
      <c r="J81" s="350">
        <f t="shared" si="11"/>
        <v>0</v>
      </c>
      <c r="K81" s="579">
        <f t="shared" si="10"/>
        <v>0</v>
      </c>
    </row>
    <row r="82" spans="1:11" ht="19.5" thickBot="1" x14ac:dyDescent="0.2">
      <c r="A82" s="2596"/>
      <c r="B82" s="2607"/>
      <c r="C82" s="2731"/>
      <c r="D82" s="566" t="s">
        <v>2174</v>
      </c>
      <c r="E82" s="987"/>
      <c r="F82" s="564"/>
      <c r="G82" s="1856"/>
      <c r="H82" s="1856"/>
      <c r="I82" s="1856"/>
      <c r="J82" s="361">
        <f t="shared" si="11"/>
        <v>0</v>
      </c>
      <c r="K82" s="579">
        <f t="shared" si="10"/>
        <v>0</v>
      </c>
    </row>
    <row r="83" spans="1:11" x14ac:dyDescent="0.15">
      <c r="A83" s="2596"/>
      <c r="B83" s="2632" t="s">
        <v>2177</v>
      </c>
      <c r="C83" s="2727" t="s">
        <v>2179</v>
      </c>
      <c r="D83" s="2728"/>
      <c r="E83" s="985"/>
      <c r="F83" s="1359"/>
      <c r="G83" s="238"/>
      <c r="H83" s="238"/>
      <c r="I83" s="238"/>
      <c r="J83" s="350">
        <f t="shared" si="11"/>
        <v>0</v>
      </c>
      <c r="K83" s="579">
        <f t="shared" si="10"/>
        <v>0</v>
      </c>
    </row>
    <row r="84" spans="1:11" ht="18.75" customHeight="1" x14ac:dyDescent="0.15">
      <c r="A84" s="2596"/>
      <c r="B84" s="2622"/>
      <c r="C84" s="2720" t="s">
        <v>2661</v>
      </c>
      <c r="D84" s="2721"/>
      <c r="F84" s="1358"/>
      <c r="G84" s="158">
        <f>G3</f>
        <v>0</v>
      </c>
      <c r="H84" s="158"/>
      <c r="I84" s="158"/>
      <c r="J84" s="350">
        <f t="shared" si="11"/>
        <v>0</v>
      </c>
      <c r="K84" s="579">
        <f t="shared" si="10"/>
        <v>0</v>
      </c>
    </row>
    <row r="85" spans="1:11" x14ac:dyDescent="0.15">
      <c r="A85" s="2596"/>
      <c r="B85" s="2622"/>
      <c r="C85" s="2720" t="s">
        <v>2178</v>
      </c>
      <c r="D85" s="2721"/>
      <c r="F85" s="1358"/>
      <c r="G85" s="158"/>
      <c r="H85" s="158"/>
      <c r="I85" s="158"/>
      <c r="J85" s="350">
        <f t="shared" ref="J85:J87" si="12">ROUND(SUM(G85:I85),2)</f>
        <v>0</v>
      </c>
      <c r="K85" s="579">
        <f t="shared" ref="K85:K87" si="13">SUM(G85:J85)</f>
        <v>0</v>
      </c>
    </row>
    <row r="86" spans="1:11" x14ac:dyDescent="0.15">
      <c r="A86" s="2596"/>
      <c r="B86" s="2622"/>
      <c r="C86" s="2720" t="s">
        <v>2180</v>
      </c>
      <c r="D86" s="2721"/>
      <c r="F86" s="1358"/>
      <c r="G86" s="158"/>
      <c r="H86" s="158"/>
      <c r="I86" s="158"/>
      <c r="J86" s="350">
        <f t="shared" si="12"/>
        <v>0</v>
      </c>
      <c r="K86" s="579">
        <f t="shared" si="13"/>
        <v>0</v>
      </c>
    </row>
    <row r="87" spans="1:11" ht="22.5" customHeight="1" x14ac:dyDescent="0.15">
      <c r="A87" s="2596"/>
      <c r="B87" s="2622"/>
      <c r="C87" s="2720" t="s">
        <v>2648</v>
      </c>
      <c r="D87" s="2721"/>
      <c r="F87" s="1358"/>
      <c r="G87" s="158"/>
      <c r="H87" s="158"/>
      <c r="I87" s="158"/>
      <c r="J87" s="350">
        <f t="shared" si="12"/>
        <v>0</v>
      </c>
      <c r="K87" s="579">
        <f t="shared" si="13"/>
        <v>0</v>
      </c>
    </row>
    <row r="88" spans="1:11" x14ac:dyDescent="0.15">
      <c r="A88" s="2596"/>
      <c r="B88" s="2622"/>
      <c r="C88" s="2720" t="s">
        <v>2191</v>
      </c>
      <c r="D88" s="2721"/>
      <c r="F88" s="1358"/>
      <c r="G88" s="158">
        <f>INT(G3/5)</f>
        <v>0</v>
      </c>
      <c r="H88" s="158"/>
      <c r="I88" s="158"/>
      <c r="J88" s="350">
        <f t="shared" si="11"/>
        <v>0</v>
      </c>
      <c r="K88" s="579">
        <f t="shared" si="10"/>
        <v>0</v>
      </c>
    </row>
    <row r="89" spans="1:11" x14ac:dyDescent="0.15">
      <c r="A89" s="2596"/>
      <c r="B89" s="2622"/>
      <c r="C89" s="2720" t="s">
        <v>2192</v>
      </c>
      <c r="D89" s="2721"/>
      <c r="F89" s="1358"/>
      <c r="G89" s="158"/>
      <c r="H89" s="158"/>
      <c r="I89" s="158"/>
      <c r="J89" s="350">
        <f t="shared" si="11"/>
        <v>0</v>
      </c>
      <c r="K89" s="579">
        <f t="shared" si="10"/>
        <v>0</v>
      </c>
    </row>
    <row r="90" spans="1:11" x14ac:dyDescent="0.15">
      <c r="A90" s="2596"/>
      <c r="B90" s="2622"/>
      <c r="C90" s="2720" t="s">
        <v>2181</v>
      </c>
      <c r="D90" s="2730" t="s">
        <v>2181</v>
      </c>
      <c r="F90" s="1358"/>
      <c r="G90" s="158"/>
      <c r="H90" s="158"/>
      <c r="I90" s="158"/>
      <c r="J90" s="350">
        <f t="shared" si="11"/>
        <v>0</v>
      </c>
      <c r="K90" s="579">
        <f t="shared" si="10"/>
        <v>0</v>
      </c>
    </row>
    <row r="91" spans="1:11" ht="18.75" customHeight="1" x14ac:dyDescent="0.15">
      <c r="A91" s="2596"/>
      <c r="B91" s="2622"/>
      <c r="C91" s="2724" t="s">
        <v>2182</v>
      </c>
      <c r="D91" s="567" t="s">
        <v>29</v>
      </c>
      <c r="E91" s="1549"/>
      <c r="F91" s="1550"/>
      <c r="G91" s="458"/>
      <c r="H91" s="458"/>
      <c r="I91" s="458"/>
      <c r="J91" s="1849">
        <f>SUM(G91:I91)</f>
        <v>0</v>
      </c>
      <c r="K91" s="579">
        <f t="shared" si="10"/>
        <v>0</v>
      </c>
    </row>
    <row r="92" spans="1:11" ht="18.75" customHeight="1" x14ac:dyDescent="0.15">
      <c r="A92" s="2596"/>
      <c r="B92" s="2622"/>
      <c r="C92" s="2725"/>
      <c r="D92" s="567" t="s">
        <v>1280</v>
      </c>
      <c r="F92" s="1358" t="s">
        <v>2215</v>
      </c>
      <c r="G92" s="1419"/>
      <c r="H92" s="1419"/>
      <c r="I92" s="1419"/>
      <c r="J92" s="1417"/>
      <c r="K92" s="579">
        <f t="shared" si="10"/>
        <v>0</v>
      </c>
    </row>
    <row r="93" spans="1:11" ht="18.75" customHeight="1" x14ac:dyDescent="0.15">
      <c r="A93" s="2596"/>
      <c r="B93" s="2622"/>
      <c r="C93" s="2726"/>
      <c r="D93" s="567" t="s">
        <v>11</v>
      </c>
      <c r="E93" s="1420"/>
      <c r="F93" s="1392"/>
      <c r="G93" s="596"/>
      <c r="H93" s="596"/>
      <c r="I93" s="596"/>
      <c r="J93" s="507">
        <f>ROUND(SUM(G93:I93),2)</f>
        <v>0</v>
      </c>
      <c r="K93" s="579">
        <f t="shared" si="10"/>
        <v>0</v>
      </c>
    </row>
    <row r="94" spans="1:11" x14ac:dyDescent="0.15">
      <c r="A94" s="2596"/>
      <c r="B94" s="2622"/>
      <c r="C94" s="2724" t="s">
        <v>2193</v>
      </c>
      <c r="D94" s="1827" t="s">
        <v>29</v>
      </c>
      <c r="E94" s="1848"/>
      <c r="F94" s="1550"/>
      <c r="G94" s="458"/>
      <c r="H94" s="458"/>
      <c r="I94" s="458"/>
      <c r="J94" s="595">
        <f>SUM(G94:I94)</f>
        <v>0</v>
      </c>
      <c r="K94" s="579">
        <f t="shared" si="10"/>
        <v>0</v>
      </c>
    </row>
    <row r="95" spans="1:11" x14ac:dyDescent="0.15">
      <c r="A95" s="2596"/>
      <c r="B95" s="2622"/>
      <c r="C95" s="2725"/>
      <c r="D95" s="1827" t="s">
        <v>1280</v>
      </c>
      <c r="E95" s="1548"/>
      <c r="F95" s="1358" t="s">
        <v>2214</v>
      </c>
      <c r="G95" s="1419"/>
      <c r="H95" s="1419"/>
      <c r="I95" s="1419"/>
      <c r="J95" s="1417"/>
      <c r="K95" s="579">
        <f t="shared" si="10"/>
        <v>0</v>
      </c>
    </row>
    <row r="96" spans="1:11" x14ac:dyDescent="0.15">
      <c r="A96" s="2596"/>
      <c r="B96" s="2622"/>
      <c r="C96" s="2726"/>
      <c r="D96" s="1827" t="s">
        <v>11</v>
      </c>
      <c r="E96" s="1846"/>
      <c r="F96" s="1392"/>
      <c r="G96" s="1851">
        <f>G94*G95/100</f>
        <v>0</v>
      </c>
      <c r="H96" s="1851"/>
      <c r="I96" s="1851"/>
      <c r="J96" s="507">
        <f>ROUND(SUM(G96:I96),2)</f>
        <v>0</v>
      </c>
      <c r="K96" s="579">
        <f t="shared" si="10"/>
        <v>0</v>
      </c>
    </row>
    <row r="97" spans="1:11" ht="18.75" customHeight="1" x14ac:dyDescent="0.15">
      <c r="A97" s="2596"/>
      <c r="B97" s="2622"/>
      <c r="C97" s="2724" t="s">
        <v>2194</v>
      </c>
      <c r="D97" s="1827" t="s">
        <v>29</v>
      </c>
      <c r="F97" s="1358"/>
      <c r="G97" s="158"/>
      <c r="H97" s="158"/>
      <c r="I97" s="158"/>
      <c r="J97" s="350">
        <f>ROUND(SUM(G97:I97),2)</f>
        <v>0</v>
      </c>
      <c r="K97" s="579">
        <f t="shared" si="10"/>
        <v>0</v>
      </c>
    </row>
    <row r="98" spans="1:11" ht="18.75" customHeight="1" x14ac:dyDescent="0.15">
      <c r="A98" s="2596"/>
      <c r="B98" s="2631"/>
      <c r="C98" s="2725"/>
      <c r="D98" s="1827" t="s">
        <v>1280</v>
      </c>
      <c r="F98" s="1358" t="s">
        <v>2212</v>
      </c>
      <c r="G98" s="1419"/>
      <c r="H98" s="1419"/>
      <c r="I98" s="1419"/>
      <c r="J98" s="1417"/>
      <c r="K98" s="579">
        <f t="shared" si="10"/>
        <v>0</v>
      </c>
    </row>
    <row r="99" spans="1:11" ht="18.75" customHeight="1" x14ac:dyDescent="0.15">
      <c r="A99" s="2596"/>
      <c r="B99" s="2631"/>
      <c r="C99" s="2726"/>
      <c r="D99" s="1827" t="s">
        <v>11</v>
      </c>
      <c r="E99" s="1846"/>
      <c r="F99" s="1392"/>
      <c r="G99" s="1851">
        <f>G97*G98/100</f>
        <v>0</v>
      </c>
      <c r="H99" s="1851"/>
      <c r="I99" s="1851"/>
      <c r="J99" s="1847">
        <f>SUM(G99:I99)</f>
        <v>0</v>
      </c>
      <c r="K99" s="579">
        <f t="shared" si="10"/>
        <v>0</v>
      </c>
    </row>
    <row r="100" spans="1:11" ht="18.75" customHeight="1" x14ac:dyDescent="0.15">
      <c r="A100" s="2596"/>
      <c r="B100" s="2631"/>
      <c r="C100" s="2724" t="s">
        <v>2211</v>
      </c>
      <c r="D100" s="1827" t="s">
        <v>29</v>
      </c>
      <c r="F100" s="1358"/>
      <c r="G100" s="158"/>
      <c r="H100" s="158"/>
      <c r="I100" s="158"/>
      <c r="J100" s="595">
        <f>SUM(G100:I100)</f>
        <v>0</v>
      </c>
      <c r="K100" s="579">
        <f t="shared" si="10"/>
        <v>0</v>
      </c>
    </row>
    <row r="101" spans="1:11" ht="18.75" customHeight="1" x14ac:dyDescent="0.15">
      <c r="A101" s="2596"/>
      <c r="B101" s="2631"/>
      <c r="C101" s="2725"/>
      <c r="D101" s="1827" t="s">
        <v>1280</v>
      </c>
      <c r="F101" s="1358" t="s">
        <v>2213</v>
      </c>
      <c r="G101" s="158"/>
      <c r="H101" s="158"/>
      <c r="I101" s="158"/>
      <c r="J101" s="1417"/>
      <c r="K101" s="579">
        <f t="shared" ref="K101:K109" si="14">SUM(G101:J101)</f>
        <v>0</v>
      </c>
    </row>
    <row r="102" spans="1:11" ht="18.75" customHeight="1" x14ac:dyDescent="0.15">
      <c r="A102" s="2596"/>
      <c r="B102" s="2631"/>
      <c r="C102" s="2726"/>
      <c r="D102" s="1827" t="s">
        <v>11</v>
      </c>
      <c r="E102" s="1846"/>
      <c r="F102" s="1392"/>
      <c r="G102" s="1851">
        <f>G100*G101/100</f>
        <v>0</v>
      </c>
      <c r="H102" s="1851"/>
      <c r="I102" s="1851"/>
      <c r="J102" s="507">
        <f t="shared" ref="J102:J109" si="15">ROUND(SUM(G102:I102),2)</f>
        <v>0</v>
      </c>
      <c r="K102" s="579">
        <f t="shared" si="14"/>
        <v>0</v>
      </c>
    </row>
    <row r="103" spans="1:11" ht="19.5" thickBot="1" x14ac:dyDescent="0.2">
      <c r="A103" s="2596"/>
      <c r="B103" s="2650"/>
      <c r="C103" s="2722" t="s">
        <v>2183</v>
      </c>
      <c r="D103" s="2723"/>
      <c r="E103" s="987"/>
      <c r="F103" s="564"/>
      <c r="G103" s="239"/>
      <c r="H103" s="239"/>
      <c r="I103" s="239"/>
      <c r="J103" s="361">
        <f t="shared" si="15"/>
        <v>0</v>
      </c>
      <c r="K103" s="579">
        <f t="shared" si="14"/>
        <v>0</v>
      </c>
    </row>
    <row r="104" spans="1:11" ht="19.5" customHeight="1" x14ac:dyDescent="0.15">
      <c r="A104" s="2596"/>
      <c r="B104" s="2605" t="s">
        <v>2184</v>
      </c>
      <c r="C104" s="2727" t="s">
        <v>2185</v>
      </c>
      <c r="D104" s="2728"/>
      <c r="E104" s="985"/>
      <c r="F104" s="1359"/>
      <c r="G104" s="1852">
        <f>G7</f>
        <v>0</v>
      </c>
      <c r="H104" s="1852"/>
      <c r="I104" s="1852"/>
      <c r="J104" s="350">
        <f t="shared" si="15"/>
        <v>0</v>
      </c>
      <c r="K104" s="579">
        <f t="shared" si="14"/>
        <v>0</v>
      </c>
    </row>
    <row r="105" spans="1:11" x14ac:dyDescent="0.15">
      <c r="A105" s="2596"/>
      <c r="B105" s="2606"/>
      <c r="C105" s="2720" t="s">
        <v>2186</v>
      </c>
      <c r="D105" s="2721"/>
      <c r="F105" s="1358"/>
      <c r="G105" s="1841">
        <f>G37*1.25</f>
        <v>0</v>
      </c>
      <c r="H105" s="1841"/>
      <c r="I105" s="1841"/>
      <c r="J105" s="350">
        <f t="shared" si="15"/>
        <v>0</v>
      </c>
      <c r="K105" s="579">
        <f t="shared" si="14"/>
        <v>0</v>
      </c>
    </row>
    <row r="106" spans="1:11" x14ac:dyDescent="0.15">
      <c r="A106" s="2596"/>
      <c r="B106" s="2606"/>
      <c r="C106" s="2720" t="s">
        <v>2187</v>
      </c>
      <c r="D106" s="2721"/>
      <c r="F106" s="1358"/>
      <c r="G106" s="1841">
        <f>G18*1.4</f>
        <v>0</v>
      </c>
      <c r="H106" s="1841"/>
      <c r="I106" s="1841"/>
      <c r="J106" s="350">
        <f t="shared" si="15"/>
        <v>0</v>
      </c>
      <c r="K106" s="579">
        <f t="shared" si="14"/>
        <v>0</v>
      </c>
    </row>
    <row r="107" spans="1:11" ht="24.75" customHeight="1" x14ac:dyDescent="0.15">
      <c r="A107" s="2596"/>
      <c r="B107" s="2606"/>
      <c r="C107" s="2720" t="s">
        <v>2188</v>
      </c>
      <c r="D107" s="2721"/>
      <c r="G107" s="1841">
        <f>G31*G32*1.25</f>
        <v>0</v>
      </c>
      <c r="H107" s="1841"/>
      <c r="I107" s="1841"/>
      <c r="J107" s="350">
        <f t="shared" si="15"/>
        <v>0</v>
      </c>
      <c r="K107" s="579">
        <f t="shared" si="14"/>
        <v>0</v>
      </c>
    </row>
    <row r="108" spans="1:11" ht="18.75" customHeight="1" x14ac:dyDescent="0.15">
      <c r="A108" s="2596"/>
      <c r="B108" s="2606"/>
      <c r="C108" s="2720" t="s">
        <v>2012</v>
      </c>
      <c r="D108" s="2721"/>
      <c r="E108" s="133"/>
      <c r="F108" s="133"/>
      <c r="G108" s="1841">
        <f>G33</f>
        <v>0</v>
      </c>
      <c r="H108" s="1841"/>
      <c r="I108" s="1841"/>
      <c r="J108" s="350">
        <f t="shared" si="15"/>
        <v>0</v>
      </c>
      <c r="K108" s="579">
        <f t="shared" si="14"/>
        <v>0</v>
      </c>
    </row>
    <row r="109" spans="1:11" ht="19.5" thickBot="1" x14ac:dyDescent="0.2">
      <c r="A109" s="2596"/>
      <c r="B109" s="2607"/>
      <c r="C109" s="2722" t="s">
        <v>2189</v>
      </c>
      <c r="D109" s="2723"/>
      <c r="E109" s="987"/>
      <c r="F109" s="564"/>
      <c r="G109" s="1853">
        <f>(SUM(G69:G76)+G77*0.17+G78*0.23+G79*0.3+G80)*1.3+G13+(G23+G25)*1.1</f>
        <v>0</v>
      </c>
      <c r="H109" s="1853"/>
      <c r="I109" s="1853"/>
      <c r="J109" s="361">
        <f t="shared" si="15"/>
        <v>0</v>
      </c>
      <c r="K109" s="579">
        <f t="shared" si="14"/>
        <v>0</v>
      </c>
    </row>
    <row r="110" spans="1:11" ht="20.25" thickBot="1" x14ac:dyDescent="0.2">
      <c r="A110" s="2597"/>
      <c r="B110" s="2610" t="s">
        <v>12</v>
      </c>
      <c r="C110" s="2733"/>
      <c r="D110" s="2611"/>
      <c r="E110" s="990"/>
      <c r="F110" s="565"/>
      <c r="G110" s="1352"/>
      <c r="H110" s="1352"/>
      <c r="I110" s="1352"/>
      <c r="J110" s="1404"/>
      <c r="K110" s="668">
        <v>1</v>
      </c>
    </row>
    <row r="111" spans="1:11" ht="19.5" thickTop="1" x14ac:dyDescent="0.15"/>
    <row r="112" spans="1:11" x14ac:dyDescent="0.15">
      <c r="J112" s="1353">
        <f>J106-J109</f>
        <v>0</v>
      </c>
    </row>
  </sheetData>
  <autoFilter ref="K1:K112" xr:uid="{00000000-0009-0000-0000-000014000000}"/>
  <mergeCells count="50">
    <mergeCell ref="A1:A110"/>
    <mergeCell ref="B1:D1"/>
    <mergeCell ref="B2:B16"/>
    <mergeCell ref="C65:C68"/>
    <mergeCell ref="C91:C93"/>
    <mergeCell ref="C97:C99"/>
    <mergeCell ref="C100:C102"/>
    <mergeCell ref="B104:B109"/>
    <mergeCell ref="B110:D110"/>
    <mergeCell ref="C2:C7"/>
    <mergeCell ref="C8:C13"/>
    <mergeCell ref="C14:C16"/>
    <mergeCell ref="C20:D20"/>
    <mergeCell ref="C21:C25"/>
    <mergeCell ref="B83:B103"/>
    <mergeCell ref="C86:D86"/>
    <mergeCell ref="C88:D88"/>
    <mergeCell ref="C89:D89"/>
    <mergeCell ref="C90:D90"/>
    <mergeCell ref="C37:D37"/>
    <mergeCell ref="C38:C42"/>
    <mergeCell ref="C87:D87"/>
    <mergeCell ref="C85:D85"/>
    <mergeCell ref="C51:C54"/>
    <mergeCell ref="C55:C64"/>
    <mergeCell ref="C69:C71"/>
    <mergeCell ref="C72:C76"/>
    <mergeCell ref="C77:C79"/>
    <mergeCell ref="C80:D80"/>
    <mergeCell ref="C81:C82"/>
    <mergeCell ref="C83:D83"/>
    <mergeCell ref="C84:D84"/>
    <mergeCell ref="C30:D30"/>
    <mergeCell ref="C26:C29"/>
    <mergeCell ref="B17:B42"/>
    <mergeCell ref="C45:C50"/>
    <mergeCell ref="C17:C19"/>
    <mergeCell ref="B45:B82"/>
    <mergeCell ref="B43:B44"/>
    <mergeCell ref="C43:D43"/>
    <mergeCell ref="C44:D44"/>
    <mergeCell ref="C31:C36"/>
    <mergeCell ref="C106:D106"/>
    <mergeCell ref="C107:D107"/>
    <mergeCell ref="C108:D108"/>
    <mergeCell ref="C109:D109"/>
    <mergeCell ref="C94:C96"/>
    <mergeCell ref="C103:D103"/>
    <mergeCell ref="C104:D104"/>
    <mergeCell ref="C105:D105"/>
  </mergeCells>
  <phoneticPr fontId="140" type="noConversion"/>
  <conditionalFormatting sqref="G31:I31">
    <cfRule type="expression" dxfId="103" priority="4">
      <formula>G28&gt;0</formula>
    </cfRule>
  </conditionalFormatting>
  <conditionalFormatting sqref="G99:I102 G104:I106">
    <cfRule type="expression" dxfId="102" priority="1">
      <formula>G99&gt;0</formula>
    </cfRule>
  </conditionalFormatting>
  <conditionalFormatting sqref="H50">
    <cfRule type="expression" dxfId="101" priority="2">
      <formula>H48&gt;0</formula>
    </cfRule>
  </conditionalFormatting>
  <conditionalFormatting sqref="I1">
    <cfRule type="cellIs" dxfId="100" priority="6" operator="lessThan">
      <formula>0</formula>
    </cfRule>
  </conditionalFormatting>
  <conditionalFormatting sqref="I80">
    <cfRule type="expression" dxfId="99" priority="20">
      <formula>I80&gt;0</formula>
    </cfRule>
    <cfRule type="expression" dxfId="98" priority="21">
      <formula>I69&gt;0</formula>
    </cfRule>
  </conditionalFormatting>
  <hyperlinks>
    <hyperlink ref="B1:D1" location="PAINEL!A1" display="TRECHOS" xr:uid="{00000000-0004-0000-1400-000000000000}"/>
  </hyperlink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29">
    <tabColor theme="5" tint="0.59999389629810485"/>
    <pageSetUpPr fitToPage="1"/>
  </sheetPr>
  <dimension ref="A1:W120"/>
  <sheetViews>
    <sheetView showZeros="0" view="pageBreakPreview" zoomScaleNormal="100" zoomScaleSheetLayoutView="100" workbookViewId="0">
      <pane xSplit="5" ySplit="1" topLeftCell="F119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6" sqref="F6"/>
    </sheetView>
  </sheetViews>
  <sheetFormatPr defaultColWidth="9" defaultRowHeight="18.75" x14ac:dyDescent="0.15"/>
  <cols>
    <col min="1" max="1" width="9.75" style="133" customWidth="1"/>
    <col min="2" max="2" width="13.5" style="1287" customWidth="1"/>
    <col min="3" max="3" width="27.375" style="1287" customWidth="1"/>
    <col min="4" max="4" width="4.25" style="986" hidden="1" customWidth="1"/>
    <col min="5" max="5" width="18.75" style="13" hidden="1" customWidth="1"/>
    <col min="6" max="6" width="12.625" style="133" customWidth="1"/>
    <col min="7" max="7" width="16.625" style="133" hidden="1" customWidth="1"/>
    <col min="8" max="8" width="12.625" style="133" hidden="1" customWidth="1"/>
    <col min="9" max="9" width="12.625" style="420" customWidth="1"/>
    <col min="10" max="10" width="18.125" style="133" customWidth="1"/>
    <col min="11" max="14" width="15.625" style="133" customWidth="1"/>
    <col min="15" max="20" width="9" style="133"/>
    <col min="21" max="21" width="10" style="133" customWidth="1"/>
    <col min="22" max="16384" width="9" style="133"/>
  </cols>
  <sheetData>
    <row r="1" spans="1:10" s="16" customFormat="1" ht="60" customHeight="1" thickTop="1" thickBot="1" x14ac:dyDescent="0.2">
      <c r="A1" s="2595" t="s">
        <v>331</v>
      </c>
      <c r="B1" s="2608" t="s">
        <v>346</v>
      </c>
      <c r="C1" s="2609"/>
      <c r="D1" s="1254"/>
      <c r="E1" s="1505" t="s">
        <v>588</v>
      </c>
      <c r="F1" s="2116" t="e">
        <f>Pav_Dados!#REF!</f>
        <v>#REF!</v>
      </c>
      <c r="G1" s="661" t="e">
        <f>Pav_Dados!#REF!</f>
        <v>#REF!</v>
      </c>
      <c r="H1" s="661"/>
      <c r="I1" s="224" t="s">
        <v>0</v>
      </c>
      <c r="J1" s="578" t="s">
        <v>1359</v>
      </c>
    </row>
    <row r="2" spans="1:10" ht="20.25" thickTop="1" thickBot="1" x14ac:dyDescent="0.2">
      <c r="A2" s="2596"/>
      <c r="B2" s="2743" t="s">
        <v>3</v>
      </c>
      <c r="C2" s="2744"/>
      <c r="D2" s="1060"/>
      <c r="E2" s="2031"/>
      <c r="F2" s="2043"/>
      <c r="G2" s="1259"/>
      <c r="H2" s="1259"/>
      <c r="I2" s="1149">
        <f>ROUND(SUM(F2:H2),2)</f>
        <v>0</v>
      </c>
      <c r="J2" s="579">
        <f t="shared" ref="J2:J33" si="0">SUM(F2:I2)</f>
        <v>0</v>
      </c>
    </row>
    <row r="3" spans="1:10" ht="19.5" thickBot="1" x14ac:dyDescent="0.2">
      <c r="A3" s="2596"/>
      <c r="B3" s="2749" t="s">
        <v>1458</v>
      </c>
      <c r="C3" s="2749"/>
      <c r="D3" s="1256"/>
      <c r="E3" s="1257"/>
      <c r="F3" s="2044"/>
      <c r="G3" s="1260"/>
      <c r="H3" s="1260"/>
      <c r="I3" s="1261">
        <f>SUM(I4:I8)</f>
        <v>0</v>
      </c>
      <c r="J3" s="579">
        <f t="shared" si="0"/>
        <v>0</v>
      </c>
    </row>
    <row r="4" spans="1:10" x14ac:dyDescent="0.15">
      <c r="A4" s="2596"/>
      <c r="B4" s="2745" t="s">
        <v>991</v>
      </c>
      <c r="C4" s="1245" t="s">
        <v>1443</v>
      </c>
      <c r="D4" s="1061"/>
      <c r="E4" s="1805" t="s">
        <v>1462</v>
      </c>
      <c r="F4" s="2045"/>
      <c r="G4" s="1170"/>
      <c r="H4" s="1170"/>
      <c r="I4" s="1204">
        <f t="shared" ref="I4:I14" si="1">ROUND(SUM(F4:H4),2)</f>
        <v>0</v>
      </c>
      <c r="J4" s="579">
        <f t="shared" si="0"/>
        <v>0</v>
      </c>
    </row>
    <row r="5" spans="1:10" x14ac:dyDescent="0.15">
      <c r="A5" s="2596"/>
      <c r="B5" s="2754"/>
      <c r="C5" s="1255" t="s">
        <v>1444</v>
      </c>
      <c r="D5" s="1062"/>
      <c r="E5" s="13" t="s">
        <v>996</v>
      </c>
      <c r="F5" s="2046"/>
      <c r="G5" s="1176"/>
      <c r="H5" s="1176"/>
      <c r="I5" s="1140">
        <f t="shared" si="1"/>
        <v>0</v>
      </c>
      <c r="J5" s="579">
        <f t="shared" si="0"/>
        <v>0</v>
      </c>
    </row>
    <row r="6" spans="1:10" ht="39.950000000000003" customHeight="1" thickBot="1" x14ac:dyDescent="0.2">
      <c r="A6" s="2596"/>
      <c r="B6" s="2746"/>
      <c r="C6" s="1246" t="s">
        <v>1445</v>
      </c>
      <c r="D6" s="983"/>
      <c r="E6" s="1804" t="s">
        <v>1463</v>
      </c>
      <c r="F6" s="2047"/>
      <c r="G6" s="2188"/>
      <c r="H6" s="1262"/>
      <c r="I6" s="1141">
        <f t="shared" si="1"/>
        <v>0</v>
      </c>
      <c r="J6" s="579">
        <f t="shared" si="0"/>
        <v>0</v>
      </c>
    </row>
    <row r="7" spans="1:10" s="14" customFormat="1" x14ac:dyDescent="0.15">
      <c r="A7" s="2596"/>
      <c r="B7" s="2745" t="s">
        <v>1449</v>
      </c>
      <c r="C7" s="1245" t="s">
        <v>1446</v>
      </c>
      <c r="D7" s="1062"/>
      <c r="E7" s="1805" t="s">
        <v>997</v>
      </c>
      <c r="F7" s="2045"/>
      <c r="G7" s="1170"/>
      <c r="H7" s="1170"/>
      <c r="I7" s="1204">
        <f t="shared" si="1"/>
        <v>0</v>
      </c>
      <c r="J7" s="579">
        <f t="shared" si="0"/>
        <v>0</v>
      </c>
    </row>
    <row r="8" spans="1:10" ht="19.5" thickBot="1" x14ac:dyDescent="0.2">
      <c r="A8" s="2596"/>
      <c r="B8" s="2746"/>
      <c r="C8" s="1246" t="s">
        <v>1447</v>
      </c>
      <c r="D8" s="983"/>
      <c r="E8" s="1804" t="s">
        <v>1464</v>
      </c>
      <c r="F8" s="2047"/>
      <c r="G8" s="1262"/>
      <c r="H8" s="1262"/>
      <c r="I8" s="1141">
        <f t="shared" si="1"/>
        <v>0</v>
      </c>
      <c r="J8" s="579">
        <f t="shared" si="0"/>
        <v>0</v>
      </c>
    </row>
    <row r="9" spans="1:10" x14ac:dyDescent="0.15">
      <c r="A9" s="2596"/>
      <c r="B9" s="2740" t="s">
        <v>2100</v>
      </c>
      <c r="C9" s="550" t="s">
        <v>2628</v>
      </c>
      <c r="D9" s="1380"/>
      <c r="E9" s="1805"/>
      <c r="F9" s="2050">
        <f>F4*0.04</f>
        <v>0</v>
      </c>
      <c r="G9" s="1806">
        <f t="shared" ref="G9" si="2">G4*0.4</f>
        <v>0</v>
      </c>
      <c r="H9" s="1806"/>
      <c r="I9" s="1149">
        <f t="shared" si="1"/>
        <v>0</v>
      </c>
      <c r="J9" s="579">
        <f t="shared" si="0"/>
        <v>0</v>
      </c>
    </row>
    <row r="10" spans="1:10" x14ac:dyDescent="0.15">
      <c r="A10" s="2596"/>
      <c r="B10" s="2756"/>
      <c r="C10" s="567" t="s">
        <v>2629</v>
      </c>
      <c r="D10" s="982"/>
      <c r="F10" s="2051">
        <f>F5*0.04</f>
        <v>0</v>
      </c>
      <c r="G10" s="1807">
        <f t="shared" ref="G10" si="3">G5*0.4</f>
        <v>0</v>
      </c>
      <c r="H10" s="1807"/>
      <c r="I10" s="1149">
        <f t="shared" si="1"/>
        <v>0</v>
      </c>
      <c r="J10" s="579">
        <f t="shared" si="0"/>
        <v>0</v>
      </c>
    </row>
    <row r="11" spans="1:10" x14ac:dyDescent="0.15">
      <c r="A11" s="2596"/>
      <c r="B11" s="2756"/>
      <c r="C11" s="567" t="s">
        <v>2630</v>
      </c>
      <c r="D11" s="982"/>
      <c r="F11" s="2051">
        <f>F6*0.04</f>
        <v>0</v>
      </c>
      <c r="G11" s="1807">
        <f t="shared" ref="G11" si="4">G6*0.4</f>
        <v>0</v>
      </c>
      <c r="H11" s="1807"/>
      <c r="I11" s="1149">
        <f t="shared" si="1"/>
        <v>0</v>
      </c>
      <c r="J11" s="579">
        <f t="shared" si="0"/>
        <v>0</v>
      </c>
    </row>
    <row r="12" spans="1:10" x14ac:dyDescent="0.15">
      <c r="A12" s="2596"/>
      <c r="B12" s="2756"/>
      <c r="C12" s="567" t="s">
        <v>2101</v>
      </c>
      <c r="D12" s="982"/>
      <c r="F12" s="2048">
        <f t="shared" ref="F12" si="5">F7*0.25</f>
        <v>0</v>
      </c>
      <c r="G12" s="1807">
        <f t="shared" ref="G12" si="6">G7*0.25</f>
        <v>0</v>
      </c>
      <c r="H12" s="1807"/>
      <c r="I12" s="1149">
        <f t="shared" si="1"/>
        <v>0</v>
      </c>
      <c r="J12" s="579">
        <f t="shared" si="0"/>
        <v>0</v>
      </c>
    </row>
    <row r="13" spans="1:10" x14ac:dyDescent="0.15">
      <c r="A13" s="2596"/>
      <c r="B13" s="2756"/>
      <c r="C13" s="567" t="s">
        <v>2102</v>
      </c>
      <c r="D13" s="982"/>
      <c r="F13" s="2048">
        <f t="shared" ref="F13" si="7">F8*0.5</f>
        <v>0</v>
      </c>
      <c r="G13" s="1807">
        <f t="shared" ref="G13" si="8">G8*0.5</f>
        <v>0</v>
      </c>
      <c r="H13" s="1807"/>
      <c r="I13" s="1149">
        <f t="shared" si="1"/>
        <v>0</v>
      </c>
      <c r="J13" s="579">
        <f t="shared" si="0"/>
        <v>0</v>
      </c>
    </row>
    <row r="14" spans="1:10" ht="19.5" thickBot="1" x14ac:dyDescent="0.2">
      <c r="A14" s="2596"/>
      <c r="B14" s="2741"/>
      <c r="C14" s="566" t="s">
        <v>738</v>
      </c>
      <c r="D14" s="1377"/>
      <c r="E14" s="1804"/>
      <c r="F14" s="2049">
        <f>SUM(F9:F13)</f>
        <v>0</v>
      </c>
      <c r="G14" s="1808">
        <f t="shared" ref="G14" si="9">SUM(G9:G13)</f>
        <v>0</v>
      </c>
      <c r="H14" s="1808"/>
      <c r="I14" s="1141">
        <f t="shared" si="1"/>
        <v>0</v>
      </c>
      <c r="J14" s="579">
        <f t="shared" si="0"/>
        <v>0</v>
      </c>
    </row>
    <row r="15" spans="1:10" ht="19.5" thickBot="1" x14ac:dyDescent="0.2">
      <c r="A15" s="2596"/>
      <c r="B15" s="2749" t="s">
        <v>1459</v>
      </c>
      <c r="C15" s="2749"/>
      <c r="D15" s="1256"/>
      <c r="E15" s="1257"/>
      <c r="F15" s="2044"/>
      <c r="G15" s="1260"/>
      <c r="H15" s="1260"/>
      <c r="I15" s="1261">
        <f>SUM(I17:I19)</f>
        <v>0</v>
      </c>
      <c r="J15" s="579">
        <f t="shared" si="0"/>
        <v>0</v>
      </c>
    </row>
    <row r="16" spans="1:10" x14ac:dyDescent="0.15">
      <c r="A16" s="2596"/>
      <c r="B16" s="2750" t="s">
        <v>1453</v>
      </c>
      <c r="C16" s="550" t="s">
        <v>1454</v>
      </c>
      <c r="D16" s="1061"/>
      <c r="E16" s="1805"/>
      <c r="F16" s="2050">
        <f t="shared" ref="F16" si="10">SUM(F17:F19)</f>
        <v>0</v>
      </c>
      <c r="G16" s="1180">
        <f t="shared" ref="G16" si="11">SUM(G17:G19)</f>
        <v>0</v>
      </c>
      <c r="H16" s="1180"/>
      <c r="I16" s="1201">
        <f>ROUND(SUM(F16:H16),2)</f>
        <v>0</v>
      </c>
      <c r="J16" s="579">
        <f t="shared" si="0"/>
        <v>0</v>
      </c>
    </row>
    <row r="17" spans="1:10" x14ac:dyDescent="0.15">
      <c r="A17" s="2596"/>
      <c r="B17" s="2754"/>
      <c r="C17" s="559" t="s">
        <v>1460</v>
      </c>
      <c r="D17" s="1062"/>
      <c r="F17" s="2046"/>
      <c r="G17" s="1176"/>
      <c r="H17" s="1176"/>
      <c r="I17" s="1149">
        <f>ROUND(SUM(F17:H17),2)</f>
        <v>0</v>
      </c>
      <c r="J17" s="579">
        <f t="shared" si="0"/>
        <v>0</v>
      </c>
    </row>
    <row r="18" spans="1:10" x14ac:dyDescent="0.15">
      <c r="A18" s="2596"/>
      <c r="B18" s="2754"/>
      <c r="C18" s="567" t="s">
        <v>1455</v>
      </c>
      <c r="D18" s="1062"/>
      <c r="F18" s="2046"/>
      <c r="G18" s="1176"/>
      <c r="H18" s="1176"/>
      <c r="I18" s="1140">
        <f>ROUND(SUM(F18:H18),2)</f>
        <v>0</v>
      </c>
      <c r="J18" s="579">
        <f t="shared" si="0"/>
        <v>0</v>
      </c>
    </row>
    <row r="19" spans="1:10" ht="19.5" thickBot="1" x14ac:dyDescent="0.2">
      <c r="A19" s="2596"/>
      <c r="B19" s="2755"/>
      <c r="C19" s="566" t="s">
        <v>1451</v>
      </c>
      <c r="D19" s="983"/>
      <c r="E19" s="1804"/>
      <c r="F19" s="2047"/>
      <c r="G19" s="1262"/>
      <c r="H19" s="1262"/>
      <c r="I19" s="1141">
        <f>ROUND(SUM(F19:H19),2)</f>
        <v>0</v>
      </c>
      <c r="J19" s="579">
        <f t="shared" si="0"/>
        <v>0</v>
      </c>
    </row>
    <row r="20" spans="1:10" x14ac:dyDescent="0.15">
      <c r="A20" s="2596"/>
      <c r="B20" s="2658" t="s">
        <v>1456</v>
      </c>
      <c r="C20" s="550" t="s">
        <v>1448</v>
      </c>
      <c r="D20" s="1062"/>
      <c r="F20" s="2046"/>
      <c r="G20" s="1176"/>
      <c r="H20" s="1176"/>
      <c r="I20" s="1267"/>
      <c r="J20" s="579">
        <f t="shared" si="0"/>
        <v>0</v>
      </c>
    </row>
    <row r="21" spans="1:10" x14ac:dyDescent="0.15">
      <c r="A21" s="2596"/>
      <c r="B21" s="2659"/>
      <c r="C21" s="567" t="s">
        <v>1450</v>
      </c>
      <c r="D21" s="1062"/>
      <c r="F21" s="2046"/>
      <c r="G21" s="1176"/>
      <c r="H21" s="1176"/>
      <c r="I21" s="1267"/>
      <c r="J21" s="579">
        <f t="shared" si="0"/>
        <v>0</v>
      </c>
    </row>
    <row r="22" spans="1:10" x14ac:dyDescent="0.15">
      <c r="A22" s="2596"/>
      <c r="B22" s="2659"/>
      <c r="C22" s="567" t="s">
        <v>691</v>
      </c>
      <c r="D22" s="1062"/>
      <c r="F22" s="2051">
        <f t="shared" ref="F22" si="12">F20-F21</f>
        <v>0</v>
      </c>
      <c r="G22" s="1144">
        <f t="shared" ref="G22" si="13">G20-G21</f>
        <v>0</v>
      </c>
      <c r="H22" s="1144"/>
      <c r="I22" s="1267"/>
      <c r="J22" s="579">
        <f t="shared" si="0"/>
        <v>0</v>
      </c>
    </row>
    <row r="23" spans="1:10" x14ac:dyDescent="0.15">
      <c r="A23" s="2596"/>
      <c r="B23" s="2659"/>
      <c r="C23" s="567" t="s">
        <v>1452</v>
      </c>
      <c r="D23" s="1062"/>
      <c r="F23" s="2052"/>
      <c r="G23" s="876"/>
      <c r="H23" s="876"/>
      <c r="I23" s="1267"/>
      <c r="J23" s="579">
        <f t="shared" si="0"/>
        <v>0</v>
      </c>
    </row>
    <row r="24" spans="1:10" ht="19.5" thickBot="1" x14ac:dyDescent="0.2">
      <c r="A24" s="2596"/>
      <c r="B24" s="2660"/>
      <c r="C24" s="566" t="s">
        <v>1466</v>
      </c>
      <c r="D24" s="983"/>
      <c r="E24" s="2032" t="s">
        <v>1842</v>
      </c>
      <c r="F24" s="2053"/>
      <c r="G24" s="1265"/>
      <c r="H24" s="1265"/>
      <c r="I24" s="1268"/>
      <c r="J24" s="579">
        <f t="shared" si="0"/>
        <v>0</v>
      </c>
    </row>
    <row r="25" spans="1:10" x14ac:dyDescent="0.15">
      <c r="A25" s="2596"/>
      <c r="B25" s="2658" t="s">
        <v>5</v>
      </c>
      <c r="C25" s="1247" t="s">
        <v>8</v>
      </c>
      <c r="D25" s="1062"/>
      <c r="E25" s="2033" t="s">
        <v>1843</v>
      </c>
      <c r="F25" s="2046"/>
      <c r="G25" s="1176"/>
      <c r="H25" s="1176"/>
      <c r="I25" s="1267"/>
      <c r="J25" s="579">
        <f t="shared" si="0"/>
        <v>0</v>
      </c>
    </row>
    <row r="26" spans="1:10" x14ac:dyDescent="0.15">
      <c r="A26" s="2596"/>
      <c r="B26" s="2659"/>
      <c r="C26" s="1248" t="s">
        <v>1476</v>
      </c>
      <c r="D26" s="1062"/>
      <c r="F26" s="2051">
        <f t="shared" ref="F26" si="14">IF(F22=0,0,F25+2*F22/10)</f>
        <v>0</v>
      </c>
      <c r="G26" s="1144">
        <f t="shared" ref="G26" si="15">IF(G22=0,0,G25+2*G22/10)</f>
        <v>0</v>
      </c>
      <c r="H26" s="1144"/>
      <c r="I26" s="1267"/>
      <c r="J26" s="579">
        <f t="shared" si="0"/>
        <v>0</v>
      </c>
    </row>
    <row r="27" spans="1:10" ht="19.5" thickBot="1" x14ac:dyDescent="0.2">
      <c r="A27" s="2596"/>
      <c r="B27" s="2660"/>
      <c r="C27" s="1246" t="s">
        <v>364</v>
      </c>
      <c r="D27" s="983"/>
      <c r="E27" s="1804"/>
      <c r="F27" s="2054">
        <f>IF(F20=0,0,IF(F24="V",F25,IF(F22=0,F21/F24*2+F25,F26+F21/F24*2)))</f>
        <v>0</v>
      </c>
      <c r="G27" s="1174">
        <f t="shared" ref="G27" si="16">IF(G20=0,0,IF(G24="V",G25,IF(G22=0,G21/G24*2+G25,G26+G21/G24*2)))</f>
        <v>0</v>
      </c>
      <c r="H27" s="1174"/>
      <c r="I27" s="1268"/>
      <c r="J27" s="579">
        <f t="shared" si="0"/>
        <v>0</v>
      </c>
    </row>
    <row r="28" spans="1:10" x14ac:dyDescent="0.15">
      <c r="A28" s="2596"/>
      <c r="B28" s="2735" t="s">
        <v>6</v>
      </c>
      <c r="C28" s="1247" t="s">
        <v>483</v>
      </c>
      <c r="D28" s="1062"/>
      <c r="F28" s="2051">
        <f t="shared" ref="F28" si="17">SUM(F29:F31)</f>
        <v>0</v>
      </c>
      <c r="G28" s="1144">
        <f t="shared" ref="G28" si="18">SUM(G29:G31)</f>
        <v>0</v>
      </c>
      <c r="H28" s="1144"/>
      <c r="I28" s="1204">
        <f t="shared" ref="I28:I33" si="19">ROUND(SUM(F28:H28),2)</f>
        <v>0</v>
      </c>
      <c r="J28" s="579">
        <f t="shared" si="0"/>
        <v>0</v>
      </c>
    </row>
    <row r="29" spans="1:10" x14ac:dyDescent="0.15">
      <c r="A29" s="2596"/>
      <c r="B29" s="2656"/>
      <c r="C29" s="1249" t="s">
        <v>692</v>
      </c>
      <c r="D29" s="1062"/>
      <c r="F29" s="2051">
        <f t="shared" ref="F29" si="20">(F26+F25)/2*F22*F16</f>
        <v>0</v>
      </c>
      <c r="G29" s="1144">
        <f t="shared" ref="G29" si="21">(G26+G25)/2*G22*G16</f>
        <v>0</v>
      </c>
      <c r="H29" s="1144"/>
      <c r="I29" s="1140">
        <f t="shared" si="19"/>
        <v>0</v>
      </c>
      <c r="J29" s="579">
        <f t="shared" si="0"/>
        <v>0</v>
      </c>
    </row>
    <row r="30" spans="1:10" x14ac:dyDescent="0.15">
      <c r="A30" s="2596"/>
      <c r="B30" s="2656"/>
      <c r="C30" s="1248" t="s">
        <v>1473</v>
      </c>
      <c r="D30" s="1062"/>
      <c r="F30" s="2051">
        <f t="shared" ref="F30" si="22">IF(F31&gt;0,0,IF(F26=0,(F27+F25)/2*F20*F16,(F27+F26)/2*F21*F16))</f>
        <v>0</v>
      </c>
      <c r="G30" s="1144">
        <f t="shared" ref="G30" si="23">IF(G31&gt;0,0,IF(G26=0,(G27+G25)/2*G20*G16,(G27+G26)/2*G21*G16))</f>
        <v>0</v>
      </c>
      <c r="H30" s="1144"/>
      <c r="I30" s="1140">
        <f t="shared" si="19"/>
        <v>0</v>
      </c>
      <c r="J30" s="579">
        <f t="shared" si="0"/>
        <v>0</v>
      </c>
    </row>
    <row r="31" spans="1:10" x14ac:dyDescent="0.15">
      <c r="A31" s="2596"/>
      <c r="B31" s="2656"/>
      <c r="C31" s="1250" t="s">
        <v>1474</v>
      </c>
      <c r="D31" s="1062"/>
      <c r="F31" s="2051">
        <f t="shared" ref="F31" si="24">IF(AND(F25&lt;0.4,F24="V"),IF(F26=0,(F27+F25)/2*F20*F16,(F27+F26)/2*F21*F16),0)</f>
        <v>0</v>
      </c>
      <c r="G31" s="1144">
        <f t="shared" ref="G31" si="25">IF(AND(G25&lt;0.4,G24="V"),IF(G26=0,(G27+G25)/2*G20*G16,(G27+G26)/2*G21*G16),0)</f>
        <v>0</v>
      </c>
      <c r="H31" s="1144"/>
      <c r="I31" s="1140">
        <f t="shared" si="19"/>
        <v>0</v>
      </c>
      <c r="J31" s="579">
        <f t="shared" si="0"/>
        <v>0</v>
      </c>
    </row>
    <row r="32" spans="1:10" ht="19.5" thickBot="1" x14ac:dyDescent="0.2">
      <c r="A32" s="2596"/>
      <c r="B32" s="2747"/>
      <c r="C32" s="1246" t="s">
        <v>305</v>
      </c>
      <c r="D32" s="983"/>
      <c r="E32" s="1804"/>
      <c r="F32" s="2054">
        <f t="shared" ref="F32" si="26">(F30+F31)*5%</f>
        <v>0</v>
      </c>
      <c r="G32" s="1174">
        <f t="shared" ref="G32" si="27">(G30+G31)*5%</f>
        <v>0</v>
      </c>
      <c r="H32" s="1174"/>
      <c r="I32" s="1141">
        <f t="shared" si="19"/>
        <v>0</v>
      </c>
      <c r="J32" s="579">
        <f t="shared" si="0"/>
        <v>0</v>
      </c>
    </row>
    <row r="33" spans="1:10" x14ac:dyDescent="0.15">
      <c r="A33" s="2596"/>
      <c r="B33" s="2735" t="s">
        <v>1461</v>
      </c>
      <c r="C33" s="550" t="s">
        <v>3</v>
      </c>
      <c r="D33" s="1061"/>
      <c r="E33" s="1805"/>
      <c r="F33" s="2050">
        <f t="shared" ref="F33" si="28">IF(AND(F24="V",F25&lt;0.4),0,IF(F24&gt;=5,F16,0))</f>
        <v>0</v>
      </c>
      <c r="G33" s="1180">
        <f t="shared" ref="G33" si="29">IF(AND(G24="V",G25&lt;0.4),0,IF(G24&gt;=5,G16,0))</f>
        <v>0</v>
      </c>
      <c r="H33" s="1180"/>
      <c r="I33" s="1140">
        <f t="shared" si="19"/>
        <v>0</v>
      </c>
      <c r="J33" s="579">
        <f t="shared" si="0"/>
        <v>0</v>
      </c>
    </row>
    <row r="34" spans="1:10" x14ac:dyDescent="0.15">
      <c r="A34" s="2596"/>
      <c r="B34" s="2736"/>
      <c r="C34" s="567" t="s">
        <v>10</v>
      </c>
      <c r="D34" s="1062"/>
      <c r="F34" s="2051">
        <f t="shared" ref="F34" si="30">IF(F33=0,0,F21)</f>
        <v>0</v>
      </c>
      <c r="G34" s="1144">
        <f t="shared" ref="G34" si="31">IF(G33=0,0,G21)</f>
        <v>0</v>
      </c>
      <c r="H34" s="1144"/>
      <c r="I34" s="1267"/>
      <c r="J34" s="579">
        <f t="shared" ref="J34:J50" si="32">SUM(F34:I34)</f>
        <v>0</v>
      </c>
    </row>
    <row r="35" spans="1:10" ht="19.5" thickBot="1" x14ac:dyDescent="0.2">
      <c r="A35" s="2596"/>
      <c r="B35" s="2737"/>
      <c r="C35" s="566" t="s">
        <v>1850</v>
      </c>
      <c r="D35" s="983"/>
      <c r="E35" s="1804"/>
      <c r="F35" s="2054">
        <f t="shared" ref="F35" si="33">F34*F33*2</f>
        <v>0</v>
      </c>
      <c r="G35" s="1174">
        <f t="shared" ref="G35" si="34">G34*G33*2</f>
        <v>0</v>
      </c>
      <c r="H35" s="1174"/>
      <c r="I35" s="1141">
        <f>ROUND(SUM(F35:H35),2)</f>
        <v>0</v>
      </c>
      <c r="J35" s="579">
        <f t="shared" si="32"/>
        <v>0</v>
      </c>
    </row>
    <row r="36" spans="1:10" x14ac:dyDescent="0.15">
      <c r="A36" s="2596"/>
      <c r="B36" s="2735" t="s">
        <v>332</v>
      </c>
      <c r="C36" s="1249" t="s">
        <v>158</v>
      </c>
      <c r="D36" s="1062"/>
      <c r="F36" s="2051">
        <f t="shared" ref="F36" si="35">IF(F16=0,0,F41+F42+0.3+IF(F24="V",2*F40,2*(((F42-F41)/2)^2+F40^2)^(1/2)))</f>
        <v>0</v>
      </c>
      <c r="G36" s="1144">
        <f t="shared" ref="G36" si="36">IF(G16=0,0,G41+G42+0.3+IF(G24="V",2*G40,2*(((G42-G41)/2)^2+G40^2)^(1/2)))</f>
        <v>0</v>
      </c>
      <c r="H36" s="1144"/>
      <c r="I36" s="1145"/>
      <c r="J36" s="579">
        <f t="shared" si="32"/>
        <v>0</v>
      </c>
    </row>
    <row r="37" spans="1:10" ht="19.5" thickBot="1" x14ac:dyDescent="0.2">
      <c r="A37" s="2596"/>
      <c r="B37" s="2747"/>
      <c r="C37" s="566" t="s">
        <v>29</v>
      </c>
      <c r="D37" s="983"/>
      <c r="E37" s="1804"/>
      <c r="F37" s="2054">
        <f t="shared" ref="F37" si="37">F36*F16</f>
        <v>0</v>
      </c>
      <c r="G37" s="1174">
        <f t="shared" ref="G37" si="38">G36*G16</f>
        <v>0</v>
      </c>
      <c r="H37" s="1174"/>
      <c r="I37" s="1141">
        <f>ROUND(SUM(F37:H37),2)</f>
        <v>0</v>
      </c>
      <c r="J37" s="579">
        <f t="shared" si="32"/>
        <v>0</v>
      </c>
    </row>
    <row r="38" spans="1:10" x14ac:dyDescent="0.15">
      <c r="A38" s="2596"/>
      <c r="B38" s="2656" t="s">
        <v>1472</v>
      </c>
      <c r="C38" s="567" t="s">
        <v>10</v>
      </c>
      <c r="D38" s="1062"/>
      <c r="F38" s="2051"/>
      <c r="G38" s="1144"/>
      <c r="H38" s="1144"/>
      <c r="I38" s="1145"/>
      <c r="J38" s="579">
        <f t="shared" si="32"/>
        <v>0</v>
      </c>
    </row>
    <row r="39" spans="1:10" ht="19.5" thickBot="1" x14ac:dyDescent="0.2">
      <c r="A39" s="2596"/>
      <c r="B39" s="2747"/>
      <c r="C39" s="566" t="s">
        <v>29</v>
      </c>
      <c r="D39" s="983"/>
      <c r="E39" s="1804"/>
      <c r="F39" s="2054">
        <f t="shared" ref="F39" si="39">F38*2*F16</f>
        <v>0</v>
      </c>
      <c r="G39" s="1174">
        <f t="shared" ref="G39" si="40">G38*2*G16</f>
        <v>0</v>
      </c>
      <c r="H39" s="1174"/>
      <c r="I39" s="1141">
        <f>ROUND(SUM(F39:H39),2)</f>
        <v>0</v>
      </c>
      <c r="J39" s="579">
        <f t="shared" si="32"/>
        <v>0</v>
      </c>
    </row>
    <row r="40" spans="1:10" x14ac:dyDescent="0.15">
      <c r="A40" s="2596"/>
      <c r="B40" s="2740" t="s">
        <v>1465</v>
      </c>
      <c r="C40" s="567" t="s">
        <v>1468</v>
      </c>
      <c r="D40" s="1062"/>
      <c r="F40" s="2046"/>
      <c r="G40" s="1176"/>
      <c r="H40" s="1176"/>
      <c r="I40" s="1267"/>
      <c r="J40" s="579">
        <f t="shared" si="32"/>
        <v>0</v>
      </c>
    </row>
    <row r="41" spans="1:10" x14ac:dyDescent="0.15">
      <c r="A41" s="2596"/>
      <c r="B41" s="2756"/>
      <c r="C41" s="1249" t="s">
        <v>1467</v>
      </c>
      <c r="D41" s="1062"/>
      <c r="F41" s="2051">
        <f t="shared" ref="F41" si="41">F25</f>
        <v>0</v>
      </c>
      <c r="G41" s="1144">
        <f t="shared" ref="G41" si="42">G25</f>
        <v>0</v>
      </c>
      <c r="H41" s="1144"/>
      <c r="I41" s="1267"/>
      <c r="J41" s="579">
        <f t="shared" si="32"/>
        <v>0</v>
      </c>
    </row>
    <row r="42" spans="1:10" x14ac:dyDescent="0.15">
      <c r="A42" s="2596"/>
      <c r="B42" s="2756"/>
      <c r="C42" s="1249" t="s">
        <v>1469</v>
      </c>
      <c r="D42" s="1062"/>
      <c r="F42" s="2051">
        <f t="shared" ref="F42" si="43">IF(F38=0,IF(F24="V",F41,IF(F25=0,0,IF(F22&gt;0,F26,F40/F24*2+F25))),F41)</f>
        <v>0</v>
      </c>
      <c r="G42" s="1144">
        <f t="shared" ref="G42" si="44">IF(G38=0,IF(G24="V",G41,IF(G25=0,0,IF(G22&gt;0,G26,G40/G24*2+G25))),G41)</f>
        <v>0</v>
      </c>
      <c r="H42" s="1144"/>
      <c r="I42" s="1267"/>
      <c r="J42" s="579">
        <f t="shared" si="32"/>
        <v>0</v>
      </c>
    </row>
    <row r="43" spans="1:10" x14ac:dyDescent="0.15">
      <c r="A43" s="2596"/>
      <c r="B43" s="2756"/>
      <c r="C43" s="567" t="s">
        <v>300</v>
      </c>
      <c r="D43" s="1062"/>
      <c r="F43" s="2051">
        <f t="shared" ref="F43" si="45">(F41+F42)/2*F40*F16</f>
        <v>0</v>
      </c>
      <c r="G43" s="1144">
        <f t="shared" ref="G43" si="46">(G41+G42)/2*G40*G16</f>
        <v>0</v>
      </c>
      <c r="H43" s="1144"/>
      <c r="I43" s="1140">
        <f t="shared" ref="I43:I52" si="47">ROUND(SUM(F43:H43),2)</f>
        <v>0</v>
      </c>
      <c r="J43" s="579">
        <f t="shared" si="32"/>
        <v>0</v>
      </c>
    </row>
    <row r="44" spans="1:10" ht="19.5" thickBot="1" x14ac:dyDescent="0.2">
      <c r="A44" s="2596"/>
      <c r="B44" s="2756"/>
      <c r="C44" s="1248" t="s">
        <v>490</v>
      </c>
      <c r="D44" s="1062"/>
      <c r="F44" s="2051">
        <f t="shared" ref="F44" si="48">F43*1.1</f>
        <v>0</v>
      </c>
      <c r="G44" s="1144">
        <f t="shared" ref="G44" si="49">G43*1.1</f>
        <v>0</v>
      </c>
      <c r="H44" s="1144"/>
      <c r="I44" s="1140">
        <f t="shared" si="47"/>
        <v>0</v>
      </c>
      <c r="J44" s="579">
        <f t="shared" si="32"/>
        <v>0</v>
      </c>
    </row>
    <row r="45" spans="1:10" ht="19.5" thickBot="1" x14ac:dyDescent="0.2">
      <c r="A45" s="2596"/>
      <c r="B45" s="2752" t="s">
        <v>1457</v>
      </c>
      <c r="C45" s="2613"/>
      <c r="D45" s="1232"/>
      <c r="E45" s="2034"/>
      <c r="F45" s="2055">
        <f t="shared" ref="F45" si="50">F28-F43</f>
        <v>0</v>
      </c>
      <c r="G45" s="1239">
        <f t="shared" ref="G45" si="51">G28-G43</f>
        <v>0</v>
      </c>
      <c r="H45" s="1239"/>
      <c r="I45" s="1143">
        <f t="shared" si="47"/>
        <v>0</v>
      </c>
      <c r="J45" s="579">
        <f t="shared" si="32"/>
        <v>0</v>
      </c>
    </row>
    <row r="46" spans="1:10" ht="22.5" x14ac:dyDescent="0.15">
      <c r="A46" s="2596"/>
      <c r="B46" s="2735" t="s">
        <v>1478</v>
      </c>
      <c r="C46" s="1250" t="s">
        <v>1471</v>
      </c>
      <c r="D46" s="1062"/>
      <c r="F46" s="2051">
        <f t="shared" ref="F46" si="52">F23*(F30+F31)*1.25</f>
        <v>0</v>
      </c>
      <c r="G46" s="1144">
        <f t="shared" ref="G46" si="53">G23*(G30+G31)*1.25</f>
        <v>0</v>
      </c>
      <c r="H46" s="1144"/>
      <c r="I46" s="1149">
        <f t="shared" si="47"/>
        <v>0</v>
      </c>
      <c r="J46" s="579">
        <f t="shared" si="32"/>
        <v>0</v>
      </c>
    </row>
    <row r="47" spans="1:10" x14ac:dyDescent="0.15">
      <c r="A47" s="2596"/>
      <c r="B47" s="2656"/>
      <c r="C47" s="1250" t="s">
        <v>1475</v>
      </c>
      <c r="D47" s="1062"/>
      <c r="F47" s="2051">
        <f t="shared" ref="F47" si="54">F29*1.4</f>
        <v>0</v>
      </c>
      <c r="G47" s="1144">
        <f t="shared" ref="G47" si="55">G29*1.4</f>
        <v>0</v>
      </c>
      <c r="H47" s="1144"/>
      <c r="I47" s="1149">
        <f t="shared" si="47"/>
        <v>0</v>
      </c>
      <c r="J47" s="579">
        <f t="shared" si="32"/>
        <v>0</v>
      </c>
    </row>
    <row r="48" spans="1:10" x14ac:dyDescent="0.15">
      <c r="A48" s="2596"/>
      <c r="B48" s="2656"/>
      <c r="C48" s="1250" t="s">
        <v>1477</v>
      </c>
      <c r="D48" s="1062"/>
      <c r="F48" s="2051">
        <f t="shared" ref="F48" si="56">IF(F30+F31-F46&lt;0,0,F30+F31-F46)</f>
        <v>0</v>
      </c>
      <c r="G48" s="1144">
        <f t="shared" ref="G48" si="57">IF(G30+G31-G46&lt;0,0,G30+G31-G46)</f>
        <v>0</v>
      </c>
      <c r="H48" s="1144"/>
      <c r="I48" s="1149">
        <f t="shared" si="47"/>
        <v>0</v>
      </c>
      <c r="J48" s="579">
        <f t="shared" si="32"/>
        <v>0</v>
      </c>
    </row>
    <row r="49" spans="1:23" ht="19.5" thickBot="1" x14ac:dyDescent="0.2">
      <c r="A49" s="2596"/>
      <c r="B49" s="2747"/>
      <c r="C49" s="1246" t="s">
        <v>1334</v>
      </c>
      <c r="D49" s="983"/>
      <c r="E49" s="1804"/>
      <c r="F49" s="2054">
        <f t="shared" ref="F49" si="58">IF(F48-F45*1.25&lt;0,F46+F47,F48-F45*1.25)</f>
        <v>0</v>
      </c>
      <c r="G49" s="1174">
        <f t="shared" ref="G49" si="59">IF(G48-G45*1.25&lt;0,G46+G47,G48-G45*1.25)</f>
        <v>0</v>
      </c>
      <c r="H49" s="1174"/>
      <c r="I49" s="1141">
        <f t="shared" si="47"/>
        <v>0</v>
      </c>
      <c r="J49" s="579">
        <f t="shared" si="32"/>
        <v>0</v>
      </c>
    </row>
    <row r="50" spans="1:23" ht="19.5" thickBot="1" x14ac:dyDescent="0.2">
      <c r="A50" s="2596"/>
      <c r="B50" s="2750" t="s">
        <v>308</v>
      </c>
      <c r="C50" s="2751"/>
      <c r="D50" s="1232"/>
      <c r="E50" s="2034"/>
      <c r="F50" s="2051">
        <f t="shared" ref="F50" si="60">IF(F45&lt;F48,0,(F45-F48)*1.25)</f>
        <v>0</v>
      </c>
      <c r="G50" s="1144">
        <f t="shared" ref="G50" si="61">IF(G45&lt;G48,0,(G45-G48)*1.25)</f>
        <v>0</v>
      </c>
      <c r="H50" s="1144"/>
      <c r="I50" s="1140">
        <f t="shared" si="47"/>
        <v>0</v>
      </c>
      <c r="J50" s="579">
        <f t="shared" si="32"/>
        <v>0</v>
      </c>
    </row>
    <row r="51" spans="1:23" ht="19.5" thickBot="1" x14ac:dyDescent="0.2">
      <c r="A51" s="2596"/>
      <c r="B51" s="2749" t="s">
        <v>36</v>
      </c>
      <c r="C51" s="2749"/>
      <c r="D51" s="1256"/>
      <c r="E51" s="1257"/>
      <c r="F51" s="2044"/>
      <c r="G51" s="1260"/>
      <c r="H51" s="1260"/>
      <c r="I51" s="1261">
        <f t="shared" si="47"/>
        <v>0</v>
      </c>
      <c r="J51" s="1017">
        <f>COUNTA(B51:H51)</f>
        <v>1</v>
      </c>
    </row>
    <row r="52" spans="1:23" ht="19.5" thickBot="1" x14ac:dyDescent="0.2">
      <c r="A52" s="2596"/>
      <c r="B52" s="2686" t="s">
        <v>491</v>
      </c>
      <c r="C52" s="2687"/>
      <c r="D52" s="983"/>
      <c r="E52" s="2034"/>
      <c r="F52" s="602">
        <f t="shared" ref="F52" si="62">F4/173+F5/132+F6/113+F43/2+F45/10</f>
        <v>0</v>
      </c>
      <c r="G52" s="365">
        <f t="shared" ref="G52" si="63">G4/173+G5/132+G6/113+G43/2+G45/10</f>
        <v>0</v>
      </c>
      <c r="H52" s="365"/>
      <c r="I52" s="1143">
        <f t="shared" si="47"/>
        <v>0</v>
      </c>
      <c r="J52" s="579">
        <f t="shared" ref="J52:J77" si="64">SUM(F52:I52)</f>
        <v>0</v>
      </c>
    </row>
    <row r="53" spans="1:23" x14ac:dyDescent="0.15">
      <c r="A53" s="2596"/>
      <c r="B53" s="2735" t="s">
        <v>324</v>
      </c>
      <c r="C53" s="1247" t="s">
        <v>16</v>
      </c>
      <c r="D53" s="1062"/>
      <c r="E53" s="1805"/>
      <c r="F53" s="2045"/>
      <c r="G53" s="1170"/>
      <c r="H53" s="1170"/>
      <c r="I53" s="1263"/>
      <c r="J53" s="579">
        <f t="shared" si="64"/>
        <v>0</v>
      </c>
    </row>
    <row r="54" spans="1:23" x14ac:dyDescent="0.15">
      <c r="A54" s="2596"/>
      <c r="B54" s="2656"/>
      <c r="C54" s="1248" t="s">
        <v>3</v>
      </c>
      <c r="D54" s="1062"/>
      <c r="F54" s="2046"/>
      <c r="G54" s="1176"/>
      <c r="H54" s="1176"/>
      <c r="I54" s="1140">
        <f>ROUND(SUM(F54:H54),2)</f>
        <v>0</v>
      </c>
      <c r="J54" s="579">
        <f t="shared" si="64"/>
        <v>0</v>
      </c>
    </row>
    <row r="55" spans="1:23" x14ac:dyDescent="0.15">
      <c r="A55" s="2596"/>
      <c r="B55" s="2656"/>
      <c r="C55" s="1248" t="s">
        <v>58</v>
      </c>
      <c r="D55" s="1062"/>
      <c r="F55" s="2046"/>
      <c r="G55" s="1176"/>
      <c r="H55" s="1176"/>
      <c r="I55" s="1145"/>
      <c r="J55" s="579">
        <f t="shared" si="64"/>
        <v>0</v>
      </c>
    </row>
    <row r="56" spans="1:23" x14ac:dyDescent="0.15">
      <c r="A56" s="2596"/>
      <c r="B56" s="2656"/>
      <c r="C56" s="1248" t="s">
        <v>300</v>
      </c>
      <c r="D56" s="1062"/>
      <c r="F56" s="2051">
        <f t="shared" ref="F56" si="65">F55*F54*F53</f>
        <v>0</v>
      </c>
      <c r="G56" s="1144">
        <f t="shared" ref="G56" si="66">G55*G54*G53</f>
        <v>0</v>
      </c>
      <c r="H56" s="1144"/>
      <c r="I56" s="1140">
        <f>ROUND(SUM(F56:H56),2)</f>
        <v>0</v>
      </c>
      <c r="J56" s="579">
        <f t="shared" si="64"/>
        <v>0</v>
      </c>
      <c r="K56" s="2716" t="s">
        <v>1196</v>
      </c>
      <c r="L56" s="2717"/>
      <c r="M56" s="2717"/>
      <c r="N56" s="2718"/>
      <c r="O56" s="2716" t="s">
        <v>1197</v>
      </c>
      <c r="P56" s="2717"/>
      <c r="Q56" s="2717"/>
      <c r="R56" s="2718"/>
      <c r="S56" s="2716" t="s">
        <v>1198</v>
      </c>
      <c r="T56" s="2717"/>
      <c r="U56" s="2718"/>
      <c r="V56" s="1266" t="s">
        <v>1199</v>
      </c>
      <c r="W56" s="2714" t="s">
        <v>1200</v>
      </c>
    </row>
    <row r="57" spans="1:23" ht="23.25" thickBot="1" x14ac:dyDescent="0.2">
      <c r="A57" s="2596"/>
      <c r="B57" s="2747"/>
      <c r="C57" s="1251" t="s">
        <v>490</v>
      </c>
      <c r="D57" s="983"/>
      <c r="E57" s="1804"/>
      <c r="F57" s="2054">
        <f t="shared" ref="F57" si="67">F56*1.1</f>
        <v>0</v>
      </c>
      <c r="G57" s="1174">
        <f t="shared" ref="G57" si="68">G56*1.1</f>
        <v>0</v>
      </c>
      <c r="H57" s="1174"/>
      <c r="I57" s="1141">
        <f>ROUND(SUM(F57:H57),2)</f>
        <v>0</v>
      </c>
      <c r="J57" s="579">
        <f t="shared" si="64"/>
        <v>0</v>
      </c>
      <c r="K57" s="1024" t="s">
        <v>1182</v>
      </c>
      <c r="L57" s="1024" t="s">
        <v>1183</v>
      </c>
      <c r="M57" s="1024" t="s">
        <v>1190</v>
      </c>
      <c r="N57" s="1024" t="s">
        <v>1187</v>
      </c>
      <c r="O57" s="1024" t="s">
        <v>1182</v>
      </c>
      <c r="P57" s="1024" t="s">
        <v>1183</v>
      </c>
      <c r="Q57" s="1024" t="s">
        <v>1190</v>
      </c>
      <c r="R57" s="1024" t="s">
        <v>1187</v>
      </c>
      <c r="S57" s="1024" t="s">
        <v>1182</v>
      </c>
      <c r="T57" s="1024" t="s">
        <v>1183</v>
      </c>
      <c r="U57" s="1024" t="s">
        <v>641</v>
      </c>
      <c r="V57" s="1024" t="s">
        <v>1481</v>
      </c>
      <c r="W57" s="2715"/>
    </row>
    <row r="58" spans="1:23" x14ac:dyDescent="0.15">
      <c r="A58" s="2596"/>
      <c r="B58" s="2740" t="s">
        <v>1845</v>
      </c>
      <c r="C58" s="1247" t="s">
        <v>475</v>
      </c>
      <c r="D58" s="1062"/>
      <c r="E58" s="2035"/>
      <c r="F58" s="2056"/>
      <c r="G58" s="1409"/>
      <c r="H58" s="1409"/>
      <c r="I58" s="1263"/>
      <c r="J58" s="579">
        <f t="shared" si="64"/>
        <v>0</v>
      </c>
      <c r="K58" s="1025">
        <v>94963</v>
      </c>
      <c r="L58" s="1025">
        <v>94964</v>
      </c>
      <c r="M58" s="1025">
        <v>100475</v>
      </c>
      <c r="N58" s="1025">
        <v>87878</v>
      </c>
      <c r="O58" s="1025">
        <v>94963</v>
      </c>
      <c r="P58" s="1025">
        <v>94964</v>
      </c>
      <c r="Q58" s="1025">
        <v>100475</v>
      </c>
      <c r="R58" s="1025">
        <v>87878</v>
      </c>
      <c r="S58" s="1025">
        <v>94963</v>
      </c>
      <c r="T58" s="1025">
        <v>94964</v>
      </c>
      <c r="U58" s="1025">
        <v>94110</v>
      </c>
      <c r="V58" s="1025">
        <v>43127</v>
      </c>
      <c r="W58" s="2715"/>
    </row>
    <row r="59" spans="1:23" ht="19.5" thickBot="1" x14ac:dyDescent="0.2">
      <c r="A59" s="2596"/>
      <c r="B59" s="2741"/>
      <c r="C59" s="1246" t="s">
        <v>471</v>
      </c>
      <c r="D59" s="983"/>
      <c r="E59" s="1804"/>
      <c r="F59" s="2054">
        <f t="shared" ref="F59" si="69">F58*F2</f>
        <v>0</v>
      </c>
      <c r="G59" s="1174">
        <f t="shared" ref="G59" si="70">G58*G2</f>
        <v>0</v>
      </c>
      <c r="H59" s="1174"/>
      <c r="I59" s="1141">
        <f t="shared" ref="I59:I88" si="71">ROUND(SUM(F59:H59),2)</f>
        <v>0</v>
      </c>
      <c r="J59" s="579">
        <f t="shared" si="64"/>
        <v>0</v>
      </c>
      <c r="K59" s="1026">
        <v>273.06</v>
      </c>
      <c r="L59" s="1026">
        <v>322.98</v>
      </c>
      <c r="M59" s="1026">
        <v>486</v>
      </c>
      <c r="N59" s="1034">
        <v>422.63</v>
      </c>
      <c r="O59" s="1027">
        <v>0.80500000000000005</v>
      </c>
      <c r="P59" s="1027">
        <v>0.75580000000000003</v>
      </c>
      <c r="Q59" s="1026">
        <v>1.08</v>
      </c>
      <c r="R59" s="1034">
        <v>0.94</v>
      </c>
      <c r="S59" s="1027">
        <v>0.57899999999999996</v>
      </c>
      <c r="T59" s="1027">
        <v>0.58699999999999997</v>
      </c>
      <c r="U59" s="1269">
        <v>0.212058</v>
      </c>
      <c r="V59" s="1034">
        <v>4.4800000000000004</v>
      </c>
      <c r="W59" s="1037">
        <f>2.5/1000</f>
        <v>2.5000000000000001E-3</v>
      </c>
    </row>
    <row r="60" spans="1:23" ht="19.5" thickBot="1" x14ac:dyDescent="0.2">
      <c r="A60" s="2596"/>
      <c r="B60" s="2753" t="s">
        <v>1846</v>
      </c>
      <c r="C60" s="2753"/>
      <c r="D60" s="983"/>
      <c r="E60" s="2036"/>
      <c r="F60" s="2057"/>
      <c r="G60" s="1557"/>
      <c r="H60" s="1557"/>
      <c r="I60" s="1558">
        <f t="shared" si="71"/>
        <v>0</v>
      </c>
      <c r="J60" s="579">
        <f t="shared" si="64"/>
        <v>0</v>
      </c>
      <c r="K60" s="1038"/>
      <c r="L60" s="1038">
        <v>0.37265999999999999</v>
      </c>
      <c r="M60" s="1038">
        <v>0.227019</v>
      </c>
      <c r="N60" s="1038">
        <v>4.8301990000000004</v>
      </c>
      <c r="O60" s="1038"/>
      <c r="P60" s="1038">
        <v>0.37265999999999999</v>
      </c>
      <c r="Q60" s="1038">
        <v>0.227019</v>
      </c>
      <c r="R60" s="1038">
        <v>4.8301990000000004</v>
      </c>
      <c r="S60" s="1038"/>
      <c r="T60" s="1038">
        <v>0.37265999999999999</v>
      </c>
      <c r="U60" s="1038">
        <v>1</v>
      </c>
      <c r="V60" s="1038">
        <v>3.5342920000000002</v>
      </c>
      <c r="W60" s="1038">
        <v>772.83180000000004</v>
      </c>
    </row>
    <row r="61" spans="1:23" x14ac:dyDescent="0.15">
      <c r="A61" s="2596"/>
      <c r="B61" s="2738" t="s">
        <v>174</v>
      </c>
      <c r="C61" s="550" t="s">
        <v>60</v>
      </c>
      <c r="D61" s="1062"/>
      <c r="E61" s="2037"/>
      <c r="F61" s="2058"/>
      <c r="G61" s="1559"/>
      <c r="H61" s="1559"/>
      <c r="I61" s="1560">
        <f t="shared" si="71"/>
        <v>0</v>
      </c>
      <c r="J61" s="579">
        <f t="shared" si="64"/>
        <v>0</v>
      </c>
    </row>
    <row r="62" spans="1:23" x14ac:dyDescent="0.15">
      <c r="A62" s="2596"/>
      <c r="B62" s="2739"/>
      <c r="C62" s="567" t="s">
        <v>1524</v>
      </c>
      <c r="D62" s="1062"/>
      <c r="F62" s="2051">
        <f t="shared" ref="F62" si="72">F61*0.5</f>
        <v>0</v>
      </c>
      <c r="G62" s="1144">
        <f t="shared" ref="G62" si="73">G61*0.5</f>
        <v>0</v>
      </c>
      <c r="H62" s="1144"/>
      <c r="I62" s="1140">
        <f t="shared" si="71"/>
        <v>0</v>
      </c>
      <c r="J62" s="579">
        <f t="shared" si="64"/>
        <v>0</v>
      </c>
      <c r="K62" s="1038">
        <v>1</v>
      </c>
      <c r="L62" s="1038"/>
      <c r="M62" s="1038"/>
      <c r="N62" s="1038"/>
      <c r="O62" s="1038">
        <v>1</v>
      </c>
      <c r="P62" s="1038"/>
      <c r="Q62" s="1038"/>
      <c r="R62" s="1038"/>
      <c r="S62" s="1038">
        <v>1</v>
      </c>
      <c r="T62" s="1038"/>
      <c r="U62" s="1038"/>
      <c r="V62" s="1038"/>
      <c r="W62" s="1038"/>
    </row>
    <row r="63" spans="1:23" x14ac:dyDescent="0.15">
      <c r="A63" s="2596"/>
      <c r="B63" s="2739"/>
      <c r="C63" s="567" t="s">
        <v>572</v>
      </c>
      <c r="D63" s="1062"/>
      <c r="E63" s="203"/>
      <c r="F63" s="2051">
        <f t="shared" ref="F63" si="74">F61*1.75</f>
        <v>0</v>
      </c>
      <c r="G63" s="1144">
        <f t="shared" ref="G63" si="75">G61*1.75</f>
        <v>0</v>
      </c>
      <c r="H63" s="1144"/>
      <c r="I63" s="1140">
        <f t="shared" si="71"/>
        <v>0</v>
      </c>
      <c r="J63" s="579">
        <f t="shared" si="64"/>
        <v>0</v>
      </c>
      <c r="K63" s="1038"/>
      <c r="L63" s="1038"/>
      <c r="M63" s="1038">
        <v>2.1999999999999999E-2</v>
      </c>
      <c r="N63" s="1038"/>
      <c r="O63" s="1038"/>
      <c r="P63" s="1038"/>
      <c r="Q63" s="1038">
        <v>2.1999999999999999E-2</v>
      </c>
      <c r="R63" s="1038"/>
      <c r="S63" s="1038"/>
      <c r="T63" s="1038"/>
      <c r="U63" s="1038"/>
      <c r="V63" s="1038"/>
      <c r="W63" s="1038">
        <v>160</v>
      </c>
    </row>
    <row r="64" spans="1:23" x14ac:dyDescent="0.15">
      <c r="A64" s="2596"/>
      <c r="B64" s="2739"/>
      <c r="C64" s="567" t="s">
        <v>573</v>
      </c>
      <c r="D64" s="1062"/>
      <c r="F64" s="2051">
        <f t="shared" ref="F64" si="76">F63</f>
        <v>0</v>
      </c>
      <c r="G64" s="1144">
        <f t="shared" ref="G64" si="77">G63</f>
        <v>0</v>
      </c>
      <c r="H64" s="1144"/>
      <c r="I64" s="1140">
        <f t="shared" si="71"/>
        <v>0</v>
      </c>
      <c r="J64" s="579">
        <f t="shared" si="64"/>
        <v>0</v>
      </c>
      <c r="K64" s="1038"/>
      <c r="L64" s="1038"/>
      <c r="M64" s="1038"/>
      <c r="N64" s="1038">
        <v>1</v>
      </c>
      <c r="O64" s="1038"/>
      <c r="P64" s="1038"/>
      <c r="Q64" s="1038"/>
      <c r="R64" s="1038">
        <v>1</v>
      </c>
      <c r="S64" s="1038"/>
      <c r="T64" s="1038"/>
      <c r="U64" s="1038"/>
      <c r="V64" s="1038"/>
      <c r="W64" s="1038"/>
    </row>
    <row r="65" spans="1:23" ht="19.5" thickBot="1" x14ac:dyDescent="0.2">
      <c r="A65" s="2596"/>
      <c r="B65" s="2663"/>
      <c r="C65" s="566" t="s">
        <v>574</v>
      </c>
      <c r="D65" s="983"/>
      <c r="E65" s="1804"/>
      <c r="F65" s="2054">
        <f t="shared" ref="F65" si="78">F63*0.02</f>
        <v>0</v>
      </c>
      <c r="G65" s="1174">
        <f t="shared" ref="G65" si="79">G63*0.02</f>
        <v>0</v>
      </c>
      <c r="H65" s="1174"/>
      <c r="I65" s="1141">
        <f t="shared" si="71"/>
        <v>0</v>
      </c>
      <c r="J65" s="579">
        <f t="shared" si="64"/>
        <v>0</v>
      </c>
      <c r="K65" s="1038"/>
      <c r="L65" s="1038"/>
      <c r="M65" s="1038">
        <v>1</v>
      </c>
      <c r="N65" s="1038"/>
      <c r="O65" s="1038"/>
      <c r="P65" s="1038"/>
      <c r="Q65" s="1038">
        <v>1</v>
      </c>
      <c r="R65" s="1038"/>
      <c r="S65" s="1038"/>
      <c r="T65" s="1038"/>
      <c r="U65" s="1038"/>
      <c r="V65" s="1038"/>
      <c r="W65" s="1038"/>
    </row>
    <row r="66" spans="1:23" x14ac:dyDescent="0.15">
      <c r="A66" s="2596"/>
      <c r="B66" s="2757" t="s">
        <v>1847</v>
      </c>
      <c r="C66" s="594" t="s">
        <v>1848</v>
      </c>
      <c r="D66" s="1062"/>
      <c r="F66" s="2051">
        <f t="shared" ref="F66" si="80">F47</f>
        <v>0</v>
      </c>
      <c r="G66" s="1144">
        <f t="shared" ref="G66" si="81">G47</f>
        <v>0</v>
      </c>
      <c r="H66" s="1144"/>
      <c r="I66" s="1140">
        <f t="shared" si="71"/>
        <v>0</v>
      </c>
      <c r="J66" s="579">
        <f t="shared" si="64"/>
        <v>0</v>
      </c>
      <c r="K66" s="973"/>
      <c r="L66" s="973"/>
      <c r="M66" s="973"/>
      <c r="N66" s="973"/>
      <c r="O66" s="973"/>
      <c r="P66" s="973"/>
      <c r="Q66" s="973"/>
      <c r="R66" s="973"/>
      <c r="S66" s="973"/>
      <c r="T66" s="973"/>
      <c r="U66" s="973"/>
      <c r="V66" s="973"/>
      <c r="W66" s="973"/>
    </row>
    <row r="67" spans="1:23" ht="19.5" thickBot="1" x14ac:dyDescent="0.2">
      <c r="A67" s="2596"/>
      <c r="B67" s="2758"/>
      <c r="C67" s="929" t="s">
        <v>1357</v>
      </c>
      <c r="D67" s="983"/>
      <c r="E67" s="1804"/>
      <c r="F67" s="2054">
        <f t="shared" ref="F67" si="82">F49-F66</f>
        <v>0</v>
      </c>
      <c r="G67" s="1174">
        <f t="shared" ref="G67" si="83">G49-G66</f>
        <v>0</v>
      </c>
      <c r="H67" s="1174"/>
      <c r="I67" s="1141">
        <f t="shared" si="71"/>
        <v>0</v>
      </c>
      <c r="J67" s="579">
        <f t="shared" si="64"/>
        <v>0</v>
      </c>
    </row>
    <row r="68" spans="1:23" x14ac:dyDescent="0.15">
      <c r="A68" s="2596"/>
      <c r="B68" s="2671" t="s">
        <v>1482</v>
      </c>
      <c r="C68" s="930" t="s">
        <v>1361</v>
      </c>
      <c r="D68" s="1062"/>
      <c r="F68" s="2051">
        <f t="shared" ref="F68:F69" si="84">F66</f>
        <v>0</v>
      </c>
      <c r="G68" s="1144">
        <f t="shared" ref="G68" si="85">G66</f>
        <v>0</v>
      </c>
      <c r="H68" s="1144"/>
      <c r="I68" s="1204">
        <f t="shared" si="71"/>
        <v>0</v>
      </c>
      <c r="J68" s="579">
        <f t="shared" si="64"/>
        <v>0</v>
      </c>
    </row>
    <row r="69" spans="1:23" x14ac:dyDescent="0.15">
      <c r="A69" s="2596"/>
      <c r="B69" s="2668"/>
      <c r="C69" s="591" t="s">
        <v>1360</v>
      </c>
      <c r="D69" s="1062"/>
      <c r="F69" s="2051">
        <f t="shared" si="84"/>
        <v>0</v>
      </c>
      <c r="G69" s="1144">
        <f t="shared" ref="G69" si="86">G67</f>
        <v>0</v>
      </c>
      <c r="H69" s="1144"/>
      <c r="I69" s="1140">
        <f t="shared" si="71"/>
        <v>0</v>
      </c>
      <c r="J69" s="579">
        <f t="shared" si="64"/>
        <v>0</v>
      </c>
    </row>
    <row r="70" spans="1:23" x14ac:dyDescent="0.15">
      <c r="A70" s="2596"/>
      <c r="B70" s="2668"/>
      <c r="C70" s="591" t="s">
        <v>2012</v>
      </c>
      <c r="D70" s="1062"/>
      <c r="F70" s="2051">
        <f t="shared" ref="F70" si="87">F45*1.25</f>
        <v>0</v>
      </c>
      <c r="G70" s="1144">
        <f t="shared" ref="G70" si="88">G45*1.25</f>
        <v>0</v>
      </c>
      <c r="H70" s="1144"/>
      <c r="I70" s="1140">
        <f t="shared" si="71"/>
        <v>0</v>
      </c>
      <c r="J70" s="579">
        <f t="shared" si="64"/>
        <v>0</v>
      </c>
    </row>
    <row r="71" spans="1:23" x14ac:dyDescent="0.15">
      <c r="A71" s="2596"/>
      <c r="B71" s="2678"/>
      <c r="C71" s="591" t="s">
        <v>1480</v>
      </c>
      <c r="D71" s="1062"/>
      <c r="F71" s="2051">
        <f t="shared" ref="F71" si="89">((SUM(F4:F6)+F18)*0.405+(SUM(F7:F8)+F19)*0.75)/1000</f>
        <v>0</v>
      </c>
      <c r="G71" s="1144">
        <f t="shared" ref="G71" si="90">((SUM(G4:G6)+G18)*0.405+(SUM(G7:G8)+G19)*0.75)/1000</f>
        <v>0</v>
      </c>
      <c r="H71" s="1144"/>
      <c r="I71" s="1140">
        <f t="shared" si="71"/>
        <v>0</v>
      </c>
      <c r="J71" s="579">
        <f t="shared" si="64"/>
        <v>0</v>
      </c>
    </row>
    <row r="72" spans="1:23" x14ac:dyDescent="0.15">
      <c r="A72" s="2596"/>
      <c r="B72" s="2669"/>
      <c r="C72" s="591" t="s">
        <v>1207</v>
      </c>
      <c r="D72" s="1062"/>
      <c r="F72" s="2048">
        <f>(F60*$L$60*$K$59+F62*$K$62*$L$59+F63*$M$63*$M$59+F64*$N$64*$N$59+F65*$M$65*$M$59+F60*$M$60*$M$59+F60*$N$60*$N$59)/1000</f>
        <v>0</v>
      </c>
      <c r="G72" s="1144">
        <f>(G60*$L$60*$K$59+G62*$K$62*$L$59+G63*$M$63*$M$59+G64*$N$64*$N$59+G65*$M$65*$M$59+G60*$M$60*$M$59+G60*$N$60*$N$59)/1000</f>
        <v>0</v>
      </c>
      <c r="H72" s="1144"/>
      <c r="I72" s="1140">
        <f t="shared" si="71"/>
        <v>0</v>
      </c>
      <c r="J72" s="579">
        <f t="shared" si="64"/>
        <v>0</v>
      </c>
    </row>
    <row r="73" spans="1:23" x14ac:dyDescent="0.15">
      <c r="A73" s="2596"/>
      <c r="B73" s="2668"/>
      <c r="C73" s="591" t="s">
        <v>585</v>
      </c>
      <c r="D73" s="1062"/>
      <c r="F73" s="2051">
        <f>F60*P60*P59+F62*O62*O59+F63*Q63*Q59+F64*R64*R60+F65*Q65*Q59+F60*Q60*Q59</f>
        <v>0</v>
      </c>
      <c r="G73" s="1144">
        <f>G60*AC60*AC59+G62*AB62*AB59+G63*AD63*AD59+G64*AE64*AE60+G65*AD65*AD59+G60*AD60*AD59</f>
        <v>0</v>
      </c>
      <c r="H73" s="1144"/>
      <c r="I73" s="1140">
        <f t="shared" si="71"/>
        <v>0</v>
      </c>
      <c r="J73" s="579">
        <f t="shared" si="64"/>
        <v>0</v>
      </c>
    </row>
    <row r="74" spans="1:23" x14ac:dyDescent="0.15">
      <c r="A74" s="2596"/>
      <c r="B74" s="2669"/>
      <c r="C74" s="567" t="s">
        <v>642</v>
      </c>
      <c r="D74" s="1062"/>
      <c r="F74" s="2051">
        <f>F57+F44+F14</f>
        <v>0</v>
      </c>
      <c r="G74" s="1144">
        <f t="shared" ref="G74" si="91">G57+G44+G14</f>
        <v>0</v>
      </c>
      <c r="H74" s="1144"/>
      <c r="I74" s="1140">
        <f t="shared" si="71"/>
        <v>0</v>
      </c>
      <c r="J74" s="579">
        <f t="shared" si="64"/>
        <v>0</v>
      </c>
    </row>
    <row r="75" spans="1:23" x14ac:dyDescent="0.15">
      <c r="A75" s="2596"/>
      <c r="B75" s="2668"/>
      <c r="C75" s="567" t="s">
        <v>1605</v>
      </c>
      <c r="D75" s="1062"/>
      <c r="F75" s="2051">
        <f>F60*T60*T59+F60*U60*U59</f>
        <v>0</v>
      </c>
      <c r="G75" s="1144">
        <f>G60*AG60*AG59+G60*AH60*AH59</f>
        <v>0</v>
      </c>
      <c r="H75" s="1144"/>
      <c r="I75" s="1140">
        <f t="shared" si="71"/>
        <v>0</v>
      </c>
      <c r="J75" s="579">
        <f t="shared" si="64"/>
        <v>0</v>
      </c>
    </row>
    <row r="76" spans="1:23" x14ac:dyDescent="0.15">
      <c r="A76" s="2596"/>
      <c r="B76" s="2668"/>
      <c r="C76" s="591" t="s">
        <v>1208</v>
      </c>
      <c r="D76" s="1062"/>
      <c r="F76" s="2051">
        <f>F60*V60*V59</f>
        <v>0</v>
      </c>
      <c r="G76" s="1144">
        <f>G60*AI60*AI59</f>
        <v>0</v>
      </c>
      <c r="H76" s="1144"/>
      <c r="I76" s="1140">
        <f t="shared" si="71"/>
        <v>0</v>
      </c>
      <c r="J76" s="579">
        <f t="shared" si="64"/>
        <v>0</v>
      </c>
    </row>
    <row r="77" spans="1:23" ht="19.5" thickBot="1" x14ac:dyDescent="0.2">
      <c r="A77" s="2596"/>
      <c r="B77" s="2672"/>
      <c r="C77" s="929" t="s">
        <v>1213</v>
      </c>
      <c r="D77" s="983"/>
      <c r="E77" s="1804"/>
      <c r="F77" s="2054">
        <f>F60*W60*W59+F63*W63*W59</f>
        <v>0</v>
      </c>
      <c r="G77" s="1174">
        <f>G60*AJ60*AJ59+G63*AJ63*AJ59</f>
        <v>0</v>
      </c>
      <c r="H77" s="1174"/>
      <c r="I77" s="1141">
        <f t="shared" si="71"/>
        <v>0</v>
      </c>
      <c r="J77" s="579">
        <f t="shared" si="64"/>
        <v>0</v>
      </c>
    </row>
    <row r="78" spans="1:23" x14ac:dyDescent="0.15">
      <c r="A78" s="2596"/>
      <c r="B78" s="2763" t="s">
        <v>1366</v>
      </c>
      <c r="C78" s="930" t="s">
        <v>1361</v>
      </c>
      <c r="D78" s="1062"/>
      <c r="F78" s="2051">
        <f t="shared" ref="F78:F86" si="92">F68</f>
        <v>0</v>
      </c>
      <c r="G78" s="1144">
        <f t="shared" ref="G78" si="93">G68</f>
        <v>0</v>
      </c>
      <c r="H78" s="1144"/>
      <c r="I78" s="1204">
        <f t="shared" si="71"/>
        <v>0</v>
      </c>
      <c r="J78" s="579">
        <f>SUM(F79:I79)</f>
        <v>0</v>
      </c>
    </row>
    <row r="79" spans="1:23" x14ac:dyDescent="0.15">
      <c r="A79" s="2596"/>
      <c r="B79" s="2763"/>
      <c r="C79" s="591" t="s">
        <v>1360</v>
      </c>
      <c r="D79" s="1062"/>
      <c r="F79" s="2051">
        <f t="shared" si="92"/>
        <v>0</v>
      </c>
      <c r="G79" s="1144">
        <f t="shared" ref="G79" si="94">G69</f>
        <v>0</v>
      </c>
      <c r="H79" s="1144"/>
      <c r="I79" s="1140">
        <f t="shared" si="71"/>
        <v>0</v>
      </c>
      <c r="J79" s="579"/>
    </row>
    <row r="80" spans="1:23" x14ac:dyDescent="0.15">
      <c r="A80" s="2596"/>
      <c r="B80" s="2763"/>
      <c r="C80" s="591" t="s">
        <v>2012</v>
      </c>
      <c r="D80" s="1062"/>
      <c r="F80" s="2051">
        <f t="shared" si="92"/>
        <v>0</v>
      </c>
      <c r="G80" s="1144">
        <f t="shared" ref="G80" si="95">G70</f>
        <v>0</v>
      </c>
      <c r="H80" s="1144"/>
      <c r="I80" s="1140">
        <f t="shared" si="71"/>
        <v>0</v>
      </c>
      <c r="J80" s="579"/>
    </row>
    <row r="81" spans="1:21" x14ac:dyDescent="0.15">
      <c r="A81" s="2596"/>
      <c r="B81" s="2683"/>
      <c r="C81" s="591" t="s">
        <v>1480</v>
      </c>
      <c r="D81" s="1062"/>
      <c r="F81" s="2051">
        <f t="shared" si="92"/>
        <v>0</v>
      </c>
      <c r="G81" s="1144">
        <f t="shared" ref="G81" si="96">G71</f>
        <v>0</v>
      </c>
      <c r="H81" s="1144"/>
      <c r="I81" s="1140">
        <f t="shared" si="71"/>
        <v>0</v>
      </c>
      <c r="J81" s="579">
        <f>SUM(F81:I81)</f>
        <v>0</v>
      </c>
    </row>
    <row r="82" spans="1:21" x14ac:dyDescent="0.15">
      <c r="A82" s="2596"/>
      <c r="B82" s="2683"/>
      <c r="C82" s="591" t="s">
        <v>1207</v>
      </c>
      <c r="D82" s="1062"/>
      <c r="F82" s="2051">
        <f t="shared" si="92"/>
        <v>0</v>
      </c>
      <c r="G82" s="1144">
        <f t="shared" ref="G82" si="97">G72</f>
        <v>0</v>
      </c>
      <c r="H82" s="1144"/>
      <c r="I82" s="1140">
        <f t="shared" si="71"/>
        <v>0</v>
      </c>
      <c r="J82" s="579">
        <f>SUM(F82:I82)</f>
        <v>0</v>
      </c>
    </row>
    <row r="83" spans="1:21" x14ac:dyDescent="0.15">
      <c r="A83" s="2596"/>
      <c r="B83" s="2764"/>
      <c r="C83" s="591" t="s">
        <v>585</v>
      </c>
      <c r="D83" s="1062"/>
      <c r="F83" s="2051">
        <f t="shared" si="92"/>
        <v>0</v>
      </c>
      <c r="G83" s="1144">
        <f t="shared" ref="G83" si="98">G73</f>
        <v>0</v>
      </c>
      <c r="H83" s="1144"/>
      <c r="I83" s="1140">
        <f t="shared" si="71"/>
        <v>0</v>
      </c>
      <c r="J83" s="579">
        <f>SUM(F83:I83)</f>
        <v>0</v>
      </c>
    </row>
    <row r="84" spans="1:21" x14ac:dyDescent="0.15">
      <c r="A84" s="2596"/>
      <c r="B84" s="2764"/>
      <c r="C84" s="567" t="s">
        <v>642</v>
      </c>
      <c r="D84" s="1062"/>
      <c r="F84" s="2051">
        <f t="shared" si="92"/>
        <v>0</v>
      </c>
      <c r="G84" s="1144">
        <f t="shared" ref="G84" si="99">G74</f>
        <v>0</v>
      </c>
      <c r="H84" s="1144"/>
      <c r="I84" s="1140">
        <f t="shared" si="71"/>
        <v>0</v>
      </c>
      <c r="J84" s="579"/>
    </row>
    <row r="85" spans="1:21" x14ac:dyDescent="0.15">
      <c r="A85" s="2596"/>
      <c r="B85" s="2764"/>
      <c r="C85" s="567" t="s">
        <v>1605</v>
      </c>
      <c r="D85" s="1062"/>
      <c r="F85" s="2051">
        <f t="shared" si="92"/>
        <v>0</v>
      </c>
      <c r="G85" s="1144">
        <f t="shared" ref="G85" si="100">G75</f>
        <v>0</v>
      </c>
      <c r="H85" s="1144"/>
      <c r="I85" s="1140">
        <f t="shared" si="71"/>
        <v>0</v>
      </c>
      <c r="J85" s="579"/>
    </row>
    <row r="86" spans="1:21" x14ac:dyDescent="0.15">
      <c r="A86" s="2596"/>
      <c r="B86" s="2764"/>
      <c r="C86" s="591" t="s">
        <v>1208</v>
      </c>
      <c r="D86" s="1062"/>
      <c r="F86" s="2051">
        <f t="shared" si="92"/>
        <v>0</v>
      </c>
      <c r="G86" s="1144">
        <f t="shared" ref="G86" si="101">G76</f>
        <v>0</v>
      </c>
      <c r="H86" s="1144"/>
      <c r="I86" s="1140">
        <f t="shared" si="71"/>
        <v>0</v>
      </c>
      <c r="J86" s="579">
        <f>SUM(F86:I86)</f>
        <v>0</v>
      </c>
    </row>
    <row r="87" spans="1:21" ht="19.5" thickBot="1" x14ac:dyDescent="0.2">
      <c r="A87" s="2596"/>
      <c r="B87" s="2765"/>
      <c r="C87" s="929" t="s">
        <v>1213</v>
      </c>
      <c r="D87" s="983"/>
      <c r="E87" s="1804"/>
      <c r="F87" s="2054">
        <f t="shared" ref="F87" si="102">F77</f>
        <v>0</v>
      </c>
      <c r="G87" s="1174">
        <f t="shared" ref="G87" si="103">G77</f>
        <v>0</v>
      </c>
      <c r="H87" s="1174"/>
      <c r="I87" s="1141">
        <f t="shared" si="71"/>
        <v>0</v>
      </c>
      <c r="J87" s="579">
        <f>SUM(F87:I87)</f>
        <v>0</v>
      </c>
    </row>
    <row r="88" spans="1:21" ht="19.5" thickBot="1" x14ac:dyDescent="0.2">
      <c r="A88" s="2596"/>
      <c r="B88" s="2749" t="s">
        <v>1837</v>
      </c>
      <c r="C88" s="2749"/>
      <c r="D88" s="1256"/>
      <c r="E88" s="1257"/>
      <c r="F88" s="2044"/>
      <c r="G88" s="1260"/>
      <c r="H88" s="1260"/>
      <c r="I88" s="1261">
        <f t="shared" si="71"/>
        <v>0</v>
      </c>
      <c r="J88" s="1017">
        <f>COUNTA(B88:H88)</f>
        <v>1</v>
      </c>
    </row>
    <row r="89" spans="1:21" x14ac:dyDescent="0.15">
      <c r="A89" s="2596"/>
      <c r="B89" s="2735" t="s">
        <v>1616</v>
      </c>
      <c r="C89" s="550" t="s">
        <v>1232</v>
      </c>
      <c r="D89" s="1061"/>
      <c r="E89" s="1805"/>
      <c r="F89" s="2045"/>
      <c r="G89" s="1170"/>
      <c r="H89" s="1170"/>
      <c r="I89" s="1539"/>
      <c r="J89" s="579">
        <f t="shared" ref="J89:J98" si="104">SUM(F89:I89)</f>
        <v>0</v>
      </c>
      <c r="K89" s="973"/>
      <c r="L89" s="973"/>
      <c r="M89" s="973"/>
      <c r="N89" s="973"/>
      <c r="O89" s="973"/>
      <c r="P89" s="973"/>
      <c r="Q89" s="973"/>
      <c r="R89" s="973"/>
      <c r="S89" s="973"/>
      <c r="T89" s="973"/>
      <c r="U89" s="973"/>
    </row>
    <row r="90" spans="1:21" x14ac:dyDescent="0.15">
      <c r="A90" s="2596"/>
      <c r="B90" s="2656"/>
      <c r="C90" s="567" t="s">
        <v>1231</v>
      </c>
      <c r="D90" s="1062"/>
      <c r="F90" s="2046"/>
      <c r="G90" s="1176"/>
      <c r="H90" s="1176"/>
      <c r="I90" s="1140">
        <f>ROUND(SUM(F90:H90),2)</f>
        <v>0</v>
      </c>
      <c r="J90" s="579">
        <f t="shared" si="104"/>
        <v>0</v>
      </c>
      <c r="K90" s="973"/>
      <c r="L90" s="973"/>
      <c r="M90" s="973"/>
      <c r="N90" s="973"/>
      <c r="O90" s="973"/>
      <c r="P90" s="973"/>
      <c r="Q90" s="973"/>
      <c r="R90" s="973"/>
      <c r="S90" s="973"/>
      <c r="T90" s="973"/>
      <c r="U90" s="973"/>
    </row>
    <row r="91" spans="1:21" ht="22.5" x14ac:dyDescent="0.15">
      <c r="A91" s="2596"/>
      <c r="B91" s="2656"/>
      <c r="C91" s="567" t="s">
        <v>1838</v>
      </c>
      <c r="D91" s="1062"/>
      <c r="F91" s="2051">
        <f t="shared" ref="F91" si="105">F90*2</f>
        <v>0</v>
      </c>
      <c r="G91" s="1144">
        <f t="shared" ref="G91" si="106">G90*2</f>
        <v>0</v>
      </c>
      <c r="H91" s="1144"/>
      <c r="I91" s="1140">
        <f>ROUND(SUM(F91:H91),2)</f>
        <v>0</v>
      </c>
      <c r="J91" s="579">
        <f t="shared" si="104"/>
        <v>0</v>
      </c>
      <c r="K91" s="973"/>
      <c r="L91" s="973"/>
      <c r="M91" s="973"/>
      <c r="N91" s="973"/>
      <c r="O91" s="973"/>
      <c r="P91" s="973"/>
      <c r="Q91" s="973"/>
      <c r="R91" s="973"/>
      <c r="S91" s="973"/>
      <c r="T91" s="973"/>
      <c r="U91" s="973"/>
    </row>
    <row r="92" spans="1:21" x14ac:dyDescent="0.15">
      <c r="A92" s="2596"/>
      <c r="B92" s="2656"/>
      <c r="C92" s="567" t="s">
        <v>1225</v>
      </c>
      <c r="D92" s="1062"/>
      <c r="F92" s="2051">
        <f t="shared" ref="F92" si="107">F90*F89</f>
        <v>0</v>
      </c>
      <c r="G92" s="1144">
        <f t="shared" ref="G92" si="108">G90*G89</f>
        <v>0</v>
      </c>
      <c r="H92" s="1144"/>
      <c r="I92" s="1140">
        <f>ROUND(SUM(F92:H92),2)</f>
        <v>0</v>
      </c>
      <c r="J92" s="579">
        <f t="shared" si="104"/>
        <v>0</v>
      </c>
      <c r="K92" s="973"/>
      <c r="L92" s="973"/>
      <c r="M92" s="973"/>
      <c r="N92" s="973"/>
      <c r="O92" s="973"/>
      <c r="P92" s="973"/>
      <c r="Q92" s="973"/>
      <c r="R92" s="973"/>
      <c r="S92" s="973"/>
      <c r="T92" s="973"/>
      <c r="U92" s="973"/>
    </row>
    <row r="93" spans="1:21" x14ac:dyDescent="0.15">
      <c r="A93" s="2596"/>
      <c r="B93" s="2656"/>
      <c r="C93" s="567" t="s">
        <v>1246</v>
      </c>
      <c r="D93" s="1062"/>
      <c r="F93" s="2059"/>
      <c r="G93" s="1540"/>
      <c r="H93" s="1540"/>
      <c r="I93" s="1267"/>
      <c r="J93" s="579">
        <f t="shared" si="104"/>
        <v>0</v>
      </c>
      <c r="K93" s="973"/>
      <c r="L93" s="973"/>
      <c r="M93" s="973"/>
      <c r="N93" s="973"/>
      <c r="O93" s="973"/>
      <c r="P93" s="973"/>
      <c r="Q93" s="973"/>
      <c r="R93" s="973"/>
      <c r="S93" s="973"/>
      <c r="T93" s="973"/>
      <c r="U93" s="973"/>
    </row>
    <row r="94" spans="1:21" ht="19.5" thickBot="1" x14ac:dyDescent="0.2">
      <c r="A94" s="2596"/>
      <c r="B94" s="2656"/>
      <c r="C94" s="566" t="s">
        <v>472</v>
      </c>
      <c r="D94" s="983"/>
      <c r="E94" s="1804"/>
      <c r="F94" s="2054">
        <f t="shared" ref="F94" si="109">F90*F89*F93/100</f>
        <v>0</v>
      </c>
      <c r="G94" s="1135">
        <f t="shared" ref="G94" si="110">G90*G89*G93/100</f>
        <v>0</v>
      </c>
      <c r="H94" s="1135"/>
      <c r="I94" s="1140">
        <f>ROUND(SUM(F94:H94),2)</f>
        <v>0</v>
      </c>
      <c r="J94" s="579">
        <f t="shared" si="104"/>
        <v>0</v>
      </c>
      <c r="K94" s="973"/>
      <c r="L94" s="973"/>
      <c r="M94" s="973"/>
      <c r="N94" s="973"/>
      <c r="O94" s="973"/>
      <c r="P94" s="973"/>
      <c r="Q94" s="973"/>
      <c r="R94" s="973"/>
      <c r="S94" s="973"/>
      <c r="T94" s="973"/>
      <c r="U94" s="973"/>
    </row>
    <row r="95" spans="1:21" x14ac:dyDescent="0.15">
      <c r="A95" s="2596"/>
      <c r="B95" s="2735" t="s">
        <v>1833</v>
      </c>
      <c r="C95" s="1196" t="s">
        <v>1280</v>
      </c>
      <c r="F95" s="2059"/>
      <c r="G95" s="1540"/>
      <c r="H95" s="1540"/>
      <c r="I95" s="1201">
        <f>ROUND(SUM(F95:H95),2)</f>
        <v>0</v>
      </c>
      <c r="J95" s="579">
        <f t="shared" si="104"/>
        <v>0</v>
      </c>
      <c r="K95" s="973"/>
      <c r="L95" s="973"/>
      <c r="M95" s="973"/>
      <c r="N95" s="973"/>
      <c r="O95" s="973"/>
      <c r="P95" s="973"/>
      <c r="Q95" s="973"/>
      <c r="R95" s="973"/>
      <c r="S95" s="973"/>
      <c r="T95" s="973"/>
      <c r="U95" s="973"/>
    </row>
    <row r="96" spans="1:21" ht="19.5" thickBot="1" x14ac:dyDescent="0.2">
      <c r="A96" s="2596"/>
      <c r="B96" s="2747"/>
      <c r="C96" s="566" t="s">
        <v>512</v>
      </c>
      <c r="D96" s="987"/>
      <c r="E96" s="1804"/>
      <c r="F96" s="2054">
        <f t="shared" ref="F96" si="111">F90*F89*F95/100</f>
        <v>0</v>
      </c>
      <c r="G96" s="1174">
        <f t="shared" ref="G96" si="112">G90*G89*G95/100</f>
        <v>0</v>
      </c>
      <c r="H96" s="1174"/>
      <c r="I96" s="1141">
        <f>ROUND(SUM(F96:H96),2)</f>
        <v>0</v>
      </c>
      <c r="J96" s="579">
        <f t="shared" si="104"/>
        <v>0</v>
      </c>
      <c r="K96" s="973"/>
      <c r="L96" s="973"/>
      <c r="M96" s="973"/>
      <c r="N96" s="973"/>
      <c r="O96" s="973"/>
      <c r="P96" s="973"/>
      <c r="Q96" s="973"/>
      <c r="R96" s="973"/>
      <c r="S96" s="973"/>
      <c r="T96" s="973"/>
      <c r="U96" s="973"/>
    </row>
    <row r="97" spans="1:21" x14ac:dyDescent="0.15">
      <c r="A97" s="2596"/>
      <c r="B97" s="2735" t="s">
        <v>59</v>
      </c>
      <c r="C97" s="1190" t="s">
        <v>1280</v>
      </c>
      <c r="D97" s="1461"/>
      <c r="E97" s="2038"/>
      <c r="F97" s="2059"/>
      <c r="G97" s="1540"/>
      <c r="H97" s="1540"/>
      <c r="I97" s="1201">
        <f>ROUND(SUM(F97:H97),2)</f>
        <v>0</v>
      </c>
      <c r="J97" s="579">
        <f t="shared" si="104"/>
        <v>0</v>
      </c>
      <c r="K97" s="973"/>
      <c r="L97" s="973"/>
      <c r="M97" s="973"/>
      <c r="N97" s="973"/>
      <c r="O97" s="973"/>
      <c r="P97" s="973"/>
      <c r="Q97" s="973"/>
      <c r="R97" s="973"/>
      <c r="S97" s="973"/>
      <c r="T97" s="973"/>
      <c r="U97" s="973"/>
    </row>
    <row r="98" spans="1:21" x14ac:dyDescent="0.15">
      <c r="A98" s="2596"/>
      <c r="B98" s="2656"/>
      <c r="C98" s="567" t="s">
        <v>300</v>
      </c>
      <c r="F98" s="2051">
        <f t="shared" ref="F98" si="113">F90*F89*F97/100</f>
        <v>0</v>
      </c>
      <c r="G98" s="1139">
        <f t="shared" ref="G98" si="114">G90*G89*G97/100</f>
        <v>0</v>
      </c>
      <c r="H98" s="1139"/>
      <c r="I98" s="1140">
        <f>ROUND(SUM(F98:H98),2)</f>
        <v>0</v>
      </c>
      <c r="J98" s="579">
        <f t="shared" si="104"/>
        <v>0</v>
      </c>
      <c r="K98" s="973"/>
      <c r="L98" s="973"/>
      <c r="M98" s="973"/>
      <c r="N98" s="973"/>
      <c r="O98" s="973"/>
      <c r="P98" s="973"/>
      <c r="Q98" s="973"/>
      <c r="R98" s="973"/>
      <c r="S98" s="973"/>
      <c r="T98" s="973"/>
      <c r="U98" s="973"/>
    </row>
    <row r="99" spans="1:21" x14ac:dyDescent="0.15">
      <c r="A99" s="2596"/>
      <c r="B99" s="2656"/>
      <c r="C99" s="567" t="s">
        <v>1834</v>
      </c>
      <c r="D99" s="1532"/>
      <c r="E99" s="2039"/>
      <c r="F99" s="2060"/>
      <c r="G99" s="1541"/>
      <c r="H99" s="1541"/>
      <c r="I99" s="1267"/>
      <c r="J99" s="1017">
        <f>J98</f>
        <v>0</v>
      </c>
      <c r="K99" s="973"/>
      <c r="L99" s="973"/>
      <c r="M99" s="973"/>
      <c r="N99" s="973"/>
      <c r="O99" s="973"/>
      <c r="P99" s="973"/>
      <c r="Q99" s="973"/>
      <c r="R99" s="973"/>
      <c r="S99" s="973"/>
      <c r="T99" s="973"/>
      <c r="U99" s="973"/>
    </row>
    <row r="100" spans="1:21" x14ac:dyDescent="0.15">
      <c r="A100" s="2596"/>
      <c r="B100" s="2656"/>
      <c r="C100" s="567" t="s">
        <v>726</v>
      </c>
      <c r="F100" s="2051">
        <f t="shared" ref="F100" si="115">IF(F99="sim",F$98*1.25,0)</f>
        <v>0</v>
      </c>
      <c r="G100" s="1144">
        <f t="shared" ref="G100" si="116">IF(G99="sim",G$98*1.25,0)</f>
        <v>0</v>
      </c>
      <c r="H100" s="1144"/>
      <c r="I100" s="1140">
        <f>ROUND(SUM(F100:H100),2)</f>
        <v>0</v>
      </c>
      <c r="J100" s="579">
        <f>SUM(F100:I100)</f>
        <v>0</v>
      </c>
      <c r="K100" s="973"/>
      <c r="L100" s="973"/>
      <c r="M100" s="973"/>
      <c r="N100" s="973"/>
      <c r="O100" s="973"/>
      <c r="P100" s="973"/>
      <c r="Q100" s="973"/>
      <c r="R100" s="973"/>
      <c r="S100" s="973"/>
      <c r="T100" s="973"/>
      <c r="U100" s="973"/>
    </row>
    <row r="101" spans="1:21" x14ac:dyDescent="0.15">
      <c r="A101" s="2596"/>
      <c r="B101" s="2656"/>
      <c r="C101" s="567" t="s">
        <v>1835</v>
      </c>
      <c r="E101" s="2039"/>
      <c r="F101" s="2060"/>
      <c r="G101" s="1541"/>
      <c r="H101" s="1541"/>
      <c r="I101" s="1267"/>
      <c r="J101" s="1017">
        <f>J100</f>
        <v>0</v>
      </c>
      <c r="K101" s="973"/>
      <c r="L101" s="973"/>
      <c r="M101" s="973"/>
      <c r="N101" s="973"/>
      <c r="O101" s="973"/>
      <c r="P101" s="973"/>
      <c r="Q101" s="973"/>
      <c r="R101" s="973"/>
      <c r="S101" s="973"/>
      <c r="T101" s="973"/>
      <c r="U101" s="973"/>
    </row>
    <row r="102" spans="1:21" x14ac:dyDescent="0.15">
      <c r="A102" s="2596"/>
      <c r="B102" s="2656"/>
      <c r="C102" s="567" t="s">
        <v>1305</v>
      </c>
      <c r="F102" s="2051">
        <f t="shared" ref="F102" si="117">IF(F101="sim",F$98*1.375,0)</f>
        <v>0</v>
      </c>
      <c r="G102" s="1144">
        <f t="shared" ref="G102" si="118">IF(G101="sim",G$98*1.375,0)</f>
        <v>0</v>
      </c>
      <c r="H102" s="1144"/>
      <c r="I102" s="1140">
        <f>ROUND(SUM(F102:H102),2)</f>
        <v>0</v>
      </c>
      <c r="J102" s="579">
        <f>SUM(F102:I102)</f>
        <v>0</v>
      </c>
      <c r="K102" s="973"/>
      <c r="L102" s="973"/>
      <c r="M102" s="973"/>
      <c r="N102" s="973"/>
      <c r="O102" s="973"/>
      <c r="P102" s="973"/>
      <c r="Q102" s="973"/>
      <c r="R102" s="973"/>
      <c r="S102" s="973"/>
      <c r="T102" s="973"/>
      <c r="U102" s="973"/>
    </row>
    <row r="103" spans="1:21" x14ac:dyDescent="0.15">
      <c r="A103" s="2596"/>
      <c r="B103" s="2656"/>
      <c r="C103" s="567" t="s">
        <v>1836</v>
      </c>
      <c r="D103" s="1532"/>
      <c r="E103" s="2039"/>
      <c r="F103" s="2060"/>
      <c r="G103" s="1541"/>
      <c r="H103" s="1541"/>
      <c r="I103" s="1267"/>
      <c r="J103" s="1017">
        <f>J102</f>
        <v>0</v>
      </c>
      <c r="K103" s="973"/>
      <c r="L103" s="973"/>
      <c r="M103" s="973"/>
      <c r="N103" s="973"/>
      <c r="O103" s="973"/>
      <c r="P103" s="973"/>
      <c r="Q103" s="973"/>
      <c r="R103" s="973"/>
      <c r="S103" s="973"/>
      <c r="T103" s="973"/>
      <c r="U103" s="973"/>
    </row>
    <row r="104" spans="1:21" ht="23.25" thickBot="1" x14ac:dyDescent="0.2">
      <c r="A104" s="2596"/>
      <c r="B104" s="2747"/>
      <c r="C104" s="566" t="s">
        <v>1758</v>
      </c>
      <c r="D104" s="1543"/>
      <c r="E104" s="2040"/>
      <c r="F104" s="2054">
        <f t="shared" ref="F104" si="119">IF(F103="sim",F$98*1.4667,0)</f>
        <v>0</v>
      </c>
      <c r="G104" s="1135">
        <f t="shared" ref="G104" si="120">IF(G103="sim",G$98*1.4667,0)</f>
        <v>0</v>
      </c>
      <c r="H104" s="1135"/>
      <c r="I104" s="1141">
        <f>ROUND(SUM(F104:H104),2)</f>
        <v>0</v>
      </c>
      <c r="J104" s="579">
        <f t="shared" ref="J104:J118" si="121">SUM(F104:I104)</f>
        <v>0</v>
      </c>
      <c r="K104" s="973"/>
      <c r="L104" s="973"/>
      <c r="M104" s="973"/>
      <c r="N104" s="973"/>
      <c r="O104" s="973"/>
      <c r="P104" s="973"/>
      <c r="Q104" s="973"/>
      <c r="R104" s="973"/>
      <c r="S104" s="973"/>
      <c r="T104" s="973"/>
      <c r="U104" s="973"/>
    </row>
    <row r="105" spans="1:21" x14ac:dyDescent="0.15">
      <c r="A105" s="2596"/>
      <c r="B105" s="2750" t="s">
        <v>301</v>
      </c>
      <c r="C105" s="550" t="s">
        <v>29</v>
      </c>
      <c r="D105" s="985"/>
      <c r="E105" s="1805"/>
      <c r="F105" s="2051">
        <f t="shared" ref="F105" si="122">F90*F89</f>
        <v>0</v>
      </c>
      <c r="G105" s="1144">
        <f t="shared" ref="G105" si="123">G90*G89</f>
        <v>0</v>
      </c>
      <c r="H105" s="1144"/>
      <c r="I105" s="1140">
        <f>ROUND(SUM(F105:H105),2)</f>
        <v>0</v>
      </c>
      <c r="J105" s="579">
        <f t="shared" si="121"/>
        <v>0</v>
      </c>
      <c r="K105" s="973"/>
      <c r="L105" s="973"/>
      <c r="M105" s="973"/>
      <c r="N105" s="973"/>
      <c r="O105" s="973"/>
      <c r="P105" s="973"/>
      <c r="Q105" s="973"/>
      <c r="R105" s="973"/>
      <c r="S105" s="973"/>
      <c r="T105" s="973"/>
      <c r="U105" s="973"/>
    </row>
    <row r="106" spans="1:21" ht="23.25" thickBot="1" x14ac:dyDescent="0.2">
      <c r="A106" s="2596"/>
      <c r="B106" s="2755"/>
      <c r="C106" s="566" t="s">
        <v>1402</v>
      </c>
      <c r="D106" s="987"/>
      <c r="E106" s="1804"/>
      <c r="F106" s="2051">
        <f t="shared" ref="F106" si="124">F105*0.0012</f>
        <v>0</v>
      </c>
      <c r="G106" s="1139">
        <f t="shared" ref="G106" si="125">G105*0.0012</f>
        <v>0</v>
      </c>
      <c r="H106" s="1139"/>
      <c r="I106" s="1141">
        <f>ROUND(SUM(F106:H106),2)</f>
        <v>0</v>
      </c>
      <c r="J106" s="579">
        <f t="shared" si="121"/>
        <v>0</v>
      </c>
      <c r="K106" s="973"/>
      <c r="L106" s="973"/>
      <c r="M106" s="973"/>
      <c r="N106" s="973"/>
      <c r="O106" s="973"/>
      <c r="P106" s="973"/>
      <c r="Q106" s="973"/>
      <c r="R106" s="973"/>
      <c r="S106" s="973"/>
      <c r="T106" s="973"/>
      <c r="U106" s="973"/>
    </row>
    <row r="107" spans="1:21" x14ac:dyDescent="0.15">
      <c r="A107" s="2596"/>
      <c r="B107" s="2757" t="s">
        <v>1374</v>
      </c>
      <c r="C107" s="1184" t="s">
        <v>1280</v>
      </c>
      <c r="D107" s="1545"/>
      <c r="E107" s="2041"/>
      <c r="F107" s="2061"/>
      <c r="G107" s="1286"/>
      <c r="H107" s="1286"/>
      <c r="I107" s="1267"/>
      <c r="J107" s="579">
        <f t="shared" si="121"/>
        <v>0</v>
      </c>
      <c r="K107" s="973"/>
      <c r="L107" s="973"/>
      <c r="M107" s="973"/>
      <c r="N107" s="973"/>
      <c r="O107" s="973"/>
      <c r="P107" s="973"/>
      <c r="Q107" s="973"/>
      <c r="R107" s="973"/>
      <c r="S107" s="973"/>
      <c r="T107" s="973"/>
      <c r="U107" s="973"/>
    </row>
    <row r="108" spans="1:21" x14ac:dyDescent="0.15">
      <c r="A108" s="2596"/>
      <c r="B108" s="2759"/>
      <c r="C108" s="567" t="s">
        <v>686</v>
      </c>
      <c r="F108" s="2051">
        <f t="shared" ref="F108:G108" si="126">F$105*F$107*2.5548/100</f>
        <v>0</v>
      </c>
      <c r="G108" s="1144">
        <f t="shared" si="126"/>
        <v>0</v>
      </c>
      <c r="H108" s="1144"/>
      <c r="I108" s="1140">
        <f>ROUND(SUM(F108:H108),2)</f>
        <v>0</v>
      </c>
      <c r="J108" s="579">
        <f t="shared" si="121"/>
        <v>0</v>
      </c>
      <c r="K108" s="973"/>
      <c r="L108" s="973"/>
      <c r="M108" s="973"/>
      <c r="N108" s="973"/>
      <c r="O108" s="973"/>
      <c r="P108" s="973"/>
      <c r="Q108" s="973"/>
      <c r="R108" s="973"/>
      <c r="S108" s="973"/>
      <c r="T108" s="973"/>
      <c r="U108" s="973"/>
    </row>
    <row r="109" spans="1:21" x14ac:dyDescent="0.15">
      <c r="A109" s="2596"/>
      <c r="B109" s="2759"/>
      <c r="C109" s="567" t="s">
        <v>717</v>
      </c>
      <c r="F109" s="2051">
        <f t="shared" ref="F109:G109" si="127">F$105*F$107</f>
        <v>0</v>
      </c>
      <c r="G109" s="1144">
        <f t="shared" si="127"/>
        <v>0</v>
      </c>
      <c r="H109" s="1144"/>
      <c r="I109" s="1140">
        <f>ROUND(SUM(F109:H109),2)</f>
        <v>0</v>
      </c>
      <c r="J109" s="579">
        <f t="shared" si="121"/>
        <v>0</v>
      </c>
      <c r="K109" s="973"/>
      <c r="L109" s="973"/>
      <c r="M109" s="973"/>
      <c r="N109" s="973"/>
      <c r="O109" s="973"/>
      <c r="P109" s="973"/>
      <c r="Q109" s="973"/>
      <c r="R109" s="973"/>
      <c r="S109" s="973"/>
      <c r="T109" s="973"/>
      <c r="U109" s="973"/>
    </row>
    <row r="110" spans="1:21" x14ac:dyDescent="0.15">
      <c r="A110" s="2596"/>
      <c r="B110" s="2759"/>
      <c r="C110" s="559" t="s">
        <v>1768</v>
      </c>
      <c r="F110" s="2051">
        <f t="shared" ref="F110" si="128">F108*0.06</f>
        <v>0</v>
      </c>
      <c r="G110" s="1144">
        <f t="shared" ref="G110" si="129">G108*0.06</f>
        <v>0</v>
      </c>
      <c r="H110" s="1144"/>
      <c r="I110" s="1140">
        <f>ROUND(SUM(F110:H110),2)</f>
        <v>0</v>
      </c>
      <c r="J110" s="579">
        <f t="shared" si="121"/>
        <v>0</v>
      </c>
      <c r="K110" s="973"/>
      <c r="L110" s="973"/>
      <c r="M110" s="973"/>
      <c r="N110" s="973"/>
      <c r="O110" s="973"/>
      <c r="P110" s="973"/>
      <c r="Q110" s="973"/>
      <c r="R110" s="973"/>
      <c r="S110" s="973"/>
      <c r="T110" s="973"/>
      <c r="U110" s="973"/>
    </row>
    <row r="111" spans="1:21" x14ac:dyDescent="0.15">
      <c r="A111" s="2596"/>
      <c r="B111" s="2759"/>
      <c r="C111" s="563" t="s">
        <v>698</v>
      </c>
      <c r="F111" s="2051">
        <f t="shared" ref="F111" si="130">F108*0.161</f>
        <v>0</v>
      </c>
      <c r="G111" s="1144">
        <f t="shared" ref="G111" si="131">G108*0.161</f>
        <v>0</v>
      </c>
      <c r="H111" s="1144"/>
      <c r="I111" s="1140">
        <f>ROUND(SUM(F111:H111),2)</f>
        <v>0</v>
      </c>
      <c r="J111" s="579">
        <f t="shared" si="121"/>
        <v>0</v>
      </c>
      <c r="K111" s="973"/>
      <c r="L111" s="973"/>
      <c r="M111" s="973"/>
      <c r="N111" s="973"/>
      <c r="O111" s="973"/>
      <c r="P111" s="973"/>
      <c r="Q111" s="973"/>
      <c r="R111" s="973"/>
      <c r="S111" s="973"/>
      <c r="T111" s="973"/>
      <c r="U111" s="973"/>
    </row>
    <row r="112" spans="1:21" ht="19.5" thickBot="1" x14ac:dyDescent="0.2">
      <c r="A112" s="2596"/>
      <c r="B112" s="2758"/>
      <c r="C112" s="562" t="s">
        <v>697</v>
      </c>
      <c r="D112" s="987"/>
      <c r="E112" s="1804"/>
      <c r="F112" s="2054">
        <f t="shared" ref="F112" si="132">F108*0.447</f>
        <v>0</v>
      </c>
      <c r="G112" s="1135">
        <f t="shared" ref="G112" si="133">G108*0.447</f>
        <v>0</v>
      </c>
      <c r="H112" s="1135"/>
      <c r="I112" s="1141">
        <f>ROUND(SUM(F112:H112),2)</f>
        <v>0</v>
      </c>
      <c r="J112" s="579">
        <f t="shared" si="121"/>
        <v>0</v>
      </c>
      <c r="K112" s="973"/>
      <c r="L112" s="973"/>
      <c r="M112" s="973"/>
      <c r="N112" s="973"/>
      <c r="O112" s="973"/>
      <c r="P112" s="973"/>
      <c r="Q112" s="973"/>
      <c r="R112" s="973"/>
      <c r="S112" s="973"/>
      <c r="T112" s="973"/>
      <c r="U112" s="973"/>
    </row>
    <row r="113" spans="1:21" x14ac:dyDescent="0.15">
      <c r="A113" s="2596"/>
      <c r="B113" s="2760" t="s">
        <v>1375</v>
      </c>
      <c r="C113" s="1189" t="s">
        <v>1280</v>
      </c>
      <c r="D113" s="1545"/>
      <c r="E113" s="2041"/>
      <c r="F113" s="2061"/>
      <c r="G113" s="1286"/>
      <c r="H113" s="1286"/>
      <c r="I113" s="1267"/>
      <c r="J113" s="579">
        <f t="shared" si="121"/>
        <v>0</v>
      </c>
      <c r="K113" s="973"/>
      <c r="L113" s="973"/>
      <c r="M113" s="973"/>
      <c r="N113" s="973"/>
      <c r="O113" s="973"/>
      <c r="P113" s="973"/>
      <c r="Q113" s="973"/>
      <c r="R113" s="973"/>
      <c r="S113" s="973"/>
      <c r="T113" s="973"/>
      <c r="U113" s="973"/>
    </row>
    <row r="114" spans="1:21" x14ac:dyDescent="0.15">
      <c r="A114" s="2596"/>
      <c r="B114" s="2761"/>
      <c r="C114" s="567" t="s">
        <v>1373</v>
      </c>
      <c r="F114" s="2051">
        <f t="shared" ref="F114" si="134">F105*F113*2.346/100</f>
        <v>0</v>
      </c>
      <c r="G114" s="1144">
        <f t="shared" ref="G114" si="135">G105*G113*2.346/100</f>
        <v>0</v>
      </c>
      <c r="H114" s="1144"/>
      <c r="I114" s="1140">
        <f>ROUND(SUM(F114:H114),2)</f>
        <v>0</v>
      </c>
      <c r="J114" s="579">
        <f t="shared" si="121"/>
        <v>0</v>
      </c>
      <c r="K114" s="973"/>
      <c r="L114" s="973"/>
      <c r="M114" s="973"/>
      <c r="N114" s="973"/>
      <c r="O114" s="973"/>
      <c r="P114" s="973"/>
      <c r="Q114" s="973"/>
      <c r="R114" s="973"/>
      <c r="S114" s="973"/>
      <c r="T114" s="973"/>
      <c r="U114" s="973"/>
    </row>
    <row r="115" spans="1:21" x14ac:dyDescent="0.15">
      <c r="A115" s="2596"/>
      <c r="B115" s="2761"/>
      <c r="C115" s="567" t="s">
        <v>717</v>
      </c>
      <c r="F115" s="2051">
        <f t="shared" ref="F115" si="136">F113*F105</f>
        <v>0</v>
      </c>
      <c r="G115" s="1144">
        <f t="shared" ref="G115" si="137">G113*G105</f>
        <v>0</v>
      </c>
      <c r="H115" s="1144"/>
      <c r="I115" s="1140">
        <f>ROUND(SUM(F115:H115),2)</f>
        <v>0</v>
      </c>
      <c r="J115" s="579">
        <f t="shared" si="121"/>
        <v>0</v>
      </c>
      <c r="K115" s="973"/>
      <c r="L115" s="973"/>
      <c r="M115" s="973"/>
      <c r="N115" s="973"/>
      <c r="O115" s="973"/>
      <c r="P115" s="973"/>
      <c r="Q115" s="973"/>
      <c r="R115" s="973"/>
      <c r="S115" s="973"/>
      <c r="T115" s="973"/>
      <c r="U115" s="973"/>
    </row>
    <row r="116" spans="1:21" x14ac:dyDescent="0.15">
      <c r="A116" s="2596"/>
      <c r="B116" s="2761"/>
      <c r="C116" s="559" t="s">
        <v>952</v>
      </c>
      <c r="F116" s="2051">
        <f t="shared" ref="F116" si="138">F114*0.132</f>
        <v>0</v>
      </c>
      <c r="G116" s="1144">
        <f t="shared" ref="G116" si="139">G114*0.132</f>
        <v>0</v>
      </c>
      <c r="H116" s="1144"/>
      <c r="I116" s="1140">
        <f>ROUND(SUM(F116:H116),2)</f>
        <v>0</v>
      </c>
      <c r="J116" s="579">
        <f t="shared" si="121"/>
        <v>0</v>
      </c>
      <c r="K116" s="973"/>
      <c r="L116" s="973"/>
      <c r="M116" s="973"/>
      <c r="N116" s="973"/>
      <c r="O116" s="973"/>
      <c r="P116" s="973"/>
      <c r="Q116" s="973"/>
      <c r="R116" s="973"/>
      <c r="S116" s="973"/>
      <c r="T116" s="973"/>
      <c r="U116" s="973"/>
    </row>
    <row r="117" spans="1:21" x14ac:dyDescent="0.15">
      <c r="A117" s="2596"/>
      <c r="B117" s="2761"/>
      <c r="C117" s="563" t="s">
        <v>696</v>
      </c>
      <c r="F117" s="2051">
        <f t="shared" ref="F117" si="140">F114*0.411</f>
        <v>0</v>
      </c>
      <c r="G117" s="1144">
        <f t="shared" ref="G117" si="141">G114*0.411</f>
        <v>0</v>
      </c>
      <c r="H117" s="1144"/>
      <c r="I117" s="1140">
        <f>ROUND(SUM(F117:H117),2)</f>
        <v>0</v>
      </c>
      <c r="J117" s="579">
        <f t="shared" si="121"/>
        <v>0</v>
      </c>
      <c r="K117" s="973"/>
      <c r="L117" s="973"/>
      <c r="M117" s="973"/>
      <c r="N117" s="973"/>
      <c r="O117" s="973"/>
      <c r="P117" s="973"/>
      <c r="Q117" s="973"/>
      <c r="R117" s="973"/>
      <c r="S117" s="973"/>
      <c r="T117" s="973"/>
      <c r="U117" s="973"/>
    </row>
    <row r="118" spans="1:21" ht="19.5" thickBot="1" x14ac:dyDescent="0.2">
      <c r="A118" s="2596"/>
      <c r="B118" s="2762"/>
      <c r="C118" s="809" t="s">
        <v>687</v>
      </c>
      <c r="D118" s="987"/>
      <c r="E118" s="1804"/>
      <c r="F118" s="2054">
        <f t="shared" ref="F118" si="142">F114*0.968</f>
        <v>0</v>
      </c>
      <c r="G118" s="1135">
        <f t="shared" ref="G118" si="143">G114*0.968</f>
        <v>0</v>
      </c>
      <c r="H118" s="1135"/>
      <c r="I118" s="1141">
        <f>ROUND(SUM(F118:H118),2)</f>
        <v>0</v>
      </c>
      <c r="J118" s="579">
        <f t="shared" si="121"/>
        <v>0</v>
      </c>
      <c r="K118" s="973"/>
      <c r="L118" s="973"/>
      <c r="M118" s="973"/>
      <c r="N118" s="973"/>
      <c r="O118" s="973"/>
      <c r="P118" s="973"/>
      <c r="Q118" s="973"/>
      <c r="R118" s="973"/>
      <c r="S118" s="973"/>
      <c r="T118" s="973"/>
      <c r="U118" s="973"/>
    </row>
    <row r="119" spans="1:21" ht="20.25" thickBot="1" x14ac:dyDescent="0.2">
      <c r="A119" s="2742"/>
      <c r="B119" s="2676" t="s">
        <v>12</v>
      </c>
      <c r="C119" s="2748"/>
      <c r="D119" s="1547"/>
      <c r="E119" s="2042"/>
      <c r="F119" s="2117"/>
      <c r="G119" s="2118"/>
      <c r="H119" s="1264"/>
      <c r="I119" s="2119"/>
      <c r="J119" s="668">
        <v>1</v>
      </c>
    </row>
    <row r="120" spans="1:21" ht="19.5" thickTop="1" x14ac:dyDescent="0.15">
      <c r="F120" s="1252"/>
      <c r="G120" s="1252"/>
      <c r="H120" s="1252"/>
      <c r="I120" s="1253"/>
    </row>
  </sheetData>
  <autoFilter ref="J1:J120" xr:uid="{00000000-0009-0000-0000-000015000000}"/>
  <mergeCells count="40">
    <mergeCell ref="B88:C88"/>
    <mergeCell ref="W56:W58"/>
    <mergeCell ref="K56:N56"/>
    <mergeCell ref="O56:R56"/>
    <mergeCell ref="S56:U56"/>
    <mergeCell ref="B78:B87"/>
    <mergeCell ref="B68:B77"/>
    <mergeCell ref="B89:B94"/>
    <mergeCell ref="B105:B106"/>
    <mergeCell ref="B107:B112"/>
    <mergeCell ref="B113:B118"/>
    <mergeCell ref="B95:B96"/>
    <mergeCell ref="B97:B104"/>
    <mergeCell ref="B38:B39"/>
    <mergeCell ref="B52:C52"/>
    <mergeCell ref="B36:B37"/>
    <mergeCell ref="B40:B44"/>
    <mergeCell ref="B66:B67"/>
    <mergeCell ref="B4:B6"/>
    <mergeCell ref="B16:B19"/>
    <mergeCell ref="B20:B24"/>
    <mergeCell ref="B25:B27"/>
    <mergeCell ref="B28:B32"/>
    <mergeCell ref="B9:B14"/>
    <mergeCell ref="B33:B35"/>
    <mergeCell ref="B61:B65"/>
    <mergeCell ref="B58:B59"/>
    <mergeCell ref="A1:A119"/>
    <mergeCell ref="B1:C1"/>
    <mergeCell ref="B2:C2"/>
    <mergeCell ref="B7:B8"/>
    <mergeCell ref="B53:B57"/>
    <mergeCell ref="B119:C119"/>
    <mergeCell ref="B15:C15"/>
    <mergeCell ref="B50:C50"/>
    <mergeCell ref="B46:B49"/>
    <mergeCell ref="B51:C51"/>
    <mergeCell ref="B3:C3"/>
    <mergeCell ref="B45:C45"/>
    <mergeCell ref="B60:C60"/>
  </mergeCells>
  <conditionalFormatting sqref="E3">
    <cfRule type="cellIs" dxfId="97" priority="28" operator="lessThan">
      <formula>0</formula>
    </cfRule>
  </conditionalFormatting>
  <conditionalFormatting sqref="E15:E19">
    <cfRule type="cellIs" dxfId="96" priority="149" operator="lessThan">
      <formula>0</formula>
    </cfRule>
  </conditionalFormatting>
  <conditionalFormatting sqref="E51">
    <cfRule type="cellIs" dxfId="95" priority="30" operator="lessThan">
      <formula>0</formula>
    </cfRule>
  </conditionalFormatting>
  <conditionalFormatting sqref="E53">
    <cfRule type="cellIs" dxfId="94" priority="150" operator="lessThan">
      <formula>E61</formula>
    </cfRule>
  </conditionalFormatting>
  <conditionalFormatting sqref="E88">
    <cfRule type="cellIs" dxfId="93" priority="8" operator="lessThan">
      <formula>0</formula>
    </cfRule>
  </conditionalFormatting>
  <hyperlinks>
    <hyperlink ref="B1:C1" location="PAINEL!A1" display="TRECHOS" xr:uid="{00000000-0004-0000-1500-000000000000}"/>
  </hyperlinks>
  <pageMargins left="0.59055118110236227" right="0.59055118110236227" top="0.39370078740157483" bottom="0.78740157480314965" header="0.31496062992125984" footer="0.23622047244094491"/>
  <pageSetup paperSize="9" scale="21" fitToWidth="2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I15 I3" formula="1"/>
  </ignoredError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30" filterMode="1">
    <tabColor theme="5" tint="0.59999389629810485"/>
  </sheetPr>
  <dimension ref="A1:BD103"/>
  <sheetViews>
    <sheetView showZeros="0" zoomScaleNormal="100" workbookViewId="0">
      <pane xSplit="5" ySplit="1" topLeftCell="F28" activePane="bottomRight" state="frozenSplit"/>
      <selection activeCell="D18" sqref="B13:I28"/>
      <selection pane="topRight" activeCell="D18" sqref="B13:I28"/>
      <selection pane="bottomLeft" activeCell="D18" sqref="B13:I28"/>
      <selection pane="bottomRight" sqref="A1:A101"/>
    </sheetView>
  </sheetViews>
  <sheetFormatPr defaultColWidth="9" defaultRowHeight="18.75" x14ac:dyDescent="0.15"/>
  <cols>
    <col min="1" max="1" width="9.75" style="133" customWidth="1"/>
    <col min="2" max="2" width="14.625" style="13" customWidth="1"/>
    <col min="3" max="3" width="35.625" style="13" customWidth="1"/>
    <col min="4" max="4" width="3.625" style="986" hidden="1" customWidth="1"/>
    <col min="5" max="5" width="8.375" style="13" hidden="1" customWidth="1"/>
    <col min="6" max="6" width="12.625" style="13" hidden="1" customWidth="1"/>
    <col min="7" max="20" width="12.625" style="133" hidden="1" customWidth="1"/>
    <col min="21" max="21" width="12.625" style="133" customWidth="1"/>
    <col min="22" max="31" width="12.625" style="133" hidden="1" customWidth="1"/>
    <col min="32" max="33" width="12.625" style="133" customWidth="1"/>
    <col min="34" max="51" width="12.625" style="133" hidden="1" customWidth="1"/>
    <col min="52" max="52" width="12.625" style="420" customWidth="1"/>
    <col min="53" max="53" width="16" style="133" customWidth="1"/>
    <col min="54" max="54" width="10.75" style="133" customWidth="1"/>
    <col min="55" max="55" width="15.625" style="133" customWidth="1"/>
    <col min="56" max="16384" width="9" style="133"/>
  </cols>
  <sheetData>
    <row r="1" spans="1:53" s="16" customFormat="1" ht="29.25" customHeight="1" thickTop="1" thickBot="1" x14ac:dyDescent="0.2">
      <c r="A1" s="2595" t="s">
        <v>748</v>
      </c>
      <c r="B1" s="2769" t="s">
        <v>346</v>
      </c>
      <c r="C1" s="2770"/>
      <c r="D1" s="991"/>
      <c r="E1" s="974" t="s">
        <v>587</v>
      </c>
      <c r="F1" s="974" t="s">
        <v>1839</v>
      </c>
      <c r="G1" s="225">
        <f ca="1">Dren_Quantificacao!D1</f>
        <v>0</v>
      </c>
      <c r="H1" s="225">
        <f ca="1">Dren_Quantificacao!E1</f>
        <v>2</v>
      </c>
      <c r="I1" s="225">
        <f ca="1">Dren_Quantificacao!F1</f>
        <v>3</v>
      </c>
      <c r="J1" s="225">
        <f ca="1">Dren_Quantificacao!G1</f>
        <v>4</v>
      </c>
      <c r="K1" s="225">
        <f ca="1">Dren_Quantificacao!H1</f>
        <v>0</v>
      </c>
      <c r="L1" s="225">
        <f ca="1">Dren_Quantificacao!I1</f>
        <v>0</v>
      </c>
      <c r="M1" s="225">
        <f ca="1">Dren_Quantificacao!J1</f>
        <v>0</v>
      </c>
      <c r="N1" s="225">
        <f ca="1">Dren_Quantificacao!K1</f>
        <v>0</v>
      </c>
      <c r="O1" s="225">
        <f ca="1">Dren_Quantificacao!L1</f>
        <v>0</v>
      </c>
      <c r="P1" s="225">
        <f ca="1">Dren_Quantificacao!M1</f>
        <v>10</v>
      </c>
      <c r="Q1" s="225">
        <f ca="1">Dren_Quantificacao!N1</f>
        <v>11</v>
      </c>
      <c r="R1" s="225">
        <f ca="1">Dren_Quantificacao!O1</f>
        <v>12</v>
      </c>
      <c r="S1" s="225">
        <f ca="1">Dren_Quantificacao!P1</f>
        <v>13</v>
      </c>
      <c r="T1" s="225">
        <f ca="1">Dren_Quantificacao!Q1</f>
        <v>14</v>
      </c>
      <c r="U1" s="225">
        <f ca="1">Dren_Quantificacao!R1</f>
        <v>15</v>
      </c>
      <c r="V1" s="225">
        <f ca="1">Dren_Quantificacao!S1</f>
        <v>16</v>
      </c>
      <c r="W1" s="225">
        <f ca="1">Dren_Quantificacao!T1</f>
        <v>17</v>
      </c>
      <c r="X1" s="225">
        <f ca="1">Dren_Quantificacao!U1</f>
        <v>0</v>
      </c>
      <c r="Y1" s="225">
        <f ca="1">Dren_Quantificacao!V1</f>
        <v>0</v>
      </c>
      <c r="Z1" s="225">
        <f ca="1">Dren_Quantificacao!W1</f>
        <v>20</v>
      </c>
      <c r="AA1" s="225">
        <f ca="1">Dren_Quantificacao!X1</f>
        <v>21</v>
      </c>
      <c r="AB1" s="225">
        <f ca="1">Dren_Quantificacao!Y1</f>
        <v>22</v>
      </c>
      <c r="AC1" s="225">
        <f ca="1">Dren_Quantificacao!Z1</f>
        <v>23</v>
      </c>
      <c r="AD1" s="225">
        <f ca="1">Dren_Quantificacao!AA1</f>
        <v>24</v>
      </c>
      <c r="AE1" s="225">
        <f ca="1">Dren_Quantificacao!AB1</f>
        <v>25</v>
      </c>
      <c r="AF1" s="225">
        <f ca="1">Dren_Quantificacao!AC1</f>
        <v>26</v>
      </c>
      <c r="AG1" s="225">
        <f ca="1">Dren_Quantificacao!AD1</f>
        <v>27</v>
      </c>
      <c r="AH1" s="225">
        <f ca="1">Dren_Quantificacao!AE1</f>
        <v>28</v>
      </c>
      <c r="AI1" s="225">
        <f ca="1">Dren_Quantificacao!AF1</f>
        <v>29</v>
      </c>
      <c r="AJ1" s="225">
        <f ca="1">Dren_Quantificacao!AG1</f>
        <v>0</v>
      </c>
      <c r="AK1" s="225">
        <f ca="1">Dren_Quantificacao!AH1</f>
        <v>0</v>
      </c>
      <c r="AL1" s="225">
        <f ca="1">Dren_Quantificacao!AI1</f>
        <v>0</v>
      </c>
      <c r="AM1" s="225">
        <f ca="1">Dren_Quantificacao!AJ1</f>
        <v>0</v>
      </c>
      <c r="AN1" s="225">
        <f ca="1">Dren_Quantificacao!AK1</f>
        <v>0</v>
      </c>
      <c r="AO1" s="225">
        <f ca="1">Dren_Quantificacao!AL1</f>
        <v>0</v>
      </c>
      <c r="AP1" s="225">
        <f ca="1">Dren_Quantificacao!AM1</f>
        <v>0</v>
      </c>
      <c r="AQ1" s="225">
        <f ca="1">Dren_Quantificacao!AN1</f>
        <v>0</v>
      </c>
      <c r="AR1" s="225">
        <f ca="1">Dren_Quantificacao!AO1</f>
        <v>0</v>
      </c>
      <c r="AS1" s="225">
        <f ca="1">Dren_Quantificacao!AP1</f>
        <v>0</v>
      </c>
      <c r="AT1" s="225">
        <f ca="1">Dren_Quantificacao!AQ1</f>
        <v>40</v>
      </c>
      <c r="AU1" s="225">
        <f ca="1">Dren_Quantificacao!AR1</f>
        <v>41</v>
      </c>
      <c r="AV1" s="225">
        <f ca="1">Dren_Quantificacao!AS1</f>
        <v>42</v>
      </c>
      <c r="AW1" s="225">
        <f ca="1">Dren_Quantificacao!AT1</f>
        <v>43</v>
      </c>
      <c r="AX1" s="225">
        <f ca="1">Dren_Quantificacao!AU1</f>
        <v>44</v>
      </c>
      <c r="AY1" s="225"/>
      <c r="AZ1" s="367" t="s">
        <v>0</v>
      </c>
      <c r="BA1" s="578" t="s">
        <v>1359</v>
      </c>
    </row>
    <row r="2" spans="1:53" ht="21.95" customHeight="1" thickTop="1" thickBot="1" x14ac:dyDescent="0.2">
      <c r="A2" s="2596"/>
      <c r="B2" s="2647" t="s">
        <v>3</v>
      </c>
      <c r="C2" s="2648"/>
      <c r="D2" s="992"/>
      <c r="E2" s="1542"/>
      <c r="F2" s="1161">
        <f>Dre_Profunda!I90</f>
        <v>0</v>
      </c>
      <c r="G2" s="1161">
        <f>IF(G32&gt;0,Dren_Quantificacao!D3,0)</f>
        <v>0</v>
      </c>
      <c r="H2" s="1161">
        <f>IF(H32&gt;0,Dren_Quantificacao!E3,0)</f>
        <v>0</v>
      </c>
      <c r="I2" s="1161">
        <f>IF(I32&gt;0,Dren_Quantificacao!F3,0)</f>
        <v>0</v>
      </c>
      <c r="J2" s="1161">
        <f>IF(J32&gt;0,Dren_Quantificacao!G3,0)</f>
        <v>0</v>
      </c>
      <c r="K2" s="1161">
        <f>IF(K32&gt;0,Dren_Quantificacao!H3,0)</f>
        <v>0</v>
      </c>
      <c r="L2" s="1161">
        <f>IF(L32&gt;0,Dren_Quantificacao!I3,0)</f>
        <v>0</v>
      </c>
      <c r="M2" s="1161">
        <f>IF(M32&gt;0,Dren_Quantificacao!J3,0)</f>
        <v>0</v>
      </c>
      <c r="N2" s="1161">
        <f>IF(N32&gt;0,Dren_Quantificacao!K3,0)</f>
        <v>0</v>
      </c>
      <c r="O2" s="1161">
        <f>IF(O32&gt;0,Dren_Quantificacao!L3,0)</f>
        <v>0</v>
      </c>
      <c r="P2" s="1161">
        <f>IF(P32&gt;0,Dren_Quantificacao!M3,0)</f>
        <v>0</v>
      </c>
      <c r="Q2" s="1161">
        <f>IF(Q32&gt;0,Dren_Quantificacao!N3,0)</f>
        <v>0</v>
      </c>
      <c r="R2" s="1161">
        <f>IF(R32&gt;0,Dren_Quantificacao!O3,0)</f>
        <v>0</v>
      </c>
      <c r="S2" s="1161">
        <f>IF(S32&gt;0,Dren_Quantificacao!P3,0)</f>
        <v>0</v>
      </c>
      <c r="T2" s="1161">
        <f>IF(T32&gt;0,Dren_Quantificacao!Q3,0)</f>
        <v>0</v>
      </c>
      <c r="U2" s="1161">
        <f ca="1">IF(U32&gt;0,Dren_Quantificacao!R3,0)</f>
        <v>94.76</v>
      </c>
      <c r="V2" s="1161">
        <f>IF(V32&gt;0,Dren_Quantificacao!S3,0)</f>
        <v>0</v>
      </c>
      <c r="W2" s="1161">
        <f>IF(W32&gt;0,Dren_Quantificacao!T3,0)</f>
        <v>0</v>
      </c>
      <c r="X2" s="1161">
        <f>IF(X32&gt;0,Dren_Quantificacao!U3,0)</f>
        <v>0</v>
      </c>
      <c r="Y2" s="1161">
        <f>IF(Y32&gt;0,Dren_Quantificacao!V3,0)</f>
        <v>0</v>
      </c>
      <c r="Z2" s="1161">
        <f>IF(Z32&gt;0,Dren_Quantificacao!W3,0)</f>
        <v>0</v>
      </c>
      <c r="AA2" s="1161">
        <f>IF(AA32&gt;0,Dren_Quantificacao!X3,0)</f>
        <v>0</v>
      </c>
      <c r="AB2" s="1161">
        <f>IF(AB32&gt;0,Dren_Quantificacao!Y3,0)</f>
        <v>0</v>
      </c>
      <c r="AC2" s="1161">
        <f>IF(AC32&gt;0,Dren_Quantificacao!Z3,0)</f>
        <v>0</v>
      </c>
      <c r="AD2" s="1161">
        <f>IF(AD32&gt;0,Dren_Quantificacao!AA3,0)</f>
        <v>0</v>
      </c>
      <c r="AE2" s="1161">
        <f>IF(AE32&gt;0,Dren_Quantificacao!AB3,0)</f>
        <v>0</v>
      </c>
      <c r="AF2" s="1161">
        <f ca="1">IF(AF32&gt;0,Dren_Quantificacao!AC3,0)</f>
        <v>72.3</v>
      </c>
      <c r="AG2" s="1161">
        <f ca="1">IF(AG32&gt;0,Dren_Quantificacao!AD3,0)</f>
        <v>84.78</v>
      </c>
      <c r="AH2" s="1161">
        <f>IF(AH32&gt;0,Dren_Quantificacao!AE3,0)</f>
        <v>0</v>
      </c>
      <c r="AI2" s="1161">
        <f>IF(AI32&gt;0,Dren_Quantificacao!AF3,0)</f>
        <v>0</v>
      </c>
      <c r="AJ2" s="1161">
        <f>IF(AJ32&gt;0,Dren_Quantificacao!AG3,0)</f>
        <v>0</v>
      </c>
      <c r="AK2" s="1161">
        <f>IF(AK32&gt;0,Dren_Quantificacao!AH3,0)</f>
        <v>0</v>
      </c>
      <c r="AL2" s="1161">
        <f>IF(AL32&gt;0,Dren_Quantificacao!AI3,0)</f>
        <v>0</v>
      </c>
      <c r="AM2" s="1161">
        <f>IF(AM32&gt;0,Dren_Quantificacao!AJ3,0)</f>
        <v>0</v>
      </c>
      <c r="AN2" s="1161">
        <f>IF(AN32&gt;0,Dren_Quantificacao!AK3,0)</f>
        <v>0</v>
      </c>
      <c r="AO2" s="1161">
        <f>IF(AO32&gt;0,Dren_Quantificacao!AL3,0)</f>
        <v>0</v>
      </c>
      <c r="AP2" s="1161">
        <f>IF(AP32&gt;0,Dren_Quantificacao!AM3,0)</f>
        <v>0</v>
      </c>
      <c r="AQ2" s="1161">
        <f>IF(AQ32&gt;0,Dren_Quantificacao!AN3,0)</f>
        <v>0</v>
      </c>
      <c r="AR2" s="1161">
        <f>IF(AR32&gt;0,Dren_Quantificacao!AO3,0)</f>
        <v>0</v>
      </c>
      <c r="AS2" s="1161">
        <f>IF(AS32&gt;0,Dren_Quantificacao!AP3,0)</f>
        <v>0</v>
      </c>
      <c r="AT2" s="1161">
        <f>IF(AT32&gt;0,Dren_Quantificacao!AQ3,0)</f>
        <v>0</v>
      </c>
      <c r="AU2" s="1161">
        <f>IF(AU32&gt;0,Dren_Quantificacao!AR3,0)</f>
        <v>0</v>
      </c>
      <c r="AV2" s="1161">
        <f>IF(AV32&gt;0,Dren_Quantificacao!AS3,0)</f>
        <v>0</v>
      </c>
      <c r="AW2" s="1161">
        <f>IF(AW32&gt;0,Dren_Quantificacao!AT3,0)</f>
        <v>0</v>
      </c>
      <c r="AX2" s="1161">
        <f>IF(AX32&gt;0,Dren_Quantificacao!AU3,0)</f>
        <v>0</v>
      </c>
      <c r="AY2" s="1161"/>
      <c r="AZ2" s="1162">
        <f ca="1">ROUND(SUM(F2:AY2),2)</f>
        <v>251.84</v>
      </c>
      <c r="BA2" s="579">
        <f t="shared" ref="BA2:BA33" ca="1" si="0">SUM(F2:AZ2)</f>
        <v>503.68</v>
      </c>
    </row>
    <row r="3" spans="1:53" s="14" customFormat="1" ht="21.95" customHeight="1" x14ac:dyDescent="0.15">
      <c r="A3" s="2596"/>
      <c r="B3" s="2649" t="s">
        <v>4</v>
      </c>
      <c r="C3" s="552" t="s">
        <v>41</v>
      </c>
      <c r="D3" s="993"/>
      <c r="E3" s="1518"/>
      <c r="F3" s="228"/>
      <c r="G3" s="228">
        <f>IF(G32&gt;0,+Dren_Quantificacao!D4,0)</f>
        <v>0</v>
      </c>
      <c r="H3" s="228">
        <f>IF(H32&gt;0,+Dren_Quantificacao!E4,0)</f>
        <v>0</v>
      </c>
      <c r="I3" s="228">
        <f>IF(I32&gt;0,+Dren_Quantificacao!F4,0)</f>
        <v>0</v>
      </c>
      <c r="J3" s="228">
        <f>IF(J32&gt;0,+Dren_Quantificacao!G4,0)</f>
        <v>0</v>
      </c>
      <c r="K3" s="228">
        <f>IF(K32&gt;0,+Dren_Quantificacao!H4,0)</f>
        <v>0</v>
      </c>
      <c r="L3" s="228">
        <f>IF(L32&gt;0,+Dren_Quantificacao!I4,0)</f>
        <v>0</v>
      </c>
      <c r="M3" s="228">
        <f>IF(M32&gt;0,+Dren_Quantificacao!J4,0)</f>
        <v>0</v>
      </c>
      <c r="N3" s="228">
        <f>IF(N32&gt;0,+Dren_Quantificacao!K4,0)</f>
        <v>0</v>
      </c>
      <c r="O3" s="228">
        <f>IF(O32&gt;0,+Dren_Quantificacao!L4,0)</f>
        <v>0</v>
      </c>
      <c r="P3" s="228">
        <f>IF(P32&gt;0,+Dren_Quantificacao!M4,0)</f>
        <v>0</v>
      </c>
      <c r="Q3" s="228">
        <f>IF(Q32&gt;0,+Dren_Quantificacao!N4,0)</f>
        <v>0</v>
      </c>
      <c r="R3" s="228">
        <f>IF(R32&gt;0,+Dren_Quantificacao!O4,0)</f>
        <v>0</v>
      </c>
      <c r="S3" s="228">
        <f>IF(S32&gt;0,+Dren_Quantificacao!P4,0)</f>
        <v>0</v>
      </c>
      <c r="T3" s="228">
        <f>IF(T32&gt;0,+Dren_Quantificacao!Q4,0)</f>
        <v>0</v>
      </c>
      <c r="U3" s="228">
        <f ca="1">IF(U32&gt;0,+Dren_Quantificacao!R4,0)</f>
        <v>1</v>
      </c>
      <c r="V3" s="228">
        <f>IF(V32&gt;0,+Dren_Quantificacao!S4,0)</f>
        <v>0</v>
      </c>
      <c r="W3" s="228">
        <f>IF(W32&gt;0,+Dren_Quantificacao!T4,0)</f>
        <v>0</v>
      </c>
      <c r="X3" s="228">
        <f>IF(X32&gt;0,+Dren_Quantificacao!U4,0)</f>
        <v>0</v>
      </c>
      <c r="Y3" s="228">
        <f>IF(Y32&gt;0,+Dren_Quantificacao!V4,0)</f>
        <v>0</v>
      </c>
      <c r="Z3" s="228">
        <f>IF(Z32&gt;0,+Dren_Quantificacao!W4,0)</f>
        <v>0</v>
      </c>
      <c r="AA3" s="228">
        <f>IF(AA32&gt;0,+Dren_Quantificacao!X4,0)</f>
        <v>0</v>
      </c>
      <c r="AB3" s="228">
        <f>IF(AB32&gt;0,+Dren_Quantificacao!Y4,0)</f>
        <v>0</v>
      </c>
      <c r="AC3" s="228">
        <f>IF(AC32&gt;0,+Dren_Quantificacao!Z4,0)</f>
        <v>0</v>
      </c>
      <c r="AD3" s="228">
        <f>IF(AD32&gt;0,+Dren_Quantificacao!AA4,0)</f>
        <v>0</v>
      </c>
      <c r="AE3" s="228">
        <f>IF(AE32&gt;0,+Dren_Quantificacao!AB4,0)</f>
        <v>0</v>
      </c>
      <c r="AF3" s="228">
        <f ca="1">IF(AF32&gt;0,+Dren_Quantificacao!AC4,0)</f>
        <v>1</v>
      </c>
      <c r="AG3" s="228">
        <f ca="1">IF(AG32&gt;0,+Dren_Quantificacao!AD4,0)</f>
        <v>1</v>
      </c>
      <c r="AH3" s="228">
        <f>IF(AH32&gt;0,+Dren_Quantificacao!AE4,0)</f>
        <v>0</v>
      </c>
      <c r="AI3" s="228">
        <f>IF(AI32&gt;0,+Dren_Quantificacao!AF4,0)</f>
        <v>0</v>
      </c>
      <c r="AJ3" s="228">
        <f>IF(AJ32&gt;0,+Dren_Quantificacao!AG4,0)</f>
        <v>0</v>
      </c>
      <c r="AK3" s="228">
        <f>IF(AK32&gt;0,+Dren_Quantificacao!AH4,0)</f>
        <v>0</v>
      </c>
      <c r="AL3" s="228">
        <f>IF(AL32&gt;0,+Dren_Quantificacao!AI4,0)</f>
        <v>0</v>
      </c>
      <c r="AM3" s="228">
        <f>IF(AM32&gt;0,+Dren_Quantificacao!AJ4,0)</f>
        <v>0</v>
      </c>
      <c r="AN3" s="228">
        <f>IF(AN32&gt;0,+Dren_Quantificacao!AK4,0)</f>
        <v>0</v>
      </c>
      <c r="AO3" s="228">
        <f>IF(AO32&gt;0,+Dren_Quantificacao!AL4,0)</f>
        <v>0</v>
      </c>
      <c r="AP3" s="228">
        <f>IF(AP32&gt;0,+Dren_Quantificacao!AM4,0)</f>
        <v>0</v>
      </c>
      <c r="AQ3" s="228">
        <f>IF(AQ32&gt;0,+Dren_Quantificacao!AN4,0)</f>
        <v>0</v>
      </c>
      <c r="AR3" s="228">
        <f>IF(AR32&gt;0,+Dren_Quantificacao!AO4,0)</f>
        <v>0</v>
      </c>
      <c r="AS3" s="228">
        <f>IF(AS32&gt;0,+Dren_Quantificacao!AP4,0)</f>
        <v>0</v>
      </c>
      <c r="AT3" s="228">
        <f>IF(AT32&gt;0,+Dren_Quantificacao!AQ4,0)</f>
        <v>0</v>
      </c>
      <c r="AU3" s="228">
        <f>IF(AU32&gt;0,+Dren_Quantificacao!AR4,0)</f>
        <v>0</v>
      </c>
      <c r="AV3" s="228">
        <f>IF(AV32&gt;0,+Dren_Quantificacao!AS4,0)</f>
        <v>0</v>
      </c>
      <c r="AW3" s="228">
        <f>IF(AW32&gt;0,+Dren_Quantificacao!AT4,0)</f>
        <v>0</v>
      </c>
      <c r="AX3" s="228">
        <f>IF(AX32&gt;0,+Dren_Quantificacao!AU4,0)</f>
        <v>0</v>
      </c>
      <c r="AY3" s="228"/>
      <c r="AZ3" s="354"/>
      <c r="BA3" s="579">
        <f t="shared" ca="1" si="0"/>
        <v>3</v>
      </c>
    </row>
    <row r="4" spans="1:53" ht="21.95" customHeight="1" thickBot="1" x14ac:dyDescent="0.2">
      <c r="A4" s="2596"/>
      <c r="B4" s="2650"/>
      <c r="C4" s="566" t="s">
        <v>71</v>
      </c>
      <c r="D4" s="987"/>
      <c r="E4" s="564"/>
      <c r="F4" s="233"/>
      <c r="G4" s="233">
        <f>IF(G32&gt;0,+Dren_Quantificacao!D5,0)</f>
        <v>0</v>
      </c>
      <c r="H4" s="233">
        <f>IF(H32&gt;0,+Dren_Quantificacao!E5,0)</f>
        <v>0</v>
      </c>
      <c r="I4" s="233">
        <f>IF(I32&gt;0,+Dren_Quantificacao!F5,0)</f>
        <v>0</v>
      </c>
      <c r="J4" s="233">
        <f>IF(J32&gt;0,+Dren_Quantificacao!G5,0)</f>
        <v>0</v>
      </c>
      <c r="K4" s="233">
        <f>IF(K32&gt;0,+Dren_Quantificacao!H5,0)</f>
        <v>0</v>
      </c>
      <c r="L4" s="233">
        <f>IF(L32&gt;0,+Dren_Quantificacao!I5,0)</f>
        <v>0</v>
      </c>
      <c r="M4" s="233">
        <f>IF(M32&gt;0,+Dren_Quantificacao!J5,0)</f>
        <v>0</v>
      </c>
      <c r="N4" s="233">
        <f>IF(N32&gt;0,+Dren_Quantificacao!K5,0)</f>
        <v>0</v>
      </c>
      <c r="O4" s="233">
        <f>IF(O32&gt;0,+Dren_Quantificacao!L5,0)</f>
        <v>0</v>
      </c>
      <c r="P4" s="233">
        <f>IF(P32&gt;0,+Dren_Quantificacao!M5,0)</f>
        <v>0</v>
      </c>
      <c r="Q4" s="233">
        <f>IF(Q32&gt;0,+Dren_Quantificacao!N5,0)</f>
        <v>0</v>
      </c>
      <c r="R4" s="233">
        <f>IF(R32&gt;0,+Dren_Quantificacao!O5,0)</f>
        <v>0</v>
      </c>
      <c r="S4" s="233">
        <f>IF(S32&gt;0,+Dren_Quantificacao!P5,0)</f>
        <v>0</v>
      </c>
      <c r="T4" s="233">
        <f>IF(T32&gt;0,+Dren_Quantificacao!Q5,0)</f>
        <v>0</v>
      </c>
      <c r="U4" s="233">
        <f ca="1">IF(U32&gt;0,+Dren_Quantificacao!R5,0)</f>
        <v>1</v>
      </c>
      <c r="V4" s="233">
        <f>IF(V32&gt;0,+Dren_Quantificacao!S5,0)</f>
        <v>0</v>
      </c>
      <c r="W4" s="233">
        <f>IF(W32&gt;0,+Dren_Quantificacao!T5,0)</f>
        <v>0</v>
      </c>
      <c r="X4" s="233">
        <f>IF(X32&gt;0,+Dren_Quantificacao!U5,0)</f>
        <v>0</v>
      </c>
      <c r="Y4" s="233">
        <f>IF(Y32&gt;0,+Dren_Quantificacao!V5,0)</f>
        <v>0</v>
      </c>
      <c r="Z4" s="233">
        <f>IF(Z32&gt;0,+Dren_Quantificacao!W5,0)</f>
        <v>0</v>
      </c>
      <c r="AA4" s="233">
        <f>IF(AA32&gt;0,+Dren_Quantificacao!X5,0)</f>
        <v>0</v>
      </c>
      <c r="AB4" s="233">
        <f>IF(AB32&gt;0,+Dren_Quantificacao!Y5,0)</f>
        <v>0</v>
      </c>
      <c r="AC4" s="233">
        <f>IF(AC32&gt;0,+Dren_Quantificacao!Z5,0)</f>
        <v>0</v>
      </c>
      <c r="AD4" s="233">
        <f>IF(AD32&gt;0,+Dren_Quantificacao!AA5,0)</f>
        <v>0</v>
      </c>
      <c r="AE4" s="233">
        <f>IF(AE32&gt;0,+Dren_Quantificacao!AB5,0)</f>
        <v>0</v>
      </c>
      <c r="AF4" s="233">
        <f ca="1">IF(AF32&gt;0,+Dren_Quantificacao!AC5,0)</f>
        <v>0.8</v>
      </c>
      <c r="AG4" s="233">
        <f ca="1">IF(AG32&gt;0,+Dren_Quantificacao!AD5,0)</f>
        <v>1</v>
      </c>
      <c r="AH4" s="233">
        <f>IF(AH32&gt;0,+Dren_Quantificacao!AE5,0)</f>
        <v>0</v>
      </c>
      <c r="AI4" s="233">
        <f>IF(AI32&gt;0,+Dren_Quantificacao!AF5,0)</f>
        <v>0</v>
      </c>
      <c r="AJ4" s="233">
        <f>IF(AJ32&gt;0,+Dren_Quantificacao!AG5,0)</f>
        <v>0</v>
      </c>
      <c r="AK4" s="233">
        <f>IF(AK32&gt;0,+Dren_Quantificacao!AH5,0)</f>
        <v>0</v>
      </c>
      <c r="AL4" s="233">
        <f>IF(AL32&gt;0,+Dren_Quantificacao!AI5,0)</f>
        <v>0</v>
      </c>
      <c r="AM4" s="233">
        <f>IF(AM32&gt;0,+Dren_Quantificacao!AJ5,0)</f>
        <v>0</v>
      </c>
      <c r="AN4" s="233">
        <f>IF(AN32&gt;0,+Dren_Quantificacao!AK5,0)</f>
        <v>0</v>
      </c>
      <c r="AO4" s="233">
        <f>IF(AO32&gt;0,+Dren_Quantificacao!AL5,0)</f>
        <v>0</v>
      </c>
      <c r="AP4" s="233">
        <f>IF(AP32&gt;0,+Dren_Quantificacao!AM5,0)</f>
        <v>0</v>
      </c>
      <c r="AQ4" s="233">
        <f>IF(AQ32&gt;0,+Dren_Quantificacao!AN5,0)</f>
        <v>0</v>
      </c>
      <c r="AR4" s="233">
        <f>IF(AR32&gt;0,+Dren_Quantificacao!AO5,0)</f>
        <v>0</v>
      </c>
      <c r="AS4" s="233">
        <f>IF(AS32&gt;0,+Dren_Quantificacao!AP5,0)</f>
        <v>0</v>
      </c>
      <c r="AT4" s="233">
        <f>IF(AT32&gt;0,+Dren_Quantificacao!AQ5,0)</f>
        <v>0</v>
      </c>
      <c r="AU4" s="233">
        <f>IF(AU32&gt;0,+Dren_Quantificacao!AR5,0)</f>
        <v>0</v>
      </c>
      <c r="AV4" s="233">
        <f>IF(AV32&gt;0,+Dren_Quantificacao!AS5,0)</f>
        <v>0</v>
      </c>
      <c r="AW4" s="233">
        <f>IF(AW32&gt;0,+Dren_Quantificacao!AT5,0)</f>
        <v>0</v>
      </c>
      <c r="AX4" s="233">
        <f>IF(AX32&gt;0,+Dren_Quantificacao!AU5,0)</f>
        <v>0</v>
      </c>
      <c r="AY4" s="233"/>
      <c r="AZ4" s="353"/>
      <c r="BA4" s="579">
        <f t="shared" ca="1" si="0"/>
        <v>2.8</v>
      </c>
    </row>
    <row r="5" spans="1:53" ht="21.95" hidden="1" customHeight="1" thickBot="1" x14ac:dyDescent="0.2">
      <c r="A5" s="2596"/>
      <c r="B5" s="2702" t="s">
        <v>209</v>
      </c>
      <c r="C5" s="2666"/>
      <c r="D5" s="994"/>
      <c r="E5" s="1374"/>
      <c r="F5" s="242"/>
      <c r="G5" s="242">
        <f>IF(G32&gt;0,Dren_Quantificacao!D7,0)</f>
        <v>0</v>
      </c>
      <c r="H5" s="242">
        <f>IF(H32&gt;0,Dren_Quantificacao!E7,0)</f>
        <v>0</v>
      </c>
      <c r="I5" s="242">
        <f>IF(I32&gt;0,Dren_Quantificacao!F7,0)</f>
        <v>0</v>
      </c>
      <c r="J5" s="242">
        <f>IF(J32&gt;0,Dren_Quantificacao!G7,0)</f>
        <v>0</v>
      </c>
      <c r="K5" s="242">
        <f>IF(K32&gt;0,Dren_Quantificacao!H7,0)</f>
        <v>0</v>
      </c>
      <c r="L5" s="242">
        <f>IF(L32&gt;0,Dren_Quantificacao!I7,0)</f>
        <v>0</v>
      </c>
      <c r="M5" s="242">
        <f>IF(M32&gt;0,Dren_Quantificacao!J7,0)</f>
        <v>0</v>
      </c>
      <c r="N5" s="242">
        <f>IF(N32&gt;0,Dren_Quantificacao!K7,0)</f>
        <v>0</v>
      </c>
      <c r="O5" s="242">
        <f>IF(O32&gt;0,Dren_Quantificacao!L7,0)</f>
        <v>0</v>
      </c>
      <c r="P5" s="242">
        <f>IF(P32&gt;0,Dren_Quantificacao!M7,0)</f>
        <v>0</v>
      </c>
      <c r="Q5" s="242">
        <f>IF(Q32&gt;0,Dren_Quantificacao!N7,0)</f>
        <v>0</v>
      </c>
      <c r="R5" s="242">
        <f>IF(R32&gt;0,Dren_Quantificacao!O7,0)</f>
        <v>0</v>
      </c>
      <c r="S5" s="242">
        <f>IF(S32&gt;0,Dren_Quantificacao!P7,0)</f>
        <v>0</v>
      </c>
      <c r="T5" s="242">
        <f>IF(T32&gt;0,Dren_Quantificacao!Q7,0)</f>
        <v>0</v>
      </c>
      <c r="U5" s="242">
        <f ca="1">IF(U32&gt;0,Dren_Quantificacao!R7,0)</f>
        <v>0</v>
      </c>
      <c r="V5" s="242">
        <f>IF(V32&gt;0,Dren_Quantificacao!S7,0)</f>
        <v>0</v>
      </c>
      <c r="W5" s="242">
        <f>IF(W32&gt;0,Dren_Quantificacao!T7,0)</f>
        <v>0</v>
      </c>
      <c r="X5" s="242">
        <f>IF(X32&gt;0,Dren_Quantificacao!U7,0)</f>
        <v>0</v>
      </c>
      <c r="Y5" s="242">
        <f>IF(Y32&gt;0,Dren_Quantificacao!V7,0)</f>
        <v>0</v>
      </c>
      <c r="Z5" s="242">
        <f>IF(Z32&gt;0,Dren_Quantificacao!W7,0)</f>
        <v>0</v>
      </c>
      <c r="AA5" s="242">
        <f>IF(AA32&gt;0,Dren_Quantificacao!X7,0)</f>
        <v>0</v>
      </c>
      <c r="AB5" s="242">
        <f>IF(AB32&gt;0,Dren_Quantificacao!Y7,0)</f>
        <v>0</v>
      </c>
      <c r="AC5" s="242">
        <f>IF(AC32&gt;0,Dren_Quantificacao!Z7,0)</f>
        <v>0</v>
      </c>
      <c r="AD5" s="242">
        <f>IF(AD32&gt;0,Dren_Quantificacao!AA7,0)</f>
        <v>0</v>
      </c>
      <c r="AE5" s="242">
        <f>IF(AE32&gt;0,Dren_Quantificacao!AB7,0)</f>
        <v>0</v>
      </c>
      <c r="AF5" s="242">
        <f ca="1">IF(AF32&gt;0,Dren_Quantificacao!AC7,0)</f>
        <v>0</v>
      </c>
      <c r="AG5" s="242">
        <f ca="1">IF(AG32&gt;0,Dren_Quantificacao!AD7,0)</f>
        <v>0</v>
      </c>
      <c r="AH5" s="242">
        <f>IF(AH32&gt;0,Dren_Quantificacao!AE7,0)</f>
        <v>0</v>
      </c>
      <c r="AI5" s="242">
        <f>IF(AI32&gt;0,Dren_Quantificacao!AF7,0)</f>
        <v>0</v>
      </c>
      <c r="AJ5" s="242">
        <f>IF(AJ32&gt;0,Dren_Quantificacao!AG7,0)</f>
        <v>0</v>
      </c>
      <c r="AK5" s="242">
        <f>IF(AK32&gt;0,Dren_Quantificacao!AH7,0)</f>
        <v>0</v>
      </c>
      <c r="AL5" s="242">
        <f>IF(AL32&gt;0,Dren_Quantificacao!AI7,0)</f>
        <v>0</v>
      </c>
      <c r="AM5" s="242">
        <f>IF(AM32&gt;0,Dren_Quantificacao!AJ7,0)</f>
        <v>0</v>
      </c>
      <c r="AN5" s="242">
        <f>IF(AN32&gt;0,Dren_Quantificacao!AK7,0)</f>
        <v>0</v>
      </c>
      <c r="AO5" s="242">
        <f>IF(AO32&gt;0,Dren_Quantificacao!AL7,0)</f>
        <v>0</v>
      </c>
      <c r="AP5" s="242">
        <f>IF(AP32&gt;0,Dren_Quantificacao!AM7,0)</f>
        <v>0</v>
      </c>
      <c r="AQ5" s="242">
        <f>IF(AQ32&gt;0,Dren_Quantificacao!AN7,0)</f>
        <v>0</v>
      </c>
      <c r="AR5" s="242">
        <f>IF(AR32&gt;0,Dren_Quantificacao!AO7,0)</f>
        <v>0</v>
      </c>
      <c r="AS5" s="242">
        <f>IF(AS32&gt;0,Dren_Quantificacao!AP7,0)</f>
        <v>0</v>
      </c>
      <c r="AT5" s="242">
        <f>IF(AT32&gt;0,Dren_Quantificacao!AQ7,0)</f>
        <v>0</v>
      </c>
      <c r="AU5" s="242">
        <f>IF(AU32&gt;0,Dren_Quantificacao!AR7,0)</f>
        <v>0</v>
      </c>
      <c r="AV5" s="242">
        <f>IF(AV32&gt;0,Dren_Quantificacao!AS7,0)</f>
        <v>0</v>
      </c>
      <c r="AW5" s="242">
        <f>IF(AW32&gt;0,Dren_Quantificacao!AT7,0)</f>
        <v>0</v>
      </c>
      <c r="AX5" s="242">
        <f>IF(AX32&gt;0,Dren_Quantificacao!AU7,0)</f>
        <v>0</v>
      </c>
      <c r="AY5" s="242"/>
      <c r="AZ5" s="357"/>
      <c r="BA5" s="579">
        <f t="shared" ca="1" si="0"/>
        <v>0</v>
      </c>
    </row>
    <row r="6" spans="1:53" ht="21.95" customHeight="1" x14ac:dyDescent="0.15">
      <c r="A6" s="2596"/>
      <c r="B6" s="2605" t="s">
        <v>1215</v>
      </c>
      <c r="C6" s="550" t="s">
        <v>315</v>
      </c>
      <c r="D6" s="985"/>
      <c r="E6" s="1359"/>
      <c r="F6" s="1094"/>
      <c r="G6" s="1094">
        <f>Dre_Ser_Prelim!F11</f>
        <v>0</v>
      </c>
      <c r="H6" s="1094">
        <f>Dre_Ser_Prelim!G11</f>
        <v>0</v>
      </c>
      <c r="I6" s="1094">
        <f>Dre_Ser_Prelim!H11</f>
        <v>0</v>
      </c>
      <c r="J6" s="1094">
        <f>Dre_Ser_Prelim!I11</f>
        <v>0</v>
      </c>
      <c r="K6" s="1094">
        <f>Dre_Ser_Prelim!J11</f>
        <v>0</v>
      </c>
      <c r="L6" s="1094">
        <f>Dre_Ser_Prelim!K11</f>
        <v>0</v>
      </c>
      <c r="M6" s="1094">
        <f>Dre_Ser_Prelim!L11</f>
        <v>0</v>
      </c>
      <c r="N6" s="1094">
        <f>Dre_Ser_Prelim!M11</f>
        <v>0</v>
      </c>
      <c r="O6" s="1094">
        <f>Dre_Ser_Prelim!N11</f>
        <v>0</v>
      </c>
      <c r="P6" s="1094">
        <f>Dre_Ser_Prelim!O11</f>
        <v>0</v>
      </c>
      <c r="Q6" s="1094">
        <f>Dre_Ser_Prelim!P11</f>
        <v>0</v>
      </c>
      <c r="R6" s="1094">
        <f>Dre_Ser_Prelim!Q11</f>
        <v>0</v>
      </c>
      <c r="S6" s="1094">
        <f>Dre_Ser_Prelim!R11</f>
        <v>0</v>
      </c>
      <c r="T6" s="1094">
        <f>Dre_Ser_Prelim!S11</f>
        <v>0</v>
      </c>
      <c r="U6" s="1094">
        <f>Dre_Ser_Prelim!T11</f>
        <v>1.4</v>
      </c>
      <c r="V6" s="1094">
        <f>Dre_Ser_Prelim!U11</f>
        <v>0</v>
      </c>
      <c r="W6" s="1094">
        <f>Dre_Ser_Prelim!V11</f>
        <v>0</v>
      </c>
      <c r="X6" s="1094">
        <f>Dre_Ser_Prelim!W11</f>
        <v>0</v>
      </c>
      <c r="Y6" s="1094">
        <f>Dre_Ser_Prelim!X11</f>
        <v>0</v>
      </c>
      <c r="Z6" s="1094">
        <f>Dre_Ser_Prelim!Y11</f>
        <v>0</v>
      </c>
      <c r="AA6" s="1094">
        <f>Dre_Ser_Prelim!Z11</f>
        <v>0</v>
      </c>
      <c r="AB6" s="1094">
        <f>Dre_Ser_Prelim!AA11</f>
        <v>0</v>
      </c>
      <c r="AC6" s="1094">
        <f>Dre_Ser_Prelim!AB11</f>
        <v>0</v>
      </c>
      <c r="AD6" s="1094">
        <f>Dre_Ser_Prelim!AC11</f>
        <v>0</v>
      </c>
      <c r="AE6" s="1094">
        <f>Dre_Ser_Prelim!AD11</f>
        <v>0</v>
      </c>
      <c r="AF6" s="1094">
        <f>Dre_Ser_Prelim!AE11</f>
        <v>0</v>
      </c>
      <c r="AG6" s="1094">
        <f>Dre_Ser_Prelim!AF11</f>
        <v>1.4</v>
      </c>
      <c r="AH6" s="1094">
        <f>Dre_Ser_Prelim!AG11</f>
        <v>0</v>
      </c>
      <c r="AI6" s="1094">
        <f>Dre_Ser_Prelim!AH11</f>
        <v>0</v>
      </c>
      <c r="AJ6" s="1094">
        <f>Dre_Ser_Prelim!AI11</f>
        <v>0</v>
      </c>
      <c r="AK6" s="1094">
        <f>Dre_Ser_Prelim!AJ11</f>
        <v>0</v>
      </c>
      <c r="AL6" s="1094">
        <f>Dre_Ser_Prelim!AK11</f>
        <v>0</v>
      </c>
      <c r="AM6" s="1094">
        <f>Dre_Ser_Prelim!AL11</f>
        <v>0</v>
      </c>
      <c r="AN6" s="1094">
        <f>Dre_Ser_Prelim!AM11</f>
        <v>0</v>
      </c>
      <c r="AO6" s="1094">
        <f>Dre_Ser_Prelim!AN11</f>
        <v>0</v>
      </c>
      <c r="AP6" s="1094">
        <f>Dre_Ser_Prelim!AO11</f>
        <v>0</v>
      </c>
      <c r="AQ6" s="1094">
        <f>Dre_Ser_Prelim!AP11</f>
        <v>0</v>
      </c>
      <c r="AR6" s="1094">
        <f>Dre_Ser_Prelim!AQ11</f>
        <v>0</v>
      </c>
      <c r="AS6" s="1094">
        <f>Dre_Ser_Prelim!AR11</f>
        <v>0</v>
      </c>
      <c r="AT6" s="1094">
        <f>Dre_Ser_Prelim!AS11</f>
        <v>0</v>
      </c>
      <c r="AU6" s="1094">
        <f>Dre_Ser_Prelim!AT11</f>
        <v>0</v>
      </c>
      <c r="AV6" s="1094">
        <f>Dre_Ser_Prelim!AU11</f>
        <v>0</v>
      </c>
      <c r="AW6" s="1094">
        <f>Dre_Ser_Prelim!AV11</f>
        <v>0</v>
      </c>
      <c r="AX6" s="1094">
        <f>Dre_Ser_Prelim!AW11</f>
        <v>0</v>
      </c>
      <c r="AY6" s="1094"/>
      <c r="AZ6" s="1153"/>
      <c r="BA6" s="579">
        <f t="shared" si="0"/>
        <v>2.8</v>
      </c>
    </row>
    <row r="7" spans="1:53" ht="21.95" customHeight="1" x14ac:dyDescent="0.15">
      <c r="A7" s="2596"/>
      <c r="B7" s="2606"/>
      <c r="C7" s="567" t="s">
        <v>3</v>
      </c>
      <c r="E7" s="1358"/>
      <c r="F7" s="1154"/>
      <c r="G7" s="1154">
        <f>Dren_Quantificacao!D26</f>
        <v>0</v>
      </c>
      <c r="H7" s="1154">
        <f>Dren_Quantificacao!E26</f>
        <v>0</v>
      </c>
      <c r="I7" s="1154">
        <f>Dren_Quantificacao!F26</f>
        <v>0</v>
      </c>
      <c r="J7" s="1154">
        <f>Dren_Quantificacao!G26</f>
        <v>0</v>
      </c>
      <c r="K7" s="1154">
        <f>Dren_Quantificacao!H26</f>
        <v>0</v>
      </c>
      <c r="L7" s="1154">
        <f>Dren_Quantificacao!I26</f>
        <v>0</v>
      </c>
      <c r="M7" s="1154">
        <f>Dren_Quantificacao!J26</f>
        <v>0</v>
      </c>
      <c r="N7" s="1154">
        <f>Dren_Quantificacao!K26</f>
        <v>0</v>
      </c>
      <c r="O7" s="1154">
        <f>Dren_Quantificacao!L26</f>
        <v>0</v>
      </c>
      <c r="P7" s="1154">
        <f>Dren_Quantificacao!M26</f>
        <v>0</v>
      </c>
      <c r="Q7" s="1154">
        <f>Dren_Quantificacao!N26</f>
        <v>0</v>
      </c>
      <c r="R7" s="1154">
        <f>Dren_Quantificacao!O26</f>
        <v>0</v>
      </c>
      <c r="S7" s="1154">
        <f>Dren_Quantificacao!P26</f>
        <v>0</v>
      </c>
      <c r="T7" s="1154">
        <f>Dren_Quantificacao!Q26</f>
        <v>0</v>
      </c>
      <c r="U7" s="1154">
        <f>Dren_Quantificacao!R26</f>
        <v>8</v>
      </c>
      <c r="V7" s="1154">
        <f>Dren_Quantificacao!S26</f>
        <v>0</v>
      </c>
      <c r="W7" s="1154">
        <f>Dren_Quantificacao!T26</f>
        <v>0</v>
      </c>
      <c r="X7" s="1154">
        <f>Dren_Quantificacao!U26</f>
        <v>0</v>
      </c>
      <c r="Y7" s="1154">
        <f>Dren_Quantificacao!V26</f>
        <v>0</v>
      </c>
      <c r="Z7" s="1154">
        <f>Dren_Quantificacao!W26</f>
        <v>0</v>
      </c>
      <c r="AA7" s="1154">
        <f>Dren_Quantificacao!X26</f>
        <v>0</v>
      </c>
      <c r="AB7" s="1154">
        <f>Dren_Quantificacao!Y26</f>
        <v>0</v>
      </c>
      <c r="AC7" s="1154">
        <f>Dren_Quantificacao!Z26</f>
        <v>0</v>
      </c>
      <c r="AD7" s="1154">
        <f>Dren_Quantificacao!AA26</f>
        <v>0</v>
      </c>
      <c r="AE7" s="1154">
        <f>Dren_Quantificacao!AB26</f>
        <v>0</v>
      </c>
      <c r="AF7" s="1154">
        <f>Dren_Quantificacao!AC26</f>
        <v>0</v>
      </c>
      <c r="AG7" s="1154">
        <f>Dren_Quantificacao!AD26</f>
        <v>25</v>
      </c>
      <c r="AH7" s="1154">
        <f>Dren_Quantificacao!AE26</f>
        <v>0</v>
      </c>
      <c r="AI7" s="1154">
        <f>Dren_Quantificacao!AF26</f>
        <v>0</v>
      </c>
      <c r="AJ7" s="1154">
        <f>Dren_Quantificacao!AG26</f>
        <v>0</v>
      </c>
      <c r="AK7" s="1154">
        <f>Dren_Quantificacao!AH26</f>
        <v>0</v>
      </c>
      <c r="AL7" s="1154">
        <f>Dren_Quantificacao!AI26</f>
        <v>0</v>
      </c>
      <c r="AM7" s="1154">
        <f>Dren_Quantificacao!AJ26</f>
        <v>0</v>
      </c>
      <c r="AN7" s="1154">
        <f>Dren_Quantificacao!AK26</f>
        <v>0</v>
      </c>
      <c r="AO7" s="1154">
        <f>Dren_Quantificacao!AL26</f>
        <v>0</v>
      </c>
      <c r="AP7" s="1154">
        <f>Dren_Quantificacao!AM26</f>
        <v>0</v>
      </c>
      <c r="AQ7" s="1154">
        <f>Dren_Quantificacao!AN26</f>
        <v>0</v>
      </c>
      <c r="AR7" s="1154">
        <f>Dren_Quantificacao!AO26</f>
        <v>0</v>
      </c>
      <c r="AS7" s="1154">
        <f>Dren_Quantificacao!AP26</f>
        <v>0</v>
      </c>
      <c r="AT7" s="1154">
        <f>Dren_Quantificacao!AQ26</f>
        <v>0</v>
      </c>
      <c r="AU7" s="1154">
        <f>Dren_Quantificacao!AR26</f>
        <v>0</v>
      </c>
      <c r="AV7" s="1154">
        <f>Dren_Quantificacao!AS26</f>
        <v>0</v>
      </c>
      <c r="AW7" s="1154">
        <f>Dren_Quantificacao!AT26</f>
        <v>0</v>
      </c>
      <c r="AX7" s="1154">
        <f>Dren_Quantificacao!AU26</f>
        <v>0</v>
      </c>
      <c r="AY7" s="1154"/>
      <c r="AZ7" s="1155">
        <f>ROUND(SUM(F7:AY7),2)</f>
        <v>33</v>
      </c>
      <c r="BA7" s="579">
        <f t="shared" si="0"/>
        <v>66</v>
      </c>
    </row>
    <row r="8" spans="1:53" ht="21.95" customHeight="1" thickBot="1" x14ac:dyDescent="0.2">
      <c r="A8" s="2596"/>
      <c r="B8" s="2607"/>
      <c r="C8" s="566" t="s">
        <v>29</v>
      </c>
      <c r="D8" s="987"/>
      <c r="E8" s="564"/>
      <c r="F8" s="1097"/>
      <c r="G8" s="1097">
        <f t="shared" ref="G8:AX8" si="1">G7*G6</f>
        <v>0</v>
      </c>
      <c r="H8" s="1097">
        <f t="shared" si="1"/>
        <v>0</v>
      </c>
      <c r="I8" s="1097">
        <f t="shared" si="1"/>
        <v>0</v>
      </c>
      <c r="J8" s="1097">
        <f t="shared" si="1"/>
        <v>0</v>
      </c>
      <c r="K8" s="1097">
        <f t="shared" si="1"/>
        <v>0</v>
      </c>
      <c r="L8" s="1097">
        <f t="shared" si="1"/>
        <v>0</v>
      </c>
      <c r="M8" s="1097">
        <f t="shared" si="1"/>
        <v>0</v>
      </c>
      <c r="N8" s="1097">
        <f t="shared" si="1"/>
        <v>0</v>
      </c>
      <c r="O8" s="1097">
        <f t="shared" si="1"/>
        <v>0</v>
      </c>
      <c r="P8" s="1097">
        <f t="shared" si="1"/>
        <v>0</v>
      </c>
      <c r="Q8" s="1097">
        <f t="shared" si="1"/>
        <v>0</v>
      </c>
      <c r="R8" s="1097">
        <f t="shared" si="1"/>
        <v>0</v>
      </c>
      <c r="S8" s="1097">
        <f t="shared" si="1"/>
        <v>0</v>
      </c>
      <c r="T8" s="1097">
        <f t="shared" si="1"/>
        <v>0</v>
      </c>
      <c r="U8" s="1097">
        <f t="shared" si="1"/>
        <v>11.2</v>
      </c>
      <c r="V8" s="1097">
        <f t="shared" si="1"/>
        <v>0</v>
      </c>
      <c r="W8" s="1097">
        <f t="shared" si="1"/>
        <v>0</v>
      </c>
      <c r="X8" s="1097">
        <f t="shared" si="1"/>
        <v>0</v>
      </c>
      <c r="Y8" s="1097">
        <f t="shared" si="1"/>
        <v>0</v>
      </c>
      <c r="Z8" s="1097">
        <f t="shared" si="1"/>
        <v>0</v>
      </c>
      <c r="AA8" s="1097">
        <f t="shared" si="1"/>
        <v>0</v>
      </c>
      <c r="AB8" s="1097">
        <f t="shared" si="1"/>
        <v>0</v>
      </c>
      <c r="AC8" s="1097">
        <f t="shared" si="1"/>
        <v>0</v>
      </c>
      <c r="AD8" s="1097">
        <f t="shared" si="1"/>
        <v>0</v>
      </c>
      <c r="AE8" s="1097">
        <f t="shared" si="1"/>
        <v>0</v>
      </c>
      <c r="AF8" s="1097">
        <f t="shared" si="1"/>
        <v>0</v>
      </c>
      <c r="AG8" s="1097">
        <f t="shared" si="1"/>
        <v>35</v>
      </c>
      <c r="AH8" s="1097">
        <f t="shared" si="1"/>
        <v>0</v>
      </c>
      <c r="AI8" s="1097">
        <f t="shared" si="1"/>
        <v>0</v>
      </c>
      <c r="AJ8" s="1097">
        <f t="shared" si="1"/>
        <v>0</v>
      </c>
      <c r="AK8" s="1097">
        <f t="shared" si="1"/>
        <v>0</v>
      </c>
      <c r="AL8" s="1097">
        <f t="shared" si="1"/>
        <v>0</v>
      </c>
      <c r="AM8" s="1097">
        <f t="shared" si="1"/>
        <v>0</v>
      </c>
      <c r="AN8" s="1097">
        <f t="shared" si="1"/>
        <v>0</v>
      </c>
      <c r="AO8" s="1097">
        <f t="shared" si="1"/>
        <v>0</v>
      </c>
      <c r="AP8" s="1097">
        <f t="shared" si="1"/>
        <v>0</v>
      </c>
      <c r="AQ8" s="1097">
        <f t="shared" si="1"/>
        <v>0</v>
      </c>
      <c r="AR8" s="1097">
        <f t="shared" si="1"/>
        <v>0</v>
      </c>
      <c r="AS8" s="1097">
        <f t="shared" si="1"/>
        <v>0</v>
      </c>
      <c r="AT8" s="1097">
        <f t="shared" si="1"/>
        <v>0</v>
      </c>
      <c r="AU8" s="1097">
        <f t="shared" si="1"/>
        <v>0</v>
      </c>
      <c r="AV8" s="1097">
        <f t="shared" si="1"/>
        <v>0</v>
      </c>
      <c r="AW8" s="1097">
        <f t="shared" si="1"/>
        <v>0</v>
      </c>
      <c r="AX8" s="1097">
        <f t="shared" si="1"/>
        <v>0</v>
      </c>
      <c r="AY8" s="1097"/>
      <c r="AZ8" s="1098">
        <f>ROUND(SUM(F8:AY8),2)</f>
        <v>46.2</v>
      </c>
      <c r="BA8" s="579">
        <f t="shared" si="0"/>
        <v>92.4</v>
      </c>
    </row>
    <row r="9" spans="1:53" ht="21.95" customHeight="1" x14ac:dyDescent="0.15">
      <c r="A9" s="2596"/>
      <c r="B9" s="2605" t="s">
        <v>326</v>
      </c>
      <c r="C9" s="550" t="s">
        <v>315</v>
      </c>
      <c r="D9" s="985"/>
      <c r="E9" s="1359"/>
      <c r="F9" s="1094"/>
      <c r="G9" s="1094">
        <f>Dre_Ser_Prelim!F18</f>
        <v>0</v>
      </c>
      <c r="H9" s="1094">
        <f>Dre_Ser_Prelim!G18</f>
        <v>0</v>
      </c>
      <c r="I9" s="1094">
        <f>Dre_Ser_Prelim!H18</f>
        <v>0</v>
      </c>
      <c r="J9" s="1094">
        <f>Dre_Ser_Prelim!I18</f>
        <v>0</v>
      </c>
      <c r="K9" s="1094">
        <f>Dre_Ser_Prelim!J18</f>
        <v>0</v>
      </c>
      <c r="L9" s="1094">
        <f>Dre_Ser_Prelim!K18</f>
        <v>0</v>
      </c>
      <c r="M9" s="1094">
        <f>Dre_Ser_Prelim!L18</f>
        <v>0</v>
      </c>
      <c r="N9" s="1094">
        <f>Dre_Ser_Prelim!M18</f>
        <v>0</v>
      </c>
      <c r="O9" s="1094">
        <f>Dre_Ser_Prelim!N18</f>
        <v>0</v>
      </c>
      <c r="P9" s="1094">
        <f>Dre_Ser_Prelim!O18</f>
        <v>0</v>
      </c>
      <c r="Q9" s="1094">
        <f>Dre_Ser_Prelim!P18</f>
        <v>0</v>
      </c>
      <c r="R9" s="1094">
        <f>Dre_Ser_Prelim!Q18</f>
        <v>0</v>
      </c>
      <c r="S9" s="1094">
        <f>Dre_Ser_Prelim!R18</f>
        <v>0</v>
      </c>
      <c r="T9" s="1094">
        <f>Dre_Ser_Prelim!S18</f>
        <v>0</v>
      </c>
      <c r="U9" s="1094">
        <f>Dre_Ser_Prelim!T18</f>
        <v>0</v>
      </c>
      <c r="V9" s="1094">
        <f>Dre_Ser_Prelim!U18</f>
        <v>0</v>
      </c>
      <c r="W9" s="1094">
        <f>Dre_Ser_Prelim!V18</f>
        <v>0</v>
      </c>
      <c r="X9" s="1094">
        <f>Dre_Ser_Prelim!W18</f>
        <v>0</v>
      </c>
      <c r="Y9" s="1094">
        <f>Dre_Ser_Prelim!X18</f>
        <v>0</v>
      </c>
      <c r="Z9" s="1094">
        <f>Dre_Ser_Prelim!Y18</f>
        <v>0</v>
      </c>
      <c r="AA9" s="1094">
        <f>Dre_Ser_Prelim!Z18</f>
        <v>0</v>
      </c>
      <c r="AB9" s="1094">
        <f>Dre_Ser_Prelim!AA18</f>
        <v>0</v>
      </c>
      <c r="AC9" s="1094">
        <f>Dre_Ser_Prelim!AB18</f>
        <v>0</v>
      </c>
      <c r="AD9" s="1094">
        <f>Dre_Ser_Prelim!AC18</f>
        <v>0</v>
      </c>
      <c r="AE9" s="1094">
        <f>Dre_Ser_Prelim!AD18</f>
        <v>0</v>
      </c>
      <c r="AF9" s="1094">
        <f>Dre_Ser_Prelim!AE18</f>
        <v>0</v>
      </c>
      <c r="AG9" s="1094">
        <f>Dre_Ser_Prelim!AF18</f>
        <v>1.7999999999999998</v>
      </c>
      <c r="AH9" s="1094">
        <f>Dre_Ser_Prelim!AG18</f>
        <v>0</v>
      </c>
      <c r="AI9" s="1094">
        <f>Dre_Ser_Prelim!AH18</f>
        <v>0</v>
      </c>
      <c r="AJ9" s="1094">
        <f>Dre_Ser_Prelim!AI18</f>
        <v>0</v>
      </c>
      <c r="AK9" s="1094">
        <f>Dre_Ser_Prelim!AJ18</f>
        <v>0</v>
      </c>
      <c r="AL9" s="1094">
        <f>Dre_Ser_Prelim!AK18</f>
        <v>0</v>
      </c>
      <c r="AM9" s="1094">
        <f>Dre_Ser_Prelim!AL18</f>
        <v>0</v>
      </c>
      <c r="AN9" s="1094">
        <f>Dre_Ser_Prelim!AM18</f>
        <v>0</v>
      </c>
      <c r="AO9" s="1094">
        <f>Dre_Ser_Prelim!AN18</f>
        <v>0</v>
      </c>
      <c r="AP9" s="1094">
        <f>Dre_Ser_Prelim!AO18</f>
        <v>0</v>
      </c>
      <c r="AQ9" s="1094">
        <f>Dre_Ser_Prelim!AP18</f>
        <v>0</v>
      </c>
      <c r="AR9" s="1094">
        <f>Dre_Ser_Prelim!AQ18</f>
        <v>0</v>
      </c>
      <c r="AS9" s="1094">
        <f>Dre_Ser_Prelim!AR18</f>
        <v>0</v>
      </c>
      <c r="AT9" s="1094">
        <f>Dre_Ser_Prelim!AS18</f>
        <v>0</v>
      </c>
      <c r="AU9" s="1094">
        <f>Dre_Ser_Prelim!AT18</f>
        <v>0</v>
      </c>
      <c r="AV9" s="1094">
        <f>Dre_Ser_Prelim!AU18</f>
        <v>0</v>
      </c>
      <c r="AW9" s="1094">
        <f>Dre_Ser_Prelim!AV18</f>
        <v>0</v>
      </c>
      <c r="AX9" s="1094">
        <f>Dre_Ser_Prelim!AW18</f>
        <v>0</v>
      </c>
      <c r="AY9" s="1094"/>
      <c r="AZ9" s="1153"/>
      <c r="BA9" s="579">
        <f t="shared" si="0"/>
        <v>1.7999999999999998</v>
      </c>
    </row>
    <row r="10" spans="1:53" ht="21.95" customHeight="1" x14ac:dyDescent="0.15">
      <c r="A10" s="2596"/>
      <c r="B10" s="2606"/>
      <c r="C10" s="567" t="s">
        <v>3</v>
      </c>
      <c r="E10" s="1358"/>
      <c r="F10" s="1154"/>
      <c r="G10" s="1154">
        <f>Dren_Quantificacao!D27</f>
        <v>0</v>
      </c>
      <c r="H10" s="1154">
        <f>Dren_Quantificacao!E27</f>
        <v>0</v>
      </c>
      <c r="I10" s="1154">
        <f>Dren_Quantificacao!F27</f>
        <v>0</v>
      </c>
      <c r="J10" s="1154">
        <f>Dren_Quantificacao!G27</f>
        <v>0</v>
      </c>
      <c r="K10" s="1154">
        <f>Dren_Quantificacao!H27</f>
        <v>0</v>
      </c>
      <c r="L10" s="1154">
        <f>Dren_Quantificacao!I27</f>
        <v>0</v>
      </c>
      <c r="M10" s="1154">
        <f>Dren_Quantificacao!J27</f>
        <v>0</v>
      </c>
      <c r="N10" s="1154">
        <f>Dren_Quantificacao!K27</f>
        <v>0</v>
      </c>
      <c r="O10" s="1154">
        <f>Dren_Quantificacao!L27</f>
        <v>0</v>
      </c>
      <c r="P10" s="1154">
        <f>Dren_Quantificacao!M27</f>
        <v>0</v>
      </c>
      <c r="Q10" s="1154">
        <f>Dren_Quantificacao!N27</f>
        <v>0</v>
      </c>
      <c r="R10" s="1154">
        <f>Dren_Quantificacao!O27</f>
        <v>0</v>
      </c>
      <c r="S10" s="1154">
        <f>Dren_Quantificacao!P27</f>
        <v>0</v>
      </c>
      <c r="T10" s="1154">
        <f>Dren_Quantificacao!Q27</f>
        <v>0</v>
      </c>
      <c r="U10" s="1154">
        <f>Dren_Quantificacao!R27</f>
        <v>0</v>
      </c>
      <c r="V10" s="1154">
        <f>Dren_Quantificacao!S27</f>
        <v>0</v>
      </c>
      <c r="W10" s="1154">
        <f>Dren_Quantificacao!T27</f>
        <v>0</v>
      </c>
      <c r="X10" s="1154">
        <f>Dren_Quantificacao!U27</f>
        <v>0</v>
      </c>
      <c r="Y10" s="1154">
        <f>Dren_Quantificacao!V27</f>
        <v>0</v>
      </c>
      <c r="Z10" s="1154">
        <f>Dren_Quantificacao!W27</f>
        <v>0</v>
      </c>
      <c r="AA10" s="1154">
        <f>Dren_Quantificacao!X27</f>
        <v>0</v>
      </c>
      <c r="AB10" s="1154">
        <f>Dren_Quantificacao!Y27</f>
        <v>0</v>
      </c>
      <c r="AC10" s="1154">
        <f>Dren_Quantificacao!Z27</f>
        <v>0</v>
      </c>
      <c r="AD10" s="1154">
        <f>Dren_Quantificacao!AA27</f>
        <v>0</v>
      </c>
      <c r="AE10" s="1154">
        <f>Dren_Quantificacao!AB27</f>
        <v>0</v>
      </c>
      <c r="AF10" s="1154">
        <f>Dren_Quantificacao!AC27</f>
        <v>0</v>
      </c>
      <c r="AG10" s="1154">
        <f>Dren_Quantificacao!AD27</f>
        <v>27</v>
      </c>
      <c r="AH10" s="1154">
        <f>Dren_Quantificacao!AE27</f>
        <v>0</v>
      </c>
      <c r="AI10" s="1154">
        <f>Dren_Quantificacao!AF27</f>
        <v>0</v>
      </c>
      <c r="AJ10" s="1154">
        <f>Dren_Quantificacao!AG27</f>
        <v>0</v>
      </c>
      <c r="AK10" s="1154">
        <f>Dren_Quantificacao!AH27</f>
        <v>0</v>
      </c>
      <c r="AL10" s="1154">
        <f>Dren_Quantificacao!AI27</f>
        <v>0</v>
      </c>
      <c r="AM10" s="1154">
        <f>Dren_Quantificacao!AJ27</f>
        <v>0</v>
      </c>
      <c r="AN10" s="1154">
        <f>Dren_Quantificacao!AK27</f>
        <v>0</v>
      </c>
      <c r="AO10" s="1154">
        <f>Dren_Quantificacao!AL27</f>
        <v>0</v>
      </c>
      <c r="AP10" s="1154">
        <f>Dren_Quantificacao!AM27</f>
        <v>0</v>
      </c>
      <c r="AQ10" s="1154">
        <f>Dren_Quantificacao!AN27</f>
        <v>0</v>
      </c>
      <c r="AR10" s="1154">
        <f>Dren_Quantificacao!AO27</f>
        <v>0</v>
      </c>
      <c r="AS10" s="1154">
        <f>Dren_Quantificacao!AP27</f>
        <v>0</v>
      </c>
      <c r="AT10" s="1154">
        <f>Dren_Quantificacao!AQ27</f>
        <v>0</v>
      </c>
      <c r="AU10" s="1154">
        <f>Dren_Quantificacao!AR27</f>
        <v>0</v>
      </c>
      <c r="AV10" s="1154">
        <f>Dren_Quantificacao!AS27</f>
        <v>0</v>
      </c>
      <c r="AW10" s="1154">
        <f>Dren_Quantificacao!AT27</f>
        <v>0</v>
      </c>
      <c r="AX10" s="1154">
        <f>Dren_Quantificacao!AU27</f>
        <v>0</v>
      </c>
      <c r="AY10" s="1154"/>
      <c r="AZ10" s="1155">
        <f>ROUND(SUM(F10:AY10),2)</f>
        <v>27</v>
      </c>
      <c r="BA10" s="579">
        <f t="shared" si="0"/>
        <v>54</v>
      </c>
    </row>
    <row r="11" spans="1:53" ht="21.95" customHeight="1" thickBot="1" x14ac:dyDescent="0.2">
      <c r="A11" s="2596"/>
      <c r="B11" s="2607"/>
      <c r="C11" s="566" t="s">
        <v>29</v>
      </c>
      <c r="D11" s="987"/>
      <c r="E11" s="564"/>
      <c r="F11" s="1097"/>
      <c r="G11" s="1097">
        <f t="shared" ref="G11:AX11" si="2">G10*G9</f>
        <v>0</v>
      </c>
      <c r="H11" s="1097">
        <f t="shared" si="2"/>
        <v>0</v>
      </c>
      <c r="I11" s="1097">
        <f t="shared" si="2"/>
        <v>0</v>
      </c>
      <c r="J11" s="1097">
        <f t="shared" si="2"/>
        <v>0</v>
      </c>
      <c r="K11" s="1097">
        <f t="shared" si="2"/>
        <v>0</v>
      </c>
      <c r="L11" s="1097">
        <f t="shared" si="2"/>
        <v>0</v>
      </c>
      <c r="M11" s="1097">
        <f t="shared" si="2"/>
        <v>0</v>
      </c>
      <c r="N11" s="1097">
        <f t="shared" si="2"/>
        <v>0</v>
      </c>
      <c r="O11" s="1097">
        <f t="shared" si="2"/>
        <v>0</v>
      </c>
      <c r="P11" s="1097">
        <f t="shared" si="2"/>
        <v>0</v>
      </c>
      <c r="Q11" s="1097">
        <f t="shared" si="2"/>
        <v>0</v>
      </c>
      <c r="R11" s="1097">
        <f t="shared" si="2"/>
        <v>0</v>
      </c>
      <c r="S11" s="1097">
        <f t="shared" si="2"/>
        <v>0</v>
      </c>
      <c r="T11" s="1097">
        <f t="shared" si="2"/>
        <v>0</v>
      </c>
      <c r="U11" s="1097">
        <f t="shared" si="2"/>
        <v>0</v>
      </c>
      <c r="V11" s="1097">
        <f t="shared" si="2"/>
        <v>0</v>
      </c>
      <c r="W11" s="1097">
        <f t="shared" si="2"/>
        <v>0</v>
      </c>
      <c r="X11" s="1097">
        <f t="shared" si="2"/>
        <v>0</v>
      </c>
      <c r="Y11" s="1097">
        <f t="shared" si="2"/>
        <v>0</v>
      </c>
      <c r="Z11" s="1097">
        <f t="shared" si="2"/>
        <v>0</v>
      </c>
      <c r="AA11" s="1097">
        <f t="shared" si="2"/>
        <v>0</v>
      </c>
      <c r="AB11" s="1097">
        <f t="shared" si="2"/>
        <v>0</v>
      </c>
      <c r="AC11" s="1097">
        <f t="shared" si="2"/>
        <v>0</v>
      </c>
      <c r="AD11" s="1097">
        <f t="shared" si="2"/>
        <v>0</v>
      </c>
      <c r="AE11" s="1097">
        <f t="shared" si="2"/>
        <v>0</v>
      </c>
      <c r="AF11" s="1097">
        <f t="shared" si="2"/>
        <v>0</v>
      </c>
      <c r="AG11" s="1097">
        <f t="shared" si="2"/>
        <v>48.599999999999994</v>
      </c>
      <c r="AH11" s="1097">
        <f t="shared" si="2"/>
        <v>0</v>
      </c>
      <c r="AI11" s="1097">
        <f t="shared" si="2"/>
        <v>0</v>
      </c>
      <c r="AJ11" s="1097">
        <f t="shared" si="2"/>
        <v>0</v>
      </c>
      <c r="AK11" s="1097">
        <f t="shared" si="2"/>
        <v>0</v>
      </c>
      <c r="AL11" s="1097">
        <f t="shared" si="2"/>
        <v>0</v>
      </c>
      <c r="AM11" s="1097">
        <f t="shared" si="2"/>
        <v>0</v>
      </c>
      <c r="AN11" s="1097">
        <f t="shared" si="2"/>
        <v>0</v>
      </c>
      <c r="AO11" s="1097">
        <f t="shared" si="2"/>
        <v>0</v>
      </c>
      <c r="AP11" s="1097">
        <f t="shared" si="2"/>
        <v>0</v>
      </c>
      <c r="AQ11" s="1097">
        <f t="shared" si="2"/>
        <v>0</v>
      </c>
      <c r="AR11" s="1097">
        <f t="shared" si="2"/>
        <v>0</v>
      </c>
      <c r="AS11" s="1097">
        <f t="shared" si="2"/>
        <v>0</v>
      </c>
      <c r="AT11" s="1097">
        <f t="shared" si="2"/>
        <v>0</v>
      </c>
      <c r="AU11" s="1097">
        <f t="shared" si="2"/>
        <v>0</v>
      </c>
      <c r="AV11" s="1097">
        <f t="shared" si="2"/>
        <v>0</v>
      </c>
      <c r="AW11" s="1097">
        <f t="shared" si="2"/>
        <v>0</v>
      </c>
      <c r="AX11" s="1097">
        <f t="shared" si="2"/>
        <v>0</v>
      </c>
      <c r="AY11" s="1097"/>
      <c r="AZ11" s="1098">
        <f>ROUND(SUM(F11:AY11),2)</f>
        <v>48.6</v>
      </c>
      <c r="BA11" s="579">
        <f t="shared" si="0"/>
        <v>97.199999999999989</v>
      </c>
    </row>
    <row r="12" spans="1:53" ht="21.95" customHeight="1" x14ac:dyDescent="0.15">
      <c r="A12" s="2596"/>
      <c r="B12" s="2649" t="s">
        <v>327</v>
      </c>
      <c r="C12" s="550" t="s">
        <v>315</v>
      </c>
      <c r="D12" s="985"/>
      <c r="E12" s="1359"/>
      <c r="F12" s="1094"/>
      <c r="G12" s="1094">
        <f>Dre_Ser_Prelim!F25</f>
        <v>0</v>
      </c>
      <c r="H12" s="1094">
        <f>Dre_Ser_Prelim!G25</f>
        <v>0</v>
      </c>
      <c r="I12" s="1094">
        <f>Dre_Ser_Prelim!H25</f>
        <v>0</v>
      </c>
      <c r="J12" s="1094">
        <f>Dre_Ser_Prelim!I25</f>
        <v>0</v>
      </c>
      <c r="K12" s="1094">
        <f>Dre_Ser_Prelim!J25</f>
        <v>0</v>
      </c>
      <c r="L12" s="1094">
        <f>Dre_Ser_Prelim!K25</f>
        <v>0</v>
      </c>
      <c r="M12" s="1094">
        <f>Dre_Ser_Prelim!L25</f>
        <v>0</v>
      </c>
      <c r="N12" s="1094">
        <f>Dre_Ser_Prelim!M25</f>
        <v>0</v>
      </c>
      <c r="O12" s="1094">
        <f>Dre_Ser_Prelim!N25</f>
        <v>0</v>
      </c>
      <c r="P12" s="1094">
        <f>Dre_Ser_Prelim!O25</f>
        <v>0</v>
      </c>
      <c r="Q12" s="1094">
        <f>Dre_Ser_Prelim!P25</f>
        <v>0</v>
      </c>
      <c r="R12" s="1094">
        <f>Dre_Ser_Prelim!Q25</f>
        <v>0</v>
      </c>
      <c r="S12" s="1094">
        <f>Dre_Ser_Prelim!R25</f>
        <v>0</v>
      </c>
      <c r="T12" s="1094">
        <f>Dre_Ser_Prelim!S25</f>
        <v>0</v>
      </c>
      <c r="U12" s="1094">
        <f>Dre_Ser_Prelim!T25</f>
        <v>0</v>
      </c>
      <c r="V12" s="1094">
        <f>Dre_Ser_Prelim!U25</f>
        <v>0</v>
      </c>
      <c r="W12" s="1094">
        <f>Dre_Ser_Prelim!V25</f>
        <v>0</v>
      </c>
      <c r="X12" s="1094">
        <f>Dre_Ser_Prelim!W25</f>
        <v>0</v>
      </c>
      <c r="Y12" s="1094">
        <f>Dre_Ser_Prelim!X25</f>
        <v>0</v>
      </c>
      <c r="Z12" s="1094">
        <f>Dre_Ser_Prelim!Y25</f>
        <v>0</v>
      </c>
      <c r="AA12" s="1094">
        <f>Dre_Ser_Prelim!Z25</f>
        <v>0</v>
      </c>
      <c r="AB12" s="1094">
        <f>Dre_Ser_Prelim!AA25</f>
        <v>0</v>
      </c>
      <c r="AC12" s="1094">
        <f>Dre_Ser_Prelim!AB25</f>
        <v>0</v>
      </c>
      <c r="AD12" s="1094">
        <f>Dre_Ser_Prelim!AC25</f>
        <v>0</v>
      </c>
      <c r="AE12" s="1094">
        <f>Dre_Ser_Prelim!AD25</f>
        <v>0</v>
      </c>
      <c r="AF12" s="1094">
        <f ca="1">Dre_Ser_Prelim!AE25</f>
        <v>2.2000000000000002</v>
      </c>
      <c r="AG12" s="1094">
        <f ca="1">Dre_Ser_Prelim!AF25</f>
        <v>2.7883466666667065</v>
      </c>
      <c r="AH12" s="1094">
        <f>Dre_Ser_Prelim!AG25</f>
        <v>0</v>
      </c>
      <c r="AI12" s="1094">
        <f>Dre_Ser_Prelim!AH25</f>
        <v>0</v>
      </c>
      <c r="AJ12" s="1094">
        <f>Dre_Ser_Prelim!AI25</f>
        <v>0</v>
      </c>
      <c r="AK12" s="1094">
        <f>Dre_Ser_Prelim!AJ25</f>
        <v>0</v>
      </c>
      <c r="AL12" s="1094">
        <f>Dre_Ser_Prelim!AK25</f>
        <v>0</v>
      </c>
      <c r="AM12" s="1094">
        <f>Dre_Ser_Prelim!AL25</f>
        <v>0</v>
      </c>
      <c r="AN12" s="1094">
        <f>Dre_Ser_Prelim!AM25</f>
        <v>0</v>
      </c>
      <c r="AO12" s="1094">
        <f>Dre_Ser_Prelim!AN25</f>
        <v>0</v>
      </c>
      <c r="AP12" s="1094">
        <f>Dre_Ser_Prelim!AO25</f>
        <v>0</v>
      </c>
      <c r="AQ12" s="1094">
        <f>Dre_Ser_Prelim!AP25</f>
        <v>0</v>
      </c>
      <c r="AR12" s="1094">
        <f>Dre_Ser_Prelim!AQ25</f>
        <v>0</v>
      </c>
      <c r="AS12" s="1094">
        <f>Dre_Ser_Prelim!AR25</f>
        <v>0</v>
      </c>
      <c r="AT12" s="1094">
        <f>Dre_Ser_Prelim!AS25</f>
        <v>0</v>
      </c>
      <c r="AU12" s="1094">
        <f>Dre_Ser_Prelim!AT25</f>
        <v>0</v>
      </c>
      <c r="AV12" s="1094">
        <f>Dre_Ser_Prelim!AU25</f>
        <v>0</v>
      </c>
      <c r="AW12" s="1094">
        <f>Dre_Ser_Prelim!AV25</f>
        <v>0</v>
      </c>
      <c r="AX12" s="1094">
        <f>Dre_Ser_Prelim!AW25</f>
        <v>0</v>
      </c>
      <c r="AY12" s="1094"/>
      <c r="AZ12" s="1153"/>
      <c r="BA12" s="579">
        <f t="shared" ca="1" si="0"/>
        <v>4.9883466666667067</v>
      </c>
    </row>
    <row r="13" spans="1:53" ht="21.95" customHeight="1" x14ac:dyDescent="0.15">
      <c r="A13" s="2596"/>
      <c r="B13" s="2622"/>
      <c r="C13" s="567" t="s">
        <v>3</v>
      </c>
      <c r="E13" s="1358"/>
      <c r="F13" s="1154"/>
      <c r="G13" s="1154">
        <f>Dren_Quantificacao!D28</f>
        <v>0</v>
      </c>
      <c r="H13" s="1154">
        <f>Dren_Quantificacao!E28</f>
        <v>0</v>
      </c>
      <c r="I13" s="1154">
        <f>Dren_Quantificacao!F28</f>
        <v>0</v>
      </c>
      <c r="J13" s="1154">
        <f>Dren_Quantificacao!G28</f>
        <v>0</v>
      </c>
      <c r="K13" s="1154">
        <f>Dren_Quantificacao!H28</f>
        <v>0</v>
      </c>
      <c r="L13" s="1154">
        <f>Dren_Quantificacao!I28</f>
        <v>0</v>
      </c>
      <c r="M13" s="1154">
        <f>Dren_Quantificacao!J28</f>
        <v>0</v>
      </c>
      <c r="N13" s="1154">
        <f>Dren_Quantificacao!K28</f>
        <v>0</v>
      </c>
      <c r="O13" s="1154">
        <f>Dren_Quantificacao!L28</f>
        <v>0</v>
      </c>
      <c r="P13" s="1154">
        <f>Dren_Quantificacao!M28</f>
        <v>0</v>
      </c>
      <c r="Q13" s="1154">
        <f>Dren_Quantificacao!N28</f>
        <v>0</v>
      </c>
      <c r="R13" s="1154">
        <f>Dren_Quantificacao!O28</f>
        <v>0</v>
      </c>
      <c r="S13" s="1154">
        <f>Dren_Quantificacao!P28</f>
        <v>0</v>
      </c>
      <c r="T13" s="1154">
        <f>Dren_Quantificacao!Q28</f>
        <v>0</v>
      </c>
      <c r="U13" s="1154">
        <f>Dren_Quantificacao!R28</f>
        <v>0</v>
      </c>
      <c r="V13" s="1154">
        <f>Dren_Quantificacao!S28</f>
        <v>0</v>
      </c>
      <c r="W13" s="1154">
        <f>Dren_Quantificacao!T28</f>
        <v>0</v>
      </c>
      <c r="X13" s="1154">
        <f>Dren_Quantificacao!U28</f>
        <v>0</v>
      </c>
      <c r="Y13" s="1154">
        <f>Dren_Quantificacao!V28</f>
        <v>0</v>
      </c>
      <c r="Z13" s="1154">
        <f>Dren_Quantificacao!W28</f>
        <v>0</v>
      </c>
      <c r="AA13" s="1154">
        <f>Dren_Quantificacao!X28</f>
        <v>0</v>
      </c>
      <c r="AB13" s="1154">
        <f>Dren_Quantificacao!Y28</f>
        <v>0</v>
      </c>
      <c r="AC13" s="1154">
        <f>Dren_Quantificacao!Z28</f>
        <v>0</v>
      </c>
      <c r="AD13" s="1154">
        <f>Dren_Quantificacao!AA28</f>
        <v>0</v>
      </c>
      <c r="AE13" s="1154">
        <f>Dren_Quantificacao!AB28</f>
        <v>0</v>
      </c>
      <c r="AF13" s="1154">
        <f>Dren_Quantificacao!AC28</f>
        <v>27</v>
      </c>
      <c r="AG13" s="1154">
        <f>Dren_Quantificacao!AD28</f>
        <v>10</v>
      </c>
      <c r="AH13" s="1154">
        <f>Dren_Quantificacao!AE28</f>
        <v>0</v>
      </c>
      <c r="AI13" s="1154">
        <f>Dren_Quantificacao!AF28</f>
        <v>0</v>
      </c>
      <c r="AJ13" s="1154">
        <f>Dren_Quantificacao!AG28</f>
        <v>0</v>
      </c>
      <c r="AK13" s="1154">
        <f>Dren_Quantificacao!AH28</f>
        <v>0</v>
      </c>
      <c r="AL13" s="1154">
        <f>Dren_Quantificacao!AI28</f>
        <v>0</v>
      </c>
      <c r="AM13" s="1154">
        <f>Dren_Quantificacao!AJ28</f>
        <v>0</v>
      </c>
      <c r="AN13" s="1154">
        <f>Dren_Quantificacao!AK28</f>
        <v>0</v>
      </c>
      <c r="AO13" s="1154">
        <f>Dren_Quantificacao!AL28</f>
        <v>0</v>
      </c>
      <c r="AP13" s="1154">
        <f>Dren_Quantificacao!AM28</f>
        <v>0</v>
      </c>
      <c r="AQ13" s="1154">
        <f>Dren_Quantificacao!AN28</f>
        <v>0</v>
      </c>
      <c r="AR13" s="1154">
        <f>Dren_Quantificacao!AO28</f>
        <v>0</v>
      </c>
      <c r="AS13" s="1154">
        <f>Dren_Quantificacao!AP28</f>
        <v>0</v>
      </c>
      <c r="AT13" s="1154">
        <f>Dren_Quantificacao!AQ28</f>
        <v>0</v>
      </c>
      <c r="AU13" s="1154">
        <f>Dren_Quantificacao!AR28</f>
        <v>0</v>
      </c>
      <c r="AV13" s="1154">
        <f>Dren_Quantificacao!AS28</f>
        <v>0</v>
      </c>
      <c r="AW13" s="1154">
        <f>Dren_Quantificacao!AT28</f>
        <v>0</v>
      </c>
      <c r="AX13" s="1154">
        <f>Dren_Quantificacao!AU28</f>
        <v>0</v>
      </c>
      <c r="AY13" s="1154"/>
      <c r="AZ13" s="1155">
        <f>ROUND(SUM(F13:AY13),2)</f>
        <v>37</v>
      </c>
      <c r="BA13" s="579">
        <f t="shared" si="0"/>
        <v>74</v>
      </c>
    </row>
    <row r="14" spans="1:53" ht="21.95" customHeight="1" thickBot="1" x14ac:dyDescent="0.2">
      <c r="A14" s="2596"/>
      <c r="B14" s="2650"/>
      <c r="C14" s="566" t="s">
        <v>29</v>
      </c>
      <c r="D14" s="987"/>
      <c r="E14" s="564"/>
      <c r="F14" s="1097"/>
      <c r="G14" s="1097">
        <f t="shared" ref="G14:AX14" si="3">G13*G12</f>
        <v>0</v>
      </c>
      <c r="H14" s="1097">
        <f t="shared" si="3"/>
        <v>0</v>
      </c>
      <c r="I14" s="1097">
        <f t="shared" si="3"/>
        <v>0</v>
      </c>
      <c r="J14" s="1097">
        <f t="shared" si="3"/>
        <v>0</v>
      </c>
      <c r="K14" s="1097">
        <f t="shared" si="3"/>
        <v>0</v>
      </c>
      <c r="L14" s="1097">
        <f t="shared" si="3"/>
        <v>0</v>
      </c>
      <c r="M14" s="1097">
        <f t="shared" si="3"/>
        <v>0</v>
      </c>
      <c r="N14" s="1097">
        <f t="shared" si="3"/>
        <v>0</v>
      </c>
      <c r="O14" s="1097">
        <f t="shared" si="3"/>
        <v>0</v>
      </c>
      <c r="P14" s="1097">
        <f t="shared" si="3"/>
        <v>0</v>
      </c>
      <c r="Q14" s="1097">
        <f t="shared" si="3"/>
        <v>0</v>
      </c>
      <c r="R14" s="1097">
        <f t="shared" si="3"/>
        <v>0</v>
      </c>
      <c r="S14" s="1097">
        <f t="shared" si="3"/>
        <v>0</v>
      </c>
      <c r="T14" s="1097">
        <f t="shared" si="3"/>
        <v>0</v>
      </c>
      <c r="U14" s="1097">
        <f t="shared" si="3"/>
        <v>0</v>
      </c>
      <c r="V14" s="1097">
        <f t="shared" si="3"/>
        <v>0</v>
      </c>
      <c r="W14" s="1097">
        <f t="shared" si="3"/>
        <v>0</v>
      </c>
      <c r="X14" s="1097">
        <f t="shared" si="3"/>
        <v>0</v>
      </c>
      <c r="Y14" s="1097">
        <f t="shared" si="3"/>
        <v>0</v>
      </c>
      <c r="Z14" s="1097">
        <f t="shared" si="3"/>
        <v>0</v>
      </c>
      <c r="AA14" s="1097">
        <f t="shared" si="3"/>
        <v>0</v>
      </c>
      <c r="AB14" s="1097">
        <f t="shared" si="3"/>
        <v>0</v>
      </c>
      <c r="AC14" s="1097">
        <f t="shared" si="3"/>
        <v>0</v>
      </c>
      <c r="AD14" s="1097">
        <f t="shared" si="3"/>
        <v>0</v>
      </c>
      <c r="AE14" s="1097">
        <f t="shared" si="3"/>
        <v>0</v>
      </c>
      <c r="AF14" s="1097">
        <f t="shared" ca="1" si="3"/>
        <v>59.400000000000006</v>
      </c>
      <c r="AG14" s="1097">
        <f t="shared" ca="1" si="3"/>
        <v>27.883466666667065</v>
      </c>
      <c r="AH14" s="1097">
        <f t="shared" si="3"/>
        <v>0</v>
      </c>
      <c r="AI14" s="1097">
        <f t="shared" si="3"/>
        <v>0</v>
      </c>
      <c r="AJ14" s="1097">
        <f t="shared" si="3"/>
        <v>0</v>
      </c>
      <c r="AK14" s="1097">
        <f t="shared" si="3"/>
        <v>0</v>
      </c>
      <c r="AL14" s="1097">
        <f t="shared" si="3"/>
        <v>0</v>
      </c>
      <c r="AM14" s="1097">
        <f t="shared" si="3"/>
        <v>0</v>
      </c>
      <c r="AN14" s="1097">
        <f t="shared" si="3"/>
        <v>0</v>
      </c>
      <c r="AO14" s="1097">
        <f t="shared" si="3"/>
        <v>0</v>
      </c>
      <c r="AP14" s="1097">
        <f t="shared" si="3"/>
        <v>0</v>
      </c>
      <c r="AQ14" s="1097">
        <f t="shared" si="3"/>
        <v>0</v>
      </c>
      <c r="AR14" s="1097">
        <f t="shared" si="3"/>
        <v>0</v>
      </c>
      <c r="AS14" s="1097">
        <f t="shared" si="3"/>
        <v>0</v>
      </c>
      <c r="AT14" s="1097">
        <f t="shared" si="3"/>
        <v>0</v>
      </c>
      <c r="AU14" s="1097">
        <f t="shared" si="3"/>
        <v>0</v>
      </c>
      <c r="AV14" s="1097">
        <f t="shared" si="3"/>
        <v>0</v>
      </c>
      <c r="AW14" s="1097">
        <f t="shared" si="3"/>
        <v>0</v>
      </c>
      <c r="AX14" s="1097">
        <f t="shared" si="3"/>
        <v>0</v>
      </c>
      <c r="AY14" s="1097"/>
      <c r="AZ14" s="1098">
        <f ca="1">ROUND(SUM(F14:AY14),2)</f>
        <v>87.28</v>
      </c>
      <c r="BA14" s="579">
        <f t="shared" ca="1" si="0"/>
        <v>174.56346666666707</v>
      </c>
    </row>
    <row r="15" spans="1:53" s="1188" customFormat="1" ht="21.95" customHeight="1" x14ac:dyDescent="0.15">
      <c r="A15" s="2596"/>
      <c r="B15" s="2605" t="s">
        <v>1833</v>
      </c>
      <c r="C15" s="1184" t="s">
        <v>1280</v>
      </c>
      <c r="D15" s="1545"/>
      <c r="E15" s="1546"/>
      <c r="F15" s="1571"/>
      <c r="G15" s="1185">
        <f t="shared" ref="G15:AX15" si="4">IF(G32&gt;0,18,0)</f>
        <v>0</v>
      </c>
      <c r="H15" s="1185">
        <f t="shared" si="4"/>
        <v>0</v>
      </c>
      <c r="I15" s="1185">
        <f t="shared" si="4"/>
        <v>0</v>
      </c>
      <c r="J15" s="1185">
        <f t="shared" si="4"/>
        <v>0</v>
      </c>
      <c r="K15" s="1185">
        <f t="shared" si="4"/>
        <v>0</v>
      </c>
      <c r="L15" s="1185">
        <f t="shared" si="4"/>
        <v>0</v>
      </c>
      <c r="M15" s="1185">
        <f t="shared" si="4"/>
        <v>0</v>
      </c>
      <c r="N15" s="1185">
        <f t="shared" si="4"/>
        <v>0</v>
      </c>
      <c r="O15" s="1185">
        <f t="shared" si="4"/>
        <v>0</v>
      </c>
      <c r="P15" s="1185">
        <f t="shared" si="4"/>
        <v>0</v>
      </c>
      <c r="Q15" s="1185">
        <f t="shared" si="4"/>
        <v>0</v>
      </c>
      <c r="R15" s="1185">
        <f t="shared" si="4"/>
        <v>0</v>
      </c>
      <c r="S15" s="1185">
        <f t="shared" si="4"/>
        <v>0</v>
      </c>
      <c r="T15" s="1185">
        <f t="shared" si="4"/>
        <v>0</v>
      </c>
      <c r="U15" s="1185">
        <f t="shared" si="4"/>
        <v>18</v>
      </c>
      <c r="V15" s="1185">
        <f t="shared" si="4"/>
        <v>0</v>
      </c>
      <c r="W15" s="1185">
        <f t="shared" si="4"/>
        <v>0</v>
      </c>
      <c r="X15" s="1185">
        <f t="shared" si="4"/>
        <v>0</v>
      </c>
      <c r="Y15" s="1185">
        <f t="shared" si="4"/>
        <v>0</v>
      </c>
      <c r="Z15" s="1185">
        <f t="shared" si="4"/>
        <v>0</v>
      </c>
      <c r="AA15" s="1185">
        <f t="shared" si="4"/>
        <v>0</v>
      </c>
      <c r="AB15" s="1185">
        <f t="shared" si="4"/>
        <v>0</v>
      </c>
      <c r="AC15" s="1185">
        <f t="shared" si="4"/>
        <v>0</v>
      </c>
      <c r="AD15" s="1185">
        <f t="shared" si="4"/>
        <v>0</v>
      </c>
      <c r="AE15" s="1185">
        <f t="shared" si="4"/>
        <v>0</v>
      </c>
      <c r="AF15" s="1185">
        <f t="shared" ca="1" si="4"/>
        <v>18</v>
      </c>
      <c r="AG15" s="1185">
        <f t="shared" ca="1" si="4"/>
        <v>18</v>
      </c>
      <c r="AH15" s="1185">
        <f t="shared" si="4"/>
        <v>0</v>
      </c>
      <c r="AI15" s="1185">
        <f t="shared" si="4"/>
        <v>0</v>
      </c>
      <c r="AJ15" s="1185">
        <f t="shared" si="4"/>
        <v>0</v>
      </c>
      <c r="AK15" s="1185">
        <f t="shared" si="4"/>
        <v>0</v>
      </c>
      <c r="AL15" s="1185">
        <f t="shared" si="4"/>
        <v>0</v>
      </c>
      <c r="AM15" s="1185">
        <f t="shared" si="4"/>
        <v>0</v>
      </c>
      <c r="AN15" s="1185">
        <f t="shared" si="4"/>
        <v>0</v>
      </c>
      <c r="AO15" s="1185">
        <f t="shared" si="4"/>
        <v>0</v>
      </c>
      <c r="AP15" s="1185">
        <f t="shared" si="4"/>
        <v>0</v>
      </c>
      <c r="AQ15" s="1185">
        <f t="shared" si="4"/>
        <v>0</v>
      </c>
      <c r="AR15" s="1185">
        <f t="shared" si="4"/>
        <v>0</v>
      </c>
      <c r="AS15" s="1185">
        <f t="shared" si="4"/>
        <v>0</v>
      </c>
      <c r="AT15" s="1185">
        <f t="shared" si="4"/>
        <v>0</v>
      </c>
      <c r="AU15" s="1185">
        <f t="shared" si="4"/>
        <v>0</v>
      </c>
      <c r="AV15" s="1185">
        <f t="shared" si="4"/>
        <v>0</v>
      </c>
      <c r="AW15" s="1185">
        <f t="shared" si="4"/>
        <v>0</v>
      </c>
      <c r="AX15" s="1185">
        <f t="shared" si="4"/>
        <v>0</v>
      </c>
      <c r="AY15" s="1185"/>
      <c r="AZ15" s="1186"/>
      <c r="BA15" s="579">
        <f t="shared" ca="1" si="0"/>
        <v>54</v>
      </c>
    </row>
    <row r="16" spans="1:53" ht="21.95" customHeight="1" thickBot="1" x14ac:dyDescent="0.2">
      <c r="A16" s="2596"/>
      <c r="B16" s="2606"/>
      <c r="C16" s="567" t="s">
        <v>512</v>
      </c>
      <c r="E16" s="1358"/>
      <c r="F16" s="1154">
        <f>Dre_Profunda!I96</f>
        <v>0</v>
      </c>
      <c r="G16" s="1154">
        <f t="shared" ref="G16:AX16" si="5">G15*G32/100</f>
        <v>0</v>
      </c>
      <c r="H16" s="1154">
        <f t="shared" si="5"/>
        <v>0</v>
      </c>
      <c r="I16" s="1154">
        <f t="shared" si="5"/>
        <v>0</v>
      </c>
      <c r="J16" s="1154">
        <f t="shared" si="5"/>
        <v>0</v>
      </c>
      <c r="K16" s="1154">
        <f t="shared" si="5"/>
        <v>0</v>
      </c>
      <c r="L16" s="1154">
        <f t="shared" si="5"/>
        <v>0</v>
      </c>
      <c r="M16" s="1154">
        <f t="shared" si="5"/>
        <v>0</v>
      </c>
      <c r="N16" s="1154">
        <f t="shared" si="5"/>
        <v>0</v>
      </c>
      <c r="O16" s="1154">
        <f t="shared" si="5"/>
        <v>0</v>
      </c>
      <c r="P16" s="1154">
        <f t="shared" si="5"/>
        <v>0</v>
      </c>
      <c r="Q16" s="1154">
        <f t="shared" si="5"/>
        <v>0</v>
      </c>
      <c r="R16" s="1154">
        <f t="shared" si="5"/>
        <v>0</v>
      </c>
      <c r="S16" s="1154">
        <f t="shared" si="5"/>
        <v>0</v>
      </c>
      <c r="T16" s="1154">
        <f t="shared" si="5"/>
        <v>0</v>
      </c>
      <c r="U16" s="1154">
        <f t="shared" si="5"/>
        <v>2.016</v>
      </c>
      <c r="V16" s="1154">
        <f t="shared" si="5"/>
        <v>0</v>
      </c>
      <c r="W16" s="1154">
        <f t="shared" si="5"/>
        <v>0</v>
      </c>
      <c r="X16" s="1154">
        <f t="shared" si="5"/>
        <v>0</v>
      </c>
      <c r="Y16" s="1154">
        <f t="shared" si="5"/>
        <v>0</v>
      </c>
      <c r="Z16" s="1154">
        <f t="shared" si="5"/>
        <v>0</v>
      </c>
      <c r="AA16" s="1154">
        <f t="shared" si="5"/>
        <v>0</v>
      </c>
      <c r="AB16" s="1154">
        <f t="shared" si="5"/>
        <v>0</v>
      </c>
      <c r="AC16" s="1154">
        <f t="shared" si="5"/>
        <v>0</v>
      </c>
      <c r="AD16" s="1154">
        <f t="shared" si="5"/>
        <v>0</v>
      </c>
      <c r="AE16" s="1154">
        <f t="shared" si="5"/>
        <v>0</v>
      </c>
      <c r="AF16" s="1154">
        <f t="shared" ca="1" si="5"/>
        <v>10.692</v>
      </c>
      <c r="AG16" s="1154">
        <f t="shared" ca="1" si="5"/>
        <v>20.067024000000071</v>
      </c>
      <c r="AH16" s="1154">
        <f t="shared" si="5"/>
        <v>0</v>
      </c>
      <c r="AI16" s="1154">
        <f t="shared" si="5"/>
        <v>0</v>
      </c>
      <c r="AJ16" s="1154">
        <f t="shared" si="5"/>
        <v>0</v>
      </c>
      <c r="AK16" s="1154">
        <f t="shared" si="5"/>
        <v>0</v>
      </c>
      <c r="AL16" s="1154">
        <f t="shared" si="5"/>
        <v>0</v>
      </c>
      <c r="AM16" s="1154">
        <f t="shared" si="5"/>
        <v>0</v>
      </c>
      <c r="AN16" s="1154">
        <f t="shared" si="5"/>
        <v>0</v>
      </c>
      <c r="AO16" s="1154">
        <f t="shared" si="5"/>
        <v>0</v>
      </c>
      <c r="AP16" s="1154">
        <f t="shared" si="5"/>
        <v>0</v>
      </c>
      <c r="AQ16" s="1154">
        <f t="shared" si="5"/>
        <v>0</v>
      </c>
      <c r="AR16" s="1154">
        <f t="shared" si="5"/>
        <v>0</v>
      </c>
      <c r="AS16" s="1154">
        <f t="shared" si="5"/>
        <v>0</v>
      </c>
      <c r="AT16" s="1154">
        <f t="shared" si="5"/>
        <v>0</v>
      </c>
      <c r="AU16" s="1154">
        <f t="shared" si="5"/>
        <v>0</v>
      </c>
      <c r="AV16" s="1154">
        <f t="shared" si="5"/>
        <v>0</v>
      </c>
      <c r="AW16" s="1154">
        <f t="shared" si="5"/>
        <v>0</v>
      </c>
      <c r="AX16" s="1154">
        <f t="shared" si="5"/>
        <v>0</v>
      </c>
      <c r="AY16" s="1154"/>
      <c r="AZ16" s="1156">
        <f ca="1">ROUND(SUM(F16:AY16),2)</f>
        <v>32.78</v>
      </c>
      <c r="BA16" s="579">
        <f t="shared" ca="1" si="0"/>
        <v>65.555024000000074</v>
      </c>
    </row>
    <row r="17" spans="1:53" s="1188" customFormat="1" ht="21.95" customHeight="1" x14ac:dyDescent="0.15">
      <c r="A17" s="2596"/>
      <c r="B17" s="2649" t="s">
        <v>59</v>
      </c>
      <c r="C17" s="1184" t="s">
        <v>1280</v>
      </c>
      <c r="D17" s="1545"/>
      <c r="E17" s="1546"/>
      <c r="F17" s="1571"/>
      <c r="G17" s="1185">
        <f>Dren_Quantificacao!D31</f>
        <v>0</v>
      </c>
      <c r="H17" s="1185">
        <f>Dren_Quantificacao!E31</f>
        <v>0</v>
      </c>
      <c r="I17" s="1185">
        <f>Dren_Quantificacao!F31</f>
        <v>0</v>
      </c>
      <c r="J17" s="1185">
        <f>Dren_Quantificacao!G31</f>
        <v>0</v>
      </c>
      <c r="K17" s="1185">
        <f>Dren_Quantificacao!H31</f>
        <v>0</v>
      </c>
      <c r="L17" s="1185">
        <f>Dren_Quantificacao!I31</f>
        <v>0</v>
      </c>
      <c r="M17" s="1185">
        <f>Dren_Quantificacao!J31</f>
        <v>0</v>
      </c>
      <c r="N17" s="1185">
        <f>Dren_Quantificacao!K31</f>
        <v>0</v>
      </c>
      <c r="O17" s="1185">
        <f>Dren_Quantificacao!L31</f>
        <v>0</v>
      </c>
      <c r="P17" s="1185">
        <f>Dren_Quantificacao!M31</f>
        <v>0</v>
      </c>
      <c r="Q17" s="1185">
        <f>Dren_Quantificacao!N31</f>
        <v>0</v>
      </c>
      <c r="R17" s="1185">
        <f>Dren_Quantificacao!O31</f>
        <v>0</v>
      </c>
      <c r="S17" s="1185">
        <f>Dren_Quantificacao!P31</f>
        <v>0</v>
      </c>
      <c r="T17" s="1185">
        <f>Dren_Quantificacao!Q31</f>
        <v>0</v>
      </c>
      <c r="U17" s="1185">
        <f>Dren_Quantificacao!R31</f>
        <v>15</v>
      </c>
      <c r="V17" s="1185">
        <f>Dren_Quantificacao!S31</f>
        <v>0</v>
      </c>
      <c r="W17" s="1185">
        <f>Dren_Quantificacao!T31</f>
        <v>0</v>
      </c>
      <c r="X17" s="1185">
        <f>Dren_Quantificacao!U31</f>
        <v>0</v>
      </c>
      <c r="Y17" s="1185">
        <f>Dren_Quantificacao!V31</f>
        <v>0</v>
      </c>
      <c r="Z17" s="1185">
        <f>Dren_Quantificacao!W31</f>
        <v>0</v>
      </c>
      <c r="AA17" s="1185">
        <f>Dren_Quantificacao!X31</f>
        <v>0</v>
      </c>
      <c r="AB17" s="1185">
        <f>Dren_Quantificacao!Y31</f>
        <v>0</v>
      </c>
      <c r="AC17" s="1185">
        <f>Dren_Quantificacao!Z31</f>
        <v>0</v>
      </c>
      <c r="AD17" s="1185">
        <f>Dren_Quantificacao!AA31</f>
        <v>0</v>
      </c>
      <c r="AE17" s="1185">
        <f>Dren_Quantificacao!AB31</f>
        <v>0</v>
      </c>
      <c r="AF17" s="1185">
        <f>Dren_Quantificacao!AC31</f>
        <v>15</v>
      </c>
      <c r="AG17" s="1185">
        <f>Dren_Quantificacao!AD31</f>
        <v>15</v>
      </c>
      <c r="AH17" s="1185">
        <f>Dren_Quantificacao!AE31</f>
        <v>0</v>
      </c>
      <c r="AI17" s="1185">
        <f>Dren_Quantificacao!AF31</f>
        <v>0</v>
      </c>
      <c r="AJ17" s="1185">
        <f>Dren_Quantificacao!AG31</f>
        <v>0</v>
      </c>
      <c r="AK17" s="1185">
        <f>Dren_Quantificacao!AH31</f>
        <v>0</v>
      </c>
      <c r="AL17" s="1185">
        <f>Dren_Quantificacao!AI31</f>
        <v>0</v>
      </c>
      <c r="AM17" s="1185">
        <f>Dren_Quantificacao!AJ31</f>
        <v>0</v>
      </c>
      <c r="AN17" s="1185">
        <f>Dren_Quantificacao!AK31</f>
        <v>0</v>
      </c>
      <c r="AO17" s="1185">
        <f>Dren_Quantificacao!AL31</f>
        <v>0</v>
      </c>
      <c r="AP17" s="1185">
        <f>Dren_Quantificacao!AM31</f>
        <v>0</v>
      </c>
      <c r="AQ17" s="1185">
        <f>Dren_Quantificacao!AN31</f>
        <v>0</v>
      </c>
      <c r="AR17" s="1185">
        <f>Dren_Quantificacao!AO31</f>
        <v>0</v>
      </c>
      <c r="AS17" s="1185">
        <f>Dren_Quantificacao!AP31</f>
        <v>0</v>
      </c>
      <c r="AT17" s="1185">
        <f>Dren_Quantificacao!AQ31</f>
        <v>0</v>
      </c>
      <c r="AU17" s="1185">
        <f>Dren_Quantificacao!AR31</f>
        <v>0</v>
      </c>
      <c r="AV17" s="1185">
        <f>Dren_Quantificacao!AS31</f>
        <v>0</v>
      </c>
      <c r="AW17" s="1185">
        <f>Dren_Quantificacao!AT31</f>
        <v>0</v>
      </c>
      <c r="AX17" s="1185">
        <f>Dren_Quantificacao!AU31</f>
        <v>0</v>
      </c>
      <c r="AY17" s="1185"/>
      <c r="AZ17" s="1186"/>
      <c r="BA17" s="579">
        <f t="shared" si="0"/>
        <v>45</v>
      </c>
    </row>
    <row r="18" spans="1:53" ht="21.95" customHeight="1" x14ac:dyDescent="0.15">
      <c r="A18" s="2596"/>
      <c r="B18" s="2622"/>
      <c r="C18" s="567" t="s">
        <v>300</v>
      </c>
      <c r="E18" s="1358"/>
      <c r="F18" s="1154">
        <f>Dre_Profunda!I98</f>
        <v>0</v>
      </c>
      <c r="G18" s="1154">
        <f t="shared" ref="G18:AX18" si="6">G17*G32/100</f>
        <v>0</v>
      </c>
      <c r="H18" s="1154">
        <f t="shared" si="6"/>
        <v>0</v>
      </c>
      <c r="I18" s="1154">
        <f t="shared" si="6"/>
        <v>0</v>
      </c>
      <c r="J18" s="1154">
        <f t="shared" si="6"/>
        <v>0</v>
      </c>
      <c r="K18" s="1154">
        <f t="shared" si="6"/>
        <v>0</v>
      </c>
      <c r="L18" s="1154">
        <f t="shared" si="6"/>
        <v>0</v>
      </c>
      <c r="M18" s="1154">
        <f t="shared" si="6"/>
        <v>0</v>
      </c>
      <c r="N18" s="1154">
        <f t="shared" si="6"/>
        <v>0</v>
      </c>
      <c r="O18" s="1154">
        <f t="shared" si="6"/>
        <v>0</v>
      </c>
      <c r="P18" s="1154">
        <f t="shared" si="6"/>
        <v>0</v>
      </c>
      <c r="Q18" s="1154">
        <f t="shared" si="6"/>
        <v>0</v>
      </c>
      <c r="R18" s="1154">
        <f t="shared" si="6"/>
        <v>0</v>
      </c>
      <c r="S18" s="1154">
        <f t="shared" si="6"/>
        <v>0</v>
      </c>
      <c r="T18" s="1154">
        <f t="shared" si="6"/>
        <v>0</v>
      </c>
      <c r="U18" s="1154">
        <f t="shared" si="6"/>
        <v>1.68</v>
      </c>
      <c r="V18" s="1154">
        <f t="shared" si="6"/>
        <v>0</v>
      </c>
      <c r="W18" s="1154">
        <f t="shared" si="6"/>
        <v>0</v>
      </c>
      <c r="X18" s="1154">
        <f t="shared" si="6"/>
        <v>0</v>
      </c>
      <c r="Y18" s="1154">
        <f t="shared" si="6"/>
        <v>0</v>
      </c>
      <c r="Z18" s="1154">
        <f t="shared" si="6"/>
        <v>0</v>
      </c>
      <c r="AA18" s="1154">
        <f t="shared" si="6"/>
        <v>0</v>
      </c>
      <c r="AB18" s="1154">
        <f t="shared" si="6"/>
        <v>0</v>
      </c>
      <c r="AC18" s="1154">
        <f t="shared" si="6"/>
        <v>0</v>
      </c>
      <c r="AD18" s="1154">
        <f t="shared" si="6"/>
        <v>0</v>
      </c>
      <c r="AE18" s="1154">
        <f t="shared" si="6"/>
        <v>0</v>
      </c>
      <c r="AF18" s="1154">
        <f t="shared" ca="1" si="6"/>
        <v>8.9100000000000019</v>
      </c>
      <c r="AG18" s="1154">
        <f t="shared" ca="1" si="6"/>
        <v>16.72252000000006</v>
      </c>
      <c r="AH18" s="1154">
        <f t="shared" si="6"/>
        <v>0</v>
      </c>
      <c r="AI18" s="1154">
        <f t="shared" si="6"/>
        <v>0</v>
      </c>
      <c r="AJ18" s="1154">
        <f t="shared" si="6"/>
        <v>0</v>
      </c>
      <c r="AK18" s="1154">
        <f t="shared" si="6"/>
        <v>0</v>
      </c>
      <c r="AL18" s="1154">
        <f t="shared" si="6"/>
        <v>0</v>
      </c>
      <c r="AM18" s="1154">
        <f t="shared" si="6"/>
        <v>0</v>
      </c>
      <c r="AN18" s="1154">
        <f t="shared" si="6"/>
        <v>0</v>
      </c>
      <c r="AO18" s="1154">
        <f t="shared" si="6"/>
        <v>0</v>
      </c>
      <c r="AP18" s="1154">
        <f t="shared" si="6"/>
        <v>0</v>
      </c>
      <c r="AQ18" s="1154">
        <f t="shared" si="6"/>
        <v>0</v>
      </c>
      <c r="AR18" s="1154">
        <f t="shared" si="6"/>
        <v>0</v>
      </c>
      <c r="AS18" s="1154">
        <f t="shared" si="6"/>
        <v>0</v>
      </c>
      <c r="AT18" s="1154">
        <f t="shared" si="6"/>
        <v>0</v>
      </c>
      <c r="AU18" s="1154">
        <f t="shared" si="6"/>
        <v>0</v>
      </c>
      <c r="AV18" s="1154">
        <f t="shared" si="6"/>
        <v>0</v>
      </c>
      <c r="AW18" s="1154">
        <f t="shared" si="6"/>
        <v>0</v>
      </c>
      <c r="AX18" s="1154">
        <f t="shared" si="6"/>
        <v>0</v>
      </c>
      <c r="AY18" s="1154"/>
      <c r="AZ18" s="1156">
        <f ca="1">ROUND(SUM(F18:AY18),2)</f>
        <v>27.31</v>
      </c>
      <c r="BA18" s="579">
        <f t="shared" ca="1" si="0"/>
        <v>54.622520000000065</v>
      </c>
    </row>
    <row r="19" spans="1:53" ht="21.95" customHeight="1" x14ac:dyDescent="0.15">
      <c r="A19" s="2596"/>
      <c r="B19" s="2622"/>
      <c r="C19" s="567" t="s">
        <v>538</v>
      </c>
      <c r="E19" s="1358"/>
      <c r="F19" s="1570"/>
      <c r="G19" s="1154">
        <f>IF(COUNTA(Dren_Quantificacao!D32:D36)&gt;1,+G18,0)</f>
        <v>0</v>
      </c>
      <c r="H19" s="1154">
        <f>IF(COUNTA(Dren_Quantificacao!E32:E36)&gt;1,+H18,0)</f>
        <v>0</v>
      </c>
      <c r="I19" s="1154">
        <f>IF(COUNTA(Dren_Quantificacao!F32:F36)&gt;1,+I18,0)</f>
        <v>0</v>
      </c>
      <c r="J19" s="1154">
        <f>IF(COUNTA(Dren_Quantificacao!G32:G36)&gt;1,+J18,0)</f>
        <v>0</v>
      </c>
      <c r="K19" s="1154">
        <f>IF(COUNTA(Dren_Quantificacao!H32:H36)&gt;1,+K18,0)</f>
        <v>0</v>
      </c>
      <c r="L19" s="1154">
        <f>IF(COUNTA(Dren_Quantificacao!I32:I36)&gt;1,+L18,0)</f>
        <v>0</v>
      </c>
      <c r="M19" s="1154">
        <f>IF(COUNTA(Dren_Quantificacao!J32:J36)&gt;1,+M18,0)</f>
        <v>0</v>
      </c>
      <c r="N19" s="1154">
        <f>IF(COUNTA(Dren_Quantificacao!K32:K36)&gt;1,+N18,0)</f>
        <v>0</v>
      </c>
      <c r="O19" s="1154">
        <f>IF(COUNTA(Dren_Quantificacao!L32:L36)&gt;1,+O18,0)</f>
        <v>0</v>
      </c>
      <c r="P19" s="1154">
        <f>IF(COUNTA(Dren_Quantificacao!M32:M36)&gt;1,+P18,0)</f>
        <v>0</v>
      </c>
      <c r="Q19" s="1154">
        <f>IF(COUNTA(Dren_Quantificacao!N32:N36)&gt;1,+Q18,0)</f>
        <v>0</v>
      </c>
      <c r="R19" s="1154">
        <f>IF(COUNTA(Dren_Quantificacao!O32:O36)&gt;1,+R18,0)</f>
        <v>0</v>
      </c>
      <c r="S19" s="1154">
        <f>IF(COUNTA(Dren_Quantificacao!P32:P36)&gt;1,+S18,0)</f>
        <v>0</v>
      </c>
      <c r="T19" s="1154">
        <f>IF(COUNTA(Dren_Quantificacao!Q32:Q36)&gt;1,+T18,0)</f>
        <v>0</v>
      </c>
      <c r="U19" s="1154">
        <f>IF(COUNTA(Dren_Quantificacao!R32:R36)&gt;1,+U18,0)</f>
        <v>1.68</v>
      </c>
      <c r="V19" s="1154">
        <f>IF(COUNTA(Dren_Quantificacao!S32:S36)&gt;1,+V18,0)</f>
        <v>0</v>
      </c>
      <c r="W19" s="1154">
        <f>IF(COUNTA(Dren_Quantificacao!T32:T36)&gt;1,+W18,0)</f>
        <v>0</v>
      </c>
      <c r="X19" s="1154">
        <f>IF(COUNTA(Dren_Quantificacao!U32:U36)&gt;1,+X18,0)</f>
        <v>0</v>
      </c>
      <c r="Y19" s="1154">
        <f>IF(COUNTA(Dren_Quantificacao!V32:V36)&gt;1,+Y18,0)</f>
        <v>0</v>
      </c>
      <c r="Z19" s="1154">
        <f>IF(COUNTA(Dren_Quantificacao!W32:W36)&gt;1,+Z18,0)</f>
        <v>0</v>
      </c>
      <c r="AA19" s="1154">
        <f>IF(COUNTA(Dren_Quantificacao!X32:X36)&gt;1,+AA18,0)</f>
        <v>0</v>
      </c>
      <c r="AB19" s="1154">
        <f>IF(COUNTA(Dren_Quantificacao!Y32:Y36)&gt;1,+AB18,0)</f>
        <v>0</v>
      </c>
      <c r="AC19" s="1154">
        <f>IF(COUNTA(Dren_Quantificacao!Z32:Z36)&gt;1,+AC18,0)</f>
        <v>0</v>
      </c>
      <c r="AD19" s="1154">
        <f>IF(COUNTA(Dren_Quantificacao!AA32:AA36)&gt;1,+AD18,0)</f>
        <v>0</v>
      </c>
      <c r="AE19" s="1154">
        <f>IF(COUNTA(Dren_Quantificacao!AB32:AB36)&gt;1,+AE18,0)</f>
        <v>0</v>
      </c>
      <c r="AF19" s="1154">
        <f ca="1">IF(COUNTA(Dren_Quantificacao!AC32:AC36)&gt;1,+AF18,0)</f>
        <v>8.9100000000000019</v>
      </c>
      <c r="AG19" s="1154">
        <f ca="1">IF(COUNTA(Dren_Quantificacao!AD32:AD36)&gt;1,+AG18,0)</f>
        <v>16.72252000000006</v>
      </c>
      <c r="AH19" s="1154">
        <f>IF(COUNTA(Dren_Quantificacao!AE32:AE36)&gt;1,+AH18,0)</f>
        <v>0</v>
      </c>
      <c r="AI19" s="1154">
        <f>IF(COUNTA(Dren_Quantificacao!AF32:AF36)&gt;1,+AI18,0)</f>
        <v>0</v>
      </c>
      <c r="AJ19" s="1154">
        <f>IF(COUNTA(Dren_Quantificacao!AG32:AG36)&gt;1,+AJ18,0)</f>
        <v>0</v>
      </c>
      <c r="AK19" s="1154">
        <f>IF(COUNTA(Dren_Quantificacao!AH32:AH36)&gt;1,+AK18,0)</f>
        <v>0</v>
      </c>
      <c r="AL19" s="1154">
        <f>IF(COUNTA(Dren_Quantificacao!AI32:AI36)&gt;1,+AL18,0)</f>
        <v>0</v>
      </c>
      <c r="AM19" s="1154">
        <f>IF(COUNTA(Dren_Quantificacao!AJ32:AJ36)&gt;1,+AM18,0)</f>
        <v>0</v>
      </c>
      <c r="AN19" s="1154">
        <f>IF(COUNTA(Dren_Quantificacao!AK32:AK36)&gt;1,+AN18,0)</f>
        <v>0</v>
      </c>
      <c r="AO19" s="1154">
        <f>IF(COUNTA(Dren_Quantificacao!AL32:AL36)&gt;1,+AO18,0)</f>
        <v>0</v>
      </c>
      <c r="AP19" s="1154">
        <f>IF(COUNTA(Dren_Quantificacao!AM32:AM36)&gt;1,+AP18,0)</f>
        <v>0</v>
      </c>
      <c r="AQ19" s="1154">
        <f>IF(COUNTA(Dren_Quantificacao!AN32:AN36)&gt;1,+AQ18,0)</f>
        <v>0</v>
      </c>
      <c r="AR19" s="1154">
        <f>IF(COUNTA(Dren_Quantificacao!AO32:AO36)&gt;1,+AR18,0)</f>
        <v>0</v>
      </c>
      <c r="AS19" s="1154">
        <f>IF(COUNTA(Dren_Quantificacao!AP32:AP36)&gt;1,+AS18,0)</f>
        <v>0</v>
      </c>
      <c r="AT19" s="1154">
        <f>IF(COUNTA(Dren_Quantificacao!AQ32:AQ36)&gt;1,+AT18,0)</f>
        <v>0</v>
      </c>
      <c r="AU19" s="1154">
        <f>IF(COUNTA(Dren_Quantificacao!AR32:AR36)&gt;1,+AU18,0)</f>
        <v>0</v>
      </c>
      <c r="AV19" s="1154">
        <f>IF(COUNTA(Dren_Quantificacao!AS32:AS36)&gt;1,+AV18,0)</f>
        <v>0</v>
      </c>
      <c r="AW19" s="1154">
        <f>IF(COUNTA(Dren_Quantificacao!AT32:AT36)&gt;1,+AW18,0)</f>
        <v>0</v>
      </c>
      <c r="AX19" s="1154">
        <f>IF(COUNTA(Dren_Quantificacao!AU32:AU36)&gt;1,+AX18,0)</f>
        <v>0</v>
      </c>
      <c r="AY19" s="1154"/>
      <c r="AZ19" s="1156">
        <f ca="1">ROUND(SUM(F19:AY19),2)</f>
        <v>27.31</v>
      </c>
      <c r="BA19" s="579">
        <f t="shared" ca="1" si="0"/>
        <v>54.622520000000065</v>
      </c>
    </row>
    <row r="20" spans="1:53" ht="21.95" hidden="1" customHeight="1" x14ac:dyDescent="0.15">
      <c r="A20" s="2596"/>
      <c r="B20" s="2622"/>
      <c r="C20" s="567" t="s">
        <v>1879</v>
      </c>
      <c r="E20" s="1358"/>
      <c r="F20" s="1154">
        <f>F18-F21</f>
        <v>0</v>
      </c>
      <c r="G20" s="1154">
        <f t="shared" ref="G20:AX20" si="7">G$18*G25+G$18*G26</f>
        <v>0</v>
      </c>
      <c r="H20" s="1154">
        <f t="shared" si="7"/>
        <v>0</v>
      </c>
      <c r="I20" s="1154">
        <f t="shared" si="7"/>
        <v>0</v>
      </c>
      <c r="J20" s="1154">
        <f t="shared" si="7"/>
        <v>0</v>
      </c>
      <c r="K20" s="1154">
        <f t="shared" si="7"/>
        <v>0</v>
      </c>
      <c r="L20" s="1154">
        <f t="shared" si="7"/>
        <v>0</v>
      </c>
      <c r="M20" s="1154">
        <f t="shared" si="7"/>
        <v>0</v>
      </c>
      <c r="N20" s="1154">
        <f t="shared" si="7"/>
        <v>0</v>
      </c>
      <c r="O20" s="1154">
        <f t="shared" si="7"/>
        <v>0</v>
      </c>
      <c r="P20" s="1154">
        <f t="shared" si="7"/>
        <v>0</v>
      </c>
      <c r="Q20" s="1154">
        <f t="shared" si="7"/>
        <v>0</v>
      </c>
      <c r="R20" s="1154">
        <f t="shared" si="7"/>
        <v>0</v>
      </c>
      <c r="S20" s="1154">
        <f t="shared" si="7"/>
        <v>0</v>
      </c>
      <c r="T20" s="1154">
        <f t="shared" si="7"/>
        <v>0</v>
      </c>
      <c r="U20" s="1154">
        <f t="shared" si="7"/>
        <v>0</v>
      </c>
      <c r="V20" s="1154">
        <f t="shared" si="7"/>
        <v>0</v>
      </c>
      <c r="W20" s="1154">
        <f t="shared" si="7"/>
        <v>0</v>
      </c>
      <c r="X20" s="1154">
        <f t="shared" si="7"/>
        <v>0</v>
      </c>
      <c r="Y20" s="1154">
        <f t="shared" si="7"/>
        <v>0</v>
      </c>
      <c r="Z20" s="1154">
        <f t="shared" si="7"/>
        <v>0</v>
      </c>
      <c r="AA20" s="1154">
        <f t="shared" si="7"/>
        <v>0</v>
      </c>
      <c r="AB20" s="1154">
        <f t="shared" si="7"/>
        <v>0</v>
      </c>
      <c r="AC20" s="1154">
        <f t="shared" si="7"/>
        <v>0</v>
      </c>
      <c r="AD20" s="1154">
        <f t="shared" si="7"/>
        <v>0</v>
      </c>
      <c r="AE20" s="1154">
        <f t="shared" si="7"/>
        <v>0</v>
      </c>
      <c r="AF20" s="1154">
        <f t="shared" ca="1" si="7"/>
        <v>0</v>
      </c>
      <c r="AG20" s="1154">
        <f t="shared" ca="1" si="7"/>
        <v>0</v>
      </c>
      <c r="AH20" s="1154">
        <f t="shared" si="7"/>
        <v>0</v>
      </c>
      <c r="AI20" s="1154">
        <f t="shared" si="7"/>
        <v>0</v>
      </c>
      <c r="AJ20" s="1154">
        <f t="shared" si="7"/>
        <v>0</v>
      </c>
      <c r="AK20" s="1154">
        <f t="shared" si="7"/>
        <v>0</v>
      </c>
      <c r="AL20" s="1154">
        <f t="shared" si="7"/>
        <v>0</v>
      </c>
      <c r="AM20" s="1154">
        <f t="shared" si="7"/>
        <v>0</v>
      </c>
      <c r="AN20" s="1154">
        <f t="shared" si="7"/>
        <v>0</v>
      </c>
      <c r="AO20" s="1154">
        <f t="shared" si="7"/>
        <v>0</v>
      </c>
      <c r="AP20" s="1154">
        <f t="shared" si="7"/>
        <v>0</v>
      </c>
      <c r="AQ20" s="1154">
        <f t="shared" si="7"/>
        <v>0</v>
      </c>
      <c r="AR20" s="1154">
        <f t="shared" si="7"/>
        <v>0</v>
      </c>
      <c r="AS20" s="1154">
        <f t="shared" si="7"/>
        <v>0</v>
      </c>
      <c r="AT20" s="1154">
        <f t="shared" si="7"/>
        <v>0</v>
      </c>
      <c r="AU20" s="1154">
        <f t="shared" si="7"/>
        <v>0</v>
      </c>
      <c r="AV20" s="1154">
        <f t="shared" si="7"/>
        <v>0</v>
      </c>
      <c r="AW20" s="1154">
        <f t="shared" si="7"/>
        <v>0</v>
      </c>
      <c r="AX20" s="1154">
        <f t="shared" si="7"/>
        <v>0</v>
      </c>
      <c r="AY20" s="1154"/>
      <c r="AZ20" s="1156">
        <f ca="1">ROUND(SUM(F20:AY20),2)</f>
        <v>0</v>
      </c>
      <c r="BA20" s="579">
        <f t="shared" ca="1" si="0"/>
        <v>0</v>
      </c>
    </row>
    <row r="21" spans="1:53" ht="21.95" hidden="1" customHeight="1" x14ac:dyDescent="0.15">
      <c r="A21" s="2596"/>
      <c r="B21" s="2622"/>
      <c r="C21" s="567" t="s">
        <v>1889</v>
      </c>
      <c r="D21" s="1420"/>
      <c r="E21" s="1392"/>
      <c r="F21" s="1158">
        <f>Dre_Profunda!I100/1.25</f>
        <v>0</v>
      </c>
      <c r="G21" s="1158">
        <f t="shared" ref="G21:AX21" si="8">IF(G24=100%,G18,0)</f>
        <v>0</v>
      </c>
      <c r="H21" s="1158">
        <f t="shared" si="8"/>
        <v>0</v>
      </c>
      <c r="I21" s="1158">
        <f t="shared" si="8"/>
        <v>0</v>
      </c>
      <c r="J21" s="1158">
        <f t="shared" si="8"/>
        <v>0</v>
      </c>
      <c r="K21" s="1158">
        <f t="shared" si="8"/>
        <v>0</v>
      </c>
      <c r="L21" s="1158">
        <f t="shared" si="8"/>
        <v>0</v>
      </c>
      <c r="M21" s="1158">
        <f t="shared" si="8"/>
        <v>0</v>
      </c>
      <c r="N21" s="1158">
        <f t="shared" si="8"/>
        <v>0</v>
      </c>
      <c r="O21" s="1158">
        <f t="shared" si="8"/>
        <v>0</v>
      </c>
      <c r="P21" s="1158">
        <f t="shared" si="8"/>
        <v>0</v>
      </c>
      <c r="Q21" s="1158">
        <f t="shared" si="8"/>
        <v>0</v>
      </c>
      <c r="R21" s="1158">
        <f t="shared" si="8"/>
        <v>0</v>
      </c>
      <c r="S21" s="1158">
        <f t="shared" si="8"/>
        <v>0</v>
      </c>
      <c r="T21" s="1158">
        <f t="shared" si="8"/>
        <v>0</v>
      </c>
      <c r="U21" s="1158">
        <f t="shared" si="8"/>
        <v>0</v>
      </c>
      <c r="V21" s="1158">
        <f t="shared" si="8"/>
        <v>0</v>
      </c>
      <c r="W21" s="1158">
        <f t="shared" si="8"/>
        <v>0</v>
      </c>
      <c r="X21" s="1158">
        <f t="shared" si="8"/>
        <v>0</v>
      </c>
      <c r="Y21" s="1158">
        <f t="shared" si="8"/>
        <v>0</v>
      </c>
      <c r="Z21" s="1158">
        <f t="shared" si="8"/>
        <v>0</v>
      </c>
      <c r="AA21" s="1158">
        <f t="shared" si="8"/>
        <v>0</v>
      </c>
      <c r="AB21" s="1158">
        <f t="shared" si="8"/>
        <v>0</v>
      </c>
      <c r="AC21" s="1158">
        <f t="shared" si="8"/>
        <v>0</v>
      </c>
      <c r="AD21" s="1158">
        <f t="shared" si="8"/>
        <v>0</v>
      </c>
      <c r="AE21" s="1158">
        <f t="shared" si="8"/>
        <v>0</v>
      </c>
      <c r="AF21" s="1158">
        <f t="shared" si="8"/>
        <v>0</v>
      </c>
      <c r="AG21" s="1158">
        <f t="shared" si="8"/>
        <v>0</v>
      </c>
      <c r="AH21" s="1158">
        <f t="shared" si="8"/>
        <v>0</v>
      </c>
      <c r="AI21" s="1158">
        <f t="shared" si="8"/>
        <v>0</v>
      </c>
      <c r="AJ21" s="1158">
        <f t="shared" si="8"/>
        <v>0</v>
      </c>
      <c r="AK21" s="1158">
        <f t="shared" si="8"/>
        <v>0</v>
      </c>
      <c r="AL21" s="1158">
        <f t="shared" si="8"/>
        <v>0</v>
      </c>
      <c r="AM21" s="1158">
        <f t="shared" si="8"/>
        <v>0</v>
      </c>
      <c r="AN21" s="1158">
        <f t="shared" si="8"/>
        <v>0</v>
      </c>
      <c r="AO21" s="1158">
        <f t="shared" si="8"/>
        <v>0</v>
      </c>
      <c r="AP21" s="1158">
        <f t="shared" si="8"/>
        <v>0</v>
      </c>
      <c r="AQ21" s="1158">
        <f t="shared" si="8"/>
        <v>0</v>
      </c>
      <c r="AR21" s="1158">
        <f t="shared" si="8"/>
        <v>0</v>
      </c>
      <c r="AS21" s="1158">
        <f t="shared" si="8"/>
        <v>0</v>
      </c>
      <c r="AT21" s="1158">
        <f t="shared" si="8"/>
        <v>0</v>
      </c>
      <c r="AU21" s="1158">
        <f t="shared" si="8"/>
        <v>0</v>
      </c>
      <c r="AV21" s="1158">
        <f t="shared" si="8"/>
        <v>0</v>
      </c>
      <c r="AW21" s="1158">
        <f t="shared" si="8"/>
        <v>0</v>
      </c>
      <c r="AX21" s="1158">
        <f t="shared" si="8"/>
        <v>0</v>
      </c>
      <c r="AY21" s="1158"/>
      <c r="AZ21" s="1157">
        <f>ROUND(SUM(F21:AY21),2)</f>
        <v>0</v>
      </c>
      <c r="BA21" s="579">
        <f t="shared" si="0"/>
        <v>0</v>
      </c>
    </row>
    <row r="22" spans="1:53" ht="21.95" customHeight="1" x14ac:dyDescent="0.15">
      <c r="A22" s="2596"/>
      <c r="B22" s="2622"/>
      <c r="C22" s="559" t="s">
        <v>328</v>
      </c>
      <c r="D22" s="1532"/>
      <c r="E22" s="1533"/>
      <c r="F22" s="1569"/>
      <c r="G22" s="157">
        <f>Dren_Quantificacao!D32</f>
        <v>0</v>
      </c>
      <c r="H22" s="157">
        <f>Dren_Quantificacao!E32</f>
        <v>0</v>
      </c>
      <c r="I22" s="157">
        <f>Dren_Quantificacao!F32</f>
        <v>0</v>
      </c>
      <c r="J22" s="157">
        <f>Dren_Quantificacao!G32</f>
        <v>0</v>
      </c>
      <c r="K22" s="157">
        <f>Dren_Quantificacao!H32</f>
        <v>0</v>
      </c>
      <c r="L22" s="157">
        <f>Dren_Quantificacao!I32</f>
        <v>0</v>
      </c>
      <c r="M22" s="157">
        <f>Dren_Quantificacao!J32</f>
        <v>0</v>
      </c>
      <c r="N22" s="157">
        <f>Dren_Quantificacao!K32</f>
        <v>0</v>
      </c>
      <c r="O22" s="157">
        <f>Dren_Quantificacao!L32</f>
        <v>0</v>
      </c>
      <c r="P22" s="157">
        <f>Dren_Quantificacao!M32</f>
        <v>0</v>
      </c>
      <c r="Q22" s="157">
        <f>Dren_Quantificacao!N32</f>
        <v>0</v>
      </c>
      <c r="R22" s="157">
        <f>Dren_Quantificacao!O32</f>
        <v>0</v>
      </c>
      <c r="S22" s="157">
        <f>Dren_Quantificacao!P32</f>
        <v>0</v>
      </c>
      <c r="T22" s="157">
        <f>Dren_Quantificacao!Q32</f>
        <v>0</v>
      </c>
      <c r="U22" s="157">
        <f>Dren_Quantificacao!R32</f>
        <v>0.4</v>
      </c>
      <c r="V22" s="157">
        <f>Dren_Quantificacao!S32</f>
        <v>0</v>
      </c>
      <c r="W22" s="157">
        <f>Dren_Quantificacao!T32</f>
        <v>0</v>
      </c>
      <c r="X22" s="157">
        <f>Dren_Quantificacao!U32</f>
        <v>0</v>
      </c>
      <c r="Y22" s="157">
        <f>Dren_Quantificacao!V32</f>
        <v>0</v>
      </c>
      <c r="Z22" s="157">
        <f>Dren_Quantificacao!W32</f>
        <v>0</v>
      </c>
      <c r="AA22" s="157">
        <f>Dren_Quantificacao!X32</f>
        <v>0</v>
      </c>
      <c r="AB22" s="157">
        <f>Dren_Quantificacao!Y32</f>
        <v>0</v>
      </c>
      <c r="AC22" s="157">
        <f>Dren_Quantificacao!Z32</f>
        <v>0</v>
      </c>
      <c r="AD22" s="157">
        <f>Dren_Quantificacao!AA32</f>
        <v>0</v>
      </c>
      <c r="AE22" s="157">
        <f>Dren_Quantificacao!AB32</f>
        <v>0</v>
      </c>
      <c r="AF22" s="157">
        <f>Dren_Quantificacao!AC32</f>
        <v>0.4</v>
      </c>
      <c r="AG22" s="157">
        <f>Dren_Quantificacao!AD32</f>
        <v>0.4</v>
      </c>
      <c r="AH22" s="157">
        <f>Dren_Quantificacao!AE32</f>
        <v>0</v>
      </c>
      <c r="AI22" s="157">
        <f>Dren_Quantificacao!AF32</f>
        <v>0</v>
      </c>
      <c r="AJ22" s="157">
        <f>Dren_Quantificacao!AG32</f>
        <v>0</v>
      </c>
      <c r="AK22" s="157">
        <f>Dren_Quantificacao!AH32</f>
        <v>0</v>
      </c>
      <c r="AL22" s="157">
        <f>Dren_Quantificacao!AI32</f>
        <v>0</v>
      </c>
      <c r="AM22" s="157">
        <f>Dren_Quantificacao!AJ32</f>
        <v>0</v>
      </c>
      <c r="AN22" s="157">
        <f>Dren_Quantificacao!AK32</f>
        <v>0</v>
      </c>
      <c r="AO22" s="157">
        <f>Dren_Quantificacao!AL32</f>
        <v>0</v>
      </c>
      <c r="AP22" s="157">
        <f>Dren_Quantificacao!AM32</f>
        <v>0</v>
      </c>
      <c r="AQ22" s="157">
        <f>Dren_Quantificacao!AN32</f>
        <v>0</v>
      </c>
      <c r="AR22" s="157">
        <f>Dren_Quantificacao!AO32</f>
        <v>0</v>
      </c>
      <c r="AS22" s="157">
        <f>Dren_Quantificacao!AP32</f>
        <v>0</v>
      </c>
      <c r="AT22" s="157">
        <f>Dren_Quantificacao!AQ32</f>
        <v>0</v>
      </c>
      <c r="AU22" s="157">
        <f>Dren_Quantificacao!AR32</f>
        <v>0</v>
      </c>
      <c r="AV22" s="157">
        <f>Dren_Quantificacao!AS32</f>
        <v>0</v>
      </c>
      <c r="AW22" s="157">
        <f>Dren_Quantificacao!AT32</f>
        <v>0</v>
      </c>
      <c r="AX22" s="157">
        <f>Dren_Quantificacao!AU32</f>
        <v>0</v>
      </c>
      <c r="AY22" s="157"/>
      <c r="AZ22" s="491"/>
      <c r="BA22" s="579">
        <f t="shared" si="0"/>
        <v>1.2000000000000002</v>
      </c>
    </row>
    <row r="23" spans="1:53" ht="21.95" customHeight="1" x14ac:dyDescent="0.15">
      <c r="A23" s="2596"/>
      <c r="B23" s="2622"/>
      <c r="C23" s="567" t="s">
        <v>1303</v>
      </c>
      <c r="E23" s="1358"/>
      <c r="F23" s="1569"/>
      <c r="G23" s="157">
        <f>Dren_Quantificacao!D33</f>
        <v>0</v>
      </c>
      <c r="H23" s="157">
        <f>Dren_Quantificacao!E33</f>
        <v>0</v>
      </c>
      <c r="I23" s="157">
        <f>Dren_Quantificacao!F33</f>
        <v>0</v>
      </c>
      <c r="J23" s="157">
        <f>Dren_Quantificacao!G33</f>
        <v>0</v>
      </c>
      <c r="K23" s="157">
        <f>Dren_Quantificacao!H33</f>
        <v>0</v>
      </c>
      <c r="L23" s="157">
        <f>Dren_Quantificacao!I33</f>
        <v>0</v>
      </c>
      <c r="M23" s="157">
        <f>Dren_Quantificacao!J33</f>
        <v>0</v>
      </c>
      <c r="N23" s="157">
        <f>Dren_Quantificacao!K33</f>
        <v>0</v>
      </c>
      <c r="O23" s="157">
        <f>Dren_Quantificacao!L33</f>
        <v>0</v>
      </c>
      <c r="P23" s="157">
        <f>Dren_Quantificacao!M33</f>
        <v>0</v>
      </c>
      <c r="Q23" s="157">
        <f>Dren_Quantificacao!N33</f>
        <v>0</v>
      </c>
      <c r="R23" s="157">
        <f>Dren_Quantificacao!O33</f>
        <v>0</v>
      </c>
      <c r="S23" s="157">
        <f>Dren_Quantificacao!P33</f>
        <v>0</v>
      </c>
      <c r="T23" s="157">
        <f>Dren_Quantificacao!Q33</f>
        <v>0</v>
      </c>
      <c r="U23" s="157">
        <f>Dren_Quantificacao!R33</f>
        <v>0.6</v>
      </c>
      <c r="V23" s="157">
        <f>Dren_Quantificacao!S33</f>
        <v>0</v>
      </c>
      <c r="W23" s="157">
        <f>Dren_Quantificacao!T33</f>
        <v>0</v>
      </c>
      <c r="X23" s="157">
        <f>Dren_Quantificacao!U33</f>
        <v>0</v>
      </c>
      <c r="Y23" s="157">
        <f>Dren_Quantificacao!V33</f>
        <v>0</v>
      </c>
      <c r="Z23" s="157">
        <f>Dren_Quantificacao!W33</f>
        <v>0</v>
      </c>
      <c r="AA23" s="157">
        <f>Dren_Quantificacao!X33</f>
        <v>0</v>
      </c>
      <c r="AB23" s="157">
        <f>Dren_Quantificacao!Y33</f>
        <v>0</v>
      </c>
      <c r="AC23" s="157">
        <f>Dren_Quantificacao!Z33</f>
        <v>0</v>
      </c>
      <c r="AD23" s="157">
        <f>Dren_Quantificacao!AA33</f>
        <v>0</v>
      </c>
      <c r="AE23" s="157">
        <f>Dren_Quantificacao!AB33</f>
        <v>0</v>
      </c>
      <c r="AF23" s="157">
        <f>Dren_Quantificacao!AC33</f>
        <v>0.6</v>
      </c>
      <c r="AG23" s="157">
        <f>Dren_Quantificacao!AD33</f>
        <v>0.6</v>
      </c>
      <c r="AH23" s="157">
        <f>Dren_Quantificacao!AE33</f>
        <v>0</v>
      </c>
      <c r="AI23" s="157">
        <f>Dren_Quantificacao!AF33</f>
        <v>0</v>
      </c>
      <c r="AJ23" s="157">
        <f>Dren_Quantificacao!AG33</f>
        <v>0</v>
      </c>
      <c r="AK23" s="157">
        <f>Dren_Quantificacao!AH33</f>
        <v>0</v>
      </c>
      <c r="AL23" s="157">
        <f>Dren_Quantificacao!AI33</f>
        <v>0</v>
      </c>
      <c r="AM23" s="157">
        <f>Dren_Quantificacao!AJ33</f>
        <v>0</v>
      </c>
      <c r="AN23" s="157">
        <f>Dren_Quantificacao!AK33</f>
        <v>0</v>
      </c>
      <c r="AO23" s="157">
        <f>Dren_Quantificacao!AL33</f>
        <v>0</v>
      </c>
      <c r="AP23" s="157">
        <f>Dren_Quantificacao!AM33</f>
        <v>0</v>
      </c>
      <c r="AQ23" s="157">
        <f>Dren_Quantificacao!AN33</f>
        <v>0</v>
      </c>
      <c r="AR23" s="157">
        <f>Dren_Quantificacao!AO33</f>
        <v>0</v>
      </c>
      <c r="AS23" s="157">
        <f>Dren_Quantificacao!AP33</f>
        <v>0</v>
      </c>
      <c r="AT23" s="157">
        <f>Dren_Quantificacao!AQ33</f>
        <v>0</v>
      </c>
      <c r="AU23" s="157">
        <f>Dren_Quantificacao!AR33</f>
        <v>0</v>
      </c>
      <c r="AV23" s="157">
        <f>Dren_Quantificacao!AS33</f>
        <v>0</v>
      </c>
      <c r="AW23" s="157">
        <f>Dren_Quantificacao!AT33</f>
        <v>0</v>
      </c>
      <c r="AX23" s="157">
        <f>Dren_Quantificacao!AU33</f>
        <v>0</v>
      </c>
      <c r="AY23" s="157"/>
      <c r="AZ23" s="491"/>
      <c r="BA23" s="579">
        <f t="shared" si="0"/>
        <v>1.7999999999999998</v>
      </c>
    </row>
    <row r="24" spans="1:53" ht="21.95" hidden="1" customHeight="1" x14ac:dyDescent="0.15">
      <c r="A24" s="2596"/>
      <c r="B24" s="2622"/>
      <c r="C24" s="567" t="s">
        <v>329</v>
      </c>
      <c r="D24" s="1532"/>
      <c r="E24" s="1533"/>
      <c r="F24" s="1569"/>
      <c r="G24" s="157">
        <f>Dren_Quantificacao!D34</f>
        <v>0</v>
      </c>
      <c r="H24" s="157">
        <f>Dren_Quantificacao!E34</f>
        <v>0</v>
      </c>
      <c r="I24" s="157">
        <f>Dren_Quantificacao!F34</f>
        <v>0</v>
      </c>
      <c r="J24" s="157">
        <f>Dren_Quantificacao!G34</f>
        <v>0</v>
      </c>
      <c r="K24" s="157">
        <f>Dren_Quantificacao!H34</f>
        <v>0</v>
      </c>
      <c r="L24" s="157">
        <f>Dren_Quantificacao!I34</f>
        <v>0</v>
      </c>
      <c r="M24" s="157">
        <f>Dren_Quantificacao!J34</f>
        <v>0</v>
      </c>
      <c r="N24" s="157">
        <f>Dren_Quantificacao!K34</f>
        <v>0</v>
      </c>
      <c r="O24" s="157">
        <f>Dren_Quantificacao!L34</f>
        <v>0</v>
      </c>
      <c r="P24" s="157">
        <f>Dren_Quantificacao!M34</f>
        <v>0</v>
      </c>
      <c r="Q24" s="157">
        <f>Dren_Quantificacao!N34</f>
        <v>0</v>
      </c>
      <c r="R24" s="157">
        <f>Dren_Quantificacao!O34</f>
        <v>0</v>
      </c>
      <c r="S24" s="157">
        <f>Dren_Quantificacao!P34</f>
        <v>0</v>
      </c>
      <c r="T24" s="157">
        <f>Dren_Quantificacao!Q34</f>
        <v>0</v>
      </c>
      <c r="U24" s="157">
        <f>Dren_Quantificacao!R34</f>
        <v>0</v>
      </c>
      <c r="V24" s="157">
        <f>Dren_Quantificacao!S34</f>
        <v>0</v>
      </c>
      <c r="W24" s="157">
        <f>Dren_Quantificacao!T34</f>
        <v>0</v>
      </c>
      <c r="X24" s="157">
        <f>Dren_Quantificacao!U34</f>
        <v>0</v>
      </c>
      <c r="Y24" s="157">
        <f>Dren_Quantificacao!V34</f>
        <v>0</v>
      </c>
      <c r="Z24" s="157">
        <f>Dren_Quantificacao!W34</f>
        <v>0</v>
      </c>
      <c r="AA24" s="157">
        <f>Dren_Quantificacao!X34</f>
        <v>0</v>
      </c>
      <c r="AB24" s="157">
        <f>Dren_Quantificacao!Y34</f>
        <v>0</v>
      </c>
      <c r="AC24" s="157">
        <f>Dren_Quantificacao!Z34</f>
        <v>0</v>
      </c>
      <c r="AD24" s="157">
        <f>Dren_Quantificacao!AA34</f>
        <v>0</v>
      </c>
      <c r="AE24" s="157">
        <f>Dren_Quantificacao!AB34</f>
        <v>0</v>
      </c>
      <c r="AF24" s="157">
        <f>Dren_Quantificacao!AC34</f>
        <v>0</v>
      </c>
      <c r="AG24" s="157">
        <f>Dren_Quantificacao!AD34</f>
        <v>0</v>
      </c>
      <c r="AH24" s="157">
        <f>Dren_Quantificacao!AE34</f>
        <v>0</v>
      </c>
      <c r="AI24" s="157">
        <f>Dren_Quantificacao!AF34</f>
        <v>0</v>
      </c>
      <c r="AJ24" s="157">
        <f>Dren_Quantificacao!AG34</f>
        <v>0</v>
      </c>
      <c r="AK24" s="157">
        <f>Dren_Quantificacao!AH34</f>
        <v>0</v>
      </c>
      <c r="AL24" s="157">
        <f>Dren_Quantificacao!AI34</f>
        <v>0</v>
      </c>
      <c r="AM24" s="157">
        <f>Dren_Quantificacao!AJ34</f>
        <v>0</v>
      </c>
      <c r="AN24" s="157">
        <f>Dren_Quantificacao!AK34</f>
        <v>0</v>
      </c>
      <c r="AO24" s="157">
        <f>Dren_Quantificacao!AL34</f>
        <v>0</v>
      </c>
      <c r="AP24" s="157">
        <f>Dren_Quantificacao!AM34</f>
        <v>0</v>
      </c>
      <c r="AQ24" s="157">
        <f>Dren_Quantificacao!AN34</f>
        <v>0</v>
      </c>
      <c r="AR24" s="157">
        <f>Dren_Quantificacao!AO34</f>
        <v>0</v>
      </c>
      <c r="AS24" s="157">
        <f>Dren_Quantificacao!AP34</f>
        <v>0</v>
      </c>
      <c r="AT24" s="157">
        <f>Dren_Quantificacao!AQ34</f>
        <v>0</v>
      </c>
      <c r="AU24" s="157">
        <f>Dren_Quantificacao!AR34</f>
        <v>0</v>
      </c>
      <c r="AV24" s="157">
        <f>Dren_Quantificacao!AS34</f>
        <v>0</v>
      </c>
      <c r="AW24" s="157">
        <f>Dren_Quantificacao!AT34</f>
        <v>0</v>
      </c>
      <c r="AX24" s="157">
        <f>Dren_Quantificacao!AU34</f>
        <v>0</v>
      </c>
      <c r="AY24" s="157"/>
      <c r="AZ24" s="491"/>
      <c r="BA24" s="579">
        <f t="shared" si="0"/>
        <v>0</v>
      </c>
    </row>
    <row r="25" spans="1:53" ht="21.95" hidden="1" customHeight="1" x14ac:dyDescent="0.15">
      <c r="A25" s="2596"/>
      <c r="B25" s="2622"/>
      <c r="C25" s="568" t="s">
        <v>1302</v>
      </c>
      <c r="E25" s="1533"/>
      <c r="F25" s="1569"/>
      <c r="G25" s="157">
        <f>Dren_Quantificacao!D35</f>
        <v>0</v>
      </c>
      <c r="H25" s="157">
        <f>Dren_Quantificacao!E35</f>
        <v>0</v>
      </c>
      <c r="I25" s="157">
        <f>Dren_Quantificacao!F35</f>
        <v>0</v>
      </c>
      <c r="J25" s="157">
        <f>Dren_Quantificacao!G35</f>
        <v>0</v>
      </c>
      <c r="K25" s="157">
        <f>Dren_Quantificacao!H35</f>
        <v>0</v>
      </c>
      <c r="L25" s="157">
        <f>Dren_Quantificacao!I35</f>
        <v>0</v>
      </c>
      <c r="M25" s="157">
        <f>Dren_Quantificacao!J35</f>
        <v>0</v>
      </c>
      <c r="N25" s="157">
        <f>Dren_Quantificacao!K35</f>
        <v>0</v>
      </c>
      <c r="O25" s="157">
        <f>Dren_Quantificacao!L35</f>
        <v>0</v>
      </c>
      <c r="P25" s="157">
        <f>Dren_Quantificacao!M35</f>
        <v>0</v>
      </c>
      <c r="Q25" s="157">
        <f>Dren_Quantificacao!N35</f>
        <v>0</v>
      </c>
      <c r="R25" s="157">
        <f>Dren_Quantificacao!O35</f>
        <v>0</v>
      </c>
      <c r="S25" s="157">
        <f>Dren_Quantificacao!P35</f>
        <v>0</v>
      </c>
      <c r="T25" s="157">
        <f>Dren_Quantificacao!Q35</f>
        <v>0</v>
      </c>
      <c r="U25" s="157">
        <f>Dren_Quantificacao!R35</f>
        <v>0</v>
      </c>
      <c r="V25" s="157">
        <f>Dren_Quantificacao!S35</f>
        <v>0</v>
      </c>
      <c r="W25" s="157">
        <f>Dren_Quantificacao!T35</f>
        <v>0</v>
      </c>
      <c r="X25" s="157">
        <f>Dren_Quantificacao!U35</f>
        <v>0</v>
      </c>
      <c r="Y25" s="157">
        <f>Dren_Quantificacao!V35</f>
        <v>0</v>
      </c>
      <c r="Z25" s="157">
        <f>Dren_Quantificacao!W35</f>
        <v>0</v>
      </c>
      <c r="AA25" s="157">
        <f>Dren_Quantificacao!X35</f>
        <v>0</v>
      </c>
      <c r="AB25" s="157">
        <f>Dren_Quantificacao!Y35</f>
        <v>0</v>
      </c>
      <c r="AC25" s="157">
        <f>Dren_Quantificacao!Z35</f>
        <v>0</v>
      </c>
      <c r="AD25" s="157">
        <f>Dren_Quantificacao!AA35</f>
        <v>0</v>
      </c>
      <c r="AE25" s="157">
        <f>Dren_Quantificacao!AB35</f>
        <v>0</v>
      </c>
      <c r="AF25" s="157">
        <f>Dren_Quantificacao!AC35</f>
        <v>0</v>
      </c>
      <c r="AG25" s="157">
        <f>Dren_Quantificacao!AD35</f>
        <v>0</v>
      </c>
      <c r="AH25" s="157">
        <f>Dren_Quantificacao!AE35</f>
        <v>0</v>
      </c>
      <c r="AI25" s="157">
        <f>Dren_Quantificacao!AF35</f>
        <v>0</v>
      </c>
      <c r="AJ25" s="157">
        <f>Dren_Quantificacao!AG35</f>
        <v>0</v>
      </c>
      <c r="AK25" s="157">
        <f>Dren_Quantificacao!AH35</f>
        <v>0</v>
      </c>
      <c r="AL25" s="157">
        <f>Dren_Quantificacao!AI35</f>
        <v>0</v>
      </c>
      <c r="AM25" s="157">
        <f>Dren_Quantificacao!AJ35</f>
        <v>0</v>
      </c>
      <c r="AN25" s="157">
        <f>Dren_Quantificacao!AK35</f>
        <v>0</v>
      </c>
      <c r="AO25" s="157">
        <f>Dren_Quantificacao!AL35</f>
        <v>0</v>
      </c>
      <c r="AP25" s="157">
        <f>Dren_Quantificacao!AM35</f>
        <v>0</v>
      </c>
      <c r="AQ25" s="157">
        <f>Dren_Quantificacao!AN35</f>
        <v>0</v>
      </c>
      <c r="AR25" s="157">
        <f>Dren_Quantificacao!AO35</f>
        <v>0</v>
      </c>
      <c r="AS25" s="157">
        <f>Dren_Quantificacao!AP35</f>
        <v>0</v>
      </c>
      <c r="AT25" s="157">
        <f>Dren_Quantificacao!AQ35</f>
        <v>0</v>
      </c>
      <c r="AU25" s="157">
        <f>Dren_Quantificacao!AR35</f>
        <v>0</v>
      </c>
      <c r="AV25" s="157">
        <f>Dren_Quantificacao!AS35</f>
        <v>0</v>
      </c>
      <c r="AW25" s="157">
        <f>Dren_Quantificacao!AT35</f>
        <v>0</v>
      </c>
      <c r="AX25" s="157">
        <f>Dren_Quantificacao!AU35</f>
        <v>0</v>
      </c>
      <c r="AY25" s="157"/>
      <c r="AZ25" s="491"/>
      <c r="BA25" s="579">
        <f t="shared" si="0"/>
        <v>0</v>
      </c>
    </row>
    <row r="26" spans="1:53" ht="21.95" hidden="1" customHeight="1" x14ac:dyDescent="0.15">
      <c r="A26" s="2596"/>
      <c r="B26" s="2622"/>
      <c r="C26" s="567" t="s">
        <v>1058</v>
      </c>
      <c r="D26" s="1578"/>
      <c r="E26" s="1579"/>
      <c r="F26" s="1580"/>
      <c r="G26" s="337">
        <f>Dren_Quantificacao!D36</f>
        <v>0</v>
      </c>
      <c r="H26" s="337">
        <f>Dren_Quantificacao!E36</f>
        <v>0</v>
      </c>
      <c r="I26" s="337">
        <f>Dren_Quantificacao!F36</f>
        <v>0</v>
      </c>
      <c r="J26" s="337">
        <f>Dren_Quantificacao!G36</f>
        <v>0</v>
      </c>
      <c r="K26" s="337">
        <f>Dren_Quantificacao!H36</f>
        <v>0</v>
      </c>
      <c r="L26" s="337">
        <f>Dren_Quantificacao!I36</f>
        <v>0</v>
      </c>
      <c r="M26" s="337">
        <f>Dren_Quantificacao!J36</f>
        <v>0</v>
      </c>
      <c r="N26" s="337">
        <f>Dren_Quantificacao!K36</f>
        <v>0</v>
      </c>
      <c r="O26" s="337">
        <f>Dren_Quantificacao!L36</f>
        <v>0</v>
      </c>
      <c r="P26" s="337">
        <f>Dren_Quantificacao!M36</f>
        <v>0</v>
      </c>
      <c r="Q26" s="337">
        <f>Dren_Quantificacao!N36</f>
        <v>0</v>
      </c>
      <c r="R26" s="337">
        <f>Dren_Quantificacao!O36</f>
        <v>0</v>
      </c>
      <c r="S26" s="337">
        <f>Dren_Quantificacao!P36</f>
        <v>0</v>
      </c>
      <c r="T26" s="337">
        <f>Dren_Quantificacao!Q36</f>
        <v>0</v>
      </c>
      <c r="U26" s="337">
        <f>Dren_Quantificacao!R36</f>
        <v>0</v>
      </c>
      <c r="V26" s="337">
        <f>Dren_Quantificacao!S36</f>
        <v>0</v>
      </c>
      <c r="W26" s="337">
        <f>Dren_Quantificacao!T36</f>
        <v>0</v>
      </c>
      <c r="X26" s="337">
        <f>Dren_Quantificacao!U36</f>
        <v>0</v>
      </c>
      <c r="Y26" s="337">
        <f>Dren_Quantificacao!V36</f>
        <v>0</v>
      </c>
      <c r="Z26" s="337">
        <f>Dren_Quantificacao!W36</f>
        <v>0</v>
      </c>
      <c r="AA26" s="337">
        <f>Dren_Quantificacao!X36</f>
        <v>0</v>
      </c>
      <c r="AB26" s="337">
        <f>Dren_Quantificacao!Y36</f>
        <v>0</v>
      </c>
      <c r="AC26" s="337">
        <f>Dren_Quantificacao!Z36</f>
        <v>0</v>
      </c>
      <c r="AD26" s="337">
        <f>Dren_Quantificacao!AA36</f>
        <v>0</v>
      </c>
      <c r="AE26" s="337">
        <f>Dren_Quantificacao!AB36</f>
        <v>0</v>
      </c>
      <c r="AF26" s="337">
        <f>Dren_Quantificacao!AC36</f>
        <v>0</v>
      </c>
      <c r="AG26" s="337">
        <f>Dren_Quantificacao!AD36</f>
        <v>0</v>
      </c>
      <c r="AH26" s="337">
        <f>Dren_Quantificacao!AE36</f>
        <v>0</v>
      </c>
      <c r="AI26" s="337">
        <f>Dren_Quantificacao!AF36</f>
        <v>0</v>
      </c>
      <c r="AJ26" s="337">
        <f>Dren_Quantificacao!AG36</f>
        <v>0</v>
      </c>
      <c r="AK26" s="337">
        <f>Dren_Quantificacao!AH36</f>
        <v>0</v>
      </c>
      <c r="AL26" s="337">
        <f>Dren_Quantificacao!AI36</f>
        <v>0</v>
      </c>
      <c r="AM26" s="337">
        <f>Dren_Quantificacao!AJ36</f>
        <v>0</v>
      </c>
      <c r="AN26" s="337">
        <f>Dren_Quantificacao!AK36</f>
        <v>0</v>
      </c>
      <c r="AO26" s="337">
        <f>Dren_Quantificacao!AL36</f>
        <v>0</v>
      </c>
      <c r="AP26" s="337">
        <f>Dren_Quantificacao!AM36</f>
        <v>0</v>
      </c>
      <c r="AQ26" s="337">
        <f>Dren_Quantificacao!AN36</f>
        <v>0</v>
      </c>
      <c r="AR26" s="337">
        <f>Dren_Quantificacao!AO36</f>
        <v>0</v>
      </c>
      <c r="AS26" s="337">
        <f>Dren_Quantificacao!AP36</f>
        <v>0</v>
      </c>
      <c r="AT26" s="337">
        <f>Dren_Quantificacao!AQ36</f>
        <v>0</v>
      </c>
      <c r="AU26" s="337">
        <f>Dren_Quantificacao!AR36</f>
        <v>0</v>
      </c>
      <c r="AV26" s="337">
        <f>Dren_Quantificacao!AS36</f>
        <v>0</v>
      </c>
      <c r="AW26" s="337">
        <f>Dren_Quantificacao!AT36</f>
        <v>0</v>
      </c>
      <c r="AX26" s="337">
        <f>Dren_Quantificacao!AU36</f>
        <v>0</v>
      </c>
      <c r="AY26" s="337"/>
      <c r="AZ26" s="1581"/>
      <c r="BA26" s="579">
        <f t="shared" si="0"/>
        <v>0</v>
      </c>
    </row>
    <row r="27" spans="1:53" ht="21.95" customHeight="1" x14ac:dyDescent="0.15">
      <c r="A27" s="2596"/>
      <c r="B27" s="2622"/>
      <c r="C27" s="559" t="s">
        <v>725</v>
      </c>
      <c r="E27" s="1358"/>
      <c r="F27" s="1570"/>
      <c r="G27" s="1154">
        <f t="shared" ref="G27:AX27" si="9">G$18*G22*1.25</f>
        <v>0</v>
      </c>
      <c r="H27" s="1154">
        <f t="shared" si="9"/>
        <v>0</v>
      </c>
      <c r="I27" s="1154">
        <f t="shared" si="9"/>
        <v>0</v>
      </c>
      <c r="J27" s="1154">
        <f t="shared" si="9"/>
        <v>0</v>
      </c>
      <c r="K27" s="1154">
        <f t="shared" si="9"/>
        <v>0</v>
      </c>
      <c r="L27" s="1154">
        <f t="shared" si="9"/>
        <v>0</v>
      </c>
      <c r="M27" s="1154">
        <f t="shared" si="9"/>
        <v>0</v>
      </c>
      <c r="N27" s="1154">
        <f t="shared" si="9"/>
        <v>0</v>
      </c>
      <c r="O27" s="1154">
        <f t="shared" si="9"/>
        <v>0</v>
      </c>
      <c r="P27" s="1154">
        <f t="shared" si="9"/>
        <v>0</v>
      </c>
      <c r="Q27" s="1154">
        <f t="shared" si="9"/>
        <v>0</v>
      </c>
      <c r="R27" s="1154">
        <f t="shared" si="9"/>
        <v>0</v>
      </c>
      <c r="S27" s="1154">
        <f t="shared" si="9"/>
        <v>0</v>
      </c>
      <c r="T27" s="1154">
        <f t="shared" si="9"/>
        <v>0</v>
      </c>
      <c r="U27" s="1154">
        <f t="shared" si="9"/>
        <v>0.84000000000000008</v>
      </c>
      <c r="V27" s="1154">
        <f t="shared" si="9"/>
        <v>0</v>
      </c>
      <c r="W27" s="1154">
        <f t="shared" si="9"/>
        <v>0</v>
      </c>
      <c r="X27" s="1154">
        <f t="shared" si="9"/>
        <v>0</v>
      </c>
      <c r="Y27" s="1154">
        <f t="shared" si="9"/>
        <v>0</v>
      </c>
      <c r="Z27" s="1154">
        <f t="shared" si="9"/>
        <v>0</v>
      </c>
      <c r="AA27" s="1154">
        <f t="shared" si="9"/>
        <v>0</v>
      </c>
      <c r="AB27" s="1154">
        <f t="shared" si="9"/>
        <v>0</v>
      </c>
      <c r="AC27" s="1154">
        <f t="shared" si="9"/>
        <v>0</v>
      </c>
      <c r="AD27" s="1154">
        <f t="shared" si="9"/>
        <v>0</v>
      </c>
      <c r="AE27" s="1154">
        <f t="shared" si="9"/>
        <v>0</v>
      </c>
      <c r="AF27" s="1154">
        <f t="shared" ca="1" si="9"/>
        <v>4.455000000000001</v>
      </c>
      <c r="AG27" s="1154">
        <f t="shared" ca="1" si="9"/>
        <v>8.3612600000000299</v>
      </c>
      <c r="AH27" s="1154">
        <f t="shared" si="9"/>
        <v>0</v>
      </c>
      <c r="AI27" s="1154">
        <f t="shared" si="9"/>
        <v>0</v>
      </c>
      <c r="AJ27" s="1154">
        <f t="shared" si="9"/>
        <v>0</v>
      </c>
      <c r="AK27" s="1154">
        <f t="shared" si="9"/>
        <v>0</v>
      </c>
      <c r="AL27" s="1154">
        <f t="shared" si="9"/>
        <v>0</v>
      </c>
      <c r="AM27" s="1154">
        <f t="shared" si="9"/>
        <v>0</v>
      </c>
      <c r="AN27" s="1154">
        <f t="shared" si="9"/>
        <v>0</v>
      </c>
      <c r="AO27" s="1154">
        <f t="shared" si="9"/>
        <v>0</v>
      </c>
      <c r="AP27" s="1154">
        <f t="shared" si="9"/>
        <v>0</v>
      </c>
      <c r="AQ27" s="1154">
        <f t="shared" si="9"/>
        <v>0</v>
      </c>
      <c r="AR27" s="1154">
        <f t="shared" si="9"/>
        <v>0</v>
      </c>
      <c r="AS27" s="1154">
        <f t="shared" si="9"/>
        <v>0</v>
      </c>
      <c r="AT27" s="1154">
        <f t="shared" si="9"/>
        <v>0</v>
      </c>
      <c r="AU27" s="1154">
        <f t="shared" si="9"/>
        <v>0</v>
      </c>
      <c r="AV27" s="1154">
        <f t="shared" si="9"/>
        <v>0</v>
      </c>
      <c r="AW27" s="1154">
        <f t="shared" si="9"/>
        <v>0</v>
      </c>
      <c r="AX27" s="1154">
        <f t="shared" si="9"/>
        <v>0</v>
      </c>
      <c r="AY27" s="1154"/>
      <c r="AZ27" s="1156">
        <f t="shared" ref="AZ27:AZ37" ca="1" si="10">ROUND(SUM(F27:AY27),2)</f>
        <v>13.66</v>
      </c>
      <c r="BA27" s="579">
        <f t="shared" ca="1" si="0"/>
        <v>27.316260000000032</v>
      </c>
    </row>
    <row r="28" spans="1:53" ht="32.1" customHeight="1" thickBot="1" x14ac:dyDescent="0.2">
      <c r="A28" s="2596"/>
      <c r="B28" s="2622"/>
      <c r="C28" s="567" t="s">
        <v>2743</v>
      </c>
      <c r="E28" s="1358"/>
      <c r="F28" s="1570"/>
      <c r="G28" s="1154">
        <f t="shared" ref="G28:AX28" si="11">G$18*G23*1.375</f>
        <v>0</v>
      </c>
      <c r="H28" s="1154">
        <f t="shared" si="11"/>
        <v>0</v>
      </c>
      <c r="I28" s="1154">
        <f t="shared" si="11"/>
        <v>0</v>
      </c>
      <c r="J28" s="1154">
        <f t="shared" si="11"/>
        <v>0</v>
      </c>
      <c r="K28" s="1154">
        <f t="shared" si="11"/>
        <v>0</v>
      </c>
      <c r="L28" s="1154">
        <f t="shared" si="11"/>
        <v>0</v>
      </c>
      <c r="M28" s="1154">
        <f t="shared" si="11"/>
        <v>0</v>
      </c>
      <c r="N28" s="1154">
        <f t="shared" si="11"/>
        <v>0</v>
      </c>
      <c r="O28" s="1154">
        <f t="shared" si="11"/>
        <v>0</v>
      </c>
      <c r="P28" s="1154">
        <f t="shared" si="11"/>
        <v>0</v>
      </c>
      <c r="Q28" s="1154">
        <f t="shared" si="11"/>
        <v>0</v>
      </c>
      <c r="R28" s="1154">
        <f t="shared" si="11"/>
        <v>0</v>
      </c>
      <c r="S28" s="1154">
        <f t="shared" si="11"/>
        <v>0</v>
      </c>
      <c r="T28" s="1154">
        <f t="shared" si="11"/>
        <v>0</v>
      </c>
      <c r="U28" s="1154">
        <f t="shared" si="11"/>
        <v>1.3860000000000001</v>
      </c>
      <c r="V28" s="1154">
        <f t="shared" si="11"/>
        <v>0</v>
      </c>
      <c r="W28" s="1154">
        <f t="shared" si="11"/>
        <v>0</v>
      </c>
      <c r="X28" s="1154">
        <f t="shared" si="11"/>
        <v>0</v>
      </c>
      <c r="Y28" s="1154">
        <f t="shared" si="11"/>
        <v>0</v>
      </c>
      <c r="Z28" s="1154">
        <f t="shared" si="11"/>
        <v>0</v>
      </c>
      <c r="AA28" s="1154">
        <f t="shared" si="11"/>
        <v>0</v>
      </c>
      <c r="AB28" s="1154">
        <f t="shared" si="11"/>
        <v>0</v>
      </c>
      <c r="AC28" s="1154">
        <f t="shared" si="11"/>
        <v>0</v>
      </c>
      <c r="AD28" s="1154">
        <f t="shared" si="11"/>
        <v>0</v>
      </c>
      <c r="AE28" s="1154">
        <f t="shared" si="11"/>
        <v>0</v>
      </c>
      <c r="AF28" s="1154">
        <f t="shared" ca="1" si="11"/>
        <v>7.3507500000000014</v>
      </c>
      <c r="AG28" s="1154">
        <f t="shared" ca="1" si="11"/>
        <v>13.796079000000049</v>
      </c>
      <c r="AH28" s="1154">
        <f t="shared" si="11"/>
        <v>0</v>
      </c>
      <c r="AI28" s="1154">
        <f t="shared" si="11"/>
        <v>0</v>
      </c>
      <c r="AJ28" s="1154">
        <f t="shared" si="11"/>
        <v>0</v>
      </c>
      <c r="AK28" s="1154">
        <f t="shared" si="11"/>
        <v>0</v>
      </c>
      <c r="AL28" s="1154">
        <f t="shared" si="11"/>
        <v>0</v>
      </c>
      <c r="AM28" s="1154">
        <f t="shared" si="11"/>
        <v>0</v>
      </c>
      <c r="AN28" s="1154">
        <f t="shared" si="11"/>
        <v>0</v>
      </c>
      <c r="AO28" s="1154">
        <f t="shared" si="11"/>
        <v>0</v>
      </c>
      <c r="AP28" s="1154">
        <f t="shared" si="11"/>
        <v>0</v>
      </c>
      <c r="AQ28" s="1154">
        <f t="shared" si="11"/>
        <v>0</v>
      </c>
      <c r="AR28" s="1154">
        <f t="shared" si="11"/>
        <v>0</v>
      </c>
      <c r="AS28" s="1154">
        <f t="shared" si="11"/>
        <v>0</v>
      </c>
      <c r="AT28" s="1154">
        <f t="shared" si="11"/>
        <v>0</v>
      </c>
      <c r="AU28" s="1154">
        <f t="shared" si="11"/>
        <v>0</v>
      </c>
      <c r="AV28" s="1154">
        <f t="shared" si="11"/>
        <v>0</v>
      </c>
      <c r="AW28" s="1154">
        <f t="shared" si="11"/>
        <v>0</v>
      </c>
      <c r="AX28" s="1154">
        <f t="shared" si="11"/>
        <v>0</v>
      </c>
      <c r="AY28" s="1154"/>
      <c r="AZ28" s="1156">
        <f t="shared" ca="1" si="10"/>
        <v>22.53</v>
      </c>
      <c r="BA28" s="579">
        <f t="shared" ca="1" si="0"/>
        <v>45.06282900000005</v>
      </c>
    </row>
    <row r="29" spans="1:53" ht="21.95" hidden="1" customHeight="1" x14ac:dyDescent="0.15">
      <c r="A29" s="2596"/>
      <c r="B29" s="2622"/>
      <c r="C29" s="567" t="s">
        <v>726</v>
      </c>
      <c r="E29" s="1358"/>
      <c r="F29" s="1154">
        <f>Dre_Profunda!I100</f>
        <v>0</v>
      </c>
      <c r="G29" s="1154">
        <f t="shared" ref="G29:AX29" si="12">G$18*G24*1.25</f>
        <v>0</v>
      </c>
      <c r="H29" s="1154">
        <f t="shared" si="12"/>
        <v>0</v>
      </c>
      <c r="I29" s="1154">
        <f t="shared" si="12"/>
        <v>0</v>
      </c>
      <c r="J29" s="1154">
        <f t="shared" si="12"/>
        <v>0</v>
      </c>
      <c r="K29" s="1154">
        <f t="shared" si="12"/>
        <v>0</v>
      </c>
      <c r="L29" s="1154">
        <f t="shared" si="12"/>
        <v>0</v>
      </c>
      <c r="M29" s="1154">
        <f t="shared" si="12"/>
        <v>0</v>
      </c>
      <c r="N29" s="1154">
        <f t="shared" si="12"/>
        <v>0</v>
      </c>
      <c r="O29" s="1154">
        <f t="shared" si="12"/>
        <v>0</v>
      </c>
      <c r="P29" s="1154">
        <f t="shared" si="12"/>
        <v>0</v>
      </c>
      <c r="Q29" s="1154">
        <f t="shared" si="12"/>
        <v>0</v>
      </c>
      <c r="R29" s="1154">
        <f t="shared" si="12"/>
        <v>0</v>
      </c>
      <c r="S29" s="1154">
        <f t="shared" si="12"/>
        <v>0</v>
      </c>
      <c r="T29" s="1154">
        <f t="shared" si="12"/>
        <v>0</v>
      </c>
      <c r="U29" s="1154">
        <f t="shared" si="12"/>
        <v>0</v>
      </c>
      <c r="V29" s="1154">
        <f t="shared" si="12"/>
        <v>0</v>
      </c>
      <c r="W29" s="1154">
        <f t="shared" si="12"/>
        <v>0</v>
      </c>
      <c r="X29" s="1154">
        <f t="shared" si="12"/>
        <v>0</v>
      </c>
      <c r="Y29" s="1154">
        <f t="shared" si="12"/>
        <v>0</v>
      </c>
      <c r="Z29" s="1154">
        <f t="shared" si="12"/>
        <v>0</v>
      </c>
      <c r="AA29" s="1154">
        <f t="shared" si="12"/>
        <v>0</v>
      </c>
      <c r="AB29" s="1154">
        <f t="shared" si="12"/>
        <v>0</v>
      </c>
      <c r="AC29" s="1154">
        <f t="shared" si="12"/>
        <v>0</v>
      </c>
      <c r="AD29" s="1154">
        <f t="shared" si="12"/>
        <v>0</v>
      </c>
      <c r="AE29" s="1154">
        <f t="shared" si="12"/>
        <v>0</v>
      </c>
      <c r="AF29" s="1154">
        <f t="shared" ca="1" si="12"/>
        <v>0</v>
      </c>
      <c r="AG29" s="1154">
        <f t="shared" ca="1" si="12"/>
        <v>0</v>
      </c>
      <c r="AH29" s="1154">
        <f t="shared" si="12"/>
        <v>0</v>
      </c>
      <c r="AI29" s="1154">
        <f t="shared" si="12"/>
        <v>0</v>
      </c>
      <c r="AJ29" s="1154">
        <f t="shared" si="12"/>
        <v>0</v>
      </c>
      <c r="AK29" s="1154">
        <f t="shared" si="12"/>
        <v>0</v>
      </c>
      <c r="AL29" s="1154">
        <f t="shared" si="12"/>
        <v>0</v>
      </c>
      <c r="AM29" s="1154">
        <f t="shared" si="12"/>
        <v>0</v>
      </c>
      <c r="AN29" s="1154">
        <f t="shared" si="12"/>
        <v>0</v>
      </c>
      <c r="AO29" s="1154">
        <f t="shared" si="12"/>
        <v>0</v>
      </c>
      <c r="AP29" s="1154">
        <f t="shared" si="12"/>
        <v>0</v>
      </c>
      <c r="AQ29" s="1154">
        <f t="shared" si="12"/>
        <v>0</v>
      </c>
      <c r="AR29" s="1154">
        <f t="shared" si="12"/>
        <v>0</v>
      </c>
      <c r="AS29" s="1154">
        <f t="shared" si="12"/>
        <v>0</v>
      </c>
      <c r="AT29" s="1154">
        <f t="shared" si="12"/>
        <v>0</v>
      </c>
      <c r="AU29" s="1154">
        <f t="shared" si="12"/>
        <v>0</v>
      </c>
      <c r="AV29" s="1154">
        <f t="shared" si="12"/>
        <v>0</v>
      </c>
      <c r="AW29" s="1154">
        <f t="shared" si="12"/>
        <v>0</v>
      </c>
      <c r="AX29" s="1154">
        <f t="shared" si="12"/>
        <v>0</v>
      </c>
      <c r="AY29" s="1154"/>
      <c r="AZ29" s="1156">
        <f t="shared" ca="1" si="10"/>
        <v>0</v>
      </c>
      <c r="BA29" s="579">
        <f t="shared" ca="1" si="0"/>
        <v>0</v>
      </c>
    </row>
    <row r="30" spans="1:53" ht="21.95" hidden="1" customHeight="1" x14ac:dyDescent="0.15">
      <c r="A30" s="2596"/>
      <c r="B30" s="2631"/>
      <c r="C30" s="568" t="s">
        <v>1305</v>
      </c>
      <c r="E30" s="1358"/>
      <c r="F30" s="1154">
        <f>Dre_Profunda!I102</f>
        <v>0</v>
      </c>
      <c r="G30" s="1154">
        <f t="shared" ref="G30:AX30" si="13">G$18*G25*1.375</f>
        <v>0</v>
      </c>
      <c r="H30" s="1154">
        <f t="shared" si="13"/>
        <v>0</v>
      </c>
      <c r="I30" s="1154">
        <f t="shared" si="13"/>
        <v>0</v>
      </c>
      <c r="J30" s="1154">
        <f t="shared" si="13"/>
        <v>0</v>
      </c>
      <c r="K30" s="1154">
        <f t="shared" si="13"/>
        <v>0</v>
      </c>
      <c r="L30" s="1154">
        <f t="shared" si="13"/>
        <v>0</v>
      </c>
      <c r="M30" s="1154">
        <f t="shared" si="13"/>
        <v>0</v>
      </c>
      <c r="N30" s="1154">
        <f t="shared" si="13"/>
        <v>0</v>
      </c>
      <c r="O30" s="1154">
        <f t="shared" si="13"/>
        <v>0</v>
      </c>
      <c r="P30" s="1154">
        <f t="shared" si="13"/>
        <v>0</v>
      </c>
      <c r="Q30" s="1154">
        <f t="shared" si="13"/>
        <v>0</v>
      </c>
      <c r="R30" s="1154">
        <f t="shared" si="13"/>
        <v>0</v>
      </c>
      <c r="S30" s="1154">
        <f t="shared" si="13"/>
        <v>0</v>
      </c>
      <c r="T30" s="1154">
        <f t="shared" si="13"/>
        <v>0</v>
      </c>
      <c r="U30" s="1154">
        <f t="shared" si="13"/>
        <v>0</v>
      </c>
      <c r="V30" s="1154">
        <f t="shared" si="13"/>
        <v>0</v>
      </c>
      <c r="W30" s="1154">
        <f t="shared" si="13"/>
        <v>0</v>
      </c>
      <c r="X30" s="1154">
        <f t="shared" si="13"/>
        <v>0</v>
      </c>
      <c r="Y30" s="1154">
        <f t="shared" si="13"/>
        <v>0</v>
      </c>
      <c r="Z30" s="1154">
        <f t="shared" si="13"/>
        <v>0</v>
      </c>
      <c r="AA30" s="1154">
        <f t="shared" si="13"/>
        <v>0</v>
      </c>
      <c r="AB30" s="1154">
        <f t="shared" si="13"/>
        <v>0</v>
      </c>
      <c r="AC30" s="1154">
        <f t="shared" si="13"/>
        <v>0</v>
      </c>
      <c r="AD30" s="1154">
        <f t="shared" si="13"/>
        <v>0</v>
      </c>
      <c r="AE30" s="1154">
        <f t="shared" si="13"/>
        <v>0</v>
      </c>
      <c r="AF30" s="1154">
        <f t="shared" ca="1" si="13"/>
        <v>0</v>
      </c>
      <c r="AG30" s="1154">
        <f t="shared" ca="1" si="13"/>
        <v>0</v>
      </c>
      <c r="AH30" s="1154">
        <f t="shared" si="13"/>
        <v>0</v>
      </c>
      <c r="AI30" s="1154">
        <f t="shared" si="13"/>
        <v>0</v>
      </c>
      <c r="AJ30" s="1154">
        <f t="shared" si="13"/>
        <v>0</v>
      </c>
      <c r="AK30" s="1154">
        <f t="shared" si="13"/>
        <v>0</v>
      </c>
      <c r="AL30" s="1154">
        <f t="shared" si="13"/>
        <v>0</v>
      </c>
      <c r="AM30" s="1154">
        <f t="shared" si="13"/>
        <v>0</v>
      </c>
      <c r="AN30" s="1154">
        <f t="shared" si="13"/>
        <v>0</v>
      </c>
      <c r="AO30" s="1154">
        <f t="shared" si="13"/>
        <v>0</v>
      </c>
      <c r="AP30" s="1154">
        <f t="shared" si="13"/>
        <v>0</v>
      </c>
      <c r="AQ30" s="1154">
        <f t="shared" si="13"/>
        <v>0</v>
      </c>
      <c r="AR30" s="1154">
        <f t="shared" si="13"/>
        <v>0</v>
      </c>
      <c r="AS30" s="1154">
        <f t="shared" si="13"/>
        <v>0</v>
      </c>
      <c r="AT30" s="1154">
        <f t="shared" si="13"/>
        <v>0</v>
      </c>
      <c r="AU30" s="1154">
        <f t="shared" si="13"/>
        <v>0</v>
      </c>
      <c r="AV30" s="1154">
        <f t="shared" si="13"/>
        <v>0</v>
      </c>
      <c r="AW30" s="1154">
        <f t="shared" si="13"/>
        <v>0</v>
      </c>
      <c r="AX30" s="1154">
        <f t="shared" si="13"/>
        <v>0</v>
      </c>
      <c r="AY30" s="1154"/>
      <c r="AZ30" s="1156">
        <f t="shared" ca="1" si="10"/>
        <v>0</v>
      </c>
      <c r="BA30" s="579">
        <f t="shared" ca="1" si="0"/>
        <v>0</v>
      </c>
    </row>
    <row r="31" spans="1:53" ht="32.1" hidden="1" customHeight="1" thickBot="1" x14ac:dyDescent="0.2">
      <c r="A31" s="2596"/>
      <c r="B31" s="2631"/>
      <c r="C31" s="568" t="s">
        <v>2751</v>
      </c>
      <c r="D31" s="1543"/>
      <c r="E31" s="1544"/>
      <c r="F31" s="1154">
        <f>Dre_Profunda!I104</f>
        <v>0</v>
      </c>
      <c r="G31" s="1154">
        <f t="shared" ref="G31:AX31" si="14">G$18*G26*1.4667</f>
        <v>0</v>
      </c>
      <c r="H31" s="1154">
        <f t="shared" si="14"/>
        <v>0</v>
      </c>
      <c r="I31" s="1154">
        <f t="shared" si="14"/>
        <v>0</v>
      </c>
      <c r="J31" s="1154">
        <f t="shared" si="14"/>
        <v>0</v>
      </c>
      <c r="K31" s="1154">
        <f t="shared" si="14"/>
        <v>0</v>
      </c>
      <c r="L31" s="1154">
        <f t="shared" si="14"/>
        <v>0</v>
      </c>
      <c r="M31" s="1154">
        <f t="shared" si="14"/>
        <v>0</v>
      </c>
      <c r="N31" s="1154">
        <f t="shared" si="14"/>
        <v>0</v>
      </c>
      <c r="O31" s="1154">
        <f t="shared" si="14"/>
        <v>0</v>
      </c>
      <c r="P31" s="1154">
        <f t="shared" si="14"/>
        <v>0</v>
      </c>
      <c r="Q31" s="1154">
        <f t="shared" si="14"/>
        <v>0</v>
      </c>
      <c r="R31" s="1154">
        <f t="shared" si="14"/>
        <v>0</v>
      </c>
      <c r="S31" s="1154">
        <f t="shared" si="14"/>
        <v>0</v>
      </c>
      <c r="T31" s="1154">
        <f t="shared" si="14"/>
        <v>0</v>
      </c>
      <c r="U31" s="1154">
        <f t="shared" si="14"/>
        <v>0</v>
      </c>
      <c r="V31" s="1154">
        <f t="shared" si="14"/>
        <v>0</v>
      </c>
      <c r="W31" s="1154">
        <f t="shared" si="14"/>
        <v>0</v>
      </c>
      <c r="X31" s="1154">
        <f t="shared" si="14"/>
        <v>0</v>
      </c>
      <c r="Y31" s="1154">
        <f t="shared" si="14"/>
        <v>0</v>
      </c>
      <c r="Z31" s="1154">
        <f t="shared" si="14"/>
        <v>0</v>
      </c>
      <c r="AA31" s="1154">
        <f t="shared" si="14"/>
        <v>0</v>
      </c>
      <c r="AB31" s="1154">
        <f t="shared" si="14"/>
        <v>0</v>
      </c>
      <c r="AC31" s="1154">
        <f t="shared" si="14"/>
        <v>0</v>
      </c>
      <c r="AD31" s="1154">
        <f t="shared" si="14"/>
        <v>0</v>
      </c>
      <c r="AE31" s="1154">
        <f t="shared" si="14"/>
        <v>0</v>
      </c>
      <c r="AF31" s="1154">
        <f t="shared" ca="1" si="14"/>
        <v>0</v>
      </c>
      <c r="AG31" s="1154">
        <f t="shared" ca="1" si="14"/>
        <v>0</v>
      </c>
      <c r="AH31" s="1154">
        <f t="shared" si="14"/>
        <v>0</v>
      </c>
      <c r="AI31" s="1154">
        <f t="shared" si="14"/>
        <v>0</v>
      </c>
      <c r="AJ31" s="1154">
        <f t="shared" si="14"/>
        <v>0</v>
      </c>
      <c r="AK31" s="1154">
        <f t="shared" si="14"/>
        <v>0</v>
      </c>
      <c r="AL31" s="1154">
        <f t="shared" si="14"/>
        <v>0</v>
      </c>
      <c r="AM31" s="1154">
        <f t="shared" si="14"/>
        <v>0</v>
      </c>
      <c r="AN31" s="1154">
        <f t="shared" si="14"/>
        <v>0</v>
      </c>
      <c r="AO31" s="1154">
        <f t="shared" si="14"/>
        <v>0</v>
      </c>
      <c r="AP31" s="1154">
        <f t="shared" si="14"/>
        <v>0</v>
      </c>
      <c r="AQ31" s="1154">
        <f t="shared" si="14"/>
        <v>0</v>
      </c>
      <c r="AR31" s="1154">
        <f t="shared" si="14"/>
        <v>0</v>
      </c>
      <c r="AS31" s="1154">
        <f t="shared" si="14"/>
        <v>0</v>
      </c>
      <c r="AT31" s="1154">
        <f t="shared" si="14"/>
        <v>0</v>
      </c>
      <c r="AU31" s="1154">
        <f t="shared" si="14"/>
        <v>0</v>
      </c>
      <c r="AV31" s="1154">
        <f t="shared" si="14"/>
        <v>0</v>
      </c>
      <c r="AW31" s="1154">
        <f t="shared" si="14"/>
        <v>0</v>
      </c>
      <c r="AX31" s="1154">
        <f t="shared" si="14"/>
        <v>0</v>
      </c>
      <c r="AY31" s="1154"/>
      <c r="AZ31" s="1156">
        <f t="shared" ca="1" si="10"/>
        <v>0</v>
      </c>
      <c r="BA31" s="579">
        <f t="shared" ca="1" si="0"/>
        <v>0</v>
      </c>
    </row>
    <row r="32" spans="1:53" ht="21.95" customHeight="1" x14ac:dyDescent="0.15">
      <c r="A32" s="2596"/>
      <c r="B32" s="2619" t="s">
        <v>301</v>
      </c>
      <c r="C32" s="550" t="s">
        <v>29</v>
      </c>
      <c r="D32" s="985"/>
      <c r="E32" s="1359"/>
      <c r="F32" s="1094">
        <f>Dre_Profunda!I105</f>
        <v>0</v>
      </c>
      <c r="G32" s="1094">
        <f t="shared" ref="G32:AX32" si="15">G8+G11+G14</f>
        <v>0</v>
      </c>
      <c r="H32" s="1094">
        <f t="shared" si="15"/>
        <v>0</v>
      </c>
      <c r="I32" s="1094">
        <f t="shared" si="15"/>
        <v>0</v>
      </c>
      <c r="J32" s="1094">
        <f t="shared" si="15"/>
        <v>0</v>
      </c>
      <c r="K32" s="1094">
        <f t="shared" si="15"/>
        <v>0</v>
      </c>
      <c r="L32" s="1094">
        <f t="shared" si="15"/>
        <v>0</v>
      </c>
      <c r="M32" s="1094">
        <f t="shared" si="15"/>
        <v>0</v>
      </c>
      <c r="N32" s="1094">
        <f t="shared" si="15"/>
        <v>0</v>
      </c>
      <c r="O32" s="1094">
        <f t="shared" si="15"/>
        <v>0</v>
      </c>
      <c r="P32" s="1094">
        <f t="shared" si="15"/>
        <v>0</v>
      </c>
      <c r="Q32" s="1094">
        <f t="shared" si="15"/>
        <v>0</v>
      </c>
      <c r="R32" s="1094">
        <f t="shared" si="15"/>
        <v>0</v>
      </c>
      <c r="S32" s="1094">
        <f t="shared" si="15"/>
        <v>0</v>
      </c>
      <c r="T32" s="1094">
        <f t="shared" si="15"/>
        <v>0</v>
      </c>
      <c r="U32" s="1094">
        <f t="shared" si="15"/>
        <v>11.2</v>
      </c>
      <c r="V32" s="1094">
        <f t="shared" si="15"/>
        <v>0</v>
      </c>
      <c r="W32" s="1094">
        <f t="shared" si="15"/>
        <v>0</v>
      </c>
      <c r="X32" s="1094">
        <f t="shared" si="15"/>
        <v>0</v>
      </c>
      <c r="Y32" s="1094">
        <f t="shared" si="15"/>
        <v>0</v>
      </c>
      <c r="Z32" s="1094">
        <f t="shared" si="15"/>
        <v>0</v>
      </c>
      <c r="AA32" s="1094">
        <f t="shared" si="15"/>
        <v>0</v>
      </c>
      <c r="AB32" s="1094">
        <f t="shared" si="15"/>
        <v>0</v>
      </c>
      <c r="AC32" s="1094">
        <f t="shared" si="15"/>
        <v>0</v>
      </c>
      <c r="AD32" s="1094">
        <f t="shared" si="15"/>
        <v>0</v>
      </c>
      <c r="AE32" s="1094">
        <f t="shared" si="15"/>
        <v>0</v>
      </c>
      <c r="AF32" s="1094">
        <f t="shared" ca="1" si="15"/>
        <v>59.400000000000006</v>
      </c>
      <c r="AG32" s="1094">
        <f t="shared" ca="1" si="15"/>
        <v>111.48346666666706</v>
      </c>
      <c r="AH32" s="1094">
        <f t="shared" si="15"/>
        <v>0</v>
      </c>
      <c r="AI32" s="1094">
        <f t="shared" si="15"/>
        <v>0</v>
      </c>
      <c r="AJ32" s="1094">
        <f t="shared" si="15"/>
        <v>0</v>
      </c>
      <c r="AK32" s="1094">
        <f t="shared" si="15"/>
        <v>0</v>
      </c>
      <c r="AL32" s="1094">
        <f t="shared" si="15"/>
        <v>0</v>
      </c>
      <c r="AM32" s="1094">
        <f t="shared" si="15"/>
        <v>0</v>
      </c>
      <c r="AN32" s="1094">
        <f t="shared" si="15"/>
        <v>0</v>
      </c>
      <c r="AO32" s="1094">
        <f t="shared" si="15"/>
        <v>0</v>
      </c>
      <c r="AP32" s="1094">
        <f t="shared" si="15"/>
        <v>0</v>
      </c>
      <c r="AQ32" s="1094">
        <f t="shared" si="15"/>
        <v>0</v>
      </c>
      <c r="AR32" s="1094">
        <f t="shared" si="15"/>
        <v>0</v>
      </c>
      <c r="AS32" s="1094">
        <f t="shared" si="15"/>
        <v>0</v>
      </c>
      <c r="AT32" s="1094">
        <f t="shared" si="15"/>
        <v>0</v>
      </c>
      <c r="AU32" s="1094">
        <f t="shared" si="15"/>
        <v>0</v>
      </c>
      <c r="AV32" s="1094">
        <f t="shared" si="15"/>
        <v>0</v>
      </c>
      <c r="AW32" s="1094">
        <f t="shared" si="15"/>
        <v>0</v>
      </c>
      <c r="AX32" s="1094">
        <f t="shared" si="15"/>
        <v>0</v>
      </c>
      <c r="AY32" s="1094"/>
      <c r="AZ32" s="1096">
        <f t="shared" ca="1" si="10"/>
        <v>182.08</v>
      </c>
      <c r="BA32" s="579">
        <f t="shared" ca="1" si="0"/>
        <v>364.16346666666709</v>
      </c>
    </row>
    <row r="33" spans="1:56" ht="21.95" customHeight="1" thickBot="1" x14ac:dyDescent="0.2">
      <c r="A33" s="2596"/>
      <c r="B33" s="2615"/>
      <c r="C33" s="566" t="s">
        <v>1402</v>
      </c>
      <c r="D33" s="987"/>
      <c r="E33" s="564"/>
      <c r="F33" s="1097">
        <f>Dre_Profunda!I106</f>
        <v>0</v>
      </c>
      <c r="G33" s="1097">
        <f t="shared" ref="G33:AX33" si="16">G32*0.0012</f>
        <v>0</v>
      </c>
      <c r="H33" s="1097">
        <f t="shared" si="16"/>
        <v>0</v>
      </c>
      <c r="I33" s="1097">
        <f t="shared" si="16"/>
        <v>0</v>
      </c>
      <c r="J33" s="1097">
        <f t="shared" si="16"/>
        <v>0</v>
      </c>
      <c r="K33" s="1097">
        <f t="shared" si="16"/>
        <v>0</v>
      </c>
      <c r="L33" s="1097">
        <f t="shared" si="16"/>
        <v>0</v>
      </c>
      <c r="M33" s="1097">
        <f t="shared" si="16"/>
        <v>0</v>
      </c>
      <c r="N33" s="1097">
        <f t="shared" si="16"/>
        <v>0</v>
      </c>
      <c r="O33" s="1097">
        <f t="shared" si="16"/>
        <v>0</v>
      </c>
      <c r="P33" s="1097">
        <f t="shared" si="16"/>
        <v>0</v>
      </c>
      <c r="Q33" s="1097">
        <f t="shared" si="16"/>
        <v>0</v>
      </c>
      <c r="R33" s="1097">
        <f t="shared" si="16"/>
        <v>0</v>
      </c>
      <c r="S33" s="1097">
        <f t="shared" si="16"/>
        <v>0</v>
      </c>
      <c r="T33" s="1097">
        <f t="shared" si="16"/>
        <v>0</v>
      </c>
      <c r="U33" s="1097">
        <f t="shared" si="16"/>
        <v>1.3439999999999999E-2</v>
      </c>
      <c r="V33" s="1097">
        <f t="shared" si="16"/>
        <v>0</v>
      </c>
      <c r="W33" s="1097">
        <f t="shared" si="16"/>
        <v>0</v>
      </c>
      <c r="X33" s="1097">
        <f t="shared" si="16"/>
        <v>0</v>
      </c>
      <c r="Y33" s="1097">
        <f t="shared" si="16"/>
        <v>0</v>
      </c>
      <c r="Z33" s="1097">
        <f t="shared" si="16"/>
        <v>0</v>
      </c>
      <c r="AA33" s="1097">
        <f t="shared" si="16"/>
        <v>0</v>
      </c>
      <c r="AB33" s="1097">
        <f t="shared" si="16"/>
        <v>0</v>
      </c>
      <c r="AC33" s="1097">
        <f t="shared" si="16"/>
        <v>0</v>
      </c>
      <c r="AD33" s="1097">
        <f t="shared" si="16"/>
        <v>0</v>
      </c>
      <c r="AE33" s="1097">
        <f t="shared" si="16"/>
        <v>0</v>
      </c>
      <c r="AF33" s="1097">
        <f t="shared" ca="1" si="16"/>
        <v>7.1279999999999996E-2</v>
      </c>
      <c r="AG33" s="1097">
        <f t="shared" ca="1" si="16"/>
        <v>0.13378016000000045</v>
      </c>
      <c r="AH33" s="1097">
        <f t="shared" si="16"/>
        <v>0</v>
      </c>
      <c r="AI33" s="1097">
        <f t="shared" si="16"/>
        <v>0</v>
      </c>
      <c r="AJ33" s="1097">
        <f t="shared" si="16"/>
        <v>0</v>
      </c>
      <c r="AK33" s="1097">
        <f t="shared" si="16"/>
        <v>0</v>
      </c>
      <c r="AL33" s="1097">
        <f t="shared" si="16"/>
        <v>0</v>
      </c>
      <c r="AM33" s="1097">
        <f t="shared" si="16"/>
        <v>0</v>
      </c>
      <c r="AN33" s="1097">
        <f t="shared" si="16"/>
        <v>0</v>
      </c>
      <c r="AO33" s="1097">
        <f t="shared" si="16"/>
        <v>0</v>
      </c>
      <c r="AP33" s="1097">
        <f t="shared" si="16"/>
        <v>0</v>
      </c>
      <c r="AQ33" s="1097">
        <f t="shared" si="16"/>
        <v>0</v>
      </c>
      <c r="AR33" s="1097">
        <f t="shared" si="16"/>
        <v>0</v>
      </c>
      <c r="AS33" s="1097">
        <f t="shared" si="16"/>
        <v>0</v>
      </c>
      <c r="AT33" s="1097">
        <f t="shared" si="16"/>
        <v>0</v>
      </c>
      <c r="AU33" s="1097">
        <f t="shared" si="16"/>
        <v>0</v>
      </c>
      <c r="AV33" s="1097">
        <f t="shared" si="16"/>
        <v>0</v>
      </c>
      <c r="AW33" s="1097">
        <f t="shared" si="16"/>
        <v>0</v>
      </c>
      <c r="AX33" s="1097">
        <f t="shared" si="16"/>
        <v>0</v>
      </c>
      <c r="AY33" s="1097"/>
      <c r="AZ33" s="1098">
        <f t="shared" ca="1" si="10"/>
        <v>0.22</v>
      </c>
      <c r="BA33" s="579">
        <f t="shared" ca="1" si="0"/>
        <v>0.43850016000000047</v>
      </c>
    </row>
    <row r="34" spans="1:56" ht="21.95" hidden="1" customHeight="1" x14ac:dyDescent="0.15">
      <c r="A34" s="2596"/>
      <c r="B34" s="2616" t="s">
        <v>1425</v>
      </c>
      <c r="C34" s="550" t="s">
        <v>29</v>
      </c>
      <c r="D34" s="985"/>
      <c r="E34" s="1359"/>
      <c r="F34" s="1094"/>
      <c r="G34" s="1094">
        <f t="shared" ref="G34:AX34" si="17">IF(G36&gt;0,G32,0)</f>
        <v>0</v>
      </c>
      <c r="H34" s="1094">
        <f t="shared" si="17"/>
        <v>0</v>
      </c>
      <c r="I34" s="1094">
        <f t="shared" si="17"/>
        <v>0</v>
      </c>
      <c r="J34" s="1094">
        <f t="shared" si="17"/>
        <v>0</v>
      </c>
      <c r="K34" s="1094">
        <f t="shared" si="17"/>
        <v>0</v>
      </c>
      <c r="L34" s="1094">
        <f t="shared" si="17"/>
        <v>0</v>
      </c>
      <c r="M34" s="1094">
        <f t="shared" si="17"/>
        <v>0</v>
      </c>
      <c r="N34" s="1094">
        <f t="shared" si="17"/>
        <v>0</v>
      </c>
      <c r="O34" s="1094">
        <f t="shared" si="17"/>
        <v>0</v>
      </c>
      <c r="P34" s="1094">
        <f t="shared" si="17"/>
        <v>0</v>
      </c>
      <c r="Q34" s="1094">
        <f t="shared" si="17"/>
        <v>0</v>
      </c>
      <c r="R34" s="1094">
        <f t="shared" si="17"/>
        <v>0</v>
      </c>
      <c r="S34" s="1094">
        <f t="shared" si="17"/>
        <v>0</v>
      </c>
      <c r="T34" s="1094">
        <f t="shared" si="17"/>
        <v>0</v>
      </c>
      <c r="U34" s="1094">
        <f t="shared" si="17"/>
        <v>0</v>
      </c>
      <c r="V34" s="1094">
        <f t="shared" si="17"/>
        <v>0</v>
      </c>
      <c r="W34" s="1094">
        <f t="shared" si="17"/>
        <v>0</v>
      </c>
      <c r="X34" s="1094">
        <f t="shared" si="17"/>
        <v>0</v>
      </c>
      <c r="Y34" s="1094">
        <f t="shared" si="17"/>
        <v>0</v>
      </c>
      <c r="Z34" s="1094">
        <f t="shared" si="17"/>
        <v>0</v>
      </c>
      <c r="AA34" s="1094">
        <f t="shared" si="17"/>
        <v>0</v>
      </c>
      <c r="AB34" s="1094">
        <f t="shared" si="17"/>
        <v>0</v>
      </c>
      <c r="AC34" s="1094">
        <f t="shared" si="17"/>
        <v>0</v>
      </c>
      <c r="AD34" s="1094">
        <f t="shared" si="17"/>
        <v>0</v>
      </c>
      <c r="AE34" s="1094">
        <f t="shared" si="17"/>
        <v>0</v>
      </c>
      <c r="AF34" s="1094">
        <f t="shared" ca="1" si="17"/>
        <v>0</v>
      </c>
      <c r="AG34" s="1094">
        <f t="shared" ca="1" si="17"/>
        <v>0</v>
      </c>
      <c r="AH34" s="1094">
        <f t="shared" si="17"/>
        <v>0</v>
      </c>
      <c r="AI34" s="1094">
        <f t="shared" si="17"/>
        <v>0</v>
      </c>
      <c r="AJ34" s="1094">
        <f t="shared" si="17"/>
        <v>0</v>
      </c>
      <c r="AK34" s="1094">
        <f t="shared" si="17"/>
        <v>0</v>
      </c>
      <c r="AL34" s="1094">
        <f t="shared" si="17"/>
        <v>0</v>
      </c>
      <c r="AM34" s="1094">
        <f t="shared" si="17"/>
        <v>0</v>
      </c>
      <c r="AN34" s="1094">
        <f t="shared" si="17"/>
        <v>0</v>
      </c>
      <c r="AO34" s="1094">
        <f t="shared" si="17"/>
        <v>0</v>
      </c>
      <c r="AP34" s="1094">
        <f t="shared" si="17"/>
        <v>0</v>
      </c>
      <c r="AQ34" s="1094">
        <f t="shared" si="17"/>
        <v>0</v>
      </c>
      <c r="AR34" s="1094">
        <f t="shared" si="17"/>
        <v>0</v>
      </c>
      <c r="AS34" s="1094">
        <f t="shared" si="17"/>
        <v>0</v>
      </c>
      <c r="AT34" s="1094">
        <f t="shared" si="17"/>
        <v>0</v>
      </c>
      <c r="AU34" s="1094">
        <f t="shared" si="17"/>
        <v>0</v>
      </c>
      <c r="AV34" s="1094">
        <f t="shared" si="17"/>
        <v>0</v>
      </c>
      <c r="AW34" s="1094">
        <f t="shared" si="17"/>
        <v>0</v>
      </c>
      <c r="AX34" s="1094">
        <f t="shared" si="17"/>
        <v>0</v>
      </c>
      <c r="AY34" s="1094"/>
      <c r="AZ34" s="1096">
        <f t="shared" ca="1" si="10"/>
        <v>0</v>
      </c>
      <c r="BA34" s="579">
        <f t="shared" ref="BA34:BA65" ca="1" si="18">SUM(F34:AZ34)</f>
        <v>0</v>
      </c>
      <c r="BB34" s="541"/>
    </row>
    <row r="35" spans="1:56" ht="21.95" hidden="1" customHeight="1" x14ac:dyDescent="0.15">
      <c r="A35" s="2596"/>
      <c r="B35" s="2617"/>
      <c r="C35" s="559" t="s">
        <v>1277</v>
      </c>
      <c r="E35" s="1358"/>
      <c r="F35" s="1154"/>
      <c r="G35" s="1154">
        <f t="shared" ref="G35:AX35" si="19">IF(G38+G45&gt;0,0,IF(G32&gt;0,G32*0.006,0))</f>
        <v>0</v>
      </c>
      <c r="H35" s="1154">
        <f t="shared" si="19"/>
        <v>0</v>
      </c>
      <c r="I35" s="1154">
        <f t="shared" si="19"/>
        <v>0</v>
      </c>
      <c r="J35" s="1154">
        <f t="shared" si="19"/>
        <v>0</v>
      </c>
      <c r="K35" s="1154">
        <f t="shared" si="19"/>
        <v>0</v>
      </c>
      <c r="L35" s="1154">
        <f t="shared" si="19"/>
        <v>0</v>
      </c>
      <c r="M35" s="1154">
        <f t="shared" si="19"/>
        <v>0</v>
      </c>
      <c r="N35" s="1154">
        <f t="shared" si="19"/>
        <v>0</v>
      </c>
      <c r="O35" s="1154">
        <f t="shared" si="19"/>
        <v>0</v>
      </c>
      <c r="P35" s="1154">
        <f t="shared" si="19"/>
        <v>0</v>
      </c>
      <c r="Q35" s="1154">
        <f t="shared" si="19"/>
        <v>0</v>
      </c>
      <c r="R35" s="1154">
        <f t="shared" si="19"/>
        <v>0</v>
      </c>
      <c r="S35" s="1154">
        <f t="shared" si="19"/>
        <v>0</v>
      </c>
      <c r="T35" s="1154">
        <f t="shared" si="19"/>
        <v>0</v>
      </c>
      <c r="U35" s="1154">
        <f t="shared" si="19"/>
        <v>0</v>
      </c>
      <c r="V35" s="1154">
        <f t="shared" si="19"/>
        <v>0</v>
      </c>
      <c r="W35" s="1154">
        <f t="shared" si="19"/>
        <v>0</v>
      </c>
      <c r="X35" s="1154">
        <f t="shared" si="19"/>
        <v>0</v>
      </c>
      <c r="Y35" s="1154">
        <f t="shared" si="19"/>
        <v>0</v>
      </c>
      <c r="Z35" s="1154">
        <f t="shared" si="19"/>
        <v>0</v>
      </c>
      <c r="AA35" s="1154">
        <f t="shared" si="19"/>
        <v>0</v>
      </c>
      <c r="AB35" s="1154">
        <f t="shared" si="19"/>
        <v>0</v>
      </c>
      <c r="AC35" s="1154">
        <f t="shared" si="19"/>
        <v>0</v>
      </c>
      <c r="AD35" s="1154">
        <f t="shared" si="19"/>
        <v>0</v>
      </c>
      <c r="AE35" s="1154">
        <f t="shared" si="19"/>
        <v>0</v>
      </c>
      <c r="AF35" s="1154">
        <f t="shared" ca="1" si="19"/>
        <v>0</v>
      </c>
      <c r="AG35" s="1154">
        <f t="shared" ca="1" si="19"/>
        <v>0</v>
      </c>
      <c r="AH35" s="1154">
        <f t="shared" si="19"/>
        <v>0</v>
      </c>
      <c r="AI35" s="1154">
        <f t="shared" si="19"/>
        <v>0</v>
      </c>
      <c r="AJ35" s="1154">
        <f t="shared" si="19"/>
        <v>0</v>
      </c>
      <c r="AK35" s="1154">
        <f t="shared" si="19"/>
        <v>0</v>
      </c>
      <c r="AL35" s="1154">
        <f t="shared" si="19"/>
        <v>0</v>
      </c>
      <c r="AM35" s="1154">
        <f t="shared" si="19"/>
        <v>0</v>
      </c>
      <c r="AN35" s="1154">
        <f t="shared" si="19"/>
        <v>0</v>
      </c>
      <c r="AO35" s="1154">
        <f t="shared" si="19"/>
        <v>0</v>
      </c>
      <c r="AP35" s="1154">
        <f t="shared" si="19"/>
        <v>0</v>
      </c>
      <c r="AQ35" s="1154">
        <f t="shared" si="19"/>
        <v>0</v>
      </c>
      <c r="AR35" s="1154">
        <f t="shared" si="19"/>
        <v>0</v>
      </c>
      <c r="AS35" s="1154">
        <f t="shared" si="19"/>
        <v>0</v>
      </c>
      <c r="AT35" s="1154">
        <f t="shared" si="19"/>
        <v>0</v>
      </c>
      <c r="AU35" s="1154">
        <f t="shared" si="19"/>
        <v>0</v>
      </c>
      <c r="AV35" s="1154">
        <f t="shared" si="19"/>
        <v>0</v>
      </c>
      <c r="AW35" s="1154">
        <f t="shared" si="19"/>
        <v>0</v>
      </c>
      <c r="AX35" s="1154">
        <f t="shared" si="19"/>
        <v>0</v>
      </c>
      <c r="AY35" s="1154"/>
      <c r="AZ35" s="1156">
        <f t="shared" ca="1" si="10"/>
        <v>0</v>
      </c>
      <c r="BA35" s="579">
        <f t="shared" ca="1" si="18"/>
        <v>0</v>
      </c>
      <c r="BB35" s="541"/>
    </row>
    <row r="36" spans="1:56" ht="21.95" hidden="1" customHeight="1" x14ac:dyDescent="0.15">
      <c r="A36" s="2596"/>
      <c r="B36" s="2617"/>
      <c r="C36" s="567" t="s">
        <v>1278</v>
      </c>
      <c r="D36" s="1507"/>
      <c r="E36" s="1358"/>
      <c r="F36" s="1154"/>
      <c r="G36" s="1154">
        <f t="shared" ref="G36:AX36" si="20">IF(G38+G45&gt;0,0,IF(G32&gt;0,G32*0.0223,0))</f>
        <v>0</v>
      </c>
      <c r="H36" s="1154">
        <f t="shared" si="20"/>
        <v>0</v>
      </c>
      <c r="I36" s="1154">
        <f t="shared" si="20"/>
        <v>0</v>
      </c>
      <c r="J36" s="1154">
        <f t="shared" si="20"/>
        <v>0</v>
      </c>
      <c r="K36" s="1154">
        <f t="shared" si="20"/>
        <v>0</v>
      </c>
      <c r="L36" s="1154">
        <f t="shared" si="20"/>
        <v>0</v>
      </c>
      <c r="M36" s="1154">
        <f t="shared" si="20"/>
        <v>0</v>
      </c>
      <c r="N36" s="1154">
        <f t="shared" si="20"/>
        <v>0</v>
      </c>
      <c r="O36" s="1154">
        <f t="shared" si="20"/>
        <v>0</v>
      </c>
      <c r="P36" s="1154">
        <f t="shared" si="20"/>
        <v>0</v>
      </c>
      <c r="Q36" s="1154">
        <f t="shared" si="20"/>
        <v>0</v>
      </c>
      <c r="R36" s="1154">
        <f t="shared" si="20"/>
        <v>0</v>
      </c>
      <c r="S36" s="1154">
        <f t="shared" si="20"/>
        <v>0</v>
      </c>
      <c r="T36" s="1154">
        <f t="shared" si="20"/>
        <v>0</v>
      </c>
      <c r="U36" s="1154">
        <f t="shared" si="20"/>
        <v>0</v>
      </c>
      <c r="V36" s="1154">
        <f t="shared" si="20"/>
        <v>0</v>
      </c>
      <c r="W36" s="1154">
        <f t="shared" si="20"/>
        <v>0</v>
      </c>
      <c r="X36" s="1154">
        <f t="shared" si="20"/>
        <v>0</v>
      </c>
      <c r="Y36" s="1154">
        <f t="shared" si="20"/>
        <v>0</v>
      </c>
      <c r="Z36" s="1154">
        <f t="shared" si="20"/>
        <v>0</v>
      </c>
      <c r="AA36" s="1154">
        <f t="shared" si="20"/>
        <v>0</v>
      </c>
      <c r="AB36" s="1154">
        <f t="shared" si="20"/>
        <v>0</v>
      </c>
      <c r="AC36" s="1154">
        <f t="shared" si="20"/>
        <v>0</v>
      </c>
      <c r="AD36" s="1154">
        <f t="shared" si="20"/>
        <v>0</v>
      </c>
      <c r="AE36" s="1154">
        <f t="shared" si="20"/>
        <v>0</v>
      </c>
      <c r="AF36" s="1154">
        <f t="shared" ca="1" si="20"/>
        <v>0</v>
      </c>
      <c r="AG36" s="1154">
        <f t="shared" ca="1" si="20"/>
        <v>0</v>
      </c>
      <c r="AH36" s="1154">
        <f t="shared" si="20"/>
        <v>0</v>
      </c>
      <c r="AI36" s="1154">
        <f t="shared" si="20"/>
        <v>0</v>
      </c>
      <c r="AJ36" s="1154">
        <f t="shared" si="20"/>
        <v>0</v>
      </c>
      <c r="AK36" s="1154">
        <f t="shared" si="20"/>
        <v>0</v>
      </c>
      <c r="AL36" s="1154">
        <f t="shared" si="20"/>
        <v>0</v>
      </c>
      <c r="AM36" s="1154">
        <f t="shared" si="20"/>
        <v>0</v>
      </c>
      <c r="AN36" s="1154">
        <f t="shared" si="20"/>
        <v>0</v>
      </c>
      <c r="AO36" s="1154">
        <f t="shared" si="20"/>
        <v>0</v>
      </c>
      <c r="AP36" s="1154">
        <f t="shared" si="20"/>
        <v>0</v>
      </c>
      <c r="AQ36" s="1154">
        <f t="shared" si="20"/>
        <v>0</v>
      </c>
      <c r="AR36" s="1154">
        <f t="shared" si="20"/>
        <v>0</v>
      </c>
      <c r="AS36" s="1154">
        <f t="shared" si="20"/>
        <v>0</v>
      </c>
      <c r="AT36" s="1154">
        <f t="shared" si="20"/>
        <v>0</v>
      </c>
      <c r="AU36" s="1154">
        <f t="shared" si="20"/>
        <v>0</v>
      </c>
      <c r="AV36" s="1154">
        <f t="shared" si="20"/>
        <v>0</v>
      </c>
      <c r="AW36" s="1154">
        <f t="shared" si="20"/>
        <v>0</v>
      </c>
      <c r="AX36" s="1154">
        <f t="shared" si="20"/>
        <v>0</v>
      </c>
      <c r="AY36" s="1154"/>
      <c r="AZ36" s="1156">
        <f t="shared" ca="1" si="10"/>
        <v>0</v>
      </c>
      <c r="BA36" s="579">
        <f t="shared" ca="1" si="18"/>
        <v>0</v>
      </c>
      <c r="BB36" s="541"/>
    </row>
    <row r="37" spans="1:56" ht="21.95" hidden="1" customHeight="1" thickBot="1" x14ac:dyDescent="0.2">
      <c r="A37" s="2596"/>
      <c r="B37" s="2618"/>
      <c r="C37" s="566" t="s">
        <v>1279</v>
      </c>
      <c r="D37" s="1508"/>
      <c r="E37" s="564"/>
      <c r="F37" s="1097"/>
      <c r="G37" s="1097">
        <f t="shared" ref="G37:AX37" si="21">IF(G36&gt;0,G32*0.0048,0)</f>
        <v>0</v>
      </c>
      <c r="H37" s="1097">
        <f t="shared" si="21"/>
        <v>0</v>
      </c>
      <c r="I37" s="1097">
        <f t="shared" si="21"/>
        <v>0</v>
      </c>
      <c r="J37" s="1097">
        <f t="shared" si="21"/>
        <v>0</v>
      </c>
      <c r="K37" s="1097">
        <f t="shared" si="21"/>
        <v>0</v>
      </c>
      <c r="L37" s="1097">
        <f t="shared" si="21"/>
        <v>0</v>
      </c>
      <c r="M37" s="1097">
        <f t="shared" si="21"/>
        <v>0</v>
      </c>
      <c r="N37" s="1097">
        <f t="shared" si="21"/>
        <v>0</v>
      </c>
      <c r="O37" s="1097">
        <f t="shared" si="21"/>
        <v>0</v>
      </c>
      <c r="P37" s="1097">
        <f t="shared" si="21"/>
        <v>0</v>
      </c>
      <c r="Q37" s="1097">
        <f t="shared" si="21"/>
        <v>0</v>
      </c>
      <c r="R37" s="1097">
        <f t="shared" si="21"/>
        <v>0</v>
      </c>
      <c r="S37" s="1097">
        <f t="shared" si="21"/>
        <v>0</v>
      </c>
      <c r="T37" s="1097">
        <f t="shared" si="21"/>
        <v>0</v>
      </c>
      <c r="U37" s="1097">
        <f t="shared" si="21"/>
        <v>0</v>
      </c>
      <c r="V37" s="1097">
        <f t="shared" si="21"/>
        <v>0</v>
      </c>
      <c r="W37" s="1097">
        <f t="shared" si="21"/>
        <v>0</v>
      </c>
      <c r="X37" s="1097">
        <f t="shared" si="21"/>
        <v>0</v>
      </c>
      <c r="Y37" s="1097">
        <f t="shared" si="21"/>
        <v>0</v>
      </c>
      <c r="Z37" s="1097">
        <f t="shared" si="21"/>
        <v>0</v>
      </c>
      <c r="AA37" s="1097">
        <f t="shared" si="21"/>
        <v>0</v>
      </c>
      <c r="AB37" s="1097">
        <f t="shared" si="21"/>
        <v>0</v>
      </c>
      <c r="AC37" s="1097">
        <f t="shared" si="21"/>
        <v>0</v>
      </c>
      <c r="AD37" s="1097">
        <f t="shared" si="21"/>
        <v>0</v>
      </c>
      <c r="AE37" s="1097">
        <f t="shared" si="21"/>
        <v>0</v>
      </c>
      <c r="AF37" s="1097">
        <f t="shared" ca="1" si="21"/>
        <v>0</v>
      </c>
      <c r="AG37" s="1097">
        <f t="shared" ca="1" si="21"/>
        <v>0</v>
      </c>
      <c r="AH37" s="1097">
        <f t="shared" si="21"/>
        <v>0</v>
      </c>
      <c r="AI37" s="1097">
        <f t="shared" si="21"/>
        <v>0</v>
      </c>
      <c r="AJ37" s="1097">
        <f t="shared" si="21"/>
        <v>0</v>
      </c>
      <c r="AK37" s="1097">
        <f t="shared" si="21"/>
        <v>0</v>
      </c>
      <c r="AL37" s="1097">
        <f t="shared" si="21"/>
        <v>0</v>
      </c>
      <c r="AM37" s="1097">
        <f t="shared" si="21"/>
        <v>0</v>
      </c>
      <c r="AN37" s="1097">
        <f t="shared" si="21"/>
        <v>0</v>
      </c>
      <c r="AO37" s="1097">
        <f t="shared" si="21"/>
        <v>0</v>
      </c>
      <c r="AP37" s="1097">
        <f t="shared" si="21"/>
        <v>0</v>
      </c>
      <c r="AQ37" s="1097">
        <f t="shared" si="21"/>
        <v>0</v>
      </c>
      <c r="AR37" s="1097">
        <f t="shared" si="21"/>
        <v>0</v>
      </c>
      <c r="AS37" s="1097">
        <f t="shared" si="21"/>
        <v>0</v>
      </c>
      <c r="AT37" s="1097">
        <f t="shared" si="21"/>
        <v>0</v>
      </c>
      <c r="AU37" s="1097">
        <f t="shared" si="21"/>
        <v>0</v>
      </c>
      <c r="AV37" s="1097">
        <f t="shared" si="21"/>
        <v>0</v>
      </c>
      <c r="AW37" s="1097">
        <f t="shared" si="21"/>
        <v>0</v>
      </c>
      <c r="AX37" s="1097">
        <f t="shared" si="21"/>
        <v>0</v>
      </c>
      <c r="AY37" s="1097"/>
      <c r="AZ37" s="1098">
        <f t="shared" ca="1" si="10"/>
        <v>0</v>
      </c>
      <c r="BA37" s="579">
        <f t="shared" ca="1" si="18"/>
        <v>0</v>
      </c>
      <c r="BB37" s="540"/>
    </row>
    <row r="38" spans="1:56" s="1188" customFormat="1" ht="21.95" customHeight="1" x14ac:dyDescent="0.15">
      <c r="A38" s="2596"/>
      <c r="B38" s="2616" t="s">
        <v>1374</v>
      </c>
      <c r="C38" s="1184" t="s">
        <v>1280</v>
      </c>
      <c r="D38" s="1545"/>
      <c r="E38" s="1546"/>
      <c r="F38" s="1571"/>
      <c r="G38" s="1185">
        <f>IF(G32=0,0,+Dren_Quantificacao!D29)</f>
        <v>0</v>
      </c>
      <c r="H38" s="1185">
        <f>IF(H32=0,0,+Dren_Quantificacao!E29)</f>
        <v>0</v>
      </c>
      <c r="I38" s="1185">
        <f>IF(I32=0,0,+Dren_Quantificacao!F29)</f>
        <v>0</v>
      </c>
      <c r="J38" s="1185">
        <f>IF(J32=0,0,+Dren_Quantificacao!G29)</f>
        <v>0</v>
      </c>
      <c r="K38" s="1185">
        <f>IF(K32=0,0,+Dren_Quantificacao!H29)</f>
        <v>0</v>
      </c>
      <c r="L38" s="1185">
        <f>IF(L32=0,0,+Dren_Quantificacao!I29)</f>
        <v>0</v>
      </c>
      <c r="M38" s="1185">
        <f>IF(M32=0,0,+Dren_Quantificacao!J29)</f>
        <v>0</v>
      </c>
      <c r="N38" s="1185">
        <f>IF(N32=0,0,+Dren_Quantificacao!K29)</f>
        <v>0</v>
      </c>
      <c r="O38" s="1185">
        <f>IF(O32=0,0,+Dren_Quantificacao!L29)</f>
        <v>0</v>
      </c>
      <c r="P38" s="1185">
        <f>IF(P32=0,0,+Dren_Quantificacao!M29)</f>
        <v>0</v>
      </c>
      <c r="Q38" s="1185">
        <f>IF(Q32=0,0,+Dren_Quantificacao!N29)</f>
        <v>0</v>
      </c>
      <c r="R38" s="1185">
        <f>IF(R32=0,0,+Dren_Quantificacao!O29)</f>
        <v>0</v>
      </c>
      <c r="S38" s="1185">
        <f>IF(S32=0,0,+Dren_Quantificacao!P29)</f>
        <v>0</v>
      </c>
      <c r="T38" s="1185">
        <f>IF(T32=0,0,+Dren_Quantificacao!Q29)</f>
        <v>0</v>
      </c>
      <c r="U38" s="1185">
        <f>IF(U32=0,0,+Dren_Quantificacao!R29)</f>
        <v>3</v>
      </c>
      <c r="V38" s="1185">
        <f>IF(V32=0,0,+Dren_Quantificacao!S29)</f>
        <v>0</v>
      </c>
      <c r="W38" s="1185">
        <f>IF(W32=0,0,+Dren_Quantificacao!T29)</f>
        <v>0</v>
      </c>
      <c r="X38" s="1185">
        <f>IF(X32=0,0,+Dren_Quantificacao!U29)</f>
        <v>0</v>
      </c>
      <c r="Y38" s="1185">
        <f>IF(Y32=0,0,+Dren_Quantificacao!V29)</f>
        <v>0</v>
      </c>
      <c r="Z38" s="1185">
        <f>IF(Z32=0,0,+Dren_Quantificacao!W29)</f>
        <v>0</v>
      </c>
      <c r="AA38" s="1185">
        <f>IF(AA32=0,0,+Dren_Quantificacao!X29)</f>
        <v>0</v>
      </c>
      <c r="AB38" s="1185">
        <f>IF(AB32=0,0,+Dren_Quantificacao!Y29)</f>
        <v>0</v>
      </c>
      <c r="AC38" s="1185">
        <f>IF(AC32=0,0,+Dren_Quantificacao!Z29)</f>
        <v>0</v>
      </c>
      <c r="AD38" s="1185">
        <f>IF(AD32=0,0,+Dren_Quantificacao!AA29)</f>
        <v>0</v>
      </c>
      <c r="AE38" s="1185">
        <f>IF(AE32=0,0,+Dren_Quantificacao!AB29)</f>
        <v>0</v>
      </c>
      <c r="AF38" s="1185">
        <f ca="1">IF(AF32=0,0,+Dren_Quantificacao!AC29)</f>
        <v>3</v>
      </c>
      <c r="AG38" s="1185">
        <f ca="1">IF(AG32=0,0,+Dren_Quantificacao!AD29)</f>
        <v>3</v>
      </c>
      <c r="AH38" s="1185">
        <f>IF(AH32=0,0,+Dren_Quantificacao!AE29)</f>
        <v>0</v>
      </c>
      <c r="AI38" s="1185">
        <f>IF(AI32=0,0,+Dren_Quantificacao!AF29)</f>
        <v>0</v>
      </c>
      <c r="AJ38" s="1185">
        <f>IF(AJ32=0,0,+Dren_Quantificacao!AG29)</f>
        <v>0</v>
      </c>
      <c r="AK38" s="1185">
        <f>IF(AK32=0,0,+Dren_Quantificacao!AH29)</f>
        <v>0</v>
      </c>
      <c r="AL38" s="1185">
        <f>IF(AL32=0,0,+Dren_Quantificacao!AI29)</f>
        <v>0</v>
      </c>
      <c r="AM38" s="1185">
        <f>IF(AM32=0,0,+Dren_Quantificacao!AJ29)</f>
        <v>0</v>
      </c>
      <c r="AN38" s="1185">
        <f>IF(AN32=0,0,+Dren_Quantificacao!AK29)</f>
        <v>0</v>
      </c>
      <c r="AO38" s="1185">
        <f>IF(AO32=0,0,+Dren_Quantificacao!AL29)</f>
        <v>0</v>
      </c>
      <c r="AP38" s="1185">
        <f>IF(AP32=0,0,+Dren_Quantificacao!AM29)</f>
        <v>0</v>
      </c>
      <c r="AQ38" s="1185">
        <f>IF(AQ32=0,0,+Dren_Quantificacao!AN29)</f>
        <v>0</v>
      </c>
      <c r="AR38" s="1185">
        <f>IF(AR32=0,0,+Dren_Quantificacao!AO29)</f>
        <v>0</v>
      </c>
      <c r="AS38" s="1185">
        <f>IF(AS32=0,0,+Dren_Quantificacao!AP29)</f>
        <v>0</v>
      </c>
      <c r="AT38" s="1185">
        <f>IF(AT32=0,0,+Dren_Quantificacao!AQ29)</f>
        <v>0</v>
      </c>
      <c r="AU38" s="1185">
        <f>IF(AU32=0,0,+Dren_Quantificacao!AR29)</f>
        <v>0</v>
      </c>
      <c r="AV38" s="1185">
        <f>IF(AV32=0,0,+Dren_Quantificacao!AS29)</f>
        <v>0</v>
      </c>
      <c r="AW38" s="1185">
        <f>IF(AW32=0,0,+Dren_Quantificacao!AT29)</f>
        <v>0</v>
      </c>
      <c r="AX38" s="1185">
        <f>IF(AX32=0,0,+Dren_Quantificacao!AU29)</f>
        <v>0</v>
      </c>
      <c r="AY38" s="1185"/>
      <c r="AZ38" s="1186"/>
      <c r="BA38" s="579">
        <f t="shared" ca="1" si="18"/>
        <v>9</v>
      </c>
    </row>
    <row r="39" spans="1:56" ht="21.95" customHeight="1" x14ac:dyDescent="0.15">
      <c r="A39" s="2596"/>
      <c r="B39" s="2617"/>
      <c r="C39" s="567" t="s">
        <v>686</v>
      </c>
      <c r="E39" s="1358"/>
      <c r="F39" s="1154">
        <f>Dre_Profunda!I108</f>
        <v>0</v>
      </c>
      <c r="G39" s="1154">
        <f t="shared" ref="G39:AX39" si="22">G38*G32*2.5548/100</f>
        <v>0</v>
      </c>
      <c r="H39" s="1154">
        <f t="shared" si="22"/>
        <v>0</v>
      </c>
      <c r="I39" s="1154">
        <f t="shared" si="22"/>
        <v>0</v>
      </c>
      <c r="J39" s="1154">
        <f t="shared" si="22"/>
        <v>0</v>
      </c>
      <c r="K39" s="1154">
        <f t="shared" si="22"/>
        <v>0</v>
      </c>
      <c r="L39" s="1154">
        <f t="shared" si="22"/>
        <v>0</v>
      </c>
      <c r="M39" s="1154">
        <f t="shared" si="22"/>
        <v>0</v>
      </c>
      <c r="N39" s="1154">
        <f t="shared" si="22"/>
        <v>0</v>
      </c>
      <c r="O39" s="1154">
        <f t="shared" si="22"/>
        <v>0</v>
      </c>
      <c r="P39" s="1154">
        <f t="shared" si="22"/>
        <v>0</v>
      </c>
      <c r="Q39" s="1154">
        <f t="shared" si="22"/>
        <v>0</v>
      </c>
      <c r="R39" s="1154">
        <f t="shared" si="22"/>
        <v>0</v>
      </c>
      <c r="S39" s="1154">
        <f t="shared" si="22"/>
        <v>0</v>
      </c>
      <c r="T39" s="1154">
        <f t="shared" si="22"/>
        <v>0</v>
      </c>
      <c r="U39" s="1154">
        <f t="shared" si="22"/>
        <v>0.85841279999999998</v>
      </c>
      <c r="V39" s="1154">
        <f t="shared" si="22"/>
        <v>0</v>
      </c>
      <c r="W39" s="1154">
        <f t="shared" si="22"/>
        <v>0</v>
      </c>
      <c r="X39" s="1154">
        <f t="shared" si="22"/>
        <v>0</v>
      </c>
      <c r="Y39" s="1154">
        <f t="shared" si="22"/>
        <v>0</v>
      </c>
      <c r="Z39" s="1154">
        <f t="shared" si="22"/>
        <v>0</v>
      </c>
      <c r="AA39" s="1154">
        <f t="shared" si="22"/>
        <v>0</v>
      </c>
      <c r="AB39" s="1154">
        <f t="shared" si="22"/>
        <v>0</v>
      </c>
      <c r="AC39" s="1154">
        <f t="shared" si="22"/>
        <v>0</v>
      </c>
      <c r="AD39" s="1154">
        <f t="shared" si="22"/>
        <v>0</v>
      </c>
      <c r="AE39" s="1154">
        <f t="shared" si="22"/>
        <v>0</v>
      </c>
      <c r="AF39" s="1154">
        <f t="shared" ca="1" si="22"/>
        <v>4.5526536000000011</v>
      </c>
      <c r="AG39" s="1154">
        <f t="shared" ca="1" si="22"/>
        <v>8.5445388192000316</v>
      </c>
      <c r="AH39" s="1154">
        <f t="shared" si="22"/>
        <v>0</v>
      </c>
      <c r="AI39" s="1154">
        <f t="shared" si="22"/>
        <v>0</v>
      </c>
      <c r="AJ39" s="1154">
        <f t="shared" si="22"/>
        <v>0</v>
      </c>
      <c r="AK39" s="1154">
        <f t="shared" si="22"/>
        <v>0</v>
      </c>
      <c r="AL39" s="1154">
        <f t="shared" si="22"/>
        <v>0</v>
      </c>
      <c r="AM39" s="1154">
        <f t="shared" si="22"/>
        <v>0</v>
      </c>
      <c r="AN39" s="1154">
        <f t="shared" si="22"/>
        <v>0</v>
      </c>
      <c r="AO39" s="1154">
        <f t="shared" si="22"/>
        <v>0</v>
      </c>
      <c r="AP39" s="1154">
        <f t="shared" si="22"/>
        <v>0</v>
      </c>
      <c r="AQ39" s="1154">
        <f t="shared" si="22"/>
        <v>0</v>
      </c>
      <c r="AR39" s="1154">
        <f t="shared" si="22"/>
        <v>0</v>
      </c>
      <c r="AS39" s="1154">
        <f t="shared" si="22"/>
        <v>0</v>
      </c>
      <c r="AT39" s="1154">
        <f t="shared" si="22"/>
        <v>0</v>
      </c>
      <c r="AU39" s="1154">
        <f t="shared" si="22"/>
        <v>0</v>
      </c>
      <c r="AV39" s="1154">
        <f t="shared" si="22"/>
        <v>0</v>
      </c>
      <c r="AW39" s="1154">
        <f t="shared" si="22"/>
        <v>0</v>
      </c>
      <c r="AX39" s="1154">
        <f t="shared" si="22"/>
        <v>0</v>
      </c>
      <c r="AY39" s="1154"/>
      <c r="AZ39" s="1155">
        <f t="shared" ref="AZ39:AZ44" ca="1" si="23">ROUND(SUM(F39:AY39),2)</f>
        <v>13.96</v>
      </c>
      <c r="BA39" s="579">
        <f t="shared" ca="1" si="18"/>
        <v>27.915605219200032</v>
      </c>
      <c r="BB39" s="540"/>
    </row>
    <row r="40" spans="1:56" ht="21.95" customHeight="1" x14ac:dyDescent="0.15">
      <c r="A40" s="2596"/>
      <c r="B40" s="2617"/>
      <c r="C40" s="567" t="s">
        <v>717</v>
      </c>
      <c r="E40" s="1358"/>
      <c r="F40" s="1154">
        <f>Dre_Profunda!I109</f>
        <v>0</v>
      </c>
      <c r="G40" s="1154">
        <f t="shared" ref="G40:AX40" si="24">IF(G12&lt;=2.5,G14*G38/100,0)+(G8+G11)*G38/100</f>
        <v>0</v>
      </c>
      <c r="H40" s="1154">
        <f t="shared" si="24"/>
        <v>0</v>
      </c>
      <c r="I40" s="1154">
        <f t="shared" si="24"/>
        <v>0</v>
      </c>
      <c r="J40" s="1154">
        <f t="shared" si="24"/>
        <v>0</v>
      </c>
      <c r="K40" s="1154">
        <f t="shared" si="24"/>
        <v>0</v>
      </c>
      <c r="L40" s="1154">
        <f t="shared" si="24"/>
        <v>0</v>
      </c>
      <c r="M40" s="1154">
        <f t="shared" si="24"/>
        <v>0</v>
      </c>
      <c r="N40" s="1154">
        <f t="shared" si="24"/>
        <v>0</v>
      </c>
      <c r="O40" s="1154">
        <f t="shared" si="24"/>
        <v>0</v>
      </c>
      <c r="P40" s="1154">
        <f t="shared" si="24"/>
        <v>0</v>
      </c>
      <c r="Q40" s="1154">
        <f t="shared" si="24"/>
        <v>0</v>
      </c>
      <c r="R40" s="1154">
        <f t="shared" si="24"/>
        <v>0</v>
      </c>
      <c r="S40" s="1154">
        <f t="shared" si="24"/>
        <v>0</v>
      </c>
      <c r="T40" s="1154">
        <f t="shared" si="24"/>
        <v>0</v>
      </c>
      <c r="U40" s="1154">
        <f t="shared" si="24"/>
        <v>0.33599999999999997</v>
      </c>
      <c r="V40" s="1154">
        <f t="shared" si="24"/>
        <v>0</v>
      </c>
      <c r="W40" s="1154">
        <f t="shared" si="24"/>
        <v>0</v>
      </c>
      <c r="X40" s="1154">
        <f t="shared" si="24"/>
        <v>0</v>
      </c>
      <c r="Y40" s="1154">
        <f t="shared" si="24"/>
        <v>0</v>
      </c>
      <c r="Z40" s="1154">
        <f t="shared" si="24"/>
        <v>0</v>
      </c>
      <c r="AA40" s="1154">
        <f t="shared" si="24"/>
        <v>0</v>
      </c>
      <c r="AB40" s="1154">
        <f t="shared" si="24"/>
        <v>0</v>
      </c>
      <c r="AC40" s="1154">
        <f t="shared" si="24"/>
        <v>0</v>
      </c>
      <c r="AD40" s="1154">
        <f t="shared" si="24"/>
        <v>0</v>
      </c>
      <c r="AE40" s="1154">
        <f t="shared" si="24"/>
        <v>0</v>
      </c>
      <c r="AF40" s="1154">
        <f t="shared" ca="1" si="24"/>
        <v>1.7820000000000003</v>
      </c>
      <c r="AG40" s="1154">
        <f t="shared" ca="1" si="24"/>
        <v>2.508</v>
      </c>
      <c r="AH40" s="1154">
        <f t="shared" si="24"/>
        <v>0</v>
      </c>
      <c r="AI40" s="1154">
        <f t="shared" si="24"/>
        <v>0</v>
      </c>
      <c r="AJ40" s="1154">
        <f t="shared" si="24"/>
        <v>0</v>
      </c>
      <c r="AK40" s="1154">
        <f t="shared" si="24"/>
        <v>0</v>
      </c>
      <c r="AL40" s="1154">
        <f t="shared" si="24"/>
        <v>0</v>
      </c>
      <c r="AM40" s="1154">
        <f t="shared" si="24"/>
        <v>0</v>
      </c>
      <c r="AN40" s="1154">
        <f t="shared" si="24"/>
        <v>0</v>
      </c>
      <c r="AO40" s="1154">
        <f t="shared" si="24"/>
        <v>0</v>
      </c>
      <c r="AP40" s="1154">
        <f t="shared" si="24"/>
        <v>0</v>
      </c>
      <c r="AQ40" s="1154">
        <f t="shared" si="24"/>
        <v>0</v>
      </c>
      <c r="AR40" s="1154">
        <f t="shared" si="24"/>
        <v>0</v>
      </c>
      <c r="AS40" s="1154">
        <f t="shared" si="24"/>
        <v>0</v>
      </c>
      <c r="AT40" s="1154">
        <f t="shared" si="24"/>
        <v>0</v>
      </c>
      <c r="AU40" s="1154">
        <f t="shared" si="24"/>
        <v>0</v>
      </c>
      <c r="AV40" s="1154">
        <f t="shared" si="24"/>
        <v>0</v>
      </c>
      <c r="AW40" s="1154">
        <f t="shared" si="24"/>
        <v>0</v>
      </c>
      <c r="AX40" s="1154">
        <f t="shared" si="24"/>
        <v>0</v>
      </c>
      <c r="AY40" s="1154"/>
      <c r="AZ40" s="1156">
        <f t="shared" ca="1" si="23"/>
        <v>4.63</v>
      </c>
      <c r="BA40" s="579">
        <f t="shared" ca="1" si="18"/>
        <v>9.2560000000000002</v>
      </c>
      <c r="BB40" s="540"/>
    </row>
    <row r="41" spans="1:56" ht="32.1" customHeight="1" x14ac:dyDescent="0.15">
      <c r="A41" s="2596"/>
      <c r="B41" s="2617"/>
      <c r="C41" s="567" t="s">
        <v>2750</v>
      </c>
      <c r="E41" s="1358"/>
      <c r="F41" s="1570"/>
      <c r="G41" s="1154">
        <f t="shared" ref="G41:AX41" si="25">IF(G12&gt;2.5,G14*G38/100,0)</f>
        <v>0</v>
      </c>
      <c r="H41" s="1154">
        <f t="shared" si="25"/>
        <v>0</v>
      </c>
      <c r="I41" s="1154">
        <f t="shared" si="25"/>
        <v>0</v>
      </c>
      <c r="J41" s="1154">
        <f t="shared" si="25"/>
        <v>0</v>
      </c>
      <c r="K41" s="1154">
        <f t="shared" si="25"/>
        <v>0</v>
      </c>
      <c r="L41" s="1154">
        <f t="shared" si="25"/>
        <v>0</v>
      </c>
      <c r="M41" s="1154">
        <f t="shared" si="25"/>
        <v>0</v>
      </c>
      <c r="N41" s="1154">
        <f t="shared" si="25"/>
        <v>0</v>
      </c>
      <c r="O41" s="1154">
        <f t="shared" si="25"/>
        <v>0</v>
      </c>
      <c r="P41" s="1154">
        <f t="shared" si="25"/>
        <v>0</v>
      </c>
      <c r="Q41" s="1154">
        <f t="shared" si="25"/>
        <v>0</v>
      </c>
      <c r="R41" s="1154">
        <f t="shared" si="25"/>
        <v>0</v>
      </c>
      <c r="S41" s="1154">
        <f t="shared" si="25"/>
        <v>0</v>
      </c>
      <c r="T41" s="1154">
        <f t="shared" si="25"/>
        <v>0</v>
      </c>
      <c r="U41" s="1154">
        <f t="shared" si="25"/>
        <v>0</v>
      </c>
      <c r="V41" s="1154">
        <f t="shared" si="25"/>
        <v>0</v>
      </c>
      <c r="W41" s="1154">
        <f t="shared" si="25"/>
        <v>0</v>
      </c>
      <c r="X41" s="1154">
        <f t="shared" si="25"/>
        <v>0</v>
      </c>
      <c r="Y41" s="1154">
        <f t="shared" si="25"/>
        <v>0</v>
      </c>
      <c r="Z41" s="1154">
        <f t="shared" si="25"/>
        <v>0</v>
      </c>
      <c r="AA41" s="1154">
        <f t="shared" si="25"/>
        <v>0</v>
      </c>
      <c r="AB41" s="1154">
        <f t="shared" si="25"/>
        <v>0</v>
      </c>
      <c r="AC41" s="1154">
        <f t="shared" si="25"/>
        <v>0</v>
      </c>
      <c r="AD41" s="1154">
        <f t="shared" si="25"/>
        <v>0</v>
      </c>
      <c r="AE41" s="1154">
        <f t="shared" si="25"/>
        <v>0</v>
      </c>
      <c r="AF41" s="1154">
        <f t="shared" ca="1" si="25"/>
        <v>0</v>
      </c>
      <c r="AG41" s="1154">
        <f t="shared" ca="1" si="25"/>
        <v>0.83650400000001202</v>
      </c>
      <c r="AH41" s="1154">
        <f t="shared" si="25"/>
        <v>0</v>
      </c>
      <c r="AI41" s="1154">
        <f t="shared" si="25"/>
        <v>0</v>
      </c>
      <c r="AJ41" s="1154">
        <f t="shared" si="25"/>
        <v>0</v>
      </c>
      <c r="AK41" s="1154">
        <f t="shared" si="25"/>
        <v>0</v>
      </c>
      <c r="AL41" s="1154">
        <f t="shared" si="25"/>
        <v>0</v>
      </c>
      <c r="AM41" s="1154">
        <f t="shared" si="25"/>
        <v>0</v>
      </c>
      <c r="AN41" s="1154">
        <f t="shared" si="25"/>
        <v>0</v>
      </c>
      <c r="AO41" s="1154">
        <f t="shared" si="25"/>
        <v>0</v>
      </c>
      <c r="AP41" s="1154">
        <f t="shared" si="25"/>
        <v>0</v>
      </c>
      <c r="AQ41" s="1154">
        <f t="shared" si="25"/>
        <v>0</v>
      </c>
      <c r="AR41" s="1154">
        <f t="shared" si="25"/>
        <v>0</v>
      </c>
      <c r="AS41" s="1154">
        <f t="shared" si="25"/>
        <v>0</v>
      </c>
      <c r="AT41" s="1154">
        <f t="shared" si="25"/>
        <v>0</v>
      </c>
      <c r="AU41" s="1154">
        <f t="shared" si="25"/>
        <v>0</v>
      </c>
      <c r="AV41" s="1154">
        <f t="shared" si="25"/>
        <v>0</v>
      </c>
      <c r="AW41" s="1154">
        <f t="shared" si="25"/>
        <v>0</v>
      </c>
      <c r="AX41" s="1154">
        <f t="shared" si="25"/>
        <v>0</v>
      </c>
      <c r="AY41" s="1154"/>
      <c r="AZ41" s="1156">
        <f t="shared" ca="1" si="23"/>
        <v>0.84</v>
      </c>
      <c r="BA41" s="579">
        <f t="shared" ca="1" si="18"/>
        <v>1.676504000000012</v>
      </c>
      <c r="BB41" s="540"/>
    </row>
    <row r="42" spans="1:56" ht="21.95" customHeight="1" x14ac:dyDescent="0.15">
      <c r="A42" s="2596"/>
      <c r="B42" s="2617"/>
      <c r="C42" s="559" t="s">
        <v>1768</v>
      </c>
      <c r="E42" s="1358"/>
      <c r="F42" s="1154">
        <f>Dre_Profunda!I110</f>
        <v>0</v>
      </c>
      <c r="G42" s="1154">
        <f t="shared" ref="G42:AX42" si="26">G39*0.06</f>
        <v>0</v>
      </c>
      <c r="H42" s="1154">
        <f t="shared" si="26"/>
        <v>0</v>
      </c>
      <c r="I42" s="1154">
        <f t="shared" si="26"/>
        <v>0</v>
      </c>
      <c r="J42" s="1154">
        <f t="shared" si="26"/>
        <v>0</v>
      </c>
      <c r="K42" s="1154">
        <f t="shared" si="26"/>
        <v>0</v>
      </c>
      <c r="L42" s="1154">
        <f t="shared" si="26"/>
        <v>0</v>
      </c>
      <c r="M42" s="1154">
        <f t="shared" si="26"/>
        <v>0</v>
      </c>
      <c r="N42" s="1154">
        <f t="shared" si="26"/>
        <v>0</v>
      </c>
      <c r="O42" s="1154">
        <f t="shared" si="26"/>
        <v>0</v>
      </c>
      <c r="P42" s="1154">
        <f t="shared" si="26"/>
        <v>0</v>
      </c>
      <c r="Q42" s="1154">
        <f t="shared" si="26"/>
        <v>0</v>
      </c>
      <c r="R42" s="1154">
        <f t="shared" si="26"/>
        <v>0</v>
      </c>
      <c r="S42" s="1154">
        <f t="shared" si="26"/>
        <v>0</v>
      </c>
      <c r="T42" s="1154">
        <f t="shared" si="26"/>
        <v>0</v>
      </c>
      <c r="U42" s="1154">
        <f t="shared" si="26"/>
        <v>5.1504767999999999E-2</v>
      </c>
      <c r="V42" s="1154">
        <f t="shared" si="26"/>
        <v>0</v>
      </c>
      <c r="W42" s="1154">
        <f t="shared" si="26"/>
        <v>0</v>
      </c>
      <c r="X42" s="1154">
        <f t="shared" si="26"/>
        <v>0</v>
      </c>
      <c r="Y42" s="1154">
        <f t="shared" si="26"/>
        <v>0</v>
      </c>
      <c r="Z42" s="1154">
        <f t="shared" si="26"/>
        <v>0</v>
      </c>
      <c r="AA42" s="1154">
        <f t="shared" si="26"/>
        <v>0</v>
      </c>
      <c r="AB42" s="1154">
        <f t="shared" si="26"/>
        <v>0</v>
      </c>
      <c r="AC42" s="1154">
        <f t="shared" si="26"/>
        <v>0</v>
      </c>
      <c r="AD42" s="1154">
        <f t="shared" si="26"/>
        <v>0</v>
      </c>
      <c r="AE42" s="1154">
        <f t="shared" si="26"/>
        <v>0</v>
      </c>
      <c r="AF42" s="1154">
        <f t="shared" ca="1" si="26"/>
        <v>0.27315921600000004</v>
      </c>
      <c r="AG42" s="1154">
        <f t="shared" ca="1" si="26"/>
        <v>0.51267232915200189</v>
      </c>
      <c r="AH42" s="1154">
        <f t="shared" si="26"/>
        <v>0</v>
      </c>
      <c r="AI42" s="1154">
        <f t="shared" si="26"/>
        <v>0</v>
      </c>
      <c r="AJ42" s="1154">
        <f t="shared" si="26"/>
        <v>0</v>
      </c>
      <c r="AK42" s="1154">
        <f t="shared" si="26"/>
        <v>0</v>
      </c>
      <c r="AL42" s="1154">
        <f t="shared" si="26"/>
        <v>0</v>
      </c>
      <c r="AM42" s="1154">
        <f t="shared" si="26"/>
        <v>0</v>
      </c>
      <c r="AN42" s="1154">
        <f t="shared" si="26"/>
        <v>0</v>
      </c>
      <c r="AO42" s="1154">
        <f t="shared" si="26"/>
        <v>0</v>
      </c>
      <c r="AP42" s="1154">
        <f t="shared" si="26"/>
        <v>0</v>
      </c>
      <c r="AQ42" s="1154">
        <f t="shared" si="26"/>
        <v>0</v>
      </c>
      <c r="AR42" s="1154">
        <f t="shared" si="26"/>
        <v>0</v>
      </c>
      <c r="AS42" s="1154">
        <f t="shared" si="26"/>
        <v>0</v>
      </c>
      <c r="AT42" s="1154">
        <f t="shared" si="26"/>
        <v>0</v>
      </c>
      <c r="AU42" s="1154">
        <f t="shared" si="26"/>
        <v>0</v>
      </c>
      <c r="AV42" s="1154">
        <f t="shared" si="26"/>
        <v>0</v>
      </c>
      <c r="AW42" s="1154">
        <f t="shared" si="26"/>
        <v>0</v>
      </c>
      <c r="AX42" s="1154">
        <f t="shared" si="26"/>
        <v>0</v>
      </c>
      <c r="AY42" s="1154"/>
      <c r="AZ42" s="1156">
        <f t="shared" ca="1" si="23"/>
        <v>0.84</v>
      </c>
      <c r="BA42" s="579">
        <f t="shared" ca="1" si="18"/>
        <v>1.677336313152002</v>
      </c>
      <c r="BB42" s="540"/>
    </row>
    <row r="43" spans="1:56" ht="21.95" customHeight="1" x14ac:dyDescent="0.15">
      <c r="A43" s="2596"/>
      <c r="B43" s="2617"/>
      <c r="C43" s="563" t="s">
        <v>698</v>
      </c>
      <c r="E43" s="1358"/>
      <c r="F43" s="1154">
        <f>Dre_Profunda!I111</f>
        <v>0</v>
      </c>
      <c r="G43" s="1154">
        <f t="shared" ref="G43:AX43" si="27">G39*0.161</f>
        <v>0</v>
      </c>
      <c r="H43" s="1154">
        <f t="shared" si="27"/>
        <v>0</v>
      </c>
      <c r="I43" s="1154">
        <f t="shared" si="27"/>
        <v>0</v>
      </c>
      <c r="J43" s="1154">
        <f t="shared" si="27"/>
        <v>0</v>
      </c>
      <c r="K43" s="1154">
        <f t="shared" si="27"/>
        <v>0</v>
      </c>
      <c r="L43" s="1154">
        <f t="shared" si="27"/>
        <v>0</v>
      </c>
      <c r="M43" s="1154">
        <f t="shared" si="27"/>
        <v>0</v>
      </c>
      <c r="N43" s="1154">
        <f t="shared" si="27"/>
        <v>0</v>
      </c>
      <c r="O43" s="1154">
        <f t="shared" si="27"/>
        <v>0</v>
      </c>
      <c r="P43" s="1154">
        <f t="shared" si="27"/>
        <v>0</v>
      </c>
      <c r="Q43" s="1154">
        <f t="shared" si="27"/>
        <v>0</v>
      </c>
      <c r="R43" s="1154">
        <f t="shared" si="27"/>
        <v>0</v>
      </c>
      <c r="S43" s="1154">
        <f t="shared" si="27"/>
        <v>0</v>
      </c>
      <c r="T43" s="1154">
        <f t="shared" si="27"/>
        <v>0</v>
      </c>
      <c r="U43" s="1154">
        <f t="shared" si="27"/>
        <v>0.13820446080000001</v>
      </c>
      <c r="V43" s="1154">
        <f t="shared" si="27"/>
        <v>0</v>
      </c>
      <c r="W43" s="1154">
        <f t="shared" si="27"/>
        <v>0</v>
      </c>
      <c r="X43" s="1154">
        <f t="shared" si="27"/>
        <v>0</v>
      </c>
      <c r="Y43" s="1154">
        <f t="shared" si="27"/>
        <v>0</v>
      </c>
      <c r="Z43" s="1154">
        <f t="shared" si="27"/>
        <v>0</v>
      </c>
      <c r="AA43" s="1154">
        <f t="shared" si="27"/>
        <v>0</v>
      </c>
      <c r="AB43" s="1154">
        <f t="shared" si="27"/>
        <v>0</v>
      </c>
      <c r="AC43" s="1154">
        <f t="shared" si="27"/>
        <v>0</v>
      </c>
      <c r="AD43" s="1154">
        <f t="shared" si="27"/>
        <v>0</v>
      </c>
      <c r="AE43" s="1154">
        <f t="shared" si="27"/>
        <v>0</v>
      </c>
      <c r="AF43" s="1154">
        <f t="shared" ca="1" si="27"/>
        <v>0.73297722960000022</v>
      </c>
      <c r="AG43" s="1154">
        <f t="shared" ca="1" si="27"/>
        <v>1.3756707498912051</v>
      </c>
      <c r="AH43" s="1154">
        <f t="shared" si="27"/>
        <v>0</v>
      </c>
      <c r="AI43" s="1154">
        <f t="shared" si="27"/>
        <v>0</v>
      </c>
      <c r="AJ43" s="1154">
        <f t="shared" si="27"/>
        <v>0</v>
      </c>
      <c r="AK43" s="1154">
        <f t="shared" si="27"/>
        <v>0</v>
      </c>
      <c r="AL43" s="1154">
        <f t="shared" si="27"/>
        <v>0</v>
      </c>
      <c r="AM43" s="1154">
        <f t="shared" si="27"/>
        <v>0</v>
      </c>
      <c r="AN43" s="1154">
        <f t="shared" si="27"/>
        <v>0</v>
      </c>
      <c r="AO43" s="1154">
        <f t="shared" si="27"/>
        <v>0</v>
      </c>
      <c r="AP43" s="1154">
        <f t="shared" si="27"/>
        <v>0</v>
      </c>
      <c r="AQ43" s="1154">
        <f t="shared" si="27"/>
        <v>0</v>
      </c>
      <c r="AR43" s="1154">
        <f t="shared" si="27"/>
        <v>0</v>
      </c>
      <c r="AS43" s="1154">
        <f t="shared" si="27"/>
        <v>0</v>
      </c>
      <c r="AT43" s="1154">
        <f t="shared" si="27"/>
        <v>0</v>
      </c>
      <c r="AU43" s="1154">
        <f t="shared" si="27"/>
        <v>0</v>
      </c>
      <c r="AV43" s="1154">
        <f t="shared" si="27"/>
        <v>0</v>
      </c>
      <c r="AW43" s="1154">
        <f t="shared" si="27"/>
        <v>0</v>
      </c>
      <c r="AX43" s="1154">
        <f t="shared" si="27"/>
        <v>0</v>
      </c>
      <c r="AY43" s="1154"/>
      <c r="AZ43" s="1156">
        <f t="shared" ca="1" si="23"/>
        <v>2.25</v>
      </c>
      <c r="BA43" s="579">
        <f t="shared" ca="1" si="18"/>
        <v>4.4968524402912049</v>
      </c>
      <c r="BB43" s="540"/>
    </row>
    <row r="44" spans="1:56" ht="21.95" customHeight="1" thickBot="1" x14ac:dyDescent="0.2">
      <c r="A44" s="2596"/>
      <c r="B44" s="2618"/>
      <c r="C44" s="562" t="s">
        <v>697</v>
      </c>
      <c r="D44" s="987"/>
      <c r="E44" s="564"/>
      <c r="F44" s="1097">
        <f>Dre_Profunda!I112</f>
        <v>0</v>
      </c>
      <c r="G44" s="1097">
        <f t="shared" ref="G44:AX44" si="28">G39*0.447</f>
        <v>0</v>
      </c>
      <c r="H44" s="1097">
        <f t="shared" si="28"/>
        <v>0</v>
      </c>
      <c r="I44" s="1097">
        <f t="shared" si="28"/>
        <v>0</v>
      </c>
      <c r="J44" s="1097">
        <f t="shared" si="28"/>
        <v>0</v>
      </c>
      <c r="K44" s="1097">
        <f t="shared" si="28"/>
        <v>0</v>
      </c>
      <c r="L44" s="1097">
        <f t="shared" si="28"/>
        <v>0</v>
      </c>
      <c r="M44" s="1097">
        <f t="shared" si="28"/>
        <v>0</v>
      </c>
      <c r="N44" s="1097">
        <f t="shared" si="28"/>
        <v>0</v>
      </c>
      <c r="O44" s="1097">
        <f t="shared" si="28"/>
        <v>0</v>
      </c>
      <c r="P44" s="1097">
        <f t="shared" si="28"/>
        <v>0</v>
      </c>
      <c r="Q44" s="1097">
        <f t="shared" si="28"/>
        <v>0</v>
      </c>
      <c r="R44" s="1097">
        <f t="shared" si="28"/>
        <v>0</v>
      </c>
      <c r="S44" s="1097">
        <f t="shared" si="28"/>
        <v>0</v>
      </c>
      <c r="T44" s="1097">
        <f t="shared" si="28"/>
        <v>0</v>
      </c>
      <c r="U44" s="1097">
        <f t="shared" si="28"/>
        <v>0.38371052160000002</v>
      </c>
      <c r="V44" s="1097">
        <f t="shared" si="28"/>
        <v>0</v>
      </c>
      <c r="W44" s="1097">
        <f t="shared" si="28"/>
        <v>0</v>
      </c>
      <c r="X44" s="1097">
        <f t="shared" si="28"/>
        <v>0</v>
      </c>
      <c r="Y44" s="1097">
        <f t="shared" si="28"/>
        <v>0</v>
      </c>
      <c r="Z44" s="1097">
        <f t="shared" si="28"/>
        <v>0</v>
      </c>
      <c r="AA44" s="1097">
        <f t="shared" si="28"/>
        <v>0</v>
      </c>
      <c r="AB44" s="1097">
        <f t="shared" si="28"/>
        <v>0</v>
      </c>
      <c r="AC44" s="1097">
        <f t="shared" si="28"/>
        <v>0</v>
      </c>
      <c r="AD44" s="1097">
        <f t="shared" si="28"/>
        <v>0</v>
      </c>
      <c r="AE44" s="1097">
        <f t="shared" si="28"/>
        <v>0</v>
      </c>
      <c r="AF44" s="1097">
        <f t="shared" ca="1" si="28"/>
        <v>2.0350361592000006</v>
      </c>
      <c r="AG44" s="1097">
        <f t="shared" ca="1" si="28"/>
        <v>3.8194088521824141</v>
      </c>
      <c r="AH44" s="1097">
        <f t="shared" si="28"/>
        <v>0</v>
      </c>
      <c r="AI44" s="1097">
        <f t="shared" si="28"/>
        <v>0</v>
      </c>
      <c r="AJ44" s="1097">
        <f t="shared" si="28"/>
        <v>0</v>
      </c>
      <c r="AK44" s="1097">
        <f t="shared" si="28"/>
        <v>0</v>
      </c>
      <c r="AL44" s="1097">
        <f t="shared" si="28"/>
        <v>0</v>
      </c>
      <c r="AM44" s="1097">
        <f t="shared" si="28"/>
        <v>0</v>
      </c>
      <c r="AN44" s="1097">
        <f t="shared" si="28"/>
        <v>0</v>
      </c>
      <c r="AO44" s="1097">
        <f t="shared" si="28"/>
        <v>0</v>
      </c>
      <c r="AP44" s="1097">
        <f t="shared" si="28"/>
        <v>0</v>
      </c>
      <c r="AQ44" s="1097">
        <f t="shared" si="28"/>
        <v>0</v>
      </c>
      <c r="AR44" s="1097">
        <f t="shared" si="28"/>
        <v>0</v>
      </c>
      <c r="AS44" s="1097">
        <f t="shared" si="28"/>
        <v>0</v>
      </c>
      <c r="AT44" s="1097">
        <f t="shared" si="28"/>
        <v>0</v>
      </c>
      <c r="AU44" s="1097">
        <f t="shared" si="28"/>
        <v>0</v>
      </c>
      <c r="AV44" s="1097">
        <f t="shared" si="28"/>
        <v>0</v>
      </c>
      <c r="AW44" s="1097">
        <f t="shared" si="28"/>
        <v>0</v>
      </c>
      <c r="AX44" s="1097">
        <f t="shared" si="28"/>
        <v>0</v>
      </c>
      <c r="AY44" s="1097"/>
      <c r="AZ44" s="1156">
        <f t="shared" ca="1" si="23"/>
        <v>6.24</v>
      </c>
      <c r="BA44" s="579">
        <f t="shared" ca="1" si="18"/>
        <v>12.478155532982415</v>
      </c>
      <c r="BB44" s="540"/>
    </row>
    <row r="45" spans="1:56" s="1188" customFormat="1" ht="21.95" hidden="1" customHeight="1" x14ac:dyDescent="0.15">
      <c r="A45" s="2596"/>
      <c r="B45" s="2766" t="s">
        <v>1375</v>
      </c>
      <c r="C45" s="1189" t="s">
        <v>1280</v>
      </c>
      <c r="D45" s="1545"/>
      <c r="E45" s="1546"/>
      <c r="F45" s="1571"/>
      <c r="G45" s="1185">
        <f>Dren_Quantificacao!D30</f>
        <v>0</v>
      </c>
      <c r="H45" s="1185">
        <f>Dren_Quantificacao!E30</f>
        <v>0</v>
      </c>
      <c r="I45" s="1185">
        <f>Dren_Quantificacao!F30</f>
        <v>0</v>
      </c>
      <c r="J45" s="1185">
        <f>Dren_Quantificacao!G30</f>
        <v>0</v>
      </c>
      <c r="K45" s="1185">
        <f>Dren_Quantificacao!H30</f>
        <v>0</v>
      </c>
      <c r="L45" s="1185">
        <f>Dren_Quantificacao!I30</f>
        <v>0</v>
      </c>
      <c r="M45" s="1185">
        <f>Dren_Quantificacao!J30</f>
        <v>0</v>
      </c>
      <c r="N45" s="1185">
        <f>Dren_Quantificacao!K30</f>
        <v>0</v>
      </c>
      <c r="O45" s="1185">
        <f>Dren_Quantificacao!L30</f>
        <v>0</v>
      </c>
      <c r="P45" s="1185">
        <f>Dren_Quantificacao!M30</f>
        <v>0</v>
      </c>
      <c r="Q45" s="1185">
        <f>Dren_Quantificacao!N30</f>
        <v>0</v>
      </c>
      <c r="R45" s="1185">
        <f>Dren_Quantificacao!O30</f>
        <v>0</v>
      </c>
      <c r="S45" s="1185">
        <f>Dren_Quantificacao!P30</f>
        <v>0</v>
      </c>
      <c r="T45" s="1185">
        <f>Dren_Quantificacao!Q30</f>
        <v>0</v>
      </c>
      <c r="U45" s="1185">
        <f>Dren_Quantificacao!R30</f>
        <v>0</v>
      </c>
      <c r="V45" s="1185">
        <f>Dren_Quantificacao!S30</f>
        <v>0</v>
      </c>
      <c r="W45" s="1185">
        <f>Dren_Quantificacao!T30</f>
        <v>0</v>
      </c>
      <c r="X45" s="1185">
        <f>Dren_Quantificacao!U30</f>
        <v>0</v>
      </c>
      <c r="Y45" s="1185">
        <f>Dren_Quantificacao!V30</f>
        <v>0</v>
      </c>
      <c r="Z45" s="1185">
        <f>Dren_Quantificacao!W30</f>
        <v>0</v>
      </c>
      <c r="AA45" s="1185">
        <f>Dren_Quantificacao!X30</f>
        <v>0</v>
      </c>
      <c r="AB45" s="1185">
        <f>Dren_Quantificacao!Y30</f>
        <v>0</v>
      </c>
      <c r="AC45" s="1185">
        <f>Dren_Quantificacao!Z30</f>
        <v>0</v>
      </c>
      <c r="AD45" s="1185">
        <f>Dren_Quantificacao!AA30</f>
        <v>0</v>
      </c>
      <c r="AE45" s="1185">
        <f>Dren_Quantificacao!AB30</f>
        <v>0</v>
      </c>
      <c r="AF45" s="1185">
        <f>Dren_Quantificacao!AC30</f>
        <v>0</v>
      </c>
      <c r="AG45" s="1185">
        <f>Dren_Quantificacao!AD30</f>
        <v>0</v>
      </c>
      <c r="AH45" s="1185">
        <f>Dren_Quantificacao!AE30</f>
        <v>0</v>
      </c>
      <c r="AI45" s="1185">
        <f>Dren_Quantificacao!AF30</f>
        <v>0</v>
      </c>
      <c r="AJ45" s="1185">
        <f>Dren_Quantificacao!AG30</f>
        <v>0</v>
      </c>
      <c r="AK45" s="1185">
        <f>Dren_Quantificacao!AH30</f>
        <v>0</v>
      </c>
      <c r="AL45" s="1185">
        <f>Dren_Quantificacao!AI30</f>
        <v>0</v>
      </c>
      <c r="AM45" s="1185">
        <f>Dren_Quantificacao!AJ30</f>
        <v>0</v>
      </c>
      <c r="AN45" s="1185">
        <f>Dren_Quantificacao!AK30</f>
        <v>0</v>
      </c>
      <c r="AO45" s="1185">
        <f>Dren_Quantificacao!AL30</f>
        <v>0</v>
      </c>
      <c r="AP45" s="1185">
        <f>Dren_Quantificacao!AM30</f>
        <v>0</v>
      </c>
      <c r="AQ45" s="1185">
        <f>Dren_Quantificacao!AN30</f>
        <v>0</v>
      </c>
      <c r="AR45" s="1185">
        <f>Dren_Quantificacao!AO30</f>
        <v>0</v>
      </c>
      <c r="AS45" s="1185">
        <f>Dren_Quantificacao!AP30</f>
        <v>0</v>
      </c>
      <c r="AT45" s="1185">
        <f>Dren_Quantificacao!AQ30</f>
        <v>0</v>
      </c>
      <c r="AU45" s="1185">
        <f>Dren_Quantificacao!AR30</f>
        <v>0</v>
      </c>
      <c r="AV45" s="1185">
        <f>Dren_Quantificacao!AS30</f>
        <v>0</v>
      </c>
      <c r="AW45" s="1185">
        <f>Dren_Quantificacao!AT30</f>
        <v>0</v>
      </c>
      <c r="AX45" s="1185">
        <f>Dren_Quantificacao!AU30</f>
        <v>0</v>
      </c>
      <c r="AY45" s="1185"/>
      <c r="AZ45" s="1186"/>
      <c r="BA45" s="579">
        <f t="shared" si="18"/>
        <v>0</v>
      </c>
    </row>
    <row r="46" spans="1:56" ht="21.95" hidden="1" customHeight="1" x14ac:dyDescent="0.15">
      <c r="A46" s="2596"/>
      <c r="B46" s="2767"/>
      <c r="C46" s="567" t="s">
        <v>1373</v>
      </c>
      <c r="E46" s="1358"/>
      <c r="F46" s="1154">
        <f>Dre_Profunda!I114</f>
        <v>0</v>
      </c>
      <c r="G46" s="1154">
        <f t="shared" ref="G46:AX46" si="29">G45*G32*2.346/100</f>
        <v>0</v>
      </c>
      <c r="H46" s="1154">
        <f t="shared" si="29"/>
        <v>0</v>
      </c>
      <c r="I46" s="1154">
        <f t="shared" si="29"/>
        <v>0</v>
      </c>
      <c r="J46" s="1154">
        <f t="shared" si="29"/>
        <v>0</v>
      </c>
      <c r="K46" s="1154">
        <f t="shared" si="29"/>
        <v>0</v>
      </c>
      <c r="L46" s="1154">
        <f t="shared" si="29"/>
        <v>0</v>
      </c>
      <c r="M46" s="1154">
        <f t="shared" si="29"/>
        <v>0</v>
      </c>
      <c r="N46" s="1154">
        <f t="shared" si="29"/>
        <v>0</v>
      </c>
      <c r="O46" s="1154">
        <f t="shared" si="29"/>
        <v>0</v>
      </c>
      <c r="P46" s="1154">
        <f t="shared" si="29"/>
        <v>0</v>
      </c>
      <c r="Q46" s="1154">
        <f t="shared" si="29"/>
        <v>0</v>
      </c>
      <c r="R46" s="1154">
        <f t="shared" si="29"/>
        <v>0</v>
      </c>
      <c r="S46" s="1154">
        <f t="shared" si="29"/>
        <v>0</v>
      </c>
      <c r="T46" s="1154">
        <f t="shared" si="29"/>
        <v>0</v>
      </c>
      <c r="U46" s="1154">
        <f t="shared" si="29"/>
        <v>0</v>
      </c>
      <c r="V46" s="1154">
        <f t="shared" si="29"/>
        <v>0</v>
      </c>
      <c r="W46" s="1154">
        <f t="shared" si="29"/>
        <v>0</v>
      </c>
      <c r="X46" s="1154">
        <f t="shared" si="29"/>
        <v>0</v>
      </c>
      <c r="Y46" s="1154">
        <f t="shared" si="29"/>
        <v>0</v>
      </c>
      <c r="Z46" s="1154">
        <f t="shared" si="29"/>
        <v>0</v>
      </c>
      <c r="AA46" s="1154">
        <f t="shared" si="29"/>
        <v>0</v>
      </c>
      <c r="AB46" s="1154">
        <f t="shared" si="29"/>
        <v>0</v>
      </c>
      <c r="AC46" s="1154">
        <f t="shared" si="29"/>
        <v>0</v>
      </c>
      <c r="AD46" s="1154">
        <f t="shared" si="29"/>
        <v>0</v>
      </c>
      <c r="AE46" s="1154">
        <f t="shared" si="29"/>
        <v>0</v>
      </c>
      <c r="AF46" s="1154">
        <f t="shared" ca="1" si="29"/>
        <v>0</v>
      </c>
      <c r="AG46" s="1154">
        <f t="shared" ca="1" si="29"/>
        <v>0</v>
      </c>
      <c r="AH46" s="1154">
        <f t="shared" si="29"/>
        <v>0</v>
      </c>
      <c r="AI46" s="1154">
        <f t="shared" si="29"/>
        <v>0</v>
      </c>
      <c r="AJ46" s="1154">
        <f t="shared" si="29"/>
        <v>0</v>
      </c>
      <c r="AK46" s="1154">
        <f t="shared" si="29"/>
        <v>0</v>
      </c>
      <c r="AL46" s="1154">
        <f t="shared" si="29"/>
        <v>0</v>
      </c>
      <c r="AM46" s="1154">
        <f t="shared" si="29"/>
        <v>0</v>
      </c>
      <c r="AN46" s="1154">
        <f t="shared" si="29"/>
        <v>0</v>
      </c>
      <c r="AO46" s="1154">
        <f t="shared" si="29"/>
        <v>0</v>
      </c>
      <c r="AP46" s="1154">
        <f t="shared" si="29"/>
        <v>0</v>
      </c>
      <c r="AQ46" s="1154">
        <f t="shared" si="29"/>
        <v>0</v>
      </c>
      <c r="AR46" s="1154">
        <f t="shared" si="29"/>
        <v>0</v>
      </c>
      <c r="AS46" s="1154">
        <f t="shared" si="29"/>
        <v>0</v>
      </c>
      <c r="AT46" s="1154">
        <f t="shared" si="29"/>
        <v>0</v>
      </c>
      <c r="AU46" s="1154">
        <f t="shared" si="29"/>
        <v>0</v>
      </c>
      <c r="AV46" s="1154">
        <f t="shared" si="29"/>
        <v>0</v>
      </c>
      <c r="AW46" s="1154">
        <f t="shared" si="29"/>
        <v>0</v>
      </c>
      <c r="AX46" s="1154">
        <f t="shared" si="29"/>
        <v>0</v>
      </c>
      <c r="AY46" s="1154"/>
      <c r="AZ46" s="1155">
        <f t="shared" ref="AZ46:AZ51" ca="1" si="30">ROUND(SUM(F46:AY46),2)</f>
        <v>0</v>
      </c>
      <c r="BA46" s="579">
        <f t="shared" ca="1" si="18"/>
        <v>0</v>
      </c>
      <c r="BB46" s="540"/>
    </row>
    <row r="47" spans="1:56" ht="21.95" hidden="1" customHeight="1" x14ac:dyDescent="0.15">
      <c r="A47" s="2596"/>
      <c r="B47" s="2767"/>
      <c r="C47" s="567" t="s">
        <v>717</v>
      </c>
      <c r="E47" s="1358"/>
      <c r="F47" s="1154">
        <f>Dre_Profunda!I115</f>
        <v>0</v>
      </c>
      <c r="G47" s="1154">
        <f t="shared" ref="G47:AX47" si="31">IF(G12&lt;=2.5,G14*G45/100,0)+(G8+G11)*G45/100</f>
        <v>0</v>
      </c>
      <c r="H47" s="1154">
        <f t="shared" si="31"/>
        <v>0</v>
      </c>
      <c r="I47" s="1154">
        <f t="shared" si="31"/>
        <v>0</v>
      </c>
      <c r="J47" s="1154">
        <f t="shared" si="31"/>
        <v>0</v>
      </c>
      <c r="K47" s="1154">
        <f t="shared" si="31"/>
        <v>0</v>
      </c>
      <c r="L47" s="1154">
        <f t="shared" si="31"/>
        <v>0</v>
      </c>
      <c r="M47" s="1154">
        <f t="shared" si="31"/>
        <v>0</v>
      </c>
      <c r="N47" s="1154">
        <f t="shared" si="31"/>
        <v>0</v>
      </c>
      <c r="O47" s="1154">
        <f t="shared" si="31"/>
        <v>0</v>
      </c>
      <c r="P47" s="1154">
        <f t="shared" si="31"/>
        <v>0</v>
      </c>
      <c r="Q47" s="1154">
        <f t="shared" si="31"/>
        <v>0</v>
      </c>
      <c r="R47" s="1154">
        <f t="shared" si="31"/>
        <v>0</v>
      </c>
      <c r="S47" s="1154">
        <f t="shared" si="31"/>
        <v>0</v>
      </c>
      <c r="T47" s="1154">
        <f t="shared" si="31"/>
        <v>0</v>
      </c>
      <c r="U47" s="1154">
        <f t="shared" si="31"/>
        <v>0</v>
      </c>
      <c r="V47" s="1154">
        <f t="shared" si="31"/>
        <v>0</v>
      </c>
      <c r="W47" s="1154">
        <f t="shared" si="31"/>
        <v>0</v>
      </c>
      <c r="X47" s="1154">
        <f t="shared" si="31"/>
        <v>0</v>
      </c>
      <c r="Y47" s="1154">
        <f t="shared" si="31"/>
        <v>0</v>
      </c>
      <c r="Z47" s="1154">
        <f t="shared" si="31"/>
        <v>0</v>
      </c>
      <c r="AA47" s="1154">
        <f t="shared" si="31"/>
        <v>0</v>
      </c>
      <c r="AB47" s="1154">
        <f t="shared" si="31"/>
        <v>0</v>
      </c>
      <c r="AC47" s="1154">
        <f t="shared" si="31"/>
        <v>0</v>
      </c>
      <c r="AD47" s="1154">
        <f t="shared" si="31"/>
        <v>0</v>
      </c>
      <c r="AE47" s="1154">
        <f t="shared" si="31"/>
        <v>0</v>
      </c>
      <c r="AF47" s="1154">
        <f t="shared" ca="1" si="31"/>
        <v>0</v>
      </c>
      <c r="AG47" s="1154">
        <f t="shared" ca="1" si="31"/>
        <v>0</v>
      </c>
      <c r="AH47" s="1154">
        <f t="shared" si="31"/>
        <v>0</v>
      </c>
      <c r="AI47" s="1154">
        <f t="shared" si="31"/>
        <v>0</v>
      </c>
      <c r="AJ47" s="1154">
        <f t="shared" si="31"/>
        <v>0</v>
      </c>
      <c r="AK47" s="1154">
        <f t="shared" si="31"/>
        <v>0</v>
      </c>
      <c r="AL47" s="1154">
        <f t="shared" si="31"/>
        <v>0</v>
      </c>
      <c r="AM47" s="1154">
        <f t="shared" si="31"/>
        <v>0</v>
      </c>
      <c r="AN47" s="1154">
        <f t="shared" si="31"/>
        <v>0</v>
      </c>
      <c r="AO47" s="1154">
        <f t="shared" si="31"/>
        <v>0</v>
      </c>
      <c r="AP47" s="1154">
        <f t="shared" si="31"/>
        <v>0</v>
      </c>
      <c r="AQ47" s="1154">
        <f t="shared" si="31"/>
        <v>0</v>
      </c>
      <c r="AR47" s="1154">
        <f t="shared" si="31"/>
        <v>0</v>
      </c>
      <c r="AS47" s="1154">
        <f t="shared" si="31"/>
        <v>0</v>
      </c>
      <c r="AT47" s="1154">
        <f t="shared" si="31"/>
        <v>0</v>
      </c>
      <c r="AU47" s="1154">
        <f t="shared" si="31"/>
        <v>0</v>
      </c>
      <c r="AV47" s="1154">
        <f t="shared" si="31"/>
        <v>0</v>
      </c>
      <c r="AW47" s="1154">
        <f t="shared" si="31"/>
        <v>0</v>
      </c>
      <c r="AX47" s="1154">
        <f t="shared" si="31"/>
        <v>0</v>
      </c>
      <c r="AY47" s="1154"/>
      <c r="AZ47" s="1156">
        <f t="shared" ca="1" si="30"/>
        <v>0</v>
      </c>
      <c r="BA47" s="579">
        <f t="shared" ca="1" si="18"/>
        <v>0</v>
      </c>
    </row>
    <row r="48" spans="1:56" ht="32.1" hidden="1" customHeight="1" x14ac:dyDescent="0.15">
      <c r="A48" s="2596"/>
      <c r="B48" s="2767"/>
      <c r="C48" s="567" t="s">
        <v>2750</v>
      </c>
      <c r="E48" s="1358"/>
      <c r="F48" s="1570"/>
      <c r="G48" s="1154">
        <f t="shared" ref="G48:AX48" si="32">IF(G12&gt;2.5,G14*G45/100,0)</f>
        <v>0</v>
      </c>
      <c r="H48" s="1154">
        <f t="shared" si="32"/>
        <v>0</v>
      </c>
      <c r="I48" s="1154">
        <f t="shared" si="32"/>
        <v>0</v>
      </c>
      <c r="J48" s="1154">
        <f t="shared" si="32"/>
        <v>0</v>
      </c>
      <c r="K48" s="1154">
        <f t="shared" si="32"/>
        <v>0</v>
      </c>
      <c r="L48" s="1154">
        <f t="shared" si="32"/>
        <v>0</v>
      </c>
      <c r="M48" s="1154">
        <f t="shared" si="32"/>
        <v>0</v>
      </c>
      <c r="N48" s="1154">
        <f t="shared" si="32"/>
        <v>0</v>
      </c>
      <c r="O48" s="1154">
        <f t="shared" si="32"/>
        <v>0</v>
      </c>
      <c r="P48" s="1154">
        <f t="shared" si="32"/>
        <v>0</v>
      </c>
      <c r="Q48" s="1154">
        <f t="shared" si="32"/>
        <v>0</v>
      </c>
      <c r="R48" s="1154">
        <f t="shared" si="32"/>
        <v>0</v>
      </c>
      <c r="S48" s="1154">
        <f t="shared" si="32"/>
        <v>0</v>
      </c>
      <c r="T48" s="1154">
        <f t="shared" si="32"/>
        <v>0</v>
      </c>
      <c r="U48" s="1154">
        <f t="shared" si="32"/>
        <v>0</v>
      </c>
      <c r="V48" s="1154">
        <f t="shared" si="32"/>
        <v>0</v>
      </c>
      <c r="W48" s="1154">
        <f t="shared" si="32"/>
        <v>0</v>
      </c>
      <c r="X48" s="1154">
        <f t="shared" si="32"/>
        <v>0</v>
      </c>
      <c r="Y48" s="1154">
        <f t="shared" si="32"/>
        <v>0</v>
      </c>
      <c r="Z48" s="1154">
        <f t="shared" si="32"/>
        <v>0</v>
      </c>
      <c r="AA48" s="1154">
        <f t="shared" si="32"/>
        <v>0</v>
      </c>
      <c r="AB48" s="1154">
        <f t="shared" si="32"/>
        <v>0</v>
      </c>
      <c r="AC48" s="1154">
        <f t="shared" si="32"/>
        <v>0</v>
      </c>
      <c r="AD48" s="1154">
        <f t="shared" si="32"/>
        <v>0</v>
      </c>
      <c r="AE48" s="1154">
        <f t="shared" si="32"/>
        <v>0</v>
      </c>
      <c r="AF48" s="1154">
        <f t="shared" ca="1" si="32"/>
        <v>0</v>
      </c>
      <c r="AG48" s="1154">
        <f t="shared" ca="1" si="32"/>
        <v>0</v>
      </c>
      <c r="AH48" s="1154">
        <f t="shared" si="32"/>
        <v>0</v>
      </c>
      <c r="AI48" s="1154">
        <f t="shared" si="32"/>
        <v>0</v>
      </c>
      <c r="AJ48" s="1154">
        <f t="shared" si="32"/>
        <v>0</v>
      </c>
      <c r="AK48" s="1154">
        <f t="shared" si="32"/>
        <v>0</v>
      </c>
      <c r="AL48" s="1154">
        <f t="shared" si="32"/>
        <v>0</v>
      </c>
      <c r="AM48" s="1154">
        <f t="shared" si="32"/>
        <v>0</v>
      </c>
      <c r="AN48" s="1154">
        <f t="shared" si="32"/>
        <v>0</v>
      </c>
      <c r="AO48" s="1154">
        <f t="shared" si="32"/>
        <v>0</v>
      </c>
      <c r="AP48" s="1154">
        <f t="shared" si="32"/>
        <v>0</v>
      </c>
      <c r="AQ48" s="1154">
        <f t="shared" si="32"/>
        <v>0</v>
      </c>
      <c r="AR48" s="1154">
        <f t="shared" si="32"/>
        <v>0</v>
      </c>
      <c r="AS48" s="1154">
        <f t="shared" si="32"/>
        <v>0</v>
      </c>
      <c r="AT48" s="1154">
        <f t="shared" si="32"/>
        <v>0</v>
      </c>
      <c r="AU48" s="1154">
        <f t="shared" si="32"/>
        <v>0</v>
      </c>
      <c r="AV48" s="1154">
        <f t="shared" si="32"/>
        <v>0</v>
      </c>
      <c r="AW48" s="1154">
        <f t="shared" si="32"/>
        <v>0</v>
      </c>
      <c r="AX48" s="1154">
        <f t="shared" si="32"/>
        <v>0</v>
      </c>
      <c r="AY48" s="1154"/>
      <c r="AZ48" s="1156">
        <f t="shared" ca="1" si="30"/>
        <v>0</v>
      </c>
      <c r="BA48" s="579">
        <f t="shared" ca="1" si="18"/>
        <v>0</v>
      </c>
      <c r="BB48" s="1031" t="s">
        <v>1196</v>
      </c>
      <c r="BC48" s="1032" t="s">
        <v>1264</v>
      </c>
      <c r="BD48" s="1032" t="s">
        <v>1265</v>
      </c>
    </row>
    <row r="49" spans="1:56" ht="21.95" hidden="1" customHeight="1" x14ac:dyDescent="0.15">
      <c r="A49" s="2596"/>
      <c r="B49" s="2767"/>
      <c r="C49" s="808" t="s">
        <v>952</v>
      </c>
      <c r="D49" s="1548"/>
      <c r="E49" s="1358"/>
      <c r="F49" s="1154">
        <f>Dre_Profunda!I116</f>
        <v>0</v>
      </c>
      <c r="G49" s="1154">
        <f t="shared" ref="G49:AX49" si="33">(G47+G48)*0.132</f>
        <v>0</v>
      </c>
      <c r="H49" s="1154">
        <f t="shared" si="33"/>
        <v>0</v>
      </c>
      <c r="I49" s="1154">
        <f t="shared" si="33"/>
        <v>0</v>
      </c>
      <c r="J49" s="1154">
        <f t="shared" si="33"/>
        <v>0</v>
      </c>
      <c r="K49" s="1154">
        <f t="shared" si="33"/>
        <v>0</v>
      </c>
      <c r="L49" s="1154">
        <f t="shared" si="33"/>
        <v>0</v>
      </c>
      <c r="M49" s="1154">
        <f t="shared" si="33"/>
        <v>0</v>
      </c>
      <c r="N49" s="1154">
        <f t="shared" si="33"/>
        <v>0</v>
      </c>
      <c r="O49" s="1154">
        <f t="shared" si="33"/>
        <v>0</v>
      </c>
      <c r="P49" s="1154">
        <f t="shared" si="33"/>
        <v>0</v>
      </c>
      <c r="Q49" s="1154">
        <f t="shared" si="33"/>
        <v>0</v>
      </c>
      <c r="R49" s="1154">
        <f t="shared" si="33"/>
        <v>0</v>
      </c>
      <c r="S49" s="1154">
        <f t="shared" si="33"/>
        <v>0</v>
      </c>
      <c r="T49" s="1154">
        <f t="shared" si="33"/>
        <v>0</v>
      </c>
      <c r="U49" s="1154">
        <f t="shared" si="33"/>
        <v>0</v>
      </c>
      <c r="V49" s="1154">
        <f t="shared" si="33"/>
        <v>0</v>
      </c>
      <c r="W49" s="1154">
        <f t="shared" si="33"/>
        <v>0</v>
      </c>
      <c r="X49" s="1154">
        <f t="shared" si="33"/>
        <v>0</v>
      </c>
      <c r="Y49" s="1154">
        <f t="shared" si="33"/>
        <v>0</v>
      </c>
      <c r="Z49" s="1154">
        <f t="shared" si="33"/>
        <v>0</v>
      </c>
      <c r="AA49" s="1154">
        <f t="shared" si="33"/>
        <v>0</v>
      </c>
      <c r="AB49" s="1154">
        <f t="shared" si="33"/>
        <v>0</v>
      </c>
      <c r="AC49" s="1154">
        <f t="shared" si="33"/>
        <v>0</v>
      </c>
      <c r="AD49" s="1154">
        <f t="shared" si="33"/>
        <v>0</v>
      </c>
      <c r="AE49" s="1154">
        <f t="shared" si="33"/>
        <v>0</v>
      </c>
      <c r="AF49" s="1154">
        <f t="shared" ca="1" si="33"/>
        <v>0</v>
      </c>
      <c r="AG49" s="1154">
        <f t="shared" ca="1" si="33"/>
        <v>0</v>
      </c>
      <c r="AH49" s="1154">
        <f t="shared" si="33"/>
        <v>0</v>
      </c>
      <c r="AI49" s="1154">
        <f t="shared" si="33"/>
        <v>0</v>
      </c>
      <c r="AJ49" s="1154">
        <f t="shared" si="33"/>
        <v>0</v>
      </c>
      <c r="AK49" s="1154">
        <f t="shared" si="33"/>
        <v>0</v>
      </c>
      <c r="AL49" s="1154">
        <f t="shared" si="33"/>
        <v>0</v>
      </c>
      <c r="AM49" s="1154">
        <f t="shared" si="33"/>
        <v>0</v>
      </c>
      <c r="AN49" s="1154">
        <f t="shared" si="33"/>
        <v>0</v>
      </c>
      <c r="AO49" s="1154">
        <f t="shared" si="33"/>
        <v>0</v>
      </c>
      <c r="AP49" s="1154">
        <f t="shared" si="33"/>
        <v>0</v>
      </c>
      <c r="AQ49" s="1154">
        <f t="shared" si="33"/>
        <v>0</v>
      </c>
      <c r="AR49" s="1154">
        <f t="shared" si="33"/>
        <v>0</v>
      </c>
      <c r="AS49" s="1154">
        <f t="shared" si="33"/>
        <v>0</v>
      </c>
      <c r="AT49" s="1154">
        <f t="shared" si="33"/>
        <v>0</v>
      </c>
      <c r="AU49" s="1154">
        <f t="shared" si="33"/>
        <v>0</v>
      </c>
      <c r="AV49" s="1154">
        <f t="shared" si="33"/>
        <v>0</v>
      </c>
      <c r="AW49" s="1154">
        <f t="shared" si="33"/>
        <v>0</v>
      </c>
      <c r="AX49" s="1154">
        <f t="shared" si="33"/>
        <v>0</v>
      </c>
      <c r="AY49" s="1154"/>
      <c r="AZ49" s="1156">
        <f t="shared" ca="1" si="30"/>
        <v>0</v>
      </c>
      <c r="BA49" s="579">
        <f t="shared" ca="1" si="18"/>
        <v>0</v>
      </c>
      <c r="BB49" s="1024" t="s">
        <v>1182</v>
      </c>
      <c r="BC49" s="1024" t="s">
        <v>1182</v>
      </c>
      <c r="BD49" s="1024" t="s">
        <v>1182</v>
      </c>
    </row>
    <row r="50" spans="1:56" ht="21.95" hidden="1" customHeight="1" x14ac:dyDescent="0.15">
      <c r="A50" s="2596"/>
      <c r="B50" s="2767"/>
      <c r="C50" s="808" t="s">
        <v>696</v>
      </c>
      <c r="D50" s="1548"/>
      <c r="E50" s="1358"/>
      <c r="F50" s="1154">
        <f>Dre_Profunda!I117</f>
        <v>0</v>
      </c>
      <c r="G50" s="1154">
        <f t="shared" ref="G50:AX50" si="34">(G47+G48)*0.411</f>
        <v>0</v>
      </c>
      <c r="H50" s="1154">
        <f t="shared" si="34"/>
        <v>0</v>
      </c>
      <c r="I50" s="1154">
        <f t="shared" si="34"/>
        <v>0</v>
      </c>
      <c r="J50" s="1154">
        <f t="shared" si="34"/>
        <v>0</v>
      </c>
      <c r="K50" s="1154">
        <f t="shared" si="34"/>
        <v>0</v>
      </c>
      <c r="L50" s="1154">
        <f t="shared" si="34"/>
        <v>0</v>
      </c>
      <c r="M50" s="1154">
        <f t="shared" si="34"/>
        <v>0</v>
      </c>
      <c r="N50" s="1154">
        <f t="shared" si="34"/>
        <v>0</v>
      </c>
      <c r="O50" s="1154">
        <f t="shared" si="34"/>
        <v>0</v>
      </c>
      <c r="P50" s="1154">
        <f t="shared" si="34"/>
        <v>0</v>
      </c>
      <c r="Q50" s="1154">
        <f t="shared" si="34"/>
        <v>0</v>
      </c>
      <c r="R50" s="1154">
        <f t="shared" si="34"/>
        <v>0</v>
      </c>
      <c r="S50" s="1154">
        <f t="shared" si="34"/>
        <v>0</v>
      </c>
      <c r="T50" s="1154">
        <f t="shared" si="34"/>
        <v>0</v>
      </c>
      <c r="U50" s="1154">
        <f t="shared" si="34"/>
        <v>0</v>
      </c>
      <c r="V50" s="1154">
        <f t="shared" si="34"/>
        <v>0</v>
      </c>
      <c r="W50" s="1154">
        <f t="shared" si="34"/>
        <v>0</v>
      </c>
      <c r="X50" s="1154">
        <f t="shared" si="34"/>
        <v>0</v>
      </c>
      <c r="Y50" s="1154">
        <f t="shared" si="34"/>
        <v>0</v>
      </c>
      <c r="Z50" s="1154">
        <f t="shared" si="34"/>
        <v>0</v>
      </c>
      <c r="AA50" s="1154">
        <f t="shared" si="34"/>
        <v>0</v>
      </c>
      <c r="AB50" s="1154">
        <f t="shared" si="34"/>
        <v>0</v>
      </c>
      <c r="AC50" s="1154">
        <f t="shared" si="34"/>
        <v>0</v>
      </c>
      <c r="AD50" s="1154">
        <f t="shared" si="34"/>
        <v>0</v>
      </c>
      <c r="AE50" s="1154">
        <f t="shared" si="34"/>
        <v>0</v>
      </c>
      <c r="AF50" s="1154">
        <f t="shared" ca="1" si="34"/>
        <v>0</v>
      </c>
      <c r="AG50" s="1154">
        <f t="shared" ca="1" si="34"/>
        <v>0</v>
      </c>
      <c r="AH50" s="1154">
        <f t="shared" si="34"/>
        <v>0</v>
      </c>
      <c r="AI50" s="1154">
        <f t="shared" si="34"/>
        <v>0</v>
      </c>
      <c r="AJ50" s="1154">
        <f t="shared" si="34"/>
        <v>0</v>
      </c>
      <c r="AK50" s="1154">
        <f t="shared" si="34"/>
        <v>0</v>
      </c>
      <c r="AL50" s="1154">
        <f t="shared" si="34"/>
        <v>0</v>
      </c>
      <c r="AM50" s="1154">
        <f t="shared" si="34"/>
        <v>0</v>
      </c>
      <c r="AN50" s="1154">
        <f t="shared" si="34"/>
        <v>0</v>
      </c>
      <c r="AO50" s="1154">
        <f t="shared" si="34"/>
        <v>0</v>
      </c>
      <c r="AP50" s="1154">
        <f t="shared" si="34"/>
        <v>0</v>
      </c>
      <c r="AQ50" s="1154">
        <f t="shared" si="34"/>
        <v>0</v>
      </c>
      <c r="AR50" s="1154">
        <f t="shared" si="34"/>
        <v>0</v>
      </c>
      <c r="AS50" s="1154">
        <f t="shared" si="34"/>
        <v>0</v>
      </c>
      <c r="AT50" s="1154">
        <f t="shared" si="34"/>
        <v>0</v>
      </c>
      <c r="AU50" s="1154">
        <f t="shared" si="34"/>
        <v>0</v>
      </c>
      <c r="AV50" s="1154">
        <f t="shared" si="34"/>
        <v>0</v>
      </c>
      <c r="AW50" s="1154">
        <f t="shared" si="34"/>
        <v>0</v>
      </c>
      <c r="AX50" s="1154">
        <f t="shared" si="34"/>
        <v>0</v>
      </c>
      <c r="AY50" s="1154"/>
      <c r="AZ50" s="1156">
        <f t="shared" ca="1" si="30"/>
        <v>0</v>
      </c>
      <c r="BA50" s="579">
        <f t="shared" ca="1" si="18"/>
        <v>0</v>
      </c>
      <c r="BB50" s="1025">
        <v>94963</v>
      </c>
      <c r="BC50" s="1025">
        <v>94963</v>
      </c>
      <c r="BD50" s="1025">
        <v>94963</v>
      </c>
    </row>
    <row r="51" spans="1:56" ht="21.95" hidden="1" customHeight="1" thickBot="1" x14ac:dyDescent="0.2">
      <c r="A51" s="2596"/>
      <c r="B51" s="2767"/>
      <c r="C51" s="563" t="s">
        <v>687</v>
      </c>
      <c r="D51" s="1548"/>
      <c r="E51" s="1358"/>
      <c r="F51" s="1154">
        <f>Dre_Profunda!I118</f>
        <v>0</v>
      </c>
      <c r="G51" s="1154">
        <f t="shared" ref="G51:AX51" si="35">(G47+G48)*0.968</f>
        <v>0</v>
      </c>
      <c r="H51" s="1154">
        <f t="shared" si="35"/>
        <v>0</v>
      </c>
      <c r="I51" s="1154">
        <f t="shared" si="35"/>
        <v>0</v>
      </c>
      <c r="J51" s="1154">
        <f t="shared" si="35"/>
        <v>0</v>
      </c>
      <c r="K51" s="1154">
        <f t="shared" si="35"/>
        <v>0</v>
      </c>
      <c r="L51" s="1154">
        <f t="shared" si="35"/>
        <v>0</v>
      </c>
      <c r="M51" s="1154">
        <f t="shared" si="35"/>
        <v>0</v>
      </c>
      <c r="N51" s="1154">
        <f t="shared" si="35"/>
        <v>0</v>
      </c>
      <c r="O51" s="1154">
        <f t="shared" si="35"/>
        <v>0</v>
      </c>
      <c r="P51" s="1154">
        <f t="shared" si="35"/>
        <v>0</v>
      </c>
      <c r="Q51" s="1154">
        <f t="shared" si="35"/>
        <v>0</v>
      </c>
      <c r="R51" s="1154">
        <f t="shared" si="35"/>
        <v>0</v>
      </c>
      <c r="S51" s="1154">
        <f t="shared" si="35"/>
        <v>0</v>
      </c>
      <c r="T51" s="1154">
        <f t="shared" si="35"/>
        <v>0</v>
      </c>
      <c r="U51" s="1154">
        <f t="shared" si="35"/>
        <v>0</v>
      </c>
      <c r="V51" s="1154">
        <f t="shared" si="35"/>
        <v>0</v>
      </c>
      <c r="W51" s="1154">
        <f t="shared" si="35"/>
        <v>0</v>
      </c>
      <c r="X51" s="1154">
        <f t="shared" si="35"/>
        <v>0</v>
      </c>
      <c r="Y51" s="1154">
        <f t="shared" si="35"/>
        <v>0</v>
      </c>
      <c r="Z51" s="1154">
        <f t="shared" si="35"/>
        <v>0</v>
      </c>
      <c r="AA51" s="1154">
        <f t="shared" si="35"/>
        <v>0</v>
      </c>
      <c r="AB51" s="1154">
        <f t="shared" si="35"/>
        <v>0</v>
      </c>
      <c r="AC51" s="1154">
        <f t="shared" si="35"/>
        <v>0</v>
      </c>
      <c r="AD51" s="1154">
        <f t="shared" si="35"/>
        <v>0</v>
      </c>
      <c r="AE51" s="1154">
        <f t="shared" si="35"/>
        <v>0</v>
      </c>
      <c r="AF51" s="1154">
        <f t="shared" ca="1" si="35"/>
        <v>0</v>
      </c>
      <c r="AG51" s="1154">
        <f t="shared" ca="1" si="35"/>
        <v>0</v>
      </c>
      <c r="AH51" s="1154">
        <f t="shared" si="35"/>
        <v>0</v>
      </c>
      <c r="AI51" s="1154">
        <f t="shared" si="35"/>
        <v>0</v>
      </c>
      <c r="AJ51" s="1154">
        <f t="shared" si="35"/>
        <v>0</v>
      </c>
      <c r="AK51" s="1154">
        <f t="shared" si="35"/>
        <v>0</v>
      </c>
      <c r="AL51" s="1154">
        <f t="shared" si="35"/>
        <v>0</v>
      </c>
      <c r="AM51" s="1154">
        <f t="shared" si="35"/>
        <v>0</v>
      </c>
      <c r="AN51" s="1154">
        <f t="shared" si="35"/>
        <v>0</v>
      </c>
      <c r="AO51" s="1154">
        <f t="shared" si="35"/>
        <v>0</v>
      </c>
      <c r="AP51" s="1154">
        <f t="shared" si="35"/>
        <v>0</v>
      </c>
      <c r="AQ51" s="1154">
        <f t="shared" si="35"/>
        <v>0</v>
      </c>
      <c r="AR51" s="1154">
        <f t="shared" si="35"/>
        <v>0</v>
      </c>
      <c r="AS51" s="1154">
        <f t="shared" si="35"/>
        <v>0</v>
      </c>
      <c r="AT51" s="1154">
        <f t="shared" si="35"/>
        <v>0</v>
      </c>
      <c r="AU51" s="1154">
        <f t="shared" si="35"/>
        <v>0</v>
      </c>
      <c r="AV51" s="1154">
        <f t="shared" si="35"/>
        <v>0</v>
      </c>
      <c r="AW51" s="1154">
        <f t="shared" si="35"/>
        <v>0</v>
      </c>
      <c r="AX51" s="1154">
        <f t="shared" si="35"/>
        <v>0</v>
      </c>
      <c r="AY51" s="1154"/>
      <c r="AZ51" s="1156">
        <f t="shared" ca="1" si="30"/>
        <v>0</v>
      </c>
      <c r="BA51" s="579">
        <f t="shared" ca="1" si="18"/>
        <v>0</v>
      </c>
      <c r="BB51" s="1026">
        <v>273.06</v>
      </c>
      <c r="BC51" s="1027">
        <v>0.80500000000000005</v>
      </c>
      <c r="BD51" s="1027">
        <v>0.57899999999999996</v>
      </c>
    </row>
    <row r="52" spans="1:56" ht="21.95" hidden="1" customHeight="1" x14ac:dyDescent="0.15">
      <c r="A52" s="2596"/>
      <c r="B52" s="2766" t="s">
        <v>1281</v>
      </c>
      <c r="C52" s="560" t="s">
        <v>624</v>
      </c>
      <c r="D52" s="985"/>
      <c r="E52" s="1359"/>
      <c r="F52" s="1085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  <c r="AZ52" s="1019"/>
      <c r="BA52" s="579">
        <f t="shared" si="18"/>
        <v>0</v>
      </c>
      <c r="BB52" s="1048"/>
      <c r="BC52" s="1049"/>
      <c r="BD52" s="1049"/>
    </row>
    <row r="53" spans="1:56" ht="21.95" hidden="1" customHeight="1" x14ac:dyDescent="0.15">
      <c r="A53" s="2596"/>
      <c r="B53" s="2767"/>
      <c r="C53" s="559" t="s">
        <v>1282</v>
      </c>
      <c r="D53" s="1420"/>
      <c r="E53" s="1392"/>
      <c r="F53" s="1154"/>
      <c r="G53" s="1154">
        <f t="shared" ref="G53:AX53" si="36">IF(G$2=0,0,G52*G$2)</f>
        <v>0</v>
      </c>
      <c r="H53" s="1154">
        <f t="shared" si="36"/>
        <v>0</v>
      </c>
      <c r="I53" s="1154">
        <f t="shared" si="36"/>
        <v>0</v>
      </c>
      <c r="J53" s="1154">
        <f t="shared" si="36"/>
        <v>0</v>
      </c>
      <c r="K53" s="1154">
        <f t="shared" si="36"/>
        <v>0</v>
      </c>
      <c r="L53" s="1154">
        <f t="shared" si="36"/>
        <v>0</v>
      </c>
      <c r="M53" s="1154">
        <f t="shared" si="36"/>
        <v>0</v>
      </c>
      <c r="N53" s="1154">
        <f t="shared" si="36"/>
        <v>0</v>
      </c>
      <c r="O53" s="1154">
        <f t="shared" si="36"/>
        <v>0</v>
      </c>
      <c r="P53" s="1154">
        <f t="shared" si="36"/>
        <v>0</v>
      </c>
      <c r="Q53" s="1154">
        <f t="shared" si="36"/>
        <v>0</v>
      </c>
      <c r="R53" s="1154">
        <f t="shared" si="36"/>
        <v>0</v>
      </c>
      <c r="S53" s="1154">
        <f t="shared" si="36"/>
        <v>0</v>
      </c>
      <c r="T53" s="1154">
        <f t="shared" si="36"/>
        <v>0</v>
      </c>
      <c r="U53" s="1154">
        <f t="shared" ca="1" si="36"/>
        <v>0</v>
      </c>
      <c r="V53" s="1154">
        <f t="shared" si="36"/>
        <v>0</v>
      </c>
      <c r="W53" s="1154">
        <f t="shared" si="36"/>
        <v>0</v>
      </c>
      <c r="X53" s="1154">
        <f t="shared" si="36"/>
        <v>0</v>
      </c>
      <c r="Y53" s="1154">
        <f t="shared" si="36"/>
        <v>0</v>
      </c>
      <c r="Z53" s="1154">
        <f t="shared" si="36"/>
        <v>0</v>
      </c>
      <c r="AA53" s="1154">
        <f t="shared" si="36"/>
        <v>0</v>
      </c>
      <c r="AB53" s="1154">
        <f t="shared" si="36"/>
        <v>0</v>
      </c>
      <c r="AC53" s="1154">
        <f t="shared" si="36"/>
        <v>0</v>
      </c>
      <c r="AD53" s="1154">
        <f t="shared" si="36"/>
        <v>0</v>
      </c>
      <c r="AE53" s="1154">
        <f t="shared" si="36"/>
        <v>0</v>
      </c>
      <c r="AF53" s="1154">
        <f t="shared" ca="1" si="36"/>
        <v>0</v>
      </c>
      <c r="AG53" s="1154">
        <f t="shared" ca="1" si="36"/>
        <v>0</v>
      </c>
      <c r="AH53" s="1154">
        <f t="shared" si="36"/>
        <v>0</v>
      </c>
      <c r="AI53" s="1154">
        <f t="shared" si="36"/>
        <v>0</v>
      </c>
      <c r="AJ53" s="1154">
        <f t="shared" si="36"/>
        <v>0</v>
      </c>
      <c r="AK53" s="1154">
        <f t="shared" si="36"/>
        <v>0</v>
      </c>
      <c r="AL53" s="1154">
        <f t="shared" si="36"/>
        <v>0</v>
      </c>
      <c r="AM53" s="1154">
        <f t="shared" si="36"/>
        <v>0</v>
      </c>
      <c r="AN53" s="1154">
        <f t="shared" si="36"/>
        <v>0</v>
      </c>
      <c r="AO53" s="1154">
        <f t="shared" si="36"/>
        <v>0</v>
      </c>
      <c r="AP53" s="1154">
        <f t="shared" si="36"/>
        <v>0</v>
      </c>
      <c r="AQ53" s="1154">
        <f t="shared" si="36"/>
        <v>0</v>
      </c>
      <c r="AR53" s="1154">
        <f t="shared" si="36"/>
        <v>0</v>
      </c>
      <c r="AS53" s="1154">
        <f t="shared" si="36"/>
        <v>0</v>
      </c>
      <c r="AT53" s="1154">
        <f t="shared" si="36"/>
        <v>0</v>
      </c>
      <c r="AU53" s="1154">
        <f t="shared" si="36"/>
        <v>0</v>
      </c>
      <c r="AV53" s="1154">
        <f t="shared" si="36"/>
        <v>0</v>
      </c>
      <c r="AW53" s="1154">
        <f t="shared" si="36"/>
        <v>0</v>
      </c>
      <c r="AX53" s="1154">
        <f t="shared" si="36"/>
        <v>0</v>
      </c>
      <c r="AY53" s="1154"/>
      <c r="AZ53" s="1157">
        <f ca="1">ROUND(SUM(F53:AY53),2)</f>
        <v>0</v>
      </c>
      <c r="BA53" s="579">
        <f t="shared" ca="1" si="18"/>
        <v>0</v>
      </c>
      <c r="BB53" s="1050">
        <v>6.1499999999999999E-2</v>
      </c>
      <c r="BC53" s="1050">
        <v>6.1499999999999999E-2</v>
      </c>
      <c r="BD53" s="1050">
        <v>6.1499999999999999E-2</v>
      </c>
    </row>
    <row r="54" spans="1:56" ht="21.95" hidden="1" customHeight="1" x14ac:dyDescent="0.15">
      <c r="A54" s="2596"/>
      <c r="B54" s="2767"/>
      <c r="C54" s="808" t="s">
        <v>624</v>
      </c>
      <c r="D54" s="1549"/>
      <c r="E54" s="1550"/>
      <c r="F54" s="1556"/>
      <c r="G54" s="1021"/>
      <c r="H54" s="1021"/>
      <c r="I54" s="1021"/>
      <c r="J54" s="1021"/>
      <c r="K54" s="1021"/>
      <c r="L54" s="1021"/>
      <c r="M54" s="1021"/>
      <c r="N54" s="1021"/>
      <c r="O54" s="1021"/>
      <c r="P54" s="1021"/>
      <c r="Q54" s="1021"/>
      <c r="R54" s="1021"/>
      <c r="S54" s="1021"/>
      <c r="T54" s="1021"/>
      <c r="U54" s="1021"/>
      <c r="V54" s="1021"/>
      <c r="W54" s="1021"/>
      <c r="X54" s="1021"/>
      <c r="Y54" s="1021"/>
      <c r="Z54" s="1021"/>
      <c r="AA54" s="1021"/>
      <c r="AB54" s="1021"/>
      <c r="AC54" s="1021"/>
      <c r="AD54" s="1021"/>
      <c r="AE54" s="1021"/>
      <c r="AF54" s="1021"/>
      <c r="AG54" s="1021"/>
      <c r="AH54" s="1021"/>
      <c r="AI54" s="1021"/>
      <c r="AJ54" s="1021"/>
      <c r="AK54" s="1021"/>
      <c r="AL54" s="1021"/>
      <c r="AM54" s="1021"/>
      <c r="AN54" s="1021"/>
      <c r="AO54" s="1021"/>
      <c r="AP54" s="1021"/>
      <c r="AQ54" s="1021"/>
      <c r="AR54" s="1021"/>
      <c r="AS54" s="1021"/>
      <c r="AT54" s="1021"/>
      <c r="AU54" s="1021"/>
      <c r="AV54" s="1021"/>
      <c r="AW54" s="1021"/>
      <c r="AX54" s="1021"/>
      <c r="AY54" s="1021"/>
      <c r="AZ54" s="1020"/>
      <c r="BA54" s="579">
        <f t="shared" si="18"/>
        <v>0</v>
      </c>
      <c r="BB54" s="1050"/>
      <c r="BC54" s="1050"/>
      <c r="BD54" s="1050"/>
    </row>
    <row r="55" spans="1:56" ht="21.95" hidden="1" customHeight="1" x14ac:dyDescent="0.15">
      <c r="A55" s="2596"/>
      <c r="B55" s="2767"/>
      <c r="C55" s="567" t="s">
        <v>1283</v>
      </c>
      <c r="D55" s="1551"/>
      <c r="E55" s="1552"/>
      <c r="F55" s="1158"/>
      <c r="G55" s="1158">
        <f t="shared" ref="G55:AX55" si="37">IF(G$2=0,0,G54*G$2)</f>
        <v>0</v>
      </c>
      <c r="H55" s="1158">
        <f t="shared" si="37"/>
        <v>0</v>
      </c>
      <c r="I55" s="1158">
        <f t="shared" si="37"/>
        <v>0</v>
      </c>
      <c r="J55" s="1158">
        <f t="shared" si="37"/>
        <v>0</v>
      </c>
      <c r="K55" s="1158">
        <f t="shared" si="37"/>
        <v>0</v>
      </c>
      <c r="L55" s="1158">
        <f t="shared" si="37"/>
        <v>0</v>
      </c>
      <c r="M55" s="1158">
        <f t="shared" si="37"/>
        <v>0</v>
      </c>
      <c r="N55" s="1158">
        <f t="shared" si="37"/>
        <v>0</v>
      </c>
      <c r="O55" s="1158">
        <f t="shared" si="37"/>
        <v>0</v>
      </c>
      <c r="P55" s="1158">
        <f t="shared" si="37"/>
        <v>0</v>
      </c>
      <c r="Q55" s="1158">
        <f t="shared" si="37"/>
        <v>0</v>
      </c>
      <c r="R55" s="1158">
        <f t="shared" si="37"/>
        <v>0</v>
      </c>
      <c r="S55" s="1158">
        <f t="shared" si="37"/>
        <v>0</v>
      </c>
      <c r="T55" s="1158">
        <f t="shared" si="37"/>
        <v>0</v>
      </c>
      <c r="U55" s="1158">
        <f t="shared" ca="1" si="37"/>
        <v>0</v>
      </c>
      <c r="V55" s="1158">
        <f t="shared" si="37"/>
        <v>0</v>
      </c>
      <c r="W55" s="1158">
        <f t="shared" si="37"/>
        <v>0</v>
      </c>
      <c r="X55" s="1158">
        <f t="shared" si="37"/>
        <v>0</v>
      </c>
      <c r="Y55" s="1158">
        <f t="shared" si="37"/>
        <v>0</v>
      </c>
      <c r="Z55" s="1158">
        <f t="shared" si="37"/>
        <v>0</v>
      </c>
      <c r="AA55" s="1158">
        <f t="shared" si="37"/>
        <v>0</v>
      </c>
      <c r="AB55" s="1158">
        <f t="shared" si="37"/>
        <v>0</v>
      </c>
      <c r="AC55" s="1158">
        <f t="shared" si="37"/>
        <v>0</v>
      </c>
      <c r="AD55" s="1158">
        <f t="shared" si="37"/>
        <v>0</v>
      </c>
      <c r="AE55" s="1158">
        <f t="shared" si="37"/>
        <v>0</v>
      </c>
      <c r="AF55" s="1158">
        <f t="shared" ca="1" si="37"/>
        <v>0</v>
      </c>
      <c r="AG55" s="1158">
        <f t="shared" ca="1" si="37"/>
        <v>0</v>
      </c>
      <c r="AH55" s="1158">
        <f t="shared" si="37"/>
        <v>0</v>
      </c>
      <c r="AI55" s="1158">
        <f t="shared" si="37"/>
        <v>0</v>
      </c>
      <c r="AJ55" s="1158">
        <f t="shared" si="37"/>
        <v>0</v>
      </c>
      <c r="AK55" s="1158">
        <f t="shared" si="37"/>
        <v>0</v>
      </c>
      <c r="AL55" s="1158">
        <f t="shared" si="37"/>
        <v>0</v>
      </c>
      <c r="AM55" s="1158">
        <f t="shared" si="37"/>
        <v>0</v>
      </c>
      <c r="AN55" s="1158">
        <f t="shared" si="37"/>
        <v>0</v>
      </c>
      <c r="AO55" s="1158">
        <f t="shared" si="37"/>
        <v>0</v>
      </c>
      <c r="AP55" s="1158">
        <f t="shared" si="37"/>
        <v>0</v>
      </c>
      <c r="AQ55" s="1158">
        <f t="shared" si="37"/>
        <v>0</v>
      </c>
      <c r="AR55" s="1158">
        <f t="shared" si="37"/>
        <v>0</v>
      </c>
      <c r="AS55" s="1158">
        <f t="shared" si="37"/>
        <v>0</v>
      </c>
      <c r="AT55" s="1158">
        <f t="shared" si="37"/>
        <v>0</v>
      </c>
      <c r="AU55" s="1158">
        <f t="shared" si="37"/>
        <v>0</v>
      </c>
      <c r="AV55" s="1158">
        <f t="shared" si="37"/>
        <v>0</v>
      </c>
      <c r="AW55" s="1158">
        <f t="shared" si="37"/>
        <v>0</v>
      </c>
      <c r="AX55" s="1158">
        <f t="shared" si="37"/>
        <v>0</v>
      </c>
      <c r="AY55" s="1158"/>
      <c r="AZ55" s="1157">
        <f ca="1">ROUND(SUM(F55:AY55),2)</f>
        <v>0</v>
      </c>
      <c r="BA55" s="579">
        <f t="shared" ca="1" si="18"/>
        <v>0</v>
      </c>
      <c r="BB55" s="1050">
        <v>2.8500000000000001E-2</v>
      </c>
      <c r="BC55" s="1050">
        <v>2.8500000000000001E-2</v>
      </c>
      <c r="BD55" s="1050">
        <v>2.8500000000000001E-2</v>
      </c>
    </row>
    <row r="56" spans="1:56" ht="21.95" hidden="1" customHeight="1" x14ac:dyDescent="0.15">
      <c r="A56" s="2596"/>
      <c r="B56" s="2767"/>
      <c r="C56" s="808" t="s">
        <v>624</v>
      </c>
      <c r="D56" s="1553"/>
      <c r="E56" s="1554"/>
      <c r="F56" s="1556"/>
      <c r="G56" s="1021"/>
      <c r="H56" s="1021"/>
      <c r="I56" s="1021"/>
      <c r="J56" s="1021"/>
      <c r="K56" s="1021"/>
      <c r="L56" s="1021"/>
      <c r="M56" s="1021"/>
      <c r="N56" s="1021"/>
      <c r="O56" s="1021"/>
      <c r="P56" s="1021"/>
      <c r="Q56" s="1021"/>
      <c r="R56" s="1021"/>
      <c r="S56" s="1021"/>
      <c r="T56" s="1021"/>
      <c r="U56" s="1021"/>
      <c r="V56" s="1021"/>
      <c r="W56" s="1021"/>
      <c r="X56" s="1021"/>
      <c r="Y56" s="1021"/>
      <c r="Z56" s="1021"/>
      <c r="AA56" s="1021"/>
      <c r="AB56" s="1021"/>
      <c r="AC56" s="1021"/>
      <c r="AD56" s="1021"/>
      <c r="AE56" s="1021"/>
      <c r="AF56" s="1021"/>
      <c r="AG56" s="1021"/>
      <c r="AH56" s="1021"/>
      <c r="AI56" s="1021"/>
      <c r="AJ56" s="1021"/>
      <c r="AK56" s="1021"/>
      <c r="AL56" s="1021"/>
      <c r="AM56" s="1021"/>
      <c r="AN56" s="1021"/>
      <c r="AO56" s="1021"/>
      <c r="AP56" s="1021"/>
      <c r="AQ56" s="1021"/>
      <c r="AR56" s="1021"/>
      <c r="AS56" s="1021"/>
      <c r="AT56" s="1021"/>
      <c r="AU56" s="1021"/>
      <c r="AV56" s="1021"/>
      <c r="AW56" s="1021"/>
      <c r="AX56" s="1021"/>
      <c r="AY56" s="1021"/>
      <c r="AZ56" s="1020"/>
      <c r="BA56" s="579">
        <f t="shared" si="18"/>
        <v>0</v>
      </c>
      <c r="BB56" s="1050"/>
      <c r="BC56" s="1050"/>
      <c r="BD56" s="1050"/>
    </row>
    <row r="57" spans="1:56" ht="21.95" hidden="1" customHeight="1" x14ac:dyDescent="0.15">
      <c r="A57" s="2596"/>
      <c r="B57" s="2767"/>
      <c r="C57" s="559" t="s">
        <v>1284</v>
      </c>
      <c r="D57" s="1555"/>
      <c r="E57" s="1552"/>
      <c r="F57" s="1158"/>
      <c r="G57" s="1158">
        <f t="shared" ref="G57:AX57" si="38">IF(G$2=0,0,G56*G$2)</f>
        <v>0</v>
      </c>
      <c r="H57" s="1158">
        <f t="shared" si="38"/>
        <v>0</v>
      </c>
      <c r="I57" s="1158">
        <f t="shared" si="38"/>
        <v>0</v>
      </c>
      <c r="J57" s="1158">
        <f t="shared" si="38"/>
        <v>0</v>
      </c>
      <c r="K57" s="1158">
        <f t="shared" si="38"/>
        <v>0</v>
      </c>
      <c r="L57" s="1158">
        <f t="shared" si="38"/>
        <v>0</v>
      </c>
      <c r="M57" s="1158">
        <f t="shared" si="38"/>
        <v>0</v>
      </c>
      <c r="N57" s="1158">
        <f t="shared" si="38"/>
        <v>0</v>
      </c>
      <c r="O57" s="1158">
        <f t="shared" si="38"/>
        <v>0</v>
      </c>
      <c r="P57" s="1158">
        <f t="shared" si="38"/>
        <v>0</v>
      </c>
      <c r="Q57" s="1158">
        <f t="shared" si="38"/>
        <v>0</v>
      </c>
      <c r="R57" s="1158">
        <f t="shared" si="38"/>
        <v>0</v>
      </c>
      <c r="S57" s="1158">
        <f t="shared" si="38"/>
        <v>0</v>
      </c>
      <c r="T57" s="1158">
        <f t="shared" si="38"/>
        <v>0</v>
      </c>
      <c r="U57" s="1158">
        <f t="shared" ca="1" si="38"/>
        <v>0</v>
      </c>
      <c r="V57" s="1158">
        <f t="shared" si="38"/>
        <v>0</v>
      </c>
      <c r="W57" s="1158">
        <f t="shared" si="38"/>
        <v>0</v>
      </c>
      <c r="X57" s="1158">
        <f t="shared" si="38"/>
        <v>0</v>
      </c>
      <c r="Y57" s="1158">
        <f t="shared" si="38"/>
        <v>0</v>
      </c>
      <c r="Z57" s="1158">
        <f t="shared" si="38"/>
        <v>0</v>
      </c>
      <c r="AA57" s="1158">
        <f t="shared" si="38"/>
        <v>0</v>
      </c>
      <c r="AB57" s="1158">
        <f t="shared" si="38"/>
        <v>0</v>
      </c>
      <c r="AC57" s="1158">
        <f t="shared" si="38"/>
        <v>0</v>
      </c>
      <c r="AD57" s="1158">
        <f t="shared" si="38"/>
        <v>0</v>
      </c>
      <c r="AE57" s="1158">
        <f t="shared" si="38"/>
        <v>0</v>
      </c>
      <c r="AF57" s="1158">
        <f t="shared" ca="1" si="38"/>
        <v>0</v>
      </c>
      <c r="AG57" s="1158">
        <f t="shared" ca="1" si="38"/>
        <v>0</v>
      </c>
      <c r="AH57" s="1158">
        <f t="shared" si="38"/>
        <v>0</v>
      </c>
      <c r="AI57" s="1158">
        <f t="shared" si="38"/>
        <v>0</v>
      </c>
      <c r="AJ57" s="1158">
        <f t="shared" si="38"/>
        <v>0</v>
      </c>
      <c r="AK57" s="1158">
        <f t="shared" si="38"/>
        <v>0</v>
      </c>
      <c r="AL57" s="1158">
        <f t="shared" si="38"/>
        <v>0</v>
      </c>
      <c r="AM57" s="1158">
        <f t="shared" si="38"/>
        <v>0</v>
      </c>
      <c r="AN57" s="1158">
        <f t="shared" si="38"/>
        <v>0</v>
      </c>
      <c r="AO57" s="1158">
        <f t="shared" si="38"/>
        <v>0</v>
      </c>
      <c r="AP57" s="1158">
        <f t="shared" si="38"/>
        <v>0</v>
      </c>
      <c r="AQ57" s="1158">
        <f t="shared" si="38"/>
        <v>0</v>
      </c>
      <c r="AR57" s="1158">
        <f t="shared" si="38"/>
        <v>0</v>
      </c>
      <c r="AS57" s="1158">
        <f t="shared" si="38"/>
        <v>0</v>
      </c>
      <c r="AT57" s="1158">
        <f t="shared" si="38"/>
        <v>0</v>
      </c>
      <c r="AU57" s="1158">
        <f t="shared" si="38"/>
        <v>0</v>
      </c>
      <c r="AV57" s="1158">
        <f t="shared" si="38"/>
        <v>0</v>
      </c>
      <c r="AW57" s="1158">
        <f t="shared" si="38"/>
        <v>0</v>
      </c>
      <c r="AX57" s="1158">
        <f t="shared" si="38"/>
        <v>0</v>
      </c>
      <c r="AY57" s="1158"/>
      <c r="AZ57" s="1157">
        <f t="shared" ref="AZ57:AZ83" ca="1" si="39">ROUND(SUM(F57:AY57),2)</f>
        <v>0</v>
      </c>
      <c r="BA57" s="579">
        <f t="shared" ca="1" si="18"/>
        <v>0</v>
      </c>
      <c r="BB57" s="1050">
        <v>0.05</v>
      </c>
      <c r="BC57" s="1050">
        <v>0.05</v>
      </c>
      <c r="BD57" s="1050">
        <v>0.05</v>
      </c>
    </row>
    <row r="58" spans="1:56" ht="21.95" hidden="1" customHeight="1" x14ac:dyDescent="0.15">
      <c r="A58" s="2596"/>
      <c r="B58" s="2767"/>
      <c r="C58" s="975" t="s">
        <v>1274</v>
      </c>
      <c r="D58" s="1498"/>
      <c r="E58" s="1499"/>
      <c r="F58" s="1154"/>
      <c r="G58" s="1154">
        <f>SUMPRODUCT(G53:G57,$BB53:$BB57)*$BB$51</f>
        <v>0</v>
      </c>
      <c r="H58" s="1154">
        <f t="shared" ref="H58:AX58" si="40">SUMPRODUCT(H53:H57,$BB53:$BB57)*$BB$51</f>
        <v>0</v>
      </c>
      <c r="I58" s="1154">
        <f t="shared" si="40"/>
        <v>0</v>
      </c>
      <c r="J58" s="1154">
        <f t="shared" si="40"/>
        <v>0</v>
      </c>
      <c r="K58" s="1154">
        <f t="shared" si="40"/>
        <v>0</v>
      </c>
      <c r="L58" s="1154">
        <f t="shared" si="40"/>
        <v>0</v>
      </c>
      <c r="M58" s="1154">
        <f t="shared" si="40"/>
        <v>0</v>
      </c>
      <c r="N58" s="1154">
        <f t="shared" si="40"/>
        <v>0</v>
      </c>
      <c r="O58" s="1154">
        <f t="shared" si="40"/>
        <v>0</v>
      </c>
      <c r="P58" s="1154">
        <f t="shared" si="40"/>
        <v>0</v>
      </c>
      <c r="Q58" s="1154">
        <f t="shared" si="40"/>
        <v>0</v>
      </c>
      <c r="R58" s="1154">
        <f t="shared" si="40"/>
        <v>0</v>
      </c>
      <c r="S58" s="1154">
        <f t="shared" si="40"/>
        <v>0</v>
      </c>
      <c r="T58" s="1154">
        <f t="shared" si="40"/>
        <v>0</v>
      </c>
      <c r="U58" s="1154">
        <f t="shared" ca="1" si="40"/>
        <v>0</v>
      </c>
      <c r="V58" s="1154">
        <f t="shared" si="40"/>
        <v>0</v>
      </c>
      <c r="W58" s="1154">
        <f t="shared" si="40"/>
        <v>0</v>
      </c>
      <c r="X58" s="1154">
        <f t="shared" si="40"/>
        <v>0</v>
      </c>
      <c r="Y58" s="1154">
        <f t="shared" si="40"/>
        <v>0</v>
      </c>
      <c r="Z58" s="1154">
        <f t="shared" si="40"/>
        <v>0</v>
      </c>
      <c r="AA58" s="1154">
        <f t="shared" si="40"/>
        <v>0</v>
      </c>
      <c r="AB58" s="1154">
        <f t="shared" si="40"/>
        <v>0</v>
      </c>
      <c r="AC58" s="1154">
        <f t="shared" si="40"/>
        <v>0</v>
      </c>
      <c r="AD58" s="1154">
        <f t="shared" si="40"/>
        <v>0</v>
      </c>
      <c r="AE58" s="1154">
        <f t="shared" si="40"/>
        <v>0</v>
      </c>
      <c r="AF58" s="1154">
        <f t="shared" ca="1" si="40"/>
        <v>0</v>
      </c>
      <c r="AG58" s="1154">
        <f t="shared" ca="1" si="40"/>
        <v>0</v>
      </c>
      <c r="AH58" s="1154">
        <f t="shared" si="40"/>
        <v>0</v>
      </c>
      <c r="AI58" s="1154">
        <f t="shared" si="40"/>
        <v>0</v>
      </c>
      <c r="AJ58" s="1154">
        <f t="shared" si="40"/>
        <v>0</v>
      </c>
      <c r="AK58" s="1154">
        <f t="shared" si="40"/>
        <v>0</v>
      </c>
      <c r="AL58" s="1154">
        <f t="shared" si="40"/>
        <v>0</v>
      </c>
      <c r="AM58" s="1154">
        <f t="shared" si="40"/>
        <v>0</v>
      </c>
      <c r="AN58" s="1154">
        <f t="shared" si="40"/>
        <v>0</v>
      </c>
      <c r="AO58" s="1154">
        <f t="shared" si="40"/>
        <v>0</v>
      </c>
      <c r="AP58" s="1154">
        <f t="shared" si="40"/>
        <v>0</v>
      </c>
      <c r="AQ58" s="1154">
        <f t="shared" si="40"/>
        <v>0</v>
      </c>
      <c r="AR58" s="1154">
        <f t="shared" si="40"/>
        <v>0</v>
      </c>
      <c r="AS58" s="1154">
        <f t="shared" si="40"/>
        <v>0</v>
      </c>
      <c r="AT58" s="1154">
        <f t="shared" si="40"/>
        <v>0</v>
      </c>
      <c r="AU58" s="1154">
        <f t="shared" si="40"/>
        <v>0</v>
      </c>
      <c r="AV58" s="1154">
        <f t="shared" si="40"/>
        <v>0</v>
      </c>
      <c r="AW58" s="1154">
        <f t="shared" si="40"/>
        <v>0</v>
      </c>
      <c r="AX58" s="1154">
        <f t="shared" si="40"/>
        <v>0</v>
      </c>
      <c r="AY58" s="1154"/>
      <c r="AZ58" s="1156">
        <f t="shared" ca="1" si="39"/>
        <v>0</v>
      </c>
      <c r="BA58" s="579">
        <f t="shared" ca="1" si="18"/>
        <v>0</v>
      </c>
      <c r="BB58" s="1018"/>
      <c r="BC58" s="1018"/>
      <c r="BD58" s="1018"/>
    </row>
    <row r="59" spans="1:56" ht="21.95" hidden="1" customHeight="1" x14ac:dyDescent="0.15">
      <c r="A59" s="2596"/>
      <c r="B59" s="2767"/>
      <c r="C59" s="568" t="s">
        <v>585</v>
      </c>
      <c r="D59" s="1498"/>
      <c r="E59" s="1499"/>
      <c r="F59" s="1154"/>
      <c r="G59" s="1154">
        <f>SUMPRODUCT(G53:G57,$BC53:$BC57)*$BC$51</f>
        <v>0</v>
      </c>
      <c r="H59" s="1154">
        <f t="shared" ref="H59:AX59" si="41">SUMPRODUCT(H53:H57,$BC53:$BC57)*$BC$51</f>
        <v>0</v>
      </c>
      <c r="I59" s="1154">
        <f t="shared" si="41"/>
        <v>0</v>
      </c>
      <c r="J59" s="1154">
        <f t="shared" si="41"/>
        <v>0</v>
      </c>
      <c r="K59" s="1154">
        <f t="shared" si="41"/>
        <v>0</v>
      </c>
      <c r="L59" s="1154">
        <f t="shared" si="41"/>
        <v>0</v>
      </c>
      <c r="M59" s="1154">
        <f t="shared" si="41"/>
        <v>0</v>
      </c>
      <c r="N59" s="1154">
        <f t="shared" si="41"/>
        <v>0</v>
      </c>
      <c r="O59" s="1154">
        <f t="shared" si="41"/>
        <v>0</v>
      </c>
      <c r="P59" s="1154">
        <f t="shared" si="41"/>
        <v>0</v>
      </c>
      <c r="Q59" s="1154">
        <f t="shared" si="41"/>
        <v>0</v>
      </c>
      <c r="R59" s="1154">
        <f t="shared" si="41"/>
        <v>0</v>
      </c>
      <c r="S59" s="1154">
        <f t="shared" si="41"/>
        <v>0</v>
      </c>
      <c r="T59" s="1154">
        <f t="shared" si="41"/>
        <v>0</v>
      </c>
      <c r="U59" s="1154">
        <f t="shared" ca="1" si="41"/>
        <v>0</v>
      </c>
      <c r="V59" s="1154">
        <f t="shared" si="41"/>
        <v>0</v>
      </c>
      <c r="W59" s="1154">
        <f t="shared" si="41"/>
        <v>0</v>
      </c>
      <c r="X59" s="1154">
        <f t="shared" si="41"/>
        <v>0</v>
      </c>
      <c r="Y59" s="1154">
        <f t="shared" si="41"/>
        <v>0</v>
      </c>
      <c r="Z59" s="1154">
        <f t="shared" si="41"/>
        <v>0</v>
      </c>
      <c r="AA59" s="1154">
        <f t="shared" si="41"/>
        <v>0</v>
      </c>
      <c r="AB59" s="1154">
        <f t="shared" si="41"/>
        <v>0</v>
      </c>
      <c r="AC59" s="1154">
        <f t="shared" si="41"/>
        <v>0</v>
      </c>
      <c r="AD59" s="1154">
        <f t="shared" si="41"/>
        <v>0</v>
      </c>
      <c r="AE59" s="1154">
        <f t="shared" si="41"/>
        <v>0</v>
      </c>
      <c r="AF59" s="1154">
        <f t="shared" ca="1" si="41"/>
        <v>0</v>
      </c>
      <c r="AG59" s="1154">
        <f t="shared" ca="1" si="41"/>
        <v>0</v>
      </c>
      <c r="AH59" s="1154">
        <f t="shared" si="41"/>
        <v>0</v>
      </c>
      <c r="AI59" s="1154">
        <f t="shared" si="41"/>
        <v>0</v>
      </c>
      <c r="AJ59" s="1154">
        <f t="shared" si="41"/>
        <v>0</v>
      </c>
      <c r="AK59" s="1154">
        <f t="shared" si="41"/>
        <v>0</v>
      </c>
      <c r="AL59" s="1154">
        <f t="shared" si="41"/>
        <v>0</v>
      </c>
      <c r="AM59" s="1154">
        <f t="shared" si="41"/>
        <v>0</v>
      </c>
      <c r="AN59" s="1154">
        <f t="shared" si="41"/>
        <v>0</v>
      </c>
      <c r="AO59" s="1154">
        <f t="shared" si="41"/>
        <v>0</v>
      </c>
      <c r="AP59" s="1154">
        <f t="shared" si="41"/>
        <v>0</v>
      </c>
      <c r="AQ59" s="1154">
        <f t="shared" si="41"/>
        <v>0</v>
      </c>
      <c r="AR59" s="1154">
        <f t="shared" si="41"/>
        <v>0</v>
      </c>
      <c r="AS59" s="1154">
        <f t="shared" si="41"/>
        <v>0</v>
      </c>
      <c r="AT59" s="1154">
        <f t="shared" si="41"/>
        <v>0</v>
      </c>
      <c r="AU59" s="1154">
        <f t="shared" si="41"/>
        <v>0</v>
      </c>
      <c r="AV59" s="1154">
        <f t="shared" si="41"/>
        <v>0</v>
      </c>
      <c r="AW59" s="1154">
        <f t="shared" si="41"/>
        <v>0</v>
      </c>
      <c r="AX59" s="1154">
        <f t="shared" si="41"/>
        <v>0</v>
      </c>
      <c r="AY59" s="1154"/>
      <c r="AZ59" s="1156">
        <f t="shared" ca="1" si="39"/>
        <v>0</v>
      </c>
      <c r="BA59" s="579">
        <f t="shared" ca="1" si="18"/>
        <v>0</v>
      </c>
      <c r="BB59" s="1018"/>
      <c r="BC59" s="1018"/>
      <c r="BD59" s="1018"/>
    </row>
    <row r="60" spans="1:56" ht="21.95" hidden="1" customHeight="1" thickBot="1" x14ac:dyDescent="0.2">
      <c r="A60" s="2596"/>
      <c r="B60" s="2768"/>
      <c r="C60" s="566" t="s">
        <v>642</v>
      </c>
      <c r="D60" s="1500"/>
      <c r="E60" s="1501"/>
      <c r="F60" s="1097"/>
      <c r="G60" s="1097">
        <f>SUMPRODUCT(G53:G57,$BD53:$BD57)*$BD$51</f>
        <v>0</v>
      </c>
      <c r="H60" s="1097">
        <f t="shared" ref="H60:AX60" si="42">SUMPRODUCT(H53:H57,$BD53:$BD57)*$BD$51</f>
        <v>0</v>
      </c>
      <c r="I60" s="1097">
        <f t="shared" si="42"/>
        <v>0</v>
      </c>
      <c r="J60" s="1097">
        <f t="shared" si="42"/>
        <v>0</v>
      </c>
      <c r="K60" s="1097">
        <f t="shared" si="42"/>
        <v>0</v>
      </c>
      <c r="L60" s="1097">
        <f t="shared" si="42"/>
        <v>0</v>
      </c>
      <c r="M60" s="1097">
        <f t="shared" si="42"/>
        <v>0</v>
      </c>
      <c r="N60" s="1097">
        <f t="shared" si="42"/>
        <v>0</v>
      </c>
      <c r="O60" s="1097">
        <f t="shared" si="42"/>
        <v>0</v>
      </c>
      <c r="P60" s="1097">
        <f t="shared" si="42"/>
        <v>0</v>
      </c>
      <c r="Q60" s="1097">
        <f t="shared" si="42"/>
        <v>0</v>
      </c>
      <c r="R60" s="1097">
        <f t="shared" si="42"/>
        <v>0</v>
      </c>
      <c r="S60" s="1097">
        <f t="shared" si="42"/>
        <v>0</v>
      </c>
      <c r="T60" s="1097">
        <f t="shared" si="42"/>
        <v>0</v>
      </c>
      <c r="U60" s="1097">
        <f t="shared" ca="1" si="42"/>
        <v>0</v>
      </c>
      <c r="V60" s="1097">
        <f t="shared" si="42"/>
        <v>0</v>
      </c>
      <c r="W60" s="1097">
        <f t="shared" si="42"/>
        <v>0</v>
      </c>
      <c r="X60" s="1097">
        <f t="shared" si="42"/>
        <v>0</v>
      </c>
      <c r="Y60" s="1097">
        <f t="shared" si="42"/>
        <v>0</v>
      </c>
      <c r="Z60" s="1097">
        <f t="shared" si="42"/>
        <v>0</v>
      </c>
      <c r="AA60" s="1097">
        <f t="shared" si="42"/>
        <v>0</v>
      </c>
      <c r="AB60" s="1097">
        <f t="shared" si="42"/>
        <v>0</v>
      </c>
      <c r="AC60" s="1097">
        <f t="shared" si="42"/>
        <v>0</v>
      </c>
      <c r="AD60" s="1097">
        <f t="shared" si="42"/>
        <v>0</v>
      </c>
      <c r="AE60" s="1097">
        <f t="shared" si="42"/>
        <v>0</v>
      </c>
      <c r="AF60" s="1097">
        <f t="shared" ca="1" si="42"/>
        <v>0</v>
      </c>
      <c r="AG60" s="1097">
        <f t="shared" ca="1" si="42"/>
        <v>0</v>
      </c>
      <c r="AH60" s="1097">
        <f t="shared" si="42"/>
        <v>0</v>
      </c>
      <c r="AI60" s="1097">
        <f t="shared" si="42"/>
        <v>0</v>
      </c>
      <c r="AJ60" s="1097">
        <f t="shared" si="42"/>
        <v>0</v>
      </c>
      <c r="AK60" s="1097">
        <f t="shared" si="42"/>
        <v>0</v>
      </c>
      <c r="AL60" s="1097">
        <f t="shared" si="42"/>
        <v>0</v>
      </c>
      <c r="AM60" s="1097">
        <f t="shared" si="42"/>
        <v>0</v>
      </c>
      <c r="AN60" s="1097">
        <f t="shared" si="42"/>
        <v>0</v>
      </c>
      <c r="AO60" s="1097">
        <f t="shared" si="42"/>
        <v>0</v>
      </c>
      <c r="AP60" s="1097">
        <f t="shared" si="42"/>
        <v>0</v>
      </c>
      <c r="AQ60" s="1097">
        <f t="shared" si="42"/>
        <v>0</v>
      </c>
      <c r="AR60" s="1097">
        <f t="shared" si="42"/>
        <v>0</v>
      </c>
      <c r="AS60" s="1097">
        <f t="shared" si="42"/>
        <v>0</v>
      </c>
      <c r="AT60" s="1097">
        <f t="shared" si="42"/>
        <v>0</v>
      </c>
      <c r="AU60" s="1097">
        <f t="shared" si="42"/>
        <v>0</v>
      </c>
      <c r="AV60" s="1097">
        <f t="shared" si="42"/>
        <v>0</v>
      </c>
      <c r="AW60" s="1097">
        <f t="shared" si="42"/>
        <v>0</v>
      </c>
      <c r="AX60" s="1097">
        <f t="shared" si="42"/>
        <v>0</v>
      </c>
      <c r="AY60" s="1097"/>
      <c r="AZ60" s="1156">
        <f t="shared" ca="1" si="39"/>
        <v>0</v>
      </c>
      <c r="BA60" s="579">
        <f t="shared" ca="1" si="18"/>
        <v>0</v>
      </c>
    </row>
    <row r="61" spans="1:56" ht="21.95" customHeight="1" thickBot="1" x14ac:dyDescent="0.2">
      <c r="A61" s="2596"/>
      <c r="B61" s="2232" t="s">
        <v>1355</v>
      </c>
      <c r="C61" s="2268" t="s">
        <v>538</v>
      </c>
      <c r="D61" s="1498"/>
      <c r="E61" s="1499"/>
      <c r="F61" s="1570"/>
      <c r="G61" s="1154">
        <f>G19*1.375</f>
        <v>0</v>
      </c>
      <c r="H61" s="1154">
        <f t="shared" ref="H61:AX61" si="43">H19*1.375</f>
        <v>0</v>
      </c>
      <c r="I61" s="1154">
        <f t="shared" si="43"/>
        <v>0</v>
      </c>
      <c r="J61" s="1154">
        <f t="shared" si="43"/>
        <v>0</v>
      </c>
      <c r="K61" s="1154">
        <f t="shared" si="43"/>
        <v>0</v>
      </c>
      <c r="L61" s="1154">
        <f t="shared" si="43"/>
        <v>0</v>
      </c>
      <c r="M61" s="1154">
        <f t="shared" si="43"/>
        <v>0</v>
      </c>
      <c r="N61" s="1154">
        <f t="shared" si="43"/>
        <v>0</v>
      </c>
      <c r="O61" s="1154">
        <f t="shared" si="43"/>
        <v>0</v>
      </c>
      <c r="P61" s="1154">
        <f t="shared" si="43"/>
        <v>0</v>
      </c>
      <c r="Q61" s="1154">
        <f t="shared" si="43"/>
        <v>0</v>
      </c>
      <c r="R61" s="1154">
        <f t="shared" si="43"/>
        <v>0</v>
      </c>
      <c r="S61" s="1154">
        <f t="shared" si="43"/>
        <v>0</v>
      </c>
      <c r="T61" s="1154">
        <f t="shared" si="43"/>
        <v>0</v>
      </c>
      <c r="U61" s="1154">
        <f t="shared" si="43"/>
        <v>2.31</v>
      </c>
      <c r="V61" s="1154">
        <f t="shared" si="43"/>
        <v>0</v>
      </c>
      <c r="W61" s="1154">
        <f t="shared" si="43"/>
        <v>0</v>
      </c>
      <c r="X61" s="1154">
        <f t="shared" si="43"/>
        <v>0</v>
      </c>
      <c r="Y61" s="1154">
        <f t="shared" si="43"/>
        <v>0</v>
      </c>
      <c r="Z61" s="1154">
        <f t="shared" si="43"/>
        <v>0</v>
      </c>
      <c r="AA61" s="1154">
        <f t="shared" si="43"/>
        <v>0</v>
      </c>
      <c r="AB61" s="1154">
        <f t="shared" si="43"/>
        <v>0</v>
      </c>
      <c r="AC61" s="1154">
        <f t="shared" si="43"/>
        <v>0</v>
      </c>
      <c r="AD61" s="1154">
        <f t="shared" si="43"/>
        <v>0</v>
      </c>
      <c r="AE61" s="1154">
        <f t="shared" si="43"/>
        <v>0</v>
      </c>
      <c r="AF61" s="1154">
        <f t="shared" ca="1" si="43"/>
        <v>12.251250000000002</v>
      </c>
      <c r="AG61" s="1154">
        <f t="shared" ca="1" si="43"/>
        <v>22.993465000000082</v>
      </c>
      <c r="AH61" s="1154">
        <f t="shared" si="43"/>
        <v>0</v>
      </c>
      <c r="AI61" s="1154">
        <f t="shared" si="43"/>
        <v>0</v>
      </c>
      <c r="AJ61" s="1154">
        <f t="shared" si="43"/>
        <v>0</v>
      </c>
      <c r="AK61" s="1154">
        <f t="shared" si="43"/>
        <v>0</v>
      </c>
      <c r="AL61" s="1154">
        <f t="shared" si="43"/>
        <v>0</v>
      </c>
      <c r="AM61" s="1154">
        <f t="shared" si="43"/>
        <v>0</v>
      </c>
      <c r="AN61" s="1154">
        <f t="shared" si="43"/>
        <v>0</v>
      </c>
      <c r="AO61" s="1154">
        <f t="shared" si="43"/>
        <v>0</v>
      </c>
      <c r="AP61" s="1154">
        <f t="shared" si="43"/>
        <v>0</v>
      </c>
      <c r="AQ61" s="1154">
        <f t="shared" si="43"/>
        <v>0</v>
      </c>
      <c r="AR61" s="1154">
        <f t="shared" si="43"/>
        <v>0</v>
      </c>
      <c r="AS61" s="1154">
        <f t="shared" si="43"/>
        <v>0</v>
      </c>
      <c r="AT61" s="1154">
        <f t="shared" si="43"/>
        <v>0</v>
      </c>
      <c r="AU61" s="1154">
        <f t="shared" si="43"/>
        <v>0</v>
      </c>
      <c r="AV61" s="1154">
        <f t="shared" si="43"/>
        <v>0</v>
      </c>
      <c r="AW61" s="1154">
        <f t="shared" si="43"/>
        <v>0</v>
      </c>
      <c r="AX61" s="1154">
        <f t="shared" si="43"/>
        <v>0</v>
      </c>
      <c r="AY61" s="1154"/>
      <c r="AZ61" s="1096">
        <f t="shared" ca="1" si="39"/>
        <v>37.549999999999997</v>
      </c>
      <c r="BA61" s="579">
        <f t="shared" ca="1" si="18"/>
        <v>75.104715000000084</v>
      </c>
    </row>
    <row r="62" spans="1:56" ht="21.95" customHeight="1" x14ac:dyDescent="0.15">
      <c r="A62" s="2596"/>
      <c r="B62" s="2616" t="s">
        <v>1378</v>
      </c>
      <c r="C62" s="807" t="s">
        <v>7</v>
      </c>
      <c r="D62" s="1545"/>
      <c r="E62" s="1546"/>
      <c r="F62" s="1094">
        <f t="shared" ref="F62:G62" si="44">F16*1.25</f>
        <v>0</v>
      </c>
      <c r="G62" s="1094">
        <f t="shared" si="44"/>
        <v>0</v>
      </c>
      <c r="H62" s="1094">
        <f t="shared" ref="H62:AX62" si="45">H16*1.25</f>
        <v>0</v>
      </c>
      <c r="I62" s="1094">
        <f t="shared" si="45"/>
        <v>0</v>
      </c>
      <c r="J62" s="1094">
        <f t="shared" si="45"/>
        <v>0</v>
      </c>
      <c r="K62" s="1094">
        <f t="shared" si="45"/>
        <v>0</v>
      </c>
      <c r="L62" s="1094">
        <f t="shared" si="45"/>
        <v>0</v>
      </c>
      <c r="M62" s="1094">
        <f t="shared" si="45"/>
        <v>0</v>
      </c>
      <c r="N62" s="1094">
        <f t="shared" si="45"/>
        <v>0</v>
      </c>
      <c r="O62" s="1094">
        <f t="shared" si="45"/>
        <v>0</v>
      </c>
      <c r="P62" s="1094">
        <f t="shared" si="45"/>
        <v>0</v>
      </c>
      <c r="Q62" s="1094">
        <f t="shared" si="45"/>
        <v>0</v>
      </c>
      <c r="R62" s="1094">
        <f t="shared" si="45"/>
        <v>0</v>
      </c>
      <c r="S62" s="1094">
        <f t="shared" si="45"/>
        <v>0</v>
      </c>
      <c r="T62" s="1094">
        <f t="shared" si="45"/>
        <v>0</v>
      </c>
      <c r="U62" s="1094">
        <f t="shared" si="45"/>
        <v>2.52</v>
      </c>
      <c r="V62" s="1094">
        <f t="shared" si="45"/>
        <v>0</v>
      </c>
      <c r="W62" s="1094">
        <f t="shared" si="45"/>
        <v>0</v>
      </c>
      <c r="X62" s="1094">
        <f t="shared" si="45"/>
        <v>0</v>
      </c>
      <c r="Y62" s="1094">
        <f t="shared" si="45"/>
        <v>0</v>
      </c>
      <c r="Z62" s="1094">
        <f t="shared" si="45"/>
        <v>0</v>
      </c>
      <c r="AA62" s="1094">
        <f t="shared" si="45"/>
        <v>0</v>
      </c>
      <c r="AB62" s="1094">
        <f t="shared" si="45"/>
        <v>0</v>
      </c>
      <c r="AC62" s="1094">
        <f t="shared" si="45"/>
        <v>0</v>
      </c>
      <c r="AD62" s="1094">
        <f t="shared" si="45"/>
        <v>0</v>
      </c>
      <c r="AE62" s="1094">
        <f t="shared" si="45"/>
        <v>0</v>
      </c>
      <c r="AF62" s="1094">
        <f t="shared" ca="1" si="45"/>
        <v>13.365</v>
      </c>
      <c r="AG62" s="1094">
        <f t="shared" ca="1" si="45"/>
        <v>25.08378000000009</v>
      </c>
      <c r="AH62" s="1094">
        <f t="shared" si="45"/>
        <v>0</v>
      </c>
      <c r="AI62" s="1094">
        <f t="shared" si="45"/>
        <v>0</v>
      </c>
      <c r="AJ62" s="1094">
        <f t="shared" si="45"/>
        <v>0</v>
      </c>
      <c r="AK62" s="1094">
        <f t="shared" si="45"/>
        <v>0</v>
      </c>
      <c r="AL62" s="1094">
        <f t="shared" si="45"/>
        <v>0</v>
      </c>
      <c r="AM62" s="1094">
        <f t="shared" si="45"/>
        <v>0</v>
      </c>
      <c r="AN62" s="1094">
        <f t="shared" si="45"/>
        <v>0</v>
      </c>
      <c r="AO62" s="1094">
        <f t="shared" si="45"/>
        <v>0</v>
      </c>
      <c r="AP62" s="1094">
        <f t="shared" si="45"/>
        <v>0</v>
      </c>
      <c r="AQ62" s="1094">
        <f t="shared" si="45"/>
        <v>0</v>
      </c>
      <c r="AR62" s="1094">
        <f t="shared" si="45"/>
        <v>0</v>
      </c>
      <c r="AS62" s="1094">
        <f t="shared" si="45"/>
        <v>0</v>
      </c>
      <c r="AT62" s="1094">
        <f t="shared" si="45"/>
        <v>0</v>
      </c>
      <c r="AU62" s="1094">
        <f t="shared" si="45"/>
        <v>0</v>
      </c>
      <c r="AV62" s="1094">
        <f t="shared" si="45"/>
        <v>0</v>
      </c>
      <c r="AW62" s="1094">
        <f t="shared" si="45"/>
        <v>0</v>
      </c>
      <c r="AX62" s="1094">
        <f t="shared" si="45"/>
        <v>0</v>
      </c>
      <c r="AY62" s="1094"/>
      <c r="AZ62" s="1096">
        <f t="shared" ca="1" si="39"/>
        <v>40.97</v>
      </c>
      <c r="BA62" s="579">
        <f t="shared" ca="1" si="18"/>
        <v>81.938780000000094</v>
      </c>
    </row>
    <row r="63" spans="1:56" ht="21.95" customHeight="1" x14ac:dyDescent="0.15">
      <c r="A63" s="2596"/>
      <c r="B63" s="2617"/>
      <c r="C63" s="559" t="s">
        <v>1357</v>
      </c>
      <c r="E63" s="1358"/>
      <c r="F63" s="1570"/>
      <c r="G63" s="1154">
        <f t="shared" ref="G63:AX63" si="46">G27</f>
        <v>0</v>
      </c>
      <c r="H63" s="1154">
        <f t="shared" si="46"/>
        <v>0</v>
      </c>
      <c r="I63" s="1154">
        <f t="shared" si="46"/>
        <v>0</v>
      </c>
      <c r="J63" s="1154">
        <f t="shared" si="46"/>
        <v>0</v>
      </c>
      <c r="K63" s="1154">
        <f t="shared" si="46"/>
        <v>0</v>
      </c>
      <c r="L63" s="1154">
        <f t="shared" si="46"/>
        <v>0</v>
      </c>
      <c r="M63" s="1154">
        <f t="shared" si="46"/>
        <v>0</v>
      </c>
      <c r="N63" s="1154">
        <f t="shared" si="46"/>
        <v>0</v>
      </c>
      <c r="O63" s="1154">
        <f t="shared" si="46"/>
        <v>0</v>
      </c>
      <c r="P63" s="1154">
        <f t="shared" si="46"/>
        <v>0</v>
      </c>
      <c r="Q63" s="1154">
        <f t="shared" si="46"/>
        <v>0</v>
      </c>
      <c r="R63" s="1154">
        <f t="shared" si="46"/>
        <v>0</v>
      </c>
      <c r="S63" s="1154">
        <f t="shared" si="46"/>
        <v>0</v>
      </c>
      <c r="T63" s="1154">
        <f t="shared" si="46"/>
        <v>0</v>
      </c>
      <c r="U63" s="1154">
        <f t="shared" si="46"/>
        <v>0.84000000000000008</v>
      </c>
      <c r="V63" s="1154">
        <f t="shared" si="46"/>
        <v>0</v>
      </c>
      <c r="W63" s="1154">
        <f t="shared" si="46"/>
        <v>0</v>
      </c>
      <c r="X63" s="1154">
        <f t="shared" si="46"/>
        <v>0</v>
      </c>
      <c r="Y63" s="1154">
        <f t="shared" si="46"/>
        <v>0</v>
      </c>
      <c r="Z63" s="1154">
        <f t="shared" si="46"/>
        <v>0</v>
      </c>
      <c r="AA63" s="1154">
        <f t="shared" si="46"/>
        <v>0</v>
      </c>
      <c r="AB63" s="1154">
        <f t="shared" si="46"/>
        <v>0</v>
      </c>
      <c r="AC63" s="1154">
        <f t="shared" si="46"/>
        <v>0</v>
      </c>
      <c r="AD63" s="1154">
        <f t="shared" si="46"/>
        <v>0</v>
      </c>
      <c r="AE63" s="1154">
        <f t="shared" si="46"/>
        <v>0</v>
      </c>
      <c r="AF63" s="1154">
        <f t="shared" ca="1" si="46"/>
        <v>4.455000000000001</v>
      </c>
      <c r="AG63" s="1154">
        <f t="shared" ca="1" si="46"/>
        <v>8.3612600000000299</v>
      </c>
      <c r="AH63" s="1154">
        <f t="shared" si="46"/>
        <v>0</v>
      </c>
      <c r="AI63" s="1154">
        <f t="shared" si="46"/>
        <v>0</v>
      </c>
      <c r="AJ63" s="1154">
        <f t="shared" si="46"/>
        <v>0</v>
      </c>
      <c r="AK63" s="1154">
        <f t="shared" si="46"/>
        <v>0</v>
      </c>
      <c r="AL63" s="1154">
        <f t="shared" si="46"/>
        <v>0</v>
      </c>
      <c r="AM63" s="1154">
        <f t="shared" si="46"/>
        <v>0</v>
      </c>
      <c r="AN63" s="1154">
        <f t="shared" si="46"/>
        <v>0</v>
      </c>
      <c r="AO63" s="1154">
        <f t="shared" si="46"/>
        <v>0</v>
      </c>
      <c r="AP63" s="1154">
        <f t="shared" si="46"/>
        <v>0</v>
      </c>
      <c r="AQ63" s="1154">
        <f t="shared" si="46"/>
        <v>0</v>
      </c>
      <c r="AR63" s="1154">
        <f t="shared" si="46"/>
        <v>0</v>
      </c>
      <c r="AS63" s="1154">
        <f t="shared" si="46"/>
        <v>0</v>
      </c>
      <c r="AT63" s="1154">
        <f t="shared" si="46"/>
        <v>0</v>
      </c>
      <c r="AU63" s="1154">
        <f t="shared" si="46"/>
        <v>0</v>
      </c>
      <c r="AV63" s="1154">
        <f t="shared" si="46"/>
        <v>0</v>
      </c>
      <c r="AW63" s="1154">
        <f t="shared" si="46"/>
        <v>0</v>
      </c>
      <c r="AX63" s="1154">
        <f t="shared" si="46"/>
        <v>0</v>
      </c>
      <c r="AY63" s="1154"/>
      <c r="AZ63" s="1156">
        <f t="shared" ca="1" si="39"/>
        <v>13.66</v>
      </c>
      <c r="BA63" s="579">
        <f t="shared" ca="1" si="18"/>
        <v>27.316260000000032</v>
      </c>
    </row>
    <row r="64" spans="1:56" ht="21.95" hidden="1" customHeight="1" x14ac:dyDescent="0.15">
      <c r="A64" s="2596"/>
      <c r="B64" s="2617"/>
      <c r="C64" s="559" t="s">
        <v>1207</v>
      </c>
      <c r="E64" s="1358"/>
      <c r="F64" s="1570"/>
      <c r="G64" s="1154">
        <f t="shared" ref="G64:AX64" si="47">G58/1000</f>
        <v>0</v>
      </c>
      <c r="H64" s="1154">
        <f t="shared" si="47"/>
        <v>0</v>
      </c>
      <c r="I64" s="1154">
        <f t="shared" si="47"/>
        <v>0</v>
      </c>
      <c r="J64" s="1154">
        <f t="shared" si="47"/>
        <v>0</v>
      </c>
      <c r="K64" s="1154">
        <f t="shared" si="47"/>
        <v>0</v>
      </c>
      <c r="L64" s="1154">
        <f t="shared" si="47"/>
        <v>0</v>
      </c>
      <c r="M64" s="1154">
        <f t="shared" si="47"/>
        <v>0</v>
      </c>
      <c r="N64" s="1154">
        <f t="shared" si="47"/>
        <v>0</v>
      </c>
      <c r="O64" s="1154">
        <f t="shared" si="47"/>
        <v>0</v>
      </c>
      <c r="P64" s="1154">
        <f t="shared" si="47"/>
        <v>0</v>
      </c>
      <c r="Q64" s="1154">
        <f t="shared" si="47"/>
        <v>0</v>
      </c>
      <c r="R64" s="1154">
        <f t="shared" si="47"/>
        <v>0</v>
      </c>
      <c r="S64" s="1154">
        <f t="shared" si="47"/>
        <v>0</v>
      </c>
      <c r="T64" s="1154">
        <f t="shared" si="47"/>
        <v>0</v>
      </c>
      <c r="U64" s="1154">
        <f t="shared" ca="1" si="47"/>
        <v>0</v>
      </c>
      <c r="V64" s="1154">
        <f t="shared" si="47"/>
        <v>0</v>
      </c>
      <c r="W64" s="1154">
        <f t="shared" si="47"/>
        <v>0</v>
      </c>
      <c r="X64" s="1154">
        <f t="shared" si="47"/>
        <v>0</v>
      </c>
      <c r="Y64" s="1154">
        <f t="shared" si="47"/>
        <v>0</v>
      </c>
      <c r="Z64" s="1154">
        <f t="shared" si="47"/>
        <v>0</v>
      </c>
      <c r="AA64" s="1154">
        <f t="shared" si="47"/>
        <v>0</v>
      </c>
      <c r="AB64" s="1154">
        <f t="shared" si="47"/>
        <v>0</v>
      </c>
      <c r="AC64" s="1154">
        <f t="shared" si="47"/>
        <v>0</v>
      </c>
      <c r="AD64" s="1154">
        <f t="shared" si="47"/>
        <v>0</v>
      </c>
      <c r="AE64" s="1154">
        <f t="shared" si="47"/>
        <v>0</v>
      </c>
      <c r="AF64" s="1154">
        <f t="shared" ca="1" si="47"/>
        <v>0</v>
      </c>
      <c r="AG64" s="1154">
        <f t="shared" ca="1" si="47"/>
        <v>0</v>
      </c>
      <c r="AH64" s="1154">
        <f t="shared" si="47"/>
        <v>0</v>
      </c>
      <c r="AI64" s="1154">
        <f t="shared" si="47"/>
        <v>0</v>
      </c>
      <c r="AJ64" s="1154">
        <f t="shared" si="47"/>
        <v>0</v>
      </c>
      <c r="AK64" s="1154">
        <f t="shared" si="47"/>
        <v>0</v>
      </c>
      <c r="AL64" s="1154">
        <f t="shared" si="47"/>
        <v>0</v>
      </c>
      <c r="AM64" s="1154">
        <f t="shared" si="47"/>
        <v>0</v>
      </c>
      <c r="AN64" s="1154">
        <f t="shared" si="47"/>
        <v>0</v>
      </c>
      <c r="AO64" s="1154">
        <f t="shared" si="47"/>
        <v>0</v>
      </c>
      <c r="AP64" s="1154">
        <f t="shared" si="47"/>
        <v>0</v>
      </c>
      <c r="AQ64" s="1154">
        <f t="shared" si="47"/>
        <v>0</v>
      </c>
      <c r="AR64" s="1154">
        <f t="shared" si="47"/>
        <v>0</v>
      </c>
      <c r="AS64" s="1154">
        <f t="shared" si="47"/>
        <v>0</v>
      </c>
      <c r="AT64" s="1154">
        <f t="shared" si="47"/>
        <v>0</v>
      </c>
      <c r="AU64" s="1154">
        <f t="shared" si="47"/>
        <v>0</v>
      </c>
      <c r="AV64" s="1154">
        <f t="shared" si="47"/>
        <v>0</v>
      </c>
      <c r="AW64" s="1154">
        <f t="shared" si="47"/>
        <v>0</v>
      </c>
      <c r="AX64" s="1154">
        <f t="shared" si="47"/>
        <v>0</v>
      </c>
      <c r="AY64" s="1154"/>
      <c r="AZ64" s="1156">
        <f t="shared" ca="1" si="39"/>
        <v>0</v>
      </c>
      <c r="BA64" s="579">
        <f t="shared" ca="1" si="18"/>
        <v>0</v>
      </c>
    </row>
    <row r="65" spans="1:53" ht="21.95" hidden="1" customHeight="1" x14ac:dyDescent="0.15">
      <c r="A65" s="2596"/>
      <c r="B65" s="2617"/>
      <c r="C65" s="567" t="s">
        <v>1840</v>
      </c>
      <c r="D65" s="1498"/>
      <c r="E65" s="1499"/>
      <c r="F65" s="1154"/>
      <c r="G65" s="1154">
        <f t="shared" ref="G65:AX65" si="48">G59</f>
        <v>0</v>
      </c>
      <c r="H65" s="1154">
        <f t="shared" si="48"/>
        <v>0</v>
      </c>
      <c r="I65" s="1154">
        <f t="shared" si="48"/>
        <v>0</v>
      </c>
      <c r="J65" s="1154">
        <f t="shared" si="48"/>
        <v>0</v>
      </c>
      <c r="K65" s="1154">
        <f t="shared" si="48"/>
        <v>0</v>
      </c>
      <c r="L65" s="1154">
        <f t="shared" si="48"/>
        <v>0</v>
      </c>
      <c r="M65" s="1154">
        <f t="shared" si="48"/>
        <v>0</v>
      </c>
      <c r="N65" s="1154">
        <f t="shared" si="48"/>
        <v>0</v>
      </c>
      <c r="O65" s="1154">
        <f t="shared" si="48"/>
        <v>0</v>
      </c>
      <c r="P65" s="1154">
        <f t="shared" si="48"/>
        <v>0</v>
      </c>
      <c r="Q65" s="1154">
        <f t="shared" si="48"/>
        <v>0</v>
      </c>
      <c r="R65" s="1154">
        <f t="shared" si="48"/>
        <v>0</v>
      </c>
      <c r="S65" s="1154">
        <f t="shared" si="48"/>
        <v>0</v>
      </c>
      <c r="T65" s="1154">
        <f t="shared" si="48"/>
        <v>0</v>
      </c>
      <c r="U65" s="1154">
        <f t="shared" ca="1" si="48"/>
        <v>0</v>
      </c>
      <c r="V65" s="1154">
        <f t="shared" si="48"/>
        <v>0</v>
      </c>
      <c r="W65" s="1154">
        <f t="shared" si="48"/>
        <v>0</v>
      </c>
      <c r="X65" s="1154">
        <f t="shared" si="48"/>
        <v>0</v>
      </c>
      <c r="Y65" s="1154">
        <f t="shared" si="48"/>
        <v>0</v>
      </c>
      <c r="Z65" s="1154">
        <f t="shared" si="48"/>
        <v>0</v>
      </c>
      <c r="AA65" s="1154">
        <f t="shared" si="48"/>
        <v>0</v>
      </c>
      <c r="AB65" s="1154">
        <f t="shared" si="48"/>
        <v>0</v>
      </c>
      <c r="AC65" s="1154">
        <f t="shared" si="48"/>
        <v>0</v>
      </c>
      <c r="AD65" s="1154">
        <f t="shared" si="48"/>
        <v>0</v>
      </c>
      <c r="AE65" s="1154">
        <f t="shared" si="48"/>
        <v>0</v>
      </c>
      <c r="AF65" s="1154">
        <f t="shared" ca="1" si="48"/>
        <v>0</v>
      </c>
      <c r="AG65" s="1154">
        <f t="shared" ca="1" si="48"/>
        <v>0</v>
      </c>
      <c r="AH65" s="1154">
        <f t="shared" si="48"/>
        <v>0</v>
      </c>
      <c r="AI65" s="1154">
        <f t="shared" si="48"/>
        <v>0</v>
      </c>
      <c r="AJ65" s="1154">
        <f t="shared" si="48"/>
        <v>0</v>
      </c>
      <c r="AK65" s="1154">
        <f t="shared" si="48"/>
        <v>0</v>
      </c>
      <c r="AL65" s="1154">
        <f t="shared" si="48"/>
        <v>0</v>
      </c>
      <c r="AM65" s="1154">
        <f t="shared" si="48"/>
        <v>0</v>
      </c>
      <c r="AN65" s="1154">
        <f t="shared" si="48"/>
        <v>0</v>
      </c>
      <c r="AO65" s="1154">
        <f t="shared" si="48"/>
        <v>0</v>
      </c>
      <c r="AP65" s="1154">
        <f t="shared" si="48"/>
        <v>0</v>
      </c>
      <c r="AQ65" s="1154">
        <f t="shared" si="48"/>
        <v>0</v>
      </c>
      <c r="AR65" s="1154">
        <f t="shared" si="48"/>
        <v>0</v>
      </c>
      <c r="AS65" s="1154">
        <f t="shared" si="48"/>
        <v>0</v>
      </c>
      <c r="AT65" s="1154">
        <f t="shared" si="48"/>
        <v>0</v>
      </c>
      <c r="AU65" s="1154">
        <f t="shared" si="48"/>
        <v>0</v>
      </c>
      <c r="AV65" s="1154">
        <f t="shared" si="48"/>
        <v>0</v>
      </c>
      <c r="AW65" s="1154">
        <f t="shared" si="48"/>
        <v>0</v>
      </c>
      <c r="AX65" s="1154">
        <f t="shared" si="48"/>
        <v>0</v>
      </c>
      <c r="AY65" s="1154"/>
      <c r="AZ65" s="1156">
        <f t="shared" ca="1" si="39"/>
        <v>0</v>
      </c>
      <c r="BA65" s="579">
        <f t="shared" ca="1" si="18"/>
        <v>0</v>
      </c>
    </row>
    <row r="66" spans="1:53" ht="21.95" hidden="1" customHeight="1" x14ac:dyDescent="0.15">
      <c r="A66" s="2596"/>
      <c r="B66" s="2617"/>
      <c r="C66" s="559" t="s">
        <v>1420</v>
      </c>
      <c r="D66" s="1498"/>
      <c r="E66" s="1499"/>
      <c r="F66" s="1154"/>
      <c r="G66" s="1154">
        <f t="shared" ref="G66:AX66" si="49">G35</f>
        <v>0</v>
      </c>
      <c r="H66" s="1154">
        <f t="shared" si="49"/>
        <v>0</v>
      </c>
      <c r="I66" s="1154">
        <f t="shared" si="49"/>
        <v>0</v>
      </c>
      <c r="J66" s="1154">
        <f t="shared" si="49"/>
        <v>0</v>
      </c>
      <c r="K66" s="1154">
        <f t="shared" si="49"/>
        <v>0</v>
      </c>
      <c r="L66" s="1154">
        <f t="shared" si="49"/>
        <v>0</v>
      </c>
      <c r="M66" s="1154">
        <f t="shared" si="49"/>
        <v>0</v>
      </c>
      <c r="N66" s="1154">
        <f t="shared" si="49"/>
        <v>0</v>
      </c>
      <c r="O66" s="1154">
        <f t="shared" si="49"/>
        <v>0</v>
      </c>
      <c r="P66" s="1154">
        <f t="shared" si="49"/>
        <v>0</v>
      </c>
      <c r="Q66" s="1154">
        <f t="shared" si="49"/>
        <v>0</v>
      </c>
      <c r="R66" s="1154">
        <f t="shared" si="49"/>
        <v>0</v>
      </c>
      <c r="S66" s="1154">
        <f t="shared" si="49"/>
        <v>0</v>
      </c>
      <c r="T66" s="1154">
        <f t="shared" si="49"/>
        <v>0</v>
      </c>
      <c r="U66" s="1154">
        <f t="shared" si="49"/>
        <v>0</v>
      </c>
      <c r="V66" s="1154">
        <f t="shared" si="49"/>
        <v>0</v>
      </c>
      <c r="W66" s="1154">
        <f t="shared" si="49"/>
        <v>0</v>
      </c>
      <c r="X66" s="1154">
        <f t="shared" si="49"/>
        <v>0</v>
      </c>
      <c r="Y66" s="1154">
        <f t="shared" si="49"/>
        <v>0</v>
      </c>
      <c r="Z66" s="1154">
        <f t="shared" si="49"/>
        <v>0</v>
      </c>
      <c r="AA66" s="1154">
        <f t="shared" si="49"/>
        <v>0</v>
      </c>
      <c r="AB66" s="1154">
        <f t="shared" si="49"/>
        <v>0</v>
      </c>
      <c r="AC66" s="1154">
        <f t="shared" si="49"/>
        <v>0</v>
      </c>
      <c r="AD66" s="1154">
        <f t="shared" si="49"/>
        <v>0</v>
      </c>
      <c r="AE66" s="1154">
        <f t="shared" si="49"/>
        <v>0</v>
      </c>
      <c r="AF66" s="1154">
        <f t="shared" ca="1" si="49"/>
        <v>0</v>
      </c>
      <c r="AG66" s="1154">
        <f t="shared" ca="1" si="49"/>
        <v>0</v>
      </c>
      <c r="AH66" s="1154">
        <f t="shared" si="49"/>
        <v>0</v>
      </c>
      <c r="AI66" s="1154">
        <f t="shared" si="49"/>
        <v>0</v>
      </c>
      <c r="AJ66" s="1154">
        <f t="shared" si="49"/>
        <v>0</v>
      </c>
      <c r="AK66" s="1154">
        <f t="shared" si="49"/>
        <v>0</v>
      </c>
      <c r="AL66" s="1154">
        <f t="shared" si="49"/>
        <v>0</v>
      </c>
      <c r="AM66" s="1154">
        <f t="shared" si="49"/>
        <v>0</v>
      </c>
      <c r="AN66" s="1154">
        <f t="shared" si="49"/>
        <v>0</v>
      </c>
      <c r="AO66" s="1154">
        <f t="shared" si="49"/>
        <v>0</v>
      </c>
      <c r="AP66" s="1154">
        <f t="shared" si="49"/>
        <v>0</v>
      </c>
      <c r="AQ66" s="1154">
        <f t="shared" si="49"/>
        <v>0</v>
      </c>
      <c r="AR66" s="1154">
        <f t="shared" si="49"/>
        <v>0</v>
      </c>
      <c r="AS66" s="1154">
        <f t="shared" si="49"/>
        <v>0</v>
      </c>
      <c r="AT66" s="1154">
        <f t="shared" si="49"/>
        <v>0</v>
      </c>
      <c r="AU66" s="1154">
        <f t="shared" si="49"/>
        <v>0</v>
      </c>
      <c r="AV66" s="1154">
        <f t="shared" si="49"/>
        <v>0</v>
      </c>
      <c r="AW66" s="1154">
        <f t="shared" si="49"/>
        <v>0</v>
      </c>
      <c r="AX66" s="1154">
        <f t="shared" si="49"/>
        <v>0</v>
      </c>
      <c r="AY66" s="1154"/>
      <c r="AZ66" s="1156">
        <f t="shared" ca="1" si="39"/>
        <v>0</v>
      </c>
      <c r="BA66" s="579">
        <f t="shared" ref="BA66:BA83" ca="1" si="50">SUM(F66:AZ66)</f>
        <v>0</v>
      </c>
    </row>
    <row r="67" spans="1:53" ht="21.95" customHeight="1" x14ac:dyDescent="0.15">
      <c r="A67" s="2596"/>
      <c r="B67" s="2617"/>
      <c r="C67" s="559" t="s">
        <v>1394</v>
      </c>
      <c r="D67" s="1498"/>
      <c r="E67" s="1499"/>
      <c r="F67" s="1154">
        <f t="shared" ref="F67:G67" si="51">F43</f>
        <v>0</v>
      </c>
      <c r="G67" s="1154">
        <f t="shared" si="51"/>
        <v>0</v>
      </c>
      <c r="H67" s="1154">
        <f t="shared" ref="H67:AX67" si="52">H43</f>
        <v>0</v>
      </c>
      <c r="I67" s="1154">
        <f t="shared" si="52"/>
        <v>0</v>
      </c>
      <c r="J67" s="1154">
        <f t="shared" si="52"/>
        <v>0</v>
      </c>
      <c r="K67" s="1154">
        <f t="shared" si="52"/>
        <v>0</v>
      </c>
      <c r="L67" s="1154">
        <f t="shared" si="52"/>
        <v>0</v>
      </c>
      <c r="M67" s="1154">
        <f t="shared" si="52"/>
        <v>0</v>
      </c>
      <c r="N67" s="1154">
        <f t="shared" si="52"/>
        <v>0</v>
      </c>
      <c r="O67" s="1154">
        <f t="shared" si="52"/>
        <v>0</v>
      </c>
      <c r="P67" s="1154">
        <f t="shared" si="52"/>
        <v>0</v>
      </c>
      <c r="Q67" s="1154">
        <f t="shared" si="52"/>
        <v>0</v>
      </c>
      <c r="R67" s="1154">
        <f t="shared" si="52"/>
        <v>0</v>
      </c>
      <c r="S67" s="1154">
        <f t="shared" si="52"/>
        <v>0</v>
      </c>
      <c r="T67" s="1154">
        <f t="shared" si="52"/>
        <v>0</v>
      </c>
      <c r="U67" s="1154">
        <f t="shared" si="52"/>
        <v>0.13820446080000001</v>
      </c>
      <c r="V67" s="1154">
        <f t="shared" si="52"/>
        <v>0</v>
      </c>
      <c r="W67" s="1154">
        <f t="shared" si="52"/>
        <v>0</v>
      </c>
      <c r="X67" s="1154">
        <f t="shared" si="52"/>
        <v>0</v>
      </c>
      <c r="Y67" s="1154">
        <f t="shared" si="52"/>
        <v>0</v>
      </c>
      <c r="Z67" s="1154">
        <f t="shared" si="52"/>
        <v>0</v>
      </c>
      <c r="AA67" s="1154">
        <f t="shared" si="52"/>
        <v>0</v>
      </c>
      <c r="AB67" s="1154">
        <f t="shared" si="52"/>
        <v>0</v>
      </c>
      <c r="AC67" s="1154">
        <f t="shared" si="52"/>
        <v>0</v>
      </c>
      <c r="AD67" s="1154">
        <f t="shared" si="52"/>
        <v>0</v>
      </c>
      <c r="AE67" s="1154">
        <f t="shared" si="52"/>
        <v>0</v>
      </c>
      <c r="AF67" s="1154">
        <f t="shared" ca="1" si="52"/>
        <v>0.73297722960000022</v>
      </c>
      <c r="AG67" s="1154">
        <f t="shared" ca="1" si="52"/>
        <v>1.3756707498912051</v>
      </c>
      <c r="AH67" s="1154">
        <f t="shared" si="52"/>
        <v>0</v>
      </c>
      <c r="AI67" s="1154">
        <f t="shared" si="52"/>
        <v>0</v>
      </c>
      <c r="AJ67" s="1154">
        <f t="shared" si="52"/>
        <v>0</v>
      </c>
      <c r="AK67" s="1154">
        <f t="shared" si="52"/>
        <v>0</v>
      </c>
      <c r="AL67" s="1154">
        <f t="shared" si="52"/>
        <v>0</v>
      </c>
      <c r="AM67" s="1154">
        <f t="shared" si="52"/>
        <v>0</v>
      </c>
      <c r="AN67" s="1154">
        <f t="shared" si="52"/>
        <v>0</v>
      </c>
      <c r="AO67" s="1154">
        <f t="shared" si="52"/>
        <v>0</v>
      </c>
      <c r="AP67" s="1154">
        <f t="shared" si="52"/>
        <v>0</v>
      </c>
      <c r="AQ67" s="1154">
        <f t="shared" si="52"/>
        <v>0</v>
      </c>
      <c r="AR67" s="1154">
        <f t="shared" si="52"/>
        <v>0</v>
      </c>
      <c r="AS67" s="1154">
        <f t="shared" si="52"/>
        <v>0</v>
      </c>
      <c r="AT67" s="1154">
        <f t="shared" si="52"/>
        <v>0</v>
      </c>
      <c r="AU67" s="1154">
        <f t="shared" si="52"/>
        <v>0</v>
      </c>
      <c r="AV67" s="1154">
        <f t="shared" si="52"/>
        <v>0</v>
      </c>
      <c r="AW67" s="1154">
        <f t="shared" si="52"/>
        <v>0</v>
      </c>
      <c r="AX67" s="1154">
        <f t="shared" si="52"/>
        <v>0</v>
      </c>
      <c r="AY67" s="1154"/>
      <c r="AZ67" s="1156">
        <f t="shared" ca="1" si="39"/>
        <v>2.25</v>
      </c>
      <c r="BA67" s="579">
        <f t="shared" ca="1" si="50"/>
        <v>4.4968524402912049</v>
      </c>
    </row>
    <row r="68" spans="1:53" ht="21.95" hidden="1" customHeight="1" x14ac:dyDescent="0.15">
      <c r="A68" s="2596"/>
      <c r="B68" s="2617"/>
      <c r="C68" s="559" t="s">
        <v>1395</v>
      </c>
      <c r="D68" s="1498"/>
      <c r="E68" s="1499"/>
      <c r="F68" s="1154">
        <f t="shared" ref="F68:G68" si="53">F50</f>
        <v>0</v>
      </c>
      <c r="G68" s="1154">
        <f t="shared" si="53"/>
        <v>0</v>
      </c>
      <c r="H68" s="1154">
        <f t="shared" ref="H68:AX68" si="54">H50</f>
        <v>0</v>
      </c>
      <c r="I68" s="1154">
        <f t="shared" si="54"/>
        <v>0</v>
      </c>
      <c r="J68" s="1154">
        <f t="shared" si="54"/>
        <v>0</v>
      </c>
      <c r="K68" s="1154">
        <f t="shared" si="54"/>
        <v>0</v>
      </c>
      <c r="L68" s="1154">
        <f t="shared" si="54"/>
        <v>0</v>
      </c>
      <c r="M68" s="1154">
        <f t="shared" si="54"/>
        <v>0</v>
      </c>
      <c r="N68" s="1154">
        <f t="shared" si="54"/>
        <v>0</v>
      </c>
      <c r="O68" s="1154">
        <f t="shared" si="54"/>
        <v>0</v>
      </c>
      <c r="P68" s="1154">
        <f t="shared" si="54"/>
        <v>0</v>
      </c>
      <c r="Q68" s="1154">
        <f t="shared" si="54"/>
        <v>0</v>
      </c>
      <c r="R68" s="1154">
        <f t="shared" si="54"/>
        <v>0</v>
      </c>
      <c r="S68" s="1154">
        <f t="shared" si="54"/>
        <v>0</v>
      </c>
      <c r="T68" s="1154">
        <f t="shared" si="54"/>
        <v>0</v>
      </c>
      <c r="U68" s="1154">
        <f t="shared" si="54"/>
        <v>0</v>
      </c>
      <c r="V68" s="1154">
        <f t="shared" si="54"/>
        <v>0</v>
      </c>
      <c r="W68" s="1154">
        <f t="shared" si="54"/>
        <v>0</v>
      </c>
      <c r="X68" s="1154">
        <f t="shared" si="54"/>
        <v>0</v>
      </c>
      <c r="Y68" s="1154">
        <f t="shared" si="54"/>
        <v>0</v>
      </c>
      <c r="Z68" s="1154">
        <f t="shared" si="54"/>
        <v>0</v>
      </c>
      <c r="AA68" s="1154">
        <f t="shared" si="54"/>
        <v>0</v>
      </c>
      <c r="AB68" s="1154">
        <f t="shared" si="54"/>
        <v>0</v>
      </c>
      <c r="AC68" s="1154">
        <f t="shared" si="54"/>
        <v>0</v>
      </c>
      <c r="AD68" s="1154">
        <f t="shared" si="54"/>
        <v>0</v>
      </c>
      <c r="AE68" s="1154">
        <f t="shared" si="54"/>
        <v>0</v>
      </c>
      <c r="AF68" s="1154">
        <f t="shared" ca="1" si="54"/>
        <v>0</v>
      </c>
      <c r="AG68" s="1154">
        <f t="shared" ca="1" si="54"/>
        <v>0</v>
      </c>
      <c r="AH68" s="1154">
        <f t="shared" si="54"/>
        <v>0</v>
      </c>
      <c r="AI68" s="1154">
        <f t="shared" si="54"/>
        <v>0</v>
      </c>
      <c r="AJ68" s="1154">
        <f t="shared" si="54"/>
        <v>0</v>
      </c>
      <c r="AK68" s="1154">
        <f t="shared" si="54"/>
        <v>0</v>
      </c>
      <c r="AL68" s="1154">
        <f t="shared" si="54"/>
        <v>0</v>
      </c>
      <c r="AM68" s="1154">
        <f t="shared" si="54"/>
        <v>0</v>
      </c>
      <c r="AN68" s="1154">
        <f t="shared" si="54"/>
        <v>0</v>
      </c>
      <c r="AO68" s="1154">
        <f t="shared" si="54"/>
        <v>0</v>
      </c>
      <c r="AP68" s="1154">
        <f t="shared" si="54"/>
        <v>0</v>
      </c>
      <c r="AQ68" s="1154">
        <f t="shared" si="54"/>
        <v>0</v>
      </c>
      <c r="AR68" s="1154">
        <f t="shared" si="54"/>
        <v>0</v>
      </c>
      <c r="AS68" s="1154">
        <f t="shared" si="54"/>
        <v>0</v>
      </c>
      <c r="AT68" s="1154">
        <f t="shared" si="54"/>
        <v>0</v>
      </c>
      <c r="AU68" s="1154">
        <f t="shared" si="54"/>
        <v>0</v>
      </c>
      <c r="AV68" s="1154">
        <f t="shared" si="54"/>
        <v>0</v>
      </c>
      <c r="AW68" s="1154">
        <f t="shared" si="54"/>
        <v>0</v>
      </c>
      <c r="AX68" s="1154">
        <f t="shared" si="54"/>
        <v>0</v>
      </c>
      <c r="AY68" s="1154"/>
      <c r="AZ68" s="1156">
        <f t="shared" ca="1" si="39"/>
        <v>0</v>
      </c>
      <c r="BA68" s="579">
        <f t="shared" ca="1" si="50"/>
        <v>0</v>
      </c>
    </row>
    <row r="69" spans="1:53" ht="21.95" hidden="1" customHeight="1" x14ac:dyDescent="0.15">
      <c r="A69" s="2596"/>
      <c r="B69" s="2617"/>
      <c r="C69" s="559" t="s">
        <v>1371</v>
      </c>
      <c r="D69" s="1498"/>
      <c r="E69" s="1499"/>
      <c r="F69" s="1154">
        <f t="shared" ref="F69:G69" si="55">F29</f>
        <v>0</v>
      </c>
      <c r="G69" s="1154">
        <f t="shared" si="55"/>
        <v>0</v>
      </c>
      <c r="H69" s="1154">
        <f t="shared" ref="H69:AX69" si="56">H29</f>
        <v>0</v>
      </c>
      <c r="I69" s="1154">
        <f t="shared" si="56"/>
        <v>0</v>
      </c>
      <c r="J69" s="1154">
        <f t="shared" si="56"/>
        <v>0</v>
      </c>
      <c r="K69" s="1154">
        <f t="shared" si="56"/>
        <v>0</v>
      </c>
      <c r="L69" s="1154">
        <f t="shared" si="56"/>
        <v>0</v>
      </c>
      <c r="M69" s="1154">
        <f t="shared" si="56"/>
        <v>0</v>
      </c>
      <c r="N69" s="1154">
        <f t="shared" si="56"/>
        <v>0</v>
      </c>
      <c r="O69" s="1154">
        <f t="shared" si="56"/>
        <v>0</v>
      </c>
      <c r="P69" s="1154">
        <f t="shared" si="56"/>
        <v>0</v>
      </c>
      <c r="Q69" s="1154">
        <f t="shared" si="56"/>
        <v>0</v>
      </c>
      <c r="R69" s="1154">
        <f t="shared" si="56"/>
        <v>0</v>
      </c>
      <c r="S69" s="1154">
        <f t="shared" si="56"/>
        <v>0</v>
      </c>
      <c r="T69" s="1154">
        <f t="shared" si="56"/>
        <v>0</v>
      </c>
      <c r="U69" s="1154">
        <f t="shared" si="56"/>
        <v>0</v>
      </c>
      <c r="V69" s="1154">
        <f t="shared" si="56"/>
        <v>0</v>
      </c>
      <c r="W69" s="1154">
        <f t="shared" si="56"/>
        <v>0</v>
      </c>
      <c r="X69" s="1154">
        <f t="shared" si="56"/>
        <v>0</v>
      </c>
      <c r="Y69" s="1154">
        <f t="shared" si="56"/>
        <v>0</v>
      </c>
      <c r="Z69" s="1154">
        <f t="shared" si="56"/>
        <v>0</v>
      </c>
      <c r="AA69" s="1154">
        <f t="shared" si="56"/>
        <v>0</v>
      </c>
      <c r="AB69" s="1154">
        <f t="shared" si="56"/>
        <v>0</v>
      </c>
      <c r="AC69" s="1154">
        <f t="shared" si="56"/>
        <v>0</v>
      </c>
      <c r="AD69" s="1154">
        <f t="shared" si="56"/>
        <v>0</v>
      </c>
      <c r="AE69" s="1154">
        <f t="shared" si="56"/>
        <v>0</v>
      </c>
      <c r="AF69" s="1154">
        <f t="shared" ca="1" si="56"/>
        <v>0</v>
      </c>
      <c r="AG69" s="1154">
        <f t="shared" ca="1" si="56"/>
        <v>0</v>
      </c>
      <c r="AH69" s="1154">
        <f t="shared" si="56"/>
        <v>0</v>
      </c>
      <c r="AI69" s="1154">
        <f t="shared" si="56"/>
        <v>0</v>
      </c>
      <c r="AJ69" s="1154">
        <f t="shared" si="56"/>
        <v>0</v>
      </c>
      <c r="AK69" s="1154">
        <f t="shared" si="56"/>
        <v>0</v>
      </c>
      <c r="AL69" s="1154">
        <f t="shared" si="56"/>
        <v>0</v>
      </c>
      <c r="AM69" s="1154">
        <f t="shared" si="56"/>
        <v>0</v>
      </c>
      <c r="AN69" s="1154">
        <f t="shared" si="56"/>
        <v>0</v>
      </c>
      <c r="AO69" s="1154">
        <f t="shared" si="56"/>
        <v>0</v>
      </c>
      <c r="AP69" s="1154">
        <f t="shared" si="56"/>
        <v>0</v>
      </c>
      <c r="AQ69" s="1154">
        <f t="shared" si="56"/>
        <v>0</v>
      </c>
      <c r="AR69" s="1154">
        <f t="shared" si="56"/>
        <v>0</v>
      </c>
      <c r="AS69" s="1154">
        <f t="shared" si="56"/>
        <v>0</v>
      </c>
      <c r="AT69" s="1154">
        <f t="shared" si="56"/>
        <v>0</v>
      </c>
      <c r="AU69" s="1154">
        <f t="shared" si="56"/>
        <v>0</v>
      </c>
      <c r="AV69" s="1154">
        <f t="shared" si="56"/>
        <v>0</v>
      </c>
      <c r="AW69" s="1154">
        <f t="shared" si="56"/>
        <v>0</v>
      </c>
      <c r="AX69" s="1154">
        <f t="shared" si="56"/>
        <v>0</v>
      </c>
      <c r="AY69" s="1154"/>
      <c r="AZ69" s="1156">
        <f t="shared" ca="1" si="39"/>
        <v>0</v>
      </c>
      <c r="BA69" s="579">
        <f t="shared" ca="1" si="50"/>
        <v>0</v>
      </c>
    </row>
    <row r="70" spans="1:53" ht="21.95" customHeight="1" x14ac:dyDescent="0.15">
      <c r="A70" s="2596"/>
      <c r="B70" s="2617"/>
      <c r="C70" s="567" t="s">
        <v>1767</v>
      </c>
      <c r="D70" s="1498"/>
      <c r="E70" s="1499"/>
      <c r="F70" s="1570"/>
      <c r="G70" s="1154">
        <f t="shared" ref="G70:AX70" si="57">G28</f>
        <v>0</v>
      </c>
      <c r="H70" s="1154">
        <f t="shared" si="57"/>
        <v>0</v>
      </c>
      <c r="I70" s="1154">
        <f t="shared" si="57"/>
        <v>0</v>
      </c>
      <c r="J70" s="1154">
        <f t="shared" si="57"/>
        <v>0</v>
      </c>
      <c r="K70" s="1154">
        <f t="shared" si="57"/>
        <v>0</v>
      </c>
      <c r="L70" s="1154">
        <f t="shared" si="57"/>
        <v>0</v>
      </c>
      <c r="M70" s="1154">
        <f t="shared" si="57"/>
        <v>0</v>
      </c>
      <c r="N70" s="1154">
        <f t="shared" si="57"/>
        <v>0</v>
      </c>
      <c r="O70" s="1154">
        <f t="shared" si="57"/>
        <v>0</v>
      </c>
      <c r="P70" s="1154">
        <f t="shared" si="57"/>
        <v>0</v>
      </c>
      <c r="Q70" s="1154">
        <f t="shared" si="57"/>
        <v>0</v>
      </c>
      <c r="R70" s="1154">
        <f t="shared" si="57"/>
        <v>0</v>
      </c>
      <c r="S70" s="1154">
        <f t="shared" si="57"/>
        <v>0</v>
      </c>
      <c r="T70" s="1154">
        <f t="shared" si="57"/>
        <v>0</v>
      </c>
      <c r="U70" s="1154">
        <f t="shared" si="57"/>
        <v>1.3860000000000001</v>
      </c>
      <c r="V70" s="1154">
        <f t="shared" si="57"/>
        <v>0</v>
      </c>
      <c r="W70" s="1154">
        <f t="shared" si="57"/>
        <v>0</v>
      </c>
      <c r="X70" s="1154">
        <f t="shared" si="57"/>
        <v>0</v>
      </c>
      <c r="Y70" s="1154">
        <f t="shared" si="57"/>
        <v>0</v>
      </c>
      <c r="Z70" s="1154">
        <f t="shared" si="57"/>
        <v>0</v>
      </c>
      <c r="AA70" s="1154">
        <f t="shared" si="57"/>
        <v>0</v>
      </c>
      <c r="AB70" s="1154">
        <f t="shared" si="57"/>
        <v>0</v>
      </c>
      <c r="AC70" s="1154">
        <f t="shared" si="57"/>
        <v>0</v>
      </c>
      <c r="AD70" s="1154">
        <f t="shared" si="57"/>
        <v>0</v>
      </c>
      <c r="AE70" s="1154">
        <f t="shared" si="57"/>
        <v>0</v>
      </c>
      <c r="AF70" s="1154">
        <f t="shared" ca="1" si="57"/>
        <v>7.3507500000000014</v>
      </c>
      <c r="AG70" s="1154">
        <f t="shared" ca="1" si="57"/>
        <v>13.796079000000049</v>
      </c>
      <c r="AH70" s="1154">
        <f t="shared" si="57"/>
        <v>0</v>
      </c>
      <c r="AI70" s="1154">
        <f t="shared" si="57"/>
        <v>0</v>
      </c>
      <c r="AJ70" s="1154">
        <f t="shared" si="57"/>
        <v>0</v>
      </c>
      <c r="AK70" s="1154">
        <f t="shared" si="57"/>
        <v>0</v>
      </c>
      <c r="AL70" s="1154">
        <f t="shared" si="57"/>
        <v>0</v>
      </c>
      <c r="AM70" s="1154">
        <f t="shared" si="57"/>
        <v>0</v>
      </c>
      <c r="AN70" s="1154">
        <f t="shared" si="57"/>
        <v>0</v>
      </c>
      <c r="AO70" s="1154">
        <f t="shared" si="57"/>
        <v>0</v>
      </c>
      <c r="AP70" s="1154">
        <f t="shared" si="57"/>
        <v>0</v>
      </c>
      <c r="AQ70" s="1154">
        <f t="shared" si="57"/>
        <v>0</v>
      </c>
      <c r="AR70" s="1154">
        <f t="shared" si="57"/>
        <v>0</v>
      </c>
      <c r="AS70" s="1154">
        <f t="shared" si="57"/>
        <v>0</v>
      </c>
      <c r="AT70" s="1154">
        <f t="shared" si="57"/>
        <v>0</v>
      </c>
      <c r="AU70" s="1154">
        <f t="shared" si="57"/>
        <v>0</v>
      </c>
      <c r="AV70" s="1154">
        <f t="shared" si="57"/>
        <v>0</v>
      </c>
      <c r="AW70" s="1154">
        <f t="shared" si="57"/>
        <v>0</v>
      </c>
      <c r="AX70" s="1154">
        <f t="shared" si="57"/>
        <v>0</v>
      </c>
      <c r="AY70" s="1154"/>
      <c r="AZ70" s="1156">
        <f t="shared" ca="1" si="39"/>
        <v>22.53</v>
      </c>
      <c r="BA70" s="579">
        <f t="shared" ca="1" si="50"/>
        <v>45.06282900000005</v>
      </c>
    </row>
    <row r="71" spans="1:53" ht="21.95" hidden="1" customHeight="1" x14ac:dyDescent="0.15">
      <c r="A71" s="2596"/>
      <c r="B71" s="2617"/>
      <c r="C71" s="567" t="s">
        <v>1766</v>
      </c>
      <c r="D71" s="1498"/>
      <c r="E71" s="1499"/>
      <c r="F71" s="1154">
        <f t="shared" ref="F71:G72" si="58">F30</f>
        <v>0</v>
      </c>
      <c r="G71" s="1154">
        <f t="shared" si="58"/>
        <v>0</v>
      </c>
      <c r="H71" s="1154">
        <f t="shared" ref="H71:AX71" si="59">H30</f>
        <v>0</v>
      </c>
      <c r="I71" s="1154">
        <f t="shared" si="59"/>
        <v>0</v>
      </c>
      <c r="J71" s="1154">
        <f t="shared" si="59"/>
        <v>0</v>
      </c>
      <c r="K71" s="1154">
        <f t="shared" si="59"/>
        <v>0</v>
      </c>
      <c r="L71" s="1154">
        <f t="shared" si="59"/>
        <v>0</v>
      </c>
      <c r="M71" s="1154">
        <f t="shared" si="59"/>
        <v>0</v>
      </c>
      <c r="N71" s="1154">
        <f t="shared" si="59"/>
        <v>0</v>
      </c>
      <c r="O71" s="1154">
        <f t="shared" si="59"/>
        <v>0</v>
      </c>
      <c r="P71" s="1154">
        <f t="shared" si="59"/>
        <v>0</v>
      </c>
      <c r="Q71" s="1154">
        <f t="shared" si="59"/>
        <v>0</v>
      </c>
      <c r="R71" s="1154">
        <f t="shared" si="59"/>
        <v>0</v>
      </c>
      <c r="S71" s="1154">
        <f t="shared" si="59"/>
        <v>0</v>
      </c>
      <c r="T71" s="1154">
        <f t="shared" si="59"/>
        <v>0</v>
      </c>
      <c r="U71" s="1154">
        <f t="shared" si="59"/>
        <v>0</v>
      </c>
      <c r="V71" s="1154">
        <f t="shared" si="59"/>
        <v>0</v>
      </c>
      <c r="W71" s="1154">
        <f t="shared" si="59"/>
        <v>0</v>
      </c>
      <c r="X71" s="1154">
        <f t="shared" si="59"/>
        <v>0</v>
      </c>
      <c r="Y71" s="1154">
        <f t="shared" si="59"/>
        <v>0</v>
      </c>
      <c r="Z71" s="1154">
        <f t="shared" si="59"/>
        <v>0</v>
      </c>
      <c r="AA71" s="1154">
        <f t="shared" si="59"/>
        <v>0</v>
      </c>
      <c r="AB71" s="1154">
        <f t="shared" si="59"/>
        <v>0</v>
      </c>
      <c r="AC71" s="1154">
        <f t="shared" si="59"/>
        <v>0</v>
      </c>
      <c r="AD71" s="1154">
        <f t="shared" si="59"/>
        <v>0</v>
      </c>
      <c r="AE71" s="1154">
        <f t="shared" si="59"/>
        <v>0</v>
      </c>
      <c r="AF71" s="1154">
        <f t="shared" ca="1" si="59"/>
        <v>0</v>
      </c>
      <c r="AG71" s="1154">
        <f t="shared" ca="1" si="59"/>
        <v>0</v>
      </c>
      <c r="AH71" s="1154">
        <f t="shared" si="59"/>
        <v>0</v>
      </c>
      <c r="AI71" s="1154">
        <f t="shared" si="59"/>
        <v>0</v>
      </c>
      <c r="AJ71" s="1154">
        <f t="shared" si="59"/>
        <v>0</v>
      </c>
      <c r="AK71" s="1154">
        <f t="shared" si="59"/>
        <v>0</v>
      </c>
      <c r="AL71" s="1154">
        <f t="shared" si="59"/>
        <v>0</v>
      </c>
      <c r="AM71" s="1154">
        <f t="shared" si="59"/>
        <v>0</v>
      </c>
      <c r="AN71" s="1154">
        <f t="shared" si="59"/>
        <v>0</v>
      </c>
      <c r="AO71" s="1154">
        <f t="shared" si="59"/>
        <v>0</v>
      </c>
      <c r="AP71" s="1154">
        <f t="shared" si="59"/>
        <v>0</v>
      </c>
      <c r="AQ71" s="1154">
        <f t="shared" si="59"/>
        <v>0</v>
      </c>
      <c r="AR71" s="1154">
        <f t="shared" si="59"/>
        <v>0</v>
      </c>
      <c r="AS71" s="1154">
        <f t="shared" si="59"/>
        <v>0</v>
      </c>
      <c r="AT71" s="1154">
        <f t="shared" si="59"/>
        <v>0</v>
      </c>
      <c r="AU71" s="1154">
        <f t="shared" si="59"/>
        <v>0</v>
      </c>
      <c r="AV71" s="1154">
        <f t="shared" si="59"/>
        <v>0</v>
      </c>
      <c r="AW71" s="1154">
        <f t="shared" si="59"/>
        <v>0</v>
      </c>
      <c r="AX71" s="1154">
        <f t="shared" si="59"/>
        <v>0</v>
      </c>
      <c r="AY71" s="1154"/>
      <c r="AZ71" s="1156">
        <f t="shared" ca="1" si="39"/>
        <v>0</v>
      </c>
      <c r="BA71" s="579">
        <f t="shared" ca="1" si="50"/>
        <v>0</v>
      </c>
    </row>
    <row r="72" spans="1:53" ht="21.95" hidden="1" customHeight="1" x14ac:dyDescent="0.15">
      <c r="A72" s="2596"/>
      <c r="B72" s="2617"/>
      <c r="C72" s="567" t="s">
        <v>1372</v>
      </c>
      <c r="D72" s="1498"/>
      <c r="E72" s="1499"/>
      <c r="F72" s="1154">
        <f t="shared" si="58"/>
        <v>0</v>
      </c>
      <c r="G72" s="1154">
        <f t="shared" si="58"/>
        <v>0</v>
      </c>
      <c r="H72" s="1154">
        <f t="shared" ref="H72:AX72" si="60">H31</f>
        <v>0</v>
      </c>
      <c r="I72" s="1154">
        <f t="shared" si="60"/>
        <v>0</v>
      </c>
      <c r="J72" s="1154">
        <f t="shared" si="60"/>
        <v>0</v>
      </c>
      <c r="K72" s="1154">
        <f t="shared" si="60"/>
        <v>0</v>
      </c>
      <c r="L72" s="1154">
        <f t="shared" si="60"/>
        <v>0</v>
      </c>
      <c r="M72" s="1154">
        <f t="shared" si="60"/>
        <v>0</v>
      </c>
      <c r="N72" s="1154">
        <f t="shared" si="60"/>
        <v>0</v>
      </c>
      <c r="O72" s="1154">
        <f t="shared" si="60"/>
        <v>0</v>
      </c>
      <c r="P72" s="1154">
        <f t="shared" si="60"/>
        <v>0</v>
      </c>
      <c r="Q72" s="1154">
        <f t="shared" si="60"/>
        <v>0</v>
      </c>
      <c r="R72" s="1154">
        <f t="shared" si="60"/>
        <v>0</v>
      </c>
      <c r="S72" s="1154">
        <f t="shared" si="60"/>
        <v>0</v>
      </c>
      <c r="T72" s="1154">
        <f t="shared" si="60"/>
        <v>0</v>
      </c>
      <c r="U72" s="1154">
        <f t="shared" si="60"/>
        <v>0</v>
      </c>
      <c r="V72" s="1154">
        <f t="shared" si="60"/>
        <v>0</v>
      </c>
      <c r="W72" s="1154">
        <f t="shared" si="60"/>
        <v>0</v>
      </c>
      <c r="X72" s="1154">
        <f t="shared" si="60"/>
        <v>0</v>
      </c>
      <c r="Y72" s="1154">
        <f t="shared" si="60"/>
        <v>0</v>
      </c>
      <c r="Z72" s="1154">
        <f t="shared" si="60"/>
        <v>0</v>
      </c>
      <c r="AA72" s="1154">
        <f t="shared" si="60"/>
        <v>0</v>
      </c>
      <c r="AB72" s="1154">
        <f t="shared" si="60"/>
        <v>0</v>
      </c>
      <c r="AC72" s="1154">
        <f t="shared" si="60"/>
        <v>0</v>
      </c>
      <c r="AD72" s="1154">
        <f t="shared" si="60"/>
        <v>0</v>
      </c>
      <c r="AE72" s="1154">
        <f t="shared" si="60"/>
        <v>0</v>
      </c>
      <c r="AF72" s="1154">
        <f t="shared" ca="1" si="60"/>
        <v>0</v>
      </c>
      <c r="AG72" s="1154">
        <f t="shared" ca="1" si="60"/>
        <v>0</v>
      </c>
      <c r="AH72" s="1154">
        <f t="shared" si="60"/>
        <v>0</v>
      </c>
      <c r="AI72" s="1154">
        <f t="shared" si="60"/>
        <v>0</v>
      </c>
      <c r="AJ72" s="1154">
        <f t="shared" si="60"/>
        <v>0</v>
      </c>
      <c r="AK72" s="1154">
        <f t="shared" si="60"/>
        <v>0</v>
      </c>
      <c r="AL72" s="1154">
        <f t="shared" si="60"/>
        <v>0</v>
      </c>
      <c r="AM72" s="1154">
        <f t="shared" si="60"/>
        <v>0</v>
      </c>
      <c r="AN72" s="1154">
        <f t="shared" si="60"/>
        <v>0</v>
      </c>
      <c r="AO72" s="1154">
        <f t="shared" si="60"/>
        <v>0</v>
      </c>
      <c r="AP72" s="1154">
        <f t="shared" si="60"/>
        <v>0</v>
      </c>
      <c r="AQ72" s="1154">
        <f t="shared" si="60"/>
        <v>0</v>
      </c>
      <c r="AR72" s="1154">
        <f t="shared" si="60"/>
        <v>0</v>
      </c>
      <c r="AS72" s="1154">
        <f t="shared" si="60"/>
        <v>0</v>
      </c>
      <c r="AT72" s="1154">
        <f t="shared" si="60"/>
        <v>0</v>
      </c>
      <c r="AU72" s="1154">
        <f t="shared" si="60"/>
        <v>0</v>
      </c>
      <c r="AV72" s="1154">
        <f t="shared" si="60"/>
        <v>0</v>
      </c>
      <c r="AW72" s="1154">
        <f t="shared" si="60"/>
        <v>0</v>
      </c>
      <c r="AX72" s="1154">
        <f t="shared" si="60"/>
        <v>0</v>
      </c>
      <c r="AY72" s="1154"/>
      <c r="AZ72" s="1156">
        <f t="shared" ca="1" si="39"/>
        <v>0</v>
      </c>
      <c r="BA72" s="579">
        <f t="shared" ca="1" si="50"/>
        <v>0</v>
      </c>
    </row>
    <row r="73" spans="1:53" ht="21.95" hidden="1" customHeight="1" x14ac:dyDescent="0.15">
      <c r="A73" s="2596"/>
      <c r="B73" s="2617"/>
      <c r="C73" s="567" t="s">
        <v>1398</v>
      </c>
      <c r="D73" s="1498"/>
      <c r="E73" s="1499"/>
      <c r="F73" s="1570"/>
      <c r="G73" s="1154">
        <f t="shared" ref="G73:AX73" si="61">G36</f>
        <v>0</v>
      </c>
      <c r="H73" s="1154">
        <f t="shared" si="61"/>
        <v>0</v>
      </c>
      <c r="I73" s="1154">
        <f t="shared" si="61"/>
        <v>0</v>
      </c>
      <c r="J73" s="1154">
        <f t="shared" si="61"/>
        <v>0</v>
      </c>
      <c r="K73" s="1154">
        <f t="shared" si="61"/>
        <v>0</v>
      </c>
      <c r="L73" s="1154">
        <f t="shared" si="61"/>
        <v>0</v>
      </c>
      <c r="M73" s="1154">
        <f t="shared" si="61"/>
        <v>0</v>
      </c>
      <c r="N73" s="1154">
        <f t="shared" si="61"/>
        <v>0</v>
      </c>
      <c r="O73" s="1154">
        <f t="shared" si="61"/>
        <v>0</v>
      </c>
      <c r="P73" s="1154">
        <f t="shared" si="61"/>
        <v>0</v>
      </c>
      <c r="Q73" s="1154">
        <f t="shared" si="61"/>
        <v>0</v>
      </c>
      <c r="R73" s="1154">
        <f t="shared" si="61"/>
        <v>0</v>
      </c>
      <c r="S73" s="1154">
        <f t="shared" si="61"/>
        <v>0</v>
      </c>
      <c r="T73" s="1154">
        <f t="shared" si="61"/>
        <v>0</v>
      </c>
      <c r="U73" s="1154">
        <f t="shared" si="61"/>
        <v>0</v>
      </c>
      <c r="V73" s="1154">
        <f t="shared" si="61"/>
        <v>0</v>
      </c>
      <c r="W73" s="1154">
        <f t="shared" si="61"/>
        <v>0</v>
      </c>
      <c r="X73" s="1154">
        <f t="shared" si="61"/>
        <v>0</v>
      </c>
      <c r="Y73" s="1154">
        <f t="shared" si="61"/>
        <v>0</v>
      </c>
      <c r="Z73" s="1154">
        <f t="shared" si="61"/>
        <v>0</v>
      </c>
      <c r="AA73" s="1154">
        <f t="shared" si="61"/>
        <v>0</v>
      </c>
      <c r="AB73" s="1154">
        <f t="shared" si="61"/>
        <v>0</v>
      </c>
      <c r="AC73" s="1154">
        <f t="shared" si="61"/>
        <v>0</v>
      </c>
      <c r="AD73" s="1154">
        <f t="shared" si="61"/>
        <v>0</v>
      </c>
      <c r="AE73" s="1154">
        <f t="shared" si="61"/>
        <v>0</v>
      </c>
      <c r="AF73" s="1154">
        <f t="shared" ca="1" si="61"/>
        <v>0</v>
      </c>
      <c r="AG73" s="1154">
        <f t="shared" ca="1" si="61"/>
        <v>0</v>
      </c>
      <c r="AH73" s="1154">
        <f t="shared" si="61"/>
        <v>0</v>
      </c>
      <c r="AI73" s="1154">
        <f t="shared" si="61"/>
        <v>0</v>
      </c>
      <c r="AJ73" s="1154">
        <f t="shared" si="61"/>
        <v>0</v>
      </c>
      <c r="AK73" s="1154">
        <f t="shared" si="61"/>
        <v>0</v>
      </c>
      <c r="AL73" s="1154">
        <f t="shared" si="61"/>
        <v>0</v>
      </c>
      <c r="AM73" s="1154">
        <f t="shared" si="61"/>
        <v>0</v>
      </c>
      <c r="AN73" s="1154">
        <f t="shared" si="61"/>
        <v>0</v>
      </c>
      <c r="AO73" s="1154">
        <f t="shared" si="61"/>
        <v>0</v>
      </c>
      <c r="AP73" s="1154">
        <f t="shared" si="61"/>
        <v>0</v>
      </c>
      <c r="AQ73" s="1154">
        <f t="shared" si="61"/>
        <v>0</v>
      </c>
      <c r="AR73" s="1154">
        <f t="shared" si="61"/>
        <v>0</v>
      </c>
      <c r="AS73" s="1154">
        <f t="shared" si="61"/>
        <v>0</v>
      </c>
      <c r="AT73" s="1154">
        <f t="shared" si="61"/>
        <v>0</v>
      </c>
      <c r="AU73" s="1154">
        <f t="shared" si="61"/>
        <v>0</v>
      </c>
      <c r="AV73" s="1154">
        <f t="shared" si="61"/>
        <v>0</v>
      </c>
      <c r="AW73" s="1154">
        <f t="shared" si="61"/>
        <v>0</v>
      </c>
      <c r="AX73" s="1154">
        <f t="shared" si="61"/>
        <v>0</v>
      </c>
      <c r="AY73" s="1154"/>
      <c r="AZ73" s="1156">
        <f t="shared" ca="1" si="39"/>
        <v>0</v>
      </c>
      <c r="BA73" s="579">
        <f t="shared" ca="1" si="50"/>
        <v>0</v>
      </c>
    </row>
    <row r="74" spans="1:53" ht="21.95" hidden="1" customHeight="1" x14ac:dyDescent="0.15">
      <c r="A74" s="2596"/>
      <c r="B74" s="2617"/>
      <c r="C74" s="567" t="s">
        <v>1605</v>
      </c>
      <c r="D74" s="1498"/>
      <c r="E74" s="1499"/>
      <c r="F74" s="1570"/>
      <c r="G74" s="1154">
        <f t="shared" ref="G74:AX74" si="62">G60</f>
        <v>0</v>
      </c>
      <c r="H74" s="1154">
        <f t="shared" si="62"/>
        <v>0</v>
      </c>
      <c r="I74" s="1154">
        <f t="shared" si="62"/>
        <v>0</v>
      </c>
      <c r="J74" s="1154">
        <f t="shared" si="62"/>
        <v>0</v>
      </c>
      <c r="K74" s="1154">
        <f t="shared" si="62"/>
        <v>0</v>
      </c>
      <c r="L74" s="1154">
        <f t="shared" si="62"/>
        <v>0</v>
      </c>
      <c r="M74" s="1154">
        <f t="shared" si="62"/>
        <v>0</v>
      </c>
      <c r="N74" s="1154">
        <f t="shared" si="62"/>
        <v>0</v>
      </c>
      <c r="O74" s="1154">
        <f t="shared" si="62"/>
        <v>0</v>
      </c>
      <c r="P74" s="1154">
        <f t="shared" si="62"/>
        <v>0</v>
      </c>
      <c r="Q74" s="1154">
        <f t="shared" si="62"/>
        <v>0</v>
      </c>
      <c r="R74" s="1154">
        <f t="shared" si="62"/>
        <v>0</v>
      </c>
      <c r="S74" s="1154">
        <f t="shared" si="62"/>
        <v>0</v>
      </c>
      <c r="T74" s="1154">
        <f t="shared" si="62"/>
        <v>0</v>
      </c>
      <c r="U74" s="1154">
        <f t="shared" ca="1" si="62"/>
        <v>0</v>
      </c>
      <c r="V74" s="1154">
        <f t="shared" si="62"/>
        <v>0</v>
      </c>
      <c r="W74" s="1154">
        <f t="shared" si="62"/>
        <v>0</v>
      </c>
      <c r="X74" s="1154">
        <f t="shared" si="62"/>
        <v>0</v>
      </c>
      <c r="Y74" s="1154">
        <f t="shared" si="62"/>
        <v>0</v>
      </c>
      <c r="Z74" s="1154">
        <f t="shared" si="62"/>
        <v>0</v>
      </c>
      <c r="AA74" s="1154">
        <f t="shared" si="62"/>
        <v>0</v>
      </c>
      <c r="AB74" s="1154">
        <f t="shared" si="62"/>
        <v>0</v>
      </c>
      <c r="AC74" s="1154">
        <f t="shared" si="62"/>
        <v>0</v>
      </c>
      <c r="AD74" s="1154">
        <f t="shared" si="62"/>
        <v>0</v>
      </c>
      <c r="AE74" s="1154">
        <f t="shared" si="62"/>
        <v>0</v>
      </c>
      <c r="AF74" s="1154">
        <f t="shared" ca="1" si="62"/>
        <v>0</v>
      </c>
      <c r="AG74" s="1154">
        <f t="shared" ca="1" si="62"/>
        <v>0</v>
      </c>
      <c r="AH74" s="1154">
        <f t="shared" si="62"/>
        <v>0</v>
      </c>
      <c r="AI74" s="1154">
        <f t="shared" si="62"/>
        <v>0</v>
      </c>
      <c r="AJ74" s="1154">
        <f t="shared" si="62"/>
        <v>0</v>
      </c>
      <c r="AK74" s="1154">
        <f t="shared" si="62"/>
        <v>0</v>
      </c>
      <c r="AL74" s="1154">
        <f t="shared" si="62"/>
        <v>0</v>
      </c>
      <c r="AM74" s="1154">
        <f t="shared" si="62"/>
        <v>0</v>
      </c>
      <c r="AN74" s="1154">
        <f t="shared" si="62"/>
        <v>0</v>
      </c>
      <c r="AO74" s="1154">
        <f t="shared" si="62"/>
        <v>0</v>
      </c>
      <c r="AP74" s="1154">
        <f t="shared" si="62"/>
        <v>0</v>
      </c>
      <c r="AQ74" s="1154">
        <f t="shared" si="62"/>
        <v>0</v>
      </c>
      <c r="AR74" s="1154">
        <f t="shared" si="62"/>
        <v>0</v>
      </c>
      <c r="AS74" s="1154">
        <f t="shared" si="62"/>
        <v>0</v>
      </c>
      <c r="AT74" s="1154">
        <f t="shared" si="62"/>
        <v>0</v>
      </c>
      <c r="AU74" s="1154">
        <f t="shared" si="62"/>
        <v>0</v>
      </c>
      <c r="AV74" s="1154">
        <f t="shared" si="62"/>
        <v>0</v>
      </c>
      <c r="AW74" s="1154">
        <f t="shared" si="62"/>
        <v>0</v>
      </c>
      <c r="AX74" s="1154">
        <f t="shared" si="62"/>
        <v>0</v>
      </c>
      <c r="AY74" s="1154"/>
      <c r="AZ74" s="1156">
        <f t="shared" ca="1" si="39"/>
        <v>0</v>
      </c>
      <c r="BA74" s="579">
        <f t="shared" ca="1" si="50"/>
        <v>0</v>
      </c>
    </row>
    <row r="75" spans="1:53" ht="21.95" customHeight="1" x14ac:dyDescent="0.15">
      <c r="A75" s="2596"/>
      <c r="B75" s="2617"/>
      <c r="C75" s="567" t="s">
        <v>1396</v>
      </c>
      <c r="D75" s="1498"/>
      <c r="E75" s="1499"/>
      <c r="F75" s="1154">
        <f t="shared" ref="F75:G75" si="63">F44</f>
        <v>0</v>
      </c>
      <c r="G75" s="1154">
        <f t="shared" si="63"/>
        <v>0</v>
      </c>
      <c r="H75" s="1154">
        <f t="shared" ref="H75:AX75" si="64">H44</f>
        <v>0</v>
      </c>
      <c r="I75" s="1154">
        <f t="shared" si="64"/>
        <v>0</v>
      </c>
      <c r="J75" s="1154">
        <f t="shared" si="64"/>
        <v>0</v>
      </c>
      <c r="K75" s="1154">
        <f t="shared" si="64"/>
        <v>0</v>
      </c>
      <c r="L75" s="1154">
        <f t="shared" si="64"/>
        <v>0</v>
      </c>
      <c r="M75" s="1154">
        <f t="shared" si="64"/>
        <v>0</v>
      </c>
      <c r="N75" s="1154">
        <f t="shared" si="64"/>
        <v>0</v>
      </c>
      <c r="O75" s="1154">
        <f t="shared" si="64"/>
        <v>0</v>
      </c>
      <c r="P75" s="1154">
        <f t="shared" si="64"/>
        <v>0</v>
      </c>
      <c r="Q75" s="1154">
        <f t="shared" si="64"/>
        <v>0</v>
      </c>
      <c r="R75" s="1154">
        <f t="shared" si="64"/>
        <v>0</v>
      </c>
      <c r="S75" s="1154">
        <f t="shared" si="64"/>
        <v>0</v>
      </c>
      <c r="T75" s="1154">
        <f t="shared" si="64"/>
        <v>0</v>
      </c>
      <c r="U75" s="1154">
        <f t="shared" si="64"/>
        <v>0.38371052160000002</v>
      </c>
      <c r="V75" s="1154">
        <f t="shared" si="64"/>
        <v>0</v>
      </c>
      <c r="W75" s="1154">
        <f t="shared" si="64"/>
        <v>0</v>
      </c>
      <c r="X75" s="1154">
        <f t="shared" si="64"/>
        <v>0</v>
      </c>
      <c r="Y75" s="1154">
        <f t="shared" si="64"/>
        <v>0</v>
      </c>
      <c r="Z75" s="1154">
        <f t="shared" si="64"/>
        <v>0</v>
      </c>
      <c r="AA75" s="1154">
        <f t="shared" si="64"/>
        <v>0</v>
      </c>
      <c r="AB75" s="1154">
        <f t="shared" si="64"/>
        <v>0</v>
      </c>
      <c r="AC75" s="1154">
        <f t="shared" si="64"/>
        <v>0</v>
      </c>
      <c r="AD75" s="1154">
        <f t="shared" si="64"/>
        <v>0</v>
      </c>
      <c r="AE75" s="1154">
        <f t="shared" si="64"/>
        <v>0</v>
      </c>
      <c r="AF75" s="1154">
        <f t="shared" ca="1" si="64"/>
        <v>2.0350361592000006</v>
      </c>
      <c r="AG75" s="1154">
        <f t="shared" ca="1" si="64"/>
        <v>3.8194088521824141</v>
      </c>
      <c r="AH75" s="1154">
        <f t="shared" si="64"/>
        <v>0</v>
      </c>
      <c r="AI75" s="1154">
        <f t="shared" si="64"/>
        <v>0</v>
      </c>
      <c r="AJ75" s="1154">
        <f t="shared" si="64"/>
        <v>0</v>
      </c>
      <c r="AK75" s="1154">
        <f t="shared" si="64"/>
        <v>0</v>
      </c>
      <c r="AL75" s="1154">
        <f t="shared" si="64"/>
        <v>0</v>
      </c>
      <c r="AM75" s="1154">
        <f t="shared" si="64"/>
        <v>0</v>
      </c>
      <c r="AN75" s="1154">
        <f t="shared" si="64"/>
        <v>0</v>
      </c>
      <c r="AO75" s="1154">
        <f t="shared" si="64"/>
        <v>0</v>
      </c>
      <c r="AP75" s="1154">
        <f t="shared" si="64"/>
        <v>0</v>
      </c>
      <c r="AQ75" s="1154">
        <f t="shared" si="64"/>
        <v>0</v>
      </c>
      <c r="AR75" s="1154">
        <f t="shared" si="64"/>
        <v>0</v>
      </c>
      <c r="AS75" s="1154">
        <f t="shared" si="64"/>
        <v>0</v>
      </c>
      <c r="AT75" s="1154">
        <f t="shared" si="64"/>
        <v>0</v>
      </c>
      <c r="AU75" s="1154">
        <f t="shared" si="64"/>
        <v>0</v>
      </c>
      <c r="AV75" s="1154">
        <f t="shared" si="64"/>
        <v>0</v>
      </c>
      <c r="AW75" s="1154">
        <f t="shared" si="64"/>
        <v>0</v>
      </c>
      <c r="AX75" s="1154">
        <f t="shared" si="64"/>
        <v>0</v>
      </c>
      <c r="AY75" s="1154"/>
      <c r="AZ75" s="1156">
        <f t="shared" ca="1" si="39"/>
        <v>6.24</v>
      </c>
      <c r="BA75" s="579">
        <f t="shared" ca="1" si="50"/>
        <v>12.478155532982415</v>
      </c>
    </row>
    <row r="76" spans="1:53" ht="21.95" hidden="1" customHeight="1" x14ac:dyDescent="0.15">
      <c r="A76" s="2596"/>
      <c r="B76" s="2617"/>
      <c r="C76" s="567" t="s">
        <v>1397</v>
      </c>
      <c r="D76" s="1498"/>
      <c r="E76" s="1499"/>
      <c r="F76" s="1154">
        <f t="shared" ref="F76:G76" si="65">F51</f>
        <v>0</v>
      </c>
      <c r="G76" s="1154">
        <f t="shared" si="65"/>
        <v>0</v>
      </c>
      <c r="H76" s="1154">
        <f t="shared" ref="H76:AX76" si="66">H51</f>
        <v>0</v>
      </c>
      <c r="I76" s="1154">
        <f t="shared" si="66"/>
        <v>0</v>
      </c>
      <c r="J76" s="1154">
        <f t="shared" si="66"/>
        <v>0</v>
      </c>
      <c r="K76" s="1154">
        <f t="shared" si="66"/>
        <v>0</v>
      </c>
      <c r="L76" s="1154">
        <f t="shared" si="66"/>
        <v>0</v>
      </c>
      <c r="M76" s="1154">
        <f t="shared" si="66"/>
        <v>0</v>
      </c>
      <c r="N76" s="1154">
        <f t="shared" si="66"/>
        <v>0</v>
      </c>
      <c r="O76" s="1154">
        <f t="shared" si="66"/>
        <v>0</v>
      </c>
      <c r="P76" s="1154">
        <f t="shared" si="66"/>
        <v>0</v>
      </c>
      <c r="Q76" s="1154">
        <f t="shared" si="66"/>
        <v>0</v>
      </c>
      <c r="R76" s="1154">
        <f t="shared" si="66"/>
        <v>0</v>
      </c>
      <c r="S76" s="1154">
        <f t="shared" si="66"/>
        <v>0</v>
      </c>
      <c r="T76" s="1154">
        <f t="shared" si="66"/>
        <v>0</v>
      </c>
      <c r="U76" s="1154">
        <f t="shared" si="66"/>
        <v>0</v>
      </c>
      <c r="V76" s="1154">
        <f t="shared" si="66"/>
        <v>0</v>
      </c>
      <c r="W76" s="1154">
        <f t="shared" si="66"/>
        <v>0</v>
      </c>
      <c r="X76" s="1154">
        <f t="shared" si="66"/>
        <v>0</v>
      </c>
      <c r="Y76" s="1154">
        <f t="shared" si="66"/>
        <v>0</v>
      </c>
      <c r="Z76" s="1154">
        <f t="shared" si="66"/>
        <v>0</v>
      </c>
      <c r="AA76" s="1154">
        <f t="shared" si="66"/>
        <v>0</v>
      </c>
      <c r="AB76" s="1154">
        <f t="shared" si="66"/>
        <v>0</v>
      </c>
      <c r="AC76" s="1154">
        <f t="shared" si="66"/>
        <v>0</v>
      </c>
      <c r="AD76" s="1154">
        <f t="shared" si="66"/>
        <v>0</v>
      </c>
      <c r="AE76" s="1154">
        <f t="shared" si="66"/>
        <v>0</v>
      </c>
      <c r="AF76" s="1154">
        <f t="shared" ca="1" si="66"/>
        <v>0</v>
      </c>
      <c r="AG76" s="1154">
        <f t="shared" ca="1" si="66"/>
        <v>0</v>
      </c>
      <c r="AH76" s="1154">
        <f t="shared" si="66"/>
        <v>0</v>
      </c>
      <c r="AI76" s="1154">
        <f t="shared" si="66"/>
        <v>0</v>
      </c>
      <c r="AJ76" s="1154">
        <f t="shared" si="66"/>
        <v>0</v>
      </c>
      <c r="AK76" s="1154">
        <f t="shared" si="66"/>
        <v>0</v>
      </c>
      <c r="AL76" s="1154">
        <f t="shared" si="66"/>
        <v>0</v>
      </c>
      <c r="AM76" s="1154">
        <f t="shared" si="66"/>
        <v>0</v>
      </c>
      <c r="AN76" s="1154">
        <f t="shared" si="66"/>
        <v>0</v>
      </c>
      <c r="AO76" s="1154">
        <f t="shared" si="66"/>
        <v>0</v>
      </c>
      <c r="AP76" s="1154">
        <f t="shared" si="66"/>
        <v>0</v>
      </c>
      <c r="AQ76" s="1154">
        <f t="shared" si="66"/>
        <v>0</v>
      </c>
      <c r="AR76" s="1154">
        <f t="shared" si="66"/>
        <v>0</v>
      </c>
      <c r="AS76" s="1154">
        <f t="shared" si="66"/>
        <v>0</v>
      </c>
      <c r="AT76" s="1154">
        <f t="shared" si="66"/>
        <v>0</v>
      </c>
      <c r="AU76" s="1154">
        <f t="shared" si="66"/>
        <v>0</v>
      </c>
      <c r="AV76" s="1154">
        <f t="shared" si="66"/>
        <v>0</v>
      </c>
      <c r="AW76" s="1154">
        <f t="shared" si="66"/>
        <v>0</v>
      </c>
      <c r="AX76" s="1154">
        <f t="shared" si="66"/>
        <v>0</v>
      </c>
      <c r="AY76" s="1154"/>
      <c r="AZ76" s="1156">
        <f t="shared" ca="1" si="39"/>
        <v>0</v>
      </c>
      <c r="BA76" s="579">
        <f t="shared" ca="1" si="50"/>
        <v>0</v>
      </c>
    </row>
    <row r="77" spans="1:53" ht="21.95" customHeight="1" x14ac:dyDescent="0.15">
      <c r="A77" s="2596"/>
      <c r="B77" s="2617"/>
      <c r="C77" s="567" t="s">
        <v>538</v>
      </c>
      <c r="D77" s="1498"/>
      <c r="E77" s="1499"/>
      <c r="F77" s="1570"/>
      <c r="G77" s="1154">
        <f>G19*1.375</f>
        <v>0</v>
      </c>
      <c r="H77" s="1154">
        <f t="shared" ref="H77:AX77" si="67">H19*1.375</f>
        <v>0</v>
      </c>
      <c r="I77" s="1154">
        <f t="shared" si="67"/>
        <v>0</v>
      </c>
      <c r="J77" s="1154">
        <f t="shared" si="67"/>
        <v>0</v>
      </c>
      <c r="K77" s="1154">
        <f t="shared" si="67"/>
        <v>0</v>
      </c>
      <c r="L77" s="1154">
        <f t="shared" si="67"/>
        <v>0</v>
      </c>
      <c r="M77" s="1154">
        <f t="shared" si="67"/>
        <v>0</v>
      </c>
      <c r="N77" s="1154">
        <f t="shared" si="67"/>
        <v>0</v>
      </c>
      <c r="O77" s="1154">
        <f t="shared" si="67"/>
        <v>0</v>
      </c>
      <c r="P77" s="1154">
        <f t="shared" si="67"/>
        <v>0</v>
      </c>
      <c r="Q77" s="1154">
        <f t="shared" si="67"/>
        <v>0</v>
      </c>
      <c r="R77" s="1154">
        <f t="shared" si="67"/>
        <v>0</v>
      </c>
      <c r="S77" s="1154">
        <f t="shared" si="67"/>
        <v>0</v>
      </c>
      <c r="T77" s="1154">
        <f t="shared" si="67"/>
        <v>0</v>
      </c>
      <c r="U77" s="1154">
        <f t="shared" si="67"/>
        <v>2.31</v>
      </c>
      <c r="V77" s="1154">
        <f t="shared" si="67"/>
        <v>0</v>
      </c>
      <c r="W77" s="1154">
        <f t="shared" si="67"/>
        <v>0</v>
      </c>
      <c r="X77" s="1154">
        <f t="shared" si="67"/>
        <v>0</v>
      </c>
      <c r="Y77" s="1154">
        <f t="shared" si="67"/>
        <v>0</v>
      </c>
      <c r="Z77" s="1154">
        <f t="shared" si="67"/>
        <v>0</v>
      </c>
      <c r="AA77" s="1154">
        <f t="shared" si="67"/>
        <v>0</v>
      </c>
      <c r="AB77" s="1154">
        <f t="shared" si="67"/>
        <v>0</v>
      </c>
      <c r="AC77" s="1154">
        <f t="shared" si="67"/>
        <v>0</v>
      </c>
      <c r="AD77" s="1154">
        <f t="shared" si="67"/>
        <v>0</v>
      </c>
      <c r="AE77" s="1154">
        <f t="shared" si="67"/>
        <v>0</v>
      </c>
      <c r="AF77" s="1154">
        <f t="shared" ca="1" si="67"/>
        <v>12.251250000000002</v>
      </c>
      <c r="AG77" s="1154">
        <f t="shared" ca="1" si="67"/>
        <v>22.993465000000082</v>
      </c>
      <c r="AH77" s="1154">
        <f t="shared" si="67"/>
        <v>0</v>
      </c>
      <c r="AI77" s="1154">
        <f t="shared" si="67"/>
        <v>0</v>
      </c>
      <c r="AJ77" s="1154">
        <f t="shared" si="67"/>
        <v>0</v>
      </c>
      <c r="AK77" s="1154">
        <f t="shared" si="67"/>
        <v>0</v>
      </c>
      <c r="AL77" s="1154">
        <f t="shared" si="67"/>
        <v>0</v>
      </c>
      <c r="AM77" s="1154">
        <f t="shared" si="67"/>
        <v>0</v>
      </c>
      <c r="AN77" s="1154">
        <f t="shared" si="67"/>
        <v>0</v>
      </c>
      <c r="AO77" s="1154">
        <f t="shared" si="67"/>
        <v>0</v>
      </c>
      <c r="AP77" s="1154">
        <f t="shared" si="67"/>
        <v>0</v>
      </c>
      <c r="AQ77" s="1154">
        <f t="shared" si="67"/>
        <v>0</v>
      </c>
      <c r="AR77" s="1154">
        <f t="shared" si="67"/>
        <v>0</v>
      </c>
      <c r="AS77" s="1154">
        <f t="shared" si="67"/>
        <v>0</v>
      </c>
      <c r="AT77" s="1154">
        <f t="shared" si="67"/>
        <v>0</v>
      </c>
      <c r="AU77" s="1154">
        <f t="shared" si="67"/>
        <v>0</v>
      </c>
      <c r="AV77" s="1154">
        <f t="shared" si="67"/>
        <v>0</v>
      </c>
      <c r="AW77" s="1154">
        <f t="shared" si="67"/>
        <v>0</v>
      </c>
      <c r="AX77" s="1154">
        <f t="shared" si="67"/>
        <v>0</v>
      </c>
      <c r="AY77" s="1154"/>
      <c r="AZ77" s="1156">
        <f t="shared" ca="1" si="39"/>
        <v>37.549999999999997</v>
      </c>
      <c r="BA77" s="579">
        <f t="shared" ca="1" si="50"/>
        <v>75.104715000000084</v>
      </c>
    </row>
    <row r="78" spans="1:53" ht="21.95" customHeight="1" x14ac:dyDescent="0.15">
      <c r="A78" s="2596"/>
      <c r="B78" s="2617"/>
      <c r="C78" s="567" t="s">
        <v>1769</v>
      </c>
      <c r="D78" s="1498"/>
      <c r="E78" s="1499"/>
      <c r="F78" s="1154">
        <f t="shared" ref="F78:G78" si="68">F42</f>
        <v>0</v>
      </c>
      <c r="G78" s="1154">
        <f t="shared" si="68"/>
        <v>0</v>
      </c>
      <c r="H78" s="1154">
        <f t="shared" ref="H78:AX78" si="69">H42</f>
        <v>0</v>
      </c>
      <c r="I78" s="1154">
        <f t="shared" si="69"/>
        <v>0</v>
      </c>
      <c r="J78" s="1154">
        <f t="shared" si="69"/>
        <v>0</v>
      </c>
      <c r="K78" s="1154">
        <f t="shared" si="69"/>
        <v>0</v>
      </c>
      <c r="L78" s="1154">
        <f t="shared" si="69"/>
        <v>0</v>
      </c>
      <c r="M78" s="1154">
        <f t="shared" si="69"/>
        <v>0</v>
      </c>
      <c r="N78" s="1154">
        <f t="shared" si="69"/>
        <v>0</v>
      </c>
      <c r="O78" s="1154">
        <f t="shared" si="69"/>
        <v>0</v>
      </c>
      <c r="P78" s="1154">
        <f t="shared" si="69"/>
        <v>0</v>
      </c>
      <c r="Q78" s="1154">
        <f t="shared" si="69"/>
        <v>0</v>
      </c>
      <c r="R78" s="1154">
        <f t="shared" si="69"/>
        <v>0</v>
      </c>
      <c r="S78" s="1154">
        <f t="shared" si="69"/>
        <v>0</v>
      </c>
      <c r="T78" s="1154">
        <f t="shared" si="69"/>
        <v>0</v>
      </c>
      <c r="U78" s="1154">
        <f t="shared" si="69"/>
        <v>5.1504767999999999E-2</v>
      </c>
      <c r="V78" s="1154">
        <f t="shared" si="69"/>
        <v>0</v>
      </c>
      <c r="W78" s="1154">
        <f t="shared" si="69"/>
        <v>0</v>
      </c>
      <c r="X78" s="1154">
        <f t="shared" si="69"/>
        <v>0</v>
      </c>
      <c r="Y78" s="1154">
        <f t="shared" si="69"/>
        <v>0</v>
      </c>
      <c r="Z78" s="1154">
        <f t="shared" si="69"/>
        <v>0</v>
      </c>
      <c r="AA78" s="1154">
        <f t="shared" si="69"/>
        <v>0</v>
      </c>
      <c r="AB78" s="1154">
        <f t="shared" si="69"/>
        <v>0</v>
      </c>
      <c r="AC78" s="1154">
        <f t="shared" si="69"/>
        <v>0</v>
      </c>
      <c r="AD78" s="1154">
        <f t="shared" si="69"/>
        <v>0</v>
      </c>
      <c r="AE78" s="1154">
        <f t="shared" si="69"/>
        <v>0</v>
      </c>
      <c r="AF78" s="1154">
        <f t="shared" ca="1" si="69"/>
        <v>0.27315921600000004</v>
      </c>
      <c r="AG78" s="1154">
        <f t="shared" ca="1" si="69"/>
        <v>0.51267232915200189</v>
      </c>
      <c r="AH78" s="1154">
        <f t="shared" si="69"/>
        <v>0</v>
      </c>
      <c r="AI78" s="1154">
        <f t="shared" si="69"/>
        <v>0</v>
      </c>
      <c r="AJ78" s="1154">
        <f t="shared" si="69"/>
        <v>0</v>
      </c>
      <c r="AK78" s="1154">
        <f t="shared" si="69"/>
        <v>0</v>
      </c>
      <c r="AL78" s="1154">
        <f t="shared" si="69"/>
        <v>0</v>
      </c>
      <c r="AM78" s="1154">
        <f t="shared" si="69"/>
        <v>0</v>
      </c>
      <c r="AN78" s="1154">
        <f t="shared" si="69"/>
        <v>0</v>
      </c>
      <c r="AO78" s="1154">
        <f t="shared" si="69"/>
        <v>0</v>
      </c>
      <c r="AP78" s="1154">
        <f t="shared" si="69"/>
        <v>0</v>
      </c>
      <c r="AQ78" s="1154">
        <f t="shared" si="69"/>
        <v>0</v>
      </c>
      <c r="AR78" s="1154">
        <f t="shared" si="69"/>
        <v>0</v>
      </c>
      <c r="AS78" s="1154">
        <f t="shared" si="69"/>
        <v>0</v>
      </c>
      <c r="AT78" s="1154">
        <f t="shared" si="69"/>
        <v>0</v>
      </c>
      <c r="AU78" s="1154">
        <f t="shared" si="69"/>
        <v>0</v>
      </c>
      <c r="AV78" s="1154">
        <f t="shared" si="69"/>
        <v>0</v>
      </c>
      <c r="AW78" s="1154">
        <f t="shared" si="69"/>
        <v>0</v>
      </c>
      <c r="AX78" s="1154">
        <f t="shared" si="69"/>
        <v>0</v>
      </c>
      <c r="AY78" s="1154"/>
      <c r="AZ78" s="1156">
        <f t="shared" ca="1" si="39"/>
        <v>0.84</v>
      </c>
      <c r="BA78" s="579">
        <f t="shared" ca="1" si="50"/>
        <v>1.677336313152002</v>
      </c>
    </row>
    <row r="79" spans="1:53" ht="21.95" customHeight="1" x14ac:dyDescent="0.15">
      <c r="A79" s="2596"/>
      <c r="B79" s="2617"/>
      <c r="C79" s="567" t="s">
        <v>1401</v>
      </c>
      <c r="D79" s="1498"/>
      <c r="E79" s="1499"/>
      <c r="F79" s="1154">
        <f t="shared" ref="F79:G79" si="70">F33</f>
        <v>0</v>
      </c>
      <c r="G79" s="1154">
        <f t="shared" si="70"/>
        <v>0</v>
      </c>
      <c r="H79" s="1154">
        <f t="shared" ref="H79:AX79" si="71">H33</f>
        <v>0</v>
      </c>
      <c r="I79" s="1154">
        <f t="shared" si="71"/>
        <v>0</v>
      </c>
      <c r="J79" s="1154">
        <f t="shared" si="71"/>
        <v>0</v>
      </c>
      <c r="K79" s="1154">
        <f t="shared" si="71"/>
        <v>0</v>
      </c>
      <c r="L79" s="1154">
        <f t="shared" si="71"/>
        <v>0</v>
      </c>
      <c r="M79" s="1154">
        <f t="shared" si="71"/>
        <v>0</v>
      </c>
      <c r="N79" s="1154">
        <f t="shared" si="71"/>
        <v>0</v>
      </c>
      <c r="O79" s="1154">
        <f t="shared" si="71"/>
        <v>0</v>
      </c>
      <c r="P79" s="1154">
        <f t="shared" si="71"/>
        <v>0</v>
      </c>
      <c r="Q79" s="1154">
        <f t="shared" si="71"/>
        <v>0</v>
      </c>
      <c r="R79" s="1154">
        <f t="shared" si="71"/>
        <v>0</v>
      </c>
      <c r="S79" s="1154">
        <f t="shared" si="71"/>
        <v>0</v>
      </c>
      <c r="T79" s="1154">
        <f t="shared" si="71"/>
        <v>0</v>
      </c>
      <c r="U79" s="1154">
        <f t="shared" si="71"/>
        <v>1.3439999999999999E-2</v>
      </c>
      <c r="V79" s="1154">
        <f t="shared" si="71"/>
        <v>0</v>
      </c>
      <c r="W79" s="1154">
        <f t="shared" si="71"/>
        <v>0</v>
      </c>
      <c r="X79" s="1154">
        <f t="shared" si="71"/>
        <v>0</v>
      </c>
      <c r="Y79" s="1154">
        <f t="shared" si="71"/>
        <v>0</v>
      </c>
      <c r="Z79" s="1154">
        <f t="shared" si="71"/>
        <v>0</v>
      </c>
      <c r="AA79" s="1154">
        <f t="shared" si="71"/>
        <v>0</v>
      </c>
      <c r="AB79" s="1154">
        <f t="shared" si="71"/>
        <v>0</v>
      </c>
      <c r="AC79" s="1154">
        <f t="shared" si="71"/>
        <v>0</v>
      </c>
      <c r="AD79" s="1154">
        <f t="shared" si="71"/>
        <v>0</v>
      </c>
      <c r="AE79" s="1154">
        <f t="shared" si="71"/>
        <v>0</v>
      </c>
      <c r="AF79" s="1154">
        <f t="shared" ca="1" si="71"/>
        <v>7.1279999999999996E-2</v>
      </c>
      <c r="AG79" s="1154">
        <f t="shared" ca="1" si="71"/>
        <v>0.13378016000000045</v>
      </c>
      <c r="AH79" s="1154">
        <f t="shared" si="71"/>
        <v>0</v>
      </c>
      <c r="AI79" s="1154">
        <f t="shared" si="71"/>
        <v>0</v>
      </c>
      <c r="AJ79" s="1154">
        <f t="shared" si="71"/>
        <v>0</v>
      </c>
      <c r="AK79" s="1154">
        <f t="shared" si="71"/>
        <v>0</v>
      </c>
      <c r="AL79" s="1154">
        <f t="shared" si="71"/>
        <v>0</v>
      </c>
      <c r="AM79" s="1154">
        <f t="shared" si="71"/>
        <v>0</v>
      </c>
      <c r="AN79" s="1154">
        <f t="shared" si="71"/>
        <v>0</v>
      </c>
      <c r="AO79" s="1154">
        <f t="shared" si="71"/>
        <v>0</v>
      </c>
      <c r="AP79" s="1154">
        <f t="shared" si="71"/>
        <v>0</v>
      </c>
      <c r="AQ79" s="1154">
        <f t="shared" si="71"/>
        <v>0</v>
      </c>
      <c r="AR79" s="1154">
        <f t="shared" si="71"/>
        <v>0</v>
      </c>
      <c r="AS79" s="1154">
        <f t="shared" si="71"/>
        <v>0</v>
      </c>
      <c r="AT79" s="1154">
        <f t="shared" si="71"/>
        <v>0</v>
      </c>
      <c r="AU79" s="1154">
        <f t="shared" si="71"/>
        <v>0</v>
      </c>
      <c r="AV79" s="1154">
        <f t="shared" si="71"/>
        <v>0</v>
      </c>
      <c r="AW79" s="1154">
        <f t="shared" si="71"/>
        <v>0</v>
      </c>
      <c r="AX79" s="1154">
        <f t="shared" si="71"/>
        <v>0</v>
      </c>
      <c r="AY79" s="1154"/>
      <c r="AZ79" s="1156">
        <f t="shared" ca="1" si="39"/>
        <v>0.22</v>
      </c>
      <c r="BA79" s="579">
        <f t="shared" ca="1" si="50"/>
        <v>0.43850016000000047</v>
      </c>
    </row>
    <row r="80" spans="1:53" ht="21.95" hidden="1" customHeight="1" x14ac:dyDescent="0.15">
      <c r="A80" s="2596"/>
      <c r="B80" s="2617"/>
      <c r="C80" s="567" t="s">
        <v>1410</v>
      </c>
      <c r="D80" s="1498"/>
      <c r="E80" s="1499"/>
      <c r="F80" s="1154"/>
      <c r="G80" s="1154">
        <f t="shared" ref="G80:AX80" si="72">G37</f>
        <v>0</v>
      </c>
      <c r="H80" s="1154">
        <f t="shared" si="72"/>
        <v>0</v>
      </c>
      <c r="I80" s="1154">
        <f t="shared" si="72"/>
        <v>0</v>
      </c>
      <c r="J80" s="1154">
        <f t="shared" si="72"/>
        <v>0</v>
      </c>
      <c r="K80" s="1154">
        <f t="shared" si="72"/>
        <v>0</v>
      </c>
      <c r="L80" s="1154">
        <f t="shared" si="72"/>
        <v>0</v>
      </c>
      <c r="M80" s="1154">
        <f t="shared" si="72"/>
        <v>0</v>
      </c>
      <c r="N80" s="1154">
        <f t="shared" si="72"/>
        <v>0</v>
      </c>
      <c r="O80" s="1154">
        <f t="shared" si="72"/>
        <v>0</v>
      </c>
      <c r="P80" s="1154">
        <f t="shared" si="72"/>
        <v>0</v>
      </c>
      <c r="Q80" s="1154">
        <f t="shared" si="72"/>
        <v>0</v>
      </c>
      <c r="R80" s="1154">
        <f t="shared" si="72"/>
        <v>0</v>
      </c>
      <c r="S80" s="1154">
        <f t="shared" si="72"/>
        <v>0</v>
      </c>
      <c r="T80" s="1154">
        <f t="shared" si="72"/>
        <v>0</v>
      </c>
      <c r="U80" s="1154">
        <f t="shared" si="72"/>
        <v>0</v>
      </c>
      <c r="V80" s="1154">
        <f t="shared" si="72"/>
        <v>0</v>
      </c>
      <c r="W80" s="1154">
        <f t="shared" si="72"/>
        <v>0</v>
      </c>
      <c r="X80" s="1154">
        <f t="shared" si="72"/>
        <v>0</v>
      </c>
      <c r="Y80" s="1154">
        <f t="shared" si="72"/>
        <v>0</v>
      </c>
      <c r="Z80" s="1154">
        <f t="shared" si="72"/>
        <v>0</v>
      </c>
      <c r="AA80" s="1154">
        <f t="shared" si="72"/>
        <v>0</v>
      </c>
      <c r="AB80" s="1154">
        <f t="shared" si="72"/>
        <v>0</v>
      </c>
      <c r="AC80" s="1154">
        <f t="shared" si="72"/>
        <v>0</v>
      </c>
      <c r="AD80" s="1154">
        <f t="shared" si="72"/>
        <v>0</v>
      </c>
      <c r="AE80" s="1154">
        <f t="shared" si="72"/>
        <v>0</v>
      </c>
      <c r="AF80" s="1154">
        <f t="shared" ca="1" si="72"/>
        <v>0</v>
      </c>
      <c r="AG80" s="1154">
        <f t="shared" ca="1" si="72"/>
        <v>0</v>
      </c>
      <c r="AH80" s="1154">
        <f t="shared" si="72"/>
        <v>0</v>
      </c>
      <c r="AI80" s="1154">
        <f t="shared" si="72"/>
        <v>0</v>
      </c>
      <c r="AJ80" s="1154">
        <f t="shared" si="72"/>
        <v>0</v>
      </c>
      <c r="AK80" s="1154">
        <f t="shared" si="72"/>
        <v>0</v>
      </c>
      <c r="AL80" s="1154">
        <f t="shared" si="72"/>
        <v>0</v>
      </c>
      <c r="AM80" s="1154">
        <f t="shared" si="72"/>
        <v>0</v>
      </c>
      <c r="AN80" s="1154">
        <f t="shared" si="72"/>
        <v>0</v>
      </c>
      <c r="AO80" s="1154">
        <f t="shared" si="72"/>
        <v>0</v>
      </c>
      <c r="AP80" s="1154">
        <f t="shared" si="72"/>
        <v>0</v>
      </c>
      <c r="AQ80" s="1154">
        <f t="shared" si="72"/>
        <v>0</v>
      </c>
      <c r="AR80" s="1154">
        <f t="shared" si="72"/>
        <v>0</v>
      </c>
      <c r="AS80" s="1154">
        <f t="shared" si="72"/>
        <v>0</v>
      </c>
      <c r="AT80" s="1154">
        <f t="shared" si="72"/>
        <v>0</v>
      </c>
      <c r="AU80" s="1154">
        <f t="shared" si="72"/>
        <v>0</v>
      </c>
      <c r="AV80" s="1154">
        <f t="shared" si="72"/>
        <v>0</v>
      </c>
      <c r="AW80" s="1154">
        <f t="shared" si="72"/>
        <v>0</v>
      </c>
      <c r="AX80" s="1154">
        <f t="shared" si="72"/>
        <v>0</v>
      </c>
      <c r="AY80" s="1154"/>
      <c r="AZ80" s="1156">
        <f t="shared" ca="1" si="39"/>
        <v>0</v>
      </c>
      <c r="BA80" s="579">
        <f t="shared" ca="1" si="50"/>
        <v>0</v>
      </c>
    </row>
    <row r="81" spans="1:53" ht="21.95" hidden="1" customHeight="1" x14ac:dyDescent="0.15">
      <c r="A81" s="2596"/>
      <c r="B81" s="2617"/>
      <c r="C81" s="567" t="s">
        <v>1415</v>
      </c>
      <c r="D81" s="1498"/>
      <c r="E81" s="1499"/>
      <c r="F81" s="1154">
        <f t="shared" ref="F81:G81" si="73">F49</f>
        <v>0</v>
      </c>
      <c r="G81" s="1154">
        <f t="shared" si="73"/>
        <v>0</v>
      </c>
      <c r="H81" s="1154">
        <f t="shared" ref="H81:AX81" si="74">H49</f>
        <v>0</v>
      </c>
      <c r="I81" s="1154">
        <f t="shared" si="74"/>
        <v>0</v>
      </c>
      <c r="J81" s="1154">
        <f t="shared" si="74"/>
        <v>0</v>
      </c>
      <c r="K81" s="1154">
        <f t="shared" si="74"/>
        <v>0</v>
      </c>
      <c r="L81" s="1154">
        <f t="shared" si="74"/>
        <v>0</v>
      </c>
      <c r="M81" s="1154">
        <f t="shared" si="74"/>
        <v>0</v>
      </c>
      <c r="N81" s="1154">
        <f t="shared" si="74"/>
        <v>0</v>
      </c>
      <c r="O81" s="1154">
        <f t="shared" si="74"/>
        <v>0</v>
      </c>
      <c r="P81" s="1154">
        <f t="shared" si="74"/>
        <v>0</v>
      </c>
      <c r="Q81" s="1154">
        <f t="shared" si="74"/>
        <v>0</v>
      </c>
      <c r="R81" s="1154">
        <f t="shared" si="74"/>
        <v>0</v>
      </c>
      <c r="S81" s="1154">
        <f t="shared" si="74"/>
        <v>0</v>
      </c>
      <c r="T81" s="1154">
        <f t="shared" si="74"/>
        <v>0</v>
      </c>
      <c r="U81" s="1154">
        <f t="shared" si="74"/>
        <v>0</v>
      </c>
      <c r="V81" s="1154">
        <f t="shared" si="74"/>
        <v>0</v>
      </c>
      <c r="W81" s="1154">
        <f t="shared" si="74"/>
        <v>0</v>
      </c>
      <c r="X81" s="1154">
        <f t="shared" si="74"/>
        <v>0</v>
      </c>
      <c r="Y81" s="1154">
        <f t="shared" si="74"/>
        <v>0</v>
      </c>
      <c r="Z81" s="1154">
        <f t="shared" si="74"/>
        <v>0</v>
      </c>
      <c r="AA81" s="1154">
        <f t="shared" si="74"/>
        <v>0</v>
      </c>
      <c r="AB81" s="1154">
        <f t="shared" si="74"/>
        <v>0</v>
      </c>
      <c r="AC81" s="1154">
        <f t="shared" si="74"/>
        <v>0</v>
      </c>
      <c r="AD81" s="1154">
        <f t="shared" si="74"/>
        <v>0</v>
      </c>
      <c r="AE81" s="1154">
        <f t="shared" si="74"/>
        <v>0</v>
      </c>
      <c r="AF81" s="1154">
        <f t="shared" ca="1" si="74"/>
        <v>0</v>
      </c>
      <c r="AG81" s="1154">
        <f t="shared" ca="1" si="74"/>
        <v>0</v>
      </c>
      <c r="AH81" s="1154">
        <f t="shared" si="74"/>
        <v>0</v>
      </c>
      <c r="AI81" s="1154">
        <f t="shared" si="74"/>
        <v>0</v>
      </c>
      <c r="AJ81" s="1154">
        <f t="shared" si="74"/>
        <v>0</v>
      </c>
      <c r="AK81" s="1154">
        <f t="shared" si="74"/>
        <v>0</v>
      </c>
      <c r="AL81" s="1154">
        <f t="shared" si="74"/>
        <v>0</v>
      </c>
      <c r="AM81" s="1154">
        <f t="shared" si="74"/>
        <v>0</v>
      </c>
      <c r="AN81" s="1154">
        <f t="shared" si="74"/>
        <v>0</v>
      </c>
      <c r="AO81" s="1154">
        <f t="shared" si="74"/>
        <v>0</v>
      </c>
      <c r="AP81" s="1154">
        <f t="shared" si="74"/>
        <v>0</v>
      </c>
      <c r="AQ81" s="1154">
        <f t="shared" si="74"/>
        <v>0</v>
      </c>
      <c r="AR81" s="1154">
        <f t="shared" si="74"/>
        <v>0</v>
      </c>
      <c r="AS81" s="1154">
        <f t="shared" si="74"/>
        <v>0</v>
      </c>
      <c r="AT81" s="1154">
        <f t="shared" si="74"/>
        <v>0</v>
      </c>
      <c r="AU81" s="1154">
        <f t="shared" si="74"/>
        <v>0</v>
      </c>
      <c r="AV81" s="1154">
        <f t="shared" si="74"/>
        <v>0</v>
      </c>
      <c r="AW81" s="1154">
        <f t="shared" si="74"/>
        <v>0</v>
      </c>
      <c r="AX81" s="1154">
        <f t="shared" si="74"/>
        <v>0</v>
      </c>
      <c r="AY81" s="1154"/>
      <c r="AZ81" s="1156">
        <f t="shared" ca="1" si="39"/>
        <v>0</v>
      </c>
      <c r="BA81" s="579">
        <f t="shared" ca="1" si="50"/>
        <v>0</v>
      </c>
    </row>
    <row r="82" spans="1:53" ht="21.95" customHeight="1" thickBot="1" x14ac:dyDescent="0.2">
      <c r="A82" s="2596"/>
      <c r="B82" s="2617"/>
      <c r="C82" s="567" t="s">
        <v>1376</v>
      </c>
      <c r="D82" s="1498"/>
      <c r="E82" s="1499"/>
      <c r="F82" s="1154">
        <f t="shared" ref="F82:G82" si="75">F39</f>
        <v>0</v>
      </c>
      <c r="G82" s="1154">
        <f t="shared" si="75"/>
        <v>0</v>
      </c>
      <c r="H82" s="1154">
        <f t="shared" ref="H82:AX82" si="76">H39</f>
        <v>0</v>
      </c>
      <c r="I82" s="1154">
        <f t="shared" si="76"/>
        <v>0</v>
      </c>
      <c r="J82" s="1154">
        <f t="shared" si="76"/>
        <v>0</v>
      </c>
      <c r="K82" s="1154">
        <f t="shared" si="76"/>
        <v>0</v>
      </c>
      <c r="L82" s="1154">
        <f t="shared" si="76"/>
        <v>0</v>
      </c>
      <c r="M82" s="1154">
        <f t="shared" si="76"/>
        <v>0</v>
      </c>
      <c r="N82" s="1154">
        <f t="shared" si="76"/>
        <v>0</v>
      </c>
      <c r="O82" s="1154">
        <f t="shared" si="76"/>
        <v>0</v>
      </c>
      <c r="P82" s="1154">
        <f t="shared" si="76"/>
        <v>0</v>
      </c>
      <c r="Q82" s="1154">
        <f t="shared" si="76"/>
        <v>0</v>
      </c>
      <c r="R82" s="1154">
        <f t="shared" si="76"/>
        <v>0</v>
      </c>
      <c r="S82" s="1154">
        <f t="shared" si="76"/>
        <v>0</v>
      </c>
      <c r="T82" s="1154">
        <f t="shared" si="76"/>
        <v>0</v>
      </c>
      <c r="U82" s="1154">
        <f t="shared" si="76"/>
        <v>0.85841279999999998</v>
      </c>
      <c r="V82" s="1154">
        <f t="shared" si="76"/>
        <v>0</v>
      </c>
      <c r="W82" s="1154">
        <f t="shared" si="76"/>
        <v>0</v>
      </c>
      <c r="X82" s="1154">
        <f t="shared" si="76"/>
        <v>0</v>
      </c>
      <c r="Y82" s="1154">
        <f t="shared" si="76"/>
        <v>0</v>
      </c>
      <c r="Z82" s="1154">
        <f t="shared" si="76"/>
        <v>0</v>
      </c>
      <c r="AA82" s="1154">
        <f t="shared" si="76"/>
        <v>0</v>
      </c>
      <c r="AB82" s="1154">
        <f t="shared" si="76"/>
        <v>0</v>
      </c>
      <c r="AC82" s="1154">
        <f t="shared" si="76"/>
        <v>0</v>
      </c>
      <c r="AD82" s="1154">
        <f t="shared" si="76"/>
        <v>0</v>
      </c>
      <c r="AE82" s="1154">
        <f t="shared" si="76"/>
        <v>0</v>
      </c>
      <c r="AF82" s="1154">
        <f t="shared" ca="1" si="76"/>
        <v>4.5526536000000011</v>
      </c>
      <c r="AG82" s="1154">
        <f t="shared" ca="1" si="76"/>
        <v>8.5445388192000316</v>
      </c>
      <c r="AH82" s="1154">
        <f t="shared" si="76"/>
        <v>0</v>
      </c>
      <c r="AI82" s="1154">
        <f t="shared" si="76"/>
        <v>0</v>
      </c>
      <c r="AJ82" s="1154">
        <f t="shared" si="76"/>
        <v>0</v>
      </c>
      <c r="AK82" s="1154">
        <f t="shared" si="76"/>
        <v>0</v>
      </c>
      <c r="AL82" s="1154">
        <f t="shared" si="76"/>
        <v>0</v>
      </c>
      <c r="AM82" s="1154">
        <f t="shared" si="76"/>
        <v>0</v>
      </c>
      <c r="AN82" s="1154">
        <f t="shared" si="76"/>
        <v>0</v>
      </c>
      <c r="AO82" s="1154">
        <f t="shared" si="76"/>
        <v>0</v>
      </c>
      <c r="AP82" s="1154">
        <f t="shared" si="76"/>
        <v>0</v>
      </c>
      <c r="AQ82" s="1154">
        <f t="shared" si="76"/>
        <v>0</v>
      </c>
      <c r="AR82" s="1154">
        <f t="shared" si="76"/>
        <v>0</v>
      </c>
      <c r="AS82" s="1154">
        <f t="shared" si="76"/>
        <v>0</v>
      </c>
      <c r="AT82" s="1154">
        <f t="shared" si="76"/>
        <v>0</v>
      </c>
      <c r="AU82" s="1154">
        <f t="shared" si="76"/>
        <v>0</v>
      </c>
      <c r="AV82" s="1154">
        <f t="shared" si="76"/>
        <v>0</v>
      </c>
      <c r="AW82" s="1154">
        <f t="shared" si="76"/>
        <v>0</v>
      </c>
      <c r="AX82" s="1154">
        <f t="shared" si="76"/>
        <v>0</v>
      </c>
      <c r="AY82" s="1154"/>
      <c r="AZ82" s="1156">
        <f t="shared" ca="1" si="39"/>
        <v>13.96</v>
      </c>
      <c r="BA82" s="579">
        <f t="shared" ca="1" si="50"/>
        <v>27.915605219200032</v>
      </c>
    </row>
    <row r="83" spans="1:53" ht="21.95" hidden="1" customHeight="1" thickBot="1" x14ac:dyDescent="0.2">
      <c r="A83" s="2596"/>
      <c r="B83" s="2618"/>
      <c r="C83" s="566" t="s">
        <v>1377</v>
      </c>
      <c r="D83" s="1500"/>
      <c r="E83" s="1501"/>
      <c r="F83" s="1097">
        <f t="shared" ref="F83:G83" si="77">F46</f>
        <v>0</v>
      </c>
      <c r="G83" s="1097">
        <f t="shared" si="77"/>
        <v>0</v>
      </c>
      <c r="H83" s="1097">
        <f t="shared" ref="H83:AX83" si="78">H46</f>
        <v>0</v>
      </c>
      <c r="I83" s="1097">
        <f t="shared" si="78"/>
        <v>0</v>
      </c>
      <c r="J83" s="1097">
        <f t="shared" si="78"/>
        <v>0</v>
      </c>
      <c r="K83" s="1097">
        <f t="shared" si="78"/>
        <v>0</v>
      </c>
      <c r="L83" s="1097">
        <f t="shared" si="78"/>
        <v>0</v>
      </c>
      <c r="M83" s="1097">
        <f t="shared" si="78"/>
        <v>0</v>
      </c>
      <c r="N83" s="1097">
        <f t="shared" si="78"/>
        <v>0</v>
      </c>
      <c r="O83" s="1097">
        <f t="shared" si="78"/>
        <v>0</v>
      </c>
      <c r="P83" s="1097">
        <f t="shared" si="78"/>
        <v>0</v>
      </c>
      <c r="Q83" s="1097">
        <f t="shared" si="78"/>
        <v>0</v>
      </c>
      <c r="R83" s="1097">
        <f t="shared" si="78"/>
        <v>0</v>
      </c>
      <c r="S83" s="1097">
        <f t="shared" si="78"/>
        <v>0</v>
      </c>
      <c r="T83" s="1097">
        <f t="shared" si="78"/>
        <v>0</v>
      </c>
      <c r="U83" s="1097">
        <f t="shared" si="78"/>
        <v>0</v>
      </c>
      <c r="V83" s="1097">
        <f t="shared" si="78"/>
        <v>0</v>
      </c>
      <c r="W83" s="1097">
        <f t="shared" si="78"/>
        <v>0</v>
      </c>
      <c r="X83" s="1097">
        <f t="shared" si="78"/>
        <v>0</v>
      </c>
      <c r="Y83" s="1097">
        <f t="shared" si="78"/>
        <v>0</v>
      </c>
      <c r="Z83" s="1097">
        <f t="shared" si="78"/>
        <v>0</v>
      </c>
      <c r="AA83" s="1097">
        <f t="shared" si="78"/>
        <v>0</v>
      </c>
      <c r="AB83" s="1097">
        <f t="shared" si="78"/>
        <v>0</v>
      </c>
      <c r="AC83" s="1097">
        <f t="shared" si="78"/>
        <v>0</v>
      </c>
      <c r="AD83" s="1097">
        <f t="shared" si="78"/>
        <v>0</v>
      </c>
      <c r="AE83" s="1097">
        <f t="shared" si="78"/>
        <v>0</v>
      </c>
      <c r="AF83" s="1097">
        <f t="shared" ca="1" si="78"/>
        <v>0</v>
      </c>
      <c r="AG83" s="1097">
        <f t="shared" ca="1" si="78"/>
        <v>0</v>
      </c>
      <c r="AH83" s="1097">
        <f t="shared" si="78"/>
        <v>0</v>
      </c>
      <c r="AI83" s="1097">
        <f t="shared" si="78"/>
        <v>0</v>
      </c>
      <c r="AJ83" s="1097">
        <f t="shared" si="78"/>
        <v>0</v>
      </c>
      <c r="AK83" s="1097">
        <f t="shared" si="78"/>
        <v>0</v>
      </c>
      <c r="AL83" s="1097">
        <f t="shared" si="78"/>
        <v>0</v>
      </c>
      <c r="AM83" s="1097">
        <f t="shared" si="78"/>
        <v>0</v>
      </c>
      <c r="AN83" s="1097">
        <f t="shared" si="78"/>
        <v>0</v>
      </c>
      <c r="AO83" s="1097">
        <f t="shared" si="78"/>
        <v>0</v>
      </c>
      <c r="AP83" s="1097">
        <f t="shared" si="78"/>
        <v>0</v>
      </c>
      <c r="AQ83" s="1097">
        <f t="shared" si="78"/>
        <v>0</v>
      </c>
      <c r="AR83" s="1097">
        <f t="shared" si="78"/>
        <v>0</v>
      </c>
      <c r="AS83" s="1097">
        <f t="shared" si="78"/>
        <v>0</v>
      </c>
      <c r="AT83" s="1097">
        <f t="shared" si="78"/>
        <v>0</v>
      </c>
      <c r="AU83" s="1097">
        <f t="shared" si="78"/>
        <v>0</v>
      </c>
      <c r="AV83" s="1097">
        <f t="shared" si="78"/>
        <v>0</v>
      </c>
      <c r="AW83" s="1097">
        <f t="shared" si="78"/>
        <v>0</v>
      </c>
      <c r="AX83" s="1097">
        <f t="shared" si="78"/>
        <v>0</v>
      </c>
      <c r="AY83" s="1097"/>
      <c r="AZ83" s="1098">
        <f t="shared" ca="1" si="39"/>
        <v>0</v>
      </c>
      <c r="BA83" s="579">
        <f t="shared" ca="1" si="50"/>
        <v>0</v>
      </c>
    </row>
    <row r="84" spans="1:53" ht="21.95" hidden="1" customHeight="1" x14ac:dyDescent="0.15">
      <c r="A84" s="2596"/>
      <c r="B84" s="2616" t="s">
        <v>1370</v>
      </c>
      <c r="C84" s="807" t="s">
        <v>7</v>
      </c>
      <c r="D84" s="1496"/>
      <c r="E84" s="1497"/>
      <c r="F84" s="1094">
        <f>F62</f>
        <v>0</v>
      </c>
      <c r="G84" s="1094">
        <f t="shared" ref="G84:V87" si="79">G62</f>
        <v>0</v>
      </c>
      <c r="H84" s="1094">
        <f t="shared" si="79"/>
        <v>0</v>
      </c>
      <c r="I84" s="1094">
        <f t="shared" si="79"/>
        <v>0</v>
      </c>
      <c r="J84" s="1094">
        <f t="shared" si="79"/>
        <v>0</v>
      </c>
      <c r="K84" s="1094">
        <f t="shared" si="79"/>
        <v>0</v>
      </c>
      <c r="L84" s="1094">
        <f t="shared" si="79"/>
        <v>0</v>
      </c>
      <c r="M84" s="1094">
        <f t="shared" si="79"/>
        <v>0</v>
      </c>
      <c r="N84" s="1094">
        <f t="shared" si="79"/>
        <v>0</v>
      </c>
      <c r="O84" s="1094">
        <f t="shared" si="79"/>
        <v>0</v>
      </c>
      <c r="P84" s="1094">
        <f t="shared" si="79"/>
        <v>0</v>
      </c>
      <c r="Q84" s="1094">
        <f t="shared" si="79"/>
        <v>0</v>
      </c>
      <c r="R84" s="1094">
        <f t="shared" si="79"/>
        <v>0</v>
      </c>
      <c r="S84" s="1094">
        <f t="shared" si="79"/>
        <v>0</v>
      </c>
      <c r="T84" s="1094">
        <f t="shared" si="79"/>
        <v>0</v>
      </c>
      <c r="U84" s="1094">
        <f t="shared" si="79"/>
        <v>2.52</v>
      </c>
      <c r="V84" s="1094">
        <f t="shared" si="79"/>
        <v>0</v>
      </c>
      <c r="W84" s="1094">
        <f t="shared" ref="H84:AX87" si="80">W62</f>
        <v>0</v>
      </c>
      <c r="X84" s="1094">
        <f t="shared" si="80"/>
        <v>0</v>
      </c>
      <c r="Y84" s="1094">
        <f t="shared" si="80"/>
        <v>0</v>
      </c>
      <c r="Z84" s="1094">
        <f t="shared" si="80"/>
        <v>0</v>
      </c>
      <c r="AA84" s="1094">
        <f t="shared" si="80"/>
        <v>0</v>
      </c>
      <c r="AB84" s="1094">
        <f t="shared" si="80"/>
        <v>0</v>
      </c>
      <c r="AC84" s="1094">
        <f t="shared" si="80"/>
        <v>0</v>
      </c>
      <c r="AD84" s="1094">
        <f t="shared" si="80"/>
        <v>0</v>
      </c>
      <c r="AE84" s="1094">
        <f t="shared" si="80"/>
        <v>0</v>
      </c>
      <c r="AF84" s="1094">
        <f t="shared" ca="1" si="80"/>
        <v>13.365</v>
      </c>
      <c r="AG84" s="1094">
        <f t="shared" ca="1" si="80"/>
        <v>25.08378000000009</v>
      </c>
      <c r="AH84" s="1094">
        <f t="shared" si="80"/>
        <v>0</v>
      </c>
      <c r="AI84" s="1094">
        <f t="shared" si="80"/>
        <v>0</v>
      </c>
      <c r="AJ84" s="1094">
        <f t="shared" si="80"/>
        <v>0</v>
      </c>
      <c r="AK84" s="1094">
        <f t="shared" si="80"/>
        <v>0</v>
      </c>
      <c r="AL84" s="1094">
        <f t="shared" si="80"/>
        <v>0</v>
      </c>
      <c r="AM84" s="1094">
        <f t="shared" si="80"/>
        <v>0</v>
      </c>
      <c r="AN84" s="1094">
        <f t="shared" si="80"/>
        <v>0</v>
      </c>
      <c r="AO84" s="1094">
        <f t="shared" si="80"/>
        <v>0</v>
      </c>
      <c r="AP84" s="1094">
        <f t="shared" si="80"/>
        <v>0</v>
      </c>
      <c r="AQ84" s="1094">
        <f t="shared" si="80"/>
        <v>0</v>
      </c>
      <c r="AR84" s="1094">
        <f t="shared" si="80"/>
        <v>0</v>
      </c>
      <c r="AS84" s="1094">
        <f t="shared" si="80"/>
        <v>0</v>
      </c>
      <c r="AT84" s="1094">
        <f t="shared" si="80"/>
        <v>0</v>
      </c>
      <c r="AU84" s="1094">
        <f t="shared" si="80"/>
        <v>0</v>
      </c>
      <c r="AV84" s="1094">
        <f t="shared" si="80"/>
        <v>0</v>
      </c>
      <c r="AW84" s="1094">
        <f t="shared" si="80"/>
        <v>0</v>
      </c>
      <c r="AX84" s="1094">
        <f t="shared" si="80"/>
        <v>0</v>
      </c>
      <c r="AY84" s="1094"/>
      <c r="AZ84" s="1096"/>
      <c r="BA84" s="579"/>
    </row>
    <row r="85" spans="1:53" ht="21.95" hidden="1" customHeight="1" x14ac:dyDescent="0.15">
      <c r="A85" s="2596"/>
      <c r="B85" s="2617"/>
      <c r="C85" s="559" t="s">
        <v>1357</v>
      </c>
      <c r="D85" s="1498"/>
      <c r="E85" s="1499"/>
      <c r="F85" s="1154"/>
      <c r="G85" s="1154">
        <f t="shared" si="79"/>
        <v>0</v>
      </c>
      <c r="H85" s="1154">
        <f t="shared" si="80"/>
        <v>0</v>
      </c>
      <c r="I85" s="1154">
        <f t="shared" si="80"/>
        <v>0</v>
      </c>
      <c r="J85" s="1154">
        <f t="shared" si="80"/>
        <v>0</v>
      </c>
      <c r="K85" s="1154">
        <f t="shared" si="80"/>
        <v>0</v>
      </c>
      <c r="L85" s="1154">
        <f t="shared" si="80"/>
        <v>0</v>
      </c>
      <c r="M85" s="1154">
        <f t="shared" si="80"/>
        <v>0</v>
      </c>
      <c r="N85" s="1154">
        <f t="shared" si="80"/>
        <v>0</v>
      </c>
      <c r="O85" s="1154">
        <f t="shared" si="80"/>
        <v>0</v>
      </c>
      <c r="P85" s="1154">
        <f t="shared" si="80"/>
        <v>0</v>
      </c>
      <c r="Q85" s="1154">
        <f t="shared" si="80"/>
        <v>0</v>
      </c>
      <c r="R85" s="1154">
        <f t="shared" si="80"/>
        <v>0</v>
      </c>
      <c r="S85" s="1154">
        <f t="shared" si="80"/>
        <v>0</v>
      </c>
      <c r="T85" s="1154">
        <f t="shared" si="80"/>
        <v>0</v>
      </c>
      <c r="U85" s="1154">
        <f t="shared" si="80"/>
        <v>0.84000000000000008</v>
      </c>
      <c r="V85" s="1154">
        <f t="shared" si="80"/>
        <v>0</v>
      </c>
      <c r="W85" s="1154">
        <f t="shared" si="80"/>
        <v>0</v>
      </c>
      <c r="X85" s="1154">
        <f t="shared" si="80"/>
        <v>0</v>
      </c>
      <c r="Y85" s="1154">
        <f t="shared" si="80"/>
        <v>0</v>
      </c>
      <c r="Z85" s="1154">
        <f t="shared" si="80"/>
        <v>0</v>
      </c>
      <c r="AA85" s="1154">
        <f t="shared" si="80"/>
        <v>0</v>
      </c>
      <c r="AB85" s="1154">
        <f t="shared" si="80"/>
        <v>0</v>
      </c>
      <c r="AC85" s="1154">
        <f t="shared" si="80"/>
        <v>0</v>
      </c>
      <c r="AD85" s="1154">
        <f t="shared" si="80"/>
        <v>0</v>
      </c>
      <c r="AE85" s="1154">
        <f t="shared" si="80"/>
        <v>0</v>
      </c>
      <c r="AF85" s="1154">
        <f t="shared" ca="1" si="80"/>
        <v>4.455000000000001</v>
      </c>
      <c r="AG85" s="1154">
        <f t="shared" ca="1" si="80"/>
        <v>8.3612600000000299</v>
      </c>
      <c r="AH85" s="1154">
        <f t="shared" si="80"/>
        <v>0</v>
      </c>
      <c r="AI85" s="1154">
        <f t="shared" si="80"/>
        <v>0</v>
      </c>
      <c r="AJ85" s="1154">
        <f t="shared" si="80"/>
        <v>0</v>
      </c>
      <c r="AK85" s="1154">
        <f t="shared" si="80"/>
        <v>0</v>
      </c>
      <c r="AL85" s="1154">
        <f t="shared" si="80"/>
        <v>0</v>
      </c>
      <c r="AM85" s="1154">
        <f t="shared" si="80"/>
        <v>0</v>
      </c>
      <c r="AN85" s="1154">
        <f t="shared" si="80"/>
        <v>0</v>
      </c>
      <c r="AO85" s="1154">
        <f t="shared" si="80"/>
        <v>0</v>
      </c>
      <c r="AP85" s="1154">
        <f t="shared" si="80"/>
        <v>0</v>
      </c>
      <c r="AQ85" s="1154">
        <f t="shared" si="80"/>
        <v>0</v>
      </c>
      <c r="AR85" s="1154">
        <f t="shared" si="80"/>
        <v>0</v>
      </c>
      <c r="AS85" s="1154">
        <f t="shared" si="80"/>
        <v>0</v>
      </c>
      <c r="AT85" s="1154">
        <f t="shared" si="80"/>
        <v>0</v>
      </c>
      <c r="AU85" s="1154">
        <f t="shared" si="80"/>
        <v>0</v>
      </c>
      <c r="AV85" s="1154">
        <f t="shared" si="80"/>
        <v>0</v>
      </c>
      <c r="AW85" s="1154">
        <f t="shared" si="80"/>
        <v>0</v>
      </c>
      <c r="AX85" s="1154">
        <f t="shared" si="80"/>
        <v>0</v>
      </c>
      <c r="AY85" s="1154"/>
      <c r="AZ85" s="1156"/>
      <c r="BA85" s="579"/>
    </row>
    <row r="86" spans="1:53" ht="21.95" hidden="1" customHeight="1" x14ac:dyDescent="0.15">
      <c r="A86" s="2596"/>
      <c r="B86" s="2617"/>
      <c r="C86" s="559" t="s">
        <v>1207</v>
      </c>
      <c r="D86" s="1498"/>
      <c r="E86" s="1499"/>
      <c r="F86" s="1154"/>
      <c r="G86" s="1154">
        <f t="shared" si="79"/>
        <v>0</v>
      </c>
      <c r="H86" s="1154">
        <f t="shared" si="80"/>
        <v>0</v>
      </c>
      <c r="I86" s="1154">
        <f t="shared" si="80"/>
        <v>0</v>
      </c>
      <c r="J86" s="1154">
        <f t="shared" si="80"/>
        <v>0</v>
      </c>
      <c r="K86" s="1154">
        <f t="shared" si="80"/>
        <v>0</v>
      </c>
      <c r="L86" s="1154">
        <f t="shared" si="80"/>
        <v>0</v>
      </c>
      <c r="M86" s="1154">
        <f t="shared" si="80"/>
        <v>0</v>
      </c>
      <c r="N86" s="1154">
        <f t="shared" si="80"/>
        <v>0</v>
      </c>
      <c r="O86" s="1154">
        <f t="shared" si="80"/>
        <v>0</v>
      </c>
      <c r="P86" s="1154">
        <f t="shared" si="80"/>
        <v>0</v>
      </c>
      <c r="Q86" s="1154">
        <f t="shared" si="80"/>
        <v>0</v>
      </c>
      <c r="R86" s="1154">
        <f t="shared" si="80"/>
        <v>0</v>
      </c>
      <c r="S86" s="1154">
        <f t="shared" si="80"/>
        <v>0</v>
      </c>
      <c r="T86" s="1154">
        <f t="shared" si="80"/>
        <v>0</v>
      </c>
      <c r="U86" s="1154">
        <f t="shared" ca="1" si="80"/>
        <v>0</v>
      </c>
      <c r="V86" s="1154">
        <f t="shared" si="80"/>
        <v>0</v>
      </c>
      <c r="W86" s="1154">
        <f t="shared" si="80"/>
        <v>0</v>
      </c>
      <c r="X86" s="1154">
        <f t="shared" si="80"/>
        <v>0</v>
      </c>
      <c r="Y86" s="1154">
        <f t="shared" si="80"/>
        <v>0</v>
      </c>
      <c r="Z86" s="1154">
        <f t="shared" si="80"/>
        <v>0</v>
      </c>
      <c r="AA86" s="1154">
        <f t="shared" si="80"/>
        <v>0</v>
      </c>
      <c r="AB86" s="1154">
        <f t="shared" si="80"/>
        <v>0</v>
      </c>
      <c r="AC86" s="1154">
        <f t="shared" si="80"/>
        <v>0</v>
      </c>
      <c r="AD86" s="1154">
        <f t="shared" si="80"/>
        <v>0</v>
      </c>
      <c r="AE86" s="1154">
        <f t="shared" si="80"/>
        <v>0</v>
      </c>
      <c r="AF86" s="1154">
        <f t="shared" ca="1" si="80"/>
        <v>0</v>
      </c>
      <c r="AG86" s="1154">
        <f t="shared" ca="1" si="80"/>
        <v>0</v>
      </c>
      <c r="AH86" s="1154">
        <f t="shared" si="80"/>
        <v>0</v>
      </c>
      <c r="AI86" s="1154">
        <f t="shared" si="80"/>
        <v>0</v>
      </c>
      <c r="AJ86" s="1154">
        <f t="shared" si="80"/>
        <v>0</v>
      </c>
      <c r="AK86" s="1154">
        <f t="shared" si="80"/>
        <v>0</v>
      </c>
      <c r="AL86" s="1154">
        <f t="shared" si="80"/>
        <v>0</v>
      </c>
      <c r="AM86" s="1154">
        <f t="shared" si="80"/>
        <v>0</v>
      </c>
      <c r="AN86" s="1154">
        <f t="shared" si="80"/>
        <v>0</v>
      </c>
      <c r="AO86" s="1154">
        <f t="shared" si="80"/>
        <v>0</v>
      </c>
      <c r="AP86" s="1154">
        <f t="shared" si="80"/>
        <v>0</v>
      </c>
      <c r="AQ86" s="1154">
        <f t="shared" si="80"/>
        <v>0</v>
      </c>
      <c r="AR86" s="1154">
        <f t="shared" si="80"/>
        <v>0</v>
      </c>
      <c r="AS86" s="1154">
        <f t="shared" si="80"/>
        <v>0</v>
      </c>
      <c r="AT86" s="1154">
        <f t="shared" si="80"/>
        <v>0</v>
      </c>
      <c r="AU86" s="1154">
        <f t="shared" si="80"/>
        <v>0</v>
      </c>
      <c r="AV86" s="1154">
        <f t="shared" si="80"/>
        <v>0</v>
      </c>
      <c r="AW86" s="1154">
        <f t="shared" si="80"/>
        <v>0</v>
      </c>
      <c r="AX86" s="1154">
        <f t="shared" si="80"/>
        <v>0</v>
      </c>
      <c r="AY86" s="1154"/>
      <c r="AZ86" s="1156"/>
      <c r="BA86" s="579"/>
    </row>
    <row r="87" spans="1:53" ht="21.95" hidden="1" customHeight="1" x14ac:dyDescent="0.15">
      <c r="A87" s="2596"/>
      <c r="B87" s="2617"/>
      <c r="C87" s="559" t="s">
        <v>1393</v>
      </c>
      <c r="D87" s="1498"/>
      <c r="E87" s="1499"/>
      <c r="F87" s="1154"/>
      <c r="G87" s="1154">
        <f t="shared" si="79"/>
        <v>0</v>
      </c>
      <c r="H87" s="1154">
        <f t="shared" si="80"/>
        <v>0</v>
      </c>
      <c r="I87" s="1154">
        <f t="shared" si="80"/>
        <v>0</v>
      </c>
      <c r="J87" s="1154">
        <f t="shared" si="80"/>
        <v>0</v>
      </c>
      <c r="K87" s="1154">
        <f t="shared" si="80"/>
        <v>0</v>
      </c>
      <c r="L87" s="1154">
        <f t="shared" si="80"/>
        <v>0</v>
      </c>
      <c r="M87" s="1154">
        <f t="shared" si="80"/>
        <v>0</v>
      </c>
      <c r="N87" s="1154">
        <f t="shared" si="80"/>
        <v>0</v>
      </c>
      <c r="O87" s="1154">
        <f t="shared" si="80"/>
        <v>0</v>
      </c>
      <c r="P87" s="1154">
        <f t="shared" si="80"/>
        <v>0</v>
      </c>
      <c r="Q87" s="1154">
        <f t="shared" si="80"/>
        <v>0</v>
      </c>
      <c r="R87" s="1154">
        <f t="shared" si="80"/>
        <v>0</v>
      </c>
      <c r="S87" s="1154">
        <f t="shared" si="80"/>
        <v>0</v>
      </c>
      <c r="T87" s="1154">
        <f t="shared" si="80"/>
        <v>0</v>
      </c>
      <c r="U87" s="1154">
        <f t="shared" ca="1" si="80"/>
        <v>0</v>
      </c>
      <c r="V87" s="1154">
        <f t="shared" si="80"/>
        <v>0</v>
      </c>
      <c r="W87" s="1154">
        <f t="shared" si="80"/>
        <v>0</v>
      </c>
      <c r="X87" s="1154">
        <f t="shared" si="80"/>
        <v>0</v>
      </c>
      <c r="Y87" s="1154">
        <f t="shared" si="80"/>
        <v>0</v>
      </c>
      <c r="Z87" s="1154">
        <f t="shared" si="80"/>
        <v>0</v>
      </c>
      <c r="AA87" s="1154">
        <f t="shared" si="80"/>
        <v>0</v>
      </c>
      <c r="AB87" s="1154">
        <f t="shared" si="80"/>
        <v>0</v>
      </c>
      <c r="AC87" s="1154">
        <f t="shared" si="80"/>
        <v>0</v>
      </c>
      <c r="AD87" s="1154">
        <f t="shared" si="80"/>
        <v>0</v>
      </c>
      <c r="AE87" s="1154">
        <f t="shared" si="80"/>
        <v>0</v>
      </c>
      <c r="AF87" s="1154">
        <f t="shared" ca="1" si="80"/>
        <v>0</v>
      </c>
      <c r="AG87" s="1154">
        <f t="shared" ca="1" si="80"/>
        <v>0</v>
      </c>
      <c r="AH87" s="1154">
        <f t="shared" si="80"/>
        <v>0</v>
      </c>
      <c r="AI87" s="1154">
        <f t="shared" si="80"/>
        <v>0</v>
      </c>
      <c r="AJ87" s="1154">
        <f t="shared" si="80"/>
        <v>0</v>
      </c>
      <c r="AK87" s="1154">
        <f t="shared" si="80"/>
        <v>0</v>
      </c>
      <c r="AL87" s="1154">
        <f t="shared" si="80"/>
        <v>0</v>
      </c>
      <c r="AM87" s="1154">
        <f t="shared" si="80"/>
        <v>0</v>
      </c>
      <c r="AN87" s="1154">
        <f t="shared" si="80"/>
        <v>0</v>
      </c>
      <c r="AO87" s="1154">
        <f t="shared" si="80"/>
        <v>0</v>
      </c>
      <c r="AP87" s="1154">
        <f t="shared" si="80"/>
        <v>0</v>
      </c>
      <c r="AQ87" s="1154">
        <f t="shared" si="80"/>
        <v>0</v>
      </c>
      <c r="AR87" s="1154">
        <f t="shared" si="80"/>
        <v>0</v>
      </c>
      <c r="AS87" s="1154">
        <f t="shared" si="80"/>
        <v>0</v>
      </c>
      <c r="AT87" s="1154">
        <f t="shared" si="80"/>
        <v>0</v>
      </c>
      <c r="AU87" s="1154">
        <f t="shared" si="80"/>
        <v>0</v>
      </c>
      <c r="AV87" s="1154">
        <f t="shared" si="80"/>
        <v>0</v>
      </c>
      <c r="AW87" s="1154">
        <f t="shared" si="80"/>
        <v>0</v>
      </c>
      <c r="AX87" s="1154">
        <f t="shared" si="80"/>
        <v>0</v>
      </c>
      <c r="AY87" s="1154"/>
      <c r="AZ87" s="1156"/>
      <c r="BA87" s="579"/>
    </row>
    <row r="88" spans="1:53" ht="21.95" hidden="1" customHeight="1" x14ac:dyDescent="0.15">
      <c r="A88" s="2596"/>
      <c r="B88" s="2617"/>
      <c r="C88" s="559" t="s">
        <v>1394</v>
      </c>
      <c r="D88" s="1498"/>
      <c r="E88" s="1499"/>
      <c r="F88" s="1154">
        <f>F67</f>
        <v>0</v>
      </c>
      <c r="G88" s="1154">
        <f t="shared" ref="G88:V98" si="81">G67</f>
        <v>0</v>
      </c>
      <c r="H88" s="1154">
        <f t="shared" si="81"/>
        <v>0</v>
      </c>
      <c r="I88" s="1154">
        <f t="shared" si="81"/>
        <v>0</v>
      </c>
      <c r="J88" s="1154">
        <f t="shared" si="81"/>
        <v>0</v>
      </c>
      <c r="K88" s="1154">
        <f t="shared" si="81"/>
        <v>0</v>
      </c>
      <c r="L88" s="1154">
        <f t="shared" si="81"/>
        <v>0</v>
      </c>
      <c r="M88" s="1154">
        <f t="shared" si="81"/>
        <v>0</v>
      </c>
      <c r="N88" s="1154">
        <f t="shared" si="81"/>
        <v>0</v>
      </c>
      <c r="O88" s="1154">
        <f t="shared" si="81"/>
        <v>0</v>
      </c>
      <c r="P88" s="1154">
        <f t="shared" si="81"/>
        <v>0</v>
      </c>
      <c r="Q88" s="1154">
        <f t="shared" si="81"/>
        <v>0</v>
      </c>
      <c r="R88" s="1154">
        <f t="shared" si="81"/>
        <v>0</v>
      </c>
      <c r="S88" s="1154">
        <f t="shared" si="81"/>
        <v>0</v>
      </c>
      <c r="T88" s="1154">
        <f t="shared" si="81"/>
        <v>0</v>
      </c>
      <c r="U88" s="1154">
        <f t="shared" si="81"/>
        <v>0.13820446080000001</v>
      </c>
      <c r="V88" s="1154">
        <f t="shared" si="81"/>
        <v>0</v>
      </c>
      <c r="W88" s="1154">
        <f t="shared" ref="H88:AX94" si="82">W67</f>
        <v>0</v>
      </c>
      <c r="X88" s="1154">
        <f t="shared" si="82"/>
        <v>0</v>
      </c>
      <c r="Y88" s="1154">
        <f t="shared" si="82"/>
        <v>0</v>
      </c>
      <c r="Z88" s="1154">
        <f t="shared" si="82"/>
        <v>0</v>
      </c>
      <c r="AA88" s="1154">
        <f t="shared" si="82"/>
        <v>0</v>
      </c>
      <c r="AB88" s="1154">
        <f t="shared" si="82"/>
        <v>0</v>
      </c>
      <c r="AC88" s="1154">
        <f t="shared" si="82"/>
        <v>0</v>
      </c>
      <c r="AD88" s="1154">
        <f t="shared" si="82"/>
        <v>0</v>
      </c>
      <c r="AE88" s="1154">
        <f t="shared" si="82"/>
        <v>0</v>
      </c>
      <c r="AF88" s="1154">
        <f t="shared" ca="1" si="82"/>
        <v>0.73297722960000022</v>
      </c>
      <c r="AG88" s="1154">
        <f t="shared" ca="1" si="82"/>
        <v>1.3756707498912051</v>
      </c>
      <c r="AH88" s="1154">
        <f t="shared" si="82"/>
        <v>0</v>
      </c>
      <c r="AI88" s="1154">
        <f t="shared" si="82"/>
        <v>0</v>
      </c>
      <c r="AJ88" s="1154">
        <f t="shared" si="82"/>
        <v>0</v>
      </c>
      <c r="AK88" s="1154">
        <f t="shared" si="82"/>
        <v>0</v>
      </c>
      <c r="AL88" s="1154">
        <f t="shared" si="82"/>
        <v>0</v>
      </c>
      <c r="AM88" s="1154">
        <f t="shared" si="82"/>
        <v>0</v>
      </c>
      <c r="AN88" s="1154">
        <f t="shared" si="82"/>
        <v>0</v>
      </c>
      <c r="AO88" s="1154">
        <f t="shared" si="82"/>
        <v>0</v>
      </c>
      <c r="AP88" s="1154">
        <f t="shared" si="82"/>
        <v>0</v>
      </c>
      <c r="AQ88" s="1154">
        <f t="shared" si="82"/>
        <v>0</v>
      </c>
      <c r="AR88" s="1154">
        <f t="shared" si="82"/>
        <v>0</v>
      </c>
      <c r="AS88" s="1154">
        <f t="shared" si="82"/>
        <v>0</v>
      </c>
      <c r="AT88" s="1154">
        <f t="shared" si="82"/>
        <v>0</v>
      </c>
      <c r="AU88" s="1154">
        <f t="shared" si="82"/>
        <v>0</v>
      </c>
      <c r="AV88" s="1154">
        <f t="shared" si="82"/>
        <v>0</v>
      </c>
      <c r="AW88" s="1154">
        <f t="shared" si="82"/>
        <v>0</v>
      </c>
      <c r="AX88" s="1154">
        <f t="shared" si="82"/>
        <v>0</v>
      </c>
      <c r="AY88" s="1154"/>
      <c r="AZ88" s="1156"/>
      <c r="BA88" s="579"/>
    </row>
    <row r="89" spans="1:53" ht="21.95" hidden="1" customHeight="1" x14ac:dyDescent="0.15">
      <c r="A89" s="2596"/>
      <c r="B89" s="2617"/>
      <c r="C89" s="559" t="s">
        <v>1395</v>
      </c>
      <c r="D89" s="1498"/>
      <c r="E89" s="1499"/>
      <c r="F89" s="1154">
        <f>F68</f>
        <v>0</v>
      </c>
      <c r="G89" s="1154">
        <f t="shared" si="81"/>
        <v>0</v>
      </c>
      <c r="H89" s="1154">
        <f t="shared" si="82"/>
        <v>0</v>
      </c>
      <c r="I89" s="1154">
        <f t="shared" si="82"/>
        <v>0</v>
      </c>
      <c r="J89" s="1154">
        <f t="shared" si="82"/>
        <v>0</v>
      </c>
      <c r="K89" s="1154">
        <f t="shared" si="82"/>
        <v>0</v>
      </c>
      <c r="L89" s="1154">
        <f t="shared" si="82"/>
        <v>0</v>
      </c>
      <c r="M89" s="1154">
        <f t="shared" si="82"/>
        <v>0</v>
      </c>
      <c r="N89" s="1154">
        <f t="shared" si="82"/>
        <v>0</v>
      </c>
      <c r="O89" s="1154">
        <f t="shared" si="82"/>
        <v>0</v>
      </c>
      <c r="P89" s="1154">
        <f t="shared" si="82"/>
        <v>0</v>
      </c>
      <c r="Q89" s="1154">
        <f t="shared" si="82"/>
        <v>0</v>
      </c>
      <c r="R89" s="1154">
        <f t="shared" si="82"/>
        <v>0</v>
      </c>
      <c r="S89" s="1154">
        <f t="shared" si="82"/>
        <v>0</v>
      </c>
      <c r="T89" s="1154">
        <f t="shared" si="82"/>
        <v>0</v>
      </c>
      <c r="U89" s="1154">
        <f t="shared" si="82"/>
        <v>0</v>
      </c>
      <c r="V89" s="1154">
        <f t="shared" si="82"/>
        <v>0</v>
      </c>
      <c r="W89" s="1154">
        <f t="shared" si="82"/>
        <v>0</v>
      </c>
      <c r="X89" s="1154">
        <f t="shared" si="82"/>
        <v>0</v>
      </c>
      <c r="Y89" s="1154">
        <f t="shared" si="82"/>
        <v>0</v>
      </c>
      <c r="Z89" s="1154">
        <f t="shared" si="82"/>
        <v>0</v>
      </c>
      <c r="AA89" s="1154">
        <f t="shared" si="82"/>
        <v>0</v>
      </c>
      <c r="AB89" s="1154">
        <f t="shared" si="82"/>
        <v>0</v>
      </c>
      <c r="AC89" s="1154">
        <f t="shared" si="82"/>
        <v>0</v>
      </c>
      <c r="AD89" s="1154">
        <f t="shared" si="82"/>
        <v>0</v>
      </c>
      <c r="AE89" s="1154">
        <f t="shared" si="82"/>
        <v>0</v>
      </c>
      <c r="AF89" s="1154">
        <f t="shared" ca="1" si="82"/>
        <v>0</v>
      </c>
      <c r="AG89" s="1154">
        <f t="shared" ca="1" si="82"/>
        <v>0</v>
      </c>
      <c r="AH89" s="1154">
        <f t="shared" si="82"/>
        <v>0</v>
      </c>
      <c r="AI89" s="1154">
        <f t="shared" si="82"/>
        <v>0</v>
      </c>
      <c r="AJ89" s="1154">
        <f t="shared" si="82"/>
        <v>0</v>
      </c>
      <c r="AK89" s="1154">
        <f t="shared" si="82"/>
        <v>0</v>
      </c>
      <c r="AL89" s="1154">
        <f t="shared" si="82"/>
        <v>0</v>
      </c>
      <c r="AM89" s="1154">
        <f t="shared" si="82"/>
        <v>0</v>
      </c>
      <c r="AN89" s="1154">
        <f t="shared" si="82"/>
        <v>0</v>
      </c>
      <c r="AO89" s="1154">
        <f t="shared" si="82"/>
        <v>0</v>
      </c>
      <c r="AP89" s="1154">
        <f t="shared" si="82"/>
        <v>0</v>
      </c>
      <c r="AQ89" s="1154">
        <f t="shared" si="82"/>
        <v>0</v>
      </c>
      <c r="AR89" s="1154">
        <f t="shared" si="82"/>
        <v>0</v>
      </c>
      <c r="AS89" s="1154">
        <f t="shared" si="82"/>
        <v>0</v>
      </c>
      <c r="AT89" s="1154">
        <f t="shared" si="82"/>
        <v>0</v>
      </c>
      <c r="AU89" s="1154">
        <f t="shared" si="82"/>
        <v>0</v>
      </c>
      <c r="AV89" s="1154">
        <f t="shared" si="82"/>
        <v>0</v>
      </c>
      <c r="AW89" s="1154">
        <f t="shared" si="82"/>
        <v>0</v>
      </c>
      <c r="AX89" s="1154">
        <f t="shared" si="82"/>
        <v>0</v>
      </c>
      <c r="AY89" s="1154"/>
      <c r="AZ89" s="1156"/>
      <c r="BA89" s="579"/>
    </row>
    <row r="90" spans="1:53" ht="21.95" hidden="1" customHeight="1" x14ac:dyDescent="0.15">
      <c r="A90" s="2596"/>
      <c r="B90" s="2617"/>
      <c r="C90" s="559" t="s">
        <v>1371</v>
      </c>
      <c r="D90" s="1498"/>
      <c r="E90" s="1499"/>
      <c r="F90" s="1154">
        <f>F69</f>
        <v>0</v>
      </c>
      <c r="G90" s="1154">
        <f t="shared" si="81"/>
        <v>0</v>
      </c>
      <c r="H90" s="1154">
        <f t="shared" si="82"/>
        <v>0</v>
      </c>
      <c r="I90" s="1154">
        <f t="shared" si="82"/>
        <v>0</v>
      </c>
      <c r="J90" s="1154">
        <f t="shared" si="82"/>
        <v>0</v>
      </c>
      <c r="K90" s="1154">
        <f t="shared" si="82"/>
        <v>0</v>
      </c>
      <c r="L90" s="1154">
        <f t="shared" si="82"/>
        <v>0</v>
      </c>
      <c r="M90" s="1154">
        <f t="shared" si="82"/>
        <v>0</v>
      </c>
      <c r="N90" s="1154">
        <f t="shared" si="82"/>
        <v>0</v>
      </c>
      <c r="O90" s="1154">
        <f t="shared" si="82"/>
        <v>0</v>
      </c>
      <c r="P90" s="1154">
        <f t="shared" si="82"/>
        <v>0</v>
      </c>
      <c r="Q90" s="1154">
        <f t="shared" si="82"/>
        <v>0</v>
      </c>
      <c r="R90" s="1154">
        <f t="shared" si="82"/>
        <v>0</v>
      </c>
      <c r="S90" s="1154">
        <f t="shared" si="82"/>
        <v>0</v>
      </c>
      <c r="T90" s="1154">
        <f t="shared" si="82"/>
        <v>0</v>
      </c>
      <c r="U90" s="1154">
        <f t="shared" si="82"/>
        <v>0</v>
      </c>
      <c r="V90" s="1154">
        <f t="shared" si="82"/>
        <v>0</v>
      </c>
      <c r="W90" s="1154">
        <f t="shared" si="82"/>
        <v>0</v>
      </c>
      <c r="X90" s="1154">
        <f t="shared" si="82"/>
        <v>0</v>
      </c>
      <c r="Y90" s="1154">
        <f t="shared" si="82"/>
        <v>0</v>
      </c>
      <c r="Z90" s="1154">
        <f t="shared" si="82"/>
        <v>0</v>
      </c>
      <c r="AA90" s="1154">
        <f t="shared" si="82"/>
        <v>0</v>
      </c>
      <c r="AB90" s="1154">
        <f t="shared" si="82"/>
        <v>0</v>
      </c>
      <c r="AC90" s="1154">
        <f t="shared" si="82"/>
        <v>0</v>
      </c>
      <c r="AD90" s="1154">
        <f t="shared" si="82"/>
        <v>0</v>
      </c>
      <c r="AE90" s="1154">
        <f t="shared" si="82"/>
        <v>0</v>
      </c>
      <c r="AF90" s="1154">
        <f t="shared" ca="1" si="82"/>
        <v>0</v>
      </c>
      <c r="AG90" s="1154">
        <f t="shared" ca="1" si="82"/>
        <v>0</v>
      </c>
      <c r="AH90" s="1154">
        <f t="shared" si="82"/>
        <v>0</v>
      </c>
      <c r="AI90" s="1154">
        <f t="shared" si="82"/>
        <v>0</v>
      </c>
      <c r="AJ90" s="1154">
        <f t="shared" si="82"/>
        <v>0</v>
      </c>
      <c r="AK90" s="1154">
        <f t="shared" si="82"/>
        <v>0</v>
      </c>
      <c r="AL90" s="1154">
        <f t="shared" si="82"/>
        <v>0</v>
      </c>
      <c r="AM90" s="1154">
        <f t="shared" si="82"/>
        <v>0</v>
      </c>
      <c r="AN90" s="1154">
        <f t="shared" si="82"/>
        <v>0</v>
      </c>
      <c r="AO90" s="1154">
        <f t="shared" si="82"/>
        <v>0</v>
      </c>
      <c r="AP90" s="1154">
        <f t="shared" si="82"/>
        <v>0</v>
      </c>
      <c r="AQ90" s="1154">
        <f t="shared" si="82"/>
        <v>0</v>
      </c>
      <c r="AR90" s="1154">
        <f t="shared" si="82"/>
        <v>0</v>
      </c>
      <c r="AS90" s="1154">
        <f t="shared" si="82"/>
        <v>0</v>
      </c>
      <c r="AT90" s="1154">
        <f t="shared" si="82"/>
        <v>0</v>
      </c>
      <c r="AU90" s="1154">
        <f t="shared" si="82"/>
        <v>0</v>
      </c>
      <c r="AV90" s="1154">
        <f t="shared" si="82"/>
        <v>0</v>
      </c>
      <c r="AW90" s="1154">
        <f t="shared" si="82"/>
        <v>0</v>
      </c>
      <c r="AX90" s="1154">
        <f t="shared" si="82"/>
        <v>0</v>
      </c>
      <c r="AY90" s="1154"/>
      <c r="AZ90" s="1156"/>
      <c r="BA90" s="579"/>
    </row>
    <row r="91" spans="1:53" ht="21.95" hidden="1" customHeight="1" x14ac:dyDescent="0.15">
      <c r="A91" s="2596"/>
      <c r="B91" s="2617"/>
      <c r="C91" s="567" t="s">
        <v>1767</v>
      </c>
      <c r="D91" s="1498"/>
      <c r="E91" s="1499"/>
      <c r="F91" s="1154"/>
      <c r="G91" s="1154">
        <f t="shared" si="81"/>
        <v>0</v>
      </c>
      <c r="H91" s="1154">
        <f t="shared" si="82"/>
        <v>0</v>
      </c>
      <c r="I91" s="1154">
        <f t="shared" si="82"/>
        <v>0</v>
      </c>
      <c r="J91" s="1154">
        <f t="shared" si="82"/>
        <v>0</v>
      </c>
      <c r="K91" s="1154">
        <f t="shared" si="82"/>
        <v>0</v>
      </c>
      <c r="L91" s="1154">
        <f t="shared" si="82"/>
        <v>0</v>
      </c>
      <c r="M91" s="1154">
        <f t="shared" si="82"/>
        <v>0</v>
      </c>
      <c r="N91" s="1154">
        <f t="shared" si="82"/>
        <v>0</v>
      </c>
      <c r="O91" s="1154">
        <f t="shared" si="82"/>
        <v>0</v>
      </c>
      <c r="P91" s="1154">
        <f t="shared" si="82"/>
        <v>0</v>
      </c>
      <c r="Q91" s="1154">
        <f t="shared" si="82"/>
        <v>0</v>
      </c>
      <c r="R91" s="1154">
        <f t="shared" si="82"/>
        <v>0</v>
      </c>
      <c r="S91" s="1154">
        <f t="shared" si="82"/>
        <v>0</v>
      </c>
      <c r="T91" s="1154">
        <f t="shared" si="82"/>
        <v>0</v>
      </c>
      <c r="U91" s="1154">
        <f t="shared" si="82"/>
        <v>1.3860000000000001</v>
      </c>
      <c r="V91" s="1154">
        <f t="shared" si="82"/>
        <v>0</v>
      </c>
      <c r="W91" s="1154">
        <f t="shared" si="82"/>
        <v>0</v>
      </c>
      <c r="X91" s="1154">
        <f t="shared" si="82"/>
        <v>0</v>
      </c>
      <c r="Y91" s="1154">
        <f t="shared" si="82"/>
        <v>0</v>
      </c>
      <c r="Z91" s="1154">
        <f t="shared" si="82"/>
        <v>0</v>
      </c>
      <c r="AA91" s="1154">
        <f t="shared" si="82"/>
        <v>0</v>
      </c>
      <c r="AB91" s="1154">
        <f t="shared" si="82"/>
        <v>0</v>
      </c>
      <c r="AC91" s="1154">
        <f t="shared" si="82"/>
        <v>0</v>
      </c>
      <c r="AD91" s="1154">
        <f t="shared" si="82"/>
        <v>0</v>
      </c>
      <c r="AE91" s="1154">
        <f t="shared" si="82"/>
        <v>0</v>
      </c>
      <c r="AF91" s="1154">
        <f t="shared" ca="1" si="82"/>
        <v>7.3507500000000014</v>
      </c>
      <c r="AG91" s="1154">
        <f t="shared" ca="1" si="82"/>
        <v>13.796079000000049</v>
      </c>
      <c r="AH91" s="1154">
        <f t="shared" si="82"/>
        <v>0</v>
      </c>
      <c r="AI91" s="1154">
        <f t="shared" si="82"/>
        <v>0</v>
      </c>
      <c r="AJ91" s="1154">
        <f t="shared" si="82"/>
        <v>0</v>
      </c>
      <c r="AK91" s="1154">
        <f t="shared" si="82"/>
        <v>0</v>
      </c>
      <c r="AL91" s="1154">
        <f t="shared" si="82"/>
        <v>0</v>
      </c>
      <c r="AM91" s="1154">
        <f t="shared" si="82"/>
        <v>0</v>
      </c>
      <c r="AN91" s="1154">
        <f t="shared" si="82"/>
        <v>0</v>
      </c>
      <c r="AO91" s="1154">
        <f t="shared" si="82"/>
        <v>0</v>
      </c>
      <c r="AP91" s="1154">
        <f t="shared" si="82"/>
        <v>0</v>
      </c>
      <c r="AQ91" s="1154">
        <f t="shared" si="82"/>
        <v>0</v>
      </c>
      <c r="AR91" s="1154">
        <f t="shared" si="82"/>
        <v>0</v>
      </c>
      <c r="AS91" s="1154">
        <f t="shared" si="82"/>
        <v>0</v>
      </c>
      <c r="AT91" s="1154">
        <f t="shared" si="82"/>
        <v>0</v>
      </c>
      <c r="AU91" s="1154">
        <f t="shared" si="82"/>
        <v>0</v>
      </c>
      <c r="AV91" s="1154">
        <f t="shared" si="82"/>
        <v>0</v>
      </c>
      <c r="AW91" s="1154">
        <f t="shared" si="82"/>
        <v>0</v>
      </c>
      <c r="AX91" s="1154">
        <f t="shared" si="82"/>
        <v>0</v>
      </c>
      <c r="AY91" s="1154"/>
      <c r="AZ91" s="1156"/>
      <c r="BA91" s="579"/>
    </row>
    <row r="92" spans="1:53" ht="21.95" hidden="1" customHeight="1" x14ac:dyDescent="0.15">
      <c r="A92" s="2596"/>
      <c r="B92" s="2617"/>
      <c r="C92" s="567" t="s">
        <v>1766</v>
      </c>
      <c r="D92" s="1498"/>
      <c r="E92" s="1499"/>
      <c r="F92" s="1154">
        <f>F71</f>
        <v>0</v>
      </c>
      <c r="G92" s="1154">
        <f t="shared" si="81"/>
        <v>0</v>
      </c>
      <c r="H92" s="1154">
        <f t="shared" si="82"/>
        <v>0</v>
      </c>
      <c r="I92" s="1154">
        <f t="shared" si="82"/>
        <v>0</v>
      </c>
      <c r="J92" s="1154">
        <f t="shared" si="82"/>
        <v>0</v>
      </c>
      <c r="K92" s="1154">
        <f t="shared" si="82"/>
        <v>0</v>
      </c>
      <c r="L92" s="1154">
        <f t="shared" si="82"/>
        <v>0</v>
      </c>
      <c r="M92" s="1154">
        <f t="shared" si="82"/>
        <v>0</v>
      </c>
      <c r="N92" s="1154">
        <f t="shared" si="82"/>
        <v>0</v>
      </c>
      <c r="O92" s="1154">
        <f t="shared" si="82"/>
        <v>0</v>
      </c>
      <c r="P92" s="1154">
        <f t="shared" si="82"/>
        <v>0</v>
      </c>
      <c r="Q92" s="1154">
        <f t="shared" si="82"/>
        <v>0</v>
      </c>
      <c r="R92" s="1154">
        <f t="shared" si="82"/>
        <v>0</v>
      </c>
      <c r="S92" s="1154">
        <f t="shared" si="82"/>
        <v>0</v>
      </c>
      <c r="T92" s="1154">
        <f t="shared" si="82"/>
        <v>0</v>
      </c>
      <c r="U92" s="1154">
        <f t="shared" si="82"/>
        <v>0</v>
      </c>
      <c r="V92" s="1154">
        <f t="shared" si="82"/>
        <v>0</v>
      </c>
      <c r="W92" s="1154">
        <f t="shared" si="82"/>
        <v>0</v>
      </c>
      <c r="X92" s="1154">
        <f t="shared" si="82"/>
        <v>0</v>
      </c>
      <c r="Y92" s="1154">
        <f t="shared" si="82"/>
        <v>0</v>
      </c>
      <c r="Z92" s="1154">
        <f t="shared" si="82"/>
        <v>0</v>
      </c>
      <c r="AA92" s="1154">
        <f t="shared" si="82"/>
        <v>0</v>
      </c>
      <c r="AB92" s="1154">
        <f t="shared" si="82"/>
        <v>0</v>
      </c>
      <c r="AC92" s="1154">
        <f t="shared" si="82"/>
        <v>0</v>
      </c>
      <c r="AD92" s="1154">
        <f t="shared" si="82"/>
        <v>0</v>
      </c>
      <c r="AE92" s="1154">
        <f t="shared" si="82"/>
        <v>0</v>
      </c>
      <c r="AF92" s="1154">
        <f t="shared" ca="1" si="82"/>
        <v>0</v>
      </c>
      <c r="AG92" s="1154">
        <f t="shared" ca="1" si="82"/>
        <v>0</v>
      </c>
      <c r="AH92" s="1154">
        <f t="shared" si="82"/>
        <v>0</v>
      </c>
      <c r="AI92" s="1154">
        <f t="shared" si="82"/>
        <v>0</v>
      </c>
      <c r="AJ92" s="1154">
        <f t="shared" si="82"/>
        <v>0</v>
      </c>
      <c r="AK92" s="1154">
        <f t="shared" si="82"/>
        <v>0</v>
      </c>
      <c r="AL92" s="1154">
        <f t="shared" si="82"/>
        <v>0</v>
      </c>
      <c r="AM92" s="1154">
        <f t="shared" si="82"/>
        <v>0</v>
      </c>
      <c r="AN92" s="1154">
        <f t="shared" si="82"/>
        <v>0</v>
      </c>
      <c r="AO92" s="1154">
        <f t="shared" si="82"/>
        <v>0</v>
      </c>
      <c r="AP92" s="1154">
        <f t="shared" si="82"/>
        <v>0</v>
      </c>
      <c r="AQ92" s="1154">
        <f t="shared" si="82"/>
        <v>0</v>
      </c>
      <c r="AR92" s="1154">
        <f t="shared" si="82"/>
        <v>0</v>
      </c>
      <c r="AS92" s="1154">
        <f t="shared" si="82"/>
        <v>0</v>
      </c>
      <c r="AT92" s="1154">
        <f t="shared" si="82"/>
        <v>0</v>
      </c>
      <c r="AU92" s="1154">
        <f t="shared" si="82"/>
        <v>0</v>
      </c>
      <c r="AV92" s="1154">
        <f t="shared" si="82"/>
        <v>0</v>
      </c>
      <c r="AW92" s="1154">
        <f t="shared" si="82"/>
        <v>0</v>
      </c>
      <c r="AX92" s="1154">
        <f t="shared" si="82"/>
        <v>0</v>
      </c>
      <c r="AY92" s="1154"/>
      <c r="AZ92" s="1156"/>
      <c r="BA92" s="579"/>
    </row>
    <row r="93" spans="1:53" ht="21.95" hidden="1" customHeight="1" x14ac:dyDescent="0.15">
      <c r="A93" s="2596"/>
      <c r="B93" s="2617"/>
      <c r="C93" s="567" t="s">
        <v>1372</v>
      </c>
      <c r="D93" s="1498"/>
      <c r="E93" s="1499"/>
      <c r="F93" s="1154">
        <f>F72</f>
        <v>0</v>
      </c>
      <c r="G93" s="1154">
        <f t="shared" si="81"/>
        <v>0</v>
      </c>
      <c r="H93" s="1154">
        <f t="shared" si="82"/>
        <v>0</v>
      </c>
      <c r="I93" s="1154">
        <f t="shared" si="82"/>
        <v>0</v>
      </c>
      <c r="J93" s="1154">
        <f t="shared" si="82"/>
        <v>0</v>
      </c>
      <c r="K93" s="1154">
        <f t="shared" si="82"/>
        <v>0</v>
      </c>
      <c r="L93" s="1154">
        <f t="shared" si="82"/>
        <v>0</v>
      </c>
      <c r="M93" s="1154">
        <f t="shared" si="82"/>
        <v>0</v>
      </c>
      <c r="N93" s="1154">
        <f t="shared" si="82"/>
        <v>0</v>
      </c>
      <c r="O93" s="1154">
        <f t="shared" si="82"/>
        <v>0</v>
      </c>
      <c r="P93" s="1154">
        <f t="shared" si="82"/>
        <v>0</v>
      </c>
      <c r="Q93" s="1154">
        <f t="shared" si="82"/>
        <v>0</v>
      </c>
      <c r="R93" s="1154">
        <f t="shared" si="82"/>
        <v>0</v>
      </c>
      <c r="S93" s="1154">
        <f t="shared" si="82"/>
        <v>0</v>
      </c>
      <c r="T93" s="1154">
        <f t="shared" si="82"/>
        <v>0</v>
      </c>
      <c r="U93" s="1154">
        <f t="shared" si="82"/>
        <v>0</v>
      </c>
      <c r="V93" s="1154">
        <f t="shared" si="82"/>
        <v>0</v>
      </c>
      <c r="W93" s="1154">
        <f t="shared" si="82"/>
        <v>0</v>
      </c>
      <c r="X93" s="1154">
        <f t="shared" si="82"/>
        <v>0</v>
      </c>
      <c r="Y93" s="1154">
        <f t="shared" si="82"/>
        <v>0</v>
      </c>
      <c r="Z93" s="1154">
        <f t="shared" si="82"/>
        <v>0</v>
      </c>
      <c r="AA93" s="1154">
        <f t="shared" si="82"/>
        <v>0</v>
      </c>
      <c r="AB93" s="1154">
        <f t="shared" si="82"/>
        <v>0</v>
      </c>
      <c r="AC93" s="1154">
        <f t="shared" si="82"/>
        <v>0</v>
      </c>
      <c r="AD93" s="1154">
        <f t="shared" si="82"/>
        <v>0</v>
      </c>
      <c r="AE93" s="1154">
        <f t="shared" si="82"/>
        <v>0</v>
      </c>
      <c r="AF93" s="1154">
        <f t="shared" ca="1" si="82"/>
        <v>0</v>
      </c>
      <c r="AG93" s="1154">
        <f t="shared" ca="1" si="82"/>
        <v>0</v>
      </c>
      <c r="AH93" s="1154">
        <f t="shared" si="82"/>
        <v>0</v>
      </c>
      <c r="AI93" s="1154">
        <f t="shared" si="82"/>
        <v>0</v>
      </c>
      <c r="AJ93" s="1154">
        <f t="shared" si="82"/>
        <v>0</v>
      </c>
      <c r="AK93" s="1154">
        <f t="shared" si="82"/>
        <v>0</v>
      </c>
      <c r="AL93" s="1154">
        <f t="shared" si="82"/>
        <v>0</v>
      </c>
      <c r="AM93" s="1154">
        <f t="shared" si="82"/>
        <v>0</v>
      </c>
      <c r="AN93" s="1154">
        <f t="shared" si="82"/>
        <v>0</v>
      </c>
      <c r="AO93" s="1154">
        <f t="shared" si="82"/>
        <v>0</v>
      </c>
      <c r="AP93" s="1154">
        <f t="shared" si="82"/>
        <v>0</v>
      </c>
      <c r="AQ93" s="1154">
        <f t="shared" si="82"/>
        <v>0</v>
      </c>
      <c r="AR93" s="1154">
        <f t="shared" si="82"/>
        <v>0</v>
      </c>
      <c r="AS93" s="1154">
        <f t="shared" si="82"/>
        <v>0</v>
      </c>
      <c r="AT93" s="1154">
        <f t="shared" si="82"/>
        <v>0</v>
      </c>
      <c r="AU93" s="1154">
        <f t="shared" si="82"/>
        <v>0</v>
      </c>
      <c r="AV93" s="1154">
        <f t="shared" si="82"/>
        <v>0</v>
      </c>
      <c r="AW93" s="1154">
        <f t="shared" si="82"/>
        <v>0</v>
      </c>
      <c r="AX93" s="1154">
        <f t="shared" si="82"/>
        <v>0</v>
      </c>
      <c r="AY93" s="1154"/>
      <c r="AZ93" s="1156"/>
      <c r="BA93" s="579"/>
    </row>
    <row r="94" spans="1:53" ht="21.95" hidden="1" customHeight="1" x14ac:dyDescent="0.15">
      <c r="A94" s="2596"/>
      <c r="B94" s="2617"/>
      <c r="C94" s="567" t="s">
        <v>1398</v>
      </c>
      <c r="D94" s="1498"/>
      <c r="E94" s="1499"/>
      <c r="F94" s="1154"/>
      <c r="G94" s="1154">
        <f t="shared" si="81"/>
        <v>0</v>
      </c>
      <c r="H94" s="1154">
        <f t="shared" si="82"/>
        <v>0</v>
      </c>
      <c r="I94" s="1154">
        <f t="shared" si="82"/>
        <v>0</v>
      </c>
      <c r="J94" s="1154">
        <f t="shared" si="82"/>
        <v>0</v>
      </c>
      <c r="K94" s="1154">
        <f t="shared" si="82"/>
        <v>0</v>
      </c>
      <c r="L94" s="1154">
        <f t="shared" si="82"/>
        <v>0</v>
      </c>
      <c r="M94" s="1154">
        <f t="shared" si="82"/>
        <v>0</v>
      </c>
      <c r="N94" s="1154">
        <f t="shared" si="82"/>
        <v>0</v>
      </c>
      <c r="O94" s="1154">
        <f t="shared" si="82"/>
        <v>0</v>
      </c>
      <c r="P94" s="1154">
        <f t="shared" si="82"/>
        <v>0</v>
      </c>
      <c r="Q94" s="1154">
        <f t="shared" si="82"/>
        <v>0</v>
      </c>
      <c r="R94" s="1154">
        <f t="shared" si="82"/>
        <v>0</v>
      </c>
      <c r="S94" s="1154">
        <f t="shared" si="82"/>
        <v>0</v>
      </c>
      <c r="T94" s="1154">
        <f t="shared" ref="H94:AX98" si="83">T73</f>
        <v>0</v>
      </c>
      <c r="U94" s="1154">
        <f t="shared" si="83"/>
        <v>0</v>
      </c>
      <c r="V94" s="1154">
        <f t="shared" si="83"/>
        <v>0</v>
      </c>
      <c r="W94" s="1154">
        <f t="shared" si="83"/>
        <v>0</v>
      </c>
      <c r="X94" s="1154">
        <f t="shared" si="83"/>
        <v>0</v>
      </c>
      <c r="Y94" s="1154">
        <f t="shared" si="83"/>
        <v>0</v>
      </c>
      <c r="Z94" s="1154">
        <f t="shared" si="83"/>
        <v>0</v>
      </c>
      <c r="AA94" s="1154">
        <f t="shared" si="83"/>
        <v>0</v>
      </c>
      <c r="AB94" s="1154">
        <f t="shared" si="83"/>
        <v>0</v>
      </c>
      <c r="AC94" s="1154">
        <f t="shared" si="83"/>
        <v>0</v>
      </c>
      <c r="AD94" s="1154">
        <f t="shared" si="83"/>
        <v>0</v>
      </c>
      <c r="AE94" s="1154">
        <f t="shared" si="83"/>
        <v>0</v>
      </c>
      <c r="AF94" s="1154">
        <f t="shared" ca="1" si="83"/>
        <v>0</v>
      </c>
      <c r="AG94" s="1154">
        <f t="shared" ca="1" si="83"/>
        <v>0</v>
      </c>
      <c r="AH94" s="1154">
        <f t="shared" si="83"/>
        <v>0</v>
      </c>
      <c r="AI94" s="1154">
        <f t="shared" si="83"/>
        <v>0</v>
      </c>
      <c r="AJ94" s="1154">
        <f t="shared" si="83"/>
        <v>0</v>
      </c>
      <c r="AK94" s="1154">
        <f t="shared" si="83"/>
        <v>0</v>
      </c>
      <c r="AL94" s="1154">
        <f t="shared" si="83"/>
        <v>0</v>
      </c>
      <c r="AM94" s="1154">
        <f t="shared" si="83"/>
        <v>0</v>
      </c>
      <c r="AN94" s="1154">
        <f t="shared" si="83"/>
        <v>0</v>
      </c>
      <c r="AO94" s="1154">
        <f t="shared" si="83"/>
        <v>0</v>
      </c>
      <c r="AP94" s="1154">
        <f t="shared" si="83"/>
        <v>0</v>
      </c>
      <c r="AQ94" s="1154">
        <f t="shared" si="83"/>
        <v>0</v>
      </c>
      <c r="AR94" s="1154">
        <f t="shared" si="83"/>
        <v>0</v>
      </c>
      <c r="AS94" s="1154">
        <f t="shared" si="83"/>
        <v>0</v>
      </c>
      <c r="AT94" s="1154">
        <f t="shared" si="83"/>
        <v>0</v>
      </c>
      <c r="AU94" s="1154">
        <f t="shared" si="83"/>
        <v>0</v>
      </c>
      <c r="AV94" s="1154">
        <f t="shared" si="83"/>
        <v>0</v>
      </c>
      <c r="AW94" s="1154">
        <f t="shared" si="83"/>
        <v>0</v>
      </c>
      <c r="AX94" s="1154">
        <f t="shared" si="83"/>
        <v>0</v>
      </c>
      <c r="AY94" s="1154"/>
      <c r="AZ94" s="1156"/>
      <c r="BA94" s="579"/>
    </row>
    <row r="95" spans="1:53" ht="21.95" hidden="1" customHeight="1" x14ac:dyDescent="0.15">
      <c r="A95" s="2596"/>
      <c r="B95" s="2617"/>
      <c r="C95" s="567" t="s">
        <v>1605</v>
      </c>
      <c r="D95" s="1498"/>
      <c r="E95" s="1499"/>
      <c r="F95" s="1154"/>
      <c r="G95" s="1154">
        <f t="shared" si="81"/>
        <v>0</v>
      </c>
      <c r="H95" s="1154">
        <f t="shared" si="83"/>
        <v>0</v>
      </c>
      <c r="I95" s="1154">
        <f t="shared" si="83"/>
        <v>0</v>
      </c>
      <c r="J95" s="1154">
        <f t="shared" si="83"/>
        <v>0</v>
      </c>
      <c r="K95" s="1154">
        <f t="shared" si="83"/>
        <v>0</v>
      </c>
      <c r="L95" s="1154">
        <f t="shared" si="83"/>
        <v>0</v>
      </c>
      <c r="M95" s="1154">
        <f t="shared" si="83"/>
        <v>0</v>
      </c>
      <c r="N95" s="1154">
        <f t="shared" si="83"/>
        <v>0</v>
      </c>
      <c r="O95" s="1154">
        <f t="shared" si="83"/>
        <v>0</v>
      </c>
      <c r="P95" s="1154">
        <f t="shared" si="83"/>
        <v>0</v>
      </c>
      <c r="Q95" s="1154">
        <f t="shared" si="83"/>
        <v>0</v>
      </c>
      <c r="R95" s="1154">
        <f t="shared" si="83"/>
        <v>0</v>
      </c>
      <c r="S95" s="1154">
        <f t="shared" si="83"/>
        <v>0</v>
      </c>
      <c r="T95" s="1154">
        <f t="shared" si="83"/>
        <v>0</v>
      </c>
      <c r="U95" s="1154">
        <f t="shared" ca="1" si="83"/>
        <v>0</v>
      </c>
      <c r="V95" s="1154">
        <f t="shared" si="83"/>
        <v>0</v>
      </c>
      <c r="W95" s="1154">
        <f t="shared" si="83"/>
        <v>0</v>
      </c>
      <c r="X95" s="1154">
        <f t="shared" si="83"/>
        <v>0</v>
      </c>
      <c r="Y95" s="1154">
        <f t="shared" si="83"/>
        <v>0</v>
      </c>
      <c r="Z95" s="1154">
        <f t="shared" si="83"/>
        <v>0</v>
      </c>
      <c r="AA95" s="1154">
        <f t="shared" si="83"/>
        <v>0</v>
      </c>
      <c r="AB95" s="1154">
        <f t="shared" si="83"/>
        <v>0</v>
      </c>
      <c r="AC95" s="1154">
        <f t="shared" si="83"/>
        <v>0</v>
      </c>
      <c r="AD95" s="1154">
        <f t="shared" si="83"/>
        <v>0</v>
      </c>
      <c r="AE95" s="1154">
        <f t="shared" si="83"/>
        <v>0</v>
      </c>
      <c r="AF95" s="1154">
        <f t="shared" ca="1" si="83"/>
        <v>0</v>
      </c>
      <c r="AG95" s="1154">
        <f t="shared" ca="1" si="83"/>
        <v>0</v>
      </c>
      <c r="AH95" s="1154">
        <f t="shared" si="83"/>
        <v>0</v>
      </c>
      <c r="AI95" s="1154">
        <f t="shared" si="83"/>
        <v>0</v>
      </c>
      <c r="AJ95" s="1154">
        <f t="shared" si="83"/>
        <v>0</v>
      </c>
      <c r="AK95" s="1154">
        <f t="shared" si="83"/>
        <v>0</v>
      </c>
      <c r="AL95" s="1154">
        <f t="shared" si="83"/>
        <v>0</v>
      </c>
      <c r="AM95" s="1154">
        <f t="shared" si="83"/>
        <v>0</v>
      </c>
      <c r="AN95" s="1154">
        <f t="shared" si="83"/>
        <v>0</v>
      </c>
      <c r="AO95" s="1154">
        <f t="shared" si="83"/>
        <v>0</v>
      </c>
      <c r="AP95" s="1154">
        <f t="shared" si="83"/>
        <v>0</v>
      </c>
      <c r="AQ95" s="1154">
        <f t="shared" si="83"/>
        <v>0</v>
      </c>
      <c r="AR95" s="1154">
        <f t="shared" si="83"/>
        <v>0</v>
      </c>
      <c r="AS95" s="1154">
        <f t="shared" si="83"/>
        <v>0</v>
      </c>
      <c r="AT95" s="1154">
        <f t="shared" si="83"/>
        <v>0</v>
      </c>
      <c r="AU95" s="1154">
        <f t="shared" si="83"/>
        <v>0</v>
      </c>
      <c r="AV95" s="1154">
        <f t="shared" si="83"/>
        <v>0</v>
      </c>
      <c r="AW95" s="1154">
        <f t="shared" si="83"/>
        <v>0</v>
      </c>
      <c r="AX95" s="1154">
        <f t="shared" si="83"/>
        <v>0</v>
      </c>
      <c r="AY95" s="1154"/>
      <c r="AZ95" s="1156"/>
      <c r="BA95" s="579"/>
    </row>
    <row r="96" spans="1:53" ht="21.95" hidden="1" customHeight="1" x14ac:dyDescent="0.15">
      <c r="A96" s="2596"/>
      <c r="B96" s="2617"/>
      <c r="C96" s="567" t="s">
        <v>1396</v>
      </c>
      <c r="D96" s="1498"/>
      <c r="E96" s="1499"/>
      <c r="F96" s="1154">
        <f>F75</f>
        <v>0</v>
      </c>
      <c r="G96" s="1154">
        <f t="shared" si="81"/>
        <v>0</v>
      </c>
      <c r="H96" s="1154">
        <f t="shared" si="83"/>
        <v>0</v>
      </c>
      <c r="I96" s="1154">
        <f t="shared" si="83"/>
        <v>0</v>
      </c>
      <c r="J96" s="1154">
        <f t="shared" si="83"/>
        <v>0</v>
      </c>
      <c r="K96" s="1154">
        <f t="shared" si="83"/>
        <v>0</v>
      </c>
      <c r="L96" s="1154">
        <f t="shared" si="83"/>
        <v>0</v>
      </c>
      <c r="M96" s="1154">
        <f t="shared" si="83"/>
        <v>0</v>
      </c>
      <c r="N96" s="1154">
        <f t="shared" si="83"/>
        <v>0</v>
      </c>
      <c r="O96" s="1154">
        <f t="shared" si="83"/>
        <v>0</v>
      </c>
      <c r="P96" s="1154">
        <f t="shared" si="83"/>
        <v>0</v>
      </c>
      <c r="Q96" s="1154">
        <f t="shared" si="83"/>
        <v>0</v>
      </c>
      <c r="R96" s="1154">
        <f t="shared" si="83"/>
        <v>0</v>
      </c>
      <c r="S96" s="1154">
        <f t="shared" si="83"/>
        <v>0</v>
      </c>
      <c r="T96" s="1154">
        <f t="shared" si="83"/>
        <v>0</v>
      </c>
      <c r="U96" s="1154">
        <f t="shared" si="83"/>
        <v>0.38371052160000002</v>
      </c>
      <c r="V96" s="1154">
        <f t="shared" si="83"/>
        <v>0</v>
      </c>
      <c r="W96" s="1154">
        <f t="shared" si="83"/>
        <v>0</v>
      </c>
      <c r="X96" s="1154">
        <f t="shared" si="83"/>
        <v>0</v>
      </c>
      <c r="Y96" s="1154">
        <f t="shared" si="83"/>
        <v>0</v>
      </c>
      <c r="Z96" s="1154">
        <f t="shared" si="83"/>
        <v>0</v>
      </c>
      <c r="AA96" s="1154">
        <f t="shared" si="83"/>
        <v>0</v>
      </c>
      <c r="AB96" s="1154">
        <f t="shared" si="83"/>
        <v>0</v>
      </c>
      <c r="AC96" s="1154">
        <f t="shared" si="83"/>
        <v>0</v>
      </c>
      <c r="AD96" s="1154">
        <f t="shared" si="83"/>
        <v>0</v>
      </c>
      <c r="AE96" s="1154">
        <f t="shared" si="83"/>
        <v>0</v>
      </c>
      <c r="AF96" s="1154">
        <f t="shared" ca="1" si="83"/>
        <v>2.0350361592000006</v>
      </c>
      <c r="AG96" s="1154">
        <f t="shared" ca="1" si="83"/>
        <v>3.8194088521824141</v>
      </c>
      <c r="AH96" s="1154">
        <f t="shared" si="83"/>
        <v>0</v>
      </c>
      <c r="AI96" s="1154">
        <f t="shared" si="83"/>
        <v>0</v>
      </c>
      <c r="AJ96" s="1154">
        <f t="shared" si="83"/>
        <v>0</v>
      </c>
      <c r="AK96" s="1154">
        <f t="shared" si="83"/>
        <v>0</v>
      </c>
      <c r="AL96" s="1154">
        <f t="shared" si="83"/>
        <v>0</v>
      </c>
      <c r="AM96" s="1154">
        <f t="shared" si="83"/>
        <v>0</v>
      </c>
      <c r="AN96" s="1154">
        <f t="shared" si="83"/>
        <v>0</v>
      </c>
      <c r="AO96" s="1154">
        <f t="shared" si="83"/>
        <v>0</v>
      </c>
      <c r="AP96" s="1154">
        <f t="shared" si="83"/>
        <v>0</v>
      </c>
      <c r="AQ96" s="1154">
        <f t="shared" si="83"/>
        <v>0</v>
      </c>
      <c r="AR96" s="1154">
        <f t="shared" si="83"/>
        <v>0</v>
      </c>
      <c r="AS96" s="1154">
        <f t="shared" si="83"/>
        <v>0</v>
      </c>
      <c r="AT96" s="1154">
        <f t="shared" si="83"/>
        <v>0</v>
      </c>
      <c r="AU96" s="1154">
        <f t="shared" si="83"/>
        <v>0</v>
      </c>
      <c r="AV96" s="1154">
        <f t="shared" si="83"/>
        <v>0</v>
      </c>
      <c r="AW96" s="1154">
        <f t="shared" si="83"/>
        <v>0</v>
      </c>
      <c r="AX96" s="1154">
        <f t="shared" si="83"/>
        <v>0</v>
      </c>
      <c r="AY96" s="1154"/>
      <c r="AZ96" s="1156"/>
      <c r="BA96" s="579"/>
    </row>
    <row r="97" spans="1:53" ht="21.95" hidden="1" customHeight="1" x14ac:dyDescent="0.15">
      <c r="A97" s="2596"/>
      <c r="B97" s="2617"/>
      <c r="C97" s="567" t="s">
        <v>1397</v>
      </c>
      <c r="D97" s="1498"/>
      <c r="E97" s="1499"/>
      <c r="F97" s="1154">
        <f>F76</f>
        <v>0</v>
      </c>
      <c r="G97" s="1154">
        <f t="shared" si="81"/>
        <v>0</v>
      </c>
      <c r="H97" s="1154">
        <f t="shared" si="83"/>
        <v>0</v>
      </c>
      <c r="I97" s="1154">
        <f t="shared" si="83"/>
        <v>0</v>
      </c>
      <c r="J97" s="1154">
        <f t="shared" si="83"/>
        <v>0</v>
      </c>
      <c r="K97" s="1154">
        <f t="shared" si="83"/>
        <v>0</v>
      </c>
      <c r="L97" s="1154">
        <f t="shared" si="83"/>
        <v>0</v>
      </c>
      <c r="M97" s="1154">
        <f t="shared" si="83"/>
        <v>0</v>
      </c>
      <c r="N97" s="1154">
        <f t="shared" si="83"/>
        <v>0</v>
      </c>
      <c r="O97" s="1154">
        <f t="shared" si="83"/>
        <v>0</v>
      </c>
      <c r="P97" s="1154">
        <f t="shared" si="83"/>
        <v>0</v>
      </c>
      <c r="Q97" s="1154">
        <f t="shared" si="83"/>
        <v>0</v>
      </c>
      <c r="R97" s="1154">
        <f t="shared" si="83"/>
        <v>0</v>
      </c>
      <c r="S97" s="1154">
        <f t="shared" si="83"/>
        <v>0</v>
      </c>
      <c r="T97" s="1154">
        <f t="shared" si="83"/>
        <v>0</v>
      </c>
      <c r="U97" s="1154">
        <f t="shared" si="83"/>
        <v>0</v>
      </c>
      <c r="V97" s="1154">
        <f t="shared" si="83"/>
        <v>0</v>
      </c>
      <c r="W97" s="1154">
        <f t="shared" si="83"/>
        <v>0</v>
      </c>
      <c r="X97" s="1154">
        <f t="shared" si="83"/>
        <v>0</v>
      </c>
      <c r="Y97" s="1154">
        <f t="shared" si="83"/>
        <v>0</v>
      </c>
      <c r="Z97" s="1154">
        <f t="shared" si="83"/>
        <v>0</v>
      </c>
      <c r="AA97" s="1154">
        <f t="shared" si="83"/>
        <v>0</v>
      </c>
      <c r="AB97" s="1154">
        <f t="shared" si="83"/>
        <v>0</v>
      </c>
      <c r="AC97" s="1154">
        <f t="shared" si="83"/>
        <v>0</v>
      </c>
      <c r="AD97" s="1154">
        <f t="shared" si="83"/>
        <v>0</v>
      </c>
      <c r="AE97" s="1154">
        <f t="shared" si="83"/>
        <v>0</v>
      </c>
      <c r="AF97" s="1154">
        <f t="shared" ca="1" si="83"/>
        <v>0</v>
      </c>
      <c r="AG97" s="1154">
        <f t="shared" ca="1" si="83"/>
        <v>0</v>
      </c>
      <c r="AH97" s="1154">
        <f t="shared" si="83"/>
        <v>0</v>
      </c>
      <c r="AI97" s="1154">
        <f t="shared" si="83"/>
        <v>0</v>
      </c>
      <c r="AJ97" s="1154">
        <f t="shared" si="83"/>
        <v>0</v>
      </c>
      <c r="AK97" s="1154">
        <f t="shared" si="83"/>
        <v>0</v>
      </c>
      <c r="AL97" s="1154">
        <f t="shared" si="83"/>
        <v>0</v>
      </c>
      <c r="AM97" s="1154">
        <f t="shared" si="83"/>
        <v>0</v>
      </c>
      <c r="AN97" s="1154">
        <f t="shared" si="83"/>
        <v>0</v>
      </c>
      <c r="AO97" s="1154">
        <f t="shared" si="83"/>
        <v>0</v>
      </c>
      <c r="AP97" s="1154">
        <f t="shared" si="83"/>
        <v>0</v>
      </c>
      <c r="AQ97" s="1154">
        <f t="shared" si="83"/>
        <v>0</v>
      </c>
      <c r="AR97" s="1154">
        <f t="shared" si="83"/>
        <v>0</v>
      </c>
      <c r="AS97" s="1154">
        <f t="shared" si="83"/>
        <v>0</v>
      </c>
      <c r="AT97" s="1154">
        <f t="shared" si="83"/>
        <v>0</v>
      </c>
      <c r="AU97" s="1154">
        <f t="shared" si="83"/>
        <v>0</v>
      </c>
      <c r="AV97" s="1154">
        <f t="shared" si="83"/>
        <v>0</v>
      </c>
      <c r="AW97" s="1154">
        <f t="shared" si="83"/>
        <v>0</v>
      </c>
      <c r="AX97" s="1154">
        <f t="shared" si="83"/>
        <v>0</v>
      </c>
      <c r="AY97" s="1154"/>
      <c r="AZ97" s="1156"/>
      <c r="BA97" s="579"/>
    </row>
    <row r="98" spans="1:53" ht="21.95" hidden="1" customHeight="1" x14ac:dyDescent="0.15">
      <c r="A98" s="2596"/>
      <c r="B98" s="2617"/>
      <c r="C98" s="567" t="s">
        <v>538</v>
      </c>
      <c r="D98" s="1498"/>
      <c r="E98" s="1499"/>
      <c r="F98" s="1154"/>
      <c r="G98" s="1154">
        <f t="shared" si="81"/>
        <v>0</v>
      </c>
      <c r="H98" s="1154">
        <f t="shared" si="83"/>
        <v>0</v>
      </c>
      <c r="I98" s="1154">
        <f t="shared" si="83"/>
        <v>0</v>
      </c>
      <c r="J98" s="1154">
        <f t="shared" si="83"/>
        <v>0</v>
      </c>
      <c r="K98" s="1154">
        <f t="shared" si="83"/>
        <v>0</v>
      </c>
      <c r="L98" s="1154">
        <f t="shared" si="83"/>
        <v>0</v>
      </c>
      <c r="M98" s="1154">
        <f t="shared" si="83"/>
        <v>0</v>
      </c>
      <c r="N98" s="1154">
        <f t="shared" si="83"/>
        <v>0</v>
      </c>
      <c r="O98" s="1154">
        <f t="shared" si="83"/>
        <v>0</v>
      </c>
      <c r="P98" s="1154">
        <f t="shared" si="83"/>
        <v>0</v>
      </c>
      <c r="Q98" s="1154">
        <f t="shared" si="83"/>
        <v>0</v>
      </c>
      <c r="R98" s="1154">
        <f t="shared" si="83"/>
        <v>0</v>
      </c>
      <c r="S98" s="1154">
        <f t="shared" si="83"/>
        <v>0</v>
      </c>
      <c r="T98" s="1154">
        <f t="shared" si="83"/>
        <v>0</v>
      </c>
      <c r="U98" s="1154">
        <f t="shared" si="83"/>
        <v>2.31</v>
      </c>
      <c r="V98" s="1154">
        <f t="shared" si="83"/>
        <v>0</v>
      </c>
      <c r="W98" s="1154">
        <f t="shared" si="83"/>
        <v>0</v>
      </c>
      <c r="X98" s="1154">
        <f t="shared" si="83"/>
        <v>0</v>
      </c>
      <c r="Y98" s="1154">
        <f t="shared" si="83"/>
        <v>0</v>
      </c>
      <c r="Z98" s="1154">
        <f t="shared" si="83"/>
        <v>0</v>
      </c>
      <c r="AA98" s="1154">
        <f t="shared" si="83"/>
        <v>0</v>
      </c>
      <c r="AB98" s="1154">
        <f t="shared" si="83"/>
        <v>0</v>
      </c>
      <c r="AC98" s="1154">
        <f t="shared" si="83"/>
        <v>0</v>
      </c>
      <c r="AD98" s="1154">
        <f t="shared" si="83"/>
        <v>0</v>
      </c>
      <c r="AE98" s="1154">
        <f t="shared" si="83"/>
        <v>0</v>
      </c>
      <c r="AF98" s="1154">
        <f t="shared" ca="1" si="83"/>
        <v>12.251250000000002</v>
      </c>
      <c r="AG98" s="1154">
        <f t="shared" ca="1" si="83"/>
        <v>22.993465000000082</v>
      </c>
      <c r="AH98" s="1154">
        <f t="shared" si="83"/>
        <v>0</v>
      </c>
      <c r="AI98" s="1154">
        <f t="shared" si="83"/>
        <v>0</v>
      </c>
      <c r="AJ98" s="1154">
        <f t="shared" si="83"/>
        <v>0</v>
      </c>
      <c r="AK98" s="1154">
        <f t="shared" si="83"/>
        <v>0</v>
      </c>
      <c r="AL98" s="1154">
        <f t="shared" si="83"/>
        <v>0</v>
      </c>
      <c r="AM98" s="1154">
        <f t="shared" si="83"/>
        <v>0</v>
      </c>
      <c r="AN98" s="1154">
        <f t="shared" si="83"/>
        <v>0</v>
      </c>
      <c r="AO98" s="1154">
        <f t="shared" si="83"/>
        <v>0</v>
      </c>
      <c r="AP98" s="1154">
        <f t="shared" si="83"/>
        <v>0</v>
      </c>
      <c r="AQ98" s="1154">
        <f t="shared" si="83"/>
        <v>0</v>
      </c>
      <c r="AR98" s="1154">
        <f t="shared" si="83"/>
        <v>0</v>
      </c>
      <c r="AS98" s="1154">
        <f t="shared" si="83"/>
        <v>0</v>
      </c>
      <c r="AT98" s="1154">
        <f t="shared" si="83"/>
        <v>0</v>
      </c>
      <c r="AU98" s="1154">
        <f t="shared" si="83"/>
        <v>0</v>
      </c>
      <c r="AV98" s="1154">
        <f t="shared" si="83"/>
        <v>0</v>
      </c>
      <c r="AW98" s="1154">
        <f t="shared" si="83"/>
        <v>0</v>
      </c>
      <c r="AX98" s="1154">
        <f t="shared" si="83"/>
        <v>0</v>
      </c>
      <c r="AY98" s="1154"/>
      <c r="AZ98" s="1156"/>
      <c r="BA98" s="579"/>
    </row>
    <row r="99" spans="1:53" ht="21.95" hidden="1" customHeight="1" x14ac:dyDescent="0.15">
      <c r="A99" s="2596"/>
      <c r="B99" s="2617"/>
      <c r="C99" s="567" t="s">
        <v>1376</v>
      </c>
      <c r="D99" s="1498"/>
      <c r="E99" s="1499"/>
      <c r="F99" s="1154">
        <f>F82</f>
        <v>0</v>
      </c>
      <c r="G99" s="1154">
        <f t="shared" ref="G99:V100" si="84">G82</f>
        <v>0</v>
      </c>
      <c r="H99" s="1154">
        <f t="shared" si="84"/>
        <v>0</v>
      </c>
      <c r="I99" s="1154">
        <f t="shared" si="84"/>
        <v>0</v>
      </c>
      <c r="J99" s="1154">
        <f t="shared" si="84"/>
        <v>0</v>
      </c>
      <c r="K99" s="1154">
        <f t="shared" si="84"/>
        <v>0</v>
      </c>
      <c r="L99" s="1154">
        <f t="shared" si="84"/>
        <v>0</v>
      </c>
      <c r="M99" s="1154">
        <f t="shared" si="84"/>
        <v>0</v>
      </c>
      <c r="N99" s="1154">
        <f t="shared" si="84"/>
        <v>0</v>
      </c>
      <c r="O99" s="1154">
        <f t="shared" si="84"/>
        <v>0</v>
      </c>
      <c r="P99" s="1154">
        <f t="shared" si="84"/>
        <v>0</v>
      </c>
      <c r="Q99" s="1154">
        <f t="shared" si="84"/>
        <v>0</v>
      </c>
      <c r="R99" s="1154">
        <f t="shared" si="84"/>
        <v>0</v>
      </c>
      <c r="S99" s="1154">
        <f t="shared" si="84"/>
        <v>0</v>
      </c>
      <c r="T99" s="1154">
        <f t="shared" si="84"/>
        <v>0</v>
      </c>
      <c r="U99" s="1154">
        <f t="shared" si="84"/>
        <v>0.85841279999999998</v>
      </c>
      <c r="V99" s="1154">
        <f t="shared" si="84"/>
        <v>0</v>
      </c>
      <c r="W99" s="1154">
        <f t="shared" ref="H99:AX100" si="85">W82</f>
        <v>0</v>
      </c>
      <c r="X99" s="1154">
        <f t="shared" si="85"/>
        <v>0</v>
      </c>
      <c r="Y99" s="1154">
        <f t="shared" si="85"/>
        <v>0</v>
      </c>
      <c r="Z99" s="1154">
        <f t="shared" si="85"/>
        <v>0</v>
      </c>
      <c r="AA99" s="1154">
        <f t="shared" si="85"/>
        <v>0</v>
      </c>
      <c r="AB99" s="1154">
        <f t="shared" si="85"/>
        <v>0</v>
      </c>
      <c r="AC99" s="1154">
        <f t="shared" si="85"/>
        <v>0</v>
      </c>
      <c r="AD99" s="1154">
        <f t="shared" si="85"/>
        <v>0</v>
      </c>
      <c r="AE99" s="1154">
        <f t="shared" si="85"/>
        <v>0</v>
      </c>
      <c r="AF99" s="1154">
        <f t="shared" ca="1" si="85"/>
        <v>4.5526536000000011</v>
      </c>
      <c r="AG99" s="1154">
        <f t="shared" ca="1" si="85"/>
        <v>8.5445388192000316</v>
      </c>
      <c r="AH99" s="1154">
        <f t="shared" si="85"/>
        <v>0</v>
      </c>
      <c r="AI99" s="1154">
        <f t="shared" si="85"/>
        <v>0</v>
      </c>
      <c r="AJ99" s="1154">
        <f t="shared" si="85"/>
        <v>0</v>
      </c>
      <c r="AK99" s="1154">
        <f t="shared" si="85"/>
        <v>0</v>
      </c>
      <c r="AL99" s="1154">
        <f t="shared" si="85"/>
        <v>0</v>
      </c>
      <c r="AM99" s="1154">
        <f t="shared" si="85"/>
        <v>0</v>
      </c>
      <c r="AN99" s="1154">
        <f t="shared" si="85"/>
        <v>0</v>
      </c>
      <c r="AO99" s="1154">
        <f t="shared" si="85"/>
        <v>0</v>
      </c>
      <c r="AP99" s="1154">
        <f t="shared" si="85"/>
        <v>0</v>
      </c>
      <c r="AQ99" s="1154">
        <f t="shared" si="85"/>
        <v>0</v>
      </c>
      <c r="AR99" s="1154">
        <f t="shared" si="85"/>
        <v>0</v>
      </c>
      <c r="AS99" s="1154">
        <f t="shared" si="85"/>
        <v>0</v>
      </c>
      <c r="AT99" s="1154">
        <f t="shared" si="85"/>
        <v>0</v>
      </c>
      <c r="AU99" s="1154">
        <f t="shared" si="85"/>
        <v>0</v>
      </c>
      <c r="AV99" s="1154">
        <f t="shared" si="85"/>
        <v>0</v>
      </c>
      <c r="AW99" s="1154">
        <f t="shared" si="85"/>
        <v>0</v>
      </c>
      <c r="AX99" s="1154">
        <f t="shared" si="85"/>
        <v>0</v>
      </c>
      <c r="AY99" s="1154"/>
      <c r="AZ99" s="1156"/>
      <c r="BA99" s="579"/>
    </row>
    <row r="100" spans="1:53" ht="21.95" hidden="1" customHeight="1" thickBot="1" x14ac:dyDescent="0.2">
      <c r="A100" s="2596"/>
      <c r="B100" s="2618"/>
      <c r="C100" s="566" t="s">
        <v>1377</v>
      </c>
      <c r="D100" s="1500"/>
      <c r="E100" s="1501"/>
      <c r="F100" s="1097">
        <f>F83</f>
        <v>0</v>
      </c>
      <c r="G100" s="1097">
        <f t="shared" si="84"/>
        <v>0</v>
      </c>
      <c r="H100" s="1097">
        <f t="shared" si="85"/>
        <v>0</v>
      </c>
      <c r="I100" s="1097">
        <f t="shared" si="85"/>
        <v>0</v>
      </c>
      <c r="J100" s="1097">
        <f t="shared" si="85"/>
        <v>0</v>
      </c>
      <c r="K100" s="1097">
        <f t="shared" si="85"/>
        <v>0</v>
      </c>
      <c r="L100" s="1097">
        <f t="shared" si="85"/>
        <v>0</v>
      </c>
      <c r="M100" s="1097">
        <f t="shared" si="85"/>
        <v>0</v>
      </c>
      <c r="N100" s="1097">
        <f t="shared" si="85"/>
        <v>0</v>
      </c>
      <c r="O100" s="1097">
        <f t="shared" si="85"/>
        <v>0</v>
      </c>
      <c r="P100" s="1097">
        <f t="shared" si="85"/>
        <v>0</v>
      </c>
      <c r="Q100" s="1097">
        <f t="shared" si="85"/>
        <v>0</v>
      </c>
      <c r="R100" s="1097">
        <f t="shared" si="85"/>
        <v>0</v>
      </c>
      <c r="S100" s="1097">
        <f t="shared" si="85"/>
        <v>0</v>
      </c>
      <c r="T100" s="1097">
        <f t="shared" si="85"/>
        <v>0</v>
      </c>
      <c r="U100" s="1097">
        <f t="shared" si="85"/>
        <v>0</v>
      </c>
      <c r="V100" s="1097">
        <f t="shared" si="85"/>
        <v>0</v>
      </c>
      <c r="W100" s="1097">
        <f t="shared" si="85"/>
        <v>0</v>
      </c>
      <c r="X100" s="1097">
        <f t="shared" si="85"/>
        <v>0</v>
      </c>
      <c r="Y100" s="1097">
        <f t="shared" si="85"/>
        <v>0</v>
      </c>
      <c r="Z100" s="1097">
        <f t="shared" si="85"/>
        <v>0</v>
      </c>
      <c r="AA100" s="1097">
        <f t="shared" si="85"/>
        <v>0</v>
      </c>
      <c r="AB100" s="1097">
        <f t="shared" si="85"/>
        <v>0</v>
      </c>
      <c r="AC100" s="1097">
        <f t="shared" si="85"/>
        <v>0</v>
      </c>
      <c r="AD100" s="1097">
        <f t="shared" si="85"/>
        <v>0</v>
      </c>
      <c r="AE100" s="1097">
        <f t="shared" si="85"/>
        <v>0</v>
      </c>
      <c r="AF100" s="1097">
        <f t="shared" ca="1" si="85"/>
        <v>0</v>
      </c>
      <c r="AG100" s="1097">
        <f t="shared" ca="1" si="85"/>
        <v>0</v>
      </c>
      <c r="AH100" s="1097">
        <f t="shared" si="85"/>
        <v>0</v>
      </c>
      <c r="AI100" s="1097">
        <f t="shared" si="85"/>
        <v>0</v>
      </c>
      <c r="AJ100" s="1097">
        <f t="shared" si="85"/>
        <v>0</v>
      </c>
      <c r="AK100" s="1097">
        <f t="shared" si="85"/>
        <v>0</v>
      </c>
      <c r="AL100" s="1097">
        <f t="shared" si="85"/>
        <v>0</v>
      </c>
      <c r="AM100" s="1097">
        <f t="shared" si="85"/>
        <v>0</v>
      </c>
      <c r="AN100" s="1097">
        <f t="shared" si="85"/>
        <v>0</v>
      </c>
      <c r="AO100" s="1097">
        <f t="shared" si="85"/>
        <v>0</v>
      </c>
      <c r="AP100" s="1097">
        <f t="shared" si="85"/>
        <v>0</v>
      </c>
      <c r="AQ100" s="1097">
        <f t="shared" si="85"/>
        <v>0</v>
      </c>
      <c r="AR100" s="1097">
        <f t="shared" si="85"/>
        <v>0</v>
      </c>
      <c r="AS100" s="1097">
        <f t="shared" si="85"/>
        <v>0</v>
      </c>
      <c r="AT100" s="1097">
        <f t="shared" si="85"/>
        <v>0</v>
      </c>
      <c r="AU100" s="1097">
        <f t="shared" si="85"/>
        <v>0</v>
      </c>
      <c r="AV100" s="1097">
        <f t="shared" si="85"/>
        <v>0</v>
      </c>
      <c r="AW100" s="1097">
        <f t="shared" si="85"/>
        <v>0</v>
      </c>
      <c r="AX100" s="1097">
        <f t="shared" si="85"/>
        <v>0</v>
      </c>
      <c r="AY100" s="1097"/>
      <c r="AZ100" s="1098"/>
      <c r="BA100" s="579"/>
    </row>
    <row r="101" spans="1:53" ht="50.1" customHeight="1" thickBot="1" x14ac:dyDescent="0.2">
      <c r="A101" s="2597"/>
      <c r="B101" s="2651" t="s">
        <v>12</v>
      </c>
      <c r="C101" s="2652"/>
      <c r="D101" s="990"/>
      <c r="E101" s="1538"/>
      <c r="F101" s="1159"/>
      <c r="G101" s="2101"/>
      <c r="H101" s="2101"/>
      <c r="I101" s="2101"/>
      <c r="J101" s="2101"/>
      <c r="K101" s="2101"/>
      <c r="L101" s="2101"/>
      <c r="M101" s="2101"/>
      <c r="N101" s="2101"/>
      <c r="O101" s="2101"/>
      <c r="P101" s="2101"/>
      <c r="Q101" s="2101"/>
      <c r="R101" s="2101"/>
      <c r="S101" s="2101"/>
      <c r="T101" s="2101"/>
      <c r="U101" s="2101"/>
      <c r="V101" s="2101"/>
      <c r="W101" s="2101"/>
      <c r="X101" s="2101"/>
      <c r="Y101" s="2101"/>
      <c r="Z101" s="2101"/>
      <c r="AA101" s="2101"/>
      <c r="AB101" s="2101"/>
      <c r="AC101" s="2101"/>
      <c r="AD101" s="2101"/>
      <c r="AE101" s="2101"/>
      <c r="AF101" s="2101"/>
      <c r="AG101" s="2101"/>
      <c r="AH101" s="2101"/>
      <c r="AI101" s="2101"/>
      <c r="AJ101" s="2101"/>
      <c r="AK101" s="2101"/>
      <c r="AL101" s="2101"/>
      <c r="AM101" s="2101"/>
      <c r="AN101" s="2101"/>
      <c r="AO101" s="2101"/>
      <c r="AP101" s="2101"/>
      <c r="AQ101" s="2101"/>
      <c r="AR101" s="2101"/>
      <c r="AS101" s="2101"/>
      <c r="AT101" s="2101"/>
      <c r="AU101" s="2101"/>
      <c r="AV101" s="2101"/>
      <c r="AW101" s="2101"/>
      <c r="AX101" s="2101"/>
      <c r="AY101" s="2101"/>
      <c r="AZ101" s="1160"/>
      <c r="BA101" s="668">
        <v>1</v>
      </c>
    </row>
    <row r="102" spans="1:53" ht="19.5" thickTop="1" x14ac:dyDescent="0.15">
      <c r="F102" s="133"/>
    </row>
    <row r="103" spans="1:53" x14ac:dyDescent="0.15">
      <c r="F103" s="133"/>
    </row>
  </sheetData>
  <autoFilter ref="BA1:BA101" xr:uid="{00000000-0009-0000-0000-000016000000}">
    <filterColumn colId="0">
      <customFilters>
        <customFilter operator="notEqual" val=" "/>
      </customFilters>
    </filterColumn>
  </autoFilter>
  <mergeCells count="18">
    <mergeCell ref="A1:A101"/>
    <mergeCell ref="B1:C1"/>
    <mergeCell ref="B2:C2"/>
    <mergeCell ref="B3:B4"/>
    <mergeCell ref="B5:C5"/>
    <mergeCell ref="B12:B14"/>
    <mergeCell ref="B34:B37"/>
    <mergeCell ref="B101:C101"/>
    <mergeCell ref="B6:B8"/>
    <mergeCell ref="B9:B11"/>
    <mergeCell ref="B17:B31"/>
    <mergeCell ref="B32:B33"/>
    <mergeCell ref="B15:B16"/>
    <mergeCell ref="B45:B51"/>
    <mergeCell ref="B38:B44"/>
    <mergeCell ref="B52:B60"/>
    <mergeCell ref="B84:B100"/>
    <mergeCell ref="B62:B83"/>
  </mergeCells>
  <hyperlinks>
    <hyperlink ref="B1:C1" location="PAINEL!A1" display="TRECHOS" xr:uid="{00000000-0004-0000-1600-000000000000}"/>
  </hyperlinks>
  <pageMargins left="0.59055118110236227" right="0.59055118110236227" top="0.39370078740157483" bottom="0.59055118110236227" header="0.31496062992125984" footer="0.23622047244094491"/>
  <pageSetup paperSize="9" scale="75" fitToWidth="4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AZ19 G19:G27 H19:AY19" formulaRange="1"/>
    <ignoredError sqref="AZ28:AZ29 G28:G29 H28:AX28 H29:AX29 G81 H81:AX81" formula="1"/>
  </ignoredError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31">
    <tabColor theme="8" tint="0.59999389629810485"/>
  </sheetPr>
  <dimension ref="A1:V270"/>
  <sheetViews>
    <sheetView showZeros="0" zoomScaleNormal="100" zoomScaleSheetLayoutView="115" workbookViewId="0">
      <pane xSplit="5" ySplit="1" topLeftCell="F109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131" sqref="F131"/>
    </sheetView>
  </sheetViews>
  <sheetFormatPr defaultColWidth="9" defaultRowHeight="18.75" x14ac:dyDescent="0.15"/>
  <cols>
    <col min="1" max="1" width="11.375" style="680" customWidth="1"/>
    <col min="2" max="2" width="16.875" style="676" customWidth="1"/>
    <col min="3" max="3" width="35.625" style="9" customWidth="1"/>
    <col min="4" max="4" width="4.125" style="982" hidden="1" customWidth="1"/>
    <col min="5" max="5" width="7.375" style="676" hidden="1" customWidth="1"/>
    <col min="6" max="8" width="14.625" style="5" customWidth="1"/>
    <col min="9" max="9" width="12.625" style="5" customWidth="1"/>
    <col min="10" max="10" width="12.625" style="684" customWidth="1"/>
    <col min="11" max="11" width="17.375" style="680" customWidth="1"/>
    <col min="12" max="16384" width="9" style="680"/>
  </cols>
  <sheetData>
    <row r="1" spans="1:22" s="677" customFormat="1" ht="60" customHeight="1" thickTop="1" thickBot="1" x14ac:dyDescent="0.2">
      <c r="A1" s="2595" t="s">
        <v>1256</v>
      </c>
      <c r="B1" s="2783" t="s">
        <v>348</v>
      </c>
      <c r="C1" s="2784"/>
      <c r="D1" s="1736"/>
      <c r="E1" s="1737" t="s">
        <v>588</v>
      </c>
      <c r="F1" s="211" t="s">
        <v>2730</v>
      </c>
      <c r="G1" s="211" t="s">
        <v>2731</v>
      </c>
      <c r="H1" s="211" t="s">
        <v>2732</v>
      </c>
      <c r="I1" s="211"/>
      <c r="J1" s="675" t="s">
        <v>0</v>
      </c>
      <c r="K1" s="578" t="s">
        <v>1359</v>
      </c>
      <c r="L1" s="676"/>
      <c r="M1" s="676"/>
      <c r="N1" s="676"/>
      <c r="O1" s="676"/>
      <c r="P1" s="676"/>
      <c r="Q1" s="676"/>
      <c r="R1" s="676"/>
      <c r="S1" s="676"/>
      <c r="T1" s="676"/>
      <c r="U1" s="676"/>
      <c r="V1" s="676"/>
    </row>
    <row r="2" spans="1:22" s="678" customFormat="1" ht="21.95" customHeight="1" thickTop="1" thickBot="1" x14ac:dyDescent="0.2">
      <c r="A2" s="2771"/>
      <c r="B2" s="2785" t="s">
        <v>44</v>
      </c>
      <c r="C2" s="2786"/>
      <c r="D2" s="1455"/>
      <c r="E2" s="1456"/>
      <c r="F2" s="1164"/>
      <c r="G2" s="1164"/>
      <c r="H2" s="1164"/>
      <c r="I2" s="1164"/>
      <c r="J2" s="1165">
        <f>ROUND(SUM(F2:I2),2)</f>
        <v>0</v>
      </c>
      <c r="K2" s="579">
        <f>SUM(F2:J2)</f>
        <v>0</v>
      </c>
    </row>
    <row r="3" spans="1:22" s="678" customFormat="1" ht="21.95" customHeight="1" x14ac:dyDescent="0.15">
      <c r="A3" s="2771"/>
      <c r="B3" s="2616" t="s">
        <v>163</v>
      </c>
      <c r="C3" s="543" t="s">
        <v>161</v>
      </c>
      <c r="D3" s="1062"/>
      <c r="E3" s="1345"/>
      <c r="F3" s="1719"/>
      <c r="G3" s="1719"/>
      <c r="H3" s="1719"/>
      <c r="I3" s="1719"/>
      <c r="J3" s="981"/>
      <c r="K3" s="1017">
        <f>COUNTA(F3:I3)-COUNTIF(F3:I3,0)</f>
        <v>0</v>
      </c>
    </row>
    <row r="4" spans="1:22" s="678" customFormat="1" ht="21.95" customHeight="1" thickBot="1" x14ac:dyDescent="0.2">
      <c r="A4" s="2771"/>
      <c r="B4" s="2618"/>
      <c r="C4" s="543" t="s">
        <v>162</v>
      </c>
      <c r="D4" s="1062"/>
      <c r="E4" s="1345"/>
      <c r="F4" s="1262"/>
      <c r="G4" s="1262"/>
      <c r="H4" s="1262"/>
      <c r="I4" s="1262"/>
      <c r="J4" s="1192"/>
      <c r="K4" s="1017">
        <f>COUNTA(F4:I4)-COUNTIF(F4:I4,0)</f>
        <v>0</v>
      </c>
    </row>
    <row r="5" spans="1:22" s="678" customFormat="1" ht="21.95" customHeight="1" thickBot="1" x14ac:dyDescent="0.2">
      <c r="A5" s="2771"/>
      <c r="B5" s="2787" t="s">
        <v>1235</v>
      </c>
      <c r="C5" s="2788"/>
      <c r="D5" s="1457"/>
      <c r="E5" s="1458"/>
      <c r="F5" s="497">
        <v>7.4404444444444433</v>
      </c>
      <c r="G5" s="497">
        <v>6.6664772727272732</v>
      </c>
      <c r="H5" s="497">
        <v>6.5467692307692307</v>
      </c>
      <c r="I5" s="497"/>
      <c r="J5" s="679"/>
      <c r="K5" s="579">
        <f>SUM(F5:J5)</f>
        <v>20.653690947940945</v>
      </c>
    </row>
    <row r="6" spans="1:22" s="678" customFormat="1" ht="21.95" customHeight="1" thickBot="1" x14ac:dyDescent="0.2">
      <c r="A6" s="2771"/>
      <c r="B6" s="2789" t="s">
        <v>622</v>
      </c>
      <c r="C6" s="2790"/>
      <c r="D6" s="1457"/>
      <c r="E6" s="1458"/>
      <c r="F6" s="1166">
        <f>+F5*F2</f>
        <v>0</v>
      </c>
      <c r="G6" s="1166">
        <f>+G5*G2</f>
        <v>0</v>
      </c>
      <c r="H6" s="1166">
        <f>+H5*H2</f>
        <v>0</v>
      </c>
      <c r="I6" s="1166"/>
      <c r="J6" s="1167">
        <f>ROUND(SUM(F6:I6),2)</f>
        <v>0</v>
      </c>
      <c r="K6" s="579">
        <f>SUM(F6:J6)</f>
        <v>0</v>
      </c>
    </row>
    <row r="7" spans="1:22" s="678" customFormat="1" ht="21.95" customHeight="1" thickBot="1" x14ac:dyDescent="0.2">
      <c r="A7" s="2771"/>
      <c r="B7" s="2787" t="s">
        <v>2009</v>
      </c>
      <c r="C7" s="2790"/>
      <c r="D7" s="1466"/>
      <c r="E7" s="1740" t="s">
        <v>2021</v>
      </c>
      <c r="F7" s="1170" t="s">
        <v>245</v>
      </c>
      <c r="G7" s="1170" t="s">
        <v>245</v>
      </c>
      <c r="H7" s="1170" t="s">
        <v>245</v>
      </c>
      <c r="I7" s="1170"/>
      <c r="J7" s="679"/>
      <c r="K7" s="1017">
        <f>COUNTA(F7:I7)-COUNTIF(F7:I7,0)</f>
        <v>3</v>
      </c>
    </row>
    <row r="8" spans="1:22" ht="21.95" customHeight="1" x14ac:dyDescent="0.15">
      <c r="A8" s="2771"/>
      <c r="B8" s="2616" t="s">
        <v>1236</v>
      </c>
      <c r="C8" s="542" t="s">
        <v>202</v>
      </c>
      <c r="D8" s="1459"/>
      <c r="E8" s="1460"/>
      <c r="F8" s="980"/>
      <c r="G8" s="980"/>
      <c r="H8" s="980"/>
      <c r="I8" s="980"/>
      <c r="J8" s="981"/>
      <c r="K8" s="579">
        <f t="shared" ref="K8:K28" si="0">SUM(F8:J8)</f>
        <v>0</v>
      </c>
    </row>
    <row r="9" spans="1:22" s="1193" customFormat="1" ht="21.95" customHeight="1" x14ac:dyDescent="0.15">
      <c r="A9" s="2771"/>
      <c r="B9" s="2617"/>
      <c r="C9" s="1190" t="s">
        <v>1977</v>
      </c>
      <c r="D9" s="1461"/>
      <c r="E9" s="1462"/>
      <c r="F9" s="1191"/>
      <c r="G9" s="1191"/>
      <c r="H9" s="1191"/>
      <c r="I9" s="1191"/>
      <c r="J9" s="1192"/>
      <c r="K9" s="579">
        <f t="shared" si="0"/>
        <v>0</v>
      </c>
    </row>
    <row r="10" spans="1:22" s="678" customFormat="1" ht="21.95" customHeight="1" x14ac:dyDescent="0.15">
      <c r="A10" s="2771"/>
      <c r="B10" s="2617"/>
      <c r="C10" s="808" t="s">
        <v>1242</v>
      </c>
      <c r="D10" s="1463"/>
      <c r="E10" s="1464"/>
      <c r="F10" s="1144">
        <f t="shared" ref="F10:H10" si="1">F8*F$6</f>
        <v>0</v>
      </c>
      <c r="G10" s="1144">
        <f t="shared" si="1"/>
        <v>0</v>
      </c>
      <c r="H10" s="1144">
        <f t="shared" si="1"/>
        <v>0</v>
      </c>
      <c r="I10" s="1144"/>
      <c r="J10" s="1168">
        <f>ROUND(SUM(F10:I10),2)</f>
        <v>0</v>
      </c>
      <c r="K10" s="579">
        <f t="shared" si="0"/>
        <v>0</v>
      </c>
    </row>
    <row r="11" spans="1:22" s="678" customFormat="1" ht="21.95" customHeight="1" thickBot="1" x14ac:dyDescent="0.2">
      <c r="A11" s="2771"/>
      <c r="B11" s="2618"/>
      <c r="C11" s="546" t="s">
        <v>1978</v>
      </c>
      <c r="D11" s="1463"/>
      <c r="E11" s="1464"/>
      <c r="F11" s="1135">
        <f t="shared" ref="F11:H11" si="2">F10*F9/100</f>
        <v>0</v>
      </c>
      <c r="G11" s="1135">
        <f t="shared" si="2"/>
        <v>0</v>
      </c>
      <c r="H11" s="1135">
        <f t="shared" si="2"/>
        <v>0</v>
      </c>
      <c r="I11" s="1144"/>
      <c r="J11" s="1175">
        <f>ROUND(SUM(F11:I11),2)</f>
        <v>0</v>
      </c>
      <c r="K11" s="579">
        <f t="shared" si="0"/>
        <v>0</v>
      </c>
    </row>
    <row r="12" spans="1:22" s="678" customFormat="1" ht="21.95" customHeight="1" x14ac:dyDescent="0.15">
      <c r="A12" s="2771"/>
      <c r="B12" s="2617" t="s">
        <v>1238</v>
      </c>
      <c r="C12" s="544" t="s">
        <v>202</v>
      </c>
      <c r="D12" s="1459"/>
      <c r="E12" s="1460"/>
      <c r="F12" s="2121"/>
      <c r="G12" s="2121"/>
      <c r="H12" s="2121"/>
      <c r="I12" s="980"/>
      <c r="J12" s="2122"/>
      <c r="K12" s="579">
        <f t="shared" si="0"/>
        <v>0</v>
      </c>
    </row>
    <row r="13" spans="1:22" s="1193" customFormat="1" ht="21.95" customHeight="1" x14ac:dyDescent="0.15">
      <c r="A13" s="2771"/>
      <c r="B13" s="2777"/>
      <c r="C13" s="1190" t="s">
        <v>1977</v>
      </c>
      <c r="D13" s="1461"/>
      <c r="E13" s="1462"/>
      <c r="F13" s="1191"/>
      <c r="G13" s="1191"/>
      <c r="H13" s="1191"/>
      <c r="I13" s="1191"/>
      <c r="J13" s="1192"/>
      <c r="K13" s="579">
        <f t="shared" si="0"/>
        <v>0</v>
      </c>
    </row>
    <row r="14" spans="1:22" s="678" customFormat="1" ht="21.95" customHeight="1" x14ac:dyDescent="0.15">
      <c r="A14" s="2771"/>
      <c r="B14" s="2777"/>
      <c r="C14" s="808" t="s">
        <v>1243</v>
      </c>
      <c r="D14" s="1463"/>
      <c r="E14" s="1464"/>
      <c r="F14" s="1144">
        <f t="shared" ref="F14:H14" si="3">F12*F$6</f>
        <v>0</v>
      </c>
      <c r="G14" s="1144">
        <f t="shared" si="3"/>
        <v>0</v>
      </c>
      <c r="H14" s="1144">
        <f t="shared" si="3"/>
        <v>0</v>
      </c>
      <c r="I14" s="1144"/>
      <c r="J14" s="1168">
        <f>ROUND(SUM(F14:I14),2)</f>
        <v>0</v>
      </c>
      <c r="K14" s="579">
        <f t="shared" si="0"/>
        <v>0</v>
      </c>
    </row>
    <row r="15" spans="1:22" s="678" customFormat="1" ht="21.95" customHeight="1" thickBot="1" x14ac:dyDescent="0.2">
      <c r="A15" s="2771"/>
      <c r="B15" s="2777"/>
      <c r="C15" s="543" t="s">
        <v>1979</v>
      </c>
      <c r="D15" s="1463"/>
      <c r="E15" s="1465"/>
      <c r="F15" s="1144">
        <f t="shared" ref="F15:H15" si="4">F14*F12/100</f>
        <v>0</v>
      </c>
      <c r="G15" s="1144">
        <f t="shared" si="4"/>
        <v>0</v>
      </c>
      <c r="H15" s="1144">
        <f t="shared" si="4"/>
        <v>0</v>
      </c>
      <c r="I15" s="1144"/>
      <c r="J15" s="1169">
        <f>ROUND(SUM(F15:I15),2)</f>
        <v>0</v>
      </c>
      <c r="K15" s="579">
        <f t="shared" si="0"/>
        <v>0</v>
      </c>
    </row>
    <row r="16" spans="1:22" s="678" customFormat="1" ht="21.95" customHeight="1" x14ac:dyDescent="0.15">
      <c r="A16" s="2771"/>
      <c r="B16" s="2616" t="s">
        <v>1237</v>
      </c>
      <c r="C16" s="542" t="s">
        <v>202</v>
      </c>
      <c r="D16" s="1459"/>
      <c r="E16" s="1460"/>
      <c r="F16" s="1715"/>
      <c r="G16" s="1715"/>
      <c r="H16" s="1715"/>
      <c r="I16" s="1715"/>
      <c r="J16" s="1712"/>
      <c r="K16" s="579">
        <f t="shared" si="0"/>
        <v>0</v>
      </c>
    </row>
    <row r="17" spans="1:11" s="1193" customFormat="1" ht="21.95" customHeight="1" x14ac:dyDescent="0.15">
      <c r="A17" s="2771"/>
      <c r="B17" s="2617"/>
      <c r="C17" s="1190" t="s">
        <v>1977</v>
      </c>
      <c r="D17" s="1461"/>
      <c r="E17" s="1462"/>
      <c r="F17" s="1485"/>
      <c r="G17" s="1485"/>
      <c r="H17" s="1485"/>
      <c r="I17" s="1485"/>
      <c r="J17" s="1713"/>
      <c r="K17" s="579">
        <f t="shared" si="0"/>
        <v>0</v>
      </c>
    </row>
    <row r="18" spans="1:11" s="678" customFormat="1" ht="21.95" customHeight="1" x14ac:dyDescent="0.15">
      <c r="A18" s="2771"/>
      <c r="B18" s="2617"/>
      <c r="C18" s="808" t="s">
        <v>1244</v>
      </c>
      <c r="D18" s="1463"/>
      <c r="E18" s="1465"/>
      <c r="F18" s="1139">
        <f t="shared" ref="F18:H18" si="5">F16*F$6</f>
        <v>0</v>
      </c>
      <c r="G18" s="1139">
        <f t="shared" si="5"/>
        <v>0</v>
      </c>
      <c r="H18" s="1139">
        <f t="shared" si="5"/>
        <v>0</v>
      </c>
      <c r="I18" s="1139"/>
      <c r="J18" s="1714">
        <f>ROUND(SUM(F18:I18),2)</f>
        <v>0</v>
      </c>
      <c r="K18" s="579">
        <f t="shared" si="0"/>
        <v>0</v>
      </c>
    </row>
    <row r="19" spans="1:11" s="678" customFormat="1" ht="21.95" customHeight="1" x14ac:dyDescent="0.15">
      <c r="A19" s="2771"/>
      <c r="B19" s="2617"/>
      <c r="C19" s="543" t="s">
        <v>1980</v>
      </c>
      <c r="D19" s="1470"/>
      <c r="E19" s="1471"/>
      <c r="F19" s="1207">
        <f t="shared" ref="F19:H19" si="6">F18*F17/100</f>
        <v>0</v>
      </c>
      <c r="G19" s="1207">
        <f t="shared" si="6"/>
        <v>0</v>
      </c>
      <c r="H19" s="1207">
        <f t="shared" si="6"/>
        <v>0</v>
      </c>
      <c r="I19" s="1207"/>
      <c r="J19" s="1720">
        <f>ROUND(SUM(F19:I19),2)</f>
        <v>0</v>
      </c>
      <c r="K19" s="579">
        <f t="shared" si="0"/>
        <v>0</v>
      </c>
    </row>
    <row r="20" spans="1:11" s="678" customFormat="1" ht="32.1" customHeight="1" x14ac:dyDescent="0.15">
      <c r="A20" s="2771"/>
      <c r="B20" s="2617"/>
      <c r="C20" s="1196" t="s">
        <v>2749</v>
      </c>
      <c r="D20" s="1463"/>
      <c r="E20" s="1464"/>
      <c r="F20" s="1209"/>
      <c r="G20" s="1209"/>
      <c r="H20" s="1209"/>
      <c r="I20" s="1209"/>
      <c r="J20" s="1714"/>
      <c r="K20" s="579">
        <f t="shared" si="0"/>
        <v>0</v>
      </c>
    </row>
    <row r="21" spans="1:11" s="678" customFormat="1" ht="21.95" customHeight="1" x14ac:dyDescent="0.15">
      <c r="A21" s="2771"/>
      <c r="B21" s="2617"/>
      <c r="C21" s="543" t="s">
        <v>1248</v>
      </c>
      <c r="D21" s="1470"/>
      <c r="E21" s="1471"/>
      <c r="F21" s="1207">
        <f t="shared" ref="F21:H21" si="7">F18*F20/100</f>
        <v>0</v>
      </c>
      <c r="G21" s="1207">
        <f t="shared" si="7"/>
        <v>0</v>
      </c>
      <c r="H21" s="1207">
        <f t="shared" si="7"/>
        <v>0</v>
      </c>
      <c r="I21" s="1207"/>
      <c r="J21" s="1716">
        <f>ROUND(SUM(F21:I21),2)</f>
        <v>0</v>
      </c>
      <c r="K21" s="579">
        <f t="shared" si="0"/>
        <v>0</v>
      </c>
    </row>
    <row r="22" spans="1:11" s="678" customFormat="1" ht="32.1" customHeight="1" x14ac:dyDescent="0.15">
      <c r="A22" s="2771"/>
      <c r="B22" s="2617"/>
      <c r="C22" s="1196" t="s">
        <v>2747</v>
      </c>
      <c r="D22" s="1463"/>
      <c r="E22" s="1464"/>
      <c r="F22" s="1209"/>
      <c r="G22" s="1209"/>
      <c r="H22" s="1209"/>
      <c r="I22" s="1209"/>
      <c r="J22" s="1714"/>
      <c r="K22" s="579">
        <f t="shared" si="0"/>
        <v>0</v>
      </c>
    </row>
    <row r="23" spans="1:11" s="678" customFormat="1" ht="21.95" customHeight="1" thickBot="1" x14ac:dyDescent="0.2">
      <c r="A23" s="2771"/>
      <c r="B23" s="2617"/>
      <c r="C23" s="549" t="s">
        <v>1986</v>
      </c>
      <c r="D23" s="1463"/>
      <c r="E23" s="1472"/>
      <c r="F23" s="1135">
        <f t="shared" ref="F23:H23" si="8">F22*F18/100</f>
        <v>0</v>
      </c>
      <c r="G23" s="1135">
        <f t="shared" si="8"/>
        <v>0</v>
      </c>
      <c r="H23" s="1135">
        <f t="shared" si="8"/>
        <v>0</v>
      </c>
      <c r="I23" s="1135"/>
      <c r="J23" s="1136">
        <f>ROUND(SUM(F23:I23),2)</f>
        <v>0</v>
      </c>
      <c r="K23" s="579">
        <f t="shared" si="0"/>
        <v>0</v>
      </c>
    </row>
    <row r="24" spans="1:11" s="678" customFormat="1" ht="21.95" customHeight="1" x14ac:dyDescent="0.15">
      <c r="A24" s="2771"/>
      <c r="B24" s="2616" t="s">
        <v>1990</v>
      </c>
      <c r="C24" s="807" t="s">
        <v>1240</v>
      </c>
      <c r="D24" s="1466"/>
      <c r="E24" s="1572" t="s">
        <v>1966</v>
      </c>
      <c r="F24" s="1170"/>
      <c r="G24" s="1170"/>
      <c r="H24" s="1170"/>
      <c r="I24" s="1170"/>
      <c r="J24" s="1168">
        <f>ROUND(SUM(F24:I24),2)</f>
        <v>0</v>
      </c>
      <c r="K24" s="579">
        <f t="shared" si="0"/>
        <v>0</v>
      </c>
    </row>
    <row r="25" spans="1:11" s="678" customFormat="1" ht="21.95" customHeight="1" x14ac:dyDescent="0.15">
      <c r="A25" s="2771"/>
      <c r="B25" s="2617"/>
      <c r="C25" s="549" t="s">
        <v>164</v>
      </c>
      <c r="D25" s="1463"/>
      <c r="E25" s="1464"/>
      <c r="F25" s="1171"/>
      <c r="G25" s="1171"/>
      <c r="H25" s="1171"/>
      <c r="I25" s="1171"/>
      <c r="J25" s="1168"/>
      <c r="K25" s="579">
        <f t="shared" si="0"/>
        <v>0</v>
      </c>
    </row>
    <row r="26" spans="1:11" s="678" customFormat="1" ht="21.95" customHeight="1" x14ac:dyDescent="0.15">
      <c r="A26" s="2771"/>
      <c r="B26" s="2617"/>
      <c r="C26" s="808" t="s">
        <v>1245</v>
      </c>
      <c r="D26" s="1470"/>
      <c r="E26" s="1471"/>
      <c r="F26" s="1717">
        <f t="shared" ref="F26:H26" si="9">F25*F24</f>
        <v>0</v>
      </c>
      <c r="G26" s="1717">
        <f t="shared" si="9"/>
        <v>0</v>
      </c>
      <c r="H26" s="1717">
        <f t="shared" si="9"/>
        <v>0</v>
      </c>
      <c r="I26" s="1717"/>
      <c r="J26" s="1718">
        <f>ROUND(SUM(F26:I26),2)</f>
        <v>0</v>
      </c>
      <c r="K26" s="579">
        <f t="shared" si="0"/>
        <v>0</v>
      </c>
    </row>
    <row r="27" spans="1:11" s="1193" customFormat="1" ht="21.95" customHeight="1" x14ac:dyDescent="0.15">
      <c r="A27" s="2771"/>
      <c r="B27" s="2617"/>
      <c r="C27" s="1196" t="s">
        <v>1991</v>
      </c>
      <c r="D27" s="1468"/>
      <c r="E27" s="1469"/>
      <c r="F27" s="1781"/>
      <c r="G27" s="1781"/>
      <c r="H27" s="1781"/>
      <c r="I27" s="1781"/>
      <c r="J27" s="1168"/>
      <c r="K27" s="579">
        <f t="shared" si="0"/>
        <v>0</v>
      </c>
    </row>
    <row r="28" spans="1:11" s="678" customFormat="1" ht="21.95" customHeight="1" x14ac:dyDescent="0.15">
      <c r="A28" s="2771"/>
      <c r="B28" s="2617"/>
      <c r="C28" s="543" t="s">
        <v>1992</v>
      </c>
      <c r="D28" s="1470"/>
      <c r="E28" s="1471"/>
      <c r="F28" s="1717">
        <f t="shared" ref="F28:H28" si="10">F26*F27/100</f>
        <v>0</v>
      </c>
      <c r="G28" s="1717">
        <f t="shared" si="10"/>
        <v>0</v>
      </c>
      <c r="H28" s="1717">
        <f t="shared" si="10"/>
        <v>0</v>
      </c>
      <c r="I28" s="1717"/>
      <c r="J28" s="1720">
        <f>ROUND(SUM(F28:I28),2)</f>
        <v>0</v>
      </c>
      <c r="K28" s="579">
        <f t="shared" si="0"/>
        <v>0</v>
      </c>
    </row>
    <row r="29" spans="1:11" s="678" customFormat="1" ht="32.1" customHeight="1" x14ac:dyDescent="0.15">
      <c r="A29" s="2771"/>
      <c r="B29" s="2617"/>
      <c r="C29" s="543" t="s">
        <v>2748</v>
      </c>
      <c r="D29" s="1734"/>
      <c r="E29" s="1721"/>
      <c r="F29" s="1722"/>
      <c r="G29" s="1722"/>
      <c r="H29" s="1722"/>
      <c r="I29" s="1722"/>
      <c r="J29" s="1723"/>
      <c r="K29" s="1017">
        <f>COUNTA(F29:I29)-COUNTIF(F29:I29,0)</f>
        <v>0</v>
      </c>
    </row>
    <row r="30" spans="1:11" s="1193" customFormat="1" ht="21.95" customHeight="1" x14ac:dyDescent="0.15">
      <c r="A30" s="2771"/>
      <c r="B30" s="2617"/>
      <c r="C30" s="1196" t="s">
        <v>1995</v>
      </c>
      <c r="D30" s="1489"/>
      <c r="E30" s="1462"/>
      <c r="F30" s="1194"/>
      <c r="G30" s="1194"/>
      <c r="H30" s="1194"/>
      <c r="I30" s="1194"/>
      <c r="J30" s="1168"/>
      <c r="K30" s="579">
        <f t="shared" ref="K30:K48" si="11">SUM(F30:J30)</f>
        <v>0</v>
      </c>
    </row>
    <row r="31" spans="1:11" s="678" customFormat="1" ht="21.95" customHeight="1" x14ac:dyDescent="0.15">
      <c r="A31" s="2771"/>
      <c r="B31" s="2617"/>
      <c r="C31" s="543" t="s">
        <v>1994</v>
      </c>
      <c r="D31" s="1478"/>
      <c r="E31" s="1464"/>
      <c r="F31" s="1144">
        <f t="shared" ref="F31:H31" si="12">F30*F26/100</f>
        <v>0</v>
      </c>
      <c r="G31" s="1144">
        <f t="shared" si="12"/>
        <v>0</v>
      </c>
      <c r="H31" s="1144">
        <f t="shared" si="12"/>
        <v>0</v>
      </c>
      <c r="I31" s="1144"/>
      <c r="J31" s="1168">
        <f t="shared" ref="J31:J44" si="13">ROUND(SUM(F31:I31),2)</f>
        <v>0</v>
      </c>
      <c r="K31" s="579">
        <f t="shared" si="11"/>
        <v>0</v>
      </c>
    </row>
    <row r="32" spans="1:11" s="678" customFormat="1" ht="21.95" customHeight="1" x14ac:dyDescent="0.15">
      <c r="A32" s="2771"/>
      <c r="B32" s="2617"/>
      <c r="C32" s="543" t="s">
        <v>1996</v>
      </c>
      <c r="D32" s="1478"/>
      <c r="E32" s="1464"/>
      <c r="F32" s="1144">
        <f t="shared" ref="F32:H32" si="14">IF(F29="MAN",0,F31)</f>
        <v>0</v>
      </c>
      <c r="G32" s="1144">
        <f t="shared" si="14"/>
        <v>0</v>
      </c>
      <c r="H32" s="1144">
        <f t="shared" si="14"/>
        <v>0</v>
      </c>
      <c r="I32" s="1144"/>
      <c r="J32" s="1169">
        <f t="shared" si="13"/>
        <v>0</v>
      </c>
      <c r="K32" s="579">
        <f t="shared" si="11"/>
        <v>0</v>
      </c>
    </row>
    <row r="33" spans="1:11" s="678" customFormat="1" ht="21.95" customHeight="1" x14ac:dyDescent="0.15">
      <c r="A33" s="2771"/>
      <c r="B33" s="2617"/>
      <c r="C33" s="543" t="s">
        <v>1997</v>
      </c>
      <c r="D33" s="1494"/>
      <c r="E33" s="1471"/>
      <c r="F33" s="1717">
        <f t="shared" ref="F33:H33" si="15">IF(F29="MAN",F31,0)</f>
        <v>0</v>
      </c>
      <c r="G33" s="1717">
        <f t="shared" si="15"/>
        <v>0</v>
      </c>
      <c r="H33" s="1717">
        <f t="shared" si="15"/>
        <v>0</v>
      </c>
      <c r="I33" s="1717"/>
      <c r="J33" s="1720">
        <f t="shared" si="13"/>
        <v>0</v>
      </c>
      <c r="K33" s="579">
        <f t="shared" si="11"/>
        <v>0</v>
      </c>
    </row>
    <row r="34" spans="1:11" s="1193" customFormat="1" ht="21.95" customHeight="1" x14ac:dyDescent="0.15">
      <c r="A34" s="2771"/>
      <c r="B34" s="2617"/>
      <c r="C34" s="1197" t="s">
        <v>1993</v>
      </c>
      <c r="D34" s="1489"/>
      <c r="E34" s="1462"/>
      <c r="F34" s="1194"/>
      <c r="G34" s="1194"/>
      <c r="H34" s="1194"/>
      <c r="I34" s="1194"/>
      <c r="J34" s="1168">
        <f t="shared" si="13"/>
        <v>0</v>
      </c>
      <c r="K34" s="579">
        <f t="shared" si="11"/>
        <v>0</v>
      </c>
    </row>
    <row r="35" spans="1:11" s="678" customFormat="1" ht="21.95" customHeight="1" x14ac:dyDescent="0.15">
      <c r="A35" s="2771"/>
      <c r="B35" s="2617"/>
      <c r="C35" s="543" t="s">
        <v>57</v>
      </c>
      <c r="D35" s="1478"/>
      <c r="E35" s="1464"/>
      <c r="F35" s="1144">
        <f t="shared" ref="F35:H35" si="16">F34*F26/100</f>
        <v>0</v>
      </c>
      <c r="G35" s="1144">
        <f t="shared" si="16"/>
        <v>0</v>
      </c>
      <c r="H35" s="1144">
        <f t="shared" si="16"/>
        <v>0</v>
      </c>
      <c r="I35" s="1144"/>
      <c r="J35" s="1168">
        <f t="shared" si="13"/>
        <v>0</v>
      </c>
      <c r="K35" s="579">
        <f t="shared" si="11"/>
        <v>0</v>
      </c>
    </row>
    <row r="36" spans="1:11" s="678" customFormat="1" ht="21.95" customHeight="1" x14ac:dyDescent="0.15">
      <c r="A36" s="2771"/>
      <c r="B36" s="2617"/>
      <c r="C36" s="544" t="s">
        <v>1999</v>
      </c>
      <c r="D36" s="1478"/>
      <c r="E36" s="1464"/>
      <c r="F36" s="1144">
        <f t="shared" ref="F36:H36" si="17">IF(F29="MAN",0,F35)</f>
        <v>0</v>
      </c>
      <c r="G36" s="1144">
        <f t="shared" si="17"/>
        <v>0</v>
      </c>
      <c r="H36" s="1144">
        <f t="shared" si="17"/>
        <v>0</v>
      </c>
      <c r="I36" s="1144"/>
      <c r="J36" s="1169">
        <f t="shared" si="13"/>
        <v>0</v>
      </c>
      <c r="K36" s="579">
        <f t="shared" si="11"/>
        <v>0</v>
      </c>
    </row>
    <row r="37" spans="1:11" s="678" customFormat="1" ht="21.95" customHeight="1" x14ac:dyDescent="0.15">
      <c r="A37" s="2771"/>
      <c r="B37" s="2617"/>
      <c r="C37" s="544" t="s">
        <v>1998</v>
      </c>
      <c r="D37" s="1494"/>
      <c r="E37" s="1471"/>
      <c r="F37" s="1717">
        <f t="shared" ref="F37:H37" si="18">IF(F29="MAN",F35,0)</f>
        <v>0</v>
      </c>
      <c r="G37" s="1717">
        <f t="shared" si="18"/>
        <v>0</v>
      </c>
      <c r="H37" s="1717">
        <f t="shared" si="18"/>
        <v>0</v>
      </c>
      <c r="I37" s="1717"/>
      <c r="J37" s="1720">
        <f t="shared" si="13"/>
        <v>0</v>
      </c>
      <c r="K37" s="579">
        <f t="shared" si="11"/>
        <v>0</v>
      </c>
    </row>
    <row r="38" spans="1:11" s="678" customFormat="1" ht="21.95" customHeight="1" x14ac:dyDescent="0.15">
      <c r="A38" s="2771"/>
      <c r="B38" s="2617"/>
      <c r="C38" s="1196" t="s">
        <v>2004</v>
      </c>
      <c r="D38" s="1478"/>
      <c r="E38" s="1464"/>
      <c r="F38" s="1194"/>
      <c r="G38" s="1194"/>
      <c r="H38" s="1194"/>
      <c r="I38" s="1194"/>
      <c r="J38" s="1168">
        <f t="shared" si="13"/>
        <v>0</v>
      </c>
      <c r="K38" s="579">
        <f t="shared" si="11"/>
        <v>0</v>
      </c>
    </row>
    <row r="39" spans="1:11" s="678" customFormat="1" ht="21.95" customHeight="1" x14ac:dyDescent="0.15">
      <c r="A39" s="2771"/>
      <c r="B39" s="2617"/>
      <c r="C39" s="543" t="s">
        <v>1248</v>
      </c>
      <c r="D39" s="1478"/>
      <c r="E39" s="1464"/>
      <c r="F39" s="1139">
        <f t="shared" ref="F39:H39" si="19">F26*F38/100</f>
        <v>0</v>
      </c>
      <c r="G39" s="1139">
        <f t="shared" si="19"/>
        <v>0</v>
      </c>
      <c r="H39" s="1139">
        <f t="shared" si="19"/>
        <v>0</v>
      </c>
      <c r="I39" s="1139"/>
      <c r="J39" s="1168">
        <f t="shared" si="13"/>
        <v>0</v>
      </c>
      <c r="K39" s="579">
        <f t="shared" si="11"/>
        <v>0</v>
      </c>
    </row>
    <row r="40" spans="1:11" s="678" customFormat="1" ht="21.95" customHeight="1" x14ac:dyDescent="0.15">
      <c r="A40" s="2771"/>
      <c r="B40" s="2617"/>
      <c r="C40" s="543" t="s">
        <v>2003</v>
      </c>
      <c r="D40" s="1478"/>
      <c r="E40" s="1464"/>
      <c r="F40" s="1144">
        <f t="shared" ref="F40:H40" si="20">IF(F29="MAN",0,F39)</f>
        <v>0</v>
      </c>
      <c r="G40" s="1144">
        <f t="shared" si="20"/>
        <v>0</v>
      </c>
      <c r="H40" s="1144">
        <f t="shared" si="20"/>
        <v>0</v>
      </c>
      <c r="I40" s="1144"/>
      <c r="J40" s="1169">
        <f t="shared" si="13"/>
        <v>0</v>
      </c>
      <c r="K40" s="579">
        <f t="shared" si="11"/>
        <v>0</v>
      </c>
    </row>
    <row r="41" spans="1:11" s="678" customFormat="1" ht="21.95" customHeight="1" x14ac:dyDescent="0.15">
      <c r="A41" s="2771"/>
      <c r="B41" s="2617"/>
      <c r="C41" s="544" t="s">
        <v>2000</v>
      </c>
      <c r="D41" s="1494"/>
      <c r="E41" s="1471"/>
      <c r="F41" s="1717">
        <f t="shared" ref="F41:H41" si="21">IF(F29="MAN",F39,0)</f>
        <v>0</v>
      </c>
      <c r="G41" s="1717">
        <f t="shared" si="21"/>
        <v>0</v>
      </c>
      <c r="H41" s="1717">
        <f t="shared" si="21"/>
        <v>0</v>
      </c>
      <c r="I41" s="1717"/>
      <c r="J41" s="1720">
        <f t="shared" si="13"/>
        <v>0</v>
      </c>
      <c r="K41" s="579">
        <f t="shared" si="11"/>
        <v>0</v>
      </c>
    </row>
    <row r="42" spans="1:11" s="678" customFormat="1" ht="32.1" customHeight="1" x14ac:dyDescent="0.15">
      <c r="A42" s="2771"/>
      <c r="B42" s="2617"/>
      <c r="C42" s="1196" t="s">
        <v>2747</v>
      </c>
      <c r="D42" s="1478"/>
      <c r="E42" s="1464"/>
      <c r="F42" s="1194"/>
      <c r="G42" s="1194"/>
      <c r="H42" s="1194"/>
      <c r="I42" s="1194"/>
      <c r="J42" s="1168">
        <f t="shared" si="13"/>
        <v>0</v>
      </c>
      <c r="K42" s="579">
        <f t="shared" si="11"/>
        <v>0</v>
      </c>
    </row>
    <row r="43" spans="1:11" s="678" customFormat="1" ht="21.95" customHeight="1" thickBot="1" x14ac:dyDescent="0.2">
      <c r="A43" s="2771"/>
      <c r="B43" s="2618"/>
      <c r="C43" s="549" t="s">
        <v>1986</v>
      </c>
      <c r="D43" s="1463"/>
      <c r="E43" s="1464"/>
      <c r="F43" s="1135">
        <f t="shared" ref="F43:H43" si="22">F42*F26/100</f>
        <v>0</v>
      </c>
      <c r="G43" s="1135">
        <f t="shared" si="22"/>
        <v>0</v>
      </c>
      <c r="H43" s="1135">
        <f t="shared" si="22"/>
        <v>0</v>
      </c>
      <c r="I43" s="1135"/>
      <c r="J43" s="1136">
        <f t="shared" si="13"/>
        <v>0</v>
      </c>
      <c r="K43" s="579">
        <f t="shared" si="11"/>
        <v>0</v>
      </c>
    </row>
    <row r="44" spans="1:11" s="678" customFormat="1" ht="21.95" customHeight="1" x14ac:dyDescent="0.15">
      <c r="A44" s="2771"/>
      <c r="B44" s="2616" t="s">
        <v>1239</v>
      </c>
      <c r="C44" s="807" t="s">
        <v>1240</v>
      </c>
      <c r="D44" s="1466"/>
      <c r="E44" s="1572" t="s">
        <v>1966</v>
      </c>
      <c r="F44" s="1170"/>
      <c r="G44" s="1170"/>
      <c r="H44" s="1170"/>
      <c r="I44" s="1170"/>
      <c r="J44" s="1168">
        <f t="shared" si="13"/>
        <v>0</v>
      </c>
      <c r="K44" s="579">
        <f t="shared" si="11"/>
        <v>0</v>
      </c>
    </row>
    <row r="45" spans="1:11" s="678" customFormat="1" ht="21.95" customHeight="1" x14ac:dyDescent="0.15">
      <c r="A45" s="2771"/>
      <c r="B45" s="2617"/>
      <c r="C45" s="549" t="s">
        <v>164</v>
      </c>
      <c r="D45" s="1463"/>
      <c r="E45" s="1464"/>
      <c r="F45" s="1171"/>
      <c r="G45" s="1171"/>
      <c r="H45" s="1171"/>
      <c r="I45" s="1171"/>
      <c r="J45" s="1173"/>
      <c r="K45" s="579">
        <f t="shared" si="11"/>
        <v>0</v>
      </c>
    </row>
    <row r="46" spans="1:11" s="1193" customFormat="1" ht="21.95" customHeight="1" x14ac:dyDescent="0.15">
      <c r="A46" s="2771"/>
      <c r="B46" s="2617"/>
      <c r="C46" s="1190" t="s">
        <v>1977</v>
      </c>
      <c r="D46" s="1468"/>
      <c r="E46" s="1469"/>
      <c r="F46" s="1194"/>
      <c r="G46" s="1194"/>
      <c r="H46" s="1194"/>
      <c r="I46" s="1194"/>
      <c r="J46" s="1192"/>
      <c r="K46" s="579">
        <f t="shared" si="11"/>
        <v>0</v>
      </c>
    </row>
    <row r="47" spans="1:11" ht="21.95" customHeight="1" x14ac:dyDescent="0.15">
      <c r="A47" s="2771"/>
      <c r="B47" s="2617"/>
      <c r="C47" s="808" t="s">
        <v>1972</v>
      </c>
      <c r="D47" s="1463"/>
      <c r="E47" s="1464"/>
      <c r="F47" s="1144">
        <f t="shared" ref="F47:H47" si="23">F45*F44</f>
        <v>0</v>
      </c>
      <c r="G47" s="1144">
        <f t="shared" si="23"/>
        <v>0</v>
      </c>
      <c r="H47" s="1144">
        <f t="shared" si="23"/>
        <v>0</v>
      </c>
      <c r="I47" s="1144"/>
      <c r="J47" s="1168">
        <f>ROUND(SUM(F47:I47),2)</f>
        <v>0</v>
      </c>
      <c r="K47" s="579">
        <f t="shared" si="11"/>
        <v>0</v>
      </c>
    </row>
    <row r="48" spans="1:11" ht="21.95" customHeight="1" x14ac:dyDescent="0.15">
      <c r="A48" s="2771"/>
      <c r="B48" s="2617"/>
      <c r="C48" s="543" t="s">
        <v>1982</v>
      </c>
      <c r="D48" s="1463"/>
      <c r="E48" s="1465"/>
      <c r="F48" s="1144">
        <f t="shared" ref="F48:H48" si="24">F47*F46/100</f>
        <v>0</v>
      </c>
      <c r="G48" s="1144">
        <f t="shared" si="24"/>
        <v>0</v>
      </c>
      <c r="H48" s="1144">
        <f t="shared" si="24"/>
        <v>0</v>
      </c>
      <c r="I48" s="1144"/>
      <c r="J48" s="1169">
        <f>ROUND(SUM(F48:I48),2)</f>
        <v>0</v>
      </c>
      <c r="K48" s="579">
        <f t="shared" si="11"/>
        <v>0</v>
      </c>
    </row>
    <row r="49" spans="1:11" ht="21.95" customHeight="1" thickBot="1" x14ac:dyDescent="0.2">
      <c r="A49" s="2771"/>
      <c r="B49" s="2618"/>
      <c r="C49" s="546" t="s">
        <v>2018</v>
      </c>
      <c r="D49" s="1463"/>
      <c r="E49" s="1465"/>
      <c r="F49" s="1144"/>
      <c r="G49" s="1144"/>
      <c r="H49" s="1144"/>
      <c r="I49" s="1144"/>
      <c r="J49" s="1730"/>
      <c r="K49" s="579"/>
    </row>
    <row r="50" spans="1:11" ht="21.95" customHeight="1" x14ac:dyDescent="0.15">
      <c r="A50" s="2771"/>
      <c r="B50" s="2616" t="s">
        <v>1241</v>
      </c>
      <c r="C50" s="807" t="s">
        <v>1240</v>
      </c>
      <c r="D50" s="1466"/>
      <c r="E50" s="1572" t="s">
        <v>1966</v>
      </c>
      <c r="F50" s="1170"/>
      <c r="G50" s="1170"/>
      <c r="H50" s="1170"/>
      <c r="I50" s="1170"/>
      <c r="J50" s="1168">
        <f>ROUND(SUM(F50:I50),2)</f>
        <v>0</v>
      </c>
      <c r="K50" s="579">
        <f t="shared" ref="K50:K67" si="25">SUM(F50:J50)</f>
        <v>0</v>
      </c>
    </row>
    <row r="51" spans="1:11" ht="21.95" customHeight="1" x14ac:dyDescent="0.15">
      <c r="A51" s="2771"/>
      <c r="B51" s="2617"/>
      <c r="C51" s="549" t="s">
        <v>164</v>
      </c>
      <c r="D51" s="1463"/>
      <c r="E51" s="1464"/>
      <c r="F51" s="1171"/>
      <c r="G51" s="1171"/>
      <c r="H51" s="1171"/>
      <c r="I51" s="1171"/>
      <c r="J51" s="1168"/>
      <c r="K51" s="579">
        <f t="shared" si="25"/>
        <v>0</v>
      </c>
    </row>
    <row r="52" spans="1:11" s="1193" customFormat="1" ht="21.95" customHeight="1" x14ac:dyDescent="0.15">
      <c r="A52" s="2771"/>
      <c r="B52" s="2777"/>
      <c r="C52" s="1190" t="s">
        <v>1977</v>
      </c>
      <c r="D52" s="1468"/>
      <c r="E52" s="1462"/>
      <c r="F52" s="1194"/>
      <c r="G52" s="1194"/>
      <c r="H52" s="1194"/>
      <c r="I52" s="1194"/>
      <c r="J52" s="1195"/>
      <c r="K52" s="579">
        <f t="shared" si="25"/>
        <v>0</v>
      </c>
    </row>
    <row r="53" spans="1:11" ht="21.95" customHeight="1" x14ac:dyDescent="0.15">
      <c r="A53" s="2771"/>
      <c r="B53" s="2777"/>
      <c r="C53" s="808" t="s">
        <v>1973</v>
      </c>
      <c r="D53" s="1463"/>
      <c r="E53" s="1464"/>
      <c r="F53" s="1144">
        <f t="shared" ref="F53:H53" si="26">F51*F50</f>
        <v>0</v>
      </c>
      <c r="G53" s="1144">
        <f t="shared" si="26"/>
        <v>0</v>
      </c>
      <c r="H53" s="1144">
        <f t="shared" si="26"/>
        <v>0</v>
      </c>
      <c r="I53" s="1144"/>
      <c r="J53" s="1168">
        <f>ROUND(SUM(F53:I53),2)</f>
        <v>0</v>
      </c>
      <c r="K53" s="579">
        <f t="shared" si="25"/>
        <v>0</v>
      </c>
    </row>
    <row r="54" spans="1:11" ht="21.95" customHeight="1" x14ac:dyDescent="0.15">
      <c r="A54" s="2771"/>
      <c r="B54" s="2777"/>
      <c r="C54" s="543" t="s">
        <v>1983</v>
      </c>
      <c r="D54" s="1463"/>
      <c r="E54" s="1465"/>
      <c r="F54" s="1144">
        <f t="shared" ref="F54:H54" si="27">F53*F52/100</f>
        <v>0</v>
      </c>
      <c r="G54" s="1144">
        <f t="shared" si="27"/>
        <v>0</v>
      </c>
      <c r="H54" s="1144">
        <f t="shared" si="27"/>
        <v>0</v>
      </c>
      <c r="I54" s="1144"/>
      <c r="J54" s="1169">
        <f>ROUND(SUM(F54:I54),2)</f>
        <v>0</v>
      </c>
      <c r="K54" s="579">
        <f t="shared" si="25"/>
        <v>0</v>
      </c>
    </row>
    <row r="55" spans="1:11" ht="21.95" customHeight="1" thickBot="1" x14ac:dyDescent="0.2">
      <c r="A55" s="2771"/>
      <c r="B55" s="2778"/>
      <c r="C55" s="546" t="s">
        <v>2005</v>
      </c>
      <c r="D55" s="1474"/>
      <c r="E55" s="1472"/>
      <c r="F55" s="1729"/>
      <c r="G55" s="1729"/>
      <c r="H55" s="1729"/>
      <c r="I55" s="1729"/>
      <c r="J55" s="1730"/>
      <c r="K55" s="579">
        <f t="shared" si="25"/>
        <v>0</v>
      </c>
    </row>
    <row r="56" spans="1:11" ht="21.95" customHeight="1" x14ac:dyDescent="0.15">
      <c r="A56" s="2771"/>
      <c r="B56" s="2616" t="s">
        <v>1967</v>
      </c>
      <c r="C56" s="556" t="s">
        <v>1968</v>
      </c>
      <c r="D56" s="1463"/>
      <c r="E56" s="1464"/>
      <c r="F56" s="1144">
        <f t="shared" ref="F56:H56" si="28">F10+F14+F18+F26+F47+F53</f>
        <v>0</v>
      </c>
      <c r="G56" s="1144">
        <f t="shared" si="28"/>
        <v>0</v>
      </c>
      <c r="H56" s="1144">
        <f t="shared" si="28"/>
        <v>0</v>
      </c>
      <c r="I56" s="1144"/>
      <c r="J56" s="1169">
        <f>ROUND(SUM(F56:I56),2)</f>
        <v>0</v>
      </c>
      <c r="K56" s="579">
        <f t="shared" si="25"/>
        <v>0</v>
      </c>
    </row>
    <row r="57" spans="1:11" ht="21.95" customHeight="1" x14ac:dyDescent="0.15">
      <c r="A57" s="2771"/>
      <c r="B57" s="2617"/>
      <c r="C57" s="557" t="s">
        <v>1969</v>
      </c>
      <c r="D57" s="1470"/>
      <c r="E57" s="1471"/>
      <c r="F57" s="1066">
        <f t="shared" ref="F57:J57" si="29">IF(F56=0,0,F56/F6)</f>
        <v>0</v>
      </c>
      <c r="G57" s="1066">
        <f t="shared" ref="G57:H57" si="30">IF(G56=0,0,G56/G6)</f>
        <v>0</v>
      </c>
      <c r="H57" s="1066">
        <f t="shared" si="30"/>
        <v>0</v>
      </c>
      <c r="I57" s="1066"/>
      <c r="J57" s="1710">
        <f t="shared" si="29"/>
        <v>0</v>
      </c>
      <c r="K57" s="579">
        <f t="shared" si="25"/>
        <v>0</v>
      </c>
    </row>
    <row r="58" spans="1:11" ht="21.95" customHeight="1" x14ac:dyDescent="0.15">
      <c r="A58" s="2771"/>
      <c r="B58" s="2617"/>
      <c r="C58" s="557" t="s">
        <v>1970</v>
      </c>
      <c r="D58" s="1463"/>
      <c r="E58" s="1464"/>
      <c r="F58" s="1144">
        <f t="shared" ref="F58:H58" si="31">F24+F30+F44+F50</f>
        <v>0</v>
      </c>
      <c r="G58" s="1144">
        <f t="shared" si="31"/>
        <v>0</v>
      </c>
      <c r="H58" s="1144">
        <f t="shared" si="31"/>
        <v>0</v>
      </c>
      <c r="I58" s="1144"/>
      <c r="J58" s="1169">
        <f>ROUND(SUM(F58:I58),2)</f>
        <v>0</v>
      </c>
      <c r="K58" s="579">
        <f t="shared" si="25"/>
        <v>0</v>
      </c>
    </row>
    <row r="59" spans="1:11" ht="21.95" customHeight="1" thickBot="1" x14ac:dyDescent="0.2">
      <c r="A59" s="2771"/>
      <c r="B59" s="2618"/>
      <c r="C59" s="670" t="s">
        <v>1969</v>
      </c>
      <c r="D59" s="1479"/>
      <c r="E59" s="1472"/>
      <c r="F59" s="1709">
        <f t="shared" ref="F59:J59" si="32">IF(F58=0,0,F58/F2)</f>
        <v>0</v>
      </c>
      <c r="G59" s="1709">
        <f t="shared" ref="G59:H59" si="33">IF(G58=0,0,G58/G2)</f>
        <v>0</v>
      </c>
      <c r="H59" s="1709">
        <f t="shared" si="33"/>
        <v>0</v>
      </c>
      <c r="I59" s="1709"/>
      <c r="J59" s="1711">
        <f t="shared" si="32"/>
        <v>0</v>
      </c>
      <c r="K59" s="579">
        <f t="shared" si="25"/>
        <v>0</v>
      </c>
    </row>
    <row r="60" spans="1:11" s="678" customFormat="1" ht="21.95" customHeight="1" x14ac:dyDescent="0.15">
      <c r="A60" s="2771"/>
      <c r="B60" s="2616" t="s">
        <v>1249</v>
      </c>
      <c r="C60" s="542" t="s">
        <v>1245</v>
      </c>
      <c r="D60" s="1473"/>
      <c r="E60" s="1467"/>
      <c r="F60" s="1144">
        <f t="shared" ref="F60:H60" si="34">IF(F29="MEC",F26,0)</f>
        <v>0</v>
      </c>
      <c r="G60" s="1144">
        <f t="shared" si="34"/>
        <v>0</v>
      </c>
      <c r="H60" s="1144">
        <f t="shared" si="34"/>
        <v>0</v>
      </c>
      <c r="I60" s="1144"/>
      <c r="J60" s="1168">
        <f t="shared" ref="J60:J66" si="35">ROUND(SUM(F60:I60),2)</f>
        <v>0</v>
      </c>
      <c r="K60" s="579">
        <f t="shared" si="25"/>
        <v>0</v>
      </c>
    </row>
    <row r="61" spans="1:11" ht="21.95" customHeight="1" x14ac:dyDescent="0.15">
      <c r="A61" s="2771"/>
      <c r="B61" s="2617"/>
      <c r="C61" s="1190" t="s">
        <v>1984</v>
      </c>
      <c r="E61" s="1464"/>
      <c r="F61" s="1144">
        <f t="shared" ref="F61:H61" si="36">IF(F60&gt;0,F38,0)</f>
        <v>0</v>
      </c>
      <c r="G61" s="1144">
        <f t="shared" si="36"/>
        <v>0</v>
      </c>
      <c r="H61" s="1144">
        <f t="shared" si="36"/>
        <v>0</v>
      </c>
      <c r="I61" s="1144"/>
      <c r="J61" s="1168">
        <f t="shared" si="35"/>
        <v>0</v>
      </c>
      <c r="K61" s="579">
        <f t="shared" si="25"/>
        <v>0</v>
      </c>
    </row>
    <row r="62" spans="1:11" ht="21.95" customHeight="1" x14ac:dyDescent="0.15">
      <c r="A62" s="2771"/>
      <c r="B62" s="2617"/>
      <c r="C62" s="1190" t="s">
        <v>1981</v>
      </c>
      <c r="E62" s="1464"/>
      <c r="F62" s="1144">
        <f t="shared" ref="F62:H62" si="37">F61*F60/100</f>
        <v>0</v>
      </c>
      <c r="G62" s="1144">
        <f t="shared" si="37"/>
        <v>0</v>
      </c>
      <c r="H62" s="1144">
        <f t="shared" si="37"/>
        <v>0</v>
      </c>
      <c r="I62" s="1144"/>
      <c r="J62" s="1168">
        <f t="shared" si="35"/>
        <v>0</v>
      </c>
      <c r="K62" s="579">
        <f t="shared" si="25"/>
        <v>0</v>
      </c>
    </row>
    <row r="63" spans="1:11" ht="21.95" customHeight="1" x14ac:dyDescent="0.15">
      <c r="A63" s="2771"/>
      <c r="B63" s="2617"/>
      <c r="C63" s="808" t="s">
        <v>1973</v>
      </c>
      <c r="E63" s="1464"/>
      <c r="F63" s="1144">
        <f t="shared" ref="F63:H63" si="38">IF(F55="N",0,F53)</f>
        <v>0</v>
      </c>
      <c r="G63" s="1144">
        <f t="shared" si="38"/>
        <v>0</v>
      </c>
      <c r="H63" s="1144">
        <f t="shared" si="38"/>
        <v>0</v>
      </c>
      <c r="I63" s="1144"/>
      <c r="J63" s="1168">
        <f t="shared" si="35"/>
        <v>0</v>
      </c>
      <c r="K63" s="579">
        <f t="shared" si="25"/>
        <v>0</v>
      </c>
    </row>
    <row r="64" spans="1:11" ht="21.95" customHeight="1" x14ac:dyDescent="0.15">
      <c r="A64" s="2771"/>
      <c r="B64" s="2617"/>
      <c r="C64" s="1190" t="s">
        <v>1985</v>
      </c>
      <c r="E64" s="1464"/>
      <c r="F64" s="1194">
        <f t="shared" ref="F64:H64" si="39">IF(F63&gt;0,F52,0)</f>
        <v>0</v>
      </c>
      <c r="G64" s="1194">
        <f t="shared" si="39"/>
        <v>0</v>
      </c>
      <c r="H64" s="1194">
        <f t="shared" si="39"/>
        <v>0</v>
      </c>
      <c r="I64" s="1194"/>
      <c r="J64" s="1168">
        <f t="shared" si="35"/>
        <v>0</v>
      </c>
      <c r="K64" s="579">
        <f t="shared" si="25"/>
        <v>0</v>
      </c>
    </row>
    <row r="65" spans="1:11" ht="21.95" customHeight="1" thickBot="1" x14ac:dyDescent="0.2">
      <c r="A65" s="2771"/>
      <c r="B65" s="2617"/>
      <c r="C65" s="1727" t="s">
        <v>1983</v>
      </c>
      <c r="D65" s="1377"/>
      <c r="E65" s="1472"/>
      <c r="F65" s="1174">
        <f t="shared" ref="F65:H65" si="40">F64*F63/100</f>
        <v>0</v>
      </c>
      <c r="G65" s="1174">
        <f t="shared" si="40"/>
        <v>0</v>
      </c>
      <c r="H65" s="1174">
        <f t="shared" si="40"/>
        <v>0</v>
      </c>
      <c r="I65" s="1174"/>
      <c r="J65" s="1728">
        <f t="shared" si="35"/>
        <v>0</v>
      </c>
      <c r="K65" s="579">
        <f t="shared" si="25"/>
        <v>0</v>
      </c>
    </row>
    <row r="66" spans="1:11" s="678" customFormat="1" ht="21.95" customHeight="1" x14ac:dyDescent="0.15">
      <c r="A66" s="2771"/>
      <c r="B66" s="2616" t="s">
        <v>1971</v>
      </c>
      <c r="C66" s="669" t="s">
        <v>1968</v>
      </c>
      <c r="D66" s="1463"/>
      <c r="E66" s="1464"/>
      <c r="F66" s="1144">
        <f t="shared" ref="F66:H66" si="41">F65</f>
        <v>0</v>
      </c>
      <c r="G66" s="1144">
        <f t="shared" si="41"/>
        <v>0</v>
      </c>
      <c r="H66" s="1144">
        <f t="shared" si="41"/>
        <v>0</v>
      </c>
      <c r="I66" s="1144"/>
      <c r="J66" s="1169">
        <f t="shared" si="35"/>
        <v>0</v>
      </c>
      <c r="K66" s="579">
        <f t="shared" si="25"/>
        <v>0</v>
      </c>
    </row>
    <row r="67" spans="1:11" s="678" customFormat="1" ht="21.95" customHeight="1" thickBot="1" x14ac:dyDescent="0.2">
      <c r="A67" s="2771"/>
      <c r="B67" s="2618"/>
      <c r="C67" s="670" t="s">
        <v>1969</v>
      </c>
      <c r="D67" s="1479"/>
      <c r="E67" s="1472"/>
      <c r="F67" s="1709">
        <f t="shared" ref="F67:J67" si="42">IF(F66=0,0,F66/F6)</f>
        <v>0</v>
      </c>
      <c r="G67" s="1709">
        <f t="shared" ref="G67:H67" si="43">IF(G66=0,0,G66/G6)</f>
        <v>0</v>
      </c>
      <c r="H67" s="1709">
        <f t="shared" si="43"/>
        <v>0</v>
      </c>
      <c r="I67" s="1709"/>
      <c r="J67" s="1711">
        <f t="shared" si="42"/>
        <v>0</v>
      </c>
      <c r="K67" s="579">
        <f t="shared" si="25"/>
        <v>0</v>
      </c>
    </row>
    <row r="68" spans="1:11" s="678" customFormat="1" ht="32.1" customHeight="1" x14ac:dyDescent="0.15">
      <c r="A68" s="2771"/>
      <c r="B68" s="2766" t="s">
        <v>1881</v>
      </c>
      <c r="C68" s="542" t="s">
        <v>1987</v>
      </c>
      <c r="D68" s="1735"/>
      <c r="E68" s="1724"/>
      <c r="F68" s="1725"/>
      <c r="G68" s="1725"/>
      <c r="H68" s="1725"/>
      <c r="I68" s="1725"/>
      <c r="J68" s="1726">
        <f t="shared" ref="J68:J78" si="44">ROUND(SUM(F68:I68),2)</f>
        <v>0</v>
      </c>
      <c r="K68" s="1017">
        <f>COUNTA(F68:I68)-COUNTIF(F68:I68,0)</f>
        <v>0</v>
      </c>
    </row>
    <row r="69" spans="1:11" s="678" customFormat="1" ht="21.95" customHeight="1" x14ac:dyDescent="0.15">
      <c r="A69" s="2771"/>
      <c r="B69" s="2767"/>
      <c r="C69" s="563" t="s">
        <v>2006</v>
      </c>
      <c r="D69" s="1463"/>
      <c r="E69" s="1464"/>
      <c r="F69" s="1144">
        <f t="shared" ref="F69:H69" si="45">IF(F68="SB",F21+F39+F65,0)*50%*1.25</f>
        <v>0</v>
      </c>
      <c r="G69" s="1144">
        <f t="shared" si="45"/>
        <v>0</v>
      </c>
      <c r="H69" s="1144">
        <f t="shared" si="45"/>
        <v>0</v>
      </c>
      <c r="I69" s="1144"/>
      <c r="J69" s="1169">
        <f t="shared" si="44"/>
        <v>0</v>
      </c>
      <c r="K69" s="579">
        <f t="shared" ref="K69:K81" si="46">SUM(F69:J69)</f>
        <v>0</v>
      </c>
    </row>
    <row r="70" spans="1:11" s="678" customFormat="1" ht="21.95" customHeight="1" x14ac:dyDescent="0.15">
      <c r="A70" s="2771"/>
      <c r="B70" s="2767"/>
      <c r="C70" s="543" t="s">
        <v>1989</v>
      </c>
      <c r="D70" s="1463"/>
      <c r="E70" s="1464"/>
      <c r="F70" s="1144">
        <f t="shared" ref="F70:H70" si="47">IF(F68="SB",F21+F39+F65,0)*0.688</f>
        <v>0</v>
      </c>
      <c r="G70" s="1144">
        <f t="shared" si="47"/>
        <v>0</v>
      </c>
      <c r="H70" s="1144">
        <f t="shared" si="47"/>
        <v>0</v>
      </c>
      <c r="I70" s="1144"/>
      <c r="J70" s="1169">
        <f t="shared" si="44"/>
        <v>0</v>
      </c>
      <c r="K70" s="579">
        <f t="shared" si="46"/>
        <v>0</v>
      </c>
    </row>
    <row r="71" spans="1:11" s="678" customFormat="1" ht="21.95" customHeight="1" x14ac:dyDescent="0.15">
      <c r="A71" s="2771"/>
      <c r="B71" s="2767"/>
      <c r="C71" s="808" t="s">
        <v>1250</v>
      </c>
      <c r="D71" s="1463"/>
      <c r="E71" s="1464"/>
      <c r="F71" s="1144">
        <f>IF(F68="C",F21+F39+F65,0)*1.25</f>
        <v>0</v>
      </c>
      <c r="G71" s="1144">
        <f t="shared" ref="G71:H71" si="48">IF(G68="C",G21+G39+G65,0)*1.25</f>
        <v>0</v>
      </c>
      <c r="H71" s="1144">
        <f t="shared" si="48"/>
        <v>0</v>
      </c>
      <c r="I71" s="1144"/>
      <c r="J71" s="1169">
        <f t="shared" si="44"/>
        <v>0</v>
      </c>
      <c r="K71" s="579">
        <f t="shared" si="46"/>
        <v>0</v>
      </c>
    </row>
    <row r="72" spans="1:11" s="678" customFormat="1" ht="21.95" customHeight="1" x14ac:dyDescent="0.15">
      <c r="A72" s="2771"/>
      <c r="B72" s="2767"/>
      <c r="C72" s="563" t="s">
        <v>1776</v>
      </c>
      <c r="D72" s="1463"/>
      <c r="E72" s="1464"/>
      <c r="F72" s="1144">
        <f t="shared" ref="F72:H72" si="49">IF(F68="BC",F21+F39+F65,0)*1.375</f>
        <v>0</v>
      </c>
      <c r="G72" s="1144">
        <f t="shared" si="49"/>
        <v>0</v>
      </c>
      <c r="H72" s="1144">
        <f t="shared" si="49"/>
        <v>0</v>
      </c>
      <c r="I72" s="1144"/>
      <c r="J72" s="1169">
        <f t="shared" si="44"/>
        <v>0</v>
      </c>
      <c r="K72" s="579">
        <f t="shared" si="46"/>
        <v>0</v>
      </c>
    </row>
    <row r="73" spans="1:11" s="678" customFormat="1" ht="21.95" customHeight="1" x14ac:dyDescent="0.15">
      <c r="A73" s="2771"/>
      <c r="B73" s="2767"/>
      <c r="C73" s="563" t="s">
        <v>1880</v>
      </c>
      <c r="D73" s="1470"/>
      <c r="E73" s="1471"/>
      <c r="F73" s="1717">
        <f t="shared" ref="F73:H73" si="50">IF(F68="BG",F21+F39+F65,0)*1.4667</f>
        <v>0</v>
      </c>
      <c r="G73" s="1717">
        <f t="shared" si="50"/>
        <v>0</v>
      </c>
      <c r="H73" s="1717">
        <f t="shared" si="50"/>
        <v>0</v>
      </c>
      <c r="I73" s="1717"/>
      <c r="J73" s="1720">
        <f t="shared" si="44"/>
        <v>0</v>
      </c>
      <c r="K73" s="579">
        <f t="shared" si="46"/>
        <v>0</v>
      </c>
    </row>
    <row r="74" spans="1:11" s="678" customFormat="1" ht="21.95" customHeight="1" x14ac:dyDescent="0.15">
      <c r="A74" s="2771"/>
      <c r="B74" s="2767"/>
      <c r="C74" s="563" t="s">
        <v>2007</v>
      </c>
      <c r="D74" s="1463"/>
      <c r="E74" s="1464"/>
      <c r="F74" s="1144">
        <f t="shared" ref="F74:H74" si="51">IF(F68="SB",F62+F65,0)</f>
        <v>0</v>
      </c>
      <c r="G74" s="1144">
        <f t="shared" si="51"/>
        <v>0</v>
      </c>
      <c r="H74" s="1144">
        <f t="shared" si="51"/>
        <v>0</v>
      </c>
      <c r="I74" s="1144"/>
      <c r="J74" s="1169">
        <f t="shared" si="44"/>
        <v>0</v>
      </c>
      <c r="K74" s="579">
        <f t="shared" si="46"/>
        <v>0</v>
      </c>
    </row>
    <row r="75" spans="1:11" s="678" customFormat="1" ht="21.95" customHeight="1" x14ac:dyDescent="0.15">
      <c r="A75" s="2771"/>
      <c r="B75" s="2767"/>
      <c r="C75" s="808" t="s">
        <v>2002</v>
      </c>
      <c r="D75" s="1463"/>
      <c r="E75" s="1464"/>
      <c r="F75" s="1144">
        <f t="shared" ref="F75:H75" si="52">IF(F68="C",F62+F65,0)</f>
        <v>0</v>
      </c>
      <c r="G75" s="1144">
        <f t="shared" si="52"/>
        <v>0</v>
      </c>
      <c r="H75" s="1144">
        <f t="shared" si="52"/>
        <v>0</v>
      </c>
      <c r="I75" s="1144"/>
      <c r="J75" s="1169">
        <f t="shared" si="44"/>
        <v>0</v>
      </c>
      <c r="K75" s="579">
        <f t="shared" si="46"/>
        <v>0</v>
      </c>
    </row>
    <row r="76" spans="1:11" s="678" customFormat="1" ht="21.95" customHeight="1" x14ac:dyDescent="0.15">
      <c r="A76" s="2771"/>
      <c r="B76" s="2767"/>
      <c r="C76" s="563" t="s">
        <v>2001</v>
      </c>
      <c r="D76" s="1463"/>
      <c r="E76" s="1464"/>
      <c r="F76" s="1144">
        <f t="shared" ref="F76:H76" si="53">IF(F68="BC",F62+F65,0)</f>
        <v>0</v>
      </c>
      <c r="G76" s="1144">
        <f t="shared" si="53"/>
        <v>0</v>
      </c>
      <c r="H76" s="1144">
        <f t="shared" si="53"/>
        <v>0</v>
      </c>
      <c r="I76" s="1144"/>
      <c r="J76" s="1169">
        <f t="shared" si="44"/>
        <v>0</v>
      </c>
      <c r="K76" s="579">
        <f t="shared" si="46"/>
        <v>0</v>
      </c>
    </row>
    <row r="77" spans="1:11" s="678" customFormat="1" ht="21.95" customHeight="1" thickBot="1" x14ac:dyDescent="0.2">
      <c r="A77" s="2771"/>
      <c r="B77" s="2767"/>
      <c r="C77" s="670" t="s">
        <v>2010</v>
      </c>
      <c r="D77" s="1479"/>
      <c r="E77" s="1472"/>
      <c r="F77" s="1732">
        <f t="shared" ref="F77:H77" si="54">IF(F68="BG",F62+F65,0)</f>
        <v>0</v>
      </c>
      <c r="G77" s="1732">
        <f t="shared" si="54"/>
        <v>0</v>
      </c>
      <c r="H77" s="1732">
        <f t="shared" si="54"/>
        <v>0</v>
      </c>
      <c r="I77" s="1732"/>
      <c r="J77" s="1175">
        <f t="shared" si="44"/>
        <v>0</v>
      </c>
      <c r="K77" s="579">
        <f t="shared" si="46"/>
        <v>0</v>
      </c>
    </row>
    <row r="78" spans="1:11" s="678" customFormat="1" ht="21.95" customHeight="1" x14ac:dyDescent="0.15">
      <c r="A78" s="2771"/>
      <c r="B78" s="2616" t="s">
        <v>1267</v>
      </c>
      <c r="C78" s="807" t="s">
        <v>3</v>
      </c>
      <c r="D78" s="1466"/>
      <c r="E78" s="1572" t="s">
        <v>1966</v>
      </c>
      <c r="F78" s="1170"/>
      <c r="G78" s="1170"/>
      <c r="H78" s="1170"/>
      <c r="I78" s="1170"/>
      <c r="J78" s="1168">
        <f t="shared" si="44"/>
        <v>0</v>
      </c>
      <c r="K78" s="579">
        <f t="shared" si="46"/>
        <v>0</v>
      </c>
    </row>
    <row r="79" spans="1:11" s="678" customFormat="1" ht="21.95" customHeight="1" x14ac:dyDescent="0.15">
      <c r="A79" s="2771"/>
      <c r="B79" s="2617"/>
      <c r="C79" s="549" t="s">
        <v>164</v>
      </c>
      <c r="D79" s="1463"/>
      <c r="E79" s="1464"/>
      <c r="F79" s="1176"/>
      <c r="G79" s="1176"/>
      <c r="H79" s="1176"/>
      <c r="I79" s="1176"/>
      <c r="J79" s="1168"/>
      <c r="K79" s="579">
        <f t="shared" si="46"/>
        <v>0</v>
      </c>
    </row>
    <row r="80" spans="1:11" s="678" customFormat="1" ht="21.95" customHeight="1" x14ac:dyDescent="0.15">
      <c r="A80" s="2771"/>
      <c r="B80" s="2617"/>
      <c r="C80" s="549" t="s">
        <v>29</v>
      </c>
      <c r="D80" s="1463"/>
      <c r="E80" s="1464"/>
      <c r="F80" s="1144">
        <f t="shared" ref="F80:H80" si="55">F79*F78</f>
        <v>0</v>
      </c>
      <c r="G80" s="1144">
        <f t="shared" si="55"/>
        <v>0</v>
      </c>
      <c r="H80" s="1144">
        <f t="shared" si="55"/>
        <v>0</v>
      </c>
      <c r="I80" s="1144"/>
      <c r="J80" s="1168">
        <f>ROUND(SUM(F80:I80),2)</f>
        <v>0</v>
      </c>
      <c r="K80" s="579">
        <f t="shared" si="46"/>
        <v>0</v>
      </c>
    </row>
    <row r="81" spans="1:11" s="1193" customFormat="1" ht="21.95" customHeight="1" x14ac:dyDescent="0.15">
      <c r="A81" s="2771"/>
      <c r="B81" s="2617"/>
      <c r="C81" s="1190" t="s">
        <v>1246</v>
      </c>
      <c r="D81" s="1461"/>
      <c r="E81" s="1462"/>
      <c r="F81" s="1191"/>
      <c r="G81" s="1191"/>
      <c r="H81" s="1191"/>
      <c r="I81" s="1191"/>
      <c r="J81" s="1195"/>
      <c r="K81" s="579">
        <f t="shared" si="46"/>
        <v>0</v>
      </c>
    </row>
    <row r="82" spans="1:11" s="678" customFormat="1" ht="21.95" customHeight="1" x14ac:dyDescent="0.15">
      <c r="A82" s="2771"/>
      <c r="B82" s="2617"/>
      <c r="C82" s="549" t="s">
        <v>1268</v>
      </c>
      <c r="D82" s="1463"/>
      <c r="E82" s="1464"/>
      <c r="F82" s="690"/>
      <c r="G82" s="690"/>
      <c r="H82" s="690"/>
      <c r="I82" s="690"/>
      <c r="J82" s="681"/>
      <c r="K82" s="1017">
        <f>K81</f>
        <v>0</v>
      </c>
    </row>
    <row r="83" spans="1:11" s="678" customFormat="1" ht="21.95" customHeight="1" x14ac:dyDescent="0.15">
      <c r="A83" s="2771"/>
      <c r="B83" s="2617"/>
      <c r="C83" s="543" t="s">
        <v>11</v>
      </c>
      <c r="D83" s="982"/>
      <c r="E83" s="1464"/>
      <c r="F83" s="1144">
        <f t="shared" ref="F83:H83" si="56">F81*F80/100</f>
        <v>0</v>
      </c>
      <c r="G83" s="1144">
        <f t="shared" si="56"/>
        <v>0</v>
      </c>
      <c r="H83" s="1144">
        <f t="shared" si="56"/>
        <v>0</v>
      </c>
      <c r="I83" s="1144"/>
      <c r="J83" s="1168"/>
      <c r="K83" s="579">
        <f t="shared" ref="K83:K105" si="57">SUM(F83:J83)</f>
        <v>0</v>
      </c>
    </row>
    <row r="84" spans="1:11" s="678" customFormat="1" ht="21.95" customHeight="1" x14ac:dyDescent="0.15">
      <c r="A84" s="2771"/>
      <c r="B84" s="2617"/>
      <c r="C84" s="543" t="s">
        <v>1269</v>
      </c>
      <c r="D84" s="982"/>
      <c r="E84" s="1464"/>
      <c r="F84" s="1144">
        <f t="shared" ref="F84:H84" si="58">IF(F82="simples",F83,0)</f>
        <v>0</v>
      </c>
      <c r="G84" s="1144">
        <f t="shared" si="58"/>
        <v>0</v>
      </c>
      <c r="H84" s="1144">
        <f t="shared" si="58"/>
        <v>0</v>
      </c>
      <c r="I84" s="1144"/>
      <c r="J84" s="1169">
        <f t="shared" ref="J84:J89" si="59">ROUND(SUM(F84:I84),2)</f>
        <v>0</v>
      </c>
      <c r="K84" s="579">
        <f t="shared" si="57"/>
        <v>0</v>
      </c>
    </row>
    <row r="85" spans="1:11" s="678" customFormat="1" ht="21.95" customHeight="1" x14ac:dyDescent="0.15">
      <c r="A85" s="2771"/>
      <c r="B85" s="2617"/>
      <c r="C85" s="543" t="s">
        <v>1270</v>
      </c>
      <c r="D85" s="982"/>
      <c r="E85" s="1464"/>
      <c r="F85" s="1144">
        <f t="shared" ref="F85:H85" si="60">IF(F82="cimento",F83,0)</f>
        <v>0</v>
      </c>
      <c r="G85" s="1144">
        <f t="shared" si="60"/>
        <v>0</v>
      </c>
      <c r="H85" s="1144">
        <f t="shared" si="60"/>
        <v>0</v>
      </c>
      <c r="I85" s="1144"/>
      <c r="J85" s="1169">
        <f t="shared" si="59"/>
        <v>0</v>
      </c>
      <c r="K85" s="579">
        <f t="shared" si="57"/>
        <v>0</v>
      </c>
    </row>
    <row r="86" spans="1:11" s="678" customFormat="1" ht="21.95" customHeight="1" x14ac:dyDescent="0.15">
      <c r="A86" s="2771"/>
      <c r="B86" s="2617"/>
      <c r="C86" s="543" t="s">
        <v>1271</v>
      </c>
      <c r="D86" s="982"/>
      <c r="E86" s="1464"/>
      <c r="F86" s="1144">
        <f t="shared" ref="F86:H86" si="61">IF(F82="brita",F83,0)</f>
        <v>0</v>
      </c>
      <c r="G86" s="1144">
        <f t="shared" si="61"/>
        <v>0</v>
      </c>
      <c r="H86" s="1144">
        <f t="shared" si="61"/>
        <v>0</v>
      </c>
      <c r="I86" s="1144"/>
      <c r="J86" s="1169">
        <f t="shared" si="59"/>
        <v>0</v>
      </c>
      <c r="K86" s="579">
        <f t="shared" si="57"/>
        <v>0</v>
      </c>
    </row>
    <row r="87" spans="1:11" s="678" customFormat="1" ht="21.95" customHeight="1" x14ac:dyDescent="0.15">
      <c r="A87" s="2771"/>
      <c r="B87" s="2617"/>
      <c r="C87" s="543" t="s">
        <v>1272</v>
      </c>
      <c r="D87" s="982"/>
      <c r="E87" s="1464"/>
      <c r="F87" s="1144">
        <f t="shared" ref="F87:H87" si="62">F85*88</f>
        <v>0</v>
      </c>
      <c r="G87" s="1144">
        <f t="shared" si="62"/>
        <v>0</v>
      </c>
      <c r="H87" s="1144">
        <f t="shared" si="62"/>
        <v>0</v>
      </c>
      <c r="I87" s="1144"/>
      <c r="J87" s="1169">
        <f t="shared" si="59"/>
        <v>0</v>
      </c>
      <c r="K87" s="579">
        <f t="shared" si="57"/>
        <v>0</v>
      </c>
    </row>
    <row r="88" spans="1:11" s="678" customFormat="1" ht="21.95" customHeight="1" thickBot="1" x14ac:dyDescent="0.2">
      <c r="A88" s="2771"/>
      <c r="B88" s="2618"/>
      <c r="C88" s="546" t="s">
        <v>1273</v>
      </c>
      <c r="D88" s="983"/>
      <c r="E88" s="1472"/>
      <c r="F88" s="1174">
        <f t="shared" ref="F88:H88" si="63">F86*0.2</f>
        <v>0</v>
      </c>
      <c r="G88" s="1174">
        <f t="shared" si="63"/>
        <v>0</v>
      </c>
      <c r="H88" s="1174">
        <f t="shared" si="63"/>
        <v>0</v>
      </c>
      <c r="I88" s="1174"/>
      <c r="J88" s="1175">
        <f t="shared" si="59"/>
        <v>0</v>
      </c>
      <c r="K88" s="579">
        <f t="shared" si="57"/>
        <v>0</v>
      </c>
    </row>
    <row r="89" spans="1:11" s="678" customFormat="1" ht="21.95" customHeight="1" x14ac:dyDescent="0.15">
      <c r="A89" s="2771"/>
      <c r="B89" s="2766" t="s">
        <v>1251</v>
      </c>
      <c r="C89" s="807" t="s">
        <v>3</v>
      </c>
      <c r="D89" s="1466"/>
      <c r="E89" s="1572" t="s">
        <v>1966</v>
      </c>
      <c r="F89" s="1170"/>
      <c r="G89" s="1170"/>
      <c r="H89" s="1170"/>
      <c r="I89" s="1170"/>
      <c r="J89" s="1177">
        <f t="shared" si="59"/>
        <v>0</v>
      </c>
      <c r="K89" s="579">
        <f t="shared" si="57"/>
        <v>0</v>
      </c>
    </row>
    <row r="90" spans="1:11" s="678" customFormat="1" ht="21.95" customHeight="1" x14ac:dyDescent="0.15">
      <c r="A90" s="2771"/>
      <c r="B90" s="2775"/>
      <c r="C90" s="549" t="s">
        <v>164</v>
      </c>
      <c r="D90" s="1463"/>
      <c r="E90" s="1464"/>
      <c r="F90" s="1176"/>
      <c r="G90" s="1176"/>
      <c r="H90" s="1176"/>
      <c r="I90" s="1176"/>
      <c r="J90" s="1173"/>
      <c r="K90" s="579">
        <f t="shared" si="57"/>
        <v>0</v>
      </c>
    </row>
    <row r="91" spans="1:11" s="678" customFormat="1" ht="21.95" customHeight="1" x14ac:dyDescent="0.15">
      <c r="A91" s="2771"/>
      <c r="B91" s="2775"/>
      <c r="C91" s="549" t="s">
        <v>29</v>
      </c>
      <c r="D91" s="1463"/>
      <c r="E91" s="1464"/>
      <c r="F91" s="1144">
        <f t="shared" ref="F91:H91" si="64">F90*F89</f>
        <v>0</v>
      </c>
      <c r="G91" s="1144">
        <f t="shared" si="64"/>
        <v>0</v>
      </c>
      <c r="H91" s="1144">
        <f t="shared" si="64"/>
        <v>0</v>
      </c>
      <c r="I91" s="1144"/>
      <c r="J91" s="1169">
        <f>ROUND(SUM(F91:I91),2)</f>
        <v>0</v>
      </c>
      <c r="K91" s="579">
        <f t="shared" si="57"/>
        <v>0</v>
      </c>
    </row>
    <row r="92" spans="1:11" s="1193" customFormat="1" ht="21.95" customHeight="1" x14ac:dyDescent="0.15">
      <c r="A92" s="2771"/>
      <c r="B92" s="2775"/>
      <c r="C92" s="1198" t="s">
        <v>1246</v>
      </c>
      <c r="D92" s="1461"/>
      <c r="E92" s="1462"/>
      <c r="F92" s="1191"/>
      <c r="G92" s="1191"/>
      <c r="H92" s="1191"/>
      <c r="I92" s="1191"/>
      <c r="J92" s="1192"/>
      <c r="K92" s="579">
        <f t="shared" si="57"/>
        <v>0</v>
      </c>
    </row>
    <row r="93" spans="1:11" s="678" customFormat="1" ht="21.95" customHeight="1" thickBot="1" x14ac:dyDescent="0.2">
      <c r="A93" s="2771"/>
      <c r="B93" s="2775"/>
      <c r="C93" s="979" t="s">
        <v>300</v>
      </c>
      <c r="D93" s="1463"/>
      <c r="E93" s="1464"/>
      <c r="F93" s="1144">
        <f t="shared" ref="F93:H93" si="65">F91*F92/100</f>
        <v>0</v>
      </c>
      <c r="G93" s="1144">
        <f t="shared" si="65"/>
        <v>0</v>
      </c>
      <c r="H93" s="1144">
        <f t="shared" si="65"/>
        <v>0</v>
      </c>
      <c r="I93" s="1144"/>
      <c r="J93" s="1149">
        <f t="shared" ref="J93:J104" si="66">ROUND(SUM(F93:I93),2)</f>
        <v>0</v>
      </c>
      <c r="K93" s="579">
        <f t="shared" si="57"/>
        <v>0</v>
      </c>
    </row>
    <row r="94" spans="1:11" s="678" customFormat="1" ht="21.95" customHeight="1" x14ac:dyDescent="0.15">
      <c r="A94" s="2771"/>
      <c r="B94" s="2766" t="s">
        <v>301</v>
      </c>
      <c r="C94" s="542" t="s">
        <v>1244</v>
      </c>
      <c r="D94" s="1466"/>
      <c r="E94" s="1475"/>
      <c r="F94" s="1733">
        <f t="shared" ref="F94:H94" si="67">F18</f>
        <v>0</v>
      </c>
      <c r="G94" s="1733">
        <f t="shared" si="67"/>
        <v>0</v>
      </c>
      <c r="H94" s="1733">
        <f t="shared" si="67"/>
        <v>0</v>
      </c>
      <c r="I94" s="1733"/>
      <c r="J94" s="1177">
        <f t="shared" si="66"/>
        <v>0</v>
      </c>
      <c r="K94" s="579">
        <f t="shared" si="57"/>
        <v>0</v>
      </c>
    </row>
    <row r="95" spans="1:11" s="678" customFormat="1" ht="21.95" customHeight="1" x14ac:dyDescent="0.15">
      <c r="A95" s="2771"/>
      <c r="B95" s="2767"/>
      <c r="C95" s="543" t="s">
        <v>1245</v>
      </c>
      <c r="D95" s="1463"/>
      <c r="E95" s="1465"/>
      <c r="F95" s="1133">
        <f t="shared" ref="F95:H95" si="68">F26</f>
        <v>0</v>
      </c>
      <c r="G95" s="1133">
        <f t="shared" si="68"/>
        <v>0</v>
      </c>
      <c r="H95" s="1133">
        <f t="shared" si="68"/>
        <v>0</v>
      </c>
      <c r="I95" s="1133"/>
      <c r="J95" s="1149">
        <f t="shared" si="66"/>
        <v>0</v>
      </c>
      <c r="K95" s="579">
        <f t="shared" si="57"/>
        <v>0</v>
      </c>
    </row>
    <row r="96" spans="1:11" s="678" customFormat="1" ht="21.95" customHeight="1" x14ac:dyDescent="0.15">
      <c r="A96" s="2771"/>
      <c r="B96" s="2767"/>
      <c r="C96" s="543" t="s">
        <v>1973</v>
      </c>
      <c r="D96" s="1463"/>
      <c r="E96" s="1465"/>
      <c r="F96" s="1133">
        <f t="shared" ref="F96:H96" si="69">F63</f>
        <v>0</v>
      </c>
      <c r="G96" s="1133">
        <f t="shared" si="69"/>
        <v>0</v>
      </c>
      <c r="H96" s="1133">
        <f t="shared" si="69"/>
        <v>0</v>
      </c>
      <c r="I96" s="1133"/>
      <c r="J96" s="1149">
        <f t="shared" si="66"/>
        <v>0</v>
      </c>
      <c r="K96" s="579">
        <f t="shared" si="57"/>
        <v>0</v>
      </c>
    </row>
    <row r="97" spans="1:11" s="678" customFormat="1" ht="21.95" customHeight="1" x14ac:dyDescent="0.15">
      <c r="A97" s="2771"/>
      <c r="B97" s="2767"/>
      <c r="C97" s="543" t="s">
        <v>1247</v>
      </c>
      <c r="D97" s="1463"/>
      <c r="E97" s="1465"/>
      <c r="F97" s="1144">
        <f t="shared" ref="F97:H97" si="70">SUM(F94:F96)</f>
        <v>0</v>
      </c>
      <c r="G97" s="1144">
        <f t="shared" si="70"/>
        <v>0</v>
      </c>
      <c r="H97" s="1144">
        <f t="shared" si="70"/>
        <v>0</v>
      </c>
      <c r="I97" s="1144"/>
      <c r="J97" s="1169">
        <f t="shared" si="66"/>
        <v>0</v>
      </c>
      <c r="K97" s="579">
        <f t="shared" si="57"/>
        <v>0</v>
      </c>
    </row>
    <row r="98" spans="1:11" s="678" customFormat="1" ht="21.95" customHeight="1" thickBot="1" x14ac:dyDescent="0.2">
      <c r="A98" s="2771"/>
      <c r="B98" s="2768"/>
      <c r="C98" s="566" t="s">
        <v>1402</v>
      </c>
      <c r="D98" s="1474"/>
      <c r="E98" s="1476"/>
      <c r="F98" s="1174">
        <f t="shared" ref="F98:H98" si="71">F97*0.0012</f>
        <v>0</v>
      </c>
      <c r="G98" s="1174">
        <f t="shared" si="71"/>
        <v>0</v>
      </c>
      <c r="H98" s="1174">
        <f t="shared" si="71"/>
        <v>0</v>
      </c>
      <c r="I98" s="1174"/>
      <c r="J98" s="1141">
        <f t="shared" si="66"/>
        <v>0</v>
      </c>
      <c r="K98" s="579">
        <f t="shared" si="57"/>
        <v>0</v>
      </c>
    </row>
    <row r="99" spans="1:11" s="678" customFormat="1" ht="21.95" customHeight="1" x14ac:dyDescent="0.15">
      <c r="A99" s="2771"/>
      <c r="B99" s="2766" t="s">
        <v>517</v>
      </c>
      <c r="C99" s="543" t="s">
        <v>1243</v>
      </c>
      <c r="D99" s="1463"/>
      <c r="E99" s="1465"/>
      <c r="F99" s="1733">
        <f t="shared" ref="F99:H99" si="72">F14</f>
        <v>0</v>
      </c>
      <c r="G99" s="1733">
        <f t="shared" si="72"/>
        <v>0</v>
      </c>
      <c r="H99" s="1733">
        <f t="shared" si="72"/>
        <v>0</v>
      </c>
      <c r="I99" s="1733"/>
      <c r="J99" s="1177">
        <f t="shared" si="66"/>
        <v>0</v>
      </c>
      <c r="K99" s="579">
        <f t="shared" si="57"/>
        <v>0</v>
      </c>
    </row>
    <row r="100" spans="1:11" s="678" customFormat="1" ht="21.95" customHeight="1" x14ac:dyDescent="0.15">
      <c r="A100" s="2771"/>
      <c r="B100" s="2767"/>
      <c r="C100" s="543" t="s">
        <v>2008</v>
      </c>
      <c r="D100" s="1463"/>
      <c r="E100" s="1465"/>
      <c r="F100" s="1133">
        <f t="shared" ref="F100:H100" si="73">F104</f>
        <v>0</v>
      </c>
      <c r="G100" s="1133">
        <f t="shared" si="73"/>
        <v>0</v>
      </c>
      <c r="H100" s="1133">
        <f t="shared" si="73"/>
        <v>0</v>
      </c>
      <c r="I100" s="1133"/>
      <c r="J100" s="1149">
        <f t="shared" si="66"/>
        <v>0</v>
      </c>
      <c r="K100" s="579">
        <f t="shared" si="57"/>
        <v>0</v>
      </c>
    </row>
    <row r="101" spans="1:11" s="678" customFormat="1" ht="21.95" customHeight="1" x14ac:dyDescent="0.15">
      <c r="A101" s="2771"/>
      <c r="B101" s="2767"/>
      <c r="C101" s="543" t="s">
        <v>1247</v>
      </c>
      <c r="D101" s="1463"/>
      <c r="E101" s="1465"/>
      <c r="F101" s="1178">
        <f t="shared" ref="F101:H101" si="74">SUM(F99:F100)</f>
        <v>0</v>
      </c>
      <c r="G101" s="1178">
        <f t="shared" si="74"/>
        <v>0</v>
      </c>
      <c r="H101" s="1178">
        <f t="shared" si="74"/>
        <v>0</v>
      </c>
      <c r="I101" s="1178"/>
      <c r="J101" s="1169">
        <f t="shared" si="66"/>
        <v>0</v>
      </c>
      <c r="K101" s="579">
        <f t="shared" si="57"/>
        <v>0</v>
      </c>
    </row>
    <row r="102" spans="1:11" s="678" customFormat="1" ht="21.95" customHeight="1" thickBot="1" x14ac:dyDescent="0.2">
      <c r="A102" s="2771"/>
      <c r="B102" s="2768"/>
      <c r="C102" s="546" t="s">
        <v>1403</v>
      </c>
      <c r="D102" s="1474"/>
      <c r="E102" s="1476"/>
      <c r="F102" s="1174">
        <f t="shared" ref="F102:H102" si="75">F101*0.0005</f>
        <v>0</v>
      </c>
      <c r="G102" s="1174">
        <f t="shared" si="75"/>
        <v>0</v>
      </c>
      <c r="H102" s="1174">
        <f t="shared" si="75"/>
        <v>0</v>
      </c>
      <c r="I102" s="1174"/>
      <c r="J102" s="1141">
        <f t="shared" si="66"/>
        <v>0</v>
      </c>
      <c r="K102" s="579">
        <f t="shared" si="57"/>
        <v>0</v>
      </c>
    </row>
    <row r="103" spans="1:11" s="678" customFormat="1" ht="21.95" customHeight="1" x14ac:dyDescent="0.15">
      <c r="A103" s="2771"/>
      <c r="B103" s="2766" t="s">
        <v>1974</v>
      </c>
      <c r="C103" s="807" t="s">
        <v>3</v>
      </c>
      <c r="D103" s="1466"/>
      <c r="E103" s="1572" t="s">
        <v>1966</v>
      </c>
      <c r="F103" s="1170"/>
      <c r="G103" s="1170"/>
      <c r="H103" s="1170"/>
      <c r="I103" s="1170"/>
      <c r="J103" s="1177">
        <f t="shared" si="66"/>
        <v>0</v>
      </c>
      <c r="K103" s="579">
        <f t="shared" si="57"/>
        <v>0</v>
      </c>
    </row>
    <row r="104" spans="1:11" s="678" customFormat="1" ht="21.95" customHeight="1" x14ac:dyDescent="0.15">
      <c r="A104" s="2771"/>
      <c r="B104" s="2767"/>
      <c r="C104" s="549" t="s">
        <v>2008</v>
      </c>
      <c r="D104" s="1463"/>
      <c r="E104" s="1464"/>
      <c r="F104" s="1176"/>
      <c r="G104" s="1176"/>
      <c r="H104" s="1176"/>
      <c r="I104" s="1176"/>
      <c r="J104" s="493">
        <f t="shared" si="66"/>
        <v>0</v>
      </c>
      <c r="K104" s="579">
        <f t="shared" si="57"/>
        <v>0</v>
      </c>
    </row>
    <row r="105" spans="1:11" s="1193" customFormat="1" ht="21.95" customHeight="1" x14ac:dyDescent="0.15">
      <c r="A105" s="2771"/>
      <c r="B105" s="2767"/>
      <c r="C105" s="1190" t="s">
        <v>1246</v>
      </c>
      <c r="D105" s="1461"/>
      <c r="E105" s="1462"/>
      <c r="F105" s="1191"/>
      <c r="G105" s="1191"/>
      <c r="H105" s="1191"/>
      <c r="I105" s="1191"/>
      <c r="J105" s="1199"/>
      <c r="K105" s="579">
        <f t="shared" si="57"/>
        <v>0</v>
      </c>
    </row>
    <row r="106" spans="1:11" s="678" customFormat="1" ht="21.95" customHeight="1" x14ac:dyDescent="0.15">
      <c r="A106" s="2771"/>
      <c r="B106" s="2767"/>
      <c r="C106" s="549" t="s">
        <v>1252</v>
      </c>
      <c r="D106" s="1463"/>
      <c r="E106" s="1464"/>
      <c r="F106" s="690"/>
      <c r="G106" s="690"/>
      <c r="H106" s="690"/>
      <c r="I106" s="690"/>
      <c r="J106" s="493"/>
      <c r="K106" s="1017">
        <f>K105</f>
        <v>0</v>
      </c>
    </row>
    <row r="107" spans="1:11" s="678" customFormat="1" ht="21.95" customHeight="1" thickBot="1" x14ac:dyDescent="0.2">
      <c r="A107" s="2771"/>
      <c r="B107" s="2768"/>
      <c r="C107" s="810" t="s">
        <v>300</v>
      </c>
      <c r="D107" s="1474"/>
      <c r="E107" s="1472"/>
      <c r="F107" s="1174">
        <f t="shared" ref="F107:H107" si="76">F104*F105/100</f>
        <v>0</v>
      </c>
      <c r="G107" s="1174">
        <f t="shared" si="76"/>
        <v>0</v>
      </c>
      <c r="H107" s="1174">
        <f t="shared" si="76"/>
        <v>0</v>
      </c>
      <c r="I107" s="1174"/>
      <c r="J107" s="1136">
        <f t="shared" ref="J107:J143" si="77">ROUND(SUM(F107:I107),2)</f>
        <v>0</v>
      </c>
      <c r="K107" s="579">
        <f t="shared" ref="K107:K143" si="78">SUM(F107:J107)</f>
        <v>0</v>
      </c>
    </row>
    <row r="108" spans="1:11" s="678" customFormat="1" ht="21.95" customHeight="1" x14ac:dyDescent="0.15">
      <c r="A108" s="2771"/>
      <c r="B108" s="2766" t="s">
        <v>1374</v>
      </c>
      <c r="C108" s="567" t="s">
        <v>686</v>
      </c>
      <c r="D108" s="1466"/>
      <c r="E108" s="1477"/>
      <c r="F108" s="1179">
        <f>SUM(F109:F111)*2.5548</f>
        <v>0</v>
      </c>
      <c r="G108" s="1179">
        <f t="shared" ref="G108:H108" si="79">SUM(G109:G111)*2.5548</f>
        <v>0</v>
      </c>
      <c r="H108" s="1179">
        <f t="shared" si="79"/>
        <v>0</v>
      </c>
      <c r="I108" s="1179"/>
      <c r="J108" s="1169">
        <f t="shared" si="77"/>
        <v>0</v>
      </c>
      <c r="K108" s="579">
        <f t="shared" si="78"/>
        <v>0</v>
      </c>
    </row>
    <row r="109" spans="1:11" s="678" customFormat="1" ht="21.95" customHeight="1" x14ac:dyDescent="0.15">
      <c r="A109" s="2771"/>
      <c r="B109" s="2775"/>
      <c r="C109" s="563" t="s">
        <v>519</v>
      </c>
      <c r="D109" s="1463"/>
      <c r="E109" s="1464"/>
      <c r="F109" s="1139">
        <f>IF(F7="CBUQ",F15+F23+IF(F29="MAN",F43,0),0)</f>
        <v>0</v>
      </c>
      <c r="G109" s="1139">
        <f t="shared" ref="G109:H109" si="80">IF(G7="CBUQ",G15+G23+IF(G29="MAN",G43,0),0)</f>
        <v>0</v>
      </c>
      <c r="H109" s="1139">
        <f t="shared" si="80"/>
        <v>0</v>
      </c>
      <c r="I109" s="1139"/>
      <c r="J109" s="1169">
        <f t="shared" si="77"/>
        <v>0</v>
      </c>
      <c r="K109" s="579">
        <f t="shared" si="78"/>
        <v>0</v>
      </c>
    </row>
    <row r="110" spans="1:11" s="678" customFormat="1" ht="21.95" customHeight="1" x14ac:dyDescent="0.15">
      <c r="A110" s="2771"/>
      <c r="B110" s="2775"/>
      <c r="C110" s="808" t="s">
        <v>1253</v>
      </c>
      <c r="D110" s="1463"/>
      <c r="E110" s="1464"/>
      <c r="F110" s="1144">
        <f>IF(AND(F106="MOTO",F7="CBUQ"),F107,0)</f>
        <v>0</v>
      </c>
      <c r="G110" s="1144">
        <f t="shared" ref="G110:H110" si="81">IF(AND(G106="MOTO",G7="CBUQ"),G107,0)</f>
        <v>0</v>
      </c>
      <c r="H110" s="1144">
        <f t="shared" si="81"/>
        <v>0</v>
      </c>
      <c r="I110" s="1144"/>
      <c r="J110" s="1169">
        <f t="shared" si="77"/>
        <v>0</v>
      </c>
      <c r="K110" s="579">
        <f t="shared" si="78"/>
        <v>0</v>
      </c>
    </row>
    <row r="111" spans="1:11" s="678" customFormat="1" ht="21.95" customHeight="1" x14ac:dyDescent="0.15">
      <c r="A111" s="2771"/>
      <c r="B111" s="2775"/>
      <c r="C111" s="808" t="s">
        <v>1254</v>
      </c>
      <c r="D111" s="1463"/>
      <c r="E111" s="1464"/>
      <c r="F111" s="1144">
        <f t="shared" ref="F111:H111" si="82">IF(AND(F106="VIBRO",F7="CBUQ"),F107,0)+IF(F7="CBUQ",IF(F29="MEC",F43,0),0)</f>
        <v>0</v>
      </c>
      <c r="G111" s="1144">
        <f t="shared" si="82"/>
        <v>0</v>
      </c>
      <c r="H111" s="1144">
        <f t="shared" si="82"/>
        <v>0</v>
      </c>
      <c r="I111" s="1144"/>
      <c r="J111" s="1169">
        <f t="shared" si="77"/>
        <v>0</v>
      </c>
      <c r="K111" s="579">
        <f t="shared" si="78"/>
        <v>0</v>
      </c>
    </row>
    <row r="112" spans="1:11" s="678" customFormat="1" ht="21.95" customHeight="1" x14ac:dyDescent="0.15">
      <c r="A112" s="2771"/>
      <c r="B112" s="2775"/>
      <c r="C112" s="563" t="s">
        <v>698</v>
      </c>
      <c r="D112" s="1478"/>
      <c r="E112" s="1464"/>
      <c r="F112" s="1144">
        <f t="shared" ref="F112:H112" si="83">SUM(F109:F111)*0.161</f>
        <v>0</v>
      </c>
      <c r="G112" s="1144">
        <f t="shared" si="83"/>
        <v>0</v>
      </c>
      <c r="H112" s="1144">
        <f t="shared" si="83"/>
        <v>0</v>
      </c>
      <c r="I112" s="1144"/>
      <c r="J112" s="1169">
        <f t="shared" si="77"/>
        <v>0</v>
      </c>
      <c r="K112" s="579">
        <f t="shared" si="78"/>
        <v>0</v>
      </c>
    </row>
    <row r="113" spans="1:11" s="678" customFormat="1" ht="21.95" customHeight="1" x14ac:dyDescent="0.15">
      <c r="A113" s="2771"/>
      <c r="B113" s="2775"/>
      <c r="C113" s="808" t="s">
        <v>697</v>
      </c>
      <c r="D113" s="1478"/>
      <c r="E113" s="1464"/>
      <c r="F113" s="1144">
        <f t="shared" ref="F113:H113" si="84">SUM(F109:F111)*0.447*2.5548</f>
        <v>0</v>
      </c>
      <c r="G113" s="1144">
        <f t="shared" si="84"/>
        <v>0</v>
      </c>
      <c r="H113" s="1144">
        <f t="shared" si="84"/>
        <v>0</v>
      </c>
      <c r="I113" s="1144"/>
      <c r="J113" s="1169">
        <f t="shared" si="77"/>
        <v>0</v>
      </c>
      <c r="K113" s="579">
        <f t="shared" si="78"/>
        <v>0</v>
      </c>
    </row>
    <row r="114" spans="1:11" s="678" customFormat="1" ht="21.95" customHeight="1" thickBot="1" x14ac:dyDescent="0.2">
      <c r="A114" s="2771"/>
      <c r="B114" s="2776"/>
      <c r="C114" s="809" t="s">
        <v>1768</v>
      </c>
      <c r="D114" s="1479"/>
      <c r="E114" s="1472"/>
      <c r="F114" s="1174">
        <f t="shared" ref="F114:H114" si="85">SUM(F109:F111)*0.06*2.5548</f>
        <v>0</v>
      </c>
      <c r="G114" s="1174">
        <f t="shared" si="85"/>
        <v>0</v>
      </c>
      <c r="H114" s="1174">
        <f t="shared" si="85"/>
        <v>0</v>
      </c>
      <c r="I114" s="1174"/>
      <c r="J114" s="1175">
        <f t="shared" si="77"/>
        <v>0</v>
      </c>
      <c r="K114" s="579">
        <f t="shared" si="78"/>
        <v>0</v>
      </c>
    </row>
    <row r="115" spans="1:11" s="678" customFormat="1" ht="21.95" customHeight="1" x14ac:dyDescent="0.15">
      <c r="A115" s="2771"/>
      <c r="B115" s="2766" t="s">
        <v>1375</v>
      </c>
      <c r="C115" s="567" t="s">
        <v>1373</v>
      </c>
      <c r="D115" s="1466"/>
      <c r="E115" s="1477"/>
      <c r="F115" s="1179">
        <f t="shared" ref="F115:H115" si="86">SUM(F116:F118)*2.346</f>
        <v>0</v>
      </c>
      <c r="G115" s="1179">
        <f t="shared" si="86"/>
        <v>0</v>
      </c>
      <c r="H115" s="1179">
        <f t="shared" si="86"/>
        <v>0</v>
      </c>
      <c r="I115" s="1179"/>
      <c r="J115" s="1169">
        <f t="shared" si="77"/>
        <v>0</v>
      </c>
      <c r="K115" s="579">
        <f t="shared" si="78"/>
        <v>0</v>
      </c>
    </row>
    <row r="116" spans="1:11" s="678" customFormat="1" ht="21.95" customHeight="1" x14ac:dyDescent="0.15">
      <c r="A116" s="2771"/>
      <c r="B116" s="2767"/>
      <c r="C116" s="563" t="s">
        <v>519</v>
      </c>
      <c r="D116" s="1463"/>
      <c r="E116" s="1464"/>
      <c r="F116" s="1139">
        <f t="shared" ref="F116:H116" si="87">IF(F7="PMF",F15+F23+IF(F29="MAN",F43,0),0)</f>
        <v>0</v>
      </c>
      <c r="G116" s="1139">
        <f t="shared" si="87"/>
        <v>0</v>
      </c>
      <c r="H116" s="1139">
        <f t="shared" si="87"/>
        <v>0</v>
      </c>
      <c r="I116" s="1139"/>
      <c r="J116" s="1169">
        <f t="shared" si="77"/>
        <v>0</v>
      </c>
      <c r="K116" s="579">
        <f t="shared" si="78"/>
        <v>0</v>
      </c>
    </row>
    <row r="117" spans="1:11" s="678" customFormat="1" ht="21.95" customHeight="1" x14ac:dyDescent="0.15">
      <c r="A117" s="2771"/>
      <c r="B117" s="2767"/>
      <c r="C117" s="808" t="s">
        <v>1253</v>
      </c>
      <c r="D117" s="1463"/>
      <c r="E117" s="1464"/>
      <c r="F117" s="1144">
        <f t="shared" ref="F117:H117" si="88">IF(AND(F106="MOTO",F7="PMF"),F107,0)</f>
        <v>0</v>
      </c>
      <c r="G117" s="1144">
        <f t="shared" si="88"/>
        <v>0</v>
      </c>
      <c r="H117" s="1144">
        <f t="shared" si="88"/>
        <v>0</v>
      </c>
      <c r="I117" s="1144"/>
      <c r="J117" s="1169">
        <f t="shared" si="77"/>
        <v>0</v>
      </c>
      <c r="K117" s="579">
        <f t="shared" si="78"/>
        <v>0</v>
      </c>
    </row>
    <row r="118" spans="1:11" s="678" customFormat="1" ht="21.95" customHeight="1" x14ac:dyDescent="0.15">
      <c r="A118" s="2771"/>
      <c r="B118" s="2767"/>
      <c r="C118" s="808" t="s">
        <v>1254</v>
      </c>
      <c r="D118" s="1463"/>
      <c r="E118" s="1464"/>
      <c r="F118" s="1144">
        <f t="shared" ref="F118:H118" si="89">IF(AND(F106="VIBRO",F7="PMF"),F107,0)+IF(F7="PMF",IF(F29="MEC",F43,0),0)</f>
        <v>0</v>
      </c>
      <c r="G118" s="1144">
        <f t="shared" si="89"/>
        <v>0</v>
      </c>
      <c r="H118" s="1144">
        <f t="shared" si="89"/>
        <v>0</v>
      </c>
      <c r="I118" s="1144"/>
      <c r="J118" s="1169">
        <f t="shared" si="77"/>
        <v>0</v>
      </c>
      <c r="K118" s="579">
        <f t="shared" si="78"/>
        <v>0</v>
      </c>
    </row>
    <row r="119" spans="1:11" s="678" customFormat="1" ht="21.95" customHeight="1" x14ac:dyDescent="0.15">
      <c r="A119" s="2771"/>
      <c r="B119" s="2775"/>
      <c r="C119" s="563" t="s">
        <v>696</v>
      </c>
      <c r="D119" s="1463"/>
      <c r="E119" s="1464"/>
      <c r="F119" s="1144">
        <f t="shared" ref="F119:H119" si="90">SUM(F116:F118)*0.411</f>
        <v>0</v>
      </c>
      <c r="G119" s="1144">
        <f t="shared" si="90"/>
        <v>0</v>
      </c>
      <c r="H119" s="1144">
        <f t="shared" si="90"/>
        <v>0</v>
      </c>
      <c r="I119" s="1144"/>
      <c r="J119" s="1169">
        <f t="shared" si="77"/>
        <v>0</v>
      </c>
      <c r="K119" s="579">
        <f t="shared" si="78"/>
        <v>0</v>
      </c>
    </row>
    <row r="120" spans="1:11" s="678" customFormat="1" ht="21.95" customHeight="1" x14ac:dyDescent="0.15">
      <c r="A120" s="2771"/>
      <c r="B120" s="2775"/>
      <c r="C120" s="563" t="s">
        <v>687</v>
      </c>
      <c r="D120" s="1463"/>
      <c r="E120" s="1464"/>
      <c r="F120" s="1144">
        <f t="shared" ref="F120:H120" si="91">SUM(F116:F118)*0.968</f>
        <v>0</v>
      </c>
      <c r="G120" s="1144">
        <f t="shared" si="91"/>
        <v>0</v>
      </c>
      <c r="H120" s="1144">
        <f t="shared" si="91"/>
        <v>0</v>
      </c>
      <c r="I120" s="1144"/>
      <c r="J120" s="1169">
        <f t="shared" si="77"/>
        <v>0</v>
      </c>
      <c r="K120" s="579">
        <f t="shared" si="78"/>
        <v>0</v>
      </c>
    </row>
    <row r="121" spans="1:11" s="678" customFormat="1" ht="21.95" customHeight="1" thickBot="1" x14ac:dyDescent="0.2">
      <c r="A121" s="2771"/>
      <c r="B121" s="2776"/>
      <c r="C121" s="561" t="s">
        <v>952</v>
      </c>
      <c r="D121" s="1474"/>
      <c r="E121" s="1472"/>
      <c r="F121" s="1174">
        <f t="shared" ref="F121:H121" si="92">SUM(F116:F118)*0.132</f>
        <v>0</v>
      </c>
      <c r="G121" s="1174">
        <f t="shared" si="92"/>
        <v>0</v>
      </c>
      <c r="H121" s="1174">
        <f t="shared" si="92"/>
        <v>0</v>
      </c>
      <c r="I121" s="1174"/>
      <c r="J121" s="1175">
        <f t="shared" si="77"/>
        <v>0</v>
      </c>
      <c r="K121" s="579">
        <f t="shared" si="78"/>
        <v>0</v>
      </c>
    </row>
    <row r="122" spans="1:11" s="678" customFormat="1" ht="21.95" customHeight="1" x14ac:dyDescent="0.15">
      <c r="A122" s="2771"/>
      <c r="B122" s="2766" t="s">
        <v>1355</v>
      </c>
      <c r="C122" s="807" t="s">
        <v>7</v>
      </c>
      <c r="D122" s="1466"/>
      <c r="E122" s="1467"/>
      <c r="F122" s="1180">
        <f t="shared" ref="F122:H122" si="93">(F48+F54)*1.25</f>
        <v>0</v>
      </c>
      <c r="G122" s="1180">
        <f t="shared" si="93"/>
        <v>0</v>
      </c>
      <c r="H122" s="1180">
        <f t="shared" si="93"/>
        <v>0</v>
      </c>
      <c r="I122" s="1180"/>
      <c r="J122" s="1169">
        <f t="shared" si="77"/>
        <v>0</v>
      </c>
      <c r="K122" s="579">
        <f t="shared" si="78"/>
        <v>0</v>
      </c>
    </row>
    <row r="123" spans="1:11" s="678" customFormat="1" ht="21.95" customHeight="1" x14ac:dyDescent="0.15">
      <c r="A123" s="2771"/>
      <c r="B123" s="2767"/>
      <c r="C123" s="549" t="s">
        <v>1207</v>
      </c>
      <c r="D123" s="1463"/>
      <c r="E123" s="1464"/>
      <c r="F123" s="1144">
        <f t="shared" ref="F123:H123" si="94">F87/1000</f>
        <v>0</v>
      </c>
      <c r="G123" s="1144">
        <f t="shared" si="94"/>
        <v>0</v>
      </c>
      <c r="H123" s="1144">
        <f t="shared" si="94"/>
        <v>0</v>
      </c>
      <c r="I123" s="1144"/>
      <c r="J123" s="1169">
        <f t="shared" si="77"/>
        <v>0</v>
      </c>
      <c r="K123" s="579">
        <f t="shared" si="78"/>
        <v>0</v>
      </c>
    </row>
    <row r="124" spans="1:11" s="678" customFormat="1" ht="21.95" customHeight="1" thickBot="1" x14ac:dyDescent="0.2">
      <c r="A124" s="2771"/>
      <c r="B124" s="2768"/>
      <c r="C124" s="809" t="s">
        <v>1372</v>
      </c>
      <c r="D124" s="1474"/>
      <c r="E124" s="1472"/>
      <c r="F124" s="1174">
        <f t="shared" ref="F124:H124" si="95">F73</f>
        <v>0</v>
      </c>
      <c r="G124" s="1174">
        <f t="shared" si="95"/>
        <v>0</v>
      </c>
      <c r="H124" s="1174">
        <f t="shared" si="95"/>
        <v>0</v>
      </c>
      <c r="I124" s="1174"/>
      <c r="J124" s="1175">
        <f t="shared" si="77"/>
        <v>0</v>
      </c>
      <c r="K124" s="579">
        <f t="shared" si="78"/>
        <v>0</v>
      </c>
    </row>
    <row r="125" spans="1:11" s="678" customFormat="1" ht="21.95" customHeight="1" x14ac:dyDescent="0.15">
      <c r="A125" s="2771"/>
      <c r="B125" s="2616" t="s">
        <v>1379</v>
      </c>
      <c r="C125" s="807" t="s">
        <v>7</v>
      </c>
      <c r="D125" s="1463"/>
      <c r="E125" s="1464"/>
      <c r="F125" s="1144">
        <f t="shared" ref="F125:H125" si="96">(F15+F19+F28+F54)*1.25</f>
        <v>0</v>
      </c>
      <c r="G125" s="1144">
        <f t="shared" si="96"/>
        <v>0</v>
      </c>
      <c r="H125" s="1144">
        <f t="shared" si="96"/>
        <v>0</v>
      </c>
      <c r="I125" s="1144"/>
      <c r="J125" s="1181">
        <f t="shared" si="77"/>
        <v>0</v>
      </c>
      <c r="K125" s="579">
        <f t="shared" si="78"/>
        <v>0</v>
      </c>
    </row>
    <row r="126" spans="1:11" s="678" customFormat="1" ht="21.95" customHeight="1" x14ac:dyDescent="0.15">
      <c r="A126" s="2771"/>
      <c r="B126" s="2617"/>
      <c r="C126" s="664" t="s">
        <v>1925</v>
      </c>
      <c r="D126" s="1463"/>
      <c r="E126" s="1464"/>
      <c r="F126" s="1144">
        <f t="shared" ref="F126:H126" si="97">(F11+F48+F93)*2.4</f>
        <v>0</v>
      </c>
      <c r="G126" s="1144">
        <f t="shared" si="97"/>
        <v>0</v>
      </c>
      <c r="H126" s="1144">
        <f t="shared" si="97"/>
        <v>0</v>
      </c>
      <c r="I126" s="1144"/>
      <c r="J126" s="1169">
        <f t="shared" si="77"/>
        <v>0</v>
      </c>
      <c r="K126" s="579">
        <f t="shared" si="78"/>
        <v>0</v>
      </c>
    </row>
    <row r="127" spans="1:11" s="678" customFormat="1" ht="21.95" customHeight="1" x14ac:dyDescent="0.15">
      <c r="A127" s="2771"/>
      <c r="B127" s="2617"/>
      <c r="C127" s="559" t="s">
        <v>2012</v>
      </c>
      <c r="D127" s="1463"/>
      <c r="E127" s="1464"/>
      <c r="F127" s="1144">
        <f t="shared" ref="F127:H127" si="98">F35*1.25+F69</f>
        <v>0</v>
      </c>
      <c r="G127" s="1144">
        <f t="shared" si="98"/>
        <v>0</v>
      </c>
      <c r="H127" s="1144">
        <f t="shared" si="98"/>
        <v>0</v>
      </c>
      <c r="I127" s="1144"/>
      <c r="J127" s="1169">
        <f t="shared" si="77"/>
        <v>0</v>
      </c>
      <c r="K127" s="579">
        <f t="shared" si="78"/>
        <v>0</v>
      </c>
    </row>
    <row r="128" spans="1:11" s="678" customFormat="1" ht="21.95" customHeight="1" x14ac:dyDescent="0.15">
      <c r="A128" s="2771"/>
      <c r="B128" s="2617"/>
      <c r="C128" s="559" t="s">
        <v>1207</v>
      </c>
      <c r="D128" s="1463"/>
      <c r="E128" s="1464"/>
      <c r="F128" s="1144">
        <f t="shared" ref="F128:H128" si="99">F87/1000</f>
        <v>0</v>
      </c>
      <c r="G128" s="1144">
        <f t="shared" si="99"/>
        <v>0</v>
      </c>
      <c r="H128" s="1144">
        <f t="shared" si="99"/>
        <v>0</v>
      </c>
      <c r="I128" s="1144"/>
      <c r="J128" s="1169">
        <f t="shared" si="77"/>
        <v>0</v>
      </c>
      <c r="K128" s="579">
        <f t="shared" si="78"/>
        <v>0</v>
      </c>
    </row>
    <row r="129" spans="1:11" s="678" customFormat="1" ht="21.95" customHeight="1" x14ac:dyDescent="0.15">
      <c r="A129" s="2771"/>
      <c r="B129" s="2617"/>
      <c r="C129" s="559" t="s">
        <v>1394</v>
      </c>
      <c r="D129" s="1463"/>
      <c r="E129" s="1464"/>
      <c r="F129" s="1144">
        <f t="shared" ref="F129:H129" si="100">F112</f>
        <v>0</v>
      </c>
      <c r="G129" s="1144">
        <f t="shared" si="100"/>
        <v>0</v>
      </c>
      <c r="H129" s="1144">
        <f t="shared" si="100"/>
        <v>0</v>
      </c>
      <c r="I129" s="1144"/>
      <c r="J129" s="1169">
        <f t="shared" si="77"/>
        <v>0</v>
      </c>
      <c r="K129" s="579">
        <f t="shared" si="78"/>
        <v>0</v>
      </c>
    </row>
    <row r="130" spans="1:11" s="678" customFormat="1" ht="21.95" customHeight="1" x14ac:dyDescent="0.15">
      <c r="A130" s="2771"/>
      <c r="B130" s="2617"/>
      <c r="C130" s="559" t="s">
        <v>1395</v>
      </c>
      <c r="D130" s="1463"/>
      <c r="E130" s="1464"/>
      <c r="F130" s="1144">
        <f t="shared" ref="F130:H130" si="101">F119</f>
        <v>0</v>
      </c>
      <c r="G130" s="1144">
        <f t="shared" si="101"/>
        <v>0</v>
      </c>
      <c r="H130" s="1144">
        <f t="shared" si="101"/>
        <v>0</v>
      </c>
      <c r="I130" s="1144"/>
      <c r="J130" s="1169">
        <f t="shared" si="77"/>
        <v>0</v>
      </c>
      <c r="K130" s="579">
        <f t="shared" si="78"/>
        <v>0</v>
      </c>
    </row>
    <row r="131" spans="1:11" s="678" customFormat="1" ht="21.95" customHeight="1" x14ac:dyDescent="0.15">
      <c r="A131" s="2771"/>
      <c r="B131" s="2617"/>
      <c r="C131" s="559" t="s">
        <v>1371</v>
      </c>
      <c r="D131" s="1463"/>
      <c r="E131" s="1464"/>
      <c r="F131" s="1144">
        <f t="shared" ref="F131:H131" si="102">F71</f>
        <v>0</v>
      </c>
      <c r="G131" s="1144">
        <f t="shared" si="102"/>
        <v>0</v>
      </c>
      <c r="H131" s="1144">
        <f t="shared" si="102"/>
        <v>0</v>
      </c>
      <c r="I131" s="1144"/>
      <c r="J131" s="1169">
        <f t="shared" si="77"/>
        <v>0</v>
      </c>
      <c r="K131" s="579">
        <f t="shared" si="78"/>
        <v>0</v>
      </c>
    </row>
    <row r="132" spans="1:11" s="678" customFormat="1" ht="21.95" customHeight="1" x14ac:dyDescent="0.15">
      <c r="A132" s="2771"/>
      <c r="B132" s="2617"/>
      <c r="C132" s="559" t="s">
        <v>2011</v>
      </c>
      <c r="D132" s="1463"/>
      <c r="E132" s="1464"/>
      <c r="F132" s="1144">
        <f t="shared" ref="F132:H132" si="103">F31*1.1</f>
        <v>0</v>
      </c>
      <c r="G132" s="1144">
        <f t="shared" si="103"/>
        <v>0</v>
      </c>
      <c r="H132" s="1144">
        <f t="shared" si="103"/>
        <v>0</v>
      </c>
      <c r="I132" s="1144"/>
      <c r="J132" s="1169">
        <f t="shared" si="77"/>
        <v>0</v>
      </c>
      <c r="K132" s="579">
        <f t="shared" si="78"/>
        <v>0</v>
      </c>
    </row>
    <row r="133" spans="1:11" s="678" customFormat="1" ht="21.95" customHeight="1" x14ac:dyDescent="0.15">
      <c r="A133" s="2771"/>
      <c r="B133" s="2617"/>
      <c r="C133" s="567" t="s">
        <v>1766</v>
      </c>
      <c r="D133" s="1463"/>
      <c r="E133" s="1464"/>
      <c r="F133" s="1144">
        <f t="shared" ref="F133:H134" si="104">F72</f>
        <v>0</v>
      </c>
      <c r="G133" s="1144">
        <f t="shared" si="104"/>
        <v>0</v>
      </c>
      <c r="H133" s="1144">
        <f t="shared" si="104"/>
        <v>0</v>
      </c>
      <c r="I133" s="1144"/>
      <c r="J133" s="1169">
        <f t="shared" si="77"/>
        <v>0</v>
      </c>
      <c r="K133" s="579">
        <f t="shared" si="78"/>
        <v>0</v>
      </c>
    </row>
    <row r="134" spans="1:11" s="678" customFormat="1" ht="21.95" customHeight="1" x14ac:dyDescent="0.15">
      <c r="A134" s="2771"/>
      <c r="B134" s="2617"/>
      <c r="C134" s="567" t="s">
        <v>1372</v>
      </c>
      <c r="D134" s="1463"/>
      <c r="E134" s="1464"/>
      <c r="F134" s="1144">
        <f t="shared" si="104"/>
        <v>0</v>
      </c>
      <c r="G134" s="1144">
        <f t="shared" si="104"/>
        <v>0</v>
      </c>
      <c r="H134" s="1144">
        <f t="shared" si="104"/>
        <v>0</v>
      </c>
      <c r="I134" s="1144"/>
      <c r="J134" s="1169">
        <f t="shared" si="77"/>
        <v>0</v>
      </c>
      <c r="K134" s="579">
        <f t="shared" si="78"/>
        <v>0</v>
      </c>
    </row>
    <row r="135" spans="1:11" s="678" customFormat="1" ht="21.95" customHeight="1" x14ac:dyDescent="0.15">
      <c r="A135" s="2771"/>
      <c r="B135" s="2617"/>
      <c r="C135" s="567" t="s">
        <v>1396</v>
      </c>
      <c r="D135" s="1463"/>
      <c r="E135" s="1464"/>
      <c r="F135" s="1144">
        <f t="shared" ref="F135:H135" si="105">F113</f>
        <v>0</v>
      </c>
      <c r="G135" s="1144">
        <f t="shared" si="105"/>
        <v>0</v>
      </c>
      <c r="H135" s="1144">
        <f t="shared" si="105"/>
        <v>0</v>
      </c>
      <c r="I135" s="1144"/>
      <c r="J135" s="1169">
        <f t="shared" si="77"/>
        <v>0</v>
      </c>
      <c r="K135" s="579">
        <f t="shared" si="78"/>
        <v>0</v>
      </c>
    </row>
    <row r="136" spans="1:11" s="678" customFormat="1" ht="21.95" customHeight="1" x14ac:dyDescent="0.15">
      <c r="A136" s="2771"/>
      <c r="B136" s="2617"/>
      <c r="C136" s="567" t="s">
        <v>1397</v>
      </c>
      <c r="D136" s="1463"/>
      <c r="E136" s="1464"/>
      <c r="F136" s="1144">
        <f t="shared" ref="F136:H136" si="106">F120</f>
        <v>0</v>
      </c>
      <c r="G136" s="1144">
        <f t="shared" si="106"/>
        <v>0</v>
      </c>
      <c r="H136" s="1144">
        <f t="shared" si="106"/>
        <v>0</v>
      </c>
      <c r="I136" s="1144"/>
      <c r="J136" s="1169">
        <f t="shared" si="77"/>
        <v>0</v>
      </c>
      <c r="K136" s="579">
        <f t="shared" si="78"/>
        <v>0</v>
      </c>
    </row>
    <row r="137" spans="1:11" s="678" customFormat="1" ht="21.95" customHeight="1" x14ac:dyDescent="0.15">
      <c r="A137" s="2771"/>
      <c r="B137" s="2617"/>
      <c r="C137" s="567" t="s">
        <v>1781</v>
      </c>
      <c r="D137" s="1463"/>
      <c r="E137" s="1464"/>
      <c r="F137" s="1144">
        <f t="shared" ref="F137:H137" si="107">F88</f>
        <v>0</v>
      </c>
      <c r="G137" s="1144">
        <f t="shared" si="107"/>
        <v>0</v>
      </c>
      <c r="H137" s="1144">
        <f t="shared" si="107"/>
        <v>0</v>
      </c>
      <c r="I137" s="1144"/>
      <c r="J137" s="1169">
        <f t="shared" si="77"/>
        <v>0</v>
      </c>
      <c r="K137" s="579">
        <f t="shared" si="78"/>
        <v>0</v>
      </c>
    </row>
    <row r="138" spans="1:11" s="678" customFormat="1" ht="21.95" customHeight="1" x14ac:dyDescent="0.15">
      <c r="A138" s="2771"/>
      <c r="B138" s="2617"/>
      <c r="C138" s="567" t="s">
        <v>1769</v>
      </c>
      <c r="D138" s="1463"/>
      <c r="E138" s="1464"/>
      <c r="F138" s="1144">
        <f>F114</f>
        <v>0</v>
      </c>
      <c r="G138" s="1144">
        <f t="shared" ref="G138:H138" si="108">G114</f>
        <v>0</v>
      </c>
      <c r="H138" s="1144">
        <f t="shared" si="108"/>
        <v>0</v>
      </c>
      <c r="I138" s="1144"/>
      <c r="J138" s="1169">
        <f t="shared" si="77"/>
        <v>0</v>
      </c>
      <c r="K138" s="579">
        <f t="shared" si="78"/>
        <v>0</v>
      </c>
    </row>
    <row r="139" spans="1:11" s="678" customFormat="1" ht="21.95" customHeight="1" x14ac:dyDescent="0.15">
      <c r="A139" s="2771"/>
      <c r="B139" s="2617"/>
      <c r="C139" s="567" t="s">
        <v>1401</v>
      </c>
      <c r="D139" s="1463"/>
      <c r="E139" s="1464"/>
      <c r="F139" s="1144">
        <f t="shared" ref="F139:H139" si="109">F98</f>
        <v>0</v>
      </c>
      <c r="G139" s="1144">
        <f t="shared" si="109"/>
        <v>0</v>
      </c>
      <c r="H139" s="1144">
        <f t="shared" si="109"/>
        <v>0</v>
      </c>
      <c r="I139" s="1144"/>
      <c r="J139" s="1169">
        <f t="shared" si="77"/>
        <v>0</v>
      </c>
      <c r="K139" s="579">
        <f t="shared" si="78"/>
        <v>0</v>
      </c>
    </row>
    <row r="140" spans="1:11" s="678" customFormat="1" ht="21.95" customHeight="1" x14ac:dyDescent="0.15">
      <c r="A140" s="2771"/>
      <c r="B140" s="2617"/>
      <c r="C140" s="567" t="s">
        <v>1404</v>
      </c>
      <c r="D140" s="1463"/>
      <c r="E140" s="1464"/>
      <c r="F140" s="1144">
        <f t="shared" ref="F140:H140" si="110">F102</f>
        <v>0</v>
      </c>
      <c r="G140" s="1144">
        <f t="shared" si="110"/>
        <v>0</v>
      </c>
      <c r="H140" s="1144">
        <f t="shared" si="110"/>
        <v>0</v>
      </c>
      <c r="I140" s="1144"/>
      <c r="J140" s="1169">
        <f t="shared" si="77"/>
        <v>0</v>
      </c>
      <c r="K140" s="579">
        <f t="shared" si="78"/>
        <v>0</v>
      </c>
    </row>
    <row r="141" spans="1:11" s="678" customFormat="1" ht="21.95" customHeight="1" x14ac:dyDescent="0.15">
      <c r="A141" s="2771"/>
      <c r="B141" s="2617"/>
      <c r="C141" s="567" t="s">
        <v>1415</v>
      </c>
      <c r="D141" s="1463"/>
      <c r="E141" s="1464"/>
      <c r="F141" s="1144">
        <f t="shared" ref="F141:H141" si="111">F121</f>
        <v>0</v>
      </c>
      <c r="G141" s="1144">
        <f t="shared" si="111"/>
        <v>0</v>
      </c>
      <c r="H141" s="1144">
        <f t="shared" si="111"/>
        <v>0</v>
      </c>
      <c r="I141" s="1144"/>
      <c r="J141" s="1169">
        <f t="shared" si="77"/>
        <v>0</v>
      </c>
      <c r="K141" s="579">
        <f t="shared" si="78"/>
        <v>0</v>
      </c>
    </row>
    <row r="142" spans="1:11" s="678" customFormat="1" ht="21.95" customHeight="1" x14ac:dyDescent="0.15">
      <c r="A142" s="2771"/>
      <c r="B142" s="2617"/>
      <c r="C142" s="567" t="s">
        <v>1376</v>
      </c>
      <c r="D142" s="1463"/>
      <c r="E142" s="1464"/>
      <c r="F142" s="1144">
        <f t="shared" ref="F142:H142" si="112">F108</f>
        <v>0</v>
      </c>
      <c r="G142" s="1144">
        <f t="shared" si="112"/>
        <v>0</v>
      </c>
      <c r="H142" s="1144">
        <f t="shared" si="112"/>
        <v>0</v>
      </c>
      <c r="I142" s="1144"/>
      <c r="J142" s="1169">
        <f t="shared" si="77"/>
        <v>0</v>
      </c>
      <c r="K142" s="579">
        <f t="shared" si="78"/>
        <v>0</v>
      </c>
    </row>
    <row r="143" spans="1:11" s="678" customFormat="1" ht="21.95" customHeight="1" thickBot="1" x14ac:dyDescent="0.2">
      <c r="A143" s="2771"/>
      <c r="B143" s="2618"/>
      <c r="C143" s="566" t="s">
        <v>1377</v>
      </c>
      <c r="D143" s="1463"/>
      <c r="E143" s="1472"/>
      <c r="F143" s="1144">
        <f t="shared" ref="F143:H143" si="113">F115</f>
        <v>0</v>
      </c>
      <c r="G143" s="1144">
        <f t="shared" si="113"/>
        <v>0</v>
      </c>
      <c r="H143" s="1144">
        <f t="shared" si="113"/>
        <v>0</v>
      </c>
      <c r="I143" s="1144"/>
      <c r="J143" s="1175">
        <f t="shared" si="77"/>
        <v>0</v>
      </c>
      <c r="K143" s="579">
        <f t="shared" si="78"/>
        <v>0</v>
      </c>
    </row>
    <row r="144" spans="1:11" s="678" customFormat="1" ht="21.95" customHeight="1" x14ac:dyDescent="0.15">
      <c r="A144" s="2771"/>
      <c r="B144" s="2779" t="s">
        <v>1370</v>
      </c>
      <c r="C144" s="807" t="s">
        <v>7</v>
      </c>
      <c r="D144" s="1466"/>
      <c r="E144" s="1467"/>
      <c r="F144" s="1180">
        <f t="shared" ref="F144:H146" si="114">F125</f>
        <v>0</v>
      </c>
      <c r="G144" s="1180">
        <f t="shared" si="114"/>
        <v>0</v>
      </c>
      <c r="H144" s="1180">
        <f t="shared" si="114"/>
        <v>0</v>
      </c>
      <c r="I144" s="1180"/>
      <c r="J144" s="1169"/>
      <c r="K144" s="579"/>
    </row>
    <row r="145" spans="1:11" s="678" customFormat="1" ht="21.95" customHeight="1" x14ac:dyDescent="0.15">
      <c r="A145" s="2771"/>
      <c r="B145" s="2780"/>
      <c r="C145" s="664" t="s">
        <v>1925</v>
      </c>
      <c r="D145" s="1463"/>
      <c r="E145" s="1464"/>
      <c r="F145" s="1144">
        <f t="shared" si="114"/>
        <v>0</v>
      </c>
      <c r="G145" s="1144">
        <f t="shared" si="114"/>
        <v>0</v>
      </c>
      <c r="H145" s="1144">
        <f t="shared" si="114"/>
        <v>0</v>
      </c>
      <c r="I145" s="1144"/>
      <c r="J145" s="1169"/>
      <c r="K145" s="579"/>
    </row>
    <row r="146" spans="1:11" s="678" customFormat="1" ht="21.95" customHeight="1" x14ac:dyDescent="0.15">
      <c r="A146" s="2771"/>
      <c r="B146" s="2780"/>
      <c r="C146" s="559" t="s">
        <v>1357</v>
      </c>
      <c r="D146" s="1463"/>
      <c r="E146" s="1464"/>
      <c r="F146" s="1144">
        <f t="shared" si="114"/>
        <v>0</v>
      </c>
      <c r="G146" s="1144">
        <f t="shared" si="114"/>
        <v>0</v>
      </c>
      <c r="H146" s="1144">
        <f t="shared" si="114"/>
        <v>0</v>
      </c>
      <c r="I146" s="1144"/>
      <c r="J146" s="1169"/>
      <c r="K146" s="579"/>
    </row>
    <row r="147" spans="1:11" s="678" customFormat="1" ht="21.95" customHeight="1" x14ac:dyDescent="0.15">
      <c r="A147" s="2771"/>
      <c r="B147" s="2780"/>
      <c r="C147" s="559" t="s">
        <v>1976</v>
      </c>
      <c r="D147" s="1463"/>
      <c r="E147" s="1464"/>
      <c r="F147" s="1144">
        <f t="shared" ref="F147:H147" si="115">SUM(F132:F137)</f>
        <v>0</v>
      </c>
      <c r="G147" s="1144">
        <f t="shared" si="115"/>
        <v>0</v>
      </c>
      <c r="H147" s="1144">
        <f t="shared" si="115"/>
        <v>0</v>
      </c>
      <c r="I147" s="1144"/>
      <c r="J147" s="1169"/>
      <c r="K147" s="579"/>
    </row>
    <row r="148" spans="1:11" s="678" customFormat="1" ht="21.95" customHeight="1" x14ac:dyDescent="0.15">
      <c r="A148" s="2771"/>
      <c r="B148" s="2780"/>
      <c r="C148" s="559" t="s">
        <v>1207</v>
      </c>
      <c r="D148" s="1463"/>
      <c r="E148" s="1464"/>
      <c r="F148" s="1144">
        <f t="shared" ref="F148:H148" si="116">F128</f>
        <v>0</v>
      </c>
      <c r="G148" s="1144">
        <f t="shared" si="116"/>
        <v>0</v>
      </c>
      <c r="H148" s="1144">
        <f t="shared" si="116"/>
        <v>0</v>
      </c>
      <c r="I148" s="1144"/>
      <c r="J148" s="1169"/>
      <c r="K148" s="579"/>
    </row>
    <row r="149" spans="1:11" s="678" customFormat="1" ht="21.95" customHeight="1" x14ac:dyDescent="0.15">
      <c r="A149" s="2771"/>
      <c r="B149" s="2780"/>
      <c r="C149" s="559" t="s">
        <v>585</v>
      </c>
      <c r="D149" s="1463"/>
      <c r="E149" s="1464"/>
      <c r="F149" s="1144">
        <f t="shared" ref="F149:H149" si="117">F129+F130</f>
        <v>0</v>
      </c>
      <c r="G149" s="1144">
        <f t="shared" si="117"/>
        <v>0</v>
      </c>
      <c r="H149" s="1144">
        <f t="shared" si="117"/>
        <v>0</v>
      </c>
      <c r="I149" s="1144"/>
      <c r="J149" s="1169"/>
      <c r="K149" s="579"/>
    </row>
    <row r="150" spans="1:11" s="678" customFormat="1" ht="21.95" customHeight="1" x14ac:dyDescent="0.15">
      <c r="A150" s="2771"/>
      <c r="B150" s="2780"/>
      <c r="C150" s="559" t="s">
        <v>1371</v>
      </c>
      <c r="D150" s="1463"/>
      <c r="E150" s="1464"/>
      <c r="F150" s="1144">
        <f t="shared" ref="F150:H150" si="118">F131</f>
        <v>0</v>
      </c>
      <c r="G150" s="1144">
        <f t="shared" si="118"/>
        <v>0</v>
      </c>
      <c r="H150" s="1144">
        <f t="shared" si="118"/>
        <v>0</v>
      </c>
      <c r="I150" s="1144"/>
      <c r="J150" s="1169"/>
      <c r="K150" s="579"/>
    </row>
    <row r="151" spans="1:11" s="678" customFormat="1" ht="21.95" customHeight="1" x14ac:dyDescent="0.15">
      <c r="A151" s="2771"/>
      <c r="B151" s="2781"/>
      <c r="C151" s="567" t="s">
        <v>1769</v>
      </c>
      <c r="D151" s="1463"/>
      <c r="E151" s="1464"/>
      <c r="F151" s="1144">
        <f t="shared" ref="F151:H152" si="119">F138</f>
        <v>0</v>
      </c>
      <c r="G151" s="1144">
        <f t="shared" si="119"/>
        <v>0</v>
      </c>
      <c r="H151" s="1144">
        <f t="shared" si="119"/>
        <v>0</v>
      </c>
      <c r="I151" s="1144"/>
      <c r="J151" s="1169"/>
      <c r="K151" s="579"/>
    </row>
    <row r="152" spans="1:11" s="678" customFormat="1" ht="21.95" customHeight="1" x14ac:dyDescent="0.15">
      <c r="A152" s="2771"/>
      <c r="B152" s="2781"/>
      <c r="C152" s="567" t="s">
        <v>1401</v>
      </c>
      <c r="D152" s="1463"/>
      <c r="E152" s="1464"/>
      <c r="F152" s="1144">
        <f t="shared" si="119"/>
        <v>0</v>
      </c>
      <c r="G152" s="1144">
        <f t="shared" si="119"/>
        <v>0</v>
      </c>
      <c r="H152" s="1144">
        <f t="shared" si="119"/>
        <v>0</v>
      </c>
      <c r="I152" s="1144"/>
      <c r="J152" s="1169"/>
      <c r="K152" s="579"/>
    </row>
    <row r="153" spans="1:11" s="678" customFormat="1" ht="21.95" customHeight="1" x14ac:dyDescent="0.15">
      <c r="A153" s="2771"/>
      <c r="B153" s="2781"/>
      <c r="C153" s="567" t="s">
        <v>1975</v>
      </c>
      <c r="D153" s="1463"/>
      <c r="E153" s="1464"/>
      <c r="F153" s="1144">
        <f t="shared" ref="F153:H153" si="120">F140+F141</f>
        <v>0</v>
      </c>
      <c r="G153" s="1144">
        <f t="shared" si="120"/>
        <v>0</v>
      </c>
      <c r="H153" s="1144">
        <f t="shared" si="120"/>
        <v>0</v>
      </c>
      <c r="I153" s="1144"/>
      <c r="J153" s="1169"/>
      <c r="K153" s="579"/>
    </row>
    <row r="154" spans="1:11" s="678" customFormat="1" ht="21.95" customHeight="1" x14ac:dyDescent="0.15">
      <c r="A154" s="2771"/>
      <c r="B154" s="2781"/>
      <c r="C154" s="567" t="s">
        <v>1376</v>
      </c>
      <c r="D154" s="1463"/>
      <c r="E154" s="1464"/>
      <c r="F154" s="1144">
        <f t="shared" ref="F154:H155" si="121">F142</f>
        <v>0</v>
      </c>
      <c r="G154" s="1144">
        <f t="shared" si="121"/>
        <v>0</v>
      </c>
      <c r="H154" s="1144">
        <f t="shared" si="121"/>
        <v>0</v>
      </c>
      <c r="I154" s="1144"/>
      <c r="J154" s="1169"/>
      <c r="K154" s="579"/>
    </row>
    <row r="155" spans="1:11" s="678" customFormat="1" ht="21.95" customHeight="1" thickBot="1" x14ac:dyDescent="0.2">
      <c r="A155" s="2771"/>
      <c r="B155" s="2782"/>
      <c r="C155" s="566" t="s">
        <v>1377</v>
      </c>
      <c r="D155" s="1479"/>
      <c r="E155" s="1472"/>
      <c r="F155" s="1174">
        <f t="shared" si="121"/>
        <v>0</v>
      </c>
      <c r="G155" s="1174">
        <f t="shared" si="121"/>
        <v>0</v>
      </c>
      <c r="H155" s="1174">
        <f t="shared" si="121"/>
        <v>0</v>
      </c>
      <c r="I155" s="1174"/>
      <c r="J155" s="1175"/>
      <c r="K155" s="579"/>
    </row>
    <row r="156" spans="1:11" s="676" customFormat="1" ht="50.1" customHeight="1" thickBot="1" x14ac:dyDescent="0.2">
      <c r="A156" s="2772"/>
      <c r="B156" s="2773" t="s">
        <v>12</v>
      </c>
      <c r="C156" s="2774"/>
      <c r="D156" s="1480"/>
      <c r="E156" s="1481"/>
      <c r="F156" s="1182"/>
      <c r="G156" s="1182"/>
      <c r="H156" s="1182"/>
      <c r="I156" s="1182"/>
      <c r="J156" s="1183"/>
      <c r="K156" s="668">
        <v>1</v>
      </c>
    </row>
    <row r="157" spans="1:11" s="682" customFormat="1" ht="19.5" thickTop="1" x14ac:dyDescent="0.15">
      <c r="A157" s="47"/>
      <c r="B157" s="161"/>
      <c r="C157" s="161"/>
      <c r="D157" s="1482"/>
      <c r="E157" s="161"/>
      <c r="F157" s="47"/>
      <c r="G157" s="47"/>
      <c r="H157" s="47"/>
      <c r="I157" s="47"/>
      <c r="J157" s="683"/>
    </row>
    <row r="158" spans="1:11" s="682" customFormat="1" x14ac:dyDescent="0.15">
      <c r="A158" s="47"/>
      <c r="B158" s="161"/>
      <c r="C158" s="161"/>
      <c r="D158" s="1482"/>
      <c r="E158" s="161"/>
      <c r="F158" s="47"/>
      <c r="G158" s="47"/>
      <c r="H158" s="47"/>
      <c r="I158" s="47"/>
      <c r="J158" s="683"/>
    </row>
    <row r="159" spans="1:11" s="682" customFormat="1" x14ac:dyDescent="0.15">
      <c r="A159" s="47"/>
      <c r="B159" s="47"/>
      <c r="C159" s="47"/>
      <c r="D159" s="1482"/>
      <c r="E159" s="161"/>
      <c r="F159" s="47"/>
      <c r="G159" s="47"/>
      <c r="H159" s="47"/>
      <c r="I159" s="47"/>
      <c r="J159" s="683"/>
    </row>
    <row r="160" spans="1:11" s="682" customFormat="1" x14ac:dyDescent="0.15">
      <c r="A160" s="47"/>
      <c r="B160" s="47"/>
      <c r="C160" s="47"/>
      <c r="D160" s="1483"/>
      <c r="E160" s="161"/>
      <c r="F160" s="47"/>
      <c r="G160" s="47"/>
      <c r="H160" s="47"/>
      <c r="I160" s="47"/>
      <c r="J160" s="683"/>
    </row>
    <row r="161" spans="1:10" s="682" customFormat="1" x14ac:dyDescent="0.15">
      <c r="A161" s="47"/>
      <c r="B161" s="47"/>
      <c r="C161" s="47"/>
      <c r="D161" s="1484"/>
      <c r="E161" s="161"/>
      <c r="F161" s="47"/>
      <c r="G161" s="47"/>
      <c r="H161" s="47"/>
      <c r="I161" s="47"/>
      <c r="J161" s="683"/>
    </row>
    <row r="162" spans="1:10" s="682" customFormat="1" x14ac:dyDescent="0.15">
      <c r="A162" s="47"/>
      <c r="B162" s="47"/>
      <c r="C162" s="47"/>
      <c r="D162" s="1484"/>
      <c r="E162" s="161"/>
      <c r="F162" s="47"/>
      <c r="G162" s="47"/>
      <c r="H162" s="47"/>
      <c r="I162" s="47"/>
      <c r="J162" s="683"/>
    </row>
    <row r="163" spans="1:10" s="682" customFormat="1" x14ac:dyDescent="0.15">
      <c r="A163" s="47"/>
      <c r="B163" s="47"/>
      <c r="C163" s="47"/>
      <c r="D163" s="1484"/>
      <c r="E163" s="161"/>
      <c r="F163" s="47"/>
      <c r="G163" s="47"/>
      <c r="H163" s="47"/>
      <c r="I163" s="47"/>
      <c r="J163" s="683"/>
    </row>
    <row r="164" spans="1:10" s="682" customFormat="1" x14ac:dyDescent="0.15">
      <c r="A164" s="47"/>
      <c r="B164" s="47"/>
      <c r="C164" s="47"/>
      <c r="D164" s="1482"/>
      <c r="E164" s="161"/>
      <c r="F164" s="47"/>
      <c r="G164" s="47"/>
      <c r="H164" s="47"/>
      <c r="I164" s="47"/>
      <c r="J164" s="683"/>
    </row>
    <row r="165" spans="1:10" s="682" customFormat="1" x14ac:dyDescent="0.15">
      <c r="A165" s="47"/>
      <c r="B165" s="47"/>
      <c r="C165" s="47"/>
      <c r="D165" s="1482"/>
      <c r="E165" s="161"/>
      <c r="F165" s="47"/>
      <c r="G165" s="47"/>
      <c r="H165" s="47"/>
      <c r="I165" s="47"/>
      <c r="J165" s="683"/>
    </row>
    <row r="166" spans="1:10" s="682" customFormat="1" x14ac:dyDescent="0.15">
      <c r="A166" s="47"/>
      <c r="B166" s="47"/>
      <c r="C166" s="47"/>
      <c r="D166" s="1482"/>
      <c r="E166" s="161"/>
      <c r="F166" s="47"/>
      <c r="G166" s="47"/>
      <c r="H166" s="47"/>
      <c r="I166" s="47"/>
      <c r="J166" s="683"/>
    </row>
    <row r="167" spans="1:10" s="682" customFormat="1" x14ac:dyDescent="0.15">
      <c r="A167" s="47"/>
      <c r="B167" s="47"/>
      <c r="C167" s="47"/>
      <c r="D167" s="1482"/>
      <c r="E167" s="161"/>
      <c r="F167" s="47"/>
      <c r="G167" s="47"/>
      <c r="H167" s="47"/>
      <c r="I167" s="47"/>
      <c r="J167" s="683"/>
    </row>
    <row r="168" spans="1:10" s="682" customFormat="1" x14ac:dyDescent="0.15">
      <c r="A168" s="47"/>
      <c r="B168" s="47"/>
      <c r="C168" s="47"/>
      <c r="D168" s="1482"/>
      <c r="E168" s="161"/>
      <c r="F168" s="47"/>
      <c r="G168" s="47"/>
      <c r="H168" s="47"/>
      <c r="I168" s="47"/>
      <c r="J168" s="683"/>
    </row>
    <row r="169" spans="1:10" x14ac:dyDescent="0.15">
      <c r="A169" s="47"/>
      <c r="B169" s="47"/>
      <c r="C169" s="47"/>
      <c r="E169" s="9"/>
    </row>
    <row r="170" spans="1:10" x14ac:dyDescent="0.15">
      <c r="A170" s="47"/>
      <c r="B170" s="47"/>
      <c r="C170" s="47"/>
      <c r="E170" s="9"/>
    </row>
    <row r="171" spans="1:10" x14ac:dyDescent="0.15">
      <c r="A171" s="47"/>
      <c r="B171" s="47"/>
      <c r="C171" s="47"/>
      <c r="E171" s="9"/>
    </row>
    <row r="172" spans="1:10" x14ac:dyDescent="0.15">
      <c r="A172" s="47"/>
      <c r="B172" s="47"/>
      <c r="C172" s="47"/>
      <c r="E172" s="9"/>
    </row>
    <row r="173" spans="1:10" x14ac:dyDescent="0.15">
      <c r="A173" s="47"/>
      <c r="B173" s="47"/>
      <c r="C173" s="47"/>
      <c r="E173" s="9"/>
    </row>
    <row r="174" spans="1:10" x14ac:dyDescent="0.15">
      <c r="A174" s="47"/>
      <c r="B174" s="47"/>
      <c r="C174" s="47"/>
      <c r="E174" s="9"/>
    </row>
    <row r="175" spans="1:10" x14ac:dyDescent="0.15">
      <c r="A175" s="47"/>
      <c r="B175" s="47"/>
      <c r="C175" s="47"/>
      <c r="E175" s="9"/>
    </row>
    <row r="176" spans="1:10" x14ac:dyDescent="0.15">
      <c r="A176" s="47"/>
      <c r="B176" s="47"/>
      <c r="C176" s="47"/>
      <c r="E176" s="9"/>
    </row>
    <row r="177" spans="1:5" x14ac:dyDescent="0.15">
      <c r="A177" s="47"/>
      <c r="B177" s="47"/>
      <c r="C177" s="47"/>
      <c r="E177" s="9"/>
    </row>
    <row r="178" spans="1:5" x14ac:dyDescent="0.15">
      <c r="A178" s="47"/>
      <c r="B178" s="47"/>
      <c r="C178" s="47"/>
      <c r="E178" s="9"/>
    </row>
    <row r="179" spans="1:5" x14ac:dyDescent="0.15">
      <c r="A179" s="47"/>
      <c r="B179" s="47"/>
      <c r="C179" s="47"/>
      <c r="E179" s="9"/>
    </row>
    <row r="180" spans="1:5" x14ac:dyDescent="0.15">
      <c r="A180" s="47"/>
      <c r="B180" s="47"/>
      <c r="C180" s="47"/>
      <c r="E180" s="9"/>
    </row>
    <row r="181" spans="1:5" x14ac:dyDescent="0.15">
      <c r="A181" s="47"/>
      <c r="B181" s="47"/>
      <c r="C181" s="47"/>
      <c r="E181" s="9"/>
    </row>
    <row r="182" spans="1:5" x14ac:dyDescent="0.15">
      <c r="A182" s="47"/>
      <c r="B182" s="47"/>
      <c r="C182" s="47"/>
      <c r="E182" s="9"/>
    </row>
    <row r="183" spans="1:5" x14ac:dyDescent="0.15">
      <c r="A183" s="47"/>
      <c r="B183" s="47"/>
      <c r="C183" s="47"/>
      <c r="E183" s="9"/>
    </row>
    <row r="184" spans="1:5" x14ac:dyDescent="0.15">
      <c r="A184" s="47"/>
      <c r="B184" s="47"/>
      <c r="C184" s="47"/>
      <c r="E184" s="9"/>
    </row>
    <row r="185" spans="1:5" x14ac:dyDescent="0.15">
      <c r="A185" s="47"/>
      <c r="B185" s="47"/>
      <c r="C185" s="47"/>
      <c r="E185" s="9"/>
    </row>
    <row r="186" spans="1:5" x14ac:dyDescent="0.15">
      <c r="A186" s="47"/>
      <c r="B186" s="47"/>
      <c r="C186" s="47"/>
      <c r="E186" s="9"/>
    </row>
    <row r="187" spans="1:5" x14ac:dyDescent="0.15">
      <c r="A187" s="47"/>
      <c r="B187" s="47"/>
      <c r="C187" s="47"/>
      <c r="E187" s="9"/>
    </row>
    <row r="188" spans="1:5" x14ac:dyDescent="0.15">
      <c r="A188" s="47"/>
      <c r="B188" s="47"/>
      <c r="C188" s="47"/>
      <c r="E188" s="9"/>
    </row>
    <row r="189" spans="1:5" x14ac:dyDescent="0.15">
      <c r="A189" s="47"/>
      <c r="B189" s="47"/>
      <c r="C189" s="47"/>
      <c r="E189" s="9"/>
    </row>
    <row r="190" spans="1:5" x14ac:dyDescent="0.15">
      <c r="A190" s="47"/>
      <c r="B190" s="47"/>
      <c r="C190" s="47"/>
      <c r="E190" s="9"/>
    </row>
    <row r="191" spans="1:5" x14ac:dyDescent="0.15">
      <c r="A191" s="47"/>
      <c r="B191" s="47"/>
      <c r="C191" s="47"/>
      <c r="E191" s="9"/>
    </row>
    <row r="192" spans="1:5" x14ac:dyDescent="0.15">
      <c r="A192" s="47"/>
      <c r="B192" s="47"/>
      <c r="C192" s="47"/>
      <c r="E192" s="9"/>
    </row>
    <row r="193" spans="1:5" x14ac:dyDescent="0.15">
      <c r="A193" s="47"/>
      <c r="B193" s="47"/>
      <c r="C193" s="47"/>
      <c r="E193" s="9"/>
    </row>
    <row r="194" spans="1:5" x14ac:dyDescent="0.15">
      <c r="A194" s="47"/>
      <c r="B194" s="47"/>
      <c r="C194" s="47"/>
      <c r="E194" s="9"/>
    </row>
    <row r="195" spans="1:5" x14ac:dyDescent="0.15">
      <c r="A195" s="47"/>
      <c r="B195" s="47"/>
      <c r="C195" s="47"/>
      <c r="E195" s="9"/>
    </row>
    <row r="196" spans="1:5" x14ac:dyDescent="0.15">
      <c r="A196" s="47"/>
      <c r="B196" s="47"/>
      <c r="C196" s="47"/>
      <c r="E196" s="9"/>
    </row>
    <row r="197" spans="1:5" x14ac:dyDescent="0.15">
      <c r="A197" s="47"/>
      <c r="B197" s="47"/>
      <c r="C197" s="47"/>
      <c r="E197" s="9"/>
    </row>
    <row r="198" spans="1:5" x14ac:dyDescent="0.15">
      <c r="A198" s="47"/>
      <c r="B198" s="47"/>
      <c r="C198" s="47"/>
      <c r="E198" s="9"/>
    </row>
    <row r="199" spans="1:5" x14ac:dyDescent="0.15">
      <c r="A199" s="47"/>
      <c r="B199" s="47"/>
      <c r="C199" s="47"/>
      <c r="E199" s="9"/>
    </row>
    <row r="200" spans="1:5" x14ac:dyDescent="0.15">
      <c r="A200" s="47"/>
      <c r="B200" s="47"/>
      <c r="C200" s="47"/>
      <c r="E200" s="9"/>
    </row>
    <row r="201" spans="1:5" x14ac:dyDescent="0.15">
      <c r="A201" s="47"/>
      <c r="B201" s="47"/>
      <c r="C201" s="47"/>
      <c r="E201" s="9"/>
    </row>
    <row r="202" spans="1:5" x14ac:dyDescent="0.15">
      <c r="A202" s="47"/>
      <c r="B202" s="47"/>
      <c r="C202" s="47"/>
      <c r="E202" s="9"/>
    </row>
    <row r="203" spans="1:5" x14ac:dyDescent="0.15">
      <c r="A203" s="47"/>
      <c r="B203" s="47"/>
      <c r="C203" s="47"/>
      <c r="E203" s="9"/>
    </row>
    <row r="204" spans="1:5" x14ac:dyDescent="0.15">
      <c r="A204" s="47"/>
      <c r="B204" s="47"/>
      <c r="C204" s="47"/>
      <c r="E204" s="9"/>
    </row>
    <row r="205" spans="1:5" x14ac:dyDescent="0.15">
      <c r="A205" s="47"/>
      <c r="B205" s="47"/>
      <c r="C205" s="47"/>
      <c r="E205" s="9"/>
    </row>
    <row r="206" spans="1:5" x14ac:dyDescent="0.15">
      <c r="A206" s="47"/>
      <c r="B206" s="47"/>
      <c r="C206" s="47"/>
      <c r="E206" s="9"/>
    </row>
    <row r="207" spans="1:5" x14ac:dyDescent="0.15">
      <c r="A207" s="47"/>
      <c r="B207" s="47"/>
      <c r="C207" s="47"/>
      <c r="E207" s="9"/>
    </row>
    <row r="208" spans="1:5" x14ac:dyDescent="0.15">
      <c r="A208" s="47"/>
      <c r="B208" s="47"/>
      <c r="C208" s="47"/>
      <c r="E208" s="9"/>
    </row>
    <row r="209" spans="1:5" x14ac:dyDescent="0.15">
      <c r="A209" s="47"/>
      <c r="B209" s="47"/>
      <c r="C209" s="47"/>
      <c r="E209" s="9"/>
    </row>
    <row r="210" spans="1:5" x14ac:dyDescent="0.15">
      <c r="A210" s="47"/>
      <c r="B210" s="47"/>
      <c r="C210" s="47"/>
      <c r="E210" s="9"/>
    </row>
    <row r="211" spans="1:5" x14ac:dyDescent="0.15">
      <c r="A211" s="47"/>
      <c r="B211" s="47"/>
      <c r="C211" s="47"/>
      <c r="E211" s="9"/>
    </row>
    <row r="212" spans="1:5" x14ac:dyDescent="0.15">
      <c r="A212" s="47"/>
      <c r="B212" s="47"/>
      <c r="C212" s="47"/>
      <c r="E212" s="9"/>
    </row>
    <row r="213" spans="1:5" x14ac:dyDescent="0.15">
      <c r="A213" s="47"/>
      <c r="B213" s="47"/>
      <c r="C213" s="47"/>
      <c r="E213" s="9"/>
    </row>
    <row r="214" spans="1:5" x14ac:dyDescent="0.15">
      <c r="A214" s="47"/>
      <c r="B214" s="47"/>
      <c r="C214" s="47"/>
      <c r="E214" s="9"/>
    </row>
    <row r="215" spans="1:5" x14ac:dyDescent="0.15">
      <c r="A215" s="47"/>
      <c r="B215" s="47"/>
      <c r="C215" s="47"/>
      <c r="E215" s="9"/>
    </row>
    <row r="216" spans="1:5" x14ac:dyDescent="0.15">
      <c r="A216" s="47"/>
      <c r="B216" s="47"/>
      <c r="C216" s="47"/>
      <c r="E216" s="9"/>
    </row>
    <row r="217" spans="1:5" x14ac:dyDescent="0.15">
      <c r="A217" s="47"/>
      <c r="B217" s="47"/>
      <c r="C217" s="47"/>
      <c r="E217" s="9"/>
    </row>
    <row r="218" spans="1:5" x14ac:dyDescent="0.15">
      <c r="A218" s="47"/>
      <c r="B218" s="47"/>
      <c r="C218" s="47"/>
      <c r="E218" s="9"/>
    </row>
    <row r="219" spans="1:5" x14ac:dyDescent="0.15">
      <c r="A219" s="47"/>
      <c r="B219" s="47"/>
      <c r="C219" s="47"/>
      <c r="E219" s="9"/>
    </row>
    <row r="220" spans="1:5" x14ac:dyDescent="0.15">
      <c r="A220" s="47"/>
      <c r="B220" s="47"/>
      <c r="C220" s="47"/>
      <c r="E220" s="9"/>
    </row>
    <row r="221" spans="1:5" x14ac:dyDescent="0.15">
      <c r="A221" s="47"/>
      <c r="B221" s="47"/>
      <c r="C221" s="47"/>
      <c r="E221" s="9"/>
    </row>
    <row r="222" spans="1:5" x14ac:dyDescent="0.15">
      <c r="A222" s="47"/>
      <c r="B222" s="47"/>
      <c r="C222" s="47"/>
      <c r="E222" s="9"/>
    </row>
    <row r="223" spans="1:5" x14ac:dyDescent="0.15">
      <c r="A223" s="47"/>
      <c r="B223" s="47"/>
      <c r="C223" s="47"/>
      <c r="E223" s="9"/>
    </row>
    <row r="224" spans="1:5" x14ac:dyDescent="0.15">
      <c r="A224" s="47"/>
      <c r="B224" s="47"/>
      <c r="C224" s="47"/>
      <c r="E224" s="9"/>
    </row>
    <row r="225" spans="1:5" x14ac:dyDescent="0.15">
      <c r="A225" s="47"/>
      <c r="B225" s="47"/>
      <c r="C225" s="47"/>
      <c r="E225" s="9"/>
    </row>
    <row r="226" spans="1:5" x14ac:dyDescent="0.15">
      <c r="A226" s="47"/>
      <c r="B226" s="47"/>
      <c r="C226" s="47"/>
      <c r="E226" s="9"/>
    </row>
    <row r="227" spans="1:5" x14ac:dyDescent="0.15">
      <c r="A227" s="47"/>
      <c r="B227" s="47"/>
      <c r="C227" s="47"/>
      <c r="E227" s="9"/>
    </row>
    <row r="228" spans="1:5" x14ac:dyDescent="0.15">
      <c r="A228" s="47"/>
      <c r="B228" s="47"/>
      <c r="C228" s="47"/>
      <c r="E228" s="9"/>
    </row>
    <row r="229" spans="1:5" x14ac:dyDescent="0.15">
      <c r="A229" s="47"/>
      <c r="B229" s="47"/>
      <c r="C229" s="47"/>
      <c r="E229" s="9"/>
    </row>
    <row r="230" spans="1:5" x14ac:dyDescent="0.15">
      <c r="A230" s="5"/>
      <c r="B230" s="9"/>
      <c r="E230" s="9"/>
    </row>
    <row r="231" spans="1:5" x14ac:dyDescent="0.15">
      <c r="A231" s="5"/>
      <c r="B231" s="9"/>
      <c r="E231" s="9"/>
    </row>
    <row r="232" spans="1:5" x14ac:dyDescent="0.15">
      <c r="A232" s="5"/>
      <c r="B232" s="9"/>
      <c r="E232" s="9"/>
    </row>
    <row r="233" spans="1:5" x14ac:dyDescent="0.15">
      <c r="A233" s="5"/>
      <c r="B233" s="9"/>
      <c r="E233" s="9"/>
    </row>
    <row r="234" spans="1:5" x14ac:dyDescent="0.15">
      <c r="A234" s="5"/>
      <c r="B234" s="9"/>
      <c r="E234" s="9"/>
    </row>
    <row r="235" spans="1:5" x14ac:dyDescent="0.15">
      <c r="A235" s="5"/>
      <c r="B235" s="9"/>
      <c r="E235" s="9"/>
    </row>
    <row r="236" spans="1:5" x14ac:dyDescent="0.15">
      <c r="A236" s="5"/>
      <c r="B236" s="9"/>
      <c r="E236" s="9"/>
    </row>
    <row r="237" spans="1:5" x14ac:dyDescent="0.15">
      <c r="A237" s="5"/>
      <c r="B237" s="9"/>
      <c r="E237" s="9"/>
    </row>
    <row r="238" spans="1:5" x14ac:dyDescent="0.15">
      <c r="A238" s="5"/>
      <c r="B238" s="9"/>
      <c r="E238" s="9"/>
    </row>
    <row r="239" spans="1:5" x14ac:dyDescent="0.15">
      <c r="A239" s="5"/>
      <c r="B239" s="9"/>
      <c r="E239" s="9"/>
    </row>
    <row r="240" spans="1:5" x14ac:dyDescent="0.15">
      <c r="A240" s="5"/>
      <c r="B240" s="9"/>
      <c r="E240" s="9"/>
    </row>
    <row r="241" spans="1:5" x14ac:dyDescent="0.15">
      <c r="A241" s="5"/>
      <c r="B241" s="9"/>
      <c r="E241" s="9"/>
    </row>
    <row r="242" spans="1:5" x14ac:dyDescent="0.15">
      <c r="A242" s="5"/>
      <c r="B242" s="9"/>
      <c r="E242" s="9"/>
    </row>
    <row r="243" spans="1:5" x14ac:dyDescent="0.15">
      <c r="A243" s="5"/>
      <c r="B243" s="9"/>
      <c r="E243" s="9"/>
    </row>
    <row r="244" spans="1:5" x14ac:dyDescent="0.15">
      <c r="A244" s="5"/>
      <c r="B244" s="9"/>
      <c r="E244" s="9"/>
    </row>
    <row r="245" spans="1:5" x14ac:dyDescent="0.15">
      <c r="A245" s="5"/>
      <c r="B245" s="9"/>
      <c r="E245" s="9"/>
    </row>
    <row r="246" spans="1:5" x14ac:dyDescent="0.15">
      <c r="A246" s="5"/>
      <c r="B246" s="9"/>
      <c r="E246" s="9"/>
    </row>
    <row r="247" spans="1:5" x14ac:dyDescent="0.15">
      <c r="A247" s="5"/>
      <c r="B247" s="9"/>
      <c r="E247" s="9"/>
    </row>
    <row r="248" spans="1:5" x14ac:dyDescent="0.15">
      <c r="A248" s="5"/>
      <c r="B248" s="9"/>
      <c r="E248" s="9"/>
    </row>
    <row r="249" spans="1:5" x14ac:dyDescent="0.15">
      <c r="A249" s="5"/>
      <c r="B249" s="9"/>
      <c r="E249" s="9"/>
    </row>
    <row r="250" spans="1:5" x14ac:dyDescent="0.15">
      <c r="A250" s="5"/>
      <c r="B250" s="9"/>
      <c r="E250" s="9"/>
    </row>
    <row r="251" spans="1:5" x14ac:dyDescent="0.15">
      <c r="A251" s="5"/>
      <c r="B251" s="9"/>
      <c r="E251" s="9"/>
    </row>
    <row r="252" spans="1:5" x14ac:dyDescent="0.15">
      <c r="A252" s="5"/>
      <c r="B252" s="9"/>
      <c r="E252" s="9"/>
    </row>
    <row r="253" spans="1:5" x14ac:dyDescent="0.15">
      <c r="A253" s="5"/>
      <c r="B253" s="9"/>
      <c r="E253" s="9"/>
    </row>
    <row r="254" spans="1:5" x14ac:dyDescent="0.15">
      <c r="A254" s="5"/>
      <c r="B254" s="9"/>
      <c r="E254" s="9"/>
    </row>
    <row r="255" spans="1:5" x14ac:dyDescent="0.15">
      <c r="A255" s="5"/>
      <c r="B255" s="9"/>
      <c r="E255" s="9"/>
    </row>
    <row r="256" spans="1:5" x14ac:dyDescent="0.15">
      <c r="A256" s="5"/>
      <c r="B256" s="9"/>
      <c r="E256" s="9"/>
    </row>
    <row r="257" spans="1:5" x14ac:dyDescent="0.15">
      <c r="A257" s="5"/>
      <c r="B257" s="9"/>
      <c r="E257" s="9"/>
    </row>
    <row r="258" spans="1:5" x14ac:dyDescent="0.15">
      <c r="A258" s="5"/>
      <c r="B258" s="9"/>
      <c r="E258" s="9"/>
    </row>
    <row r="259" spans="1:5" x14ac:dyDescent="0.15">
      <c r="A259" s="5"/>
      <c r="B259" s="9"/>
      <c r="E259" s="9"/>
    </row>
    <row r="260" spans="1:5" x14ac:dyDescent="0.15">
      <c r="A260" s="5"/>
      <c r="B260" s="9"/>
      <c r="E260" s="9"/>
    </row>
    <row r="261" spans="1:5" x14ac:dyDescent="0.15">
      <c r="A261" s="5"/>
      <c r="B261" s="9"/>
      <c r="E261" s="9"/>
    </row>
    <row r="262" spans="1:5" x14ac:dyDescent="0.15">
      <c r="A262" s="5"/>
      <c r="B262" s="9"/>
      <c r="E262" s="9"/>
    </row>
    <row r="263" spans="1:5" x14ac:dyDescent="0.15">
      <c r="A263" s="5"/>
      <c r="B263" s="9"/>
      <c r="E263" s="9"/>
    </row>
    <row r="264" spans="1:5" x14ac:dyDescent="0.15">
      <c r="A264" s="5"/>
      <c r="B264" s="9"/>
      <c r="E264" s="9"/>
    </row>
    <row r="265" spans="1:5" x14ac:dyDescent="0.15">
      <c r="A265" s="5"/>
      <c r="B265" s="9"/>
      <c r="E265" s="9"/>
    </row>
    <row r="266" spans="1:5" x14ac:dyDescent="0.15">
      <c r="A266" s="5"/>
      <c r="B266" s="9"/>
      <c r="E266" s="9"/>
    </row>
    <row r="267" spans="1:5" x14ac:dyDescent="0.15">
      <c r="A267" s="5"/>
      <c r="B267" s="9"/>
      <c r="E267" s="9"/>
    </row>
    <row r="268" spans="1:5" x14ac:dyDescent="0.15">
      <c r="A268" s="5"/>
      <c r="B268" s="9"/>
      <c r="E268" s="9"/>
    </row>
    <row r="269" spans="1:5" x14ac:dyDescent="0.15">
      <c r="A269" s="5"/>
      <c r="B269" s="9"/>
      <c r="E269" s="9"/>
    </row>
    <row r="270" spans="1:5" x14ac:dyDescent="0.15">
      <c r="A270" s="5"/>
      <c r="B270" s="9"/>
      <c r="E270" s="9"/>
    </row>
  </sheetData>
  <autoFilter ref="K1:K270" xr:uid="{00000000-0009-0000-0000-000017000000}"/>
  <mergeCells count="28">
    <mergeCell ref="B89:B93"/>
    <mergeCell ref="B2:C2"/>
    <mergeCell ref="B5:C5"/>
    <mergeCell ref="B6:C6"/>
    <mergeCell ref="B8:B11"/>
    <mergeCell ref="B56:B59"/>
    <mergeCell ref="B66:B67"/>
    <mergeCell ref="B24:B43"/>
    <mergeCell ref="B68:B77"/>
    <mergeCell ref="B3:B4"/>
    <mergeCell ref="B7:C7"/>
    <mergeCell ref="B44:B49"/>
    <mergeCell ref="A1:A156"/>
    <mergeCell ref="B156:C156"/>
    <mergeCell ref="B16:B23"/>
    <mergeCell ref="B94:B98"/>
    <mergeCell ref="B60:B65"/>
    <mergeCell ref="B108:B114"/>
    <mergeCell ref="B115:B121"/>
    <mergeCell ref="B12:B15"/>
    <mergeCell ref="B50:B55"/>
    <mergeCell ref="B99:B102"/>
    <mergeCell ref="B144:B155"/>
    <mergeCell ref="B78:B88"/>
    <mergeCell ref="B103:B107"/>
    <mergeCell ref="B1:C1"/>
    <mergeCell ref="B122:B124"/>
    <mergeCell ref="B125:B143"/>
  </mergeCells>
  <phoneticPr fontId="140" type="noConversion"/>
  <conditionalFormatting sqref="F24:I24">
    <cfRule type="expression" dxfId="92" priority="32">
      <formula>F24&gt;F$2</formula>
    </cfRule>
  </conditionalFormatting>
  <conditionalFormatting sqref="F44:I44 F50:I50 F78:I78 F89:I89">
    <cfRule type="expression" dxfId="91" priority="42">
      <formula>F44&gt;F$2</formula>
    </cfRule>
  </conditionalFormatting>
  <conditionalFormatting sqref="F103:I103">
    <cfRule type="expression" dxfId="90" priority="35">
      <formula>F103&gt;F$2</formula>
    </cfRule>
  </conditionalFormatting>
  <hyperlinks>
    <hyperlink ref="B1" location="PAINEL!A1" display="VIAS" xr:uid="{00000000-0004-0000-1700-000000000000}"/>
  </hyperlinks>
  <printOptions horizontalCentered="1"/>
  <pageMargins left="0.39370078740157483" right="0.39370078740157483" top="0.55118110236220474" bottom="0.70866141732283472" header="0.23622047244094491" footer="0.23622047244094491"/>
  <pageSetup paperSize="8" scale="80" fitToWidth="4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32">
    <tabColor theme="8" tint="0.59999389629810485"/>
  </sheetPr>
  <dimension ref="A1:T149"/>
  <sheetViews>
    <sheetView showZeros="0" zoomScaleNormal="100" workbookViewId="0">
      <pane xSplit="6" ySplit="1" topLeftCell="G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2" sqref="G2"/>
    </sheetView>
  </sheetViews>
  <sheetFormatPr defaultColWidth="9" defaultRowHeight="18.75" x14ac:dyDescent="0.15"/>
  <cols>
    <col min="1" max="1" width="11.625" style="5" customWidth="1"/>
    <col min="2" max="2" width="8.625" style="9" customWidth="1"/>
    <col min="3" max="3" width="14.625" style="9" customWidth="1"/>
    <col min="4" max="4" width="35.625" style="9" customWidth="1"/>
    <col min="5" max="5" width="4.75" style="982" hidden="1" customWidth="1"/>
    <col min="6" max="6" width="10.625" style="9" hidden="1" customWidth="1"/>
    <col min="7" max="9" width="12.625" style="5" customWidth="1"/>
    <col min="10" max="10" width="12.625" style="5" hidden="1" customWidth="1"/>
    <col min="11" max="11" width="12.625" style="417" customWidth="1"/>
    <col min="12" max="12" width="18" style="5" customWidth="1"/>
    <col min="13" max="13" width="9" style="671"/>
    <col min="14" max="16384" width="9" style="5"/>
  </cols>
  <sheetData>
    <row r="1" spans="1:13" s="10" customFormat="1" ht="60" customHeight="1" thickTop="1" thickBot="1" x14ac:dyDescent="0.2">
      <c r="A1" s="2595" t="s">
        <v>1416</v>
      </c>
      <c r="B1" s="2791" t="s">
        <v>348</v>
      </c>
      <c r="C1" s="2792"/>
      <c r="D1" s="2793"/>
      <c r="E1" s="1736"/>
      <c r="F1" s="1737" t="s">
        <v>588</v>
      </c>
      <c r="G1" s="212" t="str">
        <f>Recap_Previo!F1</f>
        <v>Rua Peróba</v>
      </c>
      <c r="H1" s="212" t="str">
        <f>Recap_Previo!G1</f>
        <v>Rua Imbuia</v>
      </c>
      <c r="I1" s="212" t="str">
        <f>Recap_Previo!H1</f>
        <v>Rua Buriti</v>
      </c>
      <c r="J1" s="212"/>
      <c r="K1" s="214" t="s">
        <v>0</v>
      </c>
      <c r="L1" s="578" t="s">
        <v>1359</v>
      </c>
      <c r="M1" s="671"/>
    </row>
    <row r="2" spans="1:13" ht="21.95" customHeight="1" thickTop="1" thickBot="1" x14ac:dyDescent="0.2">
      <c r="A2" s="2596"/>
      <c r="B2" s="2794" t="s">
        <v>44</v>
      </c>
      <c r="C2" s="2795"/>
      <c r="D2" s="2796"/>
      <c r="E2" s="1487"/>
      <c r="F2" s="501"/>
      <c r="G2" s="1164">
        <f>Recap_Previo!F2</f>
        <v>0</v>
      </c>
      <c r="H2" s="1164">
        <f>Recap_Previo!G2</f>
        <v>0</v>
      </c>
      <c r="I2" s="1164">
        <f>Recap_Previo!H2</f>
        <v>0</v>
      </c>
      <c r="J2" s="1164"/>
      <c r="K2" s="1132">
        <f>ROUND(SUM(G2:J2),2)</f>
        <v>0</v>
      </c>
      <c r="L2" s="579">
        <f t="shared" ref="L2:L8" si="0">SUM(G2:K2)</f>
        <v>0</v>
      </c>
    </row>
    <row r="3" spans="1:13" ht="21.95" customHeight="1" thickBot="1" x14ac:dyDescent="0.2">
      <c r="A3" s="2596"/>
      <c r="B3" s="2797" t="s">
        <v>623</v>
      </c>
      <c r="C3" s="2798"/>
      <c r="D3" s="2799"/>
      <c r="E3" s="1488"/>
      <c r="F3" s="500"/>
      <c r="G3" s="1142">
        <f>Recap_Previo!F5</f>
        <v>7.4404444444444433</v>
      </c>
      <c r="H3" s="1142">
        <f>Recap_Previo!G5</f>
        <v>6.6664772727272732</v>
      </c>
      <c r="I3" s="1142">
        <f>Recap_Previo!H5</f>
        <v>6.5467692307692307</v>
      </c>
      <c r="J3" s="1142"/>
      <c r="K3" s="1200"/>
      <c r="L3" s="579">
        <f t="shared" si="0"/>
        <v>20.653690947940945</v>
      </c>
    </row>
    <row r="4" spans="1:13" ht="21.95" customHeight="1" thickBot="1" x14ac:dyDescent="0.2">
      <c r="A4" s="2596"/>
      <c r="B4" s="2800" t="s">
        <v>622</v>
      </c>
      <c r="C4" s="2801"/>
      <c r="D4" s="2802"/>
      <c r="E4" s="1488"/>
      <c r="F4" s="500"/>
      <c r="G4" s="1166">
        <f>Recap_Previo!F6</f>
        <v>0</v>
      </c>
      <c r="H4" s="1166">
        <f>Recap_Previo!G6</f>
        <v>0</v>
      </c>
      <c r="I4" s="1166">
        <f>Recap_Previo!H6</f>
        <v>0</v>
      </c>
      <c r="J4" s="1166"/>
      <c r="K4" s="1143">
        <f>ROUND(SUM(G4:J4),2)</f>
        <v>0</v>
      </c>
      <c r="L4" s="579">
        <f t="shared" si="0"/>
        <v>0</v>
      </c>
    </row>
    <row r="5" spans="1:13" ht="21.95" customHeight="1" x14ac:dyDescent="0.15">
      <c r="A5" s="2596"/>
      <c r="B5" s="2810" t="s">
        <v>173</v>
      </c>
      <c r="C5" s="2757"/>
      <c r="D5" s="542" t="s">
        <v>3</v>
      </c>
      <c r="E5" s="1473"/>
      <c r="F5" s="1475"/>
      <c r="G5" s="1203">
        <f t="shared" ref="G5:I6" si="1">G2</f>
        <v>0</v>
      </c>
      <c r="H5" s="1203">
        <f t="shared" si="1"/>
        <v>0</v>
      </c>
      <c r="I5" s="1203">
        <f t="shared" si="1"/>
        <v>0</v>
      </c>
      <c r="J5" s="1203"/>
      <c r="K5" s="1149">
        <f>ROUND(SUM(G5:J5),2)</f>
        <v>0</v>
      </c>
      <c r="L5" s="579">
        <f t="shared" si="0"/>
        <v>0</v>
      </c>
    </row>
    <row r="6" spans="1:13" ht="21.95" customHeight="1" x14ac:dyDescent="0.15">
      <c r="A6" s="2596"/>
      <c r="B6" s="2599"/>
      <c r="C6" s="2759"/>
      <c r="D6" s="543" t="s">
        <v>164</v>
      </c>
      <c r="E6" s="1478"/>
      <c r="F6" s="1465"/>
      <c r="G6" s="1202">
        <f t="shared" si="1"/>
        <v>7.4404444444444433</v>
      </c>
      <c r="H6" s="1202">
        <f t="shared" si="1"/>
        <v>6.6664772727272732</v>
      </c>
      <c r="I6" s="1202">
        <f t="shared" si="1"/>
        <v>6.5467692307692307</v>
      </c>
      <c r="J6" s="1202"/>
      <c r="K6" s="1149"/>
      <c r="L6" s="579">
        <f t="shared" si="0"/>
        <v>20.653690947940945</v>
      </c>
    </row>
    <row r="7" spans="1:13" ht="21.95" customHeight="1" x14ac:dyDescent="0.15">
      <c r="A7" s="2596"/>
      <c r="B7" s="2599"/>
      <c r="C7" s="2759"/>
      <c r="D7" s="1190" t="s">
        <v>1290</v>
      </c>
      <c r="E7" s="1489"/>
      <c r="F7" s="1504" t="s">
        <v>2014</v>
      </c>
      <c r="G7" s="1209">
        <v>3</v>
      </c>
      <c r="H7" s="1209">
        <v>3</v>
      </c>
      <c r="I7" s="1209">
        <v>3</v>
      </c>
      <c r="J7" s="1209"/>
      <c r="K7" s="1199"/>
      <c r="L7" s="1187">
        <f t="shared" si="0"/>
        <v>9</v>
      </c>
      <c r="M7" s="1210"/>
    </row>
    <row r="8" spans="1:13" ht="21.95" customHeight="1" x14ac:dyDescent="0.15">
      <c r="A8" s="2596"/>
      <c r="B8" s="2599"/>
      <c r="C8" s="2759"/>
      <c r="D8" s="543" t="s">
        <v>29</v>
      </c>
      <c r="E8" s="1478"/>
      <c r="F8" s="1465"/>
      <c r="G8" s="1139">
        <f t="shared" ref="G8:I8" si="2">G4</f>
        <v>0</v>
      </c>
      <c r="H8" s="1139">
        <f t="shared" si="2"/>
        <v>0</v>
      </c>
      <c r="I8" s="1139">
        <f t="shared" si="2"/>
        <v>0</v>
      </c>
      <c r="J8" s="1139"/>
      <c r="K8" s="1149">
        <f>ROUND(SUM(G8:J8),2)</f>
        <v>0</v>
      </c>
      <c r="L8" s="579">
        <f t="shared" si="0"/>
        <v>0</v>
      </c>
    </row>
    <row r="9" spans="1:13" ht="21.95" customHeight="1" x14ac:dyDescent="0.15">
      <c r="A9" s="2596"/>
      <c r="B9" s="2599"/>
      <c r="C9" s="2759"/>
      <c r="D9" s="2829" t="s">
        <v>1288</v>
      </c>
      <c r="E9" s="2830"/>
      <c r="F9" s="2831"/>
      <c r="G9" s="1083" t="str">
        <f t="shared" ref="G9:I9" si="3">IF(COUNTA(G10:G17)&gt;1,"erro","ok")</f>
        <v>ok</v>
      </c>
      <c r="H9" s="1083" t="str">
        <f t="shared" si="3"/>
        <v>ok</v>
      </c>
      <c r="I9" s="1083" t="str">
        <f t="shared" si="3"/>
        <v>ok</v>
      </c>
      <c r="J9" s="1083"/>
      <c r="K9" s="1023"/>
      <c r="L9" s="580"/>
    </row>
    <row r="10" spans="1:13" ht="21.95" customHeight="1" x14ac:dyDescent="0.15">
      <c r="A10" s="2596"/>
      <c r="B10" s="2599"/>
      <c r="C10" s="2759"/>
      <c r="D10" s="543" t="s">
        <v>727</v>
      </c>
      <c r="E10" s="1478"/>
      <c r="F10" s="1465"/>
      <c r="G10" s="1022"/>
      <c r="H10" s="1022"/>
      <c r="I10" s="1022"/>
      <c r="J10" s="1022"/>
      <c r="K10" s="493"/>
      <c r="L10" s="1017">
        <f t="shared" ref="L10:L17" si="4">COUNTA(G10:J10)-COUNTIF(G10:J10,0)</f>
        <v>0</v>
      </c>
    </row>
    <row r="11" spans="1:13" ht="21.95" customHeight="1" x14ac:dyDescent="0.15">
      <c r="A11" s="2596"/>
      <c r="B11" s="2599"/>
      <c r="C11" s="2759"/>
      <c r="D11" s="543" t="s">
        <v>715</v>
      </c>
      <c r="E11" s="1478"/>
      <c r="F11" s="1465"/>
      <c r="G11" s="1022"/>
      <c r="H11" s="1022"/>
      <c r="I11" s="1022"/>
      <c r="J11" s="1022"/>
      <c r="K11" s="589"/>
      <c r="L11" s="1017">
        <f t="shared" si="4"/>
        <v>0</v>
      </c>
    </row>
    <row r="12" spans="1:13" ht="21.95" customHeight="1" x14ac:dyDescent="0.15">
      <c r="A12" s="2596"/>
      <c r="B12" s="2599"/>
      <c r="C12" s="2759"/>
      <c r="D12" s="543" t="s">
        <v>716</v>
      </c>
      <c r="E12" s="1478"/>
      <c r="F12" s="1465"/>
      <c r="G12" s="1022"/>
      <c r="H12" s="1022"/>
      <c r="I12" s="1022"/>
      <c r="J12" s="1022"/>
      <c r="K12" s="589"/>
      <c r="L12" s="1017">
        <f t="shared" si="4"/>
        <v>0</v>
      </c>
    </row>
    <row r="13" spans="1:13" ht="21.95" customHeight="1" x14ac:dyDescent="0.15">
      <c r="A13" s="2596"/>
      <c r="B13" s="2599"/>
      <c r="C13" s="2759"/>
      <c r="D13" s="543" t="s">
        <v>353</v>
      </c>
      <c r="E13" s="1478"/>
      <c r="F13" s="1465"/>
      <c r="G13" s="1022"/>
      <c r="H13" s="1022"/>
      <c r="I13" s="1022"/>
      <c r="J13" s="1022"/>
      <c r="K13" s="589"/>
      <c r="L13" s="1017">
        <f t="shared" si="4"/>
        <v>0</v>
      </c>
    </row>
    <row r="14" spans="1:13" ht="21.95" customHeight="1" x14ac:dyDescent="0.15">
      <c r="A14" s="2596"/>
      <c r="B14" s="2599"/>
      <c r="C14" s="2759"/>
      <c r="D14" s="543" t="s">
        <v>1286</v>
      </c>
      <c r="E14" s="1478"/>
      <c r="F14" s="1465"/>
      <c r="G14" s="1022" t="s">
        <v>312</v>
      </c>
      <c r="H14" s="1022" t="s">
        <v>312</v>
      </c>
      <c r="I14" s="1022" t="s">
        <v>312</v>
      </c>
      <c r="J14" s="1022"/>
      <c r="K14" s="589"/>
      <c r="L14" s="1017">
        <f t="shared" si="4"/>
        <v>3</v>
      </c>
    </row>
    <row r="15" spans="1:13" ht="21.95" customHeight="1" x14ac:dyDescent="0.15">
      <c r="A15" s="2596"/>
      <c r="B15" s="2599"/>
      <c r="C15" s="2759"/>
      <c r="D15" s="543" t="s">
        <v>688</v>
      </c>
      <c r="E15" s="1478"/>
      <c r="F15" s="1465"/>
      <c r="G15" s="1022"/>
      <c r="H15" s="1022"/>
      <c r="I15" s="1022"/>
      <c r="J15" s="1022"/>
      <c r="K15" s="798"/>
      <c r="L15" s="1017">
        <f t="shared" si="4"/>
        <v>0</v>
      </c>
    </row>
    <row r="16" spans="1:13" ht="21.95" customHeight="1" x14ac:dyDescent="0.15">
      <c r="A16" s="2596"/>
      <c r="B16" s="2599"/>
      <c r="C16" s="2759"/>
      <c r="D16" s="543" t="s">
        <v>1287</v>
      </c>
      <c r="E16" s="1478"/>
      <c r="F16" s="1465"/>
      <c r="G16" s="1022"/>
      <c r="H16" s="1022"/>
      <c r="I16" s="1022"/>
      <c r="J16" s="1022"/>
      <c r="K16" s="589"/>
      <c r="L16" s="1017">
        <f t="shared" si="4"/>
        <v>0</v>
      </c>
    </row>
    <row r="17" spans="1:13" ht="21.95" customHeight="1" thickBot="1" x14ac:dyDescent="0.2">
      <c r="A17" s="2596"/>
      <c r="B17" s="2811"/>
      <c r="C17" s="2758"/>
      <c r="D17" s="546" t="s">
        <v>731</v>
      </c>
      <c r="E17" s="1479"/>
      <c r="F17" s="1476"/>
      <c r="G17" s="1738"/>
      <c r="H17" s="1738"/>
      <c r="I17" s="1738"/>
      <c r="J17" s="1738"/>
      <c r="K17" s="1739"/>
      <c r="L17" s="1017">
        <f t="shared" si="4"/>
        <v>0</v>
      </c>
    </row>
    <row r="18" spans="1:13" ht="21.95" customHeight="1" x14ac:dyDescent="0.15">
      <c r="A18" s="2596"/>
      <c r="B18" s="2810" t="s">
        <v>2020</v>
      </c>
      <c r="C18" s="2757"/>
      <c r="D18" s="544" t="s">
        <v>1286</v>
      </c>
      <c r="E18" s="1478"/>
      <c r="F18" s="2837" t="s">
        <v>2025</v>
      </c>
      <c r="G18" s="1022"/>
      <c r="H18" s="1022"/>
      <c r="I18" s="1022"/>
      <c r="J18" s="1022"/>
      <c r="K18" s="589"/>
      <c r="L18" s="1017"/>
    </row>
    <row r="19" spans="1:13" ht="21.95" customHeight="1" x14ac:dyDescent="0.15">
      <c r="A19" s="2596"/>
      <c r="B19" s="2599"/>
      <c r="C19" s="2759"/>
      <c r="D19" s="543" t="s">
        <v>688</v>
      </c>
      <c r="E19" s="1478"/>
      <c r="F19" s="2838"/>
      <c r="G19" s="1022"/>
      <c r="H19" s="1022"/>
      <c r="I19" s="1022"/>
      <c r="J19" s="1022"/>
      <c r="K19" s="589"/>
      <c r="L19" s="1017"/>
    </row>
    <row r="20" spans="1:13" ht="21.95" customHeight="1" x14ac:dyDescent="0.15">
      <c r="A20" s="2596"/>
      <c r="B20" s="2599"/>
      <c r="C20" s="2759"/>
      <c r="D20" s="543" t="s">
        <v>910</v>
      </c>
      <c r="E20" s="1478"/>
      <c r="F20" s="2838"/>
      <c r="G20" s="1022"/>
      <c r="H20" s="1022"/>
      <c r="I20" s="1022"/>
      <c r="J20" s="1022"/>
      <c r="K20" s="589"/>
      <c r="L20" s="1017"/>
    </row>
    <row r="21" spans="1:13" ht="21.95" customHeight="1" thickBot="1" x14ac:dyDescent="0.2">
      <c r="A21" s="2596"/>
      <c r="B21" s="2811"/>
      <c r="C21" s="2758"/>
      <c r="D21" s="1071" t="s">
        <v>731</v>
      </c>
      <c r="E21" s="1478"/>
      <c r="F21" s="2839"/>
      <c r="G21" s="1022"/>
      <c r="H21" s="1022"/>
      <c r="I21" s="1022"/>
      <c r="J21" s="1022"/>
      <c r="K21" s="589"/>
      <c r="L21" s="1017"/>
    </row>
    <row r="22" spans="1:13" s="6" customFormat="1" ht="21.95" customHeight="1" x14ac:dyDescent="0.15">
      <c r="A22" s="2596"/>
      <c r="B22" s="2810" t="s">
        <v>1275</v>
      </c>
      <c r="C22" s="2757"/>
      <c r="D22" s="542" t="s">
        <v>3</v>
      </c>
      <c r="E22" s="1473"/>
      <c r="F22" s="2834" t="s">
        <v>2015</v>
      </c>
      <c r="G22" s="1137"/>
      <c r="H22" s="1137"/>
      <c r="I22" s="1137"/>
      <c r="J22" s="1137"/>
      <c r="K22" s="1201">
        <f>SUM(G22:J22)</f>
        <v>0</v>
      </c>
      <c r="L22" s="579">
        <f>SUM(G22:K22)</f>
        <v>0</v>
      </c>
      <c r="M22" s="671"/>
    </row>
    <row r="23" spans="1:13" s="6" customFormat="1" ht="21.95" customHeight="1" x14ac:dyDescent="0.15">
      <c r="A23" s="2596"/>
      <c r="B23" s="2599"/>
      <c r="C23" s="2759"/>
      <c r="D23" s="543" t="s">
        <v>164</v>
      </c>
      <c r="E23" s="1478"/>
      <c r="F23" s="2835"/>
      <c r="G23" s="1139">
        <f>Recap_Previo!F45</f>
        <v>0</v>
      </c>
      <c r="H23" s="1139">
        <f>Recap_Previo!G45</f>
        <v>0</v>
      </c>
      <c r="I23" s="1139">
        <f>Recap_Previo!H45</f>
        <v>0</v>
      </c>
      <c r="J23" s="1139"/>
      <c r="K23" s="1149"/>
      <c r="L23" s="579">
        <f>SUM(G23:K23)</f>
        <v>0</v>
      </c>
      <c r="M23" s="671"/>
    </row>
    <row r="24" spans="1:13" s="6" customFormat="1" ht="21.95" customHeight="1" x14ac:dyDescent="0.15">
      <c r="A24" s="2596"/>
      <c r="B24" s="2599"/>
      <c r="C24" s="2759"/>
      <c r="D24" s="543" t="s">
        <v>29</v>
      </c>
      <c r="E24" s="1478"/>
      <c r="F24" s="2835"/>
      <c r="G24" s="1139">
        <f t="shared" ref="G24:I24" si="5">G23*G22</f>
        <v>0</v>
      </c>
      <c r="H24" s="1139">
        <f t="shared" si="5"/>
        <v>0</v>
      </c>
      <c r="I24" s="1139">
        <f t="shared" si="5"/>
        <v>0</v>
      </c>
      <c r="J24" s="1139"/>
      <c r="K24" s="1149">
        <f>SUM(G24:J24)</f>
        <v>0</v>
      </c>
      <c r="L24" s="579">
        <f>SUM(G24:K24)</f>
        <v>0</v>
      </c>
      <c r="M24" s="671"/>
    </row>
    <row r="25" spans="1:13" s="6" customFormat="1" ht="21.95" customHeight="1" x14ac:dyDescent="0.15">
      <c r="A25" s="2596"/>
      <c r="B25" s="2599"/>
      <c r="C25" s="2759"/>
      <c r="D25" s="1190" t="s">
        <v>2016</v>
      </c>
      <c r="E25" s="1478"/>
      <c r="F25" s="2835"/>
      <c r="G25" s="1139">
        <f>Recap_Previo!F46</f>
        <v>0</v>
      </c>
      <c r="H25" s="1139">
        <f>Recap_Previo!G46</f>
        <v>0</v>
      </c>
      <c r="I25" s="1139">
        <f>Recap_Previo!H46</f>
        <v>0</v>
      </c>
      <c r="J25" s="1139"/>
      <c r="K25" s="1149"/>
      <c r="L25" s="579">
        <f>SUM(G25:K25)</f>
        <v>0</v>
      </c>
      <c r="M25" s="671"/>
    </row>
    <row r="26" spans="1:13" s="1211" customFormat="1" ht="21.95" customHeight="1" x14ac:dyDescent="0.15">
      <c r="A26" s="2596"/>
      <c r="B26" s="2599"/>
      <c r="C26" s="2759"/>
      <c r="D26" s="1190" t="s">
        <v>2022</v>
      </c>
      <c r="E26" s="1489"/>
      <c r="F26" s="2832" t="s">
        <v>2017</v>
      </c>
      <c r="G26" s="1209"/>
      <c r="H26" s="1209"/>
      <c r="I26" s="1209"/>
      <c r="J26" s="1209"/>
      <c r="K26" s="1199"/>
      <c r="L26" s="579">
        <f>SUM(G26:K26)</f>
        <v>0</v>
      </c>
      <c r="M26" s="1210"/>
    </row>
    <row r="27" spans="1:13" s="6" customFormat="1" ht="21.95" customHeight="1" thickBot="1" x14ac:dyDescent="0.2">
      <c r="A27" s="2596"/>
      <c r="B27" s="2599"/>
      <c r="C27" s="2759"/>
      <c r="D27" s="543" t="s">
        <v>1285</v>
      </c>
      <c r="E27" s="1478"/>
      <c r="F27" s="2832"/>
      <c r="G27" s="1022"/>
      <c r="H27" s="1022"/>
      <c r="I27" s="1022"/>
      <c r="J27" s="1022"/>
      <c r="K27" s="493"/>
      <c r="L27" s="1017">
        <f>COUNTA(G27:J27)-COUNTIF(G27:J27,0)</f>
        <v>0</v>
      </c>
      <c r="M27" s="671"/>
    </row>
    <row r="28" spans="1:13" s="6" customFormat="1" ht="21.95" customHeight="1" x14ac:dyDescent="0.15">
      <c r="A28" s="2596"/>
      <c r="B28" s="2810" t="s">
        <v>1306</v>
      </c>
      <c r="C28" s="2840"/>
      <c r="D28" s="542" t="s">
        <v>3</v>
      </c>
      <c r="E28" s="1473"/>
      <c r="F28" s="2834" t="s">
        <v>2019</v>
      </c>
      <c r="G28" s="1137">
        <f>IF(Recap_Previo!F55="S",Recap_Previo!F50,0)</f>
        <v>0</v>
      </c>
      <c r="H28" s="1137">
        <f>IF(Recap_Previo!G55="S",Recap_Previo!G50,0)</f>
        <v>0</v>
      </c>
      <c r="I28" s="1137">
        <f>IF(Recap_Previo!H55="S",Recap_Previo!H50,0)</f>
        <v>0</v>
      </c>
      <c r="J28" s="1137"/>
      <c r="K28" s="1201">
        <f>SUM(G28:J28)</f>
        <v>0</v>
      </c>
      <c r="L28" s="579">
        <f>SUM(G28:K28)</f>
        <v>0</v>
      </c>
      <c r="M28" s="671"/>
    </row>
    <row r="29" spans="1:13" s="6" customFormat="1" ht="21.95" customHeight="1" x14ac:dyDescent="0.15">
      <c r="A29" s="2596"/>
      <c r="B29" s="2599"/>
      <c r="C29" s="2841"/>
      <c r="D29" s="543" t="s">
        <v>164</v>
      </c>
      <c r="E29" s="1478"/>
      <c r="F29" s="2835"/>
      <c r="G29" s="1139">
        <f>IF(G28=0,0,Recap_Previo!F51)</f>
        <v>0</v>
      </c>
      <c r="H29" s="1139">
        <f>IF(H28=0,0,Recap_Previo!G51)</f>
        <v>0</v>
      </c>
      <c r="I29" s="1139">
        <f>IF(I28=0,0,Recap_Previo!H51)</f>
        <v>0</v>
      </c>
      <c r="J29" s="1139"/>
      <c r="K29" s="1149"/>
      <c r="L29" s="579">
        <f>SUM(G29:K29)</f>
        <v>0</v>
      </c>
      <c r="M29" s="671"/>
    </row>
    <row r="30" spans="1:13" s="6" customFormat="1" ht="21.95" customHeight="1" thickBot="1" x14ac:dyDescent="0.2">
      <c r="A30" s="2596"/>
      <c r="B30" s="2599"/>
      <c r="C30" s="2841"/>
      <c r="D30" s="543" t="s">
        <v>29</v>
      </c>
      <c r="E30" s="1478"/>
      <c r="F30" s="2835"/>
      <c r="G30" s="1139">
        <f t="shared" ref="G30:I30" si="6">G29*G28</f>
        <v>0</v>
      </c>
      <c r="H30" s="1139">
        <f t="shared" si="6"/>
        <v>0</v>
      </c>
      <c r="I30" s="1139">
        <f t="shared" si="6"/>
        <v>0</v>
      </c>
      <c r="J30" s="1139"/>
      <c r="K30" s="1149">
        <f>SUM(G30:J30)</f>
        <v>0</v>
      </c>
      <c r="L30" s="579">
        <f>SUM(G30:K30)</f>
        <v>0</v>
      </c>
      <c r="M30" s="671"/>
    </row>
    <row r="31" spans="1:13" s="1211" customFormat="1" ht="21.95" customHeight="1" thickBot="1" x14ac:dyDescent="0.2">
      <c r="A31" s="2596"/>
      <c r="B31" s="2810"/>
      <c r="C31" s="2757"/>
      <c r="D31" s="1190" t="s">
        <v>2022</v>
      </c>
      <c r="E31" s="1489"/>
      <c r="F31" s="2833" t="s">
        <v>2017</v>
      </c>
      <c r="G31" s="1209"/>
      <c r="H31" s="1209"/>
      <c r="I31" s="1209"/>
      <c r="J31" s="1209"/>
      <c r="K31" s="1199"/>
      <c r="L31" s="1187">
        <f>SUM(G31:K31)</f>
        <v>0</v>
      </c>
      <c r="M31" s="1210"/>
    </row>
    <row r="32" spans="1:13" s="6" customFormat="1" ht="21.95" customHeight="1" thickBot="1" x14ac:dyDescent="0.2">
      <c r="A32" s="2596"/>
      <c r="B32" s="2810"/>
      <c r="C32" s="2757"/>
      <c r="D32" s="546" t="s">
        <v>1285</v>
      </c>
      <c r="E32" s="1478"/>
      <c r="F32" s="2833"/>
      <c r="G32" s="1022"/>
      <c r="H32" s="1022"/>
      <c r="I32" s="1022"/>
      <c r="J32" s="1022"/>
      <c r="K32" s="493"/>
      <c r="L32" s="1017">
        <f>COUNTA(G32:J32)-COUNTIF(G32:J32,0)</f>
        <v>0</v>
      </c>
      <c r="M32" s="671"/>
    </row>
    <row r="33" spans="1:13" s="6" customFormat="1" ht="21.95" customHeight="1" x14ac:dyDescent="0.15">
      <c r="A33" s="2596"/>
      <c r="B33" s="2810" t="s">
        <v>1276</v>
      </c>
      <c r="C33" s="2757"/>
      <c r="D33" s="544" t="s">
        <v>3</v>
      </c>
      <c r="E33" s="1473"/>
      <c r="F33" s="2834" t="s">
        <v>2024</v>
      </c>
      <c r="G33" s="1137">
        <f>IF(G36="sim",Recap_Previo!F78,0)</f>
        <v>0</v>
      </c>
      <c r="H33" s="1137">
        <f>IF(H36="sim",Recap_Previo!G78,0)</f>
        <v>0</v>
      </c>
      <c r="I33" s="1137">
        <f>IF(I36="sim",Recap_Previo!H78,0)</f>
        <v>0</v>
      </c>
      <c r="J33" s="1137"/>
      <c r="K33" s="1201"/>
      <c r="L33" s="579">
        <f>SUM(G33:K33)</f>
        <v>0</v>
      </c>
      <c r="M33" s="671"/>
    </row>
    <row r="34" spans="1:13" s="6" customFormat="1" ht="21.95" customHeight="1" x14ac:dyDescent="0.15">
      <c r="A34" s="2596"/>
      <c r="B34" s="2599"/>
      <c r="C34" s="2759"/>
      <c r="D34" s="543" t="s">
        <v>164</v>
      </c>
      <c r="E34" s="1478"/>
      <c r="F34" s="2835"/>
      <c r="G34" s="1139">
        <f>IF(G33=0,0,Recap_Previo!F79)</f>
        <v>0</v>
      </c>
      <c r="H34" s="1139">
        <f>IF(H33=0,0,Recap_Previo!G79)</f>
        <v>0</v>
      </c>
      <c r="I34" s="1139">
        <f>IF(I33=0,0,Recap_Previo!H79)</f>
        <v>0</v>
      </c>
      <c r="J34" s="1139"/>
      <c r="K34" s="1149"/>
      <c r="L34" s="579">
        <f>SUM(G34:K34)</f>
        <v>0</v>
      </c>
      <c r="M34" s="671"/>
    </row>
    <row r="35" spans="1:13" s="6" customFormat="1" ht="21.95" customHeight="1" x14ac:dyDescent="0.15">
      <c r="A35" s="2596"/>
      <c r="B35" s="2599"/>
      <c r="C35" s="2759"/>
      <c r="D35" s="543" t="s">
        <v>29</v>
      </c>
      <c r="E35" s="1478"/>
      <c r="F35" s="2835"/>
      <c r="G35" s="1139">
        <f t="shared" ref="G35:I35" si="7">G34*G33</f>
        <v>0</v>
      </c>
      <c r="H35" s="1139">
        <f t="shared" si="7"/>
        <v>0</v>
      </c>
      <c r="I35" s="1139">
        <f t="shared" si="7"/>
        <v>0</v>
      </c>
      <c r="J35" s="1139"/>
      <c r="K35" s="1149"/>
      <c r="L35" s="579">
        <f>SUM(G35:K35)</f>
        <v>0</v>
      </c>
      <c r="M35" s="671"/>
    </row>
    <row r="36" spans="1:13" s="6" customFormat="1" ht="32.1" customHeight="1" x14ac:dyDescent="0.15">
      <c r="A36" s="2596"/>
      <c r="B36" s="2599"/>
      <c r="C36" s="2759"/>
      <c r="D36" s="543" t="s">
        <v>2023</v>
      </c>
      <c r="E36" s="1478"/>
      <c r="F36" s="2833" t="s">
        <v>2017</v>
      </c>
      <c r="G36" s="1022"/>
      <c r="H36" s="1022"/>
      <c r="I36" s="1022"/>
      <c r="J36" s="1022"/>
      <c r="K36" s="496"/>
      <c r="L36" s="580"/>
      <c r="M36" s="671"/>
    </row>
    <row r="37" spans="1:13" s="1211" customFormat="1" ht="21.95" customHeight="1" x14ac:dyDescent="0.15">
      <c r="A37" s="2596"/>
      <c r="B37" s="2599"/>
      <c r="C37" s="2759"/>
      <c r="D37" s="1190" t="s">
        <v>1246</v>
      </c>
      <c r="E37" s="1489"/>
      <c r="F37" s="2833"/>
      <c r="G37" s="1209"/>
      <c r="H37" s="1209"/>
      <c r="I37" s="1209"/>
      <c r="J37" s="1209"/>
      <c r="K37" s="1199"/>
      <c r="L37" s="1187">
        <f>SUM(G37:K37)</f>
        <v>0</v>
      </c>
      <c r="M37" s="1210"/>
    </row>
    <row r="38" spans="1:13" s="6" customFormat="1" ht="21.95" customHeight="1" thickBot="1" x14ac:dyDescent="0.2">
      <c r="A38" s="2596"/>
      <c r="B38" s="2599"/>
      <c r="C38" s="2759"/>
      <c r="D38" s="543" t="s">
        <v>1285</v>
      </c>
      <c r="E38" s="1478"/>
      <c r="F38" s="2836"/>
      <c r="G38" s="1022"/>
      <c r="H38" s="1022"/>
      <c r="I38" s="1022"/>
      <c r="J38" s="1022"/>
      <c r="K38" s="493"/>
      <c r="L38" s="1017">
        <f>COUNTA(G38:J38)-COUNTIF(G38:J38,0)</f>
        <v>0</v>
      </c>
      <c r="M38" s="671"/>
    </row>
    <row r="39" spans="1:13" s="6" customFormat="1" ht="21.95" customHeight="1" x14ac:dyDescent="0.15">
      <c r="A39" s="2596"/>
      <c r="B39" s="2616" t="s">
        <v>1791</v>
      </c>
      <c r="C39" s="2805"/>
      <c r="D39" s="542" t="s">
        <v>29</v>
      </c>
      <c r="E39" s="1473"/>
      <c r="F39" s="1465"/>
      <c r="G39" s="1137">
        <f t="shared" ref="G39:I39" si="8">IF(G10="sim",G8,0)</f>
        <v>0</v>
      </c>
      <c r="H39" s="1137">
        <f t="shared" si="8"/>
        <v>0</v>
      </c>
      <c r="I39" s="1137">
        <f t="shared" si="8"/>
        <v>0</v>
      </c>
      <c r="J39" s="1137"/>
      <c r="K39" s="1204">
        <f>ROUND(SUM(G39:J39),2)</f>
        <v>0</v>
      </c>
      <c r="L39" s="579">
        <f t="shared" ref="L39:L48" si="9">SUM(G39:K39)</f>
        <v>0</v>
      </c>
      <c r="M39" s="671"/>
    </row>
    <row r="40" spans="1:13" s="6" customFormat="1" ht="21.95" customHeight="1" x14ac:dyDescent="0.15">
      <c r="A40" s="2596"/>
      <c r="B40" s="2617"/>
      <c r="C40" s="2807"/>
      <c r="D40" s="543" t="s">
        <v>728</v>
      </c>
      <c r="E40" s="1478"/>
      <c r="F40" s="1465"/>
      <c r="G40" s="1139">
        <f t="shared" ref="G40:I40" si="10">G39*0.01212</f>
        <v>0</v>
      </c>
      <c r="H40" s="1139">
        <f t="shared" si="10"/>
        <v>0</v>
      </c>
      <c r="I40" s="1139">
        <f t="shared" si="10"/>
        <v>0</v>
      </c>
      <c r="J40" s="1139"/>
      <c r="K40" s="1149">
        <f>SUM(G40:J40)</f>
        <v>0</v>
      </c>
      <c r="L40" s="579">
        <f t="shared" si="9"/>
        <v>0</v>
      </c>
      <c r="M40" s="671"/>
    </row>
    <row r="41" spans="1:13" s="6" customFormat="1" ht="21.95" customHeight="1" thickBot="1" x14ac:dyDescent="0.2">
      <c r="A41" s="2596"/>
      <c r="B41" s="2618"/>
      <c r="C41" s="2806"/>
      <c r="D41" s="546" t="s">
        <v>1406</v>
      </c>
      <c r="E41" s="1479"/>
      <c r="F41" s="1476"/>
      <c r="G41" s="1135">
        <f t="shared" ref="G41:I41" si="11">G39*0.00194</f>
        <v>0</v>
      </c>
      <c r="H41" s="1135">
        <f t="shared" si="11"/>
        <v>0</v>
      </c>
      <c r="I41" s="1135">
        <f t="shared" si="11"/>
        <v>0</v>
      </c>
      <c r="J41" s="1135"/>
      <c r="K41" s="1149">
        <f>SUM(G41:J41)</f>
        <v>0</v>
      </c>
      <c r="L41" s="579">
        <f t="shared" si="9"/>
        <v>0</v>
      </c>
      <c r="M41" s="671"/>
    </row>
    <row r="42" spans="1:13" s="6" customFormat="1" ht="21.95" customHeight="1" x14ac:dyDescent="0.15">
      <c r="A42" s="2596"/>
      <c r="B42" s="2616" t="s">
        <v>1792</v>
      </c>
      <c r="C42" s="2805"/>
      <c r="D42" s="542" t="s">
        <v>29</v>
      </c>
      <c r="E42" s="1473"/>
      <c r="F42" s="1475"/>
      <c r="G42" s="1137">
        <f t="shared" ref="G42:I42" si="12">IF(G11="sim",G8,0)</f>
        <v>0</v>
      </c>
      <c r="H42" s="1137">
        <f t="shared" si="12"/>
        <v>0</v>
      </c>
      <c r="I42" s="1137">
        <f t="shared" si="12"/>
        <v>0</v>
      </c>
      <c r="J42" s="1137"/>
      <c r="K42" s="1204">
        <f>ROUND(SUM(G42:J42),2)</f>
        <v>0</v>
      </c>
      <c r="L42" s="579">
        <f t="shared" si="9"/>
        <v>0</v>
      </c>
      <c r="M42" s="671"/>
    </row>
    <row r="43" spans="1:13" s="6" customFormat="1" ht="21.95" customHeight="1" x14ac:dyDescent="0.15">
      <c r="A43" s="2596"/>
      <c r="B43" s="2617"/>
      <c r="C43" s="2807"/>
      <c r="D43" s="543" t="s">
        <v>729</v>
      </c>
      <c r="E43" s="1478"/>
      <c r="F43" s="1465"/>
      <c r="G43" s="1139">
        <f t="shared" ref="G43:I43" si="13">G42*0.022725</f>
        <v>0</v>
      </c>
      <c r="H43" s="1139">
        <f t="shared" si="13"/>
        <v>0</v>
      </c>
      <c r="I43" s="1139">
        <f t="shared" si="13"/>
        <v>0</v>
      </c>
      <c r="J43" s="1139"/>
      <c r="K43" s="1149">
        <f>SUM(G43:J43)</f>
        <v>0</v>
      </c>
      <c r="L43" s="579">
        <f t="shared" si="9"/>
        <v>0</v>
      </c>
      <c r="M43" s="671"/>
    </row>
    <row r="44" spans="1:13" s="6" customFormat="1" ht="21.95" customHeight="1" thickBot="1" x14ac:dyDescent="0.2">
      <c r="A44" s="2596"/>
      <c r="B44" s="2618"/>
      <c r="C44" s="2806"/>
      <c r="D44" s="546" t="s">
        <v>1407</v>
      </c>
      <c r="E44" s="1479"/>
      <c r="F44" s="1476"/>
      <c r="G44" s="1135">
        <f t="shared" ref="G44:I44" si="14">G42*0.0032</f>
        <v>0</v>
      </c>
      <c r="H44" s="1135">
        <f t="shared" si="14"/>
        <v>0</v>
      </c>
      <c r="I44" s="1135">
        <f t="shared" si="14"/>
        <v>0</v>
      </c>
      <c r="J44" s="1135"/>
      <c r="K44" s="1149">
        <f>SUM(G44:J44)</f>
        <v>0</v>
      </c>
      <c r="L44" s="579">
        <f t="shared" si="9"/>
        <v>0</v>
      </c>
      <c r="M44" s="671"/>
    </row>
    <row r="45" spans="1:13" s="6" customFormat="1" ht="21.95" customHeight="1" x14ac:dyDescent="0.15">
      <c r="A45" s="2596"/>
      <c r="B45" s="2616" t="s">
        <v>1793</v>
      </c>
      <c r="C45" s="2805"/>
      <c r="D45" s="542" t="s">
        <v>29</v>
      </c>
      <c r="E45" s="1473"/>
      <c r="F45" s="1475"/>
      <c r="G45" s="1137">
        <f t="shared" ref="G45:I45" si="15">IF(G12="sim",G8,0)</f>
        <v>0</v>
      </c>
      <c r="H45" s="1137">
        <f t="shared" si="15"/>
        <v>0</v>
      </c>
      <c r="I45" s="1137">
        <f t="shared" si="15"/>
        <v>0</v>
      </c>
      <c r="J45" s="1137"/>
      <c r="K45" s="1204">
        <f>ROUND(SUM(G45:J45),2)</f>
        <v>0</v>
      </c>
      <c r="L45" s="579">
        <f t="shared" si="9"/>
        <v>0</v>
      </c>
      <c r="M45" s="671"/>
    </row>
    <row r="46" spans="1:13" s="6" customFormat="1" ht="21.95" customHeight="1" x14ac:dyDescent="0.15">
      <c r="A46" s="2596"/>
      <c r="B46" s="2617"/>
      <c r="C46" s="2807"/>
      <c r="D46" s="543" t="s">
        <v>730</v>
      </c>
      <c r="E46" s="1478"/>
      <c r="F46" s="1465"/>
      <c r="G46" s="1139">
        <f t="shared" ref="G46:I46" si="16">G45*0.0303</f>
        <v>0</v>
      </c>
      <c r="H46" s="1139">
        <f t="shared" si="16"/>
        <v>0</v>
      </c>
      <c r="I46" s="1139">
        <f t="shared" si="16"/>
        <v>0</v>
      </c>
      <c r="J46" s="1139"/>
      <c r="K46" s="1149">
        <f>SUM(G46:J46)</f>
        <v>0</v>
      </c>
      <c r="L46" s="579">
        <f t="shared" si="9"/>
        <v>0</v>
      </c>
      <c r="M46" s="671"/>
    </row>
    <row r="47" spans="1:13" s="6" customFormat="1" ht="21.95" customHeight="1" thickBot="1" x14ac:dyDescent="0.2">
      <c r="A47" s="2596"/>
      <c r="B47" s="2618"/>
      <c r="C47" s="2806"/>
      <c r="D47" s="546" t="s">
        <v>1408</v>
      </c>
      <c r="E47" s="1479"/>
      <c r="F47" s="1476"/>
      <c r="G47" s="1135">
        <f t="shared" ref="G47:I47" si="17">G45*0.0039</f>
        <v>0</v>
      </c>
      <c r="H47" s="1135">
        <f t="shared" si="17"/>
        <v>0</v>
      </c>
      <c r="I47" s="1135">
        <f t="shared" si="17"/>
        <v>0</v>
      </c>
      <c r="J47" s="1135"/>
      <c r="K47" s="1149">
        <f>SUM(G47:J47)</f>
        <v>0</v>
      </c>
      <c r="L47" s="579">
        <f t="shared" si="9"/>
        <v>0</v>
      </c>
      <c r="M47" s="671"/>
    </row>
    <row r="48" spans="1:13" s="6" customFormat="1" ht="21.95" customHeight="1" x14ac:dyDescent="0.15">
      <c r="A48" s="2596"/>
      <c r="B48" s="2810" t="s">
        <v>1289</v>
      </c>
      <c r="C48" s="2757"/>
      <c r="D48" s="542" t="s">
        <v>29</v>
      </c>
      <c r="E48" s="1473"/>
      <c r="F48" s="1465"/>
      <c r="G48" s="1139">
        <f>IF(G13="SIM",#REF!+G8,0)</f>
        <v>0</v>
      </c>
      <c r="H48" s="1139">
        <f>IF(H13="SIM",#REF!+H8,0)</f>
        <v>0</v>
      </c>
      <c r="I48" s="1139">
        <f>IF(I13="SIM",#REF!+I8,0)</f>
        <v>0</v>
      </c>
      <c r="J48" s="1139"/>
      <c r="K48" s="1204">
        <f t="shared" ref="K48:K69" si="18">ROUND(SUM(G48:J48),2)</f>
        <v>0</v>
      </c>
      <c r="L48" s="579">
        <f t="shared" si="9"/>
        <v>0</v>
      </c>
      <c r="M48" s="671"/>
    </row>
    <row r="49" spans="1:13" s="6" customFormat="1" ht="21.95" customHeight="1" x14ac:dyDescent="0.15">
      <c r="A49" s="2596"/>
      <c r="B49" s="2599"/>
      <c r="C49" s="2759"/>
      <c r="D49" s="544" t="s">
        <v>1277</v>
      </c>
      <c r="E49" s="1478"/>
      <c r="F49" s="1465"/>
      <c r="G49" s="1139">
        <f t="shared" ref="G49:I49" si="19">G48*0.006</f>
        <v>0</v>
      </c>
      <c r="H49" s="1139">
        <f t="shared" si="19"/>
        <v>0</v>
      </c>
      <c r="I49" s="1139">
        <f t="shared" si="19"/>
        <v>0</v>
      </c>
      <c r="J49" s="1139"/>
      <c r="K49" s="1149">
        <f t="shared" si="18"/>
        <v>0</v>
      </c>
      <c r="L49" s="579"/>
      <c r="M49" s="671"/>
    </row>
    <row r="50" spans="1:13" s="6" customFormat="1" ht="21.95" customHeight="1" x14ac:dyDescent="0.15">
      <c r="A50" s="2596"/>
      <c r="B50" s="2599"/>
      <c r="C50" s="2759"/>
      <c r="D50" s="543" t="s">
        <v>1278</v>
      </c>
      <c r="E50" s="1478"/>
      <c r="F50" s="1465"/>
      <c r="G50" s="1139">
        <f t="shared" ref="G50:I50" si="20">G48*0.0223</f>
        <v>0</v>
      </c>
      <c r="H50" s="1139">
        <f t="shared" si="20"/>
        <v>0</v>
      </c>
      <c r="I50" s="1139">
        <f t="shared" si="20"/>
        <v>0</v>
      </c>
      <c r="J50" s="1139"/>
      <c r="K50" s="1149">
        <f t="shared" si="18"/>
        <v>0</v>
      </c>
      <c r="L50" s="579">
        <f t="shared" ref="L50:L63" si="21">SUM(G50:K50)</f>
        <v>0</v>
      </c>
      <c r="M50" s="671"/>
    </row>
    <row r="51" spans="1:13" s="6" customFormat="1" ht="21.95" customHeight="1" thickBot="1" x14ac:dyDescent="0.2">
      <c r="A51" s="2596"/>
      <c r="B51" s="2811"/>
      <c r="C51" s="2758"/>
      <c r="D51" s="546" t="s">
        <v>1411</v>
      </c>
      <c r="E51" s="1479"/>
      <c r="F51" s="1465"/>
      <c r="G51" s="1139">
        <f t="shared" ref="G51:I51" si="22">G48*0.0048</f>
        <v>0</v>
      </c>
      <c r="H51" s="1139">
        <f t="shared" si="22"/>
        <v>0</v>
      </c>
      <c r="I51" s="1139">
        <f t="shared" si="22"/>
        <v>0</v>
      </c>
      <c r="J51" s="1139"/>
      <c r="K51" s="1136">
        <f t="shared" si="18"/>
        <v>0</v>
      </c>
      <c r="L51" s="579">
        <f t="shared" si="21"/>
        <v>0</v>
      </c>
      <c r="M51" s="671"/>
    </row>
    <row r="52" spans="1:13" ht="21.95" customHeight="1" x14ac:dyDescent="0.15">
      <c r="A52" s="2596"/>
      <c r="B52" s="2616" t="s">
        <v>517</v>
      </c>
      <c r="C52" s="2805"/>
      <c r="D52" s="548" t="s">
        <v>29</v>
      </c>
      <c r="E52" s="1473"/>
      <c r="F52" s="1475"/>
      <c r="G52" s="1137">
        <f>G57</f>
        <v>0</v>
      </c>
      <c r="H52" s="1137">
        <f t="shared" ref="H52:I52" si="23">H57</f>
        <v>0</v>
      </c>
      <c r="I52" s="1137">
        <f t="shared" si="23"/>
        <v>0</v>
      </c>
      <c r="J52" s="1137"/>
      <c r="K52" s="1204">
        <f t="shared" si="18"/>
        <v>0</v>
      </c>
      <c r="L52" s="579">
        <f t="shared" si="21"/>
        <v>0</v>
      </c>
    </row>
    <row r="53" spans="1:13" ht="21.95" customHeight="1" thickBot="1" x14ac:dyDescent="0.2">
      <c r="A53" s="2596"/>
      <c r="B53" s="2618"/>
      <c r="C53" s="2806"/>
      <c r="D53" s="546" t="s">
        <v>1403</v>
      </c>
      <c r="E53" s="1479"/>
      <c r="F53" s="1476"/>
      <c r="G53" s="1135">
        <f t="shared" ref="G53:I53" si="24">G52*0.0005</f>
        <v>0</v>
      </c>
      <c r="H53" s="1135">
        <f t="shared" si="24"/>
        <v>0</v>
      </c>
      <c r="I53" s="1135">
        <f t="shared" si="24"/>
        <v>0</v>
      </c>
      <c r="J53" s="1135"/>
      <c r="K53" s="1136">
        <f t="shared" si="18"/>
        <v>0</v>
      </c>
      <c r="L53" s="579">
        <f t="shared" si="21"/>
        <v>0</v>
      </c>
    </row>
    <row r="54" spans="1:13" ht="21.95" customHeight="1" x14ac:dyDescent="0.15">
      <c r="A54" s="2596"/>
      <c r="B54" s="2810" t="s">
        <v>1417</v>
      </c>
      <c r="C54" s="2757"/>
      <c r="D54" s="542" t="s">
        <v>29</v>
      </c>
      <c r="E54" s="1478"/>
      <c r="F54" s="1465"/>
      <c r="G54" s="1139">
        <f t="shared" ref="G54:I54" si="25">IF(G27="sim",G24,0)+IF(G32="sim",G30,0)+IF(G38="sim",G35,0)</f>
        <v>0</v>
      </c>
      <c r="H54" s="1139">
        <f t="shared" si="25"/>
        <v>0</v>
      </c>
      <c r="I54" s="1139">
        <f t="shared" si="25"/>
        <v>0</v>
      </c>
      <c r="J54" s="1139"/>
      <c r="K54" s="1140">
        <f t="shared" si="18"/>
        <v>0</v>
      </c>
      <c r="L54" s="579">
        <f t="shared" si="21"/>
        <v>0</v>
      </c>
    </row>
    <row r="55" spans="1:13" ht="21.95" customHeight="1" x14ac:dyDescent="0.15">
      <c r="A55" s="2596"/>
      <c r="B55" s="2599"/>
      <c r="C55" s="2759"/>
      <c r="D55" s="543" t="s">
        <v>1418</v>
      </c>
      <c r="E55" s="1478"/>
      <c r="F55" s="1465"/>
      <c r="G55" s="1139">
        <f t="shared" ref="G55:I55" si="26">G54*0.006</f>
        <v>0</v>
      </c>
      <c r="H55" s="1139">
        <f t="shared" si="26"/>
        <v>0</v>
      </c>
      <c r="I55" s="1139">
        <f t="shared" si="26"/>
        <v>0</v>
      </c>
      <c r="J55" s="1139"/>
      <c r="K55" s="1149">
        <f t="shared" si="18"/>
        <v>0</v>
      </c>
      <c r="L55" s="579">
        <f t="shared" si="21"/>
        <v>0</v>
      </c>
    </row>
    <row r="56" spans="1:13" ht="21.95" customHeight="1" thickBot="1" x14ac:dyDescent="0.2">
      <c r="A56" s="2596"/>
      <c r="B56" s="2811"/>
      <c r="C56" s="2758"/>
      <c r="D56" s="546" t="s">
        <v>1419</v>
      </c>
      <c r="E56" s="1478"/>
      <c r="F56" s="1465"/>
      <c r="G56" s="1139">
        <f t="shared" ref="G56:I56" si="27">G54*0.001</f>
        <v>0</v>
      </c>
      <c r="H56" s="1139">
        <f t="shared" si="27"/>
        <v>0</v>
      </c>
      <c r="I56" s="1139">
        <f t="shared" si="27"/>
        <v>0</v>
      </c>
      <c r="J56" s="1139"/>
      <c r="K56" s="1136">
        <f t="shared" si="18"/>
        <v>0</v>
      </c>
      <c r="L56" s="579">
        <f t="shared" si="21"/>
        <v>0</v>
      </c>
    </row>
    <row r="57" spans="1:13" ht="21.95" customHeight="1" x14ac:dyDescent="0.15">
      <c r="A57" s="2596"/>
      <c r="B57" s="2810" t="s">
        <v>753</v>
      </c>
      <c r="C57" s="2757"/>
      <c r="D57" s="542" t="s">
        <v>29</v>
      </c>
      <c r="E57" s="1490"/>
      <c r="F57" s="1491"/>
      <c r="G57" s="1220">
        <f t="shared" ref="G57:I57" si="28">IF(COUNTA(G14:G17)&gt;0,G8,0)+IF(G26&gt;0,G24,0)+IF(G31&gt;0,G30,0)+IF(G37&gt;0,G35,0)</f>
        <v>0</v>
      </c>
      <c r="H57" s="1220">
        <f t="shared" si="28"/>
        <v>0</v>
      </c>
      <c r="I57" s="1220">
        <f t="shared" si="28"/>
        <v>0</v>
      </c>
      <c r="J57" s="1220"/>
      <c r="K57" s="1225">
        <f t="shared" si="18"/>
        <v>0</v>
      </c>
      <c r="L57" s="579">
        <f t="shared" si="21"/>
        <v>0</v>
      </c>
    </row>
    <row r="58" spans="1:13" ht="21.95" customHeight="1" thickBot="1" x14ac:dyDescent="0.2">
      <c r="A58" s="2596"/>
      <c r="B58" s="2811"/>
      <c r="C58" s="2758"/>
      <c r="D58" s="544" t="s">
        <v>1298</v>
      </c>
      <c r="E58" s="1478"/>
      <c r="F58" s="1465"/>
      <c r="G58" s="1139">
        <f>(IF(G14="sim",G8*G7,0)+IF(G18="SIM",G24*G26+G30*G31,0)+IF(AND(G18="SIM",G36="SIM"),G35*G37,0))/100</f>
        <v>0</v>
      </c>
      <c r="H58" s="1139">
        <f t="shared" ref="H58:I58" si="29">(IF(H14="sim",H8*H7,0)+IF(H18="SIM",H24*H26+H30*H31,0)+IF(AND(H18="SIM",H36="SIM"),H35*H37,0))/100</f>
        <v>0</v>
      </c>
      <c r="I58" s="1139">
        <f t="shared" si="29"/>
        <v>0</v>
      </c>
      <c r="J58" s="1139"/>
      <c r="K58" s="1140">
        <f t="shared" si="18"/>
        <v>0</v>
      </c>
      <c r="L58" s="579">
        <f t="shared" si="21"/>
        <v>0</v>
      </c>
    </row>
    <row r="59" spans="1:13" ht="21.95" customHeight="1" x14ac:dyDescent="0.15">
      <c r="A59" s="2596"/>
      <c r="B59" s="2599"/>
      <c r="C59" s="2759"/>
      <c r="D59" s="543" t="s">
        <v>1299</v>
      </c>
      <c r="E59" s="1478"/>
      <c r="F59" s="1465"/>
      <c r="G59" s="1139">
        <f t="shared" ref="G59:I59" si="30">(IF(G15="sim",G8*G7,0)+IF(G19="SIM",G24*G26+G30*G31,0)+IF(AND(G19="SIM",G36="SIM"),G35*G37,0))/100</f>
        <v>0</v>
      </c>
      <c r="H59" s="1139">
        <f t="shared" si="30"/>
        <v>0</v>
      </c>
      <c r="I59" s="1139">
        <f t="shared" si="30"/>
        <v>0</v>
      </c>
      <c r="J59" s="1139"/>
      <c r="K59" s="1140">
        <f t="shared" si="18"/>
        <v>0</v>
      </c>
      <c r="L59" s="579">
        <f t="shared" si="21"/>
        <v>0</v>
      </c>
    </row>
    <row r="60" spans="1:13" ht="21.95" customHeight="1" x14ac:dyDescent="0.15">
      <c r="A60" s="2596"/>
      <c r="B60" s="2599"/>
      <c r="C60" s="2759"/>
      <c r="D60" s="543" t="s">
        <v>1300</v>
      </c>
      <c r="E60" s="1478"/>
      <c r="F60" s="1465"/>
      <c r="G60" s="1139">
        <f t="shared" ref="G60:I60" si="31">(IF(G16="sim",G8*G7,0)+IF(G20="SIM",G24*G26+G30*G31,0)+IF(AND(G20="SIM",G36="SIM"),G35*G37,0))/100</f>
        <v>0</v>
      </c>
      <c r="H60" s="1139">
        <f t="shared" si="31"/>
        <v>0</v>
      </c>
      <c r="I60" s="1139">
        <f t="shared" si="31"/>
        <v>0</v>
      </c>
      <c r="J60" s="1139"/>
      <c r="K60" s="1140">
        <f t="shared" si="18"/>
        <v>0</v>
      </c>
      <c r="L60" s="579">
        <f t="shared" si="21"/>
        <v>0</v>
      </c>
    </row>
    <row r="61" spans="1:13" ht="21.95" customHeight="1" x14ac:dyDescent="0.15">
      <c r="A61" s="2596"/>
      <c r="B61" s="2599"/>
      <c r="C61" s="2759"/>
      <c r="D61" s="549" t="s">
        <v>1301</v>
      </c>
      <c r="E61" s="1478"/>
      <c r="F61" s="1465"/>
      <c r="G61" s="1139">
        <f t="shared" ref="G61:I61" si="32">(IF(G17="sim",G8*G7,0)+IF(G21="SIM",G24*G26+G30*G31,0)+IF(AND(G21="SIM",G36="SIM"),G35*G37,0))/100</f>
        <v>0</v>
      </c>
      <c r="H61" s="1139">
        <f t="shared" si="32"/>
        <v>0</v>
      </c>
      <c r="I61" s="1139">
        <f t="shared" si="32"/>
        <v>0</v>
      </c>
      <c r="J61" s="1139"/>
      <c r="K61" s="1140">
        <f t="shared" si="18"/>
        <v>0</v>
      </c>
      <c r="L61" s="579">
        <f t="shared" si="21"/>
        <v>0</v>
      </c>
    </row>
    <row r="62" spans="1:13" ht="21.95" customHeight="1" thickBot="1" x14ac:dyDescent="0.2">
      <c r="A62" s="2596"/>
      <c r="B62" s="2811"/>
      <c r="C62" s="2758"/>
      <c r="D62" s="543" t="s">
        <v>1293</v>
      </c>
      <c r="E62" s="1492"/>
      <c r="F62" s="1493"/>
      <c r="G62" s="1205">
        <f t="shared" ref="G62:I62" si="33">SUM(G58:G60)*0.161*2.5548</f>
        <v>0</v>
      </c>
      <c r="H62" s="1205">
        <f t="shared" si="33"/>
        <v>0</v>
      </c>
      <c r="I62" s="1205">
        <f t="shared" si="33"/>
        <v>0</v>
      </c>
      <c r="J62" s="1205"/>
      <c r="K62" s="1206">
        <f t="shared" si="18"/>
        <v>0</v>
      </c>
      <c r="L62" s="579">
        <f t="shared" si="21"/>
        <v>0</v>
      </c>
    </row>
    <row r="63" spans="1:13" ht="21.95" customHeight="1" x14ac:dyDescent="0.15">
      <c r="A63" s="2596"/>
      <c r="B63" s="2599"/>
      <c r="C63" s="2759"/>
      <c r="D63" s="543" t="s">
        <v>1294</v>
      </c>
      <c r="E63" s="1494"/>
      <c r="F63" s="1495"/>
      <c r="G63" s="1207">
        <f t="shared" ref="G63:I63" si="34">G61*0.411</f>
        <v>0</v>
      </c>
      <c r="H63" s="1207">
        <f t="shared" si="34"/>
        <v>0</v>
      </c>
      <c r="I63" s="1207">
        <f t="shared" si="34"/>
        <v>0</v>
      </c>
      <c r="J63" s="1207"/>
      <c r="K63" s="1208">
        <f t="shared" si="18"/>
        <v>0</v>
      </c>
      <c r="L63" s="579">
        <f t="shared" si="21"/>
        <v>0</v>
      </c>
    </row>
    <row r="64" spans="1:13" ht="21.95" customHeight="1" x14ac:dyDescent="0.15">
      <c r="A64" s="2596"/>
      <c r="B64" s="2599"/>
      <c r="C64" s="2759"/>
      <c r="D64" s="544" t="s">
        <v>1292</v>
      </c>
      <c r="E64" s="1478"/>
      <c r="F64" s="1465"/>
      <c r="G64" s="1139">
        <f t="shared" ref="G64:I64" si="35">SUM(G58:G60)*0.447*2.5548</f>
        <v>0</v>
      </c>
      <c r="H64" s="1139">
        <f t="shared" si="35"/>
        <v>0</v>
      </c>
      <c r="I64" s="1139">
        <f t="shared" si="35"/>
        <v>0</v>
      </c>
      <c r="J64" s="1139"/>
      <c r="K64" s="1206">
        <f t="shared" si="18"/>
        <v>0</v>
      </c>
      <c r="L64" s="579"/>
    </row>
    <row r="65" spans="1:20" ht="21.95" customHeight="1" x14ac:dyDescent="0.15">
      <c r="A65" s="2596"/>
      <c r="B65" s="2599"/>
      <c r="C65" s="2759"/>
      <c r="D65" s="543" t="s">
        <v>1291</v>
      </c>
      <c r="E65" s="1494"/>
      <c r="F65" s="1495"/>
      <c r="G65" s="1207">
        <f t="shared" ref="G65:I65" si="36">G61*0.968</f>
        <v>0</v>
      </c>
      <c r="H65" s="1207">
        <f t="shared" si="36"/>
        <v>0</v>
      </c>
      <c r="I65" s="1207">
        <f t="shared" si="36"/>
        <v>0</v>
      </c>
      <c r="J65" s="1207"/>
      <c r="K65" s="1208">
        <f t="shared" si="18"/>
        <v>0</v>
      </c>
      <c r="L65" s="579">
        <f>SUM(G65:K65)</f>
        <v>0</v>
      </c>
    </row>
    <row r="66" spans="1:20" ht="21.95" customHeight="1" x14ac:dyDescent="0.15">
      <c r="A66" s="2596"/>
      <c r="B66" s="2599"/>
      <c r="C66" s="2759"/>
      <c r="D66" s="664" t="s">
        <v>1295</v>
      </c>
      <c r="E66" s="1478"/>
      <c r="F66" s="1465"/>
      <c r="G66" s="1139">
        <f t="shared" ref="G66:I68" si="37">G58*2.5548*6%</f>
        <v>0</v>
      </c>
      <c r="H66" s="1139">
        <f t="shared" si="37"/>
        <v>0</v>
      </c>
      <c r="I66" s="1139">
        <f t="shared" si="37"/>
        <v>0</v>
      </c>
      <c r="J66" s="1139"/>
      <c r="K66" s="1206">
        <f t="shared" si="18"/>
        <v>0</v>
      </c>
      <c r="L66" s="579"/>
    </row>
    <row r="67" spans="1:20" ht="21.95" customHeight="1" x14ac:dyDescent="0.15">
      <c r="A67" s="2596"/>
      <c r="B67" s="2599"/>
      <c r="C67" s="2759"/>
      <c r="D67" s="549" t="s">
        <v>1296</v>
      </c>
      <c r="E67" s="1478"/>
      <c r="F67" s="1465"/>
      <c r="G67" s="1139">
        <f t="shared" si="37"/>
        <v>0</v>
      </c>
      <c r="H67" s="1139">
        <f t="shared" si="37"/>
        <v>0</v>
      </c>
      <c r="I67" s="1139">
        <f t="shared" si="37"/>
        <v>0</v>
      </c>
      <c r="J67" s="1139"/>
      <c r="K67" s="1140">
        <f t="shared" si="18"/>
        <v>0</v>
      </c>
      <c r="L67" s="579"/>
    </row>
    <row r="68" spans="1:20" ht="21.95" customHeight="1" x14ac:dyDescent="0.15">
      <c r="A68" s="2596"/>
      <c r="B68" s="2599"/>
      <c r="C68" s="2759"/>
      <c r="D68" s="549" t="s">
        <v>1297</v>
      </c>
      <c r="E68" s="1494"/>
      <c r="F68" s="1495"/>
      <c r="G68" s="1207">
        <f t="shared" si="37"/>
        <v>0</v>
      </c>
      <c r="H68" s="1207">
        <f t="shared" si="37"/>
        <v>0</v>
      </c>
      <c r="I68" s="1207">
        <f t="shared" si="37"/>
        <v>0</v>
      </c>
      <c r="J68" s="1207"/>
      <c r="K68" s="1208">
        <f t="shared" si="18"/>
        <v>0</v>
      </c>
      <c r="L68" s="579">
        <f t="shared" ref="L68:L114" si="38">SUM(G68:K68)</f>
        <v>0</v>
      </c>
    </row>
    <row r="69" spans="1:20" ht="21.95" customHeight="1" thickBot="1" x14ac:dyDescent="0.2">
      <c r="A69" s="2596"/>
      <c r="B69" s="2811"/>
      <c r="C69" s="2758"/>
      <c r="D69" s="561" t="s">
        <v>952</v>
      </c>
      <c r="E69" s="1478"/>
      <c r="F69" s="1465"/>
      <c r="G69" s="1139">
        <f t="shared" ref="G69:I69" si="39">G61*0.132</f>
        <v>0</v>
      </c>
      <c r="H69" s="1139">
        <f t="shared" si="39"/>
        <v>0</v>
      </c>
      <c r="I69" s="1139">
        <f t="shared" si="39"/>
        <v>0</v>
      </c>
      <c r="J69" s="1139"/>
      <c r="K69" s="1140">
        <f t="shared" si="18"/>
        <v>0</v>
      </c>
      <c r="L69" s="579">
        <f t="shared" si="38"/>
        <v>0</v>
      </c>
    </row>
    <row r="70" spans="1:20" ht="21.95" customHeight="1" x14ac:dyDescent="0.15">
      <c r="A70" s="2596"/>
      <c r="B70" s="2824" t="s">
        <v>1266</v>
      </c>
      <c r="C70" s="2757" t="s">
        <v>514</v>
      </c>
      <c r="D70" s="977" t="s">
        <v>624</v>
      </c>
      <c r="E70" s="1473"/>
      <c r="F70" s="1475"/>
      <c r="G70" s="424"/>
      <c r="H70" s="424"/>
      <c r="I70" s="424"/>
      <c r="J70" s="424"/>
      <c r="K70" s="498"/>
      <c r="L70" s="579">
        <f t="shared" si="38"/>
        <v>0</v>
      </c>
      <c r="M70" s="5"/>
    </row>
    <row r="71" spans="1:20" ht="21.95" customHeight="1" x14ac:dyDescent="0.15">
      <c r="A71" s="2596"/>
      <c r="B71" s="2825"/>
      <c r="C71" s="2813"/>
      <c r="D71" s="543" t="s">
        <v>3</v>
      </c>
      <c r="E71" s="1494"/>
      <c r="F71" s="1495"/>
      <c r="G71" s="1207">
        <f t="shared" ref="G71:I71" si="40">ROUND(+G70*G$2,2)</f>
        <v>0</v>
      </c>
      <c r="H71" s="1207">
        <f t="shared" si="40"/>
        <v>0</v>
      </c>
      <c r="I71" s="1207">
        <f t="shared" si="40"/>
        <v>0</v>
      </c>
      <c r="J71" s="1207"/>
      <c r="K71" s="1172">
        <f>ROUND(SUM(G71:J71),2)</f>
        <v>0</v>
      </c>
      <c r="L71" s="579">
        <f t="shared" si="38"/>
        <v>0</v>
      </c>
      <c r="M71" s="5"/>
    </row>
    <row r="72" spans="1:20" ht="21.95" customHeight="1" x14ac:dyDescent="0.15">
      <c r="A72" s="2596"/>
      <c r="B72" s="2825"/>
      <c r="C72" s="2812" t="s">
        <v>515</v>
      </c>
      <c r="D72" s="1070" t="s">
        <v>624</v>
      </c>
      <c r="E72" s="1492"/>
      <c r="F72" s="1493"/>
      <c r="G72" s="368"/>
      <c r="H72" s="368"/>
      <c r="I72" s="368"/>
      <c r="J72" s="368"/>
      <c r="K72" s="1077"/>
      <c r="L72" s="579">
        <f t="shared" si="38"/>
        <v>0</v>
      </c>
      <c r="M72" s="5"/>
    </row>
    <row r="73" spans="1:20" ht="21.95" customHeight="1" x14ac:dyDescent="0.15">
      <c r="A73" s="2596"/>
      <c r="B73" s="2825"/>
      <c r="C73" s="2813"/>
      <c r="D73" s="543" t="s">
        <v>3</v>
      </c>
      <c r="E73" s="1494"/>
      <c r="F73" s="1495"/>
      <c r="G73" s="1207">
        <f t="shared" ref="G73:I73" si="41">ROUND(+G72*G$2,2)</f>
        <v>0</v>
      </c>
      <c r="H73" s="1207">
        <f t="shared" si="41"/>
        <v>0</v>
      </c>
      <c r="I73" s="1207">
        <f t="shared" si="41"/>
        <v>0</v>
      </c>
      <c r="J73" s="1207"/>
      <c r="K73" s="1172">
        <f>ROUND(SUM(G73:J73),2)</f>
        <v>0</v>
      </c>
      <c r="L73" s="579">
        <f t="shared" si="38"/>
        <v>0</v>
      </c>
      <c r="M73" s="2817" t="s">
        <v>1196</v>
      </c>
      <c r="N73" s="2818"/>
      <c r="O73" s="2819"/>
      <c r="P73" s="2814" t="s">
        <v>1264</v>
      </c>
      <c r="Q73" s="2815"/>
      <c r="R73" s="2816"/>
      <c r="S73" s="2814" t="s">
        <v>1265</v>
      </c>
      <c r="T73" s="2816"/>
    </row>
    <row r="74" spans="1:20" ht="21.95" customHeight="1" x14ac:dyDescent="0.15">
      <c r="A74" s="2596"/>
      <c r="B74" s="2825"/>
      <c r="C74" s="2812" t="s">
        <v>516</v>
      </c>
      <c r="D74" s="1070" t="s">
        <v>624</v>
      </c>
      <c r="E74" s="1492"/>
      <c r="F74" s="1493"/>
      <c r="G74" s="368"/>
      <c r="H74" s="368"/>
      <c r="I74" s="368"/>
      <c r="J74" s="368"/>
      <c r="K74" s="1077"/>
      <c r="L74" s="579">
        <f t="shared" si="38"/>
        <v>0</v>
      </c>
      <c r="M74" s="1024" t="s">
        <v>1182</v>
      </c>
      <c r="N74" s="1024" t="s">
        <v>1183</v>
      </c>
      <c r="O74" s="1024" t="s">
        <v>1189</v>
      </c>
      <c r="P74" s="1024" t="s">
        <v>1182</v>
      </c>
      <c r="Q74" s="1024" t="s">
        <v>1183</v>
      </c>
      <c r="R74" s="1024" t="s">
        <v>1189</v>
      </c>
      <c r="S74" s="1024" t="s">
        <v>1182</v>
      </c>
      <c r="T74" s="1024" t="s">
        <v>1183</v>
      </c>
    </row>
    <row r="75" spans="1:20" ht="21.95" customHeight="1" x14ac:dyDescent="0.15">
      <c r="A75" s="2596"/>
      <c r="B75" s="2825"/>
      <c r="C75" s="2813"/>
      <c r="D75" s="543" t="s">
        <v>3</v>
      </c>
      <c r="E75" s="1494"/>
      <c r="F75" s="1495"/>
      <c r="G75" s="1207">
        <f t="shared" ref="G75:I75" si="42">ROUND(+G74*G$2,2)</f>
        <v>0</v>
      </c>
      <c r="H75" s="1207">
        <f t="shared" si="42"/>
        <v>0</v>
      </c>
      <c r="I75" s="1207">
        <f t="shared" si="42"/>
        <v>0</v>
      </c>
      <c r="J75" s="1207"/>
      <c r="K75" s="1172">
        <f>ROUND(SUM(G75:J75),2)</f>
        <v>0</v>
      </c>
      <c r="L75" s="579">
        <f t="shared" si="38"/>
        <v>0</v>
      </c>
      <c r="M75" s="1025">
        <v>94963</v>
      </c>
      <c r="N75" s="1025">
        <v>94964</v>
      </c>
      <c r="O75" s="1025">
        <v>88631</v>
      </c>
      <c r="P75" s="1025">
        <v>94963</v>
      </c>
      <c r="Q75" s="1025">
        <v>94964</v>
      </c>
      <c r="R75" s="1025">
        <v>88631</v>
      </c>
      <c r="S75" s="1025">
        <v>94963</v>
      </c>
      <c r="T75" s="1025">
        <v>94964</v>
      </c>
    </row>
    <row r="76" spans="1:20" ht="21.95" customHeight="1" thickBot="1" x14ac:dyDescent="0.2">
      <c r="A76" s="2596"/>
      <c r="B76" s="2826"/>
      <c r="C76" s="2827" t="s">
        <v>1350</v>
      </c>
      <c r="D76" s="2828"/>
      <c r="E76" s="1478"/>
      <c r="F76" s="1465"/>
      <c r="G76" s="1139">
        <f t="shared" ref="G76:I76" si="43">G71*0.0615+G73*0.0285+G75*0.033</f>
        <v>0</v>
      </c>
      <c r="H76" s="1139">
        <f t="shared" si="43"/>
        <v>0</v>
      </c>
      <c r="I76" s="1139">
        <f t="shared" si="43"/>
        <v>0</v>
      </c>
      <c r="J76" s="1139"/>
      <c r="K76" s="1141">
        <f>ROUND(SUM(G76:J76),2)</f>
        <v>0</v>
      </c>
      <c r="L76" s="579">
        <f t="shared" si="38"/>
        <v>0</v>
      </c>
      <c r="M76" s="1025"/>
      <c r="N76" s="1025"/>
      <c r="O76" s="1025"/>
      <c r="P76" s="1025"/>
      <c r="Q76" s="1025"/>
      <c r="R76" s="1025"/>
      <c r="S76" s="1025"/>
      <c r="T76" s="1025"/>
    </row>
    <row r="77" spans="1:20" ht="21.95" customHeight="1" x14ac:dyDescent="0.15">
      <c r="A77" s="2596"/>
      <c r="B77" s="2824" t="s">
        <v>513</v>
      </c>
      <c r="C77" s="2757" t="s">
        <v>514</v>
      </c>
      <c r="D77" s="977" t="s">
        <v>624</v>
      </c>
      <c r="E77" s="1473"/>
      <c r="F77" s="1475"/>
      <c r="G77" s="424"/>
      <c r="H77" s="424"/>
      <c r="I77" s="424"/>
      <c r="J77" s="424"/>
      <c r="K77" s="498"/>
      <c r="L77" s="579">
        <f t="shared" si="38"/>
        <v>0</v>
      </c>
      <c r="M77" s="1026">
        <v>273.06</v>
      </c>
      <c r="N77" s="1026">
        <v>322.98</v>
      </c>
      <c r="O77" s="1026">
        <v>362.66</v>
      </c>
      <c r="P77" s="1027">
        <v>0.80500000000000005</v>
      </c>
      <c r="Q77" s="1027">
        <v>0.75580000000000003</v>
      </c>
      <c r="R77" s="1026">
        <v>1.1499999999999999</v>
      </c>
      <c r="S77" s="1027">
        <v>0.57899999999999996</v>
      </c>
      <c r="T77" s="1027">
        <v>0.58699999999999997</v>
      </c>
    </row>
    <row r="78" spans="1:20" ht="21.95" customHeight="1" x14ac:dyDescent="0.15">
      <c r="A78" s="2596"/>
      <c r="B78" s="2825"/>
      <c r="C78" s="2813"/>
      <c r="D78" s="543" t="s">
        <v>3</v>
      </c>
      <c r="E78" s="1494"/>
      <c r="F78" s="1495"/>
      <c r="G78" s="1207">
        <f t="shared" ref="G78:I78" si="44">ROUND(+G77*G$2,2)</f>
        <v>0</v>
      </c>
      <c r="H78" s="1207">
        <f t="shared" si="44"/>
        <v>0</v>
      </c>
      <c r="I78" s="1207">
        <f t="shared" si="44"/>
        <v>0</v>
      </c>
      <c r="J78" s="1207"/>
      <c r="K78" s="1208">
        <f>ROUND(SUM(G78:J78),2)</f>
        <v>0</v>
      </c>
      <c r="L78" s="579">
        <f t="shared" si="38"/>
        <v>0</v>
      </c>
      <c r="M78" s="1028">
        <v>6.1499999999999999E-2</v>
      </c>
      <c r="N78" s="1028"/>
      <c r="O78" s="1029"/>
      <c r="P78" s="1028">
        <v>6.1499999999999999E-2</v>
      </c>
      <c r="Q78" s="1028"/>
      <c r="R78" s="1029"/>
      <c r="S78" s="1028">
        <v>6.1499999999999999E-2</v>
      </c>
      <c r="T78" s="1028"/>
    </row>
    <row r="79" spans="1:20" ht="21.95" customHeight="1" x14ac:dyDescent="0.15">
      <c r="A79" s="2596"/>
      <c r="B79" s="2825"/>
      <c r="C79" s="2812" t="s">
        <v>515</v>
      </c>
      <c r="D79" s="1070" t="s">
        <v>624</v>
      </c>
      <c r="E79" s="1492"/>
      <c r="F79" s="1493"/>
      <c r="G79" s="1021"/>
      <c r="H79" s="1021"/>
      <c r="I79" s="1021"/>
      <c r="J79" s="1021"/>
      <c r="K79" s="1076"/>
      <c r="L79" s="579">
        <f t="shared" si="38"/>
        <v>0</v>
      </c>
      <c r="M79" s="1028"/>
      <c r="N79" s="1028"/>
      <c r="O79" s="1030"/>
      <c r="P79" s="1028"/>
      <c r="Q79" s="1028"/>
      <c r="R79" s="1030"/>
      <c r="S79" s="1028"/>
      <c r="T79" s="1028"/>
    </row>
    <row r="80" spans="1:20" ht="21.95" customHeight="1" x14ac:dyDescent="0.15">
      <c r="A80" s="2596"/>
      <c r="B80" s="2825"/>
      <c r="C80" s="2813"/>
      <c r="D80" s="543" t="s">
        <v>3</v>
      </c>
      <c r="E80" s="1494"/>
      <c r="F80" s="1495"/>
      <c r="G80" s="1207">
        <f t="shared" ref="G80:I80" si="45">ROUND(+G79*G$2,2)</f>
        <v>0</v>
      </c>
      <c r="H80" s="1207">
        <f t="shared" si="45"/>
        <v>0</v>
      </c>
      <c r="I80" s="1207">
        <f t="shared" si="45"/>
        <v>0</v>
      </c>
      <c r="J80" s="1207"/>
      <c r="K80" s="1208">
        <f>ROUND(SUM(G80:J80),2)</f>
        <v>0</v>
      </c>
      <c r="L80" s="579">
        <f t="shared" si="38"/>
        <v>0</v>
      </c>
      <c r="M80" s="1028">
        <v>2.8500000000000001E-2</v>
      </c>
      <c r="N80" s="1028"/>
      <c r="O80" s="1030"/>
      <c r="P80" s="1028">
        <v>2.8500000000000001E-2</v>
      </c>
      <c r="Q80" s="1028"/>
      <c r="R80" s="1030"/>
      <c r="S80" s="1028">
        <v>2.8500000000000001E-2</v>
      </c>
      <c r="T80" s="1028"/>
    </row>
    <row r="81" spans="1:20" ht="21.95" customHeight="1" x14ac:dyDescent="0.15">
      <c r="A81" s="2596"/>
      <c r="B81" s="2825"/>
      <c r="C81" s="2759" t="s">
        <v>516</v>
      </c>
      <c r="D81" s="587" t="s">
        <v>624</v>
      </c>
      <c r="E81" s="1478"/>
      <c r="F81" s="1465"/>
      <c r="G81" s="368"/>
      <c r="H81" s="368"/>
      <c r="I81" s="368"/>
      <c r="J81" s="368"/>
      <c r="K81" s="499"/>
      <c r="L81" s="579">
        <f t="shared" si="38"/>
        <v>0</v>
      </c>
      <c r="M81" s="1028"/>
      <c r="N81" s="1028"/>
      <c r="O81" s="1030"/>
      <c r="P81" s="1028"/>
      <c r="Q81" s="1028"/>
      <c r="R81" s="1030"/>
      <c r="S81" s="1028"/>
      <c r="T81" s="1028"/>
    </row>
    <row r="82" spans="1:20" ht="21.95" customHeight="1" thickBot="1" x14ac:dyDescent="0.2">
      <c r="A82" s="2596"/>
      <c r="B82" s="2826"/>
      <c r="C82" s="2758"/>
      <c r="D82" s="546" t="s">
        <v>3</v>
      </c>
      <c r="E82" s="1479"/>
      <c r="F82" s="1476"/>
      <c r="G82" s="1207">
        <f t="shared" ref="G82:I82" si="46">ROUND(+G81*G$2,2)</f>
        <v>0</v>
      </c>
      <c r="H82" s="1207">
        <f t="shared" si="46"/>
        <v>0</v>
      </c>
      <c r="I82" s="1207">
        <f t="shared" si="46"/>
        <v>0</v>
      </c>
      <c r="J82" s="1207"/>
      <c r="K82" s="1141">
        <f>ROUND(SUM(G82:J82),2)</f>
        <v>0</v>
      </c>
      <c r="L82" s="579">
        <f t="shared" si="38"/>
        <v>0</v>
      </c>
      <c r="M82" s="1028">
        <v>3.3000000000000002E-2</v>
      </c>
      <c r="N82" s="1028"/>
      <c r="O82" s="1030"/>
      <c r="P82" s="1028">
        <v>3.3000000000000002E-2</v>
      </c>
      <c r="Q82" s="1028"/>
      <c r="R82" s="1030"/>
      <c r="S82" s="1028">
        <v>3.3000000000000002E-2</v>
      </c>
      <c r="T82" s="1028"/>
    </row>
    <row r="83" spans="1:20" ht="21.95" customHeight="1" thickBot="1" x14ac:dyDescent="0.2">
      <c r="A83" s="2596"/>
      <c r="B83" s="2820" t="s">
        <v>25</v>
      </c>
      <c r="C83" s="2821"/>
      <c r="D83" s="930" t="s">
        <v>3</v>
      </c>
      <c r="E83" s="1519"/>
      <c r="F83" s="1520"/>
      <c r="G83" s="1209"/>
      <c r="H83" s="1209"/>
      <c r="I83" s="1209"/>
      <c r="J83" s="1209"/>
      <c r="K83" s="498"/>
      <c r="L83" s="579">
        <f t="shared" si="38"/>
        <v>0</v>
      </c>
      <c r="M83" s="1028"/>
      <c r="N83" s="1028"/>
      <c r="O83" s="1030"/>
      <c r="P83" s="1028"/>
      <c r="Q83" s="1028"/>
      <c r="R83" s="1030"/>
      <c r="S83" s="1028"/>
      <c r="T83" s="1028"/>
    </row>
    <row r="84" spans="1:20" ht="21.95" customHeight="1" thickBot="1" x14ac:dyDescent="0.2">
      <c r="A84" s="2596"/>
      <c r="B84" s="2820"/>
      <c r="C84" s="2821"/>
      <c r="D84" s="591" t="s">
        <v>58</v>
      </c>
      <c r="E84" s="1521"/>
      <c r="F84" s="592"/>
      <c r="G84" s="1209"/>
      <c r="H84" s="1209"/>
      <c r="I84" s="1209"/>
      <c r="J84" s="1209"/>
      <c r="K84" s="1149">
        <f t="shared" ref="K84:K114" si="47">ROUND(SUM(G84:J84),2)</f>
        <v>0</v>
      </c>
      <c r="L84" s="579">
        <f t="shared" si="38"/>
        <v>0</v>
      </c>
      <c r="M84" s="1028"/>
      <c r="N84" s="1028"/>
      <c r="O84" s="1030"/>
      <c r="P84" s="1028"/>
      <c r="Q84" s="1028"/>
      <c r="R84" s="1030"/>
      <c r="S84" s="1028"/>
      <c r="T84" s="1028"/>
    </row>
    <row r="85" spans="1:20" ht="21.95" customHeight="1" thickBot="1" x14ac:dyDescent="0.2">
      <c r="A85" s="2596"/>
      <c r="B85" s="2820"/>
      <c r="C85" s="2821"/>
      <c r="D85" s="929" t="s">
        <v>29</v>
      </c>
      <c r="E85" s="1522"/>
      <c r="F85" s="1523"/>
      <c r="G85" s="239">
        <f t="shared" ref="G85:I85" si="48">G84*G83</f>
        <v>0</v>
      </c>
      <c r="H85" s="239">
        <f t="shared" si="48"/>
        <v>0</v>
      </c>
      <c r="I85" s="239">
        <f t="shared" si="48"/>
        <v>0</v>
      </c>
      <c r="J85" s="239"/>
      <c r="K85" s="1141">
        <f t="shared" si="47"/>
        <v>0</v>
      </c>
      <c r="L85" s="579">
        <f t="shared" si="38"/>
        <v>0</v>
      </c>
      <c r="M85" s="1028"/>
      <c r="N85" s="1028"/>
      <c r="O85" s="1030"/>
      <c r="P85" s="1028"/>
      <c r="Q85" s="1028"/>
      <c r="R85" s="1030"/>
      <c r="S85" s="1028"/>
      <c r="T85" s="1028"/>
    </row>
    <row r="86" spans="1:20" ht="21.95" customHeight="1" thickBot="1" x14ac:dyDescent="0.2">
      <c r="A86" s="2596"/>
      <c r="B86" s="2822" t="s">
        <v>325</v>
      </c>
      <c r="C86" s="2823"/>
      <c r="D86" s="543" t="s">
        <v>1428</v>
      </c>
      <c r="E86" s="1534"/>
      <c r="F86" s="1520"/>
      <c r="G86" s="1741"/>
      <c r="H86" s="1741"/>
      <c r="I86" s="1741"/>
      <c r="J86" s="1741"/>
      <c r="K86" s="495">
        <f t="shared" si="47"/>
        <v>0</v>
      </c>
      <c r="L86" s="579">
        <f t="shared" si="38"/>
        <v>0</v>
      </c>
      <c r="M86" s="1028"/>
      <c r="N86" s="1028"/>
      <c r="O86" s="1030"/>
      <c r="P86" s="1028"/>
      <c r="Q86" s="1028"/>
      <c r="R86" s="1030"/>
      <c r="S86" s="1028"/>
      <c r="T86" s="1028"/>
    </row>
    <row r="87" spans="1:20" ht="21.95" customHeight="1" thickBot="1" x14ac:dyDescent="0.2">
      <c r="A87" s="2596"/>
      <c r="B87" s="2822"/>
      <c r="C87" s="2823"/>
      <c r="D87" s="546" t="s">
        <v>1429</v>
      </c>
      <c r="E87" s="1535"/>
      <c r="F87" s="1523"/>
      <c r="G87" s="1742"/>
      <c r="H87" s="1742"/>
      <c r="I87" s="1742"/>
      <c r="J87" s="1742"/>
      <c r="K87" s="494">
        <f t="shared" si="47"/>
        <v>0</v>
      </c>
      <c r="L87" s="579">
        <f t="shared" si="38"/>
        <v>0</v>
      </c>
      <c r="M87" s="1028"/>
      <c r="N87" s="1028"/>
      <c r="O87" s="1030"/>
      <c r="P87" s="1028"/>
      <c r="Q87" s="1028"/>
      <c r="R87" s="1030"/>
      <c r="S87" s="1028"/>
      <c r="T87" s="1028"/>
    </row>
    <row r="88" spans="1:20" ht="21.95" customHeight="1" x14ac:dyDescent="0.15">
      <c r="A88" s="2596"/>
      <c r="B88" s="2605" t="s">
        <v>503</v>
      </c>
      <c r="C88" s="2729"/>
      <c r="D88" s="550" t="s">
        <v>505</v>
      </c>
      <c r="E88" s="1473"/>
      <c r="F88" s="1475"/>
      <c r="G88" s="673"/>
      <c r="H88" s="673"/>
      <c r="I88" s="673"/>
      <c r="J88" s="673"/>
      <c r="K88" s="495">
        <f t="shared" si="47"/>
        <v>0</v>
      </c>
      <c r="L88" s="579">
        <f t="shared" si="38"/>
        <v>0</v>
      </c>
      <c r="M88" s="1028"/>
      <c r="N88" s="1028">
        <v>6.9600000000000009E-2</v>
      </c>
      <c r="O88" s="1030">
        <v>8.0000000000000002E-3</v>
      </c>
      <c r="P88" s="1028"/>
      <c r="Q88" s="1028">
        <v>6.9600000000000009E-2</v>
      </c>
      <c r="R88" s="1030">
        <v>8.0000000000000002E-3</v>
      </c>
      <c r="S88" s="1028"/>
      <c r="T88" s="1028">
        <v>6.9600000000000009E-2</v>
      </c>
    </row>
    <row r="89" spans="1:20" ht="21.95" customHeight="1" thickBot="1" x14ac:dyDescent="0.2">
      <c r="A89" s="2596"/>
      <c r="B89" s="2607"/>
      <c r="C89" s="2731"/>
      <c r="D89" s="551" t="s">
        <v>506</v>
      </c>
      <c r="E89" s="1479"/>
      <c r="F89" s="1476"/>
      <c r="G89" s="674"/>
      <c r="H89" s="674"/>
      <c r="I89" s="674"/>
      <c r="J89" s="674"/>
      <c r="K89" s="494">
        <f t="shared" si="47"/>
        <v>0</v>
      </c>
      <c r="L89" s="579">
        <f t="shared" si="38"/>
        <v>0</v>
      </c>
      <c r="M89" s="1028"/>
      <c r="N89" s="1028">
        <v>6.9600000000000009E-2</v>
      </c>
      <c r="O89" s="1030">
        <v>8.0000000000000002E-3</v>
      </c>
      <c r="P89" s="1028"/>
      <c r="Q89" s="1028">
        <v>6.9600000000000009E-2</v>
      </c>
      <c r="R89" s="1030">
        <v>8.0000000000000002E-3</v>
      </c>
      <c r="S89" s="1028"/>
      <c r="T89" s="1028">
        <v>6.9600000000000009E-2</v>
      </c>
    </row>
    <row r="90" spans="1:20" ht="21.95" customHeight="1" x14ac:dyDescent="0.15">
      <c r="A90" s="2596"/>
      <c r="B90" s="2703" t="s">
        <v>1261</v>
      </c>
      <c r="C90" s="2808"/>
      <c r="D90" s="552" t="s">
        <v>505</v>
      </c>
      <c r="E90" s="1478"/>
      <c r="F90" s="1465"/>
      <c r="G90" s="426"/>
      <c r="H90" s="426"/>
      <c r="I90" s="426"/>
      <c r="J90" s="426"/>
      <c r="K90" s="495">
        <f t="shared" si="47"/>
        <v>0</v>
      </c>
      <c r="L90" s="579">
        <f t="shared" si="38"/>
        <v>0</v>
      </c>
      <c r="M90" s="1028"/>
      <c r="N90" s="1028">
        <v>0.123031</v>
      </c>
      <c r="O90" s="1030">
        <v>5.0000000000000001E-3</v>
      </c>
      <c r="P90" s="1028"/>
      <c r="Q90" s="1028">
        <v>0.123031</v>
      </c>
      <c r="R90" s="1030">
        <v>5.0000000000000001E-3</v>
      </c>
      <c r="S90" s="1028"/>
      <c r="T90" s="1028">
        <v>0.123031</v>
      </c>
    </row>
    <row r="91" spans="1:20" ht="21.95" customHeight="1" thickBot="1" x14ac:dyDescent="0.2">
      <c r="A91" s="2596"/>
      <c r="B91" s="2706"/>
      <c r="C91" s="2809"/>
      <c r="D91" s="551" t="s">
        <v>506</v>
      </c>
      <c r="E91" s="1479"/>
      <c r="F91" s="1476"/>
      <c r="G91" s="674"/>
      <c r="H91" s="674"/>
      <c r="I91" s="674"/>
      <c r="J91" s="674"/>
      <c r="K91" s="494">
        <f t="shared" si="47"/>
        <v>0</v>
      </c>
      <c r="L91" s="579">
        <f t="shared" si="38"/>
        <v>0</v>
      </c>
      <c r="M91" s="1028"/>
      <c r="N91" s="1028">
        <v>0.123031</v>
      </c>
      <c r="O91" s="1030">
        <v>5.0000000000000001E-3</v>
      </c>
      <c r="P91" s="1028"/>
      <c r="Q91" s="1028">
        <v>0.123031</v>
      </c>
      <c r="R91" s="1030">
        <v>5.0000000000000001E-3</v>
      </c>
      <c r="S91" s="1028"/>
      <c r="T91" s="1028">
        <v>0.123031</v>
      </c>
    </row>
    <row r="92" spans="1:20" ht="21.95" customHeight="1" x14ac:dyDescent="0.15">
      <c r="A92" s="2596"/>
      <c r="B92" s="2703" t="s">
        <v>1262</v>
      </c>
      <c r="C92" s="2808"/>
      <c r="D92" s="552" t="s">
        <v>1263</v>
      </c>
      <c r="E92" s="1478"/>
      <c r="F92" s="1465"/>
      <c r="G92" s="426"/>
      <c r="H92" s="426"/>
      <c r="I92" s="426"/>
      <c r="J92" s="426"/>
      <c r="K92" s="495">
        <f t="shared" si="47"/>
        <v>0</v>
      </c>
      <c r="L92" s="579">
        <f t="shared" si="38"/>
        <v>0</v>
      </c>
      <c r="M92" s="1028"/>
      <c r="N92" s="1028">
        <v>0.49809900000000001</v>
      </c>
      <c r="O92" s="1030">
        <v>1.8E-3</v>
      </c>
      <c r="P92" s="1028"/>
      <c r="Q92" s="1028">
        <v>0.49809900000000001</v>
      </c>
      <c r="R92" s="1030">
        <v>1.8E-3</v>
      </c>
      <c r="S92" s="1028"/>
      <c r="T92" s="1028">
        <v>0.49809900000000001</v>
      </c>
    </row>
    <row r="93" spans="1:20" ht="21.95" customHeight="1" thickBot="1" x14ac:dyDescent="0.2">
      <c r="A93" s="2596"/>
      <c r="B93" s="2706"/>
      <c r="C93" s="2809"/>
      <c r="D93" s="551" t="s">
        <v>505</v>
      </c>
      <c r="E93" s="1479"/>
      <c r="F93" s="1476"/>
      <c r="G93" s="674"/>
      <c r="H93" s="674"/>
      <c r="I93" s="674"/>
      <c r="J93" s="674"/>
      <c r="K93" s="494">
        <f t="shared" si="47"/>
        <v>0</v>
      </c>
      <c r="L93" s="579">
        <f t="shared" si="38"/>
        <v>0</v>
      </c>
      <c r="M93" s="1028"/>
      <c r="N93" s="1028">
        <v>0.49809900000000001</v>
      </c>
      <c r="O93" s="1030">
        <v>1.8E-3</v>
      </c>
      <c r="P93" s="1028"/>
      <c r="Q93" s="1028">
        <v>0.49809900000000001</v>
      </c>
      <c r="R93" s="1030">
        <v>1.8E-3</v>
      </c>
      <c r="S93" s="1028"/>
      <c r="T93" s="1028">
        <v>0.49809900000000001</v>
      </c>
    </row>
    <row r="94" spans="1:20" ht="21.95" customHeight="1" thickBot="1" x14ac:dyDescent="0.2">
      <c r="A94" s="2596"/>
      <c r="B94" s="2712" t="s">
        <v>1355</v>
      </c>
      <c r="C94" s="2665"/>
      <c r="D94" s="1069" t="s">
        <v>1535</v>
      </c>
      <c r="E94" s="1488"/>
      <c r="F94" s="500"/>
      <c r="G94" s="1142">
        <f>G95</f>
        <v>0</v>
      </c>
      <c r="H94" s="1142">
        <f t="shared" ref="H94:I94" si="49">H95</f>
        <v>0</v>
      </c>
      <c r="I94" s="1142">
        <f t="shared" si="49"/>
        <v>0</v>
      </c>
      <c r="J94" s="1142"/>
      <c r="K94" s="494">
        <f t="shared" si="47"/>
        <v>0</v>
      </c>
      <c r="L94" s="579">
        <f t="shared" si="38"/>
        <v>0</v>
      </c>
      <c r="M94" s="1163"/>
      <c r="N94" s="1163"/>
      <c r="O94" s="1163"/>
      <c r="P94" s="1163"/>
      <c r="Q94" s="1163"/>
      <c r="R94" s="1163"/>
      <c r="S94" s="1163"/>
      <c r="T94" s="1163"/>
    </row>
    <row r="95" spans="1:20" ht="21.95" customHeight="1" x14ac:dyDescent="0.15">
      <c r="A95" s="2596"/>
      <c r="B95" s="2810" t="s">
        <v>1379</v>
      </c>
      <c r="C95" s="2757"/>
      <c r="D95" s="567" t="s">
        <v>1255</v>
      </c>
      <c r="E95" s="1478"/>
      <c r="F95" s="1465"/>
      <c r="G95" s="1139">
        <f t="shared" ref="G95:I95" si="50">G76*1.25</f>
        <v>0</v>
      </c>
      <c r="H95" s="1139">
        <f t="shared" si="50"/>
        <v>0</v>
      </c>
      <c r="I95" s="1139">
        <f t="shared" si="50"/>
        <v>0</v>
      </c>
      <c r="J95" s="1139"/>
      <c r="K95" s="1206">
        <f t="shared" si="47"/>
        <v>0</v>
      </c>
      <c r="L95" s="579">
        <f t="shared" si="38"/>
        <v>0</v>
      </c>
      <c r="M95" s="1163"/>
      <c r="N95" s="1163"/>
      <c r="O95" s="1163"/>
      <c r="P95" s="1163"/>
      <c r="Q95" s="1163"/>
      <c r="R95" s="1163"/>
      <c r="S95" s="1163"/>
      <c r="T95" s="1163"/>
    </row>
    <row r="96" spans="1:20" ht="21.95" customHeight="1" x14ac:dyDescent="0.15">
      <c r="A96" s="2596"/>
      <c r="B96" s="2599"/>
      <c r="C96" s="2759"/>
      <c r="D96" s="567" t="s">
        <v>1207</v>
      </c>
      <c r="E96" s="1478"/>
      <c r="F96" s="1465"/>
      <c r="G96" s="1139">
        <f>(SUMPRODUCT(G78:G82,$M78:$M82)*$M$77+SUMPRODUCT(G88:G93,$N88:$N93)*$N$77+SUMPRODUCT(G88:G93,$O88:$O93)*$O$77)/1000</f>
        <v>0</v>
      </c>
      <c r="H96" s="1139">
        <f t="shared" ref="H96:I96" si="51">(SUMPRODUCT(H78:H82,$M78:$M82)*$M$77+SUMPRODUCT(H88:H93,$N88:$N93)*$N$77+SUMPRODUCT(H88:H93,$O88:$O93)*$O$77)/1000</f>
        <v>0</v>
      </c>
      <c r="I96" s="1139">
        <f t="shared" si="51"/>
        <v>0</v>
      </c>
      <c r="J96" s="1139"/>
      <c r="K96" s="1140">
        <f t="shared" si="47"/>
        <v>0</v>
      </c>
      <c r="L96" s="579">
        <f t="shared" si="38"/>
        <v>0</v>
      </c>
      <c r="M96" s="1163"/>
      <c r="N96" s="1163"/>
      <c r="O96" s="1163"/>
      <c r="P96" s="1163"/>
      <c r="Q96" s="1163"/>
      <c r="R96" s="1163"/>
      <c r="S96" s="1163"/>
      <c r="T96" s="1163"/>
    </row>
    <row r="97" spans="1:20" ht="21.95" customHeight="1" x14ac:dyDescent="0.15">
      <c r="A97" s="2596"/>
      <c r="B97" s="2599"/>
      <c r="C97" s="2759"/>
      <c r="D97" s="559" t="s">
        <v>1393</v>
      </c>
      <c r="E97" s="1478"/>
      <c r="F97" s="1465"/>
      <c r="G97" s="1139">
        <f>SUMPRODUCT(G78:G82,$P78:$P82)*$P$77+SUMPRODUCT(G88:G93,$Q88:$Q93)*$Q$77+SUMPRODUCT(G88:G93,$R88:$R93)*$R$77</f>
        <v>0</v>
      </c>
      <c r="H97" s="1139">
        <f t="shared" ref="H97:I97" si="52">SUMPRODUCT(H78:H82,$P78:$P82)*$P$77+SUMPRODUCT(H88:H93,$Q88:$Q93)*$Q$77+SUMPRODUCT(H88:H93,$R88:$R93)*$R$77</f>
        <v>0</v>
      </c>
      <c r="I97" s="1139">
        <f t="shared" si="52"/>
        <v>0</v>
      </c>
      <c r="J97" s="1139"/>
      <c r="K97" s="1140">
        <f t="shared" si="47"/>
        <v>0</v>
      </c>
      <c r="L97" s="579">
        <f t="shared" si="38"/>
        <v>0</v>
      </c>
      <c r="M97" s="1163"/>
      <c r="N97" s="1163"/>
      <c r="O97" s="1163"/>
      <c r="P97" s="1163"/>
      <c r="Q97" s="1163"/>
      <c r="R97" s="1163"/>
      <c r="S97" s="1163"/>
      <c r="T97" s="1163"/>
    </row>
    <row r="98" spans="1:20" ht="21.95" customHeight="1" thickBot="1" x14ac:dyDescent="0.2">
      <c r="A98" s="2596"/>
      <c r="B98" s="2599"/>
      <c r="C98" s="2759"/>
      <c r="D98" s="975" t="s">
        <v>1420</v>
      </c>
      <c r="E98" s="1478"/>
      <c r="F98" s="1465"/>
      <c r="G98" s="1139">
        <f t="shared" ref="G98:I98" si="53">G49</f>
        <v>0</v>
      </c>
      <c r="H98" s="1139">
        <f t="shared" si="53"/>
        <v>0</v>
      </c>
      <c r="I98" s="1139">
        <f t="shared" si="53"/>
        <v>0</v>
      </c>
      <c r="J98" s="1139"/>
      <c r="K98" s="1140">
        <f t="shared" si="47"/>
        <v>0</v>
      </c>
      <c r="L98" s="579">
        <f t="shared" si="38"/>
        <v>0</v>
      </c>
      <c r="M98" s="1163"/>
      <c r="N98" s="1163"/>
      <c r="O98" s="1163"/>
      <c r="P98" s="1163"/>
      <c r="Q98" s="1163"/>
      <c r="R98" s="1163"/>
      <c r="S98" s="1163"/>
      <c r="T98" s="1163"/>
    </row>
    <row r="99" spans="1:20" ht="21.95" customHeight="1" x14ac:dyDescent="0.15">
      <c r="A99" s="2596"/>
      <c r="B99" s="2810"/>
      <c r="C99" s="2757"/>
      <c r="D99" s="550" t="s">
        <v>1394</v>
      </c>
      <c r="E99" s="1478"/>
      <c r="F99" s="1465"/>
      <c r="G99" s="1137">
        <f t="shared" ref="G99:I100" si="54">G62</f>
        <v>0</v>
      </c>
      <c r="H99" s="1137">
        <f t="shared" si="54"/>
        <v>0</v>
      </c>
      <c r="I99" s="1137">
        <f t="shared" si="54"/>
        <v>0</v>
      </c>
      <c r="J99" s="1139"/>
      <c r="K99" s="1204">
        <f t="shared" si="47"/>
        <v>0</v>
      </c>
      <c r="L99" s="579">
        <f t="shared" si="38"/>
        <v>0</v>
      </c>
      <c r="M99" s="1163"/>
      <c r="N99" s="1163"/>
      <c r="O99" s="1163"/>
      <c r="P99" s="1163"/>
      <c r="Q99" s="1163"/>
      <c r="R99" s="1163"/>
      <c r="S99" s="1163"/>
      <c r="T99" s="1163"/>
    </row>
    <row r="100" spans="1:20" ht="21.95" customHeight="1" x14ac:dyDescent="0.15">
      <c r="A100" s="2596"/>
      <c r="B100" s="2599"/>
      <c r="C100" s="2759"/>
      <c r="D100" s="559" t="s">
        <v>1395</v>
      </c>
      <c r="E100" s="1478"/>
      <c r="F100" s="1465"/>
      <c r="G100" s="1139">
        <f t="shared" si="54"/>
        <v>0</v>
      </c>
      <c r="H100" s="1139">
        <f t="shared" si="54"/>
        <v>0</v>
      </c>
      <c r="I100" s="1139">
        <f t="shared" si="54"/>
        <v>0</v>
      </c>
      <c r="J100" s="1139"/>
      <c r="K100" s="1140">
        <f t="shared" si="47"/>
        <v>0</v>
      </c>
      <c r="L100" s="579">
        <f t="shared" si="38"/>
        <v>0</v>
      </c>
      <c r="M100" s="1163"/>
      <c r="N100" s="1163"/>
      <c r="O100" s="1163"/>
      <c r="P100" s="1163"/>
      <c r="Q100" s="1163"/>
      <c r="R100" s="1163"/>
      <c r="S100" s="1163"/>
      <c r="T100" s="1163"/>
    </row>
    <row r="101" spans="1:20" ht="21.95" customHeight="1" x14ac:dyDescent="0.15">
      <c r="A101" s="2596"/>
      <c r="B101" s="2599"/>
      <c r="C101" s="2759"/>
      <c r="D101" s="567" t="s">
        <v>1605</v>
      </c>
      <c r="E101" s="1478"/>
      <c r="F101" s="1465"/>
      <c r="G101" s="1139">
        <f>SUMPRODUCT(G78:G82,$S78:$S82)*$S$77+SUMPRODUCT(G88:G93,$T88:$T93)*$T$77</f>
        <v>0</v>
      </c>
      <c r="H101" s="1139">
        <f t="shared" ref="H101:I101" si="55">SUMPRODUCT(H78:H82,$S78:$S82)*$S$77+SUMPRODUCT(H88:H93,$T88:$T93)*$T$77</f>
        <v>0</v>
      </c>
      <c r="I101" s="1139">
        <f t="shared" si="55"/>
        <v>0</v>
      </c>
      <c r="J101" s="1139"/>
      <c r="K101" s="1140">
        <f t="shared" si="47"/>
        <v>0</v>
      </c>
      <c r="L101" s="579">
        <f t="shared" si="38"/>
        <v>0</v>
      </c>
      <c r="M101" s="1163"/>
      <c r="N101" s="1163"/>
      <c r="O101" s="1163"/>
      <c r="P101" s="1163"/>
      <c r="Q101" s="1163"/>
      <c r="R101" s="1163"/>
      <c r="S101" s="1163"/>
      <c r="T101" s="1163"/>
    </row>
    <row r="102" spans="1:20" ht="21.95" customHeight="1" x14ac:dyDescent="0.15">
      <c r="A102" s="2596"/>
      <c r="B102" s="2599"/>
      <c r="C102" s="2759"/>
      <c r="D102" s="567" t="s">
        <v>1786</v>
      </c>
      <c r="E102" s="1478"/>
      <c r="F102" s="1465"/>
      <c r="G102" s="1139">
        <f t="shared" ref="G102:I102" si="56">G40+G43+G46</f>
        <v>0</v>
      </c>
      <c r="H102" s="1139">
        <f t="shared" si="56"/>
        <v>0</v>
      </c>
      <c r="I102" s="1139">
        <f t="shared" si="56"/>
        <v>0</v>
      </c>
      <c r="J102" s="1139"/>
      <c r="K102" s="1140">
        <f t="shared" si="47"/>
        <v>0</v>
      </c>
      <c r="L102" s="579">
        <f t="shared" si="38"/>
        <v>0</v>
      </c>
      <c r="M102" s="1163"/>
      <c r="N102" s="1163"/>
      <c r="O102" s="1163"/>
      <c r="P102" s="1163"/>
      <c r="Q102" s="1163"/>
      <c r="R102" s="1163"/>
      <c r="S102" s="1163"/>
      <c r="T102" s="1163"/>
    </row>
    <row r="103" spans="1:20" ht="21.95" customHeight="1" thickBot="1" x14ac:dyDescent="0.2">
      <c r="A103" s="2596"/>
      <c r="B103" s="2599"/>
      <c r="C103" s="2759"/>
      <c r="D103" s="567" t="s">
        <v>1787</v>
      </c>
      <c r="E103" s="1478"/>
      <c r="F103" s="1465"/>
      <c r="G103" s="1139">
        <f t="shared" ref="G103:I103" si="57">G50+G55</f>
        <v>0</v>
      </c>
      <c r="H103" s="1139">
        <f t="shared" si="57"/>
        <v>0</v>
      </c>
      <c r="I103" s="1139">
        <f t="shared" si="57"/>
        <v>0</v>
      </c>
      <c r="J103" s="1139"/>
      <c r="K103" s="1140">
        <f t="shared" si="47"/>
        <v>0</v>
      </c>
      <c r="L103" s="579">
        <f t="shared" si="38"/>
        <v>0</v>
      </c>
      <c r="M103" s="1163"/>
      <c r="N103" s="1163"/>
      <c r="O103" s="1163"/>
      <c r="P103" s="1163"/>
      <c r="Q103" s="1163"/>
      <c r="R103" s="1163"/>
      <c r="S103" s="1163"/>
      <c r="T103" s="1163"/>
    </row>
    <row r="104" spans="1:20" ht="21.95" customHeight="1" x14ac:dyDescent="0.15">
      <c r="A104" s="2596"/>
      <c r="B104" s="2810"/>
      <c r="C104" s="2757"/>
      <c r="D104" s="567" t="s">
        <v>1396</v>
      </c>
      <c r="E104" s="1478"/>
      <c r="F104" s="1465"/>
      <c r="G104" s="1139">
        <f t="shared" ref="G104:I105" si="58">G64</f>
        <v>0</v>
      </c>
      <c r="H104" s="1139">
        <f t="shared" si="58"/>
        <v>0</v>
      </c>
      <c r="I104" s="1139">
        <f t="shared" si="58"/>
        <v>0</v>
      </c>
      <c r="J104" s="1139"/>
      <c r="K104" s="1140">
        <f t="shared" si="47"/>
        <v>0</v>
      </c>
      <c r="L104" s="579">
        <f t="shared" si="38"/>
        <v>0</v>
      </c>
      <c r="M104" s="1163"/>
      <c r="N104" s="1163"/>
      <c r="O104" s="1163"/>
      <c r="P104" s="1163"/>
      <c r="Q104" s="1163"/>
      <c r="R104" s="1163"/>
      <c r="S104" s="1163"/>
      <c r="T104" s="1163"/>
    </row>
    <row r="105" spans="1:20" ht="21.95" customHeight="1" x14ac:dyDescent="0.15">
      <c r="A105" s="2596"/>
      <c r="B105" s="2599"/>
      <c r="C105" s="2759"/>
      <c r="D105" s="567" t="s">
        <v>1397</v>
      </c>
      <c r="E105" s="1478"/>
      <c r="F105" s="1465"/>
      <c r="G105" s="1139">
        <f t="shared" si="58"/>
        <v>0</v>
      </c>
      <c r="H105" s="1139">
        <f t="shared" si="58"/>
        <v>0</v>
      </c>
      <c r="I105" s="1139">
        <f t="shared" si="58"/>
        <v>0</v>
      </c>
      <c r="J105" s="1139"/>
      <c r="K105" s="1140">
        <f t="shared" si="47"/>
        <v>0</v>
      </c>
      <c r="L105" s="579">
        <f t="shared" si="38"/>
        <v>0</v>
      </c>
      <c r="M105" s="1163"/>
      <c r="N105" s="1163"/>
      <c r="O105" s="1163"/>
      <c r="P105" s="1163"/>
      <c r="Q105" s="1163"/>
      <c r="R105" s="1163"/>
      <c r="S105" s="1163"/>
      <c r="T105" s="1163"/>
    </row>
    <row r="106" spans="1:20" ht="21.95" customHeight="1" thickBot="1" x14ac:dyDescent="0.2">
      <c r="A106" s="2596"/>
      <c r="B106" s="2599"/>
      <c r="C106" s="2759"/>
      <c r="D106" s="567" t="s">
        <v>1409</v>
      </c>
      <c r="E106" s="1478"/>
      <c r="F106" s="1465"/>
      <c r="G106" s="1139">
        <f t="shared" ref="G106:I106" si="59">G41+G44+G47</f>
        <v>0</v>
      </c>
      <c r="H106" s="1139">
        <f t="shared" si="59"/>
        <v>0</v>
      </c>
      <c r="I106" s="1139">
        <f t="shared" si="59"/>
        <v>0</v>
      </c>
      <c r="J106" s="1139"/>
      <c r="K106" s="1140">
        <f t="shared" si="47"/>
        <v>0</v>
      </c>
      <c r="L106" s="579">
        <f t="shared" si="38"/>
        <v>0</v>
      </c>
      <c r="M106" s="1163"/>
      <c r="N106" s="1163"/>
      <c r="O106" s="1163"/>
      <c r="P106" s="1163"/>
      <c r="Q106" s="1163"/>
      <c r="R106" s="1163"/>
      <c r="S106" s="1163"/>
      <c r="T106" s="1163"/>
    </row>
    <row r="107" spans="1:20" ht="21.95" customHeight="1" x14ac:dyDescent="0.15">
      <c r="A107" s="2596"/>
      <c r="B107" s="2810"/>
      <c r="C107" s="2757"/>
      <c r="D107" s="567" t="s">
        <v>1404</v>
      </c>
      <c r="E107" s="1478"/>
      <c r="F107" s="1465"/>
      <c r="G107" s="1139">
        <f t="shared" ref="G107:I107" si="60">G53</f>
        <v>0</v>
      </c>
      <c r="H107" s="1139">
        <f t="shared" si="60"/>
        <v>0</v>
      </c>
      <c r="I107" s="1139">
        <f t="shared" si="60"/>
        <v>0</v>
      </c>
      <c r="J107" s="1139"/>
      <c r="K107" s="1140">
        <f t="shared" si="47"/>
        <v>0</v>
      </c>
      <c r="L107" s="579">
        <f t="shared" si="38"/>
        <v>0</v>
      </c>
      <c r="M107" s="1163"/>
      <c r="N107" s="1163"/>
      <c r="O107" s="1163"/>
      <c r="P107" s="1163"/>
      <c r="Q107" s="1163"/>
      <c r="R107" s="1163"/>
      <c r="S107" s="1163"/>
      <c r="T107" s="1163"/>
    </row>
    <row r="108" spans="1:20" ht="21.95" customHeight="1" x14ac:dyDescent="0.15">
      <c r="A108" s="2596"/>
      <c r="B108" s="2599"/>
      <c r="C108" s="2759"/>
      <c r="D108" s="567" t="s">
        <v>1410</v>
      </c>
      <c r="E108" s="1478"/>
      <c r="F108" s="1465"/>
      <c r="G108" s="1139">
        <f t="shared" ref="G108:I108" si="61">G51+G56</f>
        <v>0</v>
      </c>
      <c r="H108" s="1139">
        <f t="shared" si="61"/>
        <v>0</v>
      </c>
      <c r="I108" s="1139">
        <f t="shared" si="61"/>
        <v>0</v>
      </c>
      <c r="J108" s="1139"/>
      <c r="K108" s="1140">
        <f t="shared" si="47"/>
        <v>0</v>
      </c>
      <c r="L108" s="579">
        <f t="shared" si="38"/>
        <v>0</v>
      </c>
      <c r="M108" s="1163"/>
      <c r="N108" s="1163"/>
      <c r="O108" s="1163"/>
      <c r="P108" s="1163"/>
      <c r="Q108" s="1163"/>
      <c r="R108" s="1163"/>
      <c r="S108" s="1163"/>
      <c r="T108" s="1163"/>
    </row>
    <row r="109" spans="1:20" ht="21.95" customHeight="1" thickBot="1" x14ac:dyDescent="0.2">
      <c r="A109" s="2596"/>
      <c r="B109" s="2599"/>
      <c r="C109" s="2759"/>
      <c r="D109" s="567" t="s">
        <v>1415</v>
      </c>
      <c r="E109" s="1478"/>
      <c r="F109" s="1465"/>
      <c r="G109" s="1139">
        <f t="shared" ref="G109:I109" si="62">G69</f>
        <v>0</v>
      </c>
      <c r="H109" s="1139">
        <f t="shared" si="62"/>
        <v>0</v>
      </c>
      <c r="I109" s="1139">
        <f t="shared" si="62"/>
        <v>0</v>
      </c>
      <c r="J109" s="1139"/>
      <c r="K109" s="1140">
        <f t="shared" si="47"/>
        <v>0</v>
      </c>
      <c r="L109" s="579">
        <f t="shared" si="38"/>
        <v>0</v>
      </c>
      <c r="M109" s="1163"/>
      <c r="N109" s="1163"/>
      <c r="O109" s="1163"/>
      <c r="P109" s="1163"/>
      <c r="Q109" s="1163"/>
      <c r="R109" s="1163"/>
      <c r="S109" s="1163"/>
      <c r="T109" s="1163"/>
    </row>
    <row r="110" spans="1:20" ht="21.95" customHeight="1" x14ac:dyDescent="0.15">
      <c r="A110" s="2596"/>
      <c r="B110" s="2810"/>
      <c r="C110" s="2757"/>
      <c r="D110" s="567" t="s">
        <v>1412</v>
      </c>
      <c r="E110" s="1478"/>
      <c r="F110" s="1465"/>
      <c r="G110" s="1139">
        <f t="shared" ref="G110:I112" si="63">G66</f>
        <v>0</v>
      </c>
      <c r="H110" s="1139">
        <f t="shared" si="63"/>
        <v>0</v>
      </c>
      <c r="I110" s="1139">
        <f t="shared" si="63"/>
        <v>0</v>
      </c>
      <c r="J110" s="1139"/>
      <c r="K110" s="1140">
        <f t="shared" si="47"/>
        <v>0</v>
      </c>
      <c r="L110" s="579">
        <f t="shared" si="38"/>
        <v>0</v>
      </c>
      <c r="M110" s="1163"/>
      <c r="N110" s="1163"/>
      <c r="O110" s="1163"/>
      <c r="P110" s="1163"/>
      <c r="Q110" s="1163"/>
      <c r="R110" s="1163"/>
      <c r="S110" s="1163"/>
      <c r="T110" s="1163"/>
    </row>
    <row r="111" spans="1:20" ht="21.95" customHeight="1" x14ac:dyDescent="0.15">
      <c r="A111" s="2596"/>
      <c r="B111" s="2599"/>
      <c r="C111" s="2759"/>
      <c r="D111" s="567" t="s">
        <v>1413</v>
      </c>
      <c r="E111" s="1478"/>
      <c r="F111" s="1465"/>
      <c r="G111" s="1139">
        <f t="shared" si="63"/>
        <v>0</v>
      </c>
      <c r="H111" s="1139">
        <f t="shared" si="63"/>
        <v>0</v>
      </c>
      <c r="I111" s="1139">
        <f t="shared" si="63"/>
        <v>0</v>
      </c>
      <c r="J111" s="1139"/>
      <c r="K111" s="1140">
        <f t="shared" si="47"/>
        <v>0</v>
      </c>
      <c r="L111" s="579">
        <f t="shared" si="38"/>
        <v>0</v>
      </c>
      <c r="M111" s="1163"/>
      <c r="N111" s="1163"/>
      <c r="O111" s="1163"/>
      <c r="P111" s="1163"/>
      <c r="Q111" s="1163"/>
      <c r="R111" s="1163"/>
      <c r="S111" s="1163"/>
      <c r="T111" s="1163"/>
    </row>
    <row r="112" spans="1:20" ht="21.95" customHeight="1" thickBot="1" x14ac:dyDescent="0.2">
      <c r="A112" s="2596"/>
      <c r="B112" s="2599"/>
      <c r="C112" s="2759"/>
      <c r="D112" s="567" t="s">
        <v>1414</v>
      </c>
      <c r="E112" s="1478"/>
      <c r="F112" s="1465"/>
      <c r="G112" s="1139">
        <f t="shared" si="63"/>
        <v>0</v>
      </c>
      <c r="H112" s="1139">
        <f t="shared" si="63"/>
        <v>0</v>
      </c>
      <c r="I112" s="1139">
        <f t="shared" si="63"/>
        <v>0</v>
      </c>
      <c r="J112" s="1139"/>
      <c r="K112" s="1140">
        <f t="shared" si="47"/>
        <v>0</v>
      </c>
      <c r="L112" s="579">
        <f t="shared" si="38"/>
        <v>0</v>
      </c>
      <c r="M112" s="1163"/>
      <c r="N112" s="1163"/>
      <c r="O112" s="1163"/>
      <c r="P112" s="1163"/>
      <c r="Q112" s="1163"/>
      <c r="R112" s="1163"/>
      <c r="S112" s="1163"/>
      <c r="T112" s="1163"/>
    </row>
    <row r="113" spans="1:20" ht="21.95" customHeight="1" x14ac:dyDescent="0.15">
      <c r="A113" s="2596"/>
      <c r="B113" s="2810"/>
      <c r="C113" s="2757"/>
      <c r="D113" s="567" t="s">
        <v>1376</v>
      </c>
      <c r="E113" s="1478"/>
      <c r="F113" s="1465"/>
      <c r="G113" s="1139">
        <f t="shared" ref="G113:I113" si="64">(+G58+G59+G60)*2.5548</f>
        <v>0</v>
      </c>
      <c r="H113" s="1139">
        <f t="shared" si="64"/>
        <v>0</v>
      </c>
      <c r="I113" s="1139">
        <f t="shared" si="64"/>
        <v>0</v>
      </c>
      <c r="J113" s="1139"/>
      <c r="K113" s="1140">
        <f t="shared" si="47"/>
        <v>0</v>
      </c>
      <c r="L113" s="579">
        <f t="shared" si="38"/>
        <v>0</v>
      </c>
      <c r="M113" s="1163"/>
      <c r="N113" s="1163"/>
      <c r="O113" s="1163"/>
      <c r="P113" s="1163"/>
      <c r="Q113" s="1163"/>
      <c r="R113" s="1163"/>
      <c r="S113" s="1163"/>
      <c r="T113" s="1163"/>
    </row>
    <row r="114" spans="1:20" ht="21.95" customHeight="1" thickBot="1" x14ac:dyDescent="0.2">
      <c r="A114" s="2596"/>
      <c r="B114" s="2811"/>
      <c r="C114" s="2758"/>
      <c r="D114" s="566" t="s">
        <v>1377</v>
      </c>
      <c r="E114" s="1478"/>
      <c r="F114" s="1465"/>
      <c r="G114" s="1139">
        <f t="shared" ref="G114:I114" si="65">G61*2.346</f>
        <v>0</v>
      </c>
      <c r="H114" s="1139">
        <f t="shared" si="65"/>
        <v>0</v>
      </c>
      <c r="I114" s="1139">
        <f t="shared" si="65"/>
        <v>0</v>
      </c>
      <c r="J114" s="1139"/>
      <c r="K114" s="1141">
        <f t="shared" si="47"/>
        <v>0</v>
      </c>
      <c r="L114" s="579">
        <f t="shared" si="38"/>
        <v>0</v>
      </c>
      <c r="M114" s="1163"/>
      <c r="N114" s="1163"/>
      <c r="O114" s="1163"/>
      <c r="P114" s="1163"/>
      <c r="Q114" s="1163"/>
      <c r="R114" s="1163"/>
      <c r="S114" s="1163"/>
      <c r="T114" s="1163"/>
    </row>
    <row r="115" spans="1:20" ht="21.95" customHeight="1" x14ac:dyDescent="0.15">
      <c r="A115" s="2596"/>
      <c r="B115" s="2810" t="s">
        <v>1366</v>
      </c>
      <c r="C115" s="2757"/>
      <c r="D115" s="567" t="s">
        <v>1255</v>
      </c>
      <c r="E115" s="1496"/>
      <c r="F115" s="1497"/>
      <c r="G115" s="1137">
        <f t="shared" ref="G115:I134" si="66">G95</f>
        <v>0</v>
      </c>
      <c r="H115" s="1137">
        <f t="shared" si="66"/>
        <v>0</v>
      </c>
      <c r="I115" s="1137">
        <f t="shared" si="66"/>
        <v>0</v>
      </c>
      <c r="J115" s="1137"/>
      <c r="K115" s="1206"/>
      <c r="L115" s="579"/>
    </row>
    <row r="116" spans="1:20" ht="21.95" customHeight="1" x14ac:dyDescent="0.15">
      <c r="A116" s="2596"/>
      <c r="B116" s="2599"/>
      <c r="C116" s="2759"/>
      <c r="D116" s="567" t="s">
        <v>1207</v>
      </c>
      <c r="E116" s="1498"/>
      <c r="F116" s="1499"/>
      <c r="G116" s="1139">
        <f t="shared" si="66"/>
        <v>0</v>
      </c>
      <c r="H116" s="1139">
        <f t="shared" si="66"/>
        <v>0</v>
      </c>
      <c r="I116" s="1139">
        <f t="shared" si="66"/>
        <v>0</v>
      </c>
      <c r="J116" s="1139"/>
      <c r="K116" s="1140"/>
      <c r="L116" s="579"/>
    </row>
    <row r="117" spans="1:20" ht="21.95" customHeight="1" x14ac:dyDescent="0.15">
      <c r="A117" s="2596"/>
      <c r="B117" s="2599"/>
      <c r="C117" s="2759"/>
      <c r="D117" s="559" t="s">
        <v>1393</v>
      </c>
      <c r="E117" s="1498"/>
      <c r="F117" s="1499"/>
      <c r="G117" s="1139">
        <f t="shared" si="66"/>
        <v>0</v>
      </c>
      <c r="H117" s="1139">
        <f t="shared" si="66"/>
        <v>0</v>
      </c>
      <c r="I117" s="1139">
        <f t="shared" si="66"/>
        <v>0</v>
      </c>
      <c r="J117" s="1139"/>
      <c r="K117" s="1140"/>
      <c r="L117" s="579"/>
    </row>
    <row r="118" spans="1:20" ht="21.95" customHeight="1" x14ac:dyDescent="0.15">
      <c r="A118" s="2596"/>
      <c r="B118" s="2599"/>
      <c r="C118" s="2759"/>
      <c r="D118" s="559" t="s">
        <v>1420</v>
      </c>
      <c r="E118" s="1498"/>
      <c r="F118" s="1499"/>
      <c r="G118" s="1139">
        <f t="shared" si="66"/>
        <v>0</v>
      </c>
      <c r="H118" s="1139">
        <f t="shared" si="66"/>
        <v>0</v>
      </c>
      <c r="I118" s="1139">
        <f t="shared" si="66"/>
        <v>0</v>
      </c>
      <c r="J118" s="1139"/>
      <c r="K118" s="1140"/>
      <c r="L118" s="579"/>
    </row>
    <row r="119" spans="1:20" ht="21.95" customHeight="1" x14ac:dyDescent="0.15">
      <c r="A119" s="2596"/>
      <c r="B119" s="2599"/>
      <c r="C119" s="2759"/>
      <c r="D119" s="559" t="s">
        <v>1394</v>
      </c>
      <c r="E119" s="1498"/>
      <c r="F119" s="1499"/>
      <c r="G119" s="1139">
        <f t="shared" si="66"/>
        <v>0</v>
      </c>
      <c r="H119" s="1139">
        <f t="shared" si="66"/>
        <v>0</v>
      </c>
      <c r="I119" s="1139">
        <f t="shared" si="66"/>
        <v>0</v>
      </c>
      <c r="J119" s="1139"/>
      <c r="K119" s="1140"/>
      <c r="L119" s="579"/>
    </row>
    <row r="120" spans="1:20" ht="21.95" customHeight="1" x14ac:dyDescent="0.15">
      <c r="A120" s="2596"/>
      <c r="B120" s="2599"/>
      <c r="C120" s="2759"/>
      <c r="D120" s="559" t="s">
        <v>1395</v>
      </c>
      <c r="E120" s="1498"/>
      <c r="F120" s="1499"/>
      <c r="G120" s="1139">
        <f t="shared" si="66"/>
        <v>0</v>
      </c>
      <c r="H120" s="1139">
        <f t="shared" si="66"/>
        <v>0</v>
      </c>
      <c r="I120" s="1139">
        <f t="shared" si="66"/>
        <v>0</v>
      </c>
      <c r="J120" s="1139"/>
      <c r="K120" s="1140"/>
      <c r="L120" s="579"/>
    </row>
    <row r="121" spans="1:20" ht="21.95" customHeight="1" x14ac:dyDescent="0.15">
      <c r="A121" s="2596"/>
      <c r="B121" s="2599"/>
      <c r="C121" s="2759"/>
      <c r="D121" s="567" t="s">
        <v>1605</v>
      </c>
      <c r="E121" s="1498"/>
      <c r="F121" s="1499"/>
      <c r="G121" s="1139">
        <f t="shared" si="66"/>
        <v>0</v>
      </c>
      <c r="H121" s="1139">
        <f t="shared" si="66"/>
        <v>0</v>
      </c>
      <c r="I121" s="1139">
        <f t="shared" si="66"/>
        <v>0</v>
      </c>
      <c r="J121" s="1139"/>
      <c r="K121" s="1140"/>
      <c r="L121" s="579"/>
    </row>
    <row r="122" spans="1:20" ht="21.95" customHeight="1" x14ac:dyDescent="0.15">
      <c r="A122" s="2596"/>
      <c r="B122" s="2599"/>
      <c r="C122" s="2759"/>
      <c r="D122" s="567" t="s">
        <v>1786</v>
      </c>
      <c r="E122" s="1498"/>
      <c r="F122" s="1499"/>
      <c r="G122" s="1139">
        <f t="shared" si="66"/>
        <v>0</v>
      </c>
      <c r="H122" s="1139">
        <f t="shared" si="66"/>
        <v>0</v>
      </c>
      <c r="I122" s="1139">
        <f t="shared" si="66"/>
        <v>0</v>
      </c>
      <c r="J122" s="1139"/>
      <c r="K122" s="1140"/>
      <c r="L122" s="579"/>
    </row>
    <row r="123" spans="1:20" ht="21.95" customHeight="1" x14ac:dyDescent="0.15">
      <c r="A123" s="2596"/>
      <c r="B123" s="2599"/>
      <c r="C123" s="2759"/>
      <c r="D123" s="567" t="s">
        <v>1787</v>
      </c>
      <c r="E123" s="1498"/>
      <c r="F123" s="1499"/>
      <c r="G123" s="1139">
        <f t="shared" si="66"/>
        <v>0</v>
      </c>
      <c r="H123" s="1139">
        <f t="shared" si="66"/>
        <v>0</v>
      </c>
      <c r="I123" s="1139">
        <f t="shared" si="66"/>
        <v>0</v>
      </c>
      <c r="J123" s="1139"/>
      <c r="K123" s="1140"/>
      <c r="L123" s="579"/>
    </row>
    <row r="124" spans="1:20" ht="21.95" customHeight="1" x14ac:dyDescent="0.15">
      <c r="A124" s="2596"/>
      <c r="B124" s="2599"/>
      <c r="C124" s="2759"/>
      <c r="D124" s="567" t="s">
        <v>1396</v>
      </c>
      <c r="E124" s="1498"/>
      <c r="F124" s="1499"/>
      <c r="G124" s="1139">
        <f t="shared" si="66"/>
        <v>0</v>
      </c>
      <c r="H124" s="1139">
        <f t="shared" si="66"/>
        <v>0</v>
      </c>
      <c r="I124" s="1139">
        <f t="shared" si="66"/>
        <v>0</v>
      </c>
      <c r="J124" s="1139"/>
      <c r="K124" s="1140"/>
      <c r="L124" s="579"/>
    </row>
    <row r="125" spans="1:20" ht="21.95" customHeight="1" x14ac:dyDescent="0.15">
      <c r="A125" s="2596"/>
      <c r="B125" s="2599"/>
      <c r="C125" s="2759"/>
      <c r="D125" s="567" t="s">
        <v>1397</v>
      </c>
      <c r="E125" s="1498"/>
      <c r="F125" s="1499"/>
      <c r="G125" s="1139">
        <f t="shared" si="66"/>
        <v>0</v>
      </c>
      <c r="H125" s="1139">
        <f t="shared" si="66"/>
        <v>0</v>
      </c>
      <c r="I125" s="1139">
        <f t="shared" si="66"/>
        <v>0</v>
      </c>
      <c r="J125" s="1139"/>
      <c r="K125" s="1140"/>
      <c r="L125" s="579"/>
    </row>
    <row r="126" spans="1:20" ht="21.95" customHeight="1" x14ac:dyDescent="0.15">
      <c r="A126" s="2596"/>
      <c r="B126" s="2599"/>
      <c r="C126" s="2759"/>
      <c r="D126" s="567" t="s">
        <v>1409</v>
      </c>
      <c r="E126" s="1498"/>
      <c r="F126" s="1499"/>
      <c r="G126" s="1139">
        <f t="shared" si="66"/>
        <v>0</v>
      </c>
      <c r="H126" s="1139">
        <f t="shared" si="66"/>
        <v>0</v>
      </c>
      <c r="I126" s="1139">
        <f t="shared" si="66"/>
        <v>0</v>
      </c>
      <c r="J126" s="1139"/>
      <c r="K126" s="1140"/>
      <c r="L126" s="579"/>
    </row>
    <row r="127" spans="1:20" ht="21.95" customHeight="1" x14ac:dyDescent="0.15">
      <c r="A127" s="2596"/>
      <c r="B127" s="2599"/>
      <c r="C127" s="2759"/>
      <c r="D127" s="567" t="s">
        <v>1404</v>
      </c>
      <c r="E127" s="1498"/>
      <c r="F127" s="1499"/>
      <c r="G127" s="1139">
        <f t="shared" si="66"/>
        <v>0</v>
      </c>
      <c r="H127" s="1139">
        <f t="shared" si="66"/>
        <v>0</v>
      </c>
      <c r="I127" s="1139">
        <f t="shared" si="66"/>
        <v>0</v>
      </c>
      <c r="J127" s="1139"/>
      <c r="K127" s="1140"/>
      <c r="L127" s="579"/>
    </row>
    <row r="128" spans="1:20" ht="21.95" customHeight="1" x14ac:dyDescent="0.15">
      <c r="A128" s="2596"/>
      <c r="B128" s="2599"/>
      <c r="C128" s="2759"/>
      <c r="D128" s="567" t="s">
        <v>1410</v>
      </c>
      <c r="E128" s="1498"/>
      <c r="F128" s="1499"/>
      <c r="G128" s="1139">
        <f t="shared" si="66"/>
        <v>0</v>
      </c>
      <c r="H128" s="1139">
        <f t="shared" si="66"/>
        <v>0</v>
      </c>
      <c r="I128" s="1139">
        <f t="shared" si="66"/>
        <v>0</v>
      </c>
      <c r="J128" s="1139"/>
      <c r="K128" s="1140"/>
      <c r="L128" s="579"/>
    </row>
    <row r="129" spans="1:13" ht="21.95" customHeight="1" x14ac:dyDescent="0.15">
      <c r="A129" s="2596"/>
      <c r="B129" s="2599"/>
      <c r="C129" s="2759"/>
      <c r="D129" s="567" t="s">
        <v>1415</v>
      </c>
      <c r="E129" s="1498"/>
      <c r="F129" s="1499"/>
      <c r="G129" s="1139">
        <f t="shared" si="66"/>
        <v>0</v>
      </c>
      <c r="H129" s="1139">
        <f t="shared" si="66"/>
        <v>0</v>
      </c>
      <c r="I129" s="1139">
        <f t="shared" si="66"/>
        <v>0</v>
      </c>
      <c r="J129" s="1139"/>
      <c r="K129" s="1140"/>
      <c r="L129" s="579"/>
    </row>
    <row r="130" spans="1:13" ht="21.95" customHeight="1" x14ac:dyDescent="0.15">
      <c r="A130" s="2596"/>
      <c r="B130" s="2599"/>
      <c r="C130" s="2759"/>
      <c r="D130" s="567" t="s">
        <v>1412</v>
      </c>
      <c r="E130" s="1498"/>
      <c r="F130" s="1499"/>
      <c r="G130" s="1139">
        <f t="shared" si="66"/>
        <v>0</v>
      </c>
      <c r="H130" s="1139">
        <f t="shared" si="66"/>
        <v>0</v>
      </c>
      <c r="I130" s="1139">
        <f t="shared" si="66"/>
        <v>0</v>
      </c>
      <c r="J130" s="1139"/>
      <c r="K130" s="1140"/>
      <c r="L130" s="579"/>
    </row>
    <row r="131" spans="1:13" ht="21.95" customHeight="1" x14ac:dyDescent="0.15">
      <c r="A131" s="2596"/>
      <c r="B131" s="2599"/>
      <c r="C131" s="2759"/>
      <c r="D131" s="567" t="s">
        <v>1413</v>
      </c>
      <c r="E131" s="1498"/>
      <c r="F131" s="1499"/>
      <c r="G131" s="1139">
        <f t="shared" si="66"/>
        <v>0</v>
      </c>
      <c r="H131" s="1139">
        <f t="shared" si="66"/>
        <v>0</v>
      </c>
      <c r="I131" s="1139">
        <f t="shared" si="66"/>
        <v>0</v>
      </c>
      <c r="J131" s="1139"/>
      <c r="K131" s="1140"/>
      <c r="L131" s="579"/>
    </row>
    <row r="132" spans="1:13" ht="21.95" customHeight="1" x14ac:dyDescent="0.15">
      <c r="A132" s="2596"/>
      <c r="B132" s="2599"/>
      <c r="C132" s="2759"/>
      <c r="D132" s="567" t="s">
        <v>1414</v>
      </c>
      <c r="E132" s="1498"/>
      <c r="F132" s="1499"/>
      <c r="G132" s="1139">
        <f t="shared" si="66"/>
        <v>0</v>
      </c>
      <c r="H132" s="1139">
        <f t="shared" si="66"/>
        <v>0</v>
      </c>
      <c r="I132" s="1139">
        <f t="shared" si="66"/>
        <v>0</v>
      </c>
      <c r="J132" s="1139"/>
      <c r="K132" s="1140"/>
      <c r="L132" s="579"/>
    </row>
    <row r="133" spans="1:13" ht="21.95" customHeight="1" x14ac:dyDescent="0.15">
      <c r="A133" s="2596"/>
      <c r="B133" s="2599"/>
      <c r="C133" s="2759"/>
      <c r="D133" s="567" t="s">
        <v>1376</v>
      </c>
      <c r="E133" s="1498"/>
      <c r="F133" s="1499"/>
      <c r="G133" s="1139">
        <f t="shared" si="66"/>
        <v>0</v>
      </c>
      <c r="H133" s="1139">
        <f t="shared" si="66"/>
        <v>0</v>
      </c>
      <c r="I133" s="1139">
        <f t="shared" si="66"/>
        <v>0</v>
      </c>
      <c r="J133" s="1139"/>
      <c r="K133" s="1140"/>
      <c r="L133" s="579"/>
    </row>
    <row r="134" spans="1:13" ht="21.95" customHeight="1" thickBot="1" x14ac:dyDescent="0.2">
      <c r="A134" s="2596"/>
      <c r="B134" s="2811"/>
      <c r="C134" s="2758"/>
      <c r="D134" s="566" t="s">
        <v>1377</v>
      </c>
      <c r="E134" s="1500"/>
      <c r="F134" s="1501"/>
      <c r="G134" s="1135">
        <f t="shared" si="66"/>
        <v>0</v>
      </c>
      <c r="H134" s="1135">
        <f t="shared" si="66"/>
        <v>0</v>
      </c>
      <c r="I134" s="1135">
        <f t="shared" si="66"/>
        <v>0</v>
      </c>
      <c r="J134" s="1135"/>
      <c r="K134" s="1141"/>
      <c r="L134" s="579"/>
    </row>
    <row r="135" spans="1:13" s="9" customFormat="1" ht="50.1" customHeight="1" thickBot="1" x14ac:dyDescent="0.2">
      <c r="A135" s="2597"/>
      <c r="B135" s="2803" t="s">
        <v>12</v>
      </c>
      <c r="C135" s="2773"/>
      <c r="D135" s="2804"/>
      <c r="E135" s="1502"/>
      <c r="F135" s="1503"/>
      <c r="G135" s="902"/>
      <c r="H135" s="902"/>
      <c r="I135" s="902"/>
      <c r="J135" s="902"/>
      <c r="K135" s="577"/>
      <c r="L135" s="668">
        <v>1</v>
      </c>
      <c r="M135" s="671"/>
    </row>
    <row r="136" spans="1:13" ht="19.5" thickTop="1" x14ac:dyDescent="0.15"/>
    <row r="137" spans="1:13" s="9" customFormat="1" ht="11.25" x14ac:dyDescent="0.15"/>
    <row r="138" spans="1:13" s="9" customFormat="1" ht="11.25" x14ac:dyDescent="0.15"/>
    <row r="139" spans="1:13" s="9" customFormat="1" ht="11.25" x14ac:dyDescent="0.15"/>
    <row r="140" spans="1:13" s="9" customFormat="1" ht="11.25" x14ac:dyDescent="0.15"/>
    <row r="141" spans="1:13" s="9" customFormat="1" ht="11.25" x14ac:dyDescent="0.15"/>
    <row r="142" spans="1:13" s="9" customFormat="1" ht="11.25" x14ac:dyDescent="0.15"/>
    <row r="143" spans="1:13" s="9" customFormat="1" ht="11.25" x14ac:dyDescent="0.15"/>
    <row r="144" spans="1:13" s="9" customFormat="1" ht="11.25" x14ac:dyDescent="0.15"/>
    <row r="145" s="9" customFormat="1" ht="11.25" x14ac:dyDescent="0.15"/>
    <row r="146" s="9" customFormat="1" ht="11.25" x14ac:dyDescent="0.15"/>
    <row r="147" s="9" customFormat="1" ht="11.25" x14ac:dyDescent="0.15"/>
    <row r="148" s="9" customFormat="1" ht="11.25" x14ac:dyDescent="0.15"/>
    <row r="149" s="9" customFormat="1" ht="11.25" x14ac:dyDescent="0.15"/>
  </sheetData>
  <autoFilter ref="L1:L135" xr:uid="{00000000-0009-0000-0000-000018000000}"/>
  <mergeCells count="46">
    <mergeCell ref="B18:C21"/>
    <mergeCell ref="D9:F9"/>
    <mergeCell ref="F26:F27"/>
    <mergeCell ref="F31:F32"/>
    <mergeCell ref="F33:F35"/>
    <mergeCell ref="B5:C17"/>
    <mergeCell ref="B33:C38"/>
    <mergeCell ref="F36:F38"/>
    <mergeCell ref="F18:F21"/>
    <mergeCell ref="F22:F25"/>
    <mergeCell ref="F28:F30"/>
    <mergeCell ref="B28:C32"/>
    <mergeCell ref="B48:C51"/>
    <mergeCell ref="B77:B82"/>
    <mergeCell ref="B45:C47"/>
    <mergeCell ref="B39:C41"/>
    <mergeCell ref="B70:B76"/>
    <mergeCell ref="C76:D76"/>
    <mergeCell ref="B54:C56"/>
    <mergeCell ref="C74:C75"/>
    <mergeCell ref="B94:C94"/>
    <mergeCell ref="B95:C114"/>
    <mergeCell ref="P73:R73"/>
    <mergeCell ref="S73:T73"/>
    <mergeCell ref="C70:C71"/>
    <mergeCell ref="C72:C73"/>
    <mergeCell ref="M73:O73"/>
    <mergeCell ref="B92:C93"/>
    <mergeCell ref="B83:C85"/>
    <mergeCell ref="B86:C87"/>
    <mergeCell ref="A1:A135"/>
    <mergeCell ref="B1:D1"/>
    <mergeCell ref="B2:D2"/>
    <mergeCell ref="B3:D3"/>
    <mergeCell ref="B4:D4"/>
    <mergeCell ref="B135:D135"/>
    <mergeCell ref="B52:C53"/>
    <mergeCell ref="B42:C44"/>
    <mergeCell ref="B88:C89"/>
    <mergeCell ref="B90:C91"/>
    <mergeCell ref="B115:C134"/>
    <mergeCell ref="C81:C82"/>
    <mergeCell ref="C79:C80"/>
    <mergeCell ref="C77:C78"/>
    <mergeCell ref="B22:C27"/>
    <mergeCell ref="B57:C69"/>
  </mergeCells>
  <conditionalFormatting sqref="G14:I16">
    <cfRule type="expression" dxfId="89" priority="7">
      <formula>COUNTA(G$18:G$21)&gt;0</formula>
    </cfRule>
    <cfRule type="expression" dxfId="88" priority="8">
      <formula>G$26+G$31+G$37&gt;0</formula>
    </cfRule>
  </conditionalFormatting>
  <conditionalFormatting sqref="G9:J9">
    <cfRule type="expression" dxfId="87" priority="1653">
      <formula>G$9="erro"</formula>
    </cfRule>
  </conditionalFormatting>
  <conditionalFormatting sqref="G18:J21">
    <cfRule type="expression" dxfId="86" priority="1">
      <formula>COUNTA(G$18:G$21)&gt;0</formula>
    </cfRule>
    <cfRule type="expression" dxfId="85" priority="2">
      <formula>G$26+G$31+G$37&gt;0</formula>
    </cfRule>
  </conditionalFormatting>
  <conditionalFormatting sqref="J7">
    <cfRule type="expression" dxfId="83" priority="1665">
      <formula>J7=0</formula>
    </cfRule>
    <cfRule type="expression" dxfId="82" priority="1666">
      <formula>COUNTA(J$10:J$13)&gt;0</formula>
    </cfRule>
    <cfRule type="expression" dxfId="81" priority="1667">
      <formula>COUNTA(J$14:J$17)&gt;0</formula>
    </cfRule>
  </conditionalFormatting>
  <hyperlinks>
    <hyperlink ref="B1:D1" location="PAINEL!A1" display="VIAS" xr:uid="{00000000-0004-0000-1800-000000000000}"/>
  </hyperlinks>
  <printOptions horizontalCentered="1"/>
  <pageMargins left="0.39370078740157483" right="0.39370078740157483" top="0.59055118110236227" bottom="0.59055118110236227" header="0.23622047244094491" footer="0.23622047244094491"/>
  <pageSetup paperSize="8" scale="80" fitToWidth="6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73" id="{55DBCFD9-E3C5-44A0-8C85-2272CD5A6A54}">
            <xm:f>Recap_Previo!#REF!&gt;0</xm:f>
            <x14:dxf>
              <fill>
                <patternFill>
                  <bgColor rgb="FFCCFFCC"/>
                </patternFill>
              </fill>
            </x14:dxf>
          </x14:cfRule>
          <xm:sqref>G36:J36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33">
    <tabColor theme="9" tint="0.59999389629810485"/>
    <pageSetUpPr fitToPage="1"/>
  </sheetPr>
  <dimension ref="A1:Y162"/>
  <sheetViews>
    <sheetView showZeros="0" zoomScaleNormal="100" zoomScaleSheetLayoutView="100" workbookViewId="0">
      <pane xSplit="4" ySplit="1" topLeftCell="G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63" sqref="G63:X63"/>
    </sheetView>
  </sheetViews>
  <sheetFormatPr defaultColWidth="9" defaultRowHeight="18.75" x14ac:dyDescent="0.15"/>
  <cols>
    <col min="1" max="1" width="9.75" style="5" customWidth="1"/>
    <col min="2" max="2" width="6.625" style="9" customWidth="1"/>
    <col min="3" max="3" width="16.625" style="9" customWidth="1"/>
    <col min="4" max="4" width="35.625" style="9" customWidth="1"/>
    <col min="5" max="5" width="3.375" style="982" customWidth="1"/>
    <col min="6" max="6" width="39.375" style="9" bestFit="1" customWidth="1"/>
    <col min="7" max="25" width="12.625" style="5" customWidth="1"/>
    <col min="26" max="26" width="9.375" style="5" bestFit="1" customWidth="1"/>
    <col min="27" max="16384" width="9" style="5"/>
  </cols>
  <sheetData>
    <row r="1" spans="1:25" s="10" customFormat="1" ht="60" customHeight="1" thickTop="1" thickBot="1" x14ac:dyDescent="0.2">
      <c r="A1" s="2595" t="s">
        <v>601</v>
      </c>
      <c r="B1" s="2848" t="s">
        <v>348</v>
      </c>
      <c r="C1" s="2848"/>
      <c r="D1" s="2848"/>
      <c r="E1" s="984"/>
      <c r="F1" s="974" t="s">
        <v>588</v>
      </c>
      <c r="G1" s="1053" t="s">
        <v>2760</v>
      </c>
      <c r="H1" s="1053" t="s">
        <v>2761</v>
      </c>
      <c r="I1" s="1053" t="s">
        <v>2763</v>
      </c>
      <c r="J1" s="1053" t="s">
        <v>2762</v>
      </c>
      <c r="K1" s="1053" t="s">
        <v>2764</v>
      </c>
      <c r="L1" s="1053" t="s">
        <v>2765</v>
      </c>
      <c r="M1" s="1053" t="s">
        <v>2766</v>
      </c>
      <c r="N1" s="1053" t="s">
        <v>2767</v>
      </c>
      <c r="O1" s="1053" t="s">
        <v>2768</v>
      </c>
      <c r="P1" s="1053" t="s">
        <v>2769</v>
      </c>
      <c r="Q1" s="1053" t="s">
        <v>2770</v>
      </c>
      <c r="R1" s="1053" t="s">
        <v>2771</v>
      </c>
      <c r="S1" s="1053" t="s">
        <v>2772</v>
      </c>
      <c r="T1" s="1053" t="s">
        <v>2773</v>
      </c>
      <c r="U1" s="1053" t="s">
        <v>2774</v>
      </c>
      <c r="V1" s="1053" t="s">
        <v>2775</v>
      </c>
      <c r="W1" s="1053" t="s">
        <v>2776</v>
      </c>
      <c r="X1" s="1053" t="s">
        <v>2777</v>
      </c>
      <c r="Y1" s="1053"/>
    </row>
    <row r="2" spans="1:25" ht="21.95" customHeight="1" thickTop="1" thickBot="1" x14ac:dyDescent="0.2">
      <c r="A2" s="2596"/>
      <c r="B2" s="2849" t="s">
        <v>44</v>
      </c>
      <c r="C2" s="2850"/>
      <c r="D2" s="2851"/>
      <c r="E2" s="1060"/>
      <c r="F2" s="1381"/>
      <c r="G2" s="1055">
        <v>550.02</v>
      </c>
      <c r="H2" s="1055">
        <v>549.91999999999996</v>
      </c>
      <c r="I2" s="1055">
        <v>304.02</v>
      </c>
      <c r="J2" s="1055">
        <v>304.27</v>
      </c>
      <c r="K2" s="1055">
        <f>15+245.7</f>
        <v>260.7</v>
      </c>
      <c r="L2" s="1055">
        <v>162.53</v>
      </c>
      <c r="M2" s="1055">
        <v>23.58</v>
      </c>
      <c r="N2" s="1055">
        <f>15.01+248.69</f>
        <v>263.7</v>
      </c>
      <c r="O2" s="1055">
        <f>248.58+225.8</f>
        <v>474.38</v>
      </c>
      <c r="P2" s="1055">
        <f>17+246.29</f>
        <v>263.28999999999996</v>
      </c>
      <c r="Q2" s="1055">
        <f>278.84+23.58</f>
        <v>302.41999999999996</v>
      </c>
      <c r="R2" s="1055">
        <f>151.39+261.58+219.11+20.01</f>
        <v>652.08999999999992</v>
      </c>
      <c r="S2" s="1055">
        <f>151.6+261.53+138.11+53.76+49.05</f>
        <v>654.04999999999995</v>
      </c>
      <c r="T2" s="1055">
        <f>136.31+255.66+210.6+20.02</f>
        <v>622.59</v>
      </c>
      <c r="U2" s="1055">
        <f>15.01+260.14+261.43+138.22</f>
        <v>674.8</v>
      </c>
      <c r="V2" s="1055">
        <f>259.79+261.48+138.16</f>
        <v>659.43</v>
      </c>
      <c r="W2" s="1055">
        <v>276.54000000000002</v>
      </c>
      <c r="X2" s="1055">
        <v>432.77</v>
      </c>
      <c r="Y2" s="1055"/>
    </row>
    <row r="3" spans="1:25" ht="21.95" customHeight="1" x14ac:dyDescent="0.15">
      <c r="A3" s="2596"/>
      <c r="B3" s="2861" t="s">
        <v>163</v>
      </c>
      <c r="C3" s="2862"/>
      <c r="D3" s="1056" t="s">
        <v>161</v>
      </c>
      <c r="E3" s="1061"/>
      <c r="F3" s="1344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</row>
    <row r="4" spans="1:25" ht="21.95" customHeight="1" thickBot="1" x14ac:dyDescent="0.2">
      <c r="A4" s="2596"/>
      <c r="B4" s="2865"/>
      <c r="C4" s="2866"/>
      <c r="D4" s="1057" t="s">
        <v>162</v>
      </c>
      <c r="E4" s="983"/>
      <c r="F4" s="1270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</row>
    <row r="5" spans="1:25" s="9" customFormat="1" ht="32.1" customHeight="1" thickBot="1" x14ac:dyDescent="0.2">
      <c r="A5" s="2596"/>
      <c r="B5" s="2852" t="s">
        <v>2742</v>
      </c>
      <c r="C5" s="2853"/>
      <c r="D5" s="2853"/>
      <c r="E5" s="1232"/>
      <c r="F5" s="553"/>
      <c r="G5" s="2278" t="s">
        <v>49</v>
      </c>
      <c r="H5" s="2278" t="s">
        <v>2778</v>
      </c>
      <c r="I5" s="2278" t="s">
        <v>2778</v>
      </c>
      <c r="J5" s="2278" t="s">
        <v>2778</v>
      </c>
      <c r="K5" s="2278" t="s">
        <v>49</v>
      </c>
      <c r="L5" s="2278" t="s">
        <v>49</v>
      </c>
      <c r="M5" s="2278" t="s">
        <v>49</v>
      </c>
      <c r="N5" s="2278" t="s">
        <v>49</v>
      </c>
      <c r="O5" s="2278" t="s">
        <v>49</v>
      </c>
      <c r="P5" s="2278" t="s">
        <v>49</v>
      </c>
      <c r="Q5" s="2278" t="s">
        <v>49</v>
      </c>
      <c r="R5" s="2278" t="s">
        <v>49</v>
      </c>
      <c r="S5" s="2278" t="s">
        <v>49</v>
      </c>
      <c r="T5" s="2278" t="s">
        <v>49</v>
      </c>
      <c r="U5" s="2278" t="s">
        <v>49</v>
      </c>
      <c r="V5" s="2278" t="s">
        <v>49</v>
      </c>
      <c r="W5" s="2278" t="s">
        <v>49</v>
      </c>
      <c r="X5" s="2278" t="s">
        <v>49</v>
      </c>
      <c r="Y5" s="2278"/>
    </row>
    <row r="6" spans="1:25" ht="21.95" customHeight="1" x14ac:dyDescent="0.15">
      <c r="A6" s="2596"/>
      <c r="B6" s="2863" t="s">
        <v>1487</v>
      </c>
      <c r="C6" s="2864"/>
      <c r="D6" s="1051" t="s">
        <v>1486</v>
      </c>
      <c r="E6" s="1061"/>
      <c r="F6" s="1344"/>
      <c r="G6" s="216">
        <v>9</v>
      </c>
      <c r="H6" s="216">
        <v>9</v>
      </c>
      <c r="I6" s="216">
        <v>8.5</v>
      </c>
      <c r="J6" s="216">
        <v>8.5</v>
      </c>
      <c r="K6" s="216">
        <v>7</v>
      </c>
      <c r="L6" s="216">
        <v>9</v>
      </c>
      <c r="M6" s="216">
        <v>7</v>
      </c>
      <c r="N6" s="216">
        <v>7</v>
      </c>
      <c r="O6" s="216">
        <v>7</v>
      </c>
      <c r="P6" s="216">
        <v>7</v>
      </c>
      <c r="Q6" s="216">
        <v>7</v>
      </c>
      <c r="R6" s="216">
        <v>7</v>
      </c>
      <c r="S6" s="216">
        <v>7</v>
      </c>
      <c r="T6" s="216">
        <v>7</v>
      </c>
      <c r="U6" s="216">
        <v>7</v>
      </c>
      <c r="V6" s="216">
        <v>7</v>
      </c>
      <c r="W6" s="216">
        <v>7</v>
      </c>
      <c r="X6" s="216">
        <v>7</v>
      </c>
      <c r="Y6" s="216"/>
    </row>
    <row r="7" spans="1:25" ht="32.1" customHeight="1" thickBot="1" x14ac:dyDescent="0.2">
      <c r="A7" s="2596"/>
      <c r="B7" s="2865"/>
      <c r="C7" s="2866"/>
      <c r="D7" s="1052" t="s">
        <v>2450</v>
      </c>
      <c r="E7" s="983"/>
      <c r="F7" s="1270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</row>
    <row r="8" spans="1:25" ht="21.95" customHeight="1" x14ac:dyDescent="0.15">
      <c r="A8" s="2596"/>
      <c r="B8" s="2887" t="s">
        <v>1622</v>
      </c>
      <c r="C8" s="2890" t="s">
        <v>1565</v>
      </c>
      <c r="D8" s="1051" t="s">
        <v>3</v>
      </c>
      <c r="E8" s="1061"/>
      <c r="F8" s="1344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</row>
    <row r="9" spans="1:25" ht="21.95" customHeight="1" x14ac:dyDescent="0.15">
      <c r="A9" s="2596"/>
      <c r="B9" s="2888"/>
      <c r="C9" s="2891"/>
      <c r="D9" s="503" t="s">
        <v>625</v>
      </c>
      <c r="E9" s="1062"/>
      <c r="F9" s="1345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21.95" customHeight="1" x14ac:dyDescent="0.15">
      <c r="A10" s="2596"/>
      <c r="B10" s="2888"/>
      <c r="C10" s="2891"/>
      <c r="D10" s="2472" t="s">
        <v>54</v>
      </c>
      <c r="E10" s="1062"/>
      <c r="F10" s="1345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21.95" customHeight="1" x14ac:dyDescent="0.15">
      <c r="A11" s="2596"/>
      <c r="B11" s="2888"/>
      <c r="C11" s="2886" t="s">
        <v>1234</v>
      </c>
      <c r="D11" s="1389" t="s">
        <v>1619</v>
      </c>
      <c r="E11" s="1848"/>
      <c r="F11" s="2473"/>
      <c r="G11" s="458"/>
      <c r="H11" s="458"/>
      <c r="I11" s="458"/>
      <c r="J11" s="458">
        <v>1</v>
      </c>
      <c r="K11" s="458">
        <v>4</v>
      </c>
      <c r="L11" s="458"/>
      <c r="M11" s="458"/>
      <c r="N11" s="458">
        <v>3</v>
      </c>
      <c r="O11" s="458">
        <v>8</v>
      </c>
      <c r="P11" s="458">
        <v>7</v>
      </c>
      <c r="Q11" s="458">
        <v>1</v>
      </c>
      <c r="R11" s="458">
        <v>12</v>
      </c>
      <c r="S11" s="458">
        <v>14</v>
      </c>
      <c r="T11" s="458">
        <v>22</v>
      </c>
      <c r="U11" s="458">
        <v>13</v>
      </c>
      <c r="V11" s="458">
        <v>14</v>
      </c>
      <c r="W11" s="458">
        <v>5</v>
      </c>
      <c r="X11" s="458"/>
      <c r="Y11" s="458"/>
    </row>
    <row r="12" spans="1:25" ht="21.95" customHeight="1" x14ac:dyDescent="0.15">
      <c r="A12" s="2596"/>
      <c r="B12" s="2888"/>
      <c r="C12" s="2877"/>
      <c r="D12" s="1389" t="s">
        <v>1620</v>
      </c>
      <c r="E12" s="986"/>
      <c r="F12" s="344"/>
      <c r="G12" s="158"/>
      <c r="H12" s="158"/>
      <c r="I12" s="158">
        <v>1</v>
      </c>
      <c r="J12" s="158"/>
      <c r="K12" s="158"/>
      <c r="L12" s="158"/>
      <c r="M12" s="158"/>
      <c r="N12" s="158"/>
      <c r="O12" s="158">
        <v>1</v>
      </c>
      <c r="P12" s="158"/>
      <c r="Q12" s="158"/>
      <c r="R12" s="158"/>
      <c r="S12" s="158"/>
      <c r="T12" s="158"/>
      <c r="U12" s="158">
        <v>1</v>
      </c>
      <c r="V12" s="158"/>
      <c r="W12" s="158"/>
      <c r="X12" s="158"/>
      <c r="Y12" s="158"/>
    </row>
    <row r="13" spans="1:25" ht="21.95" customHeight="1" x14ac:dyDescent="0.15">
      <c r="A13" s="2596"/>
      <c r="B13" s="2888"/>
      <c r="C13" s="2855"/>
      <c r="D13" s="2471" t="s">
        <v>1621</v>
      </c>
      <c r="E13" s="986"/>
      <c r="F13" s="344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</row>
    <row r="14" spans="1:25" ht="21.95" customHeight="1" x14ac:dyDescent="0.15">
      <c r="A14" s="2596"/>
      <c r="B14" s="2888"/>
      <c r="C14" s="2886" t="s">
        <v>1228</v>
      </c>
      <c r="D14" s="1389" t="s">
        <v>1619</v>
      </c>
      <c r="E14" s="1848"/>
      <c r="F14" s="1550"/>
      <c r="G14" s="458">
        <f t="shared" ref="G14:H14" si="0">+G11</f>
        <v>0</v>
      </c>
      <c r="H14" s="458">
        <f t="shared" si="0"/>
        <v>0</v>
      </c>
      <c r="I14" s="458">
        <f t="shared" ref="I14:J14" si="1">+I11</f>
        <v>0</v>
      </c>
      <c r="J14" s="458">
        <f t="shared" si="1"/>
        <v>1</v>
      </c>
      <c r="K14" s="458">
        <f t="shared" ref="K14:O14" si="2">+K11</f>
        <v>4</v>
      </c>
      <c r="L14" s="458">
        <f t="shared" si="2"/>
        <v>0</v>
      </c>
      <c r="M14" s="458">
        <f t="shared" si="2"/>
        <v>0</v>
      </c>
      <c r="N14" s="458">
        <f t="shared" si="2"/>
        <v>3</v>
      </c>
      <c r="O14" s="458">
        <f t="shared" si="2"/>
        <v>8</v>
      </c>
      <c r="P14" s="458">
        <f t="shared" ref="P14:X14" si="3">+P11</f>
        <v>7</v>
      </c>
      <c r="Q14" s="458">
        <f t="shared" si="3"/>
        <v>1</v>
      </c>
      <c r="R14" s="458">
        <f t="shared" si="3"/>
        <v>12</v>
      </c>
      <c r="S14" s="458">
        <f t="shared" si="3"/>
        <v>14</v>
      </c>
      <c r="T14" s="458">
        <f t="shared" si="3"/>
        <v>22</v>
      </c>
      <c r="U14" s="458">
        <f t="shared" si="3"/>
        <v>13</v>
      </c>
      <c r="V14" s="458">
        <f t="shared" si="3"/>
        <v>14</v>
      </c>
      <c r="W14" s="458">
        <f t="shared" si="3"/>
        <v>5</v>
      </c>
      <c r="X14" s="458">
        <f t="shared" si="3"/>
        <v>0</v>
      </c>
      <c r="Y14" s="458"/>
    </row>
    <row r="15" spans="1:25" ht="21.95" customHeight="1" x14ac:dyDescent="0.15">
      <c r="A15" s="2596"/>
      <c r="B15" s="2888"/>
      <c r="C15" s="2877"/>
      <c r="D15" s="1389" t="s">
        <v>1620</v>
      </c>
      <c r="E15" s="986"/>
      <c r="F15" s="1358"/>
      <c r="G15" s="158">
        <f t="shared" ref="G15:H15" si="4">+G12</f>
        <v>0</v>
      </c>
      <c r="H15" s="158">
        <f t="shared" si="4"/>
        <v>0</v>
      </c>
      <c r="I15" s="158">
        <f t="shared" ref="I15:J15" si="5">+I12</f>
        <v>1</v>
      </c>
      <c r="J15" s="158">
        <f t="shared" si="5"/>
        <v>0</v>
      </c>
      <c r="K15" s="158">
        <f t="shared" ref="K15:O15" si="6">+K12</f>
        <v>0</v>
      </c>
      <c r="L15" s="158">
        <f t="shared" si="6"/>
        <v>0</v>
      </c>
      <c r="M15" s="158">
        <f t="shared" si="6"/>
        <v>0</v>
      </c>
      <c r="N15" s="158">
        <f t="shared" si="6"/>
        <v>0</v>
      </c>
      <c r="O15" s="158">
        <f t="shared" si="6"/>
        <v>1</v>
      </c>
      <c r="P15" s="158">
        <f t="shared" ref="P15:X15" si="7">+P12</f>
        <v>0</v>
      </c>
      <c r="Q15" s="158">
        <f t="shared" si="7"/>
        <v>0</v>
      </c>
      <c r="R15" s="158">
        <f t="shared" si="7"/>
        <v>0</v>
      </c>
      <c r="S15" s="158">
        <f t="shared" si="7"/>
        <v>0</v>
      </c>
      <c r="T15" s="158">
        <f t="shared" si="7"/>
        <v>0</v>
      </c>
      <c r="U15" s="158">
        <f t="shared" si="7"/>
        <v>1</v>
      </c>
      <c r="V15" s="158">
        <f t="shared" si="7"/>
        <v>0</v>
      </c>
      <c r="W15" s="158">
        <f t="shared" si="7"/>
        <v>0</v>
      </c>
      <c r="X15" s="158">
        <f t="shared" si="7"/>
        <v>0</v>
      </c>
      <c r="Y15" s="158"/>
    </row>
    <row r="16" spans="1:25" ht="21.95" customHeight="1" x14ac:dyDescent="0.15">
      <c r="A16" s="2596"/>
      <c r="B16" s="2888"/>
      <c r="C16" s="2855"/>
      <c r="D16" s="2471" t="s">
        <v>1621</v>
      </c>
      <c r="E16" s="986"/>
      <c r="F16" s="1358"/>
      <c r="G16" s="158">
        <f t="shared" ref="G16:H16" si="8">+G13</f>
        <v>0</v>
      </c>
      <c r="H16" s="158">
        <f t="shared" si="8"/>
        <v>0</v>
      </c>
      <c r="I16" s="158">
        <f t="shared" ref="I16:J16" si="9">+I13</f>
        <v>0</v>
      </c>
      <c r="J16" s="158">
        <f t="shared" si="9"/>
        <v>0</v>
      </c>
      <c r="K16" s="158">
        <f t="shared" ref="K16:O16" si="10">+K13</f>
        <v>0</v>
      </c>
      <c r="L16" s="158">
        <f t="shared" si="10"/>
        <v>0</v>
      </c>
      <c r="M16" s="158">
        <f t="shared" si="10"/>
        <v>0</v>
      </c>
      <c r="N16" s="158">
        <f t="shared" si="10"/>
        <v>0</v>
      </c>
      <c r="O16" s="158">
        <f t="shared" si="10"/>
        <v>0</v>
      </c>
      <c r="P16" s="158">
        <f t="shared" ref="P16:X16" si="11">+P13</f>
        <v>0</v>
      </c>
      <c r="Q16" s="158">
        <f t="shared" si="11"/>
        <v>0</v>
      </c>
      <c r="R16" s="158">
        <f t="shared" si="11"/>
        <v>0</v>
      </c>
      <c r="S16" s="158">
        <f t="shared" si="11"/>
        <v>0</v>
      </c>
      <c r="T16" s="158">
        <f t="shared" si="11"/>
        <v>0</v>
      </c>
      <c r="U16" s="158">
        <f t="shared" si="11"/>
        <v>0</v>
      </c>
      <c r="V16" s="158">
        <f t="shared" si="11"/>
        <v>0</v>
      </c>
      <c r="W16" s="158">
        <f t="shared" si="11"/>
        <v>0</v>
      </c>
      <c r="X16" s="158">
        <f t="shared" si="11"/>
        <v>0</v>
      </c>
      <c r="Y16" s="158"/>
    </row>
    <row r="17" spans="1:25" ht="21.95" customHeight="1" x14ac:dyDescent="0.15">
      <c r="A17" s="2596"/>
      <c r="B17" s="2888"/>
      <c r="C17" s="2886" t="s">
        <v>1230</v>
      </c>
      <c r="D17" s="1389" t="s">
        <v>1229</v>
      </c>
      <c r="E17" s="1848"/>
      <c r="F17" s="1550"/>
      <c r="G17" s="458"/>
      <c r="H17" s="458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</row>
    <row r="18" spans="1:25" ht="21.95" customHeight="1" x14ac:dyDescent="0.15">
      <c r="A18" s="2596"/>
      <c r="B18" s="2888"/>
      <c r="C18" s="2877"/>
      <c r="D18" s="1389" t="s">
        <v>1619</v>
      </c>
      <c r="E18" s="986"/>
      <c r="F18" s="1358"/>
      <c r="G18" s="158">
        <f t="shared" ref="G18:H18" si="12">+G11</f>
        <v>0</v>
      </c>
      <c r="H18" s="158">
        <f t="shared" si="12"/>
        <v>0</v>
      </c>
      <c r="I18" s="158">
        <f t="shared" ref="I18:J18" si="13">+I11</f>
        <v>0</v>
      </c>
      <c r="J18" s="158">
        <f t="shared" si="13"/>
        <v>1</v>
      </c>
      <c r="K18" s="158">
        <f t="shared" ref="K18:O18" si="14">+K11</f>
        <v>4</v>
      </c>
      <c r="L18" s="158">
        <f t="shared" si="14"/>
        <v>0</v>
      </c>
      <c r="M18" s="158">
        <f t="shared" si="14"/>
        <v>0</v>
      </c>
      <c r="N18" s="158">
        <f t="shared" si="14"/>
        <v>3</v>
      </c>
      <c r="O18" s="158">
        <f t="shared" si="14"/>
        <v>8</v>
      </c>
      <c r="P18" s="158">
        <f t="shared" ref="P18:X18" si="15">+P11</f>
        <v>7</v>
      </c>
      <c r="Q18" s="158">
        <f t="shared" si="15"/>
        <v>1</v>
      </c>
      <c r="R18" s="158">
        <f t="shared" si="15"/>
        <v>12</v>
      </c>
      <c r="S18" s="158">
        <f t="shared" si="15"/>
        <v>14</v>
      </c>
      <c r="T18" s="158">
        <f t="shared" si="15"/>
        <v>22</v>
      </c>
      <c r="U18" s="158">
        <f t="shared" si="15"/>
        <v>13</v>
      </c>
      <c r="V18" s="158">
        <f t="shared" si="15"/>
        <v>14</v>
      </c>
      <c r="W18" s="158">
        <f t="shared" si="15"/>
        <v>5</v>
      </c>
      <c r="X18" s="158">
        <f t="shared" si="15"/>
        <v>0</v>
      </c>
      <c r="Y18" s="158"/>
    </row>
    <row r="19" spans="1:25" ht="21.95" customHeight="1" x14ac:dyDescent="0.15">
      <c r="A19" s="2596"/>
      <c r="B19" s="2888"/>
      <c r="C19" s="2877"/>
      <c r="D19" s="1389" t="s">
        <v>1620</v>
      </c>
      <c r="E19" s="986"/>
      <c r="F19" s="344"/>
      <c r="G19" s="158">
        <f t="shared" ref="G19:H19" si="16">+G12</f>
        <v>0</v>
      </c>
      <c r="H19" s="158">
        <f t="shared" si="16"/>
        <v>0</v>
      </c>
      <c r="I19" s="158">
        <f t="shared" ref="I19:J19" si="17">+I12</f>
        <v>1</v>
      </c>
      <c r="J19" s="158">
        <f t="shared" si="17"/>
        <v>0</v>
      </c>
      <c r="K19" s="158">
        <f t="shared" ref="K19:O19" si="18">+K12</f>
        <v>0</v>
      </c>
      <c r="L19" s="158">
        <f t="shared" si="18"/>
        <v>0</v>
      </c>
      <c r="M19" s="158">
        <f t="shared" si="18"/>
        <v>0</v>
      </c>
      <c r="N19" s="158">
        <f t="shared" si="18"/>
        <v>0</v>
      </c>
      <c r="O19" s="158">
        <f t="shared" si="18"/>
        <v>1</v>
      </c>
      <c r="P19" s="158">
        <f t="shared" ref="P19:X19" si="19">+P12</f>
        <v>0</v>
      </c>
      <c r="Q19" s="158">
        <f t="shared" si="19"/>
        <v>0</v>
      </c>
      <c r="R19" s="158">
        <f t="shared" si="19"/>
        <v>0</v>
      </c>
      <c r="S19" s="158">
        <f t="shared" si="19"/>
        <v>0</v>
      </c>
      <c r="T19" s="158">
        <f t="shared" si="19"/>
        <v>0</v>
      </c>
      <c r="U19" s="158">
        <f t="shared" si="19"/>
        <v>1</v>
      </c>
      <c r="V19" s="158">
        <f t="shared" si="19"/>
        <v>0</v>
      </c>
      <c r="W19" s="158">
        <f t="shared" si="19"/>
        <v>0</v>
      </c>
      <c r="X19" s="158">
        <f t="shared" si="19"/>
        <v>0</v>
      </c>
      <c r="Y19" s="158"/>
    </row>
    <row r="20" spans="1:25" ht="21.95" customHeight="1" thickBot="1" x14ac:dyDescent="0.2">
      <c r="A20" s="2596"/>
      <c r="B20" s="2889"/>
      <c r="C20" s="2879"/>
      <c r="D20" s="1390" t="s">
        <v>1621</v>
      </c>
      <c r="E20" s="987"/>
      <c r="F20" s="414"/>
      <c r="G20" s="239">
        <f t="shared" ref="G20:H20" si="20">+G13</f>
        <v>0</v>
      </c>
      <c r="H20" s="239">
        <f t="shared" si="20"/>
        <v>0</v>
      </c>
      <c r="I20" s="239">
        <f t="shared" ref="I20:J20" si="21">+I13</f>
        <v>0</v>
      </c>
      <c r="J20" s="239">
        <f t="shared" si="21"/>
        <v>0</v>
      </c>
      <c r="K20" s="239">
        <f t="shared" ref="K20:O20" si="22">+K13</f>
        <v>0</v>
      </c>
      <c r="L20" s="239">
        <f t="shared" si="22"/>
        <v>0</v>
      </c>
      <c r="M20" s="239">
        <f t="shared" si="22"/>
        <v>0</v>
      </c>
      <c r="N20" s="239">
        <f t="shared" si="22"/>
        <v>0</v>
      </c>
      <c r="O20" s="239">
        <f t="shared" si="22"/>
        <v>0</v>
      </c>
      <c r="P20" s="239">
        <f t="shared" ref="P20:X20" si="23">+P13</f>
        <v>0</v>
      </c>
      <c r="Q20" s="239">
        <f t="shared" si="23"/>
        <v>0</v>
      </c>
      <c r="R20" s="239">
        <f t="shared" si="23"/>
        <v>0</v>
      </c>
      <c r="S20" s="239">
        <f t="shared" si="23"/>
        <v>0</v>
      </c>
      <c r="T20" s="239">
        <f t="shared" si="23"/>
        <v>0</v>
      </c>
      <c r="U20" s="239">
        <f t="shared" si="23"/>
        <v>0</v>
      </c>
      <c r="V20" s="239">
        <f t="shared" si="23"/>
        <v>0</v>
      </c>
      <c r="W20" s="239">
        <f t="shared" si="23"/>
        <v>0</v>
      </c>
      <c r="X20" s="239">
        <f t="shared" si="23"/>
        <v>0</v>
      </c>
      <c r="Y20" s="239"/>
    </row>
    <row r="21" spans="1:25" ht="21.95" customHeight="1" x14ac:dyDescent="0.15">
      <c r="A21" s="2596"/>
      <c r="B21" s="2897" t="s">
        <v>1566</v>
      </c>
      <c r="C21" s="2898"/>
      <c r="D21" s="1051" t="s">
        <v>701</v>
      </c>
      <c r="E21" s="1061"/>
      <c r="F21" s="1344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</row>
    <row r="22" spans="1:25" ht="21.95" customHeight="1" x14ac:dyDescent="0.15">
      <c r="A22" s="2596"/>
      <c r="B22" s="2899"/>
      <c r="C22" s="2900"/>
      <c r="D22" s="503" t="s">
        <v>1564</v>
      </c>
      <c r="E22" s="1062"/>
      <c r="F22" s="1345"/>
      <c r="G22" s="8">
        <f>285.64+36.1</f>
        <v>321.74</v>
      </c>
      <c r="H22" s="8"/>
      <c r="I22" s="8">
        <v>4.26</v>
      </c>
      <c r="J22" s="8">
        <f>3.98+4.39</f>
        <v>8.3699999999999992</v>
      </c>
      <c r="K22" s="8"/>
      <c r="L22" s="8">
        <f>16.15+7.19</f>
        <v>23.34</v>
      </c>
      <c r="M22" s="8"/>
      <c r="N22" s="8">
        <v>15.52</v>
      </c>
      <c r="O22" s="8">
        <v>4.26</v>
      </c>
      <c r="P22" s="8">
        <v>4.2699999999999996</v>
      </c>
      <c r="Q22" s="8">
        <v>1.79</v>
      </c>
      <c r="R22" s="8">
        <v>26.83</v>
      </c>
      <c r="S22" s="8">
        <v>23.47</v>
      </c>
      <c r="T22" s="8"/>
      <c r="U22" s="8"/>
      <c r="V22" s="8"/>
      <c r="W22" s="8"/>
      <c r="X22" s="8">
        <v>96.32</v>
      </c>
      <c r="Y22" s="8"/>
    </row>
    <row r="23" spans="1:25" ht="21.95" customHeight="1" x14ac:dyDescent="0.15">
      <c r="A23" s="2596"/>
      <c r="B23" s="2899"/>
      <c r="C23" s="2900"/>
      <c r="D23" s="503" t="s">
        <v>1324</v>
      </c>
      <c r="E23" s="1062"/>
      <c r="F23" s="1345"/>
      <c r="G23" s="8">
        <f>67.97+10.69</f>
        <v>78.66</v>
      </c>
      <c r="H23" s="8"/>
      <c r="I23" s="8">
        <v>1.8</v>
      </c>
      <c r="J23" s="8">
        <f>0.13+0.7</f>
        <v>0.83</v>
      </c>
      <c r="K23" s="8"/>
      <c r="L23" s="8">
        <f>6+0.81</f>
        <v>6.8100000000000005</v>
      </c>
      <c r="M23" s="8"/>
      <c r="N23" s="8">
        <v>3.29</v>
      </c>
      <c r="O23" s="8">
        <v>1.24</v>
      </c>
      <c r="P23" s="8">
        <v>1.36</v>
      </c>
      <c r="Q23" s="8"/>
      <c r="R23" s="8">
        <v>8.8800000000000008</v>
      </c>
      <c r="S23" s="8">
        <v>8.07</v>
      </c>
      <c r="T23" s="8">
        <v>3.45</v>
      </c>
      <c r="U23" s="8"/>
      <c r="V23" s="8"/>
      <c r="W23" s="8">
        <v>17.010000000000002</v>
      </c>
      <c r="X23" s="8">
        <v>27.95</v>
      </c>
      <c r="Y23" s="8"/>
    </row>
    <row r="24" spans="1:25" ht="21.95" customHeight="1" thickBot="1" x14ac:dyDescent="0.2">
      <c r="A24" s="2596"/>
      <c r="B24" s="2901"/>
      <c r="C24" s="2902"/>
      <c r="D24" s="1390" t="s">
        <v>1284</v>
      </c>
      <c r="E24" s="987"/>
      <c r="F24" s="414"/>
      <c r="G24" s="239">
        <f t="shared" ref="G24" si="24">G23</f>
        <v>78.66</v>
      </c>
      <c r="H24" s="239"/>
      <c r="I24" s="239">
        <f t="shared" ref="I24:O24" si="25">I23</f>
        <v>1.8</v>
      </c>
      <c r="J24" s="239">
        <f t="shared" si="25"/>
        <v>0.83</v>
      </c>
      <c r="K24" s="239">
        <f t="shared" si="25"/>
        <v>0</v>
      </c>
      <c r="L24" s="239">
        <f t="shared" si="25"/>
        <v>6.8100000000000005</v>
      </c>
      <c r="M24" s="239">
        <f t="shared" si="25"/>
        <v>0</v>
      </c>
      <c r="N24" s="239">
        <f t="shared" si="25"/>
        <v>3.29</v>
      </c>
      <c r="O24" s="239">
        <f t="shared" si="25"/>
        <v>1.24</v>
      </c>
      <c r="P24" s="239">
        <f t="shared" ref="P24:X24" si="26">P23</f>
        <v>1.36</v>
      </c>
      <c r="Q24" s="239">
        <f t="shared" si="26"/>
        <v>0</v>
      </c>
      <c r="R24" s="239">
        <f t="shared" si="26"/>
        <v>8.8800000000000008</v>
      </c>
      <c r="S24" s="239">
        <f t="shared" si="26"/>
        <v>8.07</v>
      </c>
      <c r="T24" s="239">
        <f t="shared" si="26"/>
        <v>3.45</v>
      </c>
      <c r="U24" s="239">
        <f t="shared" si="26"/>
        <v>0</v>
      </c>
      <c r="V24" s="239">
        <f t="shared" si="26"/>
        <v>0</v>
      </c>
      <c r="W24" s="239">
        <f t="shared" si="26"/>
        <v>17.010000000000002</v>
      </c>
      <c r="X24" s="239">
        <f t="shared" si="26"/>
        <v>27.95</v>
      </c>
      <c r="Y24" s="239"/>
    </row>
    <row r="25" spans="1:25" ht="21.95" customHeight="1" x14ac:dyDescent="0.15">
      <c r="A25" s="2596"/>
      <c r="B25" s="2874" t="s">
        <v>23</v>
      </c>
      <c r="C25" s="2892"/>
      <c r="D25" s="1051" t="s">
        <v>3</v>
      </c>
      <c r="E25" s="1062"/>
      <c r="F25" s="1382" t="s">
        <v>1341</v>
      </c>
      <c r="G25" s="2114"/>
      <c r="H25" s="2114"/>
      <c r="I25" s="2114"/>
      <c r="J25" s="2114"/>
      <c r="K25" s="2114"/>
      <c r="L25" s="2114"/>
      <c r="M25" s="2114"/>
      <c r="N25" s="2114"/>
      <c r="O25" s="2114"/>
      <c r="P25" s="2114"/>
      <c r="Q25" s="2114"/>
      <c r="R25" s="2114"/>
      <c r="S25" s="2114"/>
      <c r="T25" s="2114"/>
      <c r="U25" s="2114"/>
      <c r="V25" s="2114"/>
      <c r="W25" s="2114"/>
      <c r="X25" s="2114"/>
      <c r="Y25" s="2114"/>
    </row>
    <row r="26" spans="1:25" ht="21.95" customHeight="1" x14ac:dyDescent="0.15">
      <c r="A26" s="2596"/>
      <c r="B26" s="2893"/>
      <c r="C26" s="2894"/>
      <c r="D26" s="503" t="s">
        <v>954</v>
      </c>
      <c r="E26" s="1062"/>
      <c r="F26" s="2842" t="s">
        <v>1325</v>
      </c>
      <c r="G26" s="1065"/>
      <c r="H26" s="1065"/>
      <c r="I26" s="1065"/>
      <c r="J26" s="1065"/>
      <c r="K26" s="1065"/>
      <c r="L26" s="1065"/>
      <c r="M26" s="1065"/>
      <c r="N26" s="1065"/>
      <c r="O26" s="1065"/>
      <c r="P26" s="1065"/>
      <c r="Q26" s="1065"/>
      <c r="R26" s="1065"/>
      <c r="S26" s="1065"/>
      <c r="T26" s="1065"/>
      <c r="U26" s="1065"/>
      <c r="V26" s="1065"/>
      <c r="W26" s="1065"/>
      <c r="X26" s="1065"/>
      <c r="Y26" s="1065"/>
    </row>
    <row r="27" spans="1:25" ht="21.95" customHeight="1" x14ac:dyDescent="0.15">
      <c r="A27" s="2596"/>
      <c r="B27" s="2893"/>
      <c r="C27" s="2894"/>
      <c r="D27" s="503" t="s">
        <v>955</v>
      </c>
      <c r="E27" s="1062"/>
      <c r="F27" s="2842"/>
      <c r="G27" s="2333"/>
      <c r="H27" s="2333"/>
      <c r="I27" s="2333"/>
      <c r="J27" s="2333"/>
      <c r="K27" s="2333"/>
      <c r="L27" s="2333"/>
      <c r="M27" s="2333"/>
      <c r="N27" s="2333"/>
      <c r="O27" s="2333"/>
      <c r="P27" s="2333"/>
      <c r="Q27" s="2333"/>
      <c r="R27" s="2333"/>
      <c r="S27" s="2333"/>
      <c r="T27" s="2333"/>
      <c r="U27" s="2333"/>
      <c r="V27" s="2333"/>
      <c r="W27" s="2333"/>
      <c r="X27" s="2333"/>
      <c r="Y27" s="2333"/>
    </row>
    <row r="28" spans="1:25" ht="21.95" customHeight="1" thickBot="1" x14ac:dyDescent="0.2">
      <c r="A28" s="2596"/>
      <c r="B28" s="2895"/>
      <c r="C28" s="2896"/>
      <c r="D28" s="1054" t="s">
        <v>292</v>
      </c>
      <c r="E28" s="983"/>
      <c r="F28" s="1383" t="s">
        <v>1329</v>
      </c>
      <c r="G28" s="215">
        <f>+G32</f>
        <v>0</v>
      </c>
      <c r="H28" s="215">
        <f>+H32</f>
        <v>0</v>
      </c>
      <c r="I28" s="215">
        <f>+I32</f>
        <v>0</v>
      </c>
      <c r="J28" s="215">
        <f>+J32</f>
        <v>0</v>
      </c>
      <c r="K28" s="215">
        <f t="shared" ref="K28:O28" si="27">+K32</f>
        <v>0</v>
      </c>
      <c r="L28" s="215">
        <f t="shared" si="27"/>
        <v>0</v>
      </c>
      <c r="M28" s="215">
        <f t="shared" si="27"/>
        <v>0</v>
      </c>
      <c r="N28" s="215">
        <f t="shared" si="27"/>
        <v>0</v>
      </c>
      <c r="O28" s="215">
        <f t="shared" si="27"/>
        <v>0</v>
      </c>
      <c r="P28" s="215">
        <f t="shared" ref="P28:X28" si="28">+P32</f>
        <v>0</v>
      </c>
      <c r="Q28" s="215">
        <f t="shared" si="28"/>
        <v>0</v>
      </c>
      <c r="R28" s="215">
        <f t="shared" si="28"/>
        <v>0</v>
      </c>
      <c r="S28" s="215">
        <f t="shared" si="28"/>
        <v>0</v>
      </c>
      <c r="T28" s="215">
        <f t="shared" si="28"/>
        <v>0</v>
      </c>
      <c r="U28" s="215">
        <f t="shared" si="28"/>
        <v>0</v>
      </c>
      <c r="V28" s="215">
        <f t="shared" si="28"/>
        <v>0</v>
      </c>
      <c r="W28" s="215">
        <f t="shared" si="28"/>
        <v>0</v>
      </c>
      <c r="X28" s="215">
        <f t="shared" si="28"/>
        <v>0</v>
      </c>
      <c r="Y28" s="215"/>
    </row>
    <row r="29" spans="1:25" ht="21.95" customHeight="1" x14ac:dyDescent="0.15">
      <c r="A29" s="2596"/>
      <c r="B29" s="2861" t="s">
        <v>351</v>
      </c>
      <c r="C29" s="2862"/>
      <c r="D29" s="1051" t="s">
        <v>3</v>
      </c>
      <c r="E29" s="1062"/>
      <c r="F29" s="1384" t="s">
        <v>1340</v>
      </c>
      <c r="G29" s="2332"/>
      <c r="H29" s="2332"/>
      <c r="I29" s="2332"/>
      <c r="J29" s="2332"/>
      <c r="K29" s="2332"/>
      <c r="L29" s="2332"/>
      <c r="M29" s="2332"/>
      <c r="N29" s="2332"/>
      <c r="O29" s="2332"/>
      <c r="P29" s="2332"/>
      <c r="Q29" s="2332"/>
      <c r="R29" s="2332"/>
      <c r="S29" s="2332"/>
      <c r="T29" s="2332"/>
      <c r="U29" s="2332"/>
      <c r="V29" s="2332"/>
      <c r="W29" s="2332"/>
      <c r="X29" s="2332"/>
      <c r="Y29" s="2332"/>
    </row>
    <row r="30" spans="1:25" ht="21.95" customHeight="1" x14ac:dyDescent="0.15">
      <c r="A30" s="2596"/>
      <c r="B30" s="2863"/>
      <c r="C30" s="2864"/>
      <c r="D30" s="503" t="s">
        <v>954</v>
      </c>
      <c r="E30" s="1062"/>
      <c r="F30" s="1385" t="s">
        <v>1342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21.95" customHeight="1" x14ac:dyDescent="0.15">
      <c r="A31" s="2596"/>
      <c r="B31" s="2863"/>
      <c r="C31" s="2864"/>
      <c r="D31" s="503" t="s">
        <v>955</v>
      </c>
      <c r="E31" s="1062"/>
      <c r="F31" s="1386"/>
      <c r="G31" s="2332"/>
      <c r="H31" s="2332"/>
      <c r="I31" s="2332"/>
      <c r="J31" s="2332"/>
      <c r="K31" s="2332"/>
      <c r="L31" s="2332"/>
      <c r="M31" s="2332"/>
      <c r="N31" s="2332"/>
      <c r="O31" s="2332"/>
      <c r="P31" s="2332"/>
      <c r="Q31" s="2332"/>
      <c r="R31" s="2332"/>
      <c r="S31" s="2332"/>
      <c r="T31" s="2332"/>
      <c r="U31" s="2332"/>
      <c r="V31" s="2332"/>
      <c r="W31" s="2332"/>
      <c r="X31" s="2332"/>
      <c r="Y31" s="2332"/>
    </row>
    <row r="32" spans="1:25" ht="21.95" customHeight="1" thickBot="1" x14ac:dyDescent="0.2">
      <c r="A32" s="2596"/>
      <c r="B32" s="2865"/>
      <c r="C32" s="2866"/>
      <c r="D32" s="1054" t="s">
        <v>292</v>
      </c>
      <c r="E32" s="983"/>
      <c r="F32" s="1383" t="s">
        <v>1329</v>
      </c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</row>
    <row r="33" spans="1:25" ht="21.95" customHeight="1" x14ac:dyDescent="0.15">
      <c r="A33" s="2596"/>
      <c r="B33" s="2861" t="s">
        <v>352</v>
      </c>
      <c r="C33" s="2862"/>
      <c r="D33" s="1051" t="s">
        <v>3</v>
      </c>
      <c r="E33" s="1062"/>
      <c r="F33" s="1382" t="s">
        <v>1341</v>
      </c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</row>
    <row r="34" spans="1:25" ht="21.95" customHeight="1" x14ac:dyDescent="0.15">
      <c r="A34" s="2596"/>
      <c r="B34" s="2863"/>
      <c r="C34" s="2864"/>
      <c r="D34" s="503" t="s">
        <v>954</v>
      </c>
      <c r="E34" s="1062"/>
      <c r="F34" s="2842" t="s">
        <v>1325</v>
      </c>
      <c r="G34" s="1065"/>
      <c r="H34" s="1065"/>
      <c r="I34" s="1065"/>
      <c r="J34" s="1065"/>
      <c r="K34" s="1065"/>
      <c r="L34" s="1065"/>
      <c r="M34" s="1065"/>
      <c r="N34" s="1065"/>
      <c r="O34" s="1065"/>
      <c r="P34" s="1065"/>
      <c r="Q34" s="1065"/>
      <c r="R34" s="1065"/>
      <c r="S34" s="1065"/>
      <c r="T34" s="1065"/>
      <c r="U34" s="1065"/>
      <c r="V34" s="1065"/>
      <c r="W34" s="1065"/>
      <c r="X34" s="1065"/>
      <c r="Y34" s="1065"/>
    </row>
    <row r="35" spans="1:25" ht="21.95" customHeight="1" x14ac:dyDescent="0.15">
      <c r="A35" s="2596"/>
      <c r="B35" s="2863"/>
      <c r="C35" s="2864"/>
      <c r="D35" s="503" t="s">
        <v>58</v>
      </c>
      <c r="E35" s="1062"/>
      <c r="F35" s="2842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</row>
    <row r="36" spans="1:25" ht="21.95" customHeight="1" thickBot="1" x14ac:dyDescent="0.2">
      <c r="A36" s="2596"/>
      <c r="B36" s="2865"/>
      <c r="C36" s="2866"/>
      <c r="D36" s="1054" t="s">
        <v>292</v>
      </c>
      <c r="E36" s="983"/>
      <c r="F36" s="1383" t="s">
        <v>1329</v>
      </c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</row>
    <row r="37" spans="1:25" ht="21.95" customHeight="1" thickBot="1" x14ac:dyDescent="0.2">
      <c r="A37" s="2596"/>
      <c r="B37" s="2903" t="s">
        <v>2695</v>
      </c>
      <c r="C37" s="2881" t="s">
        <v>293</v>
      </c>
      <c r="D37" s="1051" t="s">
        <v>3</v>
      </c>
      <c r="E37" s="1061"/>
      <c r="F37" s="1382" t="s">
        <v>1341</v>
      </c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</row>
    <row r="38" spans="1:25" ht="21.95" customHeight="1" thickBot="1" x14ac:dyDescent="0.2">
      <c r="A38" s="2596"/>
      <c r="B38" s="2903"/>
      <c r="C38" s="2881"/>
      <c r="D38" s="503" t="s">
        <v>954</v>
      </c>
      <c r="E38" s="1062"/>
      <c r="F38" s="2244" t="s">
        <v>1321</v>
      </c>
      <c r="G38" s="1065"/>
      <c r="H38" s="1065"/>
      <c r="I38" s="1065"/>
      <c r="J38" s="1065"/>
      <c r="K38" s="1065"/>
      <c r="L38" s="1065"/>
      <c r="M38" s="1065"/>
      <c r="N38" s="1065"/>
      <c r="O38" s="1065"/>
      <c r="P38" s="1065"/>
      <c r="Q38" s="1065"/>
      <c r="R38" s="1065"/>
      <c r="S38" s="1065"/>
      <c r="T38" s="1065"/>
      <c r="U38" s="1065"/>
      <c r="V38" s="1065"/>
      <c r="W38" s="1065"/>
      <c r="X38" s="1065"/>
      <c r="Y38" s="1065"/>
    </row>
    <row r="39" spans="1:25" ht="21.95" customHeight="1" thickBot="1" x14ac:dyDescent="0.2">
      <c r="A39" s="2596"/>
      <c r="B39" s="2903"/>
      <c r="C39" s="2881"/>
      <c r="D39" s="503" t="s">
        <v>955</v>
      </c>
      <c r="E39" s="1062"/>
      <c r="F39" s="1385" t="s">
        <v>1342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21.95" customHeight="1" thickBot="1" x14ac:dyDescent="0.2">
      <c r="A40" s="2596"/>
      <c r="B40" s="2903"/>
      <c r="C40" s="2885"/>
      <c r="D40" s="1058" t="s">
        <v>292</v>
      </c>
      <c r="E40" s="1063"/>
      <c r="F40" s="1387" t="s">
        <v>1329</v>
      </c>
      <c r="G40" s="1073"/>
      <c r="H40" s="1073"/>
      <c r="I40" s="1073"/>
      <c r="J40" s="1073"/>
      <c r="K40" s="1073"/>
      <c r="L40" s="1073"/>
      <c r="M40" s="1073"/>
      <c r="N40" s="1073"/>
      <c r="O40" s="1073"/>
      <c r="P40" s="1073"/>
      <c r="Q40" s="1073"/>
      <c r="R40" s="1073"/>
      <c r="S40" s="1073"/>
      <c r="T40" s="1073"/>
      <c r="U40" s="1073"/>
      <c r="V40" s="1073"/>
      <c r="W40" s="1073"/>
      <c r="X40" s="1073"/>
      <c r="Y40" s="1073"/>
    </row>
    <row r="41" spans="1:25" ht="21.95" customHeight="1" thickBot="1" x14ac:dyDescent="0.2">
      <c r="A41" s="2596"/>
      <c r="B41" s="2903"/>
      <c r="C41" s="2879" t="s">
        <v>28</v>
      </c>
      <c r="D41" s="502" t="s">
        <v>3</v>
      </c>
      <c r="E41" s="1062"/>
      <c r="F41" s="1382" t="s">
        <v>1341</v>
      </c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</row>
    <row r="42" spans="1:25" ht="21.95" customHeight="1" thickBot="1" x14ac:dyDescent="0.2">
      <c r="A42" s="2596"/>
      <c r="B42" s="2903"/>
      <c r="C42" s="2881"/>
      <c r="D42" s="503" t="s">
        <v>954</v>
      </c>
      <c r="E42" s="1062"/>
      <c r="F42" s="2244" t="s">
        <v>1321</v>
      </c>
      <c r="G42" s="1065"/>
      <c r="H42" s="1065"/>
      <c r="I42" s="1065"/>
      <c r="J42" s="1065"/>
      <c r="K42" s="1065"/>
      <c r="L42" s="1065"/>
      <c r="M42" s="1065"/>
      <c r="N42" s="1065"/>
      <c r="O42" s="1065"/>
      <c r="P42" s="1065"/>
      <c r="Q42" s="1065"/>
      <c r="R42" s="1065"/>
      <c r="S42" s="1065"/>
      <c r="T42" s="1065"/>
      <c r="U42" s="1065"/>
      <c r="V42" s="1065"/>
      <c r="W42" s="1065"/>
      <c r="X42" s="1065"/>
      <c r="Y42" s="1065"/>
    </row>
    <row r="43" spans="1:25" ht="21.95" customHeight="1" thickBot="1" x14ac:dyDescent="0.2">
      <c r="A43" s="2596"/>
      <c r="B43" s="2903"/>
      <c r="C43" s="2881"/>
      <c r="D43" s="503" t="s">
        <v>955</v>
      </c>
      <c r="E43" s="1062"/>
      <c r="F43" s="1385" t="s">
        <v>1342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21.95" customHeight="1" thickBot="1" x14ac:dyDescent="0.2">
      <c r="A44" s="2596"/>
      <c r="B44" s="2903"/>
      <c r="C44" s="2881"/>
      <c r="D44" s="1054" t="s">
        <v>292</v>
      </c>
      <c r="E44" s="983"/>
      <c r="F44" s="1383" t="s">
        <v>1329</v>
      </c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</row>
    <row r="45" spans="1:25" ht="21.95" customHeight="1" thickBot="1" x14ac:dyDescent="0.2">
      <c r="A45" s="2596"/>
      <c r="B45" s="2903" t="s">
        <v>51</v>
      </c>
      <c r="C45" s="2881" t="s">
        <v>293</v>
      </c>
      <c r="D45" s="1051" t="s">
        <v>3</v>
      </c>
      <c r="E45" s="1061"/>
      <c r="F45" s="1382" t="s">
        <v>1341</v>
      </c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</row>
    <row r="46" spans="1:25" ht="21.95" customHeight="1" thickBot="1" x14ac:dyDescent="0.2">
      <c r="A46" s="2596"/>
      <c r="B46" s="2903"/>
      <c r="C46" s="2881"/>
      <c r="D46" s="503" t="s">
        <v>954</v>
      </c>
      <c r="E46" s="1062"/>
      <c r="F46" s="2244" t="s">
        <v>1321</v>
      </c>
      <c r="G46" s="1065"/>
      <c r="H46" s="1065"/>
      <c r="I46" s="1065"/>
      <c r="J46" s="1065"/>
      <c r="K46" s="1065"/>
      <c r="L46" s="1065"/>
      <c r="M46" s="1065"/>
      <c r="N46" s="1065"/>
      <c r="O46" s="1065"/>
      <c r="P46" s="1065"/>
      <c r="Q46" s="1065"/>
      <c r="R46" s="1065"/>
      <c r="S46" s="1065"/>
      <c r="T46" s="1065"/>
      <c r="U46" s="1065"/>
      <c r="V46" s="1065"/>
      <c r="W46" s="1065"/>
      <c r="X46" s="1065"/>
      <c r="Y46" s="1065"/>
    </row>
    <row r="47" spans="1:25" ht="21.95" customHeight="1" thickBot="1" x14ac:dyDescent="0.2">
      <c r="A47" s="2596"/>
      <c r="B47" s="2903"/>
      <c r="C47" s="2881"/>
      <c r="D47" s="503" t="s">
        <v>955</v>
      </c>
      <c r="E47" s="1062"/>
      <c r="F47" s="1385" t="s">
        <v>1342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21.95" customHeight="1" thickBot="1" x14ac:dyDescent="0.2">
      <c r="A48" s="2596"/>
      <c r="B48" s="2903"/>
      <c r="C48" s="2885"/>
      <c r="D48" s="1058" t="s">
        <v>292</v>
      </c>
      <c r="E48" s="1063"/>
      <c r="F48" s="1387" t="s">
        <v>1329</v>
      </c>
      <c r="G48" s="1073"/>
      <c r="H48" s="1073"/>
      <c r="I48" s="1073"/>
      <c r="J48" s="1073"/>
      <c r="K48" s="1073"/>
      <c r="L48" s="1073"/>
      <c r="M48" s="1073"/>
      <c r="N48" s="1073"/>
      <c r="O48" s="1073"/>
      <c r="P48" s="1073"/>
      <c r="Q48" s="1073"/>
      <c r="R48" s="1073"/>
      <c r="S48" s="1073"/>
      <c r="T48" s="1073"/>
      <c r="U48" s="1073"/>
      <c r="V48" s="1073"/>
      <c r="W48" s="1073"/>
      <c r="X48" s="1073"/>
      <c r="Y48" s="1073"/>
    </row>
    <row r="49" spans="1:25" ht="21.95" customHeight="1" thickBot="1" x14ac:dyDescent="0.2">
      <c r="A49" s="2596"/>
      <c r="B49" s="2903"/>
      <c r="C49" s="2879" t="s">
        <v>28</v>
      </c>
      <c r="D49" s="502" t="s">
        <v>3</v>
      </c>
      <c r="E49" s="1062"/>
      <c r="F49" s="1382" t="s">
        <v>1341</v>
      </c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</row>
    <row r="50" spans="1:25" ht="21.95" customHeight="1" thickBot="1" x14ac:dyDescent="0.2">
      <c r="A50" s="2596"/>
      <c r="B50" s="2903"/>
      <c r="C50" s="2881"/>
      <c r="D50" s="503" t="s">
        <v>954</v>
      </c>
      <c r="E50" s="1062"/>
      <c r="F50" s="2244" t="s">
        <v>1321</v>
      </c>
      <c r="G50" s="1065"/>
      <c r="H50" s="1065"/>
      <c r="I50" s="1065"/>
      <c r="J50" s="1065"/>
      <c r="K50" s="1065"/>
      <c r="L50" s="1065"/>
      <c r="M50" s="1065"/>
      <c r="N50" s="1065"/>
      <c r="O50" s="1065"/>
      <c r="P50" s="1065"/>
      <c r="Q50" s="1065"/>
      <c r="R50" s="1065"/>
      <c r="S50" s="1065"/>
      <c r="T50" s="1065"/>
      <c r="U50" s="1065"/>
      <c r="V50" s="1065"/>
      <c r="W50" s="1065"/>
      <c r="X50" s="1065"/>
      <c r="Y50" s="1065"/>
    </row>
    <row r="51" spans="1:25" ht="21.95" customHeight="1" thickBot="1" x14ac:dyDescent="0.2">
      <c r="A51" s="2596"/>
      <c r="B51" s="2903"/>
      <c r="C51" s="2881"/>
      <c r="D51" s="503" t="s">
        <v>955</v>
      </c>
      <c r="E51" s="1062"/>
      <c r="F51" s="1385" t="s">
        <v>1342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21.95" customHeight="1" thickBot="1" x14ac:dyDescent="0.2">
      <c r="A52" s="2596"/>
      <c r="B52" s="2903"/>
      <c r="C52" s="2881"/>
      <c r="D52" s="1054" t="s">
        <v>292</v>
      </c>
      <c r="E52" s="983"/>
      <c r="F52" s="1383" t="s">
        <v>1329</v>
      </c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</row>
    <row r="53" spans="1:25" ht="21.95" customHeight="1" thickBot="1" x14ac:dyDescent="0.2">
      <c r="A53" s="2596"/>
      <c r="B53" s="2903" t="s">
        <v>366</v>
      </c>
      <c r="C53" s="2881" t="s">
        <v>293</v>
      </c>
      <c r="D53" s="502" t="s">
        <v>3</v>
      </c>
      <c r="E53" s="1061"/>
      <c r="F53" s="1382" t="s">
        <v>1341</v>
      </c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</row>
    <row r="54" spans="1:25" ht="21.95" customHeight="1" thickBot="1" x14ac:dyDescent="0.2">
      <c r="A54" s="2596"/>
      <c r="B54" s="2903"/>
      <c r="C54" s="2881"/>
      <c r="D54" s="503" t="s">
        <v>954</v>
      </c>
      <c r="E54" s="1062"/>
      <c r="F54" s="2244" t="s">
        <v>1321</v>
      </c>
      <c r="G54" s="1065"/>
      <c r="H54" s="1065"/>
      <c r="I54" s="1065"/>
      <c r="J54" s="1065"/>
      <c r="K54" s="1065"/>
      <c r="L54" s="1065"/>
      <c r="M54" s="1065"/>
      <c r="N54" s="1065"/>
      <c r="O54" s="1065"/>
      <c r="P54" s="1065"/>
      <c r="Q54" s="1065"/>
      <c r="R54" s="1065"/>
      <c r="S54" s="1065"/>
      <c r="T54" s="1065"/>
      <c r="U54" s="1065"/>
      <c r="V54" s="1065"/>
      <c r="W54" s="1065"/>
      <c r="X54" s="1065"/>
      <c r="Y54" s="1065"/>
    </row>
    <row r="55" spans="1:25" ht="21.95" customHeight="1" thickBot="1" x14ac:dyDescent="0.2">
      <c r="A55" s="2596"/>
      <c r="B55" s="2903"/>
      <c r="C55" s="2881"/>
      <c r="D55" s="503" t="s">
        <v>955</v>
      </c>
      <c r="E55" s="1062"/>
      <c r="F55" s="1385" t="s">
        <v>1342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21.95" customHeight="1" thickBot="1" x14ac:dyDescent="0.2">
      <c r="A56" s="2596"/>
      <c r="B56" s="2903"/>
      <c r="C56" s="2885"/>
      <c r="D56" s="1058" t="s">
        <v>292</v>
      </c>
      <c r="E56" s="1063"/>
      <c r="F56" s="1387" t="s">
        <v>1329</v>
      </c>
      <c r="G56" s="1073"/>
      <c r="H56" s="1073"/>
      <c r="I56" s="1073"/>
      <c r="J56" s="1073"/>
      <c r="K56" s="1073"/>
      <c r="L56" s="1073"/>
      <c r="M56" s="1073"/>
      <c r="N56" s="1073"/>
      <c r="O56" s="1073"/>
      <c r="P56" s="1073"/>
      <c r="Q56" s="1073"/>
      <c r="R56" s="1073"/>
      <c r="S56" s="1073"/>
      <c r="T56" s="1073"/>
      <c r="U56" s="1073"/>
      <c r="V56" s="1073"/>
      <c r="W56" s="1073"/>
      <c r="X56" s="1073"/>
      <c r="Y56" s="1073"/>
    </row>
    <row r="57" spans="1:25" ht="21.95" customHeight="1" thickBot="1" x14ac:dyDescent="0.2">
      <c r="A57" s="2596"/>
      <c r="B57" s="2903"/>
      <c r="C57" s="2879" t="s">
        <v>28</v>
      </c>
      <c r="D57" s="502" t="s">
        <v>3</v>
      </c>
      <c r="E57" s="1062"/>
      <c r="F57" s="1382" t="s">
        <v>1341</v>
      </c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</row>
    <row r="58" spans="1:25" ht="21.95" customHeight="1" thickBot="1" x14ac:dyDescent="0.2">
      <c r="A58" s="2596"/>
      <c r="B58" s="2903"/>
      <c r="C58" s="2881"/>
      <c r="D58" s="503" t="s">
        <v>954</v>
      </c>
      <c r="E58" s="1062"/>
      <c r="F58" s="2244" t="s">
        <v>1321</v>
      </c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5"/>
      <c r="Y58" s="1065"/>
    </row>
    <row r="59" spans="1:25" ht="21.95" customHeight="1" thickBot="1" x14ac:dyDescent="0.2">
      <c r="A59" s="2596"/>
      <c r="B59" s="2903"/>
      <c r="C59" s="2881"/>
      <c r="D59" s="503" t="s">
        <v>955</v>
      </c>
      <c r="E59" s="1062"/>
      <c r="F59" s="1385" t="s">
        <v>1342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21.95" customHeight="1" thickBot="1" x14ac:dyDescent="0.2">
      <c r="A60" s="2596"/>
      <c r="B60" s="2903"/>
      <c r="C60" s="2881"/>
      <c r="D60" s="1054" t="s">
        <v>292</v>
      </c>
      <c r="E60" s="983"/>
      <c r="F60" s="1383" t="s">
        <v>1329</v>
      </c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</row>
    <row r="61" spans="1:25" ht="21.95" customHeight="1" x14ac:dyDescent="0.15">
      <c r="A61" s="2596"/>
      <c r="B61" s="2871" t="s">
        <v>15</v>
      </c>
      <c r="C61" s="2875" t="s">
        <v>293</v>
      </c>
      <c r="D61" s="1051" t="s">
        <v>3</v>
      </c>
      <c r="E61" s="1061"/>
      <c r="F61" s="1382" t="s">
        <v>1567</v>
      </c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</row>
    <row r="62" spans="1:25" ht="21.95" customHeight="1" x14ac:dyDescent="0.15">
      <c r="A62" s="2596"/>
      <c r="B62" s="2872"/>
      <c r="C62" s="2877"/>
      <c r="D62" s="503" t="s">
        <v>954</v>
      </c>
      <c r="E62" s="1062"/>
      <c r="F62" s="2244" t="s">
        <v>1321</v>
      </c>
      <c r="G62" s="1065"/>
      <c r="H62" s="1065"/>
      <c r="I62" s="1065"/>
      <c r="J62" s="1065"/>
      <c r="K62" s="1065"/>
      <c r="L62" s="1065"/>
      <c r="M62" s="1065"/>
      <c r="N62" s="1065"/>
      <c r="O62" s="1065"/>
      <c r="P62" s="1065"/>
      <c r="Q62" s="1065"/>
      <c r="R62" s="1065"/>
      <c r="S62" s="1065"/>
      <c r="T62" s="1065"/>
      <c r="U62" s="1065"/>
      <c r="V62" s="1065"/>
      <c r="W62" s="1065"/>
      <c r="X62" s="1065"/>
      <c r="Y62" s="1065"/>
    </row>
    <row r="63" spans="1:25" ht="21.95" customHeight="1" x14ac:dyDescent="0.15">
      <c r="A63" s="2596"/>
      <c r="B63" s="2872"/>
      <c r="C63" s="2855"/>
      <c r="D63" s="1058" t="s">
        <v>292</v>
      </c>
      <c r="E63" s="1063"/>
      <c r="F63" s="1387" t="s">
        <v>1329</v>
      </c>
      <c r="G63" s="8">
        <v>483.43599999999998</v>
      </c>
      <c r="H63" s="8">
        <v>480.01900000000001</v>
      </c>
      <c r="I63" s="8">
        <v>302.70400000000001</v>
      </c>
      <c r="J63" s="8">
        <v>79.933000000000007</v>
      </c>
      <c r="K63" s="8">
        <v>105.167</v>
      </c>
      <c r="L63" s="8">
        <v>373.68900000000002</v>
      </c>
      <c r="M63" s="8">
        <v>52.762</v>
      </c>
      <c r="N63" s="8">
        <v>134.03200000000001</v>
      </c>
      <c r="O63" s="8">
        <v>588.01099999999997</v>
      </c>
      <c r="P63" s="8">
        <v>190.06800000000001</v>
      </c>
      <c r="Q63" s="8">
        <v>296.101</v>
      </c>
      <c r="R63" s="8">
        <v>652.298</v>
      </c>
      <c r="S63" s="8">
        <v>858.93299999999999</v>
      </c>
      <c r="T63" s="8">
        <v>723.68299999999999</v>
      </c>
      <c r="U63" s="8">
        <v>808.91200000000003</v>
      </c>
      <c r="V63" s="8">
        <v>750.33100000000002</v>
      </c>
      <c r="W63" s="8">
        <v>193.01</v>
      </c>
      <c r="X63" s="8">
        <v>319.57499999999999</v>
      </c>
      <c r="Y63" s="8"/>
    </row>
    <row r="64" spans="1:25" ht="21.95" customHeight="1" x14ac:dyDescent="0.15">
      <c r="A64" s="2596"/>
      <c r="B64" s="2872"/>
      <c r="C64" s="2877" t="s">
        <v>28</v>
      </c>
      <c r="D64" s="503" t="s">
        <v>3</v>
      </c>
      <c r="E64" s="1062"/>
      <c r="F64" s="1382" t="s">
        <v>1341</v>
      </c>
      <c r="G64" s="2285"/>
      <c r="H64" s="2285"/>
      <c r="I64" s="2285"/>
      <c r="J64" s="2285"/>
      <c r="K64" s="2285"/>
      <c r="L64" s="2285"/>
      <c r="M64" s="2285"/>
      <c r="N64" s="2285"/>
      <c r="O64" s="2285"/>
      <c r="P64" s="2285"/>
      <c r="Q64" s="2285"/>
      <c r="R64" s="2285"/>
      <c r="S64" s="2285"/>
      <c r="T64" s="2285"/>
      <c r="U64" s="2285"/>
      <c r="V64" s="2285"/>
      <c r="W64" s="2285"/>
      <c r="X64" s="2285"/>
      <c r="Y64" s="2285"/>
    </row>
    <row r="65" spans="1:25" ht="21.95" customHeight="1" x14ac:dyDescent="0.15">
      <c r="A65" s="2596"/>
      <c r="B65" s="2872"/>
      <c r="C65" s="2877"/>
      <c r="D65" s="503" t="s">
        <v>954</v>
      </c>
      <c r="E65" s="1062"/>
      <c r="F65" s="2244" t="s">
        <v>1321</v>
      </c>
      <c r="G65" s="1065"/>
      <c r="H65" s="1065"/>
      <c r="I65" s="1065"/>
      <c r="J65" s="1065"/>
      <c r="K65" s="1065"/>
      <c r="L65" s="1065"/>
      <c r="M65" s="1065"/>
      <c r="N65" s="1065"/>
      <c r="O65" s="1065"/>
      <c r="P65" s="1065"/>
      <c r="Q65" s="1065"/>
      <c r="R65" s="1065"/>
      <c r="S65" s="1065"/>
      <c r="T65" s="1065"/>
      <c r="U65" s="1065"/>
      <c r="V65" s="1065"/>
      <c r="W65" s="1065"/>
      <c r="X65" s="1065"/>
      <c r="Y65" s="1065"/>
    </row>
    <row r="66" spans="1:25" ht="21.95" customHeight="1" x14ac:dyDescent="0.15">
      <c r="A66" s="2596"/>
      <c r="B66" s="2872"/>
      <c r="C66" s="2877"/>
      <c r="D66" s="503" t="s">
        <v>955</v>
      </c>
      <c r="E66" s="1062"/>
      <c r="F66" s="1385" t="s">
        <v>1343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ht="21.95" customHeight="1" thickBot="1" x14ac:dyDescent="0.2">
      <c r="A67" s="2596"/>
      <c r="B67" s="2873"/>
      <c r="C67" s="2879"/>
      <c r="D67" s="1054" t="s">
        <v>292</v>
      </c>
      <c r="E67" s="983"/>
      <c r="F67" s="1383" t="s">
        <v>1329</v>
      </c>
      <c r="G67" s="215">
        <v>937.13</v>
      </c>
      <c r="H67" s="215">
        <v>391.12900000000002</v>
      </c>
      <c r="I67" s="215">
        <v>129.97200000000001</v>
      </c>
      <c r="J67" s="215">
        <v>883.33299999999997</v>
      </c>
      <c r="K67" s="215">
        <v>211.38200000000001</v>
      </c>
      <c r="L67" s="215">
        <v>0.61</v>
      </c>
      <c r="M67" s="215">
        <v>1.2829999999999999</v>
      </c>
      <c r="N67" s="215">
        <v>125.621</v>
      </c>
      <c r="O67" s="215">
        <v>19.992000000000001</v>
      </c>
      <c r="P67" s="215">
        <v>98.013999999999996</v>
      </c>
      <c r="Q67" s="215">
        <v>147.84200000000001</v>
      </c>
      <c r="R67" s="215">
        <v>102.736</v>
      </c>
      <c r="S67" s="215">
        <v>103.80800000000001</v>
      </c>
      <c r="T67" s="215">
        <v>52.207999999999998</v>
      </c>
      <c r="U67" s="215">
        <v>59.841999999999999</v>
      </c>
      <c r="V67" s="215">
        <v>88.001999999999995</v>
      </c>
      <c r="W67" s="215">
        <v>76.016999999999996</v>
      </c>
      <c r="X67" s="215">
        <v>204.27199999999999</v>
      </c>
      <c r="Y67" s="215"/>
    </row>
    <row r="68" spans="1:25" ht="21.95" customHeight="1" x14ac:dyDescent="0.15">
      <c r="A68" s="2596"/>
      <c r="B68" s="2867" t="s">
        <v>299</v>
      </c>
      <c r="C68" s="2868"/>
      <c r="D68" s="1059" t="s">
        <v>158</v>
      </c>
      <c r="E68" s="1062"/>
      <c r="F68" s="1345"/>
      <c r="G68" s="216">
        <f>1045.05+9</f>
        <v>1054.05</v>
      </c>
      <c r="H68" s="216">
        <f>534.6+532.95+9</f>
        <v>1076.5500000000002</v>
      </c>
      <c r="I68" s="216">
        <f>236.02+351.73</f>
        <v>587.75</v>
      </c>
      <c r="J68" s="216">
        <f>236.27+239.97</f>
        <v>476.24</v>
      </c>
      <c r="K68" s="216">
        <f>532.95+7</f>
        <v>539.95000000000005</v>
      </c>
      <c r="L68" s="216">
        <v>304.45999999999998</v>
      </c>
      <c r="M68" s="216">
        <v>52.9</v>
      </c>
      <c r="N68" s="216">
        <f>538.24+7</f>
        <v>545.24</v>
      </c>
      <c r="O68" s="216">
        <v>960.55</v>
      </c>
      <c r="P68" s="216">
        <f>538+7</f>
        <v>545</v>
      </c>
      <c r="Q68" s="216">
        <f>510.65+7</f>
        <v>517.65</v>
      </c>
      <c r="R68" s="216">
        <v>1318.5</v>
      </c>
      <c r="S68" s="216">
        <v>1341.22</v>
      </c>
      <c r="T68" s="216">
        <v>1259.94</v>
      </c>
      <c r="U68" s="216">
        <f>1386.13+7</f>
        <v>1393.13</v>
      </c>
      <c r="V68" s="216">
        <v>1349.69</v>
      </c>
      <c r="W68" s="216">
        <v>510.8</v>
      </c>
      <c r="X68" s="216">
        <v>668.34</v>
      </c>
      <c r="Y68" s="216"/>
    </row>
    <row r="69" spans="1:25" ht="21.95" customHeight="1" x14ac:dyDescent="0.15">
      <c r="A69" s="2596"/>
      <c r="B69" s="2869"/>
      <c r="C69" s="2870"/>
      <c r="D69" s="1058" t="s">
        <v>159</v>
      </c>
      <c r="E69" s="1062"/>
      <c r="F69" s="134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21.95" customHeight="1" x14ac:dyDescent="0.15">
      <c r="A70" s="2596"/>
      <c r="B70" s="2869"/>
      <c r="C70" s="2870"/>
      <c r="D70" s="1058" t="s">
        <v>297</v>
      </c>
      <c r="E70" s="1062"/>
      <c r="F70" s="1345"/>
      <c r="G70" s="8"/>
      <c r="H70" s="8">
        <v>532.95000000000005</v>
      </c>
      <c r="I70" s="8">
        <v>351.73</v>
      </c>
      <c r="J70" s="8">
        <v>239.97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21.95" customHeight="1" x14ac:dyDescent="0.15">
      <c r="A71" s="2596"/>
      <c r="B71" s="2869"/>
      <c r="C71" s="2870"/>
      <c r="D71" s="1058" t="s">
        <v>160</v>
      </c>
      <c r="E71" s="1062"/>
      <c r="F71" s="1345"/>
      <c r="G71" s="8">
        <v>9</v>
      </c>
      <c r="H71" s="8">
        <v>9</v>
      </c>
      <c r="I71" s="8"/>
      <c r="J71" s="8"/>
      <c r="K71" s="8">
        <v>7</v>
      </c>
      <c r="L71" s="8"/>
      <c r="M71" s="8"/>
      <c r="N71" s="8">
        <v>7</v>
      </c>
      <c r="O71" s="8"/>
      <c r="P71" s="8">
        <v>7</v>
      </c>
      <c r="Q71" s="8">
        <v>7</v>
      </c>
      <c r="R71" s="8"/>
      <c r="S71" s="8"/>
      <c r="T71" s="8"/>
      <c r="U71" s="8">
        <v>7</v>
      </c>
      <c r="V71" s="8"/>
      <c r="W71" s="8"/>
      <c r="X71" s="8"/>
      <c r="Y71" s="8"/>
    </row>
    <row r="72" spans="1:25" ht="21.95" customHeight="1" x14ac:dyDescent="0.15">
      <c r="A72" s="2596"/>
      <c r="B72" s="2869"/>
      <c r="C72" s="2870"/>
      <c r="D72" s="1058" t="s">
        <v>1824</v>
      </c>
      <c r="E72" s="1062"/>
      <c r="F72" s="134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21.95" customHeight="1" x14ac:dyDescent="0.15">
      <c r="A73" s="2596"/>
      <c r="B73" s="2869"/>
      <c r="C73" s="2870"/>
      <c r="D73" s="1058" t="s">
        <v>1825</v>
      </c>
      <c r="E73" s="1062"/>
      <c r="F73" s="134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21.95" customHeight="1" x14ac:dyDescent="0.15">
      <c r="A74" s="2596"/>
      <c r="B74" s="2869"/>
      <c r="C74" s="2870"/>
      <c r="D74" s="1058" t="s">
        <v>549</v>
      </c>
      <c r="E74" s="1062"/>
      <c r="F74" s="134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21.95" customHeight="1" x14ac:dyDescent="0.15">
      <c r="A75" s="2596"/>
      <c r="B75" s="2869"/>
      <c r="C75" s="2870"/>
      <c r="D75" s="1058" t="s">
        <v>298</v>
      </c>
      <c r="E75" s="1062"/>
      <c r="F75" s="134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21.95" customHeight="1" thickBot="1" x14ac:dyDescent="0.2">
      <c r="A76" s="2596"/>
      <c r="B76" s="2869"/>
      <c r="C76" s="2870"/>
      <c r="D76" s="1054" t="s">
        <v>203</v>
      </c>
      <c r="E76" s="983"/>
      <c r="F76" s="1270"/>
      <c r="G76" s="215">
        <v>5086.57</v>
      </c>
      <c r="H76" s="215">
        <v>5037.96</v>
      </c>
      <c r="I76" s="215">
        <v>2844.21</v>
      </c>
      <c r="J76" s="215">
        <v>2846.3</v>
      </c>
      <c r="K76" s="215">
        <v>1846.82</v>
      </c>
      <c r="L76" s="215">
        <v>1473.54</v>
      </c>
      <c r="M76" s="215">
        <v>175.8</v>
      </c>
      <c r="N76" s="215">
        <v>1865.42</v>
      </c>
      <c r="O76" s="215">
        <v>3342.17</v>
      </c>
      <c r="P76" s="215">
        <v>1864.27</v>
      </c>
      <c r="Q76" s="215">
        <v>2168.8000000000002</v>
      </c>
      <c r="R76" s="215">
        <v>4611.4399999999996</v>
      </c>
      <c r="S76" s="215">
        <v>4632.6400000000003</v>
      </c>
      <c r="T76" s="215">
        <v>4381.79</v>
      </c>
      <c r="U76" s="215">
        <v>4788.41</v>
      </c>
      <c r="V76" s="215">
        <v>4669.67</v>
      </c>
      <c r="W76" s="215">
        <v>1952.78</v>
      </c>
      <c r="X76" s="215">
        <v>3040.09</v>
      </c>
      <c r="Y76" s="215"/>
    </row>
    <row r="77" spans="1:25" ht="21.95" customHeight="1" thickBot="1" x14ac:dyDescent="0.2">
      <c r="A77" s="2596"/>
      <c r="B77" s="2869"/>
      <c r="C77" s="2870"/>
      <c r="D77" s="503" t="s">
        <v>170</v>
      </c>
      <c r="E77" s="1062"/>
      <c r="F77" s="1345"/>
      <c r="G77" s="162">
        <f t="shared" ref="G77:H77" si="29">G68-G69-G70-G71-G75-G72</f>
        <v>1045.05</v>
      </c>
      <c r="H77" s="162">
        <f t="shared" si="29"/>
        <v>534.60000000000014</v>
      </c>
      <c r="I77" s="162">
        <f t="shared" ref="I77:J77" si="30">I68-I69-I70-I71-I75-I72</f>
        <v>236.01999999999998</v>
      </c>
      <c r="J77" s="162">
        <f t="shared" si="30"/>
        <v>236.27</v>
      </c>
      <c r="K77" s="162">
        <f t="shared" ref="K77:O77" si="31">K68-K69-K70-K71-K75-K72</f>
        <v>532.95000000000005</v>
      </c>
      <c r="L77" s="162">
        <f t="shared" si="31"/>
        <v>304.45999999999998</v>
      </c>
      <c r="M77" s="162">
        <f t="shared" si="31"/>
        <v>52.9</v>
      </c>
      <c r="N77" s="162">
        <f t="shared" si="31"/>
        <v>538.24</v>
      </c>
      <c r="O77" s="162">
        <f t="shared" si="31"/>
        <v>960.55</v>
      </c>
      <c r="P77" s="162">
        <f t="shared" ref="P77:X77" si="32">P68-P69-P70-P71-P75-P72</f>
        <v>538</v>
      </c>
      <c r="Q77" s="162">
        <f t="shared" si="32"/>
        <v>510.65</v>
      </c>
      <c r="R77" s="162">
        <f t="shared" si="32"/>
        <v>1318.5</v>
      </c>
      <c r="S77" s="162">
        <f t="shared" si="32"/>
        <v>1341.22</v>
      </c>
      <c r="T77" s="162">
        <f t="shared" si="32"/>
        <v>1259.94</v>
      </c>
      <c r="U77" s="162">
        <f t="shared" si="32"/>
        <v>1386.13</v>
      </c>
      <c r="V77" s="162">
        <f t="shared" si="32"/>
        <v>1349.69</v>
      </c>
      <c r="W77" s="162">
        <f t="shared" si="32"/>
        <v>510.8</v>
      </c>
      <c r="X77" s="162">
        <f t="shared" si="32"/>
        <v>668.34</v>
      </c>
      <c r="Y77" s="162"/>
    </row>
    <row r="78" spans="1:25" s="6" customFormat="1" ht="21.95" customHeight="1" x14ac:dyDescent="0.15">
      <c r="A78" s="2596"/>
      <c r="B78" s="2861" t="s">
        <v>250</v>
      </c>
      <c r="C78" s="2862"/>
      <c r="D78" s="1051" t="s">
        <v>1314</v>
      </c>
      <c r="E78" s="1068"/>
      <c r="F78" s="1388"/>
      <c r="G78" s="1227"/>
      <c r="H78" s="1227"/>
      <c r="I78" s="1227"/>
      <c r="J78" s="1227"/>
      <c r="K78" s="1227"/>
      <c r="L78" s="1227"/>
      <c r="M78" s="1227"/>
      <c r="N78" s="1227"/>
      <c r="O78" s="1227"/>
      <c r="P78" s="1227"/>
      <c r="Q78" s="1227"/>
      <c r="R78" s="1227"/>
      <c r="S78" s="1227"/>
      <c r="T78" s="1227"/>
      <c r="U78" s="1227"/>
      <c r="V78" s="1227"/>
      <c r="W78" s="1227"/>
      <c r="X78" s="1227"/>
      <c r="Y78" s="1227"/>
    </row>
    <row r="79" spans="1:25" s="6" customFormat="1" ht="21.95" customHeight="1" x14ac:dyDescent="0.15">
      <c r="A79" s="2596"/>
      <c r="B79" s="2863"/>
      <c r="C79" s="2864"/>
      <c r="D79" s="502" t="s">
        <v>1422</v>
      </c>
      <c r="E79" s="1062"/>
      <c r="F79" s="1342" t="s">
        <v>1810</v>
      </c>
      <c r="G79" s="1067"/>
      <c r="H79" s="1067"/>
      <c r="I79" s="1067"/>
      <c r="J79" s="1067"/>
      <c r="K79" s="1067"/>
      <c r="L79" s="1067"/>
      <c r="M79" s="1067"/>
      <c r="N79" s="1067"/>
      <c r="O79" s="1067"/>
      <c r="P79" s="1067"/>
      <c r="Q79" s="1067"/>
      <c r="R79" s="1067"/>
      <c r="S79" s="1067"/>
      <c r="T79" s="1067"/>
      <c r="U79" s="1067"/>
      <c r="V79" s="1067"/>
      <c r="W79" s="1067"/>
      <c r="X79" s="1067"/>
      <c r="Y79" s="1067"/>
    </row>
    <row r="80" spans="1:25" s="6" customFormat="1" ht="21.95" customHeight="1" x14ac:dyDescent="0.15">
      <c r="A80" s="2596"/>
      <c r="B80" s="2863"/>
      <c r="C80" s="2864"/>
      <c r="D80" s="503" t="s">
        <v>2026</v>
      </c>
      <c r="E80" s="1062"/>
      <c r="F80" s="2846" t="s">
        <v>1322</v>
      </c>
      <c r="G80" s="1067"/>
      <c r="H80" s="1067"/>
      <c r="I80" s="1067"/>
      <c r="J80" s="1067"/>
      <c r="K80" s="1067"/>
      <c r="L80" s="1067"/>
      <c r="M80" s="1067"/>
      <c r="N80" s="1067"/>
      <c r="O80" s="1067"/>
      <c r="P80" s="1067"/>
      <c r="Q80" s="1067"/>
      <c r="R80" s="1067"/>
      <c r="S80" s="1067"/>
      <c r="T80" s="1067"/>
      <c r="U80" s="1067"/>
      <c r="V80" s="1067"/>
      <c r="W80" s="1067"/>
      <c r="X80" s="1067"/>
      <c r="Y80" s="1067"/>
    </row>
    <row r="81" spans="1:25" s="6" customFormat="1" ht="21.95" customHeight="1" x14ac:dyDescent="0.15">
      <c r="A81" s="2596"/>
      <c r="B81" s="2863"/>
      <c r="C81" s="2864"/>
      <c r="D81" s="503" t="s">
        <v>1303</v>
      </c>
      <c r="E81" s="1062"/>
      <c r="F81" s="2846"/>
      <c r="G81" s="1067"/>
      <c r="H81" s="1067"/>
      <c r="I81" s="1067"/>
      <c r="J81" s="1067"/>
      <c r="K81" s="1067"/>
      <c r="L81" s="1067"/>
      <c r="M81" s="1067"/>
      <c r="N81" s="1067"/>
      <c r="O81" s="1067"/>
      <c r="P81" s="1067"/>
      <c r="Q81" s="1067"/>
      <c r="R81" s="1067"/>
      <c r="S81" s="1067"/>
      <c r="T81" s="1067"/>
      <c r="U81" s="1067"/>
      <c r="V81" s="1067"/>
      <c r="W81" s="1067"/>
      <c r="X81" s="1067"/>
      <c r="Y81" s="1067"/>
    </row>
    <row r="82" spans="1:25" s="6" customFormat="1" ht="21.95" customHeight="1" x14ac:dyDescent="0.15">
      <c r="A82" s="2596"/>
      <c r="B82" s="2863"/>
      <c r="C82" s="2864"/>
      <c r="D82" s="503" t="s">
        <v>1316</v>
      </c>
      <c r="E82" s="1062"/>
      <c r="F82" s="2846"/>
      <c r="G82" s="1067"/>
      <c r="H82" s="1067"/>
      <c r="I82" s="1067"/>
      <c r="J82" s="1067"/>
      <c r="K82" s="1067"/>
      <c r="L82" s="1067"/>
      <c r="M82" s="1067"/>
      <c r="N82" s="1067"/>
      <c r="O82" s="1067"/>
      <c r="P82" s="1067"/>
      <c r="Q82" s="1067"/>
      <c r="R82" s="1067"/>
      <c r="S82" s="1067"/>
      <c r="T82" s="1067"/>
      <c r="U82" s="1067"/>
      <c r="V82" s="1067"/>
      <c r="W82" s="1067"/>
      <c r="X82" s="1067"/>
      <c r="Y82" s="1067"/>
    </row>
    <row r="83" spans="1:25" s="6" customFormat="1" ht="21.95" customHeight="1" x14ac:dyDescent="0.15">
      <c r="A83" s="2596"/>
      <c r="B83" s="2863"/>
      <c r="C83" s="2864"/>
      <c r="D83" s="503" t="s">
        <v>1317</v>
      </c>
      <c r="E83" s="1062"/>
      <c r="F83" s="2846"/>
      <c r="G83" s="1067"/>
      <c r="H83" s="1067"/>
      <c r="I83" s="1067"/>
      <c r="J83" s="1067"/>
      <c r="K83" s="1067"/>
      <c r="L83" s="1067"/>
      <c r="M83" s="1067"/>
      <c r="N83" s="1067"/>
      <c r="O83" s="1067"/>
      <c r="P83" s="1067"/>
      <c r="Q83" s="1067"/>
      <c r="R83" s="1067"/>
      <c r="S83" s="1067"/>
      <c r="T83" s="1067"/>
      <c r="U83" s="1067"/>
      <c r="V83" s="1067"/>
      <c r="W83" s="1067"/>
      <c r="X83" s="1067"/>
      <c r="Y83" s="1067"/>
    </row>
    <row r="84" spans="1:25" s="6" customFormat="1" ht="21.95" customHeight="1" thickBot="1" x14ac:dyDescent="0.2">
      <c r="A84" s="2596"/>
      <c r="B84" s="2865"/>
      <c r="C84" s="2866"/>
      <c r="D84" s="1052" t="s">
        <v>1318</v>
      </c>
      <c r="E84" s="983"/>
      <c r="F84" s="2847"/>
      <c r="G84" s="1067"/>
      <c r="H84" s="1067"/>
      <c r="I84" s="1067"/>
      <c r="J84" s="1067"/>
      <c r="K84" s="1067"/>
      <c r="L84" s="1067"/>
      <c r="M84" s="1067"/>
      <c r="N84" s="1067"/>
      <c r="O84" s="1067"/>
      <c r="P84" s="1067"/>
      <c r="Q84" s="1067"/>
      <c r="R84" s="1067"/>
      <c r="S84" s="1067"/>
      <c r="T84" s="1067"/>
      <c r="U84" s="1067"/>
      <c r="V84" s="1067"/>
      <c r="W84" s="1067"/>
      <c r="X84" s="1067"/>
      <c r="Y84" s="1067"/>
    </row>
    <row r="85" spans="1:25" s="6" customFormat="1" ht="21.95" customHeight="1" x14ac:dyDescent="0.15">
      <c r="A85" s="2596"/>
      <c r="B85" s="2854" t="s">
        <v>59</v>
      </c>
      <c r="C85" s="2855"/>
      <c r="D85" s="502" t="s">
        <v>1314</v>
      </c>
      <c r="E85" s="1062"/>
      <c r="F85" s="1347" t="s">
        <v>1385</v>
      </c>
      <c r="G85" s="1227">
        <v>17</v>
      </c>
      <c r="H85" s="1227">
        <v>17</v>
      </c>
      <c r="I85" s="1227">
        <v>17</v>
      </c>
      <c r="J85" s="1227">
        <v>17</v>
      </c>
      <c r="K85" s="1227">
        <v>15</v>
      </c>
      <c r="L85" s="1227">
        <v>15</v>
      </c>
      <c r="M85" s="1227">
        <v>15</v>
      </c>
      <c r="N85" s="1227">
        <v>15</v>
      </c>
      <c r="O85" s="1227">
        <v>15</v>
      </c>
      <c r="P85" s="1227">
        <v>15</v>
      </c>
      <c r="Q85" s="1227">
        <v>15</v>
      </c>
      <c r="R85" s="1227">
        <v>15</v>
      </c>
      <c r="S85" s="1227">
        <v>15</v>
      </c>
      <c r="T85" s="1227">
        <v>15</v>
      </c>
      <c r="U85" s="1227">
        <v>15</v>
      </c>
      <c r="V85" s="1227">
        <v>15</v>
      </c>
      <c r="W85" s="1227">
        <v>15</v>
      </c>
      <c r="X85" s="1227">
        <v>15</v>
      </c>
      <c r="Y85" s="1227"/>
    </row>
    <row r="86" spans="1:25" s="6" customFormat="1" ht="21.95" customHeight="1" x14ac:dyDescent="0.15">
      <c r="A86" s="2596"/>
      <c r="B86" s="2854"/>
      <c r="C86" s="2855"/>
      <c r="D86" s="502" t="s">
        <v>1422</v>
      </c>
      <c r="E86" s="1062"/>
      <c r="F86" s="1342" t="s">
        <v>1423</v>
      </c>
      <c r="G86" s="1067"/>
      <c r="H86" s="1067"/>
      <c r="I86" s="1067"/>
      <c r="J86" s="1067"/>
      <c r="K86" s="1067"/>
      <c r="L86" s="1067"/>
      <c r="M86" s="1067"/>
      <c r="N86" s="1067"/>
      <c r="O86" s="1067"/>
      <c r="P86" s="1067"/>
      <c r="Q86" s="1067"/>
      <c r="R86" s="1067"/>
      <c r="S86" s="1067"/>
      <c r="T86" s="1067"/>
      <c r="U86" s="1067"/>
      <c r="V86" s="1067"/>
      <c r="W86" s="1067"/>
      <c r="X86" s="1067"/>
      <c r="Y86" s="1067"/>
    </row>
    <row r="87" spans="1:25" s="6" customFormat="1" ht="21.95" customHeight="1" x14ac:dyDescent="0.15">
      <c r="A87" s="2596"/>
      <c r="B87" s="2854"/>
      <c r="C87" s="2855"/>
      <c r="D87" s="503" t="s">
        <v>2026</v>
      </c>
      <c r="E87" s="1062"/>
      <c r="F87" s="2846" t="s">
        <v>1322</v>
      </c>
      <c r="G87" s="1067">
        <v>0.4</v>
      </c>
      <c r="H87" s="1067">
        <v>0.4</v>
      </c>
      <c r="I87" s="1067">
        <v>0.4</v>
      </c>
      <c r="J87" s="1067">
        <v>0.4</v>
      </c>
      <c r="K87" s="1067">
        <v>0.4</v>
      </c>
      <c r="L87" s="1067">
        <v>0.4</v>
      </c>
      <c r="M87" s="1067">
        <v>0.4</v>
      </c>
      <c r="N87" s="1067">
        <v>0.4</v>
      </c>
      <c r="O87" s="1067">
        <v>0.4</v>
      </c>
      <c r="P87" s="1067">
        <v>0.4</v>
      </c>
      <c r="Q87" s="1067">
        <v>0.4</v>
      </c>
      <c r="R87" s="1067">
        <v>0.4</v>
      </c>
      <c r="S87" s="1067">
        <v>0.4</v>
      </c>
      <c r="T87" s="1067">
        <v>0.4</v>
      </c>
      <c r="U87" s="1067">
        <v>0.4</v>
      </c>
      <c r="V87" s="1067">
        <v>0.4</v>
      </c>
      <c r="W87" s="1067">
        <v>0.4</v>
      </c>
      <c r="X87" s="1067">
        <v>0.4</v>
      </c>
      <c r="Y87" s="1067"/>
    </row>
    <row r="88" spans="1:25" s="6" customFormat="1" ht="21.95" customHeight="1" x14ac:dyDescent="0.15">
      <c r="A88" s="2596"/>
      <c r="B88" s="2854"/>
      <c r="C88" s="2855"/>
      <c r="D88" s="503" t="s">
        <v>1303</v>
      </c>
      <c r="E88" s="1062"/>
      <c r="F88" s="2846"/>
      <c r="G88" s="1067">
        <v>0.6</v>
      </c>
      <c r="H88" s="1067">
        <v>0.6</v>
      </c>
      <c r="I88" s="1067">
        <v>0.6</v>
      </c>
      <c r="J88" s="1067">
        <v>0.6</v>
      </c>
      <c r="K88" s="1067">
        <v>0.6</v>
      </c>
      <c r="L88" s="1067">
        <v>0.6</v>
      </c>
      <c r="M88" s="1067">
        <v>0.6</v>
      </c>
      <c r="N88" s="1067">
        <v>0.6</v>
      </c>
      <c r="O88" s="1067">
        <v>0.6</v>
      </c>
      <c r="P88" s="1067">
        <v>0.6</v>
      </c>
      <c r="Q88" s="1067">
        <v>0.6</v>
      </c>
      <c r="R88" s="1067">
        <v>0.6</v>
      </c>
      <c r="S88" s="1067">
        <v>0.6</v>
      </c>
      <c r="T88" s="1067">
        <v>0.6</v>
      </c>
      <c r="U88" s="1067">
        <v>0.6</v>
      </c>
      <c r="V88" s="1067">
        <v>0.6</v>
      </c>
      <c r="W88" s="1067">
        <v>0.6</v>
      </c>
      <c r="X88" s="1067">
        <v>0.6</v>
      </c>
      <c r="Y88" s="1067"/>
    </row>
    <row r="89" spans="1:25" s="6" customFormat="1" ht="21.95" customHeight="1" x14ac:dyDescent="0.15">
      <c r="A89" s="2596"/>
      <c r="B89" s="2854"/>
      <c r="C89" s="2855"/>
      <c r="D89" s="503" t="s">
        <v>329</v>
      </c>
      <c r="E89" s="1062"/>
      <c r="F89" s="2846"/>
      <c r="G89" s="1067"/>
      <c r="H89" s="1067"/>
      <c r="I89" s="1067"/>
      <c r="J89" s="1067"/>
      <c r="K89" s="1067"/>
      <c r="L89" s="1067"/>
      <c r="M89" s="1067"/>
      <c r="N89" s="1067"/>
      <c r="O89" s="1067"/>
      <c r="P89" s="1067"/>
      <c r="Q89" s="1067"/>
      <c r="R89" s="1067"/>
      <c r="S89" s="1067"/>
      <c r="T89" s="1067"/>
      <c r="U89" s="1067"/>
      <c r="V89" s="1067"/>
      <c r="W89" s="1067"/>
      <c r="X89" s="1067"/>
      <c r="Y89" s="1067"/>
    </row>
    <row r="90" spans="1:25" s="6" customFormat="1" ht="21.95" customHeight="1" x14ac:dyDescent="0.15">
      <c r="A90" s="2596"/>
      <c r="B90" s="2854"/>
      <c r="C90" s="2855"/>
      <c r="D90" s="503" t="s">
        <v>1302</v>
      </c>
      <c r="E90" s="1062"/>
      <c r="F90" s="2846"/>
      <c r="G90" s="1067"/>
      <c r="H90" s="1067"/>
      <c r="I90" s="1067"/>
      <c r="J90" s="1067"/>
      <c r="K90" s="1067"/>
      <c r="L90" s="1067"/>
      <c r="M90" s="1067"/>
      <c r="N90" s="1067"/>
      <c r="O90" s="1067"/>
      <c r="P90" s="1067"/>
      <c r="Q90" s="1067"/>
      <c r="R90" s="1067"/>
      <c r="S90" s="1067"/>
      <c r="T90" s="1067"/>
      <c r="U90" s="1067"/>
      <c r="V90" s="1067"/>
      <c r="W90" s="1067"/>
      <c r="X90" s="1067"/>
      <c r="Y90" s="1067"/>
    </row>
    <row r="91" spans="1:25" s="6" customFormat="1" ht="21.95" customHeight="1" thickBot="1" x14ac:dyDescent="0.2">
      <c r="A91" s="2596"/>
      <c r="B91" s="2856"/>
      <c r="C91" s="2857"/>
      <c r="D91" s="503" t="s">
        <v>1058</v>
      </c>
      <c r="E91" s="983"/>
      <c r="F91" s="2847"/>
      <c r="G91" s="1067"/>
      <c r="H91" s="1067"/>
      <c r="I91" s="1067"/>
      <c r="J91" s="1067"/>
      <c r="K91" s="1067"/>
      <c r="L91" s="1067"/>
      <c r="M91" s="1067"/>
      <c r="N91" s="1067"/>
      <c r="O91" s="1067"/>
      <c r="P91" s="1067"/>
      <c r="Q91" s="1067"/>
      <c r="R91" s="1067"/>
      <c r="S91" s="1067"/>
      <c r="T91" s="1067"/>
      <c r="U91" s="1067"/>
      <c r="V91" s="1067"/>
      <c r="W91" s="1067"/>
      <c r="X91" s="1067"/>
      <c r="Y91" s="1067"/>
    </row>
    <row r="92" spans="1:25" s="6" customFormat="1" ht="21.95" customHeight="1" x14ac:dyDescent="0.15">
      <c r="A92" s="2596"/>
      <c r="B92" s="2874" t="s">
        <v>244</v>
      </c>
      <c r="C92" s="2875"/>
      <c r="D92" s="1051" t="s">
        <v>1421</v>
      </c>
      <c r="E92" s="1068"/>
      <c r="F92" s="2843" t="s">
        <v>1323</v>
      </c>
      <c r="G92" s="1227"/>
      <c r="H92" s="1227"/>
      <c r="I92" s="1227"/>
      <c r="J92" s="1227"/>
      <c r="K92" s="1227"/>
      <c r="L92" s="1227"/>
      <c r="M92" s="1227"/>
      <c r="N92" s="1227"/>
      <c r="O92" s="1227"/>
      <c r="P92" s="1227"/>
      <c r="Q92" s="1227"/>
      <c r="R92" s="1227"/>
      <c r="S92" s="1227"/>
      <c r="T92" s="1227"/>
      <c r="U92" s="1227"/>
      <c r="V92" s="1227"/>
      <c r="W92" s="1227"/>
      <c r="X92" s="1227"/>
      <c r="Y92" s="1227"/>
    </row>
    <row r="93" spans="1:25" s="6" customFormat="1" ht="21.95" customHeight="1" x14ac:dyDescent="0.15">
      <c r="A93" s="2596"/>
      <c r="B93" s="2876"/>
      <c r="C93" s="2877"/>
      <c r="D93" s="502" t="s">
        <v>1308</v>
      </c>
      <c r="E93" s="1743"/>
      <c r="F93" s="2844"/>
      <c r="G93" s="1226"/>
      <c r="H93" s="1226"/>
      <c r="I93" s="1226"/>
      <c r="J93" s="1226"/>
      <c r="K93" s="1226"/>
      <c r="L93" s="1226"/>
      <c r="M93" s="1226"/>
      <c r="N93" s="1226"/>
      <c r="O93" s="1226"/>
      <c r="P93" s="1226"/>
      <c r="Q93" s="1226"/>
      <c r="R93" s="1226"/>
      <c r="S93" s="1226"/>
      <c r="T93" s="1226"/>
      <c r="U93" s="1226"/>
      <c r="V93" s="1226"/>
      <c r="W93" s="1226"/>
      <c r="X93" s="1226"/>
      <c r="Y93" s="1226"/>
    </row>
    <row r="94" spans="1:25" s="6" customFormat="1" ht="21.95" customHeight="1" x14ac:dyDescent="0.15">
      <c r="A94" s="2596"/>
      <c r="B94" s="2876"/>
      <c r="C94" s="2877"/>
      <c r="D94" s="503" t="s">
        <v>1309</v>
      </c>
      <c r="E94" s="1062"/>
      <c r="F94" s="2844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</row>
    <row r="95" spans="1:25" s="6" customFormat="1" ht="21.95" customHeight="1" x14ac:dyDescent="0.15">
      <c r="A95" s="2596"/>
      <c r="B95" s="2876"/>
      <c r="C95" s="2877"/>
      <c r="D95" s="503" t="s">
        <v>1310</v>
      </c>
      <c r="E95" s="1062"/>
      <c r="F95" s="2844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</row>
    <row r="96" spans="1:25" s="6" customFormat="1" ht="21.95" customHeight="1" x14ac:dyDescent="0.15">
      <c r="A96" s="2596"/>
      <c r="B96" s="2876"/>
      <c r="C96" s="2877"/>
      <c r="D96" s="503" t="s">
        <v>1311</v>
      </c>
      <c r="E96" s="1062"/>
      <c r="F96" s="2844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</row>
    <row r="97" spans="1:25" s="6" customFormat="1" ht="21.95" customHeight="1" x14ac:dyDescent="0.15">
      <c r="A97" s="2596"/>
      <c r="B97" s="2876"/>
      <c r="C97" s="2877"/>
      <c r="D97" s="503" t="s">
        <v>1312</v>
      </c>
      <c r="E97" s="1063"/>
      <c r="F97" s="2844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7"/>
      <c r="U97" s="337"/>
      <c r="V97" s="337"/>
      <c r="W97" s="337"/>
      <c r="X97" s="337"/>
      <c r="Y97" s="337"/>
    </row>
    <row r="98" spans="1:25" s="6" customFormat="1" ht="21.95" customHeight="1" x14ac:dyDescent="0.15">
      <c r="A98" s="2596"/>
      <c r="B98" s="2876"/>
      <c r="C98" s="2877"/>
      <c r="D98" s="502" t="s">
        <v>734</v>
      </c>
      <c r="E98" s="1743"/>
      <c r="F98" s="2844"/>
      <c r="G98" s="1226"/>
      <c r="H98" s="1226"/>
      <c r="I98" s="1226"/>
      <c r="J98" s="1226"/>
      <c r="K98" s="1226"/>
      <c r="L98" s="1226"/>
      <c r="M98" s="1226"/>
      <c r="N98" s="1226"/>
      <c r="O98" s="1226"/>
      <c r="P98" s="1226"/>
      <c r="Q98" s="1226"/>
      <c r="R98" s="1226"/>
      <c r="S98" s="1226"/>
      <c r="T98" s="1226"/>
      <c r="U98" s="1226"/>
      <c r="V98" s="1226"/>
      <c r="W98" s="1226"/>
      <c r="X98" s="1226"/>
      <c r="Y98" s="1226"/>
    </row>
    <row r="99" spans="1:25" s="6" customFormat="1" ht="21.95" customHeight="1" x14ac:dyDescent="0.15">
      <c r="A99" s="2596"/>
      <c r="B99" s="2876"/>
      <c r="C99" s="2877"/>
      <c r="D99" s="503" t="s">
        <v>1319</v>
      </c>
      <c r="E99" s="1062"/>
      <c r="F99" s="2844"/>
      <c r="G99" s="157" t="s">
        <v>312</v>
      </c>
      <c r="H99" s="157" t="s">
        <v>312</v>
      </c>
      <c r="I99" s="157" t="s">
        <v>312</v>
      </c>
      <c r="J99" s="157" t="s">
        <v>312</v>
      </c>
      <c r="K99" s="157" t="s">
        <v>312</v>
      </c>
      <c r="L99" s="157" t="s">
        <v>312</v>
      </c>
      <c r="M99" s="157" t="s">
        <v>312</v>
      </c>
      <c r="N99" s="157" t="s">
        <v>312</v>
      </c>
      <c r="O99" s="157" t="s">
        <v>312</v>
      </c>
      <c r="P99" s="157" t="s">
        <v>312</v>
      </c>
      <c r="Q99" s="157" t="s">
        <v>312</v>
      </c>
      <c r="R99" s="157" t="s">
        <v>312</v>
      </c>
      <c r="S99" s="157" t="s">
        <v>312</v>
      </c>
      <c r="T99" s="157" t="s">
        <v>312</v>
      </c>
      <c r="U99" s="157" t="s">
        <v>312</v>
      </c>
      <c r="V99" s="157" t="s">
        <v>312</v>
      </c>
      <c r="W99" s="157" t="s">
        <v>312</v>
      </c>
      <c r="X99" s="157" t="s">
        <v>312</v>
      </c>
      <c r="Y99" s="157"/>
    </row>
    <row r="100" spans="1:25" s="6" customFormat="1" ht="21.95" customHeight="1" x14ac:dyDescent="0.15">
      <c r="A100" s="2596"/>
      <c r="B100" s="2876"/>
      <c r="C100" s="2877"/>
      <c r="D100" s="503" t="s">
        <v>1313</v>
      </c>
      <c r="E100" s="1062"/>
      <c r="F100" s="2844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</row>
    <row r="101" spans="1:25" s="6" customFormat="1" ht="21.95" customHeight="1" x14ac:dyDescent="0.15">
      <c r="A101" s="2596"/>
      <c r="B101" s="2876"/>
      <c r="C101" s="2877"/>
      <c r="D101" s="503" t="s">
        <v>911</v>
      </c>
      <c r="E101" s="1062"/>
      <c r="F101" s="2845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</row>
    <row r="102" spans="1:25" s="6" customFormat="1" ht="21.95" customHeight="1" thickBot="1" x14ac:dyDescent="0.2">
      <c r="A102" s="2596"/>
      <c r="B102" s="2878"/>
      <c r="C102" s="2879"/>
      <c r="D102" s="1052" t="s">
        <v>735</v>
      </c>
      <c r="E102" s="983"/>
      <c r="F102" s="1270"/>
      <c r="G102" s="215">
        <v>4</v>
      </c>
      <c r="H102" s="215">
        <v>4</v>
      </c>
      <c r="I102" s="215">
        <v>4</v>
      </c>
      <c r="J102" s="215">
        <v>4</v>
      </c>
      <c r="K102" s="215">
        <v>3</v>
      </c>
      <c r="L102" s="215">
        <v>3</v>
      </c>
      <c r="M102" s="215">
        <v>3</v>
      </c>
      <c r="N102" s="215">
        <v>3</v>
      </c>
      <c r="O102" s="215">
        <v>3</v>
      </c>
      <c r="P102" s="215">
        <v>3</v>
      </c>
      <c r="Q102" s="215">
        <v>3</v>
      </c>
      <c r="R102" s="215">
        <v>3</v>
      </c>
      <c r="S102" s="215">
        <v>3</v>
      </c>
      <c r="T102" s="215">
        <v>3</v>
      </c>
      <c r="U102" s="215">
        <v>3</v>
      </c>
      <c r="V102" s="215">
        <v>3</v>
      </c>
      <c r="W102" s="215">
        <v>3</v>
      </c>
      <c r="X102" s="215">
        <v>3</v>
      </c>
      <c r="Y102" s="215"/>
    </row>
    <row r="103" spans="1:25" s="6" customFormat="1" ht="21.95" customHeight="1" thickBot="1" x14ac:dyDescent="0.2">
      <c r="A103" s="2596"/>
      <c r="B103" s="2880" t="s">
        <v>2625</v>
      </c>
      <c r="C103" s="2881"/>
      <c r="D103" s="451" t="s">
        <v>29</v>
      </c>
      <c r="E103" s="1232"/>
      <c r="F103" s="55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</row>
    <row r="104" spans="1:25" s="6" customFormat="1" ht="21.95" customHeight="1" x14ac:dyDescent="0.15">
      <c r="A104" s="2596"/>
      <c r="B104" s="2884" t="s">
        <v>550</v>
      </c>
      <c r="C104" s="2885"/>
      <c r="D104" s="1051" t="s">
        <v>3</v>
      </c>
      <c r="E104" s="1061"/>
      <c r="F104" s="1344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</row>
    <row r="105" spans="1:25" s="6" customFormat="1" ht="21.95" customHeight="1" thickBot="1" x14ac:dyDescent="0.2">
      <c r="A105" s="2596"/>
      <c r="B105" s="2856"/>
      <c r="C105" s="2857"/>
      <c r="D105" s="1052" t="s">
        <v>58</v>
      </c>
      <c r="E105" s="983"/>
      <c r="F105" s="1270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</row>
    <row r="106" spans="1:25" s="6" customFormat="1" ht="21.95" customHeight="1" thickBot="1" x14ac:dyDescent="0.2">
      <c r="A106" s="2596"/>
      <c r="B106" s="2880" t="s">
        <v>551</v>
      </c>
      <c r="C106" s="2881"/>
      <c r="D106" s="451" t="s">
        <v>29</v>
      </c>
      <c r="E106" s="1232"/>
      <c r="F106" s="553"/>
      <c r="G106" s="243">
        <v>2003.21</v>
      </c>
      <c r="H106" s="243"/>
      <c r="I106" s="243">
        <v>1525</v>
      </c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</row>
    <row r="107" spans="1:25" s="6" customFormat="1" ht="21.95" customHeight="1" x14ac:dyDescent="0.15">
      <c r="A107" s="2596"/>
      <c r="B107" s="2884" t="s">
        <v>552</v>
      </c>
      <c r="C107" s="2885"/>
      <c r="D107" s="1051" t="s">
        <v>3</v>
      </c>
      <c r="E107" s="1061"/>
      <c r="F107" s="1344"/>
      <c r="G107" s="2114"/>
      <c r="H107" s="2114"/>
      <c r="I107" s="2114"/>
      <c r="J107" s="2114"/>
      <c r="K107" s="2114"/>
      <c r="L107" s="2114"/>
      <c r="M107" s="2114"/>
      <c r="N107" s="2114"/>
      <c r="O107" s="2114"/>
      <c r="P107" s="2114"/>
      <c r="Q107" s="2114"/>
      <c r="R107" s="2114"/>
      <c r="S107" s="2114"/>
      <c r="T107" s="2114"/>
      <c r="U107" s="2114"/>
      <c r="V107" s="2114"/>
      <c r="W107" s="2114"/>
      <c r="X107" s="2114"/>
      <c r="Y107" s="2114"/>
    </row>
    <row r="108" spans="1:25" s="6" customFormat="1" ht="21.95" customHeight="1" thickBot="1" x14ac:dyDescent="0.2">
      <c r="A108" s="2596"/>
      <c r="B108" s="2856"/>
      <c r="C108" s="2857"/>
      <c r="D108" s="1052" t="s">
        <v>58</v>
      </c>
      <c r="E108" s="983"/>
      <c r="F108" s="1270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</row>
    <row r="109" spans="1:25" s="6" customFormat="1" ht="21.95" customHeight="1" thickBot="1" x14ac:dyDescent="0.2">
      <c r="A109" s="2596"/>
      <c r="B109" s="2880" t="s">
        <v>555</v>
      </c>
      <c r="C109" s="2881"/>
      <c r="D109" s="451" t="s">
        <v>29</v>
      </c>
      <c r="E109" s="1232"/>
      <c r="F109" s="55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</row>
    <row r="110" spans="1:25" s="6" customFormat="1" ht="21.95" customHeight="1" x14ac:dyDescent="0.15">
      <c r="A110" s="2596"/>
      <c r="B110" s="2882" t="s">
        <v>556</v>
      </c>
      <c r="C110" s="2883"/>
      <c r="D110" s="503" t="s">
        <v>3</v>
      </c>
      <c r="E110" s="1064"/>
      <c r="F110" s="1363"/>
      <c r="G110" s="2285"/>
      <c r="H110" s="2285"/>
      <c r="I110" s="2285"/>
      <c r="J110" s="2285"/>
      <c r="K110" s="2285"/>
      <c r="L110" s="2285"/>
      <c r="M110" s="2285"/>
      <c r="N110" s="2285"/>
      <c r="O110" s="2285"/>
      <c r="P110" s="2285"/>
      <c r="Q110" s="2285"/>
      <c r="R110" s="2285"/>
      <c r="S110" s="2285"/>
      <c r="T110" s="2285"/>
      <c r="U110" s="2285"/>
      <c r="V110" s="2285"/>
      <c r="W110" s="2285"/>
      <c r="X110" s="2285"/>
      <c r="Y110" s="2285"/>
    </row>
    <row r="111" spans="1:25" s="6" customFormat="1" ht="21.95" customHeight="1" thickBot="1" x14ac:dyDescent="0.2">
      <c r="A111" s="2596"/>
      <c r="B111" s="2882"/>
      <c r="C111" s="2883"/>
      <c r="D111" s="503" t="s">
        <v>58</v>
      </c>
      <c r="E111" s="1063"/>
      <c r="F111" s="1362"/>
      <c r="G111" s="1073"/>
      <c r="H111" s="1073"/>
      <c r="I111" s="1073"/>
      <c r="J111" s="1073"/>
      <c r="K111" s="1073"/>
      <c r="L111" s="1073"/>
      <c r="M111" s="1073"/>
      <c r="N111" s="1073"/>
      <c r="O111" s="1073"/>
      <c r="P111" s="1073"/>
      <c r="Q111" s="1073"/>
      <c r="R111" s="1073"/>
      <c r="S111" s="1073"/>
      <c r="T111" s="1073"/>
      <c r="U111" s="1073"/>
      <c r="V111" s="1073"/>
      <c r="W111" s="1073"/>
      <c r="X111" s="1073"/>
      <c r="Y111" s="1073"/>
    </row>
    <row r="112" spans="1:25" s="6" customFormat="1" ht="32.1" customHeight="1" thickBot="1" x14ac:dyDescent="0.2">
      <c r="A112" s="2596"/>
      <c r="B112" s="2880" t="s">
        <v>1320</v>
      </c>
      <c r="C112" s="2881"/>
      <c r="D112" s="451" t="s">
        <v>29</v>
      </c>
      <c r="E112" s="1232"/>
      <c r="F112" s="553"/>
      <c r="G112" s="243">
        <f t="shared" ref="G112:H112" si="33">G106</f>
        <v>2003.21</v>
      </c>
      <c r="H112" s="243">
        <f t="shared" si="33"/>
        <v>0</v>
      </c>
      <c r="I112" s="243">
        <f t="shared" ref="I112:J112" si="34">I106</f>
        <v>1525</v>
      </c>
      <c r="J112" s="243">
        <f t="shared" si="34"/>
        <v>0</v>
      </c>
      <c r="K112" s="243">
        <f t="shared" ref="K112:O112" si="35">K106</f>
        <v>0</v>
      </c>
      <c r="L112" s="243">
        <f t="shared" si="35"/>
        <v>0</v>
      </c>
      <c r="M112" s="243">
        <f t="shared" si="35"/>
        <v>0</v>
      </c>
      <c r="N112" s="243">
        <f t="shared" si="35"/>
        <v>0</v>
      </c>
      <c r="O112" s="243">
        <f t="shared" si="35"/>
        <v>0</v>
      </c>
      <c r="P112" s="243">
        <f t="shared" ref="P112:X112" si="36">P106</f>
        <v>0</v>
      </c>
      <c r="Q112" s="243">
        <f t="shared" si="36"/>
        <v>0</v>
      </c>
      <c r="R112" s="243">
        <f t="shared" si="36"/>
        <v>0</v>
      </c>
      <c r="S112" s="243">
        <f t="shared" si="36"/>
        <v>0</v>
      </c>
      <c r="T112" s="243">
        <f t="shared" si="36"/>
        <v>0</v>
      </c>
      <c r="U112" s="243">
        <f t="shared" si="36"/>
        <v>0</v>
      </c>
      <c r="V112" s="243">
        <f t="shared" si="36"/>
        <v>0</v>
      </c>
      <c r="W112" s="243">
        <f t="shared" si="36"/>
        <v>0</v>
      </c>
      <c r="X112" s="243">
        <f t="shared" si="36"/>
        <v>0</v>
      </c>
      <c r="Y112" s="243"/>
    </row>
    <row r="113" spans="1:25" s="6" customFormat="1" ht="21.95" customHeight="1" x14ac:dyDescent="0.15">
      <c r="A113" s="2596"/>
      <c r="B113" s="2882" t="s">
        <v>557</v>
      </c>
      <c r="C113" s="2883"/>
      <c r="D113" s="503" t="s">
        <v>3</v>
      </c>
      <c r="E113" s="1062"/>
      <c r="F113" s="134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s="6" customFormat="1" ht="21.95" customHeight="1" thickBot="1" x14ac:dyDescent="0.2">
      <c r="A114" s="2596"/>
      <c r="B114" s="2856"/>
      <c r="C114" s="2857"/>
      <c r="D114" s="1052" t="s">
        <v>58</v>
      </c>
      <c r="E114" s="983"/>
      <c r="F114" s="1270"/>
      <c r="G114" s="215"/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</row>
    <row r="115" spans="1:25" s="6" customFormat="1" ht="21.95" customHeight="1" thickBot="1" x14ac:dyDescent="0.2">
      <c r="A115" s="2596"/>
      <c r="B115" s="2852" t="s">
        <v>2056</v>
      </c>
      <c r="C115" s="2904"/>
      <c r="D115" s="1784" t="s">
        <v>2053</v>
      </c>
      <c r="E115" s="1062"/>
      <c r="F115" s="134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s="6" customFormat="1" ht="21.95" customHeight="1" thickBot="1" x14ac:dyDescent="0.2">
      <c r="A116" s="2596"/>
      <c r="B116" s="2852"/>
      <c r="C116" s="2904"/>
      <c r="D116" s="1785" t="s">
        <v>2054</v>
      </c>
      <c r="E116" s="1062"/>
      <c r="F116" s="134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s="6" customFormat="1" ht="21.95" customHeight="1" thickBot="1" x14ac:dyDescent="0.2">
      <c r="A117" s="2596"/>
      <c r="B117" s="2852"/>
      <c r="C117" s="2904"/>
      <c r="D117" s="1052" t="s">
        <v>2055</v>
      </c>
      <c r="E117" s="983"/>
      <c r="F117" s="1270"/>
      <c r="G117" s="215"/>
      <c r="H117" s="215"/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</row>
    <row r="118" spans="1:25" s="6" customFormat="1" ht="21.95" customHeight="1" thickBot="1" x14ac:dyDescent="0.2">
      <c r="A118" s="2596"/>
      <c r="B118" s="2852" t="s">
        <v>2051</v>
      </c>
      <c r="C118" s="2904"/>
      <c r="D118" s="1785" t="s">
        <v>60</v>
      </c>
      <c r="E118" s="1062"/>
      <c r="F118" s="134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s="6" customFormat="1" ht="21.95" customHeight="1" thickBot="1" x14ac:dyDescent="0.2">
      <c r="A119" s="2596"/>
      <c r="B119" s="2852"/>
      <c r="C119" s="2904"/>
      <c r="D119" s="1785" t="s">
        <v>10</v>
      </c>
      <c r="E119" s="1062"/>
      <c r="F119" s="134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s="6" customFormat="1" ht="21.95" customHeight="1" thickBot="1" x14ac:dyDescent="0.2">
      <c r="A120" s="2596"/>
      <c r="B120" s="2852"/>
      <c r="C120" s="2904"/>
      <c r="D120" s="1785" t="s">
        <v>58</v>
      </c>
      <c r="E120" s="1062"/>
      <c r="F120" s="134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s="6" customFormat="1" ht="21.95" customHeight="1" x14ac:dyDescent="0.15">
      <c r="A121" s="2596"/>
      <c r="B121" s="2861" t="s">
        <v>545</v>
      </c>
      <c r="C121" s="2862"/>
      <c r="D121" s="1051" t="s">
        <v>3</v>
      </c>
      <c r="E121" s="1061"/>
      <c r="F121" s="1344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</row>
    <row r="122" spans="1:25" s="6" customFormat="1" ht="21.95" customHeight="1" x14ac:dyDescent="0.15">
      <c r="A122" s="2596"/>
      <c r="B122" s="2863"/>
      <c r="C122" s="2864"/>
      <c r="D122" s="503" t="s">
        <v>58</v>
      </c>
      <c r="E122" s="1062"/>
      <c r="F122" s="134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s="6" customFormat="1" ht="21.95" customHeight="1" thickBot="1" x14ac:dyDescent="0.2">
      <c r="A123" s="2596"/>
      <c r="B123" s="2865"/>
      <c r="C123" s="2866"/>
      <c r="D123" s="1052" t="s">
        <v>16</v>
      </c>
      <c r="E123" s="983"/>
      <c r="F123" s="1270"/>
      <c r="G123" s="215"/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</row>
    <row r="124" spans="1:25" s="6" customFormat="1" ht="21.95" customHeight="1" x14ac:dyDescent="0.15">
      <c r="A124" s="2596"/>
      <c r="B124" s="2863" t="s">
        <v>562</v>
      </c>
      <c r="C124" s="2864"/>
      <c r="D124" s="1051" t="s">
        <v>3</v>
      </c>
      <c r="E124" s="1062"/>
      <c r="F124" s="134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s="6" customFormat="1" ht="21.95" customHeight="1" x14ac:dyDescent="0.15">
      <c r="A125" s="2596"/>
      <c r="B125" s="2863"/>
      <c r="C125" s="2864"/>
      <c r="D125" s="503" t="s">
        <v>58</v>
      </c>
      <c r="E125" s="1062"/>
      <c r="F125" s="134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s="6" customFormat="1" ht="21.95" customHeight="1" thickBot="1" x14ac:dyDescent="0.2">
      <c r="A126" s="2596"/>
      <c r="B126" s="2863"/>
      <c r="C126" s="2864"/>
      <c r="D126" s="1052" t="s">
        <v>16</v>
      </c>
      <c r="E126" s="983"/>
      <c r="F126" s="1270"/>
      <c r="G126" s="215"/>
      <c r="H126" s="215"/>
      <c r="I126" s="215"/>
      <c r="J126" s="215"/>
      <c r="K126" s="215"/>
      <c r="L126" s="215"/>
      <c r="M126" s="215"/>
      <c r="N126" s="215"/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</row>
    <row r="127" spans="1:25" s="6" customFormat="1" ht="21.95" customHeight="1" x14ac:dyDescent="0.15">
      <c r="A127" s="2596"/>
      <c r="B127" s="2861" t="s">
        <v>547</v>
      </c>
      <c r="C127" s="2862"/>
      <c r="D127" s="1056" t="s">
        <v>3</v>
      </c>
      <c r="E127" s="1062"/>
      <c r="F127" s="134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s="6" customFormat="1" ht="21.95" customHeight="1" thickBot="1" x14ac:dyDescent="0.2">
      <c r="A128" s="2596"/>
      <c r="B128" s="2865"/>
      <c r="C128" s="2866"/>
      <c r="D128" s="1057" t="s">
        <v>58</v>
      </c>
      <c r="E128" s="983"/>
      <c r="F128" s="1270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</row>
    <row r="129" spans="1:25" s="6" customFormat="1" ht="21.95" customHeight="1" x14ac:dyDescent="0.15">
      <c r="A129" s="2596"/>
      <c r="B129" s="2863" t="s">
        <v>548</v>
      </c>
      <c r="C129" s="2864"/>
      <c r="D129" s="1051" t="s">
        <v>558</v>
      </c>
      <c r="E129" s="1062"/>
      <c r="F129" s="134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s="6" customFormat="1" ht="21.95" customHeight="1" x14ac:dyDescent="0.15">
      <c r="A130" s="2596"/>
      <c r="B130" s="2863"/>
      <c r="C130" s="2864"/>
      <c r="D130" s="503" t="s">
        <v>559</v>
      </c>
      <c r="E130" s="1062"/>
      <c r="F130" s="134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s="6" customFormat="1" ht="21.95" customHeight="1" x14ac:dyDescent="0.15">
      <c r="A131" s="2596"/>
      <c r="B131" s="2863"/>
      <c r="C131" s="2864"/>
      <c r="D131" s="503" t="s">
        <v>560</v>
      </c>
      <c r="E131" s="1062"/>
      <c r="F131" s="134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s="6" customFormat="1" ht="21.95" customHeight="1" thickBot="1" x14ac:dyDescent="0.2">
      <c r="A132" s="2596"/>
      <c r="B132" s="2863"/>
      <c r="C132" s="2864"/>
      <c r="D132" s="1052" t="s">
        <v>561</v>
      </c>
      <c r="E132" s="983"/>
      <c r="F132" s="1270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</row>
    <row r="133" spans="1:25" s="6" customFormat="1" ht="21.95" customHeight="1" x14ac:dyDescent="0.15">
      <c r="A133" s="2596"/>
      <c r="B133" s="2861" t="s">
        <v>1430</v>
      </c>
      <c r="C133" s="2862"/>
      <c r="D133" s="1056" t="s">
        <v>1432</v>
      </c>
      <c r="E133" s="1062"/>
      <c r="F133" s="134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s="6" customFormat="1" ht="21.95" customHeight="1" thickBot="1" x14ac:dyDescent="0.2">
      <c r="A134" s="2596"/>
      <c r="B134" s="2865"/>
      <c r="C134" s="2866"/>
      <c r="D134" s="1057" t="s">
        <v>1431</v>
      </c>
      <c r="E134" s="983"/>
      <c r="F134" s="1270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</row>
    <row r="135" spans="1:25" s="6" customFormat="1" ht="21.95" customHeight="1" x14ac:dyDescent="0.15">
      <c r="A135" s="2596"/>
      <c r="B135" s="2861" t="s">
        <v>1433</v>
      </c>
      <c r="C135" s="2862"/>
      <c r="D135" s="1056" t="s">
        <v>1434</v>
      </c>
      <c r="E135" s="1062"/>
      <c r="F135" s="134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s="6" customFormat="1" ht="21.95" customHeight="1" thickBot="1" x14ac:dyDescent="0.2">
      <c r="A136" s="2596"/>
      <c r="B136" s="2865"/>
      <c r="C136" s="2866"/>
      <c r="D136" s="1057" t="s">
        <v>49</v>
      </c>
      <c r="E136" s="983"/>
      <c r="F136" s="1270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</row>
    <row r="137" spans="1:25" s="6" customFormat="1" ht="21.95" customHeight="1" x14ac:dyDescent="0.15">
      <c r="A137" s="2596"/>
      <c r="B137" s="2861" t="s">
        <v>325</v>
      </c>
      <c r="C137" s="2862"/>
      <c r="D137" s="1056" t="s">
        <v>1428</v>
      </c>
      <c r="E137" s="1062"/>
      <c r="F137" s="134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s="6" customFormat="1" ht="21.95" customHeight="1" thickBot="1" x14ac:dyDescent="0.2">
      <c r="A138" s="2596"/>
      <c r="B138" s="2865"/>
      <c r="C138" s="2866"/>
      <c r="D138" s="1057" t="s">
        <v>1429</v>
      </c>
      <c r="E138" s="983"/>
      <c r="F138" s="1270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</row>
    <row r="139" spans="1:25" s="9" customFormat="1" ht="50.1" customHeight="1" thickBot="1" x14ac:dyDescent="0.2">
      <c r="A139" s="2597"/>
      <c r="B139" s="2858" t="s">
        <v>12</v>
      </c>
      <c r="C139" s="2859"/>
      <c r="D139" s="2860"/>
      <c r="E139" s="1233"/>
      <c r="F139" s="1346"/>
      <c r="G139" s="2277"/>
      <c r="H139" s="2277"/>
      <c r="I139" s="2277"/>
      <c r="J139" s="2277"/>
      <c r="K139" s="2277"/>
      <c r="L139" s="2277"/>
      <c r="M139" s="2277"/>
      <c r="N139" s="2277"/>
      <c r="O139" s="2277"/>
      <c r="P139" s="2277"/>
      <c r="Q139" s="2277"/>
      <c r="R139" s="2277"/>
      <c r="S139" s="2277"/>
      <c r="T139" s="2277"/>
      <c r="U139" s="2277"/>
      <c r="V139" s="2277"/>
      <c r="W139" s="2277"/>
      <c r="X139" s="2277"/>
      <c r="Y139" s="2277"/>
    </row>
    <row r="140" spans="1:25" ht="19.5" thickTop="1" x14ac:dyDescent="0.15"/>
    <row r="141" spans="1:25" ht="12.75" x14ac:dyDescent="0.15">
      <c r="B141" s="5"/>
      <c r="C141" s="5"/>
      <c r="D141" s="5"/>
      <c r="E141" s="5"/>
      <c r="F141" s="5"/>
    </row>
    <row r="142" spans="1:25" ht="12.75" x14ac:dyDescent="0.15">
      <c r="B142" s="5"/>
      <c r="C142" s="5"/>
      <c r="D142" s="5"/>
      <c r="E142" s="5"/>
      <c r="F142" s="5"/>
    </row>
    <row r="143" spans="1:25" ht="12.75" x14ac:dyDescent="0.15">
      <c r="B143" s="5"/>
      <c r="C143" s="5"/>
      <c r="D143" s="5"/>
      <c r="E143" s="5"/>
      <c r="F143" s="5"/>
    </row>
    <row r="144" spans="1:25" ht="12.75" x14ac:dyDescent="0.15">
      <c r="B144" s="5"/>
      <c r="C144" s="5"/>
      <c r="D144" s="5"/>
      <c r="E144" s="5"/>
      <c r="F144" s="5"/>
    </row>
    <row r="145" s="5" customFormat="1" ht="12.75" x14ac:dyDescent="0.15"/>
    <row r="146" s="5" customFormat="1" ht="12.75" x14ac:dyDescent="0.15"/>
    <row r="147" s="5" customFormat="1" ht="12.75" x14ac:dyDescent="0.15"/>
    <row r="148" s="5" customFormat="1" ht="12.75" x14ac:dyDescent="0.15"/>
    <row r="149" s="5" customFormat="1" ht="12.75" x14ac:dyDescent="0.15"/>
    <row r="150" s="5" customFormat="1" ht="12.75" x14ac:dyDescent="0.15"/>
    <row r="151" s="5" customFormat="1" ht="12.75" x14ac:dyDescent="0.15"/>
    <row r="152" s="5" customFormat="1" ht="12.75" x14ac:dyDescent="0.15"/>
    <row r="153" s="5" customFormat="1" ht="12.75" x14ac:dyDescent="0.15"/>
    <row r="154" s="5" customFormat="1" ht="12.75" x14ac:dyDescent="0.15"/>
    <row r="155" s="5" customFormat="1" ht="12.75" x14ac:dyDescent="0.15"/>
    <row r="156" s="5" customFormat="1" ht="12.75" x14ac:dyDescent="0.15"/>
    <row r="157" s="5" customFormat="1" ht="12.75" x14ac:dyDescent="0.15"/>
    <row r="158" s="5" customFormat="1" ht="12.75" x14ac:dyDescent="0.15"/>
    <row r="159" s="5" customFormat="1" ht="12.75" x14ac:dyDescent="0.15"/>
    <row r="160" s="5" customFormat="1" ht="12.75" x14ac:dyDescent="0.15"/>
    <row r="161" s="5" customFormat="1" ht="12.75" x14ac:dyDescent="0.15"/>
    <row r="162" s="5" customFormat="1" ht="12.75" x14ac:dyDescent="0.15"/>
  </sheetData>
  <mergeCells count="54">
    <mergeCell ref="B115:C117"/>
    <mergeCell ref="B118:C120"/>
    <mergeCell ref="B107:C108"/>
    <mergeCell ref="C41:C44"/>
    <mergeCell ref="C45:C48"/>
    <mergeCell ref="C64:C67"/>
    <mergeCell ref="C61:C63"/>
    <mergeCell ref="C57:C60"/>
    <mergeCell ref="C49:C52"/>
    <mergeCell ref="B106:C106"/>
    <mergeCell ref="B137:C138"/>
    <mergeCell ref="B121:C123"/>
    <mergeCell ref="B124:C126"/>
    <mergeCell ref="B127:C128"/>
    <mergeCell ref="B129:C132"/>
    <mergeCell ref="B133:C134"/>
    <mergeCell ref="B135:C136"/>
    <mergeCell ref="B6:C7"/>
    <mergeCell ref="B104:C105"/>
    <mergeCell ref="B103:C103"/>
    <mergeCell ref="C11:C13"/>
    <mergeCell ref="C14:C16"/>
    <mergeCell ref="C17:C20"/>
    <mergeCell ref="B8:B20"/>
    <mergeCell ref="C8:C10"/>
    <mergeCell ref="B25:C28"/>
    <mergeCell ref="B21:C24"/>
    <mergeCell ref="B53:B60"/>
    <mergeCell ref="C53:C56"/>
    <mergeCell ref="C37:C40"/>
    <mergeCell ref="B78:C84"/>
    <mergeCell ref="B37:B44"/>
    <mergeCell ref="B45:B52"/>
    <mergeCell ref="A1:A139"/>
    <mergeCell ref="B1:D1"/>
    <mergeCell ref="B2:D2"/>
    <mergeCell ref="B5:D5"/>
    <mergeCell ref="B85:C91"/>
    <mergeCell ref="B139:D139"/>
    <mergeCell ref="B29:C32"/>
    <mergeCell ref="B68:C77"/>
    <mergeCell ref="B61:B67"/>
    <mergeCell ref="B92:C102"/>
    <mergeCell ref="B109:C109"/>
    <mergeCell ref="B110:C111"/>
    <mergeCell ref="B112:C112"/>
    <mergeCell ref="B113:C114"/>
    <mergeCell ref="B3:C4"/>
    <mergeCell ref="B33:C36"/>
    <mergeCell ref="F34:F35"/>
    <mergeCell ref="F92:F101"/>
    <mergeCell ref="F80:F84"/>
    <mergeCell ref="F87:F91"/>
    <mergeCell ref="F26:F27"/>
  </mergeCells>
  <phoneticPr fontId="140" type="noConversion"/>
  <conditionalFormatting sqref="G25:X25">
    <cfRule type="expression" dxfId="80" priority="86">
      <formula>G$25&gt;G$2</formula>
    </cfRule>
  </conditionalFormatting>
  <conditionalFormatting sqref="G28:X28">
    <cfRule type="expression" dxfId="79" priority="85">
      <formula>G$26&gt;0</formula>
    </cfRule>
  </conditionalFormatting>
  <conditionalFormatting sqref="G29:X29">
    <cfRule type="expression" dxfId="78" priority="102">
      <formula>G$25&gt;0</formula>
    </cfRule>
  </conditionalFormatting>
  <conditionalFormatting sqref="G30:X30">
    <cfRule type="expression" dxfId="77" priority="104">
      <formula>G$29&gt;0</formula>
    </cfRule>
  </conditionalFormatting>
  <conditionalFormatting sqref="G32:X32">
    <cfRule type="expression" dxfId="76" priority="105">
      <formula>G$30&gt;0</formula>
    </cfRule>
  </conditionalFormatting>
  <conditionalFormatting sqref="G33:X33">
    <cfRule type="expression" dxfId="75" priority="108">
      <formula>G$33&gt;G$2</formula>
    </cfRule>
  </conditionalFormatting>
  <conditionalFormatting sqref="G36:X36">
    <cfRule type="expression" dxfId="74" priority="103">
      <formula>G$34&gt;0</formula>
    </cfRule>
  </conditionalFormatting>
  <conditionalFormatting sqref="G37:X37">
    <cfRule type="expression" dxfId="73" priority="88">
      <formula>G$37&gt;G$2*2</formula>
    </cfRule>
  </conditionalFormatting>
  <conditionalFormatting sqref="G39:X39">
    <cfRule type="expression" dxfId="72" priority="87">
      <formula>G$37&gt;0</formula>
    </cfRule>
  </conditionalFormatting>
  <conditionalFormatting sqref="G40:X40">
    <cfRule type="expression" dxfId="71" priority="101">
      <formula>G$38&gt;0</formula>
    </cfRule>
  </conditionalFormatting>
  <conditionalFormatting sqref="G41:X41">
    <cfRule type="expression" dxfId="70" priority="109">
      <formula>G$41&gt;G$2*2</formula>
    </cfRule>
  </conditionalFormatting>
  <conditionalFormatting sqref="G43:X43">
    <cfRule type="expression" dxfId="69" priority="100">
      <formula>G$41&gt;0</formula>
    </cfRule>
  </conditionalFormatting>
  <conditionalFormatting sqref="G44:X44">
    <cfRule type="expression" dxfId="68" priority="99">
      <formula>G$42&gt;0</formula>
    </cfRule>
  </conditionalFormatting>
  <conditionalFormatting sqref="G45:X45 G53:X53">
    <cfRule type="expression" dxfId="67" priority="79">
      <formula>G$45+G$49&gt;G$2</formula>
    </cfRule>
  </conditionalFormatting>
  <conditionalFormatting sqref="G47:X47">
    <cfRule type="expression" dxfId="66" priority="78">
      <formula>G$45&gt;0</formula>
    </cfRule>
  </conditionalFormatting>
  <conditionalFormatting sqref="G48:X48">
    <cfRule type="expression" dxfId="65" priority="98">
      <formula>G$46&gt;0</formula>
    </cfRule>
  </conditionalFormatting>
  <conditionalFormatting sqref="G49:X49">
    <cfRule type="expression" dxfId="64" priority="77">
      <formula>G$49+G$45&gt;G$2</formula>
    </cfRule>
  </conditionalFormatting>
  <conditionalFormatting sqref="G51:X51">
    <cfRule type="expression" dxfId="63" priority="76">
      <formula>G$49&gt;0</formula>
    </cfRule>
  </conditionalFormatting>
  <conditionalFormatting sqref="G52:X52">
    <cfRule type="expression" dxfId="62" priority="97">
      <formula>G$50&gt;0</formula>
    </cfRule>
  </conditionalFormatting>
  <conditionalFormatting sqref="G55:X55">
    <cfRule type="expression" dxfId="61" priority="72">
      <formula>G$53&gt;0</formula>
    </cfRule>
  </conditionalFormatting>
  <conditionalFormatting sqref="G56:X56">
    <cfRule type="expression" dxfId="60" priority="96">
      <formula>G$54&gt;0</formula>
    </cfRule>
  </conditionalFormatting>
  <conditionalFormatting sqref="G57:X57">
    <cfRule type="expression" dxfId="59" priority="110">
      <formula>G$57&gt;G$2</formula>
    </cfRule>
  </conditionalFormatting>
  <conditionalFormatting sqref="G59:X59">
    <cfRule type="expression" dxfId="58" priority="95">
      <formula>G$57&gt;0</formula>
    </cfRule>
  </conditionalFormatting>
  <conditionalFormatting sqref="G60:X60">
    <cfRule type="expression" dxfId="57" priority="94">
      <formula>G$58&gt;0</formula>
    </cfRule>
  </conditionalFormatting>
  <conditionalFormatting sqref="G61:X61">
    <cfRule type="expression" dxfId="56" priority="171">
      <formula>G$62&gt;0</formula>
    </cfRule>
  </conditionalFormatting>
  <conditionalFormatting sqref="G63:X63">
    <cfRule type="expression" dxfId="55" priority="93">
      <formula>G$62&gt;0</formula>
    </cfRule>
  </conditionalFormatting>
  <conditionalFormatting sqref="G64:X64">
    <cfRule type="expression" dxfId="54" priority="75">
      <formula>G$64&gt;G$2</formula>
    </cfRule>
  </conditionalFormatting>
  <conditionalFormatting sqref="G66:X66">
    <cfRule type="expression" dxfId="53" priority="91">
      <formula>G$64&gt;0</formula>
    </cfRule>
  </conditionalFormatting>
  <conditionalFormatting sqref="G67:X67">
    <cfRule type="expression" dxfId="52" priority="92">
      <formula>G$65&gt;0</formula>
    </cfRule>
  </conditionalFormatting>
  <conditionalFormatting sqref="G78:X79 G85:X86">
    <cfRule type="expression" dxfId="51" priority="111">
      <formula>G$85&gt;0</formula>
    </cfRule>
    <cfRule type="expression" dxfId="50" priority="112">
      <formula>G$2&gt;0</formula>
    </cfRule>
  </conditionalFormatting>
  <conditionalFormatting sqref="G80:X84">
    <cfRule type="expression" dxfId="49" priority="1">
      <formula>SUM(G$80:G$84)&lt;&gt;1</formula>
    </cfRule>
  </conditionalFormatting>
  <conditionalFormatting sqref="G87:X89">
    <cfRule type="expression" dxfId="48" priority="6">
      <formula>SUM(G$87:G$91)&lt;&gt;1</formula>
    </cfRule>
  </conditionalFormatting>
  <conditionalFormatting sqref="G90:X91">
    <cfRule type="expression" dxfId="47" priority="80">
      <formula>SUM(G$87:G$91)&lt;&gt;1</formula>
    </cfRule>
  </conditionalFormatting>
  <conditionalFormatting sqref="G93:X101">
    <cfRule type="expression" dxfId="46" priority="7">
      <formula>COUNTA(G$93:G$101)&gt;1</formula>
    </cfRule>
  </conditionalFormatting>
  <conditionalFormatting sqref="G102:X102">
    <cfRule type="expression" dxfId="45" priority="28">
      <formula>COUNTA(G$98:G$101)&gt;=1</formula>
    </cfRule>
  </conditionalFormatting>
  <hyperlinks>
    <hyperlink ref="B1:D1" location="PAINEL!A1" display="TRECHO" xr:uid="{00000000-0004-0000-1900-000000000000}"/>
  </hyperlinks>
  <printOptions horizontalCentered="1" verticalCentered="1" headings="1"/>
  <pageMargins left="0.59055118110236227" right="0.15748031496062992" top="0.27559055118110237" bottom="0.82677165354330717" header="0.31496062992125984" footer="0.55118110236220474"/>
  <pageSetup paperSize="8" scale="34" fitToWidth="5" orientation="portrait" verticalDpi="300" r:id="rId1"/>
  <headerFooter>
    <oddFooter>&amp;L&amp;F   &amp;A&amp;R&amp;D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34" filterMode="1">
    <tabColor theme="9" tint="0.59999389629810485"/>
  </sheetPr>
  <dimension ref="A1:AD124"/>
  <sheetViews>
    <sheetView showZeros="0" zoomScaleNormal="100" zoomScaleSheetLayoutView="85" workbookViewId="0">
      <pane xSplit="5" ySplit="1" topLeftCell="J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AB109" sqref="AB109"/>
    </sheetView>
  </sheetViews>
  <sheetFormatPr defaultColWidth="9" defaultRowHeight="18.75" x14ac:dyDescent="0.15"/>
  <cols>
    <col min="1" max="1" width="13.25" style="5" customWidth="1"/>
    <col min="2" max="2" width="14.625" style="9" customWidth="1"/>
    <col min="3" max="3" width="35.625" style="9" customWidth="1"/>
    <col min="4" max="4" width="3.125" style="982" hidden="1" customWidth="1"/>
    <col min="5" max="5" width="7.5" style="9" hidden="1" customWidth="1"/>
    <col min="6" max="23" width="12.625" style="5" customWidth="1"/>
    <col min="24" max="24" width="12.625" style="5" hidden="1" customWidth="1"/>
    <col min="25" max="25" width="12.625" style="514" customWidth="1"/>
    <col min="26" max="26" width="17.125" style="5" customWidth="1"/>
    <col min="27" max="27" width="9" style="5"/>
    <col min="28" max="28" width="10.25" style="5" bestFit="1" customWidth="1"/>
    <col min="29" max="16384" width="9" style="5"/>
  </cols>
  <sheetData>
    <row r="1" spans="1:26" s="10" customFormat="1" ht="60" customHeight="1" thickTop="1" thickBot="1" x14ac:dyDescent="0.2">
      <c r="A1" s="2595" t="s">
        <v>291</v>
      </c>
      <c r="B1" s="2848" t="s">
        <v>348</v>
      </c>
      <c r="C1" s="2915"/>
      <c r="D1" s="984"/>
      <c r="E1" s="974" t="s">
        <v>588</v>
      </c>
      <c r="F1" s="212" t="str">
        <f>Pav_Dados!G1</f>
        <v>Avenida Alentino Souza Oliveira - LD</v>
      </c>
      <c r="G1" s="212" t="str">
        <f>Pav_Dados!H1</f>
        <v>Avenida Alentino Souza Oliveira - LE</v>
      </c>
      <c r="H1" s="212" t="str">
        <f>Pav_Dados!I1</f>
        <v>Avenida Aureliano Moura Brandão - LD</v>
      </c>
      <c r="I1" s="212" t="str">
        <f>Pav_Dados!J1</f>
        <v>Avenida Aureliano Moura Brandão - LE</v>
      </c>
      <c r="J1" s="212" t="str">
        <f>Pav_Dados!K1</f>
        <v>Rua Deoclides Batista Ramos</v>
      </c>
      <c r="K1" s="212" t="str">
        <f>Pav_Dados!L1</f>
        <v>Rua Elder Oliveira de Paula</v>
      </c>
      <c r="L1" s="212" t="str">
        <f>Pav_Dados!M1</f>
        <v>Rua Elder Oliveira de Paula - 01</v>
      </c>
      <c r="M1" s="212" t="str">
        <f>Pav_Dados!N1</f>
        <v>Rua Joaquim Lino Vieira</v>
      </c>
      <c r="N1" s="212" t="str">
        <f>Pav_Dados!O1</f>
        <v>Rua Joaquim Lino Vieira - 01</v>
      </c>
      <c r="O1" s="212" t="str">
        <f>Pav_Dados!P1</f>
        <v>Rua Maria Áurea Dal Bello Cazatti</v>
      </c>
      <c r="P1" s="212" t="str">
        <f>Pav_Dados!Q1</f>
        <v>Rua Rafael Silva dos Reis</v>
      </c>
      <c r="Q1" s="212" t="str">
        <f>Pav_Dados!R1</f>
        <v>Rua Ribeirão Dourado</v>
      </c>
      <c r="R1" s="212" t="str">
        <f>Pav_Dados!S1</f>
        <v>Rua Ribeirão Serrote</v>
      </c>
      <c r="S1" s="212" t="str">
        <f>Pav_Dados!T1</f>
        <v>Rua Ribeiro Mantena</v>
      </c>
      <c r="T1" s="212" t="str">
        <f>Pav_Dados!U1</f>
        <v>Rua Rio Botas</v>
      </c>
      <c r="U1" s="212" t="str">
        <f>Pav_Dados!V1</f>
        <v>Rua Rio Paraná</v>
      </c>
      <c r="V1" s="212" t="str">
        <f>Pav_Dados!W1</f>
        <v>Rua Rio Verde</v>
      </c>
      <c r="W1" s="212" t="str">
        <f>Pav_Dados!X1</f>
        <v>Rua Sônia Aparecida Silva dos Reis</v>
      </c>
      <c r="X1" s="212"/>
      <c r="Y1" s="508" t="s">
        <v>0</v>
      </c>
      <c r="Z1" s="578" t="s">
        <v>1359</v>
      </c>
    </row>
    <row r="2" spans="1:26" ht="21.95" customHeight="1" thickTop="1" thickBot="1" x14ac:dyDescent="0.2">
      <c r="A2" s="2596"/>
      <c r="B2" s="2905" t="s">
        <v>44</v>
      </c>
      <c r="C2" s="2906"/>
      <c r="D2" s="1060"/>
      <c r="E2" s="1381"/>
      <c r="F2" s="1055">
        <f>Pav_Dados!G2</f>
        <v>550.02</v>
      </c>
      <c r="G2" s="1055">
        <f>Pav_Dados!H2</f>
        <v>549.91999999999996</v>
      </c>
      <c r="H2" s="1055">
        <f>Pav_Dados!I2</f>
        <v>304.02</v>
      </c>
      <c r="I2" s="1055">
        <f>Pav_Dados!J2</f>
        <v>304.27</v>
      </c>
      <c r="J2" s="1055">
        <f>Pav_Dados!K2</f>
        <v>260.7</v>
      </c>
      <c r="K2" s="1055">
        <f>Pav_Dados!L2</f>
        <v>162.53</v>
      </c>
      <c r="L2" s="1055">
        <f>Pav_Dados!M2</f>
        <v>23.58</v>
      </c>
      <c r="M2" s="1055">
        <f>Pav_Dados!N2</f>
        <v>263.7</v>
      </c>
      <c r="N2" s="1055">
        <f>Pav_Dados!O2</f>
        <v>474.38</v>
      </c>
      <c r="O2" s="1055">
        <f>Pav_Dados!P2</f>
        <v>263.28999999999996</v>
      </c>
      <c r="P2" s="1055">
        <f>Pav_Dados!Q2</f>
        <v>302.41999999999996</v>
      </c>
      <c r="Q2" s="1055">
        <f>Pav_Dados!R2</f>
        <v>652.08999999999992</v>
      </c>
      <c r="R2" s="1055">
        <f>Pav_Dados!S2</f>
        <v>654.04999999999995</v>
      </c>
      <c r="S2" s="1055">
        <f>Pav_Dados!T2</f>
        <v>622.59</v>
      </c>
      <c r="T2" s="1055">
        <f>Pav_Dados!U2</f>
        <v>674.8</v>
      </c>
      <c r="U2" s="1055">
        <f>Pav_Dados!V2</f>
        <v>659.43</v>
      </c>
      <c r="V2" s="1055">
        <f>Pav_Dados!W2</f>
        <v>276.54000000000002</v>
      </c>
      <c r="W2" s="1055">
        <f>Pav_Dados!X2</f>
        <v>432.77</v>
      </c>
      <c r="X2" s="1055"/>
      <c r="Y2" s="2351">
        <f>TRUNC(SUM(F2:X2),2)</f>
        <v>7431.1</v>
      </c>
      <c r="Z2" s="579">
        <f>SUM(F2:Y2)</f>
        <v>14862.2</v>
      </c>
    </row>
    <row r="3" spans="1:26" ht="21.95" hidden="1" customHeight="1" x14ac:dyDescent="0.15">
      <c r="A3" s="2596"/>
      <c r="B3" s="2759" t="s">
        <v>163</v>
      </c>
      <c r="C3" s="544" t="s">
        <v>161</v>
      </c>
      <c r="D3" s="1062"/>
      <c r="E3" s="1345"/>
      <c r="F3" s="8">
        <f>Pav_Dados!G3</f>
        <v>0</v>
      </c>
      <c r="G3" s="8">
        <f>Pav_Dados!H3</f>
        <v>0</v>
      </c>
      <c r="H3" s="8">
        <f>Pav_Dados!I3</f>
        <v>0</v>
      </c>
      <c r="I3" s="8">
        <f>Pav_Dados!J3</f>
        <v>0</v>
      </c>
      <c r="J3" s="8">
        <f>Pav_Dados!K3</f>
        <v>0</v>
      </c>
      <c r="K3" s="8">
        <f>Pav_Dados!L3</f>
        <v>0</v>
      </c>
      <c r="L3" s="8">
        <f>Pav_Dados!M3</f>
        <v>0</v>
      </c>
      <c r="M3" s="8">
        <f>Pav_Dados!N3</f>
        <v>0</v>
      </c>
      <c r="N3" s="8">
        <f>Pav_Dados!O3</f>
        <v>0</v>
      </c>
      <c r="O3" s="8">
        <f>Pav_Dados!P3</f>
        <v>0</v>
      </c>
      <c r="P3" s="8">
        <f>Pav_Dados!Q3</f>
        <v>0</v>
      </c>
      <c r="Q3" s="8">
        <f>Pav_Dados!R3</f>
        <v>0</v>
      </c>
      <c r="R3" s="8">
        <f>Pav_Dados!S3</f>
        <v>0</v>
      </c>
      <c r="S3" s="8">
        <f>Pav_Dados!T3</f>
        <v>0</v>
      </c>
      <c r="T3" s="8">
        <f>Pav_Dados!U3</f>
        <v>0</v>
      </c>
      <c r="U3" s="8">
        <f>Pav_Dados!V3</f>
        <v>0</v>
      </c>
      <c r="V3" s="8">
        <f>Pav_Dados!W3</f>
        <v>0</v>
      </c>
      <c r="W3" s="8">
        <f>Pav_Dados!X3</f>
        <v>0</v>
      </c>
      <c r="X3" s="8"/>
      <c r="Y3" s="1078"/>
      <c r="Z3" s="1017">
        <f>COUNTA(F3:X3)-COUNTIF(F3:X3,0)</f>
        <v>0</v>
      </c>
    </row>
    <row r="4" spans="1:26" ht="21.95" hidden="1" customHeight="1" thickBot="1" x14ac:dyDescent="0.2">
      <c r="A4" s="2596"/>
      <c r="B4" s="2759"/>
      <c r="C4" s="558" t="s">
        <v>162</v>
      </c>
      <c r="D4" s="1062"/>
      <c r="E4" s="1345"/>
      <c r="F4" s="8">
        <f>Pav_Dados!G4</f>
        <v>0</v>
      </c>
      <c r="G4" s="8">
        <f>Pav_Dados!H4</f>
        <v>0</v>
      </c>
      <c r="H4" s="8">
        <f>Pav_Dados!I4</f>
        <v>0</v>
      </c>
      <c r="I4" s="8">
        <f>Pav_Dados!J4</f>
        <v>0</v>
      </c>
      <c r="J4" s="8">
        <f>Pav_Dados!K4</f>
        <v>0</v>
      </c>
      <c r="K4" s="8">
        <f>Pav_Dados!L4</f>
        <v>0</v>
      </c>
      <c r="L4" s="8">
        <f>Pav_Dados!M4</f>
        <v>0</v>
      </c>
      <c r="M4" s="8">
        <f>Pav_Dados!N4</f>
        <v>0</v>
      </c>
      <c r="N4" s="8">
        <f>Pav_Dados!O4</f>
        <v>0</v>
      </c>
      <c r="O4" s="8">
        <f>Pav_Dados!P4</f>
        <v>0</v>
      </c>
      <c r="P4" s="8">
        <f>Pav_Dados!Q4</f>
        <v>0</v>
      </c>
      <c r="Q4" s="8">
        <f>Pav_Dados!R4</f>
        <v>0</v>
      </c>
      <c r="R4" s="8">
        <f>Pav_Dados!S4</f>
        <v>0</v>
      </c>
      <c r="S4" s="8">
        <f>Pav_Dados!T4</f>
        <v>0</v>
      </c>
      <c r="T4" s="8">
        <f>Pav_Dados!U4</f>
        <v>0</v>
      </c>
      <c r="U4" s="8">
        <f>Pav_Dados!V4</f>
        <v>0</v>
      </c>
      <c r="V4" s="8">
        <f>Pav_Dados!W4</f>
        <v>0</v>
      </c>
      <c r="W4" s="8">
        <f>Pav_Dados!X4</f>
        <v>0</v>
      </c>
      <c r="X4" s="8"/>
      <c r="Y4" s="1078"/>
      <c r="Z4" s="1017">
        <f>COUNTA(F4:X4)-COUNTIF(F4:X4,0)</f>
        <v>0</v>
      </c>
    </row>
    <row r="5" spans="1:26" s="9" customFormat="1" ht="32.1" hidden="1" customHeight="1" thickBot="1" x14ac:dyDescent="0.2">
      <c r="A5" s="2596"/>
      <c r="B5" s="2822" t="s">
        <v>2742</v>
      </c>
      <c r="C5" s="2907"/>
      <c r="D5" s="2349"/>
      <c r="E5" s="553"/>
      <c r="F5" s="243" t="str">
        <f>Pav_Dados!G5</f>
        <v>DUPLA</v>
      </c>
      <c r="G5" s="243" t="str">
        <f>Pav_Dados!H5</f>
        <v>SIMPLES</v>
      </c>
      <c r="H5" s="243" t="str">
        <f>Pav_Dados!I5</f>
        <v>SIMPLES</v>
      </c>
      <c r="I5" s="243" t="str">
        <f>Pav_Dados!J5</f>
        <v>SIMPLES</v>
      </c>
      <c r="J5" s="243" t="str">
        <f>Pav_Dados!K5</f>
        <v>DUPLA</v>
      </c>
      <c r="K5" s="243" t="str">
        <f>Pav_Dados!L5</f>
        <v>DUPLA</v>
      </c>
      <c r="L5" s="243" t="str">
        <f>Pav_Dados!M5</f>
        <v>DUPLA</v>
      </c>
      <c r="M5" s="243" t="str">
        <f>Pav_Dados!N5</f>
        <v>DUPLA</v>
      </c>
      <c r="N5" s="243" t="str">
        <f>Pav_Dados!O5</f>
        <v>DUPLA</v>
      </c>
      <c r="O5" s="243" t="str">
        <f>Pav_Dados!P5</f>
        <v>DUPLA</v>
      </c>
      <c r="P5" s="243" t="str">
        <f>Pav_Dados!Q5</f>
        <v>DUPLA</v>
      </c>
      <c r="Q5" s="243" t="str">
        <f>Pav_Dados!R5</f>
        <v>DUPLA</v>
      </c>
      <c r="R5" s="243" t="str">
        <f>Pav_Dados!S5</f>
        <v>DUPLA</v>
      </c>
      <c r="S5" s="243" t="str">
        <f>Pav_Dados!T5</f>
        <v>DUPLA</v>
      </c>
      <c r="T5" s="243" t="str">
        <f>Pav_Dados!U5</f>
        <v>DUPLA</v>
      </c>
      <c r="U5" s="243" t="str">
        <f>Pav_Dados!V5</f>
        <v>DUPLA</v>
      </c>
      <c r="V5" s="243" t="str">
        <f>Pav_Dados!W5</f>
        <v>DUPLA</v>
      </c>
      <c r="W5" s="243" t="str">
        <f>Pav_Dados!X5</f>
        <v>DUPLA</v>
      </c>
      <c r="X5" s="243"/>
      <c r="Y5" s="2350">
        <f>COUNTA(F5:X5)</f>
        <v>18</v>
      </c>
      <c r="Z5" s="1017"/>
    </row>
    <row r="6" spans="1:26" ht="21.95" customHeight="1" thickBot="1" x14ac:dyDescent="0.2">
      <c r="A6" s="2596"/>
      <c r="B6" s="2618" t="s">
        <v>1487</v>
      </c>
      <c r="C6" s="544" t="s">
        <v>1486</v>
      </c>
      <c r="D6" s="1062"/>
      <c r="E6" s="1345"/>
      <c r="F6" s="1073">
        <f>Pav_Dados!G6</f>
        <v>9</v>
      </c>
      <c r="G6" s="1073">
        <f>Pav_Dados!H6</f>
        <v>9</v>
      </c>
      <c r="H6" s="1073">
        <f>Pav_Dados!I6</f>
        <v>8.5</v>
      </c>
      <c r="I6" s="1073">
        <f>Pav_Dados!J6</f>
        <v>8.5</v>
      </c>
      <c r="J6" s="1073">
        <f>Pav_Dados!K6</f>
        <v>7</v>
      </c>
      <c r="K6" s="1073">
        <f>Pav_Dados!L6</f>
        <v>9</v>
      </c>
      <c r="L6" s="1073">
        <f>Pav_Dados!M6</f>
        <v>7</v>
      </c>
      <c r="M6" s="1073">
        <f>Pav_Dados!N6</f>
        <v>7</v>
      </c>
      <c r="N6" s="1073">
        <f>Pav_Dados!O6</f>
        <v>7</v>
      </c>
      <c r="O6" s="1073">
        <f>Pav_Dados!P6</f>
        <v>7</v>
      </c>
      <c r="P6" s="1073">
        <f>Pav_Dados!Q6</f>
        <v>7</v>
      </c>
      <c r="Q6" s="1073">
        <f>Pav_Dados!R6</f>
        <v>7</v>
      </c>
      <c r="R6" s="1073">
        <f>Pav_Dados!S6</f>
        <v>7</v>
      </c>
      <c r="S6" s="1073">
        <f>Pav_Dados!T6</f>
        <v>7</v>
      </c>
      <c r="T6" s="1073">
        <f>Pav_Dados!U6</f>
        <v>7</v>
      </c>
      <c r="U6" s="1073">
        <f>Pav_Dados!V6</f>
        <v>7</v>
      </c>
      <c r="V6" s="1073">
        <f>Pav_Dados!W6</f>
        <v>7</v>
      </c>
      <c r="W6" s="1073">
        <f>Pav_Dados!X6</f>
        <v>7</v>
      </c>
      <c r="X6" s="1073"/>
      <c r="Y6" s="2348"/>
      <c r="Z6" s="579">
        <f t="shared" ref="Z6:Z12" si="0">SUM(F6:Y6)</f>
        <v>135</v>
      </c>
    </row>
    <row r="7" spans="1:26" ht="21.95" hidden="1" customHeight="1" thickBot="1" x14ac:dyDescent="0.2">
      <c r="A7" s="2596"/>
      <c r="B7" s="2618"/>
      <c r="C7" s="546" t="s">
        <v>1485</v>
      </c>
      <c r="D7" s="983"/>
      <c r="E7" s="1270"/>
      <c r="F7" s="215">
        <f>Pav_Dados!G7</f>
        <v>0</v>
      </c>
      <c r="G7" s="215">
        <f>Pav_Dados!H7</f>
        <v>0</v>
      </c>
      <c r="H7" s="215">
        <f>Pav_Dados!I7</f>
        <v>0</v>
      </c>
      <c r="I7" s="215">
        <f>Pav_Dados!J7</f>
        <v>0</v>
      </c>
      <c r="J7" s="215">
        <f>Pav_Dados!K7</f>
        <v>0</v>
      </c>
      <c r="K7" s="215">
        <f>Pav_Dados!L7</f>
        <v>0</v>
      </c>
      <c r="L7" s="215">
        <f>Pav_Dados!M7</f>
        <v>0</v>
      </c>
      <c r="M7" s="215">
        <f>Pav_Dados!N7</f>
        <v>0</v>
      </c>
      <c r="N7" s="215">
        <f>Pav_Dados!O7</f>
        <v>0</v>
      </c>
      <c r="O7" s="215">
        <f>Pav_Dados!P7</f>
        <v>0</v>
      </c>
      <c r="P7" s="215">
        <f>Pav_Dados!Q7</f>
        <v>0</v>
      </c>
      <c r="Q7" s="215">
        <f>Pav_Dados!R7</f>
        <v>0</v>
      </c>
      <c r="R7" s="215">
        <f>Pav_Dados!S7</f>
        <v>0</v>
      </c>
      <c r="S7" s="215">
        <f>Pav_Dados!T7</f>
        <v>0</v>
      </c>
      <c r="T7" s="215">
        <f>Pav_Dados!U7</f>
        <v>0</v>
      </c>
      <c r="U7" s="215">
        <f>Pav_Dados!V7</f>
        <v>0</v>
      </c>
      <c r="V7" s="215">
        <f>Pav_Dados!W7</f>
        <v>0</v>
      </c>
      <c r="W7" s="215">
        <f>Pav_Dados!X7</f>
        <v>0</v>
      </c>
      <c r="X7" s="215"/>
      <c r="Y7" s="1079"/>
      <c r="Z7" s="579">
        <f t="shared" si="0"/>
        <v>0</v>
      </c>
    </row>
    <row r="8" spans="1:26" s="6" customFormat="1" ht="21.95" hidden="1" customHeight="1" x14ac:dyDescent="0.15">
      <c r="A8" s="2596"/>
      <c r="B8" s="2757" t="s">
        <v>55</v>
      </c>
      <c r="C8" s="542" t="s">
        <v>3</v>
      </c>
      <c r="D8" s="982"/>
      <c r="E8" s="1345"/>
      <c r="F8" s="216">
        <f>Pav_Dados!G8</f>
        <v>0</v>
      </c>
      <c r="G8" s="216">
        <f>Pav_Dados!H8</f>
        <v>0</v>
      </c>
      <c r="H8" s="216">
        <f>Pav_Dados!I8</f>
        <v>0</v>
      </c>
      <c r="I8" s="216">
        <f>Pav_Dados!J8</f>
        <v>0</v>
      </c>
      <c r="J8" s="216">
        <f>Pav_Dados!K8</f>
        <v>0</v>
      </c>
      <c r="K8" s="216">
        <f>Pav_Dados!L8</f>
        <v>0</v>
      </c>
      <c r="L8" s="216">
        <f>Pav_Dados!M8</f>
        <v>0</v>
      </c>
      <c r="M8" s="216">
        <f>Pav_Dados!N8</f>
        <v>0</v>
      </c>
      <c r="N8" s="216">
        <f>Pav_Dados!O8</f>
        <v>0</v>
      </c>
      <c r="O8" s="216">
        <f>Pav_Dados!P8</f>
        <v>0</v>
      </c>
      <c r="P8" s="216">
        <f>Pav_Dados!Q8</f>
        <v>0</v>
      </c>
      <c r="Q8" s="216">
        <f>Pav_Dados!R8</f>
        <v>0</v>
      </c>
      <c r="R8" s="216">
        <f>Pav_Dados!S8</f>
        <v>0</v>
      </c>
      <c r="S8" s="216">
        <f>Pav_Dados!T8</f>
        <v>0</v>
      </c>
      <c r="T8" s="216">
        <f>Pav_Dados!U8</f>
        <v>0</v>
      </c>
      <c r="U8" s="216">
        <f>Pav_Dados!V8</f>
        <v>0</v>
      </c>
      <c r="V8" s="216">
        <f>Pav_Dados!W8</f>
        <v>0</v>
      </c>
      <c r="W8" s="216">
        <f>Pav_Dados!X8</f>
        <v>0</v>
      </c>
      <c r="X8" s="216"/>
      <c r="Y8" s="533">
        <f>TRUNC(SUM(F8:X8),2)</f>
        <v>0</v>
      </c>
      <c r="Z8" s="579">
        <f t="shared" si="0"/>
        <v>0</v>
      </c>
    </row>
    <row r="9" spans="1:26" s="6" customFormat="1" ht="21.95" hidden="1" customHeight="1" x14ac:dyDescent="0.15">
      <c r="A9" s="2596"/>
      <c r="B9" s="2759"/>
      <c r="C9" s="543" t="s">
        <v>54</v>
      </c>
      <c r="D9" s="982"/>
      <c r="E9" s="1345"/>
      <c r="F9" s="8">
        <f>Pav_Dados!G10</f>
        <v>0</v>
      </c>
      <c r="G9" s="8">
        <f>Pav_Dados!H10</f>
        <v>0</v>
      </c>
      <c r="H9" s="8">
        <f>Pav_Dados!I10</f>
        <v>0</v>
      </c>
      <c r="I9" s="8">
        <f>Pav_Dados!J10</f>
        <v>0</v>
      </c>
      <c r="J9" s="8">
        <f>Pav_Dados!K10</f>
        <v>0</v>
      </c>
      <c r="K9" s="8">
        <f>Pav_Dados!L10</f>
        <v>0</v>
      </c>
      <c r="L9" s="8">
        <f>Pav_Dados!M10</f>
        <v>0</v>
      </c>
      <c r="M9" s="8">
        <f>Pav_Dados!N10</f>
        <v>0</v>
      </c>
      <c r="N9" s="8">
        <f>Pav_Dados!O10</f>
        <v>0</v>
      </c>
      <c r="O9" s="8">
        <f>Pav_Dados!P10</f>
        <v>0</v>
      </c>
      <c r="P9" s="8">
        <f>Pav_Dados!Q10</f>
        <v>0</v>
      </c>
      <c r="Q9" s="8">
        <f>Pav_Dados!R10</f>
        <v>0</v>
      </c>
      <c r="R9" s="8">
        <f>Pav_Dados!S10</f>
        <v>0</v>
      </c>
      <c r="S9" s="8">
        <f>Pav_Dados!T10</f>
        <v>0</v>
      </c>
      <c r="T9" s="8">
        <f>Pav_Dados!U10</f>
        <v>0</v>
      </c>
      <c r="U9" s="8">
        <f>Pav_Dados!V10</f>
        <v>0</v>
      </c>
      <c r="V9" s="8">
        <f>Pav_Dados!W10</f>
        <v>0</v>
      </c>
      <c r="W9" s="8">
        <f>Pav_Dados!X10</f>
        <v>0</v>
      </c>
      <c r="X9" s="8"/>
      <c r="Y9" s="1080"/>
      <c r="Z9" s="579">
        <f t="shared" si="0"/>
        <v>0</v>
      </c>
    </row>
    <row r="10" spans="1:26" s="6" customFormat="1" ht="21.95" hidden="1" customHeight="1" x14ac:dyDescent="0.15">
      <c r="A10" s="2596"/>
      <c r="B10" s="2759"/>
      <c r="C10" s="543" t="s">
        <v>29</v>
      </c>
      <c r="D10" s="982"/>
      <c r="E10" s="1345"/>
      <c r="F10" s="8">
        <f t="shared" ref="F10:W10" si="1">F9*F8</f>
        <v>0</v>
      </c>
      <c r="G10" s="8">
        <f t="shared" si="1"/>
        <v>0</v>
      </c>
      <c r="H10" s="8">
        <f t="shared" si="1"/>
        <v>0</v>
      </c>
      <c r="I10" s="8">
        <f t="shared" si="1"/>
        <v>0</v>
      </c>
      <c r="J10" s="8">
        <f t="shared" si="1"/>
        <v>0</v>
      </c>
      <c r="K10" s="8">
        <f t="shared" si="1"/>
        <v>0</v>
      </c>
      <c r="L10" s="8">
        <f t="shared" si="1"/>
        <v>0</v>
      </c>
      <c r="M10" s="8">
        <f t="shared" si="1"/>
        <v>0</v>
      </c>
      <c r="N10" s="8">
        <f t="shared" si="1"/>
        <v>0</v>
      </c>
      <c r="O10" s="8">
        <f t="shared" si="1"/>
        <v>0</v>
      </c>
      <c r="P10" s="8">
        <f t="shared" si="1"/>
        <v>0</v>
      </c>
      <c r="Q10" s="8">
        <f t="shared" si="1"/>
        <v>0</v>
      </c>
      <c r="R10" s="8">
        <f t="shared" si="1"/>
        <v>0</v>
      </c>
      <c r="S10" s="8">
        <f t="shared" si="1"/>
        <v>0</v>
      </c>
      <c r="T10" s="8">
        <f t="shared" si="1"/>
        <v>0</v>
      </c>
      <c r="U10" s="8">
        <f t="shared" si="1"/>
        <v>0</v>
      </c>
      <c r="V10" s="8">
        <f t="shared" si="1"/>
        <v>0</v>
      </c>
      <c r="W10" s="8">
        <f t="shared" si="1"/>
        <v>0</v>
      </c>
      <c r="X10" s="8"/>
      <c r="Y10" s="512">
        <f>TRUNC(SUM(F10:X10),2)</f>
        <v>0</v>
      </c>
      <c r="Z10" s="579">
        <f t="shared" si="0"/>
        <v>0</v>
      </c>
    </row>
    <row r="11" spans="1:26" s="6" customFormat="1" ht="21.95" hidden="1" customHeight="1" x14ac:dyDescent="0.15">
      <c r="A11" s="2596"/>
      <c r="B11" s="2759"/>
      <c r="C11" s="543" t="s">
        <v>625</v>
      </c>
      <c r="D11" s="982"/>
      <c r="E11" s="1345"/>
      <c r="F11" s="8">
        <f>Pav_Dados!G9</f>
        <v>0</v>
      </c>
      <c r="G11" s="8">
        <f>Pav_Dados!H9</f>
        <v>0</v>
      </c>
      <c r="H11" s="8">
        <f>Pav_Dados!I9</f>
        <v>0</v>
      </c>
      <c r="I11" s="8">
        <f>Pav_Dados!J9</f>
        <v>0</v>
      </c>
      <c r="J11" s="8">
        <f>Pav_Dados!K9</f>
        <v>0</v>
      </c>
      <c r="K11" s="8">
        <f>Pav_Dados!L9</f>
        <v>0</v>
      </c>
      <c r="L11" s="8">
        <f>Pav_Dados!M9</f>
        <v>0</v>
      </c>
      <c r="M11" s="8">
        <f>Pav_Dados!N9</f>
        <v>0</v>
      </c>
      <c r="N11" s="8">
        <f>Pav_Dados!O9</f>
        <v>0</v>
      </c>
      <c r="O11" s="8">
        <f>Pav_Dados!P9</f>
        <v>0</v>
      </c>
      <c r="P11" s="8">
        <f>Pav_Dados!Q9</f>
        <v>0</v>
      </c>
      <c r="Q11" s="8">
        <f>Pav_Dados!R9</f>
        <v>0</v>
      </c>
      <c r="R11" s="8">
        <f>Pav_Dados!S9</f>
        <v>0</v>
      </c>
      <c r="S11" s="8">
        <f>Pav_Dados!T9</f>
        <v>0</v>
      </c>
      <c r="T11" s="8">
        <f>Pav_Dados!U9</f>
        <v>0</v>
      </c>
      <c r="U11" s="8">
        <f>Pav_Dados!V9</f>
        <v>0</v>
      </c>
      <c r="V11" s="8">
        <f>Pav_Dados!W9</f>
        <v>0</v>
      </c>
      <c r="W11" s="8">
        <f>Pav_Dados!X9</f>
        <v>0</v>
      </c>
      <c r="X11" s="8"/>
      <c r="Y11" s="1080"/>
      <c r="Z11" s="579">
        <f t="shared" si="0"/>
        <v>0</v>
      </c>
    </row>
    <row r="12" spans="1:26" s="6" customFormat="1" ht="21.95" hidden="1" customHeight="1" x14ac:dyDescent="0.15">
      <c r="A12" s="2596"/>
      <c r="B12" s="2759"/>
      <c r="C12" s="543" t="s">
        <v>7</v>
      </c>
      <c r="D12" s="982"/>
      <c r="E12" s="1345"/>
      <c r="F12" s="8">
        <f t="shared" ref="F12:W12" si="2">F11*F10</f>
        <v>0</v>
      </c>
      <c r="G12" s="8">
        <f t="shared" si="2"/>
        <v>0</v>
      </c>
      <c r="H12" s="8">
        <f t="shared" si="2"/>
        <v>0</v>
      </c>
      <c r="I12" s="8">
        <f t="shared" si="2"/>
        <v>0</v>
      </c>
      <c r="J12" s="8">
        <f t="shared" si="2"/>
        <v>0</v>
      </c>
      <c r="K12" s="8">
        <f t="shared" si="2"/>
        <v>0</v>
      </c>
      <c r="L12" s="8">
        <f t="shared" si="2"/>
        <v>0</v>
      </c>
      <c r="M12" s="8">
        <f t="shared" si="2"/>
        <v>0</v>
      </c>
      <c r="N12" s="8">
        <f t="shared" si="2"/>
        <v>0</v>
      </c>
      <c r="O12" s="8">
        <f t="shared" si="2"/>
        <v>0</v>
      </c>
      <c r="P12" s="8">
        <f t="shared" si="2"/>
        <v>0</v>
      </c>
      <c r="Q12" s="8">
        <f t="shared" si="2"/>
        <v>0</v>
      </c>
      <c r="R12" s="8">
        <f t="shared" si="2"/>
        <v>0</v>
      </c>
      <c r="S12" s="8">
        <f t="shared" si="2"/>
        <v>0</v>
      </c>
      <c r="T12" s="8">
        <f t="shared" si="2"/>
        <v>0</v>
      </c>
      <c r="U12" s="8">
        <f t="shared" si="2"/>
        <v>0</v>
      </c>
      <c r="V12" s="8">
        <f t="shared" si="2"/>
        <v>0</v>
      </c>
      <c r="W12" s="8">
        <f t="shared" si="2"/>
        <v>0</v>
      </c>
      <c r="X12" s="8"/>
      <c r="Y12" s="534">
        <f>TRUNC(SUM(F12:X12),2)</f>
        <v>0</v>
      </c>
      <c r="Z12" s="579">
        <f t="shared" si="0"/>
        <v>0</v>
      </c>
    </row>
    <row r="13" spans="1:26" s="68" customFormat="1" ht="21.95" hidden="1" customHeight="1" thickBot="1" x14ac:dyDescent="0.2">
      <c r="A13" s="2596"/>
      <c r="B13" s="2758"/>
      <c r="C13" s="546" t="s">
        <v>26</v>
      </c>
      <c r="D13" s="1377"/>
      <c r="E13" s="1270"/>
      <c r="F13" s="1072">
        <f t="shared" ref="F13:W13" si="3">IF(F8=0,0,"BOTA-FORA")</f>
        <v>0</v>
      </c>
      <c r="G13" s="1072">
        <f t="shared" si="3"/>
        <v>0</v>
      </c>
      <c r="H13" s="1072">
        <f t="shared" si="3"/>
        <v>0</v>
      </c>
      <c r="I13" s="1072">
        <f t="shared" si="3"/>
        <v>0</v>
      </c>
      <c r="J13" s="1072">
        <f t="shared" si="3"/>
        <v>0</v>
      </c>
      <c r="K13" s="1072">
        <f t="shared" si="3"/>
        <v>0</v>
      </c>
      <c r="L13" s="1072">
        <f t="shared" si="3"/>
        <v>0</v>
      </c>
      <c r="M13" s="1072">
        <f t="shared" si="3"/>
        <v>0</v>
      </c>
      <c r="N13" s="1072">
        <f t="shared" si="3"/>
        <v>0</v>
      </c>
      <c r="O13" s="1072">
        <f t="shared" si="3"/>
        <v>0</v>
      </c>
      <c r="P13" s="1072">
        <f t="shared" si="3"/>
        <v>0</v>
      </c>
      <c r="Q13" s="1072">
        <f t="shared" si="3"/>
        <v>0</v>
      </c>
      <c r="R13" s="1072">
        <f t="shared" si="3"/>
        <v>0</v>
      </c>
      <c r="S13" s="1072">
        <f t="shared" si="3"/>
        <v>0</v>
      </c>
      <c r="T13" s="1072">
        <f t="shared" si="3"/>
        <v>0</v>
      </c>
      <c r="U13" s="1072">
        <f t="shared" si="3"/>
        <v>0</v>
      </c>
      <c r="V13" s="1072">
        <f t="shared" si="3"/>
        <v>0</v>
      </c>
      <c r="W13" s="1072">
        <f t="shared" si="3"/>
        <v>0</v>
      </c>
      <c r="X13" s="1072"/>
      <c r="Y13" s="1081">
        <f>COUNTA(F13:X13)</f>
        <v>18</v>
      </c>
      <c r="Z13" s="1017">
        <f>COUNTA(F13:X13)-COUNTIF(F13:X13,0)</f>
        <v>0</v>
      </c>
    </row>
    <row r="14" spans="1:26" s="68" customFormat="1" ht="21.95" hidden="1" customHeight="1" x14ac:dyDescent="0.15">
      <c r="A14" s="2596"/>
      <c r="B14" s="2616" t="s">
        <v>1234</v>
      </c>
      <c r="C14" s="550" t="s">
        <v>1257</v>
      </c>
      <c r="D14" s="986"/>
      <c r="E14" s="1361"/>
      <c r="F14" s="238">
        <f>Pav_Dados!G11</f>
        <v>0</v>
      </c>
      <c r="G14" s="238">
        <f>Pav_Dados!H11</f>
        <v>0</v>
      </c>
      <c r="H14" s="238">
        <f>Pav_Dados!I11</f>
        <v>0</v>
      </c>
      <c r="I14" s="238">
        <f>Pav_Dados!J11</f>
        <v>1</v>
      </c>
      <c r="J14" s="238">
        <f>Pav_Dados!K11</f>
        <v>4</v>
      </c>
      <c r="K14" s="238">
        <f>Pav_Dados!L11</f>
        <v>0</v>
      </c>
      <c r="L14" s="238">
        <f>Pav_Dados!M11</f>
        <v>0</v>
      </c>
      <c r="M14" s="238">
        <f>Pav_Dados!N11</f>
        <v>3</v>
      </c>
      <c r="N14" s="238">
        <f>Pav_Dados!O11</f>
        <v>8</v>
      </c>
      <c r="O14" s="238">
        <f>Pav_Dados!P11</f>
        <v>7</v>
      </c>
      <c r="P14" s="238">
        <f>Pav_Dados!Q11</f>
        <v>1</v>
      </c>
      <c r="Q14" s="238">
        <f>Pav_Dados!R11</f>
        <v>12</v>
      </c>
      <c r="R14" s="238">
        <f>Pav_Dados!S11</f>
        <v>14</v>
      </c>
      <c r="S14" s="238">
        <f>Pav_Dados!T11</f>
        <v>22</v>
      </c>
      <c r="T14" s="238">
        <f>Pav_Dados!U11</f>
        <v>13</v>
      </c>
      <c r="U14" s="238">
        <f>Pav_Dados!V11</f>
        <v>14</v>
      </c>
      <c r="V14" s="238">
        <f>Pav_Dados!W11</f>
        <v>5</v>
      </c>
      <c r="W14" s="238">
        <f>Pav_Dados!X11</f>
        <v>0</v>
      </c>
      <c r="X14" s="238"/>
      <c r="Y14" s="512">
        <f t="shared" ref="Y14:Y29" si="4">TRUNC(SUM(F14:X14),2)</f>
        <v>104</v>
      </c>
      <c r="Z14" s="579"/>
    </row>
    <row r="15" spans="1:26" s="68" customFormat="1" ht="21.95" hidden="1" customHeight="1" x14ac:dyDescent="0.15">
      <c r="A15" s="2596"/>
      <c r="B15" s="2617"/>
      <c r="C15" s="567" t="s">
        <v>1258</v>
      </c>
      <c r="D15" s="986"/>
      <c r="E15" s="344"/>
      <c r="F15" s="158">
        <f>Pav_Dados!G12</f>
        <v>0</v>
      </c>
      <c r="G15" s="158">
        <f>Pav_Dados!H12</f>
        <v>0</v>
      </c>
      <c r="H15" s="158">
        <f>Pav_Dados!I12</f>
        <v>1</v>
      </c>
      <c r="I15" s="158">
        <f>Pav_Dados!J12</f>
        <v>0</v>
      </c>
      <c r="J15" s="158">
        <f>Pav_Dados!K12</f>
        <v>0</v>
      </c>
      <c r="K15" s="158">
        <f>Pav_Dados!L12</f>
        <v>0</v>
      </c>
      <c r="L15" s="158">
        <f>Pav_Dados!M12</f>
        <v>0</v>
      </c>
      <c r="M15" s="158">
        <f>Pav_Dados!N12</f>
        <v>0</v>
      </c>
      <c r="N15" s="158">
        <f>Pav_Dados!O12</f>
        <v>1</v>
      </c>
      <c r="O15" s="158">
        <f>Pav_Dados!P12</f>
        <v>0</v>
      </c>
      <c r="P15" s="158">
        <f>Pav_Dados!Q12</f>
        <v>0</v>
      </c>
      <c r="Q15" s="158">
        <f>Pav_Dados!R12</f>
        <v>0</v>
      </c>
      <c r="R15" s="158">
        <f>Pav_Dados!S12</f>
        <v>0</v>
      </c>
      <c r="S15" s="158">
        <f>Pav_Dados!T12</f>
        <v>0</v>
      </c>
      <c r="T15" s="158">
        <f>Pav_Dados!U12</f>
        <v>1</v>
      </c>
      <c r="U15" s="158">
        <f>Pav_Dados!V12</f>
        <v>0</v>
      </c>
      <c r="V15" s="158">
        <f>Pav_Dados!W12</f>
        <v>0</v>
      </c>
      <c r="W15" s="158">
        <f>Pav_Dados!X12</f>
        <v>0</v>
      </c>
      <c r="X15" s="158"/>
      <c r="Y15" s="512">
        <f t="shared" si="4"/>
        <v>3</v>
      </c>
      <c r="Z15" s="579"/>
    </row>
    <row r="16" spans="1:26" s="68" customFormat="1" ht="21.95" hidden="1" customHeight="1" thickBot="1" x14ac:dyDescent="0.2">
      <c r="A16" s="2596"/>
      <c r="B16" s="2618"/>
      <c r="C16" s="566" t="s">
        <v>1259</v>
      </c>
      <c r="D16" s="987"/>
      <c r="E16" s="414"/>
      <c r="F16" s="239">
        <f>Pav_Dados!G13</f>
        <v>0</v>
      </c>
      <c r="G16" s="239">
        <f>Pav_Dados!H13</f>
        <v>0</v>
      </c>
      <c r="H16" s="239">
        <f>Pav_Dados!I13</f>
        <v>0</v>
      </c>
      <c r="I16" s="239">
        <f>Pav_Dados!J13</f>
        <v>0</v>
      </c>
      <c r="J16" s="239">
        <f>Pav_Dados!K13</f>
        <v>0</v>
      </c>
      <c r="K16" s="239">
        <f>Pav_Dados!L13</f>
        <v>0</v>
      </c>
      <c r="L16" s="239">
        <f>Pav_Dados!M13</f>
        <v>0</v>
      </c>
      <c r="M16" s="239">
        <f>Pav_Dados!N13</f>
        <v>0</v>
      </c>
      <c r="N16" s="239">
        <f>Pav_Dados!O13</f>
        <v>0</v>
      </c>
      <c r="O16" s="239">
        <f>Pav_Dados!P13</f>
        <v>0</v>
      </c>
      <c r="P16" s="239">
        <f>Pav_Dados!Q13</f>
        <v>0</v>
      </c>
      <c r="Q16" s="239">
        <f>Pav_Dados!R13</f>
        <v>0</v>
      </c>
      <c r="R16" s="239">
        <f>Pav_Dados!S13</f>
        <v>0</v>
      </c>
      <c r="S16" s="239">
        <f>Pav_Dados!T13</f>
        <v>0</v>
      </c>
      <c r="T16" s="239">
        <f>Pav_Dados!U13</f>
        <v>0</v>
      </c>
      <c r="U16" s="239">
        <f>Pav_Dados!V13</f>
        <v>0</v>
      </c>
      <c r="V16" s="239">
        <f>Pav_Dados!W13</f>
        <v>0</v>
      </c>
      <c r="W16" s="239">
        <f>Pav_Dados!X13</f>
        <v>0</v>
      </c>
      <c r="X16" s="239"/>
      <c r="Y16" s="494">
        <f t="shared" si="4"/>
        <v>0</v>
      </c>
      <c r="Z16" s="579"/>
    </row>
    <row r="17" spans="1:26" s="68" customFormat="1" ht="21.95" hidden="1" customHeight="1" x14ac:dyDescent="0.15">
      <c r="A17" s="2596"/>
      <c r="B17" s="2616" t="s">
        <v>1228</v>
      </c>
      <c r="C17" s="550" t="s">
        <v>1257</v>
      </c>
      <c r="D17" s="986"/>
      <c r="E17" s="1358"/>
      <c r="F17" s="238">
        <f>Pav_Dados!G14</f>
        <v>0</v>
      </c>
      <c r="G17" s="238">
        <f>Pav_Dados!H14</f>
        <v>0</v>
      </c>
      <c r="H17" s="238">
        <f>Pav_Dados!I14</f>
        <v>0</v>
      </c>
      <c r="I17" s="238">
        <f>Pav_Dados!J14</f>
        <v>1</v>
      </c>
      <c r="J17" s="238">
        <f>Pav_Dados!K14</f>
        <v>4</v>
      </c>
      <c r="K17" s="238">
        <f>Pav_Dados!L14</f>
        <v>0</v>
      </c>
      <c r="L17" s="238">
        <f>Pav_Dados!M14</f>
        <v>0</v>
      </c>
      <c r="M17" s="238">
        <f>Pav_Dados!N14</f>
        <v>3</v>
      </c>
      <c r="N17" s="238">
        <f>Pav_Dados!O14</f>
        <v>8</v>
      </c>
      <c r="O17" s="238">
        <f>Pav_Dados!P14</f>
        <v>7</v>
      </c>
      <c r="P17" s="238">
        <f>Pav_Dados!Q14</f>
        <v>1</v>
      </c>
      <c r="Q17" s="238">
        <f>Pav_Dados!R14</f>
        <v>12</v>
      </c>
      <c r="R17" s="238">
        <f>Pav_Dados!S14</f>
        <v>14</v>
      </c>
      <c r="S17" s="238">
        <f>Pav_Dados!T14</f>
        <v>22</v>
      </c>
      <c r="T17" s="238">
        <f>Pav_Dados!U14</f>
        <v>13</v>
      </c>
      <c r="U17" s="238">
        <f>Pav_Dados!V14</f>
        <v>14</v>
      </c>
      <c r="V17" s="238">
        <f>Pav_Dados!W14</f>
        <v>5</v>
      </c>
      <c r="W17" s="238">
        <f>Pav_Dados!X14</f>
        <v>0</v>
      </c>
      <c r="X17" s="238"/>
      <c r="Y17" s="512">
        <f t="shared" si="4"/>
        <v>104</v>
      </c>
      <c r="Z17" s="579"/>
    </row>
    <row r="18" spans="1:26" s="68" customFormat="1" ht="21.95" hidden="1" customHeight="1" x14ac:dyDescent="0.15">
      <c r="A18" s="2596"/>
      <c r="B18" s="2617"/>
      <c r="C18" s="567" t="s">
        <v>1258</v>
      </c>
      <c r="D18" s="986"/>
      <c r="E18" s="1358"/>
      <c r="F18" s="158">
        <f>Pav_Dados!G15</f>
        <v>0</v>
      </c>
      <c r="G18" s="158">
        <f>Pav_Dados!H15</f>
        <v>0</v>
      </c>
      <c r="H18" s="158">
        <f>Pav_Dados!I15</f>
        <v>1</v>
      </c>
      <c r="I18" s="158">
        <f>Pav_Dados!J15</f>
        <v>0</v>
      </c>
      <c r="J18" s="158">
        <f>Pav_Dados!K15</f>
        <v>0</v>
      </c>
      <c r="K18" s="158">
        <f>Pav_Dados!L15</f>
        <v>0</v>
      </c>
      <c r="L18" s="158">
        <f>Pav_Dados!M15</f>
        <v>0</v>
      </c>
      <c r="M18" s="158">
        <f>Pav_Dados!N15</f>
        <v>0</v>
      </c>
      <c r="N18" s="158">
        <f>Pav_Dados!O15</f>
        <v>1</v>
      </c>
      <c r="O18" s="158">
        <f>Pav_Dados!P15</f>
        <v>0</v>
      </c>
      <c r="P18" s="158">
        <f>Pav_Dados!Q15</f>
        <v>0</v>
      </c>
      <c r="Q18" s="158">
        <f>Pav_Dados!R15</f>
        <v>0</v>
      </c>
      <c r="R18" s="158">
        <f>Pav_Dados!S15</f>
        <v>0</v>
      </c>
      <c r="S18" s="158">
        <f>Pav_Dados!T15</f>
        <v>0</v>
      </c>
      <c r="T18" s="158">
        <f>Pav_Dados!U15</f>
        <v>1</v>
      </c>
      <c r="U18" s="158">
        <f>Pav_Dados!V15</f>
        <v>0</v>
      </c>
      <c r="V18" s="158">
        <f>Pav_Dados!W15</f>
        <v>0</v>
      </c>
      <c r="W18" s="158">
        <f>Pav_Dados!X15</f>
        <v>0</v>
      </c>
      <c r="X18" s="158"/>
      <c r="Y18" s="512">
        <f t="shared" si="4"/>
        <v>3</v>
      </c>
      <c r="Z18" s="579"/>
    </row>
    <row r="19" spans="1:26" s="68" customFormat="1" ht="21.95" hidden="1" customHeight="1" thickBot="1" x14ac:dyDescent="0.2">
      <c r="A19" s="2596"/>
      <c r="B19" s="2618"/>
      <c r="C19" s="566" t="s">
        <v>1259</v>
      </c>
      <c r="D19" s="987"/>
      <c r="E19" s="564"/>
      <c r="F19" s="239">
        <f>Pav_Dados!G16</f>
        <v>0</v>
      </c>
      <c r="G19" s="239">
        <f>Pav_Dados!H16</f>
        <v>0</v>
      </c>
      <c r="H19" s="239">
        <f>Pav_Dados!I16</f>
        <v>0</v>
      </c>
      <c r="I19" s="239">
        <f>Pav_Dados!J16</f>
        <v>0</v>
      </c>
      <c r="J19" s="239">
        <f>Pav_Dados!K16</f>
        <v>0</v>
      </c>
      <c r="K19" s="239">
        <f>Pav_Dados!L16</f>
        <v>0</v>
      </c>
      <c r="L19" s="239">
        <f>Pav_Dados!M16</f>
        <v>0</v>
      </c>
      <c r="M19" s="239">
        <f>Pav_Dados!N16</f>
        <v>0</v>
      </c>
      <c r="N19" s="239">
        <f>Pav_Dados!O16</f>
        <v>0</v>
      </c>
      <c r="O19" s="239">
        <f>Pav_Dados!P16</f>
        <v>0</v>
      </c>
      <c r="P19" s="239">
        <f>Pav_Dados!Q16</f>
        <v>0</v>
      </c>
      <c r="Q19" s="239">
        <f>Pav_Dados!R16</f>
        <v>0</v>
      </c>
      <c r="R19" s="239">
        <f>Pav_Dados!S16</f>
        <v>0</v>
      </c>
      <c r="S19" s="239">
        <f>Pav_Dados!T16</f>
        <v>0</v>
      </c>
      <c r="T19" s="239">
        <f>Pav_Dados!U16</f>
        <v>0</v>
      </c>
      <c r="U19" s="239">
        <f>Pav_Dados!V16</f>
        <v>0</v>
      </c>
      <c r="V19" s="239">
        <f>Pav_Dados!W16</f>
        <v>0</v>
      </c>
      <c r="W19" s="239">
        <f>Pav_Dados!X16</f>
        <v>0</v>
      </c>
      <c r="X19" s="239"/>
      <c r="Y19" s="494">
        <f t="shared" si="4"/>
        <v>0</v>
      </c>
      <c r="Z19" s="579"/>
    </row>
    <row r="20" spans="1:26" s="68" customFormat="1" ht="21.95" hidden="1" customHeight="1" x14ac:dyDescent="0.15">
      <c r="A20" s="2596"/>
      <c r="B20" s="2605" t="s">
        <v>1230</v>
      </c>
      <c r="C20" s="550" t="s">
        <v>1229</v>
      </c>
      <c r="D20" s="985"/>
      <c r="E20" s="1359"/>
      <c r="F20" s="238">
        <f>Pav_Dados!G17</f>
        <v>0</v>
      </c>
      <c r="G20" s="238">
        <f>Pav_Dados!H17</f>
        <v>0</v>
      </c>
      <c r="H20" s="238">
        <f>Pav_Dados!I17</f>
        <v>0</v>
      </c>
      <c r="I20" s="238">
        <f>Pav_Dados!J17</f>
        <v>0</v>
      </c>
      <c r="J20" s="238">
        <f>Pav_Dados!K17</f>
        <v>0</v>
      </c>
      <c r="K20" s="238">
        <f>Pav_Dados!L17</f>
        <v>0</v>
      </c>
      <c r="L20" s="238">
        <f>Pav_Dados!M17</f>
        <v>0</v>
      </c>
      <c r="M20" s="238">
        <f>Pav_Dados!N17</f>
        <v>0</v>
      </c>
      <c r="N20" s="238">
        <f>Pav_Dados!O17</f>
        <v>0</v>
      </c>
      <c r="O20" s="238">
        <f>Pav_Dados!P17</f>
        <v>0</v>
      </c>
      <c r="P20" s="238">
        <f>Pav_Dados!Q17</f>
        <v>0</v>
      </c>
      <c r="Q20" s="238">
        <f>Pav_Dados!R17</f>
        <v>0</v>
      </c>
      <c r="R20" s="238">
        <f>Pav_Dados!S17</f>
        <v>0</v>
      </c>
      <c r="S20" s="238">
        <f>Pav_Dados!T17</f>
        <v>0</v>
      </c>
      <c r="T20" s="238">
        <f>Pav_Dados!U17</f>
        <v>0</v>
      </c>
      <c r="U20" s="238">
        <f>Pav_Dados!V17</f>
        <v>0</v>
      </c>
      <c r="V20" s="238">
        <f>Pav_Dados!W17</f>
        <v>0</v>
      </c>
      <c r="W20" s="238">
        <f>Pav_Dados!X17</f>
        <v>0</v>
      </c>
      <c r="X20" s="238"/>
      <c r="Y20" s="512">
        <f t="shared" si="4"/>
        <v>0</v>
      </c>
      <c r="Z20" s="579">
        <f>SUM(F20:Y20)</f>
        <v>0</v>
      </c>
    </row>
    <row r="21" spans="1:26" s="68" customFormat="1" ht="21.95" hidden="1" customHeight="1" x14ac:dyDescent="0.15">
      <c r="A21" s="2596"/>
      <c r="B21" s="2606"/>
      <c r="C21" s="567" t="s">
        <v>1257</v>
      </c>
      <c r="D21" s="986"/>
      <c r="E21" s="1358"/>
      <c r="F21" s="158">
        <f>Pav_Dados!G18</f>
        <v>0</v>
      </c>
      <c r="G21" s="158">
        <f>Pav_Dados!H18</f>
        <v>0</v>
      </c>
      <c r="H21" s="158">
        <f>Pav_Dados!I18</f>
        <v>0</v>
      </c>
      <c r="I21" s="158">
        <f>Pav_Dados!J18</f>
        <v>1</v>
      </c>
      <c r="J21" s="158">
        <f>Pav_Dados!K18</f>
        <v>4</v>
      </c>
      <c r="K21" s="158">
        <f>Pav_Dados!L18</f>
        <v>0</v>
      </c>
      <c r="L21" s="158">
        <f>Pav_Dados!M18</f>
        <v>0</v>
      </c>
      <c r="M21" s="158">
        <f>Pav_Dados!N18</f>
        <v>3</v>
      </c>
      <c r="N21" s="158">
        <f>Pav_Dados!O18</f>
        <v>8</v>
      </c>
      <c r="O21" s="158">
        <f>Pav_Dados!P18</f>
        <v>7</v>
      </c>
      <c r="P21" s="158">
        <f>Pav_Dados!Q18</f>
        <v>1</v>
      </c>
      <c r="Q21" s="158">
        <f>Pav_Dados!R18</f>
        <v>12</v>
      </c>
      <c r="R21" s="158">
        <f>Pav_Dados!S18</f>
        <v>14</v>
      </c>
      <c r="S21" s="158">
        <f>Pav_Dados!T18</f>
        <v>22</v>
      </c>
      <c r="T21" s="158">
        <f>Pav_Dados!U18</f>
        <v>13</v>
      </c>
      <c r="U21" s="158">
        <f>Pav_Dados!V18</f>
        <v>14</v>
      </c>
      <c r="V21" s="158">
        <f>Pav_Dados!W18</f>
        <v>5</v>
      </c>
      <c r="W21" s="158">
        <f>Pav_Dados!X18</f>
        <v>0</v>
      </c>
      <c r="X21" s="158"/>
      <c r="Y21" s="512">
        <f t="shared" si="4"/>
        <v>104</v>
      </c>
      <c r="Z21" s="579"/>
    </row>
    <row r="22" spans="1:26" s="68" customFormat="1" ht="21.95" hidden="1" customHeight="1" x14ac:dyDescent="0.15">
      <c r="A22" s="2596"/>
      <c r="B22" s="2606"/>
      <c r="C22" s="567" t="s">
        <v>1258</v>
      </c>
      <c r="D22" s="986"/>
      <c r="E22" s="344"/>
      <c r="F22" s="158">
        <f>Pav_Dados!G19</f>
        <v>0</v>
      </c>
      <c r="G22" s="158">
        <f>Pav_Dados!H19</f>
        <v>0</v>
      </c>
      <c r="H22" s="158">
        <f>Pav_Dados!I19</f>
        <v>1</v>
      </c>
      <c r="I22" s="158">
        <f>Pav_Dados!J19</f>
        <v>0</v>
      </c>
      <c r="J22" s="158">
        <f>Pav_Dados!K19</f>
        <v>0</v>
      </c>
      <c r="K22" s="158">
        <f>Pav_Dados!L19</f>
        <v>0</v>
      </c>
      <c r="L22" s="158">
        <f>Pav_Dados!M19</f>
        <v>0</v>
      </c>
      <c r="M22" s="158">
        <f>Pav_Dados!N19</f>
        <v>0</v>
      </c>
      <c r="N22" s="158">
        <f>Pav_Dados!O19</f>
        <v>1</v>
      </c>
      <c r="O22" s="158">
        <f>Pav_Dados!P19</f>
        <v>0</v>
      </c>
      <c r="P22" s="158">
        <f>Pav_Dados!Q19</f>
        <v>0</v>
      </c>
      <c r="Q22" s="158">
        <f>Pav_Dados!R19</f>
        <v>0</v>
      </c>
      <c r="R22" s="158">
        <f>Pav_Dados!S19</f>
        <v>0</v>
      </c>
      <c r="S22" s="158">
        <f>Pav_Dados!T19</f>
        <v>0</v>
      </c>
      <c r="T22" s="158">
        <f>Pav_Dados!U19</f>
        <v>1</v>
      </c>
      <c r="U22" s="158">
        <f>Pav_Dados!V19</f>
        <v>0</v>
      </c>
      <c r="V22" s="158">
        <f>Pav_Dados!W19</f>
        <v>0</v>
      </c>
      <c r="W22" s="158">
        <f>Pav_Dados!X19</f>
        <v>0</v>
      </c>
      <c r="X22" s="158"/>
      <c r="Y22" s="512">
        <f t="shared" si="4"/>
        <v>3</v>
      </c>
      <c r="Z22" s="579"/>
    </row>
    <row r="23" spans="1:26" s="68" customFormat="1" ht="21.95" hidden="1" customHeight="1" thickBot="1" x14ac:dyDescent="0.2">
      <c r="A23" s="2596"/>
      <c r="B23" s="2607"/>
      <c r="C23" s="566" t="s">
        <v>1259</v>
      </c>
      <c r="D23" s="987"/>
      <c r="E23" s="414"/>
      <c r="F23" s="239">
        <f>Pav_Dados!G20</f>
        <v>0</v>
      </c>
      <c r="G23" s="239">
        <f>Pav_Dados!H20</f>
        <v>0</v>
      </c>
      <c r="H23" s="239">
        <f>Pav_Dados!I20</f>
        <v>0</v>
      </c>
      <c r="I23" s="239">
        <f>Pav_Dados!J20</f>
        <v>0</v>
      </c>
      <c r="J23" s="239">
        <f>Pav_Dados!K20</f>
        <v>0</v>
      </c>
      <c r="K23" s="239">
        <f>Pav_Dados!L20</f>
        <v>0</v>
      </c>
      <c r="L23" s="239">
        <f>Pav_Dados!M20</f>
        <v>0</v>
      </c>
      <c r="M23" s="239">
        <f>Pav_Dados!N20</f>
        <v>0</v>
      </c>
      <c r="N23" s="239">
        <f>Pav_Dados!O20</f>
        <v>0</v>
      </c>
      <c r="O23" s="239">
        <f>Pav_Dados!P20</f>
        <v>0</v>
      </c>
      <c r="P23" s="239">
        <f>Pav_Dados!Q20</f>
        <v>0</v>
      </c>
      <c r="Q23" s="239">
        <f>Pav_Dados!R20</f>
        <v>0</v>
      </c>
      <c r="R23" s="239">
        <f>Pav_Dados!S20</f>
        <v>0</v>
      </c>
      <c r="S23" s="239">
        <f>Pav_Dados!T20</f>
        <v>0</v>
      </c>
      <c r="T23" s="239">
        <f>Pav_Dados!U20</f>
        <v>0</v>
      </c>
      <c r="U23" s="239">
        <f>Pav_Dados!V20</f>
        <v>0</v>
      </c>
      <c r="V23" s="239">
        <f>Pav_Dados!W20</f>
        <v>0</v>
      </c>
      <c r="W23" s="239">
        <f>Pav_Dados!X20</f>
        <v>0</v>
      </c>
      <c r="X23" s="239"/>
      <c r="Y23" s="512">
        <f t="shared" si="4"/>
        <v>0</v>
      </c>
      <c r="Z23" s="579"/>
    </row>
    <row r="24" spans="1:26" s="68" customFormat="1" ht="21.95" hidden="1" customHeight="1" x14ac:dyDescent="0.15">
      <c r="A24" s="2596"/>
      <c r="B24" s="2616" t="s">
        <v>1266</v>
      </c>
      <c r="C24" s="558" t="s">
        <v>701</v>
      </c>
      <c r="D24" s="982"/>
      <c r="E24" s="1345"/>
      <c r="F24" s="8">
        <f>Pav_Dados!G21</f>
        <v>0</v>
      </c>
      <c r="G24" s="8">
        <f>Pav_Dados!H21</f>
        <v>0</v>
      </c>
      <c r="H24" s="8">
        <f>Pav_Dados!I21</f>
        <v>0</v>
      </c>
      <c r="I24" s="8">
        <f>Pav_Dados!J21</f>
        <v>0</v>
      </c>
      <c r="J24" s="8">
        <f>Pav_Dados!K21</f>
        <v>0</v>
      </c>
      <c r="K24" s="8">
        <f>Pav_Dados!L21</f>
        <v>0</v>
      </c>
      <c r="L24" s="8">
        <f>Pav_Dados!M21</f>
        <v>0</v>
      </c>
      <c r="M24" s="8">
        <f>Pav_Dados!N21</f>
        <v>0</v>
      </c>
      <c r="N24" s="8">
        <f>Pav_Dados!O21</f>
        <v>0</v>
      </c>
      <c r="O24" s="8">
        <f>Pav_Dados!P21</f>
        <v>0</v>
      </c>
      <c r="P24" s="8">
        <f>Pav_Dados!Q21</f>
        <v>0</v>
      </c>
      <c r="Q24" s="8">
        <f>Pav_Dados!R21</f>
        <v>0</v>
      </c>
      <c r="R24" s="8">
        <f>Pav_Dados!S21</f>
        <v>0</v>
      </c>
      <c r="S24" s="8">
        <f>Pav_Dados!T21</f>
        <v>0</v>
      </c>
      <c r="T24" s="8">
        <f>Pav_Dados!U21</f>
        <v>0</v>
      </c>
      <c r="U24" s="8">
        <f>Pav_Dados!V21</f>
        <v>0</v>
      </c>
      <c r="V24" s="8">
        <f>Pav_Dados!W21</f>
        <v>0</v>
      </c>
      <c r="W24" s="8">
        <f>Pav_Dados!X21</f>
        <v>0</v>
      </c>
      <c r="X24" s="8"/>
      <c r="Y24" s="495">
        <f t="shared" si="4"/>
        <v>0</v>
      </c>
      <c r="Z24" s="1017"/>
    </row>
    <row r="25" spans="1:26" s="68" customFormat="1" ht="21.95" hidden="1" customHeight="1" thickBot="1" x14ac:dyDescent="0.2">
      <c r="A25" s="2596"/>
      <c r="B25" s="2617"/>
      <c r="C25" s="558" t="s">
        <v>1572</v>
      </c>
      <c r="D25" s="982"/>
      <c r="E25" s="1345"/>
      <c r="F25" s="8">
        <f>Pav_Dados!G22</f>
        <v>321.74</v>
      </c>
      <c r="G25" s="8">
        <f>Pav_Dados!H22</f>
        <v>0</v>
      </c>
      <c r="H25" s="8">
        <f>Pav_Dados!I22</f>
        <v>4.26</v>
      </c>
      <c r="I25" s="8">
        <f>Pav_Dados!J22</f>
        <v>8.3699999999999992</v>
      </c>
      <c r="J25" s="8">
        <f>Pav_Dados!K22</f>
        <v>0</v>
      </c>
      <c r="K25" s="8">
        <f>Pav_Dados!L22</f>
        <v>23.34</v>
      </c>
      <c r="L25" s="8">
        <f>Pav_Dados!M22</f>
        <v>0</v>
      </c>
      <c r="M25" s="8">
        <f>Pav_Dados!N22</f>
        <v>15.52</v>
      </c>
      <c r="N25" s="8">
        <f>Pav_Dados!O22</f>
        <v>4.26</v>
      </c>
      <c r="O25" s="8">
        <f>Pav_Dados!P22</f>
        <v>4.2699999999999996</v>
      </c>
      <c r="P25" s="8">
        <f>Pav_Dados!Q22</f>
        <v>1.79</v>
      </c>
      <c r="Q25" s="8">
        <f>Pav_Dados!R22</f>
        <v>26.83</v>
      </c>
      <c r="R25" s="8">
        <f>Pav_Dados!S22</f>
        <v>23.47</v>
      </c>
      <c r="S25" s="8">
        <f>Pav_Dados!T22</f>
        <v>0</v>
      </c>
      <c r="T25" s="8">
        <f>Pav_Dados!U22</f>
        <v>0</v>
      </c>
      <c r="U25" s="8">
        <f>Pav_Dados!V22</f>
        <v>0</v>
      </c>
      <c r="V25" s="8">
        <f>Pav_Dados!W22</f>
        <v>0</v>
      </c>
      <c r="W25" s="8">
        <f>Pav_Dados!X22</f>
        <v>96.32</v>
      </c>
      <c r="X25" s="8"/>
      <c r="Y25" s="496">
        <f t="shared" si="4"/>
        <v>530.16999999999996</v>
      </c>
      <c r="Z25" s="1017"/>
    </row>
    <row r="26" spans="1:26" s="68" customFormat="1" ht="21.95" customHeight="1" x14ac:dyDescent="0.15">
      <c r="A26" s="2596"/>
      <c r="B26" s="2616"/>
      <c r="C26" s="543" t="s">
        <v>1324</v>
      </c>
      <c r="D26" s="982"/>
      <c r="E26" s="1345"/>
      <c r="F26" s="8">
        <f>Pav_Dados!G23</f>
        <v>78.66</v>
      </c>
      <c r="G26" s="8">
        <f>Pav_Dados!H23</f>
        <v>0</v>
      </c>
      <c r="H26" s="8">
        <f>Pav_Dados!I23</f>
        <v>1.8</v>
      </c>
      <c r="I26" s="8">
        <f>Pav_Dados!J23</f>
        <v>0.83</v>
      </c>
      <c r="J26" s="8">
        <f>Pav_Dados!K23</f>
        <v>0</v>
      </c>
      <c r="K26" s="8">
        <f>Pav_Dados!L23</f>
        <v>6.8100000000000005</v>
      </c>
      <c r="L26" s="8">
        <f>Pav_Dados!M23</f>
        <v>0</v>
      </c>
      <c r="M26" s="8">
        <f>Pav_Dados!N23</f>
        <v>3.29</v>
      </c>
      <c r="N26" s="8">
        <f>Pav_Dados!O23</f>
        <v>1.24</v>
      </c>
      <c r="O26" s="8">
        <f>Pav_Dados!P23</f>
        <v>1.36</v>
      </c>
      <c r="P26" s="8">
        <f>Pav_Dados!Q23</f>
        <v>0</v>
      </c>
      <c r="Q26" s="8">
        <f>Pav_Dados!R23</f>
        <v>8.8800000000000008</v>
      </c>
      <c r="R26" s="8">
        <f>Pav_Dados!S23</f>
        <v>8.07</v>
      </c>
      <c r="S26" s="8">
        <f>Pav_Dados!T23</f>
        <v>3.45</v>
      </c>
      <c r="T26" s="8">
        <f>Pav_Dados!U23</f>
        <v>0</v>
      </c>
      <c r="U26" s="8">
        <f>Pav_Dados!V23</f>
        <v>0</v>
      </c>
      <c r="V26" s="8">
        <f>Pav_Dados!W23</f>
        <v>17.010000000000002</v>
      </c>
      <c r="W26" s="8">
        <f>Pav_Dados!X23</f>
        <v>27.95</v>
      </c>
      <c r="X26" s="8"/>
      <c r="Y26" s="493">
        <f t="shared" si="4"/>
        <v>159.35</v>
      </c>
      <c r="Z26" s="579">
        <f t="shared" ref="Z26:Z43" si="5">SUM(F26:Y26)</f>
        <v>318.7</v>
      </c>
    </row>
    <row r="27" spans="1:26" s="68" customFormat="1" ht="21.95" customHeight="1" x14ac:dyDescent="0.15">
      <c r="A27" s="2596"/>
      <c r="B27" s="2617"/>
      <c r="C27" s="543" t="s">
        <v>1284</v>
      </c>
      <c r="D27" s="982"/>
      <c r="E27" s="1345"/>
      <c r="F27" s="8">
        <f>Pav_Dados!G24</f>
        <v>78.66</v>
      </c>
      <c r="G27" s="8">
        <f>Pav_Dados!H24</f>
        <v>0</v>
      </c>
      <c r="H27" s="8">
        <f>Pav_Dados!I24</f>
        <v>1.8</v>
      </c>
      <c r="I27" s="8">
        <f>Pav_Dados!J24</f>
        <v>0.83</v>
      </c>
      <c r="J27" s="8">
        <f>Pav_Dados!K24</f>
        <v>0</v>
      </c>
      <c r="K27" s="8">
        <f>Pav_Dados!L24</f>
        <v>6.8100000000000005</v>
      </c>
      <c r="L27" s="8">
        <f>Pav_Dados!M24</f>
        <v>0</v>
      </c>
      <c r="M27" s="8">
        <f>Pav_Dados!N24</f>
        <v>3.29</v>
      </c>
      <c r="N27" s="8">
        <f>Pav_Dados!O24</f>
        <v>1.24</v>
      </c>
      <c r="O27" s="8">
        <f>Pav_Dados!P24</f>
        <v>1.36</v>
      </c>
      <c r="P27" s="8">
        <f>Pav_Dados!Q24</f>
        <v>0</v>
      </c>
      <c r="Q27" s="8">
        <f>Pav_Dados!R24</f>
        <v>8.8800000000000008</v>
      </c>
      <c r="R27" s="8">
        <f>Pav_Dados!S24</f>
        <v>8.07</v>
      </c>
      <c r="S27" s="8">
        <f>Pav_Dados!T24</f>
        <v>3.45</v>
      </c>
      <c r="T27" s="8">
        <f>Pav_Dados!U24</f>
        <v>0</v>
      </c>
      <c r="U27" s="8">
        <f>Pav_Dados!V24</f>
        <v>0</v>
      </c>
      <c r="V27" s="8">
        <f>Pav_Dados!W24</f>
        <v>17.010000000000002</v>
      </c>
      <c r="W27" s="8">
        <f>Pav_Dados!X24</f>
        <v>27.95</v>
      </c>
      <c r="X27" s="8"/>
      <c r="Y27" s="534">
        <f t="shared" si="4"/>
        <v>159.35</v>
      </c>
      <c r="Z27" s="579">
        <f t="shared" si="5"/>
        <v>318.7</v>
      </c>
    </row>
    <row r="28" spans="1:26" s="68" customFormat="1" ht="21.95" customHeight="1" thickBot="1" x14ac:dyDescent="0.2">
      <c r="A28" s="2596"/>
      <c r="B28" s="2618"/>
      <c r="C28" s="1071" t="s">
        <v>1617</v>
      </c>
      <c r="D28" s="1377"/>
      <c r="E28" s="1270"/>
      <c r="F28" s="8">
        <f t="shared" ref="F28:W28" si="6">F26*0.0285+F27*0.033</f>
        <v>4.8375900000000005</v>
      </c>
      <c r="G28" s="8">
        <f t="shared" si="6"/>
        <v>0</v>
      </c>
      <c r="H28" s="8">
        <f t="shared" si="6"/>
        <v>0.11070000000000001</v>
      </c>
      <c r="I28" s="8">
        <f t="shared" si="6"/>
        <v>5.1045E-2</v>
      </c>
      <c r="J28" s="8">
        <f t="shared" si="6"/>
        <v>0</v>
      </c>
      <c r="K28" s="8">
        <f t="shared" si="6"/>
        <v>0.41881500000000005</v>
      </c>
      <c r="L28" s="8">
        <f t="shared" si="6"/>
        <v>0</v>
      </c>
      <c r="M28" s="8">
        <f t="shared" si="6"/>
        <v>0.20233499999999999</v>
      </c>
      <c r="N28" s="8">
        <f t="shared" si="6"/>
        <v>7.6260000000000008E-2</v>
      </c>
      <c r="O28" s="8">
        <f t="shared" si="6"/>
        <v>8.3640000000000006E-2</v>
      </c>
      <c r="P28" s="8">
        <f t="shared" si="6"/>
        <v>0</v>
      </c>
      <c r="Q28" s="8">
        <f t="shared" si="6"/>
        <v>0.54612000000000005</v>
      </c>
      <c r="R28" s="8">
        <f t="shared" si="6"/>
        <v>0.49630500000000005</v>
      </c>
      <c r="S28" s="8">
        <f t="shared" si="6"/>
        <v>0.212175</v>
      </c>
      <c r="T28" s="8">
        <f t="shared" si="6"/>
        <v>0</v>
      </c>
      <c r="U28" s="8">
        <f t="shared" si="6"/>
        <v>0</v>
      </c>
      <c r="V28" s="8">
        <f t="shared" si="6"/>
        <v>1.0461150000000001</v>
      </c>
      <c r="W28" s="8">
        <f t="shared" si="6"/>
        <v>1.718925</v>
      </c>
      <c r="X28" s="8"/>
      <c r="Y28" s="513">
        <f t="shared" si="4"/>
        <v>9.8000000000000007</v>
      </c>
      <c r="Z28" s="579">
        <f t="shared" si="5"/>
        <v>19.600025000000002</v>
      </c>
    </row>
    <row r="29" spans="1:26" s="68" customFormat="1" ht="21.95" hidden="1" customHeight="1" x14ac:dyDescent="0.15">
      <c r="A29" s="2596"/>
      <c r="B29" s="2908" t="s">
        <v>23</v>
      </c>
      <c r="C29" s="544" t="s">
        <v>3</v>
      </c>
      <c r="D29" s="982"/>
      <c r="E29" s="1345"/>
      <c r="F29" s="2114">
        <f>IF(SUM(Pav_Dados!G26:G28)=0,0,Pav_Dados!G25)</f>
        <v>0</v>
      </c>
      <c r="G29" s="2114">
        <f>IF(SUM(Pav_Dados!H26:H28)=0,0,Pav_Dados!H25)</f>
        <v>0</v>
      </c>
      <c r="H29" s="2114">
        <f>IF(SUM(Pav_Dados!I26:I28)=0,0,Pav_Dados!I25)</f>
        <v>0</v>
      </c>
      <c r="I29" s="2114">
        <f>IF(SUM(Pav_Dados!J26:J28)=0,0,Pav_Dados!J25)</f>
        <v>0</v>
      </c>
      <c r="J29" s="2114">
        <f>IF(SUM(Pav_Dados!K26:K28)=0,0,Pav_Dados!K25)</f>
        <v>0</v>
      </c>
      <c r="K29" s="2114">
        <f>IF(SUM(Pav_Dados!L26:L28)=0,0,Pav_Dados!L25)</f>
        <v>0</v>
      </c>
      <c r="L29" s="2114">
        <f>IF(SUM(Pav_Dados!M26:M28)=0,0,Pav_Dados!M25)</f>
        <v>0</v>
      </c>
      <c r="M29" s="2114">
        <f>IF(SUM(Pav_Dados!N26:N28)=0,0,Pav_Dados!N25)</f>
        <v>0</v>
      </c>
      <c r="N29" s="2114">
        <f>IF(SUM(Pav_Dados!O26:O28)=0,0,Pav_Dados!O25)</f>
        <v>0</v>
      </c>
      <c r="O29" s="2114">
        <f>IF(SUM(Pav_Dados!P26:P28)=0,0,Pav_Dados!P25)</f>
        <v>0</v>
      </c>
      <c r="P29" s="2114">
        <f>IF(SUM(Pav_Dados!Q26:Q28)=0,0,Pav_Dados!Q25)</f>
        <v>0</v>
      </c>
      <c r="Q29" s="2114">
        <f>IF(SUM(Pav_Dados!R26:R28)=0,0,Pav_Dados!R25)</f>
        <v>0</v>
      </c>
      <c r="R29" s="2114">
        <f>IF(SUM(Pav_Dados!S26:S28)=0,0,Pav_Dados!S25)</f>
        <v>0</v>
      </c>
      <c r="S29" s="2114">
        <f>IF(SUM(Pav_Dados!T26:T28)=0,0,Pav_Dados!T25)</f>
        <v>0</v>
      </c>
      <c r="T29" s="2114">
        <f>IF(SUM(Pav_Dados!U26:U28)=0,0,Pav_Dados!U25)</f>
        <v>0</v>
      </c>
      <c r="U29" s="2114">
        <f>IF(SUM(Pav_Dados!V26:V28)=0,0,Pav_Dados!V25)</f>
        <v>0</v>
      </c>
      <c r="V29" s="2114">
        <f>IF(SUM(Pav_Dados!W26:W28)=0,0,Pav_Dados!W25)</f>
        <v>0</v>
      </c>
      <c r="W29" s="2114">
        <f>IF(SUM(Pav_Dados!X26:X28)=0,0,Pav_Dados!X25)</f>
        <v>0</v>
      </c>
      <c r="X29" s="2114"/>
      <c r="Y29" s="534">
        <f t="shared" si="4"/>
        <v>0</v>
      </c>
      <c r="Z29" s="579">
        <f t="shared" si="5"/>
        <v>0</v>
      </c>
    </row>
    <row r="30" spans="1:26" s="68" customFormat="1" ht="21.95" hidden="1" customHeight="1" x14ac:dyDescent="0.15">
      <c r="A30" s="2596"/>
      <c r="B30" s="2909"/>
      <c r="C30" s="543" t="s">
        <v>954</v>
      </c>
      <c r="D30" s="982"/>
      <c r="E30" s="1345"/>
      <c r="F30" s="8">
        <f>IF(F29=0,0,IF(Pav_Dados!G26=0,Pav_Dados!G28/F32,Pav_Dados!G26))</f>
        <v>0</v>
      </c>
      <c r="G30" s="8">
        <f>IF(G29=0,0,IF(Pav_Dados!H26=0,Pav_Dados!H28/G32,Pav_Dados!H26))</f>
        <v>0</v>
      </c>
      <c r="H30" s="8">
        <f>IF(H29=0,0,IF(Pav_Dados!I26=0,Pav_Dados!I28/H32,Pav_Dados!I26))</f>
        <v>0</v>
      </c>
      <c r="I30" s="8">
        <f>IF(I29=0,0,IF(Pav_Dados!J26=0,Pav_Dados!J28/I32,Pav_Dados!J26))</f>
        <v>0</v>
      </c>
      <c r="J30" s="8">
        <f>IF(J29=0,0,IF(Pav_Dados!K26=0,Pav_Dados!K28/J32,Pav_Dados!K26))</f>
        <v>0</v>
      </c>
      <c r="K30" s="8">
        <f>IF(K29=0,0,IF(Pav_Dados!L26=0,Pav_Dados!L28/K32,Pav_Dados!L26))</f>
        <v>0</v>
      </c>
      <c r="L30" s="8">
        <f>IF(L29=0,0,IF(Pav_Dados!M26=0,Pav_Dados!M28/L32,Pav_Dados!M26))</f>
        <v>0</v>
      </c>
      <c r="M30" s="8">
        <f>IF(M29=0,0,IF(Pav_Dados!N26=0,Pav_Dados!N28/M32,Pav_Dados!N26))</f>
        <v>0</v>
      </c>
      <c r="N30" s="8">
        <f>IF(N29=0,0,IF(Pav_Dados!O26=0,Pav_Dados!O28/N32,Pav_Dados!O26))</f>
        <v>0</v>
      </c>
      <c r="O30" s="8">
        <f>IF(O29=0,0,IF(Pav_Dados!P26=0,Pav_Dados!P28/O32,Pav_Dados!P26))</f>
        <v>0</v>
      </c>
      <c r="P30" s="8">
        <f>IF(P29=0,0,IF(Pav_Dados!Q26=0,Pav_Dados!Q28/P32,Pav_Dados!Q26))</f>
        <v>0</v>
      </c>
      <c r="Q30" s="8">
        <f>IF(Q29=0,0,IF(Pav_Dados!R26=0,Pav_Dados!R28/Q32,Pav_Dados!R26))</f>
        <v>0</v>
      </c>
      <c r="R30" s="8">
        <f>IF(R29=0,0,IF(Pav_Dados!S26=0,Pav_Dados!S28/R32,Pav_Dados!S26))</f>
        <v>0</v>
      </c>
      <c r="S30" s="8">
        <f>IF(S29=0,0,IF(Pav_Dados!T26=0,Pav_Dados!T28/S32,Pav_Dados!T26))</f>
        <v>0</v>
      </c>
      <c r="T30" s="8">
        <f>IF(T29=0,0,IF(Pav_Dados!U26=0,Pav_Dados!U28/T32,Pav_Dados!U26))</f>
        <v>0</v>
      </c>
      <c r="U30" s="8">
        <f>IF(U29=0,0,IF(Pav_Dados!V26=0,Pav_Dados!V28/U32,Pav_Dados!V26))</f>
        <v>0</v>
      </c>
      <c r="V30" s="8">
        <f>IF(V29=0,0,IF(Pav_Dados!W26=0,Pav_Dados!W28/V32,Pav_Dados!W26))</f>
        <v>0</v>
      </c>
      <c r="W30" s="8">
        <f>IF(W29=0,0,IF(Pav_Dados!X26=0,Pav_Dados!X28/W32,Pav_Dados!X26))</f>
        <v>0</v>
      </c>
      <c r="X30" s="8"/>
      <c r="Y30" s="534"/>
      <c r="Z30" s="579">
        <f t="shared" si="5"/>
        <v>0</v>
      </c>
    </row>
    <row r="31" spans="1:26" s="6" customFormat="1" ht="21.95" hidden="1" customHeight="1" x14ac:dyDescent="0.15">
      <c r="A31" s="2596"/>
      <c r="B31" s="2909"/>
      <c r="C31" s="543" t="s">
        <v>955</v>
      </c>
      <c r="D31" s="982"/>
      <c r="E31" s="1345"/>
      <c r="F31" s="2332">
        <f>IF(F29=0,0,IF(Pav_Dados!G27&gt;0,Pav_Dados!G27,F78))</f>
        <v>0</v>
      </c>
      <c r="G31" s="2332">
        <f>IF(G29=0,0,IF(Pav_Dados!H27&gt;0,Pav_Dados!H27,G78))</f>
        <v>0</v>
      </c>
      <c r="H31" s="2332">
        <f>IF(H29=0,0,IF(Pav_Dados!I27&gt;0,Pav_Dados!I27,H78))</f>
        <v>0</v>
      </c>
      <c r="I31" s="2332">
        <f>IF(I29=0,0,IF(Pav_Dados!J27&gt;0,Pav_Dados!J27,I78))</f>
        <v>0</v>
      </c>
      <c r="J31" s="2332">
        <f>IF(J29=0,0,IF(Pav_Dados!K27&gt;0,Pav_Dados!K27,J78))</f>
        <v>0</v>
      </c>
      <c r="K31" s="2332">
        <f>IF(K29=0,0,IF(Pav_Dados!L27&gt;0,Pav_Dados!L27,K78))</f>
        <v>0</v>
      </c>
      <c r="L31" s="2332">
        <f>IF(L29=0,0,IF(Pav_Dados!M27&gt;0,Pav_Dados!M27,L78))</f>
        <v>0</v>
      </c>
      <c r="M31" s="2332">
        <f>IF(M29=0,0,IF(Pav_Dados!N27&gt;0,Pav_Dados!N27,M78))</f>
        <v>0</v>
      </c>
      <c r="N31" s="2332">
        <f>IF(N29=0,0,IF(Pav_Dados!O27&gt;0,Pav_Dados!O27,N78))</f>
        <v>0</v>
      </c>
      <c r="O31" s="2332">
        <f>IF(O29=0,0,IF(Pav_Dados!P27&gt;0,Pav_Dados!P27,O78))</f>
        <v>0</v>
      </c>
      <c r="P31" s="2332">
        <f>IF(P29=0,0,IF(Pav_Dados!Q27&gt;0,Pav_Dados!Q27,P78))</f>
        <v>0</v>
      </c>
      <c r="Q31" s="2332">
        <f>IF(Q29=0,0,IF(Pav_Dados!R27&gt;0,Pav_Dados!R27,Q78))</f>
        <v>0</v>
      </c>
      <c r="R31" s="2332">
        <f>IF(R29=0,0,IF(Pav_Dados!S27&gt;0,Pav_Dados!S27,R78))</f>
        <v>0</v>
      </c>
      <c r="S31" s="2332">
        <f>IF(S29=0,0,IF(Pav_Dados!T27&gt;0,Pav_Dados!T27,S78))</f>
        <v>0</v>
      </c>
      <c r="T31" s="2332">
        <f>IF(T29=0,0,IF(Pav_Dados!U27&gt;0,Pav_Dados!U27,T78))</f>
        <v>0</v>
      </c>
      <c r="U31" s="2332">
        <f>IF(U29=0,0,IF(Pav_Dados!V27&gt;0,Pav_Dados!V27,U78))</f>
        <v>0</v>
      </c>
      <c r="V31" s="2332">
        <f>IF(V29=0,0,IF(Pav_Dados!W27&gt;0,Pav_Dados!W27,V78))</f>
        <v>0</v>
      </c>
      <c r="W31" s="2332">
        <f>IF(W29=0,0,IF(Pav_Dados!X27&gt;0,Pav_Dados!X27,W78))</f>
        <v>0</v>
      </c>
      <c r="X31" s="2332"/>
      <c r="Y31" s="1080"/>
      <c r="Z31" s="579">
        <f t="shared" si="5"/>
        <v>0</v>
      </c>
    </row>
    <row r="32" spans="1:26" s="6" customFormat="1" ht="21.95" hidden="1" customHeight="1" x14ac:dyDescent="0.15">
      <c r="A32" s="2596"/>
      <c r="B32" s="2812"/>
      <c r="C32" s="543" t="s">
        <v>29</v>
      </c>
      <c r="D32" s="982"/>
      <c r="E32" s="1345"/>
      <c r="F32" s="8">
        <f t="shared" ref="F32:W32" si="7">IF(F29=0,0,IF(F31=F78,F80,F29*F31))</f>
        <v>0</v>
      </c>
      <c r="G32" s="8">
        <f t="shared" si="7"/>
        <v>0</v>
      </c>
      <c r="H32" s="8">
        <f t="shared" si="7"/>
        <v>0</v>
      </c>
      <c r="I32" s="8">
        <f t="shared" si="7"/>
        <v>0</v>
      </c>
      <c r="J32" s="8">
        <f t="shared" si="7"/>
        <v>0</v>
      </c>
      <c r="K32" s="8">
        <f t="shared" si="7"/>
        <v>0</v>
      </c>
      <c r="L32" s="8">
        <f t="shared" si="7"/>
        <v>0</v>
      </c>
      <c r="M32" s="8">
        <f t="shared" si="7"/>
        <v>0</v>
      </c>
      <c r="N32" s="8">
        <f t="shared" si="7"/>
        <v>0</v>
      </c>
      <c r="O32" s="8">
        <f t="shared" si="7"/>
        <v>0</v>
      </c>
      <c r="P32" s="8">
        <f t="shared" si="7"/>
        <v>0</v>
      </c>
      <c r="Q32" s="8">
        <f t="shared" si="7"/>
        <v>0</v>
      </c>
      <c r="R32" s="8">
        <f t="shared" si="7"/>
        <v>0</v>
      </c>
      <c r="S32" s="8">
        <f t="shared" si="7"/>
        <v>0</v>
      </c>
      <c r="T32" s="8">
        <f t="shared" si="7"/>
        <v>0</v>
      </c>
      <c r="U32" s="8">
        <f t="shared" si="7"/>
        <v>0</v>
      </c>
      <c r="V32" s="8">
        <f t="shared" si="7"/>
        <v>0</v>
      </c>
      <c r="W32" s="8">
        <f t="shared" si="7"/>
        <v>0</v>
      </c>
      <c r="X32" s="8"/>
      <c r="Y32" s="534">
        <f>TRUNC(SUM(F32:X32),2)</f>
        <v>0</v>
      </c>
      <c r="Z32" s="579">
        <f t="shared" si="5"/>
        <v>0</v>
      </c>
    </row>
    <row r="33" spans="1:26" s="6" customFormat="1" ht="21.95" hidden="1" customHeight="1" x14ac:dyDescent="0.15">
      <c r="A33" s="2596"/>
      <c r="B33" s="2812"/>
      <c r="C33" s="543" t="s">
        <v>1908</v>
      </c>
      <c r="D33" s="982"/>
      <c r="E33" s="1345"/>
      <c r="F33" s="8">
        <f>IF(F30&gt;0,F32*F30,Pav_Dados!G28)</f>
        <v>0</v>
      </c>
      <c r="G33" s="8">
        <f>IF(G30&gt;0,G32*G30,Pav_Dados!H28)</f>
        <v>0</v>
      </c>
      <c r="H33" s="8">
        <f>IF(H30&gt;0,H32*H30,Pav_Dados!I28)</f>
        <v>0</v>
      </c>
      <c r="I33" s="8">
        <f>IF(I30&gt;0,I32*I30,Pav_Dados!J28)</f>
        <v>0</v>
      </c>
      <c r="J33" s="8">
        <f>IF(J30&gt;0,J32*J30,Pav_Dados!K28)</f>
        <v>0</v>
      </c>
      <c r="K33" s="8">
        <f>IF(K30&gt;0,K32*K30,Pav_Dados!L28)</f>
        <v>0</v>
      </c>
      <c r="L33" s="8">
        <f>IF(L30&gt;0,L32*L30,Pav_Dados!M28)</f>
        <v>0</v>
      </c>
      <c r="M33" s="8">
        <f>IF(M30&gt;0,M32*M30,Pav_Dados!N28)</f>
        <v>0</v>
      </c>
      <c r="N33" s="8">
        <f>IF(N30&gt;0,N32*N30,Pav_Dados!O28)</f>
        <v>0</v>
      </c>
      <c r="O33" s="8">
        <f>IF(O30&gt;0,O32*O30,Pav_Dados!P28)</f>
        <v>0</v>
      </c>
      <c r="P33" s="8">
        <f>IF(P30&gt;0,P32*P30,Pav_Dados!Q28)</f>
        <v>0</v>
      </c>
      <c r="Q33" s="8">
        <f>IF(Q30&gt;0,Q32*Q30,Pav_Dados!R28)</f>
        <v>0</v>
      </c>
      <c r="R33" s="8">
        <f>IF(R30&gt;0,R32*R30,Pav_Dados!S28)</f>
        <v>0</v>
      </c>
      <c r="S33" s="8">
        <f>IF(S30&gt;0,S32*S30,Pav_Dados!T28)</f>
        <v>0</v>
      </c>
      <c r="T33" s="8">
        <f>IF(T30&gt;0,T32*T30,Pav_Dados!U28)</f>
        <v>0</v>
      </c>
      <c r="U33" s="8">
        <f>IF(U30&gt;0,U32*U30,Pav_Dados!V28)</f>
        <v>0</v>
      </c>
      <c r="V33" s="8">
        <f>IF(V30&gt;0,V32*V30,Pav_Dados!W28)</f>
        <v>0</v>
      </c>
      <c r="W33" s="8">
        <f>IF(W30&gt;0,W32*W30,Pav_Dados!X28)</f>
        <v>0</v>
      </c>
      <c r="X33" s="8"/>
      <c r="Y33" s="512">
        <f>TRUNC(SUM(F33:X33),2)</f>
        <v>0</v>
      </c>
      <c r="Z33" s="579">
        <f t="shared" si="5"/>
        <v>0</v>
      </c>
    </row>
    <row r="34" spans="1:26" s="6" customFormat="1" ht="21.95" hidden="1" customHeight="1" x14ac:dyDescent="0.15">
      <c r="A34" s="2596"/>
      <c r="B34" s="2812"/>
      <c r="C34" s="543" t="s">
        <v>1326</v>
      </c>
      <c r="D34" s="982"/>
      <c r="E34" s="1345"/>
      <c r="F34" s="8">
        <f t="shared" ref="F34:W34" si="8">F33*0.1</f>
        <v>0</v>
      </c>
      <c r="G34" s="8">
        <f t="shared" si="8"/>
        <v>0</v>
      </c>
      <c r="H34" s="8">
        <f t="shared" si="8"/>
        <v>0</v>
      </c>
      <c r="I34" s="8">
        <f t="shared" si="8"/>
        <v>0</v>
      </c>
      <c r="J34" s="8">
        <f t="shared" si="8"/>
        <v>0</v>
      </c>
      <c r="K34" s="8">
        <f t="shared" si="8"/>
        <v>0</v>
      </c>
      <c r="L34" s="8">
        <f t="shared" si="8"/>
        <v>0</v>
      </c>
      <c r="M34" s="8">
        <f t="shared" si="8"/>
        <v>0</v>
      </c>
      <c r="N34" s="8">
        <f t="shared" si="8"/>
        <v>0</v>
      </c>
      <c r="O34" s="8">
        <f t="shared" si="8"/>
        <v>0</v>
      </c>
      <c r="P34" s="8">
        <f t="shared" si="8"/>
        <v>0</v>
      </c>
      <c r="Q34" s="8">
        <f t="shared" si="8"/>
        <v>0</v>
      </c>
      <c r="R34" s="8">
        <f t="shared" si="8"/>
        <v>0</v>
      </c>
      <c r="S34" s="8">
        <f t="shared" si="8"/>
        <v>0</v>
      </c>
      <c r="T34" s="8">
        <f t="shared" si="8"/>
        <v>0</v>
      </c>
      <c r="U34" s="8">
        <f t="shared" si="8"/>
        <v>0</v>
      </c>
      <c r="V34" s="8">
        <f t="shared" si="8"/>
        <v>0</v>
      </c>
      <c r="W34" s="8">
        <f t="shared" si="8"/>
        <v>0</v>
      </c>
      <c r="X34" s="8"/>
      <c r="Y34" s="534">
        <f>TRUNC(SUM(F34:X34),2)</f>
        <v>0</v>
      </c>
      <c r="Z34" s="579">
        <f t="shared" si="5"/>
        <v>0</v>
      </c>
    </row>
    <row r="35" spans="1:26" s="6" customFormat="1" ht="21.95" hidden="1" customHeight="1" thickBot="1" x14ac:dyDescent="0.2">
      <c r="A35" s="2596"/>
      <c r="B35" s="2910"/>
      <c r="C35" s="546" t="s">
        <v>733</v>
      </c>
      <c r="D35" s="1377"/>
      <c r="E35" s="1270"/>
      <c r="F35" s="215">
        <f t="shared" ref="F35:W35" si="9">F33*1.3</f>
        <v>0</v>
      </c>
      <c r="G35" s="215">
        <f t="shared" si="9"/>
        <v>0</v>
      </c>
      <c r="H35" s="215">
        <f t="shared" si="9"/>
        <v>0</v>
      </c>
      <c r="I35" s="215">
        <f t="shared" si="9"/>
        <v>0</v>
      </c>
      <c r="J35" s="215">
        <f t="shared" si="9"/>
        <v>0</v>
      </c>
      <c r="K35" s="215">
        <f t="shared" si="9"/>
        <v>0</v>
      </c>
      <c r="L35" s="215">
        <f t="shared" si="9"/>
        <v>0</v>
      </c>
      <c r="M35" s="215">
        <f t="shared" si="9"/>
        <v>0</v>
      </c>
      <c r="N35" s="215">
        <f t="shared" si="9"/>
        <v>0</v>
      </c>
      <c r="O35" s="215">
        <f t="shared" si="9"/>
        <v>0</v>
      </c>
      <c r="P35" s="215">
        <f t="shared" si="9"/>
        <v>0</v>
      </c>
      <c r="Q35" s="215">
        <f t="shared" si="9"/>
        <v>0</v>
      </c>
      <c r="R35" s="215">
        <f t="shared" si="9"/>
        <v>0</v>
      </c>
      <c r="S35" s="215">
        <f t="shared" si="9"/>
        <v>0</v>
      </c>
      <c r="T35" s="215">
        <f t="shared" si="9"/>
        <v>0</v>
      </c>
      <c r="U35" s="215">
        <f t="shared" si="9"/>
        <v>0</v>
      </c>
      <c r="V35" s="215">
        <f t="shared" si="9"/>
        <v>0</v>
      </c>
      <c r="W35" s="215">
        <f t="shared" si="9"/>
        <v>0</v>
      </c>
      <c r="X35" s="215"/>
      <c r="Y35" s="665">
        <f>TRUNC(SUM(F35:X35),2)</f>
        <v>0</v>
      </c>
      <c r="Z35" s="579">
        <f t="shared" si="5"/>
        <v>0</v>
      </c>
    </row>
    <row r="36" spans="1:26" s="6" customFormat="1" ht="21.95" hidden="1" customHeight="1" x14ac:dyDescent="0.15">
      <c r="A36" s="2596"/>
      <c r="B36" s="2908" t="s">
        <v>53</v>
      </c>
      <c r="C36" s="542" t="s">
        <v>3</v>
      </c>
      <c r="D36" s="982"/>
      <c r="E36" s="1345"/>
      <c r="F36" s="2114">
        <f>IF(SUM(Pav_Dados!G30:G32)=0,0,Pav_Dados!G29)</f>
        <v>0</v>
      </c>
      <c r="G36" s="2114">
        <f>IF(SUM(Pav_Dados!H30:H32)=0,0,Pav_Dados!H29)</f>
        <v>0</v>
      </c>
      <c r="H36" s="2114">
        <f>IF(SUM(Pav_Dados!I30:I32)=0,0,Pav_Dados!I29)</f>
        <v>0</v>
      </c>
      <c r="I36" s="2114">
        <f>IF(SUM(Pav_Dados!J30:J32)=0,0,Pav_Dados!J29)</f>
        <v>0</v>
      </c>
      <c r="J36" s="2114">
        <f>IF(SUM(Pav_Dados!K30:K32)=0,0,Pav_Dados!K29)</f>
        <v>0</v>
      </c>
      <c r="K36" s="2114">
        <f>IF(SUM(Pav_Dados!L30:L32)=0,0,Pav_Dados!L29)</f>
        <v>0</v>
      </c>
      <c r="L36" s="2114">
        <f>IF(SUM(Pav_Dados!M30:M32)=0,0,Pav_Dados!M29)</f>
        <v>0</v>
      </c>
      <c r="M36" s="2114">
        <f>IF(SUM(Pav_Dados!N30:N32)=0,0,Pav_Dados!N29)</f>
        <v>0</v>
      </c>
      <c r="N36" s="2114">
        <f>IF(SUM(Pav_Dados!O30:O32)=0,0,Pav_Dados!O29)</f>
        <v>0</v>
      </c>
      <c r="O36" s="2114">
        <f>IF(SUM(Pav_Dados!P30:P32)=0,0,Pav_Dados!P29)</f>
        <v>0</v>
      </c>
      <c r="P36" s="2114">
        <f>IF(SUM(Pav_Dados!Q30:Q32)=0,0,Pav_Dados!Q29)</f>
        <v>0</v>
      </c>
      <c r="Q36" s="2114">
        <f>IF(SUM(Pav_Dados!R30:R32)=0,0,Pav_Dados!R29)</f>
        <v>0</v>
      </c>
      <c r="R36" s="2114">
        <f>IF(SUM(Pav_Dados!S30:S32)=0,0,Pav_Dados!S29)</f>
        <v>0</v>
      </c>
      <c r="S36" s="2114">
        <f>IF(SUM(Pav_Dados!T30:T32)=0,0,Pav_Dados!T29)</f>
        <v>0</v>
      </c>
      <c r="T36" s="2114">
        <f>IF(SUM(Pav_Dados!U30:U32)=0,0,Pav_Dados!U29)</f>
        <v>0</v>
      </c>
      <c r="U36" s="2114">
        <f>IF(SUM(Pav_Dados!V30:V32)=0,0,Pav_Dados!V29)</f>
        <v>0</v>
      </c>
      <c r="V36" s="2114">
        <f>IF(SUM(Pav_Dados!W30:W32)=0,0,Pav_Dados!W29)</f>
        <v>0</v>
      </c>
      <c r="W36" s="2114">
        <f>IF(SUM(Pav_Dados!X30:X32)=0,0,Pav_Dados!X29)</f>
        <v>0</v>
      </c>
      <c r="X36" s="2114"/>
      <c r="Y36" s="534">
        <f>TRUNC(SUM(F36:X36),2)</f>
        <v>0</v>
      </c>
      <c r="Z36" s="579">
        <f t="shared" si="5"/>
        <v>0</v>
      </c>
    </row>
    <row r="37" spans="1:26" s="6" customFormat="1" ht="21.95" hidden="1" customHeight="1" x14ac:dyDescent="0.15">
      <c r="A37" s="2596"/>
      <c r="B37" s="2909"/>
      <c r="C37" s="543" t="s">
        <v>954</v>
      </c>
      <c r="D37" s="982"/>
      <c r="E37" s="1345"/>
      <c r="F37" s="8">
        <f>IF(F36=0,0,IF(Pav_Dados!G30=0,Pav_Dados!G32/F39,Pav_Dados!G30))</f>
        <v>0</v>
      </c>
      <c r="G37" s="8">
        <f>IF(G36=0,0,IF(Pav_Dados!H30=0,Pav_Dados!H32/G39,Pav_Dados!H30))</f>
        <v>0</v>
      </c>
      <c r="H37" s="8">
        <f>IF(H36=0,0,IF(Pav_Dados!I30=0,Pav_Dados!I32/H39,Pav_Dados!I30))</f>
        <v>0</v>
      </c>
      <c r="I37" s="8">
        <f>IF(I36=0,0,IF(Pav_Dados!J30=0,Pav_Dados!J32/I39,Pav_Dados!J30))</f>
        <v>0</v>
      </c>
      <c r="J37" s="8">
        <f>IF(J36=0,0,IF(Pav_Dados!K30=0,Pav_Dados!K32/J39,Pav_Dados!K30))</f>
        <v>0</v>
      </c>
      <c r="K37" s="8">
        <f>IF(K36=0,0,IF(Pav_Dados!L30=0,Pav_Dados!L32/K39,Pav_Dados!L30))</f>
        <v>0</v>
      </c>
      <c r="L37" s="8">
        <f>IF(L36=0,0,IF(Pav_Dados!M30=0,Pav_Dados!M32/L39,Pav_Dados!M30))</f>
        <v>0</v>
      </c>
      <c r="M37" s="8">
        <f>IF(M36=0,0,IF(Pav_Dados!N30=0,Pav_Dados!N32/M39,Pav_Dados!N30))</f>
        <v>0</v>
      </c>
      <c r="N37" s="8">
        <f>IF(N36=0,0,IF(Pav_Dados!O30=0,Pav_Dados!O32/N39,Pav_Dados!O30))</f>
        <v>0</v>
      </c>
      <c r="O37" s="8">
        <f>IF(O36=0,0,IF(Pav_Dados!P30=0,Pav_Dados!P32/O39,Pav_Dados!P30))</f>
        <v>0</v>
      </c>
      <c r="P37" s="8">
        <f>IF(P36=0,0,IF(Pav_Dados!Q30=0,Pav_Dados!Q32/P39,Pav_Dados!Q30))</f>
        <v>0</v>
      </c>
      <c r="Q37" s="8">
        <f>IF(Q36=0,0,IF(Pav_Dados!R30=0,Pav_Dados!R32/Q39,Pav_Dados!R30))</f>
        <v>0</v>
      </c>
      <c r="R37" s="8">
        <f>IF(R36=0,0,IF(Pav_Dados!S30=0,Pav_Dados!S32/R39,Pav_Dados!S30))</f>
        <v>0</v>
      </c>
      <c r="S37" s="8">
        <f>IF(S36=0,0,IF(Pav_Dados!T30=0,Pav_Dados!T32/S39,Pav_Dados!T30))</f>
        <v>0</v>
      </c>
      <c r="T37" s="8">
        <f>IF(T36=0,0,IF(Pav_Dados!U30=0,Pav_Dados!U32/T39,Pav_Dados!U30))</f>
        <v>0</v>
      </c>
      <c r="U37" s="8">
        <f>IF(U36=0,0,IF(Pav_Dados!V30=0,Pav_Dados!V32/U39,Pav_Dados!V30))</f>
        <v>0</v>
      </c>
      <c r="V37" s="8">
        <f>IF(V36=0,0,IF(Pav_Dados!W30=0,Pav_Dados!W32/V39,Pav_Dados!W30))</f>
        <v>0</v>
      </c>
      <c r="W37" s="8">
        <f>IF(W36=0,0,IF(Pav_Dados!X30=0,Pav_Dados!X32/W39,Pav_Dados!X30))</f>
        <v>0</v>
      </c>
      <c r="X37" s="8"/>
      <c r="Y37" s="534"/>
      <c r="Z37" s="579">
        <f t="shared" si="5"/>
        <v>0</v>
      </c>
    </row>
    <row r="38" spans="1:26" s="6" customFormat="1" ht="21.95" hidden="1" customHeight="1" x14ac:dyDescent="0.15">
      <c r="A38" s="2596"/>
      <c r="B38" s="2909"/>
      <c r="C38" s="543" t="s">
        <v>955</v>
      </c>
      <c r="D38" s="982"/>
      <c r="E38" s="1345"/>
      <c r="F38" s="2332">
        <f>IF(F36=0,0,IF(Pav_Dados!G31&gt;0,Pav_Dados!G31,F78))</f>
        <v>0</v>
      </c>
      <c r="G38" s="2332">
        <f>IF(G36=0,0,IF(Pav_Dados!H31&gt;0,Pav_Dados!H31,G78))</f>
        <v>0</v>
      </c>
      <c r="H38" s="2332">
        <f>IF(H36=0,0,IF(Pav_Dados!I31&gt;0,Pav_Dados!I31,H78))</f>
        <v>0</v>
      </c>
      <c r="I38" s="2332">
        <f>IF(I36=0,0,IF(Pav_Dados!J31&gt;0,Pav_Dados!J31,I78))</f>
        <v>0</v>
      </c>
      <c r="J38" s="2332">
        <f>IF(J36=0,0,IF(Pav_Dados!K31&gt;0,Pav_Dados!K31,J78))</f>
        <v>0</v>
      </c>
      <c r="K38" s="2332">
        <f>IF(K36=0,0,IF(Pav_Dados!L31&gt;0,Pav_Dados!L31,K78))</f>
        <v>0</v>
      </c>
      <c r="L38" s="2332">
        <f>IF(L36=0,0,IF(Pav_Dados!M31&gt;0,Pav_Dados!M31,L78))</f>
        <v>0</v>
      </c>
      <c r="M38" s="2332">
        <f>IF(M36=0,0,IF(Pav_Dados!N31&gt;0,Pav_Dados!N31,M78))</f>
        <v>0</v>
      </c>
      <c r="N38" s="2332">
        <f>IF(N36=0,0,IF(Pav_Dados!O31&gt;0,Pav_Dados!O31,N78))</f>
        <v>0</v>
      </c>
      <c r="O38" s="2332">
        <f>IF(O36=0,0,IF(Pav_Dados!P31&gt;0,Pav_Dados!P31,O78))</f>
        <v>0</v>
      </c>
      <c r="P38" s="2332">
        <f>IF(P36=0,0,IF(Pav_Dados!Q31&gt;0,Pav_Dados!Q31,P78))</f>
        <v>0</v>
      </c>
      <c r="Q38" s="2332">
        <f>IF(Q36=0,0,IF(Pav_Dados!R31&gt;0,Pav_Dados!R31,Q78))</f>
        <v>0</v>
      </c>
      <c r="R38" s="2332">
        <f>IF(R36=0,0,IF(Pav_Dados!S31&gt;0,Pav_Dados!S31,R78))</f>
        <v>0</v>
      </c>
      <c r="S38" s="2332">
        <f>IF(S36=0,0,IF(Pav_Dados!T31&gt;0,Pav_Dados!T31,S78))</f>
        <v>0</v>
      </c>
      <c r="T38" s="2332">
        <f>IF(T36=0,0,IF(Pav_Dados!U31&gt;0,Pav_Dados!U31,T78))</f>
        <v>0</v>
      </c>
      <c r="U38" s="2332">
        <f>IF(U36=0,0,IF(Pav_Dados!V31&gt;0,Pav_Dados!V31,U78))</f>
        <v>0</v>
      </c>
      <c r="V38" s="2332">
        <f>IF(V36=0,0,IF(Pav_Dados!W31&gt;0,Pav_Dados!W31,V78))</f>
        <v>0</v>
      </c>
      <c r="W38" s="2332">
        <f>IF(W36=0,0,IF(Pav_Dados!X31&gt;0,Pav_Dados!X31,W78))</f>
        <v>0</v>
      </c>
      <c r="X38" s="2332"/>
      <c r="Y38" s="1080"/>
      <c r="Z38" s="579">
        <f t="shared" si="5"/>
        <v>0</v>
      </c>
    </row>
    <row r="39" spans="1:26" s="6" customFormat="1" ht="21.95" hidden="1" customHeight="1" x14ac:dyDescent="0.15">
      <c r="A39" s="2596"/>
      <c r="B39" s="2812"/>
      <c r="C39" s="543" t="s">
        <v>29</v>
      </c>
      <c r="D39" s="982"/>
      <c r="E39" s="1345"/>
      <c r="F39" s="8">
        <f t="shared" ref="F39:W39" si="10">IF(F36=0,0,IF(F38=F78,F80,F36*F38))</f>
        <v>0</v>
      </c>
      <c r="G39" s="8">
        <f t="shared" si="10"/>
        <v>0</v>
      </c>
      <c r="H39" s="8">
        <f t="shared" si="10"/>
        <v>0</v>
      </c>
      <c r="I39" s="8">
        <f t="shared" si="10"/>
        <v>0</v>
      </c>
      <c r="J39" s="8">
        <f t="shared" si="10"/>
        <v>0</v>
      </c>
      <c r="K39" s="8">
        <f t="shared" si="10"/>
        <v>0</v>
      </c>
      <c r="L39" s="8">
        <f t="shared" si="10"/>
        <v>0</v>
      </c>
      <c r="M39" s="8">
        <f t="shared" si="10"/>
        <v>0</v>
      </c>
      <c r="N39" s="8">
        <f t="shared" si="10"/>
        <v>0</v>
      </c>
      <c r="O39" s="8">
        <f t="shared" si="10"/>
        <v>0</v>
      </c>
      <c r="P39" s="8">
        <f t="shared" si="10"/>
        <v>0</v>
      </c>
      <c r="Q39" s="8">
        <f t="shared" si="10"/>
        <v>0</v>
      </c>
      <c r="R39" s="8">
        <f t="shared" si="10"/>
        <v>0</v>
      </c>
      <c r="S39" s="8">
        <f t="shared" si="10"/>
        <v>0</v>
      </c>
      <c r="T39" s="8">
        <f t="shared" si="10"/>
        <v>0</v>
      </c>
      <c r="U39" s="8">
        <f t="shared" si="10"/>
        <v>0</v>
      </c>
      <c r="V39" s="8">
        <f t="shared" si="10"/>
        <v>0</v>
      </c>
      <c r="W39" s="8">
        <f t="shared" si="10"/>
        <v>0</v>
      </c>
      <c r="X39" s="8"/>
      <c r="Y39" s="534">
        <f>TRUNC(SUM(F39:X39),2)</f>
        <v>0</v>
      </c>
      <c r="Z39" s="579">
        <f t="shared" si="5"/>
        <v>0</v>
      </c>
    </row>
    <row r="40" spans="1:26" s="6" customFormat="1" ht="21.95" hidden="1" customHeight="1" thickBot="1" x14ac:dyDescent="0.2">
      <c r="A40" s="2596"/>
      <c r="B40" s="2910"/>
      <c r="C40" s="543" t="s">
        <v>1908</v>
      </c>
      <c r="D40" s="1377"/>
      <c r="E40" s="1270"/>
      <c r="F40" s="215">
        <f>IF(F37&gt;0,F39*F37,Pav_Dados!G32)</f>
        <v>0</v>
      </c>
      <c r="G40" s="215">
        <f>IF(G37&gt;0,G39*G37,Pav_Dados!H32)</f>
        <v>0</v>
      </c>
      <c r="H40" s="215">
        <f>IF(H37&gt;0,H39*H37,Pav_Dados!I32)</f>
        <v>0</v>
      </c>
      <c r="I40" s="215">
        <f>IF(I37&gt;0,I39*I37,Pav_Dados!J32)</f>
        <v>0</v>
      </c>
      <c r="J40" s="215">
        <f>IF(J37&gt;0,J39*J37,Pav_Dados!K32)</f>
        <v>0</v>
      </c>
      <c r="K40" s="215">
        <f>IF(K37&gt;0,K39*K37,Pav_Dados!L32)</f>
        <v>0</v>
      </c>
      <c r="L40" s="215">
        <f>IF(L37&gt;0,L39*L37,Pav_Dados!M32)</f>
        <v>0</v>
      </c>
      <c r="M40" s="215">
        <f>IF(M37&gt;0,M39*M37,Pav_Dados!N32)</f>
        <v>0</v>
      </c>
      <c r="N40" s="215">
        <f>IF(N37&gt;0,N39*N37,Pav_Dados!O32)</f>
        <v>0</v>
      </c>
      <c r="O40" s="215">
        <f>IF(O37&gt;0,O39*O37,Pav_Dados!P32)</f>
        <v>0</v>
      </c>
      <c r="P40" s="215">
        <f>IF(P37&gt;0,P39*P37,Pav_Dados!Q32)</f>
        <v>0</v>
      </c>
      <c r="Q40" s="215">
        <f>IF(Q37&gt;0,Q39*Q37,Pav_Dados!R32)</f>
        <v>0</v>
      </c>
      <c r="R40" s="215">
        <f>IF(R37&gt;0,R39*R37,Pav_Dados!S32)</f>
        <v>0</v>
      </c>
      <c r="S40" s="215">
        <f>IF(S37&gt;0,S39*S37,Pav_Dados!T32)</f>
        <v>0</v>
      </c>
      <c r="T40" s="215">
        <f>IF(T37&gt;0,T39*T37,Pav_Dados!U32)</f>
        <v>0</v>
      </c>
      <c r="U40" s="215">
        <f>IF(U37&gt;0,U39*U37,Pav_Dados!V32)</f>
        <v>0</v>
      </c>
      <c r="V40" s="215">
        <f>IF(V37&gt;0,V39*V37,Pav_Dados!W32)</f>
        <v>0</v>
      </c>
      <c r="W40" s="215">
        <f>IF(W37&gt;0,W39*W37,Pav_Dados!X32)</f>
        <v>0</v>
      </c>
      <c r="X40" s="215"/>
      <c r="Y40" s="513">
        <f>TRUNC(SUM(F40:X40),2)</f>
        <v>0</v>
      </c>
      <c r="Z40" s="579">
        <f t="shared" si="5"/>
        <v>0</v>
      </c>
    </row>
    <row r="41" spans="1:26" s="6" customFormat="1" ht="21.95" hidden="1" customHeight="1" x14ac:dyDescent="0.15">
      <c r="A41" s="2596"/>
      <c r="B41" s="2757" t="s">
        <v>338</v>
      </c>
      <c r="C41" s="542" t="s">
        <v>3</v>
      </c>
      <c r="D41" s="982"/>
      <c r="E41" s="1344"/>
      <c r="F41" s="216">
        <f>IF(SUM(Pav_Dados!G34:G36)=0,0,Pav_Dados!G33)</f>
        <v>0</v>
      </c>
      <c r="G41" s="216">
        <f>IF(SUM(Pav_Dados!H34:H36)=0,0,Pav_Dados!H33)</f>
        <v>0</v>
      </c>
      <c r="H41" s="216">
        <f>IF(SUM(Pav_Dados!I34:I36)=0,0,Pav_Dados!I33)</f>
        <v>0</v>
      </c>
      <c r="I41" s="216">
        <f>IF(SUM(Pav_Dados!J34:J36)=0,0,Pav_Dados!J33)</f>
        <v>0</v>
      </c>
      <c r="J41" s="216">
        <f>IF(SUM(Pav_Dados!K34:K36)=0,0,Pav_Dados!K33)</f>
        <v>0</v>
      </c>
      <c r="K41" s="216">
        <f>IF(SUM(Pav_Dados!L34:L36)=0,0,Pav_Dados!L33)</f>
        <v>0</v>
      </c>
      <c r="L41" s="216">
        <f>IF(SUM(Pav_Dados!M34:M36)=0,0,Pav_Dados!M33)</f>
        <v>0</v>
      </c>
      <c r="M41" s="216">
        <f>IF(SUM(Pav_Dados!N34:N36)=0,0,Pav_Dados!N33)</f>
        <v>0</v>
      </c>
      <c r="N41" s="216">
        <f>IF(SUM(Pav_Dados!O34:O36)=0,0,Pav_Dados!O33)</f>
        <v>0</v>
      </c>
      <c r="O41" s="216">
        <f>IF(SUM(Pav_Dados!P34:P36)=0,0,Pav_Dados!P33)</f>
        <v>0</v>
      </c>
      <c r="P41" s="216">
        <f>IF(SUM(Pav_Dados!Q34:Q36)=0,0,Pav_Dados!Q33)</f>
        <v>0</v>
      </c>
      <c r="Q41" s="216">
        <f>IF(SUM(Pav_Dados!R34:R36)=0,0,Pav_Dados!R33)</f>
        <v>0</v>
      </c>
      <c r="R41" s="216">
        <f>IF(SUM(Pav_Dados!S34:S36)=0,0,Pav_Dados!S33)</f>
        <v>0</v>
      </c>
      <c r="S41" s="216">
        <f>IF(SUM(Pav_Dados!T34:T36)=0,0,Pav_Dados!T33)</f>
        <v>0</v>
      </c>
      <c r="T41" s="216">
        <f>IF(SUM(Pav_Dados!U34:U36)=0,0,Pav_Dados!U33)</f>
        <v>0</v>
      </c>
      <c r="U41" s="216">
        <f>IF(SUM(Pav_Dados!V34:V36)=0,0,Pav_Dados!V33)</f>
        <v>0</v>
      </c>
      <c r="V41" s="216">
        <f>IF(SUM(Pav_Dados!W34:W36)=0,0,Pav_Dados!W33)</f>
        <v>0</v>
      </c>
      <c r="W41" s="216">
        <f>IF(SUM(Pav_Dados!X34:X36)=0,0,Pav_Dados!X33)</f>
        <v>0</v>
      </c>
      <c r="X41" s="216"/>
      <c r="Y41" s="534">
        <f>TRUNC(SUM(F41:X41),2)</f>
        <v>0</v>
      </c>
      <c r="Z41" s="579">
        <f t="shared" si="5"/>
        <v>0</v>
      </c>
    </row>
    <row r="42" spans="1:26" s="6" customFormat="1" ht="21.95" hidden="1" customHeight="1" x14ac:dyDescent="0.15">
      <c r="A42" s="2596"/>
      <c r="B42" s="2759"/>
      <c r="C42" s="543" t="s">
        <v>954</v>
      </c>
      <c r="D42" s="982"/>
      <c r="E42" s="1345"/>
      <c r="F42" s="8">
        <f>IF(F41=0,0,IF(Pav_Dados!G34=0,Pav_Dados!G36/F44,Pav_Dados!G34))</f>
        <v>0</v>
      </c>
      <c r="G42" s="8">
        <f>IF(G41=0,0,IF(Pav_Dados!H34=0,Pav_Dados!H36/G44,Pav_Dados!H34))</f>
        <v>0</v>
      </c>
      <c r="H42" s="8">
        <f>IF(H41=0,0,IF(Pav_Dados!I34=0,Pav_Dados!I36/H44,Pav_Dados!I34))</f>
        <v>0</v>
      </c>
      <c r="I42" s="8">
        <f>IF(I41=0,0,IF(Pav_Dados!J34=0,Pav_Dados!J36/I44,Pav_Dados!J34))</f>
        <v>0</v>
      </c>
      <c r="J42" s="8">
        <f>IF(J41=0,0,IF(Pav_Dados!K34=0,Pav_Dados!K36/J44,Pav_Dados!K34))</f>
        <v>0</v>
      </c>
      <c r="K42" s="8">
        <f>IF(K41=0,0,IF(Pav_Dados!L34=0,Pav_Dados!L36/K44,Pav_Dados!L34))</f>
        <v>0</v>
      </c>
      <c r="L42" s="8">
        <f>IF(L41=0,0,IF(Pav_Dados!M34=0,Pav_Dados!M36/L44,Pav_Dados!M34))</f>
        <v>0</v>
      </c>
      <c r="M42" s="8">
        <f>IF(M41=0,0,IF(Pav_Dados!N34=0,Pav_Dados!N36/M44,Pav_Dados!N34))</f>
        <v>0</v>
      </c>
      <c r="N42" s="8">
        <f>IF(N41=0,0,IF(Pav_Dados!O34=0,Pav_Dados!O36/N44,Pav_Dados!O34))</f>
        <v>0</v>
      </c>
      <c r="O42" s="8">
        <f>IF(O41=0,0,IF(Pav_Dados!P34=0,Pav_Dados!P36/O44,Pav_Dados!P34))</f>
        <v>0</v>
      </c>
      <c r="P42" s="8">
        <f>IF(P41=0,0,IF(Pav_Dados!Q34=0,Pav_Dados!Q36/P44,Pav_Dados!Q34))</f>
        <v>0</v>
      </c>
      <c r="Q42" s="8">
        <f>IF(Q41=0,0,IF(Pav_Dados!R34=0,Pav_Dados!R36/Q44,Pav_Dados!R34))</f>
        <v>0</v>
      </c>
      <c r="R42" s="8">
        <f>IF(R41=0,0,IF(Pav_Dados!S34=0,Pav_Dados!S36/R44,Pav_Dados!S34))</f>
        <v>0</v>
      </c>
      <c r="S42" s="8">
        <f>IF(S41=0,0,IF(Pav_Dados!T34=0,Pav_Dados!T36/S44,Pav_Dados!T34))</f>
        <v>0</v>
      </c>
      <c r="T42" s="8">
        <f>IF(T41=0,0,IF(Pav_Dados!U34=0,Pav_Dados!U36/T44,Pav_Dados!U34))</f>
        <v>0</v>
      </c>
      <c r="U42" s="8">
        <f>IF(U41=0,0,IF(Pav_Dados!V34=0,Pav_Dados!V36/U44,Pav_Dados!V34))</f>
        <v>0</v>
      </c>
      <c r="V42" s="8">
        <f>IF(V41=0,0,IF(Pav_Dados!W34=0,Pav_Dados!W36/V44,Pav_Dados!W34))</f>
        <v>0</v>
      </c>
      <c r="W42" s="8">
        <f>IF(W41=0,0,IF(Pav_Dados!X34=0,Pav_Dados!X36/W44,Pav_Dados!X34))</f>
        <v>0</v>
      </c>
      <c r="X42" s="8"/>
      <c r="Y42" s="534"/>
      <c r="Z42" s="579">
        <f t="shared" si="5"/>
        <v>0</v>
      </c>
    </row>
    <row r="43" spans="1:26" s="6" customFormat="1" ht="21.95" hidden="1" customHeight="1" x14ac:dyDescent="0.15">
      <c r="A43" s="2596"/>
      <c r="B43" s="2759"/>
      <c r="C43" s="543" t="s">
        <v>58</v>
      </c>
      <c r="D43" s="982"/>
      <c r="E43" s="1345"/>
      <c r="F43" s="8">
        <f>IF(F41=0,0,IF(Pav_Dados!G35&gt;0,Pav_Dados!G35,F78))</f>
        <v>0</v>
      </c>
      <c r="G43" s="8">
        <f>IF(G41=0,0,IF(Pav_Dados!H35&gt;0,Pav_Dados!H35,G78))</f>
        <v>0</v>
      </c>
      <c r="H43" s="8">
        <f>IF(H41=0,0,IF(Pav_Dados!I35&gt;0,Pav_Dados!I35,H78))</f>
        <v>0</v>
      </c>
      <c r="I43" s="8">
        <f>IF(I41=0,0,IF(Pav_Dados!J35&gt;0,Pav_Dados!J35,I78))</f>
        <v>0</v>
      </c>
      <c r="J43" s="8">
        <f>IF(J41=0,0,IF(Pav_Dados!K35&gt;0,Pav_Dados!K35,J78))</f>
        <v>0</v>
      </c>
      <c r="K43" s="8">
        <f>IF(K41=0,0,IF(Pav_Dados!L35&gt;0,Pav_Dados!L35,K78))</f>
        <v>0</v>
      </c>
      <c r="L43" s="8">
        <f>IF(L41=0,0,IF(Pav_Dados!M35&gt;0,Pav_Dados!M35,L78))</f>
        <v>0</v>
      </c>
      <c r="M43" s="8">
        <f>IF(M41=0,0,IF(Pav_Dados!N35&gt;0,Pav_Dados!N35,M78))</f>
        <v>0</v>
      </c>
      <c r="N43" s="8">
        <f>IF(N41=0,0,IF(Pav_Dados!O35&gt;0,Pav_Dados!O35,N78))</f>
        <v>0</v>
      </c>
      <c r="O43" s="8">
        <f>IF(O41=0,0,IF(Pav_Dados!P35&gt;0,Pav_Dados!P35,O78))</f>
        <v>0</v>
      </c>
      <c r="P43" s="8">
        <f>IF(P41=0,0,IF(Pav_Dados!Q35&gt;0,Pav_Dados!Q35,P78))</f>
        <v>0</v>
      </c>
      <c r="Q43" s="8">
        <f>IF(Q41=0,0,IF(Pav_Dados!R35&gt;0,Pav_Dados!R35,Q78))</f>
        <v>0</v>
      </c>
      <c r="R43" s="8">
        <f>IF(R41=0,0,IF(Pav_Dados!S35&gt;0,Pav_Dados!S35,R78))</f>
        <v>0</v>
      </c>
      <c r="S43" s="8">
        <f>IF(S41=0,0,IF(Pav_Dados!T35&gt;0,Pav_Dados!T35,S78))</f>
        <v>0</v>
      </c>
      <c r="T43" s="8">
        <f>IF(T41=0,0,IF(Pav_Dados!U35&gt;0,Pav_Dados!U35,T78))</f>
        <v>0</v>
      </c>
      <c r="U43" s="8">
        <f>IF(U41=0,0,IF(Pav_Dados!V35&gt;0,Pav_Dados!V35,U78))</f>
        <v>0</v>
      </c>
      <c r="V43" s="8">
        <f>IF(V41=0,0,IF(Pav_Dados!W35&gt;0,Pav_Dados!W35,V78))</f>
        <v>0</v>
      </c>
      <c r="W43" s="8">
        <f>IF(W41=0,0,IF(Pav_Dados!X35&gt;0,Pav_Dados!X35,W78))</f>
        <v>0</v>
      </c>
      <c r="X43" s="8"/>
      <c r="Y43" s="1080"/>
      <c r="Z43" s="579">
        <f t="shared" si="5"/>
        <v>0</v>
      </c>
    </row>
    <row r="44" spans="1:26" s="6" customFormat="1" ht="21.95" hidden="1" customHeight="1" x14ac:dyDescent="0.15">
      <c r="A44" s="2596"/>
      <c r="B44" s="2759"/>
      <c r="C44" s="543" t="s">
        <v>29</v>
      </c>
      <c r="D44" s="982"/>
      <c r="E44" s="1345"/>
      <c r="F44" s="8">
        <f t="shared" ref="F44:W44" si="11">IF(F41=0,0,IF(F43=F77,F78,F41*F43))</f>
        <v>0</v>
      </c>
      <c r="G44" s="8">
        <f t="shared" si="11"/>
        <v>0</v>
      </c>
      <c r="H44" s="8">
        <f t="shared" si="11"/>
        <v>0</v>
      </c>
      <c r="I44" s="8">
        <f t="shared" si="11"/>
        <v>0</v>
      </c>
      <c r="J44" s="8">
        <f t="shared" si="11"/>
        <v>0</v>
      </c>
      <c r="K44" s="8">
        <f t="shared" si="11"/>
        <v>0</v>
      </c>
      <c r="L44" s="8">
        <f t="shared" si="11"/>
        <v>0</v>
      </c>
      <c r="M44" s="8">
        <f t="shared" si="11"/>
        <v>0</v>
      </c>
      <c r="N44" s="8">
        <f t="shared" si="11"/>
        <v>0</v>
      </c>
      <c r="O44" s="8">
        <f t="shared" si="11"/>
        <v>0</v>
      </c>
      <c r="P44" s="8">
        <f t="shared" si="11"/>
        <v>0</v>
      </c>
      <c r="Q44" s="8">
        <f t="shared" si="11"/>
        <v>0</v>
      </c>
      <c r="R44" s="8">
        <f t="shared" si="11"/>
        <v>0</v>
      </c>
      <c r="S44" s="8">
        <f t="shared" si="11"/>
        <v>0</v>
      </c>
      <c r="T44" s="8">
        <f t="shared" si="11"/>
        <v>0</v>
      </c>
      <c r="U44" s="8">
        <f t="shared" si="11"/>
        <v>0</v>
      </c>
      <c r="V44" s="8">
        <f t="shared" si="11"/>
        <v>0</v>
      </c>
      <c r="W44" s="8">
        <f t="shared" si="11"/>
        <v>0</v>
      </c>
      <c r="X44" s="8"/>
      <c r="Y44" s="534">
        <f>TRUNC(SUM(F44:X44),2)</f>
        <v>0</v>
      </c>
      <c r="Z44" s="579"/>
    </row>
    <row r="45" spans="1:26" s="6" customFormat="1" ht="21.95" hidden="1" customHeight="1" thickBot="1" x14ac:dyDescent="0.2">
      <c r="A45" s="2596"/>
      <c r="B45" s="2758"/>
      <c r="C45" s="546" t="s">
        <v>11</v>
      </c>
      <c r="D45" s="1377"/>
      <c r="E45" s="1270"/>
      <c r="F45" s="215">
        <f>IF(F42&gt;0,F44*F42,Pav_Dados!G36)</f>
        <v>0</v>
      </c>
      <c r="G45" s="215">
        <f>IF(G42&gt;0,G44*G42,Pav_Dados!H36)</f>
        <v>0</v>
      </c>
      <c r="H45" s="215">
        <f>IF(H42&gt;0,H44*H42,Pav_Dados!I36)</f>
        <v>0</v>
      </c>
      <c r="I45" s="215">
        <f>IF(I42&gt;0,I44*I42,Pav_Dados!J36)</f>
        <v>0</v>
      </c>
      <c r="J45" s="215">
        <f>IF(J42&gt;0,J44*J42,Pav_Dados!K36)</f>
        <v>0</v>
      </c>
      <c r="K45" s="215">
        <f>IF(K42&gt;0,K44*K42,Pav_Dados!L36)</f>
        <v>0</v>
      </c>
      <c r="L45" s="215">
        <f>IF(L42&gt;0,L44*L42,Pav_Dados!M36)</f>
        <v>0</v>
      </c>
      <c r="M45" s="215">
        <f>IF(M42&gt;0,M44*M42,Pav_Dados!N36)</f>
        <v>0</v>
      </c>
      <c r="N45" s="215">
        <f>IF(N42&gt;0,N44*N42,Pav_Dados!O36)</f>
        <v>0</v>
      </c>
      <c r="O45" s="215">
        <f>IF(O42&gt;0,O44*O42,Pav_Dados!P36)</f>
        <v>0</v>
      </c>
      <c r="P45" s="215">
        <f>IF(P42&gt;0,P44*P42,Pav_Dados!Q36)</f>
        <v>0</v>
      </c>
      <c r="Q45" s="215">
        <f>IF(Q42&gt;0,Q44*Q42,Pav_Dados!R36)</f>
        <v>0</v>
      </c>
      <c r="R45" s="215">
        <f>IF(R42&gt;0,R44*R42,Pav_Dados!S36)</f>
        <v>0</v>
      </c>
      <c r="S45" s="215">
        <f>IF(S42&gt;0,S44*S42,Pav_Dados!T36)</f>
        <v>0</v>
      </c>
      <c r="T45" s="215">
        <f>IF(T42&gt;0,T44*T42,Pav_Dados!U36)</f>
        <v>0</v>
      </c>
      <c r="U45" s="215">
        <f>IF(U42&gt;0,U44*U42,Pav_Dados!V36)</f>
        <v>0</v>
      </c>
      <c r="V45" s="215">
        <f>IF(V42&gt;0,V44*V42,Pav_Dados!W36)</f>
        <v>0</v>
      </c>
      <c r="W45" s="215">
        <f>IF(W42&gt;0,W44*W42,Pav_Dados!X36)</f>
        <v>0</v>
      </c>
      <c r="X45" s="215"/>
      <c r="Y45" s="513">
        <f>TRUNC(SUM(F45:X45),2)</f>
        <v>0</v>
      </c>
      <c r="Z45" s="579">
        <f>SUM(F45:Y45)</f>
        <v>0</v>
      </c>
    </row>
    <row r="46" spans="1:26" s="6" customFormat="1" ht="21.95" hidden="1" customHeight="1" x14ac:dyDescent="0.15">
      <c r="A46" s="2596"/>
      <c r="B46" s="2616" t="s">
        <v>2695</v>
      </c>
      <c r="C46" s="542" t="s">
        <v>167</v>
      </c>
      <c r="D46" s="982"/>
      <c r="E46" s="1344"/>
      <c r="F46" s="216">
        <f>Pav_Dados!G37</f>
        <v>0</v>
      </c>
      <c r="G46" s="216">
        <f>Pav_Dados!H37</f>
        <v>0</v>
      </c>
      <c r="H46" s="216">
        <f>Pav_Dados!I37</f>
        <v>0</v>
      </c>
      <c r="I46" s="216">
        <f>Pav_Dados!J37</f>
        <v>0</v>
      </c>
      <c r="J46" s="216">
        <f>Pav_Dados!K37</f>
        <v>0</v>
      </c>
      <c r="K46" s="216">
        <f>Pav_Dados!L37</f>
        <v>0</v>
      </c>
      <c r="L46" s="216">
        <f>Pav_Dados!M37</f>
        <v>0</v>
      </c>
      <c r="M46" s="216">
        <f>Pav_Dados!N37</f>
        <v>0</v>
      </c>
      <c r="N46" s="216">
        <f>Pav_Dados!O37</f>
        <v>0</v>
      </c>
      <c r="O46" s="216">
        <f>Pav_Dados!P37</f>
        <v>0</v>
      </c>
      <c r="P46" s="216">
        <f>Pav_Dados!Q37</f>
        <v>0</v>
      </c>
      <c r="Q46" s="216">
        <f>Pav_Dados!R37</f>
        <v>0</v>
      </c>
      <c r="R46" s="216">
        <f>Pav_Dados!S37</f>
        <v>0</v>
      </c>
      <c r="S46" s="216">
        <f>Pav_Dados!T37</f>
        <v>0</v>
      </c>
      <c r="T46" s="216">
        <f>Pav_Dados!U37</f>
        <v>0</v>
      </c>
      <c r="U46" s="216">
        <f>Pav_Dados!V37</f>
        <v>0</v>
      </c>
      <c r="V46" s="216">
        <f>Pav_Dados!W37</f>
        <v>0</v>
      </c>
      <c r="W46" s="216">
        <f>Pav_Dados!X37</f>
        <v>0</v>
      </c>
      <c r="X46" s="216"/>
      <c r="Y46" s="533">
        <f>TRUNC(SUM(F46:X46),2)</f>
        <v>0</v>
      </c>
      <c r="Z46" s="579">
        <f>SUM(F46:Y46)</f>
        <v>0</v>
      </c>
    </row>
    <row r="47" spans="1:26" s="6" customFormat="1" ht="21.95" hidden="1" customHeight="1" x14ac:dyDescent="0.15">
      <c r="A47" s="2596"/>
      <c r="B47" s="2617"/>
      <c r="C47" s="543" t="s">
        <v>1381</v>
      </c>
      <c r="D47" s="982"/>
      <c r="E47" s="1345"/>
      <c r="F47" s="8">
        <f>IF(F46=0,0,IF(Pav_Dados!G38=0,Pav_Dados!G40/(F46*F48),Pav_Dados!G38))</f>
        <v>0</v>
      </c>
      <c r="G47" s="8">
        <f>IF(G46=0,0,IF(Pav_Dados!H38=0,Pav_Dados!H40/(G46*G48),Pav_Dados!H38))</f>
        <v>0</v>
      </c>
      <c r="H47" s="8">
        <f>IF(H46=0,0,IF(Pav_Dados!I38=0,Pav_Dados!I40/(H46*H48),Pav_Dados!I38))</f>
        <v>0</v>
      </c>
      <c r="I47" s="8">
        <f>IF(I46=0,0,IF(Pav_Dados!J38=0,Pav_Dados!J40/(I46*I48),Pav_Dados!J38))</f>
        <v>0</v>
      </c>
      <c r="J47" s="8">
        <f>IF(J46=0,0,IF(Pav_Dados!K38=0,Pav_Dados!K40/(J46*J48),Pav_Dados!K38))</f>
        <v>0</v>
      </c>
      <c r="K47" s="8">
        <f>IF(K46=0,0,IF(Pav_Dados!L38=0,Pav_Dados!L40/(K46*K48),Pav_Dados!L38))</f>
        <v>0</v>
      </c>
      <c r="L47" s="8">
        <f>IF(L46=0,0,IF(Pav_Dados!M38=0,Pav_Dados!M40/(L46*L48),Pav_Dados!M38))</f>
        <v>0</v>
      </c>
      <c r="M47" s="8">
        <f>IF(M46=0,0,IF(Pav_Dados!N38=0,Pav_Dados!N40/(M46*M48),Pav_Dados!N38))</f>
        <v>0</v>
      </c>
      <c r="N47" s="8">
        <f>IF(N46=0,0,IF(Pav_Dados!O38=0,Pav_Dados!O40/(N46*N48),Pav_Dados!O38))</f>
        <v>0</v>
      </c>
      <c r="O47" s="8">
        <f>IF(O46=0,0,IF(Pav_Dados!P38=0,Pav_Dados!P40/(O46*O48),Pav_Dados!P38))</f>
        <v>0</v>
      </c>
      <c r="P47" s="8">
        <f>IF(P46=0,0,IF(Pav_Dados!Q38=0,Pav_Dados!Q40/(P46*P48),Pav_Dados!Q38))</f>
        <v>0</v>
      </c>
      <c r="Q47" s="8">
        <f>IF(Q46=0,0,IF(Pav_Dados!R38=0,Pav_Dados!R40/(Q46*Q48),Pav_Dados!R38))</f>
        <v>0</v>
      </c>
      <c r="R47" s="8">
        <f>IF(R46=0,0,IF(Pav_Dados!S38=0,Pav_Dados!S40/(R46*R48),Pav_Dados!S38))</f>
        <v>0</v>
      </c>
      <c r="S47" s="8">
        <f>IF(S46=0,0,IF(Pav_Dados!T38=0,Pav_Dados!T40/(S46*S48),Pav_Dados!T38))</f>
        <v>0</v>
      </c>
      <c r="T47" s="8">
        <f>IF(T46=0,0,IF(Pav_Dados!U38=0,Pav_Dados!U40/(T46*T48),Pav_Dados!U38))</f>
        <v>0</v>
      </c>
      <c r="U47" s="8">
        <f>IF(U46=0,0,IF(Pav_Dados!V38=0,Pav_Dados!V40/(U46*U48),Pav_Dados!V38))</f>
        <v>0</v>
      </c>
      <c r="V47" s="8">
        <f>IF(V46=0,0,IF(Pav_Dados!W38=0,Pav_Dados!W40/(V46*V48),Pav_Dados!W38))</f>
        <v>0</v>
      </c>
      <c r="W47" s="8">
        <f>IF(W46=0,0,IF(Pav_Dados!X38=0,Pav_Dados!X40/(W46*W48),Pav_Dados!X38))</f>
        <v>0</v>
      </c>
      <c r="X47" s="8"/>
      <c r="Y47" s="510"/>
      <c r="Z47" s="579">
        <f>SUM(F47:Y47)</f>
        <v>0</v>
      </c>
    </row>
    <row r="48" spans="1:26" s="6" customFormat="1" ht="21.95" hidden="1" customHeight="1" x14ac:dyDescent="0.15">
      <c r="A48" s="2596"/>
      <c r="B48" s="2617"/>
      <c r="C48" s="543" t="s">
        <v>168</v>
      </c>
      <c r="D48" s="982"/>
      <c r="E48" s="1345"/>
      <c r="F48" s="8">
        <f>Pav_Dados!G39</f>
        <v>0</v>
      </c>
      <c r="G48" s="8">
        <f>Pav_Dados!H39</f>
        <v>0</v>
      </c>
      <c r="H48" s="8">
        <f>Pav_Dados!I39</f>
        <v>0</v>
      </c>
      <c r="I48" s="8">
        <f>Pav_Dados!J39</f>
        <v>0</v>
      </c>
      <c r="J48" s="8">
        <f>Pav_Dados!K39</f>
        <v>0</v>
      </c>
      <c r="K48" s="8">
        <f>Pav_Dados!L39</f>
        <v>0</v>
      </c>
      <c r="L48" s="8">
        <f>Pav_Dados!M39</f>
        <v>0</v>
      </c>
      <c r="M48" s="8">
        <f>Pav_Dados!N39</f>
        <v>0</v>
      </c>
      <c r="N48" s="8">
        <f>Pav_Dados!O39</f>
        <v>0</v>
      </c>
      <c r="O48" s="8">
        <f>Pav_Dados!P39</f>
        <v>0</v>
      </c>
      <c r="P48" s="8">
        <f>Pav_Dados!Q39</f>
        <v>0</v>
      </c>
      <c r="Q48" s="8">
        <f>Pav_Dados!R39</f>
        <v>0</v>
      </c>
      <c r="R48" s="8">
        <f>Pav_Dados!S39</f>
        <v>0</v>
      </c>
      <c r="S48" s="8">
        <f>Pav_Dados!T39</f>
        <v>0</v>
      </c>
      <c r="T48" s="8">
        <f>Pav_Dados!U39</f>
        <v>0</v>
      </c>
      <c r="U48" s="8">
        <f>Pav_Dados!V39</f>
        <v>0</v>
      </c>
      <c r="V48" s="8">
        <f>Pav_Dados!W39</f>
        <v>0</v>
      </c>
      <c r="W48" s="8">
        <f>Pav_Dados!X39</f>
        <v>0</v>
      </c>
      <c r="X48" s="8"/>
      <c r="Y48" s="510"/>
      <c r="Z48" s="579">
        <f>SUM(F48:Y48)</f>
        <v>0</v>
      </c>
    </row>
    <row r="49" spans="1:26" s="6" customFormat="1" ht="21.95" hidden="1" customHeight="1" x14ac:dyDescent="0.15">
      <c r="A49" s="2596"/>
      <c r="B49" s="2617"/>
      <c r="C49" s="543" t="s">
        <v>56</v>
      </c>
      <c r="D49" s="982"/>
      <c r="E49" s="1345"/>
      <c r="F49" s="8">
        <f>IF(F47&gt;0,(F46*F48)*F47,Pav_Dados!G40)</f>
        <v>0</v>
      </c>
      <c r="G49" s="8">
        <f>IF(G47&gt;0,(G46*G48)*G47,Pav_Dados!H40)</f>
        <v>0</v>
      </c>
      <c r="H49" s="8">
        <f>IF(H47&gt;0,(H46*H48)*H47,Pav_Dados!I40)</f>
        <v>0</v>
      </c>
      <c r="I49" s="8">
        <f>IF(I47&gt;0,(I46*I48)*I47,Pav_Dados!J40)</f>
        <v>0</v>
      </c>
      <c r="J49" s="8">
        <f>IF(J47&gt;0,(J46*J48)*J47,Pav_Dados!K40)</f>
        <v>0</v>
      </c>
      <c r="K49" s="8">
        <f>IF(K47&gt;0,(K46*K48)*K47,Pav_Dados!L40)</f>
        <v>0</v>
      </c>
      <c r="L49" s="8">
        <f>IF(L47&gt;0,(L46*L48)*L47,Pav_Dados!M40)</f>
        <v>0</v>
      </c>
      <c r="M49" s="8">
        <f>IF(M47&gt;0,(M46*M48)*M47,Pav_Dados!N40)</f>
        <v>0</v>
      </c>
      <c r="N49" s="8">
        <f>IF(N47&gt;0,(N46*N48)*N47,Pav_Dados!O40)</f>
        <v>0</v>
      </c>
      <c r="O49" s="8">
        <f>IF(O47&gt;0,(O46*O48)*O47,Pav_Dados!P40)</f>
        <v>0</v>
      </c>
      <c r="P49" s="8">
        <f>IF(P47&gt;0,(P46*P48)*P47,Pav_Dados!Q40)</f>
        <v>0</v>
      </c>
      <c r="Q49" s="8">
        <f>IF(Q47&gt;0,(Q46*Q48)*Q47,Pav_Dados!R40)</f>
        <v>0</v>
      </c>
      <c r="R49" s="8">
        <f>IF(R47&gt;0,(R46*R48)*R47,Pav_Dados!S40)</f>
        <v>0</v>
      </c>
      <c r="S49" s="8">
        <f>IF(S47&gt;0,(S46*S48)*S47,Pav_Dados!T40)</f>
        <v>0</v>
      </c>
      <c r="T49" s="8">
        <f>IF(T47&gt;0,(T46*T48)*T47,Pav_Dados!U40)</f>
        <v>0</v>
      </c>
      <c r="U49" s="8">
        <f>IF(U47&gt;0,(U46*U48)*U47,Pav_Dados!V40)</f>
        <v>0</v>
      </c>
      <c r="V49" s="8">
        <f>IF(V47&gt;0,(V46*V48)*V47,Pav_Dados!W40)</f>
        <v>0</v>
      </c>
      <c r="W49" s="8">
        <f>IF(W47&gt;0,(W46*W48)*W47,Pav_Dados!X40)</f>
        <v>0</v>
      </c>
      <c r="X49" s="8"/>
      <c r="Y49" s="512">
        <f>TRUNC(SUM(F49:X49),2)</f>
        <v>0</v>
      </c>
      <c r="Z49" s="579">
        <f>SUM(F49:Y49)</f>
        <v>0</v>
      </c>
    </row>
    <row r="50" spans="1:26" s="6" customFormat="1" ht="21.95" hidden="1" customHeight="1" x14ac:dyDescent="0.15">
      <c r="A50" s="2596"/>
      <c r="B50" s="2617"/>
      <c r="C50" s="543" t="s">
        <v>26</v>
      </c>
      <c r="D50" s="1378"/>
      <c r="E50" s="1362"/>
      <c r="F50" s="924">
        <f t="shared" ref="F50:W50" si="12">IF(F46=0,0,"BOTA-FORA")</f>
        <v>0</v>
      </c>
      <c r="G50" s="924">
        <f t="shared" si="12"/>
        <v>0</v>
      </c>
      <c r="H50" s="924">
        <f t="shared" si="12"/>
        <v>0</v>
      </c>
      <c r="I50" s="924">
        <f t="shared" si="12"/>
        <v>0</v>
      </c>
      <c r="J50" s="924">
        <f t="shared" si="12"/>
        <v>0</v>
      </c>
      <c r="K50" s="924">
        <f t="shared" si="12"/>
        <v>0</v>
      </c>
      <c r="L50" s="924">
        <f t="shared" si="12"/>
        <v>0</v>
      </c>
      <c r="M50" s="924">
        <f t="shared" si="12"/>
        <v>0</v>
      </c>
      <c r="N50" s="924">
        <f t="shared" si="12"/>
        <v>0</v>
      </c>
      <c r="O50" s="924">
        <f t="shared" si="12"/>
        <v>0</v>
      </c>
      <c r="P50" s="924">
        <f t="shared" si="12"/>
        <v>0</v>
      </c>
      <c r="Q50" s="924">
        <f t="shared" si="12"/>
        <v>0</v>
      </c>
      <c r="R50" s="924">
        <f t="shared" si="12"/>
        <v>0</v>
      </c>
      <c r="S50" s="924">
        <f t="shared" si="12"/>
        <v>0</v>
      </c>
      <c r="T50" s="924">
        <f t="shared" si="12"/>
        <v>0</v>
      </c>
      <c r="U50" s="924">
        <f t="shared" si="12"/>
        <v>0</v>
      </c>
      <c r="V50" s="924">
        <f t="shared" si="12"/>
        <v>0</v>
      </c>
      <c r="W50" s="924">
        <f t="shared" si="12"/>
        <v>0</v>
      </c>
      <c r="X50" s="924"/>
      <c r="Y50" s="510"/>
      <c r="Z50" s="1017">
        <f>COUNTA(F50:X50)-COUNTIF(F50:X50,0)</f>
        <v>0</v>
      </c>
    </row>
    <row r="51" spans="1:26" s="6" customFormat="1" ht="21.95" hidden="1" customHeight="1" x14ac:dyDescent="0.15">
      <c r="A51" s="2596"/>
      <c r="B51" s="2617"/>
      <c r="C51" s="543" t="s">
        <v>61</v>
      </c>
      <c r="D51" s="1379"/>
      <c r="E51" s="1363"/>
      <c r="F51" s="2285">
        <f>Pav_Dados!G41</f>
        <v>0</v>
      </c>
      <c r="G51" s="2285">
        <f>Pav_Dados!H41</f>
        <v>0</v>
      </c>
      <c r="H51" s="2285">
        <f>Pav_Dados!I41</f>
        <v>0</v>
      </c>
      <c r="I51" s="2285">
        <f>Pav_Dados!J41</f>
        <v>0</v>
      </c>
      <c r="J51" s="2285">
        <f>Pav_Dados!K41</f>
        <v>0</v>
      </c>
      <c r="K51" s="2285">
        <f>Pav_Dados!L41</f>
        <v>0</v>
      </c>
      <c r="L51" s="2285">
        <f>Pav_Dados!M41</f>
        <v>0</v>
      </c>
      <c r="M51" s="2285">
        <f>Pav_Dados!N41</f>
        <v>0</v>
      </c>
      <c r="N51" s="2285">
        <f>Pav_Dados!O41</f>
        <v>0</v>
      </c>
      <c r="O51" s="2285">
        <f>Pav_Dados!P41</f>
        <v>0</v>
      </c>
      <c r="P51" s="2285">
        <f>Pav_Dados!Q41</f>
        <v>0</v>
      </c>
      <c r="Q51" s="2285">
        <f>Pav_Dados!R41</f>
        <v>0</v>
      </c>
      <c r="R51" s="2285">
        <f>Pav_Dados!S41</f>
        <v>0</v>
      </c>
      <c r="S51" s="2285">
        <f>Pav_Dados!T41</f>
        <v>0</v>
      </c>
      <c r="T51" s="2285">
        <f>Pav_Dados!U41</f>
        <v>0</v>
      </c>
      <c r="U51" s="2285">
        <f>Pav_Dados!V41</f>
        <v>0</v>
      </c>
      <c r="V51" s="2285">
        <f>Pav_Dados!W41</f>
        <v>0</v>
      </c>
      <c r="W51" s="2285">
        <f>Pav_Dados!X41</f>
        <v>0</v>
      </c>
      <c r="X51" s="2285"/>
      <c r="Y51" s="1082">
        <f>TRUNC(SUM(F51:X51),2)</f>
        <v>0</v>
      </c>
      <c r="Z51" s="579">
        <f>SUM(F51:Y51)</f>
        <v>0</v>
      </c>
    </row>
    <row r="52" spans="1:26" s="6" customFormat="1" ht="21.95" hidden="1" customHeight="1" x14ac:dyDescent="0.15">
      <c r="A52" s="2596"/>
      <c r="B52" s="2617"/>
      <c r="C52" s="543" t="s">
        <v>1382</v>
      </c>
      <c r="D52" s="982"/>
      <c r="E52" s="1345"/>
      <c r="F52" s="8">
        <f>IF(F51=0,0,IF(Pav_Dados!G42=0,Pav_Dados!G44/(F51*F53),Pav_Dados!G42))</f>
        <v>0</v>
      </c>
      <c r="G52" s="8">
        <f>IF(G51=0,0,IF(Pav_Dados!H42=0,Pav_Dados!H44/(G51*G53),Pav_Dados!H42))</f>
        <v>0</v>
      </c>
      <c r="H52" s="8">
        <f>IF(H51=0,0,IF(Pav_Dados!I42=0,Pav_Dados!I44/(H51*H53),Pav_Dados!I42))</f>
        <v>0</v>
      </c>
      <c r="I52" s="8">
        <f>IF(I51=0,0,IF(Pav_Dados!J42=0,Pav_Dados!J44/(I51*I53),Pav_Dados!J42))</f>
        <v>0</v>
      </c>
      <c r="J52" s="8">
        <f>IF(J51=0,0,IF(Pav_Dados!K42=0,Pav_Dados!K44/(J51*J53),Pav_Dados!K42))</f>
        <v>0</v>
      </c>
      <c r="K52" s="8">
        <f>IF(K51=0,0,IF(Pav_Dados!L42=0,Pav_Dados!L44/(K51*K53),Pav_Dados!L42))</f>
        <v>0</v>
      </c>
      <c r="L52" s="8">
        <f>IF(L51=0,0,IF(Pav_Dados!M42=0,Pav_Dados!M44/(L51*L53),Pav_Dados!M42))</f>
        <v>0</v>
      </c>
      <c r="M52" s="8">
        <f>IF(M51=0,0,IF(Pav_Dados!N42=0,Pav_Dados!N44/(M51*M53),Pav_Dados!N42))</f>
        <v>0</v>
      </c>
      <c r="N52" s="8">
        <f>IF(N51=0,0,IF(Pav_Dados!O42=0,Pav_Dados!O44/(N51*N53),Pav_Dados!O42))</f>
        <v>0</v>
      </c>
      <c r="O52" s="8">
        <f>IF(O51=0,0,IF(Pav_Dados!P42=0,Pav_Dados!P44/(O51*O53),Pav_Dados!P42))</f>
        <v>0</v>
      </c>
      <c r="P52" s="8">
        <f>IF(P51=0,0,IF(Pav_Dados!Q42=0,Pav_Dados!Q44/(P51*P53),Pav_Dados!Q42))</f>
        <v>0</v>
      </c>
      <c r="Q52" s="8">
        <f>IF(Q51=0,0,IF(Pav_Dados!R42=0,Pav_Dados!R44/(Q51*Q53),Pav_Dados!R42))</f>
        <v>0</v>
      </c>
      <c r="R52" s="8">
        <f>IF(R51=0,0,IF(Pav_Dados!S42=0,Pav_Dados!S44/(R51*R53),Pav_Dados!S42))</f>
        <v>0</v>
      </c>
      <c r="S52" s="8">
        <f>IF(S51=0,0,IF(Pav_Dados!T42=0,Pav_Dados!T44/(S51*S53),Pav_Dados!T42))</f>
        <v>0</v>
      </c>
      <c r="T52" s="8">
        <f>IF(T51=0,0,IF(Pav_Dados!U42=0,Pav_Dados!U44/(T51*T53),Pav_Dados!U42))</f>
        <v>0</v>
      </c>
      <c r="U52" s="8">
        <f>IF(U51=0,0,IF(Pav_Dados!V42=0,Pav_Dados!V44/(U51*U53),Pav_Dados!V42))</f>
        <v>0</v>
      </c>
      <c r="V52" s="8">
        <f>IF(V51=0,0,IF(Pav_Dados!W42=0,Pav_Dados!W44/(V51*V53),Pav_Dados!W42))</f>
        <v>0</v>
      </c>
      <c r="W52" s="8">
        <f>IF(W51=0,0,IF(Pav_Dados!X42=0,Pav_Dados!X44/(W51*W53),Pav_Dados!X42))</f>
        <v>0</v>
      </c>
      <c r="X52" s="8"/>
      <c r="Y52" s="510"/>
      <c r="Z52" s="579">
        <f>SUM(F52:Y52)</f>
        <v>0</v>
      </c>
    </row>
    <row r="53" spans="1:26" s="6" customFormat="1" ht="21.95" hidden="1" customHeight="1" x14ac:dyDescent="0.15">
      <c r="A53" s="2596"/>
      <c r="B53" s="2617"/>
      <c r="C53" s="543" t="s">
        <v>169</v>
      </c>
      <c r="D53" s="982"/>
      <c r="E53" s="1345"/>
      <c r="F53" s="8">
        <f>Pav_Dados!G43</f>
        <v>0</v>
      </c>
      <c r="G53" s="8">
        <f>Pav_Dados!H43</f>
        <v>0</v>
      </c>
      <c r="H53" s="8">
        <f>Pav_Dados!I43</f>
        <v>0</v>
      </c>
      <c r="I53" s="8">
        <f>Pav_Dados!J43</f>
        <v>0</v>
      </c>
      <c r="J53" s="8">
        <f>Pav_Dados!K43</f>
        <v>0</v>
      </c>
      <c r="K53" s="8">
        <f>Pav_Dados!L43</f>
        <v>0</v>
      </c>
      <c r="L53" s="8">
        <f>Pav_Dados!M43</f>
        <v>0</v>
      </c>
      <c r="M53" s="8">
        <f>Pav_Dados!N43</f>
        <v>0</v>
      </c>
      <c r="N53" s="8">
        <f>Pav_Dados!O43</f>
        <v>0</v>
      </c>
      <c r="O53" s="8">
        <f>Pav_Dados!P43</f>
        <v>0</v>
      </c>
      <c r="P53" s="8">
        <f>Pav_Dados!Q43</f>
        <v>0</v>
      </c>
      <c r="Q53" s="8">
        <f>Pav_Dados!R43</f>
        <v>0</v>
      </c>
      <c r="R53" s="8">
        <f>Pav_Dados!S43</f>
        <v>0</v>
      </c>
      <c r="S53" s="8">
        <f>Pav_Dados!T43</f>
        <v>0</v>
      </c>
      <c r="T53" s="8">
        <f>Pav_Dados!U43</f>
        <v>0</v>
      </c>
      <c r="U53" s="8">
        <f>Pav_Dados!V43</f>
        <v>0</v>
      </c>
      <c r="V53" s="8">
        <f>Pav_Dados!W43</f>
        <v>0</v>
      </c>
      <c r="W53" s="8">
        <f>Pav_Dados!X43</f>
        <v>0</v>
      </c>
      <c r="X53" s="8"/>
      <c r="Y53" s="510"/>
      <c r="Z53" s="579">
        <f>SUM(F53:Y53)</f>
        <v>0</v>
      </c>
    </row>
    <row r="54" spans="1:26" s="6" customFormat="1" ht="21.95" hidden="1" customHeight="1" x14ac:dyDescent="0.15">
      <c r="A54" s="2596"/>
      <c r="B54" s="2617"/>
      <c r="C54" s="543" t="s">
        <v>57</v>
      </c>
      <c r="D54" s="982"/>
      <c r="E54" s="1345"/>
      <c r="F54" s="8">
        <f>IF(F52&gt;0,(F51*F53)*F52,Pav_Dados!G44)</f>
        <v>0</v>
      </c>
      <c r="G54" s="8">
        <f>IF(G52&gt;0,(G51*G53)*G52,Pav_Dados!H44)</f>
        <v>0</v>
      </c>
      <c r="H54" s="8">
        <f>IF(H52&gt;0,(H51*H53)*H52,Pav_Dados!I44)</f>
        <v>0</v>
      </c>
      <c r="I54" s="8">
        <f>IF(I52&gt;0,(I51*I53)*I52,Pav_Dados!J44)</f>
        <v>0</v>
      </c>
      <c r="J54" s="8">
        <f>IF(J52&gt;0,(J51*J53)*J52,Pav_Dados!K44)</f>
        <v>0</v>
      </c>
      <c r="K54" s="8">
        <f>IF(K52&gt;0,(K51*K53)*K52,Pav_Dados!L44)</f>
        <v>0</v>
      </c>
      <c r="L54" s="8">
        <f>IF(L52&gt;0,(L51*L53)*L52,Pav_Dados!M44)</f>
        <v>0</v>
      </c>
      <c r="M54" s="8">
        <f>IF(M52&gt;0,(M51*M53)*M52,Pav_Dados!N44)</f>
        <v>0</v>
      </c>
      <c r="N54" s="8">
        <f>IF(N52&gt;0,(N51*N53)*N52,Pav_Dados!O44)</f>
        <v>0</v>
      </c>
      <c r="O54" s="8">
        <f>IF(O52&gt;0,(O51*O53)*O52,Pav_Dados!P44)</f>
        <v>0</v>
      </c>
      <c r="P54" s="8">
        <f>IF(P52&gt;0,(P51*P53)*P52,Pav_Dados!Q44)</f>
        <v>0</v>
      </c>
      <c r="Q54" s="8">
        <f>IF(Q52&gt;0,(Q51*Q53)*Q52,Pav_Dados!R44)</f>
        <v>0</v>
      </c>
      <c r="R54" s="8">
        <f>IF(R52&gt;0,(R51*R53)*R52,Pav_Dados!S44)</f>
        <v>0</v>
      </c>
      <c r="S54" s="8">
        <f>IF(S52&gt;0,(S51*S53)*S52,Pav_Dados!T44)</f>
        <v>0</v>
      </c>
      <c r="T54" s="8">
        <f>IF(T52&gt;0,(T51*T53)*T52,Pav_Dados!U44)</f>
        <v>0</v>
      </c>
      <c r="U54" s="8">
        <f>IF(U52&gt;0,(U51*U53)*U52,Pav_Dados!V44)</f>
        <v>0</v>
      </c>
      <c r="V54" s="8">
        <f>IF(V52&gt;0,(V51*V53)*V52,Pav_Dados!W44)</f>
        <v>0</v>
      </c>
      <c r="W54" s="8">
        <f>IF(W52&gt;0,(W51*W53)*W52,Pav_Dados!X44)</f>
        <v>0</v>
      </c>
      <c r="X54" s="8"/>
      <c r="Y54" s="512">
        <f>TRUNC(SUM(F54:X54),2)</f>
        <v>0</v>
      </c>
      <c r="Z54" s="579">
        <f>SUM(F54:Y54)</f>
        <v>0</v>
      </c>
    </row>
    <row r="55" spans="1:26" s="6" customFormat="1" ht="21.95" hidden="1" customHeight="1" thickBot="1" x14ac:dyDescent="0.2">
      <c r="A55" s="2596"/>
      <c r="B55" s="2618"/>
      <c r="C55" s="544" t="s">
        <v>26</v>
      </c>
      <c r="D55" s="1377"/>
      <c r="E55" s="1270"/>
      <c r="F55" s="1072">
        <f t="shared" ref="F55:W55" si="13">IF(F51=0,0,"BOTA-FORA")</f>
        <v>0</v>
      </c>
      <c r="G55" s="1072">
        <f t="shared" si="13"/>
        <v>0</v>
      </c>
      <c r="H55" s="1072">
        <f t="shared" si="13"/>
        <v>0</v>
      </c>
      <c r="I55" s="1072">
        <f t="shared" si="13"/>
        <v>0</v>
      </c>
      <c r="J55" s="1072">
        <f t="shared" si="13"/>
        <v>0</v>
      </c>
      <c r="K55" s="1072">
        <f t="shared" si="13"/>
        <v>0</v>
      </c>
      <c r="L55" s="1072">
        <f t="shared" si="13"/>
        <v>0</v>
      </c>
      <c r="M55" s="1072">
        <f t="shared" si="13"/>
        <v>0</v>
      </c>
      <c r="N55" s="1072">
        <f t="shared" si="13"/>
        <v>0</v>
      </c>
      <c r="O55" s="1072">
        <f t="shared" si="13"/>
        <v>0</v>
      </c>
      <c r="P55" s="1072">
        <f t="shared" si="13"/>
        <v>0</v>
      </c>
      <c r="Q55" s="1072">
        <f t="shared" si="13"/>
        <v>0</v>
      </c>
      <c r="R55" s="1072">
        <f t="shared" si="13"/>
        <v>0</v>
      </c>
      <c r="S55" s="1072">
        <f t="shared" si="13"/>
        <v>0</v>
      </c>
      <c r="T55" s="1072">
        <f t="shared" si="13"/>
        <v>0</v>
      </c>
      <c r="U55" s="1072">
        <f t="shared" si="13"/>
        <v>0</v>
      </c>
      <c r="V55" s="1072">
        <f t="shared" si="13"/>
        <v>0</v>
      </c>
      <c r="W55" s="1072">
        <f t="shared" si="13"/>
        <v>0</v>
      </c>
      <c r="X55" s="1072"/>
      <c r="Y55" s="510"/>
      <c r="Z55" s="1017">
        <f>COUNTA(F55:X55)-COUNTIF(F55:X55,0)</f>
        <v>0</v>
      </c>
    </row>
    <row r="56" spans="1:26" s="6" customFormat="1" ht="21.95" hidden="1" customHeight="1" x14ac:dyDescent="0.15">
      <c r="A56" s="2596"/>
      <c r="B56" s="2616" t="s">
        <v>1330</v>
      </c>
      <c r="C56" s="542" t="s">
        <v>167</v>
      </c>
      <c r="D56" s="982"/>
      <c r="E56" s="1344"/>
      <c r="F56" s="216">
        <f>Pav_Dados!G45</f>
        <v>0</v>
      </c>
      <c r="G56" s="216">
        <f>Pav_Dados!H45</f>
        <v>0</v>
      </c>
      <c r="H56" s="216">
        <f>Pav_Dados!I45</f>
        <v>0</v>
      </c>
      <c r="I56" s="216">
        <f>Pav_Dados!J45</f>
        <v>0</v>
      </c>
      <c r="J56" s="216">
        <f>Pav_Dados!K45</f>
        <v>0</v>
      </c>
      <c r="K56" s="216">
        <f>Pav_Dados!L45</f>
        <v>0</v>
      </c>
      <c r="L56" s="216">
        <f>Pav_Dados!M45</f>
        <v>0</v>
      </c>
      <c r="M56" s="216">
        <f>Pav_Dados!N45</f>
        <v>0</v>
      </c>
      <c r="N56" s="216">
        <f>Pav_Dados!O45</f>
        <v>0</v>
      </c>
      <c r="O56" s="216">
        <f>Pav_Dados!P45</f>
        <v>0</v>
      </c>
      <c r="P56" s="216">
        <f>Pav_Dados!Q45</f>
        <v>0</v>
      </c>
      <c r="Q56" s="216">
        <f>Pav_Dados!R45</f>
        <v>0</v>
      </c>
      <c r="R56" s="216">
        <f>Pav_Dados!S45</f>
        <v>0</v>
      </c>
      <c r="S56" s="216">
        <f>Pav_Dados!T45</f>
        <v>0</v>
      </c>
      <c r="T56" s="216">
        <f>Pav_Dados!U45</f>
        <v>0</v>
      </c>
      <c r="U56" s="216">
        <f>Pav_Dados!V45</f>
        <v>0</v>
      </c>
      <c r="V56" s="216">
        <f>Pav_Dados!W45</f>
        <v>0</v>
      </c>
      <c r="W56" s="216">
        <f>Pav_Dados!X45</f>
        <v>0</v>
      </c>
      <c r="X56" s="216"/>
      <c r="Y56" s="533">
        <f>TRUNC(SUM(F56:X56),2)</f>
        <v>0</v>
      </c>
      <c r="Z56" s="579">
        <f>SUM(F56:Y56)</f>
        <v>0</v>
      </c>
    </row>
    <row r="57" spans="1:26" s="6" customFormat="1" ht="21.95" hidden="1" customHeight="1" x14ac:dyDescent="0.15">
      <c r="A57" s="2596"/>
      <c r="B57" s="2617"/>
      <c r="C57" s="543" t="s">
        <v>1381</v>
      </c>
      <c r="D57" s="982"/>
      <c r="E57" s="1345"/>
      <c r="F57" s="8">
        <f>IF(F56=0,0,IF(Pav_Dados!G46=0,Pav_Dados!G48/(F56*F58),Pav_Dados!G46))</f>
        <v>0</v>
      </c>
      <c r="G57" s="8">
        <f>IF(G56=0,0,IF(Pav_Dados!H46=0,Pav_Dados!H48/(G56*G58),Pav_Dados!H46))</f>
        <v>0</v>
      </c>
      <c r="H57" s="8">
        <f>IF(H56=0,0,IF(Pav_Dados!I46=0,Pav_Dados!I48/(H56*H58),Pav_Dados!I46))</f>
        <v>0</v>
      </c>
      <c r="I57" s="8">
        <f>IF(I56=0,0,IF(Pav_Dados!J46=0,Pav_Dados!J48/(I56*I58),Pav_Dados!J46))</f>
        <v>0</v>
      </c>
      <c r="J57" s="8">
        <f>IF(J56=0,0,IF(Pav_Dados!K46=0,Pav_Dados!K48/(J56*J58),Pav_Dados!K46))</f>
        <v>0</v>
      </c>
      <c r="K57" s="8">
        <f>IF(K56=0,0,IF(Pav_Dados!L46=0,Pav_Dados!L48/(K56*K58),Pav_Dados!L46))</f>
        <v>0</v>
      </c>
      <c r="L57" s="8">
        <f>IF(L56=0,0,IF(Pav_Dados!M46=0,Pav_Dados!M48/(L56*L58),Pav_Dados!M46))</f>
        <v>0</v>
      </c>
      <c r="M57" s="8">
        <f>IF(M56=0,0,IF(Pav_Dados!N46=0,Pav_Dados!N48/(M56*M58),Pav_Dados!N46))</f>
        <v>0</v>
      </c>
      <c r="N57" s="8">
        <f>IF(N56=0,0,IF(Pav_Dados!O46=0,Pav_Dados!O48/(N56*N58),Pav_Dados!O46))</f>
        <v>0</v>
      </c>
      <c r="O57" s="8">
        <f>IF(O56=0,0,IF(Pav_Dados!P46=0,Pav_Dados!P48/(O56*O58),Pav_Dados!P46))</f>
        <v>0</v>
      </c>
      <c r="P57" s="8">
        <f>IF(P56=0,0,IF(Pav_Dados!Q46=0,Pav_Dados!Q48/(P56*P58),Pav_Dados!Q46))</f>
        <v>0</v>
      </c>
      <c r="Q57" s="8">
        <f>IF(Q56=0,0,IF(Pav_Dados!R46=0,Pav_Dados!R48/(Q56*Q58),Pav_Dados!R46))</f>
        <v>0</v>
      </c>
      <c r="R57" s="8">
        <f>IF(R56=0,0,IF(Pav_Dados!S46=0,Pav_Dados!S48/(R56*R58),Pav_Dados!S46))</f>
        <v>0</v>
      </c>
      <c r="S57" s="8">
        <f>IF(S56=0,0,IF(Pav_Dados!T46=0,Pav_Dados!T48/(S56*S58),Pav_Dados!T46))</f>
        <v>0</v>
      </c>
      <c r="T57" s="8">
        <f>IF(T56=0,0,IF(Pav_Dados!U46=0,Pav_Dados!U48/(T56*T58),Pav_Dados!U46))</f>
        <v>0</v>
      </c>
      <c r="U57" s="8">
        <f>IF(U56=0,0,IF(Pav_Dados!V46=0,Pav_Dados!V48/(U56*U58),Pav_Dados!V46))</f>
        <v>0</v>
      </c>
      <c r="V57" s="8">
        <f>IF(V56=0,0,IF(Pav_Dados!W46=0,Pav_Dados!W48/(V56*V58),Pav_Dados!W46))</f>
        <v>0</v>
      </c>
      <c r="W57" s="8">
        <f>IF(W56=0,0,IF(Pav_Dados!X46=0,Pav_Dados!X48/(W56*W58),Pav_Dados!X46))</f>
        <v>0</v>
      </c>
      <c r="X57" s="8"/>
      <c r="Y57" s="510"/>
      <c r="Z57" s="579">
        <f>SUM(F57:Y57)</f>
        <v>0</v>
      </c>
    </row>
    <row r="58" spans="1:26" s="6" customFormat="1" ht="21.95" hidden="1" customHeight="1" x14ac:dyDescent="0.15">
      <c r="A58" s="2596"/>
      <c r="B58" s="2617"/>
      <c r="C58" s="543" t="s">
        <v>168</v>
      </c>
      <c r="D58" s="982"/>
      <c r="E58" s="1345"/>
      <c r="F58" s="8">
        <f>Pav_Dados!G47</f>
        <v>0</v>
      </c>
      <c r="G58" s="8">
        <f>Pav_Dados!H47</f>
        <v>0</v>
      </c>
      <c r="H58" s="8">
        <f>Pav_Dados!I47</f>
        <v>0</v>
      </c>
      <c r="I58" s="8">
        <f>Pav_Dados!J47</f>
        <v>0</v>
      </c>
      <c r="J58" s="8">
        <f>Pav_Dados!K47</f>
        <v>0</v>
      </c>
      <c r="K58" s="8">
        <f>Pav_Dados!L47</f>
        <v>0</v>
      </c>
      <c r="L58" s="8">
        <f>Pav_Dados!M47</f>
        <v>0</v>
      </c>
      <c r="M58" s="8">
        <f>Pav_Dados!N47</f>
        <v>0</v>
      </c>
      <c r="N58" s="8">
        <f>Pav_Dados!O47</f>
        <v>0</v>
      </c>
      <c r="O58" s="8">
        <f>Pav_Dados!P47</f>
        <v>0</v>
      </c>
      <c r="P58" s="8">
        <f>Pav_Dados!Q47</f>
        <v>0</v>
      </c>
      <c r="Q58" s="8">
        <f>Pav_Dados!R47</f>
        <v>0</v>
      </c>
      <c r="R58" s="8">
        <f>Pav_Dados!S47</f>
        <v>0</v>
      </c>
      <c r="S58" s="8">
        <f>Pav_Dados!T47</f>
        <v>0</v>
      </c>
      <c r="T58" s="8">
        <f>Pav_Dados!U47</f>
        <v>0</v>
      </c>
      <c r="U58" s="8">
        <f>Pav_Dados!V47</f>
        <v>0</v>
      </c>
      <c r="V58" s="8">
        <f>Pav_Dados!W47</f>
        <v>0</v>
      </c>
      <c r="W58" s="8">
        <f>Pav_Dados!X47</f>
        <v>0</v>
      </c>
      <c r="X58" s="8"/>
      <c r="Y58" s="510"/>
      <c r="Z58" s="579">
        <f>SUM(F58:Y58)</f>
        <v>0</v>
      </c>
    </row>
    <row r="59" spans="1:26" s="6" customFormat="1" ht="21.95" hidden="1" customHeight="1" x14ac:dyDescent="0.15">
      <c r="A59" s="2596"/>
      <c r="B59" s="2617"/>
      <c r="C59" s="543" t="s">
        <v>56</v>
      </c>
      <c r="D59" s="982"/>
      <c r="E59" s="1345"/>
      <c r="F59" s="8">
        <f>IF(F57&gt;0,(F56*F58)*F57,Pav_Dados!G48)</f>
        <v>0</v>
      </c>
      <c r="G59" s="8">
        <f>IF(G57&gt;0,(G56*G58)*G57,Pav_Dados!H48)</f>
        <v>0</v>
      </c>
      <c r="H59" s="8">
        <f>IF(H57&gt;0,(H56*H58)*H57,Pav_Dados!I48)</f>
        <v>0</v>
      </c>
      <c r="I59" s="8">
        <f>IF(I57&gt;0,(I56*I58)*I57,Pav_Dados!J48)</f>
        <v>0</v>
      </c>
      <c r="J59" s="8">
        <f>IF(J57&gt;0,(J56*J58)*J57,Pav_Dados!K48)</f>
        <v>0</v>
      </c>
      <c r="K59" s="8">
        <f>IF(K57&gt;0,(K56*K58)*K57,Pav_Dados!L48)</f>
        <v>0</v>
      </c>
      <c r="L59" s="8">
        <f>IF(L57&gt;0,(L56*L58)*L57,Pav_Dados!M48)</f>
        <v>0</v>
      </c>
      <c r="M59" s="8">
        <f>IF(M57&gt;0,(M56*M58)*M57,Pav_Dados!N48)</f>
        <v>0</v>
      </c>
      <c r="N59" s="8">
        <f>IF(N57&gt;0,(N56*N58)*N57,Pav_Dados!O48)</f>
        <v>0</v>
      </c>
      <c r="O59" s="8">
        <f>IF(O57&gt;0,(O56*O58)*O57,Pav_Dados!P48)</f>
        <v>0</v>
      </c>
      <c r="P59" s="8">
        <f>IF(P57&gt;0,(P56*P58)*P57,Pav_Dados!Q48)</f>
        <v>0</v>
      </c>
      <c r="Q59" s="8">
        <f>IF(Q57&gt;0,(Q56*Q58)*Q57,Pav_Dados!R48)</f>
        <v>0</v>
      </c>
      <c r="R59" s="8">
        <f>IF(R57&gt;0,(R56*R58)*R57,Pav_Dados!S48)</f>
        <v>0</v>
      </c>
      <c r="S59" s="8">
        <f>IF(S57&gt;0,(S56*S58)*S57,Pav_Dados!T48)</f>
        <v>0</v>
      </c>
      <c r="T59" s="8">
        <f>IF(T57&gt;0,(T56*T58)*T57,Pav_Dados!U48)</f>
        <v>0</v>
      </c>
      <c r="U59" s="8">
        <f>IF(U57&gt;0,(U56*U58)*U57,Pav_Dados!V48)</f>
        <v>0</v>
      </c>
      <c r="V59" s="8">
        <f>IF(V57&gt;0,(V56*V58)*V57,Pav_Dados!W48)</f>
        <v>0</v>
      </c>
      <c r="W59" s="8">
        <f>IF(W57&gt;0,(W56*W58)*W57,Pav_Dados!X48)</f>
        <v>0</v>
      </c>
      <c r="X59" s="8"/>
      <c r="Y59" s="512">
        <f>TRUNC(SUM(F59:X59),2)</f>
        <v>0</v>
      </c>
      <c r="Z59" s="579">
        <f>SUM(F59:Y59)</f>
        <v>0</v>
      </c>
    </row>
    <row r="60" spans="1:26" s="6" customFormat="1" ht="21.95" hidden="1" customHeight="1" x14ac:dyDescent="0.15">
      <c r="A60" s="2596"/>
      <c r="B60" s="2617"/>
      <c r="C60" s="543" t="s">
        <v>26</v>
      </c>
      <c r="D60" s="1378"/>
      <c r="E60" s="1362"/>
      <c r="F60" s="924">
        <f t="shared" ref="F60:W60" si="14">IF(F56=0,0,"BOTA-FORA")</f>
        <v>0</v>
      </c>
      <c r="G60" s="924">
        <f t="shared" si="14"/>
        <v>0</v>
      </c>
      <c r="H60" s="924">
        <f t="shared" si="14"/>
        <v>0</v>
      </c>
      <c r="I60" s="924">
        <f t="shared" si="14"/>
        <v>0</v>
      </c>
      <c r="J60" s="924">
        <f t="shared" si="14"/>
        <v>0</v>
      </c>
      <c r="K60" s="924">
        <f t="shared" si="14"/>
        <v>0</v>
      </c>
      <c r="L60" s="924">
        <f t="shared" si="14"/>
        <v>0</v>
      </c>
      <c r="M60" s="924">
        <f t="shared" si="14"/>
        <v>0</v>
      </c>
      <c r="N60" s="924">
        <f t="shared" si="14"/>
        <v>0</v>
      </c>
      <c r="O60" s="924">
        <f t="shared" si="14"/>
        <v>0</v>
      </c>
      <c r="P60" s="924">
        <f t="shared" si="14"/>
        <v>0</v>
      </c>
      <c r="Q60" s="924">
        <f t="shared" si="14"/>
        <v>0</v>
      </c>
      <c r="R60" s="924">
        <f t="shared" si="14"/>
        <v>0</v>
      </c>
      <c r="S60" s="924">
        <f t="shared" si="14"/>
        <v>0</v>
      </c>
      <c r="T60" s="924">
        <f t="shared" si="14"/>
        <v>0</v>
      </c>
      <c r="U60" s="924">
        <f t="shared" si="14"/>
        <v>0</v>
      </c>
      <c r="V60" s="924">
        <f t="shared" si="14"/>
        <v>0</v>
      </c>
      <c r="W60" s="924">
        <f t="shared" si="14"/>
        <v>0</v>
      </c>
      <c r="X60" s="924"/>
      <c r="Y60" s="510"/>
      <c r="Z60" s="1017">
        <f>COUNTA(F60:X60)-COUNTIF(F60:X60,0)</f>
        <v>0</v>
      </c>
    </row>
    <row r="61" spans="1:26" s="6" customFormat="1" ht="21.95" hidden="1" customHeight="1" x14ac:dyDescent="0.15">
      <c r="A61" s="2596"/>
      <c r="B61" s="2617"/>
      <c r="C61" s="543" t="s">
        <v>61</v>
      </c>
      <c r="D61" s="982"/>
      <c r="E61" s="1345"/>
      <c r="F61" s="2285">
        <f>Pav_Dados!G49</f>
        <v>0</v>
      </c>
      <c r="G61" s="2285">
        <f>Pav_Dados!H49</f>
        <v>0</v>
      </c>
      <c r="H61" s="2285">
        <f>Pav_Dados!I49</f>
        <v>0</v>
      </c>
      <c r="I61" s="2285">
        <f>Pav_Dados!J49</f>
        <v>0</v>
      </c>
      <c r="J61" s="2285">
        <f>Pav_Dados!K49</f>
        <v>0</v>
      </c>
      <c r="K61" s="2285">
        <f>Pav_Dados!L49</f>
        <v>0</v>
      </c>
      <c r="L61" s="2285">
        <f>Pav_Dados!M49</f>
        <v>0</v>
      </c>
      <c r="M61" s="2285">
        <f>Pav_Dados!N49</f>
        <v>0</v>
      </c>
      <c r="N61" s="2285">
        <f>Pav_Dados!O49</f>
        <v>0</v>
      </c>
      <c r="O61" s="2285">
        <f>Pav_Dados!P49</f>
        <v>0</v>
      </c>
      <c r="P61" s="2285">
        <f>Pav_Dados!Q49</f>
        <v>0</v>
      </c>
      <c r="Q61" s="2285">
        <f>Pav_Dados!R49</f>
        <v>0</v>
      </c>
      <c r="R61" s="2285">
        <f>Pav_Dados!S49</f>
        <v>0</v>
      </c>
      <c r="S61" s="2285">
        <f>Pav_Dados!T49</f>
        <v>0</v>
      </c>
      <c r="T61" s="2285">
        <f>Pav_Dados!U49</f>
        <v>0</v>
      </c>
      <c r="U61" s="2285">
        <f>Pav_Dados!V49</f>
        <v>0</v>
      </c>
      <c r="V61" s="2285">
        <f>Pav_Dados!W49</f>
        <v>0</v>
      </c>
      <c r="W61" s="2285">
        <f>Pav_Dados!X49</f>
        <v>0</v>
      </c>
      <c r="X61" s="2285"/>
      <c r="Y61" s="1082">
        <f>TRUNC(SUM(F61:X61),2)</f>
        <v>0</v>
      </c>
      <c r="Z61" s="579">
        <f>SUM(F61:Y61)</f>
        <v>0</v>
      </c>
    </row>
    <row r="62" spans="1:26" s="6" customFormat="1" ht="21.95" hidden="1" customHeight="1" x14ac:dyDescent="0.15">
      <c r="A62" s="2596"/>
      <c r="B62" s="2617"/>
      <c r="C62" s="543" t="s">
        <v>1382</v>
      </c>
      <c r="D62" s="982"/>
      <c r="E62" s="1345"/>
      <c r="F62" s="8">
        <f>IF(F61=0,0,IF(Pav_Dados!G50=0,Pav_Dados!G52/(F61*F63),Pav_Dados!G50))</f>
        <v>0</v>
      </c>
      <c r="G62" s="8">
        <f>IF(G61=0,0,IF(Pav_Dados!H50=0,Pav_Dados!H52/(G61*G63),Pav_Dados!H50))</f>
        <v>0</v>
      </c>
      <c r="H62" s="8">
        <f>IF(H61=0,0,IF(Pav_Dados!I50=0,Pav_Dados!I52/(H61*H63),Pav_Dados!I50))</f>
        <v>0</v>
      </c>
      <c r="I62" s="8">
        <f>IF(I61=0,0,IF(Pav_Dados!J50=0,Pav_Dados!J52/(I61*I63),Pav_Dados!J50))</f>
        <v>0</v>
      </c>
      <c r="J62" s="8">
        <f>IF(J61=0,0,IF(Pav_Dados!K50=0,Pav_Dados!K52/(J61*J63),Pav_Dados!K50))</f>
        <v>0</v>
      </c>
      <c r="K62" s="8">
        <f>IF(K61=0,0,IF(Pav_Dados!L50=0,Pav_Dados!L52/(K61*K63),Pav_Dados!L50))</f>
        <v>0</v>
      </c>
      <c r="L62" s="8">
        <f>IF(L61=0,0,IF(Pav_Dados!M50=0,Pav_Dados!M52/(L61*L63),Pav_Dados!M50))</f>
        <v>0</v>
      </c>
      <c r="M62" s="8">
        <f>IF(M61=0,0,IF(Pav_Dados!N50=0,Pav_Dados!N52/(M61*M63),Pav_Dados!N50))</f>
        <v>0</v>
      </c>
      <c r="N62" s="8">
        <f>IF(N61=0,0,IF(Pav_Dados!O50=0,Pav_Dados!O52/(N61*N63),Pav_Dados!O50))</f>
        <v>0</v>
      </c>
      <c r="O62" s="8">
        <f>IF(O61=0,0,IF(Pav_Dados!P50=0,Pav_Dados!P52/(O61*O63),Pav_Dados!P50))</f>
        <v>0</v>
      </c>
      <c r="P62" s="8">
        <f>IF(P61=0,0,IF(Pav_Dados!Q50=0,Pav_Dados!Q52/(P61*P63),Pav_Dados!Q50))</f>
        <v>0</v>
      </c>
      <c r="Q62" s="8">
        <f>IF(Q61=0,0,IF(Pav_Dados!R50=0,Pav_Dados!R52/(Q61*Q63),Pav_Dados!R50))</f>
        <v>0</v>
      </c>
      <c r="R62" s="8">
        <f>IF(R61=0,0,IF(Pav_Dados!S50=0,Pav_Dados!S52/(R61*R63),Pav_Dados!S50))</f>
        <v>0</v>
      </c>
      <c r="S62" s="8">
        <f>IF(S61=0,0,IF(Pav_Dados!T50=0,Pav_Dados!T52/(S61*S63),Pav_Dados!T50))</f>
        <v>0</v>
      </c>
      <c r="T62" s="8">
        <f>IF(T61=0,0,IF(Pav_Dados!U50=0,Pav_Dados!U52/(T61*T63),Pav_Dados!U50))</f>
        <v>0</v>
      </c>
      <c r="U62" s="8">
        <f>IF(U61=0,0,IF(Pav_Dados!V50=0,Pav_Dados!V52/(U61*U63),Pav_Dados!V50))</f>
        <v>0</v>
      </c>
      <c r="V62" s="8">
        <f>IF(V61=0,0,IF(Pav_Dados!W50=0,Pav_Dados!W52/(V61*V63),Pav_Dados!W50))</f>
        <v>0</v>
      </c>
      <c r="W62" s="8">
        <f>IF(W61=0,0,IF(Pav_Dados!X50=0,Pav_Dados!X52/(W61*W63),Pav_Dados!X50))</f>
        <v>0</v>
      </c>
      <c r="X62" s="8"/>
      <c r="Y62" s="510"/>
      <c r="Z62" s="579">
        <f>SUM(F62:Y62)</f>
        <v>0</v>
      </c>
    </row>
    <row r="63" spans="1:26" s="6" customFormat="1" ht="21.95" hidden="1" customHeight="1" x14ac:dyDescent="0.15">
      <c r="A63" s="2596"/>
      <c r="B63" s="2617"/>
      <c r="C63" s="543" t="s">
        <v>169</v>
      </c>
      <c r="D63" s="982"/>
      <c r="E63" s="1345"/>
      <c r="F63" s="8">
        <f>Pav_Dados!G51</f>
        <v>0</v>
      </c>
      <c r="G63" s="8">
        <f>Pav_Dados!H51</f>
        <v>0</v>
      </c>
      <c r="H63" s="8">
        <f>Pav_Dados!I51</f>
        <v>0</v>
      </c>
      <c r="I63" s="8">
        <f>Pav_Dados!J51</f>
        <v>0</v>
      </c>
      <c r="J63" s="8">
        <f>Pav_Dados!K51</f>
        <v>0</v>
      </c>
      <c r="K63" s="8">
        <f>Pav_Dados!L51</f>
        <v>0</v>
      </c>
      <c r="L63" s="8">
        <f>Pav_Dados!M51</f>
        <v>0</v>
      </c>
      <c r="M63" s="8">
        <f>Pav_Dados!N51</f>
        <v>0</v>
      </c>
      <c r="N63" s="8">
        <f>Pav_Dados!O51</f>
        <v>0</v>
      </c>
      <c r="O63" s="8">
        <f>Pav_Dados!P51</f>
        <v>0</v>
      </c>
      <c r="P63" s="8">
        <f>Pav_Dados!Q51</f>
        <v>0</v>
      </c>
      <c r="Q63" s="8">
        <f>Pav_Dados!R51</f>
        <v>0</v>
      </c>
      <c r="R63" s="8">
        <f>Pav_Dados!S51</f>
        <v>0</v>
      </c>
      <c r="S63" s="8">
        <f>Pav_Dados!T51</f>
        <v>0</v>
      </c>
      <c r="T63" s="8">
        <f>Pav_Dados!U51</f>
        <v>0</v>
      </c>
      <c r="U63" s="8">
        <f>Pav_Dados!V51</f>
        <v>0</v>
      </c>
      <c r="V63" s="8">
        <f>Pav_Dados!W51</f>
        <v>0</v>
      </c>
      <c r="W63" s="8">
        <f>Pav_Dados!X51</f>
        <v>0</v>
      </c>
      <c r="X63" s="8"/>
      <c r="Y63" s="510"/>
      <c r="Z63" s="579">
        <f>SUM(F63:Y63)</f>
        <v>0</v>
      </c>
    </row>
    <row r="64" spans="1:26" s="6" customFormat="1" ht="21.95" hidden="1" customHeight="1" x14ac:dyDescent="0.15">
      <c r="A64" s="2596"/>
      <c r="B64" s="2617"/>
      <c r="C64" s="543" t="s">
        <v>57</v>
      </c>
      <c r="D64" s="982"/>
      <c r="E64" s="1345"/>
      <c r="F64" s="8">
        <f>IF(F62&gt;0,(F61*F63)*F62,Pav_Dados!G52)</f>
        <v>0</v>
      </c>
      <c r="G64" s="8">
        <f>IF(G62&gt;0,(G61*G63)*G62,Pav_Dados!H52)</f>
        <v>0</v>
      </c>
      <c r="H64" s="8">
        <f>IF(H62&gt;0,(H61*H63)*H62,Pav_Dados!I52)</f>
        <v>0</v>
      </c>
      <c r="I64" s="8">
        <f>IF(I62&gt;0,(I61*I63)*I62,Pav_Dados!J52)</f>
        <v>0</v>
      </c>
      <c r="J64" s="8">
        <f>IF(J62&gt;0,(J61*J63)*J62,Pav_Dados!K52)</f>
        <v>0</v>
      </c>
      <c r="K64" s="8">
        <f>IF(K62&gt;0,(K61*K63)*K62,Pav_Dados!L52)</f>
        <v>0</v>
      </c>
      <c r="L64" s="8">
        <f>IF(L62&gt;0,(L61*L63)*L62,Pav_Dados!M52)</f>
        <v>0</v>
      </c>
      <c r="M64" s="8">
        <f>IF(M62&gt;0,(M61*M63)*M62,Pav_Dados!N52)</f>
        <v>0</v>
      </c>
      <c r="N64" s="8">
        <f>IF(N62&gt;0,(N61*N63)*N62,Pav_Dados!O52)</f>
        <v>0</v>
      </c>
      <c r="O64" s="8">
        <f>IF(O62&gt;0,(O61*O63)*O62,Pav_Dados!P52)</f>
        <v>0</v>
      </c>
      <c r="P64" s="8">
        <f>IF(P62&gt;0,(P61*P63)*P62,Pav_Dados!Q52)</f>
        <v>0</v>
      </c>
      <c r="Q64" s="8">
        <f>IF(Q62&gt;0,(Q61*Q63)*Q62,Pav_Dados!R52)</f>
        <v>0</v>
      </c>
      <c r="R64" s="8">
        <f>IF(R62&gt;0,(R61*R63)*R62,Pav_Dados!S52)</f>
        <v>0</v>
      </c>
      <c r="S64" s="8">
        <f>IF(S62&gt;0,(S61*S63)*S62,Pav_Dados!T52)</f>
        <v>0</v>
      </c>
      <c r="T64" s="8">
        <f>IF(T62&gt;0,(T61*T63)*T62,Pav_Dados!U52)</f>
        <v>0</v>
      </c>
      <c r="U64" s="8">
        <f>IF(U62&gt;0,(U61*U63)*U62,Pav_Dados!V52)</f>
        <v>0</v>
      </c>
      <c r="V64" s="8">
        <f>IF(V62&gt;0,(V61*V63)*V62,Pav_Dados!W52)</f>
        <v>0</v>
      </c>
      <c r="W64" s="8">
        <f>IF(W62&gt;0,(W61*W63)*W62,Pav_Dados!X52)</f>
        <v>0</v>
      </c>
      <c r="X64" s="8"/>
      <c r="Y64" s="512">
        <f>TRUNC(SUM(F64:X64),2)</f>
        <v>0</v>
      </c>
      <c r="Z64" s="579">
        <f>SUM(F64:Y64)</f>
        <v>0</v>
      </c>
    </row>
    <row r="65" spans="1:26" s="6" customFormat="1" ht="21.95" hidden="1" customHeight="1" thickBot="1" x14ac:dyDescent="0.2">
      <c r="A65" s="2596"/>
      <c r="B65" s="2618"/>
      <c r="C65" s="544" t="s">
        <v>26</v>
      </c>
      <c r="D65" s="1377"/>
      <c r="E65" s="1270"/>
      <c r="F65" s="1072">
        <f t="shared" ref="F65:W65" si="15">IF(F61=0,0,"BOTA-FORA")</f>
        <v>0</v>
      </c>
      <c r="G65" s="1072">
        <f t="shared" si="15"/>
        <v>0</v>
      </c>
      <c r="H65" s="1072">
        <f t="shared" si="15"/>
        <v>0</v>
      </c>
      <c r="I65" s="1072">
        <f t="shared" si="15"/>
        <v>0</v>
      </c>
      <c r="J65" s="1072">
        <f t="shared" si="15"/>
        <v>0</v>
      </c>
      <c r="K65" s="1072">
        <f t="shared" si="15"/>
        <v>0</v>
      </c>
      <c r="L65" s="1072">
        <f t="shared" si="15"/>
        <v>0</v>
      </c>
      <c r="M65" s="1072">
        <f t="shared" si="15"/>
        <v>0</v>
      </c>
      <c r="N65" s="1072">
        <f t="shared" si="15"/>
        <v>0</v>
      </c>
      <c r="O65" s="1072">
        <f t="shared" si="15"/>
        <v>0</v>
      </c>
      <c r="P65" s="1072">
        <f t="shared" si="15"/>
        <v>0</v>
      </c>
      <c r="Q65" s="1072">
        <f t="shared" si="15"/>
        <v>0</v>
      </c>
      <c r="R65" s="1072">
        <f t="shared" si="15"/>
        <v>0</v>
      </c>
      <c r="S65" s="1072">
        <f t="shared" si="15"/>
        <v>0</v>
      </c>
      <c r="T65" s="1072">
        <f t="shared" si="15"/>
        <v>0</v>
      </c>
      <c r="U65" s="1072">
        <f t="shared" si="15"/>
        <v>0</v>
      </c>
      <c r="V65" s="1072">
        <f t="shared" si="15"/>
        <v>0</v>
      </c>
      <c r="W65" s="1072">
        <f t="shared" si="15"/>
        <v>0</v>
      </c>
      <c r="X65" s="1072"/>
      <c r="Y65" s="510"/>
      <c r="Z65" s="1017">
        <f>COUNTA(F65:X65)-COUNTIF(F65:X65,0)</f>
        <v>0</v>
      </c>
    </row>
    <row r="66" spans="1:26" s="6" customFormat="1" ht="21.95" hidden="1" customHeight="1" x14ac:dyDescent="0.15">
      <c r="A66" s="2596"/>
      <c r="B66" s="2616" t="s">
        <v>1331</v>
      </c>
      <c r="C66" s="542" t="s">
        <v>167</v>
      </c>
      <c r="D66" s="982"/>
      <c r="E66" s="1344"/>
      <c r="F66" s="216">
        <f>Pav_Dados!G53</f>
        <v>0</v>
      </c>
      <c r="G66" s="216">
        <f>Pav_Dados!H53</f>
        <v>0</v>
      </c>
      <c r="H66" s="216">
        <f>Pav_Dados!I53</f>
        <v>0</v>
      </c>
      <c r="I66" s="216">
        <f>Pav_Dados!J53</f>
        <v>0</v>
      </c>
      <c r="J66" s="216">
        <f>Pav_Dados!K53</f>
        <v>0</v>
      </c>
      <c r="K66" s="216">
        <f>Pav_Dados!L53</f>
        <v>0</v>
      </c>
      <c r="L66" s="216">
        <f>Pav_Dados!M53</f>
        <v>0</v>
      </c>
      <c r="M66" s="216">
        <f>Pav_Dados!N53</f>
        <v>0</v>
      </c>
      <c r="N66" s="216">
        <f>Pav_Dados!O53</f>
        <v>0</v>
      </c>
      <c r="O66" s="216">
        <f>Pav_Dados!P53</f>
        <v>0</v>
      </c>
      <c r="P66" s="216">
        <f>Pav_Dados!Q53</f>
        <v>0</v>
      </c>
      <c r="Q66" s="216">
        <f>Pav_Dados!R53</f>
        <v>0</v>
      </c>
      <c r="R66" s="216">
        <f>Pav_Dados!S53</f>
        <v>0</v>
      </c>
      <c r="S66" s="216">
        <f>Pav_Dados!T53</f>
        <v>0</v>
      </c>
      <c r="T66" s="216">
        <f>Pav_Dados!U53</f>
        <v>0</v>
      </c>
      <c r="U66" s="216">
        <f>Pav_Dados!V53</f>
        <v>0</v>
      </c>
      <c r="V66" s="216">
        <f>Pav_Dados!W53</f>
        <v>0</v>
      </c>
      <c r="W66" s="216">
        <f>Pav_Dados!X53</f>
        <v>0</v>
      </c>
      <c r="X66" s="216"/>
      <c r="Y66" s="533">
        <f>TRUNC(SUM(F66:X66),2)</f>
        <v>0</v>
      </c>
      <c r="Z66" s="579">
        <f>SUM(F66:Y66)</f>
        <v>0</v>
      </c>
    </row>
    <row r="67" spans="1:26" s="6" customFormat="1" ht="21.95" hidden="1" customHeight="1" x14ac:dyDescent="0.15">
      <c r="A67" s="2596"/>
      <c r="B67" s="2617"/>
      <c r="C67" s="543" t="s">
        <v>1381</v>
      </c>
      <c r="D67" s="982"/>
      <c r="E67" s="1345"/>
      <c r="F67" s="8">
        <f>IF(F66=0,0,IF(Pav_Dados!G54=0,Pav_Dados!G56/(F66*F68),Pav_Dados!G54))</f>
        <v>0</v>
      </c>
      <c r="G67" s="8">
        <f>IF(G66=0,0,IF(Pav_Dados!H54=0,Pav_Dados!H56/(G66*G68),Pav_Dados!H54))</f>
        <v>0</v>
      </c>
      <c r="H67" s="8">
        <f>IF(H66=0,0,IF(Pav_Dados!I54=0,Pav_Dados!I56/(H66*H68),Pav_Dados!I54))</f>
        <v>0</v>
      </c>
      <c r="I67" s="8">
        <f>IF(I66=0,0,IF(Pav_Dados!J54=0,Pav_Dados!J56/(I66*I68),Pav_Dados!J54))</f>
        <v>0</v>
      </c>
      <c r="J67" s="8">
        <f>IF(J66=0,0,IF(Pav_Dados!K54=0,Pav_Dados!K56/(J66*J68),Pav_Dados!K54))</f>
        <v>0</v>
      </c>
      <c r="K67" s="8">
        <f>IF(K66=0,0,IF(Pav_Dados!L54=0,Pav_Dados!L56/(K66*K68),Pav_Dados!L54))</f>
        <v>0</v>
      </c>
      <c r="L67" s="8">
        <f>IF(L66=0,0,IF(Pav_Dados!M54=0,Pav_Dados!M56/(L66*L68),Pav_Dados!M54))</f>
        <v>0</v>
      </c>
      <c r="M67" s="8">
        <f>IF(M66=0,0,IF(Pav_Dados!N54=0,Pav_Dados!N56/(M66*M68),Pav_Dados!N54))</f>
        <v>0</v>
      </c>
      <c r="N67" s="8">
        <f>IF(N66=0,0,IF(Pav_Dados!O54=0,Pav_Dados!O56/(N66*N68),Pav_Dados!O54))</f>
        <v>0</v>
      </c>
      <c r="O67" s="8">
        <f>IF(O66=0,0,IF(Pav_Dados!P54=0,Pav_Dados!P56/(O66*O68),Pav_Dados!P54))</f>
        <v>0</v>
      </c>
      <c r="P67" s="8">
        <f>IF(P66=0,0,IF(Pav_Dados!Q54=0,Pav_Dados!Q56/(P66*P68),Pav_Dados!Q54))</f>
        <v>0</v>
      </c>
      <c r="Q67" s="8">
        <f>IF(Q66=0,0,IF(Pav_Dados!R54=0,Pav_Dados!R56/(Q66*Q68),Pav_Dados!R54))</f>
        <v>0</v>
      </c>
      <c r="R67" s="8">
        <f>IF(R66=0,0,IF(Pav_Dados!S54=0,Pav_Dados!S56/(R66*R68),Pav_Dados!S54))</f>
        <v>0</v>
      </c>
      <c r="S67" s="8">
        <f>IF(S66=0,0,IF(Pav_Dados!T54=0,Pav_Dados!T56/(S66*S68),Pav_Dados!T54))</f>
        <v>0</v>
      </c>
      <c r="T67" s="8">
        <f>IF(T66=0,0,IF(Pav_Dados!U54=0,Pav_Dados!U56/(T66*T68),Pav_Dados!U54))</f>
        <v>0</v>
      </c>
      <c r="U67" s="8">
        <f>IF(U66=0,0,IF(Pav_Dados!V54=0,Pav_Dados!V56/(U66*U68),Pav_Dados!V54))</f>
        <v>0</v>
      </c>
      <c r="V67" s="8">
        <f>IF(V66=0,0,IF(Pav_Dados!W54=0,Pav_Dados!W56/(V66*V68),Pav_Dados!W54))</f>
        <v>0</v>
      </c>
      <c r="W67" s="8">
        <f>IF(W66=0,0,IF(Pav_Dados!X54=0,Pav_Dados!X56/(W66*W68),Pav_Dados!X54))</f>
        <v>0</v>
      </c>
      <c r="X67" s="8"/>
      <c r="Y67" s="510"/>
      <c r="Z67" s="579">
        <f>SUM(F67:Y67)</f>
        <v>0</v>
      </c>
    </row>
    <row r="68" spans="1:26" s="6" customFormat="1" ht="21.95" hidden="1" customHeight="1" x14ac:dyDescent="0.15">
      <c r="A68" s="2596"/>
      <c r="B68" s="2617"/>
      <c r="C68" s="543" t="s">
        <v>168</v>
      </c>
      <c r="D68" s="982"/>
      <c r="E68" s="1345"/>
      <c r="F68" s="8">
        <f>Pav_Dados!G55</f>
        <v>0</v>
      </c>
      <c r="G68" s="8">
        <f>Pav_Dados!H55</f>
        <v>0</v>
      </c>
      <c r="H68" s="8">
        <f>Pav_Dados!I55</f>
        <v>0</v>
      </c>
      <c r="I68" s="8">
        <f>Pav_Dados!J55</f>
        <v>0</v>
      </c>
      <c r="J68" s="8">
        <f>Pav_Dados!K55</f>
        <v>0</v>
      </c>
      <c r="K68" s="8">
        <f>Pav_Dados!L55</f>
        <v>0</v>
      </c>
      <c r="L68" s="8">
        <f>Pav_Dados!M55</f>
        <v>0</v>
      </c>
      <c r="M68" s="8">
        <f>Pav_Dados!N55</f>
        <v>0</v>
      </c>
      <c r="N68" s="8">
        <f>Pav_Dados!O55</f>
        <v>0</v>
      </c>
      <c r="O68" s="8">
        <f>Pav_Dados!P55</f>
        <v>0</v>
      </c>
      <c r="P68" s="8">
        <f>Pav_Dados!Q55</f>
        <v>0</v>
      </c>
      <c r="Q68" s="8">
        <f>Pav_Dados!R55</f>
        <v>0</v>
      </c>
      <c r="R68" s="8">
        <f>Pav_Dados!S55</f>
        <v>0</v>
      </c>
      <c r="S68" s="8">
        <f>Pav_Dados!T55</f>
        <v>0</v>
      </c>
      <c r="T68" s="8">
        <f>Pav_Dados!U55</f>
        <v>0</v>
      </c>
      <c r="U68" s="8">
        <f>Pav_Dados!V55</f>
        <v>0</v>
      </c>
      <c r="V68" s="8">
        <f>Pav_Dados!W55</f>
        <v>0</v>
      </c>
      <c r="W68" s="8">
        <f>Pav_Dados!X55</f>
        <v>0</v>
      </c>
      <c r="X68" s="8"/>
      <c r="Y68" s="510"/>
      <c r="Z68" s="579">
        <f>SUM(F68:Y68)</f>
        <v>0</v>
      </c>
    </row>
    <row r="69" spans="1:26" s="6" customFormat="1" ht="21.95" hidden="1" customHeight="1" x14ac:dyDescent="0.15">
      <c r="A69" s="2596"/>
      <c r="B69" s="2617"/>
      <c r="C69" s="543" t="s">
        <v>56</v>
      </c>
      <c r="D69" s="982"/>
      <c r="E69" s="1345"/>
      <c r="F69" s="8">
        <f>IF(F67&gt;0,(F66*F68)*F67,Pav_Dados!G56)</f>
        <v>0</v>
      </c>
      <c r="G69" s="8">
        <f>IF(G67&gt;0,(G66*G68)*G67,Pav_Dados!H56)</f>
        <v>0</v>
      </c>
      <c r="H69" s="8">
        <f>IF(H67&gt;0,(H66*H68)*H67,Pav_Dados!I56)</f>
        <v>0</v>
      </c>
      <c r="I69" s="8">
        <f>IF(I67&gt;0,(I66*I68)*I67,Pav_Dados!J56)</f>
        <v>0</v>
      </c>
      <c r="J69" s="8">
        <f>IF(J67&gt;0,(J66*J68)*J67,Pav_Dados!K56)</f>
        <v>0</v>
      </c>
      <c r="K69" s="8">
        <f>IF(K67&gt;0,(K66*K68)*K67,Pav_Dados!L56)</f>
        <v>0</v>
      </c>
      <c r="L69" s="8">
        <f>IF(L67&gt;0,(L66*L68)*L67,Pav_Dados!M56)</f>
        <v>0</v>
      </c>
      <c r="M69" s="8">
        <f>IF(M67&gt;0,(M66*M68)*M67,Pav_Dados!N56)</f>
        <v>0</v>
      </c>
      <c r="N69" s="8">
        <f>IF(N67&gt;0,(N66*N68)*N67,Pav_Dados!O56)</f>
        <v>0</v>
      </c>
      <c r="O69" s="8">
        <f>IF(O67&gt;0,(O66*O68)*O67,Pav_Dados!P56)</f>
        <v>0</v>
      </c>
      <c r="P69" s="8">
        <f>IF(P67&gt;0,(P66*P68)*P67,Pav_Dados!Q56)</f>
        <v>0</v>
      </c>
      <c r="Q69" s="8">
        <f>IF(Q67&gt;0,(Q66*Q68)*Q67,Pav_Dados!R56)</f>
        <v>0</v>
      </c>
      <c r="R69" s="8">
        <f>IF(R67&gt;0,(R66*R68)*R67,Pav_Dados!S56)</f>
        <v>0</v>
      </c>
      <c r="S69" s="8">
        <f>IF(S67&gt;0,(S66*S68)*S67,Pav_Dados!T56)</f>
        <v>0</v>
      </c>
      <c r="T69" s="8">
        <f>IF(T67&gt;0,(T66*T68)*T67,Pav_Dados!U56)</f>
        <v>0</v>
      </c>
      <c r="U69" s="8">
        <f>IF(U67&gt;0,(U66*U68)*U67,Pav_Dados!V56)</f>
        <v>0</v>
      </c>
      <c r="V69" s="8">
        <f>IF(V67&gt;0,(V66*V68)*V67,Pav_Dados!W56)</f>
        <v>0</v>
      </c>
      <c r="W69" s="8">
        <f>IF(W67&gt;0,(W66*W68)*W67,Pav_Dados!X56)</f>
        <v>0</v>
      </c>
      <c r="X69" s="8"/>
      <c r="Y69" s="512">
        <f>TRUNC(SUM(F69:X69),2)</f>
        <v>0</v>
      </c>
      <c r="Z69" s="579">
        <f>SUM(F69:Y69)</f>
        <v>0</v>
      </c>
    </row>
    <row r="70" spans="1:26" s="6" customFormat="1" ht="21.95" hidden="1" customHeight="1" x14ac:dyDescent="0.15">
      <c r="A70" s="2596"/>
      <c r="B70" s="2916"/>
      <c r="C70" s="543" t="s">
        <v>26</v>
      </c>
      <c r="D70" s="1378"/>
      <c r="E70" s="1362"/>
      <c r="F70" s="924">
        <f t="shared" ref="F70:W70" si="16">IF(F66=0,0,"BOTA-FORA")</f>
        <v>0</v>
      </c>
      <c r="G70" s="924">
        <f t="shared" si="16"/>
        <v>0</v>
      </c>
      <c r="H70" s="924">
        <f t="shared" si="16"/>
        <v>0</v>
      </c>
      <c r="I70" s="924">
        <f t="shared" si="16"/>
        <v>0</v>
      </c>
      <c r="J70" s="924">
        <f t="shared" si="16"/>
        <v>0</v>
      </c>
      <c r="K70" s="924">
        <f t="shared" si="16"/>
        <v>0</v>
      </c>
      <c r="L70" s="924">
        <f t="shared" si="16"/>
        <v>0</v>
      </c>
      <c r="M70" s="924">
        <f t="shared" si="16"/>
        <v>0</v>
      </c>
      <c r="N70" s="924">
        <f t="shared" si="16"/>
        <v>0</v>
      </c>
      <c r="O70" s="924">
        <f t="shared" si="16"/>
        <v>0</v>
      </c>
      <c r="P70" s="924">
        <f t="shared" si="16"/>
        <v>0</v>
      </c>
      <c r="Q70" s="924">
        <f t="shared" si="16"/>
        <v>0</v>
      </c>
      <c r="R70" s="924">
        <f t="shared" si="16"/>
        <v>0</v>
      </c>
      <c r="S70" s="924">
        <f t="shared" si="16"/>
        <v>0</v>
      </c>
      <c r="T70" s="924">
        <f t="shared" si="16"/>
        <v>0</v>
      </c>
      <c r="U70" s="924">
        <f t="shared" si="16"/>
        <v>0</v>
      </c>
      <c r="V70" s="924">
        <f t="shared" si="16"/>
        <v>0</v>
      </c>
      <c r="W70" s="924">
        <f t="shared" si="16"/>
        <v>0</v>
      </c>
      <c r="X70" s="924"/>
      <c r="Y70" s="2102"/>
      <c r="Z70" s="1017">
        <f>COUNTA(F70:X70)-COUNTIF(F70:X70,0)</f>
        <v>0</v>
      </c>
    </row>
    <row r="71" spans="1:26" s="6" customFormat="1" ht="21.95" hidden="1" customHeight="1" x14ac:dyDescent="0.15">
      <c r="A71" s="2596"/>
      <c r="B71" s="2617"/>
      <c r="C71" s="544" t="s">
        <v>61</v>
      </c>
      <c r="D71" s="982"/>
      <c r="E71" s="1345"/>
      <c r="F71" s="2285">
        <f>Pav_Dados!G57</f>
        <v>0</v>
      </c>
      <c r="G71" s="2285">
        <f>Pav_Dados!H57</f>
        <v>0</v>
      </c>
      <c r="H71" s="2285">
        <f>Pav_Dados!I57</f>
        <v>0</v>
      </c>
      <c r="I71" s="2285">
        <f>Pav_Dados!J57</f>
        <v>0</v>
      </c>
      <c r="J71" s="2285">
        <f>Pav_Dados!K57</f>
        <v>0</v>
      </c>
      <c r="K71" s="2285">
        <f>Pav_Dados!L57</f>
        <v>0</v>
      </c>
      <c r="L71" s="2285">
        <f>Pav_Dados!M57</f>
        <v>0</v>
      </c>
      <c r="M71" s="2285">
        <f>Pav_Dados!N57</f>
        <v>0</v>
      </c>
      <c r="N71" s="2285">
        <f>Pav_Dados!O57</f>
        <v>0</v>
      </c>
      <c r="O71" s="2285">
        <f>Pav_Dados!P57</f>
        <v>0</v>
      </c>
      <c r="P71" s="2285">
        <f>Pav_Dados!Q57</f>
        <v>0</v>
      </c>
      <c r="Q71" s="2285">
        <f>Pav_Dados!R57</f>
        <v>0</v>
      </c>
      <c r="R71" s="2285">
        <f>Pav_Dados!S57</f>
        <v>0</v>
      </c>
      <c r="S71" s="2285">
        <f>Pav_Dados!T57</f>
        <v>0</v>
      </c>
      <c r="T71" s="2285">
        <f>Pav_Dados!U57</f>
        <v>0</v>
      </c>
      <c r="U71" s="2285">
        <f>Pav_Dados!V57</f>
        <v>0</v>
      </c>
      <c r="V71" s="2285">
        <f>Pav_Dados!W57</f>
        <v>0</v>
      </c>
      <c r="W71" s="2285">
        <f>Pav_Dados!X57</f>
        <v>0</v>
      </c>
      <c r="X71" s="2285"/>
      <c r="Y71" s="1082">
        <f>TRUNC(SUM(F71:X71),2)</f>
        <v>0</v>
      </c>
      <c r="Z71" s="579">
        <f>SUM(F71:Y71)</f>
        <v>0</v>
      </c>
    </row>
    <row r="72" spans="1:26" s="6" customFormat="1" ht="21.95" hidden="1" customHeight="1" x14ac:dyDescent="0.15">
      <c r="A72" s="2596"/>
      <c r="B72" s="2617"/>
      <c r="C72" s="543" t="s">
        <v>1382</v>
      </c>
      <c r="D72" s="982"/>
      <c r="E72" s="1345"/>
      <c r="F72" s="8">
        <f>IF(F71=0,0,IF(Pav_Dados!G58=0,Pav_Dados!G60/(F71*F73),Pav_Dados!G58))</f>
        <v>0</v>
      </c>
      <c r="G72" s="8">
        <f>IF(G71=0,0,IF(Pav_Dados!H58=0,Pav_Dados!H60/(G71*G73),Pav_Dados!H58))</f>
        <v>0</v>
      </c>
      <c r="H72" s="8">
        <f>IF(H71=0,0,IF(Pav_Dados!I58=0,Pav_Dados!I60/(H71*H73),Pav_Dados!I58))</f>
        <v>0</v>
      </c>
      <c r="I72" s="8">
        <f>IF(I71=0,0,IF(Pav_Dados!J58=0,Pav_Dados!J60/(I71*I73),Pav_Dados!J58))</f>
        <v>0</v>
      </c>
      <c r="J72" s="8">
        <f>IF(J71=0,0,IF(Pav_Dados!K58=0,Pav_Dados!K60/(J71*J73),Pav_Dados!K58))</f>
        <v>0</v>
      </c>
      <c r="K72" s="8">
        <f>IF(K71=0,0,IF(Pav_Dados!L58=0,Pav_Dados!L60/(K71*K73),Pav_Dados!L58))</f>
        <v>0</v>
      </c>
      <c r="L72" s="8">
        <f>IF(L71=0,0,IF(Pav_Dados!M58=0,Pav_Dados!M60/(L71*L73),Pav_Dados!M58))</f>
        <v>0</v>
      </c>
      <c r="M72" s="8">
        <f>IF(M71=0,0,IF(Pav_Dados!N58=0,Pav_Dados!N60/(M71*M73),Pav_Dados!N58))</f>
        <v>0</v>
      </c>
      <c r="N72" s="8">
        <f>IF(N71=0,0,IF(Pav_Dados!O58=0,Pav_Dados!O60/(N71*N73),Pav_Dados!O58))</f>
        <v>0</v>
      </c>
      <c r="O72" s="8">
        <f>IF(O71=0,0,IF(Pav_Dados!P58=0,Pav_Dados!P60/(O71*O73),Pav_Dados!P58))</f>
        <v>0</v>
      </c>
      <c r="P72" s="8">
        <f>IF(P71=0,0,IF(Pav_Dados!Q58=0,Pav_Dados!Q60/(P71*P73),Pav_Dados!Q58))</f>
        <v>0</v>
      </c>
      <c r="Q72" s="8">
        <f>IF(Q71=0,0,IF(Pav_Dados!R58=0,Pav_Dados!R60/(Q71*Q73),Pav_Dados!R58))</f>
        <v>0</v>
      </c>
      <c r="R72" s="8">
        <f>IF(R71=0,0,IF(Pav_Dados!S58=0,Pav_Dados!S60/(R71*R73),Pav_Dados!S58))</f>
        <v>0</v>
      </c>
      <c r="S72" s="8">
        <f>IF(S71=0,0,IF(Pav_Dados!T58=0,Pav_Dados!T60/(S71*S73),Pav_Dados!T58))</f>
        <v>0</v>
      </c>
      <c r="T72" s="8">
        <f>IF(T71=0,0,IF(Pav_Dados!U58=0,Pav_Dados!U60/(T71*T73),Pav_Dados!U58))</f>
        <v>0</v>
      </c>
      <c r="U72" s="8">
        <f>IF(U71=0,0,IF(Pav_Dados!V58=0,Pav_Dados!V60/(U71*U73),Pav_Dados!V58))</f>
        <v>0</v>
      </c>
      <c r="V72" s="8">
        <f>IF(V71=0,0,IF(Pav_Dados!W58=0,Pav_Dados!W60/(V71*V73),Pav_Dados!W58))</f>
        <v>0</v>
      </c>
      <c r="W72" s="8">
        <f>IF(W71=0,0,IF(Pav_Dados!X58=0,Pav_Dados!X60/(W71*W73),Pav_Dados!X58))</f>
        <v>0</v>
      </c>
      <c r="X72" s="8"/>
      <c r="Y72" s="510"/>
      <c r="Z72" s="579">
        <f>SUM(F72:Y72)</f>
        <v>0</v>
      </c>
    </row>
    <row r="73" spans="1:26" s="6" customFormat="1" ht="21.95" hidden="1" customHeight="1" x14ac:dyDescent="0.15">
      <c r="A73" s="2596"/>
      <c r="B73" s="2617"/>
      <c r="C73" s="543" t="s">
        <v>169</v>
      </c>
      <c r="D73" s="982"/>
      <c r="E73" s="1345"/>
      <c r="F73" s="8">
        <f>Pav_Dados!G59</f>
        <v>0</v>
      </c>
      <c r="G73" s="8">
        <f>Pav_Dados!H59</f>
        <v>0</v>
      </c>
      <c r="H73" s="8">
        <f>Pav_Dados!I59</f>
        <v>0</v>
      </c>
      <c r="I73" s="8">
        <f>Pav_Dados!J59</f>
        <v>0</v>
      </c>
      <c r="J73" s="8">
        <f>Pav_Dados!K59</f>
        <v>0</v>
      </c>
      <c r="K73" s="8">
        <f>Pav_Dados!L59</f>
        <v>0</v>
      </c>
      <c r="L73" s="8">
        <f>Pav_Dados!M59</f>
        <v>0</v>
      </c>
      <c r="M73" s="8">
        <f>Pav_Dados!N59</f>
        <v>0</v>
      </c>
      <c r="N73" s="8">
        <f>Pav_Dados!O59</f>
        <v>0</v>
      </c>
      <c r="O73" s="8">
        <f>Pav_Dados!P59</f>
        <v>0</v>
      </c>
      <c r="P73" s="8">
        <f>Pav_Dados!Q59</f>
        <v>0</v>
      </c>
      <c r="Q73" s="8">
        <f>Pav_Dados!R59</f>
        <v>0</v>
      </c>
      <c r="R73" s="8">
        <f>Pav_Dados!S59</f>
        <v>0</v>
      </c>
      <c r="S73" s="8">
        <f>Pav_Dados!T59</f>
        <v>0</v>
      </c>
      <c r="T73" s="8">
        <f>Pav_Dados!U59</f>
        <v>0</v>
      </c>
      <c r="U73" s="8">
        <f>Pav_Dados!V59</f>
        <v>0</v>
      </c>
      <c r="V73" s="8">
        <f>Pav_Dados!W59</f>
        <v>0</v>
      </c>
      <c r="W73" s="8">
        <f>Pav_Dados!X59</f>
        <v>0</v>
      </c>
      <c r="X73" s="8"/>
      <c r="Y73" s="510"/>
      <c r="Z73" s="579">
        <f>SUM(F73:Y73)</f>
        <v>0</v>
      </c>
    </row>
    <row r="74" spans="1:26" s="6" customFormat="1" ht="21.95" hidden="1" customHeight="1" x14ac:dyDescent="0.15">
      <c r="A74" s="2596"/>
      <c r="B74" s="2617"/>
      <c r="C74" s="543" t="s">
        <v>57</v>
      </c>
      <c r="D74" s="982"/>
      <c r="E74" s="1345"/>
      <c r="F74" s="8">
        <f>IF(F72&gt;0,(F71*F73)*F72,Pav_Dados!G60)</f>
        <v>0</v>
      </c>
      <c r="G74" s="8">
        <f>IF(G72&gt;0,(G71*G73)*G72,Pav_Dados!H60)</f>
        <v>0</v>
      </c>
      <c r="H74" s="8">
        <f>IF(H72&gt;0,(H71*H73)*H72,Pav_Dados!I60)</f>
        <v>0</v>
      </c>
      <c r="I74" s="8">
        <f>IF(I72&gt;0,(I71*I73)*I72,Pav_Dados!J60)</f>
        <v>0</v>
      </c>
      <c r="J74" s="8">
        <f>IF(J72&gt;0,(J71*J73)*J72,Pav_Dados!K60)</f>
        <v>0</v>
      </c>
      <c r="K74" s="8">
        <f>IF(K72&gt;0,(K71*K73)*K72,Pav_Dados!L60)</f>
        <v>0</v>
      </c>
      <c r="L74" s="8">
        <f>IF(L72&gt;0,(L71*L73)*L72,Pav_Dados!M60)</f>
        <v>0</v>
      </c>
      <c r="M74" s="8">
        <f>IF(M72&gt;0,(M71*M73)*M72,Pav_Dados!N60)</f>
        <v>0</v>
      </c>
      <c r="N74" s="8">
        <f>IF(N72&gt;0,(N71*N73)*N72,Pav_Dados!O60)</f>
        <v>0</v>
      </c>
      <c r="O74" s="8">
        <f>IF(O72&gt;0,(O71*O73)*O72,Pav_Dados!P60)</f>
        <v>0</v>
      </c>
      <c r="P74" s="8">
        <f>IF(P72&gt;0,(P71*P73)*P72,Pav_Dados!Q60)</f>
        <v>0</v>
      </c>
      <c r="Q74" s="8">
        <f>IF(Q72&gt;0,(Q71*Q73)*Q72,Pav_Dados!R60)</f>
        <v>0</v>
      </c>
      <c r="R74" s="8">
        <f>IF(R72&gt;0,(R71*R73)*R72,Pav_Dados!S60)</f>
        <v>0</v>
      </c>
      <c r="S74" s="8">
        <f>IF(S72&gt;0,(S71*S73)*S72,Pav_Dados!T60)</f>
        <v>0</v>
      </c>
      <c r="T74" s="8">
        <f>IF(T72&gt;0,(T71*T73)*T72,Pav_Dados!U60)</f>
        <v>0</v>
      </c>
      <c r="U74" s="8">
        <f>IF(U72&gt;0,(U71*U73)*U72,Pav_Dados!V60)</f>
        <v>0</v>
      </c>
      <c r="V74" s="8">
        <f>IF(V72&gt;0,(V71*V73)*V72,Pav_Dados!W60)</f>
        <v>0</v>
      </c>
      <c r="W74" s="8">
        <f>IF(W72&gt;0,(W71*W73)*W72,Pav_Dados!X60)</f>
        <v>0</v>
      </c>
      <c r="X74" s="8"/>
      <c r="Y74" s="512">
        <f>TRUNC(SUM(F74:X74),2)</f>
        <v>0</v>
      </c>
      <c r="Z74" s="579">
        <f>SUM(F74:Y74)</f>
        <v>0</v>
      </c>
    </row>
    <row r="75" spans="1:26" s="6" customFormat="1" ht="21.95" hidden="1" customHeight="1" thickBot="1" x14ac:dyDescent="0.2">
      <c r="A75" s="2596"/>
      <c r="B75" s="2618"/>
      <c r="C75" s="544" t="s">
        <v>26</v>
      </c>
      <c r="D75" s="1377"/>
      <c r="E75" s="1270"/>
      <c r="F75" s="1072">
        <f t="shared" ref="F75:W75" si="17">IF(F71=0,0,"BOTA-FORA")</f>
        <v>0</v>
      </c>
      <c r="G75" s="1072">
        <f t="shared" si="17"/>
        <v>0</v>
      </c>
      <c r="H75" s="1072">
        <f t="shared" si="17"/>
        <v>0</v>
      </c>
      <c r="I75" s="1072">
        <f t="shared" si="17"/>
        <v>0</v>
      </c>
      <c r="J75" s="1072">
        <f t="shared" si="17"/>
        <v>0</v>
      </c>
      <c r="K75" s="1072">
        <f t="shared" si="17"/>
        <v>0</v>
      </c>
      <c r="L75" s="1072">
        <f t="shared" si="17"/>
        <v>0</v>
      </c>
      <c r="M75" s="1072">
        <f t="shared" si="17"/>
        <v>0</v>
      </c>
      <c r="N75" s="1072">
        <f t="shared" si="17"/>
        <v>0</v>
      </c>
      <c r="O75" s="1072">
        <f t="shared" si="17"/>
        <v>0</v>
      </c>
      <c r="P75" s="1072">
        <f t="shared" si="17"/>
        <v>0</v>
      </c>
      <c r="Q75" s="1072">
        <f t="shared" si="17"/>
        <v>0</v>
      </c>
      <c r="R75" s="1072">
        <f t="shared" si="17"/>
        <v>0</v>
      </c>
      <c r="S75" s="1072">
        <f t="shared" si="17"/>
        <v>0</v>
      </c>
      <c r="T75" s="1072">
        <f t="shared" si="17"/>
        <v>0</v>
      </c>
      <c r="U75" s="1072">
        <f t="shared" si="17"/>
        <v>0</v>
      </c>
      <c r="V75" s="1072">
        <f t="shared" si="17"/>
        <v>0</v>
      </c>
      <c r="W75" s="1072">
        <f t="shared" si="17"/>
        <v>0</v>
      </c>
      <c r="X75" s="1072"/>
      <c r="Y75" s="510"/>
      <c r="Z75" s="1017">
        <f>COUNTA(F75:X75)-COUNTIF(F75:X75,0)</f>
        <v>0</v>
      </c>
    </row>
    <row r="76" spans="1:26" s="6" customFormat="1" ht="21.95" hidden="1" customHeight="1" x14ac:dyDescent="0.15">
      <c r="A76" s="2596"/>
      <c r="B76" s="2911" t="s">
        <v>15</v>
      </c>
      <c r="C76" s="542" t="s">
        <v>167</v>
      </c>
      <c r="D76" s="1062"/>
      <c r="E76" s="1344"/>
      <c r="F76" s="216">
        <f>IF(SUM(Pav_Dados!G62:G63)=0,0,+Pav_Dados!G61)</f>
        <v>0</v>
      </c>
      <c r="G76" s="216">
        <f>IF(SUM(Pav_Dados!H62:H63)=0,0,+Pav_Dados!H61)</f>
        <v>0</v>
      </c>
      <c r="H76" s="216">
        <f>IF(SUM(Pav_Dados!I62:I63)=0,0,+Pav_Dados!I61)</f>
        <v>0</v>
      </c>
      <c r="I76" s="216">
        <f>IF(SUM(Pav_Dados!J62:J63)=0,0,+Pav_Dados!J61)</f>
        <v>0</v>
      </c>
      <c r="J76" s="216">
        <f>IF(SUM(Pav_Dados!K62:K63)=0,0,+Pav_Dados!K61)</f>
        <v>0</v>
      </c>
      <c r="K76" s="216">
        <f>IF(SUM(Pav_Dados!L62:L63)=0,0,+Pav_Dados!L61)</f>
        <v>0</v>
      </c>
      <c r="L76" s="216">
        <f>IF(SUM(Pav_Dados!M62:M63)=0,0,+Pav_Dados!M61)</f>
        <v>0</v>
      </c>
      <c r="M76" s="216">
        <f>IF(SUM(Pav_Dados!N62:N63)=0,0,+Pav_Dados!N61)</f>
        <v>0</v>
      </c>
      <c r="N76" s="216">
        <f>IF(SUM(Pav_Dados!O62:O63)=0,0,+Pav_Dados!O61)</f>
        <v>0</v>
      </c>
      <c r="O76" s="216">
        <f>IF(SUM(Pav_Dados!P62:P63)=0,0,+Pav_Dados!P61)</f>
        <v>0</v>
      </c>
      <c r="P76" s="216">
        <f>IF(SUM(Pav_Dados!Q62:Q63)=0,0,+Pav_Dados!Q61)</f>
        <v>0</v>
      </c>
      <c r="Q76" s="216">
        <f>IF(SUM(Pav_Dados!R62:R63)=0,0,+Pav_Dados!R61)</f>
        <v>0</v>
      </c>
      <c r="R76" s="216">
        <f>IF(SUM(Pav_Dados!S62:S63)=0,0,+Pav_Dados!S61)</f>
        <v>0</v>
      </c>
      <c r="S76" s="216">
        <f>IF(SUM(Pav_Dados!T62:T63)=0,0,+Pav_Dados!T61)</f>
        <v>0</v>
      </c>
      <c r="T76" s="216">
        <f>IF(SUM(Pav_Dados!U62:U63)=0,0,+Pav_Dados!U61)</f>
        <v>0</v>
      </c>
      <c r="U76" s="216">
        <f>IF(SUM(Pav_Dados!V62:V63)=0,0,+Pav_Dados!V61)</f>
        <v>0</v>
      </c>
      <c r="V76" s="216">
        <f>IF(SUM(Pav_Dados!W62:W63)=0,0,+Pav_Dados!W61)</f>
        <v>0</v>
      </c>
      <c r="W76" s="216">
        <f>IF(SUM(Pav_Dados!X62:X63)=0,0,+Pav_Dados!X61)</f>
        <v>0</v>
      </c>
      <c r="X76" s="216"/>
      <c r="Y76" s="1301"/>
      <c r="Z76" s="579">
        <f t="shared" ref="Z76:Z82" si="18">SUM(F76:Y76)</f>
        <v>0</v>
      </c>
    </row>
    <row r="77" spans="1:26" s="6" customFormat="1" ht="21.95" hidden="1" customHeight="1" x14ac:dyDescent="0.15">
      <c r="A77" s="2596"/>
      <c r="B77" s="2912"/>
      <c r="C77" s="543" t="s">
        <v>1383</v>
      </c>
      <c r="D77" s="1062"/>
      <c r="E77" s="1345"/>
      <c r="F77" s="8">
        <f>IF(F76=0,0,IF(Pav_Dados!G62=0,Pav_Dados!G63/(F76*F78),Pav_Dados!G62))</f>
        <v>0</v>
      </c>
      <c r="G77" s="8">
        <f>IF(G76=0,0,IF(Pav_Dados!H62=0,Pav_Dados!H63/(G76*G78),Pav_Dados!H62))</f>
        <v>0</v>
      </c>
      <c r="H77" s="8">
        <f>IF(H76=0,0,IF(Pav_Dados!I62=0,Pav_Dados!I63/(H76*H78),Pav_Dados!I62))</f>
        <v>0</v>
      </c>
      <c r="I77" s="8">
        <f>IF(I76=0,0,IF(Pav_Dados!J62=0,Pav_Dados!J63/(I76*I78),Pav_Dados!J62))</f>
        <v>0</v>
      </c>
      <c r="J77" s="8">
        <f>IF(J76=0,0,IF(Pav_Dados!K62=0,Pav_Dados!K63/(J76*J78),Pav_Dados!K62))</f>
        <v>0</v>
      </c>
      <c r="K77" s="8">
        <f>IF(K76=0,0,IF(Pav_Dados!L62=0,Pav_Dados!L63/(K76*K78),Pav_Dados!L62))</f>
        <v>0</v>
      </c>
      <c r="L77" s="8">
        <f>IF(L76=0,0,IF(Pav_Dados!M62=0,Pav_Dados!M63/(L76*L78),Pav_Dados!M62))</f>
        <v>0</v>
      </c>
      <c r="M77" s="8">
        <f>IF(M76=0,0,IF(Pav_Dados!N62=0,Pav_Dados!N63/(M76*M78),Pav_Dados!N62))</f>
        <v>0</v>
      </c>
      <c r="N77" s="8">
        <f>IF(N76=0,0,IF(Pav_Dados!O62=0,Pav_Dados!O63/(N76*N78),Pav_Dados!O62))</f>
        <v>0</v>
      </c>
      <c r="O77" s="8">
        <f>IF(O76=0,0,IF(Pav_Dados!P62=0,Pav_Dados!P63/(O76*O78),Pav_Dados!P62))</f>
        <v>0</v>
      </c>
      <c r="P77" s="8">
        <f>IF(P76=0,0,IF(Pav_Dados!Q62=0,Pav_Dados!Q63/(P76*P78),Pav_Dados!Q62))</f>
        <v>0</v>
      </c>
      <c r="Q77" s="8">
        <f>IF(Q76=0,0,IF(Pav_Dados!R62=0,Pav_Dados!R63/(Q76*Q78),Pav_Dados!R62))</f>
        <v>0</v>
      </c>
      <c r="R77" s="8">
        <f>IF(R76=0,0,IF(Pav_Dados!S62=0,Pav_Dados!S63/(R76*R78),Pav_Dados!S62))</f>
        <v>0</v>
      </c>
      <c r="S77" s="8">
        <f>IF(S76=0,0,IF(Pav_Dados!T62=0,Pav_Dados!T63/(S76*S78),Pav_Dados!T62))</f>
        <v>0</v>
      </c>
      <c r="T77" s="8">
        <f>IF(T76=0,0,IF(Pav_Dados!U62=0,Pav_Dados!U63/(T76*T78),Pav_Dados!U62))</f>
        <v>0</v>
      </c>
      <c r="U77" s="8">
        <f>IF(U76=0,0,IF(Pav_Dados!V62=0,Pav_Dados!V63/(U76*U78),Pav_Dados!V62))</f>
        <v>0</v>
      </c>
      <c r="V77" s="8">
        <f>IF(V76=0,0,IF(Pav_Dados!W62=0,Pav_Dados!W63/(V76*V78),Pav_Dados!W62))</f>
        <v>0</v>
      </c>
      <c r="W77" s="8">
        <f>IF(W76=0,0,IF(Pav_Dados!X62=0,Pav_Dados!X63/(W76*W78),Pav_Dados!X62))</f>
        <v>0</v>
      </c>
      <c r="X77" s="8"/>
      <c r="Y77" s="493"/>
      <c r="Z77" s="579">
        <f t="shared" si="18"/>
        <v>0</v>
      </c>
    </row>
    <row r="78" spans="1:26" s="6" customFormat="1" ht="21.95" hidden="1" customHeight="1" x14ac:dyDescent="0.15">
      <c r="A78" s="2596"/>
      <c r="B78" s="2912"/>
      <c r="C78" s="543" t="s">
        <v>168</v>
      </c>
      <c r="D78" s="1062"/>
      <c r="E78" s="1345"/>
      <c r="F78" s="8">
        <f>IF(F76=0,0,Pav_Estrutura!G9)</f>
        <v>0</v>
      </c>
      <c r="G78" s="8">
        <f>IF(G76=0,0,Pav_Estrutura!H9)</f>
        <v>0</v>
      </c>
      <c r="H78" s="8">
        <f>IF(H76=0,0,Pav_Estrutura!I9)</f>
        <v>0</v>
      </c>
      <c r="I78" s="8">
        <f>IF(I76=0,0,Pav_Estrutura!J9)</f>
        <v>0</v>
      </c>
      <c r="J78" s="8">
        <f>IF(J76=0,0,Pav_Estrutura!K9)</f>
        <v>0</v>
      </c>
      <c r="K78" s="8">
        <f>IF(K76=0,0,Pav_Estrutura!L9)</f>
        <v>0</v>
      </c>
      <c r="L78" s="8">
        <f>IF(L76=0,0,Pav_Estrutura!M9)</f>
        <v>0</v>
      </c>
      <c r="M78" s="8">
        <f>IF(M76=0,0,Pav_Estrutura!N9)</f>
        <v>0</v>
      </c>
      <c r="N78" s="8">
        <f>IF(N76=0,0,Pav_Estrutura!O9)</f>
        <v>0</v>
      </c>
      <c r="O78" s="8">
        <f>IF(O76=0,0,Pav_Estrutura!P9)</f>
        <v>0</v>
      </c>
      <c r="P78" s="8">
        <f>IF(P76=0,0,Pav_Estrutura!Q9)</f>
        <v>0</v>
      </c>
      <c r="Q78" s="8">
        <f>IF(Q76=0,0,Pav_Estrutura!R9)</f>
        <v>0</v>
      </c>
      <c r="R78" s="8">
        <f>IF(R76=0,0,Pav_Estrutura!S9)</f>
        <v>0</v>
      </c>
      <c r="S78" s="8">
        <f>IF(S76=0,0,Pav_Estrutura!T9)</f>
        <v>0</v>
      </c>
      <c r="T78" s="8">
        <f>IF(T76=0,0,Pav_Estrutura!U9)</f>
        <v>0</v>
      </c>
      <c r="U78" s="8">
        <f>IF(U76=0,0,Pav_Estrutura!V9)</f>
        <v>0</v>
      </c>
      <c r="V78" s="8">
        <f>IF(V76=0,0,Pav_Estrutura!W9)</f>
        <v>0</v>
      </c>
      <c r="W78" s="8">
        <f>IF(W76=0,0,Pav_Estrutura!X9)</f>
        <v>0</v>
      </c>
      <c r="X78" s="8"/>
      <c r="Y78" s="493"/>
      <c r="Z78" s="579">
        <f t="shared" si="18"/>
        <v>0</v>
      </c>
    </row>
    <row r="79" spans="1:26" s="6" customFormat="1" ht="21.95" hidden="1" customHeight="1" thickBot="1" x14ac:dyDescent="0.2">
      <c r="A79" s="2596"/>
      <c r="B79" s="2694"/>
      <c r="C79" s="558" t="s">
        <v>29</v>
      </c>
      <c r="D79" s="1062"/>
      <c r="E79" s="1345"/>
      <c r="F79" s="8">
        <f>IF(F76=0,0,Pav_Estrutura!G11)</f>
        <v>0</v>
      </c>
      <c r="G79" s="8">
        <f>IF(G76=0,0,Pav_Estrutura!H11)</f>
        <v>0</v>
      </c>
      <c r="H79" s="8">
        <f>IF(H76=0,0,Pav_Estrutura!I11)</f>
        <v>0</v>
      </c>
      <c r="I79" s="8">
        <f>IF(I76=0,0,Pav_Estrutura!J11)</f>
        <v>0</v>
      </c>
      <c r="J79" s="8">
        <f>IF(J76=0,0,Pav_Estrutura!K11)</f>
        <v>0</v>
      </c>
      <c r="K79" s="8">
        <f>IF(K76=0,0,Pav_Estrutura!L11)</f>
        <v>0</v>
      </c>
      <c r="L79" s="8">
        <f>IF(L76=0,0,Pav_Estrutura!M11)</f>
        <v>0</v>
      </c>
      <c r="M79" s="8">
        <f>IF(M76=0,0,Pav_Estrutura!N11)</f>
        <v>0</v>
      </c>
      <c r="N79" s="8">
        <f>IF(N76=0,0,Pav_Estrutura!O11)</f>
        <v>0</v>
      </c>
      <c r="O79" s="8">
        <f>IF(O76=0,0,Pav_Estrutura!P11)</f>
        <v>0</v>
      </c>
      <c r="P79" s="8">
        <f>IF(P76=0,0,Pav_Estrutura!Q11)</f>
        <v>0</v>
      </c>
      <c r="Q79" s="8">
        <f>IF(Q76=0,0,Pav_Estrutura!R11)</f>
        <v>0</v>
      </c>
      <c r="R79" s="8">
        <f>IF(R76=0,0,Pav_Estrutura!S11)</f>
        <v>0</v>
      </c>
      <c r="S79" s="8">
        <f>IF(S76=0,0,Pav_Estrutura!T11)</f>
        <v>0</v>
      </c>
      <c r="T79" s="8">
        <f>IF(T76=0,0,Pav_Estrutura!U11)</f>
        <v>0</v>
      </c>
      <c r="U79" s="8">
        <f>IF(U76=0,0,Pav_Estrutura!V11)</f>
        <v>0</v>
      </c>
      <c r="V79" s="8">
        <f>IF(V76=0,0,Pav_Estrutura!W11)</f>
        <v>0</v>
      </c>
      <c r="W79" s="8">
        <f>IF(W76=0,0,Pav_Estrutura!X11)</f>
        <v>0</v>
      </c>
      <c r="X79" s="8"/>
      <c r="Y79" s="493"/>
      <c r="Z79" s="579">
        <f t="shared" si="18"/>
        <v>0</v>
      </c>
    </row>
    <row r="80" spans="1:26" s="6" customFormat="1" ht="21.95" customHeight="1" thickBot="1" x14ac:dyDescent="0.2">
      <c r="A80" s="2596"/>
      <c r="B80" s="2911"/>
      <c r="C80" s="542" t="s">
        <v>56</v>
      </c>
      <c r="D80" s="1062"/>
      <c r="E80" s="1345"/>
      <c r="F80" s="216">
        <f>IF(Pav_Dados!G63=0,F79*F77,Pav_Dados!G63)</f>
        <v>483.43599999999998</v>
      </c>
      <c r="G80" s="216">
        <f>IF(Pav_Dados!H63=0,G79*G77,Pav_Dados!H63)</f>
        <v>480.01900000000001</v>
      </c>
      <c r="H80" s="216">
        <f>IF(Pav_Dados!I63=0,H79*H77,Pav_Dados!I63)</f>
        <v>302.70400000000001</v>
      </c>
      <c r="I80" s="216">
        <f>IF(Pav_Dados!J63=0,I79*I77,Pav_Dados!J63)</f>
        <v>79.933000000000007</v>
      </c>
      <c r="J80" s="216">
        <f>IF(Pav_Dados!K63=0,J79*J77,Pav_Dados!K63)</f>
        <v>105.167</v>
      </c>
      <c r="K80" s="216">
        <f>IF(Pav_Dados!L63=0,K79*K77,Pav_Dados!L63)</f>
        <v>373.68900000000002</v>
      </c>
      <c r="L80" s="216">
        <f>IF(Pav_Dados!M63=0,L79*L77,Pav_Dados!M63)</f>
        <v>52.762</v>
      </c>
      <c r="M80" s="216">
        <f>IF(Pav_Dados!N63=0,M79*M77,Pav_Dados!N63)</f>
        <v>134.03200000000001</v>
      </c>
      <c r="N80" s="216">
        <f>IF(Pav_Dados!O63=0,N79*N77,Pav_Dados!O63)</f>
        <v>588.01099999999997</v>
      </c>
      <c r="O80" s="216">
        <f>IF(Pav_Dados!P63=0,O79*O77,Pav_Dados!P63)</f>
        <v>190.06800000000001</v>
      </c>
      <c r="P80" s="216">
        <f>IF(Pav_Dados!Q63=0,P79*P77,Pav_Dados!Q63)</f>
        <v>296.101</v>
      </c>
      <c r="Q80" s="216">
        <f>IF(Pav_Dados!R63=0,Q79*Q77,Pav_Dados!R63)</f>
        <v>652.298</v>
      </c>
      <c r="R80" s="216">
        <f>IF(Pav_Dados!S63=0,R79*R77,Pav_Dados!S63)</f>
        <v>858.93299999999999</v>
      </c>
      <c r="S80" s="216">
        <f>IF(Pav_Dados!T63=0,S79*S77,Pav_Dados!T63)</f>
        <v>723.68299999999999</v>
      </c>
      <c r="T80" s="216">
        <f>IF(Pav_Dados!U63=0,T79*T77,Pav_Dados!U63)</f>
        <v>808.91200000000003</v>
      </c>
      <c r="U80" s="216">
        <f>IF(Pav_Dados!V63=0,U79*U77,Pav_Dados!V63)</f>
        <v>750.33100000000002</v>
      </c>
      <c r="V80" s="216">
        <f>IF(Pav_Dados!W63=0,V79*V77,Pav_Dados!W63)</f>
        <v>193.01</v>
      </c>
      <c r="W80" s="216">
        <f>IF(Pav_Dados!X63=0,W79*W77,Pav_Dados!X63)</f>
        <v>319.57499999999999</v>
      </c>
      <c r="X80" s="216"/>
      <c r="Y80" s="1301">
        <f>TRUNC(SUM(F80:X80),2)</f>
        <v>7392.66</v>
      </c>
      <c r="Z80" s="579">
        <f t="shared" si="18"/>
        <v>14785.324000000001</v>
      </c>
    </row>
    <row r="81" spans="1:26" s="6" customFormat="1" ht="21.95" hidden="1" customHeight="1" x14ac:dyDescent="0.15">
      <c r="A81" s="2596"/>
      <c r="B81" s="2912"/>
      <c r="C81" s="543" t="s">
        <v>1332</v>
      </c>
      <c r="D81" s="1062"/>
      <c r="E81" s="1345"/>
      <c r="F81" s="2235"/>
      <c r="G81" s="2235"/>
      <c r="H81" s="2235"/>
      <c r="I81" s="2235"/>
      <c r="J81" s="2235"/>
      <c r="K81" s="2235"/>
      <c r="L81" s="2235"/>
      <c r="M81" s="2235"/>
      <c r="N81" s="2235"/>
      <c r="O81" s="2235"/>
      <c r="P81" s="2235"/>
      <c r="Q81" s="2235"/>
      <c r="R81" s="2235"/>
      <c r="S81" s="2235"/>
      <c r="T81" s="2235"/>
      <c r="U81" s="2235"/>
      <c r="V81" s="2235"/>
      <c r="W81" s="2235"/>
      <c r="X81" s="2235"/>
      <c r="Y81" s="493">
        <f>TRUNC(SUM(F81:X81),2)</f>
        <v>0</v>
      </c>
      <c r="Z81" s="579">
        <f t="shared" si="18"/>
        <v>0</v>
      </c>
    </row>
    <row r="82" spans="1:26" s="6" customFormat="1" ht="21.95" hidden="1" customHeight="1" x14ac:dyDescent="0.15">
      <c r="A82" s="2596"/>
      <c r="B82" s="2912"/>
      <c r="C82" s="543" t="s">
        <v>1333</v>
      </c>
      <c r="D82" s="1062"/>
      <c r="E82" s="1345"/>
      <c r="F82" s="8">
        <f t="shared" ref="F82:W82" si="19">F81*F80</f>
        <v>0</v>
      </c>
      <c r="G82" s="8">
        <f t="shared" si="19"/>
        <v>0</v>
      </c>
      <c r="H82" s="8">
        <f t="shared" si="19"/>
        <v>0</v>
      </c>
      <c r="I82" s="8">
        <f t="shared" si="19"/>
        <v>0</v>
      </c>
      <c r="J82" s="8">
        <f t="shared" si="19"/>
        <v>0</v>
      </c>
      <c r="K82" s="8">
        <f t="shared" si="19"/>
        <v>0</v>
      </c>
      <c r="L82" s="8">
        <f t="shared" si="19"/>
        <v>0</v>
      </c>
      <c r="M82" s="8">
        <f t="shared" si="19"/>
        <v>0</v>
      </c>
      <c r="N82" s="8">
        <f t="shared" si="19"/>
        <v>0</v>
      </c>
      <c r="O82" s="8">
        <f t="shared" si="19"/>
        <v>0</v>
      </c>
      <c r="P82" s="8">
        <f t="shared" si="19"/>
        <v>0</v>
      </c>
      <c r="Q82" s="8">
        <f t="shared" si="19"/>
        <v>0</v>
      </c>
      <c r="R82" s="8">
        <f t="shared" si="19"/>
        <v>0</v>
      </c>
      <c r="S82" s="8">
        <f t="shared" si="19"/>
        <v>0</v>
      </c>
      <c r="T82" s="8">
        <f t="shared" si="19"/>
        <v>0</v>
      </c>
      <c r="U82" s="8">
        <f t="shared" si="19"/>
        <v>0</v>
      </c>
      <c r="V82" s="8">
        <f t="shared" si="19"/>
        <v>0</v>
      </c>
      <c r="W82" s="8">
        <f t="shared" si="19"/>
        <v>0</v>
      </c>
      <c r="X82" s="8"/>
      <c r="Y82" s="493">
        <f>TRUNC(SUM(F82:X82),2)</f>
        <v>0</v>
      </c>
      <c r="Z82" s="579">
        <f t="shared" si="18"/>
        <v>0</v>
      </c>
    </row>
    <row r="83" spans="1:26" s="6" customFormat="1" ht="21.95" hidden="1" customHeight="1" x14ac:dyDescent="0.15">
      <c r="A83" s="2596"/>
      <c r="B83" s="2912"/>
      <c r="C83" s="543" t="s">
        <v>2663</v>
      </c>
      <c r="D83" s="1062"/>
      <c r="E83" s="1345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493"/>
      <c r="Z83" s="579"/>
    </row>
    <row r="84" spans="1:26" s="6" customFormat="1" ht="21.95" hidden="1" customHeight="1" x14ac:dyDescent="0.15">
      <c r="A84" s="2596"/>
      <c r="B84" s="2912"/>
      <c r="C84" s="543" t="s">
        <v>2659</v>
      </c>
      <c r="D84" s="1062"/>
      <c r="E84" s="1345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595">
        <f>SUM(F84:X84)</f>
        <v>0</v>
      </c>
      <c r="Z84" s="579">
        <f t="shared" ref="Z84:Z94" si="20">SUM(F84:Y84)</f>
        <v>0</v>
      </c>
    </row>
    <row r="85" spans="1:26" s="6" customFormat="1" ht="21.95" hidden="1" customHeight="1" thickBot="1" x14ac:dyDescent="0.2">
      <c r="A85" s="2596"/>
      <c r="B85" s="2694"/>
      <c r="C85" s="543" t="s">
        <v>2660</v>
      </c>
      <c r="D85" s="1062"/>
      <c r="E85" s="1345"/>
      <c r="F85" s="158">
        <f t="shared" ref="F85:W85" si="21">+F84*F82</f>
        <v>0</v>
      </c>
      <c r="G85" s="158">
        <f t="shared" si="21"/>
        <v>0</v>
      </c>
      <c r="H85" s="158">
        <f t="shared" si="21"/>
        <v>0</v>
      </c>
      <c r="I85" s="158">
        <f t="shared" si="21"/>
        <v>0</v>
      </c>
      <c r="J85" s="158">
        <f t="shared" si="21"/>
        <v>0</v>
      </c>
      <c r="K85" s="158">
        <f t="shared" si="21"/>
        <v>0</v>
      </c>
      <c r="L85" s="158">
        <f t="shared" si="21"/>
        <v>0</v>
      </c>
      <c r="M85" s="158">
        <f t="shared" si="21"/>
        <v>0</v>
      </c>
      <c r="N85" s="158">
        <f t="shared" si="21"/>
        <v>0</v>
      </c>
      <c r="O85" s="158">
        <f t="shared" si="21"/>
        <v>0</v>
      </c>
      <c r="P85" s="158">
        <f t="shared" si="21"/>
        <v>0</v>
      </c>
      <c r="Q85" s="158">
        <f t="shared" si="21"/>
        <v>0</v>
      </c>
      <c r="R85" s="158">
        <f t="shared" si="21"/>
        <v>0</v>
      </c>
      <c r="S85" s="158">
        <f t="shared" si="21"/>
        <v>0</v>
      </c>
      <c r="T85" s="158">
        <f t="shared" si="21"/>
        <v>0</v>
      </c>
      <c r="U85" s="158">
        <f t="shared" si="21"/>
        <v>0</v>
      </c>
      <c r="V85" s="158">
        <f t="shared" si="21"/>
        <v>0</v>
      </c>
      <c r="W85" s="158">
        <f t="shared" si="21"/>
        <v>0</v>
      </c>
      <c r="X85" s="158"/>
      <c r="Y85" s="350">
        <f>IF(Y82=0,0,ROUND(SUM(F85:X85),1)/Y82)</f>
        <v>0</v>
      </c>
      <c r="Z85" s="579">
        <f t="shared" si="20"/>
        <v>0</v>
      </c>
    </row>
    <row r="86" spans="1:26" s="6" customFormat="1" ht="21.95" customHeight="1" thickBot="1" x14ac:dyDescent="0.2">
      <c r="A86" s="2596"/>
      <c r="B86" s="2911"/>
      <c r="C86" s="543" t="s">
        <v>1334</v>
      </c>
      <c r="D86" s="1063"/>
      <c r="E86" s="1362"/>
      <c r="F86" s="1073">
        <f t="shared" ref="F86:W86" si="22">F80-F82</f>
        <v>483.43599999999998</v>
      </c>
      <c r="G86" s="1073">
        <f t="shared" si="22"/>
        <v>480.01900000000001</v>
      </c>
      <c r="H86" s="1073">
        <f t="shared" si="22"/>
        <v>302.70400000000001</v>
      </c>
      <c r="I86" s="1073">
        <f t="shared" si="22"/>
        <v>79.933000000000007</v>
      </c>
      <c r="J86" s="1073">
        <f t="shared" si="22"/>
        <v>105.167</v>
      </c>
      <c r="K86" s="1073">
        <f t="shared" si="22"/>
        <v>373.68900000000002</v>
      </c>
      <c r="L86" s="1073">
        <f t="shared" si="22"/>
        <v>52.762</v>
      </c>
      <c r="M86" s="1073">
        <f t="shared" si="22"/>
        <v>134.03200000000001</v>
      </c>
      <c r="N86" s="1073">
        <f t="shared" si="22"/>
        <v>588.01099999999997</v>
      </c>
      <c r="O86" s="1073">
        <f t="shared" si="22"/>
        <v>190.06800000000001</v>
      </c>
      <c r="P86" s="1073">
        <f t="shared" si="22"/>
        <v>296.101</v>
      </c>
      <c r="Q86" s="1073">
        <f t="shared" si="22"/>
        <v>652.298</v>
      </c>
      <c r="R86" s="1073">
        <f t="shared" si="22"/>
        <v>858.93299999999999</v>
      </c>
      <c r="S86" s="1073">
        <f t="shared" si="22"/>
        <v>723.68299999999999</v>
      </c>
      <c r="T86" s="1073">
        <f t="shared" si="22"/>
        <v>808.91200000000003</v>
      </c>
      <c r="U86" s="1073">
        <f t="shared" si="22"/>
        <v>750.33100000000002</v>
      </c>
      <c r="V86" s="1073">
        <f t="shared" si="22"/>
        <v>193.01</v>
      </c>
      <c r="W86" s="1073">
        <f t="shared" si="22"/>
        <v>319.57499999999999</v>
      </c>
      <c r="X86" s="1073"/>
      <c r="Y86" s="1302">
        <f t="shared" ref="Y86:Y92" si="23">TRUNC(SUM(F86:X86),2)</f>
        <v>7392.66</v>
      </c>
      <c r="Z86" s="579">
        <f t="shared" si="20"/>
        <v>14785.324000000001</v>
      </c>
    </row>
    <row r="87" spans="1:26" s="6" customFormat="1" ht="21.95" hidden="1" customHeight="1" x14ac:dyDescent="0.15">
      <c r="A87" s="2596"/>
      <c r="B87" s="2912"/>
      <c r="C87" s="544" t="s">
        <v>61</v>
      </c>
      <c r="D87" s="1064"/>
      <c r="E87" s="1363"/>
      <c r="F87" s="2285">
        <f>IF(SUM(Pav_Dados!G65:G67)=0,0,+Pav_Dados!G64)</f>
        <v>0</v>
      </c>
      <c r="G87" s="2285">
        <f>IF(SUM(Pav_Dados!H65:H67)=0,0,+Pav_Dados!H64)</f>
        <v>0</v>
      </c>
      <c r="H87" s="2285">
        <f>IF(SUM(Pav_Dados!I65:I67)=0,0,+Pav_Dados!I64)</f>
        <v>0</v>
      </c>
      <c r="I87" s="2285">
        <f>IF(SUM(Pav_Dados!J65:J67)=0,0,+Pav_Dados!J64)</f>
        <v>0</v>
      </c>
      <c r="J87" s="2285">
        <f>IF(SUM(Pav_Dados!K65:K67)=0,0,+Pav_Dados!K64)</f>
        <v>0</v>
      </c>
      <c r="K87" s="2285">
        <f>IF(SUM(Pav_Dados!L65:L67)=0,0,+Pav_Dados!L64)</f>
        <v>0</v>
      </c>
      <c r="L87" s="2285">
        <f>IF(SUM(Pav_Dados!M65:M67)=0,0,+Pav_Dados!M64)</f>
        <v>0</v>
      </c>
      <c r="M87" s="2285">
        <f>IF(SUM(Pav_Dados!N65:N67)=0,0,+Pav_Dados!N64)</f>
        <v>0</v>
      </c>
      <c r="N87" s="2285">
        <f>IF(SUM(Pav_Dados!O65:O67)=0,0,+Pav_Dados!O64)</f>
        <v>0</v>
      </c>
      <c r="O87" s="2285">
        <f>IF(SUM(Pav_Dados!P65:P67)=0,0,+Pav_Dados!P64)</f>
        <v>0</v>
      </c>
      <c r="P87" s="2285">
        <f>IF(SUM(Pav_Dados!Q65:Q67)=0,0,+Pav_Dados!Q64)</f>
        <v>0</v>
      </c>
      <c r="Q87" s="2285">
        <f>IF(SUM(Pav_Dados!R65:R67)=0,0,+Pav_Dados!R64)</f>
        <v>0</v>
      </c>
      <c r="R87" s="2285">
        <f>IF(SUM(Pav_Dados!S65:S67)=0,0,+Pav_Dados!S64)</f>
        <v>0</v>
      </c>
      <c r="S87" s="2285">
        <f>IF(SUM(Pav_Dados!T65:T67)=0,0,+Pav_Dados!T64)</f>
        <v>0</v>
      </c>
      <c r="T87" s="2285">
        <f>IF(SUM(Pav_Dados!U65:U67)=0,0,+Pav_Dados!U64)</f>
        <v>0</v>
      </c>
      <c r="U87" s="2285">
        <f>IF(SUM(Pav_Dados!V65:V67)=0,0,+Pav_Dados!V64)</f>
        <v>0</v>
      </c>
      <c r="V87" s="2285">
        <f>IF(SUM(Pav_Dados!W65:W67)=0,0,+Pav_Dados!W64)</f>
        <v>0</v>
      </c>
      <c r="W87" s="2285">
        <f>IF(SUM(Pav_Dados!X65:X67)=0,0,+Pav_Dados!X64)</f>
        <v>0</v>
      </c>
      <c r="X87" s="2285"/>
      <c r="Y87" s="493">
        <f t="shared" si="23"/>
        <v>0</v>
      </c>
      <c r="Z87" s="579">
        <f t="shared" si="20"/>
        <v>0</v>
      </c>
    </row>
    <row r="88" spans="1:26" s="6" customFormat="1" ht="21.95" hidden="1" customHeight="1" x14ac:dyDescent="0.15">
      <c r="A88" s="2596"/>
      <c r="B88" s="2912"/>
      <c r="C88" s="543" t="s">
        <v>1384</v>
      </c>
      <c r="D88" s="1062"/>
      <c r="E88" s="1345"/>
      <c r="F88" s="8">
        <f>IF(F87=0,0,IF(Pav_Dados!G65&gt;0,Pav_Dados!G65,(-F89+(F89^2+6*(Pav_Dados!G67/F87))^(1/2))/3/F87))</f>
        <v>0</v>
      </c>
      <c r="G88" s="8">
        <f>IF(G87=0,0,IF(Pav_Dados!H65&gt;0,Pav_Dados!H65,(-G89+(G89^2+6*(Pav_Dados!H67/G87))^(1/2))/3/G87))</f>
        <v>0</v>
      </c>
      <c r="H88" s="8">
        <f>IF(H87=0,0,IF(Pav_Dados!I65&gt;0,Pav_Dados!I65,(-H89+(H89^2+6*(Pav_Dados!I67/H87))^(1/2))/3/H87))</f>
        <v>0</v>
      </c>
      <c r="I88" s="8">
        <f>IF(I87=0,0,IF(Pav_Dados!J65&gt;0,Pav_Dados!J65,(-I89+(I89^2+6*(Pav_Dados!J67/I87))^(1/2))/3/I87))</f>
        <v>0</v>
      </c>
      <c r="J88" s="8">
        <f>IF(J87=0,0,IF(Pav_Dados!K65&gt;0,Pav_Dados!K65,(-J89+(J89^2+6*(Pav_Dados!K67/J87))^(1/2))/3/J87))</f>
        <v>0</v>
      </c>
      <c r="K88" s="8">
        <f>IF(K87=0,0,IF(Pav_Dados!L65&gt;0,Pav_Dados!L65,(-K89+(K89^2+6*(Pav_Dados!L67/K87))^(1/2))/3/K87))</f>
        <v>0</v>
      </c>
      <c r="L88" s="8">
        <f>IF(L87=0,0,IF(Pav_Dados!M65&gt;0,Pav_Dados!M65,(-L89+(L89^2+6*(Pav_Dados!M67/L87))^(1/2))/3/L87))</f>
        <v>0</v>
      </c>
      <c r="M88" s="8">
        <f>IF(M87=0,0,IF(Pav_Dados!N65&gt;0,Pav_Dados!N65,(-M89+(M89^2+6*(Pav_Dados!N67/M87))^(1/2))/3/M87))</f>
        <v>0</v>
      </c>
      <c r="N88" s="8">
        <f>IF(N87=0,0,IF(Pav_Dados!O65&gt;0,Pav_Dados!O65,(-N89+(N89^2+6*(Pav_Dados!O67/N87))^(1/2))/3/N87))</f>
        <v>0</v>
      </c>
      <c r="O88" s="8">
        <f>IF(O87=0,0,IF(Pav_Dados!P65&gt;0,Pav_Dados!P65,(-O89+(O89^2+6*(Pav_Dados!P67/O87))^(1/2))/3/O87))</f>
        <v>0</v>
      </c>
      <c r="P88" s="8">
        <f>IF(P87=0,0,IF(Pav_Dados!Q65&gt;0,Pav_Dados!Q65,(-P89+(P89^2+6*(Pav_Dados!Q67/P87))^(1/2))/3/P87))</f>
        <v>0</v>
      </c>
      <c r="Q88" s="8">
        <f>IF(Q87=0,0,IF(Pav_Dados!R65&gt;0,Pav_Dados!R65,(-Q89+(Q89^2+6*(Pav_Dados!R67/Q87))^(1/2))/3/Q87))</f>
        <v>0</v>
      </c>
      <c r="R88" s="8">
        <f>IF(R87=0,0,IF(Pav_Dados!S65&gt;0,Pav_Dados!S65,(-R89+(R89^2+6*(Pav_Dados!S67/R87))^(1/2))/3/R87))</f>
        <v>0</v>
      </c>
      <c r="S88" s="8">
        <f>IF(S87=0,0,IF(Pav_Dados!T65&gt;0,Pav_Dados!T65,(-S89+(S89^2+6*(Pav_Dados!T67/S87))^(1/2))/3/S87))</f>
        <v>0</v>
      </c>
      <c r="T88" s="8">
        <f>IF(T87=0,0,IF(Pav_Dados!U65&gt;0,Pav_Dados!U65,(-T89+(T89^2+6*(Pav_Dados!U67/T87))^(1/2))/3/T87))</f>
        <v>0</v>
      </c>
      <c r="U88" s="8">
        <f>IF(U87=0,0,IF(Pav_Dados!V65&gt;0,Pav_Dados!V65,(-U89+(U89^2+6*(Pav_Dados!V67/U87))^(1/2))/3/U87))</f>
        <v>0</v>
      </c>
      <c r="V88" s="8">
        <f>IF(V87=0,0,IF(Pav_Dados!W65&gt;0,Pav_Dados!W65,(-V89+(V89^2+6*(Pav_Dados!W67/V87))^(1/2))/3/V87))</f>
        <v>0</v>
      </c>
      <c r="W88" s="8">
        <f>IF(W87=0,0,IF(Pav_Dados!X65&gt;0,Pav_Dados!X65,(-W89+(W89^2+6*(Pav_Dados!X67/W87))^(1/2))/3/W87))</f>
        <v>0</v>
      </c>
      <c r="X88" s="8"/>
      <c r="Y88" s="493">
        <f t="shared" si="23"/>
        <v>0</v>
      </c>
      <c r="Z88" s="579">
        <f t="shared" si="20"/>
        <v>0</v>
      </c>
    </row>
    <row r="89" spans="1:26" s="6" customFormat="1" ht="21.95" hidden="1" customHeight="1" x14ac:dyDescent="0.15">
      <c r="A89" s="2596"/>
      <c r="B89" s="2912"/>
      <c r="C89" s="543" t="s">
        <v>1336</v>
      </c>
      <c r="D89" s="1062"/>
      <c r="E89" s="1345"/>
      <c r="F89" s="8">
        <f>IF(F87=0,0,IF(Pav_Dados!G66&gt;0,Pav_Dados!G66,Pav_Estrutura!Z9))</f>
        <v>0</v>
      </c>
      <c r="G89" s="8">
        <f>IF(G87=0,0,IF(Pav_Dados!H66&gt;0,Pav_Dados!H66,Pav_Estrutura!AA9))</f>
        <v>0</v>
      </c>
      <c r="H89" s="8">
        <f>IF(H87=0,0,IF(Pav_Dados!I66&gt;0,Pav_Dados!I66,Pav_Estrutura!AB9))</f>
        <v>0</v>
      </c>
      <c r="I89" s="8">
        <f>IF(I87=0,0,IF(Pav_Dados!J66&gt;0,Pav_Dados!J66,Pav_Estrutura!AC9))</f>
        <v>0</v>
      </c>
      <c r="J89" s="8">
        <f>IF(J87=0,0,IF(Pav_Dados!K66&gt;0,Pav_Dados!K66,Pav_Estrutura!AD9))</f>
        <v>0</v>
      </c>
      <c r="K89" s="8">
        <f>IF(K87=0,0,IF(Pav_Dados!L66&gt;0,Pav_Dados!L66,Pav_Estrutura!AE9))</f>
        <v>0</v>
      </c>
      <c r="L89" s="8">
        <f>IF(L87=0,0,IF(Pav_Dados!M66&gt;0,Pav_Dados!M66,Pav_Estrutura!AF9))</f>
        <v>0</v>
      </c>
      <c r="M89" s="8">
        <f>IF(M87=0,0,IF(Pav_Dados!N66&gt;0,Pav_Dados!N66,Pav_Estrutura!AG9))</f>
        <v>0</v>
      </c>
      <c r="N89" s="8">
        <f>IF(N87=0,0,IF(Pav_Dados!O66&gt;0,Pav_Dados!O66,Pav_Estrutura!AH9))</f>
        <v>0</v>
      </c>
      <c r="O89" s="8">
        <f>IF(O87=0,0,IF(Pav_Dados!P66&gt;0,Pav_Dados!P66,Pav_Estrutura!AI9))</f>
        <v>0</v>
      </c>
      <c r="P89" s="8">
        <f>IF(P87=0,0,IF(Pav_Dados!Q66&gt;0,Pav_Dados!Q66,Pav_Estrutura!AJ9))</f>
        <v>0</v>
      </c>
      <c r="Q89" s="8">
        <f>IF(Q87=0,0,IF(Pav_Dados!R66&gt;0,Pav_Dados!R66,Pav_Estrutura!AK9))</f>
        <v>0</v>
      </c>
      <c r="R89" s="8">
        <f>IF(R87=0,0,IF(Pav_Dados!S66&gt;0,Pav_Dados!S66,Pav_Estrutura!AL9))</f>
        <v>0</v>
      </c>
      <c r="S89" s="8">
        <f>IF(S87=0,0,IF(Pav_Dados!T66&gt;0,Pav_Dados!T66,Pav_Estrutura!AM9))</f>
        <v>0</v>
      </c>
      <c r="T89" s="8">
        <f>IF(T87=0,0,IF(Pav_Dados!U66&gt;0,Pav_Dados!U66,Pav_Estrutura!AN9))</f>
        <v>0</v>
      </c>
      <c r="U89" s="8">
        <f>IF(U87=0,0,IF(Pav_Dados!V66&gt;0,Pav_Dados!V66,Pav_Estrutura!AO9))</f>
        <v>0</v>
      </c>
      <c r="V89" s="8">
        <f>IF(V87=0,0,IF(Pav_Dados!W66&gt;0,Pav_Dados!W66,Pav_Estrutura!AP9))</f>
        <v>0</v>
      </c>
      <c r="W89" s="8">
        <f>IF(W87=0,0,IF(Pav_Dados!X66&gt;0,Pav_Dados!X66,Pav_Estrutura!AQ9))</f>
        <v>0</v>
      </c>
      <c r="X89" s="8"/>
      <c r="Y89" s="493">
        <f t="shared" si="23"/>
        <v>0</v>
      </c>
      <c r="Z89" s="579">
        <f t="shared" si="20"/>
        <v>0</v>
      </c>
    </row>
    <row r="90" spans="1:26" s="6" customFormat="1" ht="21.95" hidden="1" customHeight="1" x14ac:dyDescent="0.15">
      <c r="A90" s="2596"/>
      <c r="B90" s="2912"/>
      <c r="C90" s="543" t="s">
        <v>1337</v>
      </c>
      <c r="D90" s="1062"/>
      <c r="E90" s="1345"/>
      <c r="F90" s="8">
        <f t="shared" ref="F90:W90" si="24">IF(F87=0,0,F87*F89)</f>
        <v>0</v>
      </c>
      <c r="G90" s="8">
        <f t="shared" si="24"/>
        <v>0</v>
      </c>
      <c r="H90" s="8">
        <f t="shared" si="24"/>
        <v>0</v>
      </c>
      <c r="I90" s="8">
        <f t="shared" si="24"/>
        <v>0</v>
      </c>
      <c r="J90" s="8">
        <f t="shared" si="24"/>
        <v>0</v>
      </c>
      <c r="K90" s="8">
        <f t="shared" si="24"/>
        <v>0</v>
      </c>
      <c r="L90" s="8">
        <f t="shared" si="24"/>
        <v>0</v>
      </c>
      <c r="M90" s="8">
        <f t="shared" si="24"/>
        <v>0</v>
      </c>
      <c r="N90" s="8">
        <f t="shared" si="24"/>
        <v>0</v>
      </c>
      <c r="O90" s="8">
        <f t="shared" si="24"/>
        <v>0</v>
      </c>
      <c r="P90" s="8">
        <f t="shared" si="24"/>
        <v>0</v>
      </c>
      <c r="Q90" s="8">
        <f t="shared" si="24"/>
        <v>0</v>
      </c>
      <c r="R90" s="8">
        <f t="shared" si="24"/>
        <v>0</v>
      </c>
      <c r="S90" s="8">
        <f t="shared" si="24"/>
        <v>0</v>
      </c>
      <c r="T90" s="8">
        <f t="shared" si="24"/>
        <v>0</v>
      </c>
      <c r="U90" s="8">
        <f t="shared" si="24"/>
        <v>0</v>
      </c>
      <c r="V90" s="8">
        <f t="shared" si="24"/>
        <v>0</v>
      </c>
      <c r="W90" s="8">
        <f t="shared" si="24"/>
        <v>0</v>
      </c>
      <c r="X90" s="8"/>
      <c r="Y90" s="493">
        <f t="shared" si="23"/>
        <v>0</v>
      </c>
      <c r="Z90" s="579">
        <f t="shared" si="20"/>
        <v>0</v>
      </c>
    </row>
    <row r="91" spans="1:26" s="6" customFormat="1" ht="21.95" hidden="1" customHeight="1" thickBot="1" x14ac:dyDescent="0.2">
      <c r="A91" s="2596"/>
      <c r="B91" s="2694"/>
      <c r="C91" s="543" t="s">
        <v>1338</v>
      </c>
      <c r="D91" s="1062"/>
      <c r="E91" s="1345"/>
      <c r="F91" s="8">
        <f t="shared" ref="F91:W91" si="25">IF(F87=0,0,F87*(F88*3+F89))</f>
        <v>0</v>
      </c>
      <c r="G91" s="8">
        <f t="shared" si="25"/>
        <v>0</v>
      </c>
      <c r="H91" s="8">
        <f t="shared" si="25"/>
        <v>0</v>
      </c>
      <c r="I91" s="8">
        <f t="shared" si="25"/>
        <v>0</v>
      </c>
      <c r="J91" s="8">
        <f t="shared" si="25"/>
        <v>0</v>
      </c>
      <c r="K91" s="8">
        <f t="shared" si="25"/>
        <v>0</v>
      </c>
      <c r="L91" s="8">
        <f t="shared" si="25"/>
        <v>0</v>
      </c>
      <c r="M91" s="8">
        <f t="shared" si="25"/>
        <v>0</v>
      </c>
      <c r="N91" s="8">
        <f t="shared" si="25"/>
        <v>0</v>
      </c>
      <c r="O91" s="8">
        <f t="shared" si="25"/>
        <v>0</v>
      </c>
      <c r="P91" s="8">
        <f t="shared" si="25"/>
        <v>0</v>
      </c>
      <c r="Q91" s="8">
        <f t="shared" si="25"/>
        <v>0</v>
      </c>
      <c r="R91" s="8">
        <f t="shared" si="25"/>
        <v>0</v>
      </c>
      <c r="S91" s="8">
        <f t="shared" si="25"/>
        <v>0</v>
      </c>
      <c r="T91" s="8">
        <f t="shared" si="25"/>
        <v>0</v>
      </c>
      <c r="U91" s="8">
        <f t="shared" si="25"/>
        <v>0</v>
      </c>
      <c r="V91" s="8">
        <f t="shared" si="25"/>
        <v>0</v>
      </c>
      <c r="W91" s="8">
        <f t="shared" si="25"/>
        <v>0</v>
      </c>
      <c r="X91" s="8"/>
      <c r="Y91" s="493">
        <f t="shared" si="23"/>
        <v>0</v>
      </c>
      <c r="Z91" s="579">
        <f t="shared" si="20"/>
        <v>0</v>
      </c>
    </row>
    <row r="92" spans="1:26" s="6" customFormat="1" ht="21.95" customHeight="1" thickBot="1" x14ac:dyDescent="0.2">
      <c r="A92" s="2596"/>
      <c r="B92" s="2797"/>
      <c r="C92" s="546" t="s">
        <v>57</v>
      </c>
      <c r="D92" s="983"/>
      <c r="E92" s="1270"/>
      <c r="F92" s="215">
        <f>IF(Pav_Dados!G67&gt;0,Pav_Dados!G67,(F90+F91)/2*F88)</f>
        <v>937.13</v>
      </c>
      <c r="G92" s="215">
        <f>IF(Pav_Dados!H67&gt;0,Pav_Dados!H67,(G90+G91)/2*G88)</f>
        <v>391.12900000000002</v>
      </c>
      <c r="H92" s="215">
        <f>IF(Pav_Dados!I67&gt;0,Pav_Dados!I67,(H90+H91)/2*H88)</f>
        <v>129.97200000000001</v>
      </c>
      <c r="I92" s="215">
        <f>IF(Pav_Dados!J67&gt;0,Pav_Dados!J67,(I90+I91)/2*I88)</f>
        <v>883.33299999999997</v>
      </c>
      <c r="J92" s="215">
        <f>IF(Pav_Dados!K67&gt;0,Pav_Dados!K67,(J90+J91)/2*J88)</f>
        <v>211.38200000000001</v>
      </c>
      <c r="K92" s="215">
        <f>IF(Pav_Dados!L67&gt;0,Pav_Dados!L67,(K90+K91)/2*K88)</f>
        <v>0.61</v>
      </c>
      <c r="L92" s="215">
        <f>IF(Pav_Dados!M67&gt;0,Pav_Dados!M67,(L90+L91)/2*L88)</f>
        <v>1.2829999999999999</v>
      </c>
      <c r="M92" s="215">
        <f>IF(Pav_Dados!N67&gt;0,Pav_Dados!N67,(M90+M91)/2*M88)</f>
        <v>125.621</v>
      </c>
      <c r="N92" s="215">
        <f>IF(Pav_Dados!O67&gt;0,Pav_Dados!O67,(N90+N91)/2*N88)</f>
        <v>19.992000000000001</v>
      </c>
      <c r="O92" s="215">
        <f>IF(Pav_Dados!P67&gt;0,Pav_Dados!P67,(O90+O91)/2*O88)</f>
        <v>98.013999999999996</v>
      </c>
      <c r="P92" s="215">
        <f>IF(Pav_Dados!Q67&gt;0,Pav_Dados!Q67,(P90+P91)/2*P88)</f>
        <v>147.84200000000001</v>
      </c>
      <c r="Q92" s="215">
        <f>IF(Pav_Dados!R67&gt;0,Pav_Dados!R67,(Q90+Q91)/2*Q88)</f>
        <v>102.736</v>
      </c>
      <c r="R92" s="215">
        <f>IF(Pav_Dados!S67&gt;0,Pav_Dados!S67,(R90+R91)/2*R88)</f>
        <v>103.80800000000001</v>
      </c>
      <c r="S92" s="215">
        <f>IF(Pav_Dados!T67&gt;0,Pav_Dados!T67,(S90+S91)/2*S88)</f>
        <v>52.207999999999998</v>
      </c>
      <c r="T92" s="215">
        <f>IF(Pav_Dados!U67&gt;0,Pav_Dados!U67,(T90+T91)/2*T88)</f>
        <v>59.841999999999999</v>
      </c>
      <c r="U92" s="215">
        <f>IF(Pav_Dados!V67&gt;0,Pav_Dados!V67,(U90+U91)/2*U88)</f>
        <v>88.001999999999995</v>
      </c>
      <c r="V92" s="215">
        <f>IF(Pav_Dados!W67&gt;0,Pav_Dados!W67,(V90+V91)/2*V88)</f>
        <v>76.016999999999996</v>
      </c>
      <c r="W92" s="215">
        <f>IF(Pav_Dados!X67&gt;0,Pav_Dados!X67,(W90+W91)/2*W88)</f>
        <v>204.27199999999999</v>
      </c>
      <c r="X92" s="215"/>
      <c r="Y92" s="672">
        <f t="shared" si="23"/>
        <v>3633.19</v>
      </c>
      <c r="Z92" s="579">
        <f t="shared" si="20"/>
        <v>7266.3829999999998</v>
      </c>
    </row>
    <row r="93" spans="1:26" s="6" customFormat="1" ht="21.95" customHeight="1" x14ac:dyDescent="0.15">
      <c r="A93" s="2596"/>
      <c r="B93" s="2616" t="s">
        <v>1346</v>
      </c>
      <c r="C93" s="547" t="s">
        <v>1347</v>
      </c>
      <c r="D93" s="982"/>
      <c r="E93" s="1345"/>
      <c r="F93" s="8">
        <f t="shared" ref="F93:W93" si="26">(F45+F64+F74+F92)</f>
        <v>937.13</v>
      </c>
      <c r="G93" s="8">
        <f t="shared" si="26"/>
        <v>391.12900000000002</v>
      </c>
      <c r="H93" s="8">
        <f t="shared" si="26"/>
        <v>129.97200000000001</v>
      </c>
      <c r="I93" s="8">
        <f t="shared" si="26"/>
        <v>883.33299999999997</v>
      </c>
      <c r="J93" s="8">
        <f t="shared" si="26"/>
        <v>211.38200000000001</v>
      </c>
      <c r="K93" s="8">
        <f t="shared" si="26"/>
        <v>0.61</v>
      </c>
      <c r="L93" s="8">
        <f t="shared" si="26"/>
        <v>1.2829999999999999</v>
      </c>
      <c r="M93" s="8">
        <f t="shared" si="26"/>
        <v>125.621</v>
      </c>
      <c r="N93" s="8">
        <f t="shared" si="26"/>
        <v>19.992000000000001</v>
      </c>
      <c r="O93" s="8">
        <f t="shared" si="26"/>
        <v>98.013999999999996</v>
      </c>
      <c r="P93" s="8">
        <f t="shared" si="26"/>
        <v>147.84200000000001</v>
      </c>
      <c r="Q93" s="8">
        <f t="shared" si="26"/>
        <v>102.736</v>
      </c>
      <c r="R93" s="8">
        <f t="shared" si="26"/>
        <v>103.80800000000001</v>
      </c>
      <c r="S93" s="8">
        <f t="shared" si="26"/>
        <v>52.207999999999998</v>
      </c>
      <c r="T93" s="8">
        <f t="shared" si="26"/>
        <v>59.841999999999999</v>
      </c>
      <c r="U93" s="8">
        <f t="shared" si="26"/>
        <v>88.001999999999995</v>
      </c>
      <c r="V93" s="8">
        <f t="shared" si="26"/>
        <v>76.016999999999996</v>
      </c>
      <c r="W93" s="8">
        <f t="shared" si="26"/>
        <v>204.27199999999999</v>
      </c>
      <c r="X93" s="8"/>
      <c r="Y93" s="493">
        <f>SUM(F93:X93)</f>
        <v>3633.1930000000002</v>
      </c>
      <c r="Z93" s="579">
        <f t="shared" si="20"/>
        <v>7266.3860000000004</v>
      </c>
    </row>
    <row r="94" spans="1:26" s="6" customFormat="1" ht="21.95" customHeight="1" x14ac:dyDescent="0.15">
      <c r="A94" s="2596"/>
      <c r="B94" s="2617"/>
      <c r="C94" s="543" t="s">
        <v>1470</v>
      </c>
      <c r="D94" s="982"/>
      <c r="E94" s="1345"/>
      <c r="F94" s="8">
        <f t="shared" ref="F94:W94" si="27">F93*1.25</f>
        <v>1171.4124999999999</v>
      </c>
      <c r="G94" s="8">
        <f t="shared" si="27"/>
        <v>488.91125</v>
      </c>
      <c r="H94" s="8">
        <f t="shared" si="27"/>
        <v>162.465</v>
      </c>
      <c r="I94" s="8">
        <f t="shared" si="27"/>
        <v>1104.16625</v>
      </c>
      <c r="J94" s="8">
        <f t="shared" si="27"/>
        <v>264.22750000000002</v>
      </c>
      <c r="K94" s="8">
        <f t="shared" si="27"/>
        <v>0.76249999999999996</v>
      </c>
      <c r="L94" s="8">
        <f t="shared" si="27"/>
        <v>1.6037499999999998</v>
      </c>
      <c r="M94" s="8">
        <f t="shared" si="27"/>
        <v>157.02625</v>
      </c>
      <c r="N94" s="8">
        <f t="shared" si="27"/>
        <v>24.990000000000002</v>
      </c>
      <c r="O94" s="8">
        <f t="shared" si="27"/>
        <v>122.5175</v>
      </c>
      <c r="P94" s="8">
        <f t="shared" si="27"/>
        <v>184.80250000000001</v>
      </c>
      <c r="Q94" s="8">
        <f t="shared" si="27"/>
        <v>128.42000000000002</v>
      </c>
      <c r="R94" s="8">
        <f t="shared" si="27"/>
        <v>129.76000000000002</v>
      </c>
      <c r="S94" s="8">
        <f t="shared" si="27"/>
        <v>65.259999999999991</v>
      </c>
      <c r="T94" s="8">
        <f t="shared" si="27"/>
        <v>74.802499999999995</v>
      </c>
      <c r="U94" s="8">
        <f t="shared" si="27"/>
        <v>110.0025</v>
      </c>
      <c r="V94" s="8">
        <f t="shared" si="27"/>
        <v>95.021249999999995</v>
      </c>
      <c r="W94" s="8">
        <f t="shared" si="27"/>
        <v>255.33999999999997</v>
      </c>
      <c r="X94" s="8"/>
      <c r="Y94" s="493">
        <f>SUM(F94:X94)</f>
        <v>4541.4912499999991</v>
      </c>
      <c r="Z94" s="579">
        <f t="shared" si="20"/>
        <v>9082.9824999999983</v>
      </c>
    </row>
    <row r="95" spans="1:26" s="6" customFormat="1" ht="21.95" customHeight="1" x14ac:dyDescent="0.15">
      <c r="A95" s="2596"/>
      <c r="B95" s="2617"/>
      <c r="C95" s="558" t="s">
        <v>1344</v>
      </c>
      <c r="D95" s="982"/>
      <c r="E95" s="1345"/>
      <c r="F95" s="1074" t="s">
        <v>2784</v>
      </c>
      <c r="G95" s="1074" t="s">
        <v>2784</v>
      </c>
      <c r="H95" s="1074" t="s">
        <v>2784</v>
      </c>
      <c r="I95" s="1074" t="s">
        <v>2784</v>
      </c>
      <c r="J95" s="1074" t="s">
        <v>2784</v>
      </c>
      <c r="K95" s="1074" t="s">
        <v>2784</v>
      </c>
      <c r="L95" s="1074" t="s">
        <v>2784</v>
      </c>
      <c r="M95" s="1074" t="s">
        <v>2784</v>
      </c>
      <c r="N95" s="1074" t="s">
        <v>2784</v>
      </c>
      <c r="O95" s="1074" t="s">
        <v>2784</v>
      </c>
      <c r="P95" s="1074" t="s">
        <v>2784</v>
      </c>
      <c r="Q95" s="1074" t="s">
        <v>2784</v>
      </c>
      <c r="R95" s="1074" t="s">
        <v>2784</v>
      </c>
      <c r="S95" s="1074" t="s">
        <v>2784</v>
      </c>
      <c r="T95" s="1074" t="s">
        <v>2784</v>
      </c>
      <c r="U95" s="1074" t="s">
        <v>2784</v>
      </c>
      <c r="V95" s="1074" t="s">
        <v>2784</v>
      </c>
      <c r="W95" s="1074" t="s">
        <v>2784</v>
      </c>
      <c r="X95" s="1074"/>
      <c r="Y95" s="1077"/>
      <c r="Z95" s="1017">
        <f>COUNTA(F95:X95)-COUNTIF(F95:X95,0)</f>
        <v>18</v>
      </c>
    </row>
    <row r="96" spans="1:26" s="6" customFormat="1" ht="21.95" customHeight="1" thickBot="1" x14ac:dyDescent="0.2">
      <c r="A96" s="2596"/>
      <c r="B96" s="2618"/>
      <c r="C96" s="558" t="s">
        <v>1339</v>
      </c>
      <c r="D96" s="982"/>
      <c r="E96" s="1345"/>
      <c r="F96" s="423">
        <f>+F86</f>
        <v>483.43599999999998</v>
      </c>
      <c r="G96" s="423">
        <f>+G86</f>
        <v>480.01900000000001</v>
      </c>
      <c r="H96" s="423">
        <f>+H94</f>
        <v>162.465</v>
      </c>
      <c r="I96" s="423">
        <f>+I86</f>
        <v>79.933000000000007</v>
      </c>
      <c r="J96" s="423">
        <f>+J86</f>
        <v>105.167</v>
      </c>
      <c r="K96" s="423">
        <f>+K94</f>
        <v>0.76249999999999996</v>
      </c>
      <c r="L96" s="423">
        <f>+L94</f>
        <v>1.6037499999999998</v>
      </c>
      <c r="M96" s="423">
        <f>+M86</f>
        <v>134.03200000000001</v>
      </c>
      <c r="N96" s="423">
        <f t="shared" ref="N96:W96" si="28">+N94</f>
        <v>24.990000000000002</v>
      </c>
      <c r="O96" s="423">
        <f t="shared" si="28"/>
        <v>122.5175</v>
      </c>
      <c r="P96" s="423">
        <f t="shared" si="28"/>
        <v>184.80250000000001</v>
      </c>
      <c r="Q96" s="423">
        <f t="shared" si="28"/>
        <v>128.42000000000002</v>
      </c>
      <c r="R96" s="423">
        <f t="shared" si="28"/>
        <v>129.76000000000002</v>
      </c>
      <c r="S96" s="423">
        <f t="shared" si="28"/>
        <v>65.259999999999991</v>
      </c>
      <c r="T96" s="423">
        <f t="shared" si="28"/>
        <v>74.802499999999995</v>
      </c>
      <c r="U96" s="423">
        <f t="shared" si="28"/>
        <v>110.0025</v>
      </c>
      <c r="V96" s="423">
        <f t="shared" si="28"/>
        <v>95.021249999999995</v>
      </c>
      <c r="W96" s="423">
        <f t="shared" si="28"/>
        <v>255.33999999999997</v>
      </c>
      <c r="X96" s="423"/>
      <c r="Y96" s="1302">
        <f>SUM(F96:X96)</f>
        <v>2638.3344999999995</v>
      </c>
      <c r="Z96" s="579">
        <f>SUM(F96:Y96)</f>
        <v>5276.668999999999</v>
      </c>
    </row>
    <row r="97" spans="1:30" s="6" customFormat="1" ht="21.95" hidden="1" customHeight="1" x14ac:dyDescent="0.15">
      <c r="A97" s="2596"/>
      <c r="B97" s="2617"/>
      <c r="C97" s="558" t="s">
        <v>27</v>
      </c>
      <c r="D97" s="982"/>
      <c r="E97" s="1345"/>
      <c r="F97" s="1075"/>
      <c r="G97" s="1075"/>
      <c r="H97" s="1075"/>
      <c r="I97" s="1075"/>
      <c r="J97" s="1075"/>
      <c r="K97" s="1075"/>
      <c r="L97" s="1075"/>
      <c r="M97" s="1075"/>
      <c r="N97" s="1075"/>
      <c r="O97" s="1075"/>
      <c r="P97" s="1075"/>
      <c r="Q97" s="1075"/>
      <c r="R97" s="1075"/>
      <c r="S97" s="1075"/>
      <c r="T97" s="1075"/>
      <c r="U97" s="1075"/>
      <c r="V97" s="1075"/>
      <c r="W97" s="1075"/>
      <c r="X97" s="1075"/>
      <c r="Y97" s="493"/>
      <c r="Z97" s="1017">
        <f>COUNTA(F97:X97)</f>
        <v>0</v>
      </c>
    </row>
    <row r="98" spans="1:30" s="6" customFormat="1" ht="21.95" hidden="1" customHeight="1" x14ac:dyDescent="0.15">
      <c r="A98" s="2596"/>
      <c r="B98" s="2617"/>
      <c r="C98" s="558" t="s">
        <v>1339</v>
      </c>
      <c r="D98" s="982"/>
      <c r="E98" s="1345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493">
        <f>SUM(F98:X98)</f>
        <v>0</v>
      </c>
      <c r="Z98" s="579">
        <f>SUM(F98:Y98)</f>
        <v>0</v>
      </c>
    </row>
    <row r="99" spans="1:30" s="6" customFormat="1" ht="21.95" hidden="1" customHeight="1" x14ac:dyDescent="0.15">
      <c r="A99" s="2596"/>
      <c r="B99" s="2617"/>
      <c r="C99" s="558" t="s">
        <v>27</v>
      </c>
      <c r="D99" s="982"/>
      <c r="E99" s="1345"/>
      <c r="F99" s="1074"/>
      <c r="G99" s="1074"/>
      <c r="H99" s="1074"/>
      <c r="I99" s="1074"/>
      <c r="J99" s="1074"/>
      <c r="K99" s="1074"/>
      <c r="L99" s="1074"/>
      <c r="M99" s="1074"/>
      <c r="N99" s="1074"/>
      <c r="O99" s="1074"/>
      <c r="P99" s="1074"/>
      <c r="Q99" s="1074"/>
      <c r="R99" s="1074"/>
      <c r="S99" s="1074"/>
      <c r="T99" s="1074"/>
      <c r="U99" s="1074"/>
      <c r="V99" s="1074"/>
      <c r="W99" s="1074"/>
      <c r="X99" s="1074"/>
      <c r="Y99" s="1077"/>
      <c r="Z99" s="1017">
        <f>COUNTA(F99:X99)</f>
        <v>0</v>
      </c>
    </row>
    <row r="100" spans="1:30" s="6" customFormat="1" ht="21.95" hidden="1" customHeight="1" x14ac:dyDescent="0.15">
      <c r="A100" s="2596"/>
      <c r="B100" s="2617"/>
      <c r="C100" s="558" t="s">
        <v>1339</v>
      </c>
      <c r="D100" s="982"/>
      <c r="E100" s="1345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423"/>
      <c r="W100" s="423"/>
      <c r="X100" s="423"/>
      <c r="Y100" s="1302">
        <f>SUM(F100:X100)</f>
        <v>0</v>
      </c>
      <c r="Z100" s="579">
        <f t="shared" ref="Z100:Z116" si="29">SUM(F100:Y100)</f>
        <v>0</v>
      </c>
    </row>
    <row r="101" spans="1:30" s="6" customFormat="1" ht="21.95" customHeight="1" thickBot="1" x14ac:dyDescent="0.2">
      <c r="A101" s="2596"/>
      <c r="B101" s="2618"/>
      <c r="C101" s="558" t="s">
        <v>1348</v>
      </c>
      <c r="D101" s="1377"/>
      <c r="E101" s="1270"/>
      <c r="F101" s="8">
        <f t="shared" ref="F101:W101" si="30">SUM(F96:F100)</f>
        <v>483.43599999999998</v>
      </c>
      <c r="G101" s="8">
        <f t="shared" si="30"/>
        <v>480.01900000000001</v>
      </c>
      <c r="H101" s="8">
        <f t="shared" si="30"/>
        <v>162.465</v>
      </c>
      <c r="I101" s="8">
        <f t="shared" si="30"/>
        <v>79.933000000000007</v>
      </c>
      <c r="J101" s="8">
        <f t="shared" si="30"/>
        <v>105.167</v>
      </c>
      <c r="K101" s="8">
        <f t="shared" si="30"/>
        <v>0.76249999999999996</v>
      </c>
      <c r="L101" s="8">
        <f t="shared" si="30"/>
        <v>1.6037499999999998</v>
      </c>
      <c r="M101" s="8">
        <f t="shared" si="30"/>
        <v>134.03200000000001</v>
      </c>
      <c r="N101" s="8">
        <f t="shared" si="30"/>
        <v>24.990000000000002</v>
      </c>
      <c r="O101" s="8">
        <f t="shared" si="30"/>
        <v>122.5175</v>
      </c>
      <c r="P101" s="8">
        <f t="shared" si="30"/>
        <v>184.80250000000001</v>
      </c>
      <c r="Q101" s="8">
        <f t="shared" si="30"/>
        <v>128.42000000000002</v>
      </c>
      <c r="R101" s="8">
        <f t="shared" si="30"/>
        <v>129.76000000000002</v>
      </c>
      <c r="S101" s="8">
        <f t="shared" si="30"/>
        <v>65.259999999999991</v>
      </c>
      <c r="T101" s="8">
        <f t="shared" si="30"/>
        <v>74.802499999999995</v>
      </c>
      <c r="U101" s="8">
        <f t="shared" si="30"/>
        <v>110.0025</v>
      </c>
      <c r="V101" s="8">
        <f t="shared" si="30"/>
        <v>95.021249999999995</v>
      </c>
      <c r="W101" s="8">
        <f t="shared" si="30"/>
        <v>255.33999999999997</v>
      </c>
      <c r="X101" s="8"/>
      <c r="Y101" s="493">
        <f>SUM(F101:X101)</f>
        <v>2638.3344999999995</v>
      </c>
      <c r="Z101" s="579">
        <f t="shared" si="29"/>
        <v>5276.668999999999</v>
      </c>
    </row>
    <row r="102" spans="1:30" s="6" customFormat="1" ht="21.95" hidden="1" customHeight="1" x14ac:dyDescent="0.15">
      <c r="A102" s="2596"/>
      <c r="B102" s="2616" t="s">
        <v>38</v>
      </c>
      <c r="C102" s="542" t="s">
        <v>1345</v>
      </c>
      <c r="D102" s="982"/>
      <c r="E102" s="1344"/>
      <c r="F102" s="216">
        <f t="shared" ref="F102" si="31">F33</f>
        <v>0</v>
      </c>
      <c r="G102" s="216">
        <f t="shared" ref="G102:W102" si="32">G33</f>
        <v>0</v>
      </c>
      <c r="H102" s="216">
        <f t="shared" si="32"/>
        <v>0</v>
      </c>
      <c r="I102" s="216">
        <f t="shared" si="32"/>
        <v>0</v>
      </c>
      <c r="J102" s="216">
        <f t="shared" si="32"/>
        <v>0</v>
      </c>
      <c r="K102" s="216">
        <f t="shared" si="32"/>
        <v>0</v>
      </c>
      <c r="L102" s="216">
        <f t="shared" si="32"/>
        <v>0</v>
      </c>
      <c r="M102" s="216">
        <f t="shared" si="32"/>
        <v>0</v>
      </c>
      <c r="N102" s="216">
        <f t="shared" si="32"/>
        <v>0</v>
      </c>
      <c r="O102" s="216">
        <f t="shared" si="32"/>
        <v>0</v>
      </c>
      <c r="P102" s="216">
        <f t="shared" si="32"/>
        <v>0</v>
      </c>
      <c r="Q102" s="216">
        <f t="shared" si="32"/>
        <v>0</v>
      </c>
      <c r="R102" s="216">
        <f t="shared" si="32"/>
        <v>0</v>
      </c>
      <c r="S102" s="216">
        <f t="shared" si="32"/>
        <v>0</v>
      </c>
      <c r="T102" s="216">
        <f t="shared" si="32"/>
        <v>0</v>
      </c>
      <c r="U102" s="216">
        <f t="shared" si="32"/>
        <v>0</v>
      </c>
      <c r="V102" s="216">
        <f t="shared" si="32"/>
        <v>0</v>
      </c>
      <c r="W102" s="216">
        <f t="shared" si="32"/>
        <v>0</v>
      </c>
      <c r="X102" s="216"/>
      <c r="Y102" s="511">
        <f t="shared" ref="Y102:Y116" si="33">TRUNC(SUM(F102:X102),2)</f>
        <v>0</v>
      </c>
      <c r="Z102" s="579">
        <f t="shared" si="29"/>
        <v>0</v>
      </c>
    </row>
    <row r="103" spans="1:30" s="6" customFormat="1" ht="32.1" hidden="1" customHeight="1" x14ac:dyDescent="0.15">
      <c r="A103" s="2596"/>
      <c r="B103" s="2617"/>
      <c r="C103" s="558" t="s">
        <v>2740</v>
      </c>
      <c r="D103" s="982"/>
      <c r="E103" s="1345"/>
      <c r="F103" s="8">
        <f t="shared" ref="F103" si="34">F40+F49+F59</f>
        <v>0</v>
      </c>
      <c r="G103" s="8">
        <f t="shared" ref="G103:W103" si="35">G40+G49+G59</f>
        <v>0</v>
      </c>
      <c r="H103" s="8">
        <f t="shared" si="35"/>
        <v>0</v>
      </c>
      <c r="I103" s="8">
        <f t="shared" si="35"/>
        <v>0</v>
      </c>
      <c r="J103" s="8">
        <f t="shared" si="35"/>
        <v>0</v>
      </c>
      <c r="K103" s="8">
        <f t="shared" si="35"/>
        <v>0</v>
      </c>
      <c r="L103" s="8">
        <f t="shared" si="35"/>
        <v>0</v>
      </c>
      <c r="M103" s="8">
        <f t="shared" si="35"/>
        <v>0</v>
      </c>
      <c r="N103" s="8">
        <f t="shared" si="35"/>
        <v>0</v>
      </c>
      <c r="O103" s="8">
        <f t="shared" si="35"/>
        <v>0</v>
      </c>
      <c r="P103" s="8">
        <f t="shared" si="35"/>
        <v>0</v>
      </c>
      <c r="Q103" s="8">
        <f t="shared" si="35"/>
        <v>0</v>
      </c>
      <c r="R103" s="8">
        <f t="shared" si="35"/>
        <v>0</v>
      </c>
      <c r="S103" s="8">
        <f t="shared" si="35"/>
        <v>0</v>
      </c>
      <c r="T103" s="8">
        <f t="shared" si="35"/>
        <v>0</v>
      </c>
      <c r="U103" s="8">
        <f t="shared" si="35"/>
        <v>0</v>
      </c>
      <c r="V103" s="8">
        <f t="shared" si="35"/>
        <v>0</v>
      </c>
      <c r="W103" s="8">
        <f t="shared" si="35"/>
        <v>0</v>
      </c>
      <c r="X103" s="8"/>
      <c r="Y103" s="512">
        <f t="shared" si="33"/>
        <v>0</v>
      </c>
      <c r="Z103" s="579">
        <f t="shared" si="29"/>
        <v>0</v>
      </c>
    </row>
    <row r="104" spans="1:30" s="6" customFormat="1" ht="21.95" hidden="1" customHeight="1" thickBot="1" x14ac:dyDescent="0.2">
      <c r="A104" s="2596"/>
      <c r="B104" s="2617"/>
      <c r="C104" s="558" t="s">
        <v>2741</v>
      </c>
      <c r="D104" s="982"/>
      <c r="E104" s="1345"/>
      <c r="F104" s="8">
        <f t="shared" ref="F104" si="36">F45</f>
        <v>0</v>
      </c>
      <c r="G104" s="8">
        <f t="shared" ref="G104:W104" si="37">G45</f>
        <v>0</v>
      </c>
      <c r="H104" s="8">
        <f t="shared" si="37"/>
        <v>0</v>
      </c>
      <c r="I104" s="8">
        <f t="shared" si="37"/>
        <v>0</v>
      </c>
      <c r="J104" s="8">
        <f t="shared" si="37"/>
        <v>0</v>
      </c>
      <c r="K104" s="8">
        <f t="shared" si="37"/>
        <v>0</v>
      </c>
      <c r="L104" s="8">
        <f t="shared" si="37"/>
        <v>0</v>
      </c>
      <c r="M104" s="8">
        <f t="shared" si="37"/>
        <v>0</v>
      </c>
      <c r="N104" s="8">
        <f t="shared" si="37"/>
        <v>0</v>
      </c>
      <c r="O104" s="8">
        <f t="shared" si="37"/>
        <v>0</v>
      </c>
      <c r="P104" s="8">
        <f t="shared" si="37"/>
        <v>0</v>
      </c>
      <c r="Q104" s="8">
        <f t="shared" si="37"/>
        <v>0</v>
      </c>
      <c r="R104" s="8">
        <f t="shared" si="37"/>
        <v>0</v>
      </c>
      <c r="S104" s="8">
        <f t="shared" si="37"/>
        <v>0</v>
      </c>
      <c r="T104" s="8">
        <f t="shared" si="37"/>
        <v>0</v>
      </c>
      <c r="U104" s="8">
        <f t="shared" si="37"/>
        <v>0</v>
      </c>
      <c r="V104" s="8">
        <f t="shared" si="37"/>
        <v>0</v>
      </c>
      <c r="W104" s="8">
        <f t="shared" si="37"/>
        <v>0</v>
      </c>
      <c r="X104" s="8"/>
      <c r="Y104" s="512">
        <f t="shared" si="33"/>
        <v>0</v>
      </c>
      <c r="Z104" s="579">
        <f t="shared" si="29"/>
        <v>0</v>
      </c>
    </row>
    <row r="105" spans="1:30" s="6" customFormat="1" ht="21.95" customHeight="1" x14ac:dyDescent="0.15">
      <c r="A105" s="2596"/>
      <c r="B105" s="2616"/>
      <c r="C105" s="543" t="s">
        <v>294</v>
      </c>
      <c r="D105" s="982"/>
      <c r="E105" s="1345"/>
      <c r="F105" s="8">
        <f t="shared" ref="F105" si="38">F69+F80</f>
        <v>483.43599999999998</v>
      </c>
      <c r="G105" s="8">
        <f t="shared" ref="G105:W105" si="39">G69+G80</f>
        <v>480.01900000000001</v>
      </c>
      <c r="H105" s="8">
        <f t="shared" si="39"/>
        <v>302.70400000000001</v>
      </c>
      <c r="I105" s="8">
        <f t="shared" si="39"/>
        <v>79.933000000000007</v>
      </c>
      <c r="J105" s="8">
        <f t="shared" si="39"/>
        <v>105.167</v>
      </c>
      <c r="K105" s="8">
        <f t="shared" si="39"/>
        <v>373.68900000000002</v>
      </c>
      <c r="L105" s="8">
        <f t="shared" si="39"/>
        <v>52.762</v>
      </c>
      <c r="M105" s="8">
        <f t="shared" si="39"/>
        <v>134.03200000000001</v>
      </c>
      <c r="N105" s="8">
        <f t="shared" si="39"/>
        <v>588.01099999999997</v>
      </c>
      <c r="O105" s="8">
        <f t="shared" si="39"/>
        <v>190.06800000000001</v>
      </c>
      <c r="P105" s="8">
        <f t="shared" si="39"/>
        <v>296.101</v>
      </c>
      <c r="Q105" s="8">
        <f t="shared" si="39"/>
        <v>652.298</v>
      </c>
      <c r="R105" s="8">
        <f t="shared" si="39"/>
        <v>858.93299999999999</v>
      </c>
      <c r="S105" s="8">
        <f t="shared" si="39"/>
        <v>723.68299999999999</v>
      </c>
      <c r="T105" s="8">
        <f t="shared" si="39"/>
        <v>808.91200000000003</v>
      </c>
      <c r="U105" s="8">
        <f t="shared" si="39"/>
        <v>750.33100000000002</v>
      </c>
      <c r="V105" s="8">
        <f t="shared" si="39"/>
        <v>193.01</v>
      </c>
      <c r="W105" s="8">
        <f t="shared" si="39"/>
        <v>319.57499999999999</v>
      </c>
      <c r="X105" s="8"/>
      <c r="Y105" s="496">
        <f t="shared" si="33"/>
        <v>7392.66</v>
      </c>
      <c r="Z105" s="579">
        <f t="shared" si="29"/>
        <v>14785.324000000001</v>
      </c>
    </row>
    <row r="106" spans="1:30" s="6" customFormat="1" ht="21.95" customHeight="1" thickBot="1" x14ac:dyDescent="0.2">
      <c r="A106" s="2596"/>
      <c r="B106" s="2618"/>
      <c r="C106" s="543" t="s">
        <v>295</v>
      </c>
      <c r="D106" s="982"/>
      <c r="E106" s="1345"/>
      <c r="F106" s="8">
        <f t="shared" ref="F106" si="40">F93</f>
        <v>937.13</v>
      </c>
      <c r="G106" s="8">
        <f t="shared" ref="G106:W106" si="41">G93</f>
        <v>391.12900000000002</v>
      </c>
      <c r="H106" s="8">
        <f t="shared" si="41"/>
        <v>129.97200000000001</v>
      </c>
      <c r="I106" s="8">
        <f t="shared" si="41"/>
        <v>883.33299999999997</v>
      </c>
      <c r="J106" s="8">
        <f t="shared" si="41"/>
        <v>211.38200000000001</v>
      </c>
      <c r="K106" s="8">
        <f t="shared" si="41"/>
        <v>0.61</v>
      </c>
      <c r="L106" s="8">
        <f t="shared" si="41"/>
        <v>1.2829999999999999</v>
      </c>
      <c r="M106" s="8">
        <f t="shared" si="41"/>
        <v>125.621</v>
      </c>
      <c r="N106" s="8">
        <f t="shared" si="41"/>
        <v>19.992000000000001</v>
      </c>
      <c r="O106" s="8">
        <f t="shared" si="41"/>
        <v>98.013999999999996</v>
      </c>
      <c r="P106" s="8">
        <f t="shared" si="41"/>
        <v>147.84200000000001</v>
      </c>
      <c r="Q106" s="8">
        <f t="shared" si="41"/>
        <v>102.736</v>
      </c>
      <c r="R106" s="8">
        <f t="shared" si="41"/>
        <v>103.80800000000001</v>
      </c>
      <c r="S106" s="8">
        <f t="shared" si="41"/>
        <v>52.207999999999998</v>
      </c>
      <c r="T106" s="8">
        <f t="shared" si="41"/>
        <v>59.841999999999999</v>
      </c>
      <c r="U106" s="8">
        <f t="shared" si="41"/>
        <v>88.001999999999995</v>
      </c>
      <c r="V106" s="8">
        <f t="shared" si="41"/>
        <v>76.016999999999996</v>
      </c>
      <c r="W106" s="8">
        <f t="shared" si="41"/>
        <v>204.27199999999999</v>
      </c>
      <c r="X106" s="8"/>
      <c r="Y106" s="512">
        <f t="shared" si="33"/>
        <v>3633.19</v>
      </c>
      <c r="Z106" s="579">
        <f t="shared" si="29"/>
        <v>7266.3829999999998</v>
      </c>
      <c r="AA106" s="5"/>
      <c r="AB106" s="5"/>
      <c r="AC106" s="5"/>
      <c r="AD106" s="5"/>
    </row>
    <row r="107" spans="1:30" ht="21.95" customHeight="1" thickBot="1" x14ac:dyDescent="0.2">
      <c r="A107" s="2596"/>
      <c r="B107" s="2618"/>
      <c r="C107" s="546" t="s">
        <v>743</v>
      </c>
      <c r="D107" s="1377"/>
      <c r="E107" s="1270"/>
      <c r="F107" s="215">
        <f t="shared" ref="F107" si="42">F94-F101</f>
        <v>687.97649999999999</v>
      </c>
      <c r="G107" s="215">
        <f t="shared" ref="G107:W107" si="43">G94-G101</f>
        <v>8.89224999999999</v>
      </c>
      <c r="H107" s="215">
        <f t="shared" si="43"/>
        <v>0</v>
      </c>
      <c r="I107" s="215">
        <f t="shared" si="43"/>
        <v>1024.23325</v>
      </c>
      <c r="J107" s="215">
        <f t="shared" si="43"/>
        <v>159.06050000000002</v>
      </c>
      <c r="K107" s="215">
        <f t="shared" si="43"/>
        <v>0</v>
      </c>
      <c r="L107" s="215">
        <f t="shared" si="43"/>
        <v>0</v>
      </c>
      <c r="M107" s="215">
        <f t="shared" si="43"/>
        <v>22.994249999999994</v>
      </c>
      <c r="N107" s="215">
        <f t="shared" si="43"/>
        <v>0</v>
      </c>
      <c r="O107" s="215">
        <f t="shared" si="43"/>
        <v>0</v>
      </c>
      <c r="P107" s="215">
        <f t="shared" si="43"/>
        <v>0</v>
      </c>
      <c r="Q107" s="215">
        <f t="shared" si="43"/>
        <v>0</v>
      </c>
      <c r="R107" s="215">
        <f t="shared" si="43"/>
        <v>0</v>
      </c>
      <c r="S107" s="215">
        <f t="shared" si="43"/>
        <v>0</v>
      </c>
      <c r="T107" s="215">
        <f t="shared" si="43"/>
        <v>0</v>
      </c>
      <c r="U107" s="215">
        <f t="shared" si="43"/>
        <v>0</v>
      </c>
      <c r="V107" s="215">
        <f t="shared" si="43"/>
        <v>0</v>
      </c>
      <c r="W107" s="215">
        <f t="shared" si="43"/>
        <v>0</v>
      </c>
      <c r="X107" s="215"/>
      <c r="Y107" s="494">
        <f t="shared" si="33"/>
        <v>1903.15</v>
      </c>
      <c r="Z107" s="579">
        <f t="shared" si="29"/>
        <v>3806.3067499999997</v>
      </c>
    </row>
    <row r="108" spans="1:30" ht="21.95" hidden="1" customHeight="1" thickBot="1" x14ac:dyDescent="0.2">
      <c r="A108" s="2596"/>
      <c r="B108" s="2616" t="s">
        <v>1355</v>
      </c>
      <c r="C108" s="548" t="s">
        <v>7</v>
      </c>
      <c r="E108" s="1345"/>
      <c r="F108" s="216">
        <f t="shared" ref="F108" si="44">(F12+F103)*1.25</f>
        <v>0</v>
      </c>
      <c r="G108" s="216">
        <f t="shared" ref="G108:W108" si="45">(G12+G103)*1.25</f>
        <v>0</v>
      </c>
      <c r="H108" s="216">
        <f t="shared" si="45"/>
        <v>0</v>
      </c>
      <c r="I108" s="216">
        <f t="shared" si="45"/>
        <v>0</v>
      </c>
      <c r="J108" s="216">
        <f t="shared" si="45"/>
        <v>0</v>
      </c>
      <c r="K108" s="216">
        <f t="shared" si="45"/>
        <v>0</v>
      </c>
      <c r="L108" s="216">
        <f t="shared" si="45"/>
        <v>0</v>
      </c>
      <c r="M108" s="216">
        <f t="shared" si="45"/>
        <v>0</v>
      </c>
      <c r="N108" s="216">
        <f t="shared" si="45"/>
        <v>0</v>
      </c>
      <c r="O108" s="216">
        <f t="shared" si="45"/>
        <v>0</v>
      </c>
      <c r="P108" s="216">
        <f t="shared" si="45"/>
        <v>0</v>
      </c>
      <c r="Q108" s="216">
        <f t="shared" si="45"/>
        <v>0</v>
      </c>
      <c r="R108" s="216">
        <f t="shared" si="45"/>
        <v>0</v>
      </c>
      <c r="S108" s="216">
        <f t="shared" si="45"/>
        <v>0</v>
      </c>
      <c r="T108" s="216">
        <f t="shared" si="45"/>
        <v>0</v>
      </c>
      <c r="U108" s="216">
        <f t="shared" si="45"/>
        <v>0</v>
      </c>
      <c r="V108" s="216">
        <f t="shared" si="45"/>
        <v>0</v>
      </c>
      <c r="W108" s="216">
        <f t="shared" si="45"/>
        <v>0</v>
      </c>
      <c r="X108" s="216"/>
      <c r="Y108" s="495">
        <f t="shared" si="33"/>
        <v>0</v>
      </c>
      <c r="Z108" s="579">
        <f t="shared" si="29"/>
        <v>0</v>
      </c>
    </row>
    <row r="109" spans="1:30" ht="21.95" customHeight="1" x14ac:dyDescent="0.15">
      <c r="A109" s="2596"/>
      <c r="B109" s="2616"/>
      <c r="C109" s="567" t="s">
        <v>1424</v>
      </c>
      <c r="E109" s="1345"/>
      <c r="F109" s="8">
        <f t="shared" ref="F109" si="46">F112</f>
        <v>6.0469875000000002</v>
      </c>
      <c r="G109" s="8">
        <f t="shared" ref="G109:W109" si="47">G112</f>
        <v>0</v>
      </c>
      <c r="H109" s="8">
        <f t="shared" si="47"/>
        <v>0.138375</v>
      </c>
      <c r="I109" s="8">
        <f t="shared" si="47"/>
        <v>6.3806249999999995E-2</v>
      </c>
      <c r="J109" s="8">
        <f t="shared" si="47"/>
        <v>0</v>
      </c>
      <c r="K109" s="8">
        <f t="shared" si="47"/>
        <v>0.52351875000000003</v>
      </c>
      <c r="L109" s="8">
        <f t="shared" si="47"/>
        <v>0</v>
      </c>
      <c r="M109" s="8">
        <f t="shared" si="47"/>
        <v>0.25291874999999997</v>
      </c>
      <c r="N109" s="8">
        <f t="shared" si="47"/>
        <v>9.5325000000000007E-2</v>
      </c>
      <c r="O109" s="8">
        <f t="shared" si="47"/>
        <v>0.10455</v>
      </c>
      <c r="P109" s="8">
        <f t="shared" si="47"/>
        <v>0</v>
      </c>
      <c r="Q109" s="8">
        <f t="shared" si="47"/>
        <v>0.68265000000000009</v>
      </c>
      <c r="R109" s="8">
        <f t="shared" si="47"/>
        <v>0.62038125000000011</v>
      </c>
      <c r="S109" s="8">
        <f t="shared" si="47"/>
        <v>0.26521875</v>
      </c>
      <c r="T109" s="8">
        <f t="shared" si="47"/>
        <v>0</v>
      </c>
      <c r="U109" s="8">
        <f t="shared" si="47"/>
        <v>0</v>
      </c>
      <c r="V109" s="8">
        <f t="shared" si="47"/>
        <v>1.3076437500000002</v>
      </c>
      <c r="W109" s="8">
        <f t="shared" si="47"/>
        <v>2.1486562500000002</v>
      </c>
      <c r="X109" s="8"/>
      <c r="Y109" s="496">
        <f t="shared" si="33"/>
        <v>12.25</v>
      </c>
      <c r="Z109" s="579">
        <f t="shared" si="29"/>
        <v>24.500031249999999</v>
      </c>
    </row>
    <row r="110" spans="1:30" ht="32.1" customHeight="1" thickBot="1" x14ac:dyDescent="0.2">
      <c r="A110" s="2596"/>
      <c r="B110" s="2618"/>
      <c r="C110" s="588" t="s">
        <v>1356</v>
      </c>
      <c r="E110" s="1345"/>
      <c r="F110" s="8">
        <f t="shared" ref="F110" si="48">F101</f>
        <v>483.43599999999998</v>
      </c>
      <c r="G110" s="8">
        <f t="shared" ref="G110:W110" si="49">G101</f>
        <v>480.01900000000001</v>
      </c>
      <c r="H110" s="8">
        <f t="shared" si="49"/>
        <v>162.465</v>
      </c>
      <c r="I110" s="8">
        <f t="shared" si="49"/>
        <v>79.933000000000007</v>
      </c>
      <c r="J110" s="8">
        <f t="shared" si="49"/>
        <v>105.167</v>
      </c>
      <c r="K110" s="8">
        <f t="shared" si="49"/>
        <v>0.76249999999999996</v>
      </c>
      <c r="L110" s="8">
        <f t="shared" si="49"/>
        <v>1.6037499999999998</v>
      </c>
      <c r="M110" s="8">
        <f t="shared" si="49"/>
        <v>134.03200000000001</v>
      </c>
      <c r="N110" s="8">
        <f t="shared" si="49"/>
        <v>24.990000000000002</v>
      </c>
      <c r="O110" s="8">
        <f t="shared" si="49"/>
        <v>122.5175</v>
      </c>
      <c r="P110" s="8">
        <f t="shared" si="49"/>
        <v>184.80250000000001</v>
      </c>
      <c r="Q110" s="8">
        <f t="shared" si="49"/>
        <v>128.42000000000002</v>
      </c>
      <c r="R110" s="8">
        <f t="shared" si="49"/>
        <v>129.76000000000002</v>
      </c>
      <c r="S110" s="8">
        <f t="shared" si="49"/>
        <v>65.259999999999991</v>
      </c>
      <c r="T110" s="8">
        <f t="shared" si="49"/>
        <v>74.802499999999995</v>
      </c>
      <c r="U110" s="8">
        <f t="shared" si="49"/>
        <v>110.0025</v>
      </c>
      <c r="V110" s="8">
        <f t="shared" si="49"/>
        <v>95.021249999999995</v>
      </c>
      <c r="W110" s="8">
        <f t="shared" si="49"/>
        <v>255.33999999999997</v>
      </c>
      <c r="X110" s="8"/>
      <c r="Y110" s="494">
        <f t="shared" si="33"/>
        <v>2638.33</v>
      </c>
      <c r="Z110" s="579">
        <f t="shared" si="29"/>
        <v>5276.664499999999</v>
      </c>
    </row>
    <row r="111" spans="1:30" ht="21.95" hidden="1" customHeight="1" x14ac:dyDescent="0.15">
      <c r="A111" s="2596"/>
      <c r="B111" s="2757" t="s">
        <v>1380</v>
      </c>
      <c r="C111" s="548" t="s">
        <v>1815</v>
      </c>
      <c r="D111" s="1380"/>
      <c r="E111" s="1344"/>
      <c r="F111" s="216">
        <f t="shared" ref="F111" si="50">F34+F35</f>
        <v>0</v>
      </c>
      <c r="G111" s="216">
        <f t="shared" ref="G111:W111" si="51">G34+G35</f>
        <v>0</v>
      </c>
      <c r="H111" s="216">
        <f t="shared" si="51"/>
        <v>0</v>
      </c>
      <c r="I111" s="216">
        <f t="shared" si="51"/>
        <v>0</v>
      </c>
      <c r="J111" s="216">
        <f t="shared" si="51"/>
        <v>0</v>
      </c>
      <c r="K111" s="216">
        <f t="shared" si="51"/>
        <v>0</v>
      </c>
      <c r="L111" s="216">
        <f t="shared" si="51"/>
        <v>0</v>
      </c>
      <c r="M111" s="216">
        <f t="shared" si="51"/>
        <v>0</v>
      </c>
      <c r="N111" s="216">
        <f t="shared" si="51"/>
        <v>0</v>
      </c>
      <c r="O111" s="216">
        <f t="shared" si="51"/>
        <v>0</v>
      </c>
      <c r="P111" s="216">
        <f t="shared" si="51"/>
        <v>0</v>
      </c>
      <c r="Q111" s="216">
        <f t="shared" si="51"/>
        <v>0</v>
      </c>
      <c r="R111" s="216">
        <f t="shared" si="51"/>
        <v>0</v>
      </c>
      <c r="S111" s="216">
        <f t="shared" si="51"/>
        <v>0</v>
      </c>
      <c r="T111" s="216">
        <f t="shared" si="51"/>
        <v>0</v>
      </c>
      <c r="U111" s="216">
        <f t="shared" si="51"/>
        <v>0</v>
      </c>
      <c r="V111" s="216">
        <f t="shared" si="51"/>
        <v>0</v>
      </c>
      <c r="W111" s="216">
        <f t="shared" si="51"/>
        <v>0</v>
      </c>
      <c r="X111" s="216"/>
      <c r="Y111" s="495">
        <f t="shared" si="33"/>
        <v>0</v>
      </c>
      <c r="Z111" s="579">
        <f t="shared" si="29"/>
        <v>0</v>
      </c>
      <c r="AA111" s="6"/>
      <c r="AB111" s="6"/>
      <c r="AC111" s="6"/>
    </row>
    <row r="112" spans="1:30" ht="21.95" customHeight="1" thickBot="1" x14ac:dyDescent="0.2">
      <c r="A112" s="2596"/>
      <c r="B112" s="2759"/>
      <c r="C112" s="567" t="s">
        <v>1424</v>
      </c>
      <c r="E112" s="1345"/>
      <c r="F112" s="8">
        <f t="shared" ref="F112" si="52">F28*1.25</f>
        <v>6.0469875000000002</v>
      </c>
      <c r="G112" s="8">
        <f t="shared" ref="G112:W112" si="53">G28*1.25</f>
        <v>0</v>
      </c>
      <c r="H112" s="8">
        <f t="shared" si="53"/>
        <v>0.138375</v>
      </c>
      <c r="I112" s="8">
        <f t="shared" si="53"/>
        <v>6.3806249999999995E-2</v>
      </c>
      <c r="J112" s="8">
        <f t="shared" si="53"/>
        <v>0</v>
      </c>
      <c r="K112" s="8">
        <f t="shared" si="53"/>
        <v>0.52351875000000003</v>
      </c>
      <c r="L112" s="8">
        <f t="shared" si="53"/>
        <v>0</v>
      </c>
      <c r="M112" s="8">
        <f t="shared" si="53"/>
        <v>0.25291874999999997</v>
      </c>
      <c r="N112" s="8">
        <f t="shared" si="53"/>
        <v>9.5325000000000007E-2</v>
      </c>
      <c r="O112" s="8">
        <f t="shared" si="53"/>
        <v>0.10455</v>
      </c>
      <c r="P112" s="8">
        <f t="shared" si="53"/>
        <v>0</v>
      </c>
      <c r="Q112" s="8">
        <f t="shared" si="53"/>
        <v>0.68265000000000009</v>
      </c>
      <c r="R112" s="8">
        <f t="shared" si="53"/>
        <v>0.62038125000000011</v>
      </c>
      <c r="S112" s="8">
        <f t="shared" si="53"/>
        <v>0.26521875</v>
      </c>
      <c r="T112" s="8">
        <f t="shared" si="53"/>
        <v>0</v>
      </c>
      <c r="U112" s="8">
        <f t="shared" si="53"/>
        <v>0</v>
      </c>
      <c r="V112" s="8">
        <f t="shared" si="53"/>
        <v>1.3076437500000002</v>
      </c>
      <c r="W112" s="8">
        <f t="shared" si="53"/>
        <v>2.1486562500000002</v>
      </c>
      <c r="X112" s="8"/>
      <c r="Y112" s="496">
        <f t="shared" si="33"/>
        <v>12.25</v>
      </c>
      <c r="Z112" s="579">
        <f t="shared" si="29"/>
        <v>24.500031249999999</v>
      </c>
      <c r="AA112" s="6"/>
      <c r="AB112" s="6"/>
      <c r="AC112" s="6"/>
    </row>
    <row r="113" spans="1:29" ht="21.95" hidden="1" customHeight="1" thickBot="1" x14ac:dyDescent="0.2">
      <c r="A113" s="2596"/>
      <c r="B113" s="2759"/>
      <c r="C113" s="543" t="s">
        <v>1805</v>
      </c>
      <c r="E113" s="1345"/>
      <c r="F113" s="8">
        <f t="shared" ref="F113" si="54">F12*1.25</f>
        <v>0</v>
      </c>
      <c r="G113" s="8">
        <f t="shared" ref="G113:W113" si="55">G12*1.25</f>
        <v>0</v>
      </c>
      <c r="H113" s="8">
        <f t="shared" si="55"/>
        <v>0</v>
      </c>
      <c r="I113" s="8">
        <f t="shared" si="55"/>
        <v>0</v>
      </c>
      <c r="J113" s="8">
        <f t="shared" si="55"/>
        <v>0</v>
      </c>
      <c r="K113" s="8">
        <f t="shared" si="55"/>
        <v>0</v>
      </c>
      <c r="L113" s="8">
        <f t="shared" si="55"/>
        <v>0</v>
      </c>
      <c r="M113" s="8">
        <f t="shared" si="55"/>
        <v>0</v>
      </c>
      <c r="N113" s="8">
        <f t="shared" si="55"/>
        <v>0</v>
      </c>
      <c r="O113" s="8">
        <f t="shared" si="55"/>
        <v>0</v>
      </c>
      <c r="P113" s="8">
        <f t="shared" si="55"/>
        <v>0</v>
      </c>
      <c r="Q113" s="8">
        <f t="shared" si="55"/>
        <v>0</v>
      </c>
      <c r="R113" s="8">
        <f t="shared" si="55"/>
        <v>0</v>
      </c>
      <c r="S113" s="8">
        <f t="shared" si="55"/>
        <v>0</v>
      </c>
      <c r="T113" s="8">
        <f t="shared" si="55"/>
        <v>0</v>
      </c>
      <c r="U113" s="8">
        <f t="shared" si="55"/>
        <v>0</v>
      </c>
      <c r="V113" s="8">
        <f t="shared" si="55"/>
        <v>0</v>
      </c>
      <c r="W113" s="8">
        <f t="shared" si="55"/>
        <v>0</v>
      </c>
      <c r="X113" s="8"/>
      <c r="Y113" s="512">
        <f t="shared" si="33"/>
        <v>0</v>
      </c>
      <c r="Z113" s="579">
        <f t="shared" si="29"/>
        <v>0</v>
      </c>
      <c r="AA113" s="6"/>
      <c r="AB113" s="6"/>
      <c r="AC113" s="6"/>
    </row>
    <row r="114" spans="1:29" ht="21.95" customHeight="1" x14ac:dyDescent="0.15">
      <c r="A114" s="2596"/>
      <c r="B114" s="2757"/>
      <c r="C114" s="587" t="s">
        <v>1360</v>
      </c>
      <c r="E114" s="1345"/>
      <c r="F114" s="8">
        <f t="shared" ref="F114" si="56">(F103+F105)*1.25-F101</f>
        <v>120.85899999999998</v>
      </c>
      <c r="G114" s="8">
        <f t="shared" ref="G114:W114" si="57">(G103+G105)*1.25-G101</f>
        <v>120.00475000000006</v>
      </c>
      <c r="H114" s="8">
        <f t="shared" si="57"/>
        <v>215.91499999999999</v>
      </c>
      <c r="I114" s="8">
        <f t="shared" si="57"/>
        <v>19.983249999999998</v>
      </c>
      <c r="J114" s="8">
        <f t="shared" si="57"/>
        <v>26.291750000000008</v>
      </c>
      <c r="K114" s="8">
        <f t="shared" si="57"/>
        <v>466.34875000000005</v>
      </c>
      <c r="L114" s="8">
        <f t="shared" si="57"/>
        <v>64.348749999999995</v>
      </c>
      <c r="M114" s="8">
        <f t="shared" si="57"/>
        <v>33.50800000000001</v>
      </c>
      <c r="N114" s="8">
        <f t="shared" si="57"/>
        <v>710.02374999999995</v>
      </c>
      <c r="O114" s="8">
        <f t="shared" si="57"/>
        <v>115.06750000000001</v>
      </c>
      <c r="P114" s="8">
        <f t="shared" si="57"/>
        <v>185.32375000000002</v>
      </c>
      <c r="Q114" s="8">
        <f t="shared" si="57"/>
        <v>686.95249999999987</v>
      </c>
      <c r="R114" s="8">
        <f t="shared" si="57"/>
        <v>943.90625</v>
      </c>
      <c r="S114" s="8">
        <f t="shared" si="57"/>
        <v>839.34375</v>
      </c>
      <c r="T114" s="8">
        <f t="shared" si="57"/>
        <v>936.33750000000009</v>
      </c>
      <c r="U114" s="8">
        <f t="shared" si="57"/>
        <v>827.91125000000011</v>
      </c>
      <c r="V114" s="8">
        <f t="shared" si="57"/>
        <v>146.24124999999998</v>
      </c>
      <c r="W114" s="8">
        <f t="shared" si="57"/>
        <v>144.12875000000003</v>
      </c>
      <c r="X114" s="8"/>
      <c r="Y114" s="496">
        <f t="shared" si="33"/>
        <v>6602.49</v>
      </c>
      <c r="Z114" s="579">
        <f t="shared" si="29"/>
        <v>13204.985500000001</v>
      </c>
      <c r="AA114" s="6"/>
      <c r="AB114" s="6"/>
      <c r="AC114" s="6"/>
    </row>
    <row r="115" spans="1:29" ht="21.95" customHeight="1" x14ac:dyDescent="0.15">
      <c r="A115" s="2596"/>
      <c r="B115" s="2759"/>
      <c r="C115" s="588" t="s">
        <v>1354</v>
      </c>
      <c r="E115" s="1345"/>
      <c r="F115" s="8">
        <f t="shared" ref="F115" si="58">F101*2</f>
        <v>966.87199999999996</v>
      </c>
      <c r="G115" s="8">
        <f t="shared" ref="G115:W115" si="59">G101*2</f>
        <v>960.03800000000001</v>
      </c>
      <c r="H115" s="8">
        <f t="shared" si="59"/>
        <v>324.93</v>
      </c>
      <c r="I115" s="8">
        <f t="shared" si="59"/>
        <v>159.86600000000001</v>
      </c>
      <c r="J115" s="8">
        <f t="shared" si="59"/>
        <v>210.334</v>
      </c>
      <c r="K115" s="8">
        <f t="shared" si="59"/>
        <v>1.5249999999999999</v>
      </c>
      <c r="L115" s="8">
        <f t="shared" si="59"/>
        <v>3.2074999999999996</v>
      </c>
      <c r="M115" s="8">
        <f t="shared" si="59"/>
        <v>268.06400000000002</v>
      </c>
      <c r="N115" s="8">
        <f t="shared" si="59"/>
        <v>49.980000000000004</v>
      </c>
      <c r="O115" s="8">
        <f t="shared" si="59"/>
        <v>245.035</v>
      </c>
      <c r="P115" s="8">
        <f t="shared" si="59"/>
        <v>369.60500000000002</v>
      </c>
      <c r="Q115" s="8">
        <f t="shared" si="59"/>
        <v>256.84000000000003</v>
      </c>
      <c r="R115" s="8">
        <f t="shared" si="59"/>
        <v>259.52000000000004</v>
      </c>
      <c r="S115" s="8">
        <f t="shared" si="59"/>
        <v>130.51999999999998</v>
      </c>
      <c r="T115" s="8">
        <f t="shared" si="59"/>
        <v>149.60499999999999</v>
      </c>
      <c r="U115" s="8">
        <f t="shared" si="59"/>
        <v>220.005</v>
      </c>
      <c r="V115" s="8">
        <f t="shared" si="59"/>
        <v>190.04249999999999</v>
      </c>
      <c r="W115" s="8">
        <f t="shared" si="59"/>
        <v>510.67999999999995</v>
      </c>
      <c r="X115" s="8"/>
      <c r="Y115" s="512">
        <f t="shared" si="33"/>
        <v>5276.66</v>
      </c>
      <c r="Z115" s="579">
        <f t="shared" si="29"/>
        <v>10553.328999999998</v>
      </c>
      <c r="AA115" s="6"/>
      <c r="AB115" s="6"/>
      <c r="AC115" s="6"/>
    </row>
    <row r="116" spans="1:29" ht="21.95" customHeight="1" thickBot="1" x14ac:dyDescent="0.2">
      <c r="A116" s="2596"/>
      <c r="B116" s="2758"/>
      <c r="C116" s="546" t="s">
        <v>2012</v>
      </c>
      <c r="D116" s="1377"/>
      <c r="E116" s="1270"/>
      <c r="F116" s="215">
        <f t="shared" ref="F116" si="60">F107</f>
        <v>687.97649999999999</v>
      </c>
      <c r="G116" s="215">
        <f t="shared" ref="G116:W116" si="61">G107</f>
        <v>8.89224999999999</v>
      </c>
      <c r="H116" s="215">
        <f t="shared" si="61"/>
        <v>0</v>
      </c>
      <c r="I116" s="215">
        <f t="shared" si="61"/>
        <v>1024.23325</v>
      </c>
      <c r="J116" s="215">
        <f t="shared" si="61"/>
        <v>159.06050000000002</v>
      </c>
      <c r="K116" s="215">
        <f t="shared" si="61"/>
        <v>0</v>
      </c>
      <c r="L116" s="215">
        <f t="shared" si="61"/>
        <v>0</v>
      </c>
      <c r="M116" s="215">
        <f t="shared" si="61"/>
        <v>22.994249999999994</v>
      </c>
      <c r="N116" s="215">
        <f t="shared" si="61"/>
        <v>0</v>
      </c>
      <c r="O116" s="215">
        <f t="shared" si="61"/>
        <v>0</v>
      </c>
      <c r="P116" s="215">
        <f t="shared" si="61"/>
        <v>0</v>
      </c>
      <c r="Q116" s="215">
        <f t="shared" si="61"/>
        <v>0</v>
      </c>
      <c r="R116" s="215">
        <f t="shared" si="61"/>
        <v>0</v>
      </c>
      <c r="S116" s="215">
        <f t="shared" si="61"/>
        <v>0</v>
      </c>
      <c r="T116" s="215">
        <f t="shared" si="61"/>
        <v>0</v>
      </c>
      <c r="U116" s="215">
        <f t="shared" si="61"/>
        <v>0</v>
      </c>
      <c r="V116" s="215">
        <f t="shared" si="61"/>
        <v>0</v>
      </c>
      <c r="W116" s="215">
        <f t="shared" si="61"/>
        <v>0</v>
      </c>
      <c r="X116" s="215"/>
      <c r="Y116" s="494">
        <f t="shared" si="33"/>
        <v>1903.15</v>
      </c>
      <c r="Z116" s="579">
        <f t="shared" si="29"/>
        <v>3806.3067499999997</v>
      </c>
      <c r="AA116" s="6"/>
      <c r="AB116" s="6"/>
      <c r="AC116" s="6"/>
    </row>
    <row r="117" spans="1:29" ht="21.95" hidden="1" customHeight="1" x14ac:dyDescent="0.15">
      <c r="A117" s="2596"/>
      <c r="B117" s="2757" t="s">
        <v>1366</v>
      </c>
      <c r="C117" s="542" t="s">
        <v>1349</v>
      </c>
      <c r="D117" s="1380"/>
      <c r="E117" s="1344"/>
      <c r="F117" s="216">
        <f t="shared" ref="F117:F118" si="62">F111</f>
        <v>0</v>
      </c>
      <c r="G117" s="216">
        <f t="shared" ref="G117:W117" si="63">G111</f>
        <v>0</v>
      </c>
      <c r="H117" s="216">
        <f t="shared" si="63"/>
        <v>0</v>
      </c>
      <c r="I117" s="216">
        <f t="shared" si="63"/>
        <v>0</v>
      </c>
      <c r="J117" s="216">
        <f t="shared" si="63"/>
        <v>0</v>
      </c>
      <c r="K117" s="216">
        <f t="shared" si="63"/>
        <v>0</v>
      </c>
      <c r="L117" s="216">
        <f t="shared" si="63"/>
        <v>0</v>
      </c>
      <c r="M117" s="216">
        <f t="shared" si="63"/>
        <v>0</v>
      </c>
      <c r="N117" s="216">
        <f t="shared" si="63"/>
        <v>0</v>
      </c>
      <c r="O117" s="216">
        <f t="shared" si="63"/>
        <v>0</v>
      </c>
      <c r="P117" s="216">
        <f t="shared" si="63"/>
        <v>0</v>
      </c>
      <c r="Q117" s="216">
        <f t="shared" si="63"/>
        <v>0</v>
      </c>
      <c r="R117" s="216">
        <f t="shared" si="63"/>
        <v>0</v>
      </c>
      <c r="S117" s="216">
        <f t="shared" si="63"/>
        <v>0</v>
      </c>
      <c r="T117" s="216">
        <f t="shared" si="63"/>
        <v>0</v>
      </c>
      <c r="U117" s="216">
        <f t="shared" si="63"/>
        <v>0</v>
      </c>
      <c r="V117" s="216">
        <f t="shared" si="63"/>
        <v>0</v>
      </c>
      <c r="W117" s="216">
        <f t="shared" si="63"/>
        <v>0</v>
      </c>
      <c r="X117" s="216"/>
      <c r="Y117" s="512"/>
      <c r="Z117" s="579"/>
      <c r="AA117" s="6"/>
      <c r="AB117" s="6"/>
      <c r="AC117" s="6"/>
    </row>
    <row r="118" spans="1:29" ht="21.95" hidden="1" customHeight="1" x14ac:dyDescent="0.15">
      <c r="A118" s="2596"/>
      <c r="B118" s="2759"/>
      <c r="C118" s="567" t="s">
        <v>1424</v>
      </c>
      <c r="E118" s="1345"/>
      <c r="F118" s="8">
        <f t="shared" si="62"/>
        <v>6.0469875000000002</v>
      </c>
      <c r="G118" s="8">
        <f t="shared" ref="G118:W118" si="64">G112</f>
        <v>0</v>
      </c>
      <c r="H118" s="8">
        <f t="shared" si="64"/>
        <v>0.138375</v>
      </c>
      <c r="I118" s="8">
        <f t="shared" si="64"/>
        <v>6.3806249999999995E-2</v>
      </c>
      <c r="J118" s="8">
        <f t="shared" si="64"/>
        <v>0</v>
      </c>
      <c r="K118" s="8">
        <f t="shared" si="64"/>
        <v>0.52351875000000003</v>
      </c>
      <c r="L118" s="8">
        <f t="shared" si="64"/>
        <v>0</v>
      </c>
      <c r="M118" s="8">
        <f t="shared" si="64"/>
        <v>0.25291874999999997</v>
      </c>
      <c r="N118" s="8">
        <f t="shared" si="64"/>
        <v>9.5325000000000007E-2</v>
      </c>
      <c r="O118" s="8">
        <f t="shared" si="64"/>
        <v>0.10455</v>
      </c>
      <c r="P118" s="8">
        <f t="shared" si="64"/>
        <v>0</v>
      </c>
      <c r="Q118" s="8">
        <f t="shared" si="64"/>
        <v>0.68265000000000009</v>
      </c>
      <c r="R118" s="8">
        <f t="shared" si="64"/>
        <v>0.62038125000000011</v>
      </c>
      <c r="S118" s="8">
        <f t="shared" si="64"/>
        <v>0.26521875</v>
      </c>
      <c r="T118" s="8">
        <f t="shared" si="64"/>
        <v>0</v>
      </c>
      <c r="U118" s="8">
        <f t="shared" si="64"/>
        <v>0</v>
      </c>
      <c r="V118" s="8">
        <f t="shared" si="64"/>
        <v>1.3076437500000002</v>
      </c>
      <c r="W118" s="8">
        <f t="shared" si="64"/>
        <v>2.1486562500000002</v>
      </c>
      <c r="X118" s="8"/>
      <c r="Y118" s="512"/>
      <c r="Z118" s="579"/>
      <c r="AA118" s="6"/>
      <c r="AB118" s="6"/>
      <c r="AC118" s="6"/>
    </row>
    <row r="119" spans="1:29" ht="21.95" hidden="1" customHeight="1" thickBot="1" x14ac:dyDescent="0.2">
      <c r="A119" s="2596"/>
      <c r="B119" s="2759"/>
      <c r="C119" s="588" t="s">
        <v>1358</v>
      </c>
      <c r="E119" s="1345"/>
      <c r="F119" s="8">
        <f t="shared" ref="F119" si="65">F103+F105+F107+F104</f>
        <v>1171.4124999999999</v>
      </c>
      <c r="G119" s="8">
        <f t="shared" ref="G119:W119" si="66">G103+G105+G107+G104</f>
        <v>488.91125</v>
      </c>
      <c r="H119" s="8">
        <f t="shared" si="66"/>
        <v>302.70400000000001</v>
      </c>
      <c r="I119" s="8">
        <f t="shared" si="66"/>
        <v>1104.16625</v>
      </c>
      <c r="J119" s="8">
        <f t="shared" si="66"/>
        <v>264.22750000000002</v>
      </c>
      <c r="K119" s="8">
        <f t="shared" si="66"/>
        <v>373.68900000000002</v>
      </c>
      <c r="L119" s="8">
        <f t="shared" si="66"/>
        <v>52.762</v>
      </c>
      <c r="M119" s="8">
        <f t="shared" si="66"/>
        <v>157.02625</v>
      </c>
      <c r="N119" s="8">
        <f t="shared" si="66"/>
        <v>588.01099999999997</v>
      </c>
      <c r="O119" s="8">
        <f t="shared" si="66"/>
        <v>190.06800000000001</v>
      </c>
      <c r="P119" s="8">
        <f t="shared" si="66"/>
        <v>296.101</v>
      </c>
      <c r="Q119" s="8">
        <f t="shared" si="66"/>
        <v>652.298</v>
      </c>
      <c r="R119" s="8">
        <f t="shared" si="66"/>
        <v>858.93299999999999</v>
      </c>
      <c r="S119" s="8">
        <f t="shared" si="66"/>
        <v>723.68299999999999</v>
      </c>
      <c r="T119" s="8">
        <f t="shared" si="66"/>
        <v>808.91200000000003</v>
      </c>
      <c r="U119" s="8">
        <f t="shared" si="66"/>
        <v>750.33100000000002</v>
      </c>
      <c r="V119" s="8">
        <f t="shared" si="66"/>
        <v>193.01</v>
      </c>
      <c r="W119" s="8">
        <f t="shared" si="66"/>
        <v>319.57499999999999</v>
      </c>
      <c r="X119" s="8"/>
      <c r="Y119" s="512"/>
      <c r="Z119" s="579"/>
      <c r="AA119" s="6"/>
      <c r="AB119" s="6"/>
      <c r="AC119" s="6"/>
    </row>
    <row r="120" spans="1:29" s="9" customFormat="1" ht="50.1" customHeight="1" thickBot="1" x14ac:dyDescent="0.2">
      <c r="A120" s="2742"/>
      <c r="B120" s="2913" t="s">
        <v>12</v>
      </c>
      <c r="C120" s="2914"/>
      <c r="D120" s="1397"/>
      <c r="E120" s="2062"/>
      <c r="F120" s="2063"/>
      <c r="G120" s="2063"/>
      <c r="H120" s="2063"/>
      <c r="I120" s="2063"/>
      <c r="J120" s="2063"/>
      <c r="K120" s="2063"/>
      <c r="L120" s="2063"/>
      <c r="M120" s="2063"/>
      <c r="N120" s="2063"/>
      <c r="O120" s="2063"/>
      <c r="P120" s="2063"/>
      <c r="Q120" s="2063"/>
      <c r="R120" s="2063"/>
      <c r="S120" s="2063"/>
      <c r="T120" s="2063"/>
      <c r="U120" s="2063"/>
      <c r="V120" s="2063"/>
      <c r="W120" s="2063"/>
      <c r="X120" s="2063"/>
      <c r="Y120" s="2064"/>
      <c r="Z120" s="1017">
        <v>1</v>
      </c>
      <c r="AA120" s="6"/>
      <c r="AB120" s="6"/>
      <c r="AC120" s="6"/>
    </row>
    <row r="121" spans="1:29" ht="19.5" hidden="1" thickTop="1" x14ac:dyDescent="0.15">
      <c r="Z121" s="6"/>
      <c r="AA121" s="6"/>
      <c r="AB121" s="6"/>
      <c r="AC121" s="6"/>
    </row>
    <row r="122" spans="1:29" hidden="1" x14ac:dyDescent="0.15">
      <c r="Z122" s="6"/>
      <c r="AA122" s="6"/>
      <c r="AB122" s="6"/>
      <c r="AC122" s="6"/>
    </row>
    <row r="123" spans="1:29" hidden="1" x14ac:dyDescent="0.15">
      <c r="Z123" s="6"/>
      <c r="AA123" s="6"/>
      <c r="AB123" s="6"/>
      <c r="AC123" s="6"/>
    </row>
    <row r="124" spans="1:29" ht="19.5" thickTop="1" x14ac:dyDescent="0.15"/>
  </sheetData>
  <autoFilter ref="Z1:Z123" xr:uid="{00000000-0009-0000-0000-00001A000000}">
    <filterColumn colId="0">
      <customFilters>
        <customFilter operator="notEqual" val=" "/>
      </customFilters>
    </filterColumn>
  </autoFilter>
  <mergeCells count="24">
    <mergeCell ref="A1:A120"/>
    <mergeCell ref="B29:B35"/>
    <mergeCell ref="B36:B40"/>
    <mergeCell ref="B102:B107"/>
    <mergeCell ref="B76:B92"/>
    <mergeCell ref="B41:B45"/>
    <mergeCell ref="B93:B101"/>
    <mergeCell ref="B108:B110"/>
    <mergeCell ref="B111:B116"/>
    <mergeCell ref="B117:B119"/>
    <mergeCell ref="B120:C120"/>
    <mergeCell ref="B1:C1"/>
    <mergeCell ref="B46:B55"/>
    <mergeCell ref="B56:B65"/>
    <mergeCell ref="B66:B75"/>
    <mergeCell ref="B24:B28"/>
    <mergeCell ref="B14:B16"/>
    <mergeCell ref="B17:B19"/>
    <mergeCell ref="B20:B23"/>
    <mergeCell ref="B8:B13"/>
    <mergeCell ref="B2:C2"/>
    <mergeCell ref="B3:B4"/>
    <mergeCell ref="B5:C5"/>
    <mergeCell ref="B6:B7"/>
  </mergeCells>
  <pageMargins left="0.39370078740157483" right="0.39370078740157483" top="0.59055118110236227" bottom="0.59055118110236227" header="0.31496062992125984" footer="0.23622047244094491"/>
  <pageSetup paperSize="9" scale="80" fitToWidth="5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Y11 Y13:Z13 Z60:Z75 Z95:Z99 Z50:Z55 F11 G11:W11 G96:M96" formula="1"/>
    <ignoredError sqref="F87:W87" formulaRange="1"/>
  </ignoredError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35" filterMode="1">
    <tabColor theme="9" tint="0.59999389629810485"/>
    <pageSetUpPr fitToPage="1"/>
  </sheetPr>
  <dimension ref="A1:AB139"/>
  <sheetViews>
    <sheetView showZeros="0" zoomScaleNormal="100" zoomScaleSheetLayoutView="100" workbookViewId="0">
      <pane xSplit="6" ySplit="1" topLeftCell="J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U44" sqref="U44"/>
    </sheetView>
  </sheetViews>
  <sheetFormatPr defaultColWidth="9" defaultRowHeight="18.75" x14ac:dyDescent="0.15"/>
  <cols>
    <col min="1" max="1" width="9.75" style="5" customWidth="1"/>
    <col min="2" max="2" width="5.625" style="9" customWidth="1"/>
    <col min="3" max="3" width="14.625" style="9" customWidth="1"/>
    <col min="4" max="4" width="32.625" style="9" customWidth="1"/>
    <col min="5" max="5" width="3.125" style="982" hidden="1" customWidth="1"/>
    <col min="6" max="6" width="7.5" style="9" hidden="1" customWidth="1"/>
    <col min="7" max="24" width="12.625" style="5" customWidth="1"/>
    <col min="25" max="25" width="12.625" style="5" hidden="1" customWidth="1"/>
    <col min="26" max="26" width="12.625" style="417" customWidth="1"/>
    <col min="27" max="27" width="19.125" style="5" customWidth="1"/>
    <col min="28" max="28" width="11.125" style="5" customWidth="1"/>
    <col min="29" max="35" width="8.25" style="5" customWidth="1"/>
    <col min="36" max="16384" width="9" style="5"/>
  </cols>
  <sheetData>
    <row r="1" spans="1:27" s="10" customFormat="1" ht="60" customHeight="1" thickTop="1" thickBot="1" x14ac:dyDescent="0.2">
      <c r="A1" s="2595" t="s">
        <v>419</v>
      </c>
      <c r="B1" s="2791" t="s">
        <v>348</v>
      </c>
      <c r="C1" s="2792"/>
      <c r="D1" s="2922"/>
      <c r="E1" s="1802"/>
      <c r="F1" s="974" t="s">
        <v>588</v>
      </c>
      <c r="G1" s="212" t="str">
        <f>Pav_Dados!G1</f>
        <v>Avenida Alentino Souza Oliveira - LD</v>
      </c>
      <c r="H1" s="212" t="str">
        <f>Pav_Dados!H1</f>
        <v>Avenida Alentino Souza Oliveira - LE</v>
      </c>
      <c r="I1" s="212" t="str">
        <f>Pav_Dados!I1</f>
        <v>Avenida Aureliano Moura Brandão - LD</v>
      </c>
      <c r="J1" s="212" t="str">
        <f>Pav_Dados!J1</f>
        <v>Avenida Aureliano Moura Brandão - LE</v>
      </c>
      <c r="K1" s="212" t="str">
        <f>Pav_Dados!K1</f>
        <v>Rua Deoclides Batista Ramos</v>
      </c>
      <c r="L1" s="212" t="str">
        <f>Pav_Dados!L1</f>
        <v>Rua Elder Oliveira de Paula</v>
      </c>
      <c r="M1" s="212" t="str">
        <f>Pav_Dados!M1</f>
        <v>Rua Elder Oliveira de Paula - 01</v>
      </c>
      <c r="N1" s="212" t="str">
        <f>Pav_Dados!N1</f>
        <v>Rua Joaquim Lino Vieira</v>
      </c>
      <c r="O1" s="212" t="str">
        <f>Pav_Dados!O1</f>
        <v>Rua Joaquim Lino Vieira - 01</v>
      </c>
      <c r="P1" s="212" t="str">
        <f>Pav_Dados!P1</f>
        <v>Rua Maria Áurea Dal Bello Cazatti</v>
      </c>
      <c r="Q1" s="212" t="str">
        <f>Pav_Dados!Q1</f>
        <v>Rua Rafael Silva dos Reis</v>
      </c>
      <c r="R1" s="212" t="str">
        <f>Pav_Dados!R1</f>
        <v>Rua Ribeirão Dourado</v>
      </c>
      <c r="S1" s="212" t="str">
        <f>Pav_Dados!S1</f>
        <v>Rua Ribeirão Serrote</v>
      </c>
      <c r="T1" s="212" t="str">
        <f>Pav_Dados!T1</f>
        <v>Rua Ribeiro Mantena</v>
      </c>
      <c r="U1" s="212" t="str">
        <f>Pav_Dados!U1</f>
        <v>Rua Rio Botas</v>
      </c>
      <c r="V1" s="212" t="str">
        <f>Pav_Dados!V1</f>
        <v>Rua Rio Paraná</v>
      </c>
      <c r="W1" s="212" t="str">
        <f>Pav_Dados!W1</f>
        <v>Rua Rio Verde</v>
      </c>
      <c r="X1" s="212" t="str">
        <f>Pav_Dados!X1</f>
        <v>Rua Sônia Aparecida Silva dos Reis</v>
      </c>
      <c r="Y1" s="212"/>
      <c r="Z1" s="217" t="s">
        <v>0</v>
      </c>
      <c r="AA1" s="578" t="s">
        <v>1359</v>
      </c>
    </row>
    <row r="2" spans="1:27" ht="21.95" customHeight="1" thickTop="1" thickBot="1" x14ac:dyDescent="0.2">
      <c r="A2" s="2596"/>
      <c r="B2" s="2794" t="s">
        <v>44</v>
      </c>
      <c r="C2" s="2795"/>
      <c r="D2" s="2796"/>
      <c r="E2" s="2354"/>
      <c r="F2" s="1381"/>
      <c r="G2" s="1131">
        <f>Pav_Dados!G2</f>
        <v>550.02</v>
      </c>
      <c r="H2" s="1131">
        <f>Pav_Dados!H2</f>
        <v>549.91999999999996</v>
      </c>
      <c r="I2" s="1131">
        <f>Pav_Dados!I2</f>
        <v>304.02</v>
      </c>
      <c r="J2" s="1131">
        <f>Pav_Dados!J2</f>
        <v>304.27</v>
      </c>
      <c r="K2" s="1131">
        <f>Pav_Dados!K2</f>
        <v>260.7</v>
      </c>
      <c r="L2" s="1131">
        <f>Pav_Dados!L2</f>
        <v>162.53</v>
      </c>
      <c r="M2" s="1131">
        <f>Pav_Dados!M2</f>
        <v>23.58</v>
      </c>
      <c r="N2" s="1131">
        <f>Pav_Dados!N2</f>
        <v>263.7</v>
      </c>
      <c r="O2" s="1131">
        <f>Pav_Dados!O2</f>
        <v>474.38</v>
      </c>
      <c r="P2" s="1131">
        <f>Pav_Dados!P2</f>
        <v>263.28999999999996</v>
      </c>
      <c r="Q2" s="1131">
        <f>Pav_Dados!Q2</f>
        <v>302.41999999999996</v>
      </c>
      <c r="R2" s="1131">
        <f>Pav_Dados!R2</f>
        <v>652.08999999999992</v>
      </c>
      <c r="S2" s="1131">
        <f>Pav_Dados!S2</f>
        <v>654.04999999999995</v>
      </c>
      <c r="T2" s="1131">
        <f>Pav_Dados!T2</f>
        <v>622.59</v>
      </c>
      <c r="U2" s="1131">
        <f>Pav_Dados!U2</f>
        <v>674.8</v>
      </c>
      <c r="V2" s="1131">
        <f>Pav_Dados!V2</f>
        <v>659.43</v>
      </c>
      <c r="W2" s="1131">
        <f>Pav_Dados!W2</f>
        <v>276.54000000000002</v>
      </c>
      <c r="X2" s="1131">
        <f>Pav_Dados!X2</f>
        <v>432.77</v>
      </c>
      <c r="Y2" s="1131"/>
      <c r="Z2" s="2355">
        <f>+ROUND(SUM(G2:Y2),2)</f>
        <v>7431.1</v>
      </c>
      <c r="AA2" s="579">
        <f>SUM(G2:Z2)</f>
        <v>14862.2</v>
      </c>
    </row>
    <row r="3" spans="1:27" ht="21.95" hidden="1" customHeight="1" x14ac:dyDescent="0.15">
      <c r="A3" s="2596"/>
      <c r="B3" s="2599" t="s">
        <v>163</v>
      </c>
      <c r="C3" s="2759"/>
      <c r="D3" s="544" t="s">
        <v>161</v>
      </c>
      <c r="F3" s="1345"/>
      <c r="G3" s="1139">
        <f>Pav_Dados!G3</f>
        <v>0</v>
      </c>
      <c r="H3" s="1139">
        <f>Pav_Dados!H3</f>
        <v>0</v>
      </c>
      <c r="I3" s="1139">
        <f>Pav_Dados!I3</f>
        <v>0</v>
      </c>
      <c r="J3" s="1139">
        <f>Pav_Dados!J3</f>
        <v>0</v>
      </c>
      <c r="K3" s="1139">
        <f>Pav_Dados!K3</f>
        <v>0</v>
      </c>
      <c r="L3" s="1139">
        <f>Pav_Dados!L3</f>
        <v>0</v>
      </c>
      <c r="M3" s="1139">
        <f>Pav_Dados!M3</f>
        <v>0</v>
      </c>
      <c r="N3" s="1139">
        <f>Pav_Dados!N3</f>
        <v>0</v>
      </c>
      <c r="O3" s="1139">
        <f>Pav_Dados!O3</f>
        <v>0</v>
      </c>
      <c r="P3" s="1139">
        <f>Pav_Dados!P3</f>
        <v>0</v>
      </c>
      <c r="Q3" s="1139">
        <f>Pav_Dados!Q3</f>
        <v>0</v>
      </c>
      <c r="R3" s="1139">
        <f>Pav_Dados!R3</f>
        <v>0</v>
      </c>
      <c r="S3" s="1139">
        <f>Pav_Dados!S3</f>
        <v>0</v>
      </c>
      <c r="T3" s="1139">
        <f>Pav_Dados!T3</f>
        <v>0</v>
      </c>
      <c r="U3" s="1139">
        <f>Pav_Dados!U3</f>
        <v>0</v>
      </c>
      <c r="V3" s="1139">
        <f>Pav_Dados!V3</f>
        <v>0</v>
      </c>
      <c r="W3" s="1139">
        <f>Pav_Dados!W3</f>
        <v>0</v>
      </c>
      <c r="X3" s="1139">
        <f>Pav_Dados!X3</f>
        <v>0</v>
      </c>
      <c r="Y3" s="1139"/>
      <c r="Z3" s="1212">
        <f>+COUNTA(G3:Y3)</f>
        <v>18</v>
      </c>
      <c r="AA3" s="1017"/>
    </row>
    <row r="4" spans="1:27" ht="21.95" hidden="1" customHeight="1" thickBot="1" x14ac:dyDescent="0.2">
      <c r="A4" s="2596"/>
      <c r="B4" s="2599"/>
      <c r="C4" s="2759"/>
      <c r="D4" s="558" t="s">
        <v>162</v>
      </c>
      <c r="F4" s="1345"/>
      <c r="G4" s="1139">
        <f>Pav_Dados!G4</f>
        <v>0</v>
      </c>
      <c r="H4" s="1139">
        <f>Pav_Dados!H4</f>
        <v>0</v>
      </c>
      <c r="I4" s="1139">
        <f>Pav_Dados!I4</f>
        <v>0</v>
      </c>
      <c r="J4" s="1139">
        <f>Pav_Dados!J4</f>
        <v>0</v>
      </c>
      <c r="K4" s="1139">
        <f>Pav_Dados!K4</f>
        <v>0</v>
      </c>
      <c r="L4" s="1139">
        <f>Pav_Dados!L4</f>
        <v>0</v>
      </c>
      <c r="M4" s="1139">
        <f>Pav_Dados!M4</f>
        <v>0</v>
      </c>
      <c r="N4" s="1139">
        <f>Pav_Dados!N4</f>
        <v>0</v>
      </c>
      <c r="O4" s="1139">
        <f>Pav_Dados!O4</f>
        <v>0</v>
      </c>
      <c r="P4" s="1139">
        <f>Pav_Dados!P4</f>
        <v>0</v>
      </c>
      <c r="Q4" s="1139">
        <f>Pav_Dados!Q4</f>
        <v>0</v>
      </c>
      <c r="R4" s="1139">
        <f>Pav_Dados!R4</f>
        <v>0</v>
      </c>
      <c r="S4" s="1139">
        <f>Pav_Dados!S4</f>
        <v>0</v>
      </c>
      <c r="T4" s="1139">
        <f>Pav_Dados!T4</f>
        <v>0</v>
      </c>
      <c r="U4" s="1139">
        <f>Pav_Dados!U4</f>
        <v>0</v>
      </c>
      <c r="V4" s="1139">
        <f>Pav_Dados!V4</f>
        <v>0</v>
      </c>
      <c r="W4" s="1139">
        <f>Pav_Dados!W4</f>
        <v>0</v>
      </c>
      <c r="X4" s="1139">
        <f>Pav_Dados!X4</f>
        <v>0</v>
      </c>
      <c r="Y4" s="1139"/>
      <c r="Z4" s="1212">
        <f>+COUNTA(G4:Y4)</f>
        <v>18</v>
      </c>
      <c r="AA4" s="1017"/>
    </row>
    <row r="5" spans="1:27" s="9" customFormat="1" ht="32.1" hidden="1" customHeight="1" thickBot="1" x14ac:dyDescent="0.2">
      <c r="A5" s="2596"/>
      <c r="B5" s="2797" t="s">
        <v>2742</v>
      </c>
      <c r="C5" s="2798"/>
      <c r="D5" s="2799"/>
      <c r="E5" s="2352"/>
      <c r="F5" s="553"/>
      <c r="G5" s="243" t="str">
        <f>Pav_Dados!G5</f>
        <v>DUPLA</v>
      </c>
      <c r="H5" s="243" t="str">
        <f>Pav_Dados!H5</f>
        <v>SIMPLES</v>
      </c>
      <c r="I5" s="243" t="str">
        <f>Pav_Dados!I5</f>
        <v>SIMPLES</v>
      </c>
      <c r="J5" s="243" t="str">
        <f>Pav_Dados!J5</f>
        <v>SIMPLES</v>
      </c>
      <c r="K5" s="243" t="str">
        <f>Pav_Dados!K5</f>
        <v>DUPLA</v>
      </c>
      <c r="L5" s="243" t="str">
        <f>Pav_Dados!L5</f>
        <v>DUPLA</v>
      </c>
      <c r="M5" s="243" t="str">
        <f>Pav_Dados!M5</f>
        <v>DUPLA</v>
      </c>
      <c r="N5" s="243" t="str">
        <f>Pav_Dados!N5</f>
        <v>DUPLA</v>
      </c>
      <c r="O5" s="243" t="str">
        <f>Pav_Dados!O5</f>
        <v>DUPLA</v>
      </c>
      <c r="P5" s="243" t="str">
        <f>Pav_Dados!P5</f>
        <v>DUPLA</v>
      </c>
      <c r="Q5" s="243" t="str">
        <f>Pav_Dados!Q5</f>
        <v>DUPLA</v>
      </c>
      <c r="R5" s="243" t="str">
        <f>Pav_Dados!R5</f>
        <v>DUPLA</v>
      </c>
      <c r="S5" s="243" t="str">
        <f>Pav_Dados!S5</f>
        <v>DUPLA</v>
      </c>
      <c r="T5" s="243" t="str">
        <f>Pav_Dados!T5</f>
        <v>DUPLA</v>
      </c>
      <c r="U5" s="243" t="str">
        <f>Pav_Dados!U5</f>
        <v>DUPLA</v>
      </c>
      <c r="V5" s="243" t="str">
        <f>Pav_Dados!V5</f>
        <v>DUPLA</v>
      </c>
      <c r="W5" s="243" t="str">
        <f>Pav_Dados!W5</f>
        <v>DUPLA</v>
      </c>
      <c r="X5" s="243" t="str">
        <f>Pav_Dados!X5</f>
        <v>DUPLA</v>
      </c>
      <c r="Y5" s="243"/>
      <c r="Z5" s="2353">
        <f>+COUNTA(G5:Y5)</f>
        <v>18</v>
      </c>
      <c r="AA5" s="1017"/>
    </row>
    <row r="6" spans="1:27" ht="21.95" customHeight="1" thickBot="1" x14ac:dyDescent="0.2">
      <c r="A6" s="2596"/>
      <c r="B6" s="2599" t="s">
        <v>1487</v>
      </c>
      <c r="C6" s="2759"/>
      <c r="D6" s="544" t="s">
        <v>1486</v>
      </c>
      <c r="F6" s="1345"/>
      <c r="G6" s="8">
        <f>Pav_Dados!G6</f>
        <v>9</v>
      </c>
      <c r="H6" s="8">
        <f>Pav_Dados!H6</f>
        <v>9</v>
      </c>
      <c r="I6" s="8">
        <f>Pav_Dados!I6</f>
        <v>8.5</v>
      </c>
      <c r="J6" s="8">
        <f>Pav_Dados!J6</f>
        <v>8.5</v>
      </c>
      <c r="K6" s="8">
        <f>Pav_Dados!K6</f>
        <v>7</v>
      </c>
      <c r="L6" s="8">
        <f>Pav_Dados!L6</f>
        <v>9</v>
      </c>
      <c r="M6" s="8">
        <f>Pav_Dados!M6</f>
        <v>7</v>
      </c>
      <c r="N6" s="8">
        <f>Pav_Dados!N6</f>
        <v>7</v>
      </c>
      <c r="O6" s="8">
        <f>Pav_Dados!O6</f>
        <v>7</v>
      </c>
      <c r="P6" s="8">
        <f>Pav_Dados!P6</f>
        <v>7</v>
      </c>
      <c r="Q6" s="8">
        <f>Pav_Dados!Q6</f>
        <v>7</v>
      </c>
      <c r="R6" s="8">
        <f>Pav_Dados!R6</f>
        <v>7</v>
      </c>
      <c r="S6" s="8">
        <f>Pav_Dados!S6</f>
        <v>7</v>
      </c>
      <c r="T6" s="8">
        <f>Pav_Dados!T6</f>
        <v>7</v>
      </c>
      <c r="U6" s="8">
        <f>Pav_Dados!U6</f>
        <v>7</v>
      </c>
      <c r="V6" s="8">
        <f>Pav_Dados!V6</f>
        <v>7</v>
      </c>
      <c r="W6" s="8">
        <f>Pav_Dados!W6</f>
        <v>7</v>
      </c>
      <c r="X6" s="8">
        <f>Pav_Dados!X6</f>
        <v>7</v>
      </c>
      <c r="Y6" s="8"/>
      <c r="Z6" s="1212"/>
      <c r="AA6" s="579">
        <f t="shared" ref="AA6:AA14" si="0">SUM(G6:Z6)</f>
        <v>135</v>
      </c>
    </row>
    <row r="7" spans="1:27" ht="21.95" hidden="1" customHeight="1" thickBot="1" x14ac:dyDescent="0.2">
      <c r="A7" s="2596"/>
      <c r="B7" s="2811"/>
      <c r="C7" s="2758"/>
      <c r="D7" s="546" t="s">
        <v>1485</v>
      </c>
      <c r="E7" s="1377"/>
      <c r="F7" s="1270"/>
      <c r="G7" s="215">
        <f>Pav_Dados!G7</f>
        <v>0</v>
      </c>
      <c r="H7" s="215">
        <f>Pav_Dados!H7</f>
        <v>0</v>
      </c>
      <c r="I7" s="215">
        <f>Pav_Dados!I7</f>
        <v>0</v>
      </c>
      <c r="J7" s="215">
        <f>Pav_Dados!J7</f>
        <v>0</v>
      </c>
      <c r="K7" s="215">
        <f>Pav_Dados!K7</f>
        <v>0</v>
      </c>
      <c r="L7" s="215">
        <f>Pav_Dados!L7</f>
        <v>0</v>
      </c>
      <c r="M7" s="215">
        <f>Pav_Dados!M7</f>
        <v>0</v>
      </c>
      <c r="N7" s="215">
        <f>Pav_Dados!N7</f>
        <v>0</v>
      </c>
      <c r="O7" s="215">
        <f>Pav_Dados!O7</f>
        <v>0</v>
      </c>
      <c r="P7" s="215">
        <f>Pav_Dados!P7</f>
        <v>0</v>
      </c>
      <c r="Q7" s="215">
        <f>Pav_Dados!Q7</f>
        <v>0</v>
      </c>
      <c r="R7" s="215">
        <f>Pav_Dados!R7</f>
        <v>0</v>
      </c>
      <c r="S7" s="215">
        <f>Pav_Dados!S7</f>
        <v>0</v>
      </c>
      <c r="T7" s="215">
        <f>Pav_Dados!T7</f>
        <v>0</v>
      </c>
      <c r="U7" s="215">
        <f>Pav_Dados!U7</f>
        <v>0</v>
      </c>
      <c r="V7" s="215">
        <f>Pav_Dados!V7</f>
        <v>0</v>
      </c>
      <c r="W7" s="215">
        <f>Pav_Dados!W7</f>
        <v>0</v>
      </c>
      <c r="X7" s="215">
        <f>Pav_Dados!X7</f>
        <v>0</v>
      </c>
      <c r="Y7" s="215"/>
      <c r="Z7" s="1275"/>
      <c r="AA7" s="579">
        <f t="shared" si="0"/>
        <v>0</v>
      </c>
    </row>
    <row r="8" spans="1:27" ht="21.95" customHeight="1" x14ac:dyDescent="0.15">
      <c r="A8" s="2596"/>
      <c r="B8" s="2923" t="s">
        <v>165</v>
      </c>
      <c r="C8" s="2840" t="s">
        <v>296</v>
      </c>
      <c r="D8" s="542" t="s">
        <v>1327</v>
      </c>
      <c r="E8" s="1380"/>
      <c r="F8" s="1344"/>
      <c r="G8" s="1137">
        <f>G2-Pav_Dados!G25</f>
        <v>550.02</v>
      </c>
      <c r="H8" s="1137">
        <f>H2-Pav_Dados!H25</f>
        <v>549.91999999999996</v>
      </c>
      <c r="I8" s="1137">
        <f>I2-Pav_Dados!I25</f>
        <v>304.02</v>
      </c>
      <c r="J8" s="1137">
        <f>J2-Pav_Dados!J25</f>
        <v>304.27</v>
      </c>
      <c r="K8" s="1137">
        <f>K2-Pav_Dados!K25</f>
        <v>260.7</v>
      </c>
      <c r="L8" s="1137">
        <f>L2-Pav_Dados!L25</f>
        <v>162.53</v>
      </c>
      <c r="M8" s="1137">
        <f>M2-Pav_Dados!M25</f>
        <v>23.58</v>
      </c>
      <c r="N8" s="1137">
        <f>N2-Pav_Dados!N25</f>
        <v>263.7</v>
      </c>
      <c r="O8" s="1137">
        <f>O2-Pav_Dados!O25</f>
        <v>474.38</v>
      </c>
      <c r="P8" s="1137">
        <f>P2-Pav_Dados!P25</f>
        <v>263.28999999999996</v>
      </c>
      <c r="Q8" s="1137">
        <f>Q2-Pav_Dados!Q25</f>
        <v>302.41999999999996</v>
      </c>
      <c r="R8" s="1137">
        <f>R2-Pav_Dados!R25</f>
        <v>652.08999999999992</v>
      </c>
      <c r="S8" s="1137">
        <f>S2-Pav_Dados!S25</f>
        <v>654.04999999999995</v>
      </c>
      <c r="T8" s="1137">
        <f>T2-Pav_Dados!T25</f>
        <v>622.59</v>
      </c>
      <c r="U8" s="1137">
        <f>U2-Pav_Dados!U25</f>
        <v>674.8</v>
      </c>
      <c r="V8" s="1137">
        <f>V2-Pav_Dados!V25</f>
        <v>659.43</v>
      </c>
      <c r="W8" s="1137">
        <f>W2-Pav_Dados!W25</f>
        <v>276.54000000000002</v>
      </c>
      <c r="X8" s="1137">
        <f>X2-Pav_Dados!X25</f>
        <v>432.77</v>
      </c>
      <c r="Y8" s="1137"/>
      <c r="Z8" s="1213">
        <f>+ROUND(SUM(G8:Y8),2)</f>
        <v>7431.1</v>
      </c>
      <c r="AA8" s="579">
        <f t="shared" si="0"/>
        <v>14862.2</v>
      </c>
    </row>
    <row r="9" spans="1:27" ht="21.95" customHeight="1" x14ac:dyDescent="0.15">
      <c r="A9" s="2596"/>
      <c r="B9" s="2924"/>
      <c r="C9" s="2841"/>
      <c r="D9" s="543" t="s">
        <v>164</v>
      </c>
      <c r="F9" s="1345"/>
      <c r="G9" s="1139">
        <f t="shared" ref="G9:X9" si="1">IF(G6=0,0,G6+IF(G5="dupla",2*0.52,0.52)+IF(G5="simples",0.22,0))</f>
        <v>10.039999999999999</v>
      </c>
      <c r="H9" s="1139">
        <f t="shared" si="1"/>
        <v>9.74</v>
      </c>
      <c r="I9" s="1139">
        <f t="shared" si="1"/>
        <v>9.24</v>
      </c>
      <c r="J9" s="1139">
        <f t="shared" si="1"/>
        <v>9.24</v>
      </c>
      <c r="K9" s="1139">
        <f t="shared" si="1"/>
        <v>8.0399999999999991</v>
      </c>
      <c r="L9" s="1139">
        <f t="shared" si="1"/>
        <v>10.039999999999999</v>
      </c>
      <c r="M9" s="1139">
        <f t="shared" si="1"/>
        <v>8.0399999999999991</v>
      </c>
      <c r="N9" s="1139">
        <f t="shared" si="1"/>
        <v>8.0399999999999991</v>
      </c>
      <c r="O9" s="1139">
        <f t="shared" si="1"/>
        <v>8.0399999999999991</v>
      </c>
      <c r="P9" s="1139">
        <f t="shared" si="1"/>
        <v>8.0399999999999991</v>
      </c>
      <c r="Q9" s="1139">
        <f t="shared" si="1"/>
        <v>8.0399999999999991</v>
      </c>
      <c r="R9" s="1139">
        <f t="shared" si="1"/>
        <v>8.0399999999999991</v>
      </c>
      <c r="S9" s="1139">
        <f t="shared" si="1"/>
        <v>8.0399999999999991</v>
      </c>
      <c r="T9" s="1139">
        <f t="shared" si="1"/>
        <v>8.0399999999999991</v>
      </c>
      <c r="U9" s="1139">
        <f t="shared" si="1"/>
        <v>8.0399999999999991</v>
      </c>
      <c r="V9" s="1139">
        <f t="shared" si="1"/>
        <v>8.0399999999999991</v>
      </c>
      <c r="W9" s="1139">
        <f t="shared" si="1"/>
        <v>8.0399999999999991</v>
      </c>
      <c r="X9" s="1139">
        <f t="shared" si="1"/>
        <v>8.0399999999999991</v>
      </c>
      <c r="Y9" s="1139"/>
      <c r="Z9" s="1214"/>
      <c r="AA9" s="579">
        <f t="shared" si="0"/>
        <v>152.81999999999991</v>
      </c>
    </row>
    <row r="10" spans="1:27" ht="21.95" customHeight="1" x14ac:dyDescent="0.15">
      <c r="A10" s="2596"/>
      <c r="B10" s="2924"/>
      <c r="C10" s="2841"/>
      <c r="D10" s="558" t="s">
        <v>1328</v>
      </c>
      <c r="F10" s="1345"/>
      <c r="G10" s="1139">
        <f>S_Complementares!I5*0.52+S_Complementares!I6*0.22+S_Complementares!I8*0.6</f>
        <v>543.42600000000004</v>
      </c>
      <c r="H10" s="1139">
        <f>S_Complementares!J5*0.52+S_Complementares!J6*0.22+S_Complementares!J8*0.6</f>
        <v>395.2410000000001</v>
      </c>
      <c r="I10" s="1139">
        <f>S_Complementares!K5*0.52+S_Complementares!K6*0.22+S_Complementares!K8*0.6</f>
        <v>200.11099999999999</v>
      </c>
      <c r="J10" s="1139">
        <f>S_Complementares!L5*0.52+S_Complementares!L6*0.22+S_Complementares!L8*0.6</f>
        <v>175.65380000000002</v>
      </c>
      <c r="K10" s="1139">
        <f>S_Complementares!M5*0.52+S_Complementares!M6*0.22+S_Complementares!M8*0.6</f>
        <v>277.13400000000001</v>
      </c>
      <c r="L10" s="1139">
        <f>S_Complementares!N5*0.52+S_Complementares!N6*0.22+S_Complementares!N8*0.6</f>
        <v>158.3192</v>
      </c>
      <c r="M10" s="1139">
        <f>S_Complementares!O5*0.52+S_Complementares!O6*0.22+S_Complementares!O8*0.6</f>
        <v>27.507999999999999</v>
      </c>
      <c r="N10" s="1139">
        <f>S_Complementares!P5*0.52+S_Complementares!P6*0.22+S_Complementares!P8*0.6</f>
        <v>279.88480000000004</v>
      </c>
      <c r="O10" s="1139">
        <f>S_Complementares!Q5*0.52+S_Complementares!Q6*0.22+S_Complementares!Q8*0.6</f>
        <v>499.48599999999999</v>
      </c>
      <c r="P10" s="1139">
        <f>S_Complementares!R5*0.52+S_Complementares!R6*0.22+S_Complementares!R8*0.6</f>
        <v>279.76</v>
      </c>
      <c r="Q10" s="1139">
        <f>S_Complementares!S5*0.52+S_Complementares!S6*0.22+S_Complementares!S8*0.6</f>
        <v>265.53800000000001</v>
      </c>
      <c r="R10" s="1139">
        <f>S_Complementares!T5*0.52+S_Complementares!T6*0.22+S_Complementares!T8*0.6</f>
        <v>685.62</v>
      </c>
      <c r="S10" s="1139">
        <f>S_Complementares!U5*0.52+S_Complementares!U6*0.22+S_Complementares!U8*0.6</f>
        <v>697.43439999999998</v>
      </c>
      <c r="T10" s="1139">
        <f>S_Complementares!V5*0.52+S_Complementares!V6*0.22+S_Complementares!V8*0.6</f>
        <v>655.16880000000003</v>
      </c>
      <c r="U10" s="1139">
        <f>S_Complementares!W5*0.52+S_Complementares!W6*0.22+S_Complementares!W8*0.6</f>
        <v>720.78760000000011</v>
      </c>
      <c r="V10" s="1139">
        <f>S_Complementares!X5*0.52+S_Complementares!X6*0.22+S_Complementares!X8*0.6</f>
        <v>701.83880000000011</v>
      </c>
      <c r="W10" s="1139">
        <f>S_Complementares!Y5*0.52+S_Complementares!Y6*0.22+S_Complementares!Y8*0.6</f>
        <v>265.61600000000004</v>
      </c>
      <c r="X10" s="1139">
        <f>S_Complementares!Z5*0.52+S_Complementares!Z6*0.22+S_Complementares!Z8*0.6</f>
        <v>347.53680000000003</v>
      </c>
      <c r="Y10" s="1139"/>
      <c r="Z10" s="1214"/>
      <c r="AA10" s="579">
        <f t="shared" si="0"/>
        <v>7176.0641999999998</v>
      </c>
    </row>
    <row r="11" spans="1:27" ht="21.95" customHeight="1" thickBot="1" x14ac:dyDescent="0.2">
      <c r="A11" s="2596"/>
      <c r="B11" s="2924"/>
      <c r="C11" s="2920"/>
      <c r="D11" s="546" t="s">
        <v>1335</v>
      </c>
      <c r="E11" s="1377"/>
      <c r="F11" s="1270"/>
      <c r="G11" s="1135">
        <f>G10+Pav_Dados!G76</f>
        <v>5629.9960000000001</v>
      </c>
      <c r="H11" s="1135">
        <f>H10+Pav_Dados!H76</f>
        <v>5433.201</v>
      </c>
      <c r="I11" s="1135">
        <f>I10+Pav_Dados!I76</f>
        <v>3044.3209999999999</v>
      </c>
      <c r="J11" s="1135">
        <f>J10+Pav_Dados!J76</f>
        <v>3021.9538000000002</v>
      </c>
      <c r="K11" s="1135">
        <f>K10+Pav_Dados!K76</f>
        <v>2123.9539999999997</v>
      </c>
      <c r="L11" s="1135">
        <f>L10+Pav_Dados!L76</f>
        <v>1631.8591999999999</v>
      </c>
      <c r="M11" s="1135">
        <f>M10+Pav_Dados!M76</f>
        <v>203.30800000000002</v>
      </c>
      <c r="N11" s="1135">
        <f>N10+Pav_Dados!N76</f>
        <v>2145.3047999999999</v>
      </c>
      <c r="O11" s="1135">
        <f>O10+Pav_Dados!O76</f>
        <v>3841.6559999999999</v>
      </c>
      <c r="P11" s="1135">
        <f>P10+Pav_Dados!P76</f>
        <v>2144.0299999999997</v>
      </c>
      <c r="Q11" s="1135">
        <f>Q10+Pav_Dados!Q76</f>
        <v>2434.3380000000002</v>
      </c>
      <c r="R11" s="1135">
        <f>R10+Pav_Dados!R76</f>
        <v>5297.0599999999995</v>
      </c>
      <c r="S11" s="1135">
        <f>S10+Pav_Dados!S76</f>
        <v>5330.0744000000004</v>
      </c>
      <c r="T11" s="1135">
        <f>T10+Pav_Dados!T76</f>
        <v>5036.9588000000003</v>
      </c>
      <c r="U11" s="1135">
        <f>U10+Pav_Dados!U76</f>
        <v>5509.1975999999995</v>
      </c>
      <c r="V11" s="1135">
        <f>V10+Pav_Dados!V76</f>
        <v>5371.5088000000005</v>
      </c>
      <c r="W11" s="1135">
        <f>W10+Pav_Dados!W76</f>
        <v>2218.3960000000002</v>
      </c>
      <c r="X11" s="1135">
        <f>X10+Pav_Dados!X76</f>
        <v>3387.6268</v>
      </c>
      <c r="Y11" s="1135"/>
      <c r="Z11" s="1215">
        <f>+ROUND(SUM(G11:Y11),2)</f>
        <v>63804.74</v>
      </c>
      <c r="AA11" s="579">
        <f t="shared" si="0"/>
        <v>127609.48419999999</v>
      </c>
    </row>
    <row r="12" spans="1:27" ht="21.95" hidden="1" customHeight="1" x14ac:dyDescent="0.15">
      <c r="A12" s="2596"/>
      <c r="B12" s="2924"/>
      <c r="C12" s="2757" t="s">
        <v>250</v>
      </c>
      <c r="D12" s="542" t="s">
        <v>3</v>
      </c>
      <c r="F12" s="1345"/>
      <c r="G12" s="1137">
        <f t="shared" ref="G12:X12" si="2">IF(G13=0,0,G2)</f>
        <v>0</v>
      </c>
      <c r="H12" s="1137">
        <f t="shared" si="2"/>
        <v>0</v>
      </c>
      <c r="I12" s="1137">
        <f t="shared" si="2"/>
        <v>0</v>
      </c>
      <c r="J12" s="1137">
        <f t="shared" si="2"/>
        <v>0</v>
      </c>
      <c r="K12" s="1137">
        <f t="shared" si="2"/>
        <v>0</v>
      </c>
      <c r="L12" s="1137">
        <f t="shared" si="2"/>
        <v>0</v>
      </c>
      <c r="M12" s="1137">
        <f t="shared" si="2"/>
        <v>0</v>
      </c>
      <c r="N12" s="1137">
        <f t="shared" si="2"/>
        <v>0</v>
      </c>
      <c r="O12" s="1137">
        <f t="shared" si="2"/>
        <v>0</v>
      </c>
      <c r="P12" s="1137">
        <f t="shared" si="2"/>
        <v>0</v>
      </c>
      <c r="Q12" s="1137">
        <f t="shared" si="2"/>
        <v>0</v>
      </c>
      <c r="R12" s="1137">
        <f t="shared" si="2"/>
        <v>0</v>
      </c>
      <c r="S12" s="1137">
        <f t="shared" si="2"/>
        <v>0</v>
      </c>
      <c r="T12" s="1137">
        <f t="shared" si="2"/>
        <v>0</v>
      </c>
      <c r="U12" s="1137">
        <f t="shared" si="2"/>
        <v>0</v>
      </c>
      <c r="V12" s="1137">
        <f t="shared" si="2"/>
        <v>0</v>
      </c>
      <c r="W12" s="1137">
        <f t="shared" si="2"/>
        <v>0</v>
      </c>
      <c r="X12" s="1137">
        <f t="shared" si="2"/>
        <v>0</v>
      </c>
      <c r="Y12" s="1137"/>
      <c r="Z12" s="1216"/>
      <c r="AA12" s="579">
        <f t="shared" si="0"/>
        <v>0</v>
      </c>
    </row>
    <row r="13" spans="1:27" ht="21.95" hidden="1" customHeight="1" x14ac:dyDescent="0.15">
      <c r="A13" s="2596"/>
      <c r="B13" s="2924"/>
      <c r="C13" s="2759"/>
      <c r="D13" s="543" t="s">
        <v>1280</v>
      </c>
      <c r="F13" s="1345"/>
      <c r="G13" s="1221">
        <f>Pav_Dados!G78</f>
        <v>0</v>
      </c>
      <c r="H13" s="1221">
        <f>Pav_Dados!H78</f>
        <v>0</v>
      </c>
      <c r="I13" s="1221">
        <f>Pav_Dados!I78</f>
        <v>0</v>
      </c>
      <c r="J13" s="1221">
        <f>Pav_Dados!J78</f>
        <v>0</v>
      </c>
      <c r="K13" s="1221">
        <f>Pav_Dados!K78</f>
        <v>0</v>
      </c>
      <c r="L13" s="1221">
        <f>Pav_Dados!L78</f>
        <v>0</v>
      </c>
      <c r="M13" s="1221">
        <f>Pav_Dados!M78</f>
        <v>0</v>
      </c>
      <c r="N13" s="1221">
        <f>Pav_Dados!N78</f>
        <v>0</v>
      </c>
      <c r="O13" s="1221">
        <f>Pav_Dados!O78</f>
        <v>0</v>
      </c>
      <c r="P13" s="1221">
        <f>Pav_Dados!P78</f>
        <v>0</v>
      </c>
      <c r="Q13" s="1221">
        <f>Pav_Dados!Q78</f>
        <v>0</v>
      </c>
      <c r="R13" s="1221">
        <f>Pav_Dados!R78</f>
        <v>0</v>
      </c>
      <c r="S13" s="1221">
        <f>Pav_Dados!S78</f>
        <v>0</v>
      </c>
      <c r="T13" s="1221">
        <f>Pav_Dados!T78</f>
        <v>0</v>
      </c>
      <c r="U13" s="1221">
        <f>Pav_Dados!U78</f>
        <v>0</v>
      </c>
      <c r="V13" s="1221">
        <f>Pav_Dados!V78</f>
        <v>0</v>
      </c>
      <c r="W13" s="1221">
        <f>Pav_Dados!W78</f>
        <v>0</v>
      </c>
      <c r="X13" s="1221">
        <f>Pav_Dados!X78</f>
        <v>0</v>
      </c>
      <c r="Y13" s="1221"/>
      <c r="Z13" s="1222"/>
      <c r="AA13" s="579">
        <f t="shared" si="0"/>
        <v>0</v>
      </c>
    </row>
    <row r="14" spans="1:27" ht="21.95" hidden="1" customHeight="1" x14ac:dyDescent="0.15">
      <c r="A14" s="2596"/>
      <c r="B14" s="2924"/>
      <c r="C14" s="2759"/>
      <c r="D14" s="543" t="s">
        <v>58</v>
      </c>
      <c r="F14" s="1345"/>
      <c r="G14" s="1139">
        <f t="shared" ref="G14:X14" si="3">IF(G13=0,0,G6+IF(G5="dupla",2*0.52,0.52)+IF(G5="simples",0.22,0))</f>
        <v>0</v>
      </c>
      <c r="H14" s="1139">
        <f t="shared" si="3"/>
        <v>0</v>
      </c>
      <c r="I14" s="1139">
        <f t="shared" si="3"/>
        <v>0</v>
      </c>
      <c r="J14" s="1139">
        <f t="shared" si="3"/>
        <v>0</v>
      </c>
      <c r="K14" s="1139">
        <f t="shared" si="3"/>
        <v>0</v>
      </c>
      <c r="L14" s="1139">
        <f t="shared" si="3"/>
        <v>0</v>
      </c>
      <c r="M14" s="1139">
        <f t="shared" si="3"/>
        <v>0</v>
      </c>
      <c r="N14" s="1139">
        <f t="shared" si="3"/>
        <v>0</v>
      </c>
      <c r="O14" s="1139">
        <f t="shared" si="3"/>
        <v>0</v>
      </c>
      <c r="P14" s="1139">
        <f t="shared" si="3"/>
        <v>0</v>
      </c>
      <c r="Q14" s="1139">
        <f t="shared" si="3"/>
        <v>0</v>
      </c>
      <c r="R14" s="1139">
        <f t="shared" si="3"/>
        <v>0</v>
      </c>
      <c r="S14" s="1139">
        <f t="shared" si="3"/>
        <v>0</v>
      </c>
      <c r="T14" s="1139">
        <f t="shared" si="3"/>
        <v>0</v>
      </c>
      <c r="U14" s="1139">
        <f t="shared" si="3"/>
        <v>0</v>
      </c>
      <c r="V14" s="1139">
        <f t="shared" si="3"/>
        <v>0</v>
      </c>
      <c r="W14" s="1139">
        <f t="shared" si="3"/>
        <v>0</v>
      </c>
      <c r="X14" s="1139">
        <f t="shared" si="3"/>
        <v>0</v>
      </c>
      <c r="Y14" s="1139"/>
      <c r="Z14" s="1214"/>
      <c r="AA14" s="579">
        <f t="shared" si="0"/>
        <v>0</v>
      </c>
    </row>
    <row r="15" spans="1:27" ht="21.95" hidden="1" customHeight="1" x14ac:dyDescent="0.15">
      <c r="A15" s="2596"/>
      <c r="B15" s="2924"/>
      <c r="C15" s="2759"/>
      <c r="D15" s="558" t="s">
        <v>1328</v>
      </c>
      <c r="F15" s="1345"/>
      <c r="G15" s="1139">
        <f>IF(G13=0,0,S_Complementares!I5*0.52+S_Complementares!I6*0.22+S_Complementares!I8*0.6)</f>
        <v>0</v>
      </c>
      <c r="H15" s="1139">
        <f>IF(H13=0,0,S_Complementares!J5*0.52+S_Complementares!J6*0.22+S_Complementares!J8*0.6)</f>
        <v>0</v>
      </c>
      <c r="I15" s="1139">
        <f>IF(I13=0,0,S_Complementares!K5*0.52+S_Complementares!K6*0.22+S_Complementares!K8*0.6)</f>
        <v>0</v>
      </c>
      <c r="J15" s="1139">
        <f>IF(J13=0,0,S_Complementares!L5*0.52+S_Complementares!L6*0.22+S_Complementares!L8*0.6)</f>
        <v>0</v>
      </c>
      <c r="K15" s="1139">
        <f>IF(K13=0,0,S_Complementares!M5*0.52+S_Complementares!M6*0.22+S_Complementares!M8*0.6)</f>
        <v>0</v>
      </c>
      <c r="L15" s="1139">
        <f>IF(L13=0,0,S_Complementares!N5*0.52+S_Complementares!N6*0.22+S_Complementares!N8*0.6)</f>
        <v>0</v>
      </c>
      <c r="M15" s="1139">
        <f>IF(M13=0,0,S_Complementares!O5*0.52+S_Complementares!O6*0.22+S_Complementares!O8*0.6)</f>
        <v>0</v>
      </c>
      <c r="N15" s="1139">
        <f>IF(N13=0,0,S_Complementares!P5*0.52+S_Complementares!P6*0.22+S_Complementares!P8*0.6)</f>
        <v>0</v>
      </c>
      <c r="O15" s="1139">
        <f>IF(O13=0,0,S_Complementares!Q5*0.52+S_Complementares!Q6*0.22+S_Complementares!Q8*0.6)</f>
        <v>0</v>
      </c>
      <c r="P15" s="1139">
        <f>IF(P13=0,0,S_Complementares!R5*0.52+S_Complementares!R6*0.22+S_Complementares!R8*0.6)</f>
        <v>0</v>
      </c>
      <c r="Q15" s="1139">
        <f>IF(Q13=0,0,S_Complementares!S5*0.52+S_Complementares!S6*0.22+S_Complementares!S8*0.6)</f>
        <v>0</v>
      </c>
      <c r="R15" s="1139">
        <f>IF(R13=0,0,S_Complementares!T5*0.52+S_Complementares!T6*0.22+S_Complementares!T8*0.6)</f>
        <v>0</v>
      </c>
      <c r="S15" s="1139">
        <f>IF(S13=0,0,S_Complementares!U5*0.52+S_Complementares!U6*0.22+S_Complementares!U8*0.6)</f>
        <v>0</v>
      </c>
      <c r="T15" s="1139">
        <f>IF(T13=0,0,S_Complementares!V5*0.52+S_Complementares!V6*0.22+S_Complementares!V8*0.6)</f>
        <v>0</v>
      </c>
      <c r="U15" s="1139">
        <f>IF(U13=0,0,S_Complementares!W5*0.52+S_Complementares!W6*0.22+S_Complementares!W8*0.6)</f>
        <v>0</v>
      </c>
      <c r="V15" s="1139">
        <f>IF(V13=0,0,S_Complementares!X5*0.52+S_Complementares!X6*0.22+S_Complementares!X8*0.6)</f>
        <v>0</v>
      </c>
      <c r="W15" s="1139">
        <f>IF(W13=0,0,S_Complementares!Y5*0.52+S_Complementares!Y6*0.22+S_Complementares!Y8*0.6)</f>
        <v>0</v>
      </c>
      <c r="X15" s="1139">
        <f>IF(X13=0,0,S_Complementares!Z5*0.52+S_Complementares!Z6*0.22+S_Complementares!Z8*0.6)</f>
        <v>0</v>
      </c>
      <c r="Y15" s="1139"/>
      <c r="Z15" s="1214"/>
      <c r="AA15" s="579"/>
    </row>
    <row r="16" spans="1:27" ht="21.95" hidden="1" customHeight="1" x14ac:dyDescent="0.15">
      <c r="A16" s="2596"/>
      <c r="B16" s="2924"/>
      <c r="C16" s="2759"/>
      <c r="D16" s="543" t="s">
        <v>1869</v>
      </c>
      <c r="F16" s="1345"/>
      <c r="G16" s="1139">
        <f>IF(G13=0,0,G15+Pav_Dados!G76)</f>
        <v>0</v>
      </c>
      <c r="H16" s="1139">
        <f>IF(H13=0,0,H15+Pav_Dados!H76)</f>
        <v>0</v>
      </c>
      <c r="I16" s="1139">
        <f>IF(I13=0,0,I15+Pav_Dados!I76)</f>
        <v>0</v>
      </c>
      <c r="J16" s="1139">
        <f>IF(J13=0,0,J15+Pav_Dados!J76)</f>
        <v>0</v>
      </c>
      <c r="K16" s="1139">
        <f>IF(K13=0,0,K15+Pav_Dados!K76)</f>
        <v>0</v>
      </c>
      <c r="L16" s="1139">
        <f>IF(L13=0,0,L15+Pav_Dados!L76)</f>
        <v>0</v>
      </c>
      <c r="M16" s="1139">
        <f>IF(M13=0,0,M15+Pav_Dados!M76)</f>
        <v>0</v>
      </c>
      <c r="N16" s="1139">
        <f>IF(N13=0,0,N15+Pav_Dados!N76)</f>
        <v>0</v>
      </c>
      <c r="O16" s="1139">
        <f>IF(O13=0,0,O15+Pav_Dados!O76)</f>
        <v>0</v>
      </c>
      <c r="P16" s="1139">
        <f>IF(P13=0,0,P15+Pav_Dados!P76)</f>
        <v>0</v>
      </c>
      <c r="Q16" s="1139">
        <f>IF(Q13=0,0,Q15+Pav_Dados!Q76)</f>
        <v>0</v>
      </c>
      <c r="R16" s="1139">
        <f>IF(R13=0,0,R15+Pav_Dados!R76)</f>
        <v>0</v>
      </c>
      <c r="S16" s="1139">
        <f>IF(S13=0,0,S15+Pav_Dados!S76)</f>
        <v>0</v>
      </c>
      <c r="T16" s="1139">
        <f>IF(T13=0,0,T15+Pav_Dados!T76)</f>
        <v>0</v>
      </c>
      <c r="U16" s="1139">
        <f>IF(U13=0,0,U15+Pav_Dados!U76)</f>
        <v>0</v>
      </c>
      <c r="V16" s="1139">
        <f>IF(V13=0,0,V15+Pav_Dados!V76)</f>
        <v>0</v>
      </c>
      <c r="W16" s="1139">
        <f>IF(W13=0,0,W15+Pav_Dados!W76)</f>
        <v>0</v>
      </c>
      <c r="X16" s="1139">
        <f>IF(X13=0,0,X15+Pav_Dados!X76)</f>
        <v>0</v>
      </c>
      <c r="Y16" s="1139"/>
      <c r="Z16" s="1217">
        <f>+ROUND(SUM(G16:Y16),2)</f>
        <v>0</v>
      </c>
      <c r="AA16" s="579">
        <f t="shared" ref="AA16:AA40" si="4">SUM(G16:Z16)</f>
        <v>0</v>
      </c>
    </row>
    <row r="17" spans="1:27" ht="21.95" hidden="1" customHeight="1" x14ac:dyDescent="0.15">
      <c r="A17" s="2596"/>
      <c r="B17" s="2924"/>
      <c r="C17" s="2759"/>
      <c r="D17" s="543" t="s">
        <v>300</v>
      </c>
      <c r="F17" s="1345"/>
      <c r="G17" s="1139">
        <f t="shared" ref="G17:X17" si="5">G16*G13/100</f>
        <v>0</v>
      </c>
      <c r="H17" s="1139">
        <f t="shared" si="5"/>
        <v>0</v>
      </c>
      <c r="I17" s="1139">
        <f t="shared" si="5"/>
        <v>0</v>
      </c>
      <c r="J17" s="1139">
        <f t="shared" si="5"/>
        <v>0</v>
      </c>
      <c r="K17" s="1139">
        <f t="shared" si="5"/>
        <v>0</v>
      </c>
      <c r="L17" s="1139">
        <f t="shared" si="5"/>
        <v>0</v>
      </c>
      <c r="M17" s="1139">
        <f t="shared" si="5"/>
        <v>0</v>
      </c>
      <c r="N17" s="1139">
        <f t="shared" si="5"/>
        <v>0</v>
      </c>
      <c r="O17" s="1139">
        <f t="shared" si="5"/>
        <v>0</v>
      </c>
      <c r="P17" s="1139">
        <f t="shared" si="5"/>
        <v>0</v>
      </c>
      <c r="Q17" s="1139">
        <f t="shared" si="5"/>
        <v>0</v>
      </c>
      <c r="R17" s="1139">
        <f t="shared" si="5"/>
        <v>0</v>
      </c>
      <c r="S17" s="1139">
        <f t="shared" si="5"/>
        <v>0</v>
      </c>
      <c r="T17" s="1139">
        <f t="shared" si="5"/>
        <v>0</v>
      </c>
      <c r="U17" s="1139">
        <f t="shared" si="5"/>
        <v>0</v>
      </c>
      <c r="V17" s="1139">
        <f t="shared" si="5"/>
        <v>0</v>
      </c>
      <c r="W17" s="1139">
        <f t="shared" si="5"/>
        <v>0</v>
      </c>
      <c r="X17" s="1139">
        <f t="shared" si="5"/>
        <v>0</v>
      </c>
      <c r="Y17" s="1139"/>
      <c r="Z17" s="1217">
        <f>+ROUND(SUM(G17:Y17),2)</f>
        <v>0</v>
      </c>
      <c r="AA17" s="579">
        <f t="shared" si="4"/>
        <v>0</v>
      </c>
    </row>
    <row r="18" spans="1:27" ht="21.95" hidden="1" customHeight="1" x14ac:dyDescent="0.15">
      <c r="A18" s="2596"/>
      <c r="B18" s="2924"/>
      <c r="C18" s="2759"/>
      <c r="D18" s="543" t="s">
        <v>1315</v>
      </c>
      <c r="F18" s="1345"/>
      <c r="G18" s="157">
        <f>Pav_Dados!G80</f>
        <v>0</v>
      </c>
      <c r="H18" s="157">
        <f>Pav_Dados!H80</f>
        <v>0</v>
      </c>
      <c r="I18" s="157">
        <f>Pav_Dados!I80</f>
        <v>0</v>
      </c>
      <c r="J18" s="157">
        <f>Pav_Dados!J80</f>
        <v>0</v>
      </c>
      <c r="K18" s="157">
        <f>Pav_Dados!K80</f>
        <v>0</v>
      </c>
      <c r="L18" s="157">
        <f>Pav_Dados!L80</f>
        <v>0</v>
      </c>
      <c r="M18" s="157">
        <f>Pav_Dados!M80</f>
        <v>0</v>
      </c>
      <c r="N18" s="157">
        <f>Pav_Dados!N80</f>
        <v>0</v>
      </c>
      <c r="O18" s="157">
        <f>Pav_Dados!O80</f>
        <v>0</v>
      </c>
      <c r="P18" s="157">
        <f>Pav_Dados!P80</f>
        <v>0</v>
      </c>
      <c r="Q18" s="157">
        <f>Pav_Dados!Q80</f>
        <v>0</v>
      </c>
      <c r="R18" s="157">
        <f>Pav_Dados!R80</f>
        <v>0</v>
      </c>
      <c r="S18" s="157">
        <f>Pav_Dados!S80</f>
        <v>0</v>
      </c>
      <c r="T18" s="157">
        <f>Pav_Dados!T80</f>
        <v>0</v>
      </c>
      <c r="U18" s="157">
        <f>Pav_Dados!U80</f>
        <v>0</v>
      </c>
      <c r="V18" s="157">
        <f>Pav_Dados!V80</f>
        <v>0</v>
      </c>
      <c r="W18" s="157">
        <f>Pav_Dados!W80</f>
        <v>0</v>
      </c>
      <c r="X18" s="157">
        <f>Pav_Dados!X80</f>
        <v>0</v>
      </c>
      <c r="Y18" s="157"/>
      <c r="Z18" s="1222"/>
      <c r="AA18" s="579">
        <f t="shared" si="4"/>
        <v>0</v>
      </c>
    </row>
    <row r="19" spans="1:27" ht="21.95" hidden="1" customHeight="1" x14ac:dyDescent="0.15">
      <c r="A19" s="2596"/>
      <c r="B19" s="2924"/>
      <c r="C19" s="2759"/>
      <c r="D19" s="558" t="s">
        <v>1303</v>
      </c>
      <c r="F19" s="1345"/>
      <c r="G19" s="157">
        <f>Pav_Dados!G81</f>
        <v>0</v>
      </c>
      <c r="H19" s="157">
        <f>Pav_Dados!H81</f>
        <v>0</v>
      </c>
      <c r="I19" s="157">
        <f>Pav_Dados!I81</f>
        <v>0</v>
      </c>
      <c r="J19" s="157">
        <f>Pav_Dados!J81</f>
        <v>0</v>
      </c>
      <c r="K19" s="157">
        <f>Pav_Dados!K81</f>
        <v>0</v>
      </c>
      <c r="L19" s="157">
        <f>Pav_Dados!L81</f>
        <v>0</v>
      </c>
      <c r="M19" s="157">
        <f>Pav_Dados!M81</f>
        <v>0</v>
      </c>
      <c r="N19" s="157">
        <f>Pav_Dados!N81</f>
        <v>0</v>
      </c>
      <c r="O19" s="157">
        <f>Pav_Dados!O81</f>
        <v>0</v>
      </c>
      <c r="P19" s="157">
        <f>Pav_Dados!P81</f>
        <v>0</v>
      </c>
      <c r="Q19" s="157">
        <f>Pav_Dados!Q81</f>
        <v>0</v>
      </c>
      <c r="R19" s="157">
        <f>Pav_Dados!R81</f>
        <v>0</v>
      </c>
      <c r="S19" s="157">
        <f>Pav_Dados!S81</f>
        <v>0</v>
      </c>
      <c r="T19" s="157">
        <f>Pav_Dados!T81</f>
        <v>0</v>
      </c>
      <c r="U19" s="157">
        <f>Pav_Dados!U81</f>
        <v>0</v>
      </c>
      <c r="V19" s="157">
        <f>Pav_Dados!V81</f>
        <v>0</v>
      </c>
      <c r="W19" s="157">
        <f>Pav_Dados!W81</f>
        <v>0</v>
      </c>
      <c r="X19" s="157">
        <f>Pav_Dados!X81</f>
        <v>0</v>
      </c>
      <c r="Y19" s="157"/>
      <c r="Z19" s="1222"/>
      <c r="AA19" s="579">
        <f t="shared" si="4"/>
        <v>0</v>
      </c>
    </row>
    <row r="20" spans="1:27" ht="21.95" hidden="1" customHeight="1" x14ac:dyDescent="0.15">
      <c r="A20" s="2596"/>
      <c r="B20" s="2924"/>
      <c r="C20" s="2759"/>
      <c r="D20" s="543" t="s">
        <v>1316</v>
      </c>
      <c r="F20" s="1345"/>
      <c r="G20" s="336">
        <f>Pav_Dados!G82</f>
        <v>0</v>
      </c>
      <c r="H20" s="336">
        <f>Pav_Dados!H82</f>
        <v>0</v>
      </c>
      <c r="I20" s="336">
        <f>Pav_Dados!I82</f>
        <v>0</v>
      </c>
      <c r="J20" s="336">
        <f>Pav_Dados!J82</f>
        <v>0</v>
      </c>
      <c r="K20" s="336">
        <f>Pav_Dados!K82</f>
        <v>0</v>
      </c>
      <c r="L20" s="336">
        <f>Pav_Dados!L82</f>
        <v>0</v>
      </c>
      <c r="M20" s="336">
        <f>Pav_Dados!M82</f>
        <v>0</v>
      </c>
      <c r="N20" s="336">
        <f>Pav_Dados!N82</f>
        <v>0</v>
      </c>
      <c r="O20" s="336">
        <f>Pav_Dados!O82</f>
        <v>0</v>
      </c>
      <c r="P20" s="336">
        <f>Pav_Dados!P82</f>
        <v>0</v>
      </c>
      <c r="Q20" s="336">
        <f>Pav_Dados!Q82</f>
        <v>0</v>
      </c>
      <c r="R20" s="336">
        <f>Pav_Dados!R82</f>
        <v>0</v>
      </c>
      <c r="S20" s="336">
        <f>Pav_Dados!S82</f>
        <v>0</v>
      </c>
      <c r="T20" s="336">
        <f>Pav_Dados!T82</f>
        <v>0</v>
      </c>
      <c r="U20" s="336">
        <f>Pav_Dados!U82</f>
        <v>0</v>
      </c>
      <c r="V20" s="336">
        <f>Pav_Dados!V82</f>
        <v>0</v>
      </c>
      <c r="W20" s="336">
        <f>Pav_Dados!W82</f>
        <v>0</v>
      </c>
      <c r="X20" s="336">
        <f>Pav_Dados!X82</f>
        <v>0</v>
      </c>
      <c r="Y20" s="336"/>
      <c r="Z20" s="2337"/>
      <c r="AA20" s="579">
        <f t="shared" si="4"/>
        <v>0</v>
      </c>
    </row>
    <row r="21" spans="1:27" ht="21.95" hidden="1" customHeight="1" x14ac:dyDescent="0.15">
      <c r="A21" s="2596"/>
      <c r="B21" s="2924"/>
      <c r="C21" s="2759"/>
      <c r="D21" s="543" t="s">
        <v>1317</v>
      </c>
      <c r="F21" s="1345"/>
      <c r="G21" s="157">
        <f>Pav_Dados!G83</f>
        <v>0</v>
      </c>
      <c r="H21" s="157">
        <f>Pav_Dados!H83</f>
        <v>0</v>
      </c>
      <c r="I21" s="157">
        <f>Pav_Dados!I83</f>
        <v>0</v>
      </c>
      <c r="J21" s="157">
        <f>Pav_Dados!J83</f>
        <v>0</v>
      </c>
      <c r="K21" s="157">
        <f>Pav_Dados!K83</f>
        <v>0</v>
      </c>
      <c r="L21" s="157">
        <f>Pav_Dados!L83</f>
        <v>0</v>
      </c>
      <c r="M21" s="157">
        <f>Pav_Dados!M83</f>
        <v>0</v>
      </c>
      <c r="N21" s="157">
        <f>Pav_Dados!N83</f>
        <v>0</v>
      </c>
      <c r="O21" s="157">
        <f>Pav_Dados!O83</f>
        <v>0</v>
      </c>
      <c r="P21" s="157">
        <f>Pav_Dados!P83</f>
        <v>0</v>
      </c>
      <c r="Q21" s="157">
        <f>Pav_Dados!Q83</f>
        <v>0</v>
      </c>
      <c r="R21" s="157">
        <f>Pav_Dados!R83</f>
        <v>0</v>
      </c>
      <c r="S21" s="157">
        <f>Pav_Dados!S83</f>
        <v>0</v>
      </c>
      <c r="T21" s="157">
        <f>Pav_Dados!T83</f>
        <v>0</v>
      </c>
      <c r="U21" s="157">
        <f>Pav_Dados!U83</f>
        <v>0</v>
      </c>
      <c r="V21" s="157">
        <f>Pav_Dados!V83</f>
        <v>0</v>
      </c>
      <c r="W21" s="157">
        <f>Pav_Dados!W83</f>
        <v>0</v>
      </c>
      <c r="X21" s="157">
        <f>Pav_Dados!X83</f>
        <v>0</v>
      </c>
      <c r="Y21" s="157"/>
      <c r="Z21" s="1222"/>
      <c r="AA21" s="579">
        <f t="shared" si="4"/>
        <v>0</v>
      </c>
    </row>
    <row r="22" spans="1:27" ht="21.95" hidden="1" customHeight="1" x14ac:dyDescent="0.15">
      <c r="A22" s="2596"/>
      <c r="B22" s="2924"/>
      <c r="C22" s="2759"/>
      <c r="D22" s="543" t="s">
        <v>1318</v>
      </c>
      <c r="F22" s="1345"/>
      <c r="G22" s="157">
        <f>Pav_Dados!G84</f>
        <v>0</v>
      </c>
      <c r="H22" s="157">
        <f>Pav_Dados!H84</f>
        <v>0</v>
      </c>
      <c r="I22" s="157">
        <f>Pav_Dados!I84</f>
        <v>0</v>
      </c>
      <c r="J22" s="157">
        <f>Pav_Dados!J84</f>
        <v>0</v>
      </c>
      <c r="K22" s="157">
        <f>Pav_Dados!K84</f>
        <v>0</v>
      </c>
      <c r="L22" s="157">
        <f>Pav_Dados!L84</f>
        <v>0</v>
      </c>
      <c r="M22" s="157">
        <f>Pav_Dados!M84</f>
        <v>0</v>
      </c>
      <c r="N22" s="157">
        <f>Pav_Dados!N84</f>
        <v>0</v>
      </c>
      <c r="O22" s="157">
        <f>Pav_Dados!O84</f>
        <v>0</v>
      </c>
      <c r="P22" s="157">
        <f>Pav_Dados!P84</f>
        <v>0</v>
      </c>
      <c r="Q22" s="157">
        <f>Pav_Dados!Q84</f>
        <v>0</v>
      </c>
      <c r="R22" s="157">
        <f>Pav_Dados!R84</f>
        <v>0</v>
      </c>
      <c r="S22" s="157">
        <f>Pav_Dados!S84</f>
        <v>0</v>
      </c>
      <c r="T22" s="157">
        <f>Pav_Dados!T84</f>
        <v>0</v>
      </c>
      <c r="U22" s="157">
        <f>Pav_Dados!U84</f>
        <v>0</v>
      </c>
      <c r="V22" s="157">
        <f>Pav_Dados!V84</f>
        <v>0</v>
      </c>
      <c r="W22" s="157">
        <f>Pav_Dados!W84</f>
        <v>0</v>
      </c>
      <c r="X22" s="157">
        <f>Pav_Dados!X84</f>
        <v>0</v>
      </c>
      <c r="Y22" s="157"/>
      <c r="Z22" s="1222"/>
      <c r="AA22" s="579">
        <f t="shared" si="4"/>
        <v>0</v>
      </c>
    </row>
    <row r="23" spans="1:27" ht="21.95" hidden="1" customHeight="1" x14ac:dyDescent="0.15">
      <c r="A23" s="2596"/>
      <c r="B23" s="2924"/>
      <c r="C23" s="2759"/>
      <c r="D23" s="543" t="s">
        <v>1422</v>
      </c>
      <c r="E23" s="1378"/>
      <c r="F23" s="1362"/>
      <c r="G23" s="337">
        <f>Pav_Dados!G79</f>
        <v>0</v>
      </c>
      <c r="H23" s="337">
        <f>Pav_Dados!H79</f>
        <v>0</v>
      </c>
      <c r="I23" s="337">
        <f>Pav_Dados!I79</f>
        <v>0</v>
      </c>
      <c r="J23" s="337">
        <f>Pav_Dados!J79</f>
        <v>0</v>
      </c>
      <c r="K23" s="337">
        <f>Pav_Dados!K79</f>
        <v>0</v>
      </c>
      <c r="L23" s="337">
        <f>Pav_Dados!L79</f>
        <v>0</v>
      </c>
      <c r="M23" s="337">
        <f>Pav_Dados!M79</f>
        <v>0</v>
      </c>
      <c r="N23" s="337">
        <f>Pav_Dados!N79</f>
        <v>0</v>
      </c>
      <c r="O23" s="337">
        <f>Pav_Dados!O79</f>
        <v>0</v>
      </c>
      <c r="P23" s="337">
        <f>Pav_Dados!P79</f>
        <v>0</v>
      </c>
      <c r="Q23" s="337">
        <f>Pav_Dados!Q79</f>
        <v>0</v>
      </c>
      <c r="R23" s="337">
        <f>Pav_Dados!R79</f>
        <v>0</v>
      </c>
      <c r="S23" s="337">
        <f>Pav_Dados!S79</f>
        <v>0</v>
      </c>
      <c r="T23" s="337">
        <f>Pav_Dados!T79</f>
        <v>0</v>
      </c>
      <c r="U23" s="337">
        <f>Pav_Dados!U79</f>
        <v>0</v>
      </c>
      <c r="V23" s="337">
        <f>Pav_Dados!V79</f>
        <v>0</v>
      </c>
      <c r="W23" s="337">
        <f>Pav_Dados!W79</f>
        <v>0</v>
      </c>
      <c r="X23" s="337">
        <f>Pav_Dados!X79</f>
        <v>0</v>
      </c>
      <c r="Y23" s="337"/>
      <c r="Z23" s="1583"/>
      <c r="AA23" s="579">
        <f t="shared" si="4"/>
        <v>0</v>
      </c>
    </row>
    <row r="24" spans="1:27" ht="21.95" hidden="1" customHeight="1" x14ac:dyDescent="0.15">
      <c r="A24" s="2596"/>
      <c r="B24" s="2924"/>
      <c r="C24" s="2759"/>
      <c r="D24" s="544" t="s">
        <v>1807</v>
      </c>
      <c r="F24" s="1345"/>
      <c r="G24" s="1139">
        <f t="shared" ref="G24:X24" si="6">IF(G23=2%,G17,0)</f>
        <v>0</v>
      </c>
      <c r="H24" s="1139">
        <f t="shared" si="6"/>
        <v>0</v>
      </c>
      <c r="I24" s="1139">
        <f t="shared" si="6"/>
        <v>0</v>
      </c>
      <c r="J24" s="1139">
        <f t="shared" si="6"/>
        <v>0</v>
      </c>
      <c r="K24" s="1139">
        <f t="shared" si="6"/>
        <v>0</v>
      </c>
      <c r="L24" s="1139">
        <f t="shared" si="6"/>
        <v>0</v>
      </c>
      <c r="M24" s="1139">
        <f t="shared" si="6"/>
        <v>0</v>
      </c>
      <c r="N24" s="1139">
        <f t="shared" si="6"/>
        <v>0</v>
      </c>
      <c r="O24" s="1139">
        <f t="shared" si="6"/>
        <v>0</v>
      </c>
      <c r="P24" s="1139">
        <f t="shared" si="6"/>
        <v>0</v>
      </c>
      <c r="Q24" s="1139">
        <f t="shared" si="6"/>
        <v>0</v>
      </c>
      <c r="R24" s="1139">
        <f t="shared" si="6"/>
        <v>0</v>
      </c>
      <c r="S24" s="1139">
        <f t="shared" si="6"/>
        <v>0</v>
      </c>
      <c r="T24" s="1139">
        <f t="shared" si="6"/>
        <v>0</v>
      </c>
      <c r="U24" s="1139">
        <f t="shared" si="6"/>
        <v>0</v>
      </c>
      <c r="V24" s="1139">
        <f t="shared" si="6"/>
        <v>0</v>
      </c>
      <c r="W24" s="1139">
        <f t="shared" si="6"/>
        <v>0</v>
      </c>
      <c r="X24" s="1139">
        <f t="shared" si="6"/>
        <v>0</v>
      </c>
      <c r="Y24" s="1139"/>
      <c r="Z24" s="1218">
        <f t="shared" ref="Z24:Z37" si="7">+ROUND(SUM(G24:Y24),2)</f>
        <v>0</v>
      </c>
      <c r="AA24" s="579">
        <f t="shared" si="4"/>
        <v>0</v>
      </c>
    </row>
    <row r="25" spans="1:27" ht="21.95" hidden="1" customHeight="1" x14ac:dyDescent="0.15">
      <c r="A25" s="2596"/>
      <c r="B25" s="2924"/>
      <c r="C25" s="2759"/>
      <c r="D25" s="543" t="s">
        <v>1808</v>
      </c>
      <c r="F25" s="1345"/>
      <c r="G25" s="1139">
        <f t="shared" ref="G25:X25" si="8">IF(G23=4%,G17,0)</f>
        <v>0</v>
      </c>
      <c r="H25" s="1139">
        <f t="shared" si="8"/>
        <v>0</v>
      </c>
      <c r="I25" s="1139">
        <f t="shared" si="8"/>
        <v>0</v>
      </c>
      <c r="J25" s="1139">
        <f t="shared" si="8"/>
        <v>0</v>
      </c>
      <c r="K25" s="1139">
        <f t="shared" si="8"/>
        <v>0</v>
      </c>
      <c r="L25" s="1139">
        <f t="shared" si="8"/>
        <v>0</v>
      </c>
      <c r="M25" s="1139">
        <f t="shared" si="8"/>
        <v>0</v>
      </c>
      <c r="N25" s="1139">
        <f t="shared" si="8"/>
        <v>0</v>
      </c>
      <c r="O25" s="1139">
        <f t="shared" si="8"/>
        <v>0</v>
      </c>
      <c r="P25" s="1139">
        <f t="shared" si="8"/>
        <v>0</v>
      </c>
      <c r="Q25" s="1139">
        <f t="shared" si="8"/>
        <v>0</v>
      </c>
      <c r="R25" s="1139">
        <f t="shared" si="8"/>
        <v>0</v>
      </c>
      <c r="S25" s="1139">
        <f t="shared" si="8"/>
        <v>0</v>
      </c>
      <c r="T25" s="1139">
        <f t="shared" si="8"/>
        <v>0</v>
      </c>
      <c r="U25" s="1139">
        <f t="shared" si="8"/>
        <v>0</v>
      </c>
      <c r="V25" s="1139">
        <f t="shared" si="8"/>
        <v>0</v>
      </c>
      <c r="W25" s="1139">
        <f t="shared" si="8"/>
        <v>0</v>
      </c>
      <c r="X25" s="1139">
        <f t="shared" si="8"/>
        <v>0</v>
      </c>
      <c r="Y25" s="1139"/>
      <c r="Z25" s="1218">
        <f t="shared" si="7"/>
        <v>0</v>
      </c>
      <c r="AA25" s="579">
        <f t="shared" si="4"/>
        <v>0</v>
      </c>
    </row>
    <row r="26" spans="1:27" ht="21.95" hidden="1" customHeight="1" x14ac:dyDescent="0.15">
      <c r="A26" s="2596"/>
      <c r="B26" s="2924"/>
      <c r="C26" s="2759"/>
      <c r="D26" s="543" t="s">
        <v>1809</v>
      </c>
      <c r="F26" s="1345"/>
      <c r="G26" s="1139">
        <f t="shared" ref="G26:X26" si="9">IF(G23=6%,G17,0)</f>
        <v>0</v>
      </c>
      <c r="H26" s="1139">
        <f t="shared" si="9"/>
        <v>0</v>
      </c>
      <c r="I26" s="1139">
        <f t="shared" si="9"/>
        <v>0</v>
      </c>
      <c r="J26" s="1139">
        <f t="shared" si="9"/>
        <v>0</v>
      </c>
      <c r="K26" s="1139">
        <f t="shared" si="9"/>
        <v>0</v>
      </c>
      <c r="L26" s="1139">
        <f t="shared" si="9"/>
        <v>0</v>
      </c>
      <c r="M26" s="1139">
        <f t="shared" si="9"/>
        <v>0</v>
      </c>
      <c r="N26" s="1139">
        <f t="shared" si="9"/>
        <v>0</v>
      </c>
      <c r="O26" s="1139">
        <f t="shared" si="9"/>
        <v>0</v>
      </c>
      <c r="P26" s="1139">
        <f t="shared" si="9"/>
        <v>0</v>
      </c>
      <c r="Q26" s="1139">
        <f t="shared" si="9"/>
        <v>0</v>
      </c>
      <c r="R26" s="1139">
        <f t="shared" si="9"/>
        <v>0</v>
      </c>
      <c r="S26" s="1139">
        <f t="shared" si="9"/>
        <v>0</v>
      </c>
      <c r="T26" s="1139">
        <f t="shared" si="9"/>
        <v>0</v>
      </c>
      <c r="U26" s="1139">
        <f t="shared" si="9"/>
        <v>0</v>
      </c>
      <c r="V26" s="1139">
        <f t="shared" si="9"/>
        <v>0</v>
      </c>
      <c r="W26" s="1139">
        <f t="shared" si="9"/>
        <v>0</v>
      </c>
      <c r="X26" s="1139">
        <f t="shared" si="9"/>
        <v>0</v>
      </c>
      <c r="Y26" s="1139"/>
      <c r="Z26" s="1218">
        <f t="shared" si="7"/>
        <v>0</v>
      </c>
      <c r="AA26" s="579">
        <f t="shared" si="4"/>
        <v>0</v>
      </c>
    </row>
    <row r="27" spans="1:27" ht="21.95" hidden="1" customHeight="1" x14ac:dyDescent="0.15">
      <c r="A27" s="2596"/>
      <c r="B27" s="2924"/>
      <c r="C27" s="2759"/>
      <c r="D27" s="543" t="s">
        <v>1811</v>
      </c>
      <c r="F27" s="1345"/>
      <c r="G27" s="1139">
        <f t="shared" ref="G27:X27" si="10">IF(G23=8%,G17,0)</f>
        <v>0</v>
      </c>
      <c r="H27" s="1139">
        <f t="shared" si="10"/>
        <v>0</v>
      </c>
      <c r="I27" s="1139">
        <f t="shared" si="10"/>
        <v>0</v>
      </c>
      <c r="J27" s="1139">
        <f t="shared" si="10"/>
        <v>0</v>
      </c>
      <c r="K27" s="1139">
        <f t="shared" si="10"/>
        <v>0</v>
      </c>
      <c r="L27" s="1139">
        <f t="shared" si="10"/>
        <v>0</v>
      </c>
      <c r="M27" s="1139">
        <f t="shared" si="10"/>
        <v>0</v>
      </c>
      <c r="N27" s="1139">
        <f t="shared" si="10"/>
        <v>0</v>
      </c>
      <c r="O27" s="1139">
        <f t="shared" si="10"/>
        <v>0</v>
      </c>
      <c r="P27" s="1139">
        <f t="shared" si="10"/>
        <v>0</v>
      </c>
      <c r="Q27" s="1139">
        <f t="shared" si="10"/>
        <v>0</v>
      </c>
      <c r="R27" s="1139">
        <f t="shared" si="10"/>
        <v>0</v>
      </c>
      <c r="S27" s="1139">
        <f t="shared" si="10"/>
        <v>0</v>
      </c>
      <c r="T27" s="1139">
        <f t="shared" si="10"/>
        <v>0</v>
      </c>
      <c r="U27" s="1139">
        <f t="shared" si="10"/>
        <v>0</v>
      </c>
      <c r="V27" s="1139">
        <f t="shared" si="10"/>
        <v>0</v>
      </c>
      <c r="W27" s="1139">
        <f t="shared" si="10"/>
        <v>0</v>
      </c>
      <c r="X27" s="1139">
        <f t="shared" si="10"/>
        <v>0</v>
      </c>
      <c r="Y27" s="1139"/>
      <c r="Z27" s="1218">
        <f t="shared" si="7"/>
        <v>0</v>
      </c>
      <c r="AA27" s="579">
        <f t="shared" si="4"/>
        <v>0</v>
      </c>
    </row>
    <row r="28" spans="1:27" ht="21.95" hidden="1" customHeight="1" x14ac:dyDescent="0.15">
      <c r="A28" s="2596"/>
      <c r="B28" s="2924"/>
      <c r="C28" s="2759"/>
      <c r="D28" s="543" t="s">
        <v>670</v>
      </c>
      <c r="F28" s="1345"/>
      <c r="G28" s="1139">
        <f t="shared" ref="G28:X28" si="11">IF(SUM(G18:G19)&gt;0,G17,0)</f>
        <v>0</v>
      </c>
      <c r="H28" s="1139">
        <f t="shared" si="11"/>
        <v>0</v>
      </c>
      <c r="I28" s="1139">
        <f t="shared" si="11"/>
        <v>0</v>
      </c>
      <c r="J28" s="1139">
        <f t="shared" si="11"/>
        <v>0</v>
      </c>
      <c r="K28" s="1139">
        <f t="shared" si="11"/>
        <v>0</v>
      </c>
      <c r="L28" s="1139">
        <f t="shared" si="11"/>
        <v>0</v>
      </c>
      <c r="M28" s="1139">
        <f t="shared" si="11"/>
        <v>0</v>
      </c>
      <c r="N28" s="1139">
        <f t="shared" si="11"/>
        <v>0</v>
      </c>
      <c r="O28" s="1139">
        <f t="shared" si="11"/>
        <v>0</v>
      </c>
      <c r="P28" s="1139">
        <f t="shared" si="11"/>
        <v>0</v>
      </c>
      <c r="Q28" s="1139">
        <f t="shared" si="11"/>
        <v>0</v>
      </c>
      <c r="R28" s="1139">
        <f t="shared" si="11"/>
        <v>0</v>
      </c>
      <c r="S28" s="1139">
        <f t="shared" si="11"/>
        <v>0</v>
      </c>
      <c r="T28" s="1139">
        <f t="shared" si="11"/>
        <v>0</v>
      </c>
      <c r="U28" s="1139">
        <f t="shared" si="11"/>
        <v>0</v>
      </c>
      <c r="V28" s="1139">
        <f t="shared" si="11"/>
        <v>0</v>
      </c>
      <c r="W28" s="1139">
        <f t="shared" si="11"/>
        <v>0</v>
      </c>
      <c r="X28" s="1139">
        <f t="shared" si="11"/>
        <v>0</v>
      </c>
      <c r="Y28" s="1139"/>
      <c r="Z28" s="1218">
        <f t="shared" si="7"/>
        <v>0</v>
      </c>
      <c r="AA28" s="579">
        <f t="shared" si="4"/>
        <v>0</v>
      </c>
    </row>
    <row r="29" spans="1:27" ht="21.95" hidden="1" customHeight="1" x14ac:dyDescent="0.15">
      <c r="A29" s="2596"/>
      <c r="B29" s="2924"/>
      <c r="C29" s="2759"/>
      <c r="D29" s="543" t="s">
        <v>1882</v>
      </c>
      <c r="F29" s="1345"/>
      <c r="G29" s="1139">
        <f t="shared" ref="G29:X29" si="12">IF(G20=100%,G17,0)</f>
        <v>0</v>
      </c>
      <c r="H29" s="1139">
        <f t="shared" si="12"/>
        <v>0</v>
      </c>
      <c r="I29" s="1139">
        <f t="shared" si="12"/>
        <v>0</v>
      </c>
      <c r="J29" s="1139">
        <f t="shared" si="12"/>
        <v>0</v>
      </c>
      <c r="K29" s="1139">
        <f t="shared" si="12"/>
        <v>0</v>
      </c>
      <c r="L29" s="1139">
        <f t="shared" si="12"/>
        <v>0</v>
      </c>
      <c r="M29" s="1139">
        <f t="shared" si="12"/>
        <v>0</v>
      </c>
      <c r="N29" s="1139">
        <f t="shared" si="12"/>
        <v>0</v>
      </c>
      <c r="O29" s="1139">
        <f t="shared" si="12"/>
        <v>0</v>
      </c>
      <c r="P29" s="1139">
        <f t="shared" si="12"/>
        <v>0</v>
      </c>
      <c r="Q29" s="1139">
        <f t="shared" si="12"/>
        <v>0</v>
      </c>
      <c r="R29" s="1139">
        <f t="shared" si="12"/>
        <v>0</v>
      </c>
      <c r="S29" s="1139">
        <f t="shared" si="12"/>
        <v>0</v>
      </c>
      <c r="T29" s="1139">
        <f t="shared" si="12"/>
        <v>0</v>
      </c>
      <c r="U29" s="1139">
        <f t="shared" si="12"/>
        <v>0</v>
      </c>
      <c r="V29" s="1139">
        <f t="shared" si="12"/>
        <v>0</v>
      </c>
      <c r="W29" s="1139">
        <f t="shared" si="12"/>
        <v>0</v>
      </c>
      <c r="X29" s="1139">
        <f t="shared" si="12"/>
        <v>0</v>
      </c>
      <c r="Y29" s="1139"/>
      <c r="Z29" s="1218">
        <f t="shared" si="7"/>
        <v>0</v>
      </c>
      <c r="AA29" s="579">
        <f t="shared" si="4"/>
        <v>0</v>
      </c>
    </row>
    <row r="30" spans="1:27" ht="21.95" hidden="1" customHeight="1" x14ac:dyDescent="0.15">
      <c r="A30" s="2596"/>
      <c r="B30" s="2924"/>
      <c r="C30" s="2759"/>
      <c r="D30" s="543" t="s">
        <v>1883</v>
      </c>
      <c r="F30" s="1345"/>
      <c r="G30" s="1139">
        <f t="shared" ref="G30:X30" si="13">IF(G21=100%,G17,0)</f>
        <v>0</v>
      </c>
      <c r="H30" s="1139">
        <f t="shared" si="13"/>
        <v>0</v>
      </c>
      <c r="I30" s="1139">
        <f t="shared" si="13"/>
        <v>0</v>
      </c>
      <c r="J30" s="1139">
        <f t="shared" si="13"/>
        <v>0</v>
      </c>
      <c r="K30" s="1139">
        <f t="shared" si="13"/>
        <v>0</v>
      </c>
      <c r="L30" s="1139">
        <f t="shared" si="13"/>
        <v>0</v>
      </c>
      <c r="M30" s="1139">
        <f t="shared" si="13"/>
        <v>0</v>
      </c>
      <c r="N30" s="1139">
        <f t="shared" si="13"/>
        <v>0</v>
      </c>
      <c r="O30" s="1139">
        <f t="shared" si="13"/>
        <v>0</v>
      </c>
      <c r="P30" s="1139">
        <f t="shared" si="13"/>
        <v>0</v>
      </c>
      <c r="Q30" s="1139">
        <f t="shared" si="13"/>
        <v>0</v>
      </c>
      <c r="R30" s="1139">
        <f t="shared" si="13"/>
        <v>0</v>
      </c>
      <c r="S30" s="1139">
        <f t="shared" si="13"/>
        <v>0</v>
      </c>
      <c r="T30" s="1139">
        <f t="shared" si="13"/>
        <v>0</v>
      </c>
      <c r="U30" s="1139">
        <f t="shared" si="13"/>
        <v>0</v>
      </c>
      <c r="V30" s="1139">
        <f t="shared" si="13"/>
        <v>0</v>
      </c>
      <c r="W30" s="1139">
        <f t="shared" si="13"/>
        <v>0</v>
      </c>
      <c r="X30" s="1139">
        <f t="shared" si="13"/>
        <v>0</v>
      </c>
      <c r="Y30" s="1139"/>
      <c r="Z30" s="1218">
        <f t="shared" si="7"/>
        <v>0</v>
      </c>
      <c r="AA30" s="579">
        <f t="shared" si="4"/>
        <v>0</v>
      </c>
    </row>
    <row r="31" spans="1:27" ht="21.95" hidden="1" customHeight="1" x14ac:dyDescent="0.15">
      <c r="A31" s="2596"/>
      <c r="B31" s="2924"/>
      <c r="C31" s="2759"/>
      <c r="D31" s="543" t="s">
        <v>1884</v>
      </c>
      <c r="E31" s="1378"/>
      <c r="F31" s="1362"/>
      <c r="G31" s="1207">
        <f t="shared" ref="G31:X31" si="14">IF(G22=100%,G17,0)</f>
        <v>0</v>
      </c>
      <c r="H31" s="1207">
        <f t="shared" si="14"/>
        <v>0</v>
      </c>
      <c r="I31" s="1207">
        <f t="shared" si="14"/>
        <v>0</v>
      </c>
      <c r="J31" s="1207">
        <f t="shared" si="14"/>
        <v>0</v>
      </c>
      <c r="K31" s="1207">
        <f t="shared" si="14"/>
        <v>0</v>
      </c>
      <c r="L31" s="1207">
        <f t="shared" si="14"/>
        <v>0</v>
      </c>
      <c r="M31" s="1207">
        <f t="shared" si="14"/>
        <v>0</v>
      </c>
      <c r="N31" s="1207">
        <f t="shared" si="14"/>
        <v>0</v>
      </c>
      <c r="O31" s="1207">
        <f t="shared" si="14"/>
        <v>0</v>
      </c>
      <c r="P31" s="1207">
        <f t="shared" si="14"/>
        <v>0</v>
      </c>
      <c r="Q31" s="1207">
        <f t="shared" si="14"/>
        <v>0</v>
      </c>
      <c r="R31" s="1207">
        <f t="shared" si="14"/>
        <v>0</v>
      </c>
      <c r="S31" s="1207">
        <f t="shared" si="14"/>
        <v>0</v>
      </c>
      <c r="T31" s="1207">
        <f t="shared" si="14"/>
        <v>0</v>
      </c>
      <c r="U31" s="1207">
        <f t="shared" si="14"/>
        <v>0</v>
      </c>
      <c r="V31" s="1207">
        <f t="shared" si="14"/>
        <v>0</v>
      </c>
      <c r="W31" s="1207">
        <f t="shared" si="14"/>
        <v>0</v>
      </c>
      <c r="X31" s="1207">
        <f t="shared" si="14"/>
        <v>0</v>
      </c>
      <c r="Y31" s="1207"/>
      <c r="Z31" s="1224">
        <f t="shared" si="7"/>
        <v>0</v>
      </c>
      <c r="AA31" s="579">
        <f t="shared" si="4"/>
        <v>0</v>
      </c>
    </row>
    <row r="32" spans="1:27" ht="21.95" hidden="1" customHeight="1" x14ac:dyDescent="0.15">
      <c r="A32" s="2596"/>
      <c r="B32" s="2924"/>
      <c r="C32" s="2759"/>
      <c r="D32" s="544" t="s">
        <v>1207</v>
      </c>
      <c r="F32" s="1345"/>
      <c r="G32" s="1139">
        <f t="shared" ref="G32:X32" si="15">(G24*48.1741+G25*93.0233+G26*136.6637+G27*188.2884)/1000</f>
        <v>0</v>
      </c>
      <c r="H32" s="1139">
        <f t="shared" si="15"/>
        <v>0</v>
      </c>
      <c r="I32" s="1139">
        <f t="shared" si="15"/>
        <v>0</v>
      </c>
      <c r="J32" s="1139">
        <f t="shared" si="15"/>
        <v>0</v>
      </c>
      <c r="K32" s="1139">
        <f t="shared" si="15"/>
        <v>0</v>
      </c>
      <c r="L32" s="1139">
        <f t="shared" si="15"/>
        <v>0</v>
      </c>
      <c r="M32" s="1139">
        <f t="shared" si="15"/>
        <v>0</v>
      </c>
      <c r="N32" s="1139">
        <f t="shared" si="15"/>
        <v>0</v>
      </c>
      <c r="O32" s="1139">
        <f t="shared" si="15"/>
        <v>0</v>
      </c>
      <c r="P32" s="1139">
        <f t="shared" si="15"/>
        <v>0</v>
      </c>
      <c r="Q32" s="1139">
        <f t="shared" si="15"/>
        <v>0</v>
      </c>
      <c r="R32" s="1139">
        <f t="shared" si="15"/>
        <v>0</v>
      </c>
      <c r="S32" s="1139">
        <f t="shared" si="15"/>
        <v>0</v>
      </c>
      <c r="T32" s="1139">
        <f t="shared" si="15"/>
        <v>0</v>
      </c>
      <c r="U32" s="1139">
        <f t="shared" si="15"/>
        <v>0</v>
      </c>
      <c r="V32" s="1139">
        <f t="shared" si="15"/>
        <v>0</v>
      </c>
      <c r="W32" s="1139">
        <f t="shared" si="15"/>
        <v>0</v>
      </c>
      <c r="X32" s="1139">
        <f t="shared" si="15"/>
        <v>0</v>
      </c>
      <c r="Y32" s="1139"/>
      <c r="Z32" s="1217">
        <f t="shared" si="7"/>
        <v>0</v>
      </c>
      <c r="AA32" s="579">
        <f t="shared" si="4"/>
        <v>0</v>
      </c>
    </row>
    <row r="33" spans="1:27" ht="21.95" hidden="1" customHeight="1" x14ac:dyDescent="0.15">
      <c r="A33" s="2596"/>
      <c r="B33" s="2924"/>
      <c r="C33" s="2759"/>
      <c r="D33" s="543" t="s">
        <v>725</v>
      </c>
      <c r="F33" s="1345"/>
      <c r="G33" s="1139">
        <f t="shared" ref="G33:X33" si="16">(G17*G18+SUM(G24:G27))*1.25</f>
        <v>0</v>
      </c>
      <c r="H33" s="1139">
        <f t="shared" si="16"/>
        <v>0</v>
      </c>
      <c r="I33" s="1139">
        <f t="shared" si="16"/>
        <v>0</v>
      </c>
      <c r="J33" s="1139">
        <f t="shared" si="16"/>
        <v>0</v>
      </c>
      <c r="K33" s="1139">
        <f t="shared" si="16"/>
        <v>0</v>
      </c>
      <c r="L33" s="1139">
        <f t="shared" si="16"/>
        <v>0</v>
      </c>
      <c r="M33" s="1139">
        <f t="shared" si="16"/>
        <v>0</v>
      </c>
      <c r="N33" s="1139">
        <f t="shared" si="16"/>
        <v>0</v>
      </c>
      <c r="O33" s="1139">
        <f t="shared" si="16"/>
        <v>0</v>
      </c>
      <c r="P33" s="1139">
        <f t="shared" si="16"/>
        <v>0</v>
      </c>
      <c r="Q33" s="1139">
        <f t="shared" si="16"/>
        <v>0</v>
      </c>
      <c r="R33" s="1139">
        <f t="shared" si="16"/>
        <v>0</v>
      </c>
      <c r="S33" s="1139">
        <f t="shared" si="16"/>
        <v>0</v>
      </c>
      <c r="T33" s="1139">
        <f t="shared" si="16"/>
        <v>0</v>
      </c>
      <c r="U33" s="1139">
        <f t="shared" si="16"/>
        <v>0</v>
      </c>
      <c r="V33" s="1139">
        <f t="shared" si="16"/>
        <v>0</v>
      </c>
      <c r="W33" s="1139">
        <f t="shared" si="16"/>
        <v>0</v>
      </c>
      <c r="X33" s="1139">
        <f t="shared" si="16"/>
        <v>0</v>
      </c>
      <c r="Y33" s="1139"/>
      <c r="Z33" s="1218">
        <f t="shared" si="7"/>
        <v>0</v>
      </c>
      <c r="AA33" s="579">
        <f t="shared" si="4"/>
        <v>0</v>
      </c>
    </row>
    <row r="34" spans="1:27" ht="32.1" hidden="1" customHeight="1" x14ac:dyDescent="0.15">
      <c r="A34" s="2596"/>
      <c r="B34" s="2924"/>
      <c r="C34" s="2759"/>
      <c r="D34" s="567" t="s">
        <v>2743</v>
      </c>
      <c r="F34" s="1345"/>
      <c r="G34" s="1139">
        <f t="shared" ref="G34:X34" si="17">G17*G19*1.375</f>
        <v>0</v>
      </c>
      <c r="H34" s="1139">
        <f t="shared" si="17"/>
        <v>0</v>
      </c>
      <c r="I34" s="1139">
        <f t="shared" si="17"/>
        <v>0</v>
      </c>
      <c r="J34" s="1139">
        <f t="shared" si="17"/>
        <v>0</v>
      </c>
      <c r="K34" s="1139">
        <f t="shared" si="17"/>
        <v>0</v>
      </c>
      <c r="L34" s="1139">
        <f t="shared" si="17"/>
        <v>0</v>
      </c>
      <c r="M34" s="1139">
        <f t="shared" si="17"/>
        <v>0</v>
      </c>
      <c r="N34" s="1139">
        <f t="shared" si="17"/>
        <v>0</v>
      </c>
      <c r="O34" s="1139">
        <f t="shared" si="17"/>
        <v>0</v>
      </c>
      <c r="P34" s="1139">
        <f t="shared" si="17"/>
        <v>0</v>
      </c>
      <c r="Q34" s="1139">
        <f t="shared" si="17"/>
        <v>0</v>
      </c>
      <c r="R34" s="1139">
        <f t="shared" si="17"/>
        <v>0</v>
      </c>
      <c r="S34" s="1139">
        <f t="shared" si="17"/>
        <v>0</v>
      </c>
      <c r="T34" s="1139">
        <f t="shared" si="17"/>
        <v>0</v>
      </c>
      <c r="U34" s="1139">
        <f t="shared" si="17"/>
        <v>0</v>
      </c>
      <c r="V34" s="1139">
        <f t="shared" si="17"/>
        <v>0</v>
      </c>
      <c r="W34" s="1139">
        <f t="shared" si="17"/>
        <v>0</v>
      </c>
      <c r="X34" s="1139">
        <f t="shared" si="17"/>
        <v>0</v>
      </c>
      <c r="Y34" s="1139"/>
      <c r="Z34" s="1218">
        <f t="shared" si="7"/>
        <v>0</v>
      </c>
      <c r="AA34" s="579">
        <f t="shared" si="4"/>
        <v>0</v>
      </c>
    </row>
    <row r="35" spans="1:27" ht="21.95" hidden="1" customHeight="1" x14ac:dyDescent="0.15">
      <c r="A35" s="2596"/>
      <c r="B35" s="2924"/>
      <c r="C35" s="2759"/>
      <c r="D35" s="543" t="s">
        <v>726</v>
      </c>
      <c r="F35" s="1345"/>
      <c r="G35" s="1139">
        <f t="shared" ref="G35:X35" si="18">G17*G20*1.25</f>
        <v>0</v>
      </c>
      <c r="H35" s="1139">
        <f t="shared" si="18"/>
        <v>0</v>
      </c>
      <c r="I35" s="1139">
        <f t="shared" si="18"/>
        <v>0</v>
      </c>
      <c r="J35" s="1139">
        <f t="shared" si="18"/>
        <v>0</v>
      </c>
      <c r="K35" s="1139">
        <f t="shared" si="18"/>
        <v>0</v>
      </c>
      <c r="L35" s="1139">
        <f t="shared" si="18"/>
        <v>0</v>
      </c>
      <c r="M35" s="1139">
        <f t="shared" si="18"/>
        <v>0</v>
      </c>
      <c r="N35" s="1139">
        <f t="shared" si="18"/>
        <v>0</v>
      </c>
      <c r="O35" s="1139">
        <f t="shared" si="18"/>
        <v>0</v>
      </c>
      <c r="P35" s="1139">
        <f t="shared" si="18"/>
        <v>0</v>
      </c>
      <c r="Q35" s="1139">
        <f t="shared" si="18"/>
        <v>0</v>
      </c>
      <c r="R35" s="1139">
        <f t="shared" si="18"/>
        <v>0</v>
      </c>
      <c r="S35" s="1139">
        <f t="shared" si="18"/>
        <v>0</v>
      </c>
      <c r="T35" s="1139">
        <f t="shared" si="18"/>
        <v>0</v>
      </c>
      <c r="U35" s="1139">
        <f t="shared" si="18"/>
        <v>0</v>
      </c>
      <c r="V35" s="1139">
        <f t="shared" si="18"/>
        <v>0</v>
      </c>
      <c r="W35" s="1139">
        <f t="shared" si="18"/>
        <v>0</v>
      </c>
      <c r="X35" s="1139">
        <f t="shared" si="18"/>
        <v>0</v>
      </c>
      <c r="Y35" s="1139"/>
      <c r="Z35" s="1218">
        <f t="shared" si="7"/>
        <v>0</v>
      </c>
      <c r="AA35" s="579">
        <f t="shared" si="4"/>
        <v>0</v>
      </c>
    </row>
    <row r="36" spans="1:27" ht="21.95" hidden="1" customHeight="1" x14ac:dyDescent="0.15">
      <c r="A36" s="2596"/>
      <c r="B36" s="2924"/>
      <c r="C36" s="2759"/>
      <c r="D36" s="543" t="s">
        <v>1305</v>
      </c>
      <c r="F36" s="1345"/>
      <c r="G36" s="1139">
        <f t="shared" ref="G36:X36" si="19">G17*G21*1.375</f>
        <v>0</v>
      </c>
      <c r="H36" s="1139">
        <f t="shared" si="19"/>
        <v>0</v>
      </c>
      <c r="I36" s="1139">
        <f t="shared" si="19"/>
        <v>0</v>
      </c>
      <c r="J36" s="1139">
        <f t="shared" si="19"/>
        <v>0</v>
      </c>
      <c r="K36" s="1139">
        <f t="shared" si="19"/>
        <v>0</v>
      </c>
      <c r="L36" s="1139">
        <f t="shared" si="19"/>
        <v>0</v>
      </c>
      <c r="M36" s="1139">
        <f t="shared" si="19"/>
        <v>0</v>
      </c>
      <c r="N36" s="1139">
        <f t="shared" si="19"/>
        <v>0</v>
      </c>
      <c r="O36" s="1139">
        <f t="shared" si="19"/>
        <v>0</v>
      </c>
      <c r="P36" s="1139">
        <f t="shared" si="19"/>
        <v>0</v>
      </c>
      <c r="Q36" s="1139">
        <f t="shared" si="19"/>
        <v>0</v>
      </c>
      <c r="R36" s="1139">
        <f t="shared" si="19"/>
        <v>0</v>
      </c>
      <c r="S36" s="1139">
        <f t="shared" si="19"/>
        <v>0</v>
      </c>
      <c r="T36" s="1139">
        <f t="shared" si="19"/>
        <v>0</v>
      </c>
      <c r="U36" s="1139">
        <f t="shared" si="19"/>
        <v>0</v>
      </c>
      <c r="V36" s="1139">
        <f t="shared" si="19"/>
        <v>0</v>
      </c>
      <c r="W36" s="1139">
        <f t="shared" si="19"/>
        <v>0</v>
      </c>
      <c r="X36" s="1139">
        <f t="shared" si="19"/>
        <v>0</v>
      </c>
      <c r="Y36" s="1139"/>
      <c r="Z36" s="1218">
        <f t="shared" si="7"/>
        <v>0</v>
      </c>
      <c r="AA36" s="579">
        <f t="shared" si="4"/>
        <v>0</v>
      </c>
    </row>
    <row r="37" spans="1:27" ht="21.95" hidden="1" customHeight="1" thickBot="1" x14ac:dyDescent="0.2">
      <c r="A37" s="2596"/>
      <c r="B37" s="2924"/>
      <c r="C37" s="2759"/>
      <c r="D37" s="543" t="s">
        <v>1059</v>
      </c>
      <c r="E37" s="983"/>
      <c r="F37" s="1270"/>
      <c r="G37" s="1139">
        <f t="shared" ref="G37:X37" si="20">G17*G22*1.4667</f>
        <v>0</v>
      </c>
      <c r="H37" s="1139">
        <f t="shared" si="20"/>
        <v>0</v>
      </c>
      <c r="I37" s="1139">
        <f t="shared" si="20"/>
        <v>0</v>
      </c>
      <c r="J37" s="1139">
        <f t="shared" si="20"/>
        <v>0</v>
      </c>
      <c r="K37" s="1139">
        <f t="shared" si="20"/>
        <v>0</v>
      </c>
      <c r="L37" s="1139">
        <f t="shared" si="20"/>
        <v>0</v>
      </c>
      <c r="M37" s="1139">
        <f t="shared" si="20"/>
        <v>0</v>
      </c>
      <c r="N37" s="1139">
        <f t="shared" si="20"/>
        <v>0</v>
      </c>
      <c r="O37" s="1139">
        <f t="shared" si="20"/>
        <v>0</v>
      </c>
      <c r="P37" s="1139">
        <f t="shared" si="20"/>
        <v>0</v>
      </c>
      <c r="Q37" s="1139">
        <f t="shared" si="20"/>
        <v>0</v>
      </c>
      <c r="R37" s="1139">
        <f t="shared" si="20"/>
        <v>0</v>
      </c>
      <c r="S37" s="1139">
        <f t="shared" si="20"/>
        <v>0</v>
      </c>
      <c r="T37" s="1139">
        <f t="shared" si="20"/>
        <v>0</v>
      </c>
      <c r="U37" s="1139">
        <f t="shared" si="20"/>
        <v>0</v>
      </c>
      <c r="V37" s="1139">
        <f t="shared" si="20"/>
        <v>0</v>
      </c>
      <c r="W37" s="1139">
        <f t="shared" si="20"/>
        <v>0</v>
      </c>
      <c r="X37" s="1139">
        <f t="shared" si="20"/>
        <v>0</v>
      </c>
      <c r="Y37" s="1139"/>
      <c r="Z37" s="1218">
        <f t="shared" si="7"/>
        <v>0</v>
      </c>
      <c r="AA37" s="579">
        <f t="shared" si="4"/>
        <v>0</v>
      </c>
    </row>
    <row r="38" spans="1:27" ht="21.95" customHeight="1" x14ac:dyDescent="0.15">
      <c r="A38" s="2596"/>
      <c r="B38" s="2924"/>
      <c r="C38" s="2917" t="s">
        <v>24</v>
      </c>
      <c r="D38" s="542" t="s">
        <v>3</v>
      </c>
      <c r="F38" s="1345"/>
      <c r="G38" s="1137">
        <f t="shared" ref="G38:X38" si="21">IF(G39=0,0,G2)</f>
        <v>550.02</v>
      </c>
      <c r="H38" s="1137">
        <f t="shared" si="21"/>
        <v>549.91999999999996</v>
      </c>
      <c r="I38" s="1137">
        <f t="shared" si="21"/>
        <v>304.02</v>
      </c>
      <c r="J38" s="1137">
        <f t="shared" si="21"/>
        <v>304.27</v>
      </c>
      <c r="K38" s="1137">
        <f t="shared" si="21"/>
        <v>260.7</v>
      </c>
      <c r="L38" s="1137">
        <f t="shared" si="21"/>
        <v>162.53</v>
      </c>
      <c r="M38" s="1137">
        <f t="shared" si="21"/>
        <v>23.58</v>
      </c>
      <c r="N38" s="1137">
        <f t="shared" si="21"/>
        <v>263.7</v>
      </c>
      <c r="O38" s="1137">
        <f t="shared" si="21"/>
        <v>474.38</v>
      </c>
      <c r="P38" s="1137">
        <f t="shared" si="21"/>
        <v>263.28999999999996</v>
      </c>
      <c r="Q38" s="1137">
        <f t="shared" si="21"/>
        <v>302.41999999999996</v>
      </c>
      <c r="R38" s="1137">
        <f t="shared" si="21"/>
        <v>652.08999999999992</v>
      </c>
      <c r="S38" s="1137">
        <f t="shared" si="21"/>
        <v>654.04999999999995</v>
      </c>
      <c r="T38" s="1137">
        <f t="shared" si="21"/>
        <v>622.59</v>
      </c>
      <c r="U38" s="1137">
        <f t="shared" si="21"/>
        <v>674.8</v>
      </c>
      <c r="V38" s="1137">
        <f t="shared" si="21"/>
        <v>659.43</v>
      </c>
      <c r="W38" s="1137">
        <f t="shared" si="21"/>
        <v>276.54000000000002</v>
      </c>
      <c r="X38" s="1137">
        <f t="shared" si="21"/>
        <v>432.77</v>
      </c>
      <c r="Y38" s="1137"/>
      <c r="Z38" s="1216"/>
      <c r="AA38" s="579">
        <f t="shared" si="4"/>
        <v>7431.1</v>
      </c>
    </row>
    <row r="39" spans="1:27" ht="21.95" customHeight="1" x14ac:dyDescent="0.15">
      <c r="A39" s="2596"/>
      <c r="B39" s="2924"/>
      <c r="C39" s="2918"/>
      <c r="D39" s="543" t="s">
        <v>1280</v>
      </c>
      <c r="F39" s="1345"/>
      <c r="G39" s="1221">
        <f>Pav_Dados!G85</f>
        <v>17</v>
      </c>
      <c r="H39" s="1221">
        <f>Pav_Dados!H85</f>
        <v>17</v>
      </c>
      <c r="I39" s="1221">
        <f>Pav_Dados!I85</f>
        <v>17</v>
      </c>
      <c r="J39" s="1221">
        <f>Pav_Dados!J85</f>
        <v>17</v>
      </c>
      <c r="K39" s="1221">
        <f>Pav_Dados!K85</f>
        <v>15</v>
      </c>
      <c r="L39" s="1221">
        <f>Pav_Dados!L85</f>
        <v>15</v>
      </c>
      <c r="M39" s="1221">
        <f>Pav_Dados!M85</f>
        <v>15</v>
      </c>
      <c r="N39" s="1221">
        <f>Pav_Dados!N85</f>
        <v>15</v>
      </c>
      <c r="O39" s="1221">
        <f>Pav_Dados!O85</f>
        <v>15</v>
      </c>
      <c r="P39" s="1221">
        <f>Pav_Dados!P85</f>
        <v>15</v>
      </c>
      <c r="Q39" s="1221">
        <f>Pav_Dados!Q85</f>
        <v>15</v>
      </c>
      <c r="R39" s="1221">
        <f>Pav_Dados!R85</f>
        <v>15</v>
      </c>
      <c r="S39" s="1221">
        <f>Pav_Dados!S85</f>
        <v>15</v>
      </c>
      <c r="T39" s="1221">
        <f>Pav_Dados!T85</f>
        <v>15</v>
      </c>
      <c r="U39" s="1221">
        <f>Pav_Dados!U85</f>
        <v>15</v>
      </c>
      <c r="V39" s="1221">
        <f>Pav_Dados!V85</f>
        <v>15</v>
      </c>
      <c r="W39" s="1221">
        <f>Pav_Dados!W85</f>
        <v>15</v>
      </c>
      <c r="X39" s="1221">
        <f>Pav_Dados!X85</f>
        <v>15</v>
      </c>
      <c r="Y39" s="1221"/>
      <c r="Z39" s="1222"/>
      <c r="AA39" s="579">
        <f t="shared" si="4"/>
        <v>278</v>
      </c>
    </row>
    <row r="40" spans="1:27" ht="21.95" customHeight="1" x14ac:dyDescent="0.15">
      <c r="A40" s="2596"/>
      <c r="B40" s="2924"/>
      <c r="C40" s="2919"/>
      <c r="D40" s="543" t="s">
        <v>58</v>
      </c>
      <c r="F40" s="1345"/>
      <c r="G40" s="1139">
        <f t="shared" ref="G40:X40" si="22">IF(G39=0,0,G6+IF(G5="dupla",2*0.47,0.47)+IF(G5="simples",0.17,0))</f>
        <v>9.94</v>
      </c>
      <c r="H40" s="1139">
        <f t="shared" si="22"/>
        <v>9.64</v>
      </c>
      <c r="I40" s="1139">
        <f t="shared" si="22"/>
        <v>9.14</v>
      </c>
      <c r="J40" s="1139">
        <f t="shared" si="22"/>
        <v>9.14</v>
      </c>
      <c r="K40" s="1139">
        <f t="shared" si="22"/>
        <v>7.9399999999999995</v>
      </c>
      <c r="L40" s="1139">
        <f t="shared" si="22"/>
        <v>9.94</v>
      </c>
      <c r="M40" s="1139">
        <f t="shared" si="22"/>
        <v>7.9399999999999995</v>
      </c>
      <c r="N40" s="1139">
        <f t="shared" si="22"/>
        <v>7.9399999999999995</v>
      </c>
      <c r="O40" s="1139">
        <f t="shared" si="22"/>
        <v>7.9399999999999995</v>
      </c>
      <c r="P40" s="1139">
        <f t="shared" si="22"/>
        <v>7.9399999999999995</v>
      </c>
      <c r="Q40" s="1139">
        <f t="shared" si="22"/>
        <v>7.9399999999999995</v>
      </c>
      <c r="R40" s="1139">
        <f t="shared" si="22"/>
        <v>7.9399999999999995</v>
      </c>
      <c r="S40" s="1139">
        <f t="shared" si="22"/>
        <v>7.9399999999999995</v>
      </c>
      <c r="T40" s="1139">
        <f t="shared" si="22"/>
        <v>7.9399999999999995</v>
      </c>
      <c r="U40" s="1139">
        <f t="shared" si="22"/>
        <v>7.9399999999999995</v>
      </c>
      <c r="V40" s="1139">
        <f t="shared" si="22"/>
        <v>7.9399999999999995</v>
      </c>
      <c r="W40" s="1139">
        <f t="shared" si="22"/>
        <v>7.9399999999999995</v>
      </c>
      <c r="X40" s="1139">
        <f t="shared" si="22"/>
        <v>7.9399999999999995</v>
      </c>
      <c r="Y40" s="1139"/>
      <c r="Z40" s="1214"/>
      <c r="AA40" s="579">
        <f t="shared" si="4"/>
        <v>151.01999999999998</v>
      </c>
    </row>
    <row r="41" spans="1:27" ht="21.95" hidden="1" customHeight="1" x14ac:dyDescent="0.15">
      <c r="A41" s="2596"/>
      <c r="B41" s="2924"/>
      <c r="C41" s="2918"/>
      <c r="D41" s="558" t="s">
        <v>1328</v>
      </c>
      <c r="F41" s="1345"/>
      <c r="G41" s="1139">
        <f>IF(G39=0,0,S_Complementares!I5*0.47+S_Complementares!I6*0.17+S_Complementares!I8*0.6)</f>
        <v>491.17349999999993</v>
      </c>
      <c r="H41" s="1139">
        <f>IF(H39=0,0,S_Complementares!J5*0.47+S_Complementares!J6*0.17+S_Complementares!J8*0.6)</f>
        <v>341.86350000000004</v>
      </c>
      <c r="I41" s="1139">
        <f>IF(I39=0,0,S_Complementares!K5*0.47+S_Complementares!K6*0.17+S_Complementares!K8*0.6)</f>
        <v>170.7235</v>
      </c>
      <c r="J41" s="1139">
        <f>IF(J39=0,0,S_Complementares!L5*0.47+S_Complementares!L6*0.17+S_Complementares!L8*0.6)</f>
        <v>151.84180000000001</v>
      </c>
      <c r="K41" s="1139">
        <f>IF(K39=0,0,S_Complementares!M5*0.47+S_Complementares!M6*0.17+S_Complementares!M8*0.6)</f>
        <v>250.48650000000001</v>
      </c>
      <c r="L41" s="1139">
        <f>IF(L39=0,0,S_Complementares!N5*0.47+S_Complementares!N6*0.17+S_Complementares!N8*0.6)</f>
        <v>143.09619999999998</v>
      </c>
      <c r="M41" s="1139">
        <f>IF(M39=0,0,S_Complementares!O5*0.47+S_Complementares!O6*0.17+S_Complementares!O8*0.6)</f>
        <v>24.863</v>
      </c>
      <c r="N41" s="1139">
        <f>IF(N39=0,0,S_Complementares!P5*0.47+S_Complementares!P6*0.17+S_Complementares!P8*0.6)</f>
        <v>252.97279999999998</v>
      </c>
      <c r="O41" s="1139">
        <f>IF(O39=0,0,S_Complementares!Q5*0.47+S_Complementares!Q6*0.17+S_Complementares!Q8*0.6)</f>
        <v>451.45849999999996</v>
      </c>
      <c r="P41" s="1139">
        <f>IF(P39=0,0,S_Complementares!R5*0.47+S_Complementares!R6*0.17+S_Complementares!R8*0.6)</f>
        <v>252.85999999999999</v>
      </c>
      <c r="Q41" s="1139">
        <f>IF(Q39=0,0,S_Complementares!S5*0.47+S_Complementares!S6*0.17+S_Complementares!S8*0.6)</f>
        <v>240.00549999999998</v>
      </c>
      <c r="R41" s="1139">
        <f>IF(R39=0,0,S_Complementares!T5*0.47+S_Complementares!T6*0.17+S_Complementares!T8*0.6)</f>
        <v>619.69499999999994</v>
      </c>
      <c r="S41" s="1139">
        <f>IF(S39=0,0,S_Complementares!U5*0.47+S_Complementares!U6*0.17+S_Complementares!U8*0.6)</f>
        <v>630.37339999999995</v>
      </c>
      <c r="T41" s="1139">
        <f>IF(T39=0,0,S_Complementares!V5*0.47+S_Complementares!V6*0.17+S_Complementares!V8*0.6)</f>
        <v>592.17179999999996</v>
      </c>
      <c r="U41" s="1139">
        <f>IF(U39=0,0,S_Complementares!W5*0.47+S_Complementares!W6*0.17+S_Complementares!W8*0.6)</f>
        <v>651.48109999999997</v>
      </c>
      <c r="V41" s="1139">
        <f>IF(V39=0,0,S_Complementares!X5*0.47+S_Complementares!X6*0.17+S_Complementares!X8*0.6)</f>
        <v>634.35429999999997</v>
      </c>
      <c r="W41" s="1139">
        <f>IF(W39=0,0,S_Complementares!Y5*0.47+S_Complementares!Y6*0.17+S_Complementares!Y8*0.6)</f>
        <v>240.07599999999999</v>
      </c>
      <c r="X41" s="1139">
        <f>IF(X39=0,0,S_Complementares!Z5*0.47+S_Complementares!Z6*0.17+S_Complementares!Z8*0.6)</f>
        <v>314.1198</v>
      </c>
      <c r="Y41" s="1139"/>
      <c r="Z41" s="1214"/>
      <c r="AA41" s="579"/>
    </row>
    <row r="42" spans="1:27" ht="21.95" customHeight="1" x14ac:dyDescent="0.15">
      <c r="A42" s="2596"/>
      <c r="B42" s="2924"/>
      <c r="C42" s="2918"/>
      <c r="D42" s="543" t="s">
        <v>1870</v>
      </c>
      <c r="F42" s="1345"/>
      <c r="G42" s="1139">
        <f>IF(G39=0,0,G41+Pav_Dados!G76)</f>
        <v>5577.7434999999996</v>
      </c>
      <c r="H42" s="1139">
        <f>IF(H39=0,0,H41+Pav_Dados!H76)</f>
        <v>5379.8235000000004</v>
      </c>
      <c r="I42" s="1139">
        <f>IF(I39=0,0,I41+Pav_Dados!I76)</f>
        <v>3014.9335000000001</v>
      </c>
      <c r="J42" s="1139">
        <f>IF(J39=0,0,J41+Pav_Dados!J76)</f>
        <v>2998.1418000000003</v>
      </c>
      <c r="K42" s="1139">
        <f>IF(K39=0,0,K41+Pav_Dados!K76)</f>
        <v>2097.3065000000001</v>
      </c>
      <c r="L42" s="1139">
        <f>IF(L39=0,0,L41+Pav_Dados!L76)</f>
        <v>1616.6361999999999</v>
      </c>
      <c r="M42" s="1139">
        <f>IF(M39=0,0,M41+Pav_Dados!M76)</f>
        <v>200.66300000000001</v>
      </c>
      <c r="N42" s="1139">
        <f>IF(N39=0,0,N41+Pav_Dados!N76)</f>
        <v>2118.3928000000001</v>
      </c>
      <c r="O42" s="1139">
        <f>IF(O39=0,0,O41+Pav_Dados!O76)</f>
        <v>3793.6284999999998</v>
      </c>
      <c r="P42" s="1139">
        <f>IF(P39=0,0,P41+Pav_Dados!P76)</f>
        <v>2117.13</v>
      </c>
      <c r="Q42" s="1139">
        <f>IF(Q39=0,0,Q41+Pav_Dados!Q76)</f>
        <v>2408.8055000000004</v>
      </c>
      <c r="R42" s="1139">
        <f>IF(R39=0,0,R41+Pav_Dados!R76)</f>
        <v>5231.1349999999993</v>
      </c>
      <c r="S42" s="1139">
        <f>IF(S39=0,0,S41+Pav_Dados!S76)</f>
        <v>5263.0133999999998</v>
      </c>
      <c r="T42" s="1139">
        <f>IF(T39=0,0,T41+Pav_Dados!T76)</f>
        <v>4973.9618</v>
      </c>
      <c r="U42" s="1139">
        <f>IF(U39=0,0,U41+Pav_Dados!U76)</f>
        <v>5439.8910999999998</v>
      </c>
      <c r="V42" s="1139">
        <f>IF(V39=0,0,V41+Pav_Dados!V76)</f>
        <v>5304.0243</v>
      </c>
      <c r="W42" s="1139">
        <f>IF(W39=0,0,W41+Pav_Dados!W76)</f>
        <v>2192.8559999999998</v>
      </c>
      <c r="X42" s="1139">
        <f>IF(X39=0,0,X41+Pav_Dados!X76)</f>
        <v>3354.2098000000001</v>
      </c>
      <c r="Y42" s="1139"/>
      <c r="Z42" s="1217">
        <f>+ROUND(SUM(G42:Y42),2)</f>
        <v>63082.3</v>
      </c>
      <c r="AA42" s="579">
        <f t="shared" ref="AA42:AA73" si="23">SUM(G42:Z42)</f>
        <v>126164.5962</v>
      </c>
    </row>
    <row r="43" spans="1:27" ht="21.95" customHeight="1" x14ac:dyDescent="0.15">
      <c r="A43" s="2596"/>
      <c r="B43" s="2924"/>
      <c r="C43" s="2919"/>
      <c r="D43" s="543" t="s">
        <v>300</v>
      </c>
      <c r="E43" s="1378"/>
      <c r="F43" s="1362"/>
      <c r="G43" s="1207">
        <f t="shared" ref="G43:X43" si="24">G42*G39/100</f>
        <v>948.21639499999992</v>
      </c>
      <c r="H43" s="1207">
        <f t="shared" si="24"/>
        <v>914.56999500000006</v>
      </c>
      <c r="I43" s="1207">
        <f t="shared" si="24"/>
        <v>512.53869499999996</v>
      </c>
      <c r="J43" s="1207">
        <f t="shared" si="24"/>
        <v>509.68410600000004</v>
      </c>
      <c r="K43" s="1207">
        <f t="shared" si="24"/>
        <v>314.59597500000001</v>
      </c>
      <c r="L43" s="1207">
        <f t="shared" si="24"/>
        <v>242.49542999999997</v>
      </c>
      <c r="M43" s="1207">
        <f t="shared" si="24"/>
        <v>30.099450000000001</v>
      </c>
      <c r="N43" s="1207">
        <f t="shared" si="24"/>
        <v>317.75891999999999</v>
      </c>
      <c r="O43" s="1207">
        <f t="shared" si="24"/>
        <v>569.04427499999997</v>
      </c>
      <c r="P43" s="1207">
        <f t="shared" si="24"/>
        <v>317.56950000000001</v>
      </c>
      <c r="Q43" s="1207">
        <f t="shared" si="24"/>
        <v>361.32082500000001</v>
      </c>
      <c r="R43" s="1207">
        <f t="shared" si="24"/>
        <v>784.6702499999999</v>
      </c>
      <c r="S43" s="1207">
        <f t="shared" si="24"/>
        <v>789.45200999999997</v>
      </c>
      <c r="T43" s="1207">
        <f t="shared" si="24"/>
        <v>746.09426999999994</v>
      </c>
      <c r="U43" s="1207">
        <f t="shared" si="24"/>
        <v>815.98366500000009</v>
      </c>
      <c r="V43" s="1207">
        <f t="shared" si="24"/>
        <v>795.60364499999991</v>
      </c>
      <c r="W43" s="1207">
        <f t="shared" si="24"/>
        <v>328.92839999999995</v>
      </c>
      <c r="X43" s="1207">
        <f t="shared" si="24"/>
        <v>503.13147000000004</v>
      </c>
      <c r="Y43" s="1207"/>
      <c r="Z43" s="1582">
        <f>+ROUND(SUM(G43:Y43),2)</f>
        <v>9801.76</v>
      </c>
      <c r="AA43" s="579">
        <f t="shared" si="23"/>
        <v>19603.517275999999</v>
      </c>
    </row>
    <row r="44" spans="1:27" ht="21.95" customHeight="1" x14ac:dyDescent="0.15">
      <c r="A44" s="2596"/>
      <c r="B44" s="2924"/>
      <c r="C44" s="2918"/>
      <c r="D44" s="544" t="s">
        <v>328</v>
      </c>
      <c r="F44" s="1345"/>
      <c r="G44" s="157">
        <f>Pav_Dados!G87</f>
        <v>0.4</v>
      </c>
      <c r="H44" s="157">
        <f>Pav_Dados!H87</f>
        <v>0.4</v>
      </c>
      <c r="I44" s="157">
        <f>Pav_Dados!I87</f>
        <v>0.4</v>
      </c>
      <c r="J44" s="157">
        <f>Pav_Dados!J87</f>
        <v>0.4</v>
      </c>
      <c r="K44" s="157">
        <f>Pav_Dados!K87</f>
        <v>0.4</v>
      </c>
      <c r="L44" s="157">
        <f>Pav_Dados!L87</f>
        <v>0.4</v>
      </c>
      <c r="M44" s="157">
        <f>Pav_Dados!M87</f>
        <v>0.4</v>
      </c>
      <c r="N44" s="157">
        <f>Pav_Dados!N87</f>
        <v>0.4</v>
      </c>
      <c r="O44" s="157">
        <f>Pav_Dados!O87</f>
        <v>0.4</v>
      </c>
      <c r="P44" s="157">
        <f>Pav_Dados!P87</f>
        <v>0.4</v>
      </c>
      <c r="Q44" s="157">
        <f>Pav_Dados!Q87</f>
        <v>0.4</v>
      </c>
      <c r="R44" s="157">
        <f>Pav_Dados!R87</f>
        <v>0.4</v>
      </c>
      <c r="S44" s="157">
        <f>Pav_Dados!S87</f>
        <v>0.4</v>
      </c>
      <c r="T44" s="157">
        <f>Pav_Dados!T87</f>
        <v>0.4</v>
      </c>
      <c r="U44" s="157">
        <f>Pav_Dados!U87</f>
        <v>0.4</v>
      </c>
      <c r="V44" s="157">
        <f>Pav_Dados!V87</f>
        <v>0.4</v>
      </c>
      <c r="W44" s="157">
        <f>Pav_Dados!W87</f>
        <v>0.4</v>
      </c>
      <c r="X44" s="157">
        <f>Pav_Dados!X87</f>
        <v>0.4</v>
      </c>
      <c r="Y44" s="157"/>
      <c r="Z44" s="1222"/>
      <c r="AA44" s="579">
        <f t="shared" si="23"/>
        <v>7.200000000000002</v>
      </c>
    </row>
    <row r="45" spans="1:27" ht="21.95" customHeight="1" x14ac:dyDescent="0.15">
      <c r="A45" s="2596"/>
      <c r="B45" s="2924"/>
      <c r="C45" s="2918"/>
      <c r="D45" s="543" t="s">
        <v>1303</v>
      </c>
      <c r="F45" s="1345"/>
      <c r="G45" s="157">
        <f>Pav_Dados!G88</f>
        <v>0.6</v>
      </c>
      <c r="H45" s="157">
        <f>Pav_Dados!H88</f>
        <v>0.6</v>
      </c>
      <c r="I45" s="157">
        <f>Pav_Dados!I88</f>
        <v>0.6</v>
      </c>
      <c r="J45" s="157">
        <f>Pav_Dados!J88</f>
        <v>0.6</v>
      </c>
      <c r="K45" s="157">
        <f>Pav_Dados!K88</f>
        <v>0.6</v>
      </c>
      <c r="L45" s="157">
        <f>Pav_Dados!L88</f>
        <v>0.6</v>
      </c>
      <c r="M45" s="157">
        <f>Pav_Dados!M88</f>
        <v>0.6</v>
      </c>
      <c r="N45" s="157">
        <f>Pav_Dados!N88</f>
        <v>0.6</v>
      </c>
      <c r="O45" s="157">
        <f>Pav_Dados!O88</f>
        <v>0.6</v>
      </c>
      <c r="P45" s="157">
        <f>Pav_Dados!P88</f>
        <v>0.6</v>
      </c>
      <c r="Q45" s="157">
        <f>Pav_Dados!Q88</f>
        <v>0.6</v>
      </c>
      <c r="R45" s="157">
        <f>Pav_Dados!R88</f>
        <v>0.6</v>
      </c>
      <c r="S45" s="157">
        <f>Pav_Dados!S88</f>
        <v>0.6</v>
      </c>
      <c r="T45" s="157">
        <f>Pav_Dados!T88</f>
        <v>0.6</v>
      </c>
      <c r="U45" s="157">
        <f>Pav_Dados!U88</f>
        <v>0.6</v>
      </c>
      <c r="V45" s="157">
        <f>Pav_Dados!V88</f>
        <v>0.6</v>
      </c>
      <c r="W45" s="157">
        <f>Pav_Dados!W88</f>
        <v>0.6</v>
      </c>
      <c r="X45" s="157">
        <f>Pav_Dados!X88</f>
        <v>0.6</v>
      </c>
      <c r="Y45" s="157"/>
      <c r="Z45" s="1222"/>
      <c r="AA45" s="579">
        <f t="shared" si="23"/>
        <v>10.799999999999997</v>
      </c>
    </row>
    <row r="46" spans="1:27" ht="21.95" hidden="1" customHeight="1" x14ac:dyDescent="0.15">
      <c r="A46" s="2596"/>
      <c r="B46" s="2924"/>
      <c r="C46" s="2918"/>
      <c r="D46" s="543" t="s">
        <v>329</v>
      </c>
      <c r="F46" s="1345"/>
      <c r="G46" s="157">
        <f>Pav_Dados!G89</f>
        <v>0</v>
      </c>
      <c r="H46" s="157">
        <f>Pav_Dados!H89</f>
        <v>0</v>
      </c>
      <c r="I46" s="157">
        <f>Pav_Dados!I89</f>
        <v>0</v>
      </c>
      <c r="J46" s="157">
        <f>Pav_Dados!J89</f>
        <v>0</v>
      </c>
      <c r="K46" s="157">
        <f>Pav_Dados!K89</f>
        <v>0</v>
      </c>
      <c r="L46" s="157">
        <f>Pav_Dados!L89</f>
        <v>0</v>
      </c>
      <c r="M46" s="157">
        <f>Pav_Dados!M89</f>
        <v>0</v>
      </c>
      <c r="N46" s="157">
        <f>Pav_Dados!N89</f>
        <v>0</v>
      </c>
      <c r="O46" s="157">
        <f>Pav_Dados!O89</f>
        <v>0</v>
      </c>
      <c r="P46" s="157">
        <f>Pav_Dados!P89</f>
        <v>0</v>
      </c>
      <c r="Q46" s="157">
        <f>Pav_Dados!Q89</f>
        <v>0</v>
      </c>
      <c r="R46" s="157">
        <f>Pav_Dados!R89</f>
        <v>0</v>
      </c>
      <c r="S46" s="157">
        <f>Pav_Dados!S89</f>
        <v>0</v>
      </c>
      <c r="T46" s="157">
        <f>Pav_Dados!T89</f>
        <v>0</v>
      </c>
      <c r="U46" s="157">
        <f>Pav_Dados!U89</f>
        <v>0</v>
      </c>
      <c r="V46" s="157">
        <f>Pav_Dados!V89</f>
        <v>0</v>
      </c>
      <c r="W46" s="157">
        <f>Pav_Dados!W89</f>
        <v>0</v>
      </c>
      <c r="X46" s="157">
        <f>Pav_Dados!X89</f>
        <v>0</v>
      </c>
      <c r="Y46" s="157"/>
      <c r="Z46" s="1222"/>
      <c r="AA46" s="579">
        <f t="shared" si="23"/>
        <v>0</v>
      </c>
    </row>
    <row r="47" spans="1:27" ht="21.95" hidden="1" customHeight="1" x14ac:dyDescent="0.15">
      <c r="A47" s="2596"/>
      <c r="B47" s="2924"/>
      <c r="C47" s="2919"/>
      <c r="D47" s="543" t="s">
        <v>1302</v>
      </c>
      <c r="F47" s="1345"/>
      <c r="G47" s="157">
        <f>Pav_Dados!G90</f>
        <v>0</v>
      </c>
      <c r="H47" s="157">
        <f>Pav_Dados!H90</f>
        <v>0</v>
      </c>
      <c r="I47" s="157">
        <f>Pav_Dados!I90</f>
        <v>0</v>
      </c>
      <c r="J47" s="157">
        <f>Pav_Dados!J90</f>
        <v>0</v>
      </c>
      <c r="K47" s="157">
        <f>Pav_Dados!K90</f>
        <v>0</v>
      </c>
      <c r="L47" s="157">
        <f>Pav_Dados!L90</f>
        <v>0</v>
      </c>
      <c r="M47" s="157">
        <f>Pav_Dados!M90</f>
        <v>0</v>
      </c>
      <c r="N47" s="157">
        <f>Pav_Dados!N90</f>
        <v>0</v>
      </c>
      <c r="O47" s="157">
        <f>Pav_Dados!O90</f>
        <v>0</v>
      </c>
      <c r="P47" s="157">
        <f>Pav_Dados!P90</f>
        <v>0</v>
      </c>
      <c r="Q47" s="157">
        <f>Pav_Dados!Q90</f>
        <v>0</v>
      </c>
      <c r="R47" s="157">
        <f>Pav_Dados!R90</f>
        <v>0</v>
      </c>
      <c r="S47" s="157">
        <f>Pav_Dados!S90</f>
        <v>0</v>
      </c>
      <c r="T47" s="157">
        <f>Pav_Dados!T90</f>
        <v>0</v>
      </c>
      <c r="U47" s="157">
        <f>Pav_Dados!U90</f>
        <v>0</v>
      </c>
      <c r="V47" s="157">
        <f>Pav_Dados!V90</f>
        <v>0</v>
      </c>
      <c r="W47" s="157">
        <f>Pav_Dados!W90</f>
        <v>0</v>
      </c>
      <c r="X47" s="157">
        <f>Pav_Dados!X90</f>
        <v>0</v>
      </c>
      <c r="Y47" s="157"/>
      <c r="Z47" s="1222"/>
      <c r="AA47" s="579">
        <f t="shared" si="23"/>
        <v>0</v>
      </c>
    </row>
    <row r="48" spans="1:27" ht="21.95" hidden="1" customHeight="1" x14ac:dyDescent="0.15">
      <c r="A48" s="2596"/>
      <c r="B48" s="2924"/>
      <c r="C48" s="2918"/>
      <c r="D48" s="543" t="s">
        <v>1058</v>
      </c>
      <c r="F48" s="1345"/>
      <c r="G48" s="157">
        <f>Pav_Dados!G91</f>
        <v>0</v>
      </c>
      <c r="H48" s="157">
        <f>Pav_Dados!H91</f>
        <v>0</v>
      </c>
      <c r="I48" s="157">
        <f>Pav_Dados!I91</f>
        <v>0</v>
      </c>
      <c r="J48" s="157">
        <f>Pav_Dados!J91</f>
        <v>0</v>
      </c>
      <c r="K48" s="157">
        <f>Pav_Dados!K91</f>
        <v>0</v>
      </c>
      <c r="L48" s="157">
        <f>Pav_Dados!L91</f>
        <v>0</v>
      </c>
      <c r="M48" s="157">
        <f>Pav_Dados!M91</f>
        <v>0</v>
      </c>
      <c r="N48" s="157">
        <f>Pav_Dados!N91</f>
        <v>0</v>
      </c>
      <c r="O48" s="157">
        <f>Pav_Dados!O91</f>
        <v>0</v>
      </c>
      <c r="P48" s="157">
        <f>Pav_Dados!P91</f>
        <v>0</v>
      </c>
      <c r="Q48" s="157">
        <f>Pav_Dados!Q91</f>
        <v>0</v>
      </c>
      <c r="R48" s="157">
        <f>Pav_Dados!R91</f>
        <v>0</v>
      </c>
      <c r="S48" s="157">
        <f>Pav_Dados!S91</f>
        <v>0</v>
      </c>
      <c r="T48" s="157">
        <f>Pav_Dados!T91</f>
        <v>0</v>
      </c>
      <c r="U48" s="157">
        <f>Pav_Dados!U91</f>
        <v>0</v>
      </c>
      <c r="V48" s="157">
        <f>Pav_Dados!V91</f>
        <v>0</v>
      </c>
      <c r="W48" s="157">
        <f>Pav_Dados!W91</f>
        <v>0</v>
      </c>
      <c r="X48" s="157">
        <f>Pav_Dados!X91</f>
        <v>0</v>
      </c>
      <c r="Y48" s="157"/>
      <c r="Z48" s="1222"/>
      <c r="AA48" s="579">
        <f t="shared" si="23"/>
        <v>0</v>
      </c>
    </row>
    <row r="49" spans="1:27" ht="21.95" hidden="1" customHeight="1" x14ac:dyDescent="0.15">
      <c r="A49" s="2596"/>
      <c r="B49" s="2924"/>
      <c r="C49" s="2918"/>
      <c r="D49" s="543" t="s">
        <v>1422</v>
      </c>
      <c r="E49" s="1378"/>
      <c r="F49" s="1362"/>
      <c r="G49" s="337">
        <f>Pav_Dados!G86</f>
        <v>0</v>
      </c>
      <c r="H49" s="337">
        <f>Pav_Dados!H86</f>
        <v>0</v>
      </c>
      <c r="I49" s="337">
        <f>Pav_Dados!I86</f>
        <v>0</v>
      </c>
      <c r="J49" s="337">
        <f>Pav_Dados!J86</f>
        <v>0</v>
      </c>
      <c r="K49" s="337">
        <f>Pav_Dados!K86</f>
        <v>0</v>
      </c>
      <c r="L49" s="337">
        <f>Pav_Dados!L86</f>
        <v>0</v>
      </c>
      <c r="M49" s="337">
        <f>Pav_Dados!M86</f>
        <v>0</v>
      </c>
      <c r="N49" s="337">
        <f>Pav_Dados!N86</f>
        <v>0</v>
      </c>
      <c r="O49" s="337">
        <f>Pav_Dados!O86</f>
        <v>0</v>
      </c>
      <c r="P49" s="337">
        <f>Pav_Dados!P86</f>
        <v>0</v>
      </c>
      <c r="Q49" s="337">
        <f>Pav_Dados!Q86</f>
        <v>0</v>
      </c>
      <c r="R49" s="337">
        <f>Pav_Dados!R86</f>
        <v>0</v>
      </c>
      <c r="S49" s="337">
        <f>Pav_Dados!S86</f>
        <v>0</v>
      </c>
      <c r="T49" s="337">
        <f>Pav_Dados!T86</f>
        <v>0</v>
      </c>
      <c r="U49" s="337">
        <f>Pav_Dados!U86</f>
        <v>0</v>
      </c>
      <c r="V49" s="337">
        <f>Pav_Dados!V86</f>
        <v>0</v>
      </c>
      <c r="W49" s="337">
        <f>Pav_Dados!W86</f>
        <v>0</v>
      </c>
      <c r="X49" s="337">
        <f>Pav_Dados!X86</f>
        <v>0</v>
      </c>
      <c r="Y49" s="337"/>
      <c r="Z49" s="1583"/>
      <c r="AA49" s="579">
        <f t="shared" si="23"/>
        <v>0</v>
      </c>
    </row>
    <row r="50" spans="1:27" ht="21.95" hidden="1" customHeight="1" x14ac:dyDescent="0.15">
      <c r="A50" s="2596"/>
      <c r="B50" s="2924"/>
      <c r="C50" s="2918"/>
      <c r="D50" s="544" t="s">
        <v>1885</v>
      </c>
      <c r="F50" s="1345"/>
      <c r="G50" s="1139">
        <f t="shared" ref="G50:X50" si="25">IF(G49=2%,G43,0)</f>
        <v>0</v>
      </c>
      <c r="H50" s="1139">
        <f t="shared" si="25"/>
        <v>0</v>
      </c>
      <c r="I50" s="1139">
        <f t="shared" si="25"/>
        <v>0</v>
      </c>
      <c r="J50" s="1139">
        <f t="shared" si="25"/>
        <v>0</v>
      </c>
      <c r="K50" s="1139">
        <f t="shared" si="25"/>
        <v>0</v>
      </c>
      <c r="L50" s="1139">
        <f t="shared" si="25"/>
        <v>0</v>
      </c>
      <c r="M50" s="1139">
        <f t="shared" si="25"/>
        <v>0</v>
      </c>
      <c r="N50" s="1139">
        <f t="shared" si="25"/>
        <v>0</v>
      </c>
      <c r="O50" s="1139">
        <f t="shared" si="25"/>
        <v>0</v>
      </c>
      <c r="P50" s="1139">
        <f t="shared" si="25"/>
        <v>0</v>
      </c>
      <c r="Q50" s="1139">
        <f t="shared" si="25"/>
        <v>0</v>
      </c>
      <c r="R50" s="1139">
        <f t="shared" si="25"/>
        <v>0</v>
      </c>
      <c r="S50" s="1139">
        <f t="shared" si="25"/>
        <v>0</v>
      </c>
      <c r="T50" s="1139">
        <f t="shared" si="25"/>
        <v>0</v>
      </c>
      <c r="U50" s="1139">
        <f t="shared" si="25"/>
        <v>0</v>
      </c>
      <c r="V50" s="1139">
        <f t="shared" si="25"/>
        <v>0</v>
      </c>
      <c r="W50" s="1139">
        <f t="shared" si="25"/>
        <v>0</v>
      </c>
      <c r="X50" s="1139">
        <f t="shared" si="25"/>
        <v>0</v>
      </c>
      <c r="Y50" s="1139"/>
      <c r="Z50" s="1218">
        <f t="shared" ref="Z50:Z80" si="26">+ROUND(SUM(G50:Y50),2)</f>
        <v>0</v>
      </c>
      <c r="AA50" s="579">
        <f t="shared" si="23"/>
        <v>0</v>
      </c>
    </row>
    <row r="51" spans="1:27" ht="21.95" hidden="1" customHeight="1" x14ac:dyDescent="0.15">
      <c r="A51" s="2596"/>
      <c r="B51" s="2924"/>
      <c r="C51" s="2918"/>
      <c r="D51" s="543" t="s">
        <v>1886</v>
      </c>
      <c r="F51" s="1345"/>
      <c r="G51" s="1139">
        <f t="shared" ref="G51:X51" si="27">IF(G49=4%,G43,0)</f>
        <v>0</v>
      </c>
      <c r="H51" s="1139">
        <f t="shared" si="27"/>
        <v>0</v>
      </c>
      <c r="I51" s="1139">
        <f t="shared" si="27"/>
        <v>0</v>
      </c>
      <c r="J51" s="1139">
        <f t="shared" si="27"/>
        <v>0</v>
      </c>
      <c r="K51" s="1139">
        <f t="shared" si="27"/>
        <v>0</v>
      </c>
      <c r="L51" s="1139">
        <f t="shared" si="27"/>
        <v>0</v>
      </c>
      <c r="M51" s="1139">
        <f t="shared" si="27"/>
        <v>0</v>
      </c>
      <c r="N51" s="1139">
        <f t="shared" si="27"/>
        <v>0</v>
      </c>
      <c r="O51" s="1139">
        <f t="shared" si="27"/>
        <v>0</v>
      </c>
      <c r="P51" s="1139">
        <f t="shared" si="27"/>
        <v>0</v>
      </c>
      <c r="Q51" s="1139">
        <f t="shared" si="27"/>
        <v>0</v>
      </c>
      <c r="R51" s="1139">
        <f t="shared" si="27"/>
        <v>0</v>
      </c>
      <c r="S51" s="1139">
        <f t="shared" si="27"/>
        <v>0</v>
      </c>
      <c r="T51" s="1139">
        <f t="shared" si="27"/>
        <v>0</v>
      </c>
      <c r="U51" s="1139">
        <f t="shared" si="27"/>
        <v>0</v>
      </c>
      <c r="V51" s="1139">
        <f t="shared" si="27"/>
        <v>0</v>
      </c>
      <c r="W51" s="1139">
        <f t="shared" si="27"/>
        <v>0</v>
      </c>
      <c r="X51" s="1139">
        <f t="shared" si="27"/>
        <v>0</v>
      </c>
      <c r="Y51" s="1139"/>
      <c r="Z51" s="1218">
        <f t="shared" si="26"/>
        <v>0</v>
      </c>
      <c r="AA51" s="579">
        <f t="shared" si="23"/>
        <v>0</v>
      </c>
    </row>
    <row r="52" spans="1:27" ht="21.95" hidden="1" customHeight="1" x14ac:dyDescent="0.15">
      <c r="A52" s="2596"/>
      <c r="B52" s="2924"/>
      <c r="C52" s="2918"/>
      <c r="D52" s="543" t="s">
        <v>1887</v>
      </c>
      <c r="F52" s="1345"/>
      <c r="G52" s="1139">
        <f t="shared" ref="G52:X52" si="28">IF(G49=6%,G43,0)</f>
        <v>0</v>
      </c>
      <c r="H52" s="1139">
        <f t="shared" si="28"/>
        <v>0</v>
      </c>
      <c r="I52" s="1139">
        <f t="shared" si="28"/>
        <v>0</v>
      </c>
      <c r="J52" s="1139">
        <f t="shared" si="28"/>
        <v>0</v>
      </c>
      <c r="K52" s="1139">
        <f t="shared" si="28"/>
        <v>0</v>
      </c>
      <c r="L52" s="1139">
        <f t="shared" si="28"/>
        <v>0</v>
      </c>
      <c r="M52" s="1139">
        <f t="shared" si="28"/>
        <v>0</v>
      </c>
      <c r="N52" s="1139">
        <f t="shared" si="28"/>
        <v>0</v>
      </c>
      <c r="O52" s="1139">
        <f t="shared" si="28"/>
        <v>0</v>
      </c>
      <c r="P52" s="1139">
        <f t="shared" si="28"/>
        <v>0</v>
      </c>
      <c r="Q52" s="1139">
        <f t="shared" si="28"/>
        <v>0</v>
      </c>
      <c r="R52" s="1139">
        <f t="shared" si="28"/>
        <v>0</v>
      </c>
      <c r="S52" s="1139">
        <f t="shared" si="28"/>
        <v>0</v>
      </c>
      <c r="T52" s="1139">
        <f t="shared" si="28"/>
        <v>0</v>
      </c>
      <c r="U52" s="1139">
        <f t="shared" si="28"/>
        <v>0</v>
      </c>
      <c r="V52" s="1139">
        <f t="shared" si="28"/>
        <v>0</v>
      </c>
      <c r="W52" s="1139">
        <f t="shared" si="28"/>
        <v>0</v>
      </c>
      <c r="X52" s="1139">
        <f t="shared" si="28"/>
        <v>0</v>
      </c>
      <c r="Y52" s="1139"/>
      <c r="Z52" s="1218">
        <f t="shared" si="26"/>
        <v>0</v>
      </c>
      <c r="AA52" s="579">
        <f t="shared" si="23"/>
        <v>0</v>
      </c>
    </row>
    <row r="53" spans="1:27" ht="21.95" hidden="1" customHeight="1" x14ac:dyDescent="0.15">
      <c r="A53" s="2596"/>
      <c r="B53" s="2924"/>
      <c r="C53" s="2918"/>
      <c r="D53" s="543" t="s">
        <v>1888</v>
      </c>
      <c r="F53" s="1345"/>
      <c r="G53" s="1139">
        <f t="shared" ref="G53:X53" si="29">IF(G49=8%,G43,0)</f>
        <v>0</v>
      </c>
      <c r="H53" s="1139">
        <f t="shared" si="29"/>
        <v>0</v>
      </c>
      <c r="I53" s="1139">
        <f t="shared" si="29"/>
        <v>0</v>
      </c>
      <c r="J53" s="1139">
        <f t="shared" si="29"/>
        <v>0</v>
      </c>
      <c r="K53" s="1139">
        <f t="shared" si="29"/>
        <v>0</v>
      </c>
      <c r="L53" s="1139">
        <f t="shared" si="29"/>
        <v>0</v>
      </c>
      <c r="M53" s="1139">
        <f t="shared" si="29"/>
        <v>0</v>
      </c>
      <c r="N53" s="1139">
        <f t="shared" si="29"/>
        <v>0</v>
      </c>
      <c r="O53" s="1139">
        <f t="shared" si="29"/>
        <v>0</v>
      </c>
      <c r="P53" s="1139">
        <f t="shared" si="29"/>
        <v>0</v>
      </c>
      <c r="Q53" s="1139">
        <f t="shared" si="29"/>
        <v>0</v>
      </c>
      <c r="R53" s="1139">
        <f t="shared" si="29"/>
        <v>0</v>
      </c>
      <c r="S53" s="1139">
        <f t="shared" si="29"/>
        <v>0</v>
      </c>
      <c r="T53" s="1139">
        <f t="shared" si="29"/>
        <v>0</v>
      </c>
      <c r="U53" s="1139">
        <f t="shared" si="29"/>
        <v>0</v>
      </c>
      <c r="V53" s="1139">
        <f t="shared" si="29"/>
        <v>0</v>
      </c>
      <c r="W53" s="1139">
        <f t="shared" si="29"/>
        <v>0</v>
      </c>
      <c r="X53" s="1139">
        <f t="shared" si="29"/>
        <v>0</v>
      </c>
      <c r="Y53" s="1139"/>
      <c r="Z53" s="1218">
        <f t="shared" si="26"/>
        <v>0</v>
      </c>
      <c r="AA53" s="579">
        <f t="shared" si="23"/>
        <v>0</v>
      </c>
    </row>
    <row r="54" spans="1:27" ht="21.95" customHeight="1" x14ac:dyDescent="0.15">
      <c r="A54" s="2596"/>
      <c r="B54" s="2924"/>
      <c r="C54" s="2918"/>
      <c r="D54" s="543" t="s">
        <v>538</v>
      </c>
      <c r="F54" s="1345"/>
      <c r="G54" s="1139">
        <f t="shared" ref="G54:X54" si="30">IF(SUM(G44:G45)&gt;0,G43,0)</f>
        <v>948.21639499999992</v>
      </c>
      <c r="H54" s="1139">
        <f t="shared" si="30"/>
        <v>914.56999500000006</v>
      </c>
      <c r="I54" s="1139">
        <f t="shared" si="30"/>
        <v>512.53869499999996</v>
      </c>
      <c r="J54" s="1139">
        <f t="shared" si="30"/>
        <v>509.68410600000004</v>
      </c>
      <c r="K54" s="1139">
        <f t="shared" si="30"/>
        <v>314.59597500000001</v>
      </c>
      <c r="L54" s="1139">
        <f t="shared" si="30"/>
        <v>242.49542999999997</v>
      </c>
      <c r="M54" s="1139">
        <f t="shared" si="30"/>
        <v>30.099450000000001</v>
      </c>
      <c r="N54" s="1139">
        <f t="shared" si="30"/>
        <v>317.75891999999999</v>
      </c>
      <c r="O54" s="1139">
        <f t="shared" si="30"/>
        <v>569.04427499999997</v>
      </c>
      <c r="P54" s="1139">
        <f t="shared" si="30"/>
        <v>317.56950000000001</v>
      </c>
      <c r="Q54" s="1139">
        <f t="shared" si="30"/>
        <v>361.32082500000001</v>
      </c>
      <c r="R54" s="1139">
        <f t="shared" si="30"/>
        <v>784.6702499999999</v>
      </c>
      <c r="S54" s="1139">
        <f t="shared" si="30"/>
        <v>789.45200999999997</v>
      </c>
      <c r="T54" s="1139">
        <f t="shared" si="30"/>
        <v>746.09426999999994</v>
      </c>
      <c r="U54" s="1139">
        <f t="shared" si="30"/>
        <v>815.98366500000009</v>
      </c>
      <c r="V54" s="1139">
        <f t="shared" si="30"/>
        <v>795.60364499999991</v>
      </c>
      <c r="W54" s="1139">
        <f t="shared" si="30"/>
        <v>328.92839999999995</v>
      </c>
      <c r="X54" s="1139">
        <f t="shared" si="30"/>
        <v>503.13147000000004</v>
      </c>
      <c r="Y54" s="1139"/>
      <c r="Z54" s="1218">
        <f t="shared" si="26"/>
        <v>9801.76</v>
      </c>
      <c r="AA54" s="579">
        <f t="shared" si="23"/>
        <v>19603.517275999999</v>
      </c>
    </row>
    <row r="55" spans="1:27" ht="21.95" hidden="1" customHeight="1" x14ac:dyDescent="0.15">
      <c r="A55" s="2596"/>
      <c r="B55" s="2924"/>
      <c r="C55" s="2918"/>
      <c r="D55" s="543" t="s">
        <v>1889</v>
      </c>
      <c r="F55" s="1345"/>
      <c r="G55" s="1139">
        <f t="shared" ref="G55:X55" si="31">IF(G46=100%,G43,0)</f>
        <v>0</v>
      </c>
      <c r="H55" s="1139">
        <f t="shared" si="31"/>
        <v>0</v>
      </c>
      <c r="I55" s="1139">
        <f t="shared" si="31"/>
        <v>0</v>
      </c>
      <c r="J55" s="1139">
        <f t="shared" si="31"/>
        <v>0</v>
      </c>
      <c r="K55" s="1139">
        <f t="shared" si="31"/>
        <v>0</v>
      </c>
      <c r="L55" s="1139">
        <f t="shared" si="31"/>
        <v>0</v>
      </c>
      <c r="M55" s="1139">
        <f t="shared" si="31"/>
        <v>0</v>
      </c>
      <c r="N55" s="1139">
        <f t="shared" si="31"/>
        <v>0</v>
      </c>
      <c r="O55" s="1139">
        <f t="shared" si="31"/>
        <v>0</v>
      </c>
      <c r="P55" s="1139">
        <f t="shared" si="31"/>
        <v>0</v>
      </c>
      <c r="Q55" s="1139">
        <f t="shared" si="31"/>
        <v>0</v>
      </c>
      <c r="R55" s="1139">
        <f t="shared" si="31"/>
        <v>0</v>
      </c>
      <c r="S55" s="1139">
        <f t="shared" si="31"/>
        <v>0</v>
      </c>
      <c r="T55" s="1139">
        <f t="shared" si="31"/>
        <v>0</v>
      </c>
      <c r="U55" s="1139">
        <f t="shared" si="31"/>
        <v>0</v>
      </c>
      <c r="V55" s="1139">
        <f t="shared" si="31"/>
        <v>0</v>
      </c>
      <c r="W55" s="1139">
        <f t="shared" si="31"/>
        <v>0</v>
      </c>
      <c r="X55" s="1139">
        <f t="shared" si="31"/>
        <v>0</v>
      </c>
      <c r="Y55" s="1139"/>
      <c r="Z55" s="1218">
        <f t="shared" si="26"/>
        <v>0</v>
      </c>
      <c r="AA55" s="579">
        <f t="shared" si="23"/>
        <v>0</v>
      </c>
    </row>
    <row r="56" spans="1:27" ht="21.95" hidden="1" customHeight="1" x14ac:dyDescent="0.15">
      <c r="A56" s="2596"/>
      <c r="B56" s="2924"/>
      <c r="C56" s="2919"/>
      <c r="D56" s="543" t="s">
        <v>1890</v>
      </c>
      <c r="F56" s="1345"/>
      <c r="G56" s="1139">
        <f t="shared" ref="G56:X56" si="32">IF(G47=100%,G43,0)</f>
        <v>0</v>
      </c>
      <c r="H56" s="1139">
        <f t="shared" si="32"/>
        <v>0</v>
      </c>
      <c r="I56" s="1139">
        <f t="shared" si="32"/>
        <v>0</v>
      </c>
      <c r="J56" s="1139">
        <f t="shared" si="32"/>
        <v>0</v>
      </c>
      <c r="K56" s="1139">
        <f t="shared" si="32"/>
        <v>0</v>
      </c>
      <c r="L56" s="1139">
        <f t="shared" si="32"/>
        <v>0</v>
      </c>
      <c r="M56" s="1139">
        <f t="shared" si="32"/>
        <v>0</v>
      </c>
      <c r="N56" s="1139">
        <f t="shared" si="32"/>
        <v>0</v>
      </c>
      <c r="O56" s="1139">
        <f t="shared" si="32"/>
        <v>0</v>
      </c>
      <c r="P56" s="1139">
        <f t="shared" si="32"/>
        <v>0</v>
      </c>
      <c r="Q56" s="1139">
        <f t="shared" si="32"/>
        <v>0</v>
      </c>
      <c r="R56" s="1139">
        <f t="shared" si="32"/>
        <v>0</v>
      </c>
      <c r="S56" s="1139">
        <f t="shared" si="32"/>
        <v>0</v>
      </c>
      <c r="T56" s="1139">
        <f t="shared" si="32"/>
        <v>0</v>
      </c>
      <c r="U56" s="1139">
        <f t="shared" si="32"/>
        <v>0</v>
      </c>
      <c r="V56" s="1139">
        <f t="shared" si="32"/>
        <v>0</v>
      </c>
      <c r="W56" s="1139">
        <f t="shared" si="32"/>
        <v>0</v>
      </c>
      <c r="X56" s="1139">
        <f t="shared" si="32"/>
        <v>0</v>
      </c>
      <c r="Y56" s="1139"/>
      <c r="Z56" s="1218">
        <f t="shared" si="26"/>
        <v>0</v>
      </c>
      <c r="AA56" s="579">
        <f t="shared" si="23"/>
        <v>0</v>
      </c>
    </row>
    <row r="57" spans="1:27" ht="21.95" hidden="1" customHeight="1" x14ac:dyDescent="0.15">
      <c r="A57" s="2596"/>
      <c r="B57" s="2924"/>
      <c r="C57" s="2918"/>
      <c r="D57" s="543" t="s">
        <v>1891</v>
      </c>
      <c r="E57" s="1378"/>
      <c r="F57" s="1362"/>
      <c r="G57" s="1207">
        <f t="shared" ref="G57:X57" si="33">IF(G48=100%,G43,0)</f>
        <v>0</v>
      </c>
      <c r="H57" s="1207">
        <f t="shared" si="33"/>
        <v>0</v>
      </c>
      <c r="I57" s="1207">
        <f t="shared" si="33"/>
        <v>0</v>
      </c>
      <c r="J57" s="1207">
        <f t="shared" si="33"/>
        <v>0</v>
      </c>
      <c r="K57" s="1207">
        <f t="shared" si="33"/>
        <v>0</v>
      </c>
      <c r="L57" s="1207">
        <f t="shared" si="33"/>
        <v>0</v>
      </c>
      <c r="M57" s="1207">
        <f t="shared" si="33"/>
        <v>0</v>
      </c>
      <c r="N57" s="1207">
        <f t="shared" si="33"/>
        <v>0</v>
      </c>
      <c r="O57" s="1207">
        <f t="shared" si="33"/>
        <v>0</v>
      </c>
      <c r="P57" s="1207">
        <f t="shared" si="33"/>
        <v>0</v>
      </c>
      <c r="Q57" s="1207">
        <f t="shared" si="33"/>
        <v>0</v>
      </c>
      <c r="R57" s="1207">
        <f t="shared" si="33"/>
        <v>0</v>
      </c>
      <c r="S57" s="1207">
        <f t="shared" si="33"/>
        <v>0</v>
      </c>
      <c r="T57" s="1207">
        <f t="shared" si="33"/>
        <v>0</v>
      </c>
      <c r="U57" s="1207">
        <f t="shared" si="33"/>
        <v>0</v>
      </c>
      <c r="V57" s="1207">
        <f t="shared" si="33"/>
        <v>0</v>
      </c>
      <c r="W57" s="1207">
        <f t="shared" si="33"/>
        <v>0</v>
      </c>
      <c r="X57" s="1207">
        <f t="shared" si="33"/>
        <v>0</v>
      </c>
      <c r="Y57" s="1207"/>
      <c r="Z57" s="1224">
        <f t="shared" si="26"/>
        <v>0</v>
      </c>
      <c r="AA57" s="579">
        <f t="shared" si="23"/>
        <v>0</v>
      </c>
    </row>
    <row r="58" spans="1:27" ht="21.95" hidden="1" customHeight="1" x14ac:dyDescent="0.15">
      <c r="A58" s="2596"/>
      <c r="B58" s="2924"/>
      <c r="C58" s="2918"/>
      <c r="D58" s="544" t="s">
        <v>1207</v>
      </c>
      <c r="F58" s="1345"/>
      <c r="G58" s="1139">
        <f t="shared" ref="G58:X58" si="34">(G50*48.1741+G51*93.0233+G52*136.6637+G53*188.2884)/1000</f>
        <v>0</v>
      </c>
      <c r="H58" s="1139">
        <f t="shared" si="34"/>
        <v>0</v>
      </c>
      <c r="I58" s="1139">
        <f t="shared" si="34"/>
        <v>0</v>
      </c>
      <c r="J58" s="1139">
        <f t="shared" si="34"/>
        <v>0</v>
      </c>
      <c r="K58" s="1139">
        <f t="shared" si="34"/>
        <v>0</v>
      </c>
      <c r="L58" s="1139">
        <f t="shared" si="34"/>
        <v>0</v>
      </c>
      <c r="M58" s="1139">
        <f t="shared" si="34"/>
        <v>0</v>
      </c>
      <c r="N58" s="1139">
        <f t="shared" si="34"/>
        <v>0</v>
      </c>
      <c r="O58" s="1139">
        <f t="shared" si="34"/>
        <v>0</v>
      </c>
      <c r="P58" s="1139">
        <f t="shared" si="34"/>
        <v>0</v>
      </c>
      <c r="Q58" s="1139">
        <f t="shared" si="34"/>
        <v>0</v>
      </c>
      <c r="R58" s="1139">
        <f t="shared" si="34"/>
        <v>0</v>
      </c>
      <c r="S58" s="1139">
        <f t="shared" si="34"/>
        <v>0</v>
      </c>
      <c r="T58" s="1139">
        <f t="shared" si="34"/>
        <v>0</v>
      </c>
      <c r="U58" s="1139">
        <f t="shared" si="34"/>
        <v>0</v>
      </c>
      <c r="V58" s="1139">
        <f t="shared" si="34"/>
        <v>0</v>
      </c>
      <c r="W58" s="1139">
        <f t="shared" si="34"/>
        <v>0</v>
      </c>
      <c r="X58" s="1139">
        <f t="shared" si="34"/>
        <v>0</v>
      </c>
      <c r="Y58" s="1139"/>
      <c r="Z58" s="1217">
        <f t="shared" si="26"/>
        <v>0</v>
      </c>
      <c r="AA58" s="579">
        <f t="shared" si="23"/>
        <v>0</v>
      </c>
    </row>
    <row r="59" spans="1:27" ht="21.95" customHeight="1" x14ac:dyDescent="0.15">
      <c r="A59" s="2596"/>
      <c r="B59" s="2924"/>
      <c r="C59" s="2918"/>
      <c r="D59" s="543" t="s">
        <v>725</v>
      </c>
      <c r="F59" s="1345"/>
      <c r="G59" s="1139">
        <f t="shared" ref="G59:X59" si="35">G43*G44*1.25</f>
        <v>474.10819750000002</v>
      </c>
      <c r="H59" s="1139">
        <f t="shared" si="35"/>
        <v>457.28499750000003</v>
      </c>
      <c r="I59" s="1139">
        <f t="shared" si="35"/>
        <v>256.26934749999998</v>
      </c>
      <c r="J59" s="1139">
        <f t="shared" si="35"/>
        <v>254.84205300000002</v>
      </c>
      <c r="K59" s="1139">
        <f t="shared" si="35"/>
        <v>157.2979875</v>
      </c>
      <c r="L59" s="1139">
        <f t="shared" si="35"/>
        <v>121.247715</v>
      </c>
      <c r="M59" s="1139">
        <f t="shared" si="35"/>
        <v>15.049725</v>
      </c>
      <c r="N59" s="1139">
        <f t="shared" si="35"/>
        <v>158.87945999999999</v>
      </c>
      <c r="O59" s="1139">
        <f t="shared" si="35"/>
        <v>284.52213749999999</v>
      </c>
      <c r="P59" s="1139">
        <f t="shared" si="35"/>
        <v>158.78475000000003</v>
      </c>
      <c r="Q59" s="1139">
        <f t="shared" si="35"/>
        <v>180.66041250000001</v>
      </c>
      <c r="R59" s="1139">
        <f t="shared" si="35"/>
        <v>392.33512499999995</v>
      </c>
      <c r="S59" s="1139">
        <f t="shared" si="35"/>
        <v>394.72600499999999</v>
      </c>
      <c r="T59" s="1139">
        <f t="shared" si="35"/>
        <v>373.04713499999997</v>
      </c>
      <c r="U59" s="1139">
        <f t="shared" si="35"/>
        <v>407.99183250000004</v>
      </c>
      <c r="V59" s="1139">
        <f t="shared" si="35"/>
        <v>397.80182249999996</v>
      </c>
      <c r="W59" s="1139">
        <f t="shared" si="35"/>
        <v>164.46420000000001</v>
      </c>
      <c r="X59" s="1139">
        <f t="shared" si="35"/>
        <v>251.56573500000005</v>
      </c>
      <c r="Y59" s="1139"/>
      <c r="Z59" s="1218">
        <f t="shared" si="26"/>
        <v>4900.88</v>
      </c>
      <c r="AA59" s="579">
        <f t="shared" si="23"/>
        <v>9801.7586380000012</v>
      </c>
    </row>
    <row r="60" spans="1:27" ht="32.1" customHeight="1" thickBot="1" x14ac:dyDescent="0.2">
      <c r="A60" s="2596"/>
      <c r="B60" s="2924"/>
      <c r="C60" s="2918"/>
      <c r="D60" s="567" t="s">
        <v>2743</v>
      </c>
      <c r="F60" s="1345"/>
      <c r="G60" s="1139">
        <f t="shared" ref="G60:X60" si="36">G43*G45*1.375</f>
        <v>782.2785258749999</v>
      </c>
      <c r="H60" s="1139">
        <f t="shared" si="36"/>
        <v>754.520245875</v>
      </c>
      <c r="I60" s="1139">
        <f t="shared" si="36"/>
        <v>422.84442337499996</v>
      </c>
      <c r="J60" s="1139">
        <f t="shared" si="36"/>
        <v>420.48938744999998</v>
      </c>
      <c r="K60" s="1139">
        <f t="shared" si="36"/>
        <v>259.541679375</v>
      </c>
      <c r="L60" s="1139">
        <f t="shared" si="36"/>
        <v>200.05872975</v>
      </c>
      <c r="M60" s="1139">
        <f t="shared" si="36"/>
        <v>24.832046250000001</v>
      </c>
      <c r="N60" s="1139">
        <f t="shared" si="36"/>
        <v>262.15110900000002</v>
      </c>
      <c r="O60" s="1139">
        <f t="shared" si="36"/>
        <v>469.461526875</v>
      </c>
      <c r="P60" s="1139">
        <f t="shared" si="36"/>
        <v>261.99483750000002</v>
      </c>
      <c r="Q60" s="1139">
        <f t="shared" si="36"/>
        <v>298.08968062500003</v>
      </c>
      <c r="R60" s="1139">
        <f t="shared" si="36"/>
        <v>647.35295624999992</v>
      </c>
      <c r="S60" s="1139">
        <f t="shared" si="36"/>
        <v>651.29790824999998</v>
      </c>
      <c r="T60" s="1139">
        <f t="shared" si="36"/>
        <v>615.52777274999994</v>
      </c>
      <c r="U60" s="1139">
        <f t="shared" si="36"/>
        <v>673.18652362500006</v>
      </c>
      <c r="V60" s="1139">
        <f t="shared" si="36"/>
        <v>656.37300712499996</v>
      </c>
      <c r="W60" s="1139">
        <f t="shared" si="36"/>
        <v>271.36592999999993</v>
      </c>
      <c r="X60" s="1139">
        <f t="shared" si="36"/>
        <v>415.08346275000002</v>
      </c>
      <c r="Y60" s="1139"/>
      <c r="Z60" s="1218">
        <f t="shared" si="26"/>
        <v>8086.45</v>
      </c>
      <c r="AA60" s="579">
        <f t="shared" si="23"/>
        <v>16172.899752699999</v>
      </c>
    </row>
    <row r="61" spans="1:27" ht="21.95" hidden="1" customHeight="1" x14ac:dyDescent="0.15">
      <c r="A61" s="2596"/>
      <c r="B61" s="2924"/>
      <c r="C61" s="2918"/>
      <c r="D61" s="543" t="s">
        <v>726</v>
      </c>
      <c r="F61" s="1345"/>
      <c r="G61" s="1139">
        <f t="shared" ref="G61:X61" si="37">G43*G46*1.25</f>
        <v>0</v>
      </c>
      <c r="H61" s="1139">
        <f t="shared" si="37"/>
        <v>0</v>
      </c>
      <c r="I61" s="1139">
        <f t="shared" si="37"/>
        <v>0</v>
      </c>
      <c r="J61" s="1139">
        <f t="shared" si="37"/>
        <v>0</v>
      </c>
      <c r="K61" s="1139">
        <f t="shared" si="37"/>
        <v>0</v>
      </c>
      <c r="L61" s="1139">
        <f t="shared" si="37"/>
        <v>0</v>
      </c>
      <c r="M61" s="1139">
        <f t="shared" si="37"/>
        <v>0</v>
      </c>
      <c r="N61" s="1139">
        <f t="shared" si="37"/>
        <v>0</v>
      </c>
      <c r="O61" s="1139">
        <f t="shared" si="37"/>
        <v>0</v>
      </c>
      <c r="P61" s="1139">
        <f t="shared" si="37"/>
        <v>0</v>
      </c>
      <c r="Q61" s="1139">
        <f t="shared" si="37"/>
        <v>0</v>
      </c>
      <c r="R61" s="1139">
        <f t="shared" si="37"/>
        <v>0</v>
      </c>
      <c r="S61" s="1139">
        <f t="shared" si="37"/>
        <v>0</v>
      </c>
      <c r="T61" s="1139">
        <f t="shared" si="37"/>
        <v>0</v>
      </c>
      <c r="U61" s="1139">
        <f t="shared" si="37"/>
        <v>0</v>
      </c>
      <c r="V61" s="1139">
        <f t="shared" si="37"/>
        <v>0</v>
      </c>
      <c r="W61" s="1139">
        <f t="shared" si="37"/>
        <v>0</v>
      </c>
      <c r="X61" s="1139">
        <f t="shared" si="37"/>
        <v>0</v>
      </c>
      <c r="Y61" s="1139"/>
      <c r="Z61" s="1218">
        <f t="shared" si="26"/>
        <v>0</v>
      </c>
      <c r="AA61" s="579">
        <f t="shared" si="23"/>
        <v>0</v>
      </c>
    </row>
    <row r="62" spans="1:27" ht="21.95" hidden="1" customHeight="1" x14ac:dyDescent="0.15">
      <c r="A62" s="2596"/>
      <c r="B62" s="2924"/>
      <c r="C62" s="2919"/>
      <c r="D62" s="543" t="s">
        <v>1305</v>
      </c>
      <c r="F62" s="1345"/>
      <c r="G62" s="1207">
        <f t="shared" ref="G62:X62" si="38">G43*G47*1.375</f>
        <v>0</v>
      </c>
      <c r="H62" s="1207">
        <f t="shared" si="38"/>
        <v>0</v>
      </c>
      <c r="I62" s="1207">
        <f t="shared" si="38"/>
        <v>0</v>
      </c>
      <c r="J62" s="1207">
        <f t="shared" si="38"/>
        <v>0</v>
      </c>
      <c r="K62" s="1207">
        <f t="shared" si="38"/>
        <v>0</v>
      </c>
      <c r="L62" s="1207">
        <f t="shared" si="38"/>
        <v>0</v>
      </c>
      <c r="M62" s="1207">
        <f t="shared" si="38"/>
        <v>0</v>
      </c>
      <c r="N62" s="1207">
        <f t="shared" si="38"/>
        <v>0</v>
      </c>
      <c r="O62" s="1207">
        <f t="shared" si="38"/>
        <v>0</v>
      </c>
      <c r="P62" s="1207">
        <f t="shared" si="38"/>
        <v>0</v>
      </c>
      <c r="Q62" s="1207">
        <f t="shared" si="38"/>
        <v>0</v>
      </c>
      <c r="R62" s="1207">
        <f t="shared" si="38"/>
        <v>0</v>
      </c>
      <c r="S62" s="1207">
        <f t="shared" si="38"/>
        <v>0</v>
      </c>
      <c r="T62" s="1207">
        <f t="shared" si="38"/>
        <v>0</v>
      </c>
      <c r="U62" s="1207">
        <f t="shared" si="38"/>
        <v>0</v>
      </c>
      <c r="V62" s="1207">
        <f t="shared" si="38"/>
        <v>0</v>
      </c>
      <c r="W62" s="1207">
        <f t="shared" si="38"/>
        <v>0</v>
      </c>
      <c r="X62" s="1207">
        <f t="shared" si="38"/>
        <v>0</v>
      </c>
      <c r="Y62" s="1207"/>
      <c r="Z62" s="1208">
        <f t="shared" si="26"/>
        <v>0</v>
      </c>
      <c r="AA62" s="579">
        <f t="shared" si="23"/>
        <v>0</v>
      </c>
    </row>
    <row r="63" spans="1:27" ht="21.95" hidden="1" customHeight="1" thickBot="1" x14ac:dyDescent="0.2">
      <c r="A63" s="2596"/>
      <c r="B63" s="2924"/>
      <c r="C63" s="2918"/>
      <c r="D63" s="1071" t="s">
        <v>1059</v>
      </c>
      <c r="E63" s="1377"/>
      <c r="F63" s="1270"/>
      <c r="G63" s="1135">
        <f t="shared" ref="G63:X63" si="39">G43*G48*1.4667</f>
        <v>0</v>
      </c>
      <c r="H63" s="1135">
        <f t="shared" si="39"/>
        <v>0</v>
      </c>
      <c r="I63" s="1135">
        <f t="shared" si="39"/>
        <v>0</v>
      </c>
      <c r="J63" s="1135">
        <f t="shared" si="39"/>
        <v>0</v>
      </c>
      <c r="K63" s="1135">
        <f t="shared" si="39"/>
        <v>0</v>
      </c>
      <c r="L63" s="1135">
        <f t="shared" si="39"/>
        <v>0</v>
      </c>
      <c r="M63" s="1135">
        <f t="shared" si="39"/>
        <v>0</v>
      </c>
      <c r="N63" s="1135">
        <f t="shared" si="39"/>
        <v>0</v>
      </c>
      <c r="O63" s="1135">
        <f t="shared" si="39"/>
        <v>0</v>
      </c>
      <c r="P63" s="1135">
        <f t="shared" si="39"/>
        <v>0</v>
      </c>
      <c r="Q63" s="1135">
        <f t="shared" si="39"/>
        <v>0</v>
      </c>
      <c r="R63" s="1135">
        <f t="shared" si="39"/>
        <v>0</v>
      </c>
      <c r="S63" s="1135">
        <f t="shared" si="39"/>
        <v>0</v>
      </c>
      <c r="T63" s="1135">
        <f t="shared" si="39"/>
        <v>0</v>
      </c>
      <c r="U63" s="1135">
        <f t="shared" si="39"/>
        <v>0</v>
      </c>
      <c r="V63" s="1135">
        <f t="shared" si="39"/>
        <v>0</v>
      </c>
      <c r="W63" s="1135">
        <f t="shared" si="39"/>
        <v>0</v>
      </c>
      <c r="X63" s="1135">
        <f t="shared" si="39"/>
        <v>0</v>
      </c>
      <c r="Y63" s="1135"/>
      <c r="Z63" s="1215">
        <f t="shared" si="26"/>
        <v>0</v>
      </c>
      <c r="AA63" s="579">
        <f t="shared" si="23"/>
        <v>0</v>
      </c>
    </row>
    <row r="64" spans="1:27" ht="21.95" customHeight="1" x14ac:dyDescent="0.15">
      <c r="A64" s="2596"/>
      <c r="B64" s="2924"/>
      <c r="C64" s="2917" t="s">
        <v>301</v>
      </c>
      <c r="D64" s="542" t="s">
        <v>29</v>
      </c>
      <c r="F64" s="1345"/>
      <c r="G64" s="1137">
        <f>Pav_Dados!G76</f>
        <v>5086.57</v>
      </c>
      <c r="H64" s="1137">
        <f>Pav_Dados!H76</f>
        <v>5037.96</v>
      </c>
      <c r="I64" s="1137">
        <f>Pav_Dados!I76</f>
        <v>2844.21</v>
      </c>
      <c r="J64" s="1137">
        <f>Pav_Dados!J76</f>
        <v>2846.3</v>
      </c>
      <c r="K64" s="1137">
        <f>Pav_Dados!K76</f>
        <v>1846.82</v>
      </c>
      <c r="L64" s="1137">
        <f>Pav_Dados!L76</f>
        <v>1473.54</v>
      </c>
      <c r="M64" s="1137">
        <f>Pav_Dados!M76</f>
        <v>175.8</v>
      </c>
      <c r="N64" s="1137">
        <f>Pav_Dados!N76</f>
        <v>1865.42</v>
      </c>
      <c r="O64" s="1137">
        <f>Pav_Dados!O76</f>
        <v>3342.17</v>
      </c>
      <c r="P64" s="1137">
        <f>Pav_Dados!P76</f>
        <v>1864.27</v>
      </c>
      <c r="Q64" s="1137">
        <f>Pav_Dados!Q76</f>
        <v>2168.8000000000002</v>
      </c>
      <c r="R64" s="1137">
        <f>Pav_Dados!R76</f>
        <v>4611.4399999999996</v>
      </c>
      <c r="S64" s="1137">
        <f>Pav_Dados!S76</f>
        <v>4632.6400000000003</v>
      </c>
      <c r="T64" s="1137">
        <f>Pav_Dados!T76</f>
        <v>4381.79</v>
      </c>
      <c r="U64" s="1137">
        <f>Pav_Dados!U76</f>
        <v>4788.41</v>
      </c>
      <c r="V64" s="1137">
        <f>Pav_Dados!V76</f>
        <v>4669.67</v>
      </c>
      <c r="W64" s="1137">
        <f>Pav_Dados!W76</f>
        <v>1952.78</v>
      </c>
      <c r="X64" s="1137">
        <f>Pav_Dados!X76</f>
        <v>3040.09</v>
      </c>
      <c r="Y64" s="1137"/>
      <c r="Z64" s="1204">
        <f t="shared" si="26"/>
        <v>56628.68</v>
      </c>
      <c r="AA64" s="579">
        <f t="shared" si="23"/>
        <v>113257.35999999999</v>
      </c>
    </row>
    <row r="65" spans="1:28" ht="21.95" customHeight="1" thickBot="1" x14ac:dyDescent="0.2">
      <c r="A65" s="2596"/>
      <c r="B65" s="2924"/>
      <c r="C65" s="2921"/>
      <c r="D65" s="566" t="s">
        <v>1402</v>
      </c>
      <c r="E65" s="1377"/>
      <c r="F65" s="1270"/>
      <c r="G65" s="1135">
        <f t="shared" ref="G65:X65" si="40">G64*0.0012</f>
        <v>6.103883999999999</v>
      </c>
      <c r="H65" s="1135">
        <f t="shared" si="40"/>
        <v>6.0455519999999998</v>
      </c>
      <c r="I65" s="1135">
        <f t="shared" si="40"/>
        <v>3.4130519999999995</v>
      </c>
      <c r="J65" s="1135">
        <f t="shared" si="40"/>
        <v>3.4155599999999997</v>
      </c>
      <c r="K65" s="1135">
        <f t="shared" si="40"/>
        <v>2.2161839999999997</v>
      </c>
      <c r="L65" s="1135">
        <f t="shared" si="40"/>
        <v>1.7682479999999998</v>
      </c>
      <c r="M65" s="1135">
        <f t="shared" si="40"/>
        <v>0.21096000000000001</v>
      </c>
      <c r="N65" s="1135">
        <f t="shared" si="40"/>
        <v>2.2385039999999998</v>
      </c>
      <c r="O65" s="1135">
        <f t="shared" si="40"/>
        <v>4.0106039999999998</v>
      </c>
      <c r="P65" s="1135">
        <f t="shared" si="40"/>
        <v>2.2371239999999997</v>
      </c>
      <c r="Q65" s="1135">
        <f t="shared" si="40"/>
        <v>2.60256</v>
      </c>
      <c r="R65" s="1135">
        <f t="shared" si="40"/>
        <v>5.5337279999999991</v>
      </c>
      <c r="S65" s="1135">
        <f t="shared" si="40"/>
        <v>5.5591679999999997</v>
      </c>
      <c r="T65" s="1135">
        <f t="shared" si="40"/>
        <v>5.2581479999999994</v>
      </c>
      <c r="U65" s="1135">
        <f t="shared" si="40"/>
        <v>5.7460919999999991</v>
      </c>
      <c r="V65" s="1135">
        <f t="shared" si="40"/>
        <v>5.6036039999999998</v>
      </c>
      <c r="W65" s="1135">
        <f t="shared" si="40"/>
        <v>2.3433359999999999</v>
      </c>
      <c r="X65" s="1135">
        <f t="shared" si="40"/>
        <v>3.6481079999999997</v>
      </c>
      <c r="Y65" s="1135"/>
      <c r="Z65" s="1215">
        <f t="shared" si="26"/>
        <v>67.95</v>
      </c>
      <c r="AA65" s="579">
        <f t="shared" si="23"/>
        <v>135.90441599999997</v>
      </c>
    </row>
    <row r="66" spans="1:28" ht="21.95" customHeight="1" x14ac:dyDescent="0.15">
      <c r="A66" s="2596"/>
      <c r="B66" s="2924"/>
      <c r="C66" s="2918" t="s">
        <v>517</v>
      </c>
      <c r="D66" s="543" t="s">
        <v>29</v>
      </c>
      <c r="F66" s="1345"/>
      <c r="G66" s="1139">
        <f t="shared" ref="G66:X66" si="41">G64-G68</f>
        <v>5086.57</v>
      </c>
      <c r="H66" s="1139">
        <f t="shared" si="41"/>
        <v>5037.96</v>
      </c>
      <c r="I66" s="1139">
        <f t="shared" si="41"/>
        <v>2844.21</v>
      </c>
      <c r="J66" s="1139">
        <f t="shared" si="41"/>
        <v>2846.3</v>
      </c>
      <c r="K66" s="1139">
        <f t="shared" si="41"/>
        <v>1846.82</v>
      </c>
      <c r="L66" s="1139">
        <f t="shared" si="41"/>
        <v>1473.54</v>
      </c>
      <c r="M66" s="1139">
        <f t="shared" si="41"/>
        <v>175.8</v>
      </c>
      <c r="N66" s="1139">
        <f t="shared" si="41"/>
        <v>1865.42</v>
      </c>
      <c r="O66" s="1139">
        <f t="shared" si="41"/>
        <v>3342.17</v>
      </c>
      <c r="P66" s="1139">
        <f t="shared" si="41"/>
        <v>1864.27</v>
      </c>
      <c r="Q66" s="1139">
        <f t="shared" si="41"/>
        <v>2168.8000000000002</v>
      </c>
      <c r="R66" s="1139">
        <f t="shared" si="41"/>
        <v>4611.4399999999996</v>
      </c>
      <c r="S66" s="1139">
        <f t="shared" si="41"/>
        <v>4632.6400000000003</v>
      </c>
      <c r="T66" s="1139">
        <f t="shared" si="41"/>
        <v>4381.79</v>
      </c>
      <c r="U66" s="1139">
        <f t="shared" si="41"/>
        <v>4788.41</v>
      </c>
      <c r="V66" s="1139">
        <f t="shared" si="41"/>
        <v>4669.67</v>
      </c>
      <c r="W66" s="1139">
        <f t="shared" si="41"/>
        <v>1952.78</v>
      </c>
      <c r="X66" s="1139">
        <f t="shared" si="41"/>
        <v>3040.09</v>
      </c>
      <c r="Y66" s="1139"/>
      <c r="Z66" s="1218">
        <f t="shared" si="26"/>
        <v>56628.68</v>
      </c>
      <c r="AA66" s="579">
        <f t="shared" si="23"/>
        <v>113257.35999999999</v>
      </c>
    </row>
    <row r="67" spans="1:28" ht="21.95" customHeight="1" thickBot="1" x14ac:dyDescent="0.2">
      <c r="A67" s="2596"/>
      <c r="B67" s="2924"/>
      <c r="C67" s="2921"/>
      <c r="D67" s="546" t="s">
        <v>1403</v>
      </c>
      <c r="E67" s="1377"/>
      <c r="F67" s="1345"/>
      <c r="G67" s="1139">
        <f t="shared" ref="G67:X67" si="42">G66*0.0005</f>
        <v>2.543285</v>
      </c>
      <c r="H67" s="1139">
        <f t="shared" si="42"/>
        <v>2.51898</v>
      </c>
      <c r="I67" s="1139">
        <f t="shared" si="42"/>
        <v>1.422105</v>
      </c>
      <c r="J67" s="1139">
        <f t="shared" si="42"/>
        <v>1.4231500000000001</v>
      </c>
      <c r="K67" s="1139">
        <f t="shared" si="42"/>
        <v>0.92340999999999995</v>
      </c>
      <c r="L67" s="1139">
        <f t="shared" si="42"/>
        <v>0.73677000000000004</v>
      </c>
      <c r="M67" s="1139">
        <f t="shared" si="42"/>
        <v>8.7900000000000006E-2</v>
      </c>
      <c r="N67" s="1139">
        <f t="shared" si="42"/>
        <v>0.93271000000000004</v>
      </c>
      <c r="O67" s="1139">
        <f t="shared" si="42"/>
        <v>1.6710850000000002</v>
      </c>
      <c r="P67" s="1139">
        <f t="shared" si="42"/>
        <v>0.93213500000000005</v>
      </c>
      <c r="Q67" s="1139">
        <f t="shared" si="42"/>
        <v>1.0844</v>
      </c>
      <c r="R67" s="1139">
        <f t="shared" si="42"/>
        <v>2.30572</v>
      </c>
      <c r="S67" s="1139">
        <f t="shared" si="42"/>
        <v>2.3163200000000002</v>
      </c>
      <c r="T67" s="1139">
        <f t="shared" si="42"/>
        <v>2.1908949999999998</v>
      </c>
      <c r="U67" s="1139">
        <f t="shared" si="42"/>
        <v>2.3942049999999999</v>
      </c>
      <c r="V67" s="1139">
        <f t="shared" si="42"/>
        <v>2.334835</v>
      </c>
      <c r="W67" s="1139">
        <f t="shared" si="42"/>
        <v>0.97638999999999998</v>
      </c>
      <c r="X67" s="1139">
        <f t="shared" si="42"/>
        <v>1.5200450000000001</v>
      </c>
      <c r="Y67" s="1139"/>
      <c r="Z67" s="1215">
        <f t="shared" si="26"/>
        <v>28.31</v>
      </c>
      <c r="AA67" s="579">
        <f t="shared" si="23"/>
        <v>56.624340000000004</v>
      </c>
    </row>
    <row r="68" spans="1:28" ht="21.95" hidden="1" customHeight="1" x14ac:dyDescent="0.15">
      <c r="A68" s="2596"/>
      <c r="B68" s="2925"/>
      <c r="C68" s="2917" t="s">
        <v>1426</v>
      </c>
      <c r="D68" s="550" t="s">
        <v>29</v>
      </c>
      <c r="E68" s="985"/>
      <c r="F68" s="1359"/>
      <c r="G68" s="1137">
        <f>IF(Pav_Dados!G93="SIM",G64,0)</f>
        <v>0</v>
      </c>
      <c r="H68" s="1137">
        <f>IF(Pav_Dados!H93="SIM",H64,0)</f>
        <v>0</v>
      </c>
      <c r="I68" s="1137">
        <f>IF(Pav_Dados!I93="SIM",I64,0)</f>
        <v>0</v>
      </c>
      <c r="J68" s="1137">
        <f>IF(Pav_Dados!J93="SIM",J64,0)</f>
        <v>0</v>
      </c>
      <c r="K68" s="1137">
        <f>IF(Pav_Dados!K93="SIM",K64,0)</f>
        <v>0</v>
      </c>
      <c r="L68" s="1137">
        <f>IF(Pav_Dados!L93="SIM",L64,0)</f>
        <v>0</v>
      </c>
      <c r="M68" s="1137">
        <f>IF(Pav_Dados!M93="SIM",M64,0)</f>
        <v>0</v>
      </c>
      <c r="N68" s="1137">
        <f>IF(Pav_Dados!N93="SIM",N64,0)</f>
        <v>0</v>
      </c>
      <c r="O68" s="1137">
        <f>IF(Pav_Dados!O93="SIM",O64,0)</f>
        <v>0</v>
      </c>
      <c r="P68" s="1137">
        <f>IF(Pav_Dados!P93="SIM",P64,0)</f>
        <v>0</v>
      </c>
      <c r="Q68" s="1137">
        <f>IF(Pav_Dados!Q93="SIM",Q64,0)</f>
        <v>0</v>
      </c>
      <c r="R68" s="1137">
        <f>IF(Pav_Dados!R93="SIM",R64,0)</f>
        <v>0</v>
      </c>
      <c r="S68" s="1137">
        <f>IF(Pav_Dados!S93="SIM",S64,0)</f>
        <v>0</v>
      </c>
      <c r="T68" s="1137">
        <f>IF(Pav_Dados!T93="SIM",T64,0)</f>
        <v>0</v>
      </c>
      <c r="U68" s="1137">
        <f>IF(Pav_Dados!U93="SIM",U64,0)</f>
        <v>0</v>
      </c>
      <c r="V68" s="1137">
        <f>IF(Pav_Dados!V93="SIM",V64,0)</f>
        <v>0</v>
      </c>
      <c r="W68" s="1137">
        <f>IF(Pav_Dados!W93="SIM",W64,0)</f>
        <v>0</v>
      </c>
      <c r="X68" s="1137">
        <f>IF(Pav_Dados!X93="SIM",X64,0)</f>
        <v>0</v>
      </c>
      <c r="Y68" s="1137"/>
      <c r="Z68" s="1204">
        <f t="shared" si="26"/>
        <v>0</v>
      </c>
      <c r="AA68" s="579">
        <f t="shared" si="23"/>
        <v>0</v>
      </c>
    </row>
    <row r="69" spans="1:28" ht="21.95" hidden="1" customHeight="1" x14ac:dyDescent="0.15">
      <c r="A69" s="2596"/>
      <c r="B69" s="2925"/>
      <c r="C69" s="2918"/>
      <c r="D69" s="559" t="s">
        <v>1277</v>
      </c>
      <c r="E69" s="986"/>
      <c r="F69" s="1358"/>
      <c r="G69" s="1223">
        <f t="shared" ref="G69:X69" si="43">G68*0.006</f>
        <v>0</v>
      </c>
      <c r="H69" s="1223">
        <f t="shared" si="43"/>
        <v>0</v>
      </c>
      <c r="I69" s="1223">
        <f t="shared" si="43"/>
        <v>0</v>
      </c>
      <c r="J69" s="1223">
        <f t="shared" si="43"/>
        <v>0</v>
      </c>
      <c r="K69" s="1223">
        <f t="shared" si="43"/>
        <v>0</v>
      </c>
      <c r="L69" s="1223">
        <f t="shared" si="43"/>
        <v>0</v>
      </c>
      <c r="M69" s="1223">
        <f t="shared" si="43"/>
        <v>0</v>
      </c>
      <c r="N69" s="1223">
        <f t="shared" si="43"/>
        <v>0</v>
      </c>
      <c r="O69" s="1223">
        <f t="shared" si="43"/>
        <v>0</v>
      </c>
      <c r="P69" s="1223">
        <f t="shared" si="43"/>
        <v>0</v>
      </c>
      <c r="Q69" s="1223">
        <f t="shared" si="43"/>
        <v>0</v>
      </c>
      <c r="R69" s="1223">
        <f t="shared" si="43"/>
        <v>0</v>
      </c>
      <c r="S69" s="1223">
        <f t="shared" si="43"/>
        <v>0</v>
      </c>
      <c r="T69" s="1223">
        <f t="shared" si="43"/>
        <v>0</v>
      </c>
      <c r="U69" s="1223">
        <f t="shared" si="43"/>
        <v>0</v>
      </c>
      <c r="V69" s="1223">
        <f t="shared" si="43"/>
        <v>0</v>
      </c>
      <c r="W69" s="1223">
        <f t="shared" si="43"/>
        <v>0</v>
      </c>
      <c r="X69" s="1223">
        <f t="shared" si="43"/>
        <v>0</v>
      </c>
      <c r="Y69" s="1223"/>
      <c r="Z69" s="1218">
        <f t="shared" si="26"/>
        <v>0</v>
      </c>
      <c r="AA69" s="579">
        <f t="shared" si="23"/>
        <v>0</v>
      </c>
    </row>
    <row r="70" spans="1:28" ht="21.95" hidden="1" customHeight="1" x14ac:dyDescent="0.15">
      <c r="A70" s="2596"/>
      <c r="B70" s="2925"/>
      <c r="C70" s="2918"/>
      <c r="D70" s="567" t="s">
        <v>1278</v>
      </c>
      <c r="E70" s="1507"/>
      <c r="F70" s="1358"/>
      <c r="G70" s="1139">
        <f t="shared" ref="G70:X70" si="44">G68*0.0223</f>
        <v>0</v>
      </c>
      <c r="H70" s="1139">
        <f t="shared" si="44"/>
        <v>0</v>
      </c>
      <c r="I70" s="1139">
        <f t="shared" si="44"/>
        <v>0</v>
      </c>
      <c r="J70" s="1139">
        <f t="shared" si="44"/>
        <v>0</v>
      </c>
      <c r="K70" s="1139">
        <f t="shared" si="44"/>
        <v>0</v>
      </c>
      <c r="L70" s="1139">
        <f t="shared" si="44"/>
        <v>0</v>
      </c>
      <c r="M70" s="1139">
        <f t="shared" si="44"/>
        <v>0</v>
      </c>
      <c r="N70" s="1139">
        <f t="shared" si="44"/>
        <v>0</v>
      </c>
      <c r="O70" s="1139">
        <f t="shared" si="44"/>
        <v>0</v>
      </c>
      <c r="P70" s="1139">
        <f t="shared" si="44"/>
        <v>0</v>
      </c>
      <c r="Q70" s="1139">
        <f t="shared" si="44"/>
        <v>0</v>
      </c>
      <c r="R70" s="1139">
        <f t="shared" si="44"/>
        <v>0</v>
      </c>
      <c r="S70" s="1139">
        <f t="shared" si="44"/>
        <v>0</v>
      </c>
      <c r="T70" s="1139">
        <f t="shared" si="44"/>
        <v>0</v>
      </c>
      <c r="U70" s="1139">
        <f t="shared" si="44"/>
        <v>0</v>
      </c>
      <c r="V70" s="1139">
        <f t="shared" si="44"/>
        <v>0</v>
      </c>
      <c r="W70" s="1139">
        <f t="shared" si="44"/>
        <v>0</v>
      </c>
      <c r="X70" s="1139">
        <f t="shared" si="44"/>
        <v>0</v>
      </c>
      <c r="Y70" s="1139"/>
      <c r="Z70" s="1218">
        <f t="shared" si="26"/>
        <v>0</v>
      </c>
      <c r="AA70" s="579">
        <f t="shared" si="23"/>
        <v>0</v>
      </c>
    </row>
    <row r="71" spans="1:28" ht="21.95" hidden="1" customHeight="1" thickBot="1" x14ac:dyDescent="0.2">
      <c r="A71" s="2596"/>
      <c r="B71" s="2925"/>
      <c r="C71" s="2921"/>
      <c r="D71" s="566" t="s">
        <v>1411</v>
      </c>
      <c r="E71" s="1508"/>
      <c r="F71" s="564"/>
      <c r="G71" s="1135">
        <f t="shared" ref="G71:X71" si="45">G68*0.0048</f>
        <v>0</v>
      </c>
      <c r="H71" s="1135">
        <f t="shared" si="45"/>
        <v>0</v>
      </c>
      <c r="I71" s="1135">
        <f t="shared" si="45"/>
        <v>0</v>
      </c>
      <c r="J71" s="1135">
        <f t="shared" si="45"/>
        <v>0</v>
      </c>
      <c r="K71" s="1135">
        <f t="shared" si="45"/>
        <v>0</v>
      </c>
      <c r="L71" s="1135">
        <f t="shared" si="45"/>
        <v>0</v>
      </c>
      <c r="M71" s="1135">
        <f t="shared" si="45"/>
        <v>0</v>
      </c>
      <c r="N71" s="1135">
        <f t="shared" si="45"/>
        <v>0</v>
      </c>
      <c r="O71" s="1135">
        <f t="shared" si="45"/>
        <v>0</v>
      </c>
      <c r="P71" s="1135">
        <f t="shared" si="45"/>
        <v>0</v>
      </c>
      <c r="Q71" s="1135">
        <f t="shared" si="45"/>
        <v>0</v>
      </c>
      <c r="R71" s="1135">
        <f t="shared" si="45"/>
        <v>0</v>
      </c>
      <c r="S71" s="1135">
        <f t="shared" si="45"/>
        <v>0</v>
      </c>
      <c r="T71" s="1135">
        <f t="shared" si="45"/>
        <v>0</v>
      </c>
      <c r="U71" s="1135">
        <f t="shared" si="45"/>
        <v>0</v>
      </c>
      <c r="V71" s="1135">
        <f t="shared" si="45"/>
        <v>0</v>
      </c>
      <c r="W71" s="1135">
        <f t="shared" si="45"/>
        <v>0</v>
      </c>
      <c r="X71" s="1135">
        <f t="shared" si="45"/>
        <v>0</v>
      </c>
      <c r="Y71" s="1135"/>
      <c r="Z71" s="1215">
        <f t="shared" si="26"/>
        <v>0</v>
      </c>
      <c r="AA71" s="579">
        <f t="shared" si="23"/>
        <v>0</v>
      </c>
    </row>
    <row r="72" spans="1:28" ht="21.95" hidden="1" customHeight="1" x14ac:dyDescent="0.15">
      <c r="A72" s="2596"/>
      <c r="B72" s="2925"/>
      <c r="C72" s="2917" t="s">
        <v>1417</v>
      </c>
      <c r="D72" s="550" t="s">
        <v>29</v>
      </c>
      <c r="E72" s="1507"/>
      <c r="F72" s="1358"/>
      <c r="G72" s="1139">
        <f>IF(Pav_Dados!G92="SIM",G64,0)</f>
        <v>0</v>
      </c>
      <c r="H72" s="1139">
        <f>IF(Pav_Dados!H92="SIM",H64,0)</f>
        <v>0</v>
      </c>
      <c r="I72" s="1139">
        <f>IF(Pav_Dados!I92="SIM",I64,0)</f>
        <v>0</v>
      </c>
      <c r="J72" s="1139">
        <f>IF(Pav_Dados!J92="SIM",J64,0)</f>
        <v>0</v>
      </c>
      <c r="K72" s="1139">
        <f>IF(Pav_Dados!K92="SIM",K64,0)</f>
        <v>0</v>
      </c>
      <c r="L72" s="1139">
        <f>IF(Pav_Dados!L92="SIM",L64,0)</f>
        <v>0</v>
      </c>
      <c r="M72" s="1139">
        <f>IF(Pav_Dados!M92="SIM",M64,0)</f>
        <v>0</v>
      </c>
      <c r="N72" s="1139">
        <f>IF(Pav_Dados!N92="SIM",N64,0)</f>
        <v>0</v>
      </c>
      <c r="O72" s="1139">
        <f>IF(Pav_Dados!O92="SIM",O64,0)</f>
        <v>0</v>
      </c>
      <c r="P72" s="1139">
        <f>IF(Pav_Dados!P92="SIM",P64,0)</f>
        <v>0</v>
      </c>
      <c r="Q72" s="1139">
        <f>IF(Pav_Dados!Q92="SIM",Q64,0)</f>
        <v>0</v>
      </c>
      <c r="R72" s="1139">
        <f>IF(Pav_Dados!R92="SIM",R64,0)</f>
        <v>0</v>
      </c>
      <c r="S72" s="1139">
        <f>IF(Pav_Dados!S92="SIM",S64,0)</f>
        <v>0</v>
      </c>
      <c r="T72" s="1139">
        <f>IF(Pav_Dados!T92="SIM",T64,0)</f>
        <v>0</v>
      </c>
      <c r="U72" s="1139">
        <f>IF(Pav_Dados!U92="SIM",U64,0)</f>
        <v>0</v>
      </c>
      <c r="V72" s="1139">
        <f>IF(Pav_Dados!V92="SIM",V64,0)</f>
        <v>0</v>
      </c>
      <c r="W72" s="1139">
        <f>IF(Pav_Dados!W92="SIM",W64,0)</f>
        <v>0</v>
      </c>
      <c r="X72" s="1139">
        <f>IF(Pav_Dados!X92="SIM",X64,0)</f>
        <v>0</v>
      </c>
      <c r="Y72" s="1139"/>
      <c r="Z72" s="1204">
        <f t="shared" si="26"/>
        <v>0</v>
      </c>
      <c r="AA72" s="579">
        <f t="shared" si="23"/>
        <v>0</v>
      </c>
    </row>
    <row r="73" spans="1:28" ht="21.95" hidden="1" customHeight="1" x14ac:dyDescent="0.15">
      <c r="A73" s="2596"/>
      <c r="B73" s="2925"/>
      <c r="C73" s="2918"/>
      <c r="D73" s="567" t="s">
        <v>1418</v>
      </c>
      <c r="E73" s="1507"/>
      <c r="F73" s="1358"/>
      <c r="G73" s="1139">
        <f t="shared" ref="G73:X73" si="46">G72*0.006</f>
        <v>0</v>
      </c>
      <c r="H73" s="1139">
        <f t="shared" si="46"/>
        <v>0</v>
      </c>
      <c r="I73" s="1139">
        <f t="shared" si="46"/>
        <v>0</v>
      </c>
      <c r="J73" s="1139">
        <f t="shared" si="46"/>
        <v>0</v>
      </c>
      <c r="K73" s="1139">
        <f t="shared" si="46"/>
        <v>0</v>
      </c>
      <c r="L73" s="1139">
        <f t="shared" si="46"/>
        <v>0</v>
      </c>
      <c r="M73" s="1139">
        <f t="shared" si="46"/>
        <v>0</v>
      </c>
      <c r="N73" s="1139">
        <f t="shared" si="46"/>
        <v>0</v>
      </c>
      <c r="O73" s="1139">
        <f t="shared" si="46"/>
        <v>0</v>
      </c>
      <c r="P73" s="1139">
        <f t="shared" si="46"/>
        <v>0</v>
      </c>
      <c r="Q73" s="1139">
        <f t="shared" si="46"/>
        <v>0</v>
      </c>
      <c r="R73" s="1139">
        <f t="shared" si="46"/>
        <v>0</v>
      </c>
      <c r="S73" s="1139">
        <f t="shared" si="46"/>
        <v>0</v>
      </c>
      <c r="T73" s="1139">
        <f t="shared" si="46"/>
        <v>0</v>
      </c>
      <c r="U73" s="1139">
        <f t="shared" si="46"/>
        <v>0</v>
      </c>
      <c r="V73" s="1139">
        <f t="shared" si="46"/>
        <v>0</v>
      </c>
      <c r="W73" s="1139">
        <f t="shared" si="46"/>
        <v>0</v>
      </c>
      <c r="X73" s="1139">
        <f t="shared" si="46"/>
        <v>0</v>
      </c>
      <c r="Y73" s="1139"/>
      <c r="Z73" s="1218">
        <f t="shared" si="26"/>
        <v>0</v>
      </c>
      <c r="AA73" s="579">
        <f t="shared" si="23"/>
        <v>0</v>
      </c>
    </row>
    <row r="74" spans="1:28" ht="21.95" hidden="1" customHeight="1" thickBot="1" x14ac:dyDescent="0.2">
      <c r="A74" s="2596"/>
      <c r="B74" s="2925"/>
      <c r="C74" s="2921"/>
      <c r="D74" s="566" t="s">
        <v>1419</v>
      </c>
      <c r="E74" s="1507"/>
      <c r="F74" s="1358"/>
      <c r="G74" s="1139">
        <f t="shared" ref="G74:X74" si="47">G72*0.001</f>
        <v>0</v>
      </c>
      <c r="H74" s="1139">
        <f t="shared" si="47"/>
        <v>0</v>
      </c>
      <c r="I74" s="1139">
        <f t="shared" si="47"/>
        <v>0</v>
      </c>
      <c r="J74" s="1139">
        <f t="shared" si="47"/>
        <v>0</v>
      </c>
      <c r="K74" s="1139">
        <f t="shared" si="47"/>
        <v>0</v>
      </c>
      <c r="L74" s="1139">
        <f t="shared" si="47"/>
        <v>0</v>
      </c>
      <c r="M74" s="1139">
        <f t="shared" si="47"/>
        <v>0</v>
      </c>
      <c r="N74" s="1139">
        <f t="shared" si="47"/>
        <v>0</v>
      </c>
      <c r="O74" s="1139">
        <f t="shared" si="47"/>
        <v>0</v>
      </c>
      <c r="P74" s="1139">
        <f t="shared" si="47"/>
        <v>0</v>
      </c>
      <c r="Q74" s="1139">
        <f t="shared" si="47"/>
        <v>0</v>
      </c>
      <c r="R74" s="1139">
        <f t="shared" si="47"/>
        <v>0</v>
      </c>
      <c r="S74" s="1139">
        <f t="shared" si="47"/>
        <v>0</v>
      </c>
      <c r="T74" s="1139">
        <f t="shared" si="47"/>
        <v>0</v>
      </c>
      <c r="U74" s="1139">
        <f t="shared" si="47"/>
        <v>0</v>
      </c>
      <c r="V74" s="1139">
        <f t="shared" si="47"/>
        <v>0</v>
      </c>
      <c r="W74" s="1139">
        <f t="shared" si="47"/>
        <v>0</v>
      </c>
      <c r="X74" s="1139">
        <f t="shared" si="47"/>
        <v>0</v>
      </c>
      <c r="Y74" s="1139"/>
      <c r="Z74" s="1215">
        <f t="shared" si="26"/>
        <v>0</v>
      </c>
      <c r="AA74" s="579">
        <f t="shared" ref="AA74:AA105" si="48">SUM(G74:Z74)</f>
        <v>0</v>
      </c>
    </row>
    <row r="75" spans="1:28" ht="21.95" hidden="1" customHeight="1" x14ac:dyDescent="0.15">
      <c r="A75" s="2596"/>
      <c r="B75" s="2924"/>
      <c r="C75" s="2757" t="s">
        <v>303</v>
      </c>
      <c r="D75" s="548" t="s">
        <v>539</v>
      </c>
      <c r="E75" s="1061"/>
      <c r="F75" s="1344"/>
      <c r="G75" s="1137">
        <f>IF(Pav_Dados!G94="SIM",G64,0)</f>
        <v>0</v>
      </c>
      <c r="H75" s="1137">
        <f>IF(Pav_Dados!H94="SIM",H64,0)</f>
        <v>0</v>
      </c>
      <c r="I75" s="1137">
        <f>IF(Pav_Dados!I94="SIM",I64,0)</f>
        <v>0</v>
      </c>
      <c r="J75" s="1137">
        <f>IF(Pav_Dados!J94="SIM",J64,0)</f>
        <v>0</v>
      </c>
      <c r="K75" s="1137">
        <f>IF(Pav_Dados!K94="SIM",K64,0)</f>
        <v>0</v>
      </c>
      <c r="L75" s="1137">
        <f>IF(Pav_Dados!L94="SIM",L64,0)</f>
        <v>0</v>
      </c>
      <c r="M75" s="1137">
        <f>IF(Pav_Dados!M94="SIM",M64,0)</f>
        <v>0</v>
      </c>
      <c r="N75" s="1137">
        <f>IF(Pav_Dados!N94="SIM",N64,0)</f>
        <v>0</v>
      </c>
      <c r="O75" s="1137">
        <f>IF(Pav_Dados!O94="SIM",O64,0)</f>
        <v>0</v>
      </c>
      <c r="P75" s="1137">
        <f>IF(Pav_Dados!P94="SIM",P64,0)</f>
        <v>0</v>
      </c>
      <c r="Q75" s="1137">
        <f>IF(Pav_Dados!Q94="SIM",Q64,0)</f>
        <v>0</v>
      </c>
      <c r="R75" s="1137">
        <f>IF(Pav_Dados!R94="SIM",R64,0)</f>
        <v>0</v>
      </c>
      <c r="S75" s="1137">
        <f>IF(Pav_Dados!S94="SIM",S64,0)</f>
        <v>0</v>
      </c>
      <c r="T75" s="1137">
        <f>IF(Pav_Dados!T94="SIM",T64,0)</f>
        <v>0</v>
      </c>
      <c r="U75" s="1137">
        <f>IF(Pav_Dados!U94="SIM",U64,0)</f>
        <v>0</v>
      </c>
      <c r="V75" s="1137">
        <f>IF(Pav_Dados!V94="SIM",V64,0)</f>
        <v>0</v>
      </c>
      <c r="W75" s="1137">
        <f>IF(Pav_Dados!W94="SIM",W64,0)</f>
        <v>0</v>
      </c>
      <c r="X75" s="1137">
        <f>IF(Pav_Dados!X94="SIM",X64,0)</f>
        <v>0</v>
      </c>
      <c r="Y75" s="1137"/>
      <c r="Z75" s="1204">
        <f t="shared" si="26"/>
        <v>0</v>
      </c>
      <c r="AA75" s="579">
        <f t="shared" si="48"/>
        <v>0</v>
      </c>
    </row>
    <row r="76" spans="1:28" ht="21.95" hidden="1" customHeight="1" x14ac:dyDescent="0.15">
      <c r="A76" s="2596"/>
      <c r="B76" s="2924"/>
      <c r="C76" s="2759"/>
      <c r="D76" s="543" t="s">
        <v>540</v>
      </c>
      <c r="E76" s="1063"/>
      <c r="F76" s="1362"/>
      <c r="G76" s="1207">
        <f>IF(Pav_Dados!G95="SIM",G64,0)</f>
        <v>0</v>
      </c>
      <c r="H76" s="1207">
        <f>IF(Pav_Dados!H95="SIM",H64,0)</f>
        <v>0</v>
      </c>
      <c r="I76" s="1207">
        <f>IF(Pav_Dados!I95="SIM",I64,0)</f>
        <v>0</v>
      </c>
      <c r="J76" s="1207">
        <f>IF(Pav_Dados!J95="SIM",J64,0)</f>
        <v>0</v>
      </c>
      <c r="K76" s="1207">
        <f>IF(Pav_Dados!K95="SIM",K64,0)</f>
        <v>0</v>
      </c>
      <c r="L76" s="1207">
        <f>IF(Pav_Dados!L95="SIM",L64,0)</f>
        <v>0</v>
      </c>
      <c r="M76" s="1207">
        <f>IF(Pav_Dados!M95="SIM",M64,0)</f>
        <v>0</v>
      </c>
      <c r="N76" s="1207">
        <f>IF(Pav_Dados!N95="SIM",N64,0)</f>
        <v>0</v>
      </c>
      <c r="O76" s="1207">
        <f>IF(Pav_Dados!O95="SIM",O64,0)</f>
        <v>0</v>
      </c>
      <c r="P76" s="1207">
        <f>IF(Pav_Dados!P95="SIM",P64,0)</f>
        <v>0</v>
      </c>
      <c r="Q76" s="1207">
        <f>IF(Pav_Dados!Q95="SIM",Q64,0)</f>
        <v>0</v>
      </c>
      <c r="R76" s="1207">
        <f>IF(Pav_Dados!R95="SIM",R64,0)</f>
        <v>0</v>
      </c>
      <c r="S76" s="1207">
        <f>IF(Pav_Dados!S95="SIM",S64,0)</f>
        <v>0</v>
      </c>
      <c r="T76" s="1207">
        <f>IF(Pav_Dados!T95="SIM",T64,0)</f>
        <v>0</v>
      </c>
      <c r="U76" s="1207">
        <f>IF(Pav_Dados!U95="SIM",U64,0)</f>
        <v>0</v>
      </c>
      <c r="V76" s="1207">
        <f>IF(Pav_Dados!V95="SIM",V64,0)</f>
        <v>0</v>
      </c>
      <c r="W76" s="1207">
        <f>IF(Pav_Dados!W95="SIM",W64,0)</f>
        <v>0</v>
      </c>
      <c r="X76" s="1207">
        <f>IF(Pav_Dados!X95="SIM",X64,0)</f>
        <v>0</v>
      </c>
      <c r="Y76" s="1207"/>
      <c r="Z76" s="1224">
        <f t="shared" si="26"/>
        <v>0</v>
      </c>
      <c r="AA76" s="579">
        <f t="shared" si="48"/>
        <v>0</v>
      </c>
    </row>
    <row r="77" spans="1:28" ht="21.95" hidden="1" customHeight="1" x14ac:dyDescent="0.15">
      <c r="A77" s="2596"/>
      <c r="B77" s="2924"/>
      <c r="C77" s="2759"/>
      <c r="D77" s="543" t="s">
        <v>541</v>
      </c>
      <c r="E77" s="1064"/>
      <c r="F77" s="1363"/>
      <c r="G77" s="1205">
        <f>IF(Pav_Dados!G96="SIM",G64,0)</f>
        <v>0</v>
      </c>
      <c r="H77" s="1205">
        <f>IF(Pav_Dados!H96="SIM",H64,0)</f>
        <v>0</v>
      </c>
      <c r="I77" s="1205">
        <f>IF(Pav_Dados!I96="SIM",I64,0)</f>
        <v>0</v>
      </c>
      <c r="J77" s="1205">
        <f>IF(Pav_Dados!J96="SIM",J64,0)</f>
        <v>0</v>
      </c>
      <c r="K77" s="1205">
        <f>IF(Pav_Dados!K96="SIM",K64,0)</f>
        <v>0</v>
      </c>
      <c r="L77" s="1205">
        <f>IF(Pav_Dados!L96="SIM",L64,0)</f>
        <v>0</v>
      </c>
      <c r="M77" s="1205">
        <f>IF(Pav_Dados!M96="SIM",M64,0)</f>
        <v>0</v>
      </c>
      <c r="N77" s="1205">
        <f>IF(Pav_Dados!N96="SIM",N64,0)</f>
        <v>0</v>
      </c>
      <c r="O77" s="1205">
        <f>IF(Pav_Dados!O96="SIM",O64,0)</f>
        <v>0</v>
      </c>
      <c r="P77" s="1205">
        <f>IF(Pav_Dados!P96="SIM",P64,0)</f>
        <v>0</v>
      </c>
      <c r="Q77" s="1205">
        <f>IF(Pav_Dados!Q96="SIM",Q64,0)</f>
        <v>0</v>
      </c>
      <c r="R77" s="1205">
        <f>IF(Pav_Dados!R96="SIM",R64,0)</f>
        <v>0</v>
      </c>
      <c r="S77" s="1205">
        <f>IF(Pav_Dados!S96="SIM",S64,0)</f>
        <v>0</v>
      </c>
      <c r="T77" s="1205">
        <f>IF(Pav_Dados!T96="SIM",T64,0)</f>
        <v>0</v>
      </c>
      <c r="U77" s="1205">
        <f>IF(Pav_Dados!U96="SIM",U64,0)</f>
        <v>0</v>
      </c>
      <c r="V77" s="1205">
        <f>IF(Pav_Dados!V96="SIM",V64,0)</f>
        <v>0</v>
      </c>
      <c r="W77" s="1205">
        <f>IF(Pav_Dados!W96="SIM",W64,0)</f>
        <v>0</v>
      </c>
      <c r="X77" s="1205">
        <f>IF(Pav_Dados!X96="SIM",X64,0)</f>
        <v>0</v>
      </c>
      <c r="Y77" s="1205"/>
      <c r="Z77" s="1206">
        <f t="shared" si="26"/>
        <v>0</v>
      </c>
      <c r="AA77" s="579">
        <f t="shared" si="48"/>
        <v>0</v>
      </c>
    </row>
    <row r="78" spans="1:28" ht="21.95" hidden="1" customHeight="1" x14ac:dyDescent="0.15">
      <c r="A78" s="2596"/>
      <c r="B78" s="2924"/>
      <c r="C78" s="2759"/>
      <c r="D78" s="543" t="s">
        <v>542</v>
      </c>
      <c r="E78" s="1063"/>
      <c r="F78" s="1362"/>
      <c r="G78" s="1207">
        <f>IF(Pav_Dados!G97="SIM",G64,0)</f>
        <v>0</v>
      </c>
      <c r="H78" s="1207">
        <f>IF(Pav_Dados!H97="SIM",H64,0)</f>
        <v>0</v>
      </c>
      <c r="I78" s="1207">
        <f>IF(Pav_Dados!I97="SIM",I64,0)</f>
        <v>0</v>
      </c>
      <c r="J78" s="1207">
        <f>IF(Pav_Dados!J97="SIM",J64,0)</f>
        <v>0</v>
      </c>
      <c r="K78" s="1207">
        <f>IF(Pav_Dados!K97="SIM",K64,0)</f>
        <v>0</v>
      </c>
      <c r="L78" s="1207">
        <f>IF(Pav_Dados!L97="SIM",L64,0)</f>
        <v>0</v>
      </c>
      <c r="M78" s="1207">
        <f>IF(Pav_Dados!M97="SIM",M64,0)</f>
        <v>0</v>
      </c>
      <c r="N78" s="1207">
        <f>IF(Pav_Dados!N97="SIM",N64,0)</f>
        <v>0</v>
      </c>
      <c r="O78" s="1207">
        <f>IF(Pav_Dados!O97="SIM",O64,0)</f>
        <v>0</v>
      </c>
      <c r="P78" s="1207">
        <f>IF(Pav_Dados!P97="SIM",P64,0)</f>
        <v>0</v>
      </c>
      <c r="Q78" s="1207">
        <f>IF(Pav_Dados!Q97="SIM",Q64,0)</f>
        <v>0</v>
      </c>
      <c r="R78" s="1207">
        <f>IF(Pav_Dados!R97="SIM",R64,0)</f>
        <v>0</v>
      </c>
      <c r="S78" s="1207">
        <f>IF(Pav_Dados!S97="SIM",S64,0)</f>
        <v>0</v>
      </c>
      <c r="T78" s="1207">
        <f>IF(Pav_Dados!T97="SIM",T64,0)</f>
        <v>0</v>
      </c>
      <c r="U78" s="1207">
        <f>IF(Pav_Dados!U97="SIM",U64,0)</f>
        <v>0</v>
      </c>
      <c r="V78" s="1207">
        <f>IF(Pav_Dados!V97="SIM",V64,0)</f>
        <v>0</v>
      </c>
      <c r="W78" s="1207">
        <f>IF(Pav_Dados!W97="SIM",W64,0)</f>
        <v>0</v>
      </c>
      <c r="X78" s="1207">
        <f>IF(Pav_Dados!X97="SIM",X64,0)</f>
        <v>0</v>
      </c>
      <c r="Y78" s="1207"/>
      <c r="Z78" s="1224">
        <f t="shared" si="26"/>
        <v>0</v>
      </c>
      <c r="AA78" s="579">
        <f t="shared" si="48"/>
        <v>0</v>
      </c>
    </row>
    <row r="79" spans="1:28" ht="21.95" hidden="1" customHeight="1" x14ac:dyDescent="0.15">
      <c r="A79" s="2596"/>
      <c r="B79" s="2924"/>
      <c r="C79" s="2759"/>
      <c r="D79" s="558" t="s">
        <v>586</v>
      </c>
      <c r="F79" s="1345"/>
      <c r="G79" s="1139">
        <f t="shared" ref="G79:X79" si="49">(G78+G76)*0.23+(G77+G75)*0.18</f>
        <v>0</v>
      </c>
      <c r="H79" s="1139">
        <f t="shared" si="49"/>
        <v>0</v>
      </c>
      <c r="I79" s="1139">
        <f t="shared" si="49"/>
        <v>0</v>
      </c>
      <c r="J79" s="1139">
        <f t="shared" si="49"/>
        <v>0</v>
      </c>
      <c r="K79" s="1139">
        <f t="shared" si="49"/>
        <v>0</v>
      </c>
      <c r="L79" s="1139">
        <f t="shared" si="49"/>
        <v>0</v>
      </c>
      <c r="M79" s="1139">
        <f t="shared" si="49"/>
        <v>0</v>
      </c>
      <c r="N79" s="1139">
        <f t="shared" si="49"/>
        <v>0</v>
      </c>
      <c r="O79" s="1139">
        <f t="shared" si="49"/>
        <v>0</v>
      </c>
      <c r="P79" s="1139">
        <f t="shared" si="49"/>
        <v>0</v>
      </c>
      <c r="Q79" s="1139">
        <f t="shared" si="49"/>
        <v>0</v>
      </c>
      <c r="R79" s="1139">
        <f t="shared" si="49"/>
        <v>0</v>
      </c>
      <c r="S79" s="1139">
        <f t="shared" si="49"/>
        <v>0</v>
      </c>
      <c r="T79" s="1139">
        <f t="shared" si="49"/>
        <v>0</v>
      </c>
      <c r="U79" s="1139">
        <f t="shared" si="49"/>
        <v>0</v>
      </c>
      <c r="V79" s="1139">
        <f t="shared" si="49"/>
        <v>0</v>
      </c>
      <c r="W79" s="1139">
        <f t="shared" si="49"/>
        <v>0</v>
      </c>
      <c r="X79" s="1139">
        <f t="shared" si="49"/>
        <v>0</v>
      </c>
      <c r="Y79" s="1139"/>
      <c r="Z79" s="1218">
        <f t="shared" si="26"/>
        <v>0</v>
      </c>
      <c r="AA79" s="579">
        <f t="shared" si="48"/>
        <v>0</v>
      </c>
      <c r="AB79" s="545"/>
    </row>
    <row r="80" spans="1:28" ht="21.95" hidden="1" customHeight="1" thickBot="1" x14ac:dyDescent="0.2">
      <c r="A80" s="2596"/>
      <c r="B80" s="2924"/>
      <c r="C80" s="2759"/>
      <c r="D80" s="546" t="s">
        <v>1386</v>
      </c>
      <c r="E80" s="1377"/>
      <c r="F80" s="1270"/>
      <c r="G80" s="1135">
        <f t="shared" ref="G80:X80" si="50">SUM(G75:G78)*0.065</f>
        <v>0</v>
      </c>
      <c r="H80" s="1135">
        <f t="shared" si="50"/>
        <v>0</v>
      </c>
      <c r="I80" s="1135">
        <f t="shared" si="50"/>
        <v>0</v>
      </c>
      <c r="J80" s="1135">
        <f t="shared" si="50"/>
        <v>0</v>
      </c>
      <c r="K80" s="1135">
        <f t="shared" si="50"/>
        <v>0</v>
      </c>
      <c r="L80" s="1135">
        <f t="shared" si="50"/>
        <v>0</v>
      </c>
      <c r="M80" s="1135">
        <f t="shared" si="50"/>
        <v>0</v>
      </c>
      <c r="N80" s="1135">
        <f t="shared" si="50"/>
        <v>0</v>
      </c>
      <c r="O80" s="1135">
        <f t="shared" si="50"/>
        <v>0</v>
      </c>
      <c r="P80" s="1135">
        <f t="shared" si="50"/>
        <v>0</v>
      </c>
      <c r="Q80" s="1135">
        <f t="shared" si="50"/>
        <v>0</v>
      </c>
      <c r="R80" s="1135">
        <f t="shared" si="50"/>
        <v>0</v>
      </c>
      <c r="S80" s="1135">
        <f t="shared" si="50"/>
        <v>0</v>
      </c>
      <c r="T80" s="1135">
        <f t="shared" si="50"/>
        <v>0</v>
      </c>
      <c r="U80" s="1135">
        <f t="shared" si="50"/>
        <v>0</v>
      </c>
      <c r="V80" s="1135">
        <f t="shared" si="50"/>
        <v>0</v>
      </c>
      <c r="W80" s="1135">
        <f t="shared" si="50"/>
        <v>0</v>
      </c>
      <c r="X80" s="1135">
        <f t="shared" si="50"/>
        <v>0</v>
      </c>
      <c r="Y80" s="1135"/>
      <c r="Z80" s="1219">
        <f t="shared" si="26"/>
        <v>0</v>
      </c>
      <c r="AA80" s="579">
        <f t="shared" si="48"/>
        <v>0</v>
      </c>
    </row>
    <row r="81" spans="1:27" ht="21.95" customHeight="1" x14ac:dyDescent="0.15">
      <c r="A81" s="2596"/>
      <c r="B81" s="2924"/>
      <c r="C81" s="2757" t="s">
        <v>1392</v>
      </c>
      <c r="D81" s="560" t="s">
        <v>1280</v>
      </c>
      <c r="E81" s="1509"/>
      <c r="F81" s="1229"/>
      <c r="G81" s="1230">
        <f>IF(COUNTA(Pav_Dados!G99:G101)=1,Pav_Dados!G102,0)</f>
        <v>4</v>
      </c>
      <c r="H81" s="1230">
        <f>IF(COUNTA(Pav_Dados!H99:H101)=1,Pav_Dados!H102,0)</f>
        <v>4</v>
      </c>
      <c r="I81" s="1230">
        <f>IF(COUNTA(Pav_Dados!I99:I101)=1,Pav_Dados!I102,0)</f>
        <v>4</v>
      </c>
      <c r="J81" s="1230">
        <f>IF(COUNTA(Pav_Dados!J99:J101)=1,Pav_Dados!J102,0)</f>
        <v>4</v>
      </c>
      <c r="K81" s="1230">
        <f>IF(COUNTA(Pav_Dados!K99:K101)=1,Pav_Dados!K102,0)</f>
        <v>3</v>
      </c>
      <c r="L81" s="1230">
        <f>IF(COUNTA(Pav_Dados!L99:L101)=1,Pav_Dados!L102,0)</f>
        <v>3</v>
      </c>
      <c r="M81" s="1230">
        <f>IF(COUNTA(Pav_Dados!M99:M101)=1,Pav_Dados!M102,0)</f>
        <v>3</v>
      </c>
      <c r="N81" s="1230">
        <f>IF(COUNTA(Pav_Dados!N99:N101)=1,Pav_Dados!N102,0)</f>
        <v>3</v>
      </c>
      <c r="O81" s="1230">
        <f>IF(COUNTA(Pav_Dados!O99:O101)=1,Pav_Dados!O102,0)</f>
        <v>3</v>
      </c>
      <c r="P81" s="1230">
        <f>IF(COUNTA(Pav_Dados!P99:P101)=1,Pav_Dados!P102,0)</f>
        <v>3</v>
      </c>
      <c r="Q81" s="1230">
        <f>IF(COUNTA(Pav_Dados!Q99:Q101)=1,Pav_Dados!Q102,0)</f>
        <v>3</v>
      </c>
      <c r="R81" s="1230">
        <f>IF(COUNTA(Pav_Dados!R99:R101)=1,Pav_Dados!R102,0)</f>
        <v>3</v>
      </c>
      <c r="S81" s="1230">
        <f>IF(COUNTA(Pav_Dados!S99:S101)=1,Pav_Dados!S102,0)</f>
        <v>3</v>
      </c>
      <c r="T81" s="1230">
        <f>IF(COUNTA(Pav_Dados!T99:T101)=1,Pav_Dados!T102,0)</f>
        <v>3</v>
      </c>
      <c r="U81" s="1230">
        <f>IF(COUNTA(Pav_Dados!U99:U101)=1,Pav_Dados!U102,0)</f>
        <v>3</v>
      </c>
      <c r="V81" s="1230">
        <f>IF(COUNTA(Pav_Dados!V99:V101)=1,Pav_Dados!V102,0)</f>
        <v>3</v>
      </c>
      <c r="W81" s="1230">
        <f>IF(COUNTA(Pav_Dados!W99:W101)=1,Pav_Dados!W102,0)</f>
        <v>3</v>
      </c>
      <c r="X81" s="1230">
        <f>IF(COUNTA(Pav_Dados!X99:X101)=1,Pav_Dados!X102,0)</f>
        <v>3</v>
      </c>
      <c r="Y81" s="1230"/>
      <c r="Z81" s="1231"/>
      <c r="AA81" s="579">
        <f t="shared" si="48"/>
        <v>58</v>
      </c>
    </row>
    <row r="82" spans="1:27" ht="21.95" customHeight="1" x14ac:dyDescent="0.15">
      <c r="A82" s="2596"/>
      <c r="B82" s="2924"/>
      <c r="C82" s="2759"/>
      <c r="D82" s="664" t="s">
        <v>1388</v>
      </c>
      <c r="F82" s="1345"/>
      <c r="G82" s="1139">
        <f>IF(Pav_Dados!G99="sim",G64*G81/100,0)</f>
        <v>203.46279999999999</v>
      </c>
      <c r="H82" s="1139">
        <f>IF(Pav_Dados!H99="sim",H64*H81/100,0)</f>
        <v>201.51840000000001</v>
      </c>
      <c r="I82" s="1139">
        <f>IF(Pav_Dados!I99="sim",I64*I81/100,0)</f>
        <v>113.7684</v>
      </c>
      <c r="J82" s="1139">
        <f>IF(Pav_Dados!J99="sim",J64*J81/100,0)</f>
        <v>113.852</v>
      </c>
      <c r="K82" s="1139">
        <f>IF(Pav_Dados!K99="sim",K64*K81/100,0)</f>
        <v>55.404600000000002</v>
      </c>
      <c r="L82" s="1139">
        <f>IF(Pav_Dados!L99="sim",L64*L81/100,0)</f>
        <v>44.206199999999995</v>
      </c>
      <c r="M82" s="1139">
        <f>IF(Pav_Dados!M99="sim",M64*M81/100,0)</f>
        <v>5.2740000000000009</v>
      </c>
      <c r="N82" s="1139">
        <f>IF(Pav_Dados!N99="sim",N64*N81/100,0)</f>
        <v>55.962600000000002</v>
      </c>
      <c r="O82" s="1139">
        <f>IF(Pav_Dados!O99="sim",O64*O81/100,0)</f>
        <v>100.2651</v>
      </c>
      <c r="P82" s="1139">
        <f>IF(Pav_Dados!P99="sim",P64*P81/100,0)</f>
        <v>55.928099999999993</v>
      </c>
      <c r="Q82" s="1139">
        <f>IF(Pav_Dados!Q99="sim",Q64*Q81/100,0)</f>
        <v>65.064000000000007</v>
      </c>
      <c r="R82" s="1139">
        <f>IF(Pav_Dados!R99="sim",R64*R81/100,0)</f>
        <v>138.3432</v>
      </c>
      <c r="S82" s="1139">
        <f>IF(Pav_Dados!S99="sim",S64*S81/100,0)</f>
        <v>138.97920000000002</v>
      </c>
      <c r="T82" s="1139">
        <f>IF(Pav_Dados!T99="sim",T64*T81/100,0)</f>
        <v>131.4537</v>
      </c>
      <c r="U82" s="1139">
        <f>IF(Pav_Dados!U99="sim",U64*U81/100,0)</f>
        <v>143.6523</v>
      </c>
      <c r="V82" s="1139">
        <f>IF(Pav_Dados!V99="sim",V64*V81/100,0)</f>
        <v>140.09010000000001</v>
      </c>
      <c r="W82" s="1139">
        <f>IF(Pav_Dados!W99="sim",W64*W81/100,0)</f>
        <v>58.583400000000005</v>
      </c>
      <c r="X82" s="1139">
        <f>IF(Pav_Dados!X99="sim",X64*X81/100,0)</f>
        <v>91.202700000000007</v>
      </c>
      <c r="Y82" s="1139"/>
      <c r="Z82" s="1218">
        <f t="shared" ref="Z82:Z89" si="51">+ROUND(SUM(G82:Y82),2)</f>
        <v>1857.01</v>
      </c>
      <c r="AA82" s="579">
        <f t="shared" si="48"/>
        <v>3714.0207999999998</v>
      </c>
    </row>
    <row r="83" spans="1:27" ht="21.95" hidden="1" customHeight="1" x14ac:dyDescent="0.15">
      <c r="A83" s="2596"/>
      <c r="B83" s="2924"/>
      <c r="C83" s="2759"/>
      <c r="D83" s="664" t="s">
        <v>1389</v>
      </c>
      <c r="F83" s="1345"/>
      <c r="G83" s="1139">
        <f>IF(Pav_Dados!G100="sim",G64*G81/100,0)</f>
        <v>0</v>
      </c>
      <c r="H83" s="1139">
        <f>IF(Pav_Dados!H100="sim",H64*H81/100,0)</f>
        <v>0</v>
      </c>
      <c r="I83" s="1139">
        <f>IF(Pav_Dados!I100="sim",I64*I81/100,0)</f>
        <v>0</v>
      </c>
      <c r="J83" s="1139">
        <f>IF(Pav_Dados!J100="sim",J64*J81/100,0)</f>
        <v>0</v>
      </c>
      <c r="K83" s="1139">
        <f>IF(Pav_Dados!K100="sim",K64*K81/100,0)</f>
        <v>0</v>
      </c>
      <c r="L83" s="1139">
        <f>IF(Pav_Dados!L100="sim",L64*L81/100,0)</f>
        <v>0</v>
      </c>
      <c r="M83" s="1139">
        <f>IF(Pav_Dados!M100="sim",M64*M81/100,0)</f>
        <v>0</v>
      </c>
      <c r="N83" s="1139">
        <f>IF(Pav_Dados!N100="sim",N64*N81/100,0)</f>
        <v>0</v>
      </c>
      <c r="O83" s="1139">
        <f>IF(Pav_Dados!O100="sim",O64*O81/100,0)</f>
        <v>0</v>
      </c>
      <c r="P83" s="1139">
        <f>IF(Pav_Dados!P100="sim",P64*P81/100,0)</f>
        <v>0</v>
      </c>
      <c r="Q83" s="1139">
        <f>IF(Pav_Dados!Q100="sim",Q64*Q81/100,0)</f>
        <v>0</v>
      </c>
      <c r="R83" s="1139">
        <f>IF(Pav_Dados!R100="sim",R64*R81/100,0)</f>
        <v>0</v>
      </c>
      <c r="S83" s="1139">
        <f>IF(Pav_Dados!S100="sim",S64*S81/100,0)</f>
        <v>0</v>
      </c>
      <c r="T83" s="1139">
        <f>IF(Pav_Dados!T100="sim",T64*T81/100,0)</f>
        <v>0</v>
      </c>
      <c r="U83" s="1139">
        <f>IF(Pav_Dados!U100="sim",U64*U81/100,0)</f>
        <v>0</v>
      </c>
      <c r="V83" s="1139">
        <f>IF(Pav_Dados!V100="sim",V64*V81/100,0)</f>
        <v>0</v>
      </c>
      <c r="W83" s="1139">
        <f>IF(Pav_Dados!W100="sim",W64*W81/100,0)</f>
        <v>0</v>
      </c>
      <c r="X83" s="1139">
        <f>IF(Pav_Dados!X100="sim",X64*X81/100,0)</f>
        <v>0</v>
      </c>
      <c r="Y83" s="1139"/>
      <c r="Z83" s="1218">
        <f t="shared" si="51"/>
        <v>0</v>
      </c>
      <c r="AA83" s="579">
        <f t="shared" si="48"/>
        <v>0</v>
      </c>
    </row>
    <row r="84" spans="1:27" ht="21.95" hidden="1" customHeight="1" x14ac:dyDescent="0.15">
      <c r="A84" s="2596"/>
      <c r="B84" s="2924"/>
      <c r="C84" s="2759"/>
      <c r="D84" s="543" t="s">
        <v>1390</v>
      </c>
      <c r="E84" s="1063"/>
      <c r="F84" s="1362"/>
      <c r="G84" s="1207">
        <f>IF(Pav_Dados!G101="sim",G64*G81/100,0)</f>
        <v>0</v>
      </c>
      <c r="H84" s="1207">
        <f>IF(Pav_Dados!H101="sim",H64*H81/100,0)</f>
        <v>0</v>
      </c>
      <c r="I84" s="1207">
        <f>IF(Pav_Dados!I101="sim",I64*I81/100,0)</f>
        <v>0</v>
      </c>
      <c r="J84" s="1207">
        <f>IF(Pav_Dados!J101="sim",J64*J81/100,0)</f>
        <v>0</v>
      </c>
      <c r="K84" s="1207">
        <f>IF(Pav_Dados!K101="sim",K64*K81/100,0)</f>
        <v>0</v>
      </c>
      <c r="L84" s="1207">
        <f>IF(Pav_Dados!L101="sim",L64*L81/100,0)</f>
        <v>0</v>
      </c>
      <c r="M84" s="1207">
        <f>IF(Pav_Dados!M101="sim",M64*M81/100,0)</f>
        <v>0</v>
      </c>
      <c r="N84" s="1207">
        <f>IF(Pav_Dados!N101="sim",N64*N81/100,0)</f>
        <v>0</v>
      </c>
      <c r="O84" s="1207">
        <f>IF(Pav_Dados!O101="sim",O64*O81/100,0)</f>
        <v>0</v>
      </c>
      <c r="P84" s="1207">
        <f>IF(Pav_Dados!P101="sim",P64*P81/100,0)</f>
        <v>0</v>
      </c>
      <c r="Q84" s="1207">
        <f>IF(Pav_Dados!Q101="sim",Q64*Q81/100,0)</f>
        <v>0</v>
      </c>
      <c r="R84" s="1207">
        <f>IF(Pav_Dados!R101="sim",R64*R81/100,0)</f>
        <v>0</v>
      </c>
      <c r="S84" s="1207">
        <f>IF(Pav_Dados!S101="sim",S64*S81/100,0)</f>
        <v>0</v>
      </c>
      <c r="T84" s="1207">
        <f>IF(Pav_Dados!T101="sim",T64*T81/100,0)</f>
        <v>0</v>
      </c>
      <c r="U84" s="1207">
        <f>IF(Pav_Dados!U101="sim",U64*U81/100,0)</f>
        <v>0</v>
      </c>
      <c r="V84" s="1207">
        <f>IF(Pav_Dados!V101="sim",V64*V81/100,0)</f>
        <v>0</v>
      </c>
      <c r="W84" s="1207">
        <f>IF(Pav_Dados!W101="sim",W64*W81/100,0)</f>
        <v>0</v>
      </c>
      <c r="X84" s="1207">
        <f>IF(Pav_Dados!X101="sim",X64*X81/100,0)</f>
        <v>0</v>
      </c>
      <c r="Y84" s="1207"/>
      <c r="Z84" s="1224">
        <f t="shared" si="51"/>
        <v>0</v>
      </c>
      <c r="AA84" s="579">
        <f t="shared" si="48"/>
        <v>0</v>
      </c>
    </row>
    <row r="85" spans="1:27" ht="21.95" customHeight="1" x14ac:dyDescent="0.15">
      <c r="A85" s="2596"/>
      <c r="B85" s="2924"/>
      <c r="C85" s="2759"/>
      <c r="D85" s="543" t="s">
        <v>1387</v>
      </c>
      <c r="E85" s="1062"/>
      <c r="F85" s="1345"/>
      <c r="G85" s="1139">
        <f t="shared" ref="G85:X85" si="52">SUM(G82:G84)*0.161</f>
        <v>32.757510799999999</v>
      </c>
      <c r="H85" s="1139">
        <f t="shared" si="52"/>
        <v>32.444462400000006</v>
      </c>
      <c r="I85" s="1139">
        <f t="shared" si="52"/>
        <v>18.3167124</v>
      </c>
      <c r="J85" s="1139">
        <f t="shared" si="52"/>
        <v>18.330172000000001</v>
      </c>
      <c r="K85" s="1139">
        <f t="shared" si="52"/>
        <v>8.9201405999999999</v>
      </c>
      <c r="L85" s="1139">
        <f t="shared" si="52"/>
        <v>7.1171981999999998</v>
      </c>
      <c r="M85" s="1139">
        <f t="shared" si="52"/>
        <v>0.84911400000000015</v>
      </c>
      <c r="N85" s="1139">
        <f t="shared" si="52"/>
        <v>9.0099786000000002</v>
      </c>
      <c r="O85" s="1139">
        <f t="shared" si="52"/>
        <v>16.142681100000001</v>
      </c>
      <c r="P85" s="1139">
        <f t="shared" si="52"/>
        <v>9.0044240999999996</v>
      </c>
      <c r="Q85" s="1139">
        <f t="shared" si="52"/>
        <v>10.475304000000001</v>
      </c>
      <c r="R85" s="1139">
        <f t="shared" si="52"/>
        <v>22.273255200000001</v>
      </c>
      <c r="S85" s="1139">
        <f t="shared" si="52"/>
        <v>22.375651200000004</v>
      </c>
      <c r="T85" s="1139">
        <f t="shared" si="52"/>
        <v>21.164045699999999</v>
      </c>
      <c r="U85" s="1139">
        <f t="shared" si="52"/>
        <v>23.128020299999999</v>
      </c>
      <c r="V85" s="1139">
        <f t="shared" si="52"/>
        <v>22.554506100000001</v>
      </c>
      <c r="W85" s="1139">
        <f t="shared" si="52"/>
        <v>9.4319274000000011</v>
      </c>
      <c r="X85" s="1139">
        <f t="shared" si="52"/>
        <v>14.683634700000001</v>
      </c>
      <c r="Y85" s="1139"/>
      <c r="Z85" s="1140">
        <f t="shared" si="51"/>
        <v>298.98</v>
      </c>
      <c r="AA85" s="579">
        <f t="shared" si="48"/>
        <v>597.95873879999999</v>
      </c>
    </row>
    <row r="86" spans="1:27" ht="21.95" customHeight="1" x14ac:dyDescent="0.15">
      <c r="A86" s="2596"/>
      <c r="B86" s="2924"/>
      <c r="C86" s="2759"/>
      <c r="D86" s="543" t="s">
        <v>697</v>
      </c>
      <c r="E86" s="1063"/>
      <c r="F86" s="1362"/>
      <c r="G86" s="1139">
        <f t="shared" ref="G86:X86" si="53">SUM(G82:G84)*0.477</f>
        <v>97.051755599999993</v>
      </c>
      <c r="H86" s="1139">
        <f t="shared" si="53"/>
        <v>96.124276800000004</v>
      </c>
      <c r="I86" s="1139">
        <f t="shared" si="53"/>
        <v>54.267526799999999</v>
      </c>
      <c r="J86" s="1139">
        <f t="shared" si="53"/>
        <v>54.307403999999998</v>
      </c>
      <c r="K86" s="1139">
        <f t="shared" si="53"/>
        <v>26.427994200000001</v>
      </c>
      <c r="L86" s="1139">
        <f t="shared" si="53"/>
        <v>21.086357399999997</v>
      </c>
      <c r="M86" s="1139">
        <f t="shared" si="53"/>
        <v>2.5156980000000004</v>
      </c>
      <c r="N86" s="1139">
        <f t="shared" si="53"/>
        <v>26.694160199999999</v>
      </c>
      <c r="O86" s="1139">
        <f t="shared" si="53"/>
        <v>47.826452699999997</v>
      </c>
      <c r="P86" s="1139">
        <f t="shared" si="53"/>
        <v>26.677703699999995</v>
      </c>
      <c r="Q86" s="1139">
        <f t="shared" si="53"/>
        <v>31.035528000000003</v>
      </c>
      <c r="R86" s="1139">
        <f t="shared" si="53"/>
        <v>65.989706399999989</v>
      </c>
      <c r="S86" s="1139">
        <f t="shared" si="53"/>
        <v>66.293078400000013</v>
      </c>
      <c r="T86" s="1139">
        <f t="shared" si="53"/>
        <v>62.703414899999999</v>
      </c>
      <c r="U86" s="1139">
        <f t="shared" si="53"/>
        <v>68.522147099999998</v>
      </c>
      <c r="V86" s="1139">
        <f t="shared" si="53"/>
        <v>66.822977699999996</v>
      </c>
      <c r="W86" s="1139">
        <f t="shared" si="53"/>
        <v>27.944281800000002</v>
      </c>
      <c r="X86" s="1139">
        <f t="shared" si="53"/>
        <v>43.503687900000003</v>
      </c>
      <c r="Y86" s="1139"/>
      <c r="Z86" s="1218">
        <f t="shared" si="51"/>
        <v>885.79</v>
      </c>
      <c r="AA86" s="579">
        <f t="shared" si="48"/>
        <v>1771.5841516</v>
      </c>
    </row>
    <row r="87" spans="1:27" ht="21.95" customHeight="1" thickBot="1" x14ac:dyDescent="0.2">
      <c r="A87" s="2596"/>
      <c r="B87" s="2924"/>
      <c r="C87" s="2759"/>
      <c r="D87" s="543" t="s">
        <v>1295</v>
      </c>
      <c r="E87" s="1062"/>
      <c r="F87" s="1345"/>
      <c r="G87" s="1139">
        <f t="shared" ref="G87:X87" si="54">G82*2.5548*6%</f>
        <v>31.188405686400003</v>
      </c>
      <c r="H87" s="1139">
        <f t="shared" si="54"/>
        <v>30.890352499200006</v>
      </c>
      <c r="I87" s="1139">
        <f t="shared" si="54"/>
        <v>17.4393304992</v>
      </c>
      <c r="J87" s="1139">
        <f t="shared" si="54"/>
        <v>17.452145376000001</v>
      </c>
      <c r="K87" s="1139">
        <f t="shared" si="54"/>
        <v>8.4928603248000005</v>
      </c>
      <c r="L87" s="1139">
        <f t="shared" si="54"/>
        <v>6.7762799855999996</v>
      </c>
      <c r="M87" s="1139">
        <f t="shared" si="54"/>
        <v>0.80844091200000023</v>
      </c>
      <c r="N87" s="1139">
        <f t="shared" si="54"/>
        <v>8.578395028800001</v>
      </c>
      <c r="O87" s="1139">
        <f t="shared" si="54"/>
        <v>15.369436648799999</v>
      </c>
      <c r="P87" s="1139">
        <f t="shared" si="54"/>
        <v>8.5731065927999985</v>
      </c>
      <c r="Q87" s="1139">
        <f t="shared" si="54"/>
        <v>9.9735304320000022</v>
      </c>
      <c r="R87" s="1139">
        <f t="shared" si="54"/>
        <v>21.2063524416</v>
      </c>
      <c r="S87" s="1139">
        <f t="shared" si="54"/>
        <v>21.303843609600001</v>
      </c>
      <c r="T87" s="1139">
        <f t="shared" si="54"/>
        <v>20.150274765599999</v>
      </c>
      <c r="U87" s="1139">
        <f t="shared" si="54"/>
        <v>22.020173762399999</v>
      </c>
      <c r="V87" s="1139">
        <f t="shared" si="54"/>
        <v>21.474131248800003</v>
      </c>
      <c r="W87" s="1139">
        <f t="shared" si="54"/>
        <v>8.9801322192000015</v>
      </c>
      <c r="X87" s="1139">
        <f t="shared" si="54"/>
        <v>13.980279477600002</v>
      </c>
      <c r="Y87" s="1139"/>
      <c r="Z87" s="1140">
        <f t="shared" si="51"/>
        <v>284.66000000000003</v>
      </c>
      <c r="AA87" s="579">
        <f t="shared" si="48"/>
        <v>569.31747151039997</v>
      </c>
    </row>
    <row r="88" spans="1:27" ht="21.95" hidden="1" customHeight="1" x14ac:dyDescent="0.15">
      <c r="A88" s="2596"/>
      <c r="B88" s="2924"/>
      <c r="C88" s="2759"/>
      <c r="D88" s="543" t="s">
        <v>1296</v>
      </c>
      <c r="E88" s="1062"/>
      <c r="F88" s="1345"/>
      <c r="G88" s="1139">
        <f t="shared" ref="G88:X88" si="55">G83*2.5548*6%</f>
        <v>0</v>
      </c>
      <c r="H88" s="1139">
        <f t="shared" si="55"/>
        <v>0</v>
      </c>
      <c r="I88" s="1139">
        <f t="shared" si="55"/>
        <v>0</v>
      </c>
      <c r="J88" s="1139">
        <f t="shared" si="55"/>
        <v>0</v>
      </c>
      <c r="K88" s="1139">
        <f t="shared" si="55"/>
        <v>0</v>
      </c>
      <c r="L88" s="1139">
        <f t="shared" si="55"/>
        <v>0</v>
      </c>
      <c r="M88" s="1139">
        <f t="shared" si="55"/>
        <v>0</v>
      </c>
      <c r="N88" s="1139">
        <f t="shared" si="55"/>
        <v>0</v>
      </c>
      <c r="O88" s="1139">
        <f t="shared" si="55"/>
        <v>0</v>
      </c>
      <c r="P88" s="1139">
        <f t="shared" si="55"/>
        <v>0</v>
      </c>
      <c r="Q88" s="1139">
        <f t="shared" si="55"/>
        <v>0</v>
      </c>
      <c r="R88" s="1139">
        <f t="shared" si="55"/>
        <v>0</v>
      </c>
      <c r="S88" s="1139">
        <f t="shared" si="55"/>
        <v>0</v>
      </c>
      <c r="T88" s="1139">
        <f t="shared" si="55"/>
        <v>0</v>
      </c>
      <c r="U88" s="1139">
        <f t="shared" si="55"/>
        <v>0</v>
      </c>
      <c r="V88" s="1139">
        <f t="shared" si="55"/>
        <v>0</v>
      </c>
      <c r="W88" s="1139">
        <f t="shared" si="55"/>
        <v>0</v>
      </c>
      <c r="X88" s="1139">
        <f t="shared" si="55"/>
        <v>0</v>
      </c>
      <c r="Y88" s="1139"/>
      <c r="Z88" s="1218">
        <f t="shared" si="51"/>
        <v>0</v>
      </c>
      <c r="AA88" s="579">
        <f t="shared" si="48"/>
        <v>0</v>
      </c>
    </row>
    <row r="89" spans="1:27" ht="21.95" hidden="1" customHeight="1" thickBot="1" x14ac:dyDescent="0.2">
      <c r="A89" s="2596"/>
      <c r="B89" s="2924"/>
      <c r="C89" s="2759"/>
      <c r="D89" s="546" t="s">
        <v>1297</v>
      </c>
      <c r="E89" s="983"/>
      <c r="F89" s="1270"/>
      <c r="G89" s="1135">
        <f t="shared" ref="G89:X89" si="56">G84*2.5548*6%</f>
        <v>0</v>
      </c>
      <c r="H89" s="1135">
        <f t="shared" si="56"/>
        <v>0</v>
      </c>
      <c r="I89" s="1135">
        <f t="shared" si="56"/>
        <v>0</v>
      </c>
      <c r="J89" s="1135">
        <f t="shared" si="56"/>
        <v>0</v>
      </c>
      <c r="K89" s="1135">
        <f t="shared" si="56"/>
        <v>0</v>
      </c>
      <c r="L89" s="1135">
        <f t="shared" si="56"/>
        <v>0</v>
      </c>
      <c r="M89" s="1135">
        <f t="shared" si="56"/>
        <v>0</v>
      </c>
      <c r="N89" s="1135">
        <f t="shared" si="56"/>
        <v>0</v>
      </c>
      <c r="O89" s="1135">
        <f t="shared" si="56"/>
        <v>0</v>
      </c>
      <c r="P89" s="1135">
        <f t="shared" si="56"/>
        <v>0</v>
      </c>
      <c r="Q89" s="1135">
        <f t="shared" si="56"/>
        <v>0</v>
      </c>
      <c r="R89" s="1135">
        <f t="shared" si="56"/>
        <v>0</v>
      </c>
      <c r="S89" s="1135">
        <f t="shared" si="56"/>
        <v>0</v>
      </c>
      <c r="T89" s="1135">
        <f t="shared" si="56"/>
        <v>0</v>
      </c>
      <c r="U89" s="1135">
        <f t="shared" si="56"/>
        <v>0</v>
      </c>
      <c r="V89" s="1135">
        <f t="shared" si="56"/>
        <v>0</v>
      </c>
      <c r="W89" s="1135">
        <f t="shared" si="56"/>
        <v>0</v>
      </c>
      <c r="X89" s="1135">
        <f t="shared" si="56"/>
        <v>0</v>
      </c>
      <c r="Y89" s="1135"/>
      <c r="Z89" s="1141">
        <f t="shared" si="51"/>
        <v>0</v>
      </c>
      <c r="AA89" s="579">
        <f t="shared" si="48"/>
        <v>0</v>
      </c>
    </row>
    <row r="90" spans="1:27" ht="21.95" hidden="1" customHeight="1" x14ac:dyDescent="0.15">
      <c r="A90" s="2596"/>
      <c r="B90" s="2924"/>
      <c r="C90" s="2917" t="s">
        <v>1391</v>
      </c>
      <c r="D90" s="563" t="s">
        <v>1280</v>
      </c>
      <c r="F90" s="1345"/>
      <c r="G90" s="1221">
        <f>IF(Pav_Dados!G98="SIM",Pav_Dados!G102,0)</f>
        <v>0</v>
      </c>
      <c r="H90" s="1221">
        <f>IF(Pav_Dados!H98="SIM",Pav_Dados!H102,0)</f>
        <v>0</v>
      </c>
      <c r="I90" s="1221">
        <f>IF(Pav_Dados!I98="SIM",Pav_Dados!I102,0)</f>
        <v>0</v>
      </c>
      <c r="J90" s="1221">
        <f>IF(Pav_Dados!J98="SIM",Pav_Dados!J102,0)</f>
        <v>0</v>
      </c>
      <c r="K90" s="1221">
        <f>IF(Pav_Dados!K98="SIM",Pav_Dados!K102,0)</f>
        <v>0</v>
      </c>
      <c r="L90" s="1221">
        <f>IF(Pav_Dados!L98="SIM",Pav_Dados!L102,0)</f>
        <v>0</v>
      </c>
      <c r="M90" s="1221">
        <f>IF(Pav_Dados!M98="SIM",Pav_Dados!M102,0)</f>
        <v>0</v>
      </c>
      <c r="N90" s="1221">
        <f>IF(Pav_Dados!N98="SIM",Pav_Dados!N102,0)</f>
        <v>0</v>
      </c>
      <c r="O90" s="1221">
        <f>IF(Pav_Dados!O98="SIM",Pav_Dados!O102,0)</f>
        <v>0</v>
      </c>
      <c r="P90" s="1221">
        <f>IF(Pav_Dados!P98="SIM",Pav_Dados!P102,0)</f>
        <v>0</v>
      </c>
      <c r="Q90" s="1221">
        <f>IF(Pav_Dados!Q98="SIM",Pav_Dados!Q102,0)</f>
        <v>0</v>
      </c>
      <c r="R90" s="1221">
        <f>IF(Pav_Dados!R98="SIM",Pav_Dados!R102,0)</f>
        <v>0</v>
      </c>
      <c r="S90" s="1221">
        <f>IF(Pav_Dados!S98="SIM",Pav_Dados!S102,0)</f>
        <v>0</v>
      </c>
      <c r="T90" s="1221">
        <f>IF(Pav_Dados!T98="SIM",Pav_Dados!T102,0)</f>
        <v>0</v>
      </c>
      <c r="U90" s="1221">
        <f>IF(Pav_Dados!U98="SIM",Pav_Dados!U102,0)</f>
        <v>0</v>
      </c>
      <c r="V90" s="1221">
        <f>IF(Pav_Dados!V98="SIM",Pav_Dados!V102,0)</f>
        <v>0</v>
      </c>
      <c r="W90" s="1221">
        <f>IF(Pav_Dados!W98="SIM",Pav_Dados!W102,0)</f>
        <v>0</v>
      </c>
      <c r="X90" s="1221">
        <f>IF(Pav_Dados!X98="SIM",Pav_Dados!X102,0)</f>
        <v>0</v>
      </c>
      <c r="Y90" s="1221"/>
      <c r="Z90" s="1228"/>
      <c r="AA90" s="579">
        <f t="shared" si="48"/>
        <v>0</v>
      </c>
    </row>
    <row r="91" spans="1:27" ht="21.95" hidden="1" customHeight="1" x14ac:dyDescent="0.15">
      <c r="A91" s="2596"/>
      <c r="B91" s="2924"/>
      <c r="C91" s="2918"/>
      <c r="D91" s="664" t="s">
        <v>732</v>
      </c>
      <c r="F91" s="1345"/>
      <c r="G91" s="1139">
        <f t="shared" ref="G91:X91" si="57">G90/100*G64</f>
        <v>0</v>
      </c>
      <c r="H91" s="1139">
        <f t="shared" si="57"/>
        <v>0</v>
      </c>
      <c r="I91" s="1139">
        <f t="shared" si="57"/>
        <v>0</v>
      </c>
      <c r="J91" s="1139">
        <f t="shared" si="57"/>
        <v>0</v>
      </c>
      <c r="K91" s="1139">
        <f t="shared" si="57"/>
        <v>0</v>
      </c>
      <c r="L91" s="1139">
        <f t="shared" si="57"/>
        <v>0</v>
      </c>
      <c r="M91" s="1139">
        <f t="shared" si="57"/>
        <v>0</v>
      </c>
      <c r="N91" s="1139">
        <f t="shared" si="57"/>
        <v>0</v>
      </c>
      <c r="O91" s="1139">
        <f t="shared" si="57"/>
        <v>0</v>
      </c>
      <c r="P91" s="1139">
        <f t="shared" si="57"/>
        <v>0</v>
      </c>
      <c r="Q91" s="1139">
        <f t="shared" si="57"/>
        <v>0</v>
      </c>
      <c r="R91" s="1139">
        <f t="shared" si="57"/>
        <v>0</v>
      </c>
      <c r="S91" s="1139">
        <f t="shared" si="57"/>
        <v>0</v>
      </c>
      <c r="T91" s="1139">
        <f t="shared" si="57"/>
        <v>0</v>
      </c>
      <c r="U91" s="1139">
        <f t="shared" si="57"/>
        <v>0</v>
      </c>
      <c r="V91" s="1139">
        <f t="shared" si="57"/>
        <v>0</v>
      </c>
      <c r="W91" s="1139">
        <f t="shared" si="57"/>
        <v>0</v>
      </c>
      <c r="X91" s="1139">
        <f t="shared" si="57"/>
        <v>0</v>
      </c>
      <c r="Y91" s="1139"/>
      <c r="Z91" s="1218">
        <f t="shared" ref="Z91:Z120" si="58">+ROUND(SUM(G91:Y91),2)</f>
        <v>0</v>
      </c>
      <c r="AA91" s="579">
        <f t="shared" si="48"/>
        <v>0</v>
      </c>
    </row>
    <row r="92" spans="1:27" ht="21.95" hidden="1" customHeight="1" x14ac:dyDescent="0.15">
      <c r="A92" s="2596"/>
      <c r="B92" s="2924"/>
      <c r="C92" s="2918"/>
      <c r="D92" s="563" t="s">
        <v>696</v>
      </c>
      <c r="F92" s="1345"/>
      <c r="G92" s="1139">
        <f t="shared" ref="G92:X92" si="59">G91*0.411</f>
        <v>0</v>
      </c>
      <c r="H92" s="1139">
        <f t="shared" si="59"/>
        <v>0</v>
      </c>
      <c r="I92" s="1139">
        <f t="shared" si="59"/>
        <v>0</v>
      </c>
      <c r="J92" s="1139">
        <f t="shared" si="59"/>
        <v>0</v>
      </c>
      <c r="K92" s="1139">
        <f t="shared" si="59"/>
        <v>0</v>
      </c>
      <c r="L92" s="1139">
        <f t="shared" si="59"/>
        <v>0</v>
      </c>
      <c r="M92" s="1139">
        <f t="shared" si="59"/>
        <v>0</v>
      </c>
      <c r="N92" s="1139">
        <f t="shared" si="59"/>
        <v>0</v>
      </c>
      <c r="O92" s="1139">
        <f t="shared" si="59"/>
        <v>0</v>
      </c>
      <c r="P92" s="1139">
        <f t="shared" si="59"/>
        <v>0</v>
      </c>
      <c r="Q92" s="1139">
        <f t="shared" si="59"/>
        <v>0</v>
      </c>
      <c r="R92" s="1139">
        <f t="shared" si="59"/>
        <v>0</v>
      </c>
      <c r="S92" s="1139">
        <f t="shared" si="59"/>
        <v>0</v>
      </c>
      <c r="T92" s="1139">
        <f t="shared" si="59"/>
        <v>0</v>
      </c>
      <c r="U92" s="1139">
        <f t="shared" si="59"/>
        <v>0</v>
      </c>
      <c r="V92" s="1139">
        <f t="shared" si="59"/>
        <v>0</v>
      </c>
      <c r="W92" s="1139">
        <f t="shared" si="59"/>
        <v>0</v>
      </c>
      <c r="X92" s="1139">
        <f t="shared" si="59"/>
        <v>0</v>
      </c>
      <c r="Y92" s="1139"/>
      <c r="Z92" s="1218">
        <f t="shared" si="58"/>
        <v>0</v>
      </c>
      <c r="AA92" s="579">
        <f t="shared" si="48"/>
        <v>0</v>
      </c>
    </row>
    <row r="93" spans="1:27" ht="21.95" hidden="1" customHeight="1" x14ac:dyDescent="0.15">
      <c r="A93" s="2596"/>
      <c r="B93" s="2924"/>
      <c r="C93" s="2918"/>
      <c r="D93" s="563" t="s">
        <v>687</v>
      </c>
      <c r="F93" s="1345"/>
      <c r="G93" s="1139">
        <f t="shared" ref="G93:X93" si="60">G91*0.968</f>
        <v>0</v>
      </c>
      <c r="H93" s="1139">
        <f t="shared" si="60"/>
        <v>0</v>
      </c>
      <c r="I93" s="1139">
        <f t="shared" si="60"/>
        <v>0</v>
      </c>
      <c r="J93" s="1139">
        <f t="shared" si="60"/>
        <v>0</v>
      </c>
      <c r="K93" s="1139">
        <f t="shared" si="60"/>
        <v>0</v>
      </c>
      <c r="L93" s="1139">
        <f t="shared" si="60"/>
        <v>0</v>
      </c>
      <c r="M93" s="1139">
        <f t="shared" si="60"/>
        <v>0</v>
      </c>
      <c r="N93" s="1139">
        <f t="shared" si="60"/>
        <v>0</v>
      </c>
      <c r="O93" s="1139">
        <f t="shared" si="60"/>
        <v>0</v>
      </c>
      <c r="P93" s="1139">
        <f t="shared" si="60"/>
        <v>0</v>
      </c>
      <c r="Q93" s="1139">
        <f t="shared" si="60"/>
        <v>0</v>
      </c>
      <c r="R93" s="1139">
        <f t="shared" si="60"/>
        <v>0</v>
      </c>
      <c r="S93" s="1139">
        <f t="shared" si="60"/>
        <v>0</v>
      </c>
      <c r="T93" s="1139">
        <f t="shared" si="60"/>
        <v>0</v>
      </c>
      <c r="U93" s="1139">
        <f t="shared" si="60"/>
        <v>0</v>
      </c>
      <c r="V93" s="1139">
        <f t="shared" si="60"/>
        <v>0</v>
      </c>
      <c r="W93" s="1139">
        <f t="shared" si="60"/>
        <v>0</v>
      </c>
      <c r="X93" s="1139">
        <f t="shared" si="60"/>
        <v>0</v>
      </c>
      <c r="Y93" s="1139"/>
      <c r="Z93" s="1218">
        <f t="shared" si="58"/>
        <v>0</v>
      </c>
      <c r="AA93" s="579">
        <f t="shared" si="48"/>
        <v>0</v>
      </c>
    </row>
    <row r="94" spans="1:27" ht="21.95" hidden="1" customHeight="1" thickBot="1" x14ac:dyDescent="0.2">
      <c r="A94" s="2596"/>
      <c r="B94" s="2924"/>
      <c r="C94" s="2921"/>
      <c r="D94" s="561" t="s">
        <v>952</v>
      </c>
      <c r="F94" s="1345"/>
      <c r="G94" s="1139">
        <f t="shared" ref="G94:X94" si="61">G91*0.132</f>
        <v>0</v>
      </c>
      <c r="H94" s="1139">
        <f t="shared" si="61"/>
        <v>0</v>
      </c>
      <c r="I94" s="1139">
        <f t="shared" si="61"/>
        <v>0</v>
      </c>
      <c r="J94" s="1139">
        <f t="shared" si="61"/>
        <v>0</v>
      </c>
      <c r="K94" s="1139">
        <f t="shared" si="61"/>
        <v>0</v>
      </c>
      <c r="L94" s="1139">
        <f t="shared" si="61"/>
        <v>0</v>
      </c>
      <c r="M94" s="1139">
        <f t="shared" si="61"/>
        <v>0</v>
      </c>
      <c r="N94" s="1139">
        <f t="shared" si="61"/>
        <v>0</v>
      </c>
      <c r="O94" s="1139">
        <f t="shared" si="61"/>
        <v>0</v>
      </c>
      <c r="P94" s="1139">
        <f t="shared" si="61"/>
        <v>0</v>
      </c>
      <c r="Q94" s="1139">
        <f t="shared" si="61"/>
        <v>0</v>
      </c>
      <c r="R94" s="1139">
        <f t="shared" si="61"/>
        <v>0</v>
      </c>
      <c r="S94" s="1139">
        <f t="shared" si="61"/>
        <v>0</v>
      </c>
      <c r="T94" s="1139">
        <f t="shared" si="61"/>
        <v>0</v>
      </c>
      <c r="U94" s="1139">
        <f t="shared" si="61"/>
        <v>0</v>
      </c>
      <c r="V94" s="1139">
        <f t="shared" si="61"/>
        <v>0</v>
      </c>
      <c r="W94" s="1139">
        <f t="shared" si="61"/>
        <v>0</v>
      </c>
      <c r="X94" s="1139">
        <f t="shared" si="61"/>
        <v>0</v>
      </c>
      <c r="Y94" s="1139"/>
      <c r="Z94" s="1218">
        <f t="shared" si="58"/>
        <v>0</v>
      </c>
      <c r="AA94" s="579">
        <f t="shared" si="48"/>
        <v>0</v>
      </c>
    </row>
    <row r="95" spans="1:27" ht="21.95" customHeight="1" thickBot="1" x14ac:dyDescent="0.2">
      <c r="A95" s="2596"/>
      <c r="B95" s="2653" t="s">
        <v>1355</v>
      </c>
      <c r="C95" s="2926"/>
      <c r="D95" s="550" t="s">
        <v>1405</v>
      </c>
      <c r="E95" s="1061"/>
      <c r="F95" s="1344"/>
      <c r="G95" s="1137">
        <f>(G28+G54)*1.375</f>
        <v>1303.7975431249999</v>
      </c>
      <c r="H95" s="1137">
        <f t="shared" ref="H95:X95" si="62">(H28+H54)*1.375</f>
        <v>1257.533743125</v>
      </c>
      <c r="I95" s="1137">
        <f t="shared" si="62"/>
        <v>704.74070562499992</v>
      </c>
      <c r="J95" s="1137">
        <f t="shared" si="62"/>
        <v>700.81564575000004</v>
      </c>
      <c r="K95" s="1137">
        <f t="shared" si="62"/>
        <v>432.56946562500002</v>
      </c>
      <c r="L95" s="1137">
        <f t="shared" si="62"/>
        <v>333.43121624999998</v>
      </c>
      <c r="M95" s="1137">
        <f t="shared" si="62"/>
        <v>41.386743750000001</v>
      </c>
      <c r="N95" s="1137">
        <f t="shared" si="62"/>
        <v>436.91851499999996</v>
      </c>
      <c r="O95" s="1137">
        <f t="shared" si="62"/>
        <v>782.43587812499993</v>
      </c>
      <c r="P95" s="1137">
        <f t="shared" si="62"/>
        <v>436.65806250000003</v>
      </c>
      <c r="Q95" s="1137">
        <f t="shared" si="62"/>
        <v>496.81613437500005</v>
      </c>
      <c r="R95" s="1137">
        <f t="shared" si="62"/>
        <v>1078.9215937499998</v>
      </c>
      <c r="S95" s="1137">
        <f t="shared" si="62"/>
        <v>1085.4965137499998</v>
      </c>
      <c r="T95" s="1137">
        <f t="shared" si="62"/>
        <v>1025.8796212499999</v>
      </c>
      <c r="U95" s="1137">
        <f t="shared" si="62"/>
        <v>1121.9775393750001</v>
      </c>
      <c r="V95" s="1137">
        <f t="shared" si="62"/>
        <v>1093.9550118749999</v>
      </c>
      <c r="W95" s="1137">
        <f t="shared" si="62"/>
        <v>452.27654999999993</v>
      </c>
      <c r="X95" s="1137">
        <f t="shared" si="62"/>
        <v>691.80577125000002</v>
      </c>
      <c r="Y95" s="1137"/>
      <c r="Z95" s="1204">
        <f t="shared" si="58"/>
        <v>13477.42</v>
      </c>
      <c r="AA95" s="579">
        <f t="shared" si="48"/>
        <v>26954.836254499998</v>
      </c>
    </row>
    <row r="96" spans="1:27" ht="21.95" hidden="1" customHeight="1" thickBot="1" x14ac:dyDescent="0.2">
      <c r="A96" s="2596"/>
      <c r="B96" s="2655"/>
      <c r="C96" s="2927"/>
      <c r="D96" s="566" t="s">
        <v>1372</v>
      </c>
      <c r="E96" s="983"/>
      <c r="F96" s="1270"/>
      <c r="G96" s="1135">
        <f t="shared" ref="G96:X96" si="63">G63</f>
        <v>0</v>
      </c>
      <c r="H96" s="1135">
        <f t="shared" si="63"/>
        <v>0</v>
      </c>
      <c r="I96" s="1135">
        <f t="shared" si="63"/>
        <v>0</v>
      </c>
      <c r="J96" s="1135">
        <f t="shared" si="63"/>
        <v>0</v>
      </c>
      <c r="K96" s="1135">
        <f t="shared" si="63"/>
        <v>0</v>
      </c>
      <c r="L96" s="1135">
        <f t="shared" si="63"/>
        <v>0</v>
      </c>
      <c r="M96" s="1135">
        <f t="shared" si="63"/>
        <v>0</v>
      </c>
      <c r="N96" s="1135">
        <f t="shared" si="63"/>
        <v>0</v>
      </c>
      <c r="O96" s="1135">
        <f t="shared" si="63"/>
        <v>0</v>
      </c>
      <c r="P96" s="1135">
        <f t="shared" si="63"/>
        <v>0</v>
      </c>
      <c r="Q96" s="1135">
        <f t="shared" si="63"/>
        <v>0</v>
      </c>
      <c r="R96" s="1135">
        <f t="shared" si="63"/>
        <v>0</v>
      </c>
      <c r="S96" s="1135">
        <f t="shared" si="63"/>
        <v>0</v>
      </c>
      <c r="T96" s="1135">
        <f t="shared" si="63"/>
        <v>0</v>
      </c>
      <c r="U96" s="1135">
        <f t="shared" si="63"/>
        <v>0</v>
      </c>
      <c r="V96" s="1135">
        <f t="shared" si="63"/>
        <v>0</v>
      </c>
      <c r="W96" s="1135">
        <f t="shared" si="63"/>
        <v>0</v>
      </c>
      <c r="X96" s="1135">
        <f t="shared" si="63"/>
        <v>0</v>
      </c>
      <c r="Y96" s="1135"/>
      <c r="Z96" s="1141">
        <f t="shared" si="58"/>
        <v>0</v>
      </c>
      <c r="AA96" s="579">
        <f t="shared" si="48"/>
        <v>0</v>
      </c>
    </row>
    <row r="97" spans="1:27" ht="21.95" customHeight="1" x14ac:dyDescent="0.15">
      <c r="A97" s="2596"/>
      <c r="B97" s="2810" t="s">
        <v>1380</v>
      </c>
      <c r="C97" s="2757"/>
      <c r="D97" s="550" t="s">
        <v>1812</v>
      </c>
      <c r="F97" s="1345"/>
      <c r="G97" s="1137">
        <f t="shared" ref="G97:X97" si="64">G33+G59</f>
        <v>474.10819750000002</v>
      </c>
      <c r="H97" s="1137">
        <f t="shared" si="64"/>
        <v>457.28499750000003</v>
      </c>
      <c r="I97" s="1137">
        <f t="shared" si="64"/>
        <v>256.26934749999998</v>
      </c>
      <c r="J97" s="1137">
        <f t="shared" si="64"/>
        <v>254.84205300000002</v>
      </c>
      <c r="K97" s="1137">
        <f t="shared" si="64"/>
        <v>157.2979875</v>
      </c>
      <c r="L97" s="1137">
        <f t="shared" si="64"/>
        <v>121.247715</v>
      </c>
      <c r="M97" s="1137">
        <f t="shared" si="64"/>
        <v>15.049725</v>
      </c>
      <c r="N97" s="1137">
        <f t="shared" si="64"/>
        <v>158.87945999999999</v>
      </c>
      <c r="O97" s="1137">
        <f t="shared" si="64"/>
        <v>284.52213749999999</v>
      </c>
      <c r="P97" s="1137">
        <f t="shared" si="64"/>
        <v>158.78475000000003</v>
      </c>
      <c r="Q97" s="1137">
        <f t="shared" si="64"/>
        <v>180.66041250000001</v>
      </c>
      <c r="R97" s="1137">
        <f t="shared" si="64"/>
        <v>392.33512499999995</v>
      </c>
      <c r="S97" s="1137">
        <f t="shared" si="64"/>
        <v>394.72600499999999</v>
      </c>
      <c r="T97" s="1137">
        <f t="shared" si="64"/>
        <v>373.04713499999997</v>
      </c>
      <c r="U97" s="1137">
        <f t="shared" si="64"/>
        <v>407.99183250000004</v>
      </c>
      <c r="V97" s="1137">
        <f t="shared" si="64"/>
        <v>397.80182249999996</v>
      </c>
      <c r="W97" s="1137">
        <f t="shared" si="64"/>
        <v>164.46420000000001</v>
      </c>
      <c r="X97" s="1137">
        <f t="shared" si="64"/>
        <v>251.56573500000005</v>
      </c>
      <c r="Y97" s="1137"/>
      <c r="Z97" s="1204">
        <f t="shared" si="58"/>
        <v>4900.88</v>
      </c>
      <c r="AA97" s="579">
        <f t="shared" si="48"/>
        <v>9801.7586380000012</v>
      </c>
    </row>
    <row r="98" spans="1:27" ht="21.95" hidden="1" customHeight="1" x14ac:dyDescent="0.15">
      <c r="A98" s="2596"/>
      <c r="B98" s="2599"/>
      <c r="C98" s="2759"/>
      <c r="D98" s="567" t="s">
        <v>1207</v>
      </c>
      <c r="F98" s="1345"/>
      <c r="G98" s="1139">
        <f t="shared" ref="G98:X98" si="65">G32+G58</f>
        <v>0</v>
      </c>
      <c r="H98" s="1139">
        <f t="shared" si="65"/>
        <v>0</v>
      </c>
      <c r="I98" s="1139">
        <f t="shared" si="65"/>
        <v>0</v>
      </c>
      <c r="J98" s="1139">
        <f t="shared" si="65"/>
        <v>0</v>
      </c>
      <c r="K98" s="1139">
        <f t="shared" si="65"/>
        <v>0</v>
      </c>
      <c r="L98" s="1139">
        <f t="shared" si="65"/>
        <v>0</v>
      </c>
      <c r="M98" s="1139">
        <f t="shared" si="65"/>
        <v>0</v>
      </c>
      <c r="N98" s="1139">
        <f t="shared" si="65"/>
        <v>0</v>
      </c>
      <c r="O98" s="1139">
        <f t="shared" si="65"/>
        <v>0</v>
      </c>
      <c r="P98" s="1139">
        <f t="shared" si="65"/>
        <v>0</v>
      </c>
      <c r="Q98" s="1139">
        <f t="shared" si="65"/>
        <v>0</v>
      </c>
      <c r="R98" s="1139">
        <f t="shared" si="65"/>
        <v>0</v>
      </c>
      <c r="S98" s="1139">
        <f t="shared" si="65"/>
        <v>0</v>
      </c>
      <c r="T98" s="1139">
        <f t="shared" si="65"/>
        <v>0</v>
      </c>
      <c r="U98" s="1139">
        <f t="shared" si="65"/>
        <v>0</v>
      </c>
      <c r="V98" s="1139">
        <f t="shared" si="65"/>
        <v>0</v>
      </c>
      <c r="W98" s="1139">
        <f t="shared" si="65"/>
        <v>0</v>
      </c>
      <c r="X98" s="1139">
        <f t="shared" si="65"/>
        <v>0</v>
      </c>
      <c r="Y98" s="1139"/>
      <c r="Z98" s="1218">
        <f t="shared" si="58"/>
        <v>0</v>
      </c>
      <c r="AA98" s="579">
        <f t="shared" si="48"/>
        <v>0</v>
      </c>
    </row>
    <row r="99" spans="1:27" ht="21.95" hidden="1" customHeight="1" x14ac:dyDescent="0.15">
      <c r="A99" s="2596"/>
      <c r="B99" s="2599"/>
      <c r="C99" s="2759"/>
      <c r="D99" s="559" t="s">
        <v>1818</v>
      </c>
      <c r="F99" s="1345"/>
      <c r="G99" s="1139">
        <f t="shared" ref="G99:X99" si="66">G80</f>
        <v>0</v>
      </c>
      <c r="H99" s="1139">
        <f t="shared" si="66"/>
        <v>0</v>
      </c>
      <c r="I99" s="1139">
        <f t="shared" si="66"/>
        <v>0</v>
      </c>
      <c r="J99" s="1139">
        <f t="shared" si="66"/>
        <v>0</v>
      </c>
      <c r="K99" s="1139">
        <f t="shared" si="66"/>
        <v>0</v>
      </c>
      <c r="L99" s="1139">
        <f t="shared" si="66"/>
        <v>0</v>
      </c>
      <c r="M99" s="1139">
        <f t="shared" si="66"/>
        <v>0</v>
      </c>
      <c r="N99" s="1139">
        <f t="shared" si="66"/>
        <v>0</v>
      </c>
      <c r="O99" s="1139">
        <f t="shared" si="66"/>
        <v>0</v>
      </c>
      <c r="P99" s="1139">
        <f t="shared" si="66"/>
        <v>0</v>
      </c>
      <c r="Q99" s="1139">
        <f t="shared" si="66"/>
        <v>0</v>
      </c>
      <c r="R99" s="1139">
        <f t="shared" si="66"/>
        <v>0</v>
      </c>
      <c r="S99" s="1139">
        <f t="shared" si="66"/>
        <v>0</v>
      </c>
      <c r="T99" s="1139">
        <f t="shared" si="66"/>
        <v>0</v>
      </c>
      <c r="U99" s="1139">
        <f t="shared" si="66"/>
        <v>0</v>
      </c>
      <c r="V99" s="1139">
        <f t="shared" si="66"/>
        <v>0</v>
      </c>
      <c r="W99" s="1139">
        <f t="shared" si="66"/>
        <v>0</v>
      </c>
      <c r="X99" s="1139">
        <f t="shared" si="66"/>
        <v>0</v>
      </c>
      <c r="Y99" s="1139"/>
      <c r="Z99" s="1218">
        <f t="shared" si="58"/>
        <v>0</v>
      </c>
      <c r="AA99" s="579">
        <f t="shared" si="48"/>
        <v>0</v>
      </c>
    </row>
    <row r="100" spans="1:27" ht="21.95" hidden="1" customHeight="1" x14ac:dyDescent="0.15">
      <c r="A100" s="2596"/>
      <c r="B100" s="2599"/>
      <c r="C100" s="2759"/>
      <c r="D100" s="975" t="s">
        <v>1420</v>
      </c>
      <c r="F100" s="1345"/>
      <c r="G100" s="1139">
        <f t="shared" ref="G100:X100" si="67">G69</f>
        <v>0</v>
      </c>
      <c r="H100" s="1139">
        <f t="shared" si="67"/>
        <v>0</v>
      </c>
      <c r="I100" s="1139">
        <f t="shared" si="67"/>
        <v>0</v>
      </c>
      <c r="J100" s="1139">
        <f t="shared" si="67"/>
        <v>0</v>
      </c>
      <c r="K100" s="1139">
        <f t="shared" si="67"/>
        <v>0</v>
      </c>
      <c r="L100" s="1139">
        <f t="shared" si="67"/>
        <v>0</v>
      </c>
      <c r="M100" s="1139">
        <f t="shared" si="67"/>
        <v>0</v>
      </c>
      <c r="N100" s="1139">
        <f t="shared" si="67"/>
        <v>0</v>
      </c>
      <c r="O100" s="1139">
        <f t="shared" si="67"/>
        <v>0</v>
      </c>
      <c r="P100" s="1139">
        <f t="shared" si="67"/>
        <v>0</v>
      </c>
      <c r="Q100" s="1139">
        <f t="shared" si="67"/>
        <v>0</v>
      </c>
      <c r="R100" s="1139">
        <f t="shared" si="67"/>
        <v>0</v>
      </c>
      <c r="S100" s="1139">
        <f t="shared" si="67"/>
        <v>0</v>
      </c>
      <c r="T100" s="1139">
        <f t="shared" si="67"/>
        <v>0</v>
      </c>
      <c r="U100" s="1139">
        <f t="shared" si="67"/>
        <v>0</v>
      </c>
      <c r="V100" s="1139">
        <f t="shared" si="67"/>
        <v>0</v>
      </c>
      <c r="W100" s="1139">
        <f t="shared" si="67"/>
        <v>0</v>
      </c>
      <c r="X100" s="1139">
        <f t="shared" si="67"/>
        <v>0</v>
      </c>
      <c r="Y100" s="1139"/>
      <c r="Z100" s="1218">
        <f t="shared" si="58"/>
        <v>0</v>
      </c>
      <c r="AA100" s="579">
        <f t="shared" si="48"/>
        <v>0</v>
      </c>
    </row>
    <row r="101" spans="1:27" ht="21.95" customHeight="1" x14ac:dyDescent="0.15">
      <c r="A101" s="2596"/>
      <c r="B101" s="2599"/>
      <c r="C101" s="2759"/>
      <c r="D101" s="567" t="s">
        <v>1394</v>
      </c>
      <c r="F101" s="1345"/>
      <c r="G101" s="1139">
        <f t="shared" ref="G101:X101" si="68">G85</f>
        <v>32.757510799999999</v>
      </c>
      <c r="H101" s="1139">
        <f t="shared" si="68"/>
        <v>32.444462400000006</v>
      </c>
      <c r="I101" s="1139">
        <f t="shared" si="68"/>
        <v>18.3167124</v>
      </c>
      <c r="J101" s="1139">
        <f t="shared" si="68"/>
        <v>18.330172000000001</v>
      </c>
      <c r="K101" s="1139">
        <f t="shared" si="68"/>
        <v>8.9201405999999999</v>
      </c>
      <c r="L101" s="1139">
        <f t="shared" si="68"/>
        <v>7.1171981999999998</v>
      </c>
      <c r="M101" s="1139">
        <f t="shared" si="68"/>
        <v>0.84911400000000015</v>
      </c>
      <c r="N101" s="1139">
        <f t="shared" si="68"/>
        <v>9.0099786000000002</v>
      </c>
      <c r="O101" s="1139">
        <f t="shared" si="68"/>
        <v>16.142681100000001</v>
      </c>
      <c r="P101" s="1139">
        <f t="shared" si="68"/>
        <v>9.0044240999999996</v>
      </c>
      <c r="Q101" s="1139">
        <f t="shared" si="68"/>
        <v>10.475304000000001</v>
      </c>
      <c r="R101" s="1139">
        <f t="shared" si="68"/>
        <v>22.273255200000001</v>
      </c>
      <c r="S101" s="1139">
        <f t="shared" si="68"/>
        <v>22.375651200000004</v>
      </c>
      <c r="T101" s="1139">
        <f t="shared" si="68"/>
        <v>21.164045699999999</v>
      </c>
      <c r="U101" s="1139">
        <f t="shared" si="68"/>
        <v>23.128020299999999</v>
      </c>
      <c r="V101" s="1139">
        <f t="shared" si="68"/>
        <v>22.554506100000001</v>
      </c>
      <c r="W101" s="1139">
        <f t="shared" si="68"/>
        <v>9.4319274000000011</v>
      </c>
      <c r="X101" s="1139">
        <f t="shared" si="68"/>
        <v>14.683634700000001</v>
      </c>
      <c r="Y101" s="1139"/>
      <c r="Z101" s="1140">
        <f t="shared" si="58"/>
        <v>298.98</v>
      </c>
      <c r="AA101" s="579">
        <f t="shared" si="48"/>
        <v>597.95873879999999</v>
      </c>
    </row>
    <row r="102" spans="1:27" ht="21.95" hidden="1" customHeight="1" x14ac:dyDescent="0.15">
      <c r="A102" s="2596"/>
      <c r="B102" s="2599"/>
      <c r="C102" s="2759"/>
      <c r="D102" s="559" t="s">
        <v>1395</v>
      </c>
      <c r="F102" s="1345"/>
      <c r="G102" s="1139">
        <f t="shared" ref="G102:X102" si="69">G92</f>
        <v>0</v>
      </c>
      <c r="H102" s="1139">
        <f t="shared" si="69"/>
        <v>0</v>
      </c>
      <c r="I102" s="1139">
        <f t="shared" si="69"/>
        <v>0</v>
      </c>
      <c r="J102" s="1139">
        <f t="shared" si="69"/>
        <v>0</v>
      </c>
      <c r="K102" s="1139">
        <f t="shared" si="69"/>
        <v>0</v>
      </c>
      <c r="L102" s="1139">
        <f t="shared" si="69"/>
        <v>0</v>
      </c>
      <c r="M102" s="1139">
        <f t="shared" si="69"/>
        <v>0</v>
      </c>
      <c r="N102" s="1139">
        <f t="shared" si="69"/>
        <v>0</v>
      </c>
      <c r="O102" s="1139">
        <f t="shared" si="69"/>
        <v>0</v>
      </c>
      <c r="P102" s="1139">
        <f t="shared" si="69"/>
        <v>0</v>
      </c>
      <c r="Q102" s="1139">
        <f t="shared" si="69"/>
        <v>0</v>
      </c>
      <c r="R102" s="1139">
        <f t="shared" si="69"/>
        <v>0</v>
      </c>
      <c r="S102" s="1139">
        <f t="shared" si="69"/>
        <v>0</v>
      </c>
      <c r="T102" s="1139">
        <f t="shared" si="69"/>
        <v>0</v>
      </c>
      <c r="U102" s="1139">
        <f t="shared" si="69"/>
        <v>0</v>
      </c>
      <c r="V102" s="1139">
        <f t="shared" si="69"/>
        <v>0</v>
      </c>
      <c r="W102" s="1139">
        <f t="shared" si="69"/>
        <v>0</v>
      </c>
      <c r="X102" s="1139">
        <f t="shared" si="69"/>
        <v>0</v>
      </c>
      <c r="Y102" s="1139"/>
      <c r="Z102" s="1218">
        <f t="shared" si="58"/>
        <v>0</v>
      </c>
      <c r="AA102" s="579">
        <f t="shared" si="48"/>
        <v>0</v>
      </c>
    </row>
    <row r="103" spans="1:27" ht="21.95" hidden="1" customHeight="1" x14ac:dyDescent="0.15">
      <c r="A103" s="2596"/>
      <c r="B103" s="2599"/>
      <c r="C103" s="2759"/>
      <c r="D103" s="567" t="s">
        <v>1371</v>
      </c>
      <c r="F103" s="1345"/>
      <c r="G103" s="1139">
        <f t="shared" ref="G103:X103" si="70">G35+G61</f>
        <v>0</v>
      </c>
      <c r="H103" s="1139">
        <f t="shared" si="70"/>
        <v>0</v>
      </c>
      <c r="I103" s="1139">
        <f t="shared" si="70"/>
        <v>0</v>
      </c>
      <c r="J103" s="1139">
        <f t="shared" si="70"/>
        <v>0</v>
      </c>
      <c r="K103" s="1139">
        <f t="shared" si="70"/>
        <v>0</v>
      </c>
      <c r="L103" s="1139">
        <f t="shared" si="70"/>
        <v>0</v>
      </c>
      <c r="M103" s="1139">
        <f t="shared" si="70"/>
        <v>0</v>
      </c>
      <c r="N103" s="1139">
        <f t="shared" si="70"/>
        <v>0</v>
      </c>
      <c r="O103" s="1139">
        <f t="shared" si="70"/>
        <v>0</v>
      </c>
      <c r="P103" s="1139">
        <f t="shared" si="70"/>
        <v>0</v>
      </c>
      <c r="Q103" s="1139">
        <f t="shared" si="70"/>
        <v>0</v>
      </c>
      <c r="R103" s="1139">
        <f t="shared" si="70"/>
        <v>0</v>
      </c>
      <c r="S103" s="1139">
        <f t="shared" si="70"/>
        <v>0</v>
      </c>
      <c r="T103" s="1139">
        <f t="shared" si="70"/>
        <v>0</v>
      </c>
      <c r="U103" s="1139">
        <f t="shared" si="70"/>
        <v>0</v>
      </c>
      <c r="V103" s="1139">
        <f t="shared" si="70"/>
        <v>0</v>
      </c>
      <c r="W103" s="1139">
        <f t="shared" si="70"/>
        <v>0</v>
      </c>
      <c r="X103" s="1139">
        <f t="shared" si="70"/>
        <v>0</v>
      </c>
      <c r="Y103" s="1139"/>
      <c r="Z103" s="1218">
        <f t="shared" si="58"/>
        <v>0</v>
      </c>
      <c r="AA103" s="579">
        <f t="shared" si="48"/>
        <v>0</v>
      </c>
    </row>
    <row r="104" spans="1:27" ht="21.95" customHeight="1" x14ac:dyDescent="0.15">
      <c r="A104" s="2596"/>
      <c r="B104" s="2599"/>
      <c r="C104" s="2759"/>
      <c r="D104" s="567" t="s">
        <v>1767</v>
      </c>
      <c r="F104" s="1345"/>
      <c r="G104" s="1139">
        <f t="shared" ref="G104:X104" si="71">G34+G60</f>
        <v>782.2785258749999</v>
      </c>
      <c r="H104" s="1139">
        <f t="shared" si="71"/>
        <v>754.520245875</v>
      </c>
      <c r="I104" s="1139">
        <f t="shared" si="71"/>
        <v>422.84442337499996</v>
      </c>
      <c r="J104" s="1139">
        <f t="shared" si="71"/>
        <v>420.48938744999998</v>
      </c>
      <c r="K104" s="1139">
        <f t="shared" si="71"/>
        <v>259.541679375</v>
      </c>
      <c r="L104" s="1139">
        <f t="shared" si="71"/>
        <v>200.05872975</v>
      </c>
      <c r="M104" s="1139">
        <f t="shared" si="71"/>
        <v>24.832046250000001</v>
      </c>
      <c r="N104" s="1139">
        <f t="shared" si="71"/>
        <v>262.15110900000002</v>
      </c>
      <c r="O104" s="1139">
        <f t="shared" si="71"/>
        <v>469.461526875</v>
      </c>
      <c r="P104" s="1139">
        <f t="shared" si="71"/>
        <v>261.99483750000002</v>
      </c>
      <c r="Q104" s="1139">
        <f t="shared" si="71"/>
        <v>298.08968062500003</v>
      </c>
      <c r="R104" s="1139">
        <f t="shared" si="71"/>
        <v>647.35295624999992</v>
      </c>
      <c r="S104" s="1139">
        <f t="shared" si="71"/>
        <v>651.29790824999998</v>
      </c>
      <c r="T104" s="1139">
        <f t="shared" si="71"/>
        <v>615.52777274999994</v>
      </c>
      <c r="U104" s="1139">
        <f t="shared" si="71"/>
        <v>673.18652362500006</v>
      </c>
      <c r="V104" s="1139">
        <f t="shared" si="71"/>
        <v>656.37300712499996</v>
      </c>
      <c r="W104" s="1139">
        <f t="shared" si="71"/>
        <v>271.36592999999993</v>
      </c>
      <c r="X104" s="1139">
        <f t="shared" si="71"/>
        <v>415.08346275000002</v>
      </c>
      <c r="Y104" s="1139"/>
      <c r="Z104" s="1218">
        <f t="shared" si="58"/>
        <v>8086.45</v>
      </c>
      <c r="AA104" s="579">
        <f t="shared" si="48"/>
        <v>16172.899752699999</v>
      </c>
    </row>
    <row r="105" spans="1:27" ht="21.95" hidden="1" customHeight="1" x14ac:dyDescent="0.15">
      <c r="A105" s="2596"/>
      <c r="B105" s="2599"/>
      <c r="C105" s="2759"/>
      <c r="D105" s="567" t="s">
        <v>1766</v>
      </c>
      <c r="F105" s="1345"/>
      <c r="G105" s="1139">
        <f t="shared" ref="G105:X105" si="72">G36+G62</f>
        <v>0</v>
      </c>
      <c r="H105" s="1139">
        <f t="shared" si="72"/>
        <v>0</v>
      </c>
      <c r="I105" s="1139">
        <f t="shared" si="72"/>
        <v>0</v>
      </c>
      <c r="J105" s="1139">
        <f t="shared" si="72"/>
        <v>0</v>
      </c>
      <c r="K105" s="1139">
        <f t="shared" si="72"/>
        <v>0</v>
      </c>
      <c r="L105" s="1139">
        <f t="shared" si="72"/>
        <v>0</v>
      </c>
      <c r="M105" s="1139">
        <f t="shared" si="72"/>
        <v>0</v>
      </c>
      <c r="N105" s="1139">
        <f t="shared" si="72"/>
        <v>0</v>
      </c>
      <c r="O105" s="1139">
        <f t="shared" si="72"/>
        <v>0</v>
      </c>
      <c r="P105" s="1139">
        <f t="shared" si="72"/>
        <v>0</v>
      </c>
      <c r="Q105" s="1139">
        <f t="shared" si="72"/>
        <v>0</v>
      </c>
      <c r="R105" s="1139">
        <f t="shared" si="72"/>
        <v>0</v>
      </c>
      <c r="S105" s="1139">
        <f t="shared" si="72"/>
        <v>0</v>
      </c>
      <c r="T105" s="1139">
        <f t="shared" si="72"/>
        <v>0</v>
      </c>
      <c r="U105" s="1139">
        <f t="shared" si="72"/>
        <v>0</v>
      </c>
      <c r="V105" s="1139">
        <f t="shared" si="72"/>
        <v>0</v>
      </c>
      <c r="W105" s="1139">
        <f t="shared" si="72"/>
        <v>0</v>
      </c>
      <c r="X105" s="1139">
        <f t="shared" si="72"/>
        <v>0</v>
      </c>
      <c r="Y105" s="1139"/>
      <c r="Z105" s="1218">
        <f t="shared" si="58"/>
        <v>0</v>
      </c>
      <c r="AA105" s="579">
        <f t="shared" si="48"/>
        <v>0</v>
      </c>
    </row>
    <row r="106" spans="1:27" ht="21.95" hidden="1" customHeight="1" x14ac:dyDescent="0.15">
      <c r="A106" s="2596"/>
      <c r="B106" s="2599"/>
      <c r="C106" s="2759"/>
      <c r="D106" s="567" t="s">
        <v>1372</v>
      </c>
      <c r="F106" s="1345"/>
      <c r="G106" s="1139">
        <f t="shared" ref="G106:X106" si="73">G37+G63</f>
        <v>0</v>
      </c>
      <c r="H106" s="1139">
        <f t="shared" si="73"/>
        <v>0</v>
      </c>
      <c r="I106" s="1139">
        <f t="shared" si="73"/>
        <v>0</v>
      </c>
      <c r="J106" s="1139">
        <f t="shared" si="73"/>
        <v>0</v>
      </c>
      <c r="K106" s="1139">
        <f t="shared" si="73"/>
        <v>0</v>
      </c>
      <c r="L106" s="1139">
        <f t="shared" si="73"/>
        <v>0</v>
      </c>
      <c r="M106" s="1139">
        <f t="shared" si="73"/>
        <v>0</v>
      </c>
      <c r="N106" s="1139">
        <f t="shared" si="73"/>
        <v>0</v>
      </c>
      <c r="O106" s="1139">
        <f t="shared" si="73"/>
        <v>0</v>
      </c>
      <c r="P106" s="1139">
        <f t="shared" si="73"/>
        <v>0</v>
      </c>
      <c r="Q106" s="1139">
        <f t="shared" si="73"/>
        <v>0</v>
      </c>
      <c r="R106" s="1139">
        <f t="shared" si="73"/>
        <v>0</v>
      </c>
      <c r="S106" s="1139">
        <f t="shared" si="73"/>
        <v>0</v>
      </c>
      <c r="T106" s="1139">
        <f t="shared" si="73"/>
        <v>0</v>
      </c>
      <c r="U106" s="1139">
        <f t="shared" si="73"/>
        <v>0</v>
      </c>
      <c r="V106" s="1139">
        <f t="shared" si="73"/>
        <v>0</v>
      </c>
      <c r="W106" s="1139">
        <f t="shared" si="73"/>
        <v>0</v>
      </c>
      <c r="X106" s="1139">
        <f t="shared" si="73"/>
        <v>0</v>
      </c>
      <c r="Y106" s="1139"/>
      <c r="Z106" s="1218">
        <f t="shared" si="58"/>
        <v>0</v>
      </c>
      <c r="AA106" s="579">
        <f t="shared" ref="AA106:AA120" si="74">SUM(G106:Z106)</f>
        <v>0</v>
      </c>
    </row>
    <row r="107" spans="1:27" ht="21.95" hidden="1" customHeight="1" x14ac:dyDescent="0.15">
      <c r="A107" s="2596"/>
      <c r="B107" s="2599"/>
      <c r="C107" s="2759"/>
      <c r="D107" s="567" t="s">
        <v>1787</v>
      </c>
      <c r="F107" s="1345"/>
      <c r="G107" s="1139">
        <f t="shared" ref="G107:X107" si="75">G70+G73</f>
        <v>0</v>
      </c>
      <c r="H107" s="1139">
        <f t="shared" si="75"/>
        <v>0</v>
      </c>
      <c r="I107" s="1139">
        <f t="shared" si="75"/>
        <v>0</v>
      </c>
      <c r="J107" s="1139">
        <f t="shared" si="75"/>
        <v>0</v>
      </c>
      <c r="K107" s="1139">
        <f t="shared" si="75"/>
        <v>0</v>
      </c>
      <c r="L107" s="1139">
        <f t="shared" si="75"/>
        <v>0</v>
      </c>
      <c r="M107" s="1139">
        <f t="shared" si="75"/>
        <v>0</v>
      </c>
      <c r="N107" s="1139">
        <f t="shared" si="75"/>
        <v>0</v>
      </c>
      <c r="O107" s="1139">
        <f t="shared" si="75"/>
        <v>0</v>
      </c>
      <c r="P107" s="1139">
        <f t="shared" si="75"/>
        <v>0</v>
      </c>
      <c r="Q107" s="1139">
        <f t="shared" si="75"/>
        <v>0</v>
      </c>
      <c r="R107" s="1139">
        <f t="shared" si="75"/>
        <v>0</v>
      </c>
      <c r="S107" s="1139">
        <f t="shared" si="75"/>
        <v>0</v>
      </c>
      <c r="T107" s="1139">
        <f t="shared" si="75"/>
        <v>0</v>
      </c>
      <c r="U107" s="1139">
        <f t="shared" si="75"/>
        <v>0</v>
      </c>
      <c r="V107" s="1139">
        <f t="shared" si="75"/>
        <v>0</v>
      </c>
      <c r="W107" s="1139">
        <f t="shared" si="75"/>
        <v>0</v>
      </c>
      <c r="X107" s="1139">
        <f t="shared" si="75"/>
        <v>0</v>
      </c>
      <c r="Y107" s="1139"/>
      <c r="Z107" s="1218">
        <f t="shared" si="58"/>
        <v>0</v>
      </c>
      <c r="AA107" s="579">
        <f t="shared" si="74"/>
        <v>0</v>
      </c>
    </row>
    <row r="108" spans="1:27" ht="21.95" customHeight="1" x14ac:dyDescent="0.15">
      <c r="A108" s="2596"/>
      <c r="B108" s="2599"/>
      <c r="C108" s="2759"/>
      <c r="D108" s="567" t="s">
        <v>1396</v>
      </c>
      <c r="F108" s="1345"/>
      <c r="G108" s="1139">
        <f t="shared" ref="G108:X108" si="76">G86</f>
        <v>97.051755599999993</v>
      </c>
      <c r="H108" s="1139">
        <f t="shared" si="76"/>
        <v>96.124276800000004</v>
      </c>
      <c r="I108" s="1139">
        <f t="shared" si="76"/>
        <v>54.267526799999999</v>
      </c>
      <c r="J108" s="1139">
        <f t="shared" si="76"/>
        <v>54.307403999999998</v>
      </c>
      <c r="K108" s="1139">
        <f t="shared" si="76"/>
        <v>26.427994200000001</v>
      </c>
      <c r="L108" s="1139">
        <f t="shared" si="76"/>
        <v>21.086357399999997</v>
      </c>
      <c r="M108" s="1139">
        <f t="shared" si="76"/>
        <v>2.5156980000000004</v>
      </c>
      <c r="N108" s="1139">
        <f t="shared" si="76"/>
        <v>26.694160199999999</v>
      </c>
      <c r="O108" s="1139">
        <f t="shared" si="76"/>
        <v>47.826452699999997</v>
      </c>
      <c r="P108" s="1139">
        <f t="shared" si="76"/>
        <v>26.677703699999995</v>
      </c>
      <c r="Q108" s="1139">
        <f t="shared" si="76"/>
        <v>31.035528000000003</v>
      </c>
      <c r="R108" s="1139">
        <f t="shared" si="76"/>
        <v>65.989706399999989</v>
      </c>
      <c r="S108" s="1139">
        <f t="shared" si="76"/>
        <v>66.293078400000013</v>
      </c>
      <c r="T108" s="1139">
        <f t="shared" si="76"/>
        <v>62.703414899999999</v>
      </c>
      <c r="U108" s="1139">
        <f t="shared" si="76"/>
        <v>68.522147099999998</v>
      </c>
      <c r="V108" s="1139">
        <f t="shared" si="76"/>
        <v>66.822977699999996</v>
      </c>
      <c r="W108" s="1139">
        <f t="shared" si="76"/>
        <v>27.944281800000002</v>
      </c>
      <c r="X108" s="1139">
        <f t="shared" si="76"/>
        <v>43.503687900000003</v>
      </c>
      <c r="Y108" s="1139"/>
      <c r="Z108" s="1218">
        <f t="shared" si="58"/>
        <v>885.79</v>
      </c>
      <c r="AA108" s="579">
        <f t="shared" si="74"/>
        <v>1771.5841516</v>
      </c>
    </row>
    <row r="109" spans="1:27" ht="21.95" hidden="1" customHeight="1" x14ac:dyDescent="0.15">
      <c r="A109" s="2596"/>
      <c r="B109" s="2599"/>
      <c r="C109" s="2759"/>
      <c r="D109" s="567" t="s">
        <v>1397</v>
      </c>
      <c r="F109" s="1345"/>
      <c r="G109" s="1139">
        <f t="shared" ref="G109:X109" si="77">G93</f>
        <v>0</v>
      </c>
      <c r="H109" s="1139">
        <f t="shared" si="77"/>
        <v>0</v>
      </c>
      <c r="I109" s="1139">
        <f t="shared" si="77"/>
        <v>0</v>
      </c>
      <c r="J109" s="1139">
        <f t="shared" si="77"/>
        <v>0</v>
      </c>
      <c r="K109" s="1139">
        <f t="shared" si="77"/>
        <v>0</v>
      </c>
      <c r="L109" s="1139">
        <f t="shared" si="77"/>
        <v>0</v>
      </c>
      <c r="M109" s="1139">
        <f t="shared" si="77"/>
        <v>0</v>
      </c>
      <c r="N109" s="1139">
        <f t="shared" si="77"/>
        <v>0</v>
      </c>
      <c r="O109" s="1139">
        <f t="shared" si="77"/>
        <v>0</v>
      </c>
      <c r="P109" s="1139">
        <f t="shared" si="77"/>
        <v>0</v>
      </c>
      <c r="Q109" s="1139">
        <f t="shared" si="77"/>
        <v>0</v>
      </c>
      <c r="R109" s="1139">
        <f t="shared" si="77"/>
        <v>0</v>
      </c>
      <c r="S109" s="1139">
        <f t="shared" si="77"/>
        <v>0</v>
      </c>
      <c r="T109" s="1139">
        <f t="shared" si="77"/>
        <v>0</v>
      </c>
      <c r="U109" s="1139">
        <f t="shared" si="77"/>
        <v>0</v>
      </c>
      <c r="V109" s="1139">
        <f t="shared" si="77"/>
        <v>0</v>
      </c>
      <c r="W109" s="1139">
        <f t="shared" si="77"/>
        <v>0</v>
      </c>
      <c r="X109" s="1139">
        <f t="shared" si="77"/>
        <v>0</v>
      </c>
      <c r="Y109" s="1139"/>
      <c r="Z109" s="1218">
        <f t="shared" si="58"/>
        <v>0</v>
      </c>
      <c r="AA109" s="579">
        <f t="shared" si="74"/>
        <v>0</v>
      </c>
    </row>
    <row r="110" spans="1:27" ht="21.95" customHeight="1" x14ac:dyDescent="0.15">
      <c r="A110" s="2596"/>
      <c r="B110" s="2599"/>
      <c r="C110" s="2759"/>
      <c r="D110" s="567" t="s">
        <v>538</v>
      </c>
      <c r="F110" s="1345"/>
      <c r="G110" s="1139">
        <f>(G28+G54)*1.375</f>
        <v>1303.7975431249999</v>
      </c>
      <c r="H110" s="1139">
        <f t="shared" ref="H110:X110" si="78">(H28+H54)*1.375</f>
        <v>1257.533743125</v>
      </c>
      <c r="I110" s="1139">
        <f t="shared" si="78"/>
        <v>704.74070562499992</v>
      </c>
      <c r="J110" s="1139">
        <f t="shared" si="78"/>
        <v>700.81564575000004</v>
      </c>
      <c r="K110" s="1139">
        <f t="shared" si="78"/>
        <v>432.56946562500002</v>
      </c>
      <c r="L110" s="1139">
        <f t="shared" si="78"/>
        <v>333.43121624999998</v>
      </c>
      <c r="M110" s="1139">
        <f t="shared" si="78"/>
        <v>41.386743750000001</v>
      </c>
      <c r="N110" s="1139">
        <f t="shared" si="78"/>
        <v>436.91851499999996</v>
      </c>
      <c r="O110" s="1139">
        <f t="shared" si="78"/>
        <v>782.43587812499993</v>
      </c>
      <c r="P110" s="1139">
        <f t="shared" si="78"/>
        <v>436.65806250000003</v>
      </c>
      <c r="Q110" s="1139">
        <f t="shared" si="78"/>
        <v>496.81613437500005</v>
      </c>
      <c r="R110" s="1139">
        <f t="shared" si="78"/>
        <v>1078.9215937499998</v>
      </c>
      <c r="S110" s="1139">
        <f t="shared" si="78"/>
        <v>1085.4965137499998</v>
      </c>
      <c r="T110" s="1139">
        <f t="shared" si="78"/>
        <v>1025.8796212499999</v>
      </c>
      <c r="U110" s="1139">
        <f t="shared" si="78"/>
        <v>1121.9775393750001</v>
      </c>
      <c r="V110" s="1139">
        <f t="shared" si="78"/>
        <v>1093.9550118749999</v>
      </c>
      <c r="W110" s="1139">
        <f t="shared" si="78"/>
        <v>452.27654999999993</v>
      </c>
      <c r="X110" s="1139">
        <f t="shared" si="78"/>
        <v>691.80577125000002</v>
      </c>
      <c r="Y110" s="1139"/>
      <c r="Z110" s="1218">
        <f t="shared" si="58"/>
        <v>13477.42</v>
      </c>
      <c r="AA110" s="579">
        <f t="shared" si="74"/>
        <v>26954.836254499998</v>
      </c>
    </row>
    <row r="111" spans="1:27" ht="21.95" hidden="1" customHeight="1" x14ac:dyDescent="0.15">
      <c r="A111" s="2596"/>
      <c r="B111" s="2599"/>
      <c r="C111" s="2759"/>
      <c r="D111" s="558" t="s">
        <v>586</v>
      </c>
      <c r="F111" s="1345"/>
      <c r="G111" s="1139">
        <f t="shared" ref="G111:X111" si="79">G79</f>
        <v>0</v>
      </c>
      <c r="H111" s="1139">
        <f t="shared" si="79"/>
        <v>0</v>
      </c>
      <c r="I111" s="1139">
        <f t="shared" si="79"/>
        <v>0</v>
      </c>
      <c r="J111" s="1139">
        <f t="shared" si="79"/>
        <v>0</v>
      </c>
      <c r="K111" s="1139">
        <f t="shared" si="79"/>
        <v>0</v>
      </c>
      <c r="L111" s="1139">
        <f t="shared" si="79"/>
        <v>0</v>
      </c>
      <c r="M111" s="1139">
        <f t="shared" si="79"/>
        <v>0</v>
      </c>
      <c r="N111" s="1139">
        <f t="shared" si="79"/>
        <v>0</v>
      </c>
      <c r="O111" s="1139">
        <f t="shared" si="79"/>
        <v>0</v>
      </c>
      <c r="P111" s="1139">
        <f t="shared" si="79"/>
        <v>0</v>
      </c>
      <c r="Q111" s="1139">
        <f t="shared" si="79"/>
        <v>0</v>
      </c>
      <c r="R111" s="1139">
        <f t="shared" si="79"/>
        <v>0</v>
      </c>
      <c r="S111" s="1139">
        <f t="shared" si="79"/>
        <v>0</v>
      </c>
      <c r="T111" s="1139">
        <f t="shared" si="79"/>
        <v>0</v>
      </c>
      <c r="U111" s="1139">
        <f t="shared" si="79"/>
        <v>0</v>
      </c>
      <c r="V111" s="1139">
        <f t="shared" si="79"/>
        <v>0</v>
      </c>
      <c r="W111" s="1139">
        <f t="shared" si="79"/>
        <v>0</v>
      </c>
      <c r="X111" s="1139">
        <f t="shared" si="79"/>
        <v>0</v>
      </c>
      <c r="Y111" s="1139"/>
      <c r="Z111" s="1218">
        <f t="shared" si="58"/>
        <v>0</v>
      </c>
      <c r="AA111" s="579">
        <f t="shared" si="74"/>
        <v>0</v>
      </c>
    </row>
    <row r="112" spans="1:27" ht="21.95" customHeight="1" x14ac:dyDescent="0.15">
      <c r="A112" s="2596"/>
      <c r="B112" s="2599"/>
      <c r="C112" s="2759"/>
      <c r="D112" s="567" t="s">
        <v>1401</v>
      </c>
      <c r="F112" s="1345"/>
      <c r="G112" s="1139">
        <f t="shared" ref="G112:X112" si="80">G65</f>
        <v>6.103883999999999</v>
      </c>
      <c r="H112" s="1139">
        <f t="shared" si="80"/>
        <v>6.0455519999999998</v>
      </c>
      <c r="I112" s="1139">
        <f t="shared" si="80"/>
        <v>3.4130519999999995</v>
      </c>
      <c r="J112" s="1139">
        <f t="shared" si="80"/>
        <v>3.4155599999999997</v>
      </c>
      <c r="K112" s="1139">
        <f t="shared" si="80"/>
        <v>2.2161839999999997</v>
      </c>
      <c r="L112" s="1139">
        <f t="shared" si="80"/>
        <v>1.7682479999999998</v>
      </c>
      <c r="M112" s="1139">
        <f t="shared" si="80"/>
        <v>0.21096000000000001</v>
      </c>
      <c r="N112" s="1139">
        <f t="shared" si="80"/>
        <v>2.2385039999999998</v>
      </c>
      <c r="O112" s="1139">
        <f t="shared" si="80"/>
        <v>4.0106039999999998</v>
      </c>
      <c r="P112" s="1139">
        <f t="shared" si="80"/>
        <v>2.2371239999999997</v>
      </c>
      <c r="Q112" s="1139">
        <f t="shared" si="80"/>
        <v>2.60256</v>
      </c>
      <c r="R112" s="1139">
        <f t="shared" si="80"/>
        <v>5.5337279999999991</v>
      </c>
      <c r="S112" s="1139">
        <f t="shared" si="80"/>
        <v>5.5591679999999997</v>
      </c>
      <c r="T112" s="1139">
        <f t="shared" si="80"/>
        <v>5.2581479999999994</v>
      </c>
      <c r="U112" s="1139">
        <f t="shared" si="80"/>
        <v>5.7460919999999991</v>
      </c>
      <c r="V112" s="1139">
        <f t="shared" si="80"/>
        <v>5.6036039999999998</v>
      </c>
      <c r="W112" s="1139">
        <f t="shared" si="80"/>
        <v>2.3433359999999999</v>
      </c>
      <c r="X112" s="1139">
        <f t="shared" si="80"/>
        <v>3.6481079999999997</v>
      </c>
      <c r="Y112" s="1139"/>
      <c r="Z112" s="1218">
        <f t="shared" si="58"/>
        <v>67.95</v>
      </c>
      <c r="AA112" s="579">
        <f t="shared" si="74"/>
        <v>135.90441599999997</v>
      </c>
    </row>
    <row r="113" spans="1:27" ht="21.95" customHeight="1" x14ac:dyDescent="0.15">
      <c r="A113" s="2596"/>
      <c r="B113" s="2599"/>
      <c r="C113" s="2759"/>
      <c r="D113" s="567" t="s">
        <v>1404</v>
      </c>
      <c r="F113" s="1345"/>
      <c r="G113" s="1139">
        <f t="shared" ref="G113:X113" si="81">G67</f>
        <v>2.543285</v>
      </c>
      <c r="H113" s="1139">
        <f t="shared" si="81"/>
        <v>2.51898</v>
      </c>
      <c r="I113" s="1139">
        <f t="shared" si="81"/>
        <v>1.422105</v>
      </c>
      <c r="J113" s="1139">
        <f t="shared" si="81"/>
        <v>1.4231500000000001</v>
      </c>
      <c r="K113" s="1139">
        <f t="shared" si="81"/>
        <v>0.92340999999999995</v>
      </c>
      <c r="L113" s="1139">
        <f t="shared" si="81"/>
        <v>0.73677000000000004</v>
      </c>
      <c r="M113" s="1139">
        <f t="shared" si="81"/>
        <v>8.7900000000000006E-2</v>
      </c>
      <c r="N113" s="1139">
        <f t="shared" si="81"/>
        <v>0.93271000000000004</v>
      </c>
      <c r="O113" s="1139">
        <f t="shared" si="81"/>
        <v>1.6710850000000002</v>
      </c>
      <c r="P113" s="1139">
        <f t="shared" si="81"/>
        <v>0.93213500000000005</v>
      </c>
      <c r="Q113" s="1139">
        <f t="shared" si="81"/>
        <v>1.0844</v>
      </c>
      <c r="R113" s="1139">
        <f t="shared" si="81"/>
        <v>2.30572</v>
      </c>
      <c r="S113" s="1139">
        <f t="shared" si="81"/>
        <v>2.3163200000000002</v>
      </c>
      <c r="T113" s="1139">
        <f t="shared" si="81"/>
        <v>2.1908949999999998</v>
      </c>
      <c r="U113" s="1139">
        <f t="shared" si="81"/>
        <v>2.3942049999999999</v>
      </c>
      <c r="V113" s="1139">
        <f t="shared" si="81"/>
        <v>2.334835</v>
      </c>
      <c r="W113" s="1139">
        <f t="shared" si="81"/>
        <v>0.97638999999999998</v>
      </c>
      <c r="X113" s="1139">
        <f t="shared" si="81"/>
        <v>1.5200450000000001</v>
      </c>
      <c r="Y113" s="1139"/>
      <c r="Z113" s="1218">
        <f t="shared" si="58"/>
        <v>28.31</v>
      </c>
      <c r="AA113" s="579">
        <f t="shared" si="74"/>
        <v>56.624340000000004</v>
      </c>
    </row>
    <row r="114" spans="1:27" ht="21.95" hidden="1" customHeight="1" x14ac:dyDescent="0.15">
      <c r="A114" s="2596"/>
      <c r="B114" s="2599"/>
      <c r="C114" s="2759"/>
      <c r="D114" s="567" t="s">
        <v>1410</v>
      </c>
      <c r="F114" s="1345"/>
      <c r="G114" s="1139">
        <f t="shared" ref="G114:X114" si="82">G71+G74</f>
        <v>0</v>
      </c>
      <c r="H114" s="1139">
        <f t="shared" si="82"/>
        <v>0</v>
      </c>
      <c r="I114" s="1139">
        <f t="shared" si="82"/>
        <v>0</v>
      </c>
      <c r="J114" s="1139">
        <f t="shared" si="82"/>
        <v>0</v>
      </c>
      <c r="K114" s="1139">
        <f t="shared" si="82"/>
        <v>0</v>
      </c>
      <c r="L114" s="1139">
        <f t="shared" si="82"/>
        <v>0</v>
      </c>
      <c r="M114" s="1139">
        <f t="shared" si="82"/>
        <v>0</v>
      </c>
      <c r="N114" s="1139">
        <f t="shared" si="82"/>
        <v>0</v>
      </c>
      <c r="O114" s="1139">
        <f t="shared" si="82"/>
        <v>0</v>
      </c>
      <c r="P114" s="1139">
        <f t="shared" si="82"/>
        <v>0</v>
      </c>
      <c r="Q114" s="1139">
        <f t="shared" si="82"/>
        <v>0</v>
      </c>
      <c r="R114" s="1139">
        <f t="shared" si="82"/>
        <v>0</v>
      </c>
      <c r="S114" s="1139">
        <f t="shared" si="82"/>
        <v>0</v>
      </c>
      <c r="T114" s="1139">
        <f t="shared" si="82"/>
        <v>0</v>
      </c>
      <c r="U114" s="1139">
        <f t="shared" si="82"/>
        <v>0</v>
      </c>
      <c r="V114" s="1139">
        <f t="shared" si="82"/>
        <v>0</v>
      </c>
      <c r="W114" s="1139">
        <f t="shared" si="82"/>
        <v>0</v>
      </c>
      <c r="X114" s="1139">
        <f t="shared" si="82"/>
        <v>0</v>
      </c>
      <c r="Y114" s="1139"/>
      <c r="Z114" s="1218">
        <f t="shared" si="58"/>
        <v>0</v>
      </c>
      <c r="AA114" s="579">
        <f t="shared" si="74"/>
        <v>0</v>
      </c>
    </row>
    <row r="115" spans="1:27" ht="21.95" hidden="1" customHeight="1" x14ac:dyDescent="0.15">
      <c r="A115" s="2596"/>
      <c r="B115" s="2599"/>
      <c r="C115" s="2759"/>
      <c r="D115" s="567" t="s">
        <v>1415</v>
      </c>
      <c r="F115" s="1345"/>
      <c r="G115" s="1139">
        <f t="shared" ref="G115:X115" si="83">G94</f>
        <v>0</v>
      </c>
      <c r="H115" s="1139">
        <f t="shared" si="83"/>
        <v>0</v>
      </c>
      <c r="I115" s="1139">
        <f t="shared" si="83"/>
        <v>0</v>
      </c>
      <c r="J115" s="1139">
        <f t="shared" si="83"/>
        <v>0</v>
      </c>
      <c r="K115" s="1139">
        <f t="shared" si="83"/>
        <v>0</v>
      </c>
      <c r="L115" s="1139">
        <f t="shared" si="83"/>
        <v>0</v>
      </c>
      <c r="M115" s="1139">
        <f t="shared" si="83"/>
        <v>0</v>
      </c>
      <c r="N115" s="1139">
        <f t="shared" si="83"/>
        <v>0</v>
      </c>
      <c r="O115" s="1139">
        <f t="shared" si="83"/>
        <v>0</v>
      </c>
      <c r="P115" s="1139">
        <f t="shared" si="83"/>
        <v>0</v>
      </c>
      <c r="Q115" s="1139">
        <f t="shared" si="83"/>
        <v>0</v>
      </c>
      <c r="R115" s="1139">
        <f t="shared" si="83"/>
        <v>0</v>
      </c>
      <c r="S115" s="1139">
        <f t="shared" si="83"/>
        <v>0</v>
      </c>
      <c r="T115" s="1139">
        <f t="shared" si="83"/>
        <v>0</v>
      </c>
      <c r="U115" s="1139">
        <f t="shared" si="83"/>
        <v>0</v>
      </c>
      <c r="V115" s="1139">
        <f t="shared" si="83"/>
        <v>0</v>
      </c>
      <c r="W115" s="1139">
        <f t="shared" si="83"/>
        <v>0</v>
      </c>
      <c r="X115" s="1139">
        <f t="shared" si="83"/>
        <v>0</v>
      </c>
      <c r="Y115" s="1139"/>
      <c r="Z115" s="1218">
        <f t="shared" si="58"/>
        <v>0</v>
      </c>
      <c r="AA115" s="579">
        <f t="shared" si="74"/>
        <v>0</v>
      </c>
    </row>
    <row r="116" spans="1:27" ht="21.95" customHeight="1" x14ac:dyDescent="0.15">
      <c r="A116" s="2596"/>
      <c r="B116" s="2599"/>
      <c r="C116" s="2759"/>
      <c r="D116" s="567" t="s">
        <v>1412</v>
      </c>
      <c r="F116" s="1345"/>
      <c r="G116" s="1139">
        <f t="shared" ref="G116:X116" si="84">G87</f>
        <v>31.188405686400003</v>
      </c>
      <c r="H116" s="1139">
        <f t="shared" si="84"/>
        <v>30.890352499200006</v>
      </c>
      <c r="I116" s="1139">
        <f t="shared" si="84"/>
        <v>17.4393304992</v>
      </c>
      <c r="J116" s="1139">
        <f t="shared" si="84"/>
        <v>17.452145376000001</v>
      </c>
      <c r="K116" s="1139">
        <f t="shared" si="84"/>
        <v>8.4928603248000005</v>
      </c>
      <c r="L116" s="1139">
        <f t="shared" si="84"/>
        <v>6.7762799855999996</v>
      </c>
      <c r="M116" s="1139">
        <f t="shared" si="84"/>
        <v>0.80844091200000023</v>
      </c>
      <c r="N116" s="1139">
        <f t="shared" si="84"/>
        <v>8.578395028800001</v>
      </c>
      <c r="O116" s="1139">
        <f t="shared" si="84"/>
        <v>15.369436648799999</v>
      </c>
      <c r="P116" s="1139">
        <f t="shared" si="84"/>
        <v>8.5731065927999985</v>
      </c>
      <c r="Q116" s="1139">
        <f t="shared" si="84"/>
        <v>9.9735304320000022</v>
      </c>
      <c r="R116" s="1139">
        <f t="shared" si="84"/>
        <v>21.2063524416</v>
      </c>
      <c r="S116" s="1139">
        <f t="shared" si="84"/>
        <v>21.303843609600001</v>
      </c>
      <c r="T116" s="1139">
        <f t="shared" si="84"/>
        <v>20.150274765599999</v>
      </c>
      <c r="U116" s="1139">
        <f t="shared" si="84"/>
        <v>22.020173762399999</v>
      </c>
      <c r="V116" s="1139">
        <f t="shared" si="84"/>
        <v>21.474131248800003</v>
      </c>
      <c r="W116" s="1139">
        <f t="shared" si="84"/>
        <v>8.9801322192000015</v>
      </c>
      <c r="X116" s="1139">
        <f t="shared" si="84"/>
        <v>13.980279477600002</v>
      </c>
      <c r="Y116" s="1139"/>
      <c r="Z116" s="1218">
        <f t="shared" si="58"/>
        <v>284.66000000000003</v>
      </c>
      <c r="AA116" s="579">
        <f t="shared" si="74"/>
        <v>569.31747151039997</v>
      </c>
    </row>
    <row r="117" spans="1:27" ht="21.95" hidden="1" customHeight="1" x14ac:dyDescent="0.15">
      <c r="A117" s="2596"/>
      <c r="B117" s="2599"/>
      <c r="C117" s="2759"/>
      <c r="D117" s="567" t="s">
        <v>1413</v>
      </c>
      <c r="F117" s="1345"/>
      <c r="G117" s="1139">
        <f t="shared" ref="G117:X117" si="85">G88</f>
        <v>0</v>
      </c>
      <c r="H117" s="1139">
        <f t="shared" si="85"/>
        <v>0</v>
      </c>
      <c r="I117" s="1139">
        <f t="shared" si="85"/>
        <v>0</v>
      </c>
      <c r="J117" s="1139">
        <f t="shared" si="85"/>
        <v>0</v>
      </c>
      <c r="K117" s="1139">
        <f t="shared" si="85"/>
        <v>0</v>
      </c>
      <c r="L117" s="1139">
        <f t="shared" si="85"/>
        <v>0</v>
      </c>
      <c r="M117" s="1139">
        <f t="shared" si="85"/>
        <v>0</v>
      </c>
      <c r="N117" s="1139">
        <f t="shared" si="85"/>
        <v>0</v>
      </c>
      <c r="O117" s="1139">
        <f t="shared" si="85"/>
        <v>0</v>
      </c>
      <c r="P117" s="1139">
        <f t="shared" si="85"/>
        <v>0</v>
      </c>
      <c r="Q117" s="1139">
        <f t="shared" si="85"/>
        <v>0</v>
      </c>
      <c r="R117" s="1139">
        <f t="shared" si="85"/>
        <v>0</v>
      </c>
      <c r="S117" s="1139">
        <f t="shared" si="85"/>
        <v>0</v>
      </c>
      <c r="T117" s="1139">
        <f t="shared" si="85"/>
        <v>0</v>
      </c>
      <c r="U117" s="1139">
        <f t="shared" si="85"/>
        <v>0</v>
      </c>
      <c r="V117" s="1139">
        <f t="shared" si="85"/>
        <v>0</v>
      </c>
      <c r="W117" s="1139">
        <f t="shared" si="85"/>
        <v>0</v>
      </c>
      <c r="X117" s="1139">
        <f t="shared" si="85"/>
        <v>0</v>
      </c>
      <c r="Y117" s="1139"/>
      <c r="Z117" s="1218">
        <f t="shared" si="58"/>
        <v>0</v>
      </c>
      <c r="AA117" s="579">
        <f t="shared" si="74"/>
        <v>0</v>
      </c>
    </row>
    <row r="118" spans="1:27" ht="21.95" hidden="1" customHeight="1" x14ac:dyDescent="0.15">
      <c r="A118" s="2596"/>
      <c r="B118" s="2599"/>
      <c r="C118" s="2759"/>
      <c r="D118" s="567" t="s">
        <v>1414</v>
      </c>
      <c r="F118" s="1345"/>
      <c r="G118" s="1139">
        <f t="shared" ref="G118:X118" si="86">G89</f>
        <v>0</v>
      </c>
      <c r="H118" s="1139">
        <f t="shared" si="86"/>
        <v>0</v>
      </c>
      <c r="I118" s="1139">
        <f t="shared" si="86"/>
        <v>0</v>
      </c>
      <c r="J118" s="1139">
        <f t="shared" si="86"/>
        <v>0</v>
      </c>
      <c r="K118" s="1139">
        <f t="shared" si="86"/>
        <v>0</v>
      </c>
      <c r="L118" s="1139">
        <f t="shared" si="86"/>
        <v>0</v>
      </c>
      <c r="M118" s="1139">
        <f t="shared" si="86"/>
        <v>0</v>
      </c>
      <c r="N118" s="1139">
        <f t="shared" si="86"/>
        <v>0</v>
      </c>
      <c r="O118" s="1139">
        <f t="shared" si="86"/>
        <v>0</v>
      </c>
      <c r="P118" s="1139">
        <f t="shared" si="86"/>
        <v>0</v>
      </c>
      <c r="Q118" s="1139">
        <f t="shared" si="86"/>
        <v>0</v>
      </c>
      <c r="R118" s="1139">
        <f t="shared" si="86"/>
        <v>0</v>
      </c>
      <c r="S118" s="1139">
        <f t="shared" si="86"/>
        <v>0</v>
      </c>
      <c r="T118" s="1139">
        <f t="shared" si="86"/>
        <v>0</v>
      </c>
      <c r="U118" s="1139">
        <f t="shared" si="86"/>
        <v>0</v>
      </c>
      <c r="V118" s="1139">
        <f t="shared" si="86"/>
        <v>0</v>
      </c>
      <c r="W118" s="1139">
        <f t="shared" si="86"/>
        <v>0</v>
      </c>
      <c r="X118" s="1139">
        <f t="shared" si="86"/>
        <v>0</v>
      </c>
      <c r="Y118" s="1139"/>
      <c r="Z118" s="1218">
        <f t="shared" si="58"/>
        <v>0</v>
      </c>
      <c r="AA118" s="579">
        <f t="shared" si="74"/>
        <v>0</v>
      </c>
    </row>
    <row r="119" spans="1:27" ht="21.95" customHeight="1" thickBot="1" x14ac:dyDescent="0.2">
      <c r="A119" s="2596"/>
      <c r="B119" s="2599"/>
      <c r="C119" s="2759"/>
      <c r="D119" s="567" t="s">
        <v>1376</v>
      </c>
      <c r="F119" s="1345"/>
      <c r="G119" s="1139">
        <f t="shared" ref="G119:X119" si="87">SUM(G82:G84)*2.5548</f>
        <v>519.80676144000006</v>
      </c>
      <c r="H119" s="1139">
        <f t="shared" si="87"/>
        <v>514.83920832000013</v>
      </c>
      <c r="I119" s="1139">
        <f t="shared" si="87"/>
        <v>290.65550832000002</v>
      </c>
      <c r="J119" s="1139">
        <f t="shared" si="87"/>
        <v>290.86908960000005</v>
      </c>
      <c r="K119" s="1139">
        <f t="shared" si="87"/>
        <v>141.54767208000001</v>
      </c>
      <c r="L119" s="1139">
        <f t="shared" si="87"/>
        <v>112.93799976</v>
      </c>
      <c r="M119" s="1139">
        <f t="shared" si="87"/>
        <v>13.474015200000004</v>
      </c>
      <c r="N119" s="1139">
        <f t="shared" si="87"/>
        <v>142.97325048000002</v>
      </c>
      <c r="O119" s="1139">
        <f t="shared" si="87"/>
        <v>256.15727748</v>
      </c>
      <c r="P119" s="1139">
        <f t="shared" si="87"/>
        <v>142.88510987999999</v>
      </c>
      <c r="Q119" s="1139">
        <f t="shared" si="87"/>
        <v>166.22550720000004</v>
      </c>
      <c r="R119" s="1139">
        <f t="shared" si="87"/>
        <v>353.43920736000001</v>
      </c>
      <c r="S119" s="1139">
        <f t="shared" si="87"/>
        <v>355.06406016000005</v>
      </c>
      <c r="T119" s="1139">
        <f t="shared" si="87"/>
        <v>335.83791275999999</v>
      </c>
      <c r="U119" s="1139">
        <f t="shared" si="87"/>
        <v>367.00289604</v>
      </c>
      <c r="V119" s="1139">
        <f t="shared" si="87"/>
        <v>357.90218748000007</v>
      </c>
      <c r="W119" s="1139">
        <f t="shared" si="87"/>
        <v>149.66887032000002</v>
      </c>
      <c r="X119" s="1139">
        <f t="shared" si="87"/>
        <v>233.00465796000003</v>
      </c>
      <c r="Y119" s="1139"/>
      <c r="Z119" s="1218">
        <f t="shared" si="58"/>
        <v>4744.29</v>
      </c>
      <c r="AA119" s="579">
        <f t="shared" si="74"/>
        <v>9488.5811918399995</v>
      </c>
    </row>
    <row r="120" spans="1:27" ht="21.95" hidden="1" customHeight="1" thickBot="1" x14ac:dyDescent="0.2">
      <c r="A120" s="2596"/>
      <c r="B120" s="2599"/>
      <c r="C120" s="2759"/>
      <c r="D120" s="568" t="s">
        <v>1377</v>
      </c>
      <c r="F120" s="1345"/>
      <c r="G120" s="1139">
        <f t="shared" ref="G120:X120" si="88">G91*2.346</f>
        <v>0</v>
      </c>
      <c r="H120" s="1139">
        <f t="shared" si="88"/>
        <v>0</v>
      </c>
      <c r="I120" s="1139">
        <f t="shared" si="88"/>
        <v>0</v>
      </c>
      <c r="J120" s="1139">
        <f t="shared" si="88"/>
        <v>0</v>
      </c>
      <c r="K120" s="1139">
        <f t="shared" si="88"/>
        <v>0</v>
      </c>
      <c r="L120" s="1139">
        <f t="shared" si="88"/>
        <v>0</v>
      </c>
      <c r="M120" s="1139">
        <f t="shared" si="88"/>
        <v>0</v>
      </c>
      <c r="N120" s="1139">
        <f t="shared" si="88"/>
        <v>0</v>
      </c>
      <c r="O120" s="1139">
        <f t="shared" si="88"/>
        <v>0</v>
      </c>
      <c r="P120" s="1139">
        <f t="shared" si="88"/>
        <v>0</v>
      </c>
      <c r="Q120" s="1139">
        <f t="shared" si="88"/>
        <v>0</v>
      </c>
      <c r="R120" s="1139">
        <f t="shared" si="88"/>
        <v>0</v>
      </c>
      <c r="S120" s="1139">
        <f t="shared" si="88"/>
        <v>0</v>
      </c>
      <c r="T120" s="1139">
        <f t="shared" si="88"/>
        <v>0</v>
      </c>
      <c r="U120" s="1139">
        <f t="shared" si="88"/>
        <v>0</v>
      </c>
      <c r="V120" s="1139">
        <f t="shared" si="88"/>
        <v>0</v>
      </c>
      <c r="W120" s="1139">
        <f t="shared" si="88"/>
        <v>0</v>
      </c>
      <c r="X120" s="1139">
        <f t="shared" si="88"/>
        <v>0</v>
      </c>
      <c r="Y120" s="1139"/>
      <c r="Z120" s="1141">
        <f t="shared" si="58"/>
        <v>0</v>
      </c>
      <c r="AA120" s="579">
        <f t="shared" si="74"/>
        <v>0</v>
      </c>
    </row>
    <row r="121" spans="1:27" ht="21.95" hidden="1" customHeight="1" x14ac:dyDescent="0.15">
      <c r="A121" s="2596"/>
      <c r="B121" s="2810" t="s">
        <v>1366</v>
      </c>
      <c r="C121" s="2757"/>
      <c r="D121" s="550" t="s">
        <v>1357</v>
      </c>
      <c r="E121" s="1380"/>
      <c r="F121" s="1344"/>
      <c r="G121" s="1137">
        <f t="shared" ref="G121:X121" si="89">G97</f>
        <v>474.10819750000002</v>
      </c>
      <c r="H121" s="1137">
        <f t="shared" si="89"/>
        <v>457.28499750000003</v>
      </c>
      <c r="I121" s="1137">
        <f t="shared" si="89"/>
        <v>256.26934749999998</v>
      </c>
      <c r="J121" s="1137">
        <f t="shared" si="89"/>
        <v>254.84205300000002</v>
      </c>
      <c r="K121" s="1137">
        <f t="shared" si="89"/>
        <v>157.2979875</v>
      </c>
      <c r="L121" s="1137">
        <f t="shared" si="89"/>
        <v>121.247715</v>
      </c>
      <c r="M121" s="1137">
        <f t="shared" si="89"/>
        <v>15.049725</v>
      </c>
      <c r="N121" s="1137">
        <f t="shared" si="89"/>
        <v>158.87945999999999</v>
      </c>
      <c r="O121" s="1137">
        <f t="shared" si="89"/>
        <v>284.52213749999999</v>
      </c>
      <c r="P121" s="1137">
        <f t="shared" si="89"/>
        <v>158.78475000000003</v>
      </c>
      <c r="Q121" s="1137">
        <f t="shared" si="89"/>
        <v>180.66041250000001</v>
      </c>
      <c r="R121" s="1137">
        <f t="shared" si="89"/>
        <v>392.33512499999995</v>
      </c>
      <c r="S121" s="1137">
        <f t="shared" si="89"/>
        <v>394.72600499999999</v>
      </c>
      <c r="T121" s="1137">
        <f t="shared" si="89"/>
        <v>373.04713499999997</v>
      </c>
      <c r="U121" s="1137">
        <f t="shared" si="89"/>
        <v>407.99183250000004</v>
      </c>
      <c r="V121" s="1137">
        <f t="shared" si="89"/>
        <v>397.80182249999996</v>
      </c>
      <c r="W121" s="1137">
        <f t="shared" si="89"/>
        <v>164.46420000000001</v>
      </c>
      <c r="X121" s="1137">
        <f t="shared" si="89"/>
        <v>251.56573500000005</v>
      </c>
      <c r="Y121" s="1137"/>
      <c r="Z121" s="1204"/>
      <c r="AA121" s="579"/>
    </row>
    <row r="122" spans="1:27" ht="21.95" hidden="1" customHeight="1" x14ac:dyDescent="0.15">
      <c r="A122" s="2596"/>
      <c r="B122" s="2599"/>
      <c r="C122" s="2759"/>
      <c r="D122" s="567" t="s">
        <v>1207</v>
      </c>
      <c r="F122" s="1345"/>
      <c r="G122" s="1139">
        <f t="shared" ref="G122:X122" si="90">G98</f>
        <v>0</v>
      </c>
      <c r="H122" s="1139">
        <f t="shared" si="90"/>
        <v>0</v>
      </c>
      <c r="I122" s="1139">
        <f t="shared" si="90"/>
        <v>0</v>
      </c>
      <c r="J122" s="1139">
        <f t="shared" si="90"/>
        <v>0</v>
      </c>
      <c r="K122" s="1139">
        <f t="shared" si="90"/>
        <v>0</v>
      </c>
      <c r="L122" s="1139">
        <f t="shared" si="90"/>
        <v>0</v>
      </c>
      <c r="M122" s="1139">
        <f t="shared" si="90"/>
        <v>0</v>
      </c>
      <c r="N122" s="1139">
        <f t="shared" si="90"/>
        <v>0</v>
      </c>
      <c r="O122" s="1139">
        <f t="shared" si="90"/>
        <v>0</v>
      </c>
      <c r="P122" s="1139">
        <f t="shared" si="90"/>
        <v>0</v>
      </c>
      <c r="Q122" s="1139">
        <f t="shared" si="90"/>
        <v>0</v>
      </c>
      <c r="R122" s="1139">
        <f t="shared" si="90"/>
        <v>0</v>
      </c>
      <c r="S122" s="1139">
        <f t="shared" si="90"/>
        <v>0</v>
      </c>
      <c r="T122" s="1139">
        <f t="shared" si="90"/>
        <v>0</v>
      </c>
      <c r="U122" s="1139">
        <f t="shared" si="90"/>
        <v>0</v>
      </c>
      <c r="V122" s="1139">
        <f t="shared" si="90"/>
        <v>0</v>
      </c>
      <c r="W122" s="1139">
        <f t="shared" si="90"/>
        <v>0</v>
      </c>
      <c r="X122" s="1139">
        <f t="shared" si="90"/>
        <v>0</v>
      </c>
      <c r="Y122" s="1139"/>
      <c r="Z122" s="1218"/>
      <c r="AA122" s="579"/>
    </row>
    <row r="123" spans="1:27" ht="21.95" hidden="1" customHeight="1" x14ac:dyDescent="0.15">
      <c r="A123" s="2596"/>
      <c r="B123" s="2599"/>
      <c r="C123" s="2759"/>
      <c r="D123" s="567" t="s">
        <v>1393</v>
      </c>
      <c r="F123" s="1345"/>
      <c r="G123" s="1139">
        <f t="shared" ref="G123:X123" si="91">G80+G92</f>
        <v>0</v>
      </c>
      <c r="H123" s="1139">
        <f t="shared" si="91"/>
        <v>0</v>
      </c>
      <c r="I123" s="1139">
        <f t="shared" si="91"/>
        <v>0</v>
      </c>
      <c r="J123" s="1139">
        <f t="shared" si="91"/>
        <v>0</v>
      </c>
      <c r="K123" s="1139">
        <f t="shared" si="91"/>
        <v>0</v>
      </c>
      <c r="L123" s="1139">
        <f t="shared" si="91"/>
        <v>0</v>
      </c>
      <c r="M123" s="1139">
        <f t="shared" si="91"/>
        <v>0</v>
      </c>
      <c r="N123" s="1139">
        <f t="shared" si="91"/>
        <v>0</v>
      </c>
      <c r="O123" s="1139">
        <f t="shared" si="91"/>
        <v>0</v>
      </c>
      <c r="P123" s="1139">
        <f t="shared" si="91"/>
        <v>0</v>
      </c>
      <c r="Q123" s="1139">
        <f t="shared" si="91"/>
        <v>0</v>
      </c>
      <c r="R123" s="1139">
        <f t="shared" si="91"/>
        <v>0</v>
      </c>
      <c r="S123" s="1139">
        <f t="shared" si="91"/>
        <v>0</v>
      </c>
      <c r="T123" s="1139">
        <f t="shared" si="91"/>
        <v>0</v>
      </c>
      <c r="U123" s="1139">
        <f t="shared" si="91"/>
        <v>0</v>
      </c>
      <c r="V123" s="1139">
        <f t="shared" si="91"/>
        <v>0</v>
      </c>
      <c r="W123" s="1139">
        <f t="shared" si="91"/>
        <v>0</v>
      </c>
      <c r="X123" s="1139">
        <f t="shared" si="91"/>
        <v>0</v>
      </c>
      <c r="Y123" s="1139"/>
      <c r="Z123" s="1218"/>
      <c r="AA123" s="579"/>
    </row>
    <row r="124" spans="1:27" ht="21.95" hidden="1" customHeight="1" x14ac:dyDescent="0.15">
      <c r="A124" s="2596"/>
      <c r="B124" s="2599"/>
      <c r="C124" s="2759"/>
      <c r="D124" s="567" t="s">
        <v>1420</v>
      </c>
      <c r="F124" s="1345"/>
      <c r="G124" s="1139">
        <f t="shared" ref="G124:X124" si="92">G69</f>
        <v>0</v>
      </c>
      <c r="H124" s="1139">
        <f t="shared" si="92"/>
        <v>0</v>
      </c>
      <c r="I124" s="1139">
        <f t="shared" si="92"/>
        <v>0</v>
      </c>
      <c r="J124" s="1139">
        <f t="shared" si="92"/>
        <v>0</v>
      </c>
      <c r="K124" s="1139">
        <f t="shared" si="92"/>
        <v>0</v>
      </c>
      <c r="L124" s="1139">
        <f t="shared" si="92"/>
        <v>0</v>
      </c>
      <c r="M124" s="1139">
        <f t="shared" si="92"/>
        <v>0</v>
      </c>
      <c r="N124" s="1139">
        <f t="shared" si="92"/>
        <v>0</v>
      </c>
      <c r="O124" s="1139">
        <f t="shared" si="92"/>
        <v>0</v>
      </c>
      <c r="P124" s="1139">
        <f t="shared" si="92"/>
        <v>0</v>
      </c>
      <c r="Q124" s="1139">
        <f t="shared" si="92"/>
        <v>0</v>
      </c>
      <c r="R124" s="1139">
        <f t="shared" si="92"/>
        <v>0</v>
      </c>
      <c r="S124" s="1139">
        <f t="shared" si="92"/>
        <v>0</v>
      </c>
      <c r="T124" s="1139">
        <f t="shared" si="92"/>
        <v>0</v>
      </c>
      <c r="U124" s="1139">
        <f t="shared" si="92"/>
        <v>0</v>
      </c>
      <c r="V124" s="1139">
        <f t="shared" si="92"/>
        <v>0</v>
      </c>
      <c r="W124" s="1139">
        <f t="shared" si="92"/>
        <v>0</v>
      </c>
      <c r="X124" s="1139">
        <f t="shared" si="92"/>
        <v>0</v>
      </c>
      <c r="Y124" s="1139"/>
      <c r="Z124" s="1218"/>
      <c r="AA124" s="579"/>
    </row>
    <row r="125" spans="1:27" ht="21.95" hidden="1" customHeight="1" x14ac:dyDescent="0.15">
      <c r="A125" s="2596"/>
      <c r="B125" s="2599"/>
      <c r="C125" s="2759"/>
      <c r="D125" s="567" t="s">
        <v>1394</v>
      </c>
      <c r="F125" s="1345"/>
      <c r="G125" s="1139">
        <f t="shared" ref="G125:X125" si="93">G85</f>
        <v>32.757510799999999</v>
      </c>
      <c r="H125" s="1139">
        <f t="shared" si="93"/>
        <v>32.444462400000006</v>
      </c>
      <c r="I125" s="1139">
        <f t="shared" si="93"/>
        <v>18.3167124</v>
      </c>
      <c r="J125" s="1139">
        <f t="shared" si="93"/>
        <v>18.330172000000001</v>
      </c>
      <c r="K125" s="1139">
        <f t="shared" si="93"/>
        <v>8.9201405999999999</v>
      </c>
      <c r="L125" s="1139">
        <f t="shared" si="93"/>
        <v>7.1171981999999998</v>
      </c>
      <c r="M125" s="1139">
        <f t="shared" si="93"/>
        <v>0.84911400000000015</v>
      </c>
      <c r="N125" s="1139">
        <f t="shared" si="93"/>
        <v>9.0099786000000002</v>
      </c>
      <c r="O125" s="1139">
        <f t="shared" si="93"/>
        <v>16.142681100000001</v>
      </c>
      <c r="P125" s="1139">
        <f t="shared" si="93"/>
        <v>9.0044240999999996</v>
      </c>
      <c r="Q125" s="1139">
        <f t="shared" si="93"/>
        <v>10.475304000000001</v>
      </c>
      <c r="R125" s="1139">
        <f t="shared" si="93"/>
        <v>22.273255200000001</v>
      </c>
      <c r="S125" s="1139">
        <f t="shared" si="93"/>
        <v>22.375651200000004</v>
      </c>
      <c r="T125" s="1139">
        <f t="shared" si="93"/>
        <v>21.164045699999999</v>
      </c>
      <c r="U125" s="1139">
        <f t="shared" si="93"/>
        <v>23.128020299999999</v>
      </c>
      <c r="V125" s="1139">
        <f t="shared" si="93"/>
        <v>22.554506100000001</v>
      </c>
      <c r="W125" s="1139">
        <f t="shared" si="93"/>
        <v>9.4319274000000011</v>
      </c>
      <c r="X125" s="1139">
        <f t="shared" si="93"/>
        <v>14.683634700000001</v>
      </c>
      <c r="Y125" s="1139"/>
      <c r="Z125" s="1218"/>
      <c r="AA125" s="579"/>
    </row>
    <row r="126" spans="1:27" ht="21.95" hidden="1" customHeight="1" x14ac:dyDescent="0.15">
      <c r="A126" s="2596"/>
      <c r="B126" s="2599"/>
      <c r="C126" s="2759"/>
      <c r="D126" s="567" t="s">
        <v>1371</v>
      </c>
      <c r="F126" s="1345"/>
      <c r="G126" s="1139">
        <f t="shared" ref="G126:X126" si="94">G35+G61</f>
        <v>0</v>
      </c>
      <c r="H126" s="1139">
        <f t="shared" si="94"/>
        <v>0</v>
      </c>
      <c r="I126" s="1139">
        <f t="shared" si="94"/>
        <v>0</v>
      </c>
      <c r="J126" s="1139">
        <f t="shared" si="94"/>
        <v>0</v>
      </c>
      <c r="K126" s="1139">
        <f t="shared" si="94"/>
        <v>0</v>
      </c>
      <c r="L126" s="1139">
        <f t="shared" si="94"/>
        <v>0</v>
      </c>
      <c r="M126" s="1139">
        <f t="shared" si="94"/>
        <v>0</v>
      </c>
      <c r="N126" s="1139">
        <f t="shared" si="94"/>
        <v>0</v>
      </c>
      <c r="O126" s="1139">
        <f t="shared" si="94"/>
        <v>0</v>
      </c>
      <c r="P126" s="1139">
        <f t="shared" si="94"/>
        <v>0</v>
      </c>
      <c r="Q126" s="1139">
        <f t="shared" si="94"/>
        <v>0</v>
      </c>
      <c r="R126" s="1139">
        <f t="shared" si="94"/>
        <v>0</v>
      </c>
      <c r="S126" s="1139">
        <f t="shared" si="94"/>
        <v>0</v>
      </c>
      <c r="T126" s="1139">
        <f t="shared" si="94"/>
        <v>0</v>
      </c>
      <c r="U126" s="1139">
        <f t="shared" si="94"/>
        <v>0</v>
      </c>
      <c r="V126" s="1139">
        <f t="shared" si="94"/>
        <v>0</v>
      </c>
      <c r="W126" s="1139">
        <f t="shared" si="94"/>
        <v>0</v>
      </c>
      <c r="X126" s="1139">
        <f t="shared" si="94"/>
        <v>0</v>
      </c>
      <c r="Y126" s="1139"/>
      <c r="Z126" s="1218"/>
      <c r="AA126" s="579"/>
    </row>
    <row r="127" spans="1:27" ht="21.95" hidden="1" customHeight="1" x14ac:dyDescent="0.15">
      <c r="A127" s="2596"/>
      <c r="B127" s="2599"/>
      <c r="C127" s="2759"/>
      <c r="D127" s="567" t="s">
        <v>1372</v>
      </c>
      <c r="F127" s="1345"/>
      <c r="G127" s="1139">
        <f t="shared" ref="G127:X127" si="95">G37+G63</f>
        <v>0</v>
      </c>
      <c r="H127" s="1139">
        <f t="shared" si="95"/>
        <v>0</v>
      </c>
      <c r="I127" s="1139">
        <f t="shared" si="95"/>
        <v>0</v>
      </c>
      <c r="J127" s="1139">
        <f t="shared" si="95"/>
        <v>0</v>
      </c>
      <c r="K127" s="1139">
        <f t="shared" si="95"/>
        <v>0</v>
      </c>
      <c r="L127" s="1139">
        <f t="shared" si="95"/>
        <v>0</v>
      </c>
      <c r="M127" s="1139">
        <f t="shared" si="95"/>
        <v>0</v>
      </c>
      <c r="N127" s="1139">
        <f t="shared" si="95"/>
        <v>0</v>
      </c>
      <c r="O127" s="1139">
        <f t="shared" si="95"/>
        <v>0</v>
      </c>
      <c r="P127" s="1139">
        <f t="shared" si="95"/>
        <v>0</v>
      </c>
      <c r="Q127" s="1139">
        <f t="shared" si="95"/>
        <v>0</v>
      </c>
      <c r="R127" s="1139">
        <f t="shared" si="95"/>
        <v>0</v>
      </c>
      <c r="S127" s="1139">
        <f t="shared" si="95"/>
        <v>0</v>
      </c>
      <c r="T127" s="1139">
        <f t="shared" si="95"/>
        <v>0</v>
      </c>
      <c r="U127" s="1139">
        <f t="shared" si="95"/>
        <v>0</v>
      </c>
      <c r="V127" s="1139">
        <f t="shared" si="95"/>
        <v>0</v>
      </c>
      <c r="W127" s="1139">
        <f t="shared" si="95"/>
        <v>0</v>
      </c>
      <c r="X127" s="1139">
        <f t="shared" si="95"/>
        <v>0</v>
      </c>
      <c r="Y127" s="1139"/>
      <c r="Z127" s="1218"/>
      <c r="AA127" s="579"/>
    </row>
    <row r="128" spans="1:27" ht="21.95" hidden="1" customHeight="1" x14ac:dyDescent="0.15">
      <c r="A128" s="2596"/>
      <c r="B128" s="2599"/>
      <c r="C128" s="2759"/>
      <c r="D128" s="567" t="s">
        <v>642</v>
      </c>
      <c r="F128" s="1345"/>
      <c r="G128" s="1139">
        <f t="shared" ref="G128:X128" si="96">G34+G36+G60+G62+G93</f>
        <v>782.2785258749999</v>
      </c>
      <c r="H128" s="1139">
        <f t="shared" si="96"/>
        <v>754.520245875</v>
      </c>
      <c r="I128" s="1139">
        <f t="shared" si="96"/>
        <v>422.84442337499996</v>
      </c>
      <c r="J128" s="1139">
        <f t="shared" si="96"/>
        <v>420.48938744999998</v>
      </c>
      <c r="K128" s="1139">
        <f t="shared" si="96"/>
        <v>259.541679375</v>
      </c>
      <c r="L128" s="1139">
        <f t="shared" si="96"/>
        <v>200.05872975</v>
      </c>
      <c r="M128" s="1139">
        <f t="shared" si="96"/>
        <v>24.832046250000001</v>
      </c>
      <c r="N128" s="1139">
        <f t="shared" si="96"/>
        <v>262.15110900000002</v>
      </c>
      <c r="O128" s="1139">
        <f t="shared" si="96"/>
        <v>469.461526875</v>
      </c>
      <c r="P128" s="1139">
        <f t="shared" si="96"/>
        <v>261.99483750000002</v>
      </c>
      <c r="Q128" s="1139">
        <f t="shared" si="96"/>
        <v>298.08968062500003</v>
      </c>
      <c r="R128" s="1139">
        <f t="shared" si="96"/>
        <v>647.35295624999992</v>
      </c>
      <c r="S128" s="1139">
        <f t="shared" si="96"/>
        <v>651.29790824999998</v>
      </c>
      <c r="T128" s="1139">
        <f t="shared" si="96"/>
        <v>615.52777274999994</v>
      </c>
      <c r="U128" s="1139">
        <f t="shared" si="96"/>
        <v>673.18652362500006</v>
      </c>
      <c r="V128" s="1139">
        <f t="shared" si="96"/>
        <v>656.37300712499996</v>
      </c>
      <c r="W128" s="1139">
        <f t="shared" si="96"/>
        <v>271.36592999999993</v>
      </c>
      <c r="X128" s="1139">
        <f t="shared" si="96"/>
        <v>415.08346275000002</v>
      </c>
      <c r="Y128" s="1139"/>
      <c r="Z128" s="1218"/>
      <c r="AA128" s="579"/>
    </row>
    <row r="129" spans="1:27" ht="21.95" hidden="1" customHeight="1" x14ac:dyDescent="0.15">
      <c r="A129" s="2596"/>
      <c r="B129" s="2599"/>
      <c r="C129" s="2759"/>
      <c r="D129" s="567" t="s">
        <v>1398</v>
      </c>
      <c r="F129" s="1510"/>
      <c r="G129" s="1139">
        <f t="shared" ref="G129:X129" si="97">G70+G73</f>
        <v>0</v>
      </c>
      <c r="H129" s="1139">
        <f t="shared" si="97"/>
        <v>0</v>
      </c>
      <c r="I129" s="1139">
        <f t="shared" si="97"/>
        <v>0</v>
      </c>
      <c r="J129" s="1139">
        <f t="shared" si="97"/>
        <v>0</v>
      </c>
      <c r="K129" s="1139">
        <f t="shared" si="97"/>
        <v>0</v>
      </c>
      <c r="L129" s="1139">
        <f t="shared" si="97"/>
        <v>0</v>
      </c>
      <c r="M129" s="1139">
        <f t="shared" si="97"/>
        <v>0</v>
      </c>
      <c r="N129" s="1139">
        <f t="shared" si="97"/>
        <v>0</v>
      </c>
      <c r="O129" s="1139">
        <f t="shared" si="97"/>
        <v>0</v>
      </c>
      <c r="P129" s="1139">
        <f t="shared" si="97"/>
        <v>0</v>
      </c>
      <c r="Q129" s="1139">
        <f t="shared" si="97"/>
        <v>0</v>
      </c>
      <c r="R129" s="1139">
        <f t="shared" si="97"/>
        <v>0</v>
      </c>
      <c r="S129" s="1139">
        <f t="shared" si="97"/>
        <v>0</v>
      </c>
      <c r="T129" s="1139">
        <f t="shared" si="97"/>
        <v>0</v>
      </c>
      <c r="U129" s="1139">
        <f t="shared" si="97"/>
        <v>0</v>
      </c>
      <c r="V129" s="1139">
        <f t="shared" si="97"/>
        <v>0</v>
      </c>
      <c r="W129" s="1139">
        <f t="shared" si="97"/>
        <v>0</v>
      </c>
      <c r="X129" s="1139">
        <f t="shared" si="97"/>
        <v>0</v>
      </c>
      <c r="Y129" s="1139"/>
      <c r="Z129" s="1218"/>
      <c r="AA129" s="579"/>
    </row>
    <row r="130" spans="1:27" ht="21.95" hidden="1" customHeight="1" x14ac:dyDescent="0.15">
      <c r="A130" s="2596"/>
      <c r="B130" s="2599"/>
      <c r="C130" s="2759"/>
      <c r="D130" s="567" t="s">
        <v>1396</v>
      </c>
      <c r="F130" s="1510"/>
      <c r="G130" s="1139">
        <f t="shared" ref="G130:X130" si="98">G86</f>
        <v>97.051755599999993</v>
      </c>
      <c r="H130" s="1139">
        <f t="shared" si="98"/>
        <v>96.124276800000004</v>
      </c>
      <c r="I130" s="1139">
        <f t="shared" si="98"/>
        <v>54.267526799999999</v>
      </c>
      <c r="J130" s="1139">
        <f t="shared" si="98"/>
        <v>54.307403999999998</v>
      </c>
      <c r="K130" s="1139">
        <f t="shared" si="98"/>
        <v>26.427994200000001</v>
      </c>
      <c r="L130" s="1139">
        <f t="shared" si="98"/>
        <v>21.086357399999997</v>
      </c>
      <c r="M130" s="1139">
        <f t="shared" si="98"/>
        <v>2.5156980000000004</v>
      </c>
      <c r="N130" s="1139">
        <f t="shared" si="98"/>
        <v>26.694160199999999</v>
      </c>
      <c r="O130" s="1139">
        <f t="shared" si="98"/>
        <v>47.826452699999997</v>
      </c>
      <c r="P130" s="1139">
        <f t="shared" si="98"/>
        <v>26.677703699999995</v>
      </c>
      <c r="Q130" s="1139">
        <f t="shared" si="98"/>
        <v>31.035528000000003</v>
      </c>
      <c r="R130" s="1139">
        <f t="shared" si="98"/>
        <v>65.989706399999989</v>
      </c>
      <c r="S130" s="1139">
        <f t="shared" si="98"/>
        <v>66.293078400000013</v>
      </c>
      <c r="T130" s="1139">
        <f t="shared" si="98"/>
        <v>62.703414899999999</v>
      </c>
      <c r="U130" s="1139">
        <f t="shared" si="98"/>
        <v>68.522147099999998</v>
      </c>
      <c r="V130" s="1139">
        <f t="shared" si="98"/>
        <v>66.822977699999996</v>
      </c>
      <c r="W130" s="1139">
        <f t="shared" si="98"/>
        <v>27.944281800000002</v>
      </c>
      <c r="X130" s="1139">
        <f t="shared" si="98"/>
        <v>43.503687900000003</v>
      </c>
      <c r="Y130" s="1139"/>
      <c r="Z130" s="1218"/>
      <c r="AA130" s="579"/>
    </row>
    <row r="131" spans="1:27" ht="21.95" hidden="1" customHeight="1" x14ac:dyDescent="0.15">
      <c r="A131" s="2596"/>
      <c r="B131" s="2599"/>
      <c r="C131" s="2759"/>
      <c r="D131" s="567" t="s">
        <v>538</v>
      </c>
      <c r="F131" s="1510"/>
      <c r="G131" s="1139">
        <f t="shared" ref="G131:X131" si="99">G110</f>
        <v>1303.7975431249999</v>
      </c>
      <c r="H131" s="1139">
        <f t="shared" si="99"/>
        <v>1257.533743125</v>
      </c>
      <c r="I131" s="1139">
        <f t="shared" si="99"/>
        <v>704.74070562499992</v>
      </c>
      <c r="J131" s="1139">
        <f t="shared" si="99"/>
        <v>700.81564575000004</v>
      </c>
      <c r="K131" s="1139">
        <f t="shared" si="99"/>
        <v>432.56946562500002</v>
      </c>
      <c r="L131" s="1139">
        <f t="shared" si="99"/>
        <v>333.43121624999998</v>
      </c>
      <c r="M131" s="1139">
        <f t="shared" si="99"/>
        <v>41.386743750000001</v>
      </c>
      <c r="N131" s="1139">
        <f t="shared" si="99"/>
        <v>436.91851499999996</v>
      </c>
      <c r="O131" s="1139">
        <f t="shared" si="99"/>
        <v>782.43587812499993</v>
      </c>
      <c r="P131" s="1139">
        <f t="shared" si="99"/>
        <v>436.65806250000003</v>
      </c>
      <c r="Q131" s="1139">
        <f t="shared" si="99"/>
        <v>496.81613437500005</v>
      </c>
      <c r="R131" s="1139">
        <f t="shared" si="99"/>
        <v>1078.9215937499998</v>
      </c>
      <c r="S131" s="1139">
        <f t="shared" si="99"/>
        <v>1085.4965137499998</v>
      </c>
      <c r="T131" s="1139">
        <f t="shared" si="99"/>
        <v>1025.8796212499999</v>
      </c>
      <c r="U131" s="1139">
        <f t="shared" si="99"/>
        <v>1121.9775393750001</v>
      </c>
      <c r="V131" s="1139">
        <f t="shared" si="99"/>
        <v>1093.9550118749999</v>
      </c>
      <c r="W131" s="1139">
        <f t="shared" si="99"/>
        <v>452.27654999999993</v>
      </c>
      <c r="X131" s="1139">
        <f t="shared" si="99"/>
        <v>691.80577125000002</v>
      </c>
      <c r="Y131" s="1139"/>
      <c r="Z131" s="1218"/>
      <c r="AA131" s="579"/>
    </row>
    <row r="132" spans="1:27" ht="21.95" hidden="1" customHeight="1" x14ac:dyDescent="0.15">
      <c r="A132" s="2596"/>
      <c r="B132" s="2599"/>
      <c r="C132" s="2759"/>
      <c r="D132" s="558" t="s">
        <v>586</v>
      </c>
      <c r="F132" s="1510"/>
      <c r="G132" s="1139">
        <f t="shared" ref="G132:X132" si="100">G111</f>
        <v>0</v>
      </c>
      <c r="H132" s="1139">
        <f t="shared" si="100"/>
        <v>0</v>
      </c>
      <c r="I132" s="1139">
        <f t="shared" si="100"/>
        <v>0</v>
      </c>
      <c r="J132" s="1139">
        <f t="shared" si="100"/>
        <v>0</v>
      </c>
      <c r="K132" s="1139">
        <f t="shared" si="100"/>
        <v>0</v>
      </c>
      <c r="L132" s="1139">
        <f t="shared" si="100"/>
        <v>0</v>
      </c>
      <c r="M132" s="1139">
        <f t="shared" si="100"/>
        <v>0</v>
      </c>
      <c r="N132" s="1139">
        <f t="shared" si="100"/>
        <v>0</v>
      </c>
      <c r="O132" s="1139">
        <f t="shared" si="100"/>
        <v>0</v>
      </c>
      <c r="P132" s="1139">
        <f t="shared" si="100"/>
        <v>0</v>
      </c>
      <c r="Q132" s="1139">
        <f t="shared" si="100"/>
        <v>0</v>
      </c>
      <c r="R132" s="1139">
        <f t="shared" si="100"/>
        <v>0</v>
      </c>
      <c r="S132" s="1139">
        <f t="shared" si="100"/>
        <v>0</v>
      </c>
      <c r="T132" s="1139">
        <f t="shared" si="100"/>
        <v>0</v>
      </c>
      <c r="U132" s="1139">
        <f t="shared" si="100"/>
        <v>0</v>
      </c>
      <c r="V132" s="1139">
        <f t="shared" si="100"/>
        <v>0</v>
      </c>
      <c r="W132" s="1139">
        <f t="shared" si="100"/>
        <v>0</v>
      </c>
      <c r="X132" s="1139">
        <f t="shared" si="100"/>
        <v>0</v>
      </c>
      <c r="Y132" s="1139"/>
      <c r="Z132" s="1218"/>
      <c r="AA132" s="579"/>
    </row>
    <row r="133" spans="1:27" ht="21.95" hidden="1" customHeight="1" x14ac:dyDescent="0.15">
      <c r="A133" s="2596"/>
      <c r="B133" s="2599"/>
      <c r="C133" s="2759"/>
      <c r="D133" s="567" t="s">
        <v>1376</v>
      </c>
      <c r="F133" s="1510"/>
      <c r="G133" s="1139">
        <f t="shared" ref="G133:X133" si="101">G119</f>
        <v>519.80676144000006</v>
      </c>
      <c r="H133" s="1139">
        <f t="shared" si="101"/>
        <v>514.83920832000013</v>
      </c>
      <c r="I133" s="1139">
        <f t="shared" si="101"/>
        <v>290.65550832000002</v>
      </c>
      <c r="J133" s="1139">
        <f t="shared" si="101"/>
        <v>290.86908960000005</v>
      </c>
      <c r="K133" s="1139">
        <f t="shared" si="101"/>
        <v>141.54767208000001</v>
      </c>
      <c r="L133" s="1139">
        <f t="shared" si="101"/>
        <v>112.93799976</v>
      </c>
      <c r="M133" s="1139">
        <f t="shared" si="101"/>
        <v>13.474015200000004</v>
      </c>
      <c r="N133" s="1139">
        <f t="shared" si="101"/>
        <v>142.97325048000002</v>
      </c>
      <c r="O133" s="1139">
        <f t="shared" si="101"/>
        <v>256.15727748</v>
      </c>
      <c r="P133" s="1139">
        <f t="shared" si="101"/>
        <v>142.88510987999999</v>
      </c>
      <c r="Q133" s="1139">
        <f t="shared" si="101"/>
        <v>166.22550720000004</v>
      </c>
      <c r="R133" s="1139">
        <f t="shared" si="101"/>
        <v>353.43920736000001</v>
      </c>
      <c r="S133" s="1139">
        <f t="shared" si="101"/>
        <v>355.06406016000005</v>
      </c>
      <c r="T133" s="1139">
        <f t="shared" si="101"/>
        <v>335.83791275999999</v>
      </c>
      <c r="U133" s="1139">
        <f t="shared" si="101"/>
        <v>367.00289604</v>
      </c>
      <c r="V133" s="1139">
        <f t="shared" si="101"/>
        <v>357.90218748000007</v>
      </c>
      <c r="W133" s="1139">
        <f t="shared" si="101"/>
        <v>149.66887032000002</v>
      </c>
      <c r="X133" s="1139">
        <f t="shared" si="101"/>
        <v>233.00465796000003</v>
      </c>
      <c r="Y133" s="1139"/>
      <c r="Z133" s="1218"/>
      <c r="AA133" s="579"/>
    </row>
    <row r="134" spans="1:27" ht="21.95" hidden="1" customHeight="1" thickBot="1" x14ac:dyDescent="0.2">
      <c r="A134" s="2596"/>
      <c r="B134" s="2811"/>
      <c r="C134" s="2758"/>
      <c r="D134" s="566" t="s">
        <v>1377</v>
      </c>
      <c r="E134" s="1377"/>
      <c r="F134" s="1511"/>
      <c r="G134" s="1135">
        <f t="shared" ref="G134:X134" si="102">G120</f>
        <v>0</v>
      </c>
      <c r="H134" s="1135">
        <f t="shared" si="102"/>
        <v>0</v>
      </c>
      <c r="I134" s="1135">
        <f t="shared" si="102"/>
        <v>0</v>
      </c>
      <c r="J134" s="1135">
        <f t="shared" si="102"/>
        <v>0</v>
      </c>
      <c r="K134" s="1135">
        <f t="shared" si="102"/>
        <v>0</v>
      </c>
      <c r="L134" s="1135">
        <f t="shared" si="102"/>
        <v>0</v>
      </c>
      <c r="M134" s="1135">
        <f t="shared" si="102"/>
        <v>0</v>
      </c>
      <c r="N134" s="1135">
        <f t="shared" si="102"/>
        <v>0</v>
      </c>
      <c r="O134" s="1135">
        <f t="shared" si="102"/>
        <v>0</v>
      </c>
      <c r="P134" s="1135">
        <f t="shared" si="102"/>
        <v>0</v>
      </c>
      <c r="Q134" s="1135">
        <f t="shared" si="102"/>
        <v>0</v>
      </c>
      <c r="R134" s="1135">
        <f t="shared" si="102"/>
        <v>0</v>
      </c>
      <c r="S134" s="1135">
        <f t="shared" si="102"/>
        <v>0</v>
      </c>
      <c r="T134" s="1135">
        <f t="shared" si="102"/>
        <v>0</v>
      </c>
      <c r="U134" s="1135">
        <f t="shared" si="102"/>
        <v>0</v>
      </c>
      <c r="V134" s="1135">
        <f t="shared" si="102"/>
        <v>0</v>
      </c>
      <c r="W134" s="1135">
        <f t="shared" si="102"/>
        <v>0</v>
      </c>
      <c r="X134" s="1135">
        <f t="shared" si="102"/>
        <v>0</v>
      </c>
      <c r="Y134" s="1135"/>
      <c r="Z134" s="1141"/>
      <c r="AA134" s="579"/>
    </row>
    <row r="135" spans="1:27" s="9" customFormat="1" ht="50.1" customHeight="1" thickBot="1" x14ac:dyDescent="0.2">
      <c r="A135" s="2597"/>
      <c r="B135" s="2803" t="s">
        <v>12</v>
      </c>
      <c r="C135" s="2773"/>
      <c r="D135" s="2804"/>
      <c r="E135" s="1274"/>
      <c r="F135" s="1512"/>
      <c r="G135" s="2103"/>
      <c r="H135" s="2103"/>
      <c r="I135" s="2103"/>
      <c r="J135" s="2103"/>
      <c r="K135" s="2103"/>
      <c r="L135" s="2103"/>
      <c r="M135" s="2103"/>
      <c r="N135" s="2103"/>
      <c r="O135" s="2103"/>
      <c r="P135" s="2103"/>
      <c r="Q135" s="2103"/>
      <c r="R135" s="2103"/>
      <c r="S135" s="2103"/>
      <c r="T135" s="2103"/>
      <c r="U135" s="2103"/>
      <c r="V135" s="2103"/>
      <c r="W135" s="2103"/>
      <c r="X135" s="2103"/>
      <c r="Y135" s="2103"/>
      <c r="Z135" s="2104"/>
      <c r="AA135" s="668">
        <v>1</v>
      </c>
    </row>
    <row r="136" spans="1:27" ht="19.5" hidden="1" thickTop="1" x14ac:dyDescent="0.15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</row>
    <row r="137" spans="1:27" hidden="1" x14ac:dyDescent="0.15"/>
    <row r="138" spans="1:27" hidden="1" x14ac:dyDescent="0.15"/>
    <row r="139" spans="1:27" ht="19.5" thickTop="1" x14ac:dyDescent="0.15"/>
  </sheetData>
  <autoFilter ref="AA1:AA138" xr:uid="{00000000-0009-0000-0000-00001B000000}">
    <filterColumn colId="0">
      <customFilters>
        <customFilter operator="notEqual" val=" "/>
      </customFilters>
    </filterColumn>
  </autoFilter>
  <mergeCells count="21">
    <mergeCell ref="C66:C67"/>
    <mergeCell ref="C90:C94"/>
    <mergeCell ref="B95:C96"/>
    <mergeCell ref="C72:C74"/>
    <mergeCell ref="B6:C7"/>
    <mergeCell ref="A1:A135"/>
    <mergeCell ref="B135:D135"/>
    <mergeCell ref="B3:C4"/>
    <mergeCell ref="C38:C63"/>
    <mergeCell ref="C8:C11"/>
    <mergeCell ref="C64:C65"/>
    <mergeCell ref="C68:C71"/>
    <mergeCell ref="C75:C80"/>
    <mergeCell ref="B1:D1"/>
    <mergeCell ref="B2:D2"/>
    <mergeCell ref="C12:C37"/>
    <mergeCell ref="B97:C120"/>
    <mergeCell ref="C81:C89"/>
    <mergeCell ref="B8:B94"/>
    <mergeCell ref="B121:C134"/>
    <mergeCell ref="B5:D5"/>
  </mergeCells>
  <conditionalFormatting sqref="G8:Y8">
    <cfRule type="expression" dxfId="44" priority="13">
      <formula>G$8&lt;0</formula>
    </cfRule>
  </conditionalFormatting>
  <hyperlinks>
    <hyperlink ref="B1:D1" location="PAINEL!A1" display="VIAS" xr:uid="{00000000-0004-0000-1B00-000000000000}"/>
  </hyperlinks>
  <pageMargins left="0.39370078740157483" right="0.39370078740157483" top="0.39370078740157483" bottom="0.59055118110236227" header="0.31496062992125984" footer="0.23622047244094491"/>
  <pageSetup paperSize="9" scale="57" fitToWidth="5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36" filterMode="1">
    <tabColor theme="7" tint="-0.249977111117893"/>
  </sheetPr>
  <dimension ref="A1:AK77"/>
  <sheetViews>
    <sheetView showZeros="0" zoomScaleNormal="100" zoomScaleSheetLayoutView="100" workbookViewId="0">
      <pane xSplit="5" ySplit="1" topLeftCell="K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AD4" sqref="AD4"/>
    </sheetView>
  </sheetViews>
  <sheetFormatPr defaultColWidth="9" defaultRowHeight="18.75" x14ac:dyDescent="0.15"/>
  <cols>
    <col min="1" max="1" width="14.5" style="5" customWidth="1"/>
    <col min="2" max="2" width="14.625" style="9" customWidth="1"/>
    <col min="3" max="3" width="35.625" style="9" customWidth="1"/>
    <col min="4" max="4" width="3.125" style="982" hidden="1" customWidth="1"/>
    <col min="5" max="5" width="7.5" style="9" hidden="1" customWidth="1"/>
    <col min="6" max="7" width="12.625" style="5" hidden="1" customWidth="1"/>
    <col min="8" max="26" width="12.625" style="5" customWidth="1"/>
    <col min="27" max="27" width="12.625" style="5" hidden="1" customWidth="1"/>
    <col min="28" max="28" width="12.625" style="514" customWidth="1"/>
    <col min="29" max="29" width="16.75" style="5" customWidth="1"/>
    <col min="30" max="30" width="11.125" style="5" bestFit="1" customWidth="1"/>
    <col min="31" max="31" width="9" style="5"/>
    <col min="32" max="32" width="10" style="5" bestFit="1" customWidth="1"/>
    <col min="33" max="33" width="9" style="5"/>
    <col min="34" max="34" width="10" style="5" bestFit="1" customWidth="1"/>
    <col min="35" max="16384" width="9" style="5"/>
  </cols>
  <sheetData>
    <row r="1" spans="1:37" s="10" customFormat="1" ht="60" customHeight="1" thickTop="1" thickBot="1" x14ac:dyDescent="0.2">
      <c r="A1" s="2595" t="s">
        <v>546</v>
      </c>
      <c r="B1" s="2848" t="s">
        <v>348</v>
      </c>
      <c r="C1" s="2915"/>
      <c r="D1" s="991"/>
      <c r="E1" s="1505" t="s">
        <v>588</v>
      </c>
      <c r="F1" s="212" t="s">
        <v>1351</v>
      </c>
      <c r="G1" s="212" t="s">
        <v>1352</v>
      </c>
      <c r="H1" s="212" t="s">
        <v>2846</v>
      </c>
      <c r="I1" s="212" t="str">
        <f>Pav_Dados!G1</f>
        <v>Avenida Alentino Souza Oliveira - LD</v>
      </c>
      <c r="J1" s="212" t="str">
        <f>Pav_Dados!H1</f>
        <v>Avenida Alentino Souza Oliveira - LE</v>
      </c>
      <c r="K1" s="212" t="str">
        <f>Pav_Dados!I1</f>
        <v>Avenida Aureliano Moura Brandão - LD</v>
      </c>
      <c r="L1" s="212" t="str">
        <f>Pav_Dados!J1</f>
        <v>Avenida Aureliano Moura Brandão - LE</v>
      </c>
      <c r="M1" s="212" t="str">
        <f>Pav_Dados!K1</f>
        <v>Rua Deoclides Batista Ramos</v>
      </c>
      <c r="N1" s="212" t="str">
        <f>Pav_Dados!L1</f>
        <v>Rua Elder Oliveira de Paula</v>
      </c>
      <c r="O1" s="212" t="str">
        <f>Pav_Dados!M1</f>
        <v>Rua Elder Oliveira de Paula - 01</v>
      </c>
      <c r="P1" s="212" t="str">
        <f>Pav_Dados!N1</f>
        <v>Rua Joaquim Lino Vieira</v>
      </c>
      <c r="Q1" s="212" t="str">
        <f>Pav_Dados!O1</f>
        <v>Rua Joaquim Lino Vieira - 01</v>
      </c>
      <c r="R1" s="212" t="str">
        <f>Pav_Dados!P1</f>
        <v>Rua Maria Áurea Dal Bello Cazatti</v>
      </c>
      <c r="S1" s="212" t="str">
        <f>Pav_Dados!Q1</f>
        <v>Rua Rafael Silva dos Reis</v>
      </c>
      <c r="T1" s="212" t="str">
        <f>Pav_Dados!R1</f>
        <v>Rua Ribeirão Dourado</v>
      </c>
      <c r="U1" s="212" t="str">
        <f>Pav_Dados!S1</f>
        <v>Rua Ribeirão Serrote</v>
      </c>
      <c r="V1" s="212" t="str">
        <f>Pav_Dados!T1</f>
        <v>Rua Ribeiro Mantena</v>
      </c>
      <c r="W1" s="212" t="str">
        <f>Pav_Dados!U1</f>
        <v>Rua Rio Botas</v>
      </c>
      <c r="X1" s="212" t="str">
        <f>Pav_Dados!V1</f>
        <v>Rua Rio Paraná</v>
      </c>
      <c r="Y1" s="212" t="str">
        <f>Pav_Dados!W1</f>
        <v>Rua Rio Verde</v>
      </c>
      <c r="Z1" s="212" t="str">
        <f>Pav_Dados!X1</f>
        <v>Rua Sônia Aparecida Silva dos Reis</v>
      </c>
      <c r="AA1" s="212"/>
      <c r="AB1" s="508" t="s">
        <v>0</v>
      </c>
      <c r="AC1" s="578" t="s">
        <v>1359</v>
      </c>
      <c r="AD1" s="2716" t="s">
        <v>1196</v>
      </c>
      <c r="AE1" s="2718"/>
      <c r="AF1" s="2716" t="s">
        <v>1197</v>
      </c>
      <c r="AG1" s="2718"/>
      <c r="AH1" s="2716" t="s">
        <v>1198</v>
      </c>
      <c r="AI1" s="2718"/>
      <c r="AJ1" s="2714" t="s">
        <v>1199</v>
      </c>
      <c r="AK1" s="1237" t="s">
        <v>1186</v>
      </c>
    </row>
    <row r="2" spans="1:37" ht="21.95" customHeight="1" thickTop="1" x14ac:dyDescent="0.15">
      <c r="A2" s="2596"/>
      <c r="B2" s="2928" t="s">
        <v>44</v>
      </c>
      <c r="C2" s="2929"/>
      <c r="D2" s="1506"/>
      <c r="E2" s="1243"/>
      <c r="F2" s="1449"/>
      <c r="G2" s="1449"/>
      <c r="H2" s="1449"/>
      <c r="I2" s="7">
        <f>Pav_Dados!G2</f>
        <v>550.02</v>
      </c>
      <c r="J2" s="7">
        <f>Pav_Dados!H2</f>
        <v>549.91999999999996</v>
      </c>
      <c r="K2" s="7">
        <f>Pav_Dados!I2</f>
        <v>304.02</v>
      </c>
      <c r="L2" s="7">
        <f>Pav_Dados!J2</f>
        <v>304.27</v>
      </c>
      <c r="M2" s="7">
        <f>Pav_Dados!K2</f>
        <v>260.7</v>
      </c>
      <c r="N2" s="7">
        <f>Pav_Dados!L2</f>
        <v>162.53</v>
      </c>
      <c r="O2" s="7">
        <f>Pav_Dados!M2</f>
        <v>23.58</v>
      </c>
      <c r="P2" s="7">
        <f>Pav_Dados!N2</f>
        <v>263.7</v>
      </c>
      <c r="Q2" s="7">
        <f>Pav_Dados!O2</f>
        <v>474.38</v>
      </c>
      <c r="R2" s="7">
        <f>Pav_Dados!P2</f>
        <v>263.28999999999996</v>
      </c>
      <c r="S2" s="7">
        <f>Pav_Dados!Q2</f>
        <v>302.41999999999996</v>
      </c>
      <c r="T2" s="7">
        <f>Pav_Dados!R2</f>
        <v>652.08999999999992</v>
      </c>
      <c r="U2" s="7">
        <f>Pav_Dados!S2</f>
        <v>654.04999999999995</v>
      </c>
      <c r="V2" s="7">
        <f>Pav_Dados!T2</f>
        <v>622.59</v>
      </c>
      <c r="W2" s="7">
        <f>Pav_Dados!U2</f>
        <v>674.8</v>
      </c>
      <c r="X2" s="7">
        <f>Pav_Dados!V2</f>
        <v>659.43</v>
      </c>
      <c r="Y2" s="7">
        <f>Pav_Dados!W2</f>
        <v>276.54000000000002</v>
      </c>
      <c r="Z2" s="7">
        <f>Pav_Dados!X2</f>
        <v>432.77</v>
      </c>
      <c r="AA2" s="7"/>
      <c r="AB2" s="509">
        <f>+ROUND(SUM(F2:AA2),2)</f>
        <v>7431.1</v>
      </c>
      <c r="AC2" s="579">
        <f>SUM(F2:AB2)</f>
        <v>14862.2</v>
      </c>
      <c r="AD2" s="1024" t="s">
        <v>1182</v>
      </c>
      <c r="AE2" s="1024" t="s">
        <v>1184</v>
      </c>
      <c r="AF2" s="1024" t="s">
        <v>1182</v>
      </c>
      <c r="AG2" s="1024" t="s">
        <v>1184</v>
      </c>
      <c r="AH2" s="1024" t="s">
        <v>1182</v>
      </c>
      <c r="AI2" s="1024" t="s">
        <v>1184</v>
      </c>
      <c r="AJ2" s="2715"/>
      <c r="AK2" s="1033" t="s">
        <v>1435</v>
      </c>
    </row>
    <row r="3" spans="1:37" ht="21.95" customHeight="1" x14ac:dyDescent="0.15">
      <c r="A3" s="2596"/>
      <c r="B3" s="2694" t="s">
        <v>163</v>
      </c>
      <c r="C3" s="543" t="s">
        <v>161</v>
      </c>
      <c r="F3" s="1450"/>
      <c r="G3" s="1450"/>
      <c r="H3" s="1450"/>
      <c r="I3" s="8">
        <f>Pav_Dados!G3</f>
        <v>0</v>
      </c>
      <c r="J3" s="8">
        <f>Pav_Dados!H3</f>
        <v>0</v>
      </c>
      <c r="K3" s="8">
        <f>Pav_Dados!I3</f>
        <v>0</v>
      </c>
      <c r="L3" s="8">
        <f>Pav_Dados!J3</f>
        <v>0</v>
      </c>
      <c r="M3" s="8">
        <f>Pav_Dados!K3</f>
        <v>0</v>
      </c>
      <c r="N3" s="8">
        <f>Pav_Dados!L3</f>
        <v>0</v>
      </c>
      <c r="O3" s="8">
        <f>Pav_Dados!M3</f>
        <v>0</v>
      </c>
      <c r="P3" s="8">
        <f>Pav_Dados!N3</f>
        <v>0</v>
      </c>
      <c r="Q3" s="8">
        <f>Pav_Dados!O3</f>
        <v>0</v>
      </c>
      <c r="R3" s="8">
        <f>Pav_Dados!P3</f>
        <v>0</v>
      </c>
      <c r="S3" s="8">
        <f>Pav_Dados!Q3</f>
        <v>0</v>
      </c>
      <c r="T3" s="8">
        <f>Pav_Dados!R3</f>
        <v>0</v>
      </c>
      <c r="U3" s="8">
        <f>Pav_Dados!S3</f>
        <v>0</v>
      </c>
      <c r="V3" s="8">
        <f>Pav_Dados!T3</f>
        <v>0</v>
      </c>
      <c r="W3" s="8">
        <f>Pav_Dados!U3</f>
        <v>0</v>
      </c>
      <c r="X3" s="8">
        <f>Pav_Dados!V3</f>
        <v>0</v>
      </c>
      <c r="Y3" s="8">
        <f>Pav_Dados!W3</f>
        <v>0</v>
      </c>
      <c r="Z3" s="8">
        <f>Pav_Dados!X3</f>
        <v>0</v>
      </c>
      <c r="AA3" s="8"/>
      <c r="AB3" s="1516">
        <f>+COUNTA(F3:AA3)</f>
        <v>18</v>
      </c>
      <c r="AC3" s="1017">
        <f>COUNTA(F3:AA3)</f>
        <v>18</v>
      </c>
      <c r="AD3" s="1025">
        <v>94963</v>
      </c>
      <c r="AE3" s="1025">
        <v>94965</v>
      </c>
      <c r="AF3" s="1025">
        <v>94963</v>
      </c>
      <c r="AG3" s="1025">
        <v>94965</v>
      </c>
      <c r="AH3" s="1025">
        <v>94963</v>
      </c>
      <c r="AI3" s="1025">
        <v>94965</v>
      </c>
      <c r="AJ3" s="2715"/>
      <c r="AK3" s="1025">
        <v>96542</v>
      </c>
    </row>
    <row r="4" spans="1:37" ht="21.95" customHeight="1" thickBot="1" x14ac:dyDescent="0.2">
      <c r="A4" s="2596"/>
      <c r="B4" s="2618"/>
      <c r="C4" s="546" t="s">
        <v>162</v>
      </c>
      <c r="D4" s="1377"/>
      <c r="E4" s="1513"/>
      <c r="F4" s="1451"/>
      <c r="G4" s="1451"/>
      <c r="H4" s="1451"/>
      <c r="I4" s="215">
        <f>Pav_Dados!G4</f>
        <v>0</v>
      </c>
      <c r="J4" s="215">
        <f>Pav_Dados!H4</f>
        <v>0</v>
      </c>
      <c r="K4" s="215">
        <f>Pav_Dados!I4</f>
        <v>0</v>
      </c>
      <c r="L4" s="215">
        <f>Pav_Dados!J4</f>
        <v>0</v>
      </c>
      <c r="M4" s="215">
        <f>Pav_Dados!K4</f>
        <v>0</v>
      </c>
      <c r="N4" s="215">
        <f>Pav_Dados!L4</f>
        <v>0</v>
      </c>
      <c r="O4" s="215">
        <f>Pav_Dados!M4</f>
        <v>0</v>
      </c>
      <c r="P4" s="215">
        <f>Pav_Dados!N4</f>
        <v>0</v>
      </c>
      <c r="Q4" s="215">
        <f>Pav_Dados!O4</f>
        <v>0</v>
      </c>
      <c r="R4" s="215">
        <f>Pav_Dados!P4</f>
        <v>0</v>
      </c>
      <c r="S4" s="215">
        <f>Pav_Dados!Q4</f>
        <v>0</v>
      </c>
      <c r="T4" s="215">
        <f>Pav_Dados!R4</f>
        <v>0</v>
      </c>
      <c r="U4" s="215">
        <f>Pav_Dados!S4</f>
        <v>0</v>
      </c>
      <c r="V4" s="215">
        <f>Pav_Dados!T4</f>
        <v>0</v>
      </c>
      <c r="W4" s="215">
        <f>Pav_Dados!U4</f>
        <v>0</v>
      </c>
      <c r="X4" s="215">
        <f>Pav_Dados!V4</f>
        <v>0</v>
      </c>
      <c r="Y4" s="215">
        <f>Pav_Dados!W4</f>
        <v>0</v>
      </c>
      <c r="Z4" s="215">
        <f>Pav_Dados!X4</f>
        <v>0</v>
      </c>
      <c r="AA4" s="215"/>
      <c r="AB4" s="1516">
        <f>+COUNTA(F4:AA4)</f>
        <v>18</v>
      </c>
      <c r="AC4" s="1017">
        <f>COUNTA(F4:AA4)</f>
        <v>18</v>
      </c>
      <c r="AD4" s="1026">
        <v>273.06</v>
      </c>
      <c r="AE4" s="1026">
        <v>362.66</v>
      </c>
      <c r="AF4" s="1027">
        <v>0.80500000000000005</v>
      </c>
      <c r="AG4" s="1027">
        <v>0.72299999999999998</v>
      </c>
      <c r="AH4" s="1027">
        <v>0.57899999999999996</v>
      </c>
      <c r="AI4" s="1027">
        <v>0.59299999999999997</v>
      </c>
      <c r="AJ4" s="2719"/>
      <c r="AK4" s="1036">
        <v>0.1356</v>
      </c>
    </row>
    <row r="5" spans="1:37" ht="21.95" customHeight="1" x14ac:dyDescent="0.15">
      <c r="A5" s="2596"/>
      <c r="B5" s="2917" t="s">
        <v>166</v>
      </c>
      <c r="C5" s="542" t="s">
        <v>2706</v>
      </c>
      <c r="F5" s="1137">
        <f ca="1">Dre_Fecha_Vala!AZ53</f>
        <v>0</v>
      </c>
      <c r="G5" s="1137">
        <f>Recap_Final!K78</f>
        <v>0</v>
      </c>
      <c r="H5" s="1415"/>
      <c r="I5" s="1137">
        <f>IF(I2=0,0,IF(Pav_Dados!G77&gt;0,Pav_Dados!G77,IF(Pav_Dados!G5="dupla",2.1*I2,0))+IF(Pav_Dados!G77&gt;0,0,IF(Pav_Dados!G5="simples",1.05*I2,0)))</f>
        <v>1045.05</v>
      </c>
      <c r="J5" s="1137">
        <f>IF(J2=0,0,IF(Pav_Dados!H77&gt;0,Pav_Dados!H77,IF(Pav_Dados!H5="dupla",2.1*J2,0))+IF(Pav_Dados!H77&gt;0,0,IF(Pav_Dados!H5="simples",1.05*J2,0)))</f>
        <v>534.60000000000014</v>
      </c>
      <c r="K5" s="1137">
        <f>IF(K2=0,0,IF(Pav_Dados!I77&gt;0,Pav_Dados!I77,IF(Pav_Dados!I5="dupla",2.1*K2,0))+IF(Pav_Dados!I77&gt;0,0,IF(Pav_Dados!I5="simples",1.05*K2,0)))</f>
        <v>236.01999999999998</v>
      </c>
      <c r="L5" s="1137">
        <f>IF(L2=0,0,IF(Pav_Dados!J77&gt;0,Pav_Dados!J77,IF(Pav_Dados!J5="dupla",2.1*L2,0))+IF(Pav_Dados!J77&gt;0,0,IF(Pav_Dados!J5="simples",1.05*L2,0)))</f>
        <v>236.27</v>
      </c>
      <c r="M5" s="1137">
        <f>IF(M2=0,0,IF(Pav_Dados!K77&gt;0,Pav_Dados!K77,IF(Pav_Dados!K5="dupla",2.1*M2,0))+IF(Pav_Dados!K77&gt;0,0,IF(Pav_Dados!K5="simples",1.05*M2,0)))</f>
        <v>532.95000000000005</v>
      </c>
      <c r="N5" s="1137">
        <f>IF(N2=0,0,IF(Pav_Dados!L77&gt;0,Pav_Dados!L77,IF(Pav_Dados!L5="dupla",2.1*N2,0))+IF(Pav_Dados!L77&gt;0,0,IF(Pav_Dados!L5="simples",1.05*N2,0)))</f>
        <v>304.45999999999998</v>
      </c>
      <c r="O5" s="1137">
        <f>IF(O2=0,0,IF(Pav_Dados!M77&gt;0,Pav_Dados!M77,IF(Pav_Dados!M5="dupla",2.1*O2,0))+IF(Pav_Dados!M77&gt;0,0,IF(Pav_Dados!M5="simples",1.05*O2,0)))</f>
        <v>52.9</v>
      </c>
      <c r="P5" s="1137">
        <f>IF(P2=0,0,IF(Pav_Dados!N77&gt;0,Pav_Dados!N77,IF(Pav_Dados!N5="dupla",2.1*P2,0))+IF(Pav_Dados!N77&gt;0,0,IF(Pav_Dados!N5="simples",1.05*P2,0)))</f>
        <v>538.24</v>
      </c>
      <c r="Q5" s="1137">
        <f>IF(Q2=0,0,IF(Pav_Dados!O77&gt;0,Pav_Dados!O77,IF(Pav_Dados!O5="dupla",2.1*Q2,0))+IF(Pav_Dados!O77&gt;0,0,IF(Pav_Dados!O5="simples",1.05*Q2,0)))</f>
        <v>960.55</v>
      </c>
      <c r="R5" s="1137">
        <f>IF(R2=0,0,IF(Pav_Dados!P77&gt;0,Pav_Dados!P77,IF(Pav_Dados!P5="dupla",2.1*R2,0))+IF(Pav_Dados!P77&gt;0,0,IF(Pav_Dados!P5="simples",1.05*R2,0)))</f>
        <v>538</v>
      </c>
      <c r="S5" s="1137">
        <f>IF(S2=0,0,IF(Pav_Dados!Q77&gt;0,Pav_Dados!Q77,IF(Pav_Dados!Q5="dupla",2.1*S2,0))+IF(Pav_Dados!Q77&gt;0,0,IF(Pav_Dados!Q5="simples",1.05*S2,0)))</f>
        <v>510.65</v>
      </c>
      <c r="T5" s="1137">
        <f>IF(T2=0,0,IF(Pav_Dados!R77&gt;0,Pav_Dados!R77,IF(Pav_Dados!R5="dupla",2.1*T2,0))+IF(Pav_Dados!R77&gt;0,0,IF(Pav_Dados!R5="simples",1.05*T2,0)))</f>
        <v>1318.5</v>
      </c>
      <c r="U5" s="1137">
        <f>IF(U2=0,0,IF(Pav_Dados!S77&gt;0,Pav_Dados!S77,IF(Pav_Dados!S5="dupla",2.1*U2,0))+IF(Pav_Dados!S77&gt;0,0,IF(Pav_Dados!S5="simples",1.05*U2,0)))</f>
        <v>1341.22</v>
      </c>
      <c r="V5" s="1137">
        <f>IF(V2=0,0,IF(Pav_Dados!T77&gt;0,Pav_Dados!T77,IF(Pav_Dados!T5="dupla",2.1*V2,0))+IF(Pav_Dados!T77&gt;0,0,IF(Pav_Dados!T5="simples",1.05*V2,0)))</f>
        <v>1259.94</v>
      </c>
      <c r="W5" s="1137">
        <f>IF(W2=0,0,IF(Pav_Dados!U77&gt;0,Pav_Dados!U77,IF(Pav_Dados!U5="dupla",2.1*W2,0))+IF(Pav_Dados!U77&gt;0,0,IF(Pav_Dados!U5="simples",1.05*W2,0)))</f>
        <v>1386.13</v>
      </c>
      <c r="X5" s="1137">
        <f>IF(X2=0,0,IF(Pav_Dados!V77&gt;0,Pav_Dados!V77,IF(Pav_Dados!V5="dupla",2.1*X2,0))+IF(Pav_Dados!V77&gt;0,0,IF(Pav_Dados!V5="simples",1.05*X2,0)))</f>
        <v>1349.69</v>
      </c>
      <c r="Y5" s="1137">
        <f>IF(Y2=0,0,IF(Pav_Dados!W77&gt;0,Pav_Dados!W77,IF(Pav_Dados!W5="dupla",2.1*Y2,0))+IF(Pav_Dados!W77&gt;0,0,IF(Pav_Dados!W5="simples",1.05*Y2,0)))</f>
        <v>510.8</v>
      </c>
      <c r="Z5" s="1137">
        <f>IF(Z2=0,0,IF(Pav_Dados!X77&gt;0,Pav_Dados!X77,IF(Pav_Dados!X5="dupla",2.1*Z2,0))+IF(Pav_Dados!X77&gt;0,0,IF(Pav_Dados!X5="simples",1.05*Z2,0)))</f>
        <v>668.34</v>
      </c>
      <c r="AA5" s="1137"/>
      <c r="AB5" s="1238">
        <f t="shared" ref="AB5:AB13" ca="1" si="0">+ROUND(SUM(F5:AA5),2)</f>
        <v>13324.31</v>
      </c>
      <c r="AC5" s="579">
        <f t="shared" ref="AC5:AC36" ca="1" si="1">SUM(F5:AB5)</f>
        <v>26648.62</v>
      </c>
      <c r="AD5" s="1234">
        <v>6.1499999999999999E-2</v>
      </c>
      <c r="AE5" s="1235"/>
      <c r="AF5" s="1234">
        <v>6.1499999999999999E-2</v>
      </c>
      <c r="AG5" s="1235"/>
      <c r="AH5" s="1234">
        <v>6.1499999999999999E-2</v>
      </c>
      <c r="AI5" s="1235"/>
      <c r="AJ5" s="1235"/>
      <c r="AK5" s="1050"/>
    </row>
    <row r="6" spans="1:37" ht="21.95" customHeight="1" thickBot="1" x14ac:dyDescent="0.2">
      <c r="A6" s="2596"/>
      <c r="B6" s="2918"/>
      <c r="C6" s="544" t="s">
        <v>2707</v>
      </c>
      <c r="F6" s="1139">
        <f ca="1">Dre_Fecha_Vala!AZ55</f>
        <v>0</v>
      </c>
      <c r="G6" s="1139">
        <f>Recap_Final!K80</f>
        <v>0</v>
      </c>
      <c r="H6" s="1139">
        <f>Passeio!Z143</f>
        <v>0</v>
      </c>
      <c r="I6" s="1139">
        <f>IF(I2=0,0,IF(Pav_Dados!G70&gt;0,Pav_Dados!G70,IF(Pav_Dados!G5="simples",1.05*I2,0)))+Passeio!Z41+Passeio!Z48+Passeio!Z55+Passeio!Z62+Passeio!Z83+Passeio!Z91</f>
        <v>0</v>
      </c>
      <c r="J6" s="1139">
        <f>IF(J2=0,0,IF(Pav_Dados!H70&gt;0,Pav_Dados!H70,IF(Pav_Dados!H5="simples",1.05*J2,0)))+Passeio!AA41+Passeio!AA48+Passeio!AA55+Passeio!AA62+Passeio!AA83+Passeio!AA91</f>
        <v>532.95000000000005</v>
      </c>
      <c r="K6" s="1139">
        <f>IF(K2=0,0,IF(Pav_Dados!I70&gt;0,Pav_Dados!I70,IF(Pav_Dados!I5="simples",1.05*K2,0)))+Passeio!AB41+Passeio!AB48+Passeio!AB55+Passeio!AB62+Passeio!AB83+Passeio!AB91</f>
        <v>351.73</v>
      </c>
      <c r="L6" s="1139">
        <f>IF(L2=0,0,IF(Pav_Dados!J70&gt;0,Pav_Dados!J70,IF(Pav_Dados!J5="simples",1.05*L2,0)))+Passeio!AC41+Passeio!AC48+Passeio!AC55+Passeio!AC62+Passeio!AC83+Passeio!AC91</f>
        <v>239.97</v>
      </c>
      <c r="M6" s="1139">
        <f>IF(M2=0,0,IF(Pav_Dados!K70&gt;0,Pav_Dados!K70,IF(Pav_Dados!K5="simples",1.05*M2,0)))+Passeio!AD41+Passeio!AD48+Passeio!AD55+Passeio!AD62+Passeio!AD83+Passeio!AD91</f>
        <v>0</v>
      </c>
      <c r="N6" s="1139">
        <f>IF(N2=0,0,IF(Pav_Dados!L70&gt;0,Pav_Dados!L70,IF(Pav_Dados!L5="simples",1.05*N2,0)))+Passeio!AE41+Passeio!AE48+Passeio!AE55+Passeio!AE62+Passeio!AE83+Passeio!AE91</f>
        <v>0</v>
      </c>
      <c r="O6" s="1139">
        <f>IF(O2=0,0,IF(Pav_Dados!M70&gt;0,Pav_Dados!M70,IF(Pav_Dados!M5="simples",1.05*O2,0)))+Passeio!AF41+Passeio!AF48+Passeio!AF55+Passeio!AF62+Passeio!AF83+Passeio!AF91</f>
        <v>0</v>
      </c>
      <c r="P6" s="1139">
        <f>IF(P2=0,0,IF(Pav_Dados!N70&gt;0,Pav_Dados!N70,IF(Pav_Dados!N5="simples",1.05*P2,0)))+Passeio!AG41+Passeio!AG48+Passeio!AG55+Passeio!AG62+Passeio!AG83+Passeio!AG91</f>
        <v>0</v>
      </c>
      <c r="Q6" s="1139">
        <f>IF(Q2=0,0,IF(Pav_Dados!O70&gt;0,Pav_Dados!O70,IF(Pav_Dados!O5="simples",1.05*Q2,0)))+Passeio!AH41+Passeio!AH48+Passeio!AH55+Passeio!AH62+Passeio!AH83+Passeio!AH91</f>
        <v>0</v>
      </c>
      <c r="R6" s="1139">
        <f>IF(R2=0,0,IF(Pav_Dados!P70&gt;0,Pav_Dados!P70,IF(Pav_Dados!P5="simples",1.05*R2,0)))+Passeio!AI41+Passeio!AI48+Passeio!AI55+Passeio!AI62+Passeio!AI83+Passeio!AI91</f>
        <v>0</v>
      </c>
      <c r="S6" s="1139">
        <f>IF(S2=0,0,IF(Pav_Dados!Q70&gt;0,Pav_Dados!Q70,IF(Pav_Dados!Q5="simples",1.05*S2,0)))+Passeio!AJ41+Passeio!AJ48+Passeio!AJ55+Passeio!AJ62+Passeio!AJ83+Passeio!AJ91</f>
        <v>0</v>
      </c>
      <c r="T6" s="1139">
        <f>IF(T2=0,0,IF(Pav_Dados!R70&gt;0,Pav_Dados!R70,IF(Pav_Dados!R5="simples",1.05*T2,0)))+Passeio!AK41+Passeio!AK48+Passeio!AK55+Passeio!AK62+Passeio!AK83+Passeio!AK91</f>
        <v>0</v>
      </c>
      <c r="U6" s="1139">
        <f>IF(U2=0,0,IF(Pav_Dados!S70&gt;0,Pav_Dados!S70,IF(Pav_Dados!S5="simples",1.05*U2,0)))+Passeio!AL41+Passeio!AL48+Passeio!AL55+Passeio!AL62+Passeio!AL83+Passeio!AL91</f>
        <v>0</v>
      </c>
      <c r="V6" s="1139">
        <f>IF(V2=0,0,IF(Pav_Dados!T70&gt;0,Pav_Dados!T70,IF(Pav_Dados!T5="simples",1.05*V2,0)))+Passeio!AM41+Passeio!AM48+Passeio!AM55+Passeio!AM62+Passeio!AM83+Passeio!AM91</f>
        <v>0</v>
      </c>
      <c r="W6" s="1139">
        <f>IF(W2=0,0,IF(Pav_Dados!U70&gt;0,Pav_Dados!U70,IF(Pav_Dados!U5="simples",1.05*W2,0)))+Passeio!AN41+Passeio!AN48+Passeio!AN55+Passeio!AN62+Passeio!AN83+Passeio!AN91</f>
        <v>0</v>
      </c>
      <c r="X6" s="1139">
        <f>IF(X2=0,0,IF(Pav_Dados!V70&gt;0,Pav_Dados!V70,IF(Pav_Dados!V5="simples",1.05*X2,0)))+Passeio!AO41+Passeio!AO48+Passeio!AO55+Passeio!AO62+Passeio!AO83+Passeio!AO91</f>
        <v>0</v>
      </c>
      <c r="Y6" s="1139">
        <f>IF(Y2=0,0,IF(Pav_Dados!W70&gt;0,Pav_Dados!W70,IF(Pav_Dados!W5="simples",1.05*Y2,0)))+Passeio!AP41+Passeio!AP48+Passeio!AP55+Passeio!AP62+Passeio!AP83+Passeio!AP91</f>
        <v>0</v>
      </c>
      <c r="Z6" s="1139">
        <f>IF(Z2=0,0,IF(Pav_Dados!X70&gt;0,Pav_Dados!X70,IF(Pav_Dados!X5="simples",1.05*Z2,0)))+Passeio!AQ41+Passeio!AQ48+Passeio!AQ55+Passeio!AQ62+Passeio!AQ83+Passeio!AQ91</f>
        <v>0</v>
      </c>
      <c r="AA6" s="1139"/>
      <c r="AB6" s="1218">
        <f t="shared" ca="1" si="0"/>
        <v>1124.6500000000001</v>
      </c>
      <c r="AC6" s="579">
        <f t="shared" ca="1" si="1"/>
        <v>2249.3000000000002</v>
      </c>
      <c r="AD6" s="1234">
        <v>2.8500000000000001E-2</v>
      </c>
      <c r="AE6" s="1236"/>
      <c r="AF6" s="1234">
        <v>2.8500000000000001E-2</v>
      </c>
      <c r="AG6" s="1236"/>
      <c r="AH6" s="1234">
        <v>2.8500000000000001E-2</v>
      </c>
      <c r="AI6" s="1236"/>
      <c r="AJ6" s="1236"/>
      <c r="AK6" s="1050"/>
    </row>
    <row r="7" spans="1:37" ht="21.95" hidden="1" customHeight="1" x14ac:dyDescent="0.15">
      <c r="A7" s="2596"/>
      <c r="B7" s="2918"/>
      <c r="C7" s="558" t="s">
        <v>544</v>
      </c>
      <c r="F7" s="1139"/>
      <c r="G7" s="1139"/>
      <c r="H7" s="1139"/>
      <c r="I7" s="1139">
        <f>Pav_Dados!G74</f>
        <v>0</v>
      </c>
      <c r="J7" s="1139">
        <f>Pav_Dados!H74</f>
        <v>0</v>
      </c>
      <c r="K7" s="1139">
        <f>Pav_Dados!I74</f>
        <v>0</v>
      </c>
      <c r="L7" s="1139">
        <f>Pav_Dados!J74</f>
        <v>0</v>
      </c>
      <c r="M7" s="1139">
        <f>Pav_Dados!K74</f>
        <v>0</v>
      </c>
      <c r="N7" s="1139">
        <f>Pav_Dados!L74</f>
        <v>0</v>
      </c>
      <c r="O7" s="1139">
        <f>Pav_Dados!M74</f>
        <v>0</v>
      </c>
      <c r="P7" s="1139">
        <f>Pav_Dados!N74</f>
        <v>0</v>
      </c>
      <c r="Q7" s="1139">
        <f>Pav_Dados!O74</f>
        <v>0</v>
      </c>
      <c r="R7" s="1139">
        <f>Pav_Dados!P74</f>
        <v>0</v>
      </c>
      <c r="S7" s="1139">
        <f>Pav_Dados!Q74</f>
        <v>0</v>
      </c>
      <c r="T7" s="1139">
        <f>Pav_Dados!R74</f>
        <v>0</v>
      </c>
      <c r="U7" s="1139">
        <f>Pav_Dados!S74</f>
        <v>0</v>
      </c>
      <c r="V7" s="1139">
        <f>Pav_Dados!T74</f>
        <v>0</v>
      </c>
      <c r="W7" s="1139">
        <f>Pav_Dados!U74</f>
        <v>0</v>
      </c>
      <c r="X7" s="1139">
        <f>Pav_Dados!V74</f>
        <v>0</v>
      </c>
      <c r="Y7" s="1139">
        <f>Pav_Dados!W74</f>
        <v>0</v>
      </c>
      <c r="Z7" s="1139">
        <f>Pav_Dados!X74</f>
        <v>0</v>
      </c>
      <c r="AA7" s="1139"/>
      <c r="AB7" s="1218">
        <f t="shared" si="0"/>
        <v>0</v>
      </c>
      <c r="AC7" s="579">
        <f t="shared" si="1"/>
        <v>0</v>
      </c>
      <c r="AD7" s="1234">
        <v>1.4999999999999999E-2</v>
      </c>
      <c r="AE7" s="1236"/>
      <c r="AF7" s="1234">
        <v>1.4999999999999999E-2</v>
      </c>
      <c r="AG7" s="1236"/>
      <c r="AH7" s="1234">
        <v>1.4999999999999999E-2</v>
      </c>
      <c r="AI7" s="1236"/>
      <c r="AJ7" s="1236"/>
      <c r="AK7" s="1050"/>
    </row>
    <row r="8" spans="1:37" ht="32.1" hidden="1" customHeight="1" thickBot="1" x14ac:dyDescent="0.2">
      <c r="A8" s="2596"/>
      <c r="B8" s="2921"/>
      <c r="C8" s="546" t="s">
        <v>2674</v>
      </c>
      <c r="D8" s="1377"/>
      <c r="E8" s="1513"/>
      <c r="F8" s="1135"/>
      <c r="G8" s="1135"/>
      <c r="H8" s="1135"/>
      <c r="I8" s="1135">
        <f>Pav_Dados!G75</f>
        <v>0</v>
      </c>
      <c r="J8" s="1135">
        <f>Pav_Dados!H75</f>
        <v>0</v>
      </c>
      <c r="K8" s="1135">
        <f>Pav_Dados!I75</f>
        <v>0</v>
      </c>
      <c r="L8" s="1135">
        <f>Pav_Dados!J75</f>
        <v>0</v>
      </c>
      <c r="M8" s="1135">
        <f>Pav_Dados!K75</f>
        <v>0</v>
      </c>
      <c r="N8" s="1135">
        <f>Pav_Dados!L75</f>
        <v>0</v>
      </c>
      <c r="O8" s="1135">
        <f>Pav_Dados!M75</f>
        <v>0</v>
      </c>
      <c r="P8" s="1135">
        <f>Pav_Dados!N75</f>
        <v>0</v>
      </c>
      <c r="Q8" s="1135">
        <f>Pav_Dados!O75</f>
        <v>0</v>
      </c>
      <c r="R8" s="1135">
        <f>Pav_Dados!P75</f>
        <v>0</v>
      </c>
      <c r="S8" s="1135">
        <f>Pav_Dados!Q75</f>
        <v>0</v>
      </c>
      <c r="T8" s="1135">
        <f>Pav_Dados!R75</f>
        <v>0</v>
      </c>
      <c r="U8" s="1135">
        <f>Pav_Dados!S75</f>
        <v>0</v>
      </c>
      <c r="V8" s="1135">
        <f>Pav_Dados!T75</f>
        <v>0</v>
      </c>
      <c r="W8" s="1135">
        <f>Pav_Dados!U75</f>
        <v>0</v>
      </c>
      <c r="X8" s="1135">
        <f>Pav_Dados!V75</f>
        <v>0</v>
      </c>
      <c r="Y8" s="1135">
        <f>Pav_Dados!W75</f>
        <v>0</v>
      </c>
      <c r="Z8" s="1135">
        <f>Pav_Dados!X75</f>
        <v>0</v>
      </c>
      <c r="AA8" s="1135"/>
      <c r="AB8" s="1215">
        <f t="shared" si="0"/>
        <v>0</v>
      </c>
      <c r="AC8" s="579">
        <f t="shared" si="1"/>
        <v>0</v>
      </c>
      <c r="AD8" s="1234">
        <v>8.7499999999999994E-2</v>
      </c>
      <c r="AE8" s="1236"/>
      <c r="AF8" s="1234">
        <v>8.7499999999999994E-2</v>
      </c>
      <c r="AG8" s="1236"/>
      <c r="AH8" s="1234">
        <v>8.7499999999999994E-2</v>
      </c>
      <c r="AI8" s="1236"/>
      <c r="AJ8" s="1236"/>
      <c r="AK8" s="1050"/>
    </row>
    <row r="9" spans="1:37" ht="21.95" customHeight="1" thickBot="1" x14ac:dyDescent="0.2">
      <c r="A9" s="2596"/>
      <c r="B9" s="2930" t="s">
        <v>46</v>
      </c>
      <c r="C9" s="2907"/>
      <c r="D9" s="1377"/>
      <c r="E9" s="1513"/>
      <c r="F9" s="1142"/>
      <c r="G9" s="1142"/>
      <c r="H9" s="1142"/>
      <c r="I9" s="1142">
        <f>Pav_Dados!G71</f>
        <v>9</v>
      </c>
      <c r="J9" s="1142">
        <f>Pav_Dados!H71</f>
        <v>9</v>
      </c>
      <c r="K9" s="1142">
        <f>Pav_Dados!I71</f>
        <v>0</v>
      </c>
      <c r="L9" s="1142">
        <f>Pav_Dados!J71</f>
        <v>0</v>
      </c>
      <c r="M9" s="1142">
        <f>Pav_Dados!K71</f>
        <v>7</v>
      </c>
      <c r="N9" s="1142">
        <f>Pav_Dados!L71</f>
        <v>0</v>
      </c>
      <c r="O9" s="1142">
        <f>Pav_Dados!M71</f>
        <v>0</v>
      </c>
      <c r="P9" s="1142">
        <f>Pav_Dados!N71</f>
        <v>7</v>
      </c>
      <c r="Q9" s="1142">
        <f>Pav_Dados!O71</f>
        <v>0</v>
      </c>
      <c r="R9" s="1142">
        <f>Pav_Dados!P71</f>
        <v>7</v>
      </c>
      <c r="S9" s="1142">
        <f>Pav_Dados!Q71</f>
        <v>7</v>
      </c>
      <c r="T9" s="1142">
        <f>Pav_Dados!R71</f>
        <v>0</v>
      </c>
      <c r="U9" s="1142">
        <f>Pav_Dados!S71</f>
        <v>0</v>
      </c>
      <c r="V9" s="1142">
        <f>Pav_Dados!T71</f>
        <v>0</v>
      </c>
      <c r="W9" s="1142">
        <f>Pav_Dados!U71</f>
        <v>7</v>
      </c>
      <c r="X9" s="1142">
        <f>Pav_Dados!V71</f>
        <v>0</v>
      </c>
      <c r="Y9" s="1142">
        <f>Pav_Dados!W71</f>
        <v>0</v>
      </c>
      <c r="Z9" s="1142">
        <f>Pav_Dados!X71</f>
        <v>0</v>
      </c>
      <c r="AA9" s="1142"/>
      <c r="AB9" s="1240">
        <f t="shared" si="0"/>
        <v>53</v>
      </c>
      <c r="AC9" s="579">
        <f t="shared" si="1"/>
        <v>106</v>
      </c>
      <c r="AD9" s="1234">
        <v>3.3000000000000002E-2</v>
      </c>
      <c r="AE9" s="1236"/>
      <c r="AF9" s="1234">
        <v>3.3000000000000002E-2</v>
      </c>
      <c r="AG9" s="1236"/>
      <c r="AH9" s="1234">
        <v>3.3000000000000002E-2</v>
      </c>
      <c r="AI9" s="1236"/>
      <c r="AJ9" s="1236"/>
      <c r="AK9" s="1050"/>
    </row>
    <row r="10" spans="1:37" ht="21.95" hidden="1" customHeight="1" x14ac:dyDescent="0.15">
      <c r="A10" s="2596"/>
      <c r="B10" s="2810" t="s">
        <v>1755</v>
      </c>
      <c r="C10" s="542" t="s">
        <v>1756</v>
      </c>
      <c r="D10" s="1061"/>
      <c r="E10" s="1514"/>
      <c r="F10" s="1137">
        <f ca="1">Dre_Fecha_Vala!AZ57</f>
        <v>0</v>
      </c>
      <c r="G10" s="1137">
        <f>Recap_Final!K82</f>
        <v>0</v>
      </c>
      <c r="H10" s="1137"/>
      <c r="I10" s="1137">
        <f>Pav_Dados!G72</f>
        <v>0</v>
      </c>
      <c r="J10" s="1137">
        <f>Pav_Dados!H72</f>
        <v>0</v>
      </c>
      <c r="K10" s="1137">
        <f>Pav_Dados!I72</f>
        <v>0</v>
      </c>
      <c r="L10" s="1137">
        <f>Pav_Dados!J72</f>
        <v>0</v>
      </c>
      <c r="M10" s="1137">
        <f>Pav_Dados!K72</f>
        <v>0</v>
      </c>
      <c r="N10" s="1137">
        <f>Pav_Dados!L72</f>
        <v>0</v>
      </c>
      <c r="O10" s="1137">
        <f>Pav_Dados!M72</f>
        <v>0</v>
      </c>
      <c r="P10" s="1137">
        <f>Pav_Dados!N72</f>
        <v>0</v>
      </c>
      <c r="Q10" s="1137">
        <f>Pav_Dados!O72</f>
        <v>0</v>
      </c>
      <c r="R10" s="1137">
        <f>Pav_Dados!P72</f>
        <v>0</v>
      </c>
      <c r="S10" s="1137">
        <f>Pav_Dados!Q72</f>
        <v>0</v>
      </c>
      <c r="T10" s="1137">
        <f>Pav_Dados!R72</f>
        <v>0</v>
      </c>
      <c r="U10" s="1137">
        <f>Pav_Dados!S72</f>
        <v>0</v>
      </c>
      <c r="V10" s="1137">
        <f>Pav_Dados!T72</f>
        <v>0</v>
      </c>
      <c r="W10" s="1137">
        <f>Pav_Dados!U72</f>
        <v>0</v>
      </c>
      <c r="X10" s="1137">
        <f>Pav_Dados!V72</f>
        <v>0</v>
      </c>
      <c r="Y10" s="1137">
        <f>Pav_Dados!W72</f>
        <v>0</v>
      </c>
      <c r="Z10" s="1137">
        <f>Pav_Dados!X72</f>
        <v>0</v>
      </c>
      <c r="AA10" s="1137"/>
      <c r="AB10" s="1238">
        <f t="shared" ca="1" si="0"/>
        <v>0</v>
      </c>
      <c r="AC10" s="579">
        <f t="shared" ca="1" si="1"/>
        <v>0</v>
      </c>
      <c r="AD10" s="1234">
        <v>3.3000000000000002E-2</v>
      </c>
      <c r="AE10" s="1236"/>
      <c r="AF10" s="1234">
        <v>3.3000000000000002E-2</v>
      </c>
      <c r="AG10" s="1236"/>
      <c r="AH10" s="1234">
        <v>3.3000000000000002E-2</v>
      </c>
      <c r="AI10" s="1236"/>
      <c r="AJ10" s="1236"/>
      <c r="AK10" s="1050"/>
    </row>
    <row r="11" spans="1:37" ht="21.95" hidden="1" customHeight="1" thickBot="1" x14ac:dyDescent="0.2">
      <c r="A11" s="2596"/>
      <c r="B11" s="2811"/>
      <c r="C11" s="543" t="s">
        <v>1757</v>
      </c>
      <c r="D11" s="983"/>
      <c r="E11" s="1513"/>
      <c r="F11" s="1135"/>
      <c r="G11" s="1135"/>
      <c r="H11" s="1135"/>
      <c r="I11" s="1135">
        <f>Pav_Dados!G73</f>
        <v>0</v>
      </c>
      <c r="J11" s="1135">
        <f>Pav_Dados!H73</f>
        <v>0</v>
      </c>
      <c r="K11" s="1135">
        <f>Pav_Dados!I73</f>
        <v>0</v>
      </c>
      <c r="L11" s="1135">
        <f>Pav_Dados!J73</f>
        <v>0</v>
      </c>
      <c r="M11" s="1135">
        <f>Pav_Dados!K73</f>
        <v>0</v>
      </c>
      <c r="N11" s="1135">
        <f>Pav_Dados!L73</f>
        <v>0</v>
      </c>
      <c r="O11" s="1135">
        <f>Pav_Dados!M73</f>
        <v>0</v>
      </c>
      <c r="P11" s="1135">
        <f>Pav_Dados!N73</f>
        <v>0</v>
      </c>
      <c r="Q11" s="1135">
        <f>Pav_Dados!O73</f>
        <v>0</v>
      </c>
      <c r="R11" s="1135">
        <f>Pav_Dados!P73</f>
        <v>0</v>
      </c>
      <c r="S11" s="1135">
        <f>Pav_Dados!Q73</f>
        <v>0</v>
      </c>
      <c r="T11" s="1135">
        <f>Pav_Dados!R73</f>
        <v>0</v>
      </c>
      <c r="U11" s="1135">
        <f>Pav_Dados!S73</f>
        <v>0</v>
      </c>
      <c r="V11" s="1135">
        <f>Pav_Dados!T73</f>
        <v>0</v>
      </c>
      <c r="W11" s="1135">
        <f>Pav_Dados!U73</f>
        <v>0</v>
      </c>
      <c r="X11" s="1135">
        <f>Pav_Dados!V73</f>
        <v>0</v>
      </c>
      <c r="Y11" s="1135">
        <f>Pav_Dados!W73</f>
        <v>0</v>
      </c>
      <c r="Z11" s="1135">
        <f>Pav_Dados!X73</f>
        <v>0</v>
      </c>
      <c r="AA11" s="1135"/>
      <c r="AB11" s="1215">
        <f t="shared" si="0"/>
        <v>0</v>
      </c>
      <c r="AC11" s="579">
        <f t="shared" si="1"/>
        <v>0</v>
      </c>
      <c r="AD11" s="1234">
        <v>4.4499999999999998E-2</v>
      </c>
      <c r="AE11" s="1234"/>
      <c r="AF11" s="1234">
        <v>4.4499999999999998E-2</v>
      </c>
      <c r="AG11" s="1234"/>
      <c r="AH11" s="1234">
        <v>4.4499999999999998E-2</v>
      </c>
      <c r="AI11" s="1234"/>
      <c r="AJ11" s="1234"/>
      <c r="AK11" s="1234"/>
    </row>
    <row r="12" spans="1:37" ht="21.95" hidden="1" customHeight="1" x14ac:dyDescent="0.15">
      <c r="A12" s="2596"/>
      <c r="B12" s="2917" t="s">
        <v>2625</v>
      </c>
      <c r="C12" s="542" t="s">
        <v>1427</v>
      </c>
      <c r="F12" s="1415"/>
      <c r="G12" s="1415"/>
      <c r="H12" s="1415"/>
      <c r="I12" s="1139">
        <f>Pav_Dados!G103</f>
        <v>0</v>
      </c>
      <c r="J12" s="1139">
        <f>Pav_Dados!H103</f>
        <v>0</v>
      </c>
      <c r="K12" s="1139">
        <f>Pav_Dados!I103</f>
        <v>0</v>
      </c>
      <c r="L12" s="1139">
        <f>Pav_Dados!J103</f>
        <v>0</v>
      </c>
      <c r="M12" s="1139">
        <f>Pav_Dados!K103</f>
        <v>0</v>
      </c>
      <c r="N12" s="1139">
        <f>Pav_Dados!L103</f>
        <v>0</v>
      </c>
      <c r="O12" s="1139">
        <f>Pav_Dados!M103</f>
        <v>0</v>
      </c>
      <c r="P12" s="1139">
        <f>Pav_Dados!N103</f>
        <v>0</v>
      </c>
      <c r="Q12" s="1139">
        <f>Pav_Dados!O103</f>
        <v>0</v>
      </c>
      <c r="R12" s="1139">
        <f>Pav_Dados!P103</f>
        <v>0</v>
      </c>
      <c r="S12" s="1139">
        <f>Pav_Dados!Q103</f>
        <v>0</v>
      </c>
      <c r="T12" s="1139">
        <f>Pav_Dados!R103</f>
        <v>0</v>
      </c>
      <c r="U12" s="1139">
        <f>Pav_Dados!S103</f>
        <v>0</v>
      </c>
      <c r="V12" s="1139">
        <f>Pav_Dados!T103</f>
        <v>0</v>
      </c>
      <c r="W12" s="1139">
        <f>Pav_Dados!U103</f>
        <v>0</v>
      </c>
      <c r="X12" s="1139">
        <f>Pav_Dados!V103</f>
        <v>0</v>
      </c>
      <c r="Y12" s="1139">
        <f>Pav_Dados!W103</f>
        <v>0</v>
      </c>
      <c r="Z12" s="1139">
        <f>Pav_Dados!X103</f>
        <v>0</v>
      </c>
      <c r="AA12" s="1139"/>
      <c r="AB12" s="1517">
        <f t="shared" si="0"/>
        <v>0</v>
      </c>
      <c r="AC12" s="579">
        <f t="shared" si="1"/>
        <v>0</v>
      </c>
      <c r="AD12" s="540"/>
      <c r="AE12" s="540"/>
      <c r="AF12" s="540"/>
      <c r="AG12" s="540"/>
      <c r="AH12" s="540"/>
      <c r="AI12" s="540"/>
      <c r="AJ12" s="540"/>
      <c r="AK12" s="540"/>
    </row>
    <row r="13" spans="1:37" ht="21.95" hidden="1" customHeight="1" x14ac:dyDescent="0.15">
      <c r="A13" s="2596"/>
      <c r="B13" s="2918"/>
      <c r="C13" s="543" t="s">
        <v>553</v>
      </c>
      <c r="F13" s="1566"/>
      <c r="G13" s="1566"/>
      <c r="H13" s="1566"/>
      <c r="I13" s="1139">
        <f>Pav_Dados!G104</f>
        <v>0</v>
      </c>
      <c r="J13" s="1139">
        <f>Pav_Dados!H104</f>
        <v>0</v>
      </c>
      <c r="K13" s="1139">
        <f>Pav_Dados!I104</f>
        <v>0</v>
      </c>
      <c r="L13" s="1139">
        <f>Pav_Dados!J104</f>
        <v>0</v>
      </c>
      <c r="M13" s="1139">
        <f>Pav_Dados!K104</f>
        <v>0</v>
      </c>
      <c r="N13" s="1139">
        <f>Pav_Dados!L104</f>
        <v>0</v>
      </c>
      <c r="O13" s="1139">
        <f>Pav_Dados!M104</f>
        <v>0</v>
      </c>
      <c r="P13" s="1139">
        <f>Pav_Dados!N104</f>
        <v>0</v>
      </c>
      <c r="Q13" s="1139">
        <f>Pav_Dados!O104</f>
        <v>0</v>
      </c>
      <c r="R13" s="1139">
        <f>Pav_Dados!P104</f>
        <v>0</v>
      </c>
      <c r="S13" s="1139">
        <f>Pav_Dados!Q104</f>
        <v>0</v>
      </c>
      <c r="T13" s="1139">
        <f>Pav_Dados!R104</f>
        <v>0</v>
      </c>
      <c r="U13" s="1139">
        <f>Pav_Dados!S104</f>
        <v>0</v>
      </c>
      <c r="V13" s="1139">
        <f>Pav_Dados!T104</f>
        <v>0</v>
      </c>
      <c r="W13" s="1139">
        <f>Pav_Dados!U104</f>
        <v>0</v>
      </c>
      <c r="X13" s="1139">
        <f>Pav_Dados!V104</f>
        <v>0</v>
      </c>
      <c r="Y13" s="1139">
        <f>Pav_Dados!W104</f>
        <v>0</v>
      </c>
      <c r="Z13" s="1139">
        <f>Pav_Dados!X104</f>
        <v>0</v>
      </c>
      <c r="AA13" s="1139"/>
      <c r="AB13" s="1517">
        <f t="shared" si="0"/>
        <v>0</v>
      </c>
      <c r="AC13" s="579">
        <f t="shared" si="1"/>
        <v>0</v>
      </c>
      <c r="AD13" s="540"/>
      <c r="AE13" s="540"/>
      <c r="AF13" s="540"/>
      <c r="AG13" s="540"/>
      <c r="AH13" s="540"/>
      <c r="AI13" s="540"/>
      <c r="AJ13" s="540"/>
      <c r="AK13" s="540"/>
    </row>
    <row r="14" spans="1:37" ht="21.95" hidden="1" customHeight="1" x14ac:dyDescent="0.15">
      <c r="A14" s="2596"/>
      <c r="B14" s="2918"/>
      <c r="C14" s="543" t="s">
        <v>554</v>
      </c>
      <c r="F14" s="1566"/>
      <c r="G14" s="1566"/>
      <c r="H14" s="1566"/>
      <c r="I14" s="1139">
        <f>Pav_Dados!G105</f>
        <v>0</v>
      </c>
      <c r="J14" s="1139">
        <f>Pav_Dados!H105</f>
        <v>0</v>
      </c>
      <c r="K14" s="1139">
        <f>Pav_Dados!I105</f>
        <v>0</v>
      </c>
      <c r="L14" s="1139">
        <f>Pav_Dados!J105</f>
        <v>0</v>
      </c>
      <c r="M14" s="1139">
        <f>Pav_Dados!K105</f>
        <v>0</v>
      </c>
      <c r="N14" s="1139">
        <f>Pav_Dados!L105</f>
        <v>0</v>
      </c>
      <c r="O14" s="1139">
        <f>Pav_Dados!M105</f>
        <v>0</v>
      </c>
      <c r="P14" s="1139">
        <f>Pav_Dados!N105</f>
        <v>0</v>
      </c>
      <c r="Q14" s="1139">
        <f>Pav_Dados!O105</f>
        <v>0</v>
      </c>
      <c r="R14" s="1139">
        <f>Pav_Dados!P105</f>
        <v>0</v>
      </c>
      <c r="S14" s="1139">
        <f>Pav_Dados!Q105</f>
        <v>0</v>
      </c>
      <c r="T14" s="1139">
        <f>Pav_Dados!R105</f>
        <v>0</v>
      </c>
      <c r="U14" s="1139">
        <f>Pav_Dados!S105</f>
        <v>0</v>
      </c>
      <c r="V14" s="1139">
        <f>Pav_Dados!T105</f>
        <v>0</v>
      </c>
      <c r="W14" s="1139">
        <f>Pav_Dados!U105</f>
        <v>0</v>
      </c>
      <c r="X14" s="1139">
        <f>Pav_Dados!V105</f>
        <v>0</v>
      </c>
      <c r="Y14" s="1139">
        <f>Pav_Dados!W105</f>
        <v>0</v>
      </c>
      <c r="Z14" s="1139">
        <f>Pav_Dados!X105</f>
        <v>0</v>
      </c>
      <c r="AA14" s="1139"/>
      <c r="AB14" s="1517"/>
      <c r="AC14" s="579">
        <f t="shared" si="1"/>
        <v>0</v>
      </c>
      <c r="AD14" s="540"/>
      <c r="AE14" s="540"/>
      <c r="AF14" s="540"/>
      <c r="AG14" s="540"/>
      <c r="AH14" s="540"/>
      <c r="AI14" s="540"/>
      <c r="AJ14" s="540"/>
      <c r="AK14" s="540"/>
    </row>
    <row r="15" spans="1:37" ht="21.95" hidden="1" customHeight="1" thickBot="1" x14ac:dyDescent="0.2">
      <c r="A15" s="2596"/>
      <c r="B15" s="2921"/>
      <c r="C15" s="546" t="s">
        <v>1247</v>
      </c>
      <c r="D15" s="1377"/>
      <c r="E15" s="1513"/>
      <c r="F15" s="1567"/>
      <c r="G15" s="1567"/>
      <c r="H15" s="1135"/>
      <c r="I15" s="1135">
        <f t="shared" ref="I15:Z15" si="2">I14*I13+I12</f>
        <v>0</v>
      </c>
      <c r="J15" s="1135">
        <f t="shared" si="2"/>
        <v>0</v>
      </c>
      <c r="K15" s="1135">
        <f t="shared" si="2"/>
        <v>0</v>
      </c>
      <c r="L15" s="1135">
        <f t="shared" si="2"/>
        <v>0</v>
      </c>
      <c r="M15" s="1135">
        <f t="shared" si="2"/>
        <v>0</v>
      </c>
      <c r="N15" s="1135">
        <f t="shared" si="2"/>
        <v>0</v>
      </c>
      <c r="O15" s="1135">
        <f t="shared" si="2"/>
        <v>0</v>
      </c>
      <c r="P15" s="1135">
        <f t="shared" si="2"/>
        <v>0</v>
      </c>
      <c r="Q15" s="1135">
        <f t="shared" si="2"/>
        <v>0</v>
      </c>
      <c r="R15" s="1135">
        <f t="shared" si="2"/>
        <v>0</v>
      </c>
      <c r="S15" s="1135">
        <f t="shared" si="2"/>
        <v>0</v>
      </c>
      <c r="T15" s="1135">
        <f t="shared" si="2"/>
        <v>0</v>
      </c>
      <c r="U15" s="1135">
        <f t="shared" si="2"/>
        <v>0</v>
      </c>
      <c r="V15" s="1135">
        <f t="shared" si="2"/>
        <v>0</v>
      </c>
      <c r="W15" s="1135">
        <f t="shared" si="2"/>
        <v>0</v>
      </c>
      <c r="X15" s="1135">
        <f t="shared" si="2"/>
        <v>0</v>
      </c>
      <c r="Y15" s="1135">
        <f t="shared" si="2"/>
        <v>0</v>
      </c>
      <c r="Z15" s="1135">
        <f t="shared" si="2"/>
        <v>0</v>
      </c>
      <c r="AA15" s="1135"/>
      <c r="AB15" s="1215">
        <f>+ROUND(SUM(F15:AA15),2)</f>
        <v>0</v>
      </c>
      <c r="AC15" s="579">
        <f t="shared" si="1"/>
        <v>0</v>
      </c>
      <c r="AD15" s="540"/>
      <c r="AE15" s="540"/>
      <c r="AF15" s="540"/>
      <c r="AG15" s="540"/>
      <c r="AH15" s="540"/>
      <c r="AI15" s="540"/>
      <c r="AJ15" s="540"/>
      <c r="AK15" s="540"/>
    </row>
    <row r="16" spans="1:37" ht="21.95" customHeight="1" x14ac:dyDescent="0.15">
      <c r="A16" s="2596"/>
      <c r="B16" s="2917" t="s">
        <v>25</v>
      </c>
      <c r="C16" s="542" t="s">
        <v>1427</v>
      </c>
      <c r="F16" s="1415"/>
      <c r="G16" s="1415"/>
      <c r="H16" s="1415"/>
      <c r="I16" s="1137">
        <f>Pav_Dados!G106</f>
        <v>2003.21</v>
      </c>
      <c r="J16" s="1137">
        <f>Pav_Dados!H106</f>
        <v>0</v>
      </c>
      <c r="K16" s="1137">
        <f>Pav_Dados!I106</f>
        <v>1525</v>
      </c>
      <c r="L16" s="1137">
        <f>Pav_Dados!J106</f>
        <v>0</v>
      </c>
      <c r="M16" s="1137">
        <f>Pav_Dados!K106</f>
        <v>0</v>
      </c>
      <c r="N16" s="1137">
        <f>Pav_Dados!L106</f>
        <v>0</v>
      </c>
      <c r="O16" s="1137">
        <f>Pav_Dados!M106</f>
        <v>0</v>
      </c>
      <c r="P16" s="1137">
        <f>Pav_Dados!N106</f>
        <v>0</v>
      </c>
      <c r="Q16" s="1137">
        <f>Pav_Dados!O106</f>
        <v>0</v>
      </c>
      <c r="R16" s="1137">
        <f>Pav_Dados!P106</f>
        <v>0</v>
      </c>
      <c r="S16" s="1137">
        <f>Pav_Dados!Q106</f>
        <v>0</v>
      </c>
      <c r="T16" s="1137">
        <f>Pav_Dados!R106</f>
        <v>0</v>
      </c>
      <c r="U16" s="1137">
        <f>Pav_Dados!S106</f>
        <v>0</v>
      </c>
      <c r="V16" s="1137">
        <f>Pav_Dados!T106</f>
        <v>0</v>
      </c>
      <c r="W16" s="1137">
        <f>Pav_Dados!U106</f>
        <v>0</v>
      </c>
      <c r="X16" s="1137">
        <f>Pav_Dados!V106</f>
        <v>0</v>
      </c>
      <c r="Y16" s="1137">
        <f>Pav_Dados!W106</f>
        <v>0</v>
      </c>
      <c r="Z16" s="1137">
        <f>Pav_Dados!X106</f>
        <v>0</v>
      </c>
      <c r="AA16" s="1137"/>
      <c r="AB16" s="1217">
        <f>+ROUND(SUM(F16:AA16),2)</f>
        <v>3528.21</v>
      </c>
      <c r="AC16" s="579">
        <f t="shared" si="1"/>
        <v>7056.42</v>
      </c>
      <c r="AD16" s="540"/>
      <c r="AE16" s="540"/>
      <c r="AF16" s="540"/>
      <c r="AG16" s="540"/>
      <c r="AH16" s="540"/>
      <c r="AI16" s="540"/>
      <c r="AJ16" s="540"/>
      <c r="AK16" s="540"/>
    </row>
    <row r="17" spans="1:37" ht="21.95" hidden="1" customHeight="1" x14ac:dyDescent="0.15">
      <c r="A17" s="2596"/>
      <c r="B17" s="2918"/>
      <c r="C17" s="543" t="s">
        <v>553</v>
      </c>
      <c r="F17" s="1566"/>
      <c r="G17" s="1566"/>
      <c r="H17" s="1566"/>
      <c r="I17" s="1139">
        <f>Pav_Dados!G107</f>
        <v>0</v>
      </c>
      <c r="J17" s="1139">
        <f>Pav_Dados!H107</f>
        <v>0</v>
      </c>
      <c r="K17" s="1139">
        <f>Pav_Dados!I107</f>
        <v>0</v>
      </c>
      <c r="L17" s="1139">
        <f>Pav_Dados!J107</f>
        <v>0</v>
      </c>
      <c r="M17" s="1139">
        <f>Pav_Dados!K107</f>
        <v>0</v>
      </c>
      <c r="N17" s="1139">
        <f>Pav_Dados!L107</f>
        <v>0</v>
      </c>
      <c r="O17" s="1139">
        <f>Pav_Dados!M107</f>
        <v>0</v>
      </c>
      <c r="P17" s="1139">
        <f>Pav_Dados!N107</f>
        <v>0</v>
      </c>
      <c r="Q17" s="1139">
        <f>Pav_Dados!O107</f>
        <v>0</v>
      </c>
      <c r="R17" s="1139">
        <f>Pav_Dados!P107</f>
        <v>0</v>
      </c>
      <c r="S17" s="1139">
        <f>Pav_Dados!Q107</f>
        <v>0</v>
      </c>
      <c r="T17" s="1139">
        <f>Pav_Dados!R107</f>
        <v>0</v>
      </c>
      <c r="U17" s="1139">
        <f>Pav_Dados!S107</f>
        <v>0</v>
      </c>
      <c r="V17" s="1139">
        <f>Pav_Dados!T107</f>
        <v>0</v>
      </c>
      <c r="W17" s="1139">
        <f>Pav_Dados!U107</f>
        <v>0</v>
      </c>
      <c r="X17" s="1139">
        <f>Pav_Dados!V107</f>
        <v>0</v>
      </c>
      <c r="Y17" s="1139">
        <f>Pav_Dados!W107</f>
        <v>0</v>
      </c>
      <c r="Z17" s="1139">
        <f>Pav_Dados!X107</f>
        <v>0</v>
      </c>
      <c r="AA17" s="1139"/>
      <c r="AB17" s="1517">
        <f>+ROUND(SUM(F17:AA17),2)</f>
        <v>0</v>
      </c>
      <c r="AC17" s="579">
        <f t="shared" si="1"/>
        <v>0</v>
      </c>
      <c r="AD17" s="540"/>
      <c r="AE17" s="540"/>
      <c r="AF17" s="540"/>
      <c r="AG17" s="540"/>
      <c r="AH17" s="540"/>
      <c r="AI17" s="540"/>
      <c r="AJ17" s="540"/>
      <c r="AK17" s="540"/>
    </row>
    <row r="18" spans="1:37" ht="21.95" hidden="1" customHeight="1" x14ac:dyDescent="0.15">
      <c r="A18" s="2596"/>
      <c r="B18" s="2918"/>
      <c r="C18" s="543" t="s">
        <v>554</v>
      </c>
      <c r="F18" s="1566"/>
      <c r="G18" s="1566"/>
      <c r="H18" s="1566"/>
      <c r="I18" s="1139">
        <f>Pav_Dados!G108</f>
        <v>0</v>
      </c>
      <c r="J18" s="1139">
        <f>Pav_Dados!H108</f>
        <v>0</v>
      </c>
      <c r="K18" s="1139">
        <f>Pav_Dados!I108</f>
        <v>0</v>
      </c>
      <c r="L18" s="1139">
        <f>Pav_Dados!J108</f>
        <v>0</v>
      </c>
      <c r="M18" s="1139">
        <f>Pav_Dados!K108</f>
        <v>0</v>
      </c>
      <c r="N18" s="1139">
        <f>Pav_Dados!L108</f>
        <v>0</v>
      </c>
      <c r="O18" s="1139">
        <f>Pav_Dados!M108</f>
        <v>0</v>
      </c>
      <c r="P18" s="1139">
        <f>Pav_Dados!N108</f>
        <v>0</v>
      </c>
      <c r="Q18" s="1139">
        <f>Pav_Dados!O108</f>
        <v>0</v>
      </c>
      <c r="R18" s="1139">
        <f>Pav_Dados!P108</f>
        <v>0</v>
      </c>
      <c r="S18" s="1139">
        <f>Pav_Dados!Q108</f>
        <v>0</v>
      </c>
      <c r="T18" s="1139">
        <f>Pav_Dados!R108</f>
        <v>0</v>
      </c>
      <c r="U18" s="1139">
        <f>Pav_Dados!S108</f>
        <v>0</v>
      </c>
      <c r="V18" s="1139">
        <f>Pav_Dados!T108</f>
        <v>0</v>
      </c>
      <c r="W18" s="1139">
        <f>Pav_Dados!U108</f>
        <v>0</v>
      </c>
      <c r="X18" s="1139">
        <f>Pav_Dados!V108</f>
        <v>0</v>
      </c>
      <c r="Y18" s="1139">
        <f>Pav_Dados!W108</f>
        <v>0</v>
      </c>
      <c r="Z18" s="1139">
        <f>Pav_Dados!X108</f>
        <v>0</v>
      </c>
      <c r="AA18" s="1139"/>
      <c r="AB18" s="1517"/>
      <c r="AC18" s="579">
        <f t="shared" si="1"/>
        <v>0</v>
      </c>
      <c r="AD18" s="540"/>
      <c r="AE18" s="540"/>
      <c r="AF18" s="540"/>
      <c r="AG18" s="540"/>
      <c r="AH18" s="540"/>
      <c r="AI18" s="540"/>
      <c r="AJ18" s="540"/>
      <c r="AK18" s="540"/>
    </row>
    <row r="19" spans="1:37" ht="21.95" hidden="1" customHeight="1" x14ac:dyDescent="0.15">
      <c r="A19" s="2596"/>
      <c r="B19" s="2918"/>
      <c r="C19" s="558" t="s">
        <v>1875</v>
      </c>
      <c r="F19" s="1566"/>
      <c r="G19" s="1566"/>
      <c r="H19" s="1139">
        <f>H15/2</f>
        <v>0</v>
      </c>
      <c r="I19" s="1139">
        <f t="shared" ref="I19:Z19" si="3">I15/2</f>
        <v>0</v>
      </c>
      <c r="J19" s="1139">
        <f t="shared" si="3"/>
        <v>0</v>
      </c>
      <c r="K19" s="1139">
        <f t="shared" si="3"/>
        <v>0</v>
      </c>
      <c r="L19" s="1139">
        <f t="shared" si="3"/>
        <v>0</v>
      </c>
      <c r="M19" s="1139">
        <f t="shared" si="3"/>
        <v>0</v>
      </c>
      <c r="N19" s="1139">
        <f t="shared" si="3"/>
        <v>0</v>
      </c>
      <c r="O19" s="1139">
        <f t="shared" si="3"/>
        <v>0</v>
      </c>
      <c r="P19" s="1139">
        <f t="shared" si="3"/>
        <v>0</v>
      </c>
      <c r="Q19" s="1139">
        <f t="shared" si="3"/>
        <v>0</v>
      </c>
      <c r="R19" s="1139">
        <f t="shared" si="3"/>
        <v>0</v>
      </c>
      <c r="S19" s="1139">
        <f t="shared" si="3"/>
        <v>0</v>
      </c>
      <c r="T19" s="1139">
        <f t="shared" si="3"/>
        <v>0</v>
      </c>
      <c r="U19" s="1139">
        <f t="shared" si="3"/>
        <v>0</v>
      </c>
      <c r="V19" s="1139">
        <f t="shared" si="3"/>
        <v>0</v>
      </c>
      <c r="W19" s="1139">
        <f t="shared" si="3"/>
        <v>0</v>
      </c>
      <c r="X19" s="1139">
        <f t="shared" si="3"/>
        <v>0</v>
      </c>
      <c r="Y19" s="1139">
        <f t="shared" si="3"/>
        <v>0</v>
      </c>
      <c r="Z19" s="1139">
        <f t="shared" si="3"/>
        <v>0</v>
      </c>
      <c r="AA19" s="1139"/>
      <c r="AB19" s="1217">
        <f t="shared" ref="AB19:AB24" si="4">+ROUND(SUM(F19:AA19),2)</f>
        <v>0</v>
      </c>
      <c r="AC19" s="579">
        <f t="shared" si="1"/>
        <v>0</v>
      </c>
      <c r="AD19" s="540"/>
      <c r="AE19" s="540"/>
      <c r="AF19" s="540"/>
      <c r="AG19" s="540"/>
      <c r="AH19" s="540"/>
      <c r="AI19" s="540"/>
      <c r="AJ19" s="540"/>
      <c r="AK19" s="540"/>
    </row>
    <row r="20" spans="1:37" ht="21.95" customHeight="1" thickBot="1" x14ac:dyDescent="0.2">
      <c r="A20" s="2596"/>
      <c r="B20" s="2921"/>
      <c r="C20" s="546" t="s">
        <v>1247</v>
      </c>
      <c r="D20" s="1377"/>
      <c r="E20" s="1513"/>
      <c r="F20" s="1567"/>
      <c r="G20" s="1135">
        <f>Recap_Final!K85</f>
        <v>0</v>
      </c>
      <c r="H20" s="1135">
        <f>Passeio!Z35+H19</f>
        <v>536.6</v>
      </c>
      <c r="I20" s="1135">
        <f t="shared" ref="I20" si="5">I18*I17+I16+I19</f>
        <v>2003.21</v>
      </c>
      <c r="J20" s="1135">
        <f t="shared" ref="J20:Z20" si="6">J18*J17+J16+J19</f>
        <v>0</v>
      </c>
      <c r="K20" s="1135">
        <f t="shared" si="6"/>
        <v>1525</v>
      </c>
      <c r="L20" s="1135">
        <f t="shared" si="6"/>
        <v>0</v>
      </c>
      <c r="M20" s="1135">
        <f t="shared" si="6"/>
        <v>0</v>
      </c>
      <c r="N20" s="1135">
        <f t="shared" si="6"/>
        <v>0</v>
      </c>
      <c r="O20" s="1135">
        <f t="shared" si="6"/>
        <v>0</v>
      </c>
      <c r="P20" s="1135">
        <f t="shared" si="6"/>
        <v>0</v>
      </c>
      <c r="Q20" s="1135">
        <f t="shared" si="6"/>
        <v>0</v>
      </c>
      <c r="R20" s="1135">
        <f t="shared" si="6"/>
        <v>0</v>
      </c>
      <c r="S20" s="1135">
        <f t="shared" si="6"/>
        <v>0</v>
      </c>
      <c r="T20" s="1135">
        <f t="shared" si="6"/>
        <v>0</v>
      </c>
      <c r="U20" s="1135">
        <f t="shared" si="6"/>
        <v>0</v>
      </c>
      <c r="V20" s="1135">
        <f t="shared" si="6"/>
        <v>0</v>
      </c>
      <c r="W20" s="1135">
        <f t="shared" si="6"/>
        <v>0</v>
      </c>
      <c r="X20" s="1135">
        <f t="shared" si="6"/>
        <v>0</v>
      </c>
      <c r="Y20" s="1135">
        <f t="shared" si="6"/>
        <v>0</v>
      </c>
      <c r="Z20" s="1135">
        <f t="shared" si="6"/>
        <v>0</v>
      </c>
      <c r="AA20" s="1135"/>
      <c r="AB20" s="1215">
        <f t="shared" si="4"/>
        <v>4064.81</v>
      </c>
      <c r="AC20" s="579">
        <f t="shared" si="1"/>
        <v>8129.62</v>
      </c>
      <c r="AD20" s="540"/>
      <c r="AE20" s="540"/>
      <c r="AF20" s="540"/>
      <c r="AG20" s="540"/>
      <c r="AH20" s="540"/>
      <c r="AI20" s="540"/>
      <c r="AJ20" s="540"/>
      <c r="AK20" s="540"/>
    </row>
    <row r="21" spans="1:37" ht="32.1" hidden="1" customHeight="1" thickBot="1" x14ac:dyDescent="0.2">
      <c r="A21" s="2596"/>
      <c r="B21" s="2822" t="s">
        <v>2744</v>
      </c>
      <c r="C21" s="2907"/>
      <c r="D21" s="1232"/>
      <c r="E21" s="1239"/>
      <c r="F21" s="1783"/>
      <c r="G21" s="1783"/>
      <c r="H21" s="1783"/>
      <c r="I21" s="1142">
        <f>Pav_Dados!G115</f>
        <v>0</v>
      </c>
      <c r="J21" s="1142">
        <f>Pav_Dados!H115</f>
        <v>0</v>
      </c>
      <c r="K21" s="1142">
        <f>Pav_Dados!I115</f>
        <v>0</v>
      </c>
      <c r="L21" s="1142">
        <f>Pav_Dados!J115</f>
        <v>0</v>
      </c>
      <c r="M21" s="1142">
        <f>Pav_Dados!K115</f>
        <v>0</v>
      </c>
      <c r="N21" s="1142">
        <f>Pav_Dados!L115</f>
        <v>0</v>
      </c>
      <c r="O21" s="1142">
        <f>Pav_Dados!M115</f>
        <v>0</v>
      </c>
      <c r="P21" s="1142">
        <f>Pav_Dados!N115</f>
        <v>0</v>
      </c>
      <c r="Q21" s="1142">
        <f>Pav_Dados!O115</f>
        <v>0</v>
      </c>
      <c r="R21" s="1142">
        <f>Pav_Dados!P115</f>
        <v>0</v>
      </c>
      <c r="S21" s="1142">
        <f>Pav_Dados!Q115</f>
        <v>0</v>
      </c>
      <c r="T21" s="1142">
        <f>Pav_Dados!R115</f>
        <v>0</v>
      </c>
      <c r="U21" s="1142">
        <f>Pav_Dados!S115</f>
        <v>0</v>
      </c>
      <c r="V21" s="1142">
        <f>Pav_Dados!T115</f>
        <v>0</v>
      </c>
      <c r="W21" s="1142">
        <f>Pav_Dados!U115</f>
        <v>0</v>
      </c>
      <c r="X21" s="1142">
        <f>Pav_Dados!V115</f>
        <v>0</v>
      </c>
      <c r="Y21" s="1142">
        <f>Pav_Dados!W115</f>
        <v>0</v>
      </c>
      <c r="Z21" s="1142">
        <f>Pav_Dados!X115</f>
        <v>0</v>
      </c>
      <c r="AA21" s="1142"/>
      <c r="AB21" s="1143">
        <f t="shared" si="4"/>
        <v>0</v>
      </c>
      <c r="AC21" s="579">
        <f t="shared" si="1"/>
        <v>0</v>
      </c>
      <c r="AD21" s="540"/>
      <c r="AE21" s="540"/>
      <c r="AF21" s="540"/>
      <c r="AG21" s="540"/>
      <c r="AH21" s="540"/>
      <c r="AI21" s="540"/>
      <c r="AJ21" s="540"/>
      <c r="AK21" s="540"/>
    </row>
    <row r="22" spans="1:37" ht="32.1" hidden="1" customHeight="1" thickBot="1" x14ac:dyDescent="0.2">
      <c r="A22" s="2596"/>
      <c r="B22" s="2822" t="s">
        <v>2745</v>
      </c>
      <c r="C22" s="2907"/>
      <c r="D22" s="1232"/>
      <c r="E22" s="1239"/>
      <c r="F22" s="1783"/>
      <c r="G22" s="1783"/>
      <c r="H22" s="1783"/>
      <c r="I22" s="1142">
        <f>Pav_Dados!G116</f>
        <v>0</v>
      </c>
      <c r="J22" s="1142">
        <f>Pav_Dados!H116</f>
        <v>0</v>
      </c>
      <c r="K22" s="1142">
        <f>Pav_Dados!I116</f>
        <v>0</v>
      </c>
      <c r="L22" s="1142">
        <f>Pav_Dados!J116</f>
        <v>0</v>
      </c>
      <c r="M22" s="1142">
        <f>Pav_Dados!K116</f>
        <v>0</v>
      </c>
      <c r="N22" s="1142">
        <f>Pav_Dados!L116</f>
        <v>0</v>
      </c>
      <c r="O22" s="1142">
        <f>Pav_Dados!M116</f>
        <v>0</v>
      </c>
      <c r="P22" s="1142">
        <f>Pav_Dados!N116</f>
        <v>0</v>
      </c>
      <c r="Q22" s="1142">
        <f>Pav_Dados!O116</f>
        <v>0</v>
      </c>
      <c r="R22" s="1142">
        <f>Pav_Dados!P116</f>
        <v>0</v>
      </c>
      <c r="S22" s="1142">
        <f>Pav_Dados!Q116</f>
        <v>0</v>
      </c>
      <c r="T22" s="1142">
        <f>Pav_Dados!R116</f>
        <v>0</v>
      </c>
      <c r="U22" s="1142">
        <f>Pav_Dados!S116</f>
        <v>0</v>
      </c>
      <c r="V22" s="1142">
        <f>Pav_Dados!T116</f>
        <v>0</v>
      </c>
      <c r="W22" s="1142">
        <f>Pav_Dados!U116</f>
        <v>0</v>
      </c>
      <c r="X22" s="1142">
        <f>Pav_Dados!V116</f>
        <v>0</v>
      </c>
      <c r="Y22" s="1142">
        <f>Pav_Dados!W116</f>
        <v>0</v>
      </c>
      <c r="Z22" s="1142">
        <f>Pav_Dados!X116</f>
        <v>0</v>
      </c>
      <c r="AA22" s="1142"/>
      <c r="AB22" s="1143">
        <f t="shared" si="4"/>
        <v>0</v>
      </c>
      <c r="AC22" s="579">
        <f t="shared" si="1"/>
        <v>0</v>
      </c>
      <c r="AD22" s="540"/>
      <c r="AE22" s="540"/>
      <c r="AF22" s="540"/>
      <c r="AG22" s="540"/>
      <c r="AH22" s="540"/>
      <c r="AI22" s="540"/>
      <c r="AJ22" s="540"/>
      <c r="AK22" s="540"/>
    </row>
    <row r="23" spans="1:37" ht="32.1" hidden="1" customHeight="1" thickBot="1" x14ac:dyDescent="0.2">
      <c r="A23" s="2596"/>
      <c r="B23" s="2822" t="s">
        <v>2746</v>
      </c>
      <c r="C23" s="2907"/>
      <c r="D23" s="1232"/>
      <c r="E23" s="1239"/>
      <c r="F23" s="1783"/>
      <c r="G23" s="1783"/>
      <c r="H23" s="1783"/>
      <c r="I23" s="1142">
        <f>Pav_Dados!G117</f>
        <v>0</v>
      </c>
      <c r="J23" s="1142">
        <f>Pav_Dados!H117</f>
        <v>0</v>
      </c>
      <c r="K23" s="1142">
        <f>Pav_Dados!I117</f>
        <v>0</v>
      </c>
      <c r="L23" s="1142">
        <f>Pav_Dados!J117</f>
        <v>0</v>
      </c>
      <c r="M23" s="1142">
        <f>Pav_Dados!K117</f>
        <v>0</v>
      </c>
      <c r="N23" s="1142">
        <f>Pav_Dados!L117</f>
        <v>0</v>
      </c>
      <c r="O23" s="1142">
        <f>Pav_Dados!M117</f>
        <v>0</v>
      </c>
      <c r="P23" s="1142">
        <f>Pav_Dados!N117</f>
        <v>0</v>
      </c>
      <c r="Q23" s="1142">
        <f>Pav_Dados!O117</f>
        <v>0</v>
      </c>
      <c r="R23" s="1142">
        <f>Pav_Dados!P117</f>
        <v>0</v>
      </c>
      <c r="S23" s="1142">
        <f>Pav_Dados!Q117</f>
        <v>0</v>
      </c>
      <c r="T23" s="1142">
        <f>Pav_Dados!R117</f>
        <v>0</v>
      </c>
      <c r="U23" s="1142">
        <f>Pav_Dados!S117</f>
        <v>0</v>
      </c>
      <c r="V23" s="1142">
        <f>Pav_Dados!T117</f>
        <v>0</v>
      </c>
      <c r="W23" s="1142">
        <f>Pav_Dados!U117</f>
        <v>0</v>
      </c>
      <c r="X23" s="1142">
        <f>Pav_Dados!V117</f>
        <v>0</v>
      </c>
      <c r="Y23" s="1142">
        <f>Pav_Dados!W117</f>
        <v>0</v>
      </c>
      <c r="Z23" s="1142">
        <f>Pav_Dados!X117</f>
        <v>0</v>
      </c>
      <c r="AA23" s="1142"/>
      <c r="AB23" s="1143">
        <f t="shared" si="4"/>
        <v>0</v>
      </c>
      <c r="AC23" s="579">
        <f t="shared" si="1"/>
        <v>0</v>
      </c>
      <c r="AD23" s="540"/>
      <c r="AE23" s="540"/>
      <c r="AF23" s="540"/>
      <c r="AG23" s="540"/>
      <c r="AH23" s="540"/>
      <c r="AI23" s="540"/>
      <c r="AJ23" s="540"/>
      <c r="AK23" s="540"/>
    </row>
    <row r="24" spans="1:37" ht="21.95" hidden="1" customHeight="1" x14ac:dyDescent="0.15">
      <c r="A24" s="2596"/>
      <c r="B24" s="2616" t="s">
        <v>2051</v>
      </c>
      <c r="C24" s="548" t="s">
        <v>60</v>
      </c>
      <c r="D24" s="1061"/>
      <c r="E24" s="1180"/>
      <c r="F24" s="1415"/>
      <c r="G24" s="1415"/>
      <c r="H24" s="1415"/>
      <c r="I24" s="1416">
        <f>Pav_Dados!G118</f>
        <v>0</v>
      </c>
      <c r="J24" s="1416">
        <f>Pav_Dados!H118</f>
        <v>0</v>
      </c>
      <c r="K24" s="1416">
        <f>Pav_Dados!I118</f>
        <v>0</v>
      </c>
      <c r="L24" s="1416">
        <f>Pav_Dados!J118</f>
        <v>0</v>
      </c>
      <c r="M24" s="1416">
        <f>Pav_Dados!K118</f>
        <v>0</v>
      </c>
      <c r="N24" s="1416">
        <f>Pav_Dados!L118</f>
        <v>0</v>
      </c>
      <c r="O24" s="1416">
        <f>Pav_Dados!M118</f>
        <v>0</v>
      </c>
      <c r="P24" s="1416">
        <f>Pav_Dados!N118</f>
        <v>0</v>
      </c>
      <c r="Q24" s="1416">
        <f>Pav_Dados!O118</f>
        <v>0</v>
      </c>
      <c r="R24" s="1416">
        <f>Pav_Dados!P118</f>
        <v>0</v>
      </c>
      <c r="S24" s="1416">
        <f>Pav_Dados!Q118</f>
        <v>0</v>
      </c>
      <c r="T24" s="1416">
        <f>Pav_Dados!R118</f>
        <v>0</v>
      </c>
      <c r="U24" s="1416">
        <f>Pav_Dados!S118</f>
        <v>0</v>
      </c>
      <c r="V24" s="1416">
        <f>Pav_Dados!T118</f>
        <v>0</v>
      </c>
      <c r="W24" s="1416">
        <f>Pav_Dados!U118</f>
        <v>0</v>
      </c>
      <c r="X24" s="1416">
        <f>Pav_Dados!V118</f>
        <v>0</v>
      </c>
      <c r="Y24" s="1416">
        <f>Pav_Dados!W118</f>
        <v>0</v>
      </c>
      <c r="Z24" s="1416">
        <f>Pav_Dados!X118</f>
        <v>0</v>
      </c>
      <c r="AA24" s="1416"/>
      <c r="AB24" s="1517">
        <f t="shared" si="4"/>
        <v>0</v>
      </c>
      <c r="AC24" s="579">
        <f t="shared" si="1"/>
        <v>0</v>
      </c>
      <c r="AD24" s="540"/>
      <c r="AE24" s="540"/>
      <c r="AF24" s="540"/>
      <c r="AG24" s="540"/>
      <c r="AH24" s="540"/>
      <c r="AI24" s="540"/>
      <c r="AJ24" s="540"/>
      <c r="AK24" s="540"/>
    </row>
    <row r="25" spans="1:37" ht="21.95" hidden="1" customHeight="1" x14ac:dyDescent="0.15">
      <c r="A25" s="2596"/>
      <c r="B25" s="2617"/>
      <c r="C25" s="558" t="s">
        <v>10</v>
      </c>
      <c r="D25" s="1062"/>
      <c r="E25" s="1144"/>
      <c r="F25" s="1566"/>
      <c r="G25" s="1566"/>
      <c r="H25" s="1566"/>
      <c r="I25" s="1139">
        <f>Pav_Dados!G119</f>
        <v>0</v>
      </c>
      <c r="J25" s="1139">
        <f>Pav_Dados!H119</f>
        <v>0</v>
      </c>
      <c r="K25" s="1139">
        <f>Pav_Dados!I119</f>
        <v>0</v>
      </c>
      <c r="L25" s="1139">
        <f>Pav_Dados!J119</f>
        <v>0</v>
      </c>
      <c r="M25" s="1139">
        <f>Pav_Dados!K119</f>
        <v>0</v>
      </c>
      <c r="N25" s="1139">
        <f>Pav_Dados!L119</f>
        <v>0</v>
      </c>
      <c r="O25" s="1139">
        <f>Pav_Dados!M119</f>
        <v>0</v>
      </c>
      <c r="P25" s="1139">
        <f>Pav_Dados!N119</f>
        <v>0</v>
      </c>
      <c r="Q25" s="1139">
        <f>Pav_Dados!O119</f>
        <v>0</v>
      </c>
      <c r="R25" s="1139">
        <f>Pav_Dados!P119</f>
        <v>0</v>
      </c>
      <c r="S25" s="1139">
        <f>Pav_Dados!Q119</f>
        <v>0</v>
      </c>
      <c r="T25" s="1139">
        <f>Pav_Dados!R119</f>
        <v>0</v>
      </c>
      <c r="U25" s="1139">
        <f>Pav_Dados!S119</f>
        <v>0</v>
      </c>
      <c r="V25" s="1139">
        <f>Pav_Dados!T119</f>
        <v>0</v>
      </c>
      <c r="W25" s="1139">
        <f>Pav_Dados!U119</f>
        <v>0</v>
      </c>
      <c r="X25" s="1139">
        <f>Pav_Dados!V119</f>
        <v>0</v>
      </c>
      <c r="Y25" s="1139">
        <f>Pav_Dados!W119</f>
        <v>0</v>
      </c>
      <c r="Z25" s="1139">
        <f>Pav_Dados!X119</f>
        <v>0</v>
      </c>
      <c r="AA25" s="1139"/>
      <c r="AB25" s="1517"/>
      <c r="AC25" s="579">
        <f t="shared" si="1"/>
        <v>0</v>
      </c>
      <c r="AD25" s="540"/>
      <c r="AE25" s="540"/>
      <c r="AF25" s="540"/>
      <c r="AG25" s="540"/>
      <c r="AH25" s="540"/>
      <c r="AI25" s="540"/>
      <c r="AJ25" s="540"/>
      <c r="AK25" s="540"/>
    </row>
    <row r="26" spans="1:37" ht="21.95" hidden="1" customHeight="1" x14ac:dyDescent="0.15">
      <c r="A26" s="2596"/>
      <c r="B26" s="2617"/>
      <c r="C26" s="558" t="s">
        <v>58</v>
      </c>
      <c r="D26" s="1062"/>
      <c r="E26" s="1144"/>
      <c r="F26" s="1566"/>
      <c r="G26" s="1566"/>
      <c r="H26" s="1566"/>
      <c r="I26" s="1139">
        <f>Pav_Dados!G120</f>
        <v>0</v>
      </c>
      <c r="J26" s="1139">
        <f>Pav_Dados!H120</f>
        <v>0</v>
      </c>
      <c r="K26" s="1139">
        <f>Pav_Dados!I120</f>
        <v>0</v>
      </c>
      <c r="L26" s="1139">
        <f>Pav_Dados!J120</f>
        <v>0</v>
      </c>
      <c r="M26" s="1139">
        <f>Pav_Dados!K120</f>
        <v>0</v>
      </c>
      <c r="N26" s="1139">
        <f>Pav_Dados!L120</f>
        <v>0</v>
      </c>
      <c r="O26" s="1139">
        <f>Pav_Dados!M120</f>
        <v>0</v>
      </c>
      <c r="P26" s="1139">
        <f>Pav_Dados!N120</f>
        <v>0</v>
      </c>
      <c r="Q26" s="1139">
        <f>Pav_Dados!O120</f>
        <v>0</v>
      </c>
      <c r="R26" s="1139">
        <f>Pav_Dados!P120</f>
        <v>0</v>
      </c>
      <c r="S26" s="1139">
        <f>Pav_Dados!Q120</f>
        <v>0</v>
      </c>
      <c r="T26" s="1139">
        <f>Pav_Dados!R120</f>
        <v>0</v>
      </c>
      <c r="U26" s="1139">
        <f>Pav_Dados!S120</f>
        <v>0</v>
      </c>
      <c r="V26" s="1139">
        <f>Pav_Dados!T120</f>
        <v>0</v>
      </c>
      <c r="W26" s="1139">
        <f>Pav_Dados!U120</f>
        <v>0</v>
      </c>
      <c r="X26" s="1139">
        <f>Pav_Dados!V120</f>
        <v>0</v>
      </c>
      <c r="Y26" s="1139">
        <f>Pav_Dados!W120</f>
        <v>0</v>
      </c>
      <c r="Z26" s="1139">
        <f>Pav_Dados!X120</f>
        <v>0</v>
      </c>
      <c r="AA26" s="1139"/>
      <c r="AB26" s="1517"/>
      <c r="AC26" s="579">
        <f t="shared" si="1"/>
        <v>0</v>
      </c>
      <c r="AD26" s="540"/>
      <c r="AE26" s="540"/>
      <c r="AF26" s="540"/>
      <c r="AG26" s="540"/>
      <c r="AH26" s="540"/>
      <c r="AI26" s="540"/>
      <c r="AJ26" s="540"/>
      <c r="AK26" s="540"/>
    </row>
    <row r="27" spans="1:37" ht="21.95" hidden="1" customHeight="1" thickBot="1" x14ac:dyDescent="0.2">
      <c r="A27" s="2596"/>
      <c r="B27" s="2618"/>
      <c r="C27" s="546" t="s">
        <v>29</v>
      </c>
      <c r="D27" s="983"/>
      <c r="E27" s="1174"/>
      <c r="F27" s="1567"/>
      <c r="G27" s="1567"/>
      <c r="H27" s="1567"/>
      <c r="I27" s="1135">
        <f t="shared" ref="I27" si="7">I26*I25*I24</f>
        <v>0</v>
      </c>
      <c r="J27" s="1135">
        <f t="shared" ref="J27:Z27" si="8">J26*J25*J24</f>
        <v>0</v>
      </c>
      <c r="K27" s="1135">
        <f t="shared" si="8"/>
        <v>0</v>
      </c>
      <c r="L27" s="1135">
        <f t="shared" si="8"/>
        <v>0</v>
      </c>
      <c r="M27" s="1135">
        <f t="shared" si="8"/>
        <v>0</v>
      </c>
      <c r="N27" s="1135">
        <f t="shared" si="8"/>
        <v>0</v>
      </c>
      <c r="O27" s="1135">
        <f t="shared" si="8"/>
        <v>0</v>
      </c>
      <c r="P27" s="1135">
        <f t="shared" si="8"/>
        <v>0</v>
      </c>
      <c r="Q27" s="1135">
        <f t="shared" si="8"/>
        <v>0</v>
      </c>
      <c r="R27" s="1135">
        <f t="shared" si="8"/>
        <v>0</v>
      </c>
      <c r="S27" s="1135">
        <f t="shared" si="8"/>
        <v>0</v>
      </c>
      <c r="T27" s="1135">
        <f t="shared" si="8"/>
        <v>0</v>
      </c>
      <c r="U27" s="1135">
        <f t="shared" si="8"/>
        <v>0</v>
      </c>
      <c r="V27" s="1135">
        <f t="shared" si="8"/>
        <v>0</v>
      </c>
      <c r="W27" s="1135">
        <f t="shared" si="8"/>
        <v>0</v>
      </c>
      <c r="X27" s="1135">
        <f t="shared" si="8"/>
        <v>0</v>
      </c>
      <c r="Y27" s="1135">
        <f t="shared" si="8"/>
        <v>0</v>
      </c>
      <c r="Z27" s="1135">
        <f t="shared" si="8"/>
        <v>0</v>
      </c>
      <c r="AA27" s="1135"/>
      <c r="AB27" s="1141">
        <f>+ROUND(SUM(F27:AA27),2)</f>
        <v>0</v>
      </c>
      <c r="AC27" s="579">
        <f t="shared" si="1"/>
        <v>0</v>
      </c>
      <c r="AD27" s="540"/>
      <c r="AE27" s="540"/>
      <c r="AF27" s="540"/>
      <c r="AG27" s="540"/>
      <c r="AH27" s="540"/>
      <c r="AI27" s="540"/>
      <c r="AJ27" s="540"/>
      <c r="AK27" s="540"/>
    </row>
    <row r="28" spans="1:37" s="1565" customFormat="1" ht="21.95" hidden="1" customHeight="1" x14ac:dyDescent="0.15">
      <c r="A28" s="2596"/>
      <c r="B28" s="2617" t="s">
        <v>325</v>
      </c>
      <c r="C28" s="544" t="s">
        <v>1428</v>
      </c>
      <c r="D28" s="1537"/>
      <c r="E28" s="1781"/>
      <c r="F28" s="1564">
        <f>Dre_Terraplenagem!BM189</f>
        <v>0</v>
      </c>
      <c r="G28" s="1564">
        <f>Recap_Final!K86</f>
        <v>0</v>
      </c>
      <c r="H28" s="1568"/>
      <c r="I28" s="1564">
        <f>Pav_Dados!G137</f>
        <v>0</v>
      </c>
      <c r="J28" s="1564">
        <f>Pav_Dados!H137</f>
        <v>0</v>
      </c>
      <c r="K28" s="1564">
        <f>Pav_Dados!I137</f>
        <v>0</v>
      </c>
      <c r="L28" s="1564">
        <f>Pav_Dados!J137</f>
        <v>0</v>
      </c>
      <c r="M28" s="1564">
        <f>Pav_Dados!K137</f>
        <v>0</v>
      </c>
      <c r="N28" s="1564">
        <f>Pav_Dados!L137</f>
        <v>0</v>
      </c>
      <c r="O28" s="1564">
        <f>Pav_Dados!M137</f>
        <v>0</v>
      </c>
      <c r="P28" s="1564">
        <f>Pav_Dados!N137</f>
        <v>0</v>
      </c>
      <c r="Q28" s="1564">
        <f>Pav_Dados!O137</f>
        <v>0</v>
      </c>
      <c r="R28" s="1564">
        <f>Pav_Dados!P137</f>
        <v>0</v>
      </c>
      <c r="S28" s="1564">
        <f>Pav_Dados!Q137</f>
        <v>0</v>
      </c>
      <c r="T28" s="1564">
        <f>Pav_Dados!R137</f>
        <v>0</v>
      </c>
      <c r="U28" s="1564">
        <f>Pav_Dados!S137</f>
        <v>0</v>
      </c>
      <c r="V28" s="1564">
        <f>Pav_Dados!T137</f>
        <v>0</v>
      </c>
      <c r="W28" s="1564">
        <f>Pav_Dados!U137</f>
        <v>0</v>
      </c>
      <c r="X28" s="1564">
        <f>Pav_Dados!V137</f>
        <v>0</v>
      </c>
      <c r="Y28" s="1564">
        <f>Pav_Dados!W137</f>
        <v>0</v>
      </c>
      <c r="Z28" s="1564">
        <f>Pav_Dados!X137</f>
        <v>0</v>
      </c>
      <c r="AA28" s="1564"/>
      <c r="AB28" s="1218">
        <f>+ROUND(SUM(F28:AA28),2)</f>
        <v>0</v>
      </c>
      <c r="AC28" s="579">
        <f t="shared" si="1"/>
        <v>0</v>
      </c>
    </row>
    <row r="29" spans="1:37" s="1565" customFormat="1" ht="21.95" hidden="1" customHeight="1" thickBot="1" x14ac:dyDescent="0.2">
      <c r="A29" s="2596"/>
      <c r="B29" s="2618"/>
      <c r="C29" s="546" t="s">
        <v>1429</v>
      </c>
      <c r="D29" s="1535"/>
      <c r="E29" s="1782"/>
      <c r="F29" s="1564">
        <f>Dre_Terraplenagem!BM190</f>
        <v>0</v>
      </c>
      <c r="G29" s="1564">
        <f>Recap_Final!K87</f>
        <v>0</v>
      </c>
      <c r="H29" s="1568"/>
      <c r="I29" s="1564">
        <f>Pav_Dados!G138</f>
        <v>0</v>
      </c>
      <c r="J29" s="1564">
        <f>Pav_Dados!H138</f>
        <v>0</v>
      </c>
      <c r="K29" s="1564">
        <f>Pav_Dados!I138</f>
        <v>0</v>
      </c>
      <c r="L29" s="1564">
        <f>Pav_Dados!J138</f>
        <v>0</v>
      </c>
      <c r="M29" s="1564">
        <f>Pav_Dados!K138</f>
        <v>0</v>
      </c>
      <c r="N29" s="1564">
        <f>Pav_Dados!L138</f>
        <v>0</v>
      </c>
      <c r="O29" s="1564">
        <f>Pav_Dados!M138</f>
        <v>0</v>
      </c>
      <c r="P29" s="1564">
        <f>Pav_Dados!N138</f>
        <v>0</v>
      </c>
      <c r="Q29" s="1564">
        <f>Pav_Dados!O138</f>
        <v>0</v>
      </c>
      <c r="R29" s="1564">
        <f>Pav_Dados!P138</f>
        <v>0</v>
      </c>
      <c r="S29" s="1564">
        <f>Pav_Dados!Q138</f>
        <v>0</v>
      </c>
      <c r="T29" s="1564">
        <f>Pav_Dados!R138</f>
        <v>0</v>
      </c>
      <c r="U29" s="1564">
        <f>Pav_Dados!S138</f>
        <v>0</v>
      </c>
      <c r="V29" s="1564">
        <f>Pav_Dados!T138</f>
        <v>0</v>
      </c>
      <c r="W29" s="1564">
        <f>Pav_Dados!U138</f>
        <v>0</v>
      </c>
      <c r="X29" s="1564">
        <f>Pav_Dados!V138</f>
        <v>0</v>
      </c>
      <c r="Y29" s="1564">
        <f>Pav_Dados!W138</f>
        <v>0</v>
      </c>
      <c r="Z29" s="1564">
        <f>Pav_Dados!X138</f>
        <v>0</v>
      </c>
      <c r="AA29" s="1564"/>
      <c r="AB29" s="1215">
        <f>+ROUND(SUM(F29:AA29),2)</f>
        <v>0</v>
      </c>
      <c r="AC29" s="579">
        <f t="shared" si="1"/>
        <v>0</v>
      </c>
    </row>
    <row r="30" spans="1:37" ht="21.95" hidden="1" customHeight="1" x14ac:dyDescent="0.15">
      <c r="A30" s="2596"/>
      <c r="B30" s="2917" t="s">
        <v>333</v>
      </c>
      <c r="C30" s="542" t="s">
        <v>1427</v>
      </c>
      <c r="F30" s="1137"/>
      <c r="G30" s="1137"/>
      <c r="H30" s="1137"/>
      <c r="I30" s="1137">
        <f>Pav_Dados!G109</f>
        <v>0</v>
      </c>
      <c r="J30" s="1137">
        <f>Pav_Dados!H109</f>
        <v>0</v>
      </c>
      <c r="K30" s="1137">
        <f>Pav_Dados!I109</f>
        <v>0</v>
      </c>
      <c r="L30" s="1137">
        <f>Pav_Dados!J109</f>
        <v>0</v>
      </c>
      <c r="M30" s="1137">
        <f>Pav_Dados!K109</f>
        <v>0</v>
      </c>
      <c r="N30" s="1137">
        <f>Pav_Dados!L109</f>
        <v>0</v>
      </c>
      <c r="O30" s="1137">
        <f>Pav_Dados!M109</f>
        <v>0</v>
      </c>
      <c r="P30" s="1137">
        <f>Pav_Dados!N109</f>
        <v>0</v>
      </c>
      <c r="Q30" s="1137">
        <f>Pav_Dados!O109</f>
        <v>0</v>
      </c>
      <c r="R30" s="1137">
        <f>Pav_Dados!P109</f>
        <v>0</v>
      </c>
      <c r="S30" s="1137">
        <f>Pav_Dados!Q109</f>
        <v>0</v>
      </c>
      <c r="T30" s="1137">
        <f>Pav_Dados!R109</f>
        <v>0</v>
      </c>
      <c r="U30" s="1137">
        <f>Pav_Dados!S109</f>
        <v>0</v>
      </c>
      <c r="V30" s="1137">
        <f>Pav_Dados!T109</f>
        <v>0</v>
      </c>
      <c r="W30" s="1137">
        <f>Pav_Dados!U109</f>
        <v>0</v>
      </c>
      <c r="X30" s="1137">
        <f>Pav_Dados!V109</f>
        <v>0</v>
      </c>
      <c r="Y30" s="1137">
        <f>Pav_Dados!W109</f>
        <v>0</v>
      </c>
      <c r="Z30" s="1137">
        <f>Pav_Dados!X109</f>
        <v>0</v>
      </c>
      <c r="AA30" s="1137"/>
      <c r="AB30" s="1517">
        <f>+ROUND(SUM(F30:AA30),2)</f>
        <v>0</v>
      </c>
      <c r="AC30" s="579">
        <f t="shared" si="1"/>
        <v>0</v>
      </c>
      <c r="AD30" s="540"/>
      <c r="AE30" s="540"/>
      <c r="AF30" s="540"/>
      <c r="AG30" s="540"/>
      <c r="AH30" s="540"/>
      <c r="AI30" s="540"/>
      <c r="AJ30" s="540"/>
      <c r="AK30" s="540"/>
    </row>
    <row r="31" spans="1:37" ht="21.95" hidden="1" customHeight="1" x14ac:dyDescent="0.15">
      <c r="A31" s="2596"/>
      <c r="B31" s="2918"/>
      <c r="C31" s="543" t="s">
        <v>553</v>
      </c>
      <c r="F31" s="1139"/>
      <c r="G31" s="1139"/>
      <c r="H31" s="1139"/>
      <c r="I31" s="1139">
        <f>Pav_Dados!G110</f>
        <v>0</v>
      </c>
      <c r="J31" s="1139">
        <f>Pav_Dados!H110</f>
        <v>0</v>
      </c>
      <c r="K31" s="1139">
        <f>Pav_Dados!I110</f>
        <v>0</v>
      </c>
      <c r="L31" s="1139">
        <f>Pav_Dados!J110</f>
        <v>0</v>
      </c>
      <c r="M31" s="1139">
        <f>Pav_Dados!K110</f>
        <v>0</v>
      </c>
      <c r="N31" s="1139">
        <f>Pav_Dados!L110</f>
        <v>0</v>
      </c>
      <c r="O31" s="1139">
        <f>Pav_Dados!M110</f>
        <v>0</v>
      </c>
      <c r="P31" s="1139">
        <f>Pav_Dados!N110</f>
        <v>0</v>
      </c>
      <c r="Q31" s="1139">
        <f>Pav_Dados!O110</f>
        <v>0</v>
      </c>
      <c r="R31" s="1139">
        <f>Pav_Dados!P110</f>
        <v>0</v>
      </c>
      <c r="S31" s="1139">
        <f>Pav_Dados!Q110</f>
        <v>0</v>
      </c>
      <c r="T31" s="1139">
        <f>Pav_Dados!R110</f>
        <v>0</v>
      </c>
      <c r="U31" s="1139">
        <f>Pav_Dados!S110</f>
        <v>0</v>
      </c>
      <c r="V31" s="1139">
        <f>Pav_Dados!T110</f>
        <v>0</v>
      </c>
      <c r="W31" s="1139">
        <f>Pav_Dados!U110</f>
        <v>0</v>
      </c>
      <c r="X31" s="1139">
        <f>Pav_Dados!V110</f>
        <v>0</v>
      </c>
      <c r="Y31" s="1139">
        <f>Pav_Dados!W110</f>
        <v>0</v>
      </c>
      <c r="Z31" s="1139">
        <f>Pav_Dados!X110</f>
        <v>0</v>
      </c>
      <c r="AA31" s="1139"/>
      <c r="AB31" s="1517">
        <f>+ROUND(SUM(F31:AA31),2)</f>
        <v>0</v>
      </c>
      <c r="AC31" s="579">
        <f t="shared" si="1"/>
        <v>0</v>
      </c>
      <c r="AD31" s="540"/>
      <c r="AE31" s="540"/>
      <c r="AF31" s="540"/>
      <c r="AG31" s="540"/>
      <c r="AH31" s="540"/>
      <c r="AI31" s="540"/>
      <c r="AJ31" s="540"/>
      <c r="AK31" s="540"/>
    </row>
    <row r="32" spans="1:37" ht="21.95" hidden="1" customHeight="1" x14ac:dyDescent="0.15">
      <c r="A32" s="2596"/>
      <c r="B32" s="2918"/>
      <c r="C32" s="543" t="s">
        <v>554</v>
      </c>
      <c r="F32" s="1139"/>
      <c r="G32" s="1139"/>
      <c r="H32" s="1139"/>
      <c r="I32" s="1139">
        <f>Pav_Dados!G111</f>
        <v>0</v>
      </c>
      <c r="J32" s="1139">
        <f>Pav_Dados!H111</f>
        <v>0</v>
      </c>
      <c r="K32" s="1139">
        <f>Pav_Dados!I111</f>
        <v>0</v>
      </c>
      <c r="L32" s="1139">
        <f>Pav_Dados!J111</f>
        <v>0</v>
      </c>
      <c r="M32" s="1139">
        <f>Pav_Dados!K111</f>
        <v>0</v>
      </c>
      <c r="N32" s="1139">
        <f>Pav_Dados!L111</f>
        <v>0</v>
      </c>
      <c r="O32" s="1139">
        <f>Pav_Dados!M111</f>
        <v>0</v>
      </c>
      <c r="P32" s="1139">
        <f>Pav_Dados!N111</f>
        <v>0</v>
      </c>
      <c r="Q32" s="1139">
        <f>Pav_Dados!O111</f>
        <v>0</v>
      </c>
      <c r="R32" s="1139">
        <f>Pav_Dados!P111</f>
        <v>0</v>
      </c>
      <c r="S32" s="1139">
        <f>Pav_Dados!Q111</f>
        <v>0</v>
      </c>
      <c r="T32" s="1139">
        <f>Pav_Dados!R111</f>
        <v>0</v>
      </c>
      <c r="U32" s="1139">
        <f>Pav_Dados!S111</f>
        <v>0</v>
      </c>
      <c r="V32" s="1139">
        <f>Pav_Dados!T111</f>
        <v>0</v>
      </c>
      <c r="W32" s="1139">
        <f>Pav_Dados!U111</f>
        <v>0</v>
      </c>
      <c r="X32" s="1139">
        <f>Pav_Dados!V111</f>
        <v>0</v>
      </c>
      <c r="Y32" s="1139">
        <f>Pav_Dados!W111</f>
        <v>0</v>
      </c>
      <c r="Z32" s="1139">
        <f>Pav_Dados!X111</f>
        <v>0</v>
      </c>
      <c r="AA32" s="1139"/>
      <c r="AB32" s="1517"/>
      <c r="AC32" s="579">
        <f t="shared" si="1"/>
        <v>0</v>
      </c>
      <c r="AD32" s="540"/>
      <c r="AE32" s="540"/>
      <c r="AF32" s="540"/>
      <c r="AG32" s="540"/>
      <c r="AH32" s="540"/>
      <c r="AI32" s="540"/>
      <c r="AJ32" s="540"/>
      <c r="AK32" s="540"/>
    </row>
    <row r="33" spans="1:37" ht="21.95" hidden="1" customHeight="1" thickBot="1" x14ac:dyDescent="0.2">
      <c r="A33" s="2596"/>
      <c r="B33" s="2921"/>
      <c r="C33" s="546" t="s">
        <v>1247</v>
      </c>
      <c r="D33" s="1377"/>
      <c r="E33" s="1513"/>
      <c r="F33" s="1135"/>
      <c r="G33" s="1135"/>
      <c r="H33" s="1135"/>
      <c r="I33" s="1135">
        <f t="shared" ref="I33:Z33" si="9">I32*I31+I30</f>
        <v>0</v>
      </c>
      <c r="J33" s="1135">
        <f t="shared" si="9"/>
        <v>0</v>
      </c>
      <c r="K33" s="1135">
        <f t="shared" si="9"/>
        <v>0</v>
      </c>
      <c r="L33" s="1135">
        <f t="shared" si="9"/>
        <v>0</v>
      </c>
      <c r="M33" s="1135">
        <f t="shared" si="9"/>
        <v>0</v>
      </c>
      <c r="N33" s="1135">
        <f t="shared" si="9"/>
        <v>0</v>
      </c>
      <c r="O33" s="1135">
        <f t="shared" si="9"/>
        <v>0</v>
      </c>
      <c r="P33" s="1135">
        <f t="shared" si="9"/>
        <v>0</v>
      </c>
      <c r="Q33" s="1135">
        <f t="shared" si="9"/>
        <v>0</v>
      </c>
      <c r="R33" s="1135">
        <f t="shared" si="9"/>
        <v>0</v>
      </c>
      <c r="S33" s="1135">
        <f t="shared" si="9"/>
        <v>0</v>
      </c>
      <c r="T33" s="1135">
        <f t="shared" si="9"/>
        <v>0</v>
      </c>
      <c r="U33" s="1135">
        <f t="shared" si="9"/>
        <v>0</v>
      </c>
      <c r="V33" s="1135">
        <f t="shared" si="9"/>
        <v>0</v>
      </c>
      <c r="W33" s="1135">
        <f t="shared" si="9"/>
        <v>0</v>
      </c>
      <c r="X33" s="1135">
        <f t="shared" si="9"/>
        <v>0</v>
      </c>
      <c r="Y33" s="1135">
        <f t="shared" si="9"/>
        <v>0</v>
      </c>
      <c r="Z33" s="1135">
        <f t="shared" si="9"/>
        <v>0</v>
      </c>
      <c r="AA33" s="1135"/>
      <c r="AB33" s="1215">
        <f>+ROUND(SUM(F33:AA33),2)</f>
        <v>0</v>
      </c>
      <c r="AC33" s="579">
        <f t="shared" si="1"/>
        <v>0</v>
      </c>
      <c r="AD33" s="540"/>
      <c r="AE33" s="540"/>
      <c r="AF33" s="540"/>
      <c r="AG33" s="540"/>
      <c r="AH33" s="540"/>
      <c r="AI33" s="540"/>
      <c r="AJ33" s="540"/>
      <c r="AK33" s="540"/>
    </row>
    <row r="34" spans="1:37" ht="21.95" customHeight="1" x14ac:dyDescent="0.15">
      <c r="A34" s="2596"/>
      <c r="B34" s="2917" t="s">
        <v>543</v>
      </c>
      <c r="C34" s="542" t="s">
        <v>1427</v>
      </c>
      <c r="F34" s="1137"/>
      <c r="G34" s="1137"/>
      <c r="H34" s="1137"/>
      <c r="I34" s="1137">
        <f>Pav_Dados!G112</f>
        <v>2003.21</v>
      </c>
      <c r="J34" s="1137">
        <f>Pav_Dados!H112</f>
        <v>0</v>
      </c>
      <c r="K34" s="1137">
        <f>Pav_Dados!I112</f>
        <v>1525</v>
      </c>
      <c r="L34" s="1137">
        <f>Pav_Dados!J112</f>
        <v>0</v>
      </c>
      <c r="M34" s="1137">
        <f>Pav_Dados!K112</f>
        <v>0</v>
      </c>
      <c r="N34" s="1137">
        <f>Pav_Dados!L112</f>
        <v>0</v>
      </c>
      <c r="O34" s="1137">
        <f>Pav_Dados!M112</f>
        <v>0</v>
      </c>
      <c r="P34" s="1137">
        <f>Pav_Dados!N112</f>
        <v>0</v>
      </c>
      <c r="Q34" s="1137">
        <f>Pav_Dados!O112</f>
        <v>0</v>
      </c>
      <c r="R34" s="1137">
        <f>Pav_Dados!P112</f>
        <v>0</v>
      </c>
      <c r="S34" s="1137">
        <f>Pav_Dados!Q112</f>
        <v>0</v>
      </c>
      <c r="T34" s="1137">
        <f>Pav_Dados!R112</f>
        <v>0</v>
      </c>
      <c r="U34" s="1137">
        <f>Pav_Dados!S112</f>
        <v>0</v>
      </c>
      <c r="V34" s="1137">
        <f>Pav_Dados!T112</f>
        <v>0</v>
      </c>
      <c r="W34" s="1137">
        <f>Pav_Dados!U112</f>
        <v>0</v>
      </c>
      <c r="X34" s="1137">
        <f>Pav_Dados!V112</f>
        <v>0</v>
      </c>
      <c r="Y34" s="1137">
        <f>Pav_Dados!W112</f>
        <v>0</v>
      </c>
      <c r="Z34" s="1137">
        <f>Pav_Dados!X112</f>
        <v>0</v>
      </c>
      <c r="AA34" s="1137"/>
      <c r="AB34" s="1517">
        <f>+ROUND(SUM(F34:AA34),2)</f>
        <v>3528.21</v>
      </c>
      <c r="AC34" s="579">
        <f t="shared" si="1"/>
        <v>7056.42</v>
      </c>
      <c r="AD34" s="540"/>
      <c r="AE34" s="540"/>
      <c r="AF34" s="540"/>
      <c r="AG34" s="540"/>
      <c r="AH34" s="540"/>
      <c r="AI34" s="540"/>
      <c r="AJ34" s="540"/>
      <c r="AK34" s="540"/>
    </row>
    <row r="35" spans="1:37" ht="21.95" hidden="1" customHeight="1" x14ac:dyDescent="0.15">
      <c r="A35" s="2596"/>
      <c r="B35" s="2918"/>
      <c r="C35" s="543" t="s">
        <v>553</v>
      </c>
      <c r="F35" s="1139"/>
      <c r="G35" s="1139"/>
      <c r="H35" s="1139"/>
      <c r="I35" s="1139">
        <f>Pav_Dados!G113</f>
        <v>0</v>
      </c>
      <c r="J35" s="1139">
        <f>Pav_Dados!H113</f>
        <v>0</v>
      </c>
      <c r="K35" s="1139">
        <f>Pav_Dados!I113</f>
        <v>0</v>
      </c>
      <c r="L35" s="1139">
        <f>Pav_Dados!J113</f>
        <v>0</v>
      </c>
      <c r="M35" s="1139">
        <f>Pav_Dados!K113</f>
        <v>0</v>
      </c>
      <c r="N35" s="1139">
        <f>Pav_Dados!L113</f>
        <v>0</v>
      </c>
      <c r="O35" s="1139">
        <f>Pav_Dados!M113</f>
        <v>0</v>
      </c>
      <c r="P35" s="1139">
        <f>Pav_Dados!N113</f>
        <v>0</v>
      </c>
      <c r="Q35" s="1139">
        <f>Pav_Dados!O113</f>
        <v>0</v>
      </c>
      <c r="R35" s="1139">
        <f>Pav_Dados!P113</f>
        <v>0</v>
      </c>
      <c r="S35" s="1139">
        <f>Pav_Dados!Q113</f>
        <v>0</v>
      </c>
      <c r="T35" s="1139">
        <f>Pav_Dados!R113</f>
        <v>0</v>
      </c>
      <c r="U35" s="1139">
        <f>Pav_Dados!S113</f>
        <v>0</v>
      </c>
      <c r="V35" s="1139">
        <f>Pav_Dados!T113</f>
        <v>0</v>
      </c>
      <c r="W35" s="1139">
        <f>Pav_Dados!U113</f>
        <v>0</v>
      </c>
      <c r="X35" s="1139">
        <f>Pav_Dados!V113</f>
        <v>0</v>
      </c>
      <c r="Y35" s="1139">
        <f>Pav_Dados!W113</f>
        <v>0</v>
      </c>
      <c r="Z35" s="1139">
        <f>Pav_Dados!X113</f>
        <v>0</v>
      </c>
      <c r="AA35" s="1139"/>
      <c r="AB35" s="1517">
        <f>+ROUND(SUM(F35:AA35),2)</f>
        <v>0</v>
      </c>
      <c r="AC35" s="579">
        <f t="shared" si="1"/>
        <v>0</v>
      </c>
    </row>
    <row r="36" spans="1:37" ht="21.95" hidden="1" customHeight="1" x14ac:dyDescent="0.15">
      <c r="A36" s="2596"/>
      <c r="B36" s="2918"/>
      <c r="C36" s="543" t="s">
        <v>554</v>
      </c>
      <c r="F36" s="1139"/>
      <c r="G36" s="1139"/>
      <c r="H36" s="1139"/>
      <c r="I36" s="1139">
        <f>Pav_Dados!G114</f>
        <v>0</v>
      </c>
      <c r="J36" s="1139">
        <f>Pav_Dados!H114</f>
        <v>0</v>
      </c>
      <c r="K36" s="1139">
        <f>Pav_Dados!I114</f>
        <v>0</v>
      </c>
      <c r="L36" s="1139">
        <f>Pav_Dados!J114</f>
        <v>0</v>
      </c>
      <c r="M36" s="1139">
        <f>Pav_Dados!K114</f>
        <v>0</v>
      </c>
      <c r="N36" s="1139">
        <f>Pav_Dados!L114</f>
        <v>0</v>
      </c>
      <c r="O36" s="1139">
        <f>Pav_Dados!M114</f>
        <v>0</v>
      </c>
      <c r="P36" s="1139">
        <f>Pav_Dados!N114</f>
        <v>0</v>
      </c>
      <c r="Q36" s="1139">
        <f>Pav_Dados!O114</f>
        <v>0</v>
      </c>
      <c r="R36" s="1139">
        <f>Pav_Dados!P114</f>
        <v>0</v>
      </c>
      <c r="S36" s="1139">
        <f>Pav_Dados!Q114</f>
        <v>0</v>
      </c>
      <c r="T36" s="1139">
        <f>Pav_Dados!R114</f>
        <v>0</v>
      </c>
      <c r="U36" s="1139">
        <f>Pav_Dados!S114</f>
        <v>0</v>
      </c>
      <c r="V36" s="1139">
        <f>Pav_Dados!T114</f>
        <v>0</v>
      </c>
      <c r="W36" s="1139">
        <f>Pav_Dados!U114</f>
        <v>0</v>
      </c>
      <c r="X36" s="1139">
        <f>Pav_Dados!V114</f>
        <v>0</v>
      </c>
      <c r="Y36" s="1139">
        <f>Pav_Dados!W114</f>
        <v>0</v>
      </c>
      <c r="Z36" s="1139">
        <f>Pav_Dados!X114</f>
        <v>0</v>
      </c>
      <c r="AA36" s="1139"/>
      <c r="AB36" s="1517"/>
      <c r="AC36" s="579">
        <f t="shared" si="1"/>
        <v>0</v>
      </c>
    </row>
    <row r="37" spans="1:37" ht="21.95" customHeight="1" thickBot="1" x14ac:dyDescent="0.2">
      <c r="A37" s="2596"/>
      <c r="B37" s="2921"/>
      <c r="C37" s="546" t="s">
        <v>1247</v>
      </c>
      <c r="D37" s="1377"/>
      <c r="E37" s="1513"/>
      <c r="F37" s="1135"/>
      <c r="G37" s="1135"/>
      <c r="H37" s="1135"/>
      <c r="I37" s="1135">
        <f t="shared" ref="I37:Z37" si="10">I36*I35+I34</f>
        <v>2003.21</v>
      </c>
      <c r="J37" s="1135">
        <f t="shared" si="10"/>
        <v>0</v>
      </c>
      <c r="K37" s="1135">
        <f t="shared" si="10"/>
        <v>1525</v>
      </c>
      <c r="L37" s="1135">
        <f t="shared" si="10"/>
        <v>0</v>
      </c>
      <c r="M37" s="1135">
        <f t="shared" si="10"/>
        <v>0</v>
      </c>
      <c r="N37" s="1135">
        <f t="shared" si="10"/>
        <v>0</v>
      </c>
      <c r="O37" s="1135">
        <f t="shared" si="10"/>
        <v>0</v>
      </c>
      <c r="P37" s="1135">
        <f t="shared" si="10"/>
        <v>0</v>
      </c>
      <c r="Q37" s="1135">
        <f t="shared" si="10"/>
        <v>0</v>
      </c>
      <c r="R37" s="1135">
        <f t="shared" si="10"/>
        <v>0</v>
      </c>
      <c r="S37" s="1135">
        <f t="shared" si="10"/>
        <v>0</v>
      </c>
      <c r="T37" s="1135">
        <f t="shared" si="10"/>
        <v>0</v>
      </c>
      <c r="U37" s="1135">
        <f t="shared" si="10"/>
        <v>0</v>
      </c>
      <c r="V37" s="1135">
        <f t="shared" si="10"/>
        <v>0</v>
      </c>
      <c r="W37" s="1135">
        <f t="shared" si="10"/>
        <v>0</v>
      </c>
      <c r="X37" s="1135">
        <f t="shared" si="10"/>
        <v>0</v>
      </c>
      <c r="Y37" s="1135">
        <f t="shared" si="10"/>
        <v>0</v>
      </c>
      <c r="Z37" s="1135">
        <f t="shared" si="10"/>
        <v>0</v>
      </c>
      <c r="AA37" s="1135"/>
      <c r="AB37" s="1215">
        <f>+ROUND(SUM(F37:AA37),2)</f>
        <v>3528.21</v>
      </c>
      <c r="AC37" s="579">
        <f t="shared" ref="AC37:AC61" si="11">SUM(F37:AB37)</f>
        <v>7056.42</v>
      </c>
    </row>
    <row r="38" spans="1:37" ht="21.95" hidden="1" customHeight="1" x14ac:dyDescent="0.15">
      <c r="A38" s="2596"/>
      <c r="B38" s="2917" t="s">
        <v>545</v>
      </c>
      <c r="C38" s="542" t="s">
        <v>3</v>
      </c>
      <c r="F38" s="1139"/>
      <c r="G38" s="1139"/>
      <c r="H38" s="1139"/>
      <c r="I38" s="1139">
        <f>Pav_Dados!G129</f>
        <v>0</v>
      </c>
      <c r="J38" s="1139">
        <f>Pav_Dados!H129</f>
        <v>0</v>
      </c>
      <c r="K38" s="1139">
        <f>Pav_Dados!I129</f>
        <v>0</v>
      </c>
      <c r="L38" s="1139">
        <f>Pav_Dados!J129</f>
        <v>0</v>
      </c>
      <c r="M38" s="1139">
        <f>Pav_Dados!K129</f>
        <v>0</v>
      </c>
      <c r="N38" s="1139">
        <f>Pav_Dados!L129</f>
        <v>0</v>
      </c>
      <c r="O38" s="1139">
        <f>Pav_Dados!M129</f>
        <v>0</v>
      </c>
      <c r="P38" s="1139">
        <f>Pav_Dados!N129</f>
        <v>0</v>
      </c>
      <c r="Q38" s="1139">
        <f>Pav_Dados!O129</f>
        <v>0</v>
      </c>
      <c r="R38" s="1139">
        <f>Pav_Dados!P129</f>
        <v>0</v>
      </c>
      <c r="S38" s="1139">
        <f>Pav_Dados!Q129</f>
        <v>0</v>
      </c>
      <c r="T38" s="1139">
        <f>Pav_Dados!R129</f>
        <v>0</v>
      </c>
      <c r="U38" s="1139">
        <f>Pav_Dados!S129</f>
        <v>0</v>
      </c>
      <c r="V38" s="1139">
        <f>Pav_Dados!T129</f>
        <v>0</v>
      </c>
      <c r="W38" s="1139">
        <f>Pav_Dados!U129</f>
        <v>0</v>
      </c>
      <c r="X38" s="1139">
        <f>Pav_Dados!V129</f>
        <v>0</v>
      </c>
      <c r="Y38" s="1139">
        <f>Pav_Dados!W129</f>
        <v>0</v>
      </c>
      <c r="Z38" s="1139">
        <f>Pav_Dados!X129</f>
        <v>0</v>
      </c>
      <c r="AA38" s="1139"/>
      <c r="AB38" s="1216"/>
      <c r="AC38" s="579">
        <f t="shared" si="11"/>
        <v>0</v>
      </c>
    </row>
    <row r="39" spans="1:37" ht="21.95" hidden="1" customHeight="1" x14ac:dyDescent="0.15">
      <c r="A39" s="2596"/>
      <c r="B39" s="2918"/>
      <c r="C39" s="543" t="s">
        <v>58</v>
      </c>
      <c r="F39" s="1139"/>
      <c r="G39" s="1139"/>
      <c r="H39" s="1139"/>
      <c r="I39" s="1139">
        <f>Pav_Dados!G130</f>
        <v>0</v>
      </c>
      <c r="J39" s="1139">
        <f>Pav_Dados!H130</f>
        <v>0</v>
      </c>
      <c r="K39" s="1139">
        <f>Pav_Dados!I130</f>
        <v>0</v>
      </c>
      <c r="L39" s="1139">
        <f>Pav_Dados!J130</f>
        <v>0</v>
      </c>
      <c r="M39" s="1139">
        <f>Pav_Dados!K130</f>
        <v>0</v>
      </c>
      <c r="N39" s="1139">
        <f>Pav_Dados!L130</f>
        <v>0</v>
      </c>
      <c r="O39" s="1139">
        <f>Pav_Dados!M130</f>
        <v>0</v>
      </c>
      <c r="P39" s="1139">
        <f>Pav_Dados!N130</f>
        <v>0</v>
      </c>
      <c r="Q39" s="1139">
        <f>Pav_Dados!O130</f>
        <v>0</v>
      </c>
      <c r="R39" s="1139">
        <f>Pav_Dados!P130</f>
        <v>0</v>
      </c>
      <c r="S39" s="1139">
        <f>Pav_Dados!Q130</f>
        <v>0</v>
      </c>
      <c r="T39" s="1139">
        <f>Pav_Dados!R130</f>
        <v>0</v>
      </c>
      <c r="U39" s="1139">
        <f>Pav_Dados!S130</f>
        <v>0</v>
      </c>
      <c r="V39" s="1139">
        <f>Pav_Dados!T130</f>
        <v>0</v>
      </c>
      <c r="W39" s="1139">
        <f>Pav_Dados!U130</f>
        <v>0</v>
      </c>
      <c r="X39" s="1139">
        <f>Pav_Dados!V130</f>
        <v>0</v>
      </c>
      <c r="Y39" s="1139">
        <f>Pav_Dados!W130</f>
        <v>0</v>
      </c>
      <c r="Z39" s="1139">
        <f>Pav_Dados!X130</f>
        <v>0</v>
      </c>
      <c r="AA39" s="1139"/>
      <c r="AB39" s="1517"/>
      <c r="AC39" s="579">
        <f t="shared" si="11"/>
        <v>0</v>
      </c>
    </row>
    <row r="40" spans="1:37" ht="21.95" hidden="1" customHeight="1" x14ac:dyDescent="0.15">
      <c r="A40" s="2596"/>
      <c r="B40" s="2918"/>
      <c r="C40" s="567" t="s">
        <v>16</v>
      </c>
      <c r="F40" s="1139"/>
      <c r="G40" s="1139"/>
      <c r="H40" s="1139"/>
      <c r="I40" s="1139">
        <f>Pav_Dados!G131</f>
        <v>0</v>
      </c>
      <c r="J40" s="1139">
        <f>Pav_Dados!H131</f>
        <v>0</v>
      </c>
      <c r="K40" s="1139">
        <f>Pav_Dados!I131</f>
        <v>0</v>
      </c>
      <c r="L40" s="1139">
        <f>Pav_Dados!J131</f>
        <v>0</v>
      </c>
      <c r="M40" s="1139">
        <f>Pav_Dados!K131</f>
        <v>0</v>
      </c>
      <c r="N40" s="1139">
        <f>Pav_Dados!L131</f>
        <v>0</v>
      </c>
      <c r="O40" s="1139">
        <f>Pav_Dados!M131</f>
        <v>0</v>
      </c>
      <c r="P40" s="1139">
        <f>Pav_Dados!N131</f>
        <v>0</v>
      </c>
      <c r="Q40" s="1139">
        <f>Pav_Dados!O131</f>
        <v>0</v>
      </c>
      <c r="R40" s="1139">
        <f>Pav_Dados!P131</f>
        <v>0</v>
      </c>
      <c r="S40" s="1139">
        <f>Pav_Dados!Q131</f>
        <v>0</v>
      </c>
      <c r="T40" s="1139">
        <f>Pav_Dados!R131</f>
        <v>0</v>
      </c>
      <c r="U40" s="1139">
        <f>Pav_Dados!S131</f>
        <v>0</v>
      </c>
      <c r="V40" s="1139">
        <f>Pav_Dados!T131</f>
        <v>0</v>
      </c>
      <c r="W40" s="1139">
        <f>Pav_Dados!U131</f>
        <v>0</v>
      </c>
      <c r="X40" s="1139">
        <f>Pav_Dados!V131</f>
        <v>0</v>
      </c>
      <c r="Y40" s="1139">
        <f>Pav_Dados!W131</f>
        <v>0</v>
      </c>
      <c r="Z40" s="1139">
        <f>Pav_Dados!X131</f>
        <v>0</v>
      </c>
      <c r="AA40" s="1139"/>
      <c r="AB40" s="1517"/>
      <c r="AC40" s="579">
        <f t="shared" si="11"/>
        <v>0</v>
      </c>
    </row>
    <row r="41" spans="1:37" ht="21.95" hidden="1" customHeight="1" thickBot="1" x14ac:dyDescent="0.2">
      <c r="A41" s="2596"/>
      <c r="B41" s="2921"/>
      <c r="C41" s="566" t="s">
        <v>11</v>
      </c>
      <c r="D41" s="1377"/>
      <c r="E41" s="1513"/>
      <c r="F41" s="1135"/>
      <c r="G41" s="1135"/>
      <c r="H41" s="1135"/>
      <c r="I41" s="1135">
        <f t="shared" ref="I41:Z41" si="12">I40*I39*I38</f>
        <v>0</v>
      </c>
      <c r="J41" s="1135">
        <f t="shared" si="12"/>
        <v>0</v>
      </c>
      <c r="K41" s="1135">
        <f t="shared" si="12"/>
        <v>0</v>
      </c>
      <c r="L41" s="1135">
        <f t="shared" si="12"/>
        <v>0</v>
      </c>
      <c r="M41" s="1135">
        <f t="shared" si="12"/>
        <v>0</v>
      </c>
      <c r="N41" s="1135">
        <f t="shared" si="12"/>
        <v>0</v>
      </c>
      <c r="O41" s="1135">
        <f t="shared" si="12"/>
        <v>0</v>
      </c>
      <c r="P41" s="1135">
        <f t="shared" si="12"/>
        <v>0</v>
      </c>
      <c r="Q41" s="1135">
        <f t="shared" si="12"/>
        <v>0</v>
      </c>
      <c r="R41" s="1135">
        <f t="shared" si="12"/>
        <v>0</v>
      </c>
      <c r="S41" s="1135">
        <f t="shared" si="12"/>
        <v>0</v>
      </c>
      <c r="T41" s="1135">
        <f t="shared" si="12"/>
        <v>0</v>
      </c>
      <c r="U41" s="1135">
        <f t="shared" si="12"/>
        <v>0</v>
      </c>
      <c r="V41" s="1135">
        <f t="shared" si="12"/>
        <v>0</v>
      </c>
      <c r="W41" s="1135">
        <f t="shared" si="12"/>
        <v>0</v>
      </c>
      <c r="X41" s="1135">
        <f t="shared" si="12"/>
        <v>0</v>
      </c>
      <c r="Y41" s="1135">
        <f t="shared" si="12"/>
        <v>0</v>
      </c>
      <c r="Z41" s="1135">
        <f t="shared" si="12"/>
        <v>0</v>
      </c>
      <c r="AA41" s="1135"/>
      <c r="AB41" s="1218">
        <f>+ROUND(SUM(F41:AA41),2)</f>
        <v>0</v>
      </c>
      <c r="AC41" s="579">
        <f t="shared" si="11"/>
        <v>0</v>
      </c>
      <c r="AD41" s="1234">
        <v>1</v>
      </c>
      <c r="AE41" s="1236"/>
      <c r="AF41" s="1234">
        <v>1</v>
      </c>
      <c r="AG41" s="1236"/>
      <c r="AH41" s="1234">
        <v>1</v>
      </c>
      <c r="AI41" s="1236"/>
      <c r="AJ41" s="1236"/>
      <c r="AK41" s="1050"/>
    </row>
    <row r="42" spans="1:37" ht="21.95" hidden="1" customHeight="1" x14ac:dyDescent="0.15">
      <c r="A42" s="2596"/>
      <c r="B42" s="2918" t="s">
        <v>562</v>
      </c>
      <c r="C42" s="542" t="s">
        <v>3</v>
      </c>
      <c r="F42" s="1139"/>
      <c r="G42" s="1139"/>
      <c r="H42" s="1139"/>
      <c r="I42" s="1139">
        <f>Pav_Dados!G124</f>
        <v>0</v>
      </c>
      <c r="J42" s="1139">
        <f>Pav_Dados!H124</f>
        <v>0</v>
      </c>
      <c r="K42" s="1139">
        <f>Pav_Dados!I124</f>
        <v>0</v>
      </c>
      <c r="L42" s="1139">
        <f>Pav_Dados!J124</f>
        <v>0</v>
      </c>
      <c r="M42" s="1139">
        <f>Pav_Dados!K124</f>
        <v>0</v>
      </c>
      <c r="N42" s="1139">
        <f>Pav_Dados!L124</f>
        <v>0</v>
      </c>
      <c r="O42" s="1139">
        <f>Pav_Dados!M124</f>
        <v>0</v>
      </c>
      <c r="P42" s="1139">
        <f>Pav_Dados!N124</f>
        <v>0</v>
      </c>
      <c r="Q42" s="1139">
        <f>Pav_Dados!O124</f>
        <v>0</v>
      </c>
      <c r="R42" s="1139">
        <f>Pav_Dados!P124</f>
        <v>0</v>
      </c>
      <c r="S42" s="1139">
        <f>Pav_Dados!Q124</f>
        <v>0</v>
      </c>
      <c r="T42" s="1139">
        <f>Pav_Dados!R124</f>
        <v>0</v>
      </c>
      <c r="U42" s="1139">
        <f>Pav_Dados!S124</f>
        <v>0</v>
      </c>
      <c r="V42" s="1139">
        <f>Pav_Dados!T124</f>
        <v>0</v>
      </c>
      <c r="W42" s="1139">
        <f>Pav_Dados!U124</f>
        <v>0</v>
      </c>
      <c r="X42" s="1139">
        <f>Pav_Dados!V124</f>
        <v>0</v>
      </c>
      <c r="Y42" s="1139">
        <f>Pav_Dados!W124</f>
        <v>0</v>
      </c>
      <c r="Z42" s="1139">
        <f>Pav_Dados!X124</f>
        <v>0</v>
      </c>
      <c r="AA42" s="1139"/>
      <c r="AB42" s="1216"/>
      <c r="AC42" s="579">
        <f t="shared" si="11"/>
        <v>0</v>
      </c>
      <c r="AD42" s="1234"/>
      <c r="AE42" s="1236"/>
      <c r="AF42" s="1234"/>
      <c r="AG42" s="1236"/>
      <c r="AH42" s="1234"/>
      <c r="AI42" s="1236"/>
      <c r="AJ42" s="1236"/>
      <c r="AK42" s="1050"/>
    </row>
    <row r="43" spans="1:37" ht="21.95" hidden="1" customHeight="1" x14ac:dyDescent="0.15">
      <c r="A43" s="2596"/>
      <c r="B43" s="2918"/>
      <c r="C43" s="543" t="s">
        <v>58</v>
      </c>
      <c r="F43" s="1139"/>
      <c r="G43" s="1139"/>
      <c r="H43" s="1139"/>
      <c r="I43" s="1139">
        <f>Pav_Dados!G125</f>
        <v>0</v>
      </c>
      <c r="J43" s="1139">
        <f>Pav_Dados!H125</f>
        <v>0</v>
      </c>
      <c r="K43" s="1139">
        <f>Pav_Dados!I125</f>
        <v>0</v>
      </c>
      <c r="L43" s="1139">
        <f>Pav_Dados!J125</f>
        <v>0</v>
      </c>
      <c r="M43" s="1139">
        <f>Pav_Dados!K125</f>
        <v>0</v>
      </c>
      <c r="N43" s="1139">
        <f>Pav_Dados!L125</f>
        <v>0</v>
      </c>
      <c r="O43" s="1139">
        <f>Pav_Dados!M125</f>
        <v>0</v>
      </c>
      <c r="P43" s="1139">
        <f>Pav_Dados!N125</f>
        <v>0</v>
      </c>
      <c r="Q43" s="1139">
        <f>Pav_Dados!O125</f>
        <v>0</v>
      </c>
      <c r="R43" s="1139">
        <f>Pav_Dados!P125</f>
        <v>0</v>
      </c>
      <c r="S43" s="1139">
        <f>Pav_Dados!Q125</f>
        <v>0</v>
      </c>
      <c r="T43" s="1139">
        <f>Pav_Dados!R125</f>
        <v>0</v>
      </c>
      <c r="U43" s="1139">
        <f>Pav_Dados!S125</f>
        <v>0</v>
      </c>
      <c r="V43" s="1139">
        <f>Pav_Dados!T125</f>
        <v>0</v>
      </c>
      <c r="W43" s="1139">
        <f>Pav_Dados!U125</f>
        <v>0</v>
      </c>
      <c r="X43" s="1139">
        <f>Pav_Dados!V125</f>
        <v>0</v>
      </c>
      <c r="Y43" s="1139">
        <f>Pav_Dados!W125</f>
        <v>0</v>
      </c>
      <c r="Z43" s="1139">
        <f>Pav_Dados!X125</f>
        <v>0</v>
      </c>
      <c r="AA43" s="1139"/>
      <c r="AB43" s="1517"/>
      <c r="AC43" s="579">
        <f t="shared" si="11"/>
        <v>0</v>
      </c>
      <c r="AD43" s="1234"/>
      <c r="AE43" s="1236"/>
      <c r="AF43" s="1234"/>
      <c r="AG43" s="1236"/>
      <c r="AH43" s="1234"/>
      <c r="AI43" s="1236"/>
      <c r="AJ43" s="1236"/>
      <c r="AK43" s="1050"/>
    </row>
    <row r="44" spans="1:37" ht="21.95" hidden="1" customHeight="1" x14ac:dyDescent="0.15">
      <c r="A44" s="2596"/>
      <c r="B44" s="2918"/>
      <c r="C44" s="567" t="s">
        <v>16</v>
      </c>
      <c r="F44" s="1139"/>
      <c r="G44" s="1139"/>
      <c r="H44" s="1139"/>
      <c r="I44" s="1139">
        <f>Pav_Dados!G126</f>
        <v>0</v>
      </c>
      <c r="J44" s="1139">
        <f>Pav_Dados!H126</f>
        <v>0</v>
      </c>
      <c r="K44" s="1139">
        <f>Pav_Dados!I126</f>
        <v>0</v>
      </c>
      <c r="L44" s="1139">
        <f>Pav_Dados!J126</f>
        <v>0</v>
      </c>
      <c r="M44" s="1139">
        <f>Pav_Dados!K126</f>
        <v>0</v>
      </c>
      <c r="N44" s="1139">
        <f>Pav_Dados!L126</f>
        <v>0</v>
      </c>
      <c r="O44" s="1139">
        <f>Pav_Dados!M126</f>
        <v>0</v>
      </c>
      <c r="P44" s="1139">
        <f>Pav_Dados!N126</f>
        <v>0</v>
      </c>
      <c r="Q44" s="1139">
        <f>Pav_Dados!O126</f>
        <v>0</v>
      </c>
      <c r="R44" s="1139">
        <f>Pav_Dados!P126</f>
        <v>0</v>
      </c>
      <c r="S44" s="1139">
        <f>Pav_Dados!Q126</f>
        <v>0</v>
      </c>
      <c r="T44" s="1139">
        <f>Pav_Dados!R126</f>
        <v>0</v>
      </c>
      <c r="U44" s="1139">
        <f>Pav_Dados!S126</f>
        <v>0</v>
      </c>
      <c r="V44" s="1139">
        <f>Pav_Dados!T126</f>
        <v>0</v>
      </c>
      <c r="W44" s="1139">
        <f>Pav_Dados!U126</f>
        <v>0</v>
      </c>
      <c r="X44" s="1139">
        <f>Pav_Dados!V126</f>
        <v>0</v>
      </c>
      <c r="Y44" s="1139">
        <f>Pav_Dados!W126</f>
        <v>0</v>
      </c>
      <c r="Z44" s="1139">
        <f>Pav_Dados!X126</f>
        <v>0</v>
      </c>
      <c r="AA44" s="1139"/>
      <c r="AB44" s="1517"/>
      <c r="AC44" s="579">
        <f t="shared" si="11"/>
        <v>0</v>
      </c>
      <c r="AD44" s="1234"/>
      <c r="AE44" s="1236"/>
      <c r="AF44" s="1234"/>
      <c r="AG44" s="1236"/>
      <c r="AH44" s="1234"/>
      <c r="AI44" s="1236"/>
      <c r="AJ44" s="1236"/>
      <c r="AK44" s="1050"/>
    </row>
    <row r="45" spans="1:37" ht="21.95" hidden="1" customHeight="1" thickBot="1" x14ac:dyDescent="0.2">
      <c r="A45" s="2596"/>
      <c r="B45" s="2921"/>
      <c r="C45" s="566" t="s">
        <v>11</v>
      </c>
      <c r="D45" s="1377"/>
      <c r="E45" s="1513"/>
      <c r="F45" s="1135"/>
      <c r="G45" s="1135"/>
      <c r="H45" s="1135"/>
      <c r="I45" s="1135">
        <f t="shared" ref="I45:Z45" si="13">I44*I43*I42</f>
        <v>0</v>
      </c>
      <c r="J45" s="1135">
        <f t="shared" si="13"/>
        <v>0</v>
      </c>
      <c r="K45" s="1135">
        <f t="shared" si="13"/>
        <v>0</v>
      </c>
      <c r="L45" s="1135">
        <f t="shared" si="13"/>
        <v>0</v>
      </c>
      <c r="M45" s="1135">
        <f t="shared" si="13"/>
        <v>0</v>
      </c>
      <c r="N45" s="1135">
        <f t="shared" si="13"/>
        <v>0</v>
      </c>
      <c r="O45" s="1135">
        <f t="shared" si="13"/>
        <v>0</v>
      </c>
      <c r="P45" s="1135">
        <f t="shared" si="13"/>
        <v>0</v>
      </c>
      <c r="Q45" s="1135">
        <f t="shared" si="13"/>
        <v>0</v>
      </c>
      <c r="R45" s="1135">
        <f t="shared" si="13"/>
        <v>0</v>
      </c>
      <c r="S45" s="1135">
        <f t="shared" si="13"/>
        <v>0</v>
      </c>
      <c r="T45" s="1135">
        <f t="shared" si="13"/>
        <v>0</v>
      </c>
      <c r="U45" s="1135">
        <f t="shared" si="13"/>
        <v>0</v>
      </c>
      <c r="V45" s="1135">
        <f t="shared" si="13"/>
        <v>0</v>
      </c>
      <c r="W45" s="1135">
        <f t="shared" si="13"/>
        <v>0</v>
      </c>
      <c r="X45" s="1135">
        <f t="shared" si="13"/>
        <v>0</v>
      </c>
      <c r="Y45" s="1135">
        <f t="shared" si="13"/>
        <v>0</v>
      </c>
      <c r="Z45" s="1135">
        <f t="shared" si="13"/>
        <v>0</v>
      </c>
      <c r="AA45" s="1135"/>
      <c r="AB45" s="1218">
        <f>+ROUND(SUM(F45:AA45),2)</f>
        <v>0</v>
      </c>
      <c r="AC45" s="579">
        <f t="shared" si="11"/>
        <v>0</v>
      </c>
      <c r="AD45" s="1234"/>
      <c r="AE45" s="1236">
        <v>1</v>
      </c>
      <c r="AF45" s="1234"/>
      <c r="AG45" s="1236">
        <v>1</v>
      </c>
      <c r="AH45" s="1234"/>
      <c r="AI45" s="1236">
        <v>1</v>
      </c>
      <c r="AJ45" s="1236"/>
      <c r="AK45" s="1050"/>
    </row>
    <row r="46" spans="1:37" ht="21.95" hidden="1" customHeight="1" x14ac:dyDescent="0.15">
      <c r="A46" s="2596"/>
      <c r="B46" s="2757" t="s">
        <v>547</v>
      </c>
      <c r="C46" s="542" t="s">
        <v>3</v>
      </c>
      <c r="F46" s="1137"/>
      <c r="G46" s="1137"/>
      <c r="H46" s="1137"/>
      <c r="I46" s="1137">
        <f>Pav_Dados!G127</f>
        <v>0</v>
      </c>
      <c r="J46" s="1137">
        <f>Pav_Dados!H127</f>
        <v>0</v>
      </c>
      <c r="K46" s="1137">
        <f>Pav_Dados!I127</f>
        <v>0</v>
      </c>
      <c r="L46" s="1137">
        <f>Pav_Dados!J127</f>
        <v>0</v>
      </c>
      <c r="M46" s="1137">
        <f>Pav_Dados!K127</f>
        <v>0</v>
      </c>
      <c r="N46" s="1137">
        <f>Pav_Dados!L127</f>
        <v>0</v>
      </c>
      <c r="O46" s="1137">
        <f>Pav_Dados!M127</f>
        <v>0</v>
      </c>
      <c r="P46" s="1137">
        <f>Pav_Dados!N127</f>
        <v>0</v>
      </c>
      <c r="Q46" s="1137">
        <f>Pav_Dados!O127</f>
        <v>0</v>
      </c>
      <c r="R46" s="1137">
        <f>Pav_Dados!P127</f>
        <v>0</v>
      </c>
      <c r="S46" s="1137">
        <f>Pav_Dados!Q127</f>
        <v>0</v>
      </c>
      <c r="T46" s="1137">
        <f>Pav_Dados!R127</f>
        <v>0</v>
      </c>
      <c r="U46" s="1137">
        <f>Pav_Dados!S127</f>
        <v>0</v>
      </c>
      <c r="V46" s="1137">
        <f>Pav_Dados!T127</f>
        <v>0</v>
      </c>
      <c r="W46" s="1137">
        <f>Pav_Dados!U127</f>
        <v>0</v>
      </c>
      <c r="X46" s="1137">
        <f>Pav_Dados!V127</f>
        <v>0</v>
      </c>
      <c r="Y46" s="1137">
        <f>Pav_Dados!W127</f>
        <v>0</v>
      </c>
      <c r="Z46" s="1137">
        <f>Pav_Dados!X127</f>
        <v>0</v>
      </c>
      <c r="AA46" s="1137"/>
      <c r="AB46" s="1216"/>
      <c r="AC46" s="579">
        <f t="shared" si="11"/>
        <v>0</v>
      </c>
      <c r="AD46" s="1234"/>
      <c r="AE46" s="1236"/>
      <c r="AF46" s="1234"/>
      <c r="AG46" s="1236"/>
      <c r="AH46" s="1234"/>
      <c r="AI46" s="1236"/>
      <c r="AJ46" s="1236"/>
      <c r="AK46" s="1050"/>
    </row>
    <row r="47" spans="1:37" ht="21.95" hidden="1" customHeight="1" x14ac:dyDescent="0.15">
      <c r="A47" s="2596"/>
      <c r="B47" s="2759"/>
      <c r="C47" s="543" t="s">
        <v>58</v>
      </c>
      <c r="F47" s="1139"/>
      <c r="G47" s="1139"/>
      <c r="H47" s="1139"/>
      <c r="I47" s="1139">
        <f>Pav_Dados!G128</f>
        <v>0</v>
      </c>
      <c r="J47" s="1139">
        <f>Pav_Dados!H128</f>
        <v>0</v>
      </c>
      <c r="K47" s="1139">
        <f>Pav_Dados!I128</f>
        <v>0</v>
      </c>
      <c r="L47" s="1139">
        <f>Pav_Dados!J128</f>
        <v>0</v>
      </c>
      <c r="M47" s="1139">
        <f>Pav_Dados!K128</f>
        <v>0</v>
      </c>
      <c r="N47" s="1139">
        <f>Pav_Dados!L128</f>
        <v>0</v>
      </c>
      <c r="O47" s="1139">
        <f>Pav_Dados!M128</f>
        <v>0</v>
      </c>
      <c r="P47" s="1139">
        <f>Pav_Dados!N128</f>
        <v>0</v>
      </c>
      <c r="Q47" s="1139">
        <f>Pav_Dados!O128</f>
        <v>0</v>
      </c>
      <c r="R47" s="1139">
        <f>Pav_Dados!P128</f>
        <v>0</v>
      </c>
      <c r="S47" s="1139">
        <f>Pav_Dados!Q128</f>
        <v>0</v>
      </c>
      <c r="T47" s="1139">
        <f>Pav_Dados!R128</f>
        <v>0</v>
      </c>
      <c r="U47" s="1139">
        <f>Pav_Dados!S128</f>
        <v>0</v>
      </c>
      <c r="V47" s="1139">
        <f>Pav_Dados!T128</f>
        <v>0</v>
      </c>
      <c r="W47" s="1139">
        <f>Pav_Dados!U128</f>
        <v>0</v>
      </c>
      <c r="X47" s="1139">
        <f>Pav_Dados!V128</f>
        <v>0</v>
      </c>
      <c r="Y47" s="1139">
        <f>Pav_Dados!W128</f>
        <v>0</v>
      </c>
      <c r="Z47" s="1139">
        <f>Pav_Dados!X128</f>
        <v>0</v>
      </c>
      <c r="AA47" s="1139"/>
      <c r="AB47" s="1517"/>
      <c r="AC47" s="579">
        <f t="shared" si="11"/>
        <v>0</v>
      </c>
      <c r="AD47" s="1234"/>
      <c r="AE47" s="1236"/>
      <c r="AF47" s="1234"/>
      <c r="AG47" s="1236"/>
      <c r="AH47" s="1234"/>
      <c r="AI47" s="1236"/>
      <c r="AJ47" s="1236"/>
      <c r="AK47" s="1050"/>
    </row>
    <row r="48" spans="1:37" ht="21.95" hidden="1" customHeight="1" thickBot="1" x14ac:dyDescent="0.2">
      <c r="A48" s="2596"/>
      <c r="B48" s="2758"/>
      <c r="C48" s="546" t="s">
        <v>29</v>
      </c>
      <c r="D48" s="1377"/>
      <c r="E48" s="1513"/>
      <c r="F48" s="1241"/>
      <c r="G48" s="1241"/>
      <c r="H48" s="1241"/>
      <c r="I48" s="1241">
        <f t="shared" ref="I48:Z48" si="14">I47*I46</f>
        <v>0</v>
      </c>
      <c r="J48" s="1241">
        <f t="shared" si="14"/>
        <v>0</v>
      </c>
      <c r="K48" s="1241">
        <f t="shared" si="14"/>
        <v>0</v>
      </c>
      <c r="L48" s="1241">
        <f t="shared" si="14"/>
        <v>0</v>
      </c>
      <c r="M48" s="1241">
        <f t="shared" si="14"/>
        <v>0</v>
      </c>
      <c r="N48" s="1241">
        <f t="shared" si="14"/>
        <v>0</v>
      </c>
      <c r="O48" s="1241">
        <f t="shared" si="14"/>
        <v>0</v>
      </c>
      <c r="P48" s="1241">
        <f t="shared" si="14"/>
        <v>0</v>
      </c>
      <c r="Q48" s="1241">
        <f t="shared" si="14"/>
        <v>0</v>
      </c>
      <c r="R48" s="1241">
        <f t="shared" si="14"/>
        <v>0</v>
      </c>
      <c r="S48" s="1241">
        <f t="shared" si="14"/>
        <v>0</v>
      </c>
      <c r="T48" s="1241">
        <f t="shared" si="14"/>
        <v>0</v>
      </c>
      <c r="U48" s="1241">
        <f t="shared" si="14"/>
        <v>0</v>
      </c>
      <c r="V48" s="1241">
        <f t="shared" si="14"/>
        <v>0</v>
      </c>
      <c r="W48" s="1241">
        <f t="shared" si="14"/>
        <v>0</v>
      </c>
      <c r="X48" s="1241">
        <f t="shared" si="14"/>
        <v>0</v>
      </c>
      <c r="Y48" s="1241">
        <f t="shared" si="14"/>
        <v>0</v>
      </c>
      <c r="Z48" s="1241">
        <f t="shared" si="14"/>
        <v>0</v>
      </c>
      <c r="AA48" s="1241"/>
      <c r="AB48" s="1215">
        <f t="shared" ref="AB48:AB65" si="15">+ROUND(SUM(F48:AA48),2)</f>
        <v>0</v>
      </c>
      <c r="AC48" s="579">
        <f t="shared" si="11"/>
        <v>0</v>
      </c>
      <c r="AD48" s="1234"/>
      <c r="AE48" s="1236"/>
      <c r="AF48" s="1234"/>
      <c r="AG48" s="1236"/>
      <c r="AH48" s="1234"/>
      <c r="AI48" s="1236"/>
      <c r="AJ48" s="1236"/>
      <c r="AK48" s="1050">
        <v>1</v>
      </c>
    </row>
    <row r="49" spans="1:37" ht="21.95" hidden="1" customHeight="1" x14ac:dyDescent="0.15">
      <c r="A49" s="2596"/>
      <c r="B49" s="2757" t="s">
        <v>548</v>
      </c>
      <c r="C49" s="542" t="s">
        <v>558</v>
      </c>
      <c r="E49" s="1514"/>
      <c r="F49" s="1137"/>
      <c r="G49" s="1137"/>
      <c r="H49" s="1137"/>
      <c r="I49" s="1137">
        <f>Pav_Dados!G129</f>
        <v>0</v>
      </c>
      <c r="J49" s="1137">
        <f>Pav_Dados!H129</f>
        <v>0</v>
      </c>
      <c r="K49" s="1137">
        <f>Pav_Dados!I129</f>
        <v>0</v>
      </c>
      <c r="L49" s="1137">
        <f>Pav_Dados!J129</f>
        <v>0</v>
      </c>
      <c r="M49" s="1137">
        <f>Pav_Dados!K129</f>
        <v>0</v>
      </c>
      <c r="N49" s="1137">
        <f>Pav_Dados!L129</f>
        <v>0</v>
      </c>
      <c r="O49" s="1137">
        <f>Pav_Dados!M129</f>
        <v>0</v>
      </c>
      <c r="P49" s="1137">
        <f>Pav_Dados!N129</f>
        <v>0</v>
      </c>
      <c r="Q49" s="1137">
        <f>Pav_Dados!O129</f>
        <v>0</v>
      </c>
      <c r="R49" s="1137">
        <f>Pav_Dados!P129</f>
        <v>0</v>
      </c>
      <c r="S49" s="1137">
        <f>Pav_Dados!Q129</f>
        <v>0</v>
      </c>
      <c r="T49" s="1137">
        <f>Pav_Dados!R129</f>
        <v>0</v>
      </c>
      <c r="U49" s="1137">
        <f>Pav_Dados!S129</f>
        <v>0</v>
      </c>
      <c r="V49" s="1137">
        <f>Pav_Dados!T129</f>
        <v>0</v>
      </c>
      <c r="W49" s="1137">
        <f>Pav_Dados!U129</f>
        <v>0</v>
      </c>
      <c r="X49" s="1137">
        <f>Pav_Dados!V129</f>
        <v>0</v>
      </c>
      <c r="Y49" s="1137">
        <f>Pav_Dados!W129</f>
        <v>0</v>
      </c>
      <c r="Z49" s="1137">
        <f>Pav_Dados!X129</f>
        <v>0</v>
      </c>
      <c r="AA49" s="1137"/>
      <c r="AB49" s="1218">
        <f t="shared" si="15"/>
        <v>0</v>
      </c>
      <c r="AC49" s="579">
        <f t="shared" si="11"/>
        <v>0</v>
      </c>
      <c r="AD49" s="1234"/>
      <c r="AE49" s="1236"/>
      <c r="AF49" s="1234"/>
      <c r="AG49" s="1236"/>
      <c r="AH49" s="1234"/>
      <c r="AI49" s="1236"/>
      <c r="AJ49" s="1236">
        <v>1</v>
      </c>
      <c r="AK49" s="1050"/>
    </row>
    <row r="50" spans="1:37" ht="21.95" hidden="1" customHeight="1" x14ac:dyDescent="0.15">
      <c r="A50" s="2596"/>
      <c r="B50" s="2759"/>
      <c r="C50" s="543" t="s">
        <v>559</v>
      </c>
      <c r="F50" s="1139"/>
      <c r="G50" s="1139"/>
      <c r="H50" s="1139"/>
      <c r="I50" s="1139">
        <f>Pav_Dados!G130</f>
        <v>0</v>
      </c>
      <c r="J50" s="1139">
        <f>Pav_Dados!H130</f>
        <v>0</v>
      </c>
      <c r="K50" s="1139">
        <f>Pav_Dados!I130</f>
        <v>0</v>
      </c>
      <c r="L50" s="1139">
        <f>Pav_Dados!J130</f>
        <v>0</v>
      </c>
      <c r="M50" s="1139">
        <f>Pav_Dados!K130</f>
        <v>0</v>
      </c>
      <c r="N50" s="1139">
        <f>Pav_Dados!L130</f>
        <v>0</v>
      </c>
      <c r="O50" s="1139">
        <f>Pav_Dados!M130</f>
        <v>0</v>
      </c>
      <c r="P50" s="1139">
        <f>Pav_Dados!N130</f>
        <v>0</v>
      </c>
      <c r="Q50" s="1139">
        <f>Pav_Dados!O130</f>
        <v>0</v>
      </c>
      <c r="R50" s="1139">
        <f>Pav_Dados!P130</f>
        <v>0</v>
      </c>
      <c r="S50" s="1139">
        <f>Pav_Dados!Q130</f>
        <v>0</v>
      </c>
      <c r="T50" s="1139">
        <f>Pav_Dados!R130</f>
        <v>0</v>
      </c>
      <c r="U50" s="1139">
        <f>Pav_Dados!S130</f>
        <v>0</v>
      </c>
      <c r="V50" s="1139">
        <f>Pav_Dados!T130</f>
        <v>0</v>
      </c>
      <c r="W50" s="1139">
        <f>Pav_Dados!U130</f>
        <v>0</v>
      </c>
      <c r="X50" s="1139">
        <f>Pav_Dados!V130</f>
        <v>0</v>
      </c>
      <c r="Y50" s="1139">
        <f>Pav_Dados!W130</f>
        <v>0</v>
      </c>
      <c r="Z50" s="1139">
        <f>Pav_Dados!X130</f>
        <v>0</v>
      </c>
      <c r="AA50" s="1139"/>
      <c r="AB50" s="1218">
        <f t="shared" si="15"/>
        <v>0</v>
      </c>
      <c r="AC50" s="579">
        <f t="shared" si="11"/>
        <v>0</v>
      </c>
      <c r="AD50" s="1234"/>
      <c r="AE50" s="1236"/>
      <c r="AF50" s="1234"/>
      <c r="AG50" s="1236"/>
      <c r="AH50" s="1234"/>
      <c r="AI50" s="1236"/>
      <c r="AJ50" s="1236">
        <v>1</v>
      </c>
      <c r="AK50" s="1050"/>
    </row>
    <row r="51" spans="1:37" ht="21.95" hidden="1" customHeight="1" x14ac:dyDescent="0.15">
      <c r="A51" s="2596"/>
      <c r="B51" s="2759"/>
      <c r="C51" s="558" t="s">
        <v>560</v>
      </c>
      <c r="F51" s="1139"/>
      <c r="G51" s="1139"/>
      <c r="H51" s="1139"/>
      <c r="I51" s="1139">
        <f>Pav_Dados!G131</f>
        <v>0</v>
      </c>
      <c r="J51" s="1139">
        <f>Pav_Dados!H131</f>
        <v>0</v>
      </c>
      <c r="K51" s="1139">
        <f>Pav_Dados!I131</f>
        <v>0</v>
      </c>
      <c r="L51" s="1139">
        <f>Pav_Dados!J131</f>
        <v>0</v>
      </c>
      <c r="M51" s="1139">
        <f>Pav_Dados!K131</f>
        <v>0</v>
      </c>
      <c r="N51" s="1139">
        <f>Pav_Dados!L131</f>
        <v>0</v>
      </c>
      <c r="O51" s="1139">
        <f>Pav_Dados!M131</f>
        <v>0</v>
      </c>
      <c r="P51" s="1139">
        <f>Pav_Dados!N131</f>
        <v>0</v>
      </c>
      <c r="Q51" s="1139">
        <f>Pav_Dados!O131</f>
        <v>0</v>
      </c>
      <c r="R51" s="1139">
        <f>Pav_Dados!P131</f>
        <v>0</v>
      </c>
      <c r="S51" s="1139">
        <f>Pav_Dados!Q131</f>
        <v>0</v>
      </c>
      <c r="T51" s="1139">
        <f>Pav_Dados!R131</f>
        <v>0</v>
      </c>
      <c r="U51" s="1139">
        <f>Pav_Dados!S131</f>
        <v>0</v>
      </c>
      <c r="V51" s="1139">
        <f>Pav_Dados!T131</f>
        <v>0</v>
      </c>
      <c r="W51" s="1139">
        <f>Pav_Dados!U131</f>
        <v>0</v>
      </c>
      <c r="X51" s="1139">
        <f>Pav_Dados!V131</f>
        <v>0</v>
      </c>
      <c r="Y51" s="1139">
        <f>Pav_Dados!W131</f>
        <v>0</v>
      </c>
      <c r="Z51" s="1139">
        <f>Pav_Dados!X131</f>
        <v>0</v>
      </c>
      <c r="AA51" s="1139"/>
      <c r="AB51" s="1218">
        <f t="shared" si="15"/>
        <v>0</v>
      </c>
      <c r="AC51" s="579">
        <f t="shared" si="11"/>
        <v>0</v>
      </c>
      <c r="AD51" s="1234"/>
      <c r="AE51" s="1236"/>
      <c r="AF51" s="1234"/>
      <c r="AG51" s="1236"/>
      <c r="AH51" s="1234"/>
      <c r="AI51" s="1236"/>
      <c r="AJ51" s="1236">
        <v>1</v>
      </c>
      <c r="AK51" s="1050"/>
    </row>
    <row r="52" spans="1:37" ht="21.95" hidden="1" customHeight="1" thickBot="1" x14ac:dyDescent="0.2">
      <c r="A52" s="2596"/>
      <c r="B52" s="2758"/>
      <c r="C52" s="546" t="s">
        <v>561</v>
      </c>
      <c r="D52" s="1377"/>
      <c r="F52" s="1135"/>
      <c r="G52" s="1135"/>
      <c r="H52" s="1135"/>
      <c r="I52" s="1135">
        <f>Pav_Dados!G132</f>
        <v>0</v>
      </c>
      <c r="J52" s="1135">
        <f>Pav_Dados!H132</f>
        <v>0</v>
      </c>
      <c r="K52" s="1135">
        <f>Pav_Dados!I132</f>
        <v>0</v>
      </c>
      <c r="L52" s="1135">
        <f>Pav_Dados!J132</f>
        <v>0</v>
      </c>
      <c r="M52" s="1135">
        <f>Pav_Dados!K132</f>
        <v>0</v>
      </c>
      <c r="N52" s="1135">
        <f>Pav_Dados!L132</f>
        <v>0</v>
      </c>
      <c r="O52" s="1135">
        <f>Pav_Dados!M132</f>
        <v>0</v>
      </c>
      <c r="P52" s="1135">
        <f>Pav_Dados!N132</f>
        <v>0</v>
      </c>
      <c r="Q52" s="1135">
        <f>Pav_Dados!O132</f>
        <v>0</v>
      </c>
      <c r="R52" s="1135">
        <f>Pav_Dados!P132</f>
        <v>0</v>
      </c>
      <c r="S52" s="1135">
        <f>Pav_Dados!Q132</f>
        <v>0</v>
      </c>
      <c r="T52" s="1135">
        <f>Pav_Dados!R132</f>
        <v>0</v>
      </c>
      <c r="U52" s="1135">
        <f>Pav_Dados!S132</f>
        <v>0</v>
      </c>
      <c r="V52" s="1135">
        <f>Pav_Dados!T132</f>
        <v>0</v>
      </c>
      <c r="W52" s="1135">
        <f>Pav_Dados!U132</f>
        <v>0</v>
      </c>
      <c r="X52" s="1135">
        <f>Pav_Dados!V132</f>
        <v>0</v>
      </c>
      <c r="Y52" s="1135">
        <f>Pav_Dados!W132</f>
        <v>0</v>
      </c>
      <c r="Z52" s="1135">
        <f>Pav_Dados!X132</f>
        <v>0</v>
      </c>
      <c r="AA52" s="1135"/>
      <c r="AB52" s="1218">
        <f t="shared" si="15"/>
        <v>0</v>
      </c>
      <c r="AC52" s="579">
        <f t="shared" si="11"/>
        <v>0</v>
      </c>
      <c r="AD52" s="1234"/>
      <c r="AE52" s="1236"/>
      <c r="AF52" s="1234"/>
      <c r="AG52" s="1236"/>
      <c r="AH52" s="1234"/>
      <c r="AI52" s="1236"/>
      <c r="AJ52" s="1236">
        <v>1</v>
      </c>
      <c r="AK52" s="1050"/>
    </row>
    <row r="53" spans="1:37" ht="21.95" hidden="1" customHeight="1" x14ac:dyDescent="0.15">
      <c r="A53" s="2596"/>
      <c r="B53" s="2694" t="s">
        <v>1430</v>
      </c>
      <c r="C53" s="543" t="s">
        <v>1432</v>
      </c>
      <c r="D53" s="1380"/>
      <c r="E53" s="1514"/>
      <c r="F53" s="1137"/>
      <c r="G53" s="1137"/>
      <c r="H53" s="1137"/>
      <c r="I53" s="1137">
        <f>Pav_Dados!G133</f>
        <v>0</v>
      </c>
      <c r="J53" s="1137">
        <f>Pav_Dados!H133</f>
        <v>0</v>
      </c>
      <c r="K53" s="1137">
        <f>Pav_Dados!I133</f>
        <v>0</v>
      </c>
      <c r="L53" s="1137">
        <f>Pav_Dados!J133</f>
        <v>0</v>
      </c>
      <c r="M53" s="1137">
        <f>Pav_Dados!K133</f>
        <v>0</v>
      </c>
      <c r="N53" s="1137">
        <f>Pav_Dados!L133</f>
        <v>0</v>
      </c>
      <c r="O53" s="1137">
        <f>Pav_Dados!M133</f>
        <v>0</v>
      </c>
      <c r="P53" s="1137">
        <f>Pav_Dados!N133</f>
        <v>0</v>
      </c>
      <c r="Q53" s="1137">
        <f>Pav_Dados!O133</f>
        <v>0</v>
      </c>
      <c r="R53" s="1137">
        <f>Pav_Dados!P133</f>
        <v>0</v>
      </c>
      <c r="S53" s="1137">
        <f>Pav_Dados!Q133</f>
        <v>0</v>
      </c>
      <c r="T53" s="1137">
        <f>Pav_Dados!R133</f>
        <v>0</v>
      </c>
      <c r="U53" s="1137">
        <f>Pav_Dados!S133</f>
        <v>0</v>
      </c>
      <c r="V53" s="1137">
        <f>Pav_Dados!T133</f>
        <v>0</v>
      </c>
      <c r="W53" s="1137">
        <f>Pav_Dados!U133</f>
        <v>0</v>
      </c>
      <c r="X53" s="1137">
        <f>Pav_Dados!V133</f>
        <v>0</v>
      </c>
      <c r="Y53" s="1137">
        <f>Pav_Dados!W133</f>
        <v>0</v>
      </c>
      <c r="Z53" s="1137">
        <f>Pav_Dados!X133</f>
        <v>0</v>
      </c>
      <c r="AA53" s="1137"/>
      <c r="AB53" s="1238">
        <f t="shared" si="15"/>
        <v>0</v>
      </c>
      <c r="AC53" s="579">
        <f t="shared" si="11"/>
        <v>0</v>
      </c>
    </row>
    <row r="54" spans="1:37" ht="21.95" hidden="1" customHeight="1" thickBot="1" x14ac:dyDescent="0.2">
      <c r="A54" s="2596"/>
      <c r="B54" s="2618"/>
      <c r="C54" s="546" t="s">
        <v>1431</v>
      </c>
      <c r="D54" s="1377"/>
      <c r="E54" s="1513"/>
      <c r="F54" s="1135"/>
      <c r="G54" s="1135"/>
      <c r="H54" s="1135"/>
      <c r="I54" s="1135">
        <f>Pav_Dados!G134</f>
        <v>0</v>
      </c>
      <c r="J54" s="1135">
        <f>Pav_Dados!H134</f>
        <v>0</v>
      </c>
      <c r="K54" s="1135">
        <f>Pav_Dados!I134</f>
        <v>0</v>
      </c>
      <c r="L54" s="1135">
        <f>Pav_Dados!J134</f>
        <v>0</v>
      </c>
      <c r="M54" s="1135">
        <f>Pav_Dados!K134</f>
        <v>0</v>
      </c>
      <c r="N54" s="1135">
        <f>Pav_Dados!L134</f>
        <v>0</v>
      </c>
      <c r="O54" s="1135">
        <f>Pav_Dados!M134</f>
        <v>0</v>
      </c>
      <c r="P54" s="1135">
        <f>Pav_Dados!N134</f>
        <v>0</v>
      </c>
      <c r="Q54" s="1135">
        <f>Pav_Dados!O134</f>
        <v>0</v>
      </c>
      <c r="R54" s="1135">
        <f>Pav_Dados!P134</f>
        <v>0</v>
      </c>
      <c r="S54" s="1135">
        <f>Pav_Dados!Q134</f>
        <v>0</v>
      </c>
      <c r="T54" s="1135">
        <f>Pav_Dados!R134</f>
        <v>0</v>
      </c>
      <c r="U54" s="1135">
        <f>Pav_Dados!S134</f>
        <v>0</v>
      </c>
      <c r="V54" s="1135">
        <f>Pav_Dados!T134</f>
        <v>0</v>
      </c>
      <c r="W54" s="1135">
        <f>Pav_Dados!U134</f>
        <v>0</v>
      </c>
      <c r="X54" s="1135">
        <f>Pav_Dados!V134</f>
        <v>0</v>
      </c>
      <c r="Y54" s="1135">
        <f>Pav_Dados!W134</f>
        <v>0</v>
      </c>
      <c r="Z54" s="1135">
        <f>Pav_Dados!X134</f>
        <v>0</v>
      </c>
      <c r="AA54" s="1135"/>
      <c r="AB54" s="1215">
        <f t="shared" si="15"/>
        <v>0</v>
      </c>
      <c r="AC54" s="579">
        <f t="shared" si="11"/>
        <v>0</v>
      </c>
    </row>
    <row r="55" spans="1:37" ht="21.95" hidden="1" customHeight="1" x14ac:dyDescent="0.15">
      <c r="A55" s="2596"/>
      <c r="B55" s="2694" t="s">
        <v>1433</v>
      </c>
      <c r="C55" s="543" t="s">
        <v>1440</v>
      </c>
      <c r="D55" s="1380"/>
      <c r="E55" s="1514"/>
      <c r="F55" s="1137"/>
      <c r="G55" s="1137"/>
      <c r="H55" s="1137"/>
      <c r="I55" s="1137">
        <f>Pav_Dados!G135</f>
        <v>0</v>
      </c>
      <c r="J55" s="1137">
        <f>Pav_Dados!H135</f>
        <v>0</v>
      </c>
      <c r="K55" s="1137">
        <f>Pav_Dados!I135</f>
        <v>0</v>
      </c>
      <c r="L55" s="1137">
        <f>Pav_Dados!J135</f>
        <v>0</v>
      </c>
      <c r="M55" s="1137">
        <f>Pav_Dados!K135</f>
        <v>0</v>
      </c>
      <c r="N55" s="1137">
        <f>Pav_Dados!L135</f>
        <v>0</v>
      </c>
      <c r="O55" s="1137">
        <f>Pav_Dados!M135</f>
        <v>0</v>
      </c>
      <c r="P55" s="1137">
        <f>Pav_Dados!N135</f>
        <v>0</v>
      </c>
      <c r="Q55" s="1137">
        <f>Pav_Dados!O135</f>
        <v>0</v>
      </c>
      <c r="R55" s="1137">
        <f>Pav_Dados!P135</f>
        <v>0</v>
      </c>
      <c r="S55" s="1137">
        <f>Pav_Dados!Q135</f>
        <v>0</v>
      </c>
      <c r="T55" s="1137">
        <f>Pav_Dados!R135</f>
        <v>0</v>
      </c>
      <c r="U55" s="1137">
        <f>Pav_Dados!S135</f>
        <v>0</v>
      </c>
      <c r="V55" s="1137">
        <f>Pav_Dados!T135</f>
        <v>0</v>
      </c>
      <c r="W55" s="1137">
        <f>Pav_Dados!U135</f>
        <v>0</v>
      </c>
      <c r="X55" s="1137">
        <f>Pav_Dados!V135</f>
        <v>0</v>
      </c>
      <c r="Y55" s="1137">
        <f>Pav_Dados!W135</f>
        <v>0</v>
      </c>
      <c r="Z55" s="1137">
        <f>Pav_Dados!X135</f>
        <v>0</v>
      </c>
      <c r="AA55" s="1137"/>
      <c r="AB55" s="1238">
        <f t="shared" si="15"/>
        <v>0</v>
      </c>
      <c r="AC55" s="579">
        <f t="shared" si="11"/>
        <v>0</v>
      </c>
    </row>
    <row r="56" spans="1:37" ht="21.95" hidden="1" customHeight="1" thickBot="1" x14ac:dyDescent="0.2">
      <c r="A56" s="2596"/>
      <c r="B56" s="2618"/>
      <c r="C56" s="546" t="s">
        <v>1441</v>
      </c>
      <c r="D56" s="1377"/>
      <c r="E56" s="1513"/>
      <c r="F56" s="1135"/>
      <c r="G56" s="1135"/>
      <c r="H56" s="1135"/>
      <c r="I56" s="1135">
        <f>Pav_Dados!G136</f>
        <v>0</v>
      </c>
      <c r="J56" s="1135">
        <f>Pav_Dados!H136</f>
        <v>0</v>
      </c>
      <c r="K56" s="1135">
        <f>Pav_Dados!I136</f>
        <v>0</v>
      </c>
      <c r="L56" s="1135">
        <f>Pav_Dados!J136</f>
        <v>0</v>
      </c>
      <c r="M56" s="1135">
        <f>Pav_Dados!K136</f>
        <v>0</v>
      </c>
      <c r="N56" s="1135">
        <f>Pav_Dados!L136</f>
        <v>0</v>
      </c>
      <c r="O56" s="1135">
        <f>Pav_Dados!M136</f>
        <v>0</v>
      </c>
      <c r="P56" s="1135">
        <f>Pav_Dados!N136</f>
        <v>0</v>
      </c>
      <c r="Q56" s="1135">
        <f>Pav_Dados!O136</f>
        <v>0</v>
      </c>
      <c r="R56" s="1135">
        <f>Pav_Dados!P136</f>
        <v>0</v>
      </c>
      <c r="S56" s="1135">
        <f>Pav_Dados!Q136</f>
        <v>0</v>
      </c>
      <c r="T56" s="1135">
        <f>Pav_Dados!R136</f>
        <v>0</v>
      </c>
      <c r="U56" s="1135">
        <f>Pav_Dados!S136</f>
        <v>0</v>
      </c>
      <c r="V56" s="1135">
        <f>Pav_Dados!T136</f>
        <v>0</v>
      </c>
      <c r="W56" s="1135">
        <f>Pav_Dados!U136</f>
        <v>0</v>
      </c>
      <c r="X56" s="1135">
        <f>Pav_Dados!V136</f>
        <v>0</v>
      </c>
      <c r="Y56" s="1135">
        <f>Pav_Dados!W136</f>
        <v>0</v>
      </c>
      <c r="Z56" s="1135">
        <f>Pav_Dados!X136</f>
        <v>0</v>
      </c>
      <c r="AA56" s="1135"/>
      <c r="AB56" s="1215">
        <f t="shared" si="15"/>
        <v>0</v>
      </c>
      <c r="AC56" s="579">
        <f t="shared" si="11"/>
        <v>0</v>
      </c>
    </row>
    <row r="57" spans="1:37" ht="21.95" customHeight="1" x14ac:dyDescent="0.15">
      <c r="A57" s="2596"/>
      <c r="B57" s="2677" t="s">
        <v>1442</v>
      </c>
      <c r="C57" s="550" t="s">
        <v>1207</v>
      </c>
      <c r="D57" s="1061"/>
      <c r="E57" s="1514"/>
      <c r="F57" s="1137"/>
      <c r="G57" s="1137"/>
      <c r="H57" s="1137">
        <f>(SUMPRODUCT(H5:H11,$AD5:$AD11)*$AD$4+H41*$AD41*$AD$4+H45*$AE45*$AE$4)/1000</f>
        <v>0</v>
      </c>
      <c r="I57" s="1137">
        <f>(SUMPRODUCT(I5:I11,$AD5:$AD11)*$AD$4+I41*$AD41*$AD$4+I45*$AE45*$AE$4)/1000</f>
        <v>17.630822029499999</v>
      </c>
      <c r="J57" s="1137">
        <f t="shared" ref="J57:Z57" si="16">(SUMPRODUCT(J5:J11,$AD5:$AD11)*$AD$4+J41*$AD41*$AD$4+J45*$AE45*$AE$4)/1000</f>
        <v>13.206267013500003</v>
      </c>
      <c r="K57" s="1137">
        <f t="shared" si="16"/>
        <v>6.7007654271000003</v>
      </c>
      <c r="L57" s="1137">
        <f t="shared" si="16"/>
        <v>5.8352239350000001</v>
      </c>
      <c r="M57" s="1137">
        <f t="shared" si="16"/>
        <v>9.0130074704999998</v>
      </c>
      <c r="N57" s="1137">
        <f t="shared" si="16"/>
        <v>5.1128546274</v>
      </c>
      <c r="O57" s="1137">
        <f t="shared" si="16"/>
        <v>0.88835975099999998</v>
      </c>
      <c r="P57" s="1137">
        <f t="shared" si="16"/>
        <v>9.1018434456000001</v>
      </c>
      <c r="Q57" s="1137">
        <f t="shared" si="16"/>
        <v>16.130698654500002</v>
      </c>
      <c r="R57" s="1137">
        <f t="shared" si="16"/>
        <v>9.0978130799999999</v>
      </c>
      <c r="S57" s="1137">
        <f t="shared" si="16"/>
        <v>8.6385193334999997</v>
      </c>
      <c r="T57" s="1137">
        <f t="shared" si="16"/>
        <v>22.141821015000001</v>
      </c>
      <c r="U57" s="1137">
        <f t="shared" si="16"/>
        <v>22.523362291800002</v>
      </c>
      <c r="V57" s="1137">
        <f t="shared" si="16"/>
        <v>21.1584118086</v>
      </c>
      <c r="W57" s="1137">
        <f t="shared" si="16"/>
        <v>23.340621314700002</v>
      </c>
      <c r="X57" s="1137">
        <f t="shared" si="16"/>
        <v>22.665600611100004</v>
      </c>
      <c r="Y57" s="1137">
        <f t="shared" si="16"/>
        <v>8.5779614520000003</v>
      </c>
      <c r="Z57" s="1137">
        <f t="shared" si="16"/>
        <v>11.223560604600001</v>
      </c>
      <c r="AA57" s="1137"/>
      <c r="AB57" s="1238">
        <f t="shared" si="15"/>
        <v>232.99</v>
      </c>
      <c r="AC57" s="579">
        <f t="shared" si="11"/>
        <v>465.97751386540006</v>
      </c>
    </row>
    <row r="58" spans="1:37" ht="21.95" customHeight="1" x14ac:dyDescent="0.15">
      <c r="A58" s="2596"/>
      <c r="B58" s="2678"/>
      <c r="C58" s="559" t="s">
        <v>585</v>
      </c>
      <c r="D58" s="1062"/>
      <c r="F58" s="1139"/>
      <c r="G58" s="1139"/>
      <c r="H58" s="1139">
        <f>SUMPRODUCT(H5:H11,$AF5:$AF11)*$AF$4+H41*$AF41*$AF$4+H45*$AG45*$AG$4</f>
        <v>0</v>
      </c>
      <c r="I58" s="1139">
        <f>SUMPRODUCT(I5:I11,$AF5:$AF11)*$AF$4+I41*$AF41*$AF$4+I45*$AG45*$AG$4</f>
        <v>51.976897874999999</v>
      </c>
      <c r="J58" s="1139">
        <f t="shared" ref="J58:Z58" si="17">SUMPRODUCT(J5:J11,$AF5:$AF11)*$AF$4+J41*$AF41*$AF$4+J45*$AG45*$AG$4</f>
        <v>38.932999875000014</v>
      </c>
      <c r="K58" s="1139">
        <f t="shared" si="17"/>
        <v>19.754325675</v>
      </c>
      <c r="L58" s="1139">
        <f t="shared" si="17"/>
        <v>17.202648750000002</v>
      </c>
      <c r="M58" s="1139">
        <f t="shared" si="17"/>
        <v>26.570977125000006</v>
      </c>
      <c r="N58" s="1139">
        <f t="shared" si="17"/>
        <v>15.073053450000002</v>
      </c>
      <c r="O58" s="1139">
        <f t="shared" si="17"/>
        <v>2.6189467500000001</v>
      </c>
      <c r="P58" s="1139">
        <f t="shared" si="17"/>
        <v>26.832871800000003</v>
      </c>
      <c r="Q58" s="1139">
        <f t="shared" si="17"/>
        <v>47.554429125000006</v>
      </c>
      <c r="R58" s="1139">
        <f t="shared" si="17"/>
        <v>26.820989999999998</v>
      </c>
      <c r="S58" s="1139">
        <f t="shared" si="17"/>
        <v>25.466959875000001</v>
      </c>
      <c r="T58" s="1139">
        <f t="shared" si="17"/>
        <v>65.275638749999999</v>
      </c>
      <c r="U58" s="1139">
        <f t="shared" si="17"/>
        <v>66.40044915</v>
      </c>
      <c r="V58" s="1139">
        <f t="shared" si="17"/>
        <v>62.376479550000006</v>
      </c>
      <c r="W58" s="1139">
        <f t="shared" si="17"/>
        <v>68.809785975000011</v>
      </c>
      <c r="X58" s="1139">
        <f t="shared" si="17"/>
        <v>66.819777675000012</v>
      </c>
      <c r="Y58" s="1139">
        <f t="shared" si="17"/>
        <v>25.288431000000003</v>
      </c>
      <c r="Z58" s="1139">
        <f t="shared" si="17"/>
        <v>33.087842550000005</v>
      </c>
      <c r="AA58" s="1139"/>
      <c r="AB58" s="1218">
        <f t="shared" si="15"/>
        <v>686.86</v>
      </c>
      <c r="AC58" s="579">
        <f t="shared" si="11"/>
        <v>1373.72350495</v>
      </c>
    </row>
    <row r="59" spans="1:37" ht="21.95" customHeight="1" x14ac:dyDescent="0.15">
      <c r="A59" s="2596"/>
      <c r="B59" s="2678"/>
      <c r="C59" s="559" t="s">
        <v>642</v>
      </c>
      <c r="D59" s="1062"/>
      <c r="F59" s="1139"/>
      <c r="G59" s="1139"/>
      <c r="H59" s="1139">
        <f>SUMPRODUCT(H5:H11,$AH5:$AH11)*$AH$4+H41*$AH41*$AH$4+H45*$AI45*$AI$4</f>
        <v>0</v>
      </c>
      <c r="I59" s="1139">
        <f>SUMPRODUCT(I5:I11,$AH5:$AH11)*$AH$4+I41*$AH41*$AH$4+I45*$AI45*$AI$4</f>
        <v>37.384625924999995</v>
      </c>
      <c r="J59" s="1139">
        <f t="shared" ref="J59:Z59" si="18">SUMPRODUCT(J5:J11,$AH5:$AH11)*$AH$4+J41*$AH41*$AH$4+J45*$AI45*$AI$4</f>
        <v>28.002741525000005</v>
      </c>
      <c r="K59" s="1139">
        <f t="shared" si="18"/>
        <v>14.208390764999999</v>
      </c>
      <c r="L59" s="1139">
        <f t="shared" si="18"/>
        <v>12.373085249999999</v>
      </c>
      <c r="M59" s="1139">
        <f t="shared" si="18"/>
        <v>19.111299075000002</v>
      </c>
      <c r="N59" s="1139">
        <f t="shared" si="18"/>
        <v>10.841363909999998</v>
      </c>
      <c r="O59" s="1139">
        <f t="shared" si="18"/>
        <v>1.8836896499999998</v>
      </c>
      <c r="P59" s="1139">
        <f t="shared" si="18"/>
        <v>19.29966804</v>
      </c>
      <c r="Q59" s="1139">
        <f t="shared" si="18"/>
        <v>34.203744674999996</v>
      </c>
      <c r="R59" s="1139">
        <f t="shared" si="18"/>
        <v>19.291121999999998</v>
      </c>
      <c r="S59" s="1139">
        <f t="shared" si="18"/>
        <v>18.317229524999998</v>
      </c>
      <c r="T59" s="1139">
        <f t="shared" si="18"/>
        <v>46.949807249999999</v>
      </c>
      <c r="U59" s="1139">
        <f t="shared" si="18"/>
        <v>47.758832369999993</v>
      </c>
      <c r="V59" s="1139">
        <f t="shared" si="18"/>
        <v>44.864573489999998</v>
      </c>
      <c r="W59" s="1139">
        <f t="shared" si="18"/>
        <v>49.491759105</v>
      </c>
      <c r="X59" s="1139">
        <f t="shared" si="18"/>
        <v>48.060436365000001</v>
      </c>
      <c r="Y59" s="1139">
        <f t="shared" si="18"/>
        <v>18.188821799999999</v>
      </c>
      <c r="Z59" s="1139">
        <f t="shared" si="18"/>
        <v>23.798584890000001</v>
      </c>
      <c r="AA59" s="1139"/>
      <c r="AB59" s="1218">
        <f t="shared" si="15"/>
        <v>494.03</v>
      </c>
      <c r="AC59" s="579">
        <f t="shared" si="11"/>
        <v>988.05977560999997</v>
      </c>
    </row>
    <row r="60" spans="1:37" ht="21.95" hidden="1" customHeight="1" x14ac:dyDescent="0.15">
      <c r="A60" s="2596"/>
      <c r="B60" s="2678"/>
      <c r="C60" s="559" t="s">
        <v>1208</v>
      </c>
      <c r="D60" s="1062"/>
      <c r="F60" s="1139"/>
      <c r="G60" s="1139"/>
      <c r="H60" s="1139">
        <f>SUMPRODUCT(H49:H52,$AJ49:$AJ52)/1000</f>
        <v>0</v>
      </c>
      <c r="I60" s="1139">
        <f>SUMPRODUCT(I49:I52,$AJ49:$AJ52)/1000</f>
        <v>0</v>
      </c>
      <c r="J60" s="1139">
        <f t="shared" ref="J60:Z60" si="19">SUMPRODUCT(J49:J52,$AJ49:$AJ52)/1000</f>
        <v>0</v>
      </c>
      <c r="K60" s="1139">
        <f t="shared" si="19"/>
        <v>0</v>
      </c>
      <c r="L60" s="1139">
        <f t="shared" si="19"/>
        <v>0</v>
      </c>
      <c r="M60" s="1139">
        <f t="shared" si="19"/>
        <v>0</v>
      </c>
      <c r="N60" s="1139">
        <f t="shared" si="19"/>
        <v>0</v>
      </c>
      <c r="O60" s="1139">
        <f t="shared" si="19"/>
        <v>0</v>
      </c>
      <c r="P60" s="1139">
        <f t="shared" si="19"/>
        <v>0</v>
      </c>
      <c r="Q60" s="1139">
        <f t="shared" si="19"/>
        <v>0</v>
      </c>
      <c r="R60" s="1139">
        <f t="shared" si="19"/>
        <v>0</v>
      </c>
      <c r="S60" s="1139">
        <f t="shared" si="19"/>
        <v>0</v>
      </c>
      <c r="T60" s="1139">
        <f t="shared" si="19"/>
        <v>0</v>
      </c>
      <c r="U60" s="1139">
        <f t="shared" si="19"/>
        <v>0</v>
      </c>
      <c r="V60" s="1139">
        <f t="shared" si="19"/>
        <v>0</v>
      </c>
      <c r="W60" s="1139">
        <f t="shared" si="19"/>
        <v>0</v>
      </c>
      <c r="X60" s="1139">
        <f t="shared" si="19"/>
        <v>0</v>
      </c>
      <c r="Y60" s="1139">
        <f t="shared" si="19"/>
        <v>0</v>
      </c>
      <c r="Z60" s="1139">
        <f t="shared" si="19"/>
        <v>0</v>
      </c>
      <c r="AA60" s="1139"/>
      <c r="AB60" s="1218">
        <f t="shared" si="15"/>
        <v>0</v>
      </c>
      <c r="AC60" s="579">
        <f t="shared" si="11"/>
        <v>0</v>
      </c>
    </row>
    <row r="61" spans="1:37" ht="21.95" hidden="1" customHeight="1" x14ac:dyDescent="0.15">
      <c r="A61" s="2596"/>
      <c r="B61" s="2678"/>
      <c r="C61" s="559" t="s">
        <v>1209</v>
      </c>
      <c r="D61" s="1062"/>
      <c r="F61" s="1139"/>
      <c r="G61" s="1139"/>
      <c r="H61" s="1139">
        <f>H48*$AK48*$AK$4</f>
        <v>0</v>
      </c>
      <c r="I61" s="1139">
        <f>I48*$AK48*$AK$4</f>
        <v>0</v>
      </c>
      <c r="J61" s="1139">
        <f t="shared" ref="J61:Z61" si="20">J48*$AK48*$AK$4</f>
        <v>0</v>
      </c>
      <c r="K61" s="1139">
        <f t="shared" si="20"/>
        <v>0</v>
      </c>
      <c r="L61" s="1139">
        <f t="shared" si="20"/>
        <v>0</v>
      </c>
      <c r="M61" s="1139">
        <f t="shared" si="20"/>
        <v>0</v>
      </c>
      <c r="N61" s="1139">
        <f t="shared" si="20"/>
        <v>0</v>
      </c>
      <c r="O61" s="1139">
        <f t="shared" si="20"/>
        <v>0</v>
      </c>
      <c r="P61" s="1139">
        <f t="shared" si="20"/>
        <v>0</v>
      </c>
      <c r="Q61" s="1139">
        <f t="shared" si="20"/>
        <v>0</v>
      </c>
      <c r="R61" s="1139">
        <f t="shared" si="20"/>
        <v>0</v>
      </c>
      <c r="S61" s="1139">
        <f t="shared" si="20"/>
        <v>0</v>
      </c>
      <c r="T61" s="1139">
        <f t="shared" si="20"/>
        <v>0</v>
      </c>
      <c r="U61" s="1139">
        <f t="shared" si="20"/>
        <v>0</v>
      </c>
      <c r="V61" s="1139">
        <f t="shared" si="20"/>
        <v>0</v>
      </c>
      <c r="W61" s="1139">
        <f t="shared" si="20"/>
        <v>0</v>
      </c>
      <c r="X61" s="1139">
        <f t="shared" si="20"/>
        <v>0</v>
      </c>
      <c r="Y61" s="1139">
        <f t="shared" si="20"/>
        <v>0</v>
      </c>
      <c r="Z61" s="1139">
        <f t="shared" si="20"/>
        <v>0</v>
      </c>
      <c r="AA61" s="1139"/>
      <c r="AB61" s="1218">
        <f t="shared" si="15"/>
        <v>0</v>
      </c>
      <c r="AC61" s="579">
        <f t="shared" si="11"/>
        <v>0</v>
      </c>
    </row>
    <row r="62" spans="1:37" ht="21.95" hidden="1" customHeight="1" x14ac:dyDescent="0.15">
      <c r="A62" s="2596"/>
      <c r="B62" s="2678"/>
      <c r="C62" s="559" t="s">
        <v>1831</v>
      </c>
      <c r="D62" s="1062"/>
      <c r="F62" s="1139"/>
      <c r="G62" s="1139"/>
      <c r="H62" s="1139">
        <f t="shared" ref="H62:I62" si="21">H15*50%*2.4</f>
        <v>0</v>
      </c>
      <c r="I62" s="1139">
        <f t="shared" si="21"/>
        <v>0</v>
      </c>
      <c r="J62" s="1139">
        <f t="shared" ref="J62:Z62" si="22">J15*50%*2.4</f>
        <v>0</v>
      </c>
      <c r="K62" s="1139">
        <f t="shared" si="22"/>
        <v>0</v>
      </c>
      <c r="L62" s="1139">
        <f t="shared" si="22"/>
        <v>0</v>
      </c>
      <c r="M62" s="1139">
        <f t="shared" si="22"/>
        <v>0</v>
      </c>
      <c r="N62" s="1139">
        <f t="shared" si="22"/>
        <v>0</v>
      </c>
      <c r="O62" s="1139">
        <f t="shared" si="22"/>
        <v>0</v>
      </c>
      <c r="P62" s="1139">
        <f t="shared" si="22"/>
        <v>0</v>
      </c>
      <c r="Q62" s="1139">
        <f t="shared" si="22"/>
        <v>0</v>
      </c>
      <c r="R62" s="1139">
        <f t="shared" si="22"/>
        <v>0</v>
      </c>
      <c r="S62" s="1139">
        <f t="shared" si="22"/>
        <v>0</v>
      </c>
      <c r="T62" s="1139">
        <f t="shared" si="22"/>
        <v>0</v>
      </c>
      <c r="U62" s="1139">
        <f t="shared" si="22"/>
        <v>0</v>
      </c>
      <c r="V62" s="1139">
        <f t="shared" si="22"/>
        <v>0</v>
      </c>
      <c r="W62" s="1139">
        <f t="shared" si="22"/>
        <v>0</v>
      </c>
      <c r="X62" s="1139">
        <f t="shared" si="22"/>
        <v>0</v>
      </c>
      <c r="Y62" s="1139">
        <f t="shared" si="22"/>
        <v>0</v>
      </c>
      <c r="Z62" s="1139">
        <f t="shared" si="22"/>
        <v>0</v>
      </c>
      <c r="AA62" s="1139"/>
      <c r="AB62" s="1218">
        <f t="shared" si="15"/>
        <v>0</v>
      </c>
      <c r="AC62" s="579"/>
    </row>
    <row r="63" spans="1:37" ht="21.95" customHeight="1" thickBot="1" x14ac:dyDescent="0.2">
      <c r="A63" s="2596"/>
      <c r="B63" s="2678"/>
      <c r="C63" s="567" t="s">
        <v>1211</v>
      </c>
      <c r="D63" s="1062"/>
      <c r="F63" s="1139"/>
      <c r="G63" s="1139"/>
      <c r="H63" s="1139">
        <f t="shared" ref="H63:I63" si="23">(H19+H20)*0.02</f>
        <v>10.732000000000001</v>
      </c>
      <c r="I63" s="1139">
        <f t="shared" si="23"/>
        <v>40.0642</v>
      </c>
      <c r="J63" s="1139">
        <f t="shared" ref="J63:Z63" si="24">(J19+J20)*0.02</f>
        <v>0</v>
      </c>
      <c r="K63" s="1139">
        <f t="shared" si="24"/>
        <v>30.5</v>
      </c>
      <c r="L63" s="1139">
        <f t="shared" si="24"/>
        <v>0</v>
      </c>
      <c r="M63" s="1139">
        <f t="shared" si="24"/>
        <v>0</v>
      </c>
      <c r="N63" s="1139">
        <f t="shared" si="24"/>
        <v>0</v>
      </c>
      <c r="O63" s="1139">
        <f t="shared" si="24"/>
        <v>0</v>
      </c>
      <c r="P63" s="1139">
        <f t="shared" si="24"/>
        <v>0</v>
      </c>
      <c r="Q63" s="1139">
        <f t="shared" si="24"/>
        <v>0</v>
      </c>
      <c r="R63" s="1139">
        <f t="shared" si="24"/>
        <v>0</v>
      </c>
      <c r="S63" s="1139">
        <f t="shared" si="24"/>
        <v>0</v>
      </c>
      <c r="T63" s="1139">
        <f t="shared" si="24"/>
        <v>0</v>
      </c>
      <c r="U63" s="1139">
        <f t="shared" si="24"/>
        <v>0</v>
      </c>
      <c r="V63" s="1139">
        <f t="shared" si="24"/>
        <v>0</v>
      </c>
      <c r="W63" s="1139">
        <f t="shared" si="24"/>
        <v>0</v>
      </c>
      <c r="X63" s="1139">
        <f t="shared" si="24"/>
        <v>0</v>
      </c>
      <c r="Y63" s="1139">
        <f t="shared" si="24"/>
        <v>0</v>
      </c>
      <c r="Z63" s="1139">
        <f t="shared" si="24"/>
        <v>0</v>
      </c>
      <c r="AA63" s="1139"/>
      <c r="AB63" s="1218">
        <f t="shared" si="15"/>
        <v>81.3</v>
      </c>
      <c r="AC63" s="579">
        <f>SUM(F63:AB63)</f>
        <v>162.59620000000001</v>
      </c>
    </row>
    <row r="64" spans="1:37" ht="21.95" hidden="1" customHeight="1" x14ac:dyDescent="0.15">
      <c r="A64" s="2596"/>
      <c r="B64" s="2678"/>
      <c r="C64" s="568" t="s">
        <v>1436</v>
      </c>
      <c r="D64" s="1062"/>
      <c r="F64" s="1139"/>
      <c r="G64" s="1139"/>
      <c r="H64" s="1139">
        <f t="shared" ref="H64:I64" si="25">(H53*3.48+H54*4.4)/1000</f>
        <v>0</v>
      </c>
      <c r="I64" s="1139">
        <f t="shared" si="25"/>
        <v>0</v>
      </c>
      <c r="J64" s="1139">
        <f t="shared" ref="J64:Z64" si="26">(J53*3.48+J54*4.4)/1000</f>
        <v>0</v>
      </c>
      <c r="K64" s="1139">
        <f t="shared" si="26"/>
        <v>0</v>
      </c>
      <c r="L64" s="1139">
        <f t="shared" si="26"/>
        <v>0</v>
      </c>
      <c r="M64" s="1139">
        <f t="shared" si="26"/>
        <v>0</v>
      </c>
      <c r="N64" s="1139">
        <f t="shared" si="26"/>
        <v>0</v>
      </c>
      <c r="O64" s="1139">
        <f t="shared" si="26"/>
        <v>0</v>
      </c>
      <c r="P64" s="1139">
        <f t="shared" si="26"/>
        <v>0</v>
      </c>
      <c r="Q64" s="1139">
        <f t="shared" si="26"/>
        <v>0</v>
      </c>
      <c r="R64" s="1139">
        <f t="shared" si="26"/>
        <v>0</v>
      </c>
      <c r="S64" s="1139">
        <f t="shared" si="26"/>
        <v>0</v>
      </c>
      <c r="T64" s="1139">
        <f t="shared" si="26"/>
        <v>0</v>
      </c>
      <c r="U64" s="1139">
        <f t="shared" si="26"/>
        <v>0</v>
      </c>
      <c r="V64" s="1139">
        <f t="shared" si="26"/>
        <v>0</v>
      </c>
      <c r="W64" s="1139">
        <f t="shared" si="26"/>
        <v>0</v>
      </c>
      <c r="X64" s="1139">
        <f t="shared" si="26"/>
        <v>0</v>
      </c>
      <c r="Y64" s="1139">
        <f t="shared" si="26"/>
        <v>0</v>
      </c>
      <c r="Z64" s="1139">
        <f t="shared" si="26"/>
        <v>0</v>
      </c>
      <c r="AA64" s="1139"/>
      <c r="AB64" s="1218">
        <f t="shared" si="15"/>
        <v>0</v>
      </c>
      <c r="AC64" s="579">
        <f>SUM(F64:AB64)</f>
        <v>0</v>
      </c>
    </row>
    <row r="65" spans="1:29" ht="21.95" hidden="1" customHeight="1" thickBot="1" x14ac:dyDescent="0.2">
      <c r="A65" s="2596"/>
      <c r="B65" s="2678"/>
      <c r="C65" s="568" t="s">
        <v>1437</v>
      </c>
      <c r="D65" s="1062"/>
      <c r="F65" s="1139"/>
      <c r="G65" s="1139"/>
      <c r="H65" s="1139">
        <f t="shared" ref="H65:I65" si="27">(H55*19.36+H56*33.18)/1000</f>
        <v>0</v>
      </c>
      <c r="I65" s="1139">
        <f t="shared" si="27"/>
        <v>0</v>
      </c>
      <c r="J65" s="1139">
        <f t="shared" ref="J65:Z65" si="28">(J55*19.36+J56*33.18)/1000</f>
        <v>0</v>
      </c>
      <c r="K65" s="1139">
        <f t="shared" si="28"/>
        <v>0</v>
      </c>
      <c r="L65" s="1139">
        <f t="shared" si="28"/>
        <v>0</v>
      </c>
      <c r="M65" s="1139">
        <f t="shared" si="28"/>
        <v>0</v>
      </c>
      <c r="N65" s="1139">
        <f t="shared" si="28"/>
        <v>0</v>
      </c>
      <c r="O65" s="1139">
        <f t="shared" si="28"/>
        <v>0</v>
      </c>
      <c r="P65" s="1139">
        <f t="shared" si="28"/>
        <v>0</v>
      </c>
      <c r="Q65" s="1139">
        <f t="shared" si="28"/>
        <v>0</v>
      </c>
      <c r="R65" s="1139">
        <f t="shared" si="28"/>
        <v>0</v>
      </c>
      <c r="S65" s="1139">
        <f t="shared" si="28"/>
        <v>0</v>
      </c>
      <c r="T65" s="1139">
        <f t="shared" si="28"/>
        <v>0</v>
      </c>
      <c r="U65" s="1139">
        <f t="shared" si="28"/>
        <v>0</v>
      </c>
      <c r="V65" s="1139">
        <f t="shared" si="28"/>
        <v>0</v>
      </c>
      <c r="W65" s="1139">
        <f t="shared" si="28"/>
        <v>0</v>
      </c>
      <c r="X65" s="1139">
        <f t="shared" si="28"/>
        <v>0</v>
      </c>
      <c r="Y65" s="1139">
        <f t="shared" si="28"/>
        <v>0</v>
      </c>
      <c r="Z65" s="1139">
        <f t="shared" si="28"/>
        <v>0</v>
      </c>
      <c r="AA65" s="1139"/>
      <c r="AB65" s="1218">
        <f t="shared" si="15"/>
        <v>0</v>
      </c>
      <c r="AC65" s="579">
        <f>SUM(F65:AB65)</f>
        <v>0</v>
      </c>
    </row>
    <row r="66" spans="1:29" ht="21.95" hidden="1" customHeight="1" x14ac:dyDescent="0.15">
      <c r="A66" s="2596"/>
      <c r="B66" s="2649" t="s">
        <v>1370</v>
      </c>
      <c r="C66" s="550" t="s">
        <v>1207</v>
      </c>
      <c r="D66" s="1061"/>
      <c r="E66" s="1514"/>
      <c r="F66" s="1137"/>
      <c r="G66" s="1137"/>
      <c r="H66" s="1137">
        <f t="shared" ref="H66:I66" si="29">H57</f>
        <v>0</v>
      </c>
      <c r="I66" s="1137">
        <f t="shared" si="29"/>
        <v>17.630822029499999</v>
      </c>
      <c r="J66" s="1137">
        <f t="shared" ref="J66:Z66" si="30">J57</f>
        <v>13.206267013500003</v>
      </c>
      <c r="K66" s="1137">
        <f t="shared" si="30"/>
        <v>6.7007654271000003</v>
      </c>
      <c r="L66" s="1137">
        <f t="shared" si="30"/>
        <v>5.8352239350000001</v>
      </c>
      <c r="M66" s="1137">
        <f t="shared" si="30"/>
        <v>9.0130074704999998</v>
      </c>
      <c r="N66" s="1137">
        <f t="shared" si="30"/>
        <v>5.1128546274</v>
      </c>
      <c r="O66" s="1137">
        <f t="shared" si="30"/>
        <v>0.88835975099999998</v>
      </c>
      <c r="P66" s="1137">
        <f t="shared" si="30"/>
        <v>9.1018434456000001</v>
      </c>
      <c r="Q66" s="1137">
        <f t="shared" si="30"/>
        <v>16.130698654500002</v>
      </c>
      <c r="R66" s="1137">
        <f t="shared" si="30"/>
        <v>9.0978130799999999</v>
      </c>
      <c r="S66" s="1137">
        <f t="shared" si="30"/>
        <v>8.6385193334999997</v>
      </c>
      <c r="T66" s="1137">
        <f t="shared" si="30"/>
        <v>22.141821015000001</v>
      </c>
      <c r="U66" s="1137">
        <f t="shared" si="30"/>
        <v>22.523362291800002</v>
      </c>
      <c r="V66" s="1137">
        <f t="shared" si="30"/>
        <v>21.1584118086</v>
      </c>
      <c r="W66" s="1137">
        <f t="shared" si="30"/>
        <v>23.340621314700002</v>
      </c>
      <c r="X66" s="1137">
        <f t="shared" si="30"/>
        <v>22.665600611100004</v>
      </c>
      <c r="Y66" s="1137">
        <f t="shared" si="30"/>
        <v>8.5779614520000003</v>
      </c>
      <c r="Z66" s="1137">
        <f t="shared" si="30"/>
        <v>11.223560604600001</v>
      </c>
      <c r="AA66" s="1137"/>
      <c r="AB66" s="1238"/>
      <c r="AC66" s="579"/>
    </row>
    <row r="67" spans="1:29" ht="21.95" hidden="1" customHeight="1" x14ac:dyDescent="0.15">
      <c r="A67" s="2596"/>
      <c r="B67" s="2606"/>
      <c r="C67" s="559" t="s">
        <v>585</v>
      </c>
      <c r="D67" s="1062"/>
      <c r="F67" s="1139"/>
      <c r="G67" s="1139"/>
      <c r="H67" s="1139">
        <f t="shared" ref="H67:I67" si="31">H58</f>
        <v>0</v>
      </c>
      <c r="I67" s="1139">
        <f t="shared" si="31"/>
        <v>51.976897874999999</v>
      </c>
      <c r="J67" s="1139">
        <f t="shared" ref="J67:Z67" si="32">J58</f>
        <v>38.932999875000014</v>
      </c>
      <c r="K67" s="1139">
        <f t="shared" si="32"/>
        <v>19.754325675</v>
      </c>
      <c r="L67" s="1139">
        <f t="shared" si="32"/>
        <v>17.202648750000002</v>
      </c>
      <c r="M67" s="1139">
        <f t="shared" si="32"/>
        <v>26.570977125000006</v>
      </c>
      <c r="N67" s="1139">
        <f t="shared" si="32"/>
        <v>15.073053450000002</v>
      </c>
      <c r="O67" s="1139">
        <f t="shared" si="32"/>
        <v>2.6189467500000001</v>
      </c>
      <c r="P67" s="1139">
        <f t="shared" si="32"/>
        <v>26.832871800000003</v>
      </c>
      <c r="Q67" s="1139">
        <f t="shared" si="32"/>
        <v>47.554429125000006</v>
      </c>
      <c r="R67" s="1139">
        <f t="shared" si="32"/>
        <v>26.820989999999998</v>
      </c>
      <c r="S67" s="1139">
        <f t="shared" si="32"/>
        <v>25.466959875000001</v>
      </c>
      <c r="T67" s="1139">
        <f t="shared" si="32"/>
        <v>65.275638749999999</v>
      </c>
      <c r="U67" s="1139">
        <f t="shared" si="32"/>
        <v>66.40044915</v>
      </c>
      <c r="V67" s="1139">
        <f t="shared" si="32"/>
        <v>62.376479550000006</v>
      </c>
      <c r="W67" s="1139">
        <f t="shared" si="32"/>
        <v>68.809785975000011</v>
      </c>
      <c r="X67" s="1139">
        <f t="shared" si="32"/>
        <v>66.819777675000012</v>
      </c>
      <c r="Y67" s="1139">
        <f t="shared" si="32"/>
        <v>25.288431000000003</v>
      </c>
      <c r="Z67" s="1139">
        <f t="shared" si="32"/>
        <v>33.087842550000005</v>
      </c>
      <c r="AA67" s="1139"/>
      <c r="AB67" s="1218"/>
      <c r="AC67" s="579"/>
    </row>
    <row r="68" spans="1:29" ht="21.95" hidden="1" customHeight="1" x14ac:dyDescent="0.15">
      <c r="A68" s="2596"/>
      <c r="B68" s="2606"/>
      <c r="C68" s="559" t="s">
        <v>642</v>
      </c>
      <c r="D68" s="1062"/>
      <c r="F68" s="1139"/>
      <c r="G68" s="1139"/>
      <c r="H68" s="1139">
        <f t="shared" ref="H68:I68" si="33">H59</f>
        <v>0</v>
      </c>
      <c r="I68" s="1139">
        <f t="shared" si="33"/>
        <v>37.384625924999995</v>
      </c>
      <c r="J68" s="1139">
        <f t="shared" ref="J68:Z68" si="34">J59</f>
        <v>28.002741525000005</v>
      </c>
      <c r="K68" s="1139">
        <f t="shared" si="34"/>
        <v>14.208390764999999</v>
      </c>
      <c r="L68" s="1139">
        <f t="shared" si="34"/>
        <v>12.373085249999999</v>
      </c>
      <c r="M68" s="1139">
        <f t="shared" si="34"/>
        <v>19.111299075000002</v>
      </c>
      <c r="N68" s="1139">
        <f t="shared" si="34"/>
        <v>10.841363909999998</v>
      </c>
      <c r="O68" s="1139">
        <f t="shared" si="34"/>
        <v>1.8836896499999998</v>
      </c>
      <c r="P68" s="1139">
        <f t="shared" si="34"/>
        <v>19.29966804</v>
      </c>
      <c r="Q68" s="1139">
        <f t="shared" si="34"/>
        <v>34.203744674999996</v>
      </c>
      <c r="R68" s="1139">
        <f t="shared" si="34"/>
        <v>19.291121999999998</v>
      </c>
      <c r="S68" s="1139">
        <f t="shared" si="34"/>
        <v>18.317229524999998</v>
      </c>
      <c r="T68" s="1139">
        <f t="shared" si="34"/>
        <v>46.949807249999999</v>
      </c>
      <c r="U68" s="1139">
        <f t="shared" si="34"/>
        <v>47.758832369999993</v>
      </c>
      <c r="V68" s="1139">
        <f t="shared" si="34"/>
        <v>44.864573489999998</v>
      </c>
      <c r="W68" s="1139">
        <f t="shared" si="34"/>
        <v>49.491759105</v>
      </c>
      <c r="X68" s="1139">
        <f t="shared" si="34"/>
        <v>48.060436365000001</v>
      </c>
      <c r="Y68" s="1139">
        <f t="shared" si="34"/>
        <v>18.188821799999999</v>
      </c>
      <c r="Z68" s="1139">
        <f t="shared" si="34"/>
        <v>23.798584890000001</v>
      </c>
      <c r="AA68" s="1139"/>
      <c r="AB68" s="1218"/>
      <c r="AC68" s="579"/>
    </row>
    <row r="69" spans="1:29" ht="21.95" hidden="1" customHeight="1" x14ac:dyDescent="0.15">
      <c r="A69" s="2596"/>
      <c r="B69" s="2606"/>
      <c r="C69" s="559" t="s">
        <v>1208</v>
      </c>
      <c r="D69" s="1062"/>
      <c r="F69" s="1139"/>
      <c r="G69" s="1139"/>
      <c r="H69" s="1139">
        <f t="shared" ref="H69:I69" si="35">H60</f>
        <v>0</v>
      </c>
      <c r="I69" s="1139">
        <f t="shared" si="35"/>
        <v>0</v>
      </c>
      <c r="J69" s="1139">
        <f t="shared" ref="J69:Z69" si="36">J60</f>
        <v>0</v>
      </c>
      <c r="K69" s="1139">
        <f t="shared" si="36"/>
        <v>0</v>
      </c>
      <c r="L69" s="1139">
        <f t="shared" si="36"/>
        <v>0</v>
      </c>
      <c r="M69" s="1139">
        <f t="shared" si="36"/>
        <v>0</v>
      </c>
      <c r="N69" s="1139">
        <f t="shared" si="36"/>
        <v>0</v>
      </c>
      <c r="O69" s="1139">
        <f t="shared" si="36"/>
        <v>0</v>
      </c>
      <c r="P69" s="1139">
        <f t="shared" si="36"/>
        <v>0</v>
      </c>
      <c r="Q69" s="1139">
        <f t="shared" si="36"/>
        <v>0</v>
      </c>
      <c r="R69" s="1139">
        <f t="shared" si="36"/>
        <v>0</v>
      </c>
      <c r="S69" s="1139">
        <f t="shared" si="36"/>
        <v>0</v>
      </c>
      <c r="T69" s="1139">
        <f t="shared" si="36"/>
        <v>0</v>
      </c>
      <c r="U69" s="1139">
        <f t="shared" si="36"/>
        <v>0</v>
      </c>
      <c r="V69" s="1139">
        <f t="shared" si="36"/>
        <v>0</v>
      </c>
      <c r="W69" s="1139">
        <f t="shared" si="36"/>
        <v>0</v>
      </c>
      <c r="X69" s="1139">
        <f t="shared" si="36"/>
        <v>0</v>
      </c>
      <c r="Y69" s="1139">
        <f t="shared" si="36"/>
        <v>0</v>
      </c>
      <c r="Z69" s="1139">
        <f t="shared" si="36"/>
        <v>0</v>
      </c>
      <c r="AA69" s="1139"/>
      <c r="AB69" s="1218"/>
      <c r="AC69" s="579"/>
    </row>
    <row r="70" spans="1:29" ht="21.95" hidden="1" customHeight="1" x14ac:dyDescent="0.15">
      <c r="A70" s="2596"/>
      <c r="B70" s="2606"/>
      <c r="C70" s="559" t="s">
        <v>1209</v>
      </c>
      <c r="D70" s="1062"/>
      <c r="F70" s="1139"/>
      <c r="G70" s="1139"/>
      <c r="H70" s="1139">
        <f t="shared" ref="H70:I70" si="37">H61</f>
        <v>0</v>
      </c>
      <c r="I70" s="1139">
        <f t="shared" si="37"/>
        <v>0</v>
      </c>
      <c r="J70" s="1139">
        <f t="shared" ref="J70:Z70" si="38">J61</f>
        <v>0</v>
      </c>
      <c r="K70" s="1139">
        <f t="shared" si="38"/>
        <v>0</v>
      </c>
      <c r="L70" s="1139">
        <f t="shared" si="38"/>
        <v>0</v>
      </c>
      <c r="M70" s="1139">
        <f t="shared" si="38"/>
        <v>0</v>
      </c>
      <c r="N70" s="1139">
        <f t="shared" si="38"/>
        <v>0</v>
      </c>
      <c r="O70" s="1139">
        <f t="shared" si="38"/>
        <v>0</v>
      </c>
      <c r="P70" s="1139">
        <f t="shared" si="38"/>
        <v>0</v>
      </c>
      <c r="Q70" s="1139">
        <f t="shared" si="38"/>
        <v>0</v>
      </c>
      <c r="R70" s="1139">
        <f t="shared" si="38"/>
        <v>0</v>
      </c>
      <c r="S70" s="1139">
        <f t="shared" si="38"/>
        <v>0</v>
      </c>
      <c r="T70" s="1139">
        <f t="shared" si="38"/>
        <v>0</v>
      </c>
      <c r="U70" s="1139">
        <f t="shared" si="38"/>
        <v>0</v>
      </c>
      <c r="V70" s="1139">
        <f t="shared" si="38"/>
        <v>0</v>
      </c>
      <c r="W70" s="1139">
        <f t="shared" si="38"/>
        <v>0</v>
      </c>
      <c r="X70" s="1139">
        <f t="shared" si="38"/>
        <v>0</v>
      </c>
      <c r="Y70" s="1139">
        <f t="shared" si="38"/>
        <v>0</v>
      </c>
      <c r="Z70" s="1139">
        <f t="shared" si="38"/>
        <v>0</v>
      </c>
      <c r="AA70" s="1139"/>
      <c r="AB70" s="1218"/>
      <c r="AC70" s="579"/>
    </row>
    <row r="71" spans="1:29" ht="21.95" hidden="1" customHeight="1" x14ac:dyDescent="0.15">
      <c r="A71" s="2596"/>
      <c r="B71" s="2606"/>
      <c r="C71" s="559" t="s">
        <v>1439</v>
      </c>
      <c r="D71" s="1062"/>
      <c r="F71" s="1139"/>
      <c r="G71" s="1139"/>
      <c r="H71" s="1139">
        <f t="shared" ref="H71:I71" si="39">H62</f>
        <v>0</v>
      </c>
      <c r="I71" s="1139">
        <f t="shared" si="39"/>
        <v>0</v>
      </c>
      <c r="J71" s="1139">
        <f t="shared" ref="J71:Z71" si="40">J62</f>
        <v>0</v>
      </c>
      <c r="K71" s="1139">
        <f t="shared" si="40"/>
        <v>0</v>
      </c>
      <c r="L71" s="1139">
        <f t="shared" si="40"/>
        <v>0</v>
      </c>
      <c r="M71" s="1139">
        <f t="shared" si="40"/>
        <v>0</v>
      </c>
      <c r="N71" s="1139">
        <f t="shared" si="40"/>
        <v>0</v>
      </c>
      <c r="O71" s="1139">
        <f t="shared" si="40"/>
        <v>0</v>
      </c>
      <c r="P71" s="1139">
        <f t="shared" si="40"/>
        <v>0</v>
      </c>
      <c r="Q71" s="1139">
        <f t="shared" si="40"/>
        <v>0</v>
      </c>
      <c r="R71" s="1139">
        <f t="shared" si="40"/>
        <v>0</v>
      </c>
      <c r="S71" s="1139">
        <f t="shared" si="40"/>
        <v>0</v>
      </c>
      <c r="T71" s="1139">
        <f t="shared" si="40"/>
        <v>0</v>
      </c>
      <c r="U71" s="1139">
        <f t="shared" si="40"/>
        <v>0</v>
      </c>
      <c r="V71" s="1139">
        <f t="shared" si="40"/>
        <v>0</v>
      </c>
      <c r="W71" s="1139">
        <f t="shared" si="40"/>
        <v>0</v>
      </c>
      <c r="X71" s="1139">
        <f t="shared" si="40"/>
        <v>0</v>
      </c>
      <c r="Y71" s="1139">
        <f t="shared" si="40"/>
        <v>0</v>
      </c>
      <c r="Z71" s="1139">
        <f t="shared" si="40"/>
        <v>0</v>
      </c>
      <c r="AA71" s="1139"/>
      <c r="AB71" s="1218"/>
      <c r="AC71" s="579"/>
    </row>
    <row r="72" spans="1:29" ht="21.95" hidden="1" customHeight="1" x14ac:dyDescent="0.15">
      <c r="A72" s="2596"/>
      <c r="B72" s="2606"/>
      <c r="C72" s="567" t="s">
        <v>1211</v>
      </c>
      <c r="D72" s="1062"/>
      <c r="F72" s="1139"/>
      <c r="G72" s="1139"/>
      <c r="H72" s="1139">
        <f t="shared" ref="H72:I72" si="41">H63</f>
        <v>10.732000000000001</v>
      </c>
      <c r="I72" s="1139">
        <f t="shared" si="41"/>
        <v>40.0642</v>
      </c>
      <c r="J72" s="1139">
        <f t="shared" ref="J72:Z72" si="42">J63</f>
        <v>0</v>
      </c>
      <c r="K72" s="1139">
        <f t="shared" si="42"/>
        <v>30.5</v>
      </c>
      <c r="L72" s="1139">
        <f t="shared" si="42"/>
        <v>0</v>
      </c>
      <c r="M72" s="1139">
        <f t="shared" si="42"/>
        <v>0</v>
      </c>
      <c r="N72" s="1139">
        <f t="shared" si="42"/>
        <v>0</v>
      </c>
      <c r="O72" s="1139">
        <f t="shared" si="42"/>
        <v>0</v>
      </c>
      <c r="P72" s="1139">
        <f t="shared" si="42"/>
        <v>0</v>
      </c>
      <c r="Q72" s="1139">
        <f t="shared" si="42"/>
        <v>0</v>
      </c>
      <c r="R72" s="1139">
        <f t="shared" si="42"/>
        <v>0</v>
      </c>
      <c r="S72" s="1139">
        <f t="shared" si="42"/>
        <v>0</v>
      </c>
      <c r="T72" s="1139">
        <f t="shared" si="42"/>
        <v>0</v>
      </c>
      <c r="U72" s="1139">
        <f t="shared" si="42"/>
        <v>0</v>
      </c>
      <c r="V72" s="1139">
        <f t="shared" si="42"/>
        <v>0</v>
      </c>
      <c r="W72" s="1139">
        <f t="shared" si="42"/>
        <v>0</v>
      </c>
      <c r="X72" s="1139">
        <f t="shared" si="42"/>
        <v>0</v>
      </c>
      <c r="Y72" s="1139">
        <f t="shared" si="42"/>
        <v>0</v>
      </c>
      <c r="Z72" s="1139">
        <f t="shared" si="42"/>
        <v>0</v>
      </c>
      <c r="AA72" s="1139"/>
      <c r="AB72" s="1218"/>
      <c r="AC72" s="579"/>
    </row>
    <row r="73" spans="1:29" ht="21.95" hidden="1" customHeight="1" x14ac:dyDescent="0.15">
      <c r="A73" s="2596"/>
      <c r="B73" s="2606"/>
      <c r="C73" s="568" t="s">
        <v>1436</v>
      </c>
      <c r="D73" s="1062"/>
      <c r="F73" s="1139"/>
      <c r="G73" s="1139"/>
      <c r="H73" s="1139">
        <f t="shared" ref="H73:I73" si="43">H64</f>
        <v>0</v>
      </c>
      <c r="I73" s="1139">
        <f t="shared" si="43"/>
        <v>0</v>
      </c>
      <c r="J73" s="1139">
        <f t="shared" ref="J73:Z73" si="44">J64</f>
        <v>0</v>
      </c>
      <c r="K73" s="1139">
        <f t="shared" si="44"/>
        <v>0</v>
      </c>
      <c r="L73" s="1139">
        <f t="shared" si="44"/>
        <v>0</v>
      </c>
      <c r="M73" s="1139">
        <f t="shared" si="44"/>
        <v>0</v>
      </c>
      <c r="N73" s="1139">
        <f t="shared" si="44"/>
        <v>0</v>
      </c>
      <c r="O73" s="1139">
        <f t="shared" si="44"/>
        <v>0</v>
      </c>
      <c r="P73" s="1139">
        <f t="shared" si="44"/>
        <v>0</v>
      </c>
      <c r="Q73" s="1139">
        <f t="shared" si="44"/>
        <v>0</v>
      </c>
      <c r="R73" s="1139">
        <f t="shared" si="44"/>
        <v>0</v>
      </c>
      <c r="S73" s="1139">
        <f t="shared" si="44"/>
        <v>0</v>
      </c>
      <c r="T73" s="1139">
        <f t="shared" si="44"/>
        <v>0</v>
      </c>
      <c r="U73" s="1139">
        <f t="shared" si="44"/>
        <v>0</v>
      </c>
      <c r="V73" s="1139">
        <f t="shared" si="44"/>
        <v>0</v>
      </c>
      <c r="W73" s="1139">
        <f t="shared" si="44"/>
        <v>0</v>
      </c>
      <c r="X73" s="1139">
        <f t="shared" si="44"/>
        <v>0</v>
      </c>
      <c r="Y73" s="1139">
        <f t="shared" si="44"/>
        <v>0</v>
      </c>
      <c r="Z73" s="1139">
        <f t="shared" si="44"/>
        <v>0</v>
      </c>
      <c r="AA73" s="1139"/>
      <c r="AB73" s="1218"/>
      <c r="AC73" s="579"/>
    </row>
    <row r="74" spans="1:29" ht="21.95" hidden="1" customHeight="1" thickBot="1" x14ac:dyDescent="0.2">
      <c r="A74" s="2596"/>
      <c r="B74" s="2607"/>
      <c r="C74" s="566" t="s">
        <v>1437</v>
      </c>
      <c r="D74" s="983"/>
      <c r="E74" s="1513"/>
      <c r="F74" s="1135"/>
      <c r="G74" s="1135"/>
      <c r="H74" s="1135">
        <f t="shared" ref="H74:I74" si="45">H65</f>
        <v>0</v>
      </c>
      <c r="I74" s="1135">
        <f t="shared" si="45"/>
        <v>0</v>
      </c>
      <c r="J74" s="1135">
        <f t="shared" ref="J74:Z74" si="46">J65</f>
        <v>0</v>
      </c>
      <c r="K74" s="1135">
        <f t="shared" si="46"/>
        <v>0</v>
      </c>
      <c r="L74" s="1135">
        <f t="shared" si="46"/>
        <v>0</v>
      </c>
      <c r="M74" s="1135">
        <f t="shared" si="46"/>
        <v>0</v>
      </c>
      <c r="N74" s="1135">
        <f t="shared" si="46"/>
        <v>0</v>
      </c>
      <c r="O74" s="1135">
        <f t="shared" si="46"/>
        <v>0</v>
      </c>
      <c r="P74" s="1135">
        <f t="shared" si="46"/>
        <v>0</v>
      </c>
      <c r="Q74" s="1135">
        <f t="shared" si="46"/>
        <v>0</v>
      </c>
      <c r="R74" s="1135">
        <f t="shared" si="46"/>
        <v>0</v>
      </c>
      <c r="S74" s="1135">
        <f t="shared" si="46"/>
        <v>0</v>
      </c>
      <c r="T74" s="1135">
        <f t="shared" si="46"/>
        <v>0</v>
      </c>
      <c r="U74" s="1135">
        <f t="shared" si="46"/>
        <v>0</v>
      </c>
      <c r="V74" s="1135">
        <f t="shared" si="46"/>
        <v>0</v>
      </c>
      <c r="W74" s="1135">
        <f t="shared" si="46"/>
        <v>0</v>
      </c>
      <c r="X74" s="1135">
        <f t="shared" si="46"/>
        <v>0</v>
      </c>
      <c r="Y74" s="1135">
        <f t="shared" si="46"/>
        <v>0</v>
      </c>
      <c r="Z74" s="1135">
        <f t="shared" si="46"/>
        <v>0</v>
      </c>
      <c r="AA74" s="1135"/>
      <c r="AB74" s="1215"/>
      <c r="AC74" s="579"/>
    </row>
    <row r="75" spans="1:29" s="9" customFormat="1" ht="50.1" customHeight="1" thickBot="1" x14ac:dyDescent="0.2">
      <c r="A75" s="2597"/>
      <c r="B75" s="2913" t="s">
        <v>12</v>
      </c>
      <c r="C75" s="2914"/>
      <c r="D75" s="1274"/>
      <c r="E75" s="1515"/>
      <c r="F75" s="1242"/>
      <c r="G75" s="1242"/>
      <c r="H75" s="2105"/>
      <c r="I75" s="2105"/>
      <c r="J75" s="2105"/>
      <c r="K75" s="2105"/>
      <c r="L75" s="2105"/>
      <c r="M75" s="2105"/>
      <c r="N75" s="2105"/>
      <c r="O75" s="2105"/>
      <c r="P75" s="2105"/>
      <c r="Q75" s="2105"/>
      <c r="R75" s="2105"/>
      <c r="S75" s="2105"/>
      <c r="T75" s="2105"/>
      <c r="U75" s="2105"/>
      <c r="V75" s="2105"/>
      <c r="W75" s="2105"/>
      <c r="X75" s="2105"/>
      <c r="Y75" s="2105"/>
      <c r="Z75" s="2105"/>
      <c r="AA75" s="2105"/>
      <c r="AB75" s="2106"/>
      <c r="AC75" s="668">
        <v>1</v>
      </c>
    </row>
    <row r="76" spans="1:29" ht="19.5" hidden="1" thickTop="1" x14ac:dyDescent="0.15">
      <c r="F76" s="1243"/>
      <c r="G76" s="1243"/>
      <c r="H76" s="1243"/>
      <c r="I76" s="1243"/>
      <c r="J76" s="1243"/>
      <c r="K76" s="1243"/>
      <c r="L76" s="1243"/>
      <c r="M76" s="1243"/>
      <c r="N76" s="1243"/>
      <c r="O76" s="1243"/>
      <c r="P76" s="1243"/>
      <c r="Q76" s="1243"/>
      <c r="R76" s="1243"/>
      <c r="S76" s="1243"/>
      <c r="T76" s="1243"/>
      <c r="U76" s="1243"/>
      <c r="V76" s="1243"/>
      <c r="W76" s="1243"/>
      <c r="X76" s="1243"/>
      <c r="Y76" s="1243"/>
      <c r="Z76" s="1243"/>
      <c r="AA76" s="1243"/>
      <c r="AB76" s="1244"/>
    </row>
    <row r="77" spans="1:29" ht="19.5" thickTop="1" x14ac:dyDescent="0.15"/>
  </sheetData>
  <autoFilter ref="AC1:AC76" xr:uid="{00000000-0009-0000-0000-00001C000000}">
    <filterColumn colId="0">
      <customFilters>
        <customFilter operator="notEqual" val=" "/>
      </customFilters>
    </filterColumn>
  </autoFilter>
  <mergeCells count="29">
    <mergeCell ref="B42:B45"/>
    <mergeCell ref="B46:B48"/>
    <mergeCell ref="AJ1:AJ4"/>
    <mergeCell ref="AD1:AE1"/>
    <mergeCell ref="AF1:AG1"/>
    <mergeCell ref="AH1:AI1"/>
    <mergeCell ref="B38:B41"/>
    <mergeCell ref="B10:B11"/>
    <mergeCell ref="B28:B29"/>
    <mergeCell ref="B21:C21"/>
    <mergeCell ref="B23:C23"/>
    <mergeCell ref="B24:B27"/>
    <mergeCell ref="B22:C22"/>
    <mergeCell ref="A1:A75"/>
    <mergeCell ref="B1:C1"/>
    <mergeCell ref="B5:B8"/>
    <mergeCell ref="B34:B37"/>
    <mergeCell ref="B2:C2"/>
    <mergeCell ref="B3:B4"/>
    <mergeCell ref="B75:C75"/>
    <mergeCell ref="B9:C9"/>
    <mergeCell ref="B16:B20"/>
    <mergeCell ref="B30:B33"/>
    <mergeCell ref="B12:B15"/>
    <mergeCell ref="B66:B74"/>
    <mergeCell ref="B49:B52"/>
    <mergeCell ref="B53:B54"/>
    <mergeCell ref="B55:B56"/>
    <mergeCell ref="B57:B65"/>
  </mergeCells>
  <hyperlinks>
    <hyperlink ref="B1:C1" location="PAINEL!A1" display="VIAS" xr:uid="{00000000-0004-0000-1C00-000000000000}"/>
  </hyperlinks>
  <pageMargins left="0.59055118110236227" right="0.59055118110236227" top="0.78740157480314965" bottom="0.78740157480314965" header="0.23622047244094491" footer="0.23622047244094491"/>
  <pageSetup paperSize="9" scale="72" fitToWidth="7" orientation="landscape" r:id="rId1"/>
  <headerFooter>
    <oddFooter>&amp;L&amp;"Arial,Normal"&amp;8&amp;F&amp;C&amp;"Arial,Normal"&amp;8&amp;P/&amp;N&amp;R&amp;"+,Regular"&amp;8Ricardo Schettini Figueiredo
Eng. Civil - CREA-RJ 52.656/D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pageSetUpPr fitToPage="1"/>
  </sheetPr>
  <dimension ref="S4:AA7"/>
  <sheetViews>
    <sheetView showGridLines="0" showZeros="0" zoomScaleNormal="100" workbookViewId="0">
      <selection activeCell="S13" sqref="S13"/>
    </sheetView>
  </sheetViews>
  <sheetFormatPr defaultRowHeight="12.75" x14ac:dyDescent="0.2"/>
  <sheetData>
    <row r="4" spans="19:27" ht="20.25" customHeight="1" x14ac:dyDescent="0.2">
      <c r="S4" s="1988" t="str">
        <f>+Orçamento_Não_Deson!B1</f>
        <v>PREFEITURA MUNICIPAL DE RIBAS DO RIO PARDO / MS</v>
      </c>
      <c r="T4" s="1989"/>
      <c r="U4" s="1990"/>
      <c r="V4" s="1990"/>
      <c r="W4" s="1990"/>
      <c r="X4" s="1990"/>
      <c r="Y4" s="1990"/>
      <c r="Z4" s="1990"/>
      <c r="AA4" s="1990"/>
    </row>
    <row r="5" spans="19:27" ht="16.5" customHeight="1" x14ac:dyDescent="0.2">
      <c r="S5" s="1991" t="str">
        <f>+Orçamento_Não_Deson!B2</f>
        <v>ESTADO DE MATO GROSSO DO SUL</v>
      </c>
      <c r="T5" s="1989"/>
      <c r="U5" s="1990"/>
      <c r="V5" s="1990"/>
      <c r="W5" s="1990"/>
      <c r="X5" s="1990"/>
      <c r="Y5" s="1990"/>
      <c r="Z5" s="1990"/>
      <c r="AA5" s="1990"/>
    </row>
    <row r="6" spans="19:27" ht="23.25" customHeight="1" x14ac:dyDescent="0.2">
      <c r="S6" s="1990"/>
      <c r="T6" s="1992" t="str">
        <f>+Orçamento_Não_Deson!B5</f>
        <v>OBRA :</v>
      </c>
      <c r="U6" s="1993" t="str">
        <f>+Orçamento_Não_Deson!C5</f>
        <v xml:space="preserve">INFRAESTRUTURA URBANA - PAVIMENTAÇÃO ASFÁLTICA E DRENAGEM DE ÁGUAS PLUVIAIS </v>
      </c>
      <c r="V6" s="1993"/>
      <c r="W6" s="1993"/>
      <c r="X6" s="1993"/>
      <c r="Y6" s="1993"/>
      <c r="Z6" s="1993"/>
      <c r="AA6" s="1993"/>
    </row>
    <row r="7" spans="19:27" x14ac:dyDescent="0.2">
      <c r="S7" s="1990"/>
      <c r="T7" s="1992" t="str">
        <f>+Orçamento_Não_Deson!B6</f>
        <v>LOCAL :</v>
      </c>
      <c r="U7" s="1994" t="str">
        <f>+Orçamento_Não_Deson!C6</f>
        <v>PARQUE ESTORIL - ETAPAS 03 E 04</v>
      </c>
      <c r="V7" s="1995"/>
      <c r="W7" s="1995"/>
      <c r="X7" s="1995"/>
      <c r="Y7" s="1995"/>
      <c r="Z7" s="1995"/>
      <c r="AA7" s="1995"/>
    </row>
  </sheetData>
  <printOptions horizontalCentered="1" verticalCentered="1"/>
  <pageMargins left="0.39370078740157483" right="0.31496062992125984" top="0.82677165354330717" bottom="0.6692913385826772" header="0.82677165354330717" footer="0.23622047244094491"/>
  <pageSetup paperSize="9" scale="86" fitToHeight="21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37" filterMode="1">
    <tabColor rgb="FFFFFF99"/>
  </sheetPr>
  <dimension ref="A1:BC270"/>
  <sheetViews>
    <sheetView showZeros="0" zoomScaleNormal="100" zoomScaleSheetLayoutView="100" workbookViewId="0">
      <pane xSplit="6" ySplit="1" topLeftCell="I180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L271" sqref="L271"/>
    </sheetView>
  </sheetViews>
  <sheetFormatPr defaultColWidth="9" defaultRowHeight="18.75" x14ac:dyDescent="0.15"/>
  <cols>
    <col min="1" max="1" width="9.75" style="5" customWidth="1"/>
    <col min="2" max="2" width="12.625" style="5" customWidth="1"/>
    <col min="3" max="3" width="14.625" style="5" customWidth="1"/>
    <col min="4" max="4" width="30.625" style="5" customWidth="1"/>
    <col min="5" max="5" width="3.125" style="982" hidden="1" customWidth="1"/>
    <col min="6" max="6" width="8.625" style="9" hidden="1" customWidth="1"/>
    <col min="7" max="24" width="12.625" style="5" customWidth="1"/>
    <col min="25" max="25" width="12.625" style="5" hidden="1" customWidth="1"/>
    <col min="26" max="26" width="12.625" style="417" customWidth="1"/>
    <col min="27" max="27" width="15.875" style="5" customWidth="1"/>
    <col min="28" max="36" width="9" style="5" customWidth="1"/>
    <col min="37" max="39" width="9.25" style="5" customWidth="1"/>
    <col min="40" max="48" width="9" style="5" customWidth="1"/>
    <col min="49" max="54" width="9" style="5"/>
    <col min="55" max="55" width="9.375" style="5" bestFit="1" customWidth="1"/>
    <col min="56" max="16384" width="9" style="5"/>
  </cols>
  <sheetData>
    <row r="1" spans="1:27" s="10" customFormat="1" ht="47.25" customHeight="1" thickTop="1" thickBot="1" x14ac:dyDescent="0.2">
      <c r="A1" s="2595" t="s">
        <v>1827</v>
      </c>
      <c r="B1" s="2848" t="s">
        <v>348</v>
      </c>
      <c r="C1" s="2848"/>
      <c r="D1" s="2915"/>
      <c r="E1" s="991"/>
      <c r="F1" s="974" t="s">
        <v>588</v>
      </c>
      <c r="G1" s="661" t="str">
        <f>Pav_Dados!G1</f>
        <v>Avenida Alentino Souza Oliveira - LD</v>
      </c>
      <c r="H1" s="661" t="str">
        <f>Pav_Dados!H1</f>
        <v>Avenida Alentino Souza Oliveira - LE</v>
      </c>
      <c r="I1" s="661" t="str">
        <f>Pav_Dados!I1</f>
        <v>Avenida Aureliano Moura Brandão - LD</v>
      </c>
      <c r="J1" s="661" t="str">
        <f>Pav_Dados!J1</f>
        <v>Avenida Aureliano Moura Brandão - LE</v>
      </c>
      <c r="K1" s="661" t="str">
        <f>Pav_Dados!K1</f>
        <v>Rua Deoclides Batista Ramos</v>
      </c>
      <c r="L1" s="661" t="str">
        <f>Pav_Dados!L1</f>
        <v>Rua Elder Oliveira de Paula</v>
      </c>
      <c r="M1" s="661" t="str">
        <f>Pav_Dados!M1</f>
        <v>Rua Elder Oliveira de Paula - 01</v>
      </c>
      <c r="N1" s="661" t="str">
        <f>Pav_Dados!N1</f>
        <v>Rua Joaquim Lino Vieira</v>
      </c>
      <c r="O1" s="661" t="str">
        <f>Pav_Dados!O1</f>
        <v>Rua Joaquim Lino Vieira - 01</v>
      </c>
      <c r="P1" s="661" t="str">
        <f>Pav_Dados!P1</f>
        <v>Rua Maria Áurea Dal Bello Cazatti</v>
      </c>
      <c r="Q1" s="661" t="str">
        <f>Pav_Dados!Q1</f>
        <v>Rua Rafael Silva dos Reis</v>
      </c>
      <c r="R1" s="661" t="str">
        <f>Pav_Dados!R1</f>
        <v>Rua Ribeirão Dourado</v>
      </c>
      <c r="S1" s="661" t="str">
        <f>Pav_Dados!S1</f>
        <v>Rua Ribeirão Serrote</v>
      </c>
      <c r="T1" s="661" t="str">
        <f>Pav_Dados!T1</f>
        <v>Rua Ribeiro Mantena</v>
      </c>
      <c r="U1" s="661" t="str">
        <f>Pav_Dados!U1</f>
        <v>Rua Rio Botas</v>
      </c>
      <c r="V1" s="661" t="str">
        <f>Pav_Dados!V1</f>
        <v>Rua Rio Paraná</v>
      </c>
      <c r="W1" s="661" t="str">
        <f>Pav_Dados!W1</f>
        <v>Rua Rio Verde</v>
      </c>
      <c r="X1" s="661" t="str">
        <f>Pav_Dados!X1</f>
        <v>Rua Sônia Aparecida Silva dos Reis</v>
      </c>
      <c r="Y1" s="661"/>
      <c r="Z1" s="427" t="s">
        <v>0</v>
      </c>
      <c r="AA1" s="578" t="s">
        <v>1359</v>
      </c>
    </row>
    <row r="2" spans="1:27" s="10" customFormat="1" ht="21.95" hidden="1" customHeight="1" thickTop="1" thickBot="1" x14ac:dyDescent="0.2">
      <c r="A2" s="2707"/>
      <c r="B2" s="2953" t="s">
        <v>1483</v>
      </c>
      <c r="C2" s="2954"/>
      <c r="D2" s="2955"/>
      <c r="E2" s="1271"/>
      <c r="F2" s="1272"/>
      <c r="G2" s="1996">
        <f>Pav_Dados!G2</f>
        <v>550.02</v>
      </c>
      <c r="H2" s="1996">
        <f>Pav_Dados!H2</f>
        <v>549.91999999999996</v>
      </c>
      <c r="I2" s="1996">
        <f>Pav_Dados!I2</f>
        <v>304.02</v>
      </c>
      <c r="J2" s="1996">
        <f>Pav_Dados!J2</f>
        <v>304.27</v>
      </c>
      <c r="K2" s="1996">
        <f>Pav_Dados!K2</f>
        <v>260.7</v>
      </c>
      <c r="L2" s="1996">
        <f>Pav_Dados!L2</f>
        <v>162.53</v>
      </c>
      <c r="M2" s="1996">
        <f>Pav_Dados!M2</f>
        <v>23.58</v>
      </c>
      <c r="N2" s="1996">
        <f>Pav_Dados!N2</f>
        <v>263.7</v>
      </c>
      <c r="O2" s="1996">
        <f>Pav_Dados!O2</f>
        <v>474.38</v>
      </c>
      <c r="P2" s="1996">
        <f>Pav_Dados!P2</f>
        <v>263.28999999999996</v>
      </c>
      <c r="Q2" s="1996">
        <f>Pav_Dados!Q2</f>
        <v>302.41999999999996</v>
      </c>
      <c r="R2" s="1996">
        <f>Pav_Dados!R2</f>
        <v>652.08999999999992</v>
      </c>
      <c r="S2" s="1996">
        <f>Pav_Dados!S2</f>
        <v>654.04999999999995</v>
      </c>
      <c r="T2" s="1996">
        <f>Pav_Dados!T2</f>
        <v>622.59</v>
      </c>
      <c r="U2" s="1996">
        <f>Pav_Dados!U2</f>
        <v>674.8</v>
      </c>
      <c r="V2" s="1996">
        <f>Pav_Dados!V2</f>
        <v>659.43</v>
      </c>
      <c r="W2" s="1996">
        <f>Pav_Dados!W2</f>
        <v>276.54000000000002</v>
      </c>
      <c r="X2" s="1996">
        <f>Pav_Dados!X2</f>
        <v>432.77</v>
      </c>
      <c r="Y2" s="1996"/>
      <c r="Z2" s="1273">
        <f>TRUNC(SUM(G2:Y2),2)</f>
        <v>7431.1</v>
      </c>
      <c r="AA2" s="1017"/>
    </row>
    <row r="3" spans="1:27" s="10" customFormat="1" ht="21.95" hidden="1" customHeight="1" thickBot="1" x14ac:dyDescent="0.2">
      <c r="A3" s="2707"/>
      <c r="B3" s="2797" t="s">
        <v>1593</v>
      </c>
      <c r="C3" s="2798"/>
      <c r="D3" s="2799"/>
      <c r="E3" s="1062"/>
      <c r="F3" s="1345"/>
      <c r="G3" s="8">
        <f t="shared" ref="G3:X3" si="0">G7+G10+G12*G14+G16*G18+G36*G38+G43*G45+G50*G52+G57*G59+G64*G66+G71*G73+G78*G80+G85*G87+G93*G95+G100*G102+G107*G109+G114*G116+G121*G123+G128*G130+G136*G138</f>
        <v>0</v>
      </c>
      <c r="H3" s="8">
        <f t="shared" si="0"/>
        <v>0</v>
      </c>
      <c r="I3" s="8">
        <f t="shared" si="0"/>
        <v>0</v>
      </c>
      <c r="J3" s="8">
        <f t="shared" si="0"/>
        <v>0</v>
      </c>
      <c r="K3" s="8">
        <f t="shared" si="0"/>
        <v>0</v>
      </c>
      <c r="L3" s="8">
        <f t="shared" si="0"/>
        <v>0</v>
      </c>
      <c r="M3" s="8">
        <f t="shared" si="0"/>
        <v>0</v>
      </c>
      <c r="N3" s="8">
        <f t="shared" si="0"/>
        <v>0</v>
      </c>
      <c r="O3" s="8">
        <f t="shared" si="0"/>
        <v>0</v>
      </c>
      <c r="P3" s="8">
        <f t="shared" si="0"/>
        <v>0</v>
      </c>
      <c r="Q3" s="8">
        <f t="shared" si="0"/>
        <v>0</v>
      </c>
      <c r="R3" s="8">
        <f t="shared" si="0"/>
        <v>0</v>
      </c>
      <c r="S3" s="8">
        <f t="shared" si="0"/>
        <v>0</v>
      </c>
      <c r="T3" s="8">
        <f t="shared" si="0"/>
        <v>0</v>
      </c>
      <c r="U3" s="8">
        <f t="shared" si="0"/>
        <v>0</v>
      </c>
      <c r="V3" s="8">
        <f t="shared" si="0"/>
        <v>0</v>
      </c>
      <c r="W3" s="8">
        <f t="shared" si="0"/>
        <v>0</v>
      </c>
      <c r="X3" s="8">
        <f t="shared" si="0"/>
        <v>0</v>
      </c>
      <c r="Y3" s="8"/>
      <c r="Z3" s="416">
        <f>TRUNC(SUM(G3:Y3),2)</f>
        <v>0</v>
      </c>
      <c r="AA3" s="579">
        <f t="shared" ref="AA3:AA34" si="1">SUM(G3:Z3)</f>
        <v>0</v>
      </c>
    </row>
    <row r="4" spans="1:27" s="10" customFormat="1" ht="21.95" hidden="1" customHeight="1" x14ac:dyDescent="0.15">
      <c r="A4" s="2707"/>
      <c r="B4" s="2810" t="s">
        <v>470</v>
      </c>
      <c r="C4" s="2757"/>
      <c r="D4" s="1247" t="s">
        <v>475</v>
      </c>
      <c r="E4" s="1061"/>
      <c r="F4" s="1410"/>
      <c r="G4" s="1409"/>
      <c r="H4" s="1409"/>
      <c r="I4" s="1409"/>
      <c r="J4" s="1409"/>
      <c r="K4" s="1409"/>
      <c r="L4" s="1409"/>
      <c r="M4" s="1409"/>
      <c r="N4" s="1409"/>
      <c r="O4" s="1409"/>
      <c r="P4" s="1409"/>
      <c r="Q4" s="1409"/>
      <c r="R4" s="1409"/>
      <c r="S4" s="1409"/>
      <c r="T4" s="1409"/>
      <c r="U4" s="1409"/>
      <c r="V4" s="1409"/>
      <c r="W4" s="1409"/>
      <c r="X4" s="1409"/>
      <c r="Y4" s="1409"/>
      <c r="Z4" s="430"/>
      <c r="AA4" s="579">
        <f t="shared" si="1"/>
        <v>0</v>
      </c>
    </row>
    <row r="5" spans="1:27" s="10" customFormat="1" ht="21.95" hidden="1" customHeight="1" thickBot="1" x14ac:dyDescent="0.2">
      <c r="A5" s="2707"/>
      <c r="B5" s="2811"/>
      <c r="C5" s="2758"/>
      <c r="D5" s="1246" t="s">
        <v>471</v>
      </c>
      <c r="E5" s="983"/>
      <c r="F5" s="564"/>
      <c r="G5" s="1174">
        <f t="shared" ref="G5:X5" si="2">G4*G3</f>
        <v>0</v>
      </c>
      <c r="H5" s="1174">
        <f t="shared" si="2"/>
        <v>0</v>
      </c>
      <c r="I5" s="1174">
        <f t="shared" si="2"/>
        <v>0</v>
      </c>
      <c r="J5" s="1174">
        <f t="shared" si="2"/>
        <v>0</v>
      </c>
      <c r="K5" s="1174">
        <f t="shared" si="2"/>
        <v>0</v>
      </c>
      <c r="L5" s="1174">
        <f t="shared" si="2"/>
        <v>0</v>
      </c>
      <c r="M5" s="1174">
        <f t="shared" si="2"/>
        <v>0</v>
      </c>
      <c r="N5" s="1174">
        <f t="shared" si="2"/>
        <v>0</v>
      </c>
      <c r="O5" s="1174">
        <f t="shared" si="2"/>
        <v>0</v>
      </c>
      <c r="P5" s="1174">
        <f t="shared" si="2"/>
        <v>0</v>
      </c>
      <c r="Q5" s="1174">
        <f t="shared" si="2"/>
        <v>0</v>
      </c>
      <c r="R5" s="1174">
        <f t="shared" si="2"/>
        <v>0</v>
      </c>
      <c r="S5" s="1174">
        <f t="shared" si="2"/>
        <v>0</v>
      </c>
      <c r="T5" s="1174">
        <f t="shared" si="2"/>
        <v>0</v>
      </c>
      <c r="U5" s="1174">
        <f t="shared" si="2"/>
        <v>0</v>
      </c>
      <c r="V5" s="1174">
        <f t="shared" si="2"/>
        <v>0</v>
      </c>
      <c r="W5" s="1174">
        <f t="shared" si="2"/>
        <v>0</v>
      </c>
      <c r="X5" s="1174">
        <f t="shared" si="2"/>
        <v>0</v>
      </c>
      <c r="Y5" s="1174"/>
      <c r="Z5" s="416">
        <f>TRUNC(SUM(G5:Y5),2)</f>
        <v>0</v>
      </c>
      <c r="AA5" s="579">
        <f t="shared" si="1"/>
        <v>0</v>
      </c>
    </row>
    <row r="6" spans="1:27" ht="21.95" hidden="1" customHeight="1" x14ac:dyDescent="0.15">
      <c r="A6" s="2707"/>
      <c r="B6" s="2616" t="s">
        <v>1489</v>
      </c>
      <c r="C6" s="2757" t="s">
        <v>1576</v>
      </c>
      <c r="D6" s="542" t="s">
        <v>58</v>
      </c>
      <c r="E6" s="1061"/>
      <c r="F6" s="1344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1276"/>
      <c r="AA6" s="579">
        <f t="shared" si="1"/>
        <v>0</v>
      </c>
    </row>
    <row r="7" spans="1:27" ht="21.95" hidden="1" customHeight="1" x14ac:dyDescent="0.15">
      <c r="A7" s="2707"/>
      <c r="B7" s="2617"/>
      <c r="C7" s="2759"/>
      <c r="D7" s="543" t="s">
        <v>3</v>
      </c>
      <c r="E7" s="1062"/>
      <c r="F7" s="1345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2">
        <f>TRUNC(SUM(G7:Y7),2)</f>
        <v>0</v>
      </c>
      <c r="AA7" s="579">
        <f t="shared" si="1"/>
        <v>0</v>
      </c>
    </row>
    <row r="8" spans="1:27" ht="21.95" hidden="1" customHeight="1" x14ac:dyDescent="0.15">
      <c r="A8" s="2707"/>
      <c r="B8" s="2617"/>
      <c r="C8" s="2759"/>
      <c r="D8" s="547" t="s">
        <v>1498</v>
      </c>
      <c r="E8" s="1062"/>
      <c r="F8" s="1345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2">
        <f>TRUNC(SUM(G8:Y8),2)</f>
        <v>0</v>
      </c>
      <c r="AA8" s="579">
        <f t="shared" si="1"/>
        <v>0</v>
      </c>
    </row>
    <row r="9" spans="1:27" ht="21.95" hidden="1" customHeight="1" x14ac:dyDescent="0.15">
      <c r="A9" s="2707"/>
      <c r="B9" s="2617"/>
      <c r="C9" s="2950" t="s">
        <v>1577</v>
      </c>
      <c r="D9" s="543" t="s">
        <v>58</v>
      </c>
      <c r="E9" s="1064"/>
      <c r="F9" s="1363"/>
      <c r="G9" s="1605"/>
      <c r="H9" s="1605"/>
      <c r="I9" s="1605"/>
      <c r="J9" s="1605"/>
      <c r="K9" s="1605"/>
      <c r="L9" s="1605"/>
      <c r="M9" s="1605"/>
      <c r="N9" s="1605"/>
      <c r="O9" s="1605"/>
      <c r="P9" s="1605"/>
      <c r="Q9" s="1605"/>
      <c r="R9" s="1605"/>
      <c r="S9" s="1605"/>
      <c r="T9" s="1605"/>
      <c r="U9" s="1605"/>
      <c r="V9" s="1605"/>
      <c r="W9" s="1605"/>
      <c r="X9" s="1605"/>
      <c r="Y9" s="1605"/>
      <c r="Z9" s="2356"/>
      <c r="AA9" s="579">
        <f t="shared" si="1"/>
        <v>0</v>
      </c>
    </row>
    <row r="10" spans="1:27" ht="21.95" hidden="1" customHeight="1" x14ac:dyDescent="0.15">
      <c r="A10" s="2707"/>
      <c r="B10" s="2617"/>
      <c r="C10" s="2807"/>
      <c r="D10" s="543" t="s">
        <v>3</v>
      </c>
      <c r="E10" s="1062"/>
      <c r="F10" s="1345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2">
        <f>TRUNC(SUM(G10:Y10),2)</f>
        <v>0</v>
      </c>
      <c r="AA10" s="579">
        <f t="shared" si="1"/>
        <v>0</v>
      </c>
    </row>
    <row r="11" spans="1:27" ht="21.95" hidden="1" customHeight="1" thickBot="1" x14ac:dyDescent="0.2">
      <c r="A11" s="2707"/>
      <c r="B11" s="2618"/>
      <c r="C11" s="2806"/>
      <c r="D11" s="546" t="s">
        <v>1498</v>
      </c>
      <c r="E11" s="983"/>
      <c r="F11" s="1270"/>
      <c r="G11" s="1303"/>
      <c r="H11" s="1303"/>
      <c r="I11" s="1303"/>
      <c r="J11" s="1303"/>
      <c r="K11" s="1303"/>
      <c r="L11" s="1303"/>
      <c r="M11" s="1303"/>
      <c r="N11" s="1303"/>
      <c r="O11" s="1303"/>
      <c r="P11" s="1303"/>
      <c r="Q11" s="1303"/>
      <c r="R11" s="1303"/>
      <c r="S11" s="1303"/>
      <c r="T11" s="1303"/>
      <c r="U11" s="1303"/>
      <c r="V11" s="1303"/>
      <c r="W11" s="1303"/>
      <c r="X11" s="1303"/>
      <c r="Y11" s="1303"/>
      <c r="Z11" s="429">
        <f>TRUNC(SUM(G11:Y11),2)</f>
        <v>0</v>
      </c>
      <c r="AA11" s="579">
        <f t="shared" si="1"/>
        <v>0</v>
      </c>
    </row>
    <row r="12" spans="1:27" ht="21.95" hidden="1" customHeight="1" x14ac:dyDescent="0.15">
      <c r="A12" s="2707"/>
      <c r="B12" s="2911" t="s">
        <v>1578</v>
      </c>
      <c r="C12" s="2908" t="s">
        <v>1576</v>
      </c>
      <c r="D12" s="542" t="s">
        <v>60</v>
      </c>
      <c r="E12" s="1061"/>
      <c r="F12" s="1344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12">
        <f>TRUNC(SUM(G12:Y12),2)</f>
        <v>0</v>
      </c>
      <c r="AA12" s="579">
        <f t="shared" si="1"/>
        <v>0</v>
      </c>
    </row>
    <row r="13" spans="1:27" ht="21.95" hidden="1" customHeight="1" x14ac:dyDescent="0.15">
      <c r="A13" s="2707"/>
      <c r="B13" s="2912"/>
      <c r="C13" s="2909"/>
      <c r="D13" s="543" t="s">
        <v>1581</v>
      </c>
      <c r="E13" s="1062"/>
      <c r="F13" s="1345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2"/>
      <c r="AA13" s="579">
        <f t="shared" si="1"/>
        <v>0</v>
      </c>
    </row>
    <row r="14" spans="1:27" ht="21.95" hidden="1" customHeight="1" x14ac:dyDescent="0.15">
      <c r="A14" s="2707"/>
      <c r="B14" s="2912"/>
      <c r="C14" s="2909"/>
      <c r="D14" s="543" t="s">
        <v>1582</v>
      </c>
      <c r="E14" s="1062"/>
      <c r="F14" s="1345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2">
        <f>TRUNC(SUM(G14:Y14),2)</f>
        <v>0</v>
      </c>
      <c r="AA14" s="579">
        <f t="shared" si="1"/>
        <v>0</v>
      </c>
    </row>
    <row r="15" spans="1:27" ht="21.95" hidden="1" customHeight="1" x14ac:dyDescent="0.15">
      <c r="A15" s="2707"/>
      <c r="B15" s="2912"/>
      <c r="C15" s="2909"/>
      <c r="D15" s="544" t="s">
        <v>1583</v>
      </c>
      <c r="E15" s="1063"/>
      <c r="F15" s="1362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1277">
        <f>TRUNC(SUM(G15:Y15),2)</f>
        <v>0</v>
      </c>
      <c r="AA15" s="579">
        <f t="shared" si="1"/>
        <v>0</v>
      </c>
    </row>
    <row r="16" spans="1:27" ht="21.95" hidden="1" customHeight="1" x14ac:dyDescent="0.15">
      <c r="A16" s="2707"/>
      <c r="B16" s="2912"/>
      <c r="C16" s="2909" t="s">
        <v>1577</v>
      </c>
      <c r="D16" s="544" t="s">
        <v>60</v>
      </c>
      <c r="E16" s="1062"/>
      <c r="F16" s="1345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2">
        <f>TRUNC(SUM(G16:Y16),2)</f>
        <v>0</v>
      </c>
      <c r="AA16" s="579">
        <f t="shared" si="1"/>
        <v>0</v>
      </c>
    </row>
    <row r="17" spans="1:27" ht="21.95" hidden="1" customHeight="1" x14ac:dyDescent="0.15">
      <c r="A17" s="2707"/>
      <c r="B17" s="2912"/>
      <c r="C17" s="2909"/>
      <c r="D17" s="543" t="s">
        <v>1581</v>
      </c>
      <c r="E17" s="1062"/>
      <c r="F17" s="1345"/>
      <c r="G17" s="1280"/>
      <c r="H17" s="1280"/>
      <c r="I17" s="1280"/>
      <c r="J17" s="1280"/>
      <c r="K17" s="1280"/>
      <c r="L17" s="1280"/>
      <c r="M17" s="1280"/>
      <c r="N17" s="1280"/>
      <c r="O17" s="1280"/>
      <c r="P17" s="1280"/>
      <c r="Q17" s="1280"/>
      <c r="R17" s="1280"/>
      <c r="S17" s="1280"/>
      <c r="T17" s="1280"/>
      <c r="U17" s="1280"/>
      <c r="V17" s="1280"/>
      <c r="W17" s="1280"/>
      <c r="X17" s="1280"/>
      <c r="Y17" s="1280"/>
      <c r="Z17" s="12"/>
      <c r="AA17" s="579">
        <f t="shared" si="1"/>
        <v>0</v>
      </c>
    </row>
    <row r="18" spans="1:27" ht="21.95" hidden="1" customHeight="1" x14ac:dyDescent="0.15">
      <c r="A18" s="2707"/>
      <c r="B18" s="2694"/>
      <c r="C18" s="2812"/>
      <c r="D18" s="543" t="s">
        <v>1582</v>
      </c>
      <c r="E18" s="1062"/>
      <c r="F18" s="1345"/>
      <c r="G18" s="1280"/>
      <c r="H18" s="1280"/>
      <c r="I18" s="1280"/>
      <c r="J18" s="1280"/>
      <c r="K18" s="1280"/>
      <c r="L18" s="1280"/>
      <c r="M18" s="1280"/>
      <c r="N18" s="1280"/>
      <c r="O18" s="1280"/>
      <c r="P18" s="1280"/>
      <c r="Q18" s="1280"/>
      <c r="R18" s="1280"/>
      <c r="S18" s="1280"/>
      <c r="T18" s="1280"/>
      <c r="U18" s="1280"/>
      <c r="V18" s="1280"/>
      <c r="W18" s="1280"/>
      <c r="X18" s="1280"/>
      <c r="Y18" s="1280"/>
      <c r="Z18" s="12">
        <f>TRUNC(SUM(G18:Y18),2)</f>
        <v>0</v>
      </c>
      <c r="AA18" s="579">
        <f t="shared" si="1"/>
        <v>0</v>
      </c>
    </row>
    <row r="19" spans="1:27" ht="21.95" hidden="1" customHeight="1" thickBot="1" x14ac:dyDescent="0.2">
      <c r="A19" s="2707"/>
      <c r="B19" s="2951"/>
      <c r="C19" s="2910"/>
      <c r="D19" s="546" t="s">
        <v>1583</v>
      </c>
      <c r="E19" s="983"/>
      <c r="F19" s="1270"/>
      <c r="G19" s="1303"/>
      <c r="H19" s="1303"/>
      <c r="I19" s="1303"/>
      <c r="J19" s="1303"/>
      <c r="K19" s="1303"/>
      <c r="L19" s="1303"/>
      <c r="M19" s="1303"/>
      <c r="N19" s="1303"/>
      <c r="O19" s="1303"/>
      <c r="P19" s="1303"/>
      <c r="Q19" s="1303"/>
      <c r="R19" s="1303"/>
      <c r="S19" s="1303"/>
      <c r="T19" s="1303"/>
      <c r="U19" s="1303"/>
      <c r="V19" s="1303"/>
      <c r="W19" s="1303"/>
      <c r="X19" s="1303"/>
      <c r="Y19" s="1303"/>
      <c r="Z19" s="429">
        <f>TRUNC(SUM(G19:Y19),2)</f>
        <v>0</v>
      </c>
      <c r="AA19" s="579">
        <f t="shared" si="1"/>
        <v>0</v>
      </c>
    </row>
    <row r="20" spans="1:27" ht="21.95" customHeight="1" thickTop="1" thickBot="1" x14ac:dyDescent="0.2">
      <c r="A20" s="2707"/>
      <c r="B20" s="2822" t="s">
        <v>1579</v>
      </c>
      <c r="C20" s="2823"/>
      <c r="D20" s="2111" t="s">
        <v>1860</v>
      </c>
      <c r="E20" s="983"/>
      <c r="F20" s="1270"/>
      <c r="G20" s="2115">
        <v>702.83</v>
      </c>
      <c r="H20" s="2115">
        <v>670.76</v>
      </c>
      <c r="I20" s="2115">
        <v>355.23</v>
      </c>
      <c r="J20" s="2115">
        <v>355.53</v>
      </c>
      <c r="K20" s="2115">
        <f>297.71+321.98</f>
        <v>619.69000000000005</v>
      </c>
      <c r="L20" s="2115">
        <f>171.58+193.24</f>
        <v>364.82000000000005</v>
      </c>
      <c r="M20" s="2115">
        <f>26.06+26.06</f>
        <v>52.12</v>
      </c>
      <c r="N20" s="2115">
        <f>312.28+316.39</f>
        <v>628.66999999999996</v>
      </c>
      <c r="O20" s="2115">
        <f>565.36+587.99</f>
        <v>1153.3499999999999</v>
      </c>
      <c r="P20" s="2115">
        <f>311.45+318.74</f>
        <v>630.19000000000005</v>
      </c>
      <c r="Q20" s="2115">
        <f>311.35+325.21</f>
        <v>636.55999999999995</v>
      </c>
      <c r="R20" s="2115">
        <f>761.65+803.08</f>
        <v>1564.73</v>
      </c>
      <c r="S20" s="2115">
        <f>772.25+794.25</f>
        <v>1566.5</v>
      </c>
      <c r="T20" s="2115">
        <f>745.79+757.14</f>
        <v>1502.9299999999998</v>
      </c>
      <c r="U20" s="2115">
        <f>792.53+820.9</f>
        <v>1613.4299999999998</v>
      </c>
      <c r="V20" s="2115">
        <f>776.25+796.46</f>
        <v>1572.71</v>
      </c>
      <c r="W20" s="2115">
        <f>322.56+296.57</f>
        <v>619.13</v>
      </c>
      <c r="X20" s="2115">
        <f>439.47+440.52</f>
        <v>879.99</v>
      </c>
      <c r="Y20" s="2115"/>
      <c r="Z20" s="1326">
        <f>TRUNC(SUM(G20:Y20),2)</f>
        <v>15489.17</v>
      </c>
      <c r="AA20" s="579">
        <f t="shared" si="1"/>
        <v>30978.339999999997</v>
      </c>
    </row>
    <row r="21" spans="1:27" ht="21.95" hidden="1" customHeight="1" x14ac:dyDescent="0.15">
      <c r="A21" s="2707"/>
      <c r="B21" s="2616" t="s">
        <v>2443</v>
      </c>
      <c r="C21" s="2957" t="s">
        <v>3</v>
      </c>
      <c r="D21" s="2940"/>
      <c r="E21" s="1062"/>
      <c r="F21" s="1345"/>
      <c r="G21" s="2088"/>
      <c r="H21" s="2088"/>
      <c r="I21" s="2088"/>
      <c r="J21" s="2088"/>
      <c r="K21" s="2088"/>
      <c r="L21" s="2088"/>
      <c r="M21" s="2088"/>
      <c r="N21" s="2088"/>
      <c r="O21" s="2088"/>
      <c r="P21" s="2088"/>
      <c r="Q21" s="2088"/>
      <c r="R21" s="2088"/>
      <c r="S21" s="2088"/>
      <c r="T21" s="2088"/>
      <c r="U21" s="2088"/>
      <c r="V21" s="2088"/>
      <c r="W21" s="2088"/>
      <c r="X21" s="2088"/>
      <c r="Y21" s="2088"/>
      <c r="Z21" s="430"/>
      <c r="AA21" s="579">
        <f t="shared" si="1"/>
        <v>0</v>
      </c>
    </row>
    <row r="22" spans="1:27" ht="21.95" hidden="1" customHeight="1" x14ac:dyDescent="0.15">
      <c r="A22" s="2707"/>
      <c r="B22" s="2617"/>
      <c r="C22" s="2957" t="s">
        <v>54</v>
      </c>
      <c r="D22" s="2940"/>
      <c r="E22" s="1062"/>
      <c r="F22" s="1345"/>
      <c r="G22" s="1202"/>
      <c r="H22" s="1202"/>
      <c r="I22" s="1202"/>
      <c r="J22" s="1202"/>
      <c r="K22" s="1202"/>
      <c r="L22" s="1202"/>
      <c r="M22" s="1202"/>
      <c r="N22" s="1202"/>
      <c r="O22" s="1202"/>
      <c r="P22" s="1202"/>
      <c r="Q22" s="1202"/>
      <c r="R22" s="1202"/>
      <c r="S22" s="1202"/>
      <c r="T22" s="1202"/>
      <c r="U22" s="1202"/>
      <c r="V22" s="1202"/>
      <c r="W22" s="1202"/>
      <c r="X22" s="1202"/>
      <c r="Y22" s="1202"/>
      <c r="Z22" s="12"/>
      <c r="AA22" s="579">
        <f t="shared" si="1"/>
        <v>0</v>
      </c>
    </row>
    <row r="23" spans="1:27" ht="21.95" hidden="1" customHeight="1" x14ac:dyDescent="0.15">
      <c r="A23" s="2707"/>
      <c r="B23" s="2617"/>
      <c r="C23" s="2957" t="s">
        <v>625</v>
      </c>
      <c r="D23" s="2940"/>
      <c r="E23" s="1062"/>
      <c r="F23" s="1345"/>
      <c r="G23" s="1202"/>
      <c r="H23" s="1202"/>
      <c r="I23" s="1202"/>
      <c r="J23" s="1202"/>
      <c r="K23" s="1202"/>
      <c r="L23" s="1202"/>
      <c r="M23" s="1202"/>
      <c r="N23" s="1202"/>
      <c r="O23" s="1202"/>
      <c r="P23" s="1202"/>
      <c r="Q23" s="1202"/>
      <c r="R23" s="1202"/>
      <c r="S23" s="1202"/>
      <c r="T23" s="1202"/>
      <c r="U23" s="1202"/>
      <c r="V23" s="1202"/>
      <c r="W23" s="1202"/>
      <c r="X23" s="1202"/>
      <c r="Y23" s="1202"/>
      <c r="Z23" s="12"/>
      <c r="AA23" s="579">
        <f t="shared" si="1"/>
        <v>0</v>
      </c>
    </row>
    <row r="24" spans="1:27" ht="21.95" hidden="1" customHeight="1" x14ac:dyDescent="0.15">
      <c r="A24" s="2707"/>
      <c r="B24" s="2617"/>
      <c r="C24" s="2957" t="s">
        <v>29</v>
      </c>
      <c r="D24" s="2940"/>
      <c r="E24" s="1062"/>
      <c r="F24" s="1345"/>
      <c r="G24" s="8">
        <f t="shared" ref="G24:X24" si="3">G21*G22</f>
        <v>0</v>
      </c>
      <c r="H24" s="8">
        <f t="shared" si="3"/>
        <v>0</v>
      </c>
      <c r="I24" s="8">
        <f t="shared" si="3"/>
        <v>0</v>
      </c>
      <c r="J24" s="8">
        <f t="shared" si="3"/>
        <v>0</v>
      </c>
      <c r="K24" s="8">
        <f t="shared" si="3"/>
        <v>0</v>
      </c>
      <c r="L24" s="8">
        <f t="shared" si="3"/>
        <v>0</v>
      </c>
      <c r="M24" s="8">
        <f t="shared" si="3"/>
        <v>0</v>
      </c>
      <c r="N24" s="8">
        <f t="shared" si="3"/>
        <v>0</v>
      </c>
      <c r="O24" s="8">
        <f t="shared" si="3"/>
        <v>0</v>
      </c>
      <c r="P24" s="8">
        <f t="shared" si="3"/>
        <v>0</v>
      </c>
      <c r="Q24" s="8">
        <f t="shared" si="3"/>
        <v>0</v>
      </c>
      <c r="R24" s="8">
        <f t="shared" si="3"/>
        <v>0</v>
      </c>
      <c r="S24" s="8">
        <f t="shared" si="3"/>
        <v>0</v>
      </c>
      <c r="T24" s="8">
        <f t="shared" si="3"/>
        <v>0</v>
      </c>
      <c r="U24" s="8">
        <f t="shared" si="3"/>
        <v>0</v>
      </c>
      <c r="V24" s="8">
        <f t="shared" si="3"/>
        <v>0</v>
      </c>
      <c r="W24" s="8">
        <f t="shared" si="3"/>
        <v>0</v>
      </c>
      <c r="X24" s="8">
        <f t="shared" si="3"/>
        <v>0</v>
      </c>
      <c r="Y24" s="8"/>
      <c r="Z24" s="425">
        <f>TRUNC(SUM(G24:Y24),2)</f>
        <v>0</v>
      </c>
      <c r="AA24" s="579">
        <f t="shared" si="1"/>
        <v>0</v>
      </c>
    </row>
    <row r="25" spans="1:27" ht="21.95" hidden="1" customHeight="1" thickBot="1" x14ac:dyDescent="0.2">
      <c r="A25" s="2707"/>
      <c r="B25" s="2618"/>
      <c r="C25" s="2957" t="s">
        <v>7</v>
      </c>
      <c r="D25" s="2940"/>
      <c r="E25" s="1062"/>
      <c r="F25" s="1345"/>
      <c r="G25" s="8">
        <f t="shared" ref="G25:X25" si="4">G24*G23</f>
        <v>0</v>
      </c>
      <c r="H25" s="8">
        <f t="shared" si="4"/>
        <v>0</v>
      </c>
      <c r="I25" s="8">
        <f t="shared" si="4"/>
        <v>0</v>
      </c>
      <c r="J25" s="8">
        <f t="shared" si="4"/>
        <v>0</v>
      </c>
      <c r="K25" s="8">
        <f t="shared" si="4"/>
        <v>0</v>
      </c>
      <c r="L25" s="8">
        <f t="shared" si="4"/>
        <v>0</v>
      </c>
      <c r="M25" s="8">
        <f t="shared" si="4"/>
        <v>0</v>
      </c>
      <c r="N25" s="8">
        <f t="shared" si="4"/>
        <v>0</v>
      </c>
      <c r="O25" s="8">
        <f t="shared" si="4"/>
        <v>0</v>
      </c>
      <c r="P25" s="8">
        <f t="shared" si="4"/>
        <v>0</v>
      </c>
      <c r="Q25" s="8">
        <f t="shared" si="4"/>
        <v>0</v>
      </c>
      <c r="R25" s="8">
        <f t="shared" si="4"/>
        <v>0</v>
      </c>
      <c r="S25" s="8">
        <f t="shared" si="4"/>
        <v>0</v>
      </c>
      <c r="T25" s="8">
        <f t="shared" si="4"/>
        <v>0</v>
      </c>
      <c r="U25" s="8">
        <f t="shared" si="4"/>
        <v>0</v>
      </c>
      <c r="V25" s="8">
        <f t="shared" si="4"/>
        <v>0</v>
      </c>
      <c r="W25" s="8">
        <f t="shared" si="4"/>
        <v>0</v>
      </c>
      <c r="X25" s="8">
        <f t="shared" si="4"/>
        <v>0</v>
      </c>
      <c r="Y25" s="8"/>
      <c r="Z25" s="416">
        <f>TRUNC(SUM(G25:Y25),2)</f>
        <v>0</v>
      </c>
      <c r="AA25" s="579">
        <f t="shared" si="1"/>
        <v>0</v>
      </c>
    </row>
    <row r="26" spans="1:27" ht="21.95" hidden="1" customHeight="1" x14ac:dyDescent="0.15">
      <c r="A26" s="2707"/>
      <c r="B26" s="2616" t="s">
        <v>2058</v>
      </c>
      <c r="C26" s="2347" t="s">
        <v>1576</v>
      </c>
      <c r="D26" s="542" t="s">
        <v>29</v>
      </c>
      <c r="E26" s="1068"/>
      <c r="F26" s="1388"/>
      <c r="G26" s="1602"/>
      <c r="H26" s="1602"/>
      <c r="I26" s="1602"/>
      <c r="J26" s="1602"/>
      <c r="K26" s="1602"/>
      <c r="L26" s="1602"/>
      <c r="M26" s="1602"/>
      <c r="N26" s="1602"/>
      <c r="O26" s="1602"/>
      <c r="P26" s="1602"/>
      <c r="Q26" s="1602"/>
      <c r="R26" s="1602"/>
      <c r="S26" s="1602"/>
      <c r="T26" s="1602"/>
      <c r="U26" s="1602"/>
      <c r="V26" s="1602"/>
      <c r="W26" s="1602"/>
      <c r="X26" s="1602"/>
      <c r="Y26" s="1602"/>
      <c r="Z26" s="1283">
        <f>TRUNC(SUM(G26:Y26),2)</f>
        <v>0</v>
      </c>
      <c r="AA26" s="579">
        <f t="shared" si="1"/>
        <v>0</v>
      </c>
    </row>
    <row r="27" spans="1:27" ht="21.95" hidden="1" customHeight="1" x14ac:dyDescent="0.15">
      <c r="A27" s="2707"/>
      <c r="B27" s="2617"/>
      <c r="C27" s="2812" t="s">
        <v>1577</v>
      </c>
      <c r="D27" s="543" t="s">
        <v>58</v>
      </c>
      <c r="E27" s="1062"/>
      <c r="F27" s="1345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2"/>
      <c r="AA27" s="579">
        <f t="shared" si="1"/>
        <v>0</v>
      </c>
    </row>
    <row r="28" spans="1:27" ht="21.95" hidden="1" customHeight="1" x14ac:dyDescent="0.15">
      <c r="A28" s="2707"/>
      <c r="B28" s="2617"/>
      <c r="C28" s="2759"/>
      <c r="D28" s="543" t="s">
        <v>3</v>
      </c>
      <c r="E28" s="1062"/>
      <c r="F28" s="1345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2">
        <f>TRUNC(SUM(G28:Y28),2)</f>
        <v>0</v>
      </c>
      <c r="AA28" s="579">
        <f t="shared" si="1"/>
        <v>0</v>
      </c>
    </row>
    <row r="29" spans="1:27" ht="21.95" hidden="1" customHeight="1" x14ac:dyDescent="0.15">
      <c r="A29" s="2707"/>
      <c r="B29" s="2617"/>
      <c r="C29" s="2813"/>
      <c r="D29" s="543" t="s">
        <v>29</v>
      </c>
      <c r="E29" s="1063"/>
      <c r="F29" s="1362"/>
      <c r="G29" s="1073">
        <f t="shared" ref="G29:X29" si="5">G28+G27</f>
        <v>0</v>
      </c>
      <c r="H29" s="1073">
        <f t="shared" si="5"/>
        <v>0</v>
      </c>
      <c r="I29" s="1073">
        <f t="shared" si="5"/>
        <v>0</v>
      </c>
      <c r="J29" s="1073">
        <f t="shared" si="5"/>
        <v>0</v>
      </c>
      <c r="K29" s="1073">
        <f t="shared" si="5"/>
        <v>0</v>
      </c>
      <c r="L29" s="1073">
        <f t="shared" si="5"/>
        <v>0</v>
      </c>
      <c r="M29" s="1073">
        <f t="shared" si="5"/>
        <v>0</v>
      </c>
      <c r="N29" s="1073">
        <f t="shared" si="5"/>
        <v>0</v>
      </c>
      <c r="O29" s="1073">
        <f t="shared" si="5"/>
        <v>0</v>
      </c>
      <c r="P29" s="1073">
        <f t="shared" si="5"/>
        <v>0</v>
      </c>
      <c r="Q29" s="1073">
        <f t="shared" si="5"/>
        <v>0</v>
      </c>
      <c r="R29" s="1073">
        <f t="shared" si="5"/>
        <v>0</v>
      </c>
      <c r="S29" s="1073">
        <f t="shared" si="5"/>
        <v>0</v>
      </c>
      <c r="T29" s="1073">
        <f t="shared" si="5"/>
        <v>0</v>
      </c>
      <c r="U29" s="1073">
        <f t="shared" si="5"/>
        <v>0</v>
      </c>
      <c r="V29" s="1073">
        <f t="shared" si="5"/>
        <v>0</v>
      </c>
      <c r="W29" s="1073">
        <f t="shared" si="5"/>
        <v>0</v>
      </c>
      <c r="X29" s="1073">
        <f t="shared" si="5"/>
        <v>0</v>
      </c>
      <c r="Y29" s="1073"/>
      <c r="Z29" s="1277">
        <f>TRUNC(SUM(G29:Y29),2)</f>
        <v>0</v>
      </c>
      <c r="AA29" s="579">
        <f t="shared" si="1"/>
        <v>0</v>
      </c>
    </row>
    <row r="30" spans="1:27" ht="21.95" hidden="1" customHeight="1" thickBot="1" x14ac:dyDescent="0.2">
      <c r="A30" s="2707"/>
      <c r="B30" s="2618"/>
      <c r="C30" s="2920" t="s">
        <v>1247</v>
      </c>
      <c r="D30" s="2956"/>
      <c r="E30" s="983"/>
      <c r="F30" s="1270"/>
      <c r="G30" s="215">
        <f t="shared" ref="G30:X30" si="6">G29+G26</f>
        <v>0</v>
      </c>
      <c r="H30" s="215">
        <f t="shared" si="6"/>
        <v>0</v>
      </c>
      <c r="I30" s="215">
        <f t="shared" si="6"/>
        <v>0</v>
      </c>
      <c r="J30" s="215">
        <f t="shared" si="6"/>
        <v>0</v>
      </c>
      <c r="K30" s="215">
        <f t="shared" si="6"/>
        <v>0</v>
      </c>
      <c r="L30" s="215">
        <f t="shared" si="6"/>
        <v>0</v>
      </c>
      <c r="M30" s="215">
        <f t="shared" si="6"/>
        <v>0</v>
      </c>
      <c r="N30" s="215">
        <f t="shared" si="6"/>
        <v>0</v>
      </c>
      <c r="O30" s="215">
        <f t="shared" si="6"/>
        <v>0</v>
      </c>
      <c r="P30" s="215">
        <f t="shared" si="6"/>
        <v>0</v>
      </c>
      <c r="Q30" s="215">
        <f t="shared" si="6"/>
        <v>0</v>
      </c>
      <c r="R30" s="215">
        <f t="shared" si="6"/>
        <v>0</v>
      </c>
      <c r="S30" s="215">
        <f t="shared" si="6"/>
        <v>0</v>
      </c>
      <c r="T30" s="215">
        <f t="shared" si="6"/>
        <v>0</v>
      </c>
      <c r="U30" s="215">
        <f t="shared" si="6"/>
        <v>0</v>
      </c>
      <c r="V30" s="215">
        <f t="shared" si="6"/>
        <v>0</v>
      </c>
      <c r="W30" s="215">
        <f t="shared" si="6"/>
        <v>0</v>
      </c>
      <c r="X30" s="215">
        <f t="shared" si="6"/>
        <v>0</v>
      </c>
      <c r="Y30" s="215"/>
      <c r="Z30" s="416">
        <f>TRUNC(SUM(G30:Y30),2)</f>
        <v>0</v>
      </c>
      <c r="AA30" s="579">
        <f t="shared" si="1"/>
        <v>0</v>
      </c>
    </row>
    <row r="31" spans="1:27" ht="21.95" hidden="1" customHeight="1" x14ac:dyDescent="0.15">
      <c r="A31" s="2707"/>
      <c r="B31" s="2616" t="s">
        <v>25</v>
      </c>
      <c r="C31" s="2757" t="s">
        <v>1576</v>
      </c>
      <c r="D31" s="977" t="s">
        <v>3</v>
      </c>
      <c r="E31" s="1062"/>
      <c r="F31" s="1345"/>
      <c r="G31" s="8">
        <f t="shared" ref="G31:X31" si="7">G7</f>
        <v>0</v>
      </c>
      <c r="H31" s="8">
        <f t="shared" si="7"/>
        <v>0</v>
      </c>
      <c r="I31" s="8">
        <f t="shared" si="7"/>
        <v>0</v>
      </c>
      <c r="J31" s="8">
        <f t="shared" si="7"/>
        <v>0</v>
      </c>
      <c r="K31" s="8">
        <f t="shared" si="7"/>
        <v>0</v>
      </c>
      <c r="L31" s="8">
        <f t="shared" si="7"/>
        <v>0</v>
      </c>
      <c r="M31" s="8">
        <f t="shared" si="7"/>
        <v>0</v>
      </c>
      <c r="N31" s="8">
        <f t="shared" si="7"/>
        <v>0</v>
      </c>
      <c r="O31" s="8">
        <f t="shared" si="7"/>
        <v>0</v>
      </c>
      <c r="P31" s="8">
        <f t="shared" si="7"/>
        <v>0</v>
      </c>
      <c r="Q31" s="8">
        <f t="shared" si="7"/>
        <v>0</v>
      </c>
      <c r="R31" s="8">
        <f t="shared" si="7"/>
        <v>0</v>
      </c>
      <c r="S31" s="8">
        <f t="shared" si="7"/>
        <v>0</v>
      </c>
      <c r="T31" s="8">
        <f t="shared" si="7"/>
        <v>0</v>
      </c>
      <c r="U31" s="8">
        <f t="shared" si="7"/>
        <v>0</v>
      </c>
      <c r="V31" s="8">
        <f t="shared" si="7"/>
        <v>0</v>
      </c>
      <c r="W31" s="8">
        <f t="shared" si="7"/>
        <v>0</v>
      </c>
      <c r="X31" s="8">
        <f t="shared" si="7"/>
        <v>0</v>
      </c>
      <c r="Y31" s="8"/>
      <c r="Z31" s="12">
        <f>TRUNC(SUM(G31:Y31),2)</f>
        <v>0</v>
      </c>
      <c r="AA31" s="579">
        <f t="shared" si="1"/>
        <v>0</v>
      </c>
    </row>
    <row r="32" spans="1:27" ht="21.95" hidden="1" customHeight="1" x14ac:dyDescent="0.15">
      <c r="A32" s="2707"/>
      <c r="B32" s="2617"/>
      <c r="C32" s="2759"/>
      <c r="D32" s="543" t="s">
        <v>54</v>
      </c>
      <c r="E32" s="1063"/>
      <c r="F32" s="1362"/>
      <c r="G32" s="1073"/>
      <c r="H32" s="1073"/>
      <c r="I32" s="1073"/>
      <c r="J32" s="1073"/>
      <c r="K32" s="1073"/>
      <c r="L32" s="1073"/>
      <c r="M32" s="1073"/>
      <c r="N32" s="1073"/>
      <c r="O32" s="1073"/>
      <c r="P32" s="1073"/>
      <c r="Q32" s="1073"/>
      <c r="R32" s="1073"/>
      <c r="S32" s="1073"/>
      <c r="T32" s="1073"/>
      <c r="U32" s="1073"/>
      <c r="V32" s="1073"/>
      <c r="W32" s="1073"/>
      <c r="X32" s="1073"/>
      <c r="Y32" s="1073"/>
      <c r="Z32" s="1277"/>
      <c r="AA32" s="579">
        <f t="shared" si="1"/>
        <v>0</v>
      </c>
    </row>
    <row r="33" spans="1:27" ht="21.95" hidden="1" customHeight="1" x14ac:dyDescent="0.15">
      <c r="A33" s="2707"/>
      <c r="B33" s="2617"/>
      <c r="C33" s="2812" t="s">
        <v>1577</v>
      </c>
      <c r="D33" s="587" t="s">
        <v>3</v>
      </c>
      <c r="E33" s="1062"/>
      <c r="F33" s="1345"/>
      <c r="G33" s="8">
        <f t="shared" ref="G33:X33" si="8">G10</f>
        <v>0</v>
      </c>
      <c r="H33" s="8">
        <f t="shared" si="8"/>
        <v>0</v>
      </c>
      <c r="I33" s="8">
        <f t="shared" si="8"/>
        <v>0</v>
      </c>
      <c r="J33" s="8">
        <f t="shared" si="8"/>
        <v>0</v>
      </c>
      <c r="K33" s="8">
        <f t="shared" si="8"/>
        <v>0</v>
      </c>
      <c r="L33" s="8">
        <f t="shared" si="8"/>
        <v>0</v>
      </c>
      <c r="M33" s="8">
        <f t="shared" si="8"/>
        <v>0</v>
      </c>
      <c r="N33" s="8">
        <f t="shared" si="8"/>
        <v>0</v>
      </c>
      <c r="O33" s="8">
        <f t="shared" si="8"/>
        <v>0</v>
      </c>
      <c r="P33" s="8">
        <f t="shared" si="8"/>
        <v>0</v>
      </c>
      <c r="Q33" s="8">
        <f t="shared" si="8"/>
        <v>0</v>
      </c>
      <c r="R33" s="8">
        <f t="shared" si="8"/>
        <v>0</v>
      </c>
      <c r="S33" s="8">
        <f t="shared" si="8"/>
        <v>0</v>
      </c>
      <c r="T33" s="8">
        <f t="shared" si="8"/>
        <v>0</v>
      </c>
      <c r="U33" s="8">
        <f t="shared" si="8"/>
        <v>0</v>
      </c>
      <c r="V33" s="8">
        <f t="shared" si="8"/>
        <v>0</v>
      </c>
      <c r="W33" s="8">
        <f t="shared" si="8"/>
        <v>0</v>
      </c>
      <c r="X33" s="8">
        <f t="shared" si="8"/>
        <v>0</v>
      </c>
      <c r="Y33" s="8"/>
      <c r="Z33" s="12">
        <f>TRUNC(SUM(G33:Y33),2)</f>
        <v>0</v>
      </c>
      <c r="AA33" s="579">
        <f t="shared" si="1"/>
        <v>0</v>
      </c>
    </row>
    <row r="34" spans="1:27" ht="21.95" hidden="1" customHeight="1" x14ac:dyDescent="0.15">
      <c r="A34" s="2707"/>
      <c r="B34" s="2617"/>
      <c r="C34" s="2759"/>
      <c r="D34" s="2085" t="s">
        <v>54</v>
      </c>
      <c r="E34" s="1062"/>
      <c r="F34" s="1345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12"/>
      <c r="AA34" s="579">
        <f t="shared" si="1"/>
        <v>0</v>
      </c>
    </row>
    <row r="35" spans="1:27" ht="21.95" customHeight="1" thickBot="1" x14ac:dyDescent="0.2">
      <c r="A35" s="2707"/>
      <c r="B35" s="2618"/>
      <c r="C35" s="2827" t="s">
        <v>1247</v>
      </c>
      <c r="D35" s="2828"/>
      <c r="E35" s="2357"/>
      <c r="F35" s="2358"/>
      <c r="G35" s="2359"/>
      <c r="H35" s="2359">
        <v>2.38</v>
      </c>
      <c r="I35" s="2359"/>
      <c r="J35" s="2359"/>
      <c r="K35" s="2359">
        <v>15.22</v>
      </c>
      <c r="L35" s="2359"/>
      <c r="M35" s="2359"/>
      <c r="N35" s="2359">
        <v>149.46</v>
      </c>
      <c r="O35" s="2359">
        <f>2.72+31.44</f>
        <v>34.160000000000004</v>
      </c>
      <c r="P35" s="2359"/>
      <c r="Q35" s="2359"/>
      <c r="R35" s="2359">
        <v>1.26</v>
      </c>
      <c r="S35" s="2359"/>
      <c r="T35" s="2359">
        <f>6.46+142.67</f>
        <v>149.13</v>
      </c>
      <c r="U35" s="2359">
        <f>12.77+55.14</f>
        <v>67.91</v>
      </c>
      <c r="V35" s="2359">
        <f>9.2+107.88</f>
        <v>117.08</v>
      </c>
      <c r="W35" s="2359"/>
      <c r="X35" s="2359"/>
      <c r="Y35" s="2359"/>
      <c r="Z35" s="2360">
        <f t="shared" ref="Z35:Z66" si="9">TRUNC(SUM(G35:Y35),2)</f>
        <v>536.6</v>
      </c>
      <c r="AA35" s="579">
        <f t="shared" ref="AA35:AA66" si="10">SUM(G35:Z35)</f>
        <v>1073.2</v>
      </c>
    </row>
    <row r="36" spans="1:27" ht="21.95" hidden="1" customHeight="1" x14ac:dyDescent="0.15">
      <c r="A36" s="2707"/>
      <c r="B36" s="2616" t="s">
        <v>1496</v>
      </c>
      <c r="C36" s="2757" t="s">
        <v>1551</v>
      </c>
      <c r="D36" s="542" t="s">
        <v>60</v>
      </c>
      <c r="E36" s="1061"/>
      <c r="F36" s="1344"/>
      <c r="G36" s="673"/>
      <c r="H36" s="673"/>
      <c r="I36" s="673"/>
      <c r="J36" s="673"/>
      <c r="K36" s="673"/>
      <c r="L36" s="673"/>
      <c r="M36" s="673"/>
      <c r="N36" s="673"/>
      <c r="O36" s="673"/>
      <c r="P36" s="673"/>
      <c r="Q36" s="673"/>
      <c r="R36" s="673"/>
      <c r="S36" s="673"/>
      <c r="T36" s="673"/>
      <c r="U36" s="673"/>
      <c r="V36" s="673"/>
      <c r="W36" s="673"/>
      <c r="X36" s="673"/>
      <c r="Y36" s="673"/>
      <c r="Z36" s="12">
        <f t="shared" si="9"/>
        <v>0</v>
      </c>
      <c r="AA36" s="579">
        <f t="shared" si="10"/>
        <v>0</v>
      </c>
    </row>
    <row r="37" spans="1:27" ht="21.95" hidden="1" customHeight="1" x14ac:dyDescent="0.15">
      <c r="A37" s="2707"/>
      <c r="B37" s="2617"/>
      <c r="C37" s="2759"/>
      <c r="D37" s="544" t="s">
        <v>29</v>
      </c>
      <c r="E37" s="1062"/>
      <c r="F37" s="1562">
        <v>9.01</v>
      </c>
      <c r="G37" s="1139"/>
      <c r="H37" s="1139"/>
      <c r="I37" s="1139"/>
      <c r="J37" s="1139"/>
      <c r="K37" s="1139"/>
      <c r="L37" s="1139"/>
      <c r="M37" s="1139"/>
      <c r="N37" s="1139"/>
      <c r="O37" s="1139"/>
      <c r="P37" s="1139"/>
      <c r="Q37" s="1139"/>
      <c r="R37" s="1139"/>
      <c r="S37" s="1139"/>
      <c r="T37" s="1139"/>
      <c r="U37" s="1139"/>
      <c r="V37" s="1139"/>
      <c r="W37" s="1139"/>
      <c r="X37" s="1139"/>
      <c r="Y37" s="1139"/>
      <c r="Z37" s="12">
        <f t="shared" si="9"/>
        <v>0</v>
      </c>
      <c r="AA37" s="579">
        <f t="shared" si="10"/>
        <v>0</v>
      </c>
    </row>
    <row r="38" spans="1:27" ht="21.95" hidden="1" customHeight="1" x14ac:dyDescent="0.15">
      <c r="A38" s="2707"/>
      <c r="B38" s="2617"/>
      <c r="C38" s="2759"/>
      <c r="D38" s="544" t="s">
        <v>3</v>
      </c>
      <c r="E38" s="1062"/>
      <c r="F38" s="1562">
        <v>5.6</v>
      </c>
      <c r="G38" s="1139">
        <f t="shared" ref="G38:X38" si="11">IF(G36=0,0,5.6)</f>
        <v>0</v>
      </c>
      <c r="H38" s="1139">
        <f t="shared" si="11"/>
        <v>0</v>
      </c>
      <c r="I38" s="1139">
        <f t="shared" si="11"/>
        <v>0</v>
      </c>
      <c r="J38" s="1139">
        <f t="shared" si="11"/>
        <v>0</v>
      </c>
      <c r="K38" s="1139">
        <f t="shared" si="11"/>
        <v>0</v>
      </c>
      <c r="L38" s="1139">
        <f t="shared" si="11"/>
        <v>0</v>
      </c>
      <c r="M38" s="1139">
        <f t="shared" si="11"/>
        <v>0</v>
      </c>
      <c r="N38" s="1139">
        <f t="shared" si="11"/>
        <v>0</v>
      </c>
      <c r="O38" s="1139">
        <f t="shared" si="11"/>
        <v>0</v>
      </c>
      <c r="P38" s="1139">
        <f t="shared" si="11"/>
        <v>0</v>
      </c>
      <c r="Q38" s="1139">
        <f t="shared" si="11"/>
        <v>0</v>
      </c>
      <c r="R38" s="1139">
        <f t="shared" si="11"/>
        <v>0</v>
      </c>
      <c r="S38" s="1139">
        <f t="shared" si="11"/>
        <v>0</v>
      </c>
      <c r="T38" s="1139">
        <f t="shared" si="11"/>
        <v>0</v>
      </c>
      <c r="U38" s="1139">
        <f t="shared" si="11"/>
        <v>0</v>
      </c>
      <c r="V38" s="1139">
        <f t="shared" si="11"/>
        <v>0</v>
      </c>
      <c r="W38" s="1139">
        <f t="shared" si="11"/>
        <v>0</v>
      </c>
      <c r="X38" s="1139">
        <f t="shared" si="11"/>
        <v>0</v>
      </c>
      <c r="Y38" s="1139"/>
      <c r="Z38" s="12">
        <f t="shared" si="9"/>
        <v>0</v>
      </c>
      <c r="AA38" s="579">
        <f t="shared" si="10"/>
        <v>0</v>
      </c>
    </row>
    <row r="39" spans="1:27" ht="21.95" hidden="1" customHeight="1" x14ac:dyDescent="0.15">
      <c r="A39" s="2707"/>
      <c r="B39" s="2617"/>
      <c r="C39" s="2759"/>
      <c r="D39" s="544" t="s">
        <v>1499</v>
      </c>
      <c r="E39" s="1062"/>
      <c r="F39" s="1562">
        <v>4.5</v>
      </c>
      <c r="G39" s="1139">
        <f t="shared" ref="G39:X39" si="12">IF(G36=0,0,4.5)</f>
        <v>0</v>
      </c>
      <c r="H39" s="1139">
        <f t="shared" si="12"/>
        <v>0</v>
      </c>
      <c r="I39" s="1139">
        <f t="shared" si="12"/>
        <v>0</v>
      </c>
      <c r="J39" s="1139">
        <f t="shared" si="12"/>
        <v>0</v>
      </c>
      <c r="K39" s="1139">
        <f t="shared" si="12"/>
        <v>0</v>
      </c>
      <c r="L39" s="1139">
        <f t="shared" si="12"/>
        <v>0</v>
      </c>
      <c r="M39" s="1139">
        <f t="shared" si="12"/>
        <v>0</v>
      </c>
      <c r="N39" s="1139">
        <f t="shared" si="12"/>
        <v>0</v>
      </c>
      <c r="O39" s="1139">
        <f t="shared" si="12"/>
        <v>0</v>
      </c>
      <c r="P39" s="1139">
        <f t="shared" si="12"/>
        <v>0</v>
      </c>
      <c r="Q39" s="1139">
        <f t="shared" si="12"/>
        <v>0</v>
      </c>
      <c r="R39" s="1139">
        <f t="shared" si="12"/>
        <v>0</v>
      </c>
      <c r="S39" s="1139">
        <f t="shared" si="12"/>
        <v>0</v>
      </c>
      <c r="T39" s="1139">
        <f t="shared" si="12"/>
        <v>0</v>
      </c>
      <c r="U39" s="1139">
        <f t="shared" si="12"/>
        <v>0</v>
      </c>
      <c r="V39" s="1139">
        <f t="shared" si="12"/>
        <v>0</v>
      </c>
      <c r="W39" s="1139">
        <f t="shared" si="12"/>
        <v>0</v>
      </c>
      <c r="X39" s="1139">
        <f t="shared" si="12"/>
        <v>0</v>
      </c>
      <c r="Y39" s="1139"/>
      <c r="Z39" s="12">
        <f t="shared" si="9"/>
        <v>0</v>
      </c>
      <c r="AA39" s="579">
        <f t="shared" si="10"/>
        <v>0</v>
      </c>
    </row>
    <row r="40" spans="1:27" ht="21.95" hidden="1" customHeight="1" x14ac:dyDescent="0.15">
      <c r="A40" s="2707"/>
      <c r="B40" s="2617"/>
      <c r="C40" s="2759"/>
      <c r="D40" s="544" t="s">
        <v>1507</v>
      </c>
      <c r="E40" s="1062"/>
      <c r="F40" s="1562">
        <f>5.6+1.62*2</f>
        <v>8.84</v>
      </c>
      <c r="G40" s="1139">
        <f t="shared" ref="G40:X40" si="13">IF(G36=0,0,8.84)</f>
        <v>0</v>
      </c>
      <c r="H40" s="1139">
        <f t="shared" si="13"/>
        <v>0</v>
      </c>
      <c r="I40" s="1139">
        <f t="shared" si="13"/>
        <v>0</v>
      </c>
      <c r="J40" s="1139">
        <f t="shared" si="13"/>
        <v>0</v>
      </c>
      <c r="K40" s="1139">
        <f t="shared" si="13"/>
        <v>0</v>
      </c>
      <c r="L40" s="1139">
        <f t="shared" si="13"/>
        <v>0</v>
      </c>
      <c r="M40" s="1139">
        <f t="shared" si="13"/>
        <v>0</v>
      </c>
      <c r="N40" s="1139">
        <f t="shared" si="13"/>
        <v>0</v>
      </c>
      <c r="O40" s="1139">
        <f t="shared" si="13"/>
        <v>0</v>
      </c>
      <c r="P40" s="1139">
        <f t="shared" si="13"/>
        <v>0</v>
      </c>
      <c r="Q40" s="1139">
        <f t="shared" si="13"/>
        <v>0</v>
      </c>
      <c r="R40" s="1139">
        <f t="shared" si="13"/>
        <v>0</v>
      </c>
      <c r="S40" s="1139">
        <f t="shared" si="13"/>
        <v>0</v>
      </c>
      <c r="T40" s="1139">
        <f t="shared" si="13"/>
        <v>0</v>
      </c>
      <c r="U40" s="1139">
        <f t="shared" si="13"/>
        <v>0</v>
      </c>
      <c r="V40" s="1139">
        <f t="shared" si="13"/>
        <v>0</v>
      </c>
      <c r="W40" s="1139">
        <f t="shared" si="13"/>
        <v>0</v>
      </c>
      <c r="X40" s="1139">
        <f t="shared" si="13"/>
        <v>0</v>
      </c>
      <c r="Y40" s="1139"/>
      <c r="Z40" s="12">
        <f t="shared" si="9"/>
        <v>0</v>
      </c>
      <c r="AA40" s="579">
        <f t="shared" si="10"/>
        <v>0</v>
      </c>
    </row>
    <row r="41" spans="1:27" ht="21.95" hidden="1" customHeight="1" x14ac:dyDescent="0.15">
      <c r="A41" s="2707"/>
      <c r="B41" s="2617"/>
      <c r="C41" s="2759"/>
      <c r="D41" s="544" t="s">
        <v>1554</v>
      </c>
      <c r="E41" s="1062"/>
      <c r="F41" s="1562">
        <v>5.6</v>
      </c>
      <c r="G41" s="1139">
        <f t="shared" ref="G41:X41" si="14">IF(G36=0,0,5.6)</f>
        <v>0</v>
      </c>
      <c r="H41" s="1139">
        <f t="shared" si="14"/>
        <v>0</v>
      </c>
      <c r="I41" s="1139">
        <f t="shared" si="14"/>
        <v>0</v>
      </c>
      <c r="J41" s="1139">
        <f t="shared" si="14"/>
        <v>0</v>
      </c>
      <c r="K41" s="1139">
        <f t="shared" si="14"/>
        <v>0</v>
      </c>
      <c r="L41" s="1139">
        <f t="shared" si="14"/>
        <v>0</v>
      </c>
      <c r="M41" s="1139">
        <f t="shared" si="14"/>
        <v>0</v>
      </c>
      <c r="N41" s="1139">
        <f t="shared" si="14"/>
        <v>0</v>
      </c>
      <c r="O41" s="1139">
        <f t="shared" si="14"/>
        <v>0</v>
      </c>
      <c r="P41" s="1139">
        <f t="shared" si="14"/>
        <v>0</v>
      </c>
      <c r="Q41" s="1139">
        <f t="shared" si="14"/>
        <v>0</v>
      </c>
      <c r="R41" s="1139">
        <f t="shared" si="14"/>
        <v>0</v>
      </c>
      <c r="S41" s="1139">
        <f t="shared" si="14"/>
        <v>0</v>
      </c>
      <c r="T41" s="1139">
        <f t="shared" si="14"/>
        <v>0</v>
      </c>
      <c r="U41" s="1139">
        <f t="shared" si="14"/>
        <v>0</v>
      </c>
      <c r="V41" s="1139">
        <f t="shared" si="14"/>
        <v>0</v>
      </c>
      <c r="W41" s="1139">
        <f t="shared" si="14"/>
        <v>0</v>
      </c>
      <c r="X41" s="1139">
        <f t="shared" si="14"/>
        <v>0</v>
      </c>
      <c r="Y41" s="1139"/>
      <c r="Z41" s="12">
        <f t="shared" si="9"/>
        <v>0</v>
      </c>
      <c r="AA41" s="579">
        <f t="shared" si="10"/>
        <v>0</v>
      </c>
    </row>
    <row r="42" spans="1:27" ht="21.95" hidden="1" customHeight="1" x14ac:dyDescent="0.15">
      <c r="A42" s="2707"/>
      <c r="B42" s="2617"/>
      <c r="C42" s="2813"/>
      <c r="D42" s="544" t="s">
        <v>1488</v>
      </c>
      <c r="E42" s="1063"/>
      <c r="F42" s="1362"/>
      <c r="G42" s="1278"/>
      <c r="H42" s="1278"/>
      <c r="I42" s="1278"/>
      <c r="J42" s="1278"/>
      <c r="K42" s="1278"/>
      <c r="L42" s="1278"/>
      <c r="M42" s="1278"/>
      <c r="N42" s="1278"/>
      <c r="O42" s="1278"/>
      <c r="P42" s="1278"/>
      <c r="Q42" s="1278"/>
      <c r="R42" s="1278"/>
      <c r="S42" s="1278"/>
      <c r="T42" s="1278"/>
      <c r="U42" s="1278"/>
      <c r="V42" s="1278"/>
      <c r="W42" s="1278"/>
      <c r="X42" s="1278"/>
      <c r="Y42" s="1278"/>
      <c r="Z42" s="1277">
        <f t="shared" si="9"/>
        <v>0</v>
      </c>
      <c r="AA42" s="579">
        <f t="shared" si="10"/>
        <v>0</v>
      </c>
    </row>
    <row r="43" spans="1:27" ht="21.95" hidden="1" customHeight="1" x14ac:dyDescent="0.15">
      <c r="A43" s="2707"/>
      <c r="B43" s="2617"/>
      <c r="C43" s="2759" t="s">
        <v>1552</v>
      </c>
      <c r="D43" s="544" t="s">
        <v>60</v>
      </c>
      <c r="E43" s="1062"/>
      <c r="F43" s="1345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6"/>
      <c r="U43" s="426"/>
      <c r="V43" s="426"/>
      <c r="W43" s="426"/>
      <c r="X43" s="426"/>
      <c r="Y43" s="426"/>
      <c r="Z43" s="12">
        <f t="shared" si="9"/>
        <v>0</v>
      </c>
      <c r="AA43" s="579">
        <f t="shared" si="10"/>
        <v>0</v>
      </c>
    </row>
    <row r="44" spans="1:27" ht="21.95" hidden="1" customHeight="1" x14ac:dyDescent="0.15">
      <c r="A44" s="2707"/>
      <c r="B44" s="2617"/>
      <c r="C44" s="2759"/>
      <c r="D44" s="544" t="s">
        <v>29</v>
      </c>
      <c r="E44" s="1062"/>
      <c r="F44" s="1562">
        <v>15.61</v>
      </c>
      <c r="G44" s="1139">
        <f t="shared" ref="G44:X44" si="15">IF(G43=0,0,15.61)</f>
        <v>0</v>
      </c>
      <c r="H44" s="1139">
        <f t="shared" si="15"/>
        <v>0</v>
      </c>
      <c r="I44" s="1139">
        <f t="shared" si="15"/>
        <v>0</v>
      </c>
      <c r="J44" s="1139">
        <f t="shared" si="15"/>
        <v>0</v>
      </c>
      <c r="K44" s="1139">
        <f t="shared" si="15"/>
        <v>0</v>
      </c>
      <c r="L44" s="1139">
        <f t="shared" si="15"/>
        <v>0</v>
      </c>
      <c r="M44" s="1139">
        <f t="shared" si="15"/>
        <v>0</v>
      </c>
      <c r="N44" s="1139">
        <f t="shared" si="15"/>
        <v>0</v>
      </c>
      <c r="O44" s="1139">
        <f t="shared" si="15"/>
        <v>0</v>
      </c>
      <c r="P44" s="1139">
        <f t="shared" si="15"/>
        <v>0</v>
      </c>
      <c r="Q44" s="1139">
        <f t="shared" si="15"/>
        <v>0</v>
      </c>
      <c r="R44" s="1139">
        <f t="shared" si="15"/>
        <v>0</v>
      </c>
      <c r="S44" s="1139">
        <f t="shared" si="15"/>
        <v>0</v>
      </c>
      <c r="T44" s="1139">
        <f t="shared" si="15"/>
        <v>0</v>
      </c>
      <c r="U44" s="1139">
        <f t="shared" si="15"/>
        <v>0</v>
      </c>
      <c r="V44" s="1139">
        <f t="shared" si="15"/>
        <v>0</v>
      </c>
      <c r="W44" s="1139">
        <f t="shared" si="15"/>
        <v>0</v>
      </c>
      <c r="X44" s="1139">
        <f t="shared" si="15"/>
        <v>0</v>
      </c>
      <c r="Y44" s="1139"/>
      <c r="Z44" s="12">
        <f t="shared" si="9"/>
        <v>0</v>
      </c>
      <c r="AA44" s="579">
        <f t="shared" si="10"/>
        <v>0</v>
      </c>
    </row>
    <row r="45" spans="1:27" ht="21.95" hidden="1" customHeight="1" x14ac:dyDescent="0.15">
      <c r="A45" s="2707"/>
      <c r="B45" s="2617"/>
      <c r="C45" s="2759"/>
      <c r="D45" s="544" t="s">
        <v>3</v>
      </c>
      <c r="E45" s="1062"/>
      <c r="F45" s="1562">
        <v>7.5</v>
      </c>
      <c r="G45" s="1139">
        <f t="shared" ref="G45:X45" si="16">IF(G43=0,0,7.5)</f>
        <v>0</v>
      </c>
      <c r="H45" s="1139">
        <f t="shared" si="16"/>
        <v>0</v>
      </c>
      <c r="I45" s="1139">
        <f t="shared" si="16"/>
        <v>0</v>
      </c>
      <c r="J45" s="1139">
        <f t="shared" si="16"/>
        <v>0</v>
      </c>
      <c r="K45" s="1139">
        <f t="shared" si="16"/>
        <v>0</v>
      </c>
      <c r="L45" s="1139">
        <f t="shared" si="16"/>
        <v>0</v>
      </c>
      <c r="M45" s="1139">
        <f t="shared" si="16"/>
        <v>0</v>
      </c>
      <c r="N45" s="1139">
        <f t="shared" si="16"/>
        <v>0</v>
      </c>
      <c r="O45" s="1139">
        <f t="shared" si="16"/>
        <v>0</v>
      </c>
      <c r="P45" s="1139">
        <f t="shared" si="16"/>
        <v>0</v>
      </c>
      <c r="Q45" s="1139">
        <f t="shared" si="16"/>
        <v>0</v>
      </c>
      <c r="R45" s="1139">
        <f t="shared" si="16"/>
        <v>0</v>
      </c>
      <c r="S45" s="1139">
        <f t="shared" si="16"/>
        <v>0</v>
      </c>
      <c r="T45" s="1139">
        <f t="shared" si="16"/>
        <v>0</v>
      </c>
      <c r="U45" s="1139">
        <f t="shared" si="16"/>
        <v>0</v>
      </c>
      <c r="V45" s="1139">
        <f t="shared" si="16"/>
        <v>0</v>
      </c>
      <c r="W45" s="1139">
        <f t="shared" si="16"/>
        <v>0</v>
      </c>
      <c r="X45" s="1139">
        <f t="shared" si="16"/>
        <v>0</v>
      </c>
      <c r="Y45" s="1139"/>
      <c r="Z45" s="12">
        <f t="shared" si="9"/>
        <v>0</v>
      </c>
      <c r="AA45" s="579">
        <f t="shared" si="10"/>
        <v>0</v>
      </c>
    </row>
    <row r="46" spans="1:27" ht="21.95" hidden="1" customHeight="1" x14ac:dyDescent="0.15">
      <c r="A46" s="2707"/>
      <c r="B46" s="2617"/>
      <c r="C46" s="2759"/>
      <c r="D46" s="544" t="s">
        <v>1499</v>
      </c>
      <c r="E46" s="1062"/>
      <c r="F46" s="1562">
        <v>5.5</v>
      </c>
      <c r="G46" s="1139">
        <f t="shared" ref="G46:X46" si="17">IF(G43=0,0,5.5)</f>
        <v>0</v>
      </c>
      <c r="H46" s="1139">
        <f t="shared" si="17"/>
        <v>0</v>
      </c>
      <c r="I46" s="1139">
        <f t="shared" si="17"/>
        <v>0</v>
      </c>
      <c r="J46" s="1139">
        <f t="shared" si="17"/>
        <v>0</v>
      </c>
      <c r="K46" s="1139">
        <f t="shared" si="17"/>
        <v>0</v>
      </c>
      <c r="L46" s="1139">
        <f t="shared" si="17"/>
        <v>0</v>
      </c>
      <c r="M46" s="1139">
        <f t="shared" si="17"/>
        <v>0</v>
      </c>
      <c r="N46" s="1139">
        <f t="shared" si="17"/>
        <v>0</v>
      </c>
      <c r="O46" s="1139">
        <f t="shared" si="17"/>
        <v>0</v>
      </c>
      <c r="P46" s="1139">
        <f t="shared" si="17"/>
        <v>0</v>
      </c>
      <c r="Q46" s="1139">
        <f t="shared" si="17"/>
        <v>0</v>
      </c>
      <c r="R46" s="1139">
        <f t="shared" si="17"/>
        <v>0</v>
      </c>
      <c r="S46" s="1139">
        <f t="shared" si="17"/>
        <v>0</v>
      </c>
      <c r="T46" s="1139">
        <f t="shared" si="17"/>
        <v>0</v>
      </c>
      <c r="U46" s="1139">
        <f t="shared" si="17"/>
        <v>0</v>
      </c>
      <c r="V46" s="1139">
        <f t="shared" si="17"/>
        <v>0</v>
      </c>
      <c r="W46" s="1139">
        <f t="shared" si="17"/>
        <v>0</v>
      </c>
      <c r="X46" s="1139">
        <f t="shared" si="17"/>
        <v>0</v>
      </c>
      <c r="Y46" s="1139"/>
      <c r="Z46" s="12">
        <f t="shared" si="9"/>
        <v>0</v>
      </c>
      <c r="AA46" s="579">
        <f t="shared" si="10"/>
        <v>0</v>
      </c>
    </row>
    <row r="47" spans="1:27" ht="21.95" hidden="1" customHeight="1" x14ac:dyDescent="0.15">
      <c r="A47" s="2707"/>
      <c r="B47" s="2617"/>
      <c r="C47" s="2759"/>
      <c r="D47" s="544" t="s">
        <v>1507</v>
      </c>
      <c r="E47" s="1062"/>
      <c r="F47" s="1562">
        <f>7.5+2.12*2</f>
        <v>11.74</v>
      </c>
      <c r="G47" s="1139">
        <f t="shared" ref="G47:X47" si="18">IF(G43=0,0,11.74)</f>
        <v>0</v>
      </c>
      <c r="H47" s="1139">
        <f t="shared" si="18"/>
        <v>0</v>
      </c>
      <c r="I47" s="1139">
        <f t="shared" si="18"/>
        <v>0</v>
      </c>
      <c r="J47" s="1139">
        <f t="shared" si="18"/>
        <v>0</v>
      </c>
      <c r="K47" s="1139">
        <f t="shared" si="18"/>
        <v>0</v>
      </c>
      <c r="L47" s="1139">
        <f t="shared" si="18"/>
        <v>0</v>
      </c>
      <c r="M47" s="1139">
        <f t="shared" si="18"/>
        <v>0</v>
      </c>
      <c r="N47" s="1139">
        <f t="shared" si="18"/>
        <v>0</v>
      </c>
      <c r="O47" s="1139">
        <f t="shared" si="18"/>
        <v>0</v>
      </c>
      <c r="P47" s="1139">
        <f t="shared" si="18"/>
        <v>0</v>
      </c>
      <c r="Q47" s="1139">
        <f t="shared" si="18"/>
        <v>0</v>
      </c>
      <c r="R47" s="1139">
        <f t="shared" si="18"/>
        <v>0</v>
      </c>
      <c r="S47" s="1139">
        <f t="shared" si="18"/>
        <v>0</v>
      </c>
      <c r="T47" s="1139">
        <f t="shared" si="18"/>
        <v>0</v>
      </c>
      <c r="U47" s="1139">
        <f t="shared" si="18"/>
        <v>0</v>
      </c>
      <c r="V47" s="1139">
        <f t="shared" si="18"/>
        <v>0</v>
      </c>
      <c r="W47" s="1139">
        <f t="shared" si="18"/>
        <v>0</v>
      </c>
      <c r="X47" s="1139">
        <f t="shared" si="18"/>
        <v>0</v>
      </c>
      <c r="Y47" s="1139"/>
      <c r="Z47" s="12">
        <f t="shared" si="9"/>
        <v>0</v>
      </c>
      <c r="AA47" s="579">
        <f t="shared" si="10"/>
        <v>0</v>
      </c>
    </row>
    <row r="48" spans="1:27" ht="21.95" hidden="1" customHeight="1" x14ac:dyDescent="0.15">
      <c r="A48" s="2707"/>
      <c r="B48" s="2617"/>
      <c r="C48" s="2759"/>
      <c r="D48" s="544" t="s">
        <v>1554</v>
      </c>
      <c r="E48" s="1062"/>
      <c r="F48" s="1562">
        <v>5.6</v>
      </c>
      <c r="G48" s="1139">
        <f t="shared" ref="G48:X48" si="19">IF(G43=0,0,5.6)</f>
        <v>0</v>
      </c>
      <c r="H48" s="1139">
        <f t="shared" si="19"/>
        <v>0</v>
      </c>
      <c r="I48" s="1139">
        <f t="shared" si="19"/>
        <v>0</v>
      </c>
      <c r="J48" s="1139">
        <f t="shared" si="19"/>
        <v>0</v>
      </c>
      <c r="K48" s="1139">
        <f t="shared" si="19"/>
        <v>0</v>
      </c>
      <c r="L48" s="1139">
        <f t="shared" si="19"/>
        <v>0</v>
      </c>
      <c r="M48" s="1139">
        <f t="shared" si="19"/>
        <v>0</v>
      </c>
      <c r="N48" s="1139">
        <f t="shared" si="19"/>
        <v>0</v>
      </c>
      <c r="O48" s="1139">
        <f t="shared" si="19"/>
        <v>0</v>
      </c>
      <c r="P48" s="1139">
        <f t="shared" si="19"/>
        <v>0</v>
      </c>
      <c r="Q48" s="1139">
        <f t="shared" si="19"/>
        <v>0</v>
      </c>
      <c r="R48" s="1139">
        <f t="shared" si="19"/>
        <v>0</v>
      </c>
      <c r="S48" s="1139">
        <f t="shared" si="19"/>
        <v>0</v>
      </c>
      <c r="T48" s="1139">
        <f t="shared" si="19"/>
        <v>0</v>
      </c>
      <c r="U48" s="1139">
        <f t="shared" si="19"/>
        <v>0</v>
      </c>
      <c r="V48" s="1139">
        <f t="shared" si="19"/>
        <v>0</v>
      </c>
      <c r="W48" s="1139">
        <f t="shared" si="19"/>
        <v>0</v>
      </c>
      <c r="X48" s="1139">
        <f t="shared" si="19"/>
        <v>0</v>
      </c>
      <c r="Y48" s="1139"/>
      <c r="Z48" s="12">
        <f t="shared" si="9"/>
        <v>0</v>
      </c>
      <c r="AA48" s="579">
        <f t="shared" si="10"/>
        <v>0</v>
      </c>
    </row>
    <row r="49" spans="1:27" ht="21.95" hidden="1" customHeight="1" x14ac:dyDescent="0.15">
      <c r="A49" s="2707"/>
      <c r="B49" s="2617"/>
      <c r="C49" s="2813"/>
      <c r="D49" s="544" t="s">
        <v>1488</v>
      </c>
      <c r="E49" s="1063"/>
      <c r="F49" s="1362"/>
      <c r="G49" s="1278"/>
      <c r="H49" s="1278"/>
      <c r="I49" s="1278"/>
      <c r="J49" s="1278"/>
      <c r="K49" s="1278"/>
      <c r="L49" s="1278"/>
      <c r="M49" s="1278"/>
      <c r="N49" s="1278"/>
      <c r="O49" s="1278"/>
      <c r="P49" s="1278"/>
      <c r="Q49" s="1278"/>
      <c r="R49" s="1278"/>
      <c r="S49" s="1278"/>
      <c r="T49" s="1278"/>
      <c r="U49" s="1278"/>
      <c r="V49" s="1278"/>
      <c r="W49" s="1278"/>
      <c r="X49" s="1278"/>
      <c r="Y49" s="1278"/>
      <c r="Z49" s="1277">
        <f t="shared" si="9"/>
        <v>0</v>
      </c>
      <c r="AA49" s="579">
        <f t="shared" si="10"/>
        <v>0</v>
      </c>
    </row>
    <row r="50" spans="1:27" ht="21.95" hidden="1" customHeight="1" x14ac:dyDescent="0.15">
      <c r="A50" s="2707"/>
      <c r="B50" s="2617"/>
      <c r="C50" s="2812" t="s">
        <v>1553</v>
      </c>
      <c r="D50" s="543" t="s">
        <v>60</v>
      </c>
      <c r="E50" s="1064"/>
      <c r="F50" s="1363"/>
      <c r="G50" s="1279"/>
      <c r="H50" s="1279"/>
      <c r="I50" s="1279"/>
      <c r="J50" s="1279"/>
      <c r="K50" s="1279"/>
      <c r="L50" s="1279"/>
      <c r="M50" s="1279"/>
      <c r="N50" s="1279"/>
      <c r="O50" s="1279"/>
      <c r="P50" s="1279"/>
      <c r="Q50" s="1279"/>
      <c r="R50" s="1279"/>
      <c r="S50" s="1279"/>
      <c r="T50" s="1279"/>
      <c r="U50" s="1279"/>
      <c r="V50" s="1279"/>
      <c r="W50" s="1279"/>
      <c r="X50" s="1279"/>
      <c r="Y50" s="1279"/>
      <c r="Z50" s="12">
        <f t="shared" si="9"/>
        <v>0</v>
      </c>
      <c r="AA50" s="579">
        <f t="shared" si="10"/>
        <v>0</v>
      </c>
    </row>
    <row r="51" spans="1:27" ht="21.95" hidden="1" customHeight="1" x14ac:dyDescent="0.15">
      <c r="A51" s="2707"/>
      <c r="B51" s="2617"/>
      <c r="C51" s="2759"/>
      <c r="D51" s="544" t="s">
        <v>29</v>
      </c>
      <c r="E51" s="1062"/>
      <c r="F51" s="1562">
        <v>7.33</v>
      </c>
      <c r="G51" s="1139">
        <f t="shared" ref="G51:X51" si="20">IF(G50=0,0,7.33)</f>
        <v>0</v>
      </c>
      <c r="H51" s="1139">
        <f t="shared" si="20"/>
        <v>0</v>
      </c>
      <c r="I51" s="1139">
        <f t="shared" si="20"/>
        <v>0</v>
      </c>
      <c r="J51" s="1139">
        <f t="shared" si="20"/>
        <v>0</v>
      </c>
      <c r="K51" s="1139">
        <f t="shared" si="20"/>
        <v>0</v>
      </c>
      <c r="L51" s="1139">
        <f t="shared" si="20"/>
        <v>0</v>
      </c>
      <c r="M51" s="1139">
        <f t="shared" si="20"/>
        <v>0</v>
      </c>
      <c r="N51" s="1139">
        <f t="shared" si="20"/>
        <v>0</v>
      </c>
      <c r="O51" s="1139">
        <f t="shared" si="20"/>
        <v>0</v>
      </c>
      <c r="P51" s="1139">
        <f t="shared" si="20"/>
        <v>0</v>
      </c>
      <c r="Q51" s="1139">
        <f t="shared" si="20"/>
        <v>0</v>
      </c>
      <c r="R51" s="1139">
        <f t="shared" si="20"/>
        <v>0</v>
      </c>
      <c r="S51" s="1139">
        <f t="shared" si="20"/>
        <v>0</v>
      </c>
      <c r="T51" s="1139">
        <f t="shared" si="20"/>
        <v>0</v>
      </c>
      <c r="U51" s="1139">
        <f t="shared" si="20"/>
        <v>0</v>
      </c>
      <c r="V51" s="1139">
        <f t="shared" si="20"/>
        <v>0</v>
      </c>
      <c r="W51" s="1139">
        <f t="shared" si="20"/>
        <v>0</v>
      </c>
      <c r="X51" s="1139">
        <f t="shared" si="20"/>
        <v>0</v>
      </c>
      <c r="Y51" s="1139"/>
      <c r="Z51" s="12">
        <f t="shared" si="9"/>
        <v>0</v>
      </c>
      <c r="AA51" s="579">
        <f t="shared" si="10"/>
        <v>0</v>
      </c>
    </row>
    <row r="52" spans="1:27" ht="21.95" hidden="1" customHeight="1" x14ac:dyDescent="0.15">
      <c r="A52" s="2707"/>
      <c r="B52" s="2617"/>
      <c r="C52" s="2759"/>
      <c r="D52" s="544" t="s">
        <v>3</v>
      </c>
      <c r="E52" s="1062"/>
      <c r="F52" s="1562">
        <v>5.6</v>
      </c>
      <c r="G52" s="1139">
        <f t="shared" ref="G52:X52" si="21">IF(G50=0,0,5.6)</f>
        <v>0</v>
      </c>
      <c r="H52" s="1139">
        <f t="shared" si="21"/>
        <v>0</v>
      </c>
      <c r="I52" s="1139">
        <f t="shared" si="21"/>
        <v>0</v>
      </c>
      <c r="J52" s="1139">
        <f t="shared" si="21"/>
        <v>0</v>
      </c>
      <c r="K52" s="1139">
        <f t="shared" si="21"/>
        <v>0</v>
      </c>
      <c r="L52" s="1139">
        <f t="shared" si="21"/>
        <v>0</v>
      </c>
      <c r="M52" s="1139">
        <f t="shared" si="21"/>
        <v>0</v>
      </c>
      <c r="N52" s="1139">
        <f t="shared" si="21"/>
        <v>0</v>
      </c>
      <c r="O52" s="1139">
        <f t="shared" si="21"/>
        <v>0</v>
      </c>
      <c r="P52" s="1139">
        <f t="shared" si="21"/>
        <v>0</v>
      </c>
      <c r="Q52" s="1139">
        <f t="shared" si="21"/>
        <v>0</v>
      </c>
      <c r="R52" s="1139">
        <f t="shared" si="21"/>
        <v>0</v>
      </c>
      <c r="S52" s="1139">
        <f t="shared" si="21"/>
        <v>0</v>
      </c>
      <c r="T52" s="1139">
        <f t="shared" si="21"/>
        <v>0</v>
      </c>
      <c r="U52" s="1139">
        <f t="shared" si="21"/>
        <v>0</v>
      </c>
      <c r="V52" s="1139">
        <f t="shared" si="21"/>
        <v>0</v>
      </c>
      <c r="W52" s="1139">
        <f t="shared" si="21"/>
        <v>0</v>
      </c>
      <c r="X52" s="1139">
        <f t="shared" si="21"/>
        <v>0</v>
      </c>
      <c r="Y52" s="1139"/>
      <c r="Z52" s="12">
        <f t="shared" si="9"/>
        <v>0</v>
      </c>
      <c r="AA52" s="579">
        <f t="shared" si="10"/>
        <v>0</v>
      </c>
    </row>
    <row r="53" spans="1:27" ht="21.95" hidden="1" customHeight="1" x14ac:dyDescent="0.15">
      <c r="A53" s="2707"/>
      <c r="B53" s="2617"/>
      <c r="C53" s="2759"/>
      <c r="D53" s="544" t="s">
        <v>1499</v>
      </c>
      <c r="E53" s="1062"/>
      <c r="F53" s="1562">
        <f>1.25*2+1.5</f>
        <v>4</v>
      </c>
      <c r="G53" s="1139">
        <f t="shared" ref="G53:X53" si="22">IF(G50=0,0,4)</f>
        <v>0</v>
      </c>
      <c r="H53" s="1139">
        <f t="shared" si="22"/>
        <v>0</v>
      </c>
      <c r="I53" s="1139">
        <f t="shared" si="22"/>
        <v>0</v>
      </c>
      <c r="J53" s="1139">
        <f t="shared" si="22"/>
        <v>0</v>
      </c>
      <c r="K53" s="1139">
        <f t="shared" si="22"/>
        <v>0</v>
      </c>
      <c r="L53" s="1139">
        <f t="shared" si="22"/>
        <v>0</v>
      </c>
      <c r="M53" s="1139">
        <f t="shared" si="22"/>
        <v>0</v>
      </c>
      <c r="N53" s="1139">
        <f t="shared" si="22"/>
        <v>0</v>
      </c>
      <c r="O53" s="1139">
        <f t="shared" si="22"/>
        <v>0</v>
      </c>
      <c r="P53" s="1139">
        <f t="shared" si="22"/>
        <v>0</v>
      </c>
      <c r="Q53" s="1139">
        <f t="shared" si="22"/>
        <v>0</v>
      </c>
      <c r="R53" s="1139">
        <f t="shared" si="22"/>
        <v>0</v>
      </c>
      <c r="S53" s="1139">
        <f t="shared" si="22"/>
        <v>0</v>
      </c>
      <c r="T53" s="1139">
        <f t="shared" si="22"/>
        <v>0</v>
      </c>
      <c r="U53" s="1139">
        <f t="shared" si="22"/>
        <v>0</v>
      </c>
      <c r="V53" s="1139">
        <f t="shared" si="22"/>
        <v>0</v>
      </c>
      <c r="W53" s="1139">
        <f t="shared" si="22"/>
        <v>0</v>
      </c>
      <c r="X53" s="1139">
        <f t="shared" si="22"/>
        <v>0</v>
      </c>
      <c r="Y53" s="1139"/>
      <c r="Z53" s="12">
        <f t="shared" si="9"/>
        <v>0</v>
      </c>
      <c r="AA53" s="579">
        <f t="shared" si="10"/>
        <v>0</v>
      </c>
    </row>
    <row r="54" spans="1:27" ht="21.95" hidden="1" customHeight="1" x14ac:dyDescent="0.15">
      <c r="A54" s="2707"/>
      <c r="B54" s="2617"/>
      <c r="C54" s="2759"/>
      <c r="D54" s="544" t="s">
        <v>1507</v>
      </c>
      <c r="E54" s="1062"/>
      <c r="F54" s="1562">
        <v>8.24</v>
      </c>
      <c r="G54" s="1139">
        <f t="shared" ref="G54:X54" si="23">IF(G50=0,0,8.24)</f>
        <v>0</v>
      </c>
      <c r="H54" s="1139">
        <f t="shared" si="23"/>
        <v>0</v>
      </c>
      <c r="I54" s="1139">
        <f t="shared" si="23"/>
        <v>0</v>
      </c>
      <c r="J54" s="1139">
        <f t="shared" si="23"/>
        <v>0</v>
      </c>
      <c r="K54" s="1139">
        <f t="shared" si="23"/>
        <v>0</v>
      </c>
      <c r="L54" s="1139">
        <f t="shared" si="23"/>
        <v>0</v>
      </c>
      <c r="M54" s="1139">
        <f t="shared" si="23"/>
        <v>0</v>
      </c>
      <c r="N54" s="1139">
        <f t="shared" si="23"/>
        <v>0</v>
      </c>
      <c r="O54" s="1139">
        <f t="shared" si="23"/>
        <v>0</v>
      </c>
      <c r="P54" s="1139">
        <f t="shared" si="23"/>
        <v>0</v>
      </c>
      <c r="Q54" s="1139">
        <f t="shared" si="23"/>
        <v>0</v>
      </c>
      <c r="R54" s="1139">
        <f t="shared" si="23"/>
        <v>0</v>
      </c>
      <c r="S54" s="1139">
        <f t="shared" si="23"/>
        <v>0</v>
      </c>
      <c r="T54" s="1139">
        <f t="shared" si="23"/>
        <v>0</v>
      </c>
      <c r="U54" s="1139">
        <f t="shared" si="23"/>
        <v>0</v>
      </c>
      <c r="V54" s="1139">
        <f t="shared" si="23"/>
        <v>0</v>
      </c>
      <c r="W54" s="1139">
        <f t="shared" si="23"/>
        <v>0</v>
      </c>
      <c r="X54" s="1139">
        <f t="shared" si="23"/>
        <v>0</v>
      </c>
      <c r="Y54" s="1139"/>
      <c r="Z54" s="12">
        <f t="shared" si="9"/>
        <v>0</v>
      </c>
      <c r="AA54" s="579">
        <f t="shared" si="10"/>
        <v>0</v>
      </c>
    </row>
    <row r="55" spans="1:27" ht="21.95" hidden="1" customHeight="1" x14ac:dyDescent="0.15">
      <c r="A55" s="2707"/>
      <c r="B55" s="2617"/>
      <c r="C55" s="2759"/>
      <c r="D55" s="544" t="s">
        <v>1554</v>
      </c>
      <c r="E55" s="1062"/>
      <c r="F55" s="1562">
        <v>5.6</v>
      </c>
      <c r="G55" s="1139">
        <f t="shared" ref="G55:X55" si="24">IF(G50=0,0,5.6)</f>
        <v>0</v>
      </c>
      <c r="H55" s="1139">
        <f t="shared" si="24"/>
        <v>0</v>
      </c>
      <c r="I55" s="1139">
        <f t="shared" si="24"/>
        <v>0</v>
      </c>
      <c r="J55" s="1139">
        <f t="shared" si="24"/>
        <v>0</v>
      </c>
      <c r="K55" s="1139">
        <f t="shared" si="24"/>
        <v>0</v>
      </c>
      <c r="L55" s="1139">
        <f t="shared" si="24"/>
        <v>0</v>
      </c>
      <c r="M55" s="1139">
        <f t="shared" si="24"/>
        <v>0</v>
      </c>
      <c r="N55" s="1139">
        <f t="shared" si="24"/>
        <v>0</v>
      </c>
      <c r="O55" s="1139">
        <f t="shared" si="24"/>
        <v>0</v>
      </c>
      <c r="P55" s="1139">
        <f t="shared" si="24"/>
        <v>0</v>
      </c>
      <c r="Q55" s="1139">
        <f t="shared" si="24"/>
        <v>0</v>
      </c>
      <c r="R55" s="1139">
        <f t="shared" si="24"/>
        <v>0</v>
      </c>
      <c r="S55" s="1139">
        <f t="shared" si="24"/>
        <v>0</v>
      </c>
      <c r="T55" s="1139">
        <f t="shared" si="24"/>
        <v>0</v>
      </c>
      <c r="U55" s="1139">
        <f t="shared" si="24"/>
        <v>0</v>
      </c>
      <c r="V55" s="1139">
        <f t="shared" si="24"/>
        <v>0</v>
      </c>
      <c r="W55" s="1139">
        <f t="shared" si="24"/>
        <v>0</v>
      </c>
      <c r="X55" s="1139">
        <f t="shared" si="24"/>
        <v>0</v>
      </c>
      <c r="Y55" s="1139"/>
      <c r="Z55" s="12">
        <f t="shared" si="9"/>
        <v>0</v>
      </c>
      <c r="AA55" s="579">
        <f t="shared" si="10"/>
        <v>0</v>
      </c>
    </row>
    <row r="56" spans="1:27" ht="21.95" hidden="1" customHeight="1" x14ac:dyDescent="0.15">
      <c r="A56" s="2707"/>
      <c r="B56" s="2617"/>
      <c r="C56" s="2813"/>
      <c r="D56" s="544" t="s">
        <v>1488</v>
      </c>
      <c r="E56" s="1063"/>
      <c r="F56" s="1362"/>
      <c r="G56" s="1278"/>
      <c r="H56" s="1278"/>
      <c r="I56" s="1278"/>
      <c r="J56" s="1278"/>
      <c r="K56" s="1278"/>
      <c r="L56" s="1278"/>
      <c r="M56" s="1278"/>
      <c r="N56" s="1278"/>
      <c r="O56" s="1278"/>
      <c r="P56" s="1278"/>
      <c r="Q56" s="1278"/>
      <c r="R56" s="1278"/>
      <c r="S56" s="1278"/>
      <c r="T56" s="1278"/>
      <c r="U56" s="1278"/>
      <c r="V56" s="1278"/>
      <c r="W56" s="1278"/>
      <c r="X56" s="1278"/>
      <c r="Y56" s="1278"/>
      <c r="Z56" s="1277">
        <f t="shared" si="9"/>
        <v>0</v>
      </c>
      <c r="AA56" s="579">
        <f t="shared" si="10"/>
        <v>0</v>
      </c>
    </row>
    <row r="57" spans="1:27" ht="21.95" hidden="1" customHeight="1" x14ac:dyDescent="0.15">
      <c r="A57" s="2707"/>
      <c r="B57" s="2617"/>
      <c r="C57" s="2812" t="s">
        <v>1555</v>
      </c>
      <c r="D57" s="543" t="s">
        <v>60</v>
      </c>
      <c r="E57" s="1064"/>
      <c r="F57" s="1363"/>
      <c r="G57" s="1279"/>
      <c r="H57" s="1279"/>
      <c r="I57" s="1279"/>
      <c r="J57" s="1279"/>
      <c r="K57" s="1279"/>
      <c r="L57" s="1279"/>
      <c r="M57" s="1279"/>
      <c r="N57" s="1279"/>
      <c r="O57" s="1279"/>
      <c r="P57" s="1279"/>
      <c r="Q57" s="1279"/>
      <c r="R57" s="1279"/>
      <c r="S57" s="1279"/>
      <c r="T57" s="1279"/>
      <c r="U57" s="1279"/>
      <c r="V57" s="1279"/>
      <c r="W57" s="1279"/>
      <c r="X57" s="1279"/>
      <c r="Y57" s="1279"/>
      <c r="Z57" s="12">
        <f t="shared" si="9"/>
        <v>0</v>
      </c>
      <c r="AA57" s="579">
        <f t="shared" si="10"/>
        <v>0</v>
      </c>
    </row>
    <row r="58" spans="1:27" ht="21.95" hidden="1" customHeight="1" x14ac:dyDescent="0.15">
      <c r="A58" s="2707"/>
      <c r="B58" s="2617"/>
      <c r="C58" s="2759"/>
      <c r="D58" s="544" t="s">
        <v>29</v>
      </c>
      <c r="E58" s="1062"/>
      <c r="F58" s="1562">
        <v>13.36</v>
      </c>
      <c r="G58" s="1139">
        <f t="shared" ref="G58:X58" si="25">IF(G57=0,0,13.36)</f>
        <v>0</v>
      </c>
      <c r="H58" s="1139">
        <f t="shared" si="25"/>
        <v>0</v>
      </c>
      <c r="I58" s="1139">
        <f t="shared" si="25"/>
        <v>0</v>
      </c>
      <c r="J58" s="1139">
        <f t="shared" si="25"/>
        <v>0</v>
      </c>
      <c r="K58" s="1139">
        <f t="shared" si="25"/>
        <v>0</v>
      </c>
      <c r="L58" s="1139">
        <f t="shared" si="25"/>
        <v>0</v>
      </c>
      <c r="M58" s="1139">
        <f t="shared" si="25"/>
        <v>0</v>
      </c>
      <c r="N58" s="1139">
        <f t="shared" si="25"/>
        <v>0</v>
      </c>
      <c r="O58" s="1139">
        <f t="shared" si="25"/>
        <v>0</v>
      </c>
      <c r="P58" s="1139">
        <f t="shared" si="25"/>
        <v>0</v>
      </c>
      <c r="Q58" s="1139">
        <f t="shared" si="25"/>
        <v>0</v>
      </c>
      <c r="R58" s="1139">
        <f t="shared" si="25"/>
        <v>0</v>
      </c>
      <c r="S58" s="1139">
        <f t="shared" si="25"/>
        <v>0</v>
      </c>
      <c r="T58" s="1139">
        <f t="shared" si="25"/>
        <v>0</v>
      </c>
      <c r="U58" s="1139">
        <f t="shared" si="25"/>
        <v>0</v>
      </c>
      <c r="V58" s="1139">
        <f t="shared" si="25"/>
        <v>0</v>
      </c>
      <c r="W58" s="1139">
        <f t="shared" si="25"/>
        <v>0</v>
      </c>
      <c r="X58" s="1139">
        <f t="shared" si="25"/>
        <v>0</v>
      </c>
      <c r="Y58" s="1139"/>
      <c r="Z58" s="12">
        <f t="shared" si="9"/>
        <v>0</v>
      </c>
      <c r="AA58" s="579">
        <f t="shared" si="10"/>
        <v>0</v>
      </c>
    </row>
    <row r="59" spans="1:27" ht="21.95" hidden="1" customHeight="1" x14ac:dyDescent="0.15">
      <c r="A59" s="2707"/>
      <c r="B59" s="2617"/>
      <c r="C59" s="2759"/>
      <c r="D59" s="544" t="s">
        <v>3</v>
      </c>
      <c r="E59" s="1062"/>
      <c r="F59" s="1562">
        <v>7.5</v>
      </c>
      <c r="G59" s="1139">
        <f t="shared" ref="G59:X59" si="26">IF(G57=0,0,7.5)</f>
        <v>0</v>
      </c>
      <c r="H59" s="1139">
        <f t="shared" si="26"/>
        <v>0</v>
      </c>
      <c r="I59" s="1139">
        <f t="shared" si="26"/>
        <v>0</v>
      </c>
      <c r="J59" s="1139">
        <f t="shared" si="26"/>
        <v>0</v>
      </c>
      <c r="K59" s="1139">
        <f t="shared" si="26"/>
        <v>0</v>
      </c>
      <c r="L59" s="1139">
        <f t="shared" si="26"/>
        <v>0</v>
      </c>
      <c r="M59" s="1139">
        <f t="shared" si="26"/>
        <v>0</v>
      </c>
      <c r="N59" s="1139">
        <f t="shared" si="26"/>
        <v>0</v>
      </c>
      <c r="O59" s="1139">
        <f t="shared" si="26"/>
        <v>0</v>
      </c>
      <c r="P59" s="1139">
        <f t="shared" si="26"/>
        <v>0</v>
      </c>
      <c r="Q59" s="1139">
        <f t="shared" si="26"/>
        <v>0</v>
      </c>
      <c r="R59" s="1139">
        <f t="shared" si="26"/>
        <v>0</v>
      </c>
      <c r="S59" s="1139">
        <f t="shared" si="26"/>
        <v>0</v>
      </c>
      <c r="T59" s="1139">
        <f t="shared" si="26"/>
        <v>0</v>
      </c>
      <c r="U59" s="1139">
        <f t="shared" si="26"/>
        <v>0</v>
      </c>
      <c r="V59" s="1139">
        <f t="shared" si="26"/>
        <v>0</v>
      </c>
      <c r="W59" s="1139">
        <f t="shared" si="26"/>
        <v>0</v>
      </c>
      <c r="X59" s="1139">
        <f t="shared" si="26"/>
        <v>0</v>
      </c>
      <c r="Y59" s="1139"/>
      <c r="Z59" s="12">
        <f t="shared" si="9"/>
        <v>0</v>
      </c>
      <c r="AA59" s="579">
        <f t="shared" si="10"/>
        <v>0</v>
      </c>
    </row>
    <row r="60" spans="1:27" ht="21.95" hidden="1" customHeight="1" x14ac:dyDescent="0.15">
      <c r="A60" s="2707"/>
      <c r="B60" s="2617"/>
      <c r="C60" s="2759"/>
      <c r="D60" s="544" t="s">
        <v>1499</v>
      </c>
      <c r="E60" s="1062"/>
      <c r="F60" s="1562">
        <v>5</v>
      </c>
      <c r="G60" s="1139">
        <f t="shared" ref="G60:X60" si="27">IF(G57=0,0,5)</f>
        <v>0</v>
      </c>
      <c r="H60" s="1139">
        <f t="shared" si="27"/>
        <v>0</v>
      </c>
      <c r="I60" s="1139">
        <f t="shared" si="27"/>
        <v>0</v>
      </c>
      <c r="J60" s="1139">
        <f t="shared" si="27"/>
        <v>0</v>
      </c>
      <c r="K60" s="1139">
        <f t="shared" si="27"/>
        <v>0</v>
      </c>
      <c r="L60" s="1139">
        <f t="shared" si="27"/>
        <v>0</v>
      </c>
      <c r="M60" s="1139">
        <f t="shared" si="27"/>
        <v>0</v>
      </c>
      <c r="N60" s="1139">
        <f t="shared" si="27"/>
        <v>0</v>
      </c>
      <c r="O60" s="1139">
        <f t="shared" si="27"/>
        <v>0</v>
      </c>
      <c r="P60" s="1139">
        <f t="shared" si="27"/>
        <v>0</v>
      </c>
      <c r="Q60" s="1139">
        <f t="shared" si="27"/>
        <v>0</v>
      </c>
      <c r="R60" s="1139">
        <f t="shared" si="27"/>
        <v>0</v>
      </c>
      <c r="S60" s="1139">
        <f t="shared" si="27"/>
        <v>0</v>
      </c>
      <c r="T60" s="1139">
        <f t="shared" si="27"/>
        <v>0</v>
      </c>
      <c r="U60" s="1139">
        <f t="shared" si="27"/>
        <v>0</v>
      </c>
      <c r="V60" s="1139">
        <f t="shared" si="27"/>
        <v>0</v>
      </c>
      <c r="W60" s="1139">
        <f t="shared" si="27"/>
        <v>0</v>
      </c>
      <c r="X60" s="1139">
        <f t="shared" si="27"/>
        <v>0</v>
      </c>
      <c r="Y60" s="1139"/>
      <c r="Z60" s="12">
        <f t="shared" si="9"/>
        <v>0</v>
      </c>
      <c r="AA60" s="579">
        <f t="shared" si="10"/>
        <v>0</v>
      </c>
    </row>
    <row r="61" spans="1:27" ht="21.95" hidden="1" customHeight="1" x14ac:dyDescent="0.15">
      <c r="A61" s="2707"/>
      <c r="B61" s="2617"/>
      <c r="C61" s="2759"/>
      <c r="D61" s="544" t="s">
        <v>1507</v>
      </c>
      <c r="E61" s="1062"/>
      <c r="F61" s="1562">
        <f>7.5+1.82*2</f>
        <v>11.14</v>
      </c>
      <c r="G61" s="1139">
        <f t="shared" ref="G61:X61" si="28">IF(G57=0,0,11.14)</f>
        <v>0</v>
      </c>
      <c r="H61" s="1139">
        <f t="shared" si="28"/>
        <v>0</v>
      </c>
      <c r="I61" s="1139">
        <f t="shared" si="28"/>
        <v>0</v>
      </c>
      <c r="J61" s="1139">
        <f t="shared" si="28"/>
        <v>0</v>
      </c>
      <c r="K61" s="1139">
        <f t="shared" si="28"/>
        <v>0</v>
      </c>
      <c r="L61" s="1139">
        <f t="shared" si="28"/>
        <v>0</v>
      </c>
      <c r="M61" s="1139">
        <f t="shared" si="28"/>
        <v>0</v>
      </c>
      <c r="N61" s="1139">
        <f t="shared" si="28"/>
        <v>0</v>
      </c>
      <c r="O61" s="1139">
        <f t="shared" si="28"/>
        <v>0</v>
      </c>
      <c r="P61" s="1139">
        <f t="shared" si="28"/>
        <v>0</v>
      </c>
      <c r="Q61" s="1139">
        <f t="shared" si="28"/>
        <v>0</v>
      </c>
      <c r="R61" s="1139">
        <f t="shared" si="28"/>
        <v>0</v>
      </c>
      <c r="S61" s="1139">
        <f t="shared" si="28"/>
        <v>0</v>
      </c>
      <c r="T61" s="1139">
        <f t="shared" si="28"/>
        <v>0</v>
      </c>
      <c r="U61" s="1139">
        <f t="shared" si="28"/>
        <v>0</v>
      </c>
      <c r="V61" s="1139">
        <f t="shared" si="28"/>
        <v>0</v>
      </c>
      <c r="W61" s="1139">
        <f t="shared" si="28"/>
        <v>0</v>
      </c>
      <c r="X61" s="1139">
        <f t="shared" si="28"/>
        <v>0</v>
      </c>
      <c r="Y61" s="1139"/>
      <c r="Z61" s="12">
        <f t="shared" si="9"/>
        <v>0</v>
      </c>
      <c r="AA61" s="579">
        <f t="shared" si="10"/>
        <v>0</v>
      </c>
    </row>
    <row r="62" spans="1:27" ht="21.95" hidden="1" customHeight="1" x14ac:dyDescent="0.15">
      <c r="A62" s="2707"/>
      <c r="B62" s="2617"/>
      <c r="C62" s="2759"/>
      <c r="D62" s="544" t="s">
        <v>1554</v>
      </c>
      <c r="E62" s="1062"/>
      <c r="F62" s="1562">
        <v>5.6</v>
      </c>
      <c r="G62" s="1139">
        <f t="shared" ref="G62:X62" si="29">IF(G57=0,0,5.6)</f>
        <v>0</v>
      </c>
      <c r="H62" s="1139">
        <f t="shared" si="29"/>
        <v>0</v>
      </c>
      <c r="I62" s="1139">
        <f t="shared" si="29"/>
        <v>0</v>
      </c>
      <c r="J62" s="1139">
        <f t="shared" si="29"/>
        <v>0</v>
      </c>
      <c r="K62" s="1139">
        <f t="shared" si="29"/>
        <v>0</v>
      </c>
      <c r="L62" s="1139">
        <f t="shared" si="29"/>
        <v>0</v>
      </c>
      <c r="M62" s="1139">
        <f t="shared" si="29"/>
        <v>0</v>
      </c>
      <c r="N62" s="1139">
        <f t="shared" si="29"/>
        <v>0</v>
      </c>
      <c r="O62" s="1139">
        <f t="shared" si="29"/>
        <v>0</v>
      </c>
      <c r="P62" s="1139">
        <f t="shared" si="29"/>
        <v>0</v>
      </c>
      <c r="Q62" s="1139">
        <f t="shared" si="29"/>
        <v>0</v>
      </c>
      <c r="R62" s="1139">
        <f t="shared" si="29"/>
        <v>0</v>
      </c>
      <c r="S62" s="1139">
        <f t="shared" si="29"/>
        <v>0</v>
      </c>
      <c r="T62" s="1139">
        <f t="shared" si="29"/>
        <v>0</v>
      </c>
      <c r="U62" s="1139">
        <f t="shared" si="29"/>
        <v>0</v>
      </c>
      <c r="V62" s="1139">
        <f t="shared" si="29"/>
        <v>0</v>
      </c>
      <c r="W62" s="1139">
        <f t="shared" si="29"/>
        <v>0</v>
      </c>
      <c r="X62" s="1139">
        <f t="shared" si="29"/>
        <v>0</v>
      </c>
      <c r="Y62" s="1139"/>
      <c r="Z62" s="12">
        <f t="shared" si="9"/>
        <v>0</v>
      </c>
      <c r="AA62" s="579">
        <f t="shared" si="10"/>
        <v>0</v>
      </c>
    </row>
    <row r="63" spans="1:27" ht="21.95" hidden="1" customHeight="1" x14ac:dyDescent="0.15">
      <c r="A63" s="2707"/>
      <c r="B63" s="2617"/>
      <c r="C63" s="2759"/>
      <c r="D63" s="547" t="s">
        <v>1488</v>
      </c>
      <c r="E63" s="1062"/>
      <c r="F63" s="1345"/>
      <c r="G63" s="426"/>
      <c r="H63" s="426"/>
      <c r="I63" s="426"/>
      <c r="J63" s="426"/>
      <c r="K63" s="426"/>
      <c r="L63" s="426"/>
      <c r="M63" s="426"/>
      <c r="N63" s="426"/>
      <c r="O63" s="426"/>
      <c r="P63" s="426"/>
      <c r="Q63" s="426"/>
      <c r="R63" s="426"/>
      <c r="S63" s="426"/>
      <c r="T63" s="426"/>
      <c r="U63" s="426"/>
      <c r="V63" s="426"/>
      <c r="W63" s="426"/>
      <c r="X63" s="426"/>
      <c r="Y63" s="426"/>
      <c r="Z63" s="12">
        <f t="shared" si="9"/>
        <v>0</v>
      </c>
      <c r="AA63" s="579">
        <f t="shared" si="10"/>
        <v>0</v>
      </c>
    </row>
    <row r="64" spans="1:27" ht="21.95" hidden="1" customHeight="1" x14ac:dyDescent="0.15">
      <c r="A64" s="2707"/>
      <c r="B64" s="2617"/>
      <c r="C64" s="2950" t="s">
        <v>1556</v>
      </c>
      <c r="D64" s="543" t="s">
        <v>60</v>
      </c>
      <c r="E64" s="1064"/>
      <c r="F64" s="1363"/>
      <c r="G64" s="1279"/>
      <c r="H64" s="1279"/>
      <c r="I64" s="1279"/>
      <c r="J64" s="1279"/>
      <c r="K64" s="1279"/>
      <c r="L64" s="1279"/>
      <c r="M64" s="1279"/>
      <c r="N64" s="1279"/>
      <c r="O64" s="1279"/>
      <c r="P64" s="1279"/>
      <c r="Q64" s="1279"/>
      <c r="R64" s="1279"/>
      <c r="S64" s="1279"/>
      <c r="T64" s="1279"/>
      <c r="U64" s="1279"/>
      <c r="V64" s="1279"/>
      <c r="W64" s="1279"/>
      <c r="X64" s="1279"/>
      <c r="Y64" s="1279"/>
      <c r="Z64" s="2356">
        <f t="shared" si="9"/>
        <v>0</v>
      </c>
      <c r="AA64" s="579">
        <f t="shared" si="10"/>
        <v>0</v>
      </c>
    </row>
    <row r="65" spans="1:27" ht="21.95" hidden="1" customHeight="1" x14ac:dyDescent="0.15">
      <c r="A65" s="2707"/>
      <c r="B65" s="2617"/>
      <c r="C65" s="2807"/>
      <c r="D65" s="544" t="s">
        <v>29</v>
      </c>
      <c r="E65" s="1062"/>
      <c r="F65" s="1562" t="s">
        <v>1558</v>
      </c>
      <c r="G65" s="1139">
        <f t="shared" ref="G65:X65" si="30">IF(G64=0,0,42.21)</f>
        <v>0</v>
      </c>
      <c r="H65" s="1139">
        <f t="shared" si="30"/>
        <v>0</v>
      </c>
      <c r="I65" s="1139">
        <f t="shared" si="30"/>
        <v>0</v>
      </c>
      <c r="J65" s="1139">
        <f t="shared" si="30"/>
        <v>0</v>
      </c>
      <c r="K65" s="1139">
        <f t="shared" si="30"/>
        <v>0</v>
      </c>
      <c r="L65" s="1139">
        <f t="shared" si="30"/>
        <v>0</v>
      </c>
      <c r="M65" s="1139">
        <f t="shared" si="30"/>
        <v>0</v>
      </c>
      <c r="N65" s="1139">
        <f t="shared" si="30"/>
        <v>0</v>
      </c>
      <c r="O65" s="1139">
        <f t="shared" si="30"/>
        <v>0</v>
      </c>
      <c r="P65" s="1139">
        <f t="shared" si="30"/>
        <v>0</v>
      </c>
      <c r="Q65" s="1139">
        <f t="shared" si="30"/>
        <v>0</v>
      </c>
      <c r="R65" s="1139">
        <f t="shared" si="30"/>
        <v>0</v>
      </c>
      <c r="S65" s="1139">
        <f t="shared" si="30"/>
        <v>0</v>
      </c>
      <c r="T65" s="1139">
        <f t="shared" si="30"/>
        <v>0</v>
      </c>
      <c r="U65" s="1139">
        <f t="shared" si="30"/>
        <v>0</v>
      </c>
      <c r="V65" s="1139">
        <f t="shared" si="30"/>
        <v>0</v>
      </c>
      <c r="W65" s="1139">
        <f t="shared" si="30"/>
        <v>0</v>
      </c>
      <c r="X65" s="1139">
        <f t="shared" si="30"/>
        <v>0</v>
      </c>
      <c r="Y65" s="1139"/>
      <c r="Z65" s="12">
        <f t="shared" si="9"/>
        <v>0</v>
      </c>
      <c r="AA65" s="579">
        <f t="shared" si="10"/>
        <v>0</v>
      </c>
    </row>
    <row r="66" spans="1:27" ht="21.95" hidden="1" customHeight="1" x14ac:dyDescent="0.15">
      <c r="A66" s="2707"/>
      <c r="B66" s="2617"/>
      <c r="C66" s="2807"/>
      <c r="D66" s="544" t="s">
        <v>3</v>
      </c>
      <c r="E66" s="1062"/>
      <c r="F66" s="1562">
        <v>16.850000000000001</v>
      </c>
      <c r="G66" s="1139">
        <f t="shared" ref="G66:X66" si="31">IF(G64=0,0,16.85)</f>
        <v>0</v>
      </c>
      <c r="H66" s="1139">
        <f t="shared" si="31"/>
        <v>0</v>
      </c>
      <c r="I66" s="1139">
        <f t="shared" si="31"/>
        <v>0</v>
      </c>
      <c r="J66" s="1139">
        <f t="shared" si="31"/>
        <v>0</v>
      </c>
      <c r="K66" s="1139">
        <f t="shared" si="31"/>
        <v>0</v>
      </c>
      <c r="L66" s="1139">
        <f t="shared" si="31"/>
        <v>0</v>
      </c>
      <c r="M66" s="1139">
        <f t="shared" si="31"/>
        <v>0</v>
      </c>
      <c r="N66" s="1139">
        <f t="shared" si="31"/>
        <v>0</v>
      </c>
      <c r="O66" s="1139">
        <f t="shared" si="31"/>
        <v>0</v>
      </c>
      <c r="P66" s="1139">
        <f t="shared" si="31"/>
        <v>0</v>
      </c>
      <c r="Q66" s="1139">
        <f t="shared" si="31"/>
        <v>0</v>
      </c>
      <c r="R66" s="1139">
        <f t="shared" si="31"/>
        <v>0</v>
      </c>
      <c r="S66" s="1139">
        <f t="shared" si="31"/>
        <v>0</v>
      </c>
      <c r="T66" s="1139">
        <f t="shared" si="31"/>
        <v>0</v>
      </c>
      <c r="U66" s="1139">
        <f t="shared" si="31"/>
        <v>0</v>
      </c>
      <c r="V66" s="1139">
        <f t="shared" si="31"/>
        <v>0</v>
      </c>
      <c r="W66" s="1139">
        <f t="shared" si="31"/>
        <v>0</v>
      </c>
      <c r="X66" s="1139">
        <f t="shared" si="31"/>
        <v>0</v>
      </c>
      <c r="Y66" s="1139"/>
      <c r="Z66" s="12">
        <f t="shared" si="9"/>
        <v>0</v>
      </c>
      <c r="AA66" s="579">
        <f t="shared" si="10"/>
        <v>0</v>
      </c>
    </row>
    <row r="67" spans="1:27" ht="21.95" hidden="1" customHeight="1" x14ac:dyDescent="0.15">
      <c r="A67" s="2707"/>
      <c r="B67" s="2617"/>
      <c r="C67" s="2807"/>
      <c r="D67" s="544" t="s">
        <v>1498</v>
      </c>
      <c r="E67" s="1062"/>
      <c r="F67" s="1562">
        <f>18*0.25</f>
        <v>4.5</v>
      </c>
      <c r="G67" s="1139">
        <f t="shared" ref="G67:X67" si="32">IF(G64=0,0,4.5)</f>
        <v>0</v>
      </c>
      <c r="H67" s="1139">
        <f t="shared" si="32"/>
        <v>0</v>
      </c>
      <c r="I67" s="1139">
        <f t="shared" si="32"/>
        <v>0</v>
      </c>
      <c r="J67" s="1139">
        <f t="shared" si="32"/>
        <v>0</v>
      </c>
      <c r="K67" s="1139">
        <f t="shared" si="32"/>
        <v>0</v>
      </c>
      <c r="L67" s="1139">
        <f t="shared" si="32"/>
        <v>0</v>
      </c>
      <c r="M67" s="1139">
        <f t="shared" si="32"/>
        <v>0</v>
      </c>
      <c r="N67" s="1139">
        <f t="shared" si="32"/>
        <v>0</v>
      </c>
      <c r="O67" s="1139">
        <f t="shared" si="32"/>
        <v>0</v>
      </c>
      <c r="P67" s="1139">
        <f t="shared" si="32"/>
        <v>0</v>
      </c>
      <c r="Q67" s="1139">
        <f t="shared" si="32"/>
        <v>0</v>
      </c>
      <c r="R67" s="1139">
        <f t="shared" si="32"/>
        <v>0</v>
      </c>
      <c r="S67" s="1139">
        <f t="shared" si="32"/>
        <v>0</v>
      </c>
      <c r="T67" s="1139">
        <f t="shared" si="32"/>
        <v>0</v>
      </c>
      <c r="U67" s="1139">
        <f t="shared" si="32"/>
        <v>0</v>
      </c>
      <c r="V67" s="1139">
        <f t="shared" si="32"/>
        <v>0</v>
      </c>
      <c r="W67" s="1139">
        <f t="shared" si="32"/>
        <v>0</v>
      </c>
      <c r="X67" s="1139">
        <f t="shared" si="32"/>
        <v>0</v>
      </c>
      <c r="Y67" s="1139"/>
      <c r="Z67" s="12">
        <f t="shared" ref="Z67:Z98" si="33">TRUNC(SUM(G67:Y67),2)</f>
        <v>0</v>
      </c>
      <c r="AA67" s="579">
        <f t="shared" ref="AA67:AA98" si="34">SUM(G67:Z67)</f>
        <v>0</v>
      </c>
    </row>
    <row r="68" spans="1:27" ht="21.95" hidden="1" customHeight="1" x14ac:dyDescent="0.15">
      <c r="A68" s="2707"/>
      <c r="B68" s="2617"/>
      <c r="C68" s="2807"/>
      <c r="D68" s="544" t="s">
        <v>1499</v>
      </c>
      <c r="E68" s="1062"/>
      <c r="F68" s="1562">
        <v>3</v>
      </c>
      <c r="G68" s="1139">
        <f t="shared" ref="G68:X68" si="35">IF(G64=0,0,3)</f>
        <v>0</v>
      </c>
      <c r="H68" s="1139">
        <f t="shared" si="35"/>
        <v>0</v>
      </c>
      <c r="I68" s="1139">
        <f t="shared" si="35"/>
        <v>0</v>
      </c>
      <c r="J68" s="1139">
        <f t="shared" si="35"/>
        <v>0</v>
      </c>
      <c r="K68" s="1139">
        <f t="shared" si="35"/>
        <v>0</v>
      </c>
      <c r="L68" s="1139">
        <f t="shared" si="35"/>
        <v>0</v>
      </c>
      <c r="M68" s="1139">
        <f t="shared" si="35"/>
        <v>0</v>
      </c>
      <c r="N68" s="1139">
        <f t="shared" si="35"/>
        <v>0</v>
      </c>
      <c r="O68" s="1139">
        <f t="shared" si="35"/>
        <v>0</v>
      </c>
      <c r="P68" s="1139">
        <f t="shared" si="35"/>
        <v>0</v>
      </c>
      <c r="Q68" s="1139">
        <f t="shared" si="35"/>
        <v>0</v>
      </c>
      <c r="R68" s="1139">
        <f t="shared" si="35"/>
        <v>0</v>
      </c>
      <c r="S68" s="1139">
        <f t="shared" si="35"/>
        <v>0</v>
      </c>
      <c r="T68" s="1139">
        <f t="shared" si="35"/>
        <v>0</v>
      </c>
      <c r="U68" s="1139">
        <f t="shared" si="35"/>
        <v>0</v>
      </c>
      <c r="V68" s="1139">
        <f t="shared" si="35"/>
        <v>0</v>
      </c>
      <c r="W68" s="1139">
        <f t="shared" si="35"/>
        <v>0</v>
      </c>
      <c r="X68" s="1139">
        <f t="shared" si="35"/>
        <v>0</v>
      </c>
      <c r="Y68" s="1139"/>
      <c r="Z68" s="12">
        <f t="shared" si="33"/>
        <v>0</v>
      </c>
      <c r="AA68" s="579">
        <f t="shared" si="34"/>
        <v>0</v>
      </c>
    </row>
    <row r="69" spans="1:27" ht="21.95" hidden="1" customHeight="1" x14ac:dyDescent="0.15">
      <c r="A69" s="2707"/>
      <c r="B69" s="2617"/>
      <c r="C69" s="2807"/>
      <c r="D69" s="544" t="s">
        <v>1507</v>
      </c>
      <c r="E69" s="1062"/>
      <c r="F69" s="1562">
        <v>17.13</v>
      </c>
      <c r="G69" s="1139">
        <f t="shared" ref="G69:X69" si="36">IF(G64=0,0,17.13)</f>
        <v>0</v>
      </c>
      <c r="H69" s="1139">
        <f t="shared" si="36"/>
        <v>0</v>
      </c>
      <c r="I69" s="1139">
        <f t="shared" si="36"/>
        <v>0</v>
      </c>
      <c r="J69" s="1139">
        <f t="shared" si="36"/>
        <v>0</v>
      </c>
      <c r="K69" s="1139">
        <f t="shared" si="36"/>
        <v>0</v>
      </c>
      <c r="L69" s="1139">
        <f t="shared" si="36"/>
        <v>0</v>
      </c>
      <c r="M69" s="1139">
        <f t="shared" si="36"/>
        <v>0</v>
      </c>
      <c r="N69" s="1139">
        <f t="shared" si="36"/>
        <v>0</v>
      </c>
      <c r="O69" s="1139">
        <f t="shared" si="36"/>
        <v>0</v>
      </c>
      <c r="P69" s="1139">
        <f t="shared" si="36"/>
        <v>0</v>
      </c>
      <c r="Q69" s="1139">
        <f t="shared" si="36"/>
        <v>0</v>
      </c>
      <c r="R69" s="1139">
        <f t="shared" si="36"/>
        <v>0</v>
      </c>
      <c r="S69" s="1139">
        <f t="shared" si="36"/>
        <v>0</v>
      </c>
      <c r="T69" s="1139">
        <f t="shared" si="36"/>
        <v>0</v>
      </c>
      <c r="U69" s="1139">
        <f t="shared" si="36"/>
        <v>0</v>
      </c>
      <c r="V69" s="1139">
        <f t="shared" si="36"/>
        <v>0</v>
      </c>
      <c r="W69" s="1139">
        <f t="shared" si="36"/>
        <v>0</v>
      </c>
      <c r="X69" s="1139">
        <f t="shared" si="36"/>
        <v>0</v>
      </c>
      <c r="Y69" s="1139"/>
      <c r="Z69" s="12">
        <f t="shared" si="33"/>
        <v>0</v>
      </c>
      <c r="AA69" s="579">
        <f t="shared" si="34"/>
        <v>0</v>
      </c>
    </row>
    <row r="70" spans="1:27" ht="21.95" hidden="1" customHeight="1" x14ac:dyDescent="0.15">
      <c r="A70" s="2707"/>
      <c r="B70" s="2617"/>
      <c r="C70" s="2948"/>
      <c r="D70" s="544" t="s">
        <v>1488</v>
      </c>
      <c r="E70" s="1063"/>
      <c r="F70" s="1362"/>
      <c r="G70" s="1278"/>
      <c r="H70" s="1278"/>
      <c r="I70" s="1278"/>
      <c r="J70" s="1278"/>
      <c r="K70" s="1278"/>
      <c r="L70" s="1278"/>
      <c r="M70" s="1278"/>
      <c r="N70" s="1278"/>
      <c r="O70" s="1278"/>
      <c r="P70" s="1278"/>
      <c r="Q70" s="1278"/>
      <c r="R70" s="1278"/>
      <c r="S70" s="1278"/>
      <c r="T70" s="1278"/>
      <c r="U70" s="1278"/>
      <c r="V70" s="1278"/>
      <c r="W70" s="1278"/>
      <c r="X70" s="1278"/>
      <c r="Y70" s="1278"/>
      <c r="Z70" s="1277">
        <f t="shared" si="33"/>
        <v>0</v>
      </c>
      <c r="AA70" s="579">
        <f t="shared" si="34"/>
        <v>0</v>
      </c>
    </row>
    <row r="71" spans="1:27" ht="21.95" hidden="1" customHeight="1" x14ac:dyDescent="0.15">
      <c r="A71" s="2707"/>
      <c r="B71" s="2617"/>
      <c r="C71" s="2812" t="s">
        <v>1557</v>
      </c>
      <c r="D71" s="543" t="s">
        <v>60</v>
      </c>
      <c r="E71" s="1064"/>
      <c r="F71" s="1363"/>
      <c r="G71" s="1279"/>
      <c r="H71" s="1279"/>
      <c r="I71" s="1279"/>
      <c r="J71" s="1279"/>
      <c r="K71" s="1279"/>
      <c r="L71" s="1279"/>
      <c r="M71" s="1279"/>
      <c r="N71" s="1279"/>
      <c r="O71" s="1279"/>
      <c r="P71" s="1279"/>
      <c r="Q71" s="1279"/>
      <c r="R71" s="1279"/>
      <c r="S71" s="1279"/>
      <c r="T71" s="1279"/>
      <c r="U71" s="1279"/>
      <c r="V71" s="1279"/>
      <c r="W71" s="1279"/>
      <c r="X71" s="1279"/>
      <c r="Y71" s="1279"/>
      <c r="Z71" s="12">
        <f t="shared" si="33"/>
        <v>0</v>
      </c>
      <c r="AA71" s="579">
        <f t="shared" si="34"/>
        <v>0</v>
      </c>
    </row>
    <row r="72" spans="1:27" ht="21.95" hidden="1" customHeight="1" x14ac:dyDescent="0.15">
      <c r="A72" s="2707"/>
      <c r="B72" s="2617"/>
      <c r="C72" s="2759"/>
      <c r="D72" s="544" t="s">
        <v>29</v>
      </c>
      <c r="E72" s="1062"/>
      <c r="F72" s="1562">
        <v>42.21</v>
      </c>
      <c r="G72" s="1139">
        <f t="shared" ref="G72:X72" si="37">IF(G71=0,0,42.21)</f>
        <v>0</v>
      </c>
      <c r="H72" s="1139">
        <f t="shared" si="37"/>
        <v>0</v>
      </c>
      <c r="I72" s="1139">
        <f t="shared" si="37"/>
        <v>0</v>
      </c>
      <c r="J72" s="1139">
        <f t="shared" si="37"/>
        <v>0</v>
      </c>
      <c r="K72" s="1139">
        <f t="shared" si="37"/>
        <v>0</v>
      </c>
      <c r="L72" s="1139">
        <f t="shared" si="37"/>
        <v>0</v>
      </c>
      <c r="M72" s="1139">
        <f t="shared" si="37"/>
        <v>0</v>
      </c>
      <c r="N72" s="1139">
        <f t="shared" si="37"/>
        <v>0</v>
      </c>
      <c r="O72" s="1139">
        <f t="shared" si="37"/>
        <v>0</v>
      </c>
      <c r="P72" s="1139">
        <f t="shared" si="37"/>
        <v>0</v>
      </c>
      <c r="Q72" s="1139">
        <f t="shared" si="37"/>
        <v>0</v>
      </c>
      <c r="R72" s="1139">
        <f t="shared" si="37"/>
        <v>0</v>
      </c>
      <c r="S72" s="1139">
        <f t="shared" si="37"/>
        <v>0</v>
      </c>
      <c r="T72" s="1139">
        <f t="shared" si="37"/>
        <v>0</v>
      </c>
      <c r="U72" s="1139">
        <f t="shared" si="37"/>
        <v>0</v>
      </c>
      <c r="V72" s="1139">
        <f t="shared" si="37"/>
        <v>0</v>
      </c>
      <c r="W72" s="1139">
        <f t="shared" si="37"/>
        <v>0</v>
      </c>
      <c r="X72" s="1139">
        <f t="shared" si="37"/>
        <v>0</v>
      </c>
      <c r="Y72" s="1139"/>
      <c r="Z72" s="12">
        <f t="shared" si="33"/>
        <v>0</v>
      </c>
      <c r="AA72" s="579">
        <f t="shared" si="34"/>
        <v>0</v>
      </c>
    </row>
    <row r="73" spans="1:27" ht="21.95" hidden="1" customHeight="1" x14ac:dyDescent="0.15">
      <c r="A73" s="2707"/>
      <c r="B73" s="2617"/>
      <c r="C73" s="2759"/>
      <c r="D73" s="544" t="s">
        <v>3</v>
      </c>
      <c r="E73" s="1062"/>
      <c r="F73" s="1562">
        <v>16.850000000000001</v>
      </c>
      <c r="G73" s="1139">
        <f t="shared" ref="G73:X73" si="38">IF(G71=0,0,16.85)</f>
        <v>0</v>
      </c>
      <c r="H73" s="1139">
        <f t="shared" si="38"/>
        <v>0</v>
      </c>
      <c r="I73" s="1139">
        <f t="shared" si="38"/>
        <v>0</v>
      </c>
      <c r="J73" s="1139">
        <f t="shared" si="38"/>
        <v>0</v>
      </c>
      <c r="K73" s="1139">
        <f t="shared" si="38"/>
        <v>0</v>
      </c>
      <c r="L73" s="1139">
        <f t="shared" si="38"/>
        <v>0</v>
      </c>
      <c r="M73" s="1139">
        <f t="shared" si="38"/>
        <v>0</v>
      </c>
      <c r="N73" s="1139">
        <f t="shared" si="38"/>
        <v>0</v>
      </c>
      <c r="O73" s="1139">
        <f t="shared" si="38"/>
        <v>0</v>
      </c>
      <c r="P73" s="1139">
        <f t="shared" si="38"/>
        <v>0</v>
      </c>
      <c r="Q73" s="1139">
        <f t="shared" si="38"/>
        <v>0</v>
      </c>
      <c r="R73" s="1139">
        <f t="shared" si="38"/>
        <v>0</v>
      </c>
      <c r="S73" s="1139">
        <f t="shared" si="38"/>
        <v>0</v>
      </c>
      <c r="T73" s="1139">
        <f t="shared" si="38"/>
        <v>0</v>
      </c>
      <c r="U73" s="1139">
        <f t="shared" si="38"/>
        <v>0</v>
      </c>
      <c r="V73" s="1139">
        <f t="shared" si="38"/>
        <v>0</v>
      </c>
      <c r="W73" s="1139">
        <f t="shared" si="38"/>
        <v>0</v>
      </c>
      <c r="X73" s="1139">
        <f t="shared" si="38"/>
        <v>0</v>
      </c>
      <c r="Y73" s="1139"/>
      <c r="Z73" s="12">
        <f t="shared" si="33"/>
        <v>0</v>
      </c>
      <c r="AA73" s="579">
        <f t="shared" si="34"/>
        <v>0</v>
      </c>
    </row>
    <row r="74" spans="1:27" ht="21.95" hidden="1" customHeight="1" x14ac:dyDescent="0.15">
      <c r="A74" s="2707"/>
      <c r="B74" s="2617"/>
      <c r="C74" s="2759"/>
      <c r="D74" s="544" t="s">
        <v>1498</v>
      </c>
      <c r="E74" s="1062"/>
      <c r="F74" s="1562">
        <f>50*0.25</f>
        <v>12.5</v>
      </c>
      <c r="G74" s="1139">
        <f t="shared" ref="G74:X74" si="39">IF(G71=0,0,12.5)</f>
        <v>0</v>
      </c>
      <c r="H74" s="1139">
        <f t="shared" si="39"/>
        <v>0</v>
      </c>
      <c r="I74" s="1139">
        <f t="shared" si="39"/>
        <v>0</v>
      </c>
      <c r="J74" s="1139">
        <f t="shared" si="39"/>
        <v>0</v>
      </c>
      <c r="K74" s="1139">
        <f t="shared" si="39"/>
        <v>0</v>
      </c>
      <c r="L74" s="1139">
        <f t="shared" si="39"/>
        <v>0</v>
      </c>
      <c r="M74" s="1139">
        <f t="shared" si="39"/>
        <v>0</v>
      </c>
      <c r="N74" s="1139">
        <f t="shared" si="39"/>
        <v>0</v>
      </c>
      <c r="O74" s="1139">
        <f t="shared" si="39"/>
        <v>0</v>
      </c>
      <c r="P74" s="1139">
        <f t="shared" si="39"/>
        <v>0</v>
      </c>
      <c r="Q74" s="1139">
        <f t="shared" si="39"/>
        <v>0</v>
      </c>
      <c r="R74" s="1139">
        <f t="shared" si="39"/>
        <v>0</v>
      </c>
      <c r="S74" s="1139">
        <f t="shared" si="39"/>
        <v>0</v>
      </c>
      <c r="T74" s="1139">
        <f t="shared" si="39"/>
        <v>0</v>
      </c>
      <c r="U74" s="1139">
        <f t="shared" si="39"/>
        <v>0</v>
      </c>
      <c r="V74" s="1139">
        <f t="shared" si="39"/>
        <v>0</v>
      </c>
      <c r="W74" s="1139">
        <f t="shared" si="39"/>
        <v>0</v>
      </c>
      <c r="X74" s="1139">
        <f t="shared" si="39"/>
        <v>0</v>
      </c>
      <c r="Y74" s="1139"/>
      <c r="Z74" s="12">
        <f t="shared" si="33"/>
        <v>0</v>
      </c>
      <c r="AA74" s="579">
        <f t="shared" si="34"/>
        <v>0</v>
      </c>
    </row>
    <row r="75" spans="1:27" ht="21.95" hidden="1" customHeight="1" x14ac:dyDescent="0.15">
      <c r="A75" s="2707"/>
      <c r="B75" s="2617"/>
      <c r="C75" s="2759"/>
      <c r="D75" s="544" t="s">
        <v>1499</v>
      </c>
      <c r="E75" s="1062"/>
      <c r="F75" s="1562">
        <f>44*0.25</f>
        <v>11</v>
      </c>
      <c r="G75" s="1139">
        <f t="shared" ref="G75:X75" si="40">IF(G71=0,0,11)</f>
        <v>0</v>
      </c>
      <c r="H75" s="1139">
        <f t="shared" si="40"/>
        <v>0</v>
      </c>
      <c r="I75" s="1139">
        <f t="shared" si="40"/>
        <v>0</v>
      </c>
      <c r="J75" s="1139">
        <f t="shared" si="40"/>
        <v>0</v>
      </c>
      <c r="K75" s="1139">
        <f t="shared" si="40"/>
        <v>0</v>
      </c>
      <c r="L75" s="1139">
        <f t="shared" si="40"/>
        <v>0</v>
      </c>
      <c r="M75" s="1139">
        <f t="shared" si="40"/>
        <v>0</v>
      </c>
      <c r="N75" s="1139">
        <f t="shared" si="40"/>
        <v>0</v>
      </c>
      <c r="O75" s="1139">
        <f t="shared" si="40"/>
        <v>0</v>
      </c>
      <c r="P75" s="1139">
        <f t="shared" si="40"/>
        <v>0</v>
      </c>
      <c r="Q75" s="1139">
        <f t="shared" si="40"/>
        <v>0</v>
      </c>
      <c r="R75" s="1139">
        <f t="shared" si="40"/>
        <v>0</v>
      </c>
      <c r="S75" s="1139">
        <f t="shared" si="40"/>
        <v>0</v>
      </c>
      <c r="T75" s="1139">
        <f t="shared" si="40"/>
        <v>0</v>
      </c>
      <c r="U75" s="1139">
        <f t="shared" si="40"/>
        <v>0</v>
      </c>
      <c r="V75" s="1139">
        <f t="shared" si="40"/>
        <v>0</v>
      </c>
      <c r="W75" s="1139">
        <f t="shared" si="40"/>
        <v>0</v>
      </c>
      <c r="X75" s="1139">
        <f t="shared" si="40"/>
        <v>0</v>
      </c>
      <c r="Y75" s="1139"/>
      <c r="Z75" s="12">
        <f t="shared" si="33"/>
        <v>0</v>
      </c>
      <c r="AA75" s="579">
        <f t="shared" si="34"/>
        <v>0</v>
      </c>
    </row>
    <row r="76" spans="1:27" ht="21.95" hidden="1" customHeight="1" x14ac:dyDescent="0.15">
      <c r="A76" s="2707"/>
      <c r="B76" s="2617"/>
      <c r="C76" s="2759"/>
      <c r="D76" s="544" t="s">
        <v>1507</v>
      </c>
      <c r="E76" s="1062"/>
      <c r="F76" s="1562">
        <v>17.13</v>
      </c>
      <c r="G76" s="1139">
        <f t="shared" ref="G76:X76" si="41">IF(G71=0,0,17.13)</f>
        <v>0</v>
      </c>
      <c r="H76" s="1139">
        <f t="shared" si="41"/>
        <v>0</v>
      </c>
      <c r="I76" s="1139">
        <f t="shared" si="41"/>
        <v>0</v>
      </c>
      <c r="J76" s="1139">
        <f t="shared" si="41"/>
        <v>0</v>
      </c>
      <c r="K76" s="1139">
        <f t="shared" si="41"/>
        <v>0</v>
      </c>
      <c r="L76" s="1139">
        <f t="shared" si="41"/>
        <v>0</v>
      </c>
      <c r="M76" s="1139">
        <f t="shared" si="41"/>
        <v>0</v>
      </c>
      <c r="N76" s="1139">
        <f t="shared" si="41"/>
        <v>0</v>
      </c>
      <c r="O76" s="1139">
        <f t="shared" si="41"/>
        <v>0</v>
      </c>
      <c r="P76" s="1139">
        <f t="shared" si="41"/>
        <v>0</v>
      </c>
      <c r="Q76" s="1139">
        <f t="shared" si="41"/>
        <v>0</v>
      </c>
      <c r="R76" s="1139">
        <f t="shared" si="41"/>
        <v>0</v>
      </c>
      <c r="S76" s="1139">
        <f t="shared" si="41"/>
        <v>0</v>
      </c>
      <c r="T76" s="1139">
        <f t="shared" si="41"/>
        <v>0</v>
      </c>
      <c r="U76" s="1139">
        <f t="shared" si="41"/>
        <v>0</v>
      </c>
      <c r="V76" s="1139">
        <f t="shared" si="41"/>
        <v>0</v>
      </c>
      <c r="W76" s="1139">
        <f t="shared" si="41"/>
        <v>0</v>
      </c>
      <c r="X76" s="1139">
        <f t="shared" si="41"/>
        <v>0</v>
      </c>
      <c r="Y76" s="1139"/>
      <c r="Z76" s="12">
        <f t="shared" si="33"/>
        <v>0</v>
      </c>
      <c r="AA76" s="579">
        <f t="shared" si="34"/>
        <v>0</v>
      </c>
    </row>
    <row r="77" spans="1:27" ht="21.95" hidden="1" customHeight="1" x14ac:dyDescent="0.15">
      <c r="A77" s="2707"/>
      <c r="B77" s="2617"/>
      <c r="C77" s="2813"/>
      <c r="D77" s="544" t="s">
        <v>1488</v>
      </c>
      <c r="E77" s="1063"/>
      <c r="F77" s="1362"/>
      <c r="G77" s="1278"/>
      <c r="H77" s="1278"/>
      <c r="I77" s="1278"/>
      <c r="J77" s="1278"/>
      <c r="K77" s="1278"/>
      <c r="L77" s="1278"/>
      <c r="M77" s="1278"/>
      <c r="N77" s="1278"/>
      <c r="O77" s="1278"/>
      <c r="P77" s="1278"/>
      <c r="Q77" s="1278"/>
      <c r="R77" s="1278"/>
      <c r="S77" s="1278"/>
      <c r="T77" s="1278"/>
      <c r="U77" s="1278"/>
      <c r="V77" s="1278"/>
      <c r="W77" s="1278"/>
      <c r="X77" s="1278"/>
      <c r="Y77" s="1278"/>
      <c r="Z77" s="1277">
        <f t="shared" si="33"/>
        <v>0</v>
      </c>
      <c r="AA77" s="579">
        <f t="shared" si="34"/>
        <v>0</v>
      </c>
    </row>
    <row r="78" spans="1:27" ht="21.95" hidden="1" customHeight="1" x14ac:dyDescent="0.15">
      <c r="A78" s="2707"/>
      <c r="B78" s="2617"/>
      <c r="C78" s="2812" t="s">
        <v>1559</v>
      </c>
      <c r="D78" s="543" t="s">
        <v>60</v>
      </c>
      <c r="E78" s="1064"/>
      <c r="F78" s="1363"/>
      <c r="G78" s="1279"/>
      <c r="H78" s="1279"/>
      <c r="I78" s="1279"/>
      <c r="J78" s="1279"/>
      <c r="K78" s="1279"/>
      <c r="L78" s="1279"/>
      <c r="M78" s="1279"/>
      <c r="N78" s="1279"/>
      <c r="O78" s="1279"/>
      <c r="P78" s="1279"/>
      <c r="Q78" s="1279"/>
      <c r="R78" s="1279"/>
      <c r="S78" s="1279"/>
      <c r="T78" s="1279"/>
      <c r="U78" s="1279"/>
      <c r="V78" s="1279"/>
      <c r="W78" s="1279"/>
      <c r="X78" s="1279"/>
      <c r="Y78" s="1279"/>
      <c r="Z78" s="12">
        <f t="shared" si="33"/>
        <v>0</v>
      </c>
      <c r="AA78" s="579">
        <f t="shared" si="34"/>
        <v>0</v>
      </c>
    </row>
    <row r="79" spans="1:27" ht="21.95" hidden="1" customHeight="1" x14ac:dyDescent="0.15">
      <c r="A79" s="2707"/>
      <c r="B79" s="2617"/>
      <c r="C79" s="2759"/>
      <c r="D79" s="544" t="s">
        <v>29</v>
      </c>
      <c r="E79" s="1062"/>
      <c r="F79" s="1562">
        <v>30.6</v>
      </c>
      <c r="G79" s="1139">
        <f t="shared" ref="G79:X79" si="42">IF(G78=0,0,30.6)</f>
        <v>0</v>
      </c>
      <c r="H79" s="1139">
        <f t="shared" si="42"/>
        <v>0</v>
      </c>
      <c r="I79" s="1139">
        <f t="shared" si="42"/>
        <v>0</v>
      </c>
      <c r="J79" s="1139">
        <f t="shared" si="42"/>
        <v>0</v>
      </c>
      <c r="K79" s="1139">
        <f t="shared" si="42"/>
        <v>0</v>
      </c>
      <c r="L79" s="1139">
        <f t="shared" si="42"/>
        <v>0</v>
      </c>
      <c r="M79" s="1139">
        <f t="shared" si="42"/>
        <v>0</v>
      </c>
      <c r="N79" s="1139">
        <f t="shared" si="42"/>
        <v>0</v>
      </c>
      <c r="O79" s="1139">
        <f t="shared" si="42"/>
        <v>0</v>
      </c>
      <c r="P79" s="1139">
        <f t="shared" si="42"/>
        <v>0</v>
      </c>
      <c r="Q79" s="1139">
        <f t="shared" si="42"/>
        <v>0</v>
      </c>
      <c r="R79" s="1139">
        <f t="shared" si="42"/>
        <v>0</v>
      </c>
      <c r="S79" s="1139">
        <f t="shared" si="42"/>
        <v>0</v>
      </c>
      <c r="T79" s="1139">
        <f t="shared" si="42"/>
        <v>0</v>
      </c>
      <c r="U79" s="1139">
        <f t="shared" si="42"/>
        <v>0</v>
      </c>
      <c r="V79" s="1139">
        <f t="shared" si="42"/>
        <v>0</v>
      </c>
      <c r="W79" s="1139">
        <f t="shared" si="42"/>
        <v>0</v>
      </c>
      <c r="X79" s="1139">
        <f t="shared" si="42"/>
        <v>0</v>
      </c>
      <c r="Y79" s="1139"/>
      <c r="Z79" s="12">
        <f t="shared" si="33"/>
        <v>0</v>
      </c>
      <c r="AA79" s="579">
        <f t="shared" si="34"/>
        <v>0</v>
      </c>
    </row>
    <row r="80" spans="1:27" ht="21.95" hidden="1" customHeight="1" x14ac:dyDescent="0.15">
      <c r="A80" s="2707"/>
      <c r="B80" s="2617"/>
      <c r="C80" s="2759"/>
      <c r="D80" s="544" t="s">
        <v>3</v>
      </c>
      <c r="E80" s="1062"/>
      <c r="F80" s="1562">
        <v>16.850000000000001</v>
      </c>
      <c r="G80" s="1139">
        <f t="shared" ref="G80:X80" si="43">IF(G78=0,0,16.85)</f>
        <v>0</v>
      </c>
      <c r="H80" s="1139">
        <f t="shared" si="43"/>
        <v>0</v>
      </c>
      <c r="I80" s="1139">
        <f t="shared" si="43"/>
        <v>0</v>
      </c>
      <c r="J80" s="1139">
        <f t="shared" si="43"/>
        <v>0</v>
      </c>
      <c r="K80" s="1139">
        <f t="shared" si="43"/>
        <v>0</v>
      </c>
      <c r="L80" s="1139">
        <f t="shared" si="43"/>
        <v>0</v>
      </c>
      <c r="M80" s="1139">
        <f t="shared" si="43"/>
        <v>0</v>
      </c>
      <c r="N80" s="1139">
        <f t="shared" si="43"/>
        <v>0</v>
      </c>
      <c r="O80" s="1139">
        <f t="shared" si="43"/>
        <v>0</v>
      </c>
      <c r="P80" s="1139">
        <f t="shared" si="43"/>
        <v>0</v>
      </c>
      <c r="Q80" s="1139">
        <f t="shared" si="43"/>
        <v>0</v>
      </c>
      <c r="R80" s="1139">
        <f t="shared" si="43"/>
        <v>0</v>
      </c>
      <c r="S80" s="1139">
        <f t="shared" si="43"/>
        <v>0</v>
      </c>
      <c r="T80" s="1139">
        <f t="shared" si="43"/>
        <v>0</v>
      </c>
      <c r="U80" s="1139">
        <f t="shared" si="43"/>
        <v>0</v>
      </c>
      <c r="V80" s="1139">
        <f t="shared" si="43"/>
        <v>0</v>
      </c>
      <c r="W80" s="1139">
        <f t="shared" si="43"/>
        <v>0</v>
      </c>
      <c r="X80" s="1139">
        <f t="shared" si="43"/>
        <v>0</v>
      </c>
      <c r="Y80" s="1139"/>
      <c r="Z80" s="12">
        <f t="shared" si="33"/>
        <v>0</v>
      </c>
      <c r="AA80" s="579">
        <f t="shared" si="34"/>
        <v>0</v>
      </c>
    </row>
    <row r="81" spans="1:27" ht="21.95" hidden="1" customHeight="1" x14ac:dyDescent="0.15">
      <c r="A81" s="2707"/>
      <c r="B81" s="2617"/>
      <c r="C81" s="2759"/>
      <c r="D81" s="544" t="s">
        <v>1499</v>
      </c>
      <c r="E81" s="1062"/>
      <c r="F81" s="1562">
        <f>44*0.25</f>
        <v>11</v>
      </c>
      <c r="G81" s="1139">
        <f t="shared" ref="G81:X81" si="44">IF(G78=0,0,11)</f>
        <v>0</v>
      </c>
      <c r="H81" s="1139">
        <f t="shared" si="44"/>
        <v>0</v>
      </c>
      <c r="I81" s="1139">
        <f t="shared" si="44"/>
        <v>0</v>
      </c>
      <c r="J81" s="1139">
        <f t="shared" si="44"/>
        <v>0</v>
      </c>
      <c r="K81" s="1139">
        <f t="shared" si="44"/>
        <v>0</v>
      </c>
      <c r="L81" s="1139">
        <f t="shared" si="44"/>
        <v>0</v>
      </c>
      <c r="M81" s="1139">
        <f t="shared" si="44"/>
        <v>0</v>
      </c>
      <c r="N81" s="1139">
        <f t="shared" si="44"/>
        <v>0</v>
      </c>
      <c r="O81" s="1139">
        <f t="shared" si="44"/>
        <v>0</v>
      </c>
      <c r="P81" s="1139">
        <f t="shared" si="44"/>
        <v>0</v>
      </c>
      <c r="Q81" s="1139">
        <f t="shared" si="44"/>
        <v>0</v>
      </c>
      <c r="R81" s="1139">
        <f t="shared" si="44"/>
        <v>0</v>
      </c>
      <c r="S81" s="1139">
        <f t="shared" si="44"/>
        <v>0</v>
      </c>
      <c r="T81" s="1139">
        <f t="shared" si="44"/>
        <v>0</v>
      </c>
      <c r="U81" s="1139">
        <f t="shared" si="44"/>
        <v>0</v>
      </c>
      <c r="V81" s="1139">
        <f t="shared" si="44"/>
        <v>0</v>
      </c>
      <c r="W81" s="1139">
        <f t="shared" si="44"/>
        <v>0</v>
      </c>
      <c r="X81" s="1139">
        <f t="shared" si="44"/>
        <v>0</v>
      </c>
      <c r="Y81" s="1139"/>
      <c r="Z81" s="12">
        <f t="shared" si="33"/>
        <v>0</v>
      </c>
      <c r="AA81" s="579">
        <f t="shared" si="34"/>
        <v>0</v>
      </c>
    </row>
    <row r="82" spans="1:27" ht="21.95" hidden="1" customHeight="1" x14ac:dyDescent="0.15">
      <c r="A82" s="2707"/>
      <c r="B82" s="2617"/>
      <c r="C82" s="2759"/>
      <c r="D82" s="544" t="s">
        <v>1507</v>
      </c>
      <c r="E82" s="1062"/>
      <c r="F82" s="1562">
        <v>17.05</v>
      </c>
      <c r="G82" s="1139">
        <f t="shared" ref="G82:X82" si="45">IF(G78=0,0,17.05)</f>
        <v>0</v>
      </c>
      <c r="H82" s="1139">
        <f t="shared" si="45"/>
        <v>0</v>
      </c>
      <c r="I82" s="1139">
        <f t="shared" si="45"/>
        <v>0</v>
      </c>
      <c r="J82" s="1139">
        <f t="shared" si="45"/>
        <v>0</v>
      </c>
      <c r="K82" s="1139">
        <f t="shared" si="45"/>
        <v>0</v>
      </c>
      <c r="L82" s="1139">
        <f t="shared" si="45"/>
        <v>0</v>
      </c>
      <c r="M82" s="1139">
        <f t="shared" si="45"/>
        <v>0</v>
      </c>
      <c r="N82" s="1139">
        <f t="shared" si="45"/>
        <v>0</v>
      </c>
      <c r="O82" s="1139">
        <f t="shared" si="45"/>
        <v>0</v>
      </c>
      <c r="P82" s="1139">
        <f t="shared" si="45"/>
        <v>0</v>
      </c>
      <c r="Q82" s="1139">
        <f t="shared" si="45"/>
        <v>0</v>
      </c>
      <c r="R82" s="1139">
        <f t="shared" si="45"/>
        <v>0</v>
      </c>
      <c r="S82" s="1139">
        <f t="shared" si="45"/>
        <v>0</v>
      </c>
      <c r="T82" s="1139">
        <f t="shared" si="45"/>
        <v>0</v>
      </c>
      <c r="U82" s="1139">
        <f t="shared" si="45"/>
        <v>0</v>
      </c>
      <c r="V82" s="1139">
        <f t="shared" si="45"/>
        <v>0</v>
      </c>
      <c r="W82" s="1139">
        <f t="shared" si="45"/>
        <v>0</v>
      </c>
      <c r="X82" s="1139">
        <f t="shared" si="45"/>
        <v>0</v>
      </c>
      <c r="Y82" s="1139"/>
      <c r="Z82" s="12">
        <f t="shared" si="33"/>
        <v>0</v>
      </c>
      <c r="AA82" s="579">
        <f t="shared" si="34"/>
        <v>0</v>
      </c>
    </row>
    <row r="83" spans="1:27" ht="21.95" hidden="1" customHeight="1" x14ac:dyDescent="0.15">
      <c r="A83" s="2707"/>
      <c r="B83" s="2617"/>
      <c r="C83" s="2759"/>
      <c r="D83" s="544" t="s">
        <v>1554</v>
      </c>
      <c r="E83" s="1062"/>
      <c r="F83" s="1562">
        <v>10.1</v>
      </c>
      <c r="G83" s="1139">
        <f t="shared" ref="G83:X83" si="46">IF(G78=0,0,10.1)</f>
        <v>0</v>
      </c>
      <c r="H83" s="1139">
        <f t="shared" si="46"/>
        <v>0</v>
      </c>
      <c r="I83" s="1139">
        <f t="shared" si="46"/>
        <v>0</v>
      </c>
      <c r="J83" s="1139">
        <f t="shared" si="46"/>
        <v>0</v>
      </c>
      <c r="K83" s="1139">
        <f t="shared" si="46"/>
        <v>0</v>
      </c>
      <c r="L83" s="1139">
        <f t="shared" si="46"/>
        <v>0</v>
      </c>
      <c r="M83" s="1139">
        <f t="shared" si="46"/>
        <v>0</v>
      </c>
      <c r="N83" s="1139">
        <f t="shared" si="46"/>
        <v>0</v>
      </c>
      <c r="O83" s="1139">
        <f t="shared" si="46"/>
        <v>0</v>
      </c>
      <c r="P83" s="1139">
        <f t="shared" si="46"/>
        <v>0</v>
      </c>
      <c r="Q83" s="1139">
        <f t="shared" si="46"/>
        <v>0</v>
      </c>
      <c r="R83" s="1139">
        <f t="shared" si="46"/>
        <v>0</v>
      </c>
      <c r="S83" s="1139">
        <f t="shared" si="46"/>
        <v>0</v>
      </c>
      <c r="T83" s="1139">
        <f t="shared" si="46"/>
        <v>0</v>
      </c>
      <c r="U83" s="1139">
        <f t="shared" si="46"/>
        <v>0</v>
      </c>
      <c r="V83" s="1139">
        <f t="shared" si="46"/>
        <v>0</v>
      </c>
      <c r="W83" s="1139">
        <f t="shared" si="46"/>
        <v>0</v>
      </c>
      <c r="X83" s="1139">
        <f t="shared" si="46"/>
        <v>0</v>
      </c>
      <c r="Y83" s="1139"/>
      <c r="Z83" s="12">
        <f t="shared" si="33"/>
        <v>0</v>
      </c>
      <c r="AA83" s="579">
        <f t="shared" si="34"/>
        <v>0</v>
      </c>
    </row>
    <row r="84" spans="1:27" ht="21.95" hidden="1" customHeight="1" x14ac:dyDescent="0.15">
      <c r="A84" s="2707"/>
      <c r="B84" s="2617"/>
      <c r="C84" s="2813"/>
      <c r="D84" s="544" t="s">
        <v>1488</v>
      </c>
      <c r="E84" s="1063"/>
      <c r="F84" s="1362"/>
      <c r="G84" s="1278"/>
      <c r="H84" s="1278"/>
      <c r="I84" s="1278"/>
      <c r="J84" s="1278"/>
      <c r="K84" s="1278"/>
      <c r="L84" s="1278"/>
      <c r="M84" s="1278"/>
      <c r="N84" s="1278"/>
      <c r="O84" s="1278"/>
      <c r="P84" s="1278"/>
      <c r="Q84" s="1278"/>
      <c r="R84" s="1278"/>
      <c r="S84" s="1278"/>
      <c r="T84" s="1278"/>
      <c r="U84" s="1278"/>
      <c r="V84" s="1278"/>
      <c r="W84" s="1278"/>
      <c r="X84" s="1278"/>
      <c r="Y84" s="1278"/>
      <c r="Z84" s="1277">
        <f t="shared" si="33"/>
        <v>0</v>
      </c>
      <c r="AA84" s="579">
        <f t="shared" si="34"/>
        <v>0</v>
      </c>
    </row>
    <row r="85" spans="1:27" ht="21.95" hidden="1" customHeight="1" x14ac:dyDescent="0.15">
      <c r="A85" s="2707"/>
      <c r="B85" s="2617"/>
      <c r="C85" s="2812" t="s">
        <v>1560</v>
      </c>
      <c r="D85" s="543" t="s">
        <v>60</v>
      </c>
      <c r="E85" s="1064"/>
      <c r="F85" s="1363"/>
      <c r="G85" s="1279"/>
      <c r="H85" s="1279"/>
      <c r="I85" s="1279"/>
      <c r="J85" s="1279"/>
      <c r="K85" s="1279"/>
      <c r="L85" s="1279"/>
      <c r="M85" s="1279"/>
      <c r="N85" s="1279"/>
      <c r="O85" s="1279"/>
      <c r="P85" s="1279"/>
      <c r="Q85" s="1279"/>
      <c r="R85" s="1279"/>
      <c r="S85" s="1279"/>
      <c r="T85" s="1279"/>
      <c r="U85" s="1279"/>
      <c r="V85" s="1279"/>
      <c r="W85" s="1279"/>
      <c r="X85" s="1279"/>
      <c r="Y85" s="1279"/>
      <c r="Z85" s="12">
        <f t="shared" si="33"/>
        <v>0</v>
      </c>
      <c r="AA85" s="579">
        <f t="shared" si="34"/>
        <v>0</v>
      </c>
    </row>
    <row r="86" spans="1:27" ht="21.95" hidden="1" customHeight="1" x14ac:dyDescent="0.15">
      <c r="A86" s="2707"/>
      <c r="B86" s="2617"/>
      <c r="C86" s="2759"/>
      <c r="D86" s="544" t="s">
        <v>29</v>
      </c>
      <c r="E86" s="1062"/>
      <c r="F86" s="1562">
        <v>35.799999999999997</v>
      </c>
      <c r="G86" s="1139">
        <f t="shared" ref="G86:X86" si="47">IF(G85=0,0,35.8)</f>
        <v>0</v>
      </c>
      <c r="H86" s="1139">
        <f t="shared" si="47"/>
        <v>0</v>
      </c>
      <c r="I86" s="1139">
        <f t="shared" si="47"/>
        <v>0</v>
      </c>
      <c r="J86" s="1139">
        <f t="shared" si="47"/>
        <v>0</v>
      </c>
      <c r="K86" s="1139">
        <f t="shared" si="47"/>
        <v>0</v>
      </c>
      <c r="L86" s="1139">
        <f t="shared" si="47"/>
        <v>0</v>
      </c>
      <c r="M86" s="1139">
        <f t="shared" si="47"/>
        <v>0</v>
      </c>
      <c r="N86" s="1139">
        <f t="shared" si="47"/>
        <v>0</v>
      </c>
      <c r="O86" s="1139">
        <f t="shared" si="47"/>
        <v>0</v>
      </c>
      <c r="P86" s="1139">
        <f t="shared" si="47"/>
        <v>0</v>
      </c>
      <c r="Q86" s="1139">
        <f t="shared" si="47"/>
        <v>0</v>
      </c>
      <c r="R86" s="1139">
        <f t="shared" si="47"/>
        <v>0</v>
      </c>
      <c r="S86" s="1139">
        <f t="shared" si="47"/>
        <v>0</v>
      </c>
      <c r="T86" s="1139">
        <f t="shared" si="47"/>
        <v>0</v>
      </c>
      <c r="U86" s="1139">
        <f t="shared" si="47"/>
        <v>0</v>
      </c>
      <c r="V86" s="1139">
        <f t="shared" si="47"/>
        <v>0</v>
      </c>
      <c r="W86" s="1139">
        <f t="shared" si="47"/>
        <v>0</v>
      </c>
      <c r="X86" s="1139">
        <f t="shared" si="47"/>
        <v>0</v>
      </c>
      <c r="Y86" s="1139"/>
      <c r="Z86" s="12">
        <f t="shared" si="33"/>
        <v>0</v>
      </c>
      <c r="AA86" s="579">
        <f t="shared" si="34"/>
        <v>0</v>
      </c>
    </row>
    <row r="87" spans="1:27" ht="21.95" hidden="1" customHeight="1" x14ac:dyDescent="0.15">
      <c r="A87" s="2707"/>
      <c r="B87" s="2617"/>
      <c r="C87" s="2759"/>
      <c r="D87" s="544" t="s">
        <v>3</v>
      </c>
      <c r="E87" s="1062"/>
      <c r="F87" s="1562">
        <v>16.850000000000001</v>
      </c>
      <c r="G87" s="1139">
        <f t="shared" ref="G87:X87" si="48">IF(G85=0,0,16.85)</f>
        <v>0</v>
      </c>
      <c r="H87" s="1139">
        <f t="shared" si="48"/>
        <v>0</v>
      </c>
      <c r="I87" s="1139">
        <f t="shared" si="48"/>
        <v>0</v>
      </c>
      <c r="J87" s="1139">
        <f t="shared" si="48"/>
        <v>0</v>
      </c>
      <c r="K87" s="1139">
        <f t="shared" si="48"/>
        <v>0</v>
      </c>
      <c r="L87" s="1139">
        <f t="shared" si="48"/>
        <v>0</v>
      </c>
      <c r="M87" s="1139">
        <f t="shared" si="48"/>
        <v>0</v>
      </c>
      <c r="N87" s="1139">
        <f t="shared" si="48"/>
        <v>0</v>
      </c>
      <c r="O87" s="1139">
        <f t="shared" si="48"/>
        <v>0</v>
      </c>
      <c r="P87" s="1139">
        <f t="shared" si="48"/>
        <v>0</v>
      </c>
      <c r="Q87" s="1139">
        <f t="shared" si="48"/>
        <v>0</v>
      </c>
      <c r="R87" s="1139">
        <f t="shared" si="48"/>
        <v>0</v>
      </c>
      <c r="S87" s="1139">
        <f t="shared" si="48"/>
        <v>0</v>
      </c>
      <c r="T87" s="1139">
        <f t="shared" si="48"/>
        <v>0</v>
      </c>
      <c r="U87" s="1139">
        <f t="shared" si="48"/>
        <v>0</v>
      </c>
      <c r="V87" s="1139">
        <f t="shared" si="48"/>
        <v>0</v>
      </c>
      <c r="W87" s="1139">
        <f t="shared" si="48"/>
        <v>0</v>
      </c>
      <c r="X87" s="1139">
        <f t="shared" si="48"/>
        <v>0</v>
      </c>
      <c r="Y87" s="1139"/>
      <c r="Z87" s="12">
        <f t="shared" si="33"/>
        <v>0</v>
      </c>
      <c r="AA87" s="579">
        <f t="shared" si="34"/>
        <v>0</v>
      </c>
    </row>
    <row r="88" spans="1:27" ht="21.95" hidden="1" customHeight="1" x14ac:dyDescent="0.15">
      <c r="A88" s="2707"/>
      <c r="B88" s="2617"/>
      <c r="C88" s="2759"/>
      <c r="D88" s="544" t="s">
        <v>1498</v>
      </c>
      <c r="E88" s="1062"/>
      <c r="F88" s="1562">
        <f>29*0.25</f>
        <v>7.25</v>
      </c>
      <c r="G88" s="1139">
        <f t="shared" ref="G88:X88" si="49">IF(G85=0,0,7.25)</f>
        <v>0</v>
      </c>
      <c r="H88" s="1139">
        <f t="shared" si="49"/>
        <v>0</v>
      </c>
      <c r="I88" s="1139">
        <f t="shared" si="49"/>
        <v>0</v>
      </c>
      <c r="J88" s="1139">
        <f t="shared" si="49"/>
        <v>0</v>
      </c>
      <c r="K88" s="1139">
        <f t="shared" si="49"/>
        <v>0</v>
      </c>
      <c r="L88" s="1139">
        <f t="shared" si="49"/>
        <v>0</v>
      </c>
      <c r="M88" s="1139">
        <f t="shared" si="49"/>
        <v>0</v>
      </c>
      <c r="N88" s="1139">
        <f t="shared" si="49"/>
        <v>0</v>
      </c>
      <c r="O88" s="1139">
        <f t="shared" si="49"/>
        <v>0</v>
      </c>
      <c r="P88" s="1139">
        <f t="shared" si="49"/>
        <v>0</v>
      </c>
      <c r="Q88" s="1139">
        <f t="shared" si="49"/>
        <v>0</v>
      </c>
      <c r="R88" s="1139">
        <f t="shared" si="49"/>
        <v>0</v>
      </c>
      <c r="S88" s="1139">
        <f t="shared" si="49"/>
        <v>0</v>
      </c>
      <c r="T88" s="1139">
        <f t="shared" si="49"/>
        <v>0</v>
      </c>
      <c r="U88" s="1139">
        <f t="shared" si="49"/>
        <v>0</v>
      </c>
      <c r="V88" s="1139">
        <f t="shared" si="49"/>
        <v>0</v>
      </c>
      <c r="W88" s="1139">
        <f t="shared" si="49"/>
        <v>0</v>
      </c>
      <c r="X88" s="1139">
        <f t="shared" si="49"/>
        <v>0</v>
      </c>
      <c r="Y88" s="1139"/>
      <c r="Z88" s="12">
        <f t="shared" si="33"/>
        <v>0</v>
      </c>
      <c r="AA88" s="579">
        <f t="shared" si="34"/>
        <v>0</v>
      </c>
    </row>
    <row r="89" spans="1:27" ht="21.95" hidden="1" customHeight="1" x14ac:dyDescent="0.15">
      <c r="A89" s="2707"/>
      <c r="B89" s="2617"/>
      <c r="C89" s="2759"/>
      <c r="D89" s="544" t="s">
        <v>1499</v>
      </c>
      <c r="E89" s="1062"/>
      <c r="F89" s="1562">
        <f>46*0.25</f>
        <v>11.5</v>
      </c>
      <c r="G89" s="1139">
        <f t="shared" ref="G89:X89" si="50">11.5*G91</f>
        <v>0</v>
      </c>
      <c r="H89" s="1139">
        <f t="shared" si="50"/>
        <v>0</v>
      </c>
      <c r="I89" s="1139">
        <f t="shared" si="50"/>
        <v>0</v>
      </c>
      <c r="J89" s="1139">
        <f t="shared" si="50"/>
        <v>0</v>
      </c>
      <c r="K89" s="1139">
        <f t="shared" si="50"/>
        <v>0</v>
      </c>
      <c r="L89" s="1139">
        <f t="shared" si="50"/>
        <v>0</v>
      </c>
      <c r="M89" s="1139">
        <f t="shared" si="50"/>
        <v>0</v>
      </c>
      <c r="N89" s="1139">
        <f t="shared" si="50"/>
        <v>0</v>
      </c>
      <c r="O89" s="1139">
        <f t="shared" si="50"/>
        <v>0</v>
      </c>
      <c r="P89" s="1139">
        <f t="shared" si="50"/>
        <v>0</v>
      </c>
      <c r="Q89" s="1139">
        <f t="shared" si="50"/>
        <v>0</v>
      </c>
      <c r="R89" s="1139">
        <f t="shared" si="50"/>
        <v>0</v>
      </c>
      <c r="S89" s="1139">
        <f t="shared" si="50"/>
        <v>0</v>
      </c>
      <c r="T89" s="1139">
        <f t="shared" si="50"/>
        <v>0</v>
      </c>
      <c r="U89" s="1139">
        <f t="shared" si="50"/>
        <v>0</v>
      </c>
      <c r="V89" s="1139">
        <f t="shared" si="50"/>
        <v>0</v>
      </c>
      <c r="W89" s="1139">
        <f t="shared" si="50"/>
        <v>0</v>
      </c>
      <c r="X89" s="1139">
        <f t="shared" si="50"/>
        <v>0</v>
      </c>
      <c r="Y89" s="1139"/>
      <c r="Z89" s="12">
        <f t="shared" si="33"/>
        <v>0</v>
      </c>
      <c r="AA89" s="579">
        <f t="shared" si="34"/>
        <v>0</v>
      </c>
    </row>
    <row r="90" spans="1:27" ht="21.95" hidden="1" customHeight="1" x14ac:dyDescent="0.15">
      <c r="A90" s="2707"/>
      <c r="B90" s="2617"/>
      <c r="C90" s="2759"/>
      <c r="D90" s="544" t="s">
        <v>1507</v>
      </c>
      <c r="E90" s="1062"/>
      <c r="F90" s="1562">
        <v>17.64</v>
      </c>
      <c r="G90" s="1139">
        <f t="shared" ref="G90:X90" si="51">IF(G85=0,0,5.8)</f>
        <v>0</v>
      </c>
      <c r="H90" s="1139">
        <f t="shared" si="51"/>
        <v>0</v>
      </c>
      <c r="I90" s="1139">
        <f t="shared" si="51"/>
        <v>0</v>
      </c>
      <c r="J90" s="1139">
        <f t="shared" si="51"/>
        <v>0</v>
      </c>
      <c r="K90" s="1139">
        <f t="shared" si="51"/>
        <v>0</v>
      </c>
      <c r="L90" s="1139">
        <f t="shared" si="51"/>
        <v>0</v>
      </c>
      <c r="M90" s="1139">
        <f t="shared" si="51"/>
        <v>0</v>
      </c>
      <c r="N90" s="1139">
        <f t="shared" si="51"/>
        <v>0</v>
      </c>
      <c r="O90" s="1139">
        <f t="shared" si="51"/>
        <v>0</v>
      </c>
      <c r="P90" s="1139">
        <f t="shared" si="51"/>
        <v>0</v>
      </c>
      <c r="Q90" s="1139">
        <f t="shared" si="51"/>
        <v>0</v>
      </c>
      <c r="R90" s="1139">
        <f t="shared" si="51"/>
        <v>0</v>
      </c>
      <c r="S90" s="1139">
        <f t="shared" si="51"/>
        <v>0</v>
      </c>
      <c r="T90" s="1139">
        <f t="shared" si="51"/>
        <v>0</v>
      </c>
      <c r="U90" s="1139">
        <f t="shared" si="51"/>
        <v>0</v>
      </c>
      <c r="V90" s="1139">
        <f t="shared" si="51"/>
        <v>0</v>
      </c>
      <c r="W90" s="1139">
        <f t="shared" si="51"/>
        <v>0</v>
      </c>
      <c r="X90" s="1139">
        <f t="shared" si="51"/>
        <v>0</v>
      </c>
      <c r="Y90" s="1139"/>
      <c r="Z90" s="12">
        <f t="shared" si="33"/>
        <v>0</v>
      </c>
      <c r="AA90" s="579">
        <f t="shared" si="34"/>
        <v>0</v>
      </c>
    </row>
    <row r="91" spans="1:27" ht="21.95" hidden="1" customHeight="1" x14ac:dyDescent="0.15">
      <c r="A91" s="2707"/>
      <c r="B91" s="2617"/>
      <c r="C91" s="2759"/>
      <c r="D91" s="544" t="s">
        <v>1554</v>
      </c>
      <c r="E91" s="1062"/>
      <c r="F91" s="1562">
        <v>5.05</v>
      </c>
      <c r="G91" s="1139">
        <f t="shared" ref="G91:X91" si="52">IF(G85=0,0,)</f>
        <v>0</v>
      </c>
      <c r="H91" s="1139">
        <f t="shared" si="52"/>
        <v>0</v>
      </c>
      <c r="I91" s="1139">
        <f t="shared" si="52"/>
        <v>0</v>
      </c>
      <c r="J91" s="1139">
        <f t="shared" si="52"/>
        <v>0</v>
      </c>
      <c r="K91" s="1139">
        <f t="shared" si="52"/>
        <v>0</v>
      </c>
      <c r="L91" s="1139">
        <f t="shared" si="52"/>
        <v>0</v>
      </c>
      <c r="M91" s="1139">
        <f t="shared" si="52"/>
        <v>0</v>
      </c>
      <c r="N91" s="1139">
        <f t="shared" si="52"/>
        <v>0</v>
      </c>
      <c r="O91" s="1139">
        <f t="shared" si="52"/>
        <v>0</v>
      </c>
      <c r="P91" s="1139">
        <f t="shared" si="52"/>
        <v>0</v>
      </c>
      <c r="Q91" s="1139">
        <f t="shared" si="52"/>
        <v>0</v>
      </c>
      <c r="R91" s="1139">
        <f t="shared" si="52"/>
        <v>0</v>
      </c>
      <c r="S91" s="1139">
        <f t="shared" si="52"/>
        <v>0</v>
      </c>
      <c r="T91" s="1139">
        <f t="shared" si="52"/>
        <v>0</v>
      </c>
      <c r="U91" s="1139">
        <f t="shared" si="52"/>
        <v>0</v>
      </c>
      <c r="V91" s="1139">
        <f t="shared" si="52"/>
        <v>0</v>
      </c>
      <c r="W91" s="1139">
        <f t="shared" si="52"/>
        <v>0</v>
      </c>
      <c r="X91" s="1139">
        <f t="shared" si="52"/>
        <v>0</v>
      </c>
      <c r="Y91" s="1139"/>
      <c r="Z91" s="12">
        <f t="shared" si="33"/>
        <v>0</v>
      </c>
      <c r="AA91" s="579">
        <f t="shared" si="34"/>
        <v>0</v>
      </c>
    </row>
    <row r="92" spans="1:27" ht="21.95" hidden="1" customHeight="1" x14ac:dyDescent="0.15">
      <c r="A92" s="2707"/>
      <c r="B92" s="2617"/>
      <c r="C92" s="2813"/>
      <c r="D92" s="544" t="s">
        <v>1488</v>
      </c>
      <c r="E92" s="1063"/>
      <c r="F92" s="1362"/>
      <c r="G92" s="1278"/>
      <c r="H92" s="1278"/>
      <c r="I92" s="1278"/>
      <c r="J92" s="1278"/>
      <c r="K92" s="1278"/>
      <c r="L92" s="1278"/>
      <c r="M92" s="1278"/>
      <c r="N92" s="1278"/>
      <c r="O92" s="1278"/>
      <c r="P92" s="1278"/>
      <c r="Q92" s="1278"/>
      <c r="R92" s="1278"/>
      <c r="S92" s="1278"/>
      <c r="T92" s="1278"/>
      <c r="U92" s="1278"/>
      <c r="V92" s="1278"/>
      <c r="W92" s="1278"/>
      <c r="X92" s="1278"/>
      <c r="Y92" s="1278"/>
      <c r="Z92" s="1277">
        <f t="shared" si="33"/>
        <v>0</v>
      </c>
      <c r="AA92" s="579">
        <f t="shared" si="34"/>
        <v>0</v>
      </c>
    </row>
    <row r="93" spans="1:27" ht="21.95" hidden="1" customHeight="1" x14ac:dyDescent="0.15">
      <c r="A93" s="2707"/>
      <c r="B93" s="2617"/>
      <c r="C93" s="2812" t="s">
        <v>1573</v>
      </c>
      <c r="D93" s="543" t="s">
        <v>60</v>
      </c>
      <c r="E93" s="1064"/>
      <c r="F93" s="1363"/>
      <c r="G93" s="1279"/>
      <c r="H93" s="1279"/>
      <c r="I93" s="1279"/>
      <c r="J93" s="1279"/>
      <c r="K93" s="1279"/>
      <c r="L93" s="1279"/>
      <c r="M93" s="1279"/>
      <c r="N93" s="1279"/>
      <c r="O93" s="1279"/>
      <c r="P93" s="1279"/>
      <c r="Q93" s="1279"/>
      <c r="R93" s="1279"/>
      <c r="S93" s="1279"/>
      <c r="T93" s="1279"/>
      <c r="U93" s="1279"/>
      <c r="V93" s="1279"/>
      <c r="W93" s="1279"/>
      <c r="X93" s="1279"/>
      <c r="Y93" s="1279"/>
      <c r="Z93" s="12">
        <f t="shared" si="33"/>
        <v>0</v>
      </c>
      <c r="AA93" s="579">
        <f t="shared" si="34"/>
        <v>0</v>
      </c>
    </row>
    <row r="94" spans="1:27" ht="21.95" hidden="1" customHeight="1" x14ac:dyDescent="0.15">
      <c r="A94" s="2707"/>
      <c r="B94" s="2617"/>
      <c r="C94" s="2759"/>
      <c r="D94" s="544" t="s">
        <v>29</v>
      </c>
      <c r="E94" s="1062"/>
      <c r="F94" s="1562">
        <v>37.82</v>
      </c>
      <c r="G94" s="1139">
        <f t="shared" ref="G94:X94" si="53">IF(G93=0,0,37.82)</f>
        <v>0</v>
      </c>
      <c r="H94" s="1139">
        <f t="shared" si="53"/>
        <v>0</v>
      </c>
      <c r="I94" s="1139">
        <f t="shared" si="53"/>
        <v>0</v>
      </c>
      <c r="J94" s="1139">
        <f t="shared" si="53"/>
        <v>0</v>
      </c>
      <c r="K94" s="1139">
        <f t="shared" si="53"/>
        <v>0</v>
      </c>
      <c r="L94" s="1139">
        <f t="shared" si="53"/>
        <v>0</v>
      </c>
      <c r="M94" s="1139">
        <f t="shared" si="53"/>
        <v>0</v>
      </c>
      <c r="N94" s="1139">
        <f t="shared" si="53"/>
        <v>0</v>
      </c>
      <c r="O94" s="1139">
        <f t="shared" si="53"/>
        <v>0</v>
      </c>
      <c r="P94" s="1139">
        <f t="shared" si="53"/>
        <v>0</v>
      </c>
      <c r="Q94" s="1139">
        <f t="shared" si="53"/>
        <v>0</v>
      </c>
      <c r="R94" s="1139">
        <f t="shared" si="53"/>
        <v>0</v>
      </c>
      <c r="S94" s="1139">
        <f t="shared" si="53"/>
        <v>0</v>
      </c>
      <c r="T94" s="1139">
        <f t="shared" si="53"/>
        <v>0</v>
      </c>
      <c r="U94" s="1139">
        <f t="shared" si="53"/>
        <v>0</v>
      </c>
      <c r="V94" s="1139">
        <f t="shared" si="53"/>
        <v>0</v>
      </c>
      <c r="W94" s="1139">
        <f t="shared" si="53"/>
        <v>0</v>
      </c>
      <c r="X94" s="1139">
        <f t="shared" si="53"/>
        <v>0</v>
      </c>
      <c r="Y94" s="1139"/>
      <c r="Z94" s="12">
        <f t="shared" si="33"/>
        <v>0</v>
      </c>
      <c r="AA94" s="579">
        <f t="shared" si="34"/>
        <v>0</v>
      </c>
    </row>
    <row r="95" spans="1:27" ht="21.95" hidden="1" customHeight="1" x14ac:dyDescent="0.15">
      <c r="A95" s="2707"/>
      <c r="B95" s="2617"/>
      <c r="C95" s="2759"/>
      <c r="D95" s="544" t="s">
        <v>3</v>
      </c>
      <c r="E95" s="1062"/>
      <c r="F95" s="1562">
        <v>15.45</v>
      </c>
      <c r="G95" s="1139">
        <f t="shared" ref="G95:X95" si="54">IF(G93=0,0,15.45)</f>
        <v>0</v>
      </c>
      <c r="H95" s="1139">
        <f t="shared" si="54"/>
        <v>0</v>
      </c>
      <c r="I95" s="1139">
        <f t="shared" si="54"/>
        <v>0</v>
      </c>
      <c r="J95" s="1139">
        <f t="shared" si="54"/>
        <v>0</v>
      </c>
      <c r="K95" s="1139">
        <f t="shared" si="54"/>
        <v>0</v>
      </c>
      <c r="L95" s="1139">
        <f t="shared" si="54"/>
        <v>0</v>
      </c>
      <c r="M95" s="1139">
        <f t="shared" si="54"/>
        <v>0</v>
      </c>
      <c r="N95" s="1139">
        <f t="shared" si="54"/>
        <v>0</v>
      </c>
      <c r="O95" s="1139">
        <f t="shared" si="54"/>
        <v>0</v>
      </c>
      <c r="P95" s="1139">
        <f t="shared" si="54"/>
        <v>0</v>
      </c>
      <c r="Q95" s="1139">
        <f t="shared" si="54"/>
        <v>0</v>
      </c>
      <c r="R95" s="1139">
        <f t="shared" si="54"/>
        <v>0</v>
      </c>
      <c r="S95" s="1139">
        <f t="shared" si="54"/>
        <v>0</v>
      </c>
      <c r="T95" s="1139">
        <f t="shared" si="54"/>
        <v>0</v>
      </c>
      <c r="U95" s="1139">
        <f t="shared" si="54"/>
        <v>0</v>
      </c>
      <c r="V95" s="1139">
        <f t="shared" si="54"/>
        <v>0</v>
      </c>
      <c r="W95" s="1139">
        <f t="shared" si="54"/>
        <v>0</v>
      </c>
      <c r="X95" s="1139">
        <f t="shared" si="54"/>
        <v>0</v>
      </c>
      <c r="Y95" s="1139"/>
      <c r="Z95" s="12">
        <f t="shared" si="33"/>
        <v>0</v>
      </c>
      <c r="AA95" s="579">
        <f t="shared" si="34"/>
        <v>0</v>
      </c>
    </row>
    <row r="96" spans="1:27" ht="21.95" hidden="1" customHeight="1" x14ac:dyDescent="0.15">
      <c r="A96" s="2707"/>
      <c r="B96" s="2617"/>
      <c r="C96" s="2759"/>
      <c r="D96" s="544" t="s">
        <v>1498</v>
      </c>
      <c r="E96" s="1062"/>
      <c r="F96" s="1562">
        <f>11*0.25</f>
        <v>2.75</v>
      </c>
      <c r="G96" s="1139">
        <f t="shared" ref="G96:X96" si="55">IF(G93=0,0,2.75)</f>
        <v>0</v>
      </c>
      <c r="H96" s="1139">
        <f t="shared" si="55"/>
        <v>0</v>
      </c>
      <c r="I96" s="1139">
        <f t="shared" si="55"/>
        <v>0</v>
      </c>
      <c r="J96" s="1139">
        <f t="shared" si="55"/>
        <v>0</v>
      </c>
      <c r="K96" s="1139">
        <f t="shared" si="55"/>
        <v>0</v>
      </c>
      <c r="L96" s="1139">
        <f t="shared" si="55"/>
        <v>0</v>
      </c>
      <c r="M96" s="1139">
        <f t="shared" si="55"/>
        <v>0</v>
      </c>
      <c r="N96" s="1139">
        <f t="shared" si="55"/>
        <v>0</v>
      </c>
      <c r="O96" s="1139">
        <f t="shared" si="55"/>
        <v>0</v>
      </c>
      <c r="P96" s="1139">
        <f t="shared" si="55"/>
        <v>0</v>
      </c>
      <c r="Q96" s="1139">
        <f t="shared" si="55"/>
        <v>0</v>
      </c>
      <c r="R96" s="1139">
        <f t="shared" si="55"/>
        <v>0</v>
      </c>
      <c r="S96" s="1139">
        <f t="shared" si="55"/>
        <v>0</v>
      </c>
      <c r="T96" s="1139">
        <f t="shared" si="55"/>
        <v>0</v>
      </c>
      <c r="U96" s="1139">
        <f t="shared" si="55"/>
        <v>0</v>
      </c>
      <c r="V96" s="1139">
        <f t="shared" si="55"/>
        <v>0</v>
      </c>
      <c r="W96" s="1139">
        <f t="shared" si="55"/>
        <v>0</v>
      </c>
      <c r="X96" s="1139">
        <f t="shared" si="55"/>
        <v>0</v>
      </c>
      <c r="Y96" s="1139"/>
      <c r="Z96" s="12">
        <f t="shared" si="33"/>
        <v>0</v>
      </c>
      <c r="AA96" s="579">
        <f t="shared" si="34"/>
        <v>0</v>
      </c>
    </row>
    <row r="97" spans="1:27" ht="21.95" hidden="1" customHeight="1" x14ac:dyDescent="0.15">
      <c r="A97" s="2707"/>
      <c r="B97" s="2617"/>
      <c r="C97" s="2759"/>
      <c r="D97" s="544" t="s">
        <v>1499</v>
      </c>
      <c r="E97" s="1062"/>
      <c r="F97" s="1562">
        <f>25*0.25</f>
        <v>6.25</v>
      </c>
      <c r="G97" s="1139">
        <f t="shared" ref="G97:X97" si="56">IF(G93=0,0,6.25)</f>
        <v>0</v>
      </c>
      <c r="H97" s="1139">
        <f t="shared" si="56"/>
        <v>0</v>
      </c>
      <c r="I97" s="1139">
        <f t="shared" si="56"/>
        <v>0</v>
      </c>
      <c r="J97" s="1139">
        <f t="shared" si="56"/>
        <v>0</v>
      </c>
      <c r="K97" s="1139">
        <f t="shared" si="56"/>
        <v>0</v>
      </c>
      <c r="L97" s="1139">
        <f t="shared" si="56"/>
        <v>0</v>
      </c>
      <c r="M97" s="1139">
        <f t="shared" si="56"/>
        <v>0</v>
      </c>
      <c r="N97" s="1139">
        <f t="shared" si="56"/>
        <v>0</v>
      </c>
      <c r="O97" s="1139">
        <f t="shared" si="56"/>
        <v>0</v>
      </c>
      <c r="P97" s="1139">
        <f t="shared" si="56"/>
        <v>0</v>
      </c>
      <c r="Q97" s="1139">
        <f t="shared" si="56"/>
        <v>0</v>
      </c>
      <c r="R97" s="1139">
        <f t="shared" si="56"/>
        <v>0</v>
      </c>
      <c r="S97" s="1139">
        <f t="shared" si="56"/>
        <v>0</v>
      </c>
      <c r="T97" s="1139">
        <f t="shared" si="56"/>
        <v>0</v>
      </c>
      <c r="U97" s="1139">
        <f t="shared" si="56"/>
        <v>0</v>
      </c>
      <c r="V97" s="1139">
        <f t="shared" si="56"/>
        <v>0</v>
      </c>
      <c r="W97" s="1139">
        <f t="shared" si="56"/>
        <v>0</v>
      </c>
      <c r="X97" s="1139">
        <f t="shared" si="56"/>
        <v>0</v>
      </c>
      <c r="Y97" s="1139"/>
      <c r="Z97" s="12">
        <f t="shared" si="33"/>
        <v>0</v>
      </c>
      <c r="AA97" s="579">
        <f t="shared" si="34"/>
        <v>0</v>
      </c>
    </row>
    <row r="98" spans="1:27" ht="21.95" hidden="1" customHeight="1" x14ac:dyDescent="0.15">
      <c r="A98" s="2707"/>
      <c r="B98" s="2617"/>
      <c r="C98" s="2759"/>
      <c r="D98" s="544" t="s">
        <v>1507</v>
      </c>
      <c r="E98" s="1062"/>
      <c r="F98" s="1562">
        <v>15.73</v>
      </c>
      <c r="G98" s="1139">
        <f t="shared" ref="G98:X98" si="57">IF(G93=0,0,15.73)</f>
        <v>0</v>
      </c>
      <c r="H98" s="1139">
        <f t="shared" si="57"/>
        <v>0</v>
      </c>
      <c r="I98" s="1139">
        <f t="shared" si="57"/>
        <v>0</v>
      </c>
      <c r="J98" s="1139">
        <f t="shared" si="57"/>
        <v>0</v>
      </c>
      <c r="K98" s="1139">
        <f t="shared" si="57"/>
        <v>0</v>
      </c>
      <c r="L98" s="1139">
        <f t="shared" si="57"/>
        <v>0</v>
      </c>
      <c r="M98" s="1139">
        <f t="shared" si="57"/>
        <v>0</v>
      </c>
      <c r="N98" s="1139">
        <f t="shared" si="57"/>
        <v>0</v>
      </c>
      <c r="O98" s="1139">
        <f t="shared" si="57"/>
        <v>0</v>
      </c>
      <c r="P98" s="1139">
        <f t="shared" si="57"/>
        <v>0</v>
      </c>
      <c r="Q98" s="1139">
        <f t="shared" si="57"/>
        <v>0</v>
      </c>
      <c r="R98" s="1139">
        <f t="shared" si="57"/>
        <v>0</v>
      </c>
      <c r="S98" s="1139">
        <f t="shared" si="57"/>
        <v>0</v>
      </c>
      <c r="T98" s="1139">
        <f t="shared" si="57"/>
        <v>0</v>
      </c>
      <c r="U98" s="1139">
        <f t="shared" si="57"/>
        <v>0</v>
      </c>
      <c r="V98" s="1139">
        <f t="shared" si="57"/>
        <v>0</v>
      </c>
      <c r="W98" s="1139">
        <f t="shared" si="57"/>
        <v>0</v>
      </c>
      <c r="X98" s="1139">
        <f t="shared" si="57"/>
        <v>0</v>
      </c>
      <c r="Y98" s="1139"/>
      <c r="Z98" s="12">
        <f t="shared" si="33"/>
        <v>0</v>
      </c>
      <c r="AA98" s="579">
        <f t="shared" si="34"/>
        <v>0</v>
      </c>
    </row>
    <row r="99" spans="1:27" ht="21.95" hidden="1" customHeight="1" x14ac:dyDescent="0.15">
      <c r="A99" s="2707"/>
      <c r="B99" s="2617"/>
      <c r="C99" s="2813"/>
      <c r="D99" s="544" t="s">
        <v>1488</v>
      </c>
      <c r="E99" s="1063"/>
      <c r="F99" s="1362"/>
      <c r="G99" s="1278"/>
      <c r="H99" s="1278"/>
      <c r="I99" s="1278"/>
      <c r="J99" s="1278"/>
      <c r="K99" s="1278"/>
      <c r="L99" s="1278"/>
      <c r="M99" s="1278"/>
      <c r="N99" s="1278"/>
      <c r="O99" s="1278"/>
      <c r="P99" s="1278"/>
      <c r="Q99" s="1278"/>
      <c r="R99" s="1278"/>
      <c r="S99" s="1278"/>
      <c r="T99" s="1278"/>
      <c r="U99" s="1278"/>
      <c r="V99" s="1278"/>
      <c r="W99" s="1278"/>
      <c r="X99" s="1278"/>
      <c r="Y99" s="1278"/>
      <c r="Z99" s="1277">
        <f t="shared" ref="Z99:Z128" si="58">TRUNC(SUM(G99:Y99),2)</f>
        <v>0</v>
      </c>
      <c r="AA99" s="579">
        <f t="shared" ref="AA99:AA130" si="59">SUM(G99:Z99)</f>
        <v>0</v>
      </c>
    </row>
    <row r="100" spans="1:27" ht="21.95" hidden="1" customHeight="1" x14ac:dyDescent="0.15">
      <c r="A100" s="2707"/>
      <c r="B100" s="2617"/>
      <c r="C100" s="2812" t="s">
        <v>1575</v>
      </c>
      <c r="D100" s="543" t="s">
        <v>60</v>
      </c>
      <c r="E100" s="1064"/>
      <c r="F100" s="1363"/>
      <c r="G100" s="1279"/>
      <c r="H100" s="1279"/>
      <c r="I100" s="1279"/>
      <c r="J100" s="1279"/>
      <c r="K100" s="1279"/>
      <c r="L100" s="1279"/>
      <c r="M100" s="1279"/>
      <c r="N100" s="1279"/>
      <c r="O100" s="1279"/>
      <c r="P100" s="1279"/>
      <c r="Q100" s="1279"/>
      <c r="R100" s="1279"/>
      <c r="S100" s="1279"/>
      <c r="T100" s="1279"/>
      <c r="U100" s="1279"/>
      <c r="V100" s="1279"/>
      <c r="W100" s="1279"/>
      <c r="X100" s="1279"/>
      <c r="Y100" s="1279"/>
      <c r="Z100" s="12">
        <f t="shared" si="58"/>
        <v>0</v>
      </c>
      <c r="AA100" s="579">
        <f t="shared" si="59"/>
        <v>0</v>
      </c>
    </row>
    <row r="101" spans="1:27" ht="21.95" hidden="1" customHeight="1" x14ac:dyDescent="0.15">
      <c r="A101" s="2707"/>
      <c r="B101" s="2617"/>
      <c r="C101" s="2759"/>
      <c r="D101" s="544" t="s">
        <v>29</v>
      </c>
      <c r="E101" s="1062"/>
      <c r="F101" s="1562">
        <v>37.82</v>
      </c>
      <c r="G101" s="1139">
        <f t="shared" ref="G101:X101" si="60">IF(G100=0,0,37.82)</f>
        <v>0</v>
      </c>
      <c r="H101" s="1139">
        <f t="shared" si="60"/>
        <v>0</v>
      </c>
      <c r="I101" s="1139">
        <f t="shared" si="60"/>
        <v>0</v>
      </c>
      <c r="J101" s="1139">
        <f t="shared" si="60"/>
        <v>0</v>
      </c>
      <c r="K101" s="1139">
        <f t="shared" si="60"/>
        <v>0</v>
      </c>
      <c r="L101" s="1139">
        <f t="shared" si="60"/>
        <v>0</v>
      </c>
      <c r="M101" s="1139">
        <f t="shared" si="60"/>
        <v>0</v>
      </c>
      <c r="N101" s="1139">
        <f t="shared" si="60"/>
        <v>0</v>
      </c>
      <c r="O101" s="1139">
        <f t="shared" si="60"/>
        <v>0</v>
      </c>
      <c r="P101" s="1139">
        <f t="shared" si="60"/>
        <v>0</v>
      </c>
      <c r="Q101" s="1139">
        <f t="shared" si="60"/>
        <v>0</v>
      </c>
      <c r="R101" s="1139">
        <f t="shared" si="60"/>
        <v>0</v>
      </c>
      <c r="S101" s="1139">
        <f t="shared" si="60"/>
        <v>0</v>
      </c>
      <c r="T101" s="1139">
        <f t="shared" si="60"/>
        <v>0</v>
      </c>
      <c r="U101" s="1139">
        <f t="shared" si="60"/>
        <v>0</v>
      </c>
      <c r="V101" s="1139">
        <f t="shared" si="60"/>
        <v>0</v>
      </c>
      <c r="W101" s="1139">
        <f t="shared" si="60"/>
        <v>0</v>
      </c>
      <c r="X101" s="1139">
        <f t="shared" si="60"/>
        <v>0</v>
      </c>
      <c r="Y101" s="1139"/>
      <c r="Z101" s="12">
        <f t="shared" si="58"/>
        <v>0</v>
      </c>
      <c r="AA101" s="579">
        <f t="shared" si="59"/>
        <v>0</v>
      </c>
    </row>
    <row r="102" spans="1:27" ht="21.95" hidden="1" customHeight="1" x14ac:dyDescent="0.15">
      <c r="A102" s="2707"/>
      <c r="B102" s="2617"/>
      <c r="C102" s="2759"/>
      <c r="D102" s="544" t="s">
        <v>3</v>
      </c>
      <c r="E102" s="1062"/>
      <c r="F102" s="1562">
        <v>15.45</v>
      </c>
      <c r="G102" s="1139">
        <f t="shared" ref="G102:X102" si="61">IF(G100=0,0,15.45)</f>
        <v>0</v>
      </c>
      <c r="H102" s="1139">
        <f t="shared" si="61"/>
        <v>0</v>
      </c>
      <c r="I102" s="1139">
        <f t="shared" si="61"/>
        <v>0</v>
      </c>
      <c r="J102" s="1139">
        <f t="shared" si="61"/>
        <v>0</v>
      </c>
      <c r="K102" s="1139">
        <f t="shared" si="61"/>
        <v>0</v>
      </c>
      <c r="L102" s="1139">
        <f t="shared" si="61"/>
        <v>0</v>
      </c>
      <c r="M102" s="1139">
        <f t="shared" si="61"/>
        <v>0</v>
      </c>
      <c r="N102" s="1139">
        <f t="shared" si="61"/>
        <v>0</v>
      </c>
      <c r="O102" s="1139">
        <f t="shared" si="61"/>
        <v>0</v>
      </c>
      <c r="P102" s="1139">
        <f t="shared" si="61"/>
        <v>0</v>
      </c>
      <c r="Q102" s="1139">
        <f t="shared" si="61"/>
        <v>0</v>
      </c>
      <c r="R102" s="1139">
        <f t="shared" si="61"/>
        <v>0</v>
      </c>
      <c r="S102" s="1139">
        <f t="shared" si="61"/>
        <v>0</v>
      </c>
      <c r="T102" s="1139">
        <f t="shared" si="61"/>
        <v>0</v>
      </c>
      <c r="U102" s="1139">
        <f t="shared" si="61"/>
        <v>0</v>
      </c>
      <c r="V102" s="1139">
        <f t="shared" si="61"/>
        <v>0</v>
      </c>
      <c r="W102" s="1139">
        <f t="shared" si="61"/>
        <v>0</v>
      </c>
      <c r="X102" s="1139">
        <f t="shared" si="61"/>
        <v>0</v>
      </c>
      <c r="Y102" s="1139"/>
      <c r="Z102" s="12">
        <f t="shared" si="58"/>
        <v>0</v>
      </c>
      <c r="AA102" s="579">
        <f t="shared" si="59"/>
        <v>0</v>
      </c>
    </row>
    <row r="103" spans="1:27" ht="21.95" hidden="1" customHeight="1" x14ac:dyDescent="0.15">
      <c r="A103" s="2707"/>
      <c r="B103" s="2617"/>
      <c r="C103" s="2759"/>
      <c r="D103" s="544" t="s">
        <v>1498</v>
      </c>
      <c r="E103" s="1062"/>
      <c r="F103" s="1562">
        <f>45*0.25</f>
        <v>11.25</v>
      </c>
      <c r="G103" s="1139">
        <f t="shared" ref="G103:X103" si="62">IF(G100=0,0,11.25)</f>
        <v>0</v>
      </c>
      <c r="H103" s="1139">
        <f t="shared" si="62"/>
        <v>0</v>
      </c>
      <c r="I103" s="1139">
        <f t="shared" si="62"/>
        <v>0</v>
      </c>
      <c r="J103" s="1139">
        <f t="shared" si="62"/>
        <v>0</v>
      </c>
      <c r="K103" s="1139">
        <f t="shared" si="62"/>
        <v>0</v>
      </c>
      <c r="L103" s="1139">
        <f t="shared" si="62"/>
        <v>0</v>
      </c>
      <c r="M103" s="1139">
        <f t="shared" si="62"/>
        <v>0</v>
      </c>
      <c r="N103" s="1139">
        <f t="shared" si="62"/>
        <v>0</v>
      </c>
      <c r="O103" s="1139">
        <f t="shared" si="62"/>
        <v>0</v>
      </c>
      <c r="P103" s="1139">
        <f t="shared" si="62"/>
        <v>0</v>
      </c>
      <c r="Q103" s="1139">
        <f t="shared" si="62"/>
        <v>0</v>
      </c>
      <c r="R103" s="1139">
        <f t="shared" si="62"/>
        <v>0</v>
      </c>
      <c r="S103" s="1139">
        <f t="shared" si="62"/>
        <v>0</v>
      </c>
      <c r="T103" s="1139">
        <f t="shared" si="62"/>
        <v>0</v>
      </c>
      <c r="U103" s="1139">
        <f t="shared" si="62"/>
        <v>0</v>
      </c>
      <c r="V103" s="1139">
        <f t="shared" si="62"/>
        <v>0</v>
      </c>
      <c r="W103" s="1139">
        <f t="shared" si="62"/>
        <v>0</v>
      </c>
      <c r="X103" s="1139">
        <f t="shared" si="62"/>
        <v>0</v>
      </c>
      <c r="Y103" s="1139"/>
      <c r="Z103" s="12">
        <f t="shared" si="58"/>
        <v>0</v>
      </c>
      <c r="AA103" s="579">
        <f t="shared" si="59"/>
        <v>0</v>
      </c>
    </row>
    <row r="104" spans="1:27" ht="21.95" hidden="1" customHeight="1" x14ac:dyDescent="0.15">
      <c r="A104" s="2707"/>
      <c r="B104" s="2617"/>
      <c r="C104" s="2759"/>
      <c r="D104" s="544" t="s">
        <v>1499</v>
      </c>
      <c r="E104" s="1062"/>
      <c r="F104" s="1562">
        <f>53*0.25</f>
        <v>13.25</v>
      </c>
      <c r="G104" s="1139">
        <f t="shared" ref="G104:X104" si="63">IF(G100=0,0,13.25)</f>
        <v>0</v>
      </c>
      <c r="H104" s="1139">
        <f t="shared" si="63"/>
        <v>0</v>
      </c>
      <c r="I104" s="1139">
        <f t="shared" si="63"/>
        <v>0</v>
      </c>
      <c r="J104" s="1139">
        <f t="shared" si="63"/>
        <v>0</v>
      </c>
      <c r="K104" s="1139">
        <f t="shared" si="63"/>
        <v>0</v>
      </c>
      <c r="L104" s="1139">
        <f t="shared" si="63"/>
        <v>0</v>
      </c>
      <c r="M104" s="1139">
        <f t="shared" si="63"/>
        <v>0</v>
      </c>
      <c r="N104" s="1139">
        <f t="shared" si="63"/>
        <v>0</v>
      </c>
      <c r="O104" s="1139">
        <f t="shared" si="63"/>
        <v>0</v>
      </c>
      <c r="P104" s="1139">
        <f t="shared" si="63"/>
        <v>0</v>
      </c>
      <c r="Q104" s="1139">
        <f t="shared" si="63"/>
        <v>0</v>
      </c>
      <c r="R104" s="1139">
        <f t="shared" si="63"/>
        <v>0</v>
      </c>
      <c r="S104" s="1139">
        <f t="shared" si="63"/>
        <v>0</v>
      </c>
      <c r="T104" s="1139">
        <f t="shared" si="63"/>
        <v>0</v>
      </c>
      <c r="U104" s="1139">
        <f t="shared" si="63"/>
        <v>0</v>
      </c>
      <c r="V104" s="1139">
        <f t="shared" si="63"/>
        <v>0</v>
      </c>
      <c r="W104" s="1139">
        <f t="shared" si="63"/>
        <v>0</v>
      </c>
      <c r="X104" s="1139">
        <f t="shared" si="63"/>
        <v>0</v>
      </c>
      <c r="Y104" s="1139"/>
      <c r="Z104" s="12">
        <f t="shared" si="58"/>
        <v>0</v>
      </c>
      <c r="AA104" s="579">
        <f t="shared" si="59"/>
        <v>0</v>
      </c>
    </row>
    <row r="105" spans="1:27" ht="21.95" hidden="1" customHeight="1" x14ac:dyDescent="0.15">
      <c r="A105" s="2707"/>
      <c r="B105" s="2617"/>
      <c r="C105" s="2759"/>
      <c r="D105" s="544" t="s">
        <v>1507</v>
      </c>
      <c r="E105" s="1062"/>
      <c r="F105" s="1562">
        <v>15.73</v>
      </c>
      <c r="G105" s="1139">
        <f t="shared" ref="G105:X105" si="64">IF(G100=0,0,15.73)</f>
        <v>0</v>
      </c>
      <c r="H105" s="1139">
        <f t="shared" si="64"/>
        <v>0</v>
      </c>
      <c r="I105" s="1139">
        <f t="shared" si="64"/>
        <v>0</v>
      </c>
      <c r="J105" s="1139">
        <f t="shared" si="64"/>
        <v>0</v>
      </c>
      <c r="K105" s="1139">
        <f t="shared" si="64"/>
        <v>0</v>
      </c>
      <c r="L105" s="1139">
        <f t="shared" si="64"/>
        <v>0</v>
      </c>
      <c r="M105" s="1139">
        <f t="shared" si="64"/>
        <v>0</v>
      </c>
      <c r="N105" s="1139">
        <f t="shared" si="64"/>
        <v>0</v>
      </c>
      <c r="O105" s="1139">
        <f t="shared" si="64"/>
        <v>0</v>
      </c>
      <c r="P105" s="1139">
        <f t="shared" si="64"/>
        <v>0</v>
      </c>
      <c r="Q105" s="1139">
        <f t="shared" si="64"/>
        <v>0</v>
      </c>
      <c r="R105" s="1139">
        <f t="shared" si="64"/>
        <v>0</v>
      </c>
      <c r="S105" s="1139">
        <f t="shared" si="64"/>
        <v>0</v>
      </c>
      <c r="T105" s="1139">
        <f t="shared" si="64"/>
        <v>0</v>
      </c>
      <c r="U105" s="1139">
        <f t="shared" si="64"/>
        <v>0</v>
      </c>
      <c r="V105" s="1139">
        <f t="shared" si="64"/>
        <v>0</v>
      </c>
      <c r="W105" s="1139">
        <f t="shared" si="64"/>
        <v>0</v>
      </c>
      <c r="X105" s="1139">
        <f t="shared" si="64"/>
        <v>0</v>
      </c>
      <c r="Y105" s="1139"/>
      <c r="Z105" s="12">
        <f t="shared" si="58"/>
        <v>0</v>
      </c>
      <c r="AA105" s="579">
        <f t="shared" si="59"/>
        <v>0</v>
      </c>
    </row>
    <row r="106" spans="1:27" ht="21.95" hidden="1" customHeight="1" x14ac:dyDescent="0.15">
      <c r="A106" s="2707"/>
      <c r="B106" s="2617"/>
      <c r="C106" s="2759"/>
      <c r="D106" s="547" t="s">
        <v>1488</v>
      </c>
      <c r="E106" s="1062"/>
      <c r="F106" s="1345"/>
      <c r="G106" s="426"/>
      <c r="H106" s="426"/>
      <c r="I106" s="426"/>
      <c r="J106" s="426"/>
      <c r="K106" s="426"/>
      <c r="L106" s="426"/>
      <c r="M106" s="426"/>
      <c r="N106" s="426"/>
      <c r="O106" s="426"/>
      <c r="P106" s="426"/>
      <c r="Q106" s="426"/>
      <c r="R106" s="426"/>
      <c r="S106" s="426"/>
      <c r="T106" s="426"/>
      <c r="U106" s="426"/>
      <c r="V106" s="426"/>
      <c r="W106" s="426"/>
      <c r="X106" s="426"/>
      <c r="Y106" s="426"/>
      <c r="Z106" s="12">
        <f t="shared" si="58"/>
        <v>0</v>
      </c>
      <c r="AA106" s="579">
        <f t="shared" si="59"/>
        <v>0</v>
      </c>
    </row>
    <row r="107" spans="1:27" ht="21.95" hidden="1" customHeight="1" x14ac:dyDescent="0.15">
      <c r="A107" s="2707"/>
      <c r="B107" s="2617"/>
      <c r="C107" s="2950" t="s">
        <v>1561</v>
      </c>
      <c r="D107" s="543" t="s">
        <v>60</v>
      </c>
      <c r="E107" s="1064"/>
      <c r="F107" s="1363"/>
      <c r="G107" s="1279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79"/>
      <c r="T107" s="1279"/>
      <c r="U107" s="1279"/>
      <c r="V107" s="1279"/>
      <c r="W107" s="1279"/>
      <c r="X107" s="1279"/>
      <c r="Y107" s="1279"/>
      <c r="Z107" s="2356">
        <f t="shared" si="58"/>
        <v>0</v>
      </c>
      <c r="AA107" s="579">
        <f t="shared" si="59"/>
        <v>0</v>
      </c>
    </row>
    <row r="108" spans="1:27" ht="21.95" hidden="1" customHeight="1" x14ac:dyDescent="0.15">
      <c r="A108" s="2707"/>
      <c r="B108" s="2617"/>
      <c r="C108" s="2807"/>
      <c r="D108" s="544" t="s">
        <v>29</v>
      </c>
      <c r="E108" s="1062"/>
      <c r="F108" s="1562">
        <v>22.2</v>
      </c>
      <c r="G108" s="1139">
        <f t="shared" ref="G108:X108" si="65">IF(G107=0,0,22.2)</f>
        <v>0</v>
      </c>
      <c r="H108" s="1139">
        <f t="shared" si="65"/>
        <v>0</v>
      </c>
      <c r="I108" s="1139">
        <f t="shared" si="65"/>
        <v>0</v>
      </c>
      <c r="J108" s="1139">
        <f t="shared" si="65"/>
        <v>0</v>
      </c>
      <c r="K108" s="1139">
        <f t="shared" si="65"/>
        <v>0</v>
      </c>
      <c r="L108" s="1139">
        <f t="shared" si="65"/>
        <v>0</v>
      </c>
      <c r="M108" s="1139">
        <f t="shared" si="65"/>
        <v>0</v>
      </c>
      <c r="N108" s="1139">
        <f t="shared" si="65"/>
        <v>0</v>
      </c>
      <c r="O108" s="1139">
        <f t="shared" si="65"/>
        <v>0</v>
      </c>
      <c r="P108" s="1139">
        <f t="shared" si="65"/>
        <v>0</v>
      </c>
      <c r="Q108" s="1139">
        <f t="shared" si="65"/>
        <v>0</v>
      </c>
      <c r="R108" s="1139">
        <f t="shared" si="65"/>
        <v>0</v>
      </c>
      <c r="S108" s="1139">
        <f t="shared" si="65"/>
        <v>0</v>
      </c>
      <c r="T108" s="1139">
        <f t="shared" si="65"/>
        <v>0</v>
      </c>
      <c r="U108" s="1139">
        <f t="shared" si="65"/>
        <v>0</v>
      </c>
      <c r="V108" s="1139">
        <f t="shared" si="65"/>
        <v>0</v>
      </c>
      <c r="W108" s="1139">
        <f t="shared" si="65"/>
        <v>0</v>
      </c>
      <c r="X108" s="1139">
        <f t="shared" si="65"/>
        <v>0</v>
      </c>
      <c r="Y108" s="1139"/>
      <c r="Z108" s="12">
        <f t="shared" si="58"/>
        <v>0</v>
      </c>
      <c r="AA108" s="579">
        <f t="shared" si="59"/>
        <v>0</v>
      </c>
    </row>
    <row r="109" spans="1:27" ht="21.95" hidden="1" customHeight="1" x14ac:dyDescent="0.15">
      <c r="A109" s="2707"/>
      <c r="B109" s="2617"/>
      <c r="C109" s="2807"/>
      <c r="D109" s="544" t="s">
        <v>3</v>
      </c>
      <c r="E109" s="1062"/>
      <c r="F109" s="1562">
        <v>7.5</v>
      </c>
      <c r="G109" s="1139">
        <f t="shared" ref="G109:X109" si="66">IF(G107=0,0,7.5)</f>
        <v>0</v>
      </c>
      <c r="H109" s="1139">
        <f t="shared" si="66"/>
        <v>0</v>
      </c>
      <c r="I109" s="1139">
        <f t="shared" si="66"/>
        <v>0</v>
      </c>
      <c r="J109" s="1139">
        <f t="shared" si="66"/>
        <v>0</v>
      </c>
      <c r="K109" s="1139">
        <f t="shared" si="66"/>
        <v>0</v>
      </c>
      <c r="L109" s="1139">
        <f t="shared" si="66"/>
        <v>0</v>
      </c>
      <c r="M109" s="1139">
        <f t="shared" si="66"/>
        <v>0</v>
      </c>
      <c r="N109" s="1139">
        <f t="shared" si="66"/>
        <v>0</v>
      </c>
      <c r="O109" s="1139">
        <f t="shared" si="66"/>
        <v>0</v>
      </c>
      <c r="P109" s="1139">
        <f t="shared" si="66"/>
        <v>0</v>
      </c>
      <c r="Q109" s="1139">
        <f t="shared" si="66"/>
        <v>0</v>
      </c>
      <c r="R109" s="1139">
        <f t="shared" si="66"/>
        <v>0</v>
      </c>
      <c r="S109" s="1139">
        <f t="shared" si="66"/>
        <v>0</v>
      </c>
      <c r="T109" s="1139">
        <f t="shared" si="66"/>
        <v>0</v>
      </c>
      <c r="U109" s="1139">
        <f t="shared" si="66"/>
        <v>0</v>
      </c>
      <c r="V109" s="1139">
        <f t="shared" si="66"/>
        <v>0</v>
      </c>
      <c r="W109" s="1139">
        <f t="shared" si="66"/>
        <v>0</v>
      </c>
      <c r="X109" s="1139">
        <f t="shared" si="66"/>
        <v>0</v>
      </c>
      <c r="Y109" s="1139"/>
      <c r="Z109" s="12">
        <f t="shared" si="58"/>
        <v>0</v>
      </c>
      <c r="AA109" s="579">
        <f t="shared" si="59"/>
        <v>0</v>
      </c>
    </row>
    <row r="110" spans="1:27" ht="21.95" hidden="1" customHeight="1" x14ac:dyDescent="0.15">
      <c r="A110" s="2707"/>
      <c r="B110" s="2617"/>
      <c r="C110" s="2807"/>
      <c r="D110" s="544" t="s">
        <v>1498</v>
      </c>
      <c r="E110" s="1062"/>
      <c r="F110" s="1562">
        <f>28*0.25</f>
        <v>7</v>
      </c>
      <c r="G110" s="1139">
        <f t="shared" ref="G110:X110" si="67">IF(G107=0,0,7)</f>
        <v>0</v>
      </c>
      <c r="H110" s="1139">
        <f t="shared" si="67"/>
        <v>0</v>
      </c>
      <c r="I110" s="1139">
        <f t="shared" si="67"/>
        <v>0</v>
      </c>
      <c r="J110" s="1139">
        <f t="shared" si="67"/>
        <v>0</v>
      </c>
      <c r="K110" s="1139">
        <f t="shared" si="67"/>
        <v>0</v>
      </c>
      <c r="L110" s="1139">
        <f t="shared" si="67"/>
        <v>0</v>
      </c>
      <c r="M110" s="1139">
        <f t="shared" si="67"/>
        <v>0</v>
      </c>
      <c r="N110" s="1139">
        <f t="shared" si="67"/>
        <v>0</v>
      </c>
      <c r="O110" s="1139">
        <f t="shared" si="67"/>
        <v>0</v>
      </c>
      <c r="P110" s="1139">
        <f t="shared" si="67"/>
        <v>0</v>
      </c>
      <c r="Q110" s="1139">
        <f t="shared" si="67"/>
        <v>0</v>
      </c>
      <c r="R110" s="1139">
        <f t="shared" si="67"/>
        <v>0</v>
      </c>
      <c r="S110" s="1139">
        <f t="shared" si="67"/>
        <v>0</v>
      </c>
      <c r="T110" s="1139">
        <f t="shared" si="67"/>
        <v>0</v>
      </c>
      <c r="U110" s="1139">
        <f t="shared" si="67"/>
        <v>0</v>
      </c>
      <c r="V110" s="1139">
        <f t="shared" si="67"/>
        <v>0</v>
      </c>
      <c r="W110" s="1139">
        <f t="shared" si="67"/>
        <v>0</v>
      </c>
      <c r="X110" s="1139">
        <f t="shared" si="67"/>
        <v>0</v>
      </c>
      <c r="Y110" s="1139"/>
      <c r="Z110" s="12">
        <f t="shared" si="58"/>
        <v>0</v>
      </c>
      <c r="AA110" s="579">
        <f t="shared" si="59"/>
        <v>0</v>
      </c>
    </row>
    <row r="111" spans="1:27" ht="21.95" hidden="1" customHeight="1" x14ac:dyDescent="0.15">
      <c r="A111" s="2707"/>
      <c r="B111" s="2617"/>
      <c r="C111" s="2807"/>
      <c r="D111" s="544" t="s">
        <v>1499</v>
      </c>
      <c r="E111" s="1062"/>
      <c r="F111" s="1562">
        <f>26*0.25</f>
        <v>6.5</v>
      </c>
      <c r="G111" s="1139">
        <f t="shared" ref="G111:X111" si="68">IF(G107=0,0,6.5)</f>
        <v>0</v>
      </c>
      <c r="H111" s="1139">
        <f t="shared" si="68"/>
        <v>0</v>
      </c>
      <c r="I111" s="1139">
        <f t="shared" si="68"/>
        <v>0</v>
      </c>
      <c r="J111" s="1139">
        <f t="shared" si="68"/>
        <v>0</v>
      </c>
      <c r="K111" s="1139">
        <f t="shared" si="68"/>
        <v>0</v>
      </c>
      <c r="L111" s="1139">
        <f t="shared" si="68"/>
        <v>0</v>
      </c>
      <c r="M111" s="1139">
        <f t="shared" si="68"/>
        <v>0</v>
      </c>
      <c r="N111" s="1139">
        <f t="shared" si="68"/>
        <v>0</v>
      </c>
      <c r="O111" s="1139">
        <f t="shared" si="68"/>
        <v>0</v>
      </c>
      <c r="P111" s="1139">
        <f t="shared" si="68"/>
        <v>0</v>
      </c>
      <c r="Q111" s="1139">
        <f t="shared" si="68"/>
        <v>0</v>
      </c>
      <c r="R111" s="1139">
        <f t="shared" si="68"/>
        <v>0</v>
      </c>
      <c r="S111" s="1139">
        <f t="shared" si="68"/>
        <v>0</v>
      </c>
      <c r="T111" s="1139">
        <f t="shared" si="68"/>
        <v>0</v>
      </c>
      <c r="U111" s="1139">
        <f t="shared" si="68"/>
        <v>0</v>
      </c>
      <c r="V111" s="1139">
        <f t="shared" si="68"/>
        <v>0</v>
      </c>
      <c r="W111" s="1139">
        <f t="shared" si="68"/>
        <v>0</v>
      </c>
      <c r="X111" s="1139">
        <f t="shared" si="68"/>
        <v>0</v>
      </c>
      <c r="Y111" s="1139"/>
      <c r="Z111" s="12">
        <f t="shared" si="58"/>
        <v>0</v>
      </c>
      <c r="AA111" s="579">
        <f t="shared" si="59"/>
        <v>0</v>
      </c>
    </row>
    <row r="112" spans="1:27" ht="21.95" hidden="1" customHeight="1" x14ac:dyDescent="0.15">
      <c r="A112" s="2707"/>
      <c r="B112" s="2617"/>
      <c r="C112" s="2807"/>
      <c r="D112" s="544" t="s">
        <v>1507</v>
      </c>
      <c r="E112" s="1062"/>
      <c r="F112" s="1562">
        <v>13.26</v>
      </c>
      <c r="G112" s="1139">
        <f t="shared" ref="G112:X112" si="69">IF(G107=0,0,13.26)</f>
        <v>0</v>
      </c>
      <c r="H112" s="1139">
        <f t="shared" si="69"/>
        <v>0</v>
      </c>
      <c r="I112" s="1139">
        <f t="shared" si="69"/>
        <v>0</v>
      </c>
      <c r="J112" s="1139">
        <f t="shared" si="69"/>
        <v>0</v>
      </c>
      <c r="K112" s="1139">
        <f t="shared" si="69"/>
        <v>0</v>
      </c>
      <c r="L112" s="1139">
        <f t="shared" si="69"/>
        <v>0</v>
      </c>
      <c r="M112" s="1139">
        <f t="shared" si="69"/>
        <v>0</v>
      </c>
      <c r="N112" s="1139">
        <f t="shared" si="69"/>
        <v>0</v>
      </c>
      <c r="O112" s="1139">
        <f t="shared" si="69"/>
        <v>0</v>
      </c>
      <c r="P112" s="1139">
        <f t="shared" si="69"/>
        <v>0</v>
      </c>
      <c r="Q112" s="1139">
        <f t="shared" si="69"/>
        <v>0</v>
      </c>
      <c r="R112" s="1139">
        <f t="shared" si="69"/>
        <v>0</v>
      </c>
      <c r="S112" s="1139">
        <f t="shared" si="69"/>
        <v>0</v>
      </c>
      <c r="T112" s="1139">
        <f t="shared" si="69"/>
        <v>0</v>
      </c>
      <c r="U112" s="1139">
        <f t="shared" si="69"/>
        <v>0</v>
      </c>
      <c r="V112" s="1139">
        <f t="shared" si="69"/>
        <v>0</v>
      </c>
      <c r="W112" s="1139">
        <f t="shared" si="69"/>
        <v>0</v>
      </c>
      <c r="X112" s="1139">
        <f t="shared" si="69"/>
        <v>0</v>
      </c>
      <c r="Y112" s="1139"/>
      <c r="Z112" s="12">
        <f t="shared" si="58"/>
        <v>0</v>
      </c>
      <c r="AA112" s="579">
        <f t="shared" si="59"/>
        <v>0</v>
      </c>
    </row>
    <row r="113" spans="1:27" ht="21.95" hidden="1" customHeight="1" x14ac:dyDescent="0.15">
      <c r="A113" s="2707"/>
      <c r="B113" s="2617"/>
      <c r="C113" s="2948"/>
      <c r="D113" s="544" t="s">
        <v>1488</v>
      </c>
      <c r="E113" s="1063"/>
      <c r="F113" s="1362"/>
      <c r="G113" s="1278"/>
      <c r="H113" s="1278"/>
      <c r="I113" s="1278"/>
      <c r="J113" s="1278"/>
      <c r="K113" s="1278"/>
      <c r="L113" s="1278"/>
      <c r="M113" s="1278"/>
      <c r="N113" s="1278"/>
      <c r="O113" s="1278"/>
      <c r="P113" s="1278"/>
      <c r="Q113" s="1278"/>
      <c r="R113" s="1278"/>
      <c r="S113" s="1278"/>
      <c r="T113" s="1278"/>
      <c r="U113" s="1278"/>
      <c r="V113" s="1278"/>
      <c r="W113" s="1278"/>
      <c r="X113" s="1278"/>
      <c r="Y113" s="1278"/>
      <c r="Z113" s="1277">
        <f t="shared" si="58"/>
        <v>0</v>
      </c>
      <c r="AA113" s="579">
        <f t="shared" si="59"/>
        <v>0</v>
      </c>
    </row>
    <row r="114" spans="1:27" ht="21.95" hidden="1" customHeight="1" x14ac:dyDescent="0.15">
      <c r="A114" s="2707"/>
      <c r="B114" s="2617"/>
      <c r="C114" s="2812" t="s">
        <v>1562</v>
      </c>
      <c r="D114" s="543" t="s">
        <v>60</v>
      </c>
      <c r="E114" s="1064"/>
      <c r="F114" s="1363"/>
      <c r="G114" s="1279"/>
      <c r="H114" s="1279"/>
      <c r="I114" s="1279"/>
      <c r="J114" s="1279"/>
      <c r="K114" s="1279"/>
      <c r="L114" s="1279"/>
      <c r="M114" s="1279"/>
      <c r="N114" s="1279"/>
      <c r="O114" s="1279"/>
      <c r="P114" s="1279"/>
      <c r="Q114" s="1279"/>
      <c r="R114" s="1279"/>
      <c r="S114" s="1279"/>
      <c r="T114" s="1279"/>
      <c r="U114" s="1279"/>
      <c r="V114" s="1279"/>
      <c r="W114" s="1279"/>
      <c r="X114" s="1279"/>
      <c r="Y114" s="1279"/>
      <c r="Z114" s="12">
        <f t="shared" si="58"/>
        <v>0</v>
      </c>
      <c r="AA114" s="579">
        <f t="shared" si="59"/>
        <v>0</v>
      </c>
    </row>
    <row r="115" spans="1:27" ht="21.95" hidden="1" customHeight="1" x14ac:dyDescent="0.15">
      <c r="A115" s="2707"/>
      <c r="B115" s="2617"/>
      <c r="C115" s="2759"/>
      <c r="D115" s="544" t="s">
        <v>29</v>
      </c>
      <c r="E115" s="1062"/>
      <c r="F115" s="1562">
        <v>6.26</v>
      </c>
      <c r="G115" s="1139"/>
      <c r="H115" s="1139"/>
      <c r="I115" s="1139"/>
      <c r="J115" s="1139"/>
      <c r="K115" s="1139"/>
      <c r="L115" s="1139"/>
      <c r="M115" s="1139"/>
      <c r="N115" s="1139"/>
      <c r="O115" s="1139"/>
      <c r="P115" s="1139"/>
      <c r="Q115" s="1139"/>
      <c r="R115" s="1139"/>
      <c r="S115" s="1139"/>
      <c r="T115" s="1139"/>
      <c r="U115" s="1139"/>
      <c r="V115" s="1139"/>
      <c r="W115" s="1139"/>
      <c r="X115" s="1139"/>
      <c r="Y115" s="1139"/>
      <c r="Z115" s="12">
        <f t="shared" si="58"/>
        <v>0</v>
      </c>
      <c r="AA115" s="579">
        <f t="shared" si="59"/>
        <v>0</v>
      </c>
    </row>
    <row r="116" spans="1:27" ht="21.95" hidden="1" customHeight="1" x14ac:dyDescent="0.15">
      <c r="A116" s="2707"/>
      <c r="B116" s="2617"/>
      <c r="C116" s="2759"/>
      <c r="D116" s="544" t="s">
        <v>3</v>
      </c>
      <c r="E116" s="1062"/>
      <c r="F116" s="1562">
        <v>7.5</v>
      </c>
      <c r="G116" s="1139">
        <f t="shared" ref="G116:X116" si="70">IF(G114=0,0,7.5)</f>
        <v>0</v>
      </c>
      <c r="H116" s="1139">
        <f t="shared" si="70"/>
        <v>0</v>
      </c>
      <c r="I116" s="1139">
        <f t="shared" si="70"/>
        <v>0</v>
      </c>
      <c r="J116" s="1139">
        <f t="shared" si="70"/>
        <v>0</v>
      </c>
      <c r="K116" s="1139">
        <f t="shared" si="70"/>
        <v>0</v>
      </c>
      <c r="L116" s="1139">
        <f t="shared" si="70"/>
        <v>0</v>
      </c>
      <c r="M116" s="1139">
        <f t="shared" si="70"/>
        <v>0</v>
      </c>
      <c r="N116" s="1139">
        <f t="shared" si="70"/>
        <v>0</v>
      </c>
      <c r="O116" s="1139">
        <f t="shared" si="70"/>
        <v>0</v>
      </c>
      <c r="P116" s="1139">
        <f t="shared" si="70"/>
        <v>0</v>
      </c>
      <c r="Q116" s="1139">
        <f t="shared" si="70"/>
        <v>0</v>
      </c>
      <c r="R116" s="1139">
        <f t="shared" si="70"/>
        <v>0</v>
      </c>
      <c r="S116" s="1139">
        <f t="shared" si="70"/>
        <v>0</v>
      </c>
      <c r="T116" s="1139">
        <f t="shared" si="70"/>
        <v>0</v>
      </c>
      <c r="U116" s="1139">
        <f t="shared" si="70"/>
        <v>0</v>
      </c>
      <c r="V116" s="1139">
        <f t="shared" si="70"/>
        <v>0</v>
      </c>
      <c r="W116" s="1139">
        <f t="shared" si="70"/>
        <v>0</v>
      </c>
      <c r="X116" s="1139">
        <f t="shared" si="70"/>
        <v>0</v>
      </c>
      <c r="Y116" s="1139"/>
      <c r="Z116" s="12">
        <f t="shared" si="58"/>
        <v>0</v>
      </c>
      <c r="AA116" s="579">
        <f t="shared" si="59"/>
        <v>0</v>
      </c>
    </row>
    <row r="117" spans="1:27" ht="21.95" hidden="1" customHeight="1" x14ac:dyDescent="0.15">
      <c r="A117" s="2707"/>
      <c r="B117" s="2617"/>
      <c r="C117" s="2759"/>
      <c r="D117" s="544" t="s">
        <v>1498</v>
      </c>
      <c r="E117" s="1062"/>
      <c r="F117" s="1562">
        <f>9*0.25</f>
        <v>2.25</v>
      </c>
      <c r="G117" s="1139">
        <f t="shared" ref="G117:X117" si="71">IF(G114=0,0,2.25)</f>
        <v>0</v>
      </c>
      <c r="H117" s="1139">
        <f t="shared" si="71"/>
        <v>0</v>
      </c>
      <c r="I117" s="1139">
        <f t="shared" si="71"/>
        <v>0</v>
      </c>
      <c r="J117" s="1139">
        <f t="shared" si="71"/>
        <v>0</v>
      </c>
      <c r="K117" s="1139">
        <f t="shared" si="71"/>
        <v>0</v>
      </c>
      <c r="L117" s="1139">
        <f t="shared" si="71"/>
        <v>0</v>
      </c>
      <c r="M117" s="1139">
        <f t="shared" si="71"/>
        <v>0</v>
      </c>
      <c r="N117" s="1139">
        <f t="shared" si="71"/>
        <v>0</v>
      </c>
      <c r="O117" s="1139">
        <f t="shared" si="71"/>
        <v>0</v>
      </c>
      <c r="P117" s="1139">
        <f t="shared" si="71"/>
        <v>0</v>
      </c>
      <c r="Q117" s="1139">
        <f t="shared" si="71"/>
        <v>0</v>
      </c>
      <c r="R117" s="1139">
        <f t="shared" si="71"/>
        <v>0</v>
      </c>
      <c r="S117" s="1139">
        <f t="shared" si="71"/>
        <v>0</v>
      </c>
      <c r="T117" s="1139">
        <f t="shared" si="71"/>
        <v>0</v>
      </c>
      <c r="U117" s="1139">
        <f t="shared" si="71"/>
        <v>0</v>
      </c>
      <c r="V117" s="1139">
        <f t="shared" si="71"/>
        <v>0</v>
      </c>
      <c r="W117" s="1139">
        <f t="shared" si="71"/>
        <v>0</v>
      </c>
      <c r="X117" s="1139">
        <f t="shared" si="71"/>
        <v>0</v>
      </c>
      <c r="Y117" s="1139"/>
      <c r="Z117" s="12">
        <f t="shared" si="58"/>
        <v>0</v>
      </c>
      <c r="AA117" s="579">
        <f t="shared" si="59"/>
        <v>0</v>
      </c>
    </row>
    <row r="118" spans="1:27" ht="21.95" hidden="1" customHeight="1" x14ac:dyDescent="0.15">
      <c r="A118" s="2707"/>
      <c r="B118" s="2617"/>
      <c r="C118" s="2759"/>
      <c r="D118" s="544" t="s">
        <v>1499</v>
      </c>
      <c r="E118" s="1062"/>
      <c r="F118" s="1562">
        <f>6*0.25</f>
        <v>1.5</v>
      </c>
      <c r="G118" s="1139">
        <f t="shared" ref="G118:X118" si="72">IF(G114=0,0,1.5)</f>
        <v>0</v>
      </c>
      <c r="H118" s="1139">
        <f t="shared" si="72"/>
        <v>0</v>
      </c>
      <c r="I118" s="1139">
        <f t="shared" si="72"/>
        <v>0</v>
      </c>
      <c r="J118" s="1139">
        <f t="shared" si="72"/>
        <v>0</v>
      </c>
      <c r="K118" s="1139">
        <f t="shared" si="72"/>
        <v>0</v>
      </c>
      <c r="L118" s="1139">
        <f t="shared" si="72"/>
        <v>0</v>
      </c>
      <c r="M118" s="1139">
        <f t="shared" si="72"/>
        <v>0</v>
      </c>
      <c r="N118" s="1139">
        <f t="shared" si="72"/>
        <v>0</v>
      </c>
      <c r="O118" s="1139">
        <f t="shared" si="72"/>
        <v>0</v>
      </c>
      <c r="P118" s="1139">
        <f t="shared" si="72"/>
        <v>0</v>
      </c>
      <c r="Q118" s="1139">
        <f t="shared" si="72"/>
        <v>0</v>
      </c>
      <c r="R118" s="1139">
        <f t="shared" si="72"/>
        <v>0</v>
      </c>
      <c r="S118" s="1139">
        <f t="shared" si="72"/>
        <v>0</v>
      </c>
      <c r="T118" s="1139">
        <f t="shared" si="72"/>
        <v>0</v>
      </c>
      <c r="U118" s="1139">
        <f t="shared" si="72"/>
        <v>0</v>
      </c>
      <c r="V118" s="1139">
        <f t="shared" si="72"/>
        <v>0</v>
      </c>
      <c r="W118" s="1139">
        <f t="shared" si="72"/>
        <v>0</v>
      </c>
      <c r="X118" s="1139">
        <f t="shared" si="72"/>
        <v>0</v>
      </c>
      <c r="Y118" s="1139"/>
      <c r="Z118" s="12">
        <f t="shared" si="58"/>
        <v>0</v>
      </c>
      <c r="AA118" s="579">
        <f t="shared" si="59"/>
        <v>0</v>
      </c>
    </row>
    <row r="119" spans="1:27" ht="21.95" hidden="1" customHeight="1" x14ac:dyDescent="0.15">
      <c r="A119" s="2707"/>
      <c r="B119" s="2617"/>
      <c r="C119" s="2759"/>
      <c r="D119" s="544" t="s">
        <v>1507</v>
      </c>
      <c r="E119" s="1062"/>
      <c r="F119" s="1562">
        <v>9</v>
      </c>
      <c r="G119" s="1139">
        <f t="shared" ref="G119:X119" si="73">IF(G114=0,0,9)</f>
        <v>0</v>
      </c>
      <c r="H119" s="1139">
        <f t="shared" si="73"/>
        <v>0</v>
      </c>
      <c r="I119" s="1139">
        <f t="shared" si="73"/>
        <v>0</v>
      </c>
      <c r="J119" s="1139">
        <f t="shared" si="73"/>
        <v>0</v>
      </c>
      <c r="K119" s="1139">
        <f t="shared" si="73"/>
        <v>0</v>
      </c>
      <c r="L119" s="1139">
        <f t="shared" si="73"/>
        <v>0</v>
      </c>
      <c r="M119" s="1139">
        <f t="shared" si="73"/>
        <v>0</v>
      </c>
      <c r="N119" s="1139">
        <f t="shared" si="73"/>
        <v>0</v>
      </c>
      <c r="O119" s="1139">
        <f t="shared" si="73"/>
        <v>0</v>
      </c>
      <c r="P119" s="1139">
        <f t="shared" si="73"/>
        <v>0</v>
      </c>
      <c r="Q119" s="1139">
        <f t="shared" si="73"/>
        <v>0</v>
      </c>
      <c r="R119" s="1139">
        <f t="shared" si="73"/>
        <v>0</v>
      </c>
      <c r="S119" s="1139">
        <f t="shared" si="73"/>
        <v>0</v>
      </c>
      <c r="T119" s="1139">
        <f t="shared" si="73"/>
        <v>0</v>
      </c>
      <c r="U119" s="1139">
        <f t="shared" si="73"/>
        <v>0</v>
      </c>
      <c r="V119" s="1139">
        <f t="shared" si="73"/>
        <v>0</v>
      </c>
      <c r="W119" s="1139">
        <f t="shared" si="73"/>
        <v>0</v>
      </c>
      <c r="X119" s="1139">
        <f t="shared" si="73"/>
        <v>0</v>
      </c>
      <c r="Y119" s="1139"/>
      <c r="Z119" s="12">
        <f t="shared" si="58"/>
        <v>0</v>
      </c>
      <c r="AA119" s="579">
        <f t="shared" si="59"/>
        <v>0</v>
      </c>
    </row>
    <row r="120" spans="1:27" ht="21.95" hidden="1" customHeight="1" x14ac:dyDescent="0.15">
      <c r="A120" s="2707"/>
      <c r="B120" s="2617"/>
      <c r="C120" s="2813"/>
      <c r="D120" s="544" t="s">
        <v>1488</v>
      </c>
      <c r="E120" s="1063"/>
      <c r="F120" s="1362"/>
      <c r="G120" s="1278"/>
      <c r="H120" s="1278"/>
      <c r="I120" s="1278"/>
      <c r="J120" s="1278"/>
      <c r="K120" s="1278"/>
      <c r="L120" s="1278"/>
      <c r="M120" s="1278"/>
      <c r="N120" s="1278"/>
      <c r="O120" s="1278"/>
      <c r="P120" s="1278"/>
      <c r="Q120" s="1278"/>
      <c r="R120" s="1278"/>
      <c r="S120" s="1278"/>
      <c r="T120" s="1278"/>
      <c r="U120" s="1278"/>
      <c r="V120" s="1278"/>
      <c r="W120" s="1278"/>
      <c r="X120" s="1278"/>
      <c r="Y120" s="1278"/>
      <c r="Z120" s="1277">
        <f t="shared" si="58"/>
        <v>0</v>
      </c>
      <c r="AA120" s="579">
        <f t="shared" si="59"/>
        <v>0</v>
      </c>
    </row>
    <row r="121" spans="1:27" ht="21.95" hidden="1" customHeight="1" x14ac:dyDescent="0.15">
      <c r="A121" s="2707"/>
      <c r="B121" s="2617"/>
      <c r="C121" s="2812" t="s">
        <v>1563</v>
      </c>
      <c r="D121" s="543" t="s">
        <v>60</v>
      </c>
      <c r="E121" s="1064"/>
      <c r="F121" s="1363"/>
      <c r="G121" s="1279"/>
      <c r="H121" s="1279"/>
      <c r="I121" s="1279"/>
      <c r="J121" s="1279"/>
      <c r="K121" s="1279"/>
      <c r="L121" s="1279"/>
      <c r="M121" s="1279"/>
      <c r="N121" s="1279"/>
      <c r="O121" s="1279"/>
      <c r="P121" s="1279"/>
      <c r="Q121" s="1279"/>
      <c r="R121" s="1279"/>
      <c r="S121" s="1279"/>
      <c r="T121" s="1279"/>
      <c r="U121" s="1279"/>
      <c r="V121" s="1279"/>
      <c r="W121" s="1279"/>
      <c r="X121" s="1279"/>
      <c r="Y121" s="1279"/>
      <c r="Z121" s="12">
        <f t="shared" si="58"/>
        <v>0</v>
      </c>
      <c r="AA121" s="579">
        <f t="shared" si="59"/>
        <v>0</v>
      </c>
    </row>
    <row r="122" spans="1:27" ht="21.95" hidden="1" customHeight="1" x14ac:dyDescent="0.15">
      <c r="A122" s="2707"/>
      <c r="B122" s="2617"/>
      <c r="C122" s="2759"/>
      <c r="D122" s="544" t="s">
        <v>29</v>
      </c>
      <c r="E122" s="1062"/>
      <c r="F122" s="1562">
        <v>3.57</v>
      </c>
      <c r="G122" s="1139">
        <f t="shared" ref="G122:X122" si="74">IF(G121=0,0,3.57)</f>
        <v>0</v>
      </c>
      <c r="H122" s="1139">
        <f t="shared" si="74"/>
        <v>0</v>
      </c>
      <c r="I122" s="1139">
        <f t="shared" si="74"/>
        <v>0</v>
      </c>
      <c r="J122" s="1139">
        <f t="shared" si="74"/>
        <v>0</v>
      </c>
      <c r="K122" s="1139">
        <f t="shared" si="74"/>
        <v>0</v>
      </c>
      <c r="L122" s="1139">
        <f t="shared" si="74"/>
        <v>0</v>
      </c>
      <c r="M122" s="1139">
        <f t="shared" si="74"/>
        <v>0</v>
      </c>
      <c r="N122" s="1139">
        <f t="shared" si="74"/>
        <v>0</v>
      </c>
      <c r="O122" s="1139">
        <f t="shared" si="74"/>
        <v>0</v>
      </c>
      <c r="P122" s="1139">
        <f t="shared" si="74"/>
        <v>0</v>
      </c>
      <c r="Q122" s="1139">
        <f t="shared" si="74"/>
        <v>0</v>
      </c>
      <c r="R122" s="1139">
        <f t="shared" si="74"/>
        <v>0</v>
      </c>
      <c r="S122" s="1139">
        <f t="shared" si="74"/>
        <v>0</v>
      </c>
      <c r="T122" s="1139">
        <f t="shared" si="74"/>
        <v>0</v>
      </c>
      <c r="U122" s="1139">
        <f t="shared" si="74"/>
        <v>0</v>
      </c>
      <c r="V122" s="1139">
        <f t="shared" si="74"/>
        <v>0</v>
      </c>
      <c r="W122" s="1139">
        <f t="shared" si="74"/>
        <v>0</v>
      </c>
      <c r="X122" s="1139">
        <f t="shared" si="74"/>
        <v>0</v>
      </c>
      <c r="Y122" s="1139"/>
      <c r="Z122" s="12">
        <f t="shared" si="58"/>
        <v>0</v>
      </c>
      <c r="AA122" s="579">
        <f t="shared" si="59"/>
        <v>0</v>
      </c>
    </row>
    <row r="123" spans="1:27" ht="21.95" hidden="1" customHeight="1" x14ac:dyDescent="0.15">
      <c r="A123" s="2707"/>
      <c r="B123" s="2617"/>
      <c r="C123" s="2759"/>
      <c r="D123" s="544" t="s">
        <v>3</v>
      </c>
      <c r="E123" s="1062"/>
      <c r="F123" s="1562">
        <v>3.25</v>
      </c>
      <c r="G123" s="1139">
        <f t="shared" ref="G123:X123" si="75">IF(G121=0,0,3.25)</f>
        <v>0</v>
      </c>
      <c r="H123" s="1139">
        <f t="shared" si="75"/>
        <v>0</v>
      </c>
      <c r="I123" s="1139">
        <f t="shared" si="75"/>
        <v>0</v>
      </c>
      <c r="J123" s="1139">
        <f t="shared" si="75"/>
        <v>0</v>
      </c>
      <c r="K123" s="1139">
        <f t="shared" si="75"/>
        <v>0</v>
      </c>
      <c r="L123" s="1139">
        <f t="shared" si="75"/>
        <v>0</v>
      </c>
      <c r="M123" s="1139">
        <f t="shared" si="75"/>
        <v>0</v>
      </c>
      <c r="N123" s="1139">
        <f t="shared" si="75"/>
        <v>0</v>
      </c>
      <c r="O123" s="1139">
        <f t="shared" si="75"/>
        <v>0</v>
      </c>
      <c r="P123" s="1139">
        <f t="shared" si="75"/>
        <v>0</v>
      </c>
      <c r="Q123" s="1139">
        <f t="shared" si="75"/>
        <v>0</v>
      </c>
      <c r="R123" s="1139">
        <f t="shared" si="75"/>
        <v>0</v>
      </c>
      <c r="S123" s="1139">
        <f t="shared" si="75"/>
        <v>0</v>
      </c>
      <c r="T123" s="1139">
        <f t="shared" si="75"/>
        <v>0</v>
      </c>
      <c r="U123" s="1139">
        <f t="shared" si="75"/>
        <v>0</v>
      </c>
      <c r="V123" s="1139">
        <f t="shared" si="75"/>
        <v>0</v>
      </c>
      <c r="W123" s="1139">
        <f t="shared" si="75"/>
        <v>0</v>
      </c>
      <c r="X123" s="1139">
        <f t="shared" si="75"/>
        <v>0</v>
      </c>
      <c r="Y123" s="1139"/>
      <c r="Z123" s="12">
        <f t="shared" si="58"/>
        <v>0</v>
      </c>
      <c r="AA123" s="579">
        <f t="shared" si="59"/>
        <v>0</v>
      </c>
    </row>
    <row r="124" spans="1:27" ht="21.95" hidden="1" customHeight="1" x14ac:dyDescent="0.15">
      <c r="A124" s="2707"/>
      <c r="B124" s="2617"/>
      <c r="C124" s="2759"/>
      <c r="D124" s="544" t="s">
        <v>1498</v>
      </c>
      <c r="E124" s="1062"/>
      <c r="F124" s="1562">
        <f>6*0.25</f>
        <v>1.5</v>
      </c>
      <c r="G124" s="1139">
        <f t="shared" ref="G124:X124" si="76">IF(G121=0,0,1.5)</f>
        <v>0</v>
      </c>
      <c r="H124" s="1139">
        <f t="shared" si="76"/>
        <v>0</v>
      </c>
      <c r="I124" s="1139">
        <f t="shared" si="76"/>
        <v>0</v>
      </c>
      <c r="J124" s="1139">
        <f t="shared" si="76"/>
        <v>0</v>
      </c>
      <c r="K124" s="1139">
        <f t="shared" si="76"/>
        <v>0</v>
      </c>
      <c r="L124" s="1139">
        <f t="shared" si="76"/>
        <v>0</v>
      </c>
      <c r="M124" s="1139">
        <f t="shared" si="76"/>
        <v>0</v>
      </c>
      <c r="N124" s="1139">
        <f t="shared" si="76"/>
        <v>0</v>
      </c>
      <c r="O124" s="1139">
        <f t="shared" si="76"/>
        <v>0</v>
      </c>
      <c r="P124" s="1139">
        <f t="shared" si="76"/>
        <v>0</v>
      </c>
      <c r="Q124" s="1139">
        <f t="shared" si="76"/>
        <v>0</v>
      </c>
      <c r="R124" s="1139">
        <f t="shared" si="76"/>
        <v>0</v>
      </c>
      <c r="S124" s="1139">
        <f t="shared" si="76"/>
        <v>0</v>
      </c>
      <c r="T124" s="1139">
        <f t="shared" si="76"/>
        <v>0</v>
      </c>
      <c r="U124" s="1139">
        <f t="shared" si="76"/>
        <v>0</v>
      </c>
      <c r="V124" s="1139">
        <f t="shared" si="76"/>
        <v>0</v>
      </c>
      <c r="W124" s="1139">
        <f t="shared" si="76"/>
        <v>0</v>
      </c>
      <c r="X124" s="1139">
        <f t="shared" si="76"/>
        <v>0</v>
      </c>
      <c r="Y124" s="1139"/>
      <c r="Z124" s="12">
        <f t="shared" si="58"/>
        <v>0</v>
      </c>
      <c r="AA124" s="579">
        <f t="shared" si="59"/>
        <v>0</v>
      </c>
    </row>
    <row r="125" spans="1:27" ht="21.95" hidden="1" customHeight="1" x14ac:dyDescent="0.15">
      <c r="A125" s="2707"/>
      <c r="B125" s="2617"/>
      <c r="C125" s="2759"/>
      <c r="D125" s="544" t="s">
        <v>1499</v>
      </c>
      <c r="E125" s="1062"/>
      <c r="F125" s="1562">
        <f>5*0.25</f>
        <v>1.25</v>
      </c>
      <c r="G125" s="1139">
        <f t="shared" ref="G125:X125" si="77">IF(G121=0,0,1.25)</f>
        <v>0</v>
      </c>
      <c r="H125" s="1139">
        <f t="shared" si="77"/>
        <v>0</v>
      </c>
      <c r="I125" s="1139">
        <f t="shared" si="77"/>
        <v>0</v>
      </c>
      <c r="J125" s="1139">
        <f t="shared" si="77"/>
        <v>0</v>
      </c>
      <c r="K125" s="1139">
        <f t="shared" si="77"/>
        <v>0</v>
      </c>
      <c r="L125" s="1139">
        <f t="shared" si="77"/>
        <v>0</v>
      </c>
      <c r="M125" s="1139">
        <f t="shared" si="77"/>
        <v>0</v>
      </c>
      <c r="N125" s="1139">
        <f t="shared" si="77"/>
        <v>0</v>
      </c>
      <c r="O125" s="1139">
        <f t="shared" si="77"/>
        <v>0</v>
      </c>
      <c r="P125" s="1139">
        <f t="shared" si="77"/>
        <v>0</v>
      </c>
      <c r="Q125" s="1139">
        <f t="shared" si="77"/>
        <v>0</v>
      </c>
      <c r="R125" s="1139">
        <f t="shared" si="77"/>
        <v>0</v>
      </c>
      <c r="S125" s="1139">
        <f t="shared" si="77"/>
        <v>0</v>
      </c>
      <c r="T125" s="1139">
        <f t="shared" si="77"/>
        <v>0</v>
      </c>
      <c r="U125" s="1139">
        <f t="shared" si="77"/>
        <v>0</v>
      </c>
      <c r="V125" s="1139">
        <f t="shared" si="77"/>
        <v>0</v>
      </c>
      <c r="W125" s="1139">
        <f t="shared" si="77"/>
        <v>0</v>
      </c>
      <c r="X125" s="1139">
        <f t="shared" si="77"/>
        <v>0</v>
      </c>
      <c r="Y125" s="1139"/>
      <c r="Z125" s="12">
        <f t="shared" si="58"/>
        <v>0</v>
      </c>
      <c r="AA125" s="579">
        <f t="shared" si="59"/>
        <v>0</v>
      </c>
    </row>
    <row r="126" spans="1:27" ht="21.95" hidden="1" customHeight="1" x14ac:dyDescent="0.15">
      <c r="A126" s="2707"/>
      <c r="B126" s="2617"/>
      <c r="C126" s="2759"/>
      <c r="D126" s="544" t="s">
        <v>1507</v>
      </c>
      <c r="E126" s="1062"/>
      <c r="F126" s="1562">
        <v>6.37</v>
      </c>
      <c r="G126" s="1139">
        <f t="shared" ref="G126:X126" si="78">IF(G121=0,0,6.37)</f>
        <v>0</v>
      </c>
      <c r="H126" s="1139">
        <f t="shared" si="78"/>
        <v>0</v>
      </c>
      <c r="I126" s="1139">
        <f t="shared" si="78"/>
        <v>0</v>
      </c>
      <c r="J126" s="1139">
        <f t="shared" si="78"/>
        <v>0</v>
      </c>
      <c r="K126" s="1139">
        <f t="shared" si="78"/>
        <v>0</v>
      </c>
      <c r="L126" s="1139">
        <f t="shared" si="78"/>
        <v>0</v>
      </c>
      <c r="M126" s="1139">
        <f t="shared" si="78"/>
        <v>0</v>
      </c>
      <c r="N126" s="1139">
        <f t="shared" si="78"/>
        <v>0</v>
      </c>
      <c r="O126" s="1139">
        <f t="shared" si="78"/>
        <v>0</v>
      </c>
      <c r="P126" s="1139">
        <f t="shared" si="78"/>
        <v>0</v>
      </c>
      <c r="Q126" s="1139">
        <f t="shared" si="78"/>
        <v>0</v>
      </c>
      <c r="R126" s="1139">
        <f t="shared" si="78"/>
        <v>0</v>
      </c>
      <c r="S126" s="1139">
        <f t="shared" si="78"/>
        <v>0</v>
      </c>
      <c r="T126" s="1139">
        <f t="shared" si="78"/>
        <v>0</v>
      </c>
      <c r="U126" s="1139">
        <f t="shared" si="78"/>
        <v>0</v>
      </c>
      <c r="V126" s="1139">
        <f t="shared" si="78"/>
        <v>0</v>
      </c>
      <c r="W126" s="1139">
        <f t="shared" si="78"/>
        <v>0</v>
      </c>
      <c r="X126" s="1139">
        <f t="shared" si="78"/>
        <v>0</v>
      </c>
      <c r="Y126" s="1139"/>
      <c r="Z126" s="12">
        <f t="shared" si="58"/>
        <v>0</v>
      </c>
      <c r="AA126" s="579">
        <f t="shared" si="59"/>
        <v>0</v>
      </c>
    </row>
    <row r="127" spans="1:27" ht="21.95" hidden="1" customHeight="1" x14ac:dyDescent="0.15">
      <c r="A127" s="2707"/>
      <c r="B127" s="2617"/>
      <c r="C127" s="2813"/>
      <c r="D127" s="544" t="s">
        <v>1488</v>
      </c>
      <c r="E127" s="1063"/>
      <c r="F127" s="1362"/>
      <c r="G127" s="1278"/>
      <c r="H127" s="1278"/>
      <c r="I127" s="1278"/>
      <c r="J127" s="1278"/>
      <c r="K127" s="1278"/>
      <c r="L127" s="1278"/>
      <c r="M127" s="1278"/>
      <c r="N127" s="1278"/>
      <c r="O127" s="1278"/>
      <c r="P127" s="1278"/>
      <c r="Q127" s="1278"/>
      <c r="R127" s="1278"/>
      <c r="S127" s="1278"/>
      <c r="T127" s="1278"/>
      <c r="U127" s="1278"/>
      <c r="V127" s="1278"/>
      <c r="W127" s="1278"/>
      <c r="X127" s="1278"/>
      <c r="Y127" s="1278"/>
      <c r="Z127" s="1277">
        <f t="shared" si="58"/>
        <v>0</v>
      </c>
      <c r="AA127" s="579">
        <f t="shared" si="59"/>
        <v>0</v>
      </c>
    </row>
    <row r="128" spans="1:27" ht="21.95" hidden="1" customHeight="1" x14ac:dyDescent="0.15">
      <c r="A128" s="2707"/>
      <c r="B128" s="2617"/>
      <c r="C128" s="2812" t="s">
        <v>1574</v>
      </c>
      <c r="D128" s="543" t="s">
        <v>60</v>
      </c>
      <c r="E128" s="1064"/>
      <c r="F128" s="1363"/>
      <c r="G128" s="1279"/>
      <c r="H128" s="1279"/>
      <c r="I128" s="1279"/>
      <c r="J128" s="1279"/>
      <c r="K128" s="1279"/>
      <c r="L128" s="1279"/>
      <c r="M128" s="1279"/>
      <c r="N128" s="1279"/>
      <c r="O128" s="1279"/>
      <c r="P128" s="1279"/>
      <c r="Q128" s="1279"/>
      <c r="R128" s="1279"/>
      <c r="S128" s="1279"/>
      <c r="T128" s="1279"/>
      <c r="U128" s="1279"/>
      <c r="V128" s="1279"/>
      <c r="W128" s="1279"/>
      <c r="X128" s="1279"/>
      <c r="Y128" s="1279"/>
      <c r="Z128" s="12">
        <f t="shared" si="58"/>
        <v>0</v>
      </c>
      <c r="AA128" s="579">
        <f t="shared" si="59"/>
        <v>0</v>
      </c>
    </row>
    <row r="129" spans="1:54" ht="21.95" hidden="1" customHeight="1" x14ac:dyDescent="0.15">
      <c r="A129" s="2707"/>
      <c r="B129" s="2617"/>
      <c r="C129" s="2759"/>
      <c r="D129" s="544" t="s">
        <v>58</v>
      </c>
      <c r="E129" s="1062"/>
      <c r="F129" s="1345"/>
      <c r="G129" s="1202"/>
      <c r="H129" s="1202"/>
      <c r="I129" s="1202"/>
      <c r="J129" s="1202"/>
      <c r="K129" s="1202"/>
      <c r="L129" s="1202"/>
      <c r="M129" s="1202"/>
      <c r="N129" s="1202"/>
      <c r="O129" s="1202"/>
      <c r="P129" s="1202"/>
      <c r="Q129" s="1202"/>
      <c r="R129" s="1202"/>
      <c r="S129" s="1202"/>
      <c r="T129" s="1202"/>
      <c r="U129" s="1202"/>
      <c r="V129" s="1202"/>
      <c r="W129" s="1202"/>
      <c r="X129" s="1202"/>
      <c r="Y129" s="1202"/>
      <c r="Z129" s="12"/>
      <c r="AA129" s="579">
        <f t="shared" si="59"/>
        <v>0</v>
      </c>
    </row>
    <row r="130" spans="1:54" ht="21.95" hidden="1" customHeight="1" x14ac:dyDescent="0.15">
      <c r="A130" s="2707"/>
      <c r="B130" s="2617"/>
      <c r="C130" s="2759"/>
      <c r="D130" s="544" t="s">
        <v>3</v>
      </c>
      <c r="E130" s="1062"/>
      <c r="F130" s="1345"/>
      <c r="G130" s="1202"/>
      <c r="H130" s="1202"/>
      <c r="I130" s="1202"/>
      <c r="J130" s="1202"/>
      <c r="K130" s="1202"/>
      <c r="L130" s="1202"/>
      <c r="M130" s="1202"/>
      <c r="N130" s="1202"/>
      <c r="O130" s="1202"/>
      <c r="P130" s="1202"/>
      <c r="Q130" s="1202"/>
      <c r="R130" s="1202"/>
      <c r="S130" s="1202"/>
      <c r="T130" s="1202"/>
      <c r="U130" s="1202"/>
      <c r="V130" s="1202"/>
      <c r="W130" s="1202"/>
      <c r="X130" s="1202"/>
      <c r="Y130" s="1202"/>
      <c r="Z130" s="12">
        <f t="shared" ref="Z130:Z136" si="79">TRUNC(SUM(G130:Y130),2)</f>
        <v>0</v>
      </c>
      <c r="AA130" s="579">
        <f t="shared" si="59"/>
        <v>0</v>
      </c>
    </row>
    <row r="131" spans="1:54" ht="21.95" hidden="1" customHeight="1" x14ac:dyDescent="0.15">
      <c r="A131" s="2707"/>
      <c r="B131" s="2617"/>
      <c r="C131" s="2759"/>
      <c r="D131" s="544" t="s">
        <v>29</v>
      </c>
      <c r="E131" s="1062"/>
      <c r="F131" s="1345"/>
      <c r="G131" s="1139">
        <f t="shared" ref="G131:X131" si="80">G130*G129*G128</f>
        <v>0</v>
      </c>
      <c r="H131" s="1139">
        <f t="shared" si="80"/>
        <v>0</v>
      </c>
      <c r="I131" s="1139">
        <f t="shared" si="80"/>
        <v>0</v>
      </c>
      <c r="J131" s="1139">
        <f t="shared" si="80"/>
        <v>0</v>
      </c>
      <c r="K131" s="1139">
        <f t="shared" si="80"/>
        <v>0</v>
      </c>
      <c r="L131" s="1139">
        <f t="shared" si="80"/>
        <v>0</v>
      </c>
      <c r="M131" s="1139">
        <f t="shared" si="80"/>
        <v>0</v>
      </c>
      <c r="N131" s="1139">
        <f t="shared" si="80"/>
        <v>0</v>
      </c>
      <c r="O131" s="1139">
        <f t="shared" si="80"/>
        <v>0</v>
      </c>
      <c r="P131" s="1139">
        <f t="shared" si="80"/>
        <v>0</v>
      </c>
      <c r="Q131" s="1139">
        <f t="shared" si="80"/>
        <v>0</v>
      </c>
      <c r="R131" s="1139">
        <f t="shared" si="80"/>
        <v>0</v>
      </c>
      <c r="S131" s="1139">
        <f t="shared" si="80"/>
        <v>0</v>
      </c>
      <c r="T131" s="1139">
        <f t="shared" si="80"/>
        <v>0</v>
      </c>
      <c r="U131" s="1139">
        <f t="shared" si="80"/>
        <v>0</v>
      </c>
      <c r="V131" s="1139">
        <f t="shared" si="80"/>
        <v>0</v>
      </c>
      <c r="W131" s="1139">
        <f t="shared" si="80"/>
        <v>0</v>
      </c>
      <c r="X131" s="1139">
        <f t="shared" si="80"/>
        <v>0</v>
      </c>
      <c r="Y131" s="1139"/>
      <c r="Z131" s="12">
        <f t="shared" si="79"/>
        <v>0</v>
      </c>
      <c r="AA131" s="579">
        <f t="shared" ref="AA131:AA143" si="81">SUM(G131:Z131)</f>
        <v>0</v>
      </c>
    </row>
    <row r="132" spans="1:54" ht="21.95" hidden="1" customHeight="1" x14ac:dyDescent="0.15">
      <c r="A132" s="2707"/>
      <c r="B132" s="2617"/>
      <c r="C132" s="2759"/>
      <c r="D132" s="544" t="s">
        <v>1498</v>
      </c>
      <c r="E132" s="1062"/>
      <c r="F132" s="1345"/>
      <c r="G132" s="1202"/>
      <c r="H132" s="1202"/>
      <c r="I132" s="1202"/>
      <c r="J132" s="1202"/>
      <c r="K132" s="1202"/>
      <c r="L132" s="1202"/>
      <c r="M132" s="1202"/>
      <c r="N132" s="1202"/>
      <c r="O132" s="1202"/>
      <c r="P132" s="1202"/>
      <c r="Q132" s="1202"/>
      <c r="R132" s="1202"/>
      <c r="S132" s="1202"/>
      <c r="T132" s="1202"/>
      <c r="U132" s="1202"/>
      <c r="V132" s="1202"/>
      <c r="W132" s="1202"/>
      <c r="X132" s="1202"/>
      <c r="Y132" s="1202"/>
      <c r="Z132" s="12">
        <f t="shared" si="79"/>
        <v>0</v>
      </c>
      <c r="AA132" s="579">
        <f t="shared" si="81"/>
        <v>0</v>
      </c>
    </row>
    <row r="133" spans="1:54" ht="21.95" hidden="1" customHeight="1" x14ac:dyDescent="0.15">
      <c r="A133" s="2707"/>
      <c r="B133" s="2617"/>
      <c r="C133" s="2759"/>
      <c r="D133" s="544" t="s">
        <v>1499</v>
      </c>
      <c r="E133" s="1062"/>
      <c r="F133" s="1345"/>
      <c r="G133" s="1202"/>
      <c r="H133" s="1202"/>
      <c r="I133" s="1202"/>
      <c r="J133" s="1202"/>
      <c r="K133" s="1202"/>
      <c r="L133" s="1202"/>
      <c r="M133" s="1202"/>
      <c r="N133" s="1202"/>
      <c r="O133" s="1202"/>
      <c r="P133" s="1202"/>
      <c r="Q133" s="1202"/>
      <c r="R133" s="1202"/>
      <c r="S133" s="1202"/>
      <c r="T133" s="1202"/>
      <c r="U133" s="1202"/>
      <c r="V133" s="1202"/>
      <c r="W133" s="1202"/>
      <c r="X133" s="1202"/>
      <c r="Y133" s="1202"/>
      <c r="Z133" s="12">
        <f t="shared" si="79"/>
        <v>0</v>
      </c>
      <c r="AA133" s="579">
        <f t="shared" si="81"/>
        <v>0</v>
      </c>
    </row>
    <row r="134" spans="1:54" ht="21.95" hidden="1" customHeight="1" x14ac:dyDescent="0.15">
      <c r="A134" s="2707"/>
      <c r="B134" s="2617"/>
      <c r="C134" s="2759"/>
      <c r="D134" s="544" t="s">
        <v>1507</v>
      </c>
      <c r="E134" s="1062"/>
      <c r="F134" s="1345"/>
      <c r="G134" s="1202"/>
      <c r="H134" s="1202"/>
      <c r="I134" s="1202"/>
      <c r="J134" s="1202"/>
      <c r="K134" s="1202"/>
      <c r="L134" s="1202"/>
      <c r="M134" s="1202"/>
      <c r="N134" s="1202"/>
      <c r="O134" s="1202"/>
      <c r="P134" s="1202"/>
      <c r="Q134" s="1202"/>
      <c r="R134" s="1202"/>
      <c r="S134" s="1202"/>
      <c r="T134" s="1202"/>
      <c r="U134" s="1202"/>
      <c r="V134" s="1202"/>
      <c r="W134" s="1202"/>
      <c r="X134" s="1202"/>
      <c r="Y134" s="1202"/>
      <c r="Z134" s="12">
        <f t="shared" si="79"/>
        <v>0</v>
      </c>
      <c r="AA134" s="579">
        <f t="shared" si="81"/>
        <v>0</v>
      </c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</row>
    <row r="135" spans="1:54" ht="21.95" hidden="1" customHeight="1" x14ac:dyDescent="0.15">
      <c r="A135" s="2707"/>
      <c r="B135" s="2617"/>
      <c r="C135" s="2813"/>
      <c r="D135" s="544" t="s">
        <v>1488</v>
      </c>
      <c r="E135" s="1063"/>
      <c r="F135" s="1362"/>
      <c r="G135" s="1278"/>
      <c r="H135" s="1278"/>
      <c r="I135" s="1278"/>
      <c r="J135" s="1278"/>
      <c r="K135" s="1278"/>
      <c r="L135" s="1278"/>
      <c r="M135" s="1278"/>
      <c r="N135" s="1278"/>
      <c r="O135" s="1278"/>
      <c r="P135" s="1278"/>
      <c r="Q135" s="1278"/>
      <c r="R135" s="1278"/>
      <c r="S135" s="1278"/>
      <c r="T135" s="1278"/>
      <c r="U135" s="1278"/>
      <c r="V135" s="1278"/>
      <c r="W135" s="1278"/>
      <c r="X135" s="1278"/>
      <c r="Y135" s="1278"/>
      <c r="Z135" s="1277">
        <f t="shared" si="79"/>
        <v>0</v>
      </c>
      <c r="AA135" s="579">
        <f t="shared" si="81"/>
        <v>0</v>
      </c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</row>
    <row r="136" spans="1:54" ht="21.95" hidden="1" customHeight="1" x14ac:dyDescent="0.15">
      <c r="A136" s="2707"/>
      <c r="B136" s="2617"/>
      <c r="C136" s="2759" t="s">
        <v>1491</v>
      </c>
      <c r="D136" s="544" t="s">
        <v>60</v>
      </c>
      <c r="E136" s="1062"/>
      <c r="F136" s="1345"/>
      <c r="G136" s="426"/>
      <c r="H136" s="426"/>
      <c r="I136" s="426"/>
      <c r="J136" s="426"/>
      <c r="K136" s="426"/>
      <c r="L136" s="426"/>
      <c r="M136" s="426"/>
      <c r="N136" s="426"/>
      <c r="O136" s="426"/>
      <c r="P136" s="426"/>
      <c r="Q136" s="426"/>
      <c r="R136" s="426"/>
      <c r="S136" s="426"/>
      <c r="T136" s="426"/>
      <c r="U136" s="426"/>
      <c r="V136" s="426"/>
      <c r="W136" s="426"/>
      <c r="X136" s="426"/>
      <c r="Y136" s="426"/>
      <c r="Z136" s="12">
        <f t="shared" si="79"/>
        <v>0</v>
      </c>
      <c r="AA136" s="579">
        <f t="shared" si="81"/>
        <v>0</v>
      </c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</row>
    <row r="137" spans="1:54" ht="21.95" hidden="1" customHeight="1" x14ac:dyDescent="0.15">
      <c r="A137" s="2707"/>
      <c r="B137" s="2617"/>
      <c r="C137" s="2759"/>
      <c r="D137" s="544" t="s">
        <v>58</v>
      </c>
      <c r="E137" s="1062"/>
      <c r="F137" s="1345"/>
      <c r="G137" s="1202"/>
      <c r="H137" s="1202"/>
      <c r="I137" s="1202"/>
      <c r="J137" s="1202"/>
      <c r="K137" s="1202"/>
      <c r="L137" s="1202"/>
      <c r="M137" s="1202"/>
      <c r="N137" s="1202"/>
      <c r="O137" s="1202"/>
      <c r="P137" s="1202"/>
      <c r="Q137" s="1202"/>
      <c r="R137" s="1202"/>
      <c r="S137" s="1202"/>
      <c r="T137" s="1202"/>
      <c r="U137" s="1202"/>
      <c r="V137" s="1202"/>
      <c r="W137" s="1202"/>
      <c r="X137" s="1202"/>
      <c r="Y137" s="1202"/>
      <c r="Z137" s="12"/>
      <c r="AA137" s="579">
        <f t="shared" si="81"/>
        <v>0</v>
      </c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</row>
    <row r="138" spans="1:54" ht="21.95" hidden="1" customHeight="1" x14ac:dyDescent="0.15">
      <c r="A138" s="2707"/>
      <c r="B138" s="2617"/>
      <c r="C138" s="2759"/>
      <c r="D138" s="544" t="s">
        <v>3</v>
      </c>
      <c r="E138" s="1062"/>
      <c r="F138" s="1345"/>
      <c r="G138" s="1202"/>
      <c r="H138" s="1202"/>
      <c r="I138" s="1202"/>
      <c r="J138" s="1202"/>
      <c r="K138" s="1202"/>
      <c r="L138" s="1202"/>
      <c r="M138" s="1202"/>
      <c r="N138" s="1202"/>
      <c r="O138" s="1202"/>
      <c r="P138" s="1202"/>
      <c r="Q138" s="1202"/>
      <c r="R138" s="1202"/>
      <c r="S138" s="1202"/>
      <c r="T138" s="1202"/>
      <c r="U138" s="1202"/>
      <c r="V138" s="1202"/>
      <c r="W138" s="1202"/>
      <c r="X138" s="1202"/>
      <c r="Y138" s="1202"/>
      <c r="Z138" s="12">
        <f t="shared" ref="Z138:Z153" si="82">TRUNC(SUM(G138:Y138),2)</f>
        <v>0</v>
      </c>
      <c r="AA138" s="579">
        <f t="shared" si="81"/>
        <v>0</v>
      </c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</row>
    <row r="139" spans="1:54" ht="21.95" hidden="1" customHeight="1" x14ac:dyDescent="0.15">
      <c r="A139" s="2707"/>
      <c r="B139" s="2617"/>
      <c r="C139" s="2759"/>
      <c r="D139" s="544" t="s">
        <v>29</v>
      </c>
      <c r="E139" s="1062"/>
      <c r="F139" s="1345"/>
      <c r="G139" s="1139">
        <f t="shared" ref="G139:X139" si="83">G138*G137*G136</f>
        <v>0</v>
      </c>
      <c r="H139" s="1139">
        <f t="shared" si="83"/>
        <v>0</v>
      </c>
      <c r="I139" s="1139">
        <f t="shared" si="83"/>
        <v>0</v>
      </c>
      <c r="J139" s="1139">
        <f t="shared" si="83"/>
        <v>0</v>
      </c>
      <c r="K139" s="1139">
        <f t="shared" si="83"/>
        <v>0</v>
      </c>
      <c r="L139" s="1139">
        <f t="shared" si="83"/>
        <v>0</v>
      </c>
      <c r="M139" s="1139">
        <f t="shared" si="83"/>
        <v>0</v>
      </c>
      <c r="N139" s="1139">
        <f t="shared" si="83"/>
        <v>0</v>
      </c>
      <c r="O139" s="1139">
        <f t="shared" si="83"/>
        <v>0</v>
      </c>
      <c r="P139" s="1139">
        <f t="shared" si="83"/>
        <v>0</v>
      </c>
      <c r="Q139" s="1139">
        <f t="shared" si="83"/>
        <v>0</v>
      </c>
      <c r="R139" s="1139">
        <f t="shared" si="83"/>
        <v>0</v>
      </c>
      <c r="S139" s="1139">
        <f t="shared" si="83"/>
        <v>0</v>
      </c>
      <c r="T139" s="1139">
        <f t="shared" si="83"/>
        <v>0</v>
      </c>
      <c r="U139" s="1139">
        <f t="shared" si="83"/>
        <v>0</v>
      </c>
      <c r="V139" s="1139">
        <f t="shared" si="83"/>
        <v>0</v>
      </c>
      <c r="W139" s="1139">
        <f t="shared" si="83"/>
        <v>0</v>
      </c>
      <c r="X139" s="1139">
        <f t="shared" si="83"/>
        <v>0</v>
      </c>
      <c r="Y139" s="1139"/>
      <c r="Z139" s="12">
        <f t="shared" si="82"/>
        <v>0</v>
      </c>
      <c r="AA139" s="579">
        <f t="shared" si="81"/>
        <v>0</v>
      </c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</row>
    <row r="140" spans="1:54" ht="21.95" hidden="1" customHeight="1" x14ac:dyDescent="0.15">
      <c r="A140" s="2707"/>
      <c r="B140" s="2617"/>
      <c r="C140" s="2759"/>
      <c r="D140" s="544" t="s">
        <v>1498</v>
      </c>
      <c r="E140" s="1062"/>
      <c r="F140" s="1345"/>
      <c r="G140" s="1139">
        <f t="shared" ref="G140:X140" si="84">G138</f>
        <v>0</v>
      </c>
      <c r="H140" s="1139">
        <f t="shared" si="84"/>
        <v>0</v>
      </c>
      <c r="I140" s="1139">
        <f t="shared" si="84"/>
        <v>0</v>
      </c>
      <c r="J140" s="1139">
        <f t="shared" si="84"/>
        <v>0</v>
      </c>
      <c r="K140" s="1139">
        <f t="shared" si="84"/>
        <v>0</v>
      </c>
      <c r="L140" s="1139">
        <f t="shared" si="84"/>
        <v>0</v>
      </c>
      <c r="M140" s="1139">
        <f t="shared" si="84"/>
        <v>0</v>
      </c>
      <c r="N140" s="1139">
        <f t="shared" si="84"/>
        <v>0</v>
      </c>
      <c r="O140" s="1139">
        <f t="shared" si="84"/>
        <v>0</v>
      </c>
      <c r="P140" s="1139">
        <f t="shared" si="84"/>
        <v>0</v>
      </c>
      <c r="Q140" s="1139">
        <f t="shared" si="84"/>
        <v>0</v>
      </c>
      <c r="R140" s="1139">
        <f t="shared" si="84"/>
        <v>0</v>
      </c>
      <c r="S140" s="1139">
        <f t="shared" si="84"/>
        <v>0</v>
      </c>
      <c r="T140" s="1139">
        <f t="shared" si="84"/>
        <v>0</v>
      </c>
      <c r="U140" s="1139">
        <f t="shared" si="84"/>
        <v>0</v>
      </c>
      <c r="V140" s="1139">
        <f t="shared" si="84"/>
        <v>0</v>
      </c>
      <c r="W140" s="1139">
        <f t="shared" si="84"/>
        <v>0</v>
      </c>
      <c r="X140" s="1139">
        <f t="shared" si="84"/>
        <v>0</v>
      </c>
      <c r="Y140" s="1139"/>
      <c r="Z140" s="12">
        <f t="shared" si="82"/>
        <v>0</v>
      </c>
      <c r="AA140" s="579">
        <f t="shared" si="81"/>
        <v>0</v>
      </c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</row>
    <row r="141" spans="1:54" ht="21.95" hidden="1" customHeight="1" x14ac:dyDescent="0.15">
      <c r="A141" s="2707"/>
      <c r="B141" s="2617"/>
      <c r="C141" s="2759"/>
      <c r="D141" s="544" t="s">
        <v>1507</v>
      </c>
      <c r="E141" s="1062"/>
      <c r="F141" s="1345"/>
      <c r="G141" s="1139">
        <f t="shared" ref="G141:X141" si="85">G142*G137*2</f>
        <v>0</v>
      </c>
      <c r="H141" s="1139">
        <f t="shared" si="85"/>
        <v>0</v>
      </c>
      <c r="I141" s="1139">
        <f t="shared" si="85"/>
        <v>0</v>
      </c>
      <c r="J141" s="1139">
        <f t="shared" si="85"/>
        <v>0</v>
      </c>
      <c r="K141" s="1139">
        <f t="shared" si="85"/>
        <v>0</v>
      </c>
      <c r="L141" s="1139">
        <f t="shared" si="85"/>
        <v>0</v>
      </c>
      <c r="M141" s="1139">
        <f t="shared" si="85"/>
        <v>0</v>
      </c>
      <c r="N141" s="1139">
        <f t="shared" si="85"/>
        <v>0</v>
      </c>
      <c r="O141" s="1139">
        <f t="shared" si="85"/>
        <v>0</v>
      </c>
      <c r="P141" s="1139">
        <f t="shared" si="85"/>
        <v>0</v>
      </c>
      <c r="Q141" s="1139">
        <f t="shared" si="85"/>
        <v>0</v>
      </c>
      <c r="R141" s="1139">
        <f t="shared" si="85"/>
        <v>0</v>
      </c>
      <c r="S141" s="1139">
        <f t="shared" si="85"/>
        <v>0</v>
      </c>
      <c r="T141" s="1139">
        <f t="shared" si="85"/>
        <v>0</v>
      </c>
      <c r="U141" s="1139">
        <f t="shared" si="85"/>
        <v>0</v>
      </c>
      <c r="V141" s="1139">
        <f t="shared" si="85"/>
        <v>0</v>
      </c>
      <c r="W141" s="1139">
        <f t="shared" si="85"/>
        <v>0</v>
      </c>
      <c r="X141" s="1139">
        <f t="shared" si="85"/>
        <v>0</v>
      </c>
      <c r="Y141" s="1139"/>
      <c r="Z141" s="12">
        <f t="shared" si="82"/>
        <v>0</v>
      </c>
      <c r="AA141" s="579">
        <f t="shared" si="81"/>
        <v>0</v>
      </c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</row>
    <row r="142" spans="1:54" ht="21.95" hidden="1" customHeight="1" thickBot="1" x14ac:dyDescent="0.2">
      <c r="A142" s="2707"/>
      <c r="B142" s="2618"/>
      <c r="C142" s="2758"/>
      <c r="D142" s="1071" t="s">
        <v>1488</v>
      </c>
      <c r="E142" s="983"/>
      <c r="F142" s="1270"/>
      <c r="G142" s="674"/>
      <c r="H142" s="674"/>
      <c r="I142" s="674"/>
      <c r="J142" s="674"/>
      <c r="K142" s="674"/>
      <c r="L142" s="674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4"/>
      <c r="Y142" s="674"/>
      <c r="Z142" s="429">
        <f t="shared" si="82"/>
        <v>0</v>
      </c>
      <c r="AA142" s="579">
        <f t="shared" si="81"/>
        <v>0</v>
      </c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</row>
    <row r="143" spans="1:54" ht="21.95" hidden="1" customHeight="1" thickBot="1" x14ac:dyDescent="0.2">
      <c r="A143" s="2707"/>
      <c r="B143" s="2822" t="s">
        <v>1554</v>
      </c>
      <c r="C143" s="2947"/>
      <c r="D143" s="2907"/>
      <c r="E143" s="1232"/>
      <c r="F143" s="553"/>
      <c r="G143" s="243">
        <f t="shared" ref="G143:X143" si="86">G41+G48+G55+G62+G83+G91</f>
        <v>0</v>
      </c>
      <c r="H143" s="243">
        <f t="shared" si="86"/>
        <v>0</v>
      </c>
      <c r="I143" s="243">
        <f t="shared" si="86"/>
        <v>0</v>
      </c>
      <c r="J143" s="243">
        <f t="shared" si="86"/>
        <v>0</v>
      </c>
      <c r="K143" s="243">
        <f t="shared" si="86"/>
        <v>0</v>
      </c>
      <c r="L143" s="243">
        <f t="shared" si="86"/>
        <v>0</v>
      </c>
      <c r="M143" s="243">
        <f t="shared" si="86"/>
        <v>0</v>
      </c>
      <c r="N143" s="243">
        <f t="shared" si="86"/>
        <v>0</v>
      </c>
      <c r="O143" s="243">
        <f t="shared" si="86"/>
        <v>0</v>
      </c>
      <c r="P143" s="243">
        <f t="shared" si="86"/>
        <v>0</v>
      </c>
      <c r="Q143" s="243">
        <f t="shared" si="86"/>
        <v>0</v>
      </c>
      <c r="R143" s="243">
        <f t="shared" si="86"/>
        <v>0</v>
      </c>
      <c r="S143" s="243">
        <f t="shared" si="86"/>
        <v>0</v>
      </c>
      <c r="T143" s="243">
        <f t="shared" si="86"/>
        <v>0</v>
      </c>
      <c r="U143" s="243">
        <f t="shared" si="86"/>
        <v>0</v>
      </c>
      <c r="V143" s="243">
        <f t="shared" si="86"/>
        <v>0</v>
      </c>
      <c r="W143" s="243">
        <f t="shared" si="86"/>
        <v>0</v>
      </c>
      <c r="X143" s="243">
        <f t="shared" si="86"/>
        <v>0</v>
      </c>
      <c r="Y143" s="243"/>
      <c r="Z143" s="1285">
        <f t="shared" si="82"/>
        <v>0</v>
      </c>
      <c r="AA143" s="579">
        <f t="shared" si="81"/>
        <v>0</v>
      </c>
      <c r="AI143" s="1306"/>
      <c r="AJ143" s="1316"/>
      <c r="AQ143" s="1306"/>
      <c r="AR143" s="1316"/>
      <c r="AV143" s="1306"/>
    </row>
    <row r="144" spans="1:54" ht="21.95" customHeight="1" x14ac:dyDescent="0.15">
      <c r="A144" s="2707"/>
      <c r="B144" s="2616" t="s">
        <v>1512</v>
      </c>
      <c r="C144" s="2952" t="s">
        <v>1497</v>
      </c>
      <c r="D144" s="2938"/>
      <c r="E144" s="1062"/>
      <c r="F144" s="1345"/>
      <c r="G144" s="2087"/>
      <c r="H144" s="2087"/>
      <c r="I144" s="2087"/>
      <c r="J144" s="2087"/>
      <c r="K144" s="2087"/>
      <c r="L144" s="2087"/>
      <c r="M144" s="2087"/>
      <c r="N144" s="2087"/>
      <c r="O144" s="2087"/>
      <c r="P144" s="2087"/>
      <c r="Q144" s="2087"/>
      <c r="R144" s="2087"/>
      <c r="S144" s="2087"/>
      <c r="T144" s="2087"/>
      <c r="U144" s="2087"/>
      <c r="V144" s="2087"/>
      <c r="W144" s="2087"/>
      <c r="X144" s="2087"/>
      <c r="Y144" s="2087"/>
      <c r="Z144" s="430">
        <f t="shared" si="82"/>
        <v>0</v>
      </c>
      <c r="AA144" s="1017">
        <f>SUM(G144:Z144)+Z145</f>
        <v>702</v>
      </c>
      <c r="AI144" s="47"/>
      <c r="AJ144" s="1290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</row>
    <row r="145" spans="1:54" ht="21.95" customHeight="1" thickBot="1" x14ac:dyDescent="0.2">
      <c r="A145" s="2707"/>
      <c r="B145" s="2618"/>
      <c r="C145" s="2827" t="s">
        <v>1500</v>
      </c>
      <c r="D145" s="2828"/>
      <c r="E145" s="983"/>
      <c r="F145" s="1270"/>
      <c r="G145" s="2086">
        <v>15.6</v>
      </c>
      <c r="H145" s="2086">
        <v>15.6</v>
      </c>
      <c r="I145" s="2086">
        <v>31.2</v>
      </c>
      <c r="J145" s="2086">
        <v>31.2</v>
      </c>
      <c r="K145" s="2086">
        <f>11.7+11.7</f>
        <v>23.4</v>
      </c>
      <c r="L145" s="2086">
        <f>15.6+15.6</f>
        <v>31.2</v>
      </c>
      <c r="M145" s="2086">
        <f>3.9+3.9</f>
        <v>7.8</v>
      </c>
      <c r="N145" s="2086">
        <f>11.7+11.7</f>
        <v>23.4</v>
      </c>
      <c r="O145" s="2086">
        <f>15.6+15.6</f>
        <v>31.2</v>
      </c>
      <c r="P145" s="2086">
        <f>11.7+11.7</f>
        <v>23.4</v>
      </c>
      <c r="Q145" s="2086">
        <f>35.1+35.1</f>
        <v>70.2</v>
      </c>
      <c r="R145" s="2086">
        <f>27.3+27.3</f>
        <v>54.6</v>
      </c>
      <c r="S145" s="2086">
        <f>31.2+31.2</f>
        <v>62.4</v>
      </c>
      <c r="T145" s="2086">
        <f>23.4+23.4</f>
        <v>46.8</v>
      </c>
      <c r="U145" s="2086">
        <f>27.3+27.3</f>
        <v>54.6</v>
      </c>
      <c r="V145" s="2086">
        <f>23.4+23.4</f>
        <v>46.8</v>
      </c>
      <c r="W145" s="2086">
        <f>19.5+19.5</f>
        <v>39</v>
      </c>
      <c r="X145" s="2086">
        <f>46.8+46.8</f>
        <v>93.6</v>
      </c>
      <c r="Y145" s="2086"/>
      <c r="Z145" s="429">
        <f t="shared" si="82"/>
        <v>702</v>
      </c>
      <c r="AA145" s="1017">
        <f>SUM(G145:Z145)+Z146</f>
        <v>1404</v>
      </c>
      <c r="AB145" s="5">
        <v>23.4</v>
      </c>
      <c r="AC145" s="5">
        <v>23.4</v>
      </c>
      <c r="AD145" s="5">
        <v>23.4</v>
      </c>
      <c r="AE145" s="5">
        <v>23.4</v>
      </c>
      <c r="AF145" s="5">
        <v>23.4</v>
      </c>
      <c r="AG145" s="5">
        <v>23.4</v>
      </c>
      <c r="AH145" s="5">
        <v>23.4</v>
      </c>
      <c r="AI145" s="47">
        <v>23.4</v>
      </c>
      <c r="AJ145" s="47">
        <v>23.4</v>
      </c>
      <c r="AK145" s="47">
        <v>23.4</v>
      </c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</row>
    <row r="146" spans="1:54" ht="21.95" hidden="1" customHeight="1" x14ac:dyDescent="0.15">
      <c r="A146" s="2707"/>
      <c r="B146" s="2616" t="s">
        <v>2447</v>
      </c>
      <c r="C146" s="1348" t="s">
        <v>1580</v>
      </c>
      <c r="D146" s="544" t="s">
        <v>1497</v>
      </c>
      <c r="E146" s="1364"/>
      <c r="F146" s="1365"/>
      <c r="G146" s="1220">
        <f t="shared" ref="G146:X146" si="87">G8+G11</f>
        <v>0</v>
      </c>
      <c r="H146" s="1220">
        <f t="shared" si="87"/>
        <v>0</v>
      </c>
      <c r="I146" s="1220">
        <f t="shared" si="87"/>
        <v>0</v>
      </c>
      <c r="J146" s="1220">
        <f t="shared" si="87"/>
        <v>0</v>
      </c>
      <c r="K146" s="1220">
        <f t="shared" si="87"/>
        <v>0</v>
      </c>
      <c r="L146" s="1220">
        <f t="shared" si="87"/>
        <v>0</v>
      </c>
      <c r="M146" s="1220">
        <f t="shared" si="87"/>
        <v>0</v>
      </c>
      <c r="N146" s="1220">
        <f t="shared" si="87"/>
        <v>0</v>
      </c>
      <c r="O146" s="1220">
        <f t="shared" si="87"/>
        <v>0</v>
      </c>
      <c r="P146" s="1220">
        <f t="shared" si="87"/>
        <v>0</v>
      </c>
      <c r="Q146" s="1220">
        <f t="shared" si="87"/>
        <v>0</v>
      </c>
      <c r="R146" s="1220">
        <f t="shared" si="87"/>
        <v>0</v>
      </c>
      <c r="S146" s="1220">
        <f t="shared" si="87"/>
        <v>0</v>
      </c>
      <c r="T146" s="1220">
        <f t="shared" si="87"/>
        <v>0</v>
      </c>
      <c r="U146" s="1220">
        <f t="shared" si="87"/>
        <v>0</v>
      </c>
      <c r="V146" s="1220">
        <f t="shared" si="87"/>
        <v>0</v>
      </c>
      <c r="W146" s="1220">
        <f t="shared" si="87"/>
        <v>0</v>
      </c>
      <c r="X146" s="1220">
        <f t="shared" si="87"/>
        <v>0</v>
      </c>
      <c r="Y146" s="1220"/>
      <c r="Z146" s="1283">
        <f t="shared" si="82"/>
        <v>0</v>
      </c>
      <c r="AA146" s="579">
        <f t="shared" ref="AA146:AA177" si="88">SUM(G146:Z146)</f>
        <v>0</v>
      </c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</row>
    <row r="147" spans="1:54" ht="21.95" hidden="1" customHeight="1" x14ac:dyDescent="0.15">
      <c r="A147" s="2707"/>
      <c r="B147" s="2617"/>
      <c r="C147" s="1349" t="s">
        <v>1484</v>
      </c>
      <c r="D147" s="543" t="s">
        <v>1500</v>
      </c>
      <c r="E147" s="1366"/>
      <c r="F147" s="1367"/>
      <c r="G147" s="1139">
        <f t="shared" ref="G147:X147" si="89">G12*G15+G16*G19</f>
        <v>0</v>
      </c>
      <c r="H147" s="1139">
        <f t="shared" si="89"/>
        <v>0</v>
      </c>
      <c r="I147" s="1139">
        <f t="shared" si="89"/>
        <v>0</v>
      </c>
      <c r="J147" s="1139">
        <f t="shared" si="89"/>
        <v>0</v>
      </c>
      <c r="K147" s="1139">
        <f t="shared" si="89"/>
        <v>0</v>
      </c>
      <c r="L147" s="1139">
        <f t="shared" si="89"/>
        <v>0</v>
      </c>
      <c r="M147" s="1139">
        <f t="shared" si="89"/>
        <v>0</v>
      </c>
      <c r="N147" s="1139">
        <f t="shared" si="89"/>
        <v>0</v>
      </c>
      <c r="O147" s="1139">
        <f t="shared" si="89"/>
        <v>0</v>
      </c>
      <c r="P147" s="1139">
        <f t="shared" si="89"/>
        <v>0</v>
      </c>
      <c r="Q147" s="1139">
        <f t="shared" si="89"/>
        <v>0</v>
      </c>
      <c r="R147" s="1139">
        <f t="shared" si="89"/>
        <v>0</v>
      </c>
      <c r="S147" s="1139">
        <f t="shared" si="89"/>
        <v>0</v>
      </c>
      <c r="T147" s="1139">
        <f t="shared" si="89"/>
        <v>0</v>
      </c>
      <c r="U147" s="1139">
        <f t="shared" si="89"/>
        <v>0</v>
      </c>
      <c r="V147" s="1139">
        <f t="shared" si="89"/>
        <v>0</v>
      </c>
      <c r="W147" s="1139">
        <f t="shared" si="89"/>
        <v>0</v>
      </c>
      <c r="X147" s="1139">
        <f t="shared" si="89"/>
        <v>0</v>
      </c>
      <c r="Y147" s="1139"/>
      <c r="Z147" s="12">
        <f t="shared" si="82"/>
        <v>0</v>
      </c>
      <c r="AA147" s="579">
        <f t="shared" si="88"/>
        <v>0</v>
      </c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</row>
    <row r="148" spans="1:54" ht="21.95" hidden="1" customHeight="1" x14ac:dyDescent="0.15">
      <c r="A148" s="2707"/>
      <c r="B148" s="2617"/>
      <c r="C148" s="2812" t="s">
        <v>1490</v>
      </c>
      <c r="D148" s="543" t="s">
        <v>1497</v>
      </c>
      <c r="E148" s="1366"/>
      <c r="F148" s="1367"/>
      <c r="G148" s="1139">
        <f t="shared" ref="G148:X148" si="90">G64*G67+G71*G74+G85*G88+G93*G96+G100*G103+G107*G110+G114*G117+G121*G124+G128*G132+G136*G140</f>
        <v>0</v>
      </c>
      <c r="H148" s="1139">
        <f t="shared" si="90"/>
        <v>0</v>
      </c>
      <c r="I148" s="1139">
        <f t="shared" si="90"/>
        <v>0</v>
      </c>
      <c r="J148" s="1139">
        <f t="shared" si="90"/>
        <v>0</v>
      </c>
      <c r="K148" s="1139">
        <f t="shared" si="90"/>
        <v>0</v>
      </c>
      <c r="L148" s="1139">
        <f t="shared" si="90"/>
        <v>0</v>
      </c>
      <c r="M148" s="1139">
        <f t="shared" si="90"/>
        <v>0</v>
      </c>
      <c r="N148" s="1139">
        <f t="shared" si="90"/>
        <v>0</v>
      </c>
      <c r="O148" s="1139">
        <f t="shared" si="90"/>
        <v>0</v>
      </c>
      <c r="P148" s="1139">
        <f t="shared" si="90"/>
        <v>0</v>
      </c>
      <c r="Q148" s="1139">
        <f t="shared" si="90"/>
        <v>0</v>
      </c>
      <c r="R148" s="1139">
        <f t="shared" si="90"/>
        <v>0</v>
      </c>
      <c r="S148" s="1139">
        <f t="shared" si="90"/>
        <v>0</v>
      </c>
      <c r="T148" s="1139">
        <f t="shared" si="90"/>
        <v>0</v>
      </c>
      <c r="U148" s="1139">
        <f t="shared" si="90"/>
        <v>0</v>
      </c>
      <c r="V148" s="1139">
        <f t="shared" si="90"/>
        <v>0</v>
      </c>
      <c r="W148" s="1139">
        <f t="shared" si="90"/>
        <v>0</v>
      </c>
      <c r="X148" s="1139">
        <f t="shared" si="90"/>
        <v>0</v>
      </c>
      <c r="Y148" s="1139"/>
      <c r="Z148" s="12">
        <f t="shared" si="82"/>
        <v>0</v>
      </c>
      <c r="AA148" s="579">
        <f t="shared" si="88"/>
        <v>0</v>
      </c>
    </row>
    <row r="149" spans="1:54" ht="21.95" hidden="1" customHeight="1" x14ac:dyDescent="0.15">
      <c r="A149" s="2707"/>
      <c r="B149" s="2617"/>
      <c r="C149" s="2813"/>
      <c r="D149" s="543" t="s">
        <v>1500</v>
      </c>
      <c r="E149" s="1368"/>
      <c r="F149" s="1369"/>
      <c r="G149" s="1207">
        <f t="shared" ref="G149:X149" si="91">G36*G39+G43*G46+G50*G53+G57*G60+G64*G68+G71*G75+G78*G81+G85*G89+G93*G97+G100*G104+G107*G111+G114*G118+G121*G125+G128*G133</f>
        <v>0</v>
      </c>
      <c r="H149" s="1207">
        <f t="shared" si="91"/>
        <v>0</v>
      </c>
      <c r="I149" s="1207">
        <f t="shared" si="91"/>
        <v>0</v>
      </c>
      <c r="J149" s="1207">
        <f t="shared" si="91"/>
        <v>0</v>
      </c>
      <c r="K149" s="1207">
        <f t="shared" si="91"/>
        <v>0</v>
      </c>
      <c r="L149" s="1207">
        <f t="shared" si="91"/>
        <v>0</v>
      </c>
      <c r="M149" s="1207">
        <f t="shared" si="91"/>
        <v>0</v>
      </c>
      <c r="N149" s="1207">
        <f t="shared" si="91"/>
        <v>0</v>
      </c>
      <c r="O149" s="1207">
        <f t="shared" si="91"/>
        <v>0</v>
      </c>
      <c r="P149" s="1207">
        <f t="shared" si="91"/>
        <v>0</v>
      </c>
      <c r="Q149" s="1207">
        <f t="shared" si="91"/>
        <v>0</v>
      </c>
      <c r="R149" s="1207">
        <f t="shared" si="91"/>
        <v>0</v>
      </c>
      <c r="S149" s="1207">
        <f t="shared" si="91"/>
        <v>0</v>
      </c>
      <c r="T149" s="1207">
        <f t="shared" si="91"/>
        <v>0</v>
      </c>
      <c r="U149" s="1207">
        <f t="shared" si="91"/>
        <v>0</v>
      </c>
      <c r="V149" s="1207">
        <f t="shared" si="91"/>
        <v>0</v>
      </c>
      <c r="W149" s="1207">
        <f t="shared" si="91"/>
        <v>0</v>
      </c>
      <c r="X149" s="1207">
        <f t="shared" si="91"/>
        <v>0</v>
      </c>
      <c r="Y149" s="1207"/>
      <c r="Z149" s="1277">
        <f t="shared" si="82"/>
        <v>0</v>
      </c>
      <c r="AA149" s="579">
        <f t="shared" si="88"/>
        <v>0</v>
      </c>
      <c r="AB149" s="2716" t="s">
        <v>1196</v>
      </c>
      <c r="AC149" s="2717"/>
      <c r="AD149" s="2717"/>
      <c r="AE149" s="2717"/>
      <c r="AF149" s="2717"/>
      <c r="AG149" s="2717"/>
      <c r="AH149" s="2717"/>
      <c r="AI149" s="2965"/>
      <c r="AJ149" s="2966" t="s">
        <v>1197</v>
      </c>
      <c r="AK149" s="2717"/>
      <c r="AL149" s="2717"/>
      <c r="AM149" s="2717"/>
      <c r="AN149" s="2717"/>
      <c r="AO149" s="2717"/>
      <c r="AP149" s="2717"/>
      <c r="AQ149" s="2965"/>
      <c r="AR149" s="2966" t="s">
        <v>1198</v>
      </c>
      <c r="AS149" s="2717"/>
      <c r="AT149" s="2717"/>
      <c r="AU149" s="2717"/>
      <c r="AV149" s="2965"/>
      <c r="AW149" s="2961" t="s">
        <v>1199</v>
      </c>
      <c r="AX149" s="2962"/>
      <c r="AY149" s="2714" t="s">
        <v>1200</v>
      </c>
      <c r="AZ149" s="2716" t="s">
        <v>1186</v>
      </c>
      <c r="BA149" s="2718"/>
      <c r="BB149" s="2963" t="s">
        <v>1550</v>
      </c>
    </row>
    <row r="150" spans="1:54" ht="21.95" hidden="1" customHeight="1" x14ac:dyDescent="0.15">
      <c r="A150" s="2707"/>
      <c r="B150" s="2617"/>
      <c r="C150" s="1349" t="s">
        <v>1502</v>
      </c>
      <c r="D150" s="543" t="s">
        <v>1497</v>
      </c>
      <c r="E150" s="1370"/>
      <c r="F150" s="1371"/>
      <c r="G150" s="1997">
        <f t="shared" ref="G150:X150" si="92">G136*G140</f>
        <v>0</v>
      </c>
      <c r="H150" s="1997">
        <f t="shared" si="92"/>
        <v>0</v>
      </c>
      <c r="I150" s="1997">
        <f t="shared" si="92"/>
        <v>0</v>
      </c>
      <c r="J150" s="1997">
        <f t="shared" si="92"/>
        <v>0</v>
      </c>
      <c r="K150" s="1997">
        <f t="shared" si="92"/>
        <v>0</v>
      </c>
      <c r="L150" s="1997">
        <f t="shared" si="92"/>
        <v>0</v>
      </c>
      <c r="M150" s="1997">
        <f t="shared" si="92"/>
        <v>0</v>
      </c>
      <c r="N150" s="1997">
        <f t="shared" si="92"/>
        <v>0</v>
      </c>
      <c r="O150" s="1997">
        <f t="shared" si="92"/>
        <v>0</v>
      </c>
      <c r="P150" s="1997">
        <f t="shared" si="92"/>
        <v>0</v>
      </c>
      <c r="Q150" s="1997">
        <f t="shared" si="92"/>
        <v>0</v>
      </c>
      <c r="R150" s="1997">
        <f t="shared" si="92"/>
        <v>0</v>
      </c>
      <c r="S150" s="1997">
        <f t="shared" si="92"/>
        <v>0</v>
      </c>
      <c r="T150" s="1997">
        <f t="shared" si="92"/>
        <v>0</v>
      </c>
      <c r="U150" s="1997">
        <f t="shared" si="92"/>
        <v>0</v>
      </c>
      <c r="V150" s="1997">
        <f t="shared" si="92"/>
        <v>0</v>
      </c>
      <c r="W150" s="1997">
        <f t="shared" si="92"/>
        <v>0</v>
      </c>
      <c r="X150" s="1997">
        <f t="shared" si="92"/>
        <v>0</v>
      </c>
      <c r="Y150" s="1997"/>
      <c r="Z150" s="1284">
        <f t="shared" si="82"/>
        <v>0</v>
      </c>
      <c r="AA150" s="579">
        <f t="shared" si="88"/>
        <v>0</v>
      </c>
      <c r="AB150" s="1024" t="s">
        <v>1182</v>
      </c>
      <c r="AC150" s="1024" t="s">
        <v>1183</v>
      </c>
      <c r="AD150" s="1024" t="s">
        <v>1867</v>
      </c>
      <c r="AE150" s="1024" t="s">
        <v>904</v>
      </c>
      <c r="AF150" s="1024" t="s">
        <v>1190</v>
      </c>
      <c r="AG150" s="1024" t="s">
        <v>1189</v>
      </c>
      <c r="AH150" s="1024" t="s">
        <v>1549</v>
      </c>
      <c r="AI150" s="1309" t="s">
        <v>1187</v>
      </c>
      <c r="AJ150" s="1312" t="s">
        <v>1182</v>
      </c>
      <c r="AK150" s="1024" t="s">
        <v>1183</v>
      </c>
      <c r="AL150" s="1024" t="s">
        <v>1867</v>
      </c>
      <c r="AM150" s="1024" t="s">
        <v>1544</v>
      </c>
      <c r="AN150" s="1024" t="s">
        <v>1190</v>
      </c>
      <c r="AO150" s="1024" t="s">
        <v>1189</v>
      </c>
      <c r="AP150" s="1024" t="s">
        <v>1549</v>
      </c>
      <c r="AQ150" s="1309" t="s">
        <v>1187</v>
      </c>
      <c r="AR150" s="1312" t="s">
        <v>1182</v>
      </c>
      <c r="AS150" s="1024" t="s">
        <v>1183</v>
      </c>
      <c r="AT150" s="1024" t="s">
        <v>1867</v>
      </c>
      <c r="AU150" s="1024" t="s">
        <v>1545</v>
      </c>
      <c r="AV150" s="1309" t="s">
        <v>641</v>
      </c>
      <c r="AW150" s="1321" t="s">
        <v>1481</v>
      </c>
      <c r="AX150" s="1291" t="s">
        <v>1546</v>
      </c>
      <c r="AY150" s="2715"/>
      <c r="AZ150" s="1033" t="s">
        <v>1538</v>
      </c>
      <c r="BA150" s="1033" t="s">
        <v>1201</v>
      </c>
      <c r="BB150" s="2964"/>
    </row>
    <row r="151" spans="1:54" ht="21.95" hidden="1" customHeight="1" x14ac:dyDescent="0.15">
      <c r="A151" s="2707"/>
      <c r="B151" s="2617"/>
      <c r="C151" s="2812" t="s">
        <v>1511</v>
      </c>
      <c r="D151" s="543" t="s">
        <v>1497</v>
      </c>
      <c r="E151" s="1366"/>
      <c r="F151" s="1367"/>
      <c r="G151" s="1139">
        <f t="shared" ref="G151:X151" si="93">G144</f>
        <v>0</v>
      </c>
      <c r="H151" s="1139">
        <f t="shared" si="93"/>
        <v>0</v>
      </c>
      <c r="I151" s="1139">
        <f t="shared" si="93"/>
        <v>0</v>
      </c>
      <c r="J151" s="1139">
        <f t="shared" si="93"/>
        <v>0</v>
      </c>
      <c r="K151" s="1139">
        <f t="shared" si="93"/>
        <v>0</v>
      </c>
      <c r="L151" s="1139">
        <f t="shared" si="93"/>
        <v>0</v>
      </c>
      <c r="M151" s="1139">
        <f t="shared" si="93"/>
        <v>0</v>
      </c>
      <c r="N151" s="1139">
        <f t="shared" si="93"/>
        <v>0</v>
      </c>
      <c r="O151" s="1139">
        <f t="shared" si="93"/>
        <v>0</v>
      </c>
      <c r="P151" s="1139">
        <f t="shared" si="93"/>
        <v>0</v>
      </c>
      <c r="Q151" s="1139">
        <f t="shared" si="93"/>
        <v>0</v>
      </c>
      <c r="R151" s="1139">
        <f t="shared" si="93"/>
        <v>0</v>
      </c>
      <c r="S151" s="1139">
        <f t="shared" si="93"/>
        <v>0</v>
      </c>
      <c r="T151" s="1139">
        <f t="shared" si="93"/>
        <v>0</v>
      </c>
      <c r="U151" s="1139">
        <f t="shared" si="93"/>
        <v>0</v>
      </c>
      <c r="V151" s="1139">
        <f t="shared" si="93"/>
        <v>0</v>
      </c>
      <c r="W151" s="1139">
        <f t="shared" si="93"/>
        <v>0</v>
      </c>
      <c r="X151" s="1139">
        <f t="shared" si="93"/>
        <v>0</v>
      </c>
      <c r="Y151" s="1139"/>
      <c r="Z151" s="12">
        <f t="shared" si="82"/>
        <v>0</v>
      </c>
      <c r="AA151" s="579">
        <f t="shared" si="88"/>
        <v>0</v>
      </c>
      <c r="AB151" s="1025">
        <v>94963</v>
      </c>
      <c r="AC151" s="1025">
        <v>94964</v>
      </c>
      <c r="AD151" s="1025">
        <v>34495</v>
      </c>
      <c r="AE151" s="1025"/>
      <c r="AF151" s="1025">
        <v>87298</v>
      </c>
      <c r="AG151" s="1025">
        <v>88631</v>
      </c>
      <c r="AH151" s="1025">
        <v>87335</v>
      </c>
      <c r="AI151" s="1310">
        <v>87878</v>
      </c>
      <c r="AJ151" s="1313">
        <v>94963</v>
      </c>
      <c r="AK151" s="1025">
        <v>94964</v>
      </c>
      <c r="AL151" s="1025">
        <v>34495</v>
      </c>
      <c r="AM151" s="1025"/>
      <c r="AN151" s="1025">
        <v>87298</v>
      </c>
      <c r="AO151" s="1025">
        <v>88631</v>
      </c>
      <c r="AP151" s="1025">
        <v>87335</v>
      </c>
      <c r="AQ151" s="1310">
        <v>87878</v>
      </c>
      <c r="AR151" s="1313">
        <v>94963</v>
      </c>
      <c r="AS151" s="1025">
        <v>94964</v>
      </c>
      <c r="AT151" s="1025">
        <v>34495</v>
      </c>
      <c r="AU151" s="1025"/>
      <c r="AV151" s="1310">
        <v>100324</v>
      </c>
      <c r="AW151" s="1308">
        <v>7156</v>
      </c>
      <c r="AX151" s="1291">
        <v>43059</v>
      </c>
      <c r="AY151" s="2715"/>
      <c r="AZ151" s="1025"/>
      <c r="BA151" s="1025">
        <v>92411</v>
      </c>
      <c r="BB151" s="1025">
        <v>1106</v>
      </c>
    </row>
    <row r="152" spans="1:54" ht="21.95" customHeight="1" x14ac:dyDescent="0.15">
      <c r="A152" s="2707"/>
      <c r="B152" s="2617"/>
      <c r="C152" s="2813"/>
      <c r="D152" s="543" t="s">
        <v>1500</v>
      </c>
      <c r="E152" s="1368"/>
      <c r="F152" s="1369"/>
      <c r="G152" s="1207">
        <f t="shared" ref="G152:X152" si="94">G145</f>
        <v>15.6</v>
      </c>
      <c r="H152" s="1207">
        <f t="shared" si="94"/>
        <v>15.6</v>
      </c>
      <c r="I152" s="1207">
        <f t="shared" si="94"/>
        <v>31.2</v>
      </c>
      <c r="J152" s="1207">
        <f t="shared" si="94"/>
        <v>31.2</v>
      </c>
      <c r="K152" s="1207">
        <f t="shared" si="94"/>
        <v>23.4</v>
      </c>
      <c r="L152" s="1207">
        <f t="shared" si="94"/>
        <v>31.2</v>
      </c>
      <c r="M152" s="1207">
        <f t="shared" si="94"/>
        <v>7.8</v>
      </c>
      <c r="N152" s="1207">
        <f t="shared" si="94"/>
        <v>23.4</v>
      </c>
      <c r="O152" s="1207">
        <f t="shared" si="94"/>
        <v>31.2</v>
      </c>
      <c r="P152" s="1207">
        <f t="shared" si="94"/>
        <v>23.4</v>
      </c>
      <c r="Q152" s="1207">
        <f t="shared" si="94"/>
        <v>70.2</v>
      </c>
      <c r="R152" s="1207">
        <f t="shared" si="94"/>
        <v>54.6</v>
      </c>
      <c r="S152" s="1207">
        <f t="shared" si="94"/>
        <v>62.4</v>
      </c>
      <c r="T152" s="1207">
        <f t="shared" si="94"/>
        <v>46.8</v>
      </c>
      <c r="U152" s="1207">
        <f t="shared" si="94"/>
        <v>54.6</v>
      </c>
      <c r="V152" s="1207">
        <f t="shared" si="94"/>
        <v>46.8</v>
      </c>
      <c r="W152" s="1207">
        <f t="shared" si="94"/>
        <v>39</v>
      </c>
      <c r="X152" s="1207">
        <f t="shared" si="94"/>
        <v>93.6</v>
      </c>
      <c r="Y152" s="1207"/>
      <c r="Z152" s="1277">
        <f t="shared" si="82"/>
        <v>702</v>
      </c>
      <c r="AA152" s="579">
        <f t="shared" si="88"/>
        <v>1404</v>
      </c>
      <c r="AB152" s="1026">
        <v>273.06</v>
      </c>
      <c r="AC152" s="1026">
        <v>322.98</v>
      </c>
      <c r="AD152" s="1026">
        <v>425.84</v>
      </c>
      <c r="AE152" s="1026">
        <v>1</v>
      </c>
      <c r="AF152" s="1026">
        <v>573.61</v>
      </c>
      <c r="AG152" s="1026">
        <v>362.66</v>
      </c>
      <c r="AH152" s="1026">
        <v>362.66</v>
      </c>
      <c r="AI152" s="1311">
        <v>422.63</v>
      </c>
      <c r="AJ152" s="1314">
        <v>0.80500000000000005</v>
      </c>
      <c r="AK152" s="1027">
        <v>0.75580000000000003</v>
      </c>
      <c r="AL152" s="1026">
        <v>0.58099999999999996</v>
      </c>
      <c r="AM152" s="1027">
        <v>1</v>
      </c>
      <c r="AN152" s="1026">
        <v>1.27</v>
      </c>
      <c r="AO152" s="1026">
        <v>1.1499999999999999</v>
      </c>
      <c r="AP152" s="1026">
        <v>362.66</v>
      </c>
      <c r="AQ152" s="1311">
        <v>0.94</v>
      </c>
      <c r="AR152" s="1314">
        <v>0.57899999999999996</v>
      </c>
      <c r="AS152" s="1027">
        <v>0.58699999999999997</v>
      </c>
      <c r="AT152" s="1026">
        <v>0.66800000000000004</v>
      </c>
      <c r="AU152" s="1027">
        <v>1</v>
      </c>
      <c r="AV152" s="1325">
        <v>1.1299999999999999</v>
      </c>
      <c r="AW152" s="1319">
        <v>3.11</v>
      </c>
      <c r="AX152" s="1026">
        <v>1</v>
      </c>
      <c r="AY152" s="1037">
        <f>2.5/1000</f>
        <v>2.5000000000000001E-3</v>
      </c>
      <c r="AZ152" s="1289">
        <v>1</v>
      </c>
      <c r="BA152" s="1036">
        <v>7.1000000000000004E-3</v>
      </c>
      <c r="BB152" s="1289">
        <v>1</v>
      </c>
    </row>
    <row r="153" spans="1:54" ht="21.95" customHeight="1" x14ac:dyDescent="0.15">
      <c r="A153" s="2707"/>
      <c r="B153" s="2617"/>
      <c r="C153" s="2812" t="s">
        <v>2059</v>
      </c>
      <c r="D153" s="544" t="s">
        <v>3</v>
      </c>
      <c r="E153" s="1366"/>
      <c r="F153" s="1367"/>
      <c r="G153" s="1139">
        <f t="shared" ref="G153:X153" si="95">SUM(G156:G157)</f>
        <v>15.6</v>
      </c>
      <c r="H153" s="1139">
        <f t="shared" si="95"/>
        <v>15.6</v>
      </c>
      <c r="I153" s="1139">
        <f t="shared" si="95"/>
        <v>31.2</v>
      </c>
      <c r="J153" s="1139">
        <f t="shared" si="95"/>
        <v>31.2</v>
      </c>
      <c r="K153" s="1139">
        <f t="shared" si="95"/>
        <v>23.4</v>
      </c>
      <c r="L153" s="1139">
        <f t="shared" si="95"/>
        <v>31.2</v>
      </c>
      <c r="M153" s="1139">
        <f t="shared" si="95"/>
        <v>7.8</v>
      </c>
      <c r="N153" s="1139">
        <f t="shared" si="95"/>
        <v>23.4</v>
      </c>
      <c r="O153" s="1139">
        <f t="shared" si="95"/>
        <v>31.2</v>
      </c>
      <c r="P153" s="1139">
        <f t="shared" si="95"/>
        <v>23.4</v>
      </c>
      <c r="Q153" s="1139">
        <f t="shared" si="95"/>
        <v>70.2</v>
      </c>
      <c r="R153" s="1139">
        <f t="shared" si="95"/>
        <v>54.6</v>
      </c>
      <c r="S153" s="1139">
        <f t="shared" si="95"/>
        <v>62.4</v>
      </c>
      <c r="T153" s="1139">
        <f t="shared" si="95"/>
        <v>46.8</v>
      </c>
      <c r="U153" s="1139">
        <f t="shared" si="95"/>
        <v>54.6</v>
      </c>
      <c r="V153" s="1139">
        <f t="shared" si="95"/>
        <v>46.8</v>
      </c>
      <c r="W153" s="1139">
        <f t="shared" si="95"/>
        <v>39</v>
      </c>
      <c r="X153" s="1139">
        <f t="shared" si="95"/>
        <v>93.6</v>
      </c>
      <c r="Y153" s="1139"/>
      <c r="Z153" s="12">
        <f t="shared" si="82"/>
        <v>702</v>
      </c>
      <c r="AA153" s="579">
        <f t="shared" si="88"/>
        <v>1404</v>
      </c>
      <c r="AB153" s="1786"/>
      <c r="AC153" s="1786"/>
      <c r="AD153" s="1786"/>
      <c r="AE153" s="1786"/>
      <c r="AF153" s="1786"/>
      <c r="AG153" s="1786"/>
      <c r="AH153" s="1786"/>
      <c r="AI153" s="1787"/>
      <c r="AJ153" s="1788"/>
      <c r="AK153" s="1789"/>
      <c r="AL153" s="1786"/>
      <c r="AM153" s="1789"/>
      <c r="AN153" s="1786"/>
      <c r="AO153" s="1786"/>
      <c r="AP153" s="1786"/>
      <c r="AQ153" s="1787"/>
      <c r="AR153" s="1788"/>
      <c r="AS153" s="1789"/>
      <c r="AT153" s="1786"/>
      <c r="AU153" s="1789"/>
      <c r="AV153" s="1790"/>
      <c r="AW153" s="1791"/>
      <c r="AX153" s="1786"/>
      <c r="AY153" s="1792"/>
      <c r="AZ153" s="1793"/>
      <c r="BA153" s="1794"/>
      <c r="BB153" s="1793"/>
    </row>
    <row r="154" spans="1:54" ht="21.95" customHeight="1" x14ac:dyDescent="0.15">
      <c r="A154" s="2707"/>
      <c r="B154" s="2617"/>
      <c r="C154" s="2759"/>
      <c r="D154" s="543" t="s">
        <v>1280</v>
      </c>
      <c r="E154" s="1366"/>
      <c r="F154" s="1367"/>
      <c r="G154" s="1281">
        <v>3</v>
      </c>
      <c r="H154" s="1281">
        <v>3</v>
      </c>
      <c r="I154" s="1281">
        <v>3</v>
      </c>
      <c r="J154" s="1281">
        <v>3</v>
      </c>
      <c r="K154" s="1281">
        <v>3</v>
      </c>
      <c r="L154" s="1281">
        <v>3</v>
      </c>
      <c r="M154" s="1281">
        <v>3</v>
      </c>
      <c r="N154" s="1281">
        <v>3</v>
      </c>
      <c r="O154" s="1281">
        <v>3</v>
      </c>
      <c r="P154" s="1281">
        <v>3</v>
      </c>
      <c r="Q154" s="1281">
        <v>3</v>
      </c>
      <c r="R154" s="1281">
        <v>3</v>
      </c>
      <c r="S154" s="1281">
        <v>3</v>
      </c>
      <c r="T154" s="1281">
        <v>3</v>
      </c>
      <c r="U154" s="1281">
        <v>3</v>
      </c>
      <c r="V154" s="1281">
        <v>3</v>
      </c>
      <c r="W154" s="1281">
        <v>3</v>
      </c>
      <c r="X154" s="1281">
        <v>3</v>
      </c>
      <c r="Y154" s="1281"/>
      <c r="Z154" s="12"/>
      <c r="AA154" s="579">
        <f t="shared" si="88"/>
        <v>54</v>
      </c>
      <c r="AB154" s="1786"/>
      <c r="AC154" s="1786"/>
      <c r="AD154" s="1786"/>
      <c r="AE154" s="1786"/>
      <c r="AF154" s="1786"/>
      <c r="AG154" s="1786"/>
      <c r="AH154" s="1786"/>
      <c r="AI154" s="1787"/>
      <c r="AJ154" s="1788"/>
      <c r="AK154" s="1789"/>
      <c r="AL154" s="1786"/>
      <c r="AM154" s="1789"/>
      <c r="AN154" s="1786"/>
      <c r="AO154" s="1786"/>
      <c r="AP154" s="1786"/>
      <c r="AQ154" s="1787"/>
      <c r="AR154" s="1788"/>
      <c r="AS154" s="1789"/>
      <c r="AT154" s="1786"/>
      <c r="AU154" s="1789"/>
      <c r="AV154" s="1790"/>
      <c r="AW154" s="1791"/>
      <c r="AX154" s="1786"/>
      <c r="AY154" s="1792"/>
      <c r="AZ154" s="1793"/>
      <c r="BA154" s="1794"/>
      <c r="BB154" s="1793"/>
    </row>
    <row r="155" spans="1:54" ht="21.95" customHeight="1" x14ac:dyDescent="0.15">
      <c r="A155" s="2707"/>
      <c r="B155" s="2617"/>
      <c r="C155" s="2813"/>
      <c r="D155" s="543" t="s">
        <v>11</v>
      </c>
      <c r="E155" s="1368"/>
      <c r="F155" s="1369"/>
      <c r="G155" s="1207">
        <f t="shared" ref="G155:X155" si="96">G154*G153*0.4/100</f>
        <v>0.18719999999999998</v>
      </c>
      <c r="H155" s="1207">
        <f t="shared" si="96"/>
        <v>0.18719999999999998</v>
      </c>
      <c r="I155" s="1207">
        <f t="shared" si="96"/>
        <v>0.37439999999999996</v>
      </c>
      <c r="J155" s="1207">
        <f t="shared" si="96"/>
        <v>0.37439999999999996</v>
      </c>
      <c r="K155" s="1207">
        <f t="shared" si="96"/>
        <v>0.28079999999999999</v>
      </c>
      <c r="L155" s="1207">
        <f t="shared" si="96"/>
        <v>0.37439999999999996</v>
      </c>
      <c r="M155" s="1207">
        <f t="shared" si="96"/>
        <v>9.3599999999999989E-2</v>
      </c>
      <c r="N155" s="1207">
        <f t="shared" si="96"/>
        <v>0.28079999999999999</v>
      </c>
      <c r="O155" s="1207">
        <f t="shared" si="96"/>
        <v>0.37439999999999996</v>
      </c>
      <c r="P155" s="1207">
        <f t="shared" si="96"/>
        <v>0.28079999999999999</v>
      </c>
      <c r="Q155" s="1207">
        <f t="shared" si="96"/>
        <v>0.84240000000000004</v>
      </c>
      <c r="R155" s="1207">
        <f t="shared" si="96"/>
        <v>0.65520000000000012</v>
      </c>
      <c r="S155" s="1207">
        <f t="shared" si="96"/>
        <v>0.74879999999999991</v>
      </c>
      <c r="T155" s="1207">
        <f t="shared" si="96"/>
        <v>0.56159999999999999</v>
      </c>
      <c r="U155" s="1207">
        <f t="shared" si="96"/>
        <v>0.65520000000000012</v>
      </c>
      <c r="V155" s="1207">
        <f t="shared" si="96"/>
        <v>0.56159999999999999</v>
      </c>
      <c r="W155" s="1207">
        <f t="shared" si="96"/>
        <v>0.46800000000000003</v>
      </c>
      <c r="X155" s="1207">
        <f t="shared" si="96"/>
        <v>1.1232</v>
      </c>
      <c r="Y155" s="1207"/>
      <c r="Z155" s="1282">
        <f t="shared" ref="Z155:Z160" si="97">TRUNC(SUM(G155:Y155),2)</f>
        <v>8.42</v>
      </c>
      <c r="AA155" s="579">
        <f t="shared" si="88"/>
        <v>16.844000000000001</v>
      </c>
      <c r="AB155" s="1786"/>
      <c r="AC155" s="1786"/>
      <c r="AD155" s="1786"/>
      <c r="AE155" s="1786"/>
      <c r="AF155" s="1786"/>
      <c r="AG155" s="1786"/>
      <c r="AH155" s="1786"/>
      <c r="AI155" s="1787"/>
      <c r="AJ155" s="1788"/>
      <c r="AK155" s="1789"/>
      <c r="AL155" s="1786"/>
      <c r="AM155" s="1789"/>
      <c r="AN155" s="1786"/>
      <c r="AO155" s="1786"/>
      <c r="AP155" s="1786"/>
      <c r="AQ155" s="1787"/>
      <c r="AR155" s="1788"/>
      <c r="AS155" s="1789"/>
      <c r="AT155" s="1786"/>
      <c r="AU155" s="1789"/>
      <c r="AV155" s="1790"/>
      <c r="AW155" s="1791"/>
      <c r="AX155" s="1786"/>
      <c r="AY155" s="1792"/>
      <c r="AZ155" s="1793"/>
      <c r="BA155" s="1794"/>
      <c r="BB155" s="1793"/>
    </row>
    <row r="156" spans="1:54" ht="21.95" hidden="1" customHeight="1" x14ac:dyDescent="0.15">
      <c r="A156" s="2707"/>
      <c r="B156" s="2617"/>
      <c r="C156" s="2909" t="s">
        <v>38</v>
      </c>
      <c r="D156" s="544" t="s">
        <v>1497</v>
      </c>
      <c r="E156" s="1366"/>
      <c r="F156" s="1367"/>
      <c r="G156" s="1139">
        <f t="shared" ref="G156:X156" si="98">G146+G148+G150+G151</f>
        <v>0</v>
      </c>
      <c r="H156" s="1139">
        <f t="shared" si="98"/>
        <v>0</v>
      </c>
      <c r="I156" s="1139">
        <f t="shared" si="98"/>
        <v>0</v>
      </c>
      <c r="J156" s="1139">
        <f t="shared" si="98"/>
        <v>0</v>
      </c>
      <c r="K156" s="1139">
        <f t="shared" si="98"/>
        <v>0</v>
      </c>
      <c r="L156" s="1139">
        <f t="shared" si="98"/>
        <v>0</v>
      </c>
      <c r="M156" s="1139">
        <f t="shared" si="98"/>
        <v>0</v>
      </c>
      <c r="N156" s="1139">
        <f t="shared" si="98"/>
        <v>0</v>
      </c>
      <c r="O156" s="1139">
        <f t="shared" si="98"/>
        <v>0</v>
      </c>
      <c r="P156" s="1139">
        <f t="shared" si="98"/>
        <v>0</v>
      </c>
      <c r="Q156" s="1139">
        <f t="shared" si="98"/>
        <v>0</v>
      </c>
      <c r="R156" s="1139">
        <f t="shared" si="98"/>
        <v>0</v>
      </c>
      <c r="S156" s="1139">
        <f t="shared" si="98"/>
        <v>0</v>
      </c>
      <c r="T156" s="1139">
        <f t="shared" si="98"/>
        <v>0</v>
      </c>
      <c r="U156" s="1139">
        <f t="shared" si="98"/>
        <v>0</v>
      </c>
      <c r="V156" s="1139">
        <f t="shared" si="98"/>
        <v>0</v>
      </c>
      <c r="W156" s="1139">
        <f t="shared" si="98"/>
        <v>0</v>
      </c>
      <c r="X156" s="1139">
        <f t="shared" si="98"/>
        <v>0</v>
      </c>
      <c r="Y156" s="1139"/>
      <c r="Z156" s="425">
        <f t="shared" si="97"/>
        <v>0</v>
      </c>
      <c r="AA156" s="579">
        <f t="shared" si="88"/>
        <v>0</v>
      </c>
      <c r="AB156" s="1038"/>
      <c r="AC156" s="1038"/>
      <c r="AD156" s="1038"/>
      <c r="AE156" s="1038"/>
      <c r="AF156" s="1038">
        <v>0.06</v>
      </c>
      <c r="AG156" s="1038"/>
      <c r="AH156" s="1038"/>
      <c r="AI156" s="1304"/>
      <c r="AJ156" s="1315"/>
      <c r="AK156" s="1038"/>
      <c r="AL156" s="1038"/>
      <c r="AM156" s="1038"/>
      <c r="AN156" s="1038">
        <v>0.06</v>
      </c>
      <c r="AO156" s="1038"/>
      <c r="AP156" s="1038"/>
      <c r="AQ156" s="1305"/>
      <c r="AR156" s="1315"/>
      <c r="AS156" s="1038"/>
      <c r="AT156" s="1038"/>
      <c r="AU156" s="1038"/>
      <c r="AV156" s="1305"/>
      <c r="AW156" s="1038"/>
      <c r="AX156" s="1038"/>
      <c r="AY156" s="1038"/>
    </row>
    <row r="157" spans="1:54" ht="21.95" customHeight="1" thickBot="1" x14ac:dyDescent="0.2">
      <c r="A157" s="2707"/>
      <c r="B157" s="2618"/>
      <c r="C157" s="2812"/>
      <c r="D157" s="546" t="s">
        <v>1500</v>
      </c>
      <c r="E157" s="1372"/>
      <c r="F157" s="1373"/>
      <c r="G157" s="1135">
        <f t="shared" ref="G157:X157" si="99">G147+G149+G152</f>
        <v>15.6</v>
      </c>
      <c r="H157" s="1135">
        <f t="shared" si="99"/>
        <v>15.6</v>
      </c>
      <c r="I157" s="1135">
        <f t="shared" si="99"/>
        <v>31.2</v>
      </c>
      <c r="J157" s="1135">
        <f t="shared" si="99"/>
        <v>31.2</v>
      </c>
      <c r="K157" s="1135">
        <f t="shared" si="99"/>
        <v>23.4</v>
      </c>
      <c r="L157" s="1135">
        <f t="shared" si="99"/>
        <v>31.2</v>
      </c>
      <c r="M157" s="1135">
        <f t="shared" si="99"/>
        <v>7.8</v>
      </c>
      <c r="N157" s="1135">
        <f t="shared" si="99"/>
        <v>23.4</v>
      </c>
      <c r="O157" s="1135">
        <f t="shared" si="99"/>
        <v>31.2</v>
      </c>
      <c r="P157" s="1135">
        <f t="shared" si="99"/>
        <v>23.4</v>
      </c>
      <c r="Q157" s="1135">
        <f t="shared" si="99"/>
        <v>70.2</v>
      </c>
      <c r="R157" s="1135">
        <f t="shared" si="99"/>
        <v>54.6</v>
      </c>
      <c r="S157" s="1135">
        <f t="shared" si="99"/>
        <v>62.4</v>
      </c>
      <c r="T157" s="1135">
        <f t="shared" si="99"/>
        <v>46.8</v>
      </c>
      <c r="U157" s="1135">
        <f t="shared" si="99"/>
        <v>54.6</v>
      </c>
      <c r="V157" s="1135">
        <f t="shared" si="99"/>
        <v>46.8</v>
      </c>
      <c r="W157" s="1135">
        <f t="shared" si="99"/>
        <v>39</v>
      </c>
      <c r="X157" s="1135">
        <f t="shared" si="99"/>
        <v>93.6</v>
      </c>
      <c r="Y157" s="1135"/>
      <c r="Z157" s="416">
        <f t="shared" si="97"/>
        <v>702</v>
      </c>
      <c r="AA157" s="579">
        <f t="shared" si="88"/>
        <v>1404</v>
      </c>
      <c r="AB157" s="1038"/>
      <c r="AC157" s="1038"/>
      <c r="AD157" s="1038"/>
      <c r="AE157" s="1038"/>
      <c r="AF157" s="1038">
        <v>0.06</v>
      </c>
      <c r="AG157" s="1038"/>
      <c r="AH157" s="1038"/>
      <c r="AI157" s="1305"/>
      <c r="AJ157" s="1315"/>
      <c r="AK157" s="1038"/>
      <c r="AL157" s="1038"/>
      <c r="AM157" s="1038"/>
      <c r="AN157" s="1038">
        <v>0.06</v>
      </c>
      <c r="AO157" s="1038"/>
      <c r="AP157" s="1038"/>
      <c r="AQ157" s="1305"/>
      <c r="AR157" s="1315"/>
      <c r="AS157" s="1038"/>
      <c r="AT157" s="1038"/>
      <c r="AU157" s="1038"/>
      <c r="AV157" s="1305"/>
      <c r="AW157" s="1038"/>
      <c r="AX157" s="1038"/>
      <c r="AY157" s="1038"/>
    </row>
    <row r="158" spans="1:54" ht="21.95" customHeight="1" x14ac:dyDescent="0.15">
      <c r="A158" s="2707"/>
      <c r="B158" s="2911" t="s">
        <v>1501</v>
      </c>
      <c r="C158" s="2908" t="s">
        <v>464</v>
      </c>
      <c r="D158" s="544" t="s">
        <v>1584</v>
      </c>
      <c r="E158" s="1062"/>
      <c r="F158" s="1345"/>
      <c r="G158" s="1139">
        <f t="shared" ref="G158:X158" si="100">G20</f>
        <v>702.83</v>
      </c>
      <c r="H158" s="1139">
        <f t="shared" si="100"/>
        <v>670.76</v>
      </c>
      <c r="I158" s="1139">
        <f t="shared" si="100"/>
        <v>355.23</v>
      </c>
      <c r="J158" s="1139">
        <f t="shared" si="100"/>
        <v>355.53</v>
      </c>
      <c r="K158" s="1139">
        <f t="shared" si="100"/>
        <v>619.69000000000005</v>
      </c>
      <c r="L158" s="1139">
        <f t="shared" si="100"/>
        <v>364.82000000000005</v>
      </c>
      <c r="M158" s="1139">
        <f t="shared" si="100"/>
        <v>52.12</v>
      </c>
      <c r="N158" s="1139">
        <f t="shared" si="100"/>
        <v>628.66999999999996</v>
      </c>
      <c r="O158" s="1139">
        <f t="shared" si="100"/>
        <v>1153.3499999999999</v>
      </c>
      <c r="P158" s="1139">
        <f t="shared" si="100"/>
        <v>630.19000000000005</v>
      </c>
      <c r="Q158" s="1139">
        <f t="shared" si="100"/>
        <v>636.55999999999995</v>
      </c>
      <c r="R158" s="1139">
        <f t="shared" si="100"/>
        <v>1564.73</v>
      </c>
      <c r="S158" s="1139">
        <f t="shared" si="100"/>
        <v>1566.5</v>
      </c>
      <c r="T158" s="1139">
        <f t="shared" si="100"/>
        <v>1502.9299999999998</v>
      </c>
      <c r="U158" s="1139">
        <f t="shared" si="100"/>
        <v>1613.4299999999998</v>
      </c>
      <c r="V158" s="1139">
        <f t="shared" si="100"/>
        <v>1572.71</v>
      </c>
      <c r="W158" s="1139">
        <f t="shared" si="100"/>
        <v>619.13</v>
      </c>
      <c r="X158" s="1139">
        <f t="shared" si="100"/>
        <v>879.99</v>
      </c>
      <c r="Y158" s="1139"/>
      <c r="Z158" s="12">
        <f t="shared" si="97"/>
        <v>15489.17</v>
      </c>
      <c r="AA158" s="579">
        <f t="shared" si="88"/>
        <v>30978.339999999997</v>
      </c>
      <c r="AI158" s="1306"/>
      <c r="AJ158" s="1316"/>
      <c r="AQ158" s="1306"/>
      <c r="AR158" s="1316"/>
      <c r="AV158" s="1306"/>
    </row>
    <row r="159" spans="1:54" ht="21.95" hidden="1" customHeight="1" x14ac:dyDescent="0.15">
      <c r="A159" s="2707"/>
      <c r="B159" s="2912"/>
      <c r="C159" s="2909"/>
      <c r="D159" s="543" t="s">
        <v>1492</v>
      </c>
      <c r="E159" s="1062"/>
      <c r="F159" s="1345"/>
      <c r="G159" s="1139">
        <f t="shared" ref="G159:X159" si="101">G36*G37+G43*G44+G50*G51+G57*G58+G64*G65+G71*G72+G78*G79+G85*G86+G93*G94+G100*G101+G107*G108+G114*G115+G121*G122+G128*G131-G160</f>
        <v>0</v>
      </c>
      <c r="H159" s="1139">
        <f t="shared" si="101"/>
        <v>0</v>
      </c>
      <c r="I159" s="1139">
        <f t="shared" si="101"/>
        <v>0</v>
      </c>
      <c r="J159" s="1139">
        <f t="shared" si="101"/>
        <v>0</v>
      </c>
      <c r="K159" s="1139">
        <f t="shared" si="101"/>
        <v>0</v>
      </c>
      <c r="L159" s="1139">
        <f t="shared" si="101"/>
        <v>0</v>
      </c>
      <c r="M159" s="1139">
        <f t="shared" si="101"/>
        <v>0</v>
      </c>
      <c r="N159" s="1139">
        <f t="shared" si="101"/>
        <v>0</v>
      </c>
      <c r="O159" s="1139">
        <f t="shared" si="101"/>
        <v>0</v>
      </c>
      <c r="P159" s="1139">
        <f t="shared" si="101"/>
        <v>0</v>
      </c>
      <c r="Q159" s="1139">
        <f t="shared" si="101"/>
        <v>0</v>
      </c>
      <c r="R159" s="1139">
        <f t="shared" si="101"/>
        <v>0</v>
      </c>
      <c r="S159" s="1139">
        <f t="shared" si="101"/>
        <v>0</v>
      </c>
      <c r="T159" s="1139">
        <f t="shared" si="101"/>
        <v>0</v>
      </c>
      <c r="U159" s="1139">
        <f t="shared" si="101"/>
        <v>0</v>
      </c>
      <c r="V159" s="1139">
        <f t="shared" si="101"/>
        <v>0</v>
      </c>
      <c r="W159" s="1139">
        <f t="shared" si="101"/>
        <v>0</v>
      </c>
      <c r="X159" s="1139">
        <f t="shared" si="101"/>
        <v>0</v>
      </c>
      <c r="Y159" s="1139"/>
      <c r="Z159" s="12">
        <f t="shared" si="97"/>
        <v>0</v>
      </c>
      <c r="AA159" s="579">
        <f t="shared" si="88"/>
        <v>0</v>
      </c>
      <c r="AI159" s="1306"/>
      <c r="AJ159" s="1316"/>
      <c r="AQ159" s="1306"/>
      <c r="AR159" s="1316"/>
      <c r="AV159" s="1306"/>
    </row>
    <row r="160" spans="1:54" ht="21.95" hidden="1" customHeight="1" x14ac:dyDescent="0.15">
      <c r="A160" s="2707"/>
      <c r="B160" s="2912"/>
      <c r="C160" s="2909"/>
      <c r="D160" s="543" t="s">
        <v>1493</v>
      </c>
      <c r="E160" s="1062"/>
      <c r="F160" s="1345"/>
      <c r="G160" s="1139">
        <f t="shared" ref="G160:X160" si="102">G42*G37+G49*G44+G56*G51+G63*G58+G70*G65+G77*G72+G84*G79+G92*G86+G99*G94+G106*G101+G113*G108+G120*G114+G127*G121+G135*G131</f>
        <v>0</v>
      </c>
      <c r="H160" s="1139">
        <f t="shared" si="102"/>
        <v>0</v>
      </c>
      <c r="I160" s="1139">
        <f t="shared" si="102"/>
        <v>0</v>
      </c>
      <c r="J160" s="1139">
        <f t="shared" si="102"/>
        <v>0</v>
      </c>
      <c r="K160" s="1139">
        <f t="shared" si="102"/>
        <v>0</v>
      </c>
      <c r="L160" s="1139">
        <f t="shared" si="102"/>
        <v>0</v>
      </c>
      <c r="M160" s="1139">
        <f t="shared" si="102"/>
        <v>0</v>
      </c>
      <c r="N160" s="1139">
        <f t="shared" si="102"/>
        <v>0</v>
      </c>
      <c r="O160" s="1139">
        <f t="shared" si="102"/>
        <v>0</v>
      </c>
      <c r="P160" s="1139">
        <f t="shared" si="102"/>
        <v>0</v>
      </c>
      <c r="Q160" s="1139">
        <f t="shared" si="102"/>
        <v>0</v>
      </c>
      <c r="R160" s="1139">
        <f t="shared" si="102"/>
        <v>0</v>
      </c>
      <c r="S160" s="1139">
        <f t="shared" si="102"/>
        <v>0</v>
      </c>
      <c r="T160" s="1139">
        <f t="shared" si="102"/>
        <v>0</v>
      </c>
      <c r="U160" s="1139">
        <f t="shared" si="102"/>
        <v>0</v>
      </c>
      <c r="V160" s="1139">
        <f t="shared" si="102"/>
        <v>0</v>
      </c>
      <c r="W160" s="1139">
        <f t="shared" si="102"/>
        <v>0</v>
      </c>
      <c r="X160" s="1139">
        <f t="shared" si="102"/>
        <v>0</v>
      </c>
      <c r="Y160" s="1139"/>
      <c r="Z160" s="12">
        <f t="shared" si="97"/>
        <v>0</v>
      </c>
      <c r="AA160" s="579">
        <f t="shared" si="88"/>
        <v>0</v>
      </c>
      <c r="AI160" s="1306"/>
      <c r="AJ160" s="1316"/>
      <c r="AQ160" s="1306"/>
      <c r="AR160" s="1316"/>
      <c r="AV160" s="1306"/>
    </row>
    <row r="161" spans="1:54" ht="21.95" customHeight="1" x14ac:dyDescent="0.15">
      <c r="A161" s="2707"/>
      <c r="B161" s="2912"/>
      <c r="C161" s="2909"/>
      <c r="D161" s="543" t="s">
        <v>1503</v>
      </c>
      <c r="E161" s="1062"/>
      <c r="F161" s="1345"/>
      <c r="G161" s="1139">
        <f t="shared" ref="G161:X161" si="103">(G156+G157-G136*G140)*0.4</f>
        <v>6.24</v>
      </c>
      <c r="H161" s="1139">
        <f t="shared" si="103"/>
        <v>6.24</v>
      </c>
      <c r="I161" s="1139">
        <f t="shared" si="103"/>
        <v>12.48</v>
      </c>
      <c r="J161" s="1139">
        <f t="shared" si="103"/>
        <v>12.48</v>
      </c>
      <c r="K161" s="1139">
        <f t="shared" si="103"/>
        <v>9.36</v>
      </c>
      <c r="L161" s="1139">
        <f t="shared" si="103"/>
        <v>12.48</v>
      </c>
      <c r="M161" s="1139">
        <f t="shared" si="103"/>
        <v>3.12</v>
      </c>
      <c r="N161" s="1139">
        <f t="shared" si="103"/>
        <v>9.36</v>
      </c>
      <c r="O161" s="1139">
        <f t="shared" si="103"/>
        <v>12.48</v>
      </c>
      <c r="P161" s="1139">
        <f t="shared" si="103"/>
        <v>9.36</v>
      </c>
      <c r="Q161" s="1139">
        <f t="shared" si="103"/>
        <v>28.080000000000002</v>
      </c>
      <c r="R161" s="1139">
        <f t="shared" si="103"/>
        <v>21.840000000000003</v>
      </c>
      <c r="S161" s="1139">
        <f t="shared" si="103"/>
        <v>24.96</v>
      </c>
      <c r="T161" s="1139">
        <f t="shared" si="103"/>
        <v>18.72</v>
      </c>
      <c r="U161" s="1139">
        <f t="shared" si="103"/>
        <v>21.840000000000003</v>
      </c>
      <c r="V161" s="1139">
        <f t="shared" si="103"/>
        <v>18.72</v>
      </c>
      <c r="W161" s="1139">
        <f t="shared" si="103"/>
        <v>15.600000000000001</v>
      </c>
      <c r="X161" s="1139">
        <f t="shared" si="103"/>
        <v>37.44</v>
      </c>
      <c r="Y161" s="1139"/>
      <c r="Z161" s="12"/>
      <c r="AA161" s="579">
        <f t="shared" si="88"/>
        <v>280.79999999999995</v>
      </c>
      <c r="AC161" s="5">
        <f>+Z145/2.2</f>
        <v>319.09090909090907</v>
      </c>
      <c r="AI161" s="1306"/>
      <c r="AJ161" s="1316"/>
      <c r="AQ161" s="1306"/>
      <c r="AR161" s="1316"/>
      <c r="AV161" s="1306"/>
    </row>
    <row r="162" spans="1:54" ht="21.95" customHeight="1" x14ac:dyDescent="0.15">
      <c r="A162" s="2707"/>
      <c r="B162" s="2912"/>
      <c r="C162" s="2909"/>
      <c r="D162" s="543" t="s">
        <v>1247</v>
      </c>
      <c r="E162" s="1366"/>
      <c r="F162" s="1367"/>
      <c r="G162" s="1139">
        <f t="shared" ref="G162:X162" si="104">IF(G158=0,G159+G160-G161,G158+G160-G159-G161)</f>
        <v>696.59</v>
      </c>
      <c r="H162" s="1139">
        <f t="shared" si="104"/>
        <v>664.52</v>
      </c>
      <c r="I162" s="1139">
        <f t="shared" si="104"/>
        <v>342.75</v>
      </c>
      <c r="J162" s="1139">
        <f t="shared" si="104"/>
        <v>343.04999999999995</v>
      </c>
      <c r="K162" s="1139">
        <f t="shared" si="104"/>
        <v>610.33000000000004</v>
      </c>
      <c r="L162" s="1139">
        <f t="shared" si="104"/>
        <v>352.34000000000003</v>
      </c>
      <c r="M162" s="1139">
        <f t="shared" si="104"/>
        <v>49</v>
      </c>
      <c r="N162" s="1139">
        <f t="shared" si="104"/>
        <v>619.30999999999995</v>
      </c>
      <c r="O162" s="1139">
        <f t="shared" si="104"/>
        <v>1140.8699999999999</v>
      </c>
      <c r="P162" s="1139">
        <f t="shared" si="104"/>
        <v>620.83000000000004</v>
      </c>
      <c r="Q162" s="1139">
        <f t="shared" si="104"/>
        <v>608.4799999999999</v>
      </c>
      <c r="R162" s="1139">
        <f t="shared" si="104"/>
        <v>1542.89</v>
      </c>
      <c r="S162" s="1139">
        <f t="shared" si="104"/>
        <v>1541.54</v>
      </c>
      <c r="T162" s="1139">
        <f t="shared" si="104"/>
        <v>1484.2099999999998</v>
      </c>
      <c r="U162" s="1139">
        <f t="shared" si="104"/>
        <v>1591.59</v>
      </c>
      <c r="V162" s="1139">
        <f t="shared" si="104"/>
        <v>1553.99</v>
      </c>
      <c r="W162" s="1139">
        <f t="shared" si="104"/>
        <v>603.53</v>
      </c>
      <c r="X162" s="1139">
        <f t="shared" si="104"/>
        <v>842.55</v>
      </c>
      <c r="Y162" s="1139"/>
      <c r="Z162" s="12">
        <f>TRUNC(SUM(G162:Y162),2)</f>
        <v>15208.37</v>
      </c>
      <c r="AA162" s="579">
        <f t="shared" si="88"/>
        <v>30416.739999999998</v>
      </c>
      <c r="AI162" s="1306"/>
      <c r="AJ162" s="1316"/>
      <c r="AQ162" s="1306"/>
      <c r="AR162" s="1316"/>
      <c r="AV162" s="1306"/>
    </row>
    <row r="163" spans="1:54" ht="21.95" customHeight="1" x14ac:dyDescent="0.15">
      <c r="A163" s="2707"/>
      <c r="B163" s="2912"/>
      <c r="C163" s="2909"/>
      <c r="D163" s="543" t="s">
        <v>1280</v>
      </c>
      <c r="E163" s="1366"/>
      <c r="F163" s="1367"/>
      <c r="G163" s="1281">
        <v>7</v>
      </c>
      <c r="H163" s="1281">
        <v>7</v>
      </c>
      <c r="I163" s="1281">
        <v>7</v>
      </c>
      <c r="J163" s="1281">
        <v>7</v>
      </c>
      <c r="K163" s="1281">
        <v>7</v>
      </c>
      <c r="L163" s="1281">
        <v>7</v>
      </c>
      <c r="M163" s="1281">
        <v>7</v>
      </c>
      <c r="N163" s="1281">
        <v>7</v>
      </c>
      <c r="O163" s="1281">
        <v>7</v>
      </c>
      <c r="P163" s="1281">
        <v>7</v>
      </c>
      <c r="Q163" s="1281">
        <v>7</v>
      </c>
      <c r="R163" s="1281">
        <v>7</v>
      </c>
      <c r="S163" s="1281">
        <v>7</v>
      </c>
      <c r="T163" s="1281">
        <v>7</v>
      </c>
      <c r="U163" s="1281">
        <v>7</v>
      </c>
      <c r="V163" s="1281">
        <v>7</v>
      </c>
      <c r="W163" s="1281">
        <v>7</v>
      </c>
      <c r="X163" s="1281">
        <v>7</v>
      </c>
      <c r="Y163" s="1281"/>
      <c r="Z163" s="425">
        <f>TRUNC(SUM(G163:Y163),2)</f>
        <v>126</v>
      </c>
      <c r="AA163" s="579">
        <f t="shared" si="88"/>
        <v>252</v>
      </c>
      <c r="AI163" s="1306"/>
      <c r="AJ163" s="1316"/>
      <c r="AQ163" s="1306"/>
      <c r="AR163" s="1316"/>
      <c r="AV163" s="1306"/>
    </row>
    <row r="164" spans="1:54" ht="21.95" customHeight="1" thickBot="1" x14ac:dyDescent="0.2">
      <c r="A164" s="2707"/>
      <c r="B164" s="2912"/>
      <c r="C164" s="2909"/>
      <c r="D164" s="543" t="s">
        <v>634</v>
      </c>
      <c r="E164" s="1368"/>
      <c r="F164" s="1369"/>
      <c r="G164" s="1207">
        <f t="shared" ref="G164:X164" si="105">G162*G163/100</f>
        <v>48.761299999999999</v>
      </c>
      <c r="H164" s="1207">
        <f t="shared" si="105"/>
        <v>46.516399999999997</v>
      </c>
      <c r="I164" s="1207">
        <f t="shared" si="105"/>
        <v>23.9925</v>
      </c>
      <c r="J164" s="1207">
        <f t="shared" si="105"/>
        <v>24.013499999999993</v>
      </c>
      <c r="K164" s="1207">
        <f t="shared" si="105"/>
        <v>42.723100000000002</v>
      </c>
      <c r="L164" s="1207">
        <f t="shared" si="105"/>
        <v>24.663800000000002</v>
      </c>
      <c r="M164" s="1207">
        <f t="shared" si="105"/>
        <v>3.43</v>
      </c>
      <c r="N164" s="1207">
        <f t="shared" si="105"/>
        <v>43.351700000000001</v>
      </c>
      <c r="O164" s="1207">
        <f t="shared" si="105"/>
        <v>79.860899999999987</v>
      </c>
      <c r="P164" s="1207">
        <f t="shared" si="105"/>
        <v>43.458100000000002</v>
      </c>
      <c r="Q164" s="1207">
        <f t="shared" si="105"/>
        <v>42.593599999999995</v>
      </c>
      <c r="R164" s="1207">
        <f t="shared" si="105"/>
        <v>108.00230000000002</v>
      </c>
      <c r="S164" s="1207">
        <f t="shared" si="105"/>
        <v>107.90779999999999</v>
      </c>
      <c r="T164" s="1207">
        <f t="shared" si="105"/>
        <v>103.8947</v>
      </c>
      <c r="U164" s="1207">
        <f t="shared" si="105"/>
        <v>111.4113</v>
      </c>
      <c r="V164" s="1207">
        <f t="shared" si="105"/>
        <v>108.77930000000001</v>
      </c>
      <c r="W164" s="1207">
        <f t="shared" si="105"/>
        <v>42.247100000000003</v>
      </c>
      <c r="X164" s="1207">
        <f t="shared" si="105"/>
        <v>58.978499999999997</v>
      </c>
      <c r="Y164" s="1207"/>
      <c r="Z164" s="1282">
        <f>TRUNC(SUM(G164:Y164),2)</f>
        <v>1064.58</v>
      </c>
      <c r="AA164" s="579">
        <f t="shared" si="88"/>
        <v>2129.1659</v>
      </c>
      <c r="AB164" s="1038"/>
      <c r="AC164" s="1038">
        <v>1.2130000000000001</v>
      </c>
      <c r="AD164" s="1038"/>
      <c r="AE164" s="1038"/>
      <c r="AF164" s="1038"/>
      <c r="AG164" s="1038"/>
      <c r="AH164" s="1038"/>
      <c r="AI164" s="1305"/>
      <c r="AJ164" s="1315"/>
      <c r="AK164" s="1038">
        <v>1.2130000000000001</v>
      </c>
      <c r="AL164" s="1038"/>
      <c r="AM164" s="1038"/>
      <c r="AN164" s="1038"/>
      <c r="AO164" s="1038"/>
      <c r="AP164" s="1038"/>
      <c r="AQ164" s="1305"/>
      <c r="AR164" s="1315"/>
      <c r="AS164" s="1038">
        <v>1.2130000000000001</v>
      </c>
      <c r="AT164" s="1038"/>
      <c r="AU164" s="1038"/>
      <c r="AV164" s="1305"/>
      <c r="AW164" s="1038"/>
      <c r="AX164" s="1038"/>
      <c r="AY164" s="1038"/>
      <c r="AZ164" s="1038">
        <v>0.01</v>
      </c>
      <c r="BA164" s="1038"/>
      <c r="BB164" s="1038"/>
    </row>
    <row r="165" spans="1:54" ht="21.95" hidden="1" customHeight="1" x14ac:dyDescent="0.15">
      <c r="A165" s="2707"/>
      <c r="B165" s="2912"/>
      <c r="C165" s="2909" t="s">
        <v>1494</v>
      </c>
      <c r="D165" s="544" t="s">
        <v>1504</v>
      </c>
      <c r="E165" s="1366"/>
      <c r="F165" s="1367"/>
      <c r="G165" s="1139">
        <f t="shared" ref="G165:X165" si="106">G136*G137*G138</f>
        <v>0</v>
      </c>
      <c r="H165" s="1139">
        <f t="shared" si="106"/>
        <v>0</v>
      </c>
      <c r="I165" s="1139">
        <f t="shared" si="106"/>
        <v>0</v>
      </c>
      <c r="J165" s="1139">
        <f t="shared" si="106"/>
        <v>0</v>
      </c>
      <c r="K165" s="1139">
        <f t="shared" si="106"/>
        <v>0</v>
      </c>
      <c r="L165" s="1139">
        <f t="shared" si="106"/>
        <v>0</v>
      </c>
      <c r="M165" s="1139">
        <f t="shared" si="106"/>
        <v>0</v>
      </c>
      <c r="N165" s="1139">
        <f t="shared" si="106"/>
        <v>0</v>
      </c>
      <c r="O165" s="1139">
        <f t="shared" si="106"/>
        <v>0</v>
      </c>
      <c r="P165" s="1139">
        <f t="shared" si="106"/>
        <v>0</v>
      </c>
      <c r="Q165" s="1139">
        <f t="shared" si="106"/>
        <v>0</v>
      </c>
      <c r="R165" s="1139">
        <f t="shared" si="106"/>
        <v>0</v>
      </c>
      <c r="S165" s="1139">
        <f t="shared" si="106"/>
        <v>0</v>
      </c>
      <c r="T165" s="1139">
        <f t="shared" si="106"/>
        <v>0</v>
      </c>
      <c r="U165" s="1139">
        <f t="shared" si="106"/>
        <v>0</v>
      </c>
      <c r="V165" s="1139">
        <f t="shared" si="106"/>
        <v>0</v>
      </c>
      <c r="W165" s="1139">
        <f t="shared" si="106"/>
        <v>0</v>
      </c>
      <c r="X165" s="1139">
        <f t="shared" si="106"/>
        <v>0</v>
      </c>
      <c r="Y165" s="1139"/>
      <c r="Z165" s="12">
        <f>TRUNC(SUM(G165:Y165),2)</f>
        <v>0</v>
      </c>
      <c r="AA165" s="579">
        <f t="shared" si="88"/>
        <v>0</v>
      </c>
      <c r="AI165" s="1306"/>
      <c r="AJ165" s="1316"/>
      <c r="AQ165" s="1306"/>
      <c r="AR165" s="1316"/>
      <c r="AV165" s="1306"/>
    </row>
    <row r="166" spans="1:54" ht="21.95" hidden="1" customHeight="1" x14ac:dyDescent="0.15">
      <c r="A166" s="2707"/>
      <c r="B166" s="2912"/>
      <c r="C166" s="2909"/>
      <c r="D166" s="544" t="s">
        <v>1586</v>
      </c>
      <c r="E166" s="1366"/>
      <c r="F166" s="1367"/>
      <c r="G166" s="1139">
        <f t="shared" ref="G166:X166" si="107">G165*0.05</f>
        <v>0</v>
      </c>
      <c r="H166" s="1139">
        <f t="shared" si="107"/>
        <v>0</v>
      </c>
      <c r="I166" s="1139">
        <f t="shared" si="107"/>
        <v>0</v>
      </c>
      <c r="J166" s="1139">
        <f t="shared" si="107"/>
        <v>0</v>
      </c>
      <c r="K166" s="1139">
        <f t="shared" si="107"/>
        <v>0</v>
      </c>
      <c r="L166" s="1139">
        <f t="shared" si="107"/>
        <v>0</v>
      </c>
      <c r="M166" s="1139">
        <f t="shared" si="107"/>
        <v>0</v>
      </c>
      <c r="N166" s="1139">
        <f t="shared" si="107"/>
        <v>0</v>
      </c>
      <c r="O166" s="1139">
        <f t="shared" si="107"/>
        <v>0</v>
      </c>
      <c r="P166" s="1139">
        <f t="shared" si="107"/>
        <v>0</v>
      </c>
      <c r="Q166" s="1139">
        <f t="shared" si="107"/>
        <v>0</v>
      </c>
      <c r="R166" s="1139">
        <f t="shared" si="107"/>
        <v>0</v>
      </c>
      <c r="S166" s="1139">
        <f t="shared" si="107"/>
        <v>0</v>
      </c>
      <c r="T166" s="1139">
        <f t="shared" si="107"/>
        <v>0</v>
      </c>
      <c r="U166" s="1139">
        <f t="shared" si="107"/>
        <v>0</v>
      </c>
      <c r="V166" s="1139">
        <f t="shared" si="107"/>
        <v>0</v>
      </c>
      <c r="W166" s="1139">
        <f t="shared" si="107"/>
        <v>0</v>
      </c>
      <c r="X166" s="1139">
        <f t="shared" si="107"/>
        <v>0</v>
      </c>
      <c r="Y166" s="1139"/>
      <c r="Z166" s="425">
        <f>TRUNC(SUM(G166:Y166),2)</f>
        <v>0</v>
      </c>
      <c r="AA166" s="579">
        <f t="shared" si="88"/>
        <v>0</v>
      </c>
      <c r="AB166" s="1322"/>
      <c r="AC166" s="1322"/>
      <c r="AD166" s="1322"/>
      <c r="AE166" s="1322"/>
      <c r="AF166" s="1322"/>
      <c r="AG166" s="1322"/>
      <c r="AH166" s="1322"/>
      <c r="AI166" s="1323"/>
      <c r="AJ166" s="1324"/>
      <c r="AK166" s="1322"/>
      <c r="AL166" s="1322"/>
      <c r="AM166" s="1322"/>
      <c r="AN166" s="1322"/>
      <c r="AO166" s="1322"/>
      <c r="AP166" s="1322"/>
      <c r="AQ166" s="1323"/>
      <c r="AR166" s="1324"/>
      <c r="AS166" s="1322"/>
      <c r="AT166" s="1322"/>
      <c r="AU166" s="1322"/>
      <c r="AV166" s="1323">
        <v>1</v>
      </c>
      <c r="AW166" s="1322"/>
      <c r="AX166" s="1322"/>
      <c r="AY166" s="1322"/>
      <c r="AZ166" s="1322"/>
      <c r="BA166" s="1322"/>
      <c r="BB166" s="1322"/>
    </row>
    <row r="167" spans="1:54" ht="21.95" hidden="1" customHeight="1" x14ac:dyDescent="0.15">
      <c r="A167" s="2707"/>
      <c r="B167" s="2912"/>
      <c r="C167" s="2909"/>
      <c r="D167" s="543" t="s">
        <v>1503</v>
      </c>
      <c r="E167" s="1366"/>
      <c r="F167" s="1367"/>
      <c r="G167" s="1139">
        <f t="shared" ref="G167:X167" si="108">G136*G140*0.25</f>
        <v>0</v>
      </c>
      <c r="H167" s="1139">
        <f t="shared" si="108"/>
        <v>0</v>
      </c>
      <c r="I167" s="1139">
        <f t="shared" si="108"/>
        <v>0</v>
      </c>
      <c r="J167" s="1139">
        <f t="shared" si="108"/>
        <v>0</v>
      </c>
      <c r="K167" s="1139">
        <f t="shared" si="108"/>
        <v>0</v>
      </c>
      <c r="L167" s="1139">
        <f t="shared" si="108"/>
        <v>0</v>
      </c>
      <c r="M167" s="1139">
        <f t="shared" si="108"/>
        <v>0</v>
      </c>
      <c r="N167" s="1139">
        <f t="shared" si="108"/>
        <v>0</v>
      </c>
      <c r="O167" s="1139">
        <f t="shared" si="108"/>
        <v>0</v>
      </c>
      <c r="P167" s="1139">
        <f t="shared" si="108"/>
        <v>0</v>
      </c>
      <c r="Q167" s="1139">
        <f t="shared" si="108"/>
        <v>0</v>
      </c>
      <c r="R167" s="1139">
        <f t="shared" si="108"/>
        <v>0</v>
      </c>
      <c r="S167" s="1139">
        <f t="shared" si="108"/>
        <v>0</v>
      </c>
      <c r="T167" s="1139">
        <f t="shared" si="108"/>
        <v>0</v>
      </c>
      <c r="U167" s="1139">
        <f t="shared" si="108"/>
        <v>0</v>
      </c>
      <c r="V167" s="1139">
        <f t="shared" si="108"/>
        <v>0</v>
      </c>
      <c r="W167" s="1139">
        <f t="shared" si="108"/>
        <v>0</v>
      </c>
      <c r="X167" s="1139">
        <f t="shared" si="108"/>
        <v>0</v>
      </c>
      <c r="Y167" s="1139"/>
      <c r="Z167" s="12"/>
      <c r="AA167" s="579">
        <f t="shared" si="88"/>
        <v>0</v>
      </c>
      <c r="AI167" s="1306"/>
      <c r="AJ167" s="1316"/>
      <c r="AQ167" s="1306"/>
      <c r="AR167" s="1316"/>
      <c r="AV167" s="1306"/>
    </row>
    <row r="168" spans="1:54" ht="21.95" hidden="1" customHeight="1" x14ac:dyDescent="0.15">
      <c r="A168" s="2707"/>
      <c r="B168" s="2912"/>
      <c r="C168" s="2909"/>
      <c r="D168" s="543" t="s">
        <v>1529</v>
      </c>
      <c r="E168" s="1366"/>
      <c r="F168" s="1367"/>
      <c r="G168" s="1139">
        <f t="shared" ref="G168:X168" si="109">(G165-G167)*0.08</f>
        <v>0</v>
      </c>
      <c r="H168" s="1139">
        <f t="shared" si="109"/>
        <v>0</v>
      </c>
      <c r="I168" s="1139">
        <f t="shared" si="109"/>
        <v>0</v>
      </c>
      <c r="J168" s="1139">
        <f t="shared" si="109"/>
        <v>0</v>
      </c>
      <c r="K168" s="1139">
        <f t="shared" si="109"/>
        <v>0</v>
      </c>
      <c r="L168" s="1139">
        <f t="shared" si="109"/>
        <v>0</v>
      </c>
      <c r="M168" s="1139">
        <f t="shared" si="109"/>
        <v>0</v>
      </c>
      <c r="N168" s="1139">
        <f t="shared" si="109"/>
        <v>0</v>
      </c>
      <c r="O168" s="1139">
        <f t="shared" si="109"/>
        <v>0</v>
      </c>
      <c r="P168" s="1139">
        <f t="shared" si="109"/>
        <v>0</v>
      </c>
      <c r="Q168" s="1139">
        <f t="shared" si="109"/>
        <v>0</v>
      </c>
      <c r="R168" s="1139">
        <f t="shared" si="109"/>
        <v>0</v>
      </c>
      <c r="S168" s="1139">
        <f t="shared" si="109"/>
        <v>0</v>
      </c>
      <c r="T168" s="1139">
        <f t="shared" si="109"/>
        <v>0</v>
      </c>
      <c r="U168" s="1139">
        <f t="shared" si="109"/>
        <v>0</v>
      </c>
      <c r="V168" s="1139">
        <f t="shared" si="109"/>
        <v>0</v>
      </c>
      <c r="W168" s="1139">
        <f t="shared" si="109"/>
        <v>0</v>
      </c>
      <c r="X168" s="1139">
        <f t="shared" si="109"/>
        <v>0</v>
      </c>
      <c r="Y168" s="1139"/>
      <c r="Z168" s="425">
        <f>TRUNC(SUM(G168:Y168),2)</f>
        <v>0</v>
      </c>
      <c r="AA168" s="579">
        <f t="shared" si="88"/>
        <v>0</v>
      </c>
      <c r="AB168" s="1038"/>
      <c r="AC168" s="1038">
        <v>9.7000000000000003E-2</v>
      </c>
      <c r="AD168" s="1038"/>
      <c r="AE168" s="1038"/>
      <c r="AF168" s="1038"/>
      <c r="AG168" s="1038"/>
      <c r="AH168" s="1038"/>
      <c r="AI168" s="1305"/>
      <c r="AJ168" s="1315"/>
      <c r="AK168" s="1038">
        <v>9.7000000000000003E-2</v>
      </c>
      <c r="AL168" s="1038"/>
      <c r="AM168" s="1038"/>
      <c r="AN168" s="1038"/>
      <c r="AO168" s="1038"/>
      <c r="AP168" s="1038"/>
      <c r="AQ168" s="1305"/>
      <c r="AR168" s="1315"/>
      <c r="AS168" s="1038">
        <v>9.7000000000000003E-2</v>
      </c>
      <c r="AT168" s="1038"/>
      <c r="AU168" s="1038"/>
      <c r="AV168" s="1305"/>
      <c r="AW168" s="1038"/>
      <c r="AX168" s="1038"/>
      <c r="AY168" s="1038"/>
      <c r="AZ168" s="1038">
        <v>1E-3</v>
      </c>
      <c r="BA168" s="1038"/>
      <c r="BB168" s="1038">
        <v>1E-3</v>
      </c>
    </row>
    <row r="169" spans="1:54" ht="21.95" hidden="1" customHeight="1" thickBot="1" x14ac:dyDescent="0.2">
      <c r="A169" s="2707"/>
      <c r="B169" s="2951"/>
      <c r="C169" s="2910"/>
      <c r="D169" s="546" t="s">
        <v>1495</v>
      </c>
      <c r="E169" s="1372"/>
      <c r="F169" s="1373"/>
      <c r="G169" s="1135">
        <f t="shared" ref="G169:X169" si="110">G165*3.11*1.1224</f>
        <v>0</v>
      </c>
      <c r="H169" s="1135">
        <f t="shared" si="110"/>
        <v>0</v>
      </c>
      <c r="I169" s="1135">
        <f t="shared" si="110"/>
        <v>0</v>
      </c>
      <c r="J169" s="1135">
        <f t="shared" si="110"/>
        <v>0</v>
      </c>
      <c r="K169" s="1135">
        <f t="shared" si="110"/>
        <v>0</v>
      </c>
      <c r="L169" s="1135">
        <f t="shared" si="110"/>
        <v>0</v>
      </c>
      <c r="M169" s="1135">
        <f t="shared" si="110"/>
        <v>0</v>
      </c>
      <c r="N169" s="1135">
        <f t="shared" si="110"/>
        <v>0</v>
      </c>
      <c r="O169" s="1135">
        <f t="shared" si="110"/>
        <v>0</v>
      </c>
      <c r="P169" s="1135">
        <f t="shared" si="110"/>
        <v>0</v>
      </c>
      <c r="Q169" s="1135">
        <f t="shared" si="110"/>
        <v>0</v>
      </c>
      <c r="R169" s="1135">
        <f t="shared" si="110"/>
        <v>0</v>
      </c>
      <c r="S169" s="1135">
        <f t="shared" si="110"/>
        <v>0</v>
      </c>
      <c r="T169" s="1135">
        <f t="shared" si="110"/>
        <v>0</v>
      </c>
      <c r="U169" s="1135">
        <f t="shared" si="110"/>
        <v>0</v>
      </c>
      <c r="V169" s="1135">
        <f t="shared" si="110"/>
        <v>0</v>
      </c>
      <c r="W169" s="1135">
        <f t="shared" si="110"/>
        <v>0</v>
      </c>
      <c r="X169" s="1135">
        <f t="shared" si="110"/>
        <v>0</v>
      </c>
      <c r="Y169" s="1135"/>
      <c r="Z169" s="429">
        <f>TRUNC(SUM(G169:Y169),2)</f>
        <v>0</v>
      </c>
      <c r="AA169" s="579">
        <f t="shared" si="88"/>
        <v>0</v>
      </c>
      <c r="AB169" s="1038"/>
      <c r="AC169" s="1038"/>
      <c r="AD169" s="1038"/>
      <c r="AE169" s="1038"/>
      <c r="AF169" s="1038"/>
      <c r="AG169" s="1038"/>
      <c r="AH169" s="1038"/>
      <c r="AI169" s="1305"/>
      <c r="AJ169" s="1315"/>
      <c r="AK169" s="1038"/>
      <c r="AL169" s="1038"/>
      <c r="AM169" s="1038"/>
      <c r="AN169" s="1038"/>
      <c r="AO169" s="1038"/>
      <c r="AP169" s="1038"/>
      <c r="AQ169" s="1305"/>
      <c r="AR169" s="1315"/>
      <c r="AS169" s="1038"/>
      <c r="AT169" s="1038"/>
      <c r="AU169" s="1038"/>
      <c r="AV169" s="1305"/>
      <c r="AW169" s="1038">
        <v>1</v>
      </c>
      <c r="AX169" s="1038"/>
      <c r="AY169" s="1038"/>
      <c r="AZ169" s="1038"/>
      <c r="BA169" s="1038"/>
      <c r="BB169" s="1038"/>
    </row>
    <row r="170" spans="1:54" ht="21.95" customHeight="1" thickBot="1" x14ac:dyDescent="0.2">
      <c r="A170" s="2707"/>
      <c r="B170" s="2822" t="s">
        <v>1876</v>
      </c>
      <c r="C170" s="2947"/>
      <c r="D170" s="2907"/>
      <c r="E170" s="1232"/>
      <c r="F170" s="553"/>
      <c r="G170" s="243">
        <f t="shared" ref="G170:X170" si="111">G162+G161+G165</f>
        <v>702.83</v>
      </c>
      <c r="H170" s="243">
        <f t="shared" si="111"/>
        <v>670.76</v>
      </c>
      <c r="I170" s="243">
        <f t="shared" si="111"/>
        <v>355.23</v>
      </c>
      <c r="J170" s="243">
        <f t="shared" si="111"/>
        <v>355.53</v>
      </c>
      <c r="K170" s="243">
        <f t="shared" si="111"/>
        <v>619.69000000000005</v>
      </c>
      <c r="L170" s="243">
        <f t="shared" si="111"/>
        <v>364.82000000000005</v>
      </c>
      <c r="M170" s="243">
        <f t="shared" si="111"/>
        <v>52.12</v>
      </c>
      <c r="N170" s="243">
        <f t="shared" si="111"/>
        <v>628.66999999999996</v>
      </c>
      <c r="O170" s="243">
        <f t="shared" si="111"/>
        <v>1153.3499999999999</v>
      </c>
      <c r="P170" s="243">
        <f t="shared" si="111"/>
        <v>630.19000000000005</v>
      </c>
      <c r="Q170" s="243">
        <f t="shared" si="111"/>
        <v>636.55999999999995</v>
      </c>
      <c r="R170" s="243">
        <f t="shared" si="111"/>
        <v>1564.73</v>
      </c>
      <c r="S170" s="243">
        <f t="shared" si="111"/>
        <v>1566.5</v>
      </c>
      <c r="T170" s="243">
        <f t="shared" si="111"/>
        <v>1502.9299999999998</v>
      </c>
      <c r="U170" s="243">
        <f t="shared" si="111"/>
        <v>1613.4299999999998</v>
      </c>
      <c r="V170" s="243">
        <f t="shared" si="111"/>
        <v>1572.71</v>
      </c>
      <c r="W170" s="243">
        <f t="shared" si="111"/>
        <v>619.13</v>
      </c>
      <c r="X170" s="243">
        <f t="shared" si="111"/>
        <v>879.99</v>
      </c>
      <c r="Y170" s="243"/>
      <c r="Z170" s="1285">
        <f>TRUNC(SUM(G170:Y170),2)</f>
        <v>15489.17</v>
      </c>
      <c r="AA170" s="579">
        <f t="shared" si="88"/>
        <v>30978.339999999997</v>
      </c>
      <c r="AI170" s="1306"/>
      <c r="AJ170" s="1316"/>
      <c r="AQ170" s="1306"/>
      <c r="AR170" s="1316"/>
      <c r="AV170" s="1306"/>
    </row>
    <row r="171" spans="1:54" ht="21.95" hidden="1" customHeight="1" x14ac:dyDescent="0.15">
      <c r="A171" s="2707"/>
      <c r="B171" s="2810" t="s">
        <v>1506</v>
      </c>
      <c r="C171" s="2939" t="s">
        <v>3</v>
      </c>
      <c r="D171" s="2940"/>
      <c r="E171" s="1062"/>
      <c r="F171" s="1345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2">
        <f>TRUNC(SUM(G171:Y171),2)</f>
        <v>0</v>
      </c>
      <c r="AA171" s="579">
        <f t="shared" si="88"/>
        <v>0</v>
      </c>
      <c r="AI171" s="1306"/>
      <c r="AJ171" s="1316"/>
      <c r="AQ171" s="1306"/>
      <c r="AR171" s="1316"/>
      <c r="AV171" s="1306"/>
    </row>
    <row r="172" spans="1:54" ht="21.95" hidden="1" customHeight="1" x14ac:dyDescent="0.15">
      <c r="A172" s="2707"/>
      <c r="B172" s="2599"/>
      <c r="C172" s="2939" t="s">
        <v>54</v>
      </c>
      <c r="D172" s="2940"/>
      <c r="E172" s="1062"/>
      <c r="F172" s="1345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428"/>
      <c r="AA172" s="579">
        <f t="shared" si="88"/>
        <v>0</v>
      </c>
      <c r="AI172" s="1306"/>
      <c r="AJ172" s="1316"/>
      <c r="AQ172" s="1306"/>
      <c r="AR172" s="1316"/>
      <c r="AV172" s="1306"/>
    </row>
    <row r="173" spans="1:54" ht="21.95" hidden="1" customHeight="1" x14ac:dyDescent="0.15">
      <c r="A173" s="2707"/>
      <c r="B173" s="2599"/>
      <c r="C173" s="2939" t="s">
        <v>1280</v>
      </c>
      <c r="D173" s="2940"/>
      <c r="E173" s="1062"/>
      <c r="F173" s="1345"/>
      <c r="G173" s="1281"/>
      <c r="H173" s="1281"/>
      <c r="I173" s="1281"/>
      <c r="J173" s="1281"/>
      <c r="K173" s="1281"/>
      <c r="L173" s="1281"/>
      <c r="M173" s="1281"/>
      <c r="N173" s="1281"/>
      <c r="O173" s="1281"/>
      <c r="P173" s="1281"/>
      <c r="Q173" s="1281"/>
      <c r="R173" s="1281"/>
      <c r="S173" s="1281"/>
      <c r="T173" s="1281"/>
      <c r="U173" s="1281"/>
      <c r="V173" s="1281"/>
      <c r="W173" s="1281"/>
      <c r="X173" s="1281"/>
      <c r="Y173" s="1281"/>
      <c r="Z173" s="428"/>
      <c r="AA173" s="579">
        <f t="shared" si="88"/>
        <v>0</v>
      </c>
      <c r="AI173" s="1306"/>
      <c r="AJ173" s="1316"/>
      <c r="AQ173" s="1306"/>
      <c r="AR173" s="1316"/>
      <c r="AV173" s="1306"/>
    </row>
    <row r="174" spans="1:54" ht="21.95" hidden="1" customHeight="1" x14ac:dyDescent="0.15">
      <c r="A174" s="2707"/>
      <c r="B174" s="2599"/>
      <c r="C174" s="2939" t="s">
        <v>29</v>
      </c>
      <c r="D174" s="2940"/>
      <c r="E174" s="1062"/>
      <c r="F174" s="1345"/>
      <c r="G174" s="8">
        <f t="shared" ref="G174:X174" si="112">G172*G171</f>
        <v>0</v>
      </c>
      <c r="H174" s="8">
        <f t="shared" si="112"/>
        <v>0</v>
      </c>
      <c r="I174" s="8">
        <f t="shared" si="112"/>
        <v>0</v>
      </c>
      <c r="J174" s="8">
        <f t="shared" si="112"/>
        <v>0</v>
      </c>
      <c r="K174" s="8">
        <f t="shared" si="112"/>
        <v>0</v>
      </c>
      <c r="L174" s="8">
        <f t="shared" si="112"/>
        <v>0</v>
      </c>
      <c r="M174" s="8">
        <f t="shared" si="112"/>
        <v>0</v>
      </c>
      <c r="N174" s="8">
        <f t="shared" si="112"/>
        <v>0</v>
      </c>
      <c r="O174" s="8">
        <f t="shared" si="112"/>
        <v>0</v>
      </c>
      <c r="P174" s="8">
        <f t="shared" si="112"/>
        <v>0</v>
      </c>
      <c r="Q174" s="8">
        <f t="shared" si="112"/>
        <v>0</v>
      </c>
      <c r="R174" s="8">
        <f t="shared" si="112"/>
        <v>0</v>
      </c>
      <c r="S174" s="8">
        <f t="shared" si="112"/>
        <v>0</v>
      </c>
      <c r="T174" s="8">
        <f t="shared" si="112"/>
        <v>0</v>
      </c>
      <c r="U174" s="8">
        <f t="shared" si="112"/>
        <v>0</v>
      </c>
      <c r="V174" s="8">
        <f t="shared" si="112"/>
        <v>0</v>
      </c>
      <c r="W174" s="8">
        <f t="shared" si="112"/>
        <v>0</v>
      </c>
      <c r="X174" s="8">
        <f t="shared" si="112"/>
        <v>0</v>
      </c>
      <c r="Y174" s="8"/>
      <c r="Z174" s="425">
        <f>TRUNC(SUM(G174:Y174),2)</f>
        <v>0</v>
      </c>
      <c r="AA174" s="579">
        <f t="shared" si="88"/>
        <v>0</v>
      </c>
      <c r="AI174" s="1306"/>
      <c r="AJ174" s="1316"/>
      <c r="AQ174" s="1306"/>
      <c r="AR174" s="1316"/>
      <c r="AV174" s="1306"/>
    </row>
    <row r="175" spans="1:54" ht="21.95" hidden="1" customHeight="1" x14ac:dyDescent="0.15">
      <c r="A175" s="2707"/>
      <c r="B175" s="2599"/>
      <c r="C175" s="2939" t="s">
        <v>11</v>
      </c>
      <c r="D175" s="2940"/>
      <c r="E175" s="1062"/>
      <c r="F175" s="1345"/>
      <c r="G175" s="8">
        <f t="shared" ref="G175:X175" si="113">G173*G174/100</f>
        <v>0</v>
      </c>
      <c r="H175" s="8">
        <f t="shared" si="113"/>
        <v>0</v>
      </c>
      <c r="I175" s="8">
        <f t="shared" si="113"/>
        <v>0</v>
      </c>
      <c r="J175" s="8">
        <f t="shared" si="113"/>
        <v>0</v>
      </c>
      <c r="K175" s="8">
        <f t="shared" si="113"/>
        <v>0</v>
      </c>
      <c r="L175" s="8">
        <f t="shared" si="113"/>
        <v>0</v>
      </c>
      <c r="M175" s="8">
        <f t="shared" si="113"/>
        <v>0</v>
      </c>
      <c r="N175" s="8">
        <f t="shared" si="113"/>
        <v>0</v>
      </c>
      <c r="O175" s="8">
        <f t="shared" si="113"/>
        <v>0</v>
      </c>
      <c r="P175" s="8">
        <f t="shared" si="113"/>
        <v>0</v>
      </c>
      <c r="Q175" s="8">
        <f t="shared" si="113"/>
        <v>0</v>
      </c>
      <c r="R175" s="8">
        <f t="shared" si="113"/>
        <v>0</v>
      </c>
      <c r="S175" s="8">
        <f t="shared" si="113"/>
        <v>0</v>
      </c>
      <c r="T175" s="8">
        <f t="shared" si="113"/>
        <v>0</v>
      </c>
      <c r="U175" s="8">
        <f t="shared" si="113"/>
        <v>0</v>
      </c>
      <c r="V175" s="8">
        <f t="shared" si="113"/>
        <v>0</v>
      </c>
      <c r="W175" s="8">
        <f t="shared" si="113"/>
        <v>0</v>
      </c>
      <c r="X175" s="8">
        <f t="shared" si="113"/>
        <v>0</v>
      </c>
      <c r="Y175" s="8"/>
      <c r="Z175" s="425">
        <f>TRUNC(SUM(G175:Y175),2)</f>
        <v>0</v>
      </c>
      <c r="AA175" s="579">
        <f t="shared" si="88"/>
        <v>0</v>
      </c>
      <c r="AI175" s="1306"/>
      <c r="AJ175" s="1316"/>
      <c r="AQ175" s="1306"/>
      <c r="AR175" s="1316"/>
      <c r="AV175" s="1306"/>
    </row>
    <row r="176" spans="1:54" ht="21.95" hidden="1" customHeight="1" thickBot="1" x14ac:dyDescent="0.2">
      <c r="A176" s="2707"/>
      <c r="B176" s="2811"/>
      <c r="C176" s="2939" t="s">
        <v>1505</v>
      </c>
      <c r="D176" s="2940"/>
      <c r="E176" s="983"/>
      <c r="F176" s="1270"/>
      <c r="G176" s="215">
        <f t="shared" ref="G176:X176" si="114">G175*1.25</f>
        <v>0</v>
      </c>
      <c r="H176" s="215">
        <f t="shared" si="114"/>
        <v>0</v>
      </c>
      <c r="I176" s="215">
        <f t="shared" si="114"/>
        <v>0</v>
      </c>
      <c r="J176" s="215">
        <f t="shared" si="114"/>
        <v>0</v>
      </c>
      <c r="K176" s="215">
        <f t="shared" si="114"/>
        <v>0</v>
      </c>
      <c r="L176" s="215">
        <f t="shared" si="114"/>
        <v>0</v>
      </c>
      <c r="M176" s="215">
        <f t="shared" si="114"/>
        <v>0</v>
      </c>
      <c r="N176" s="215">
        <f t="shared" si="114"/>
        <v>0</v>
      </c>
      <c r="O176" s="215">
        <f t="shared" si="114"/>
        <v>0</v>
      </c>
      <c r="P176" s="215">
        <f t="shared" si="114"/>
        <v>0</v>
      </c>
      <c r="Q176" s="215">
        <f t="shared" si="114"/>
        <v>0</v>
      </c>
      <c r="R176" s="215">
        <f t="shared" si="114"/>
        <v>0</v>
      </c>
      <c r="S176" s="215">
        <f t="shared" si="114"/>
        <v>0</v>
      </c>
      <c r="T176" s="215">
        <f t="shared" si="114"/>
        <v>0</v>
      </c>
      <c r="U176" s="215">
        <f t="shared" si="114"/>
        <v>0</v>
      </c>
      <c r="V176" s="215">
        <f t="shared" si="114"/>
        <v>0</v>
      </c>
      <c r="W176" s="215">
        <f t="shared" si="114"/>
        <v>0</v>
      </c>
      <c r="X176" s="215">
        <f t="shared" si="114"/>
        <v>0</v>
      </c>
      <c r="Y176" s="215"/>
      <c r="Z176" s="416">
        <f>TRUNC(SUM(G176:Y176),2)</f>
        <v>0</v>
      </c>
      <c r="AA176" s="579">
        <f t="shared" si="88"/>
        <v>0</v>
      </c>
      <c r="AI176" s="1306"/>
      <c r="AJ176" s="1316"/>
      <c r="AQ176" s="1306"/>
      <c r="AR176" s="1316"/>
      <c r="AV176" s="1306"/>
    </row>
    <row r="177" spans="1:48" ht="21.95" customHeight="1" x14ac:dyDescent="0.15">
      <c r="A177" s="2707"/>
      <c r="B177" s="2616" t="s">
        <v>1868</v>
      </c>
      <c r="C177" s="2937" t="s">
        <v>1509</v>
      </c>
      <c r="D177" s="2938"/>
      <c r="E177" s="1062"/>
      <c r="F177" s="1345"/>
      <c r="G177" s="8">
        <v>82.59</v>
      </c>
      <c r="H177" s="8">
        <v>60.54</v>
      </c>
      <c r="I177" s="8">
        <v>5.94</v>
      </c>
      <c r="J177" s="8">
        <v>16.739999999999998</v>
      </c>
      <c r="K177" s="8">
        <v>72.739999999999995</v>
      </c>
      <c r="L177" s="8">
        <v>24.13</v>
      </c>
      <c r="M177" s="8"/>
      <c r="N177" s="8">
        <f>83.62+44.88</f>
        <v>128.5</v>
      </c>
      <c r="O177" s="8">
        <f>131.59+55.93</f>
        <v>187.52</v>
      </c>
      <c r="P177" s="8">
        <f>43.01+111.45</f>
        <v>154.46</v>
      </c>
      <c r="Q177" s="8">
        <v>42.99</v>
      </c>
      <c r="R177" s="8">
        <f>144.64+185.68</f>
        <v>330.32</v>
      </c>
      <c r="S177" s="8">
        <f>167.06+100.01</f>
        <v>267.07</v>
      </c>
      <c r="T177" s="8">
        <f>202.57+87.91</f>
        <v>290.48</v>
      </c>
      <c r="U177" s="8">
        <f>135.42+123.86</f>
        <v>259.27999999999997</v>
      </c>
      <c r="V177" s="8">
        <f>205.98+71.6</f>
        <v>277.58</v>
      </c>
      <c r="W177" s="8">
        <v>39.44</v>
      </c>
      <c r="X177" s="8">
        <v>21.65</v>
      </c>
      <c r="Y177" s="8"/>
      <c r="Z177" s="12">
        <f>TRUNC(SUM(G177:Y177),2)</f>
        <v>2261.9699999999998</v>
      </c>
      <c r="AA177" s="579">
        <f t="shared" si="88"/>
        <v>4523.9400000000005</v>
      </c>
      <c r="AI177" s="1306"/>
      <c r="AJ177" s="1316"/>
      <c r="AQ177" s="1306"/>
      <c r="AR177" s="1316"/>
      <c r="AV177" s="1306"/>
    </row>
    <row r="178" spans="1:48" ht="21.95" hidden="1" customHeight="1" x14ac:dyDescent="0.15">
      <c r="A178" s="2707"/>
      <c r="B178" s="2617"/>
      <c r="C178" s="2939" t="s">
        <v>755</v>
      </c>
      <c r="D178" s="2940"/>
      <c r="E178" s="1062"/>
      <c r="F178" s="1345"/>
      <c r="G178" s="8">
        <f t="shared" ref="G178:X178" si="115">(G223*2+G224*3)*G222</f>
        <v>0</v>
      </c>
      <c r="H178" s="8">
        <f t="shared" si="115"/>
        <v>0</v>
      </c>
      <c r="I178" s="8">
        <f t="shared" si="115"/>
        <v>0</v>
      </c>
      <c r="J178" s="8">
        <f t="shared" si="115"/>
        <v>0</v>
      </c>
      <c r="K178" s="8">
        <f t="shared" si="115"/>
        <v>0</v>
      </c>
      <c r="L178" s="8">
        <f t="shared" si="115"/>
        <v>0</v>
      </c>
      <c r="M178" s="8">
        <f t="shared" si="115"/>
        <v>0</v>
      </c>
      <c r="N178" s="8">
        <f t="shared" si="115"/>
        <v>0</v>
      </c>
      <c r="O178" s="8">
        <f t="shared" si="115"/>
        <v>0</v>
      </c>
      <c r="P178" s="8">
        <f t="shared" si="115"/>
        <v>0</v>
      </c>
      <c r="Q178" s="8">
        <f t="shared" si="115"/>
        <v>0</v>
      </c>
      <c r="R178" s="8">
        <f t="shared" si="115"/>
        <v>0</v>
      </c>
      <c r="S178" s="8">
        <f t="shared" si="115"/>
        <v>0</v>
      </c>
      <c r="T178" s="8">
        <f t="shared" si="115"/>
        <v>0</v>
      </c>
      <c r="U178" s="8">
        <f t="shared" si="115"/>
        <v>0</v>
      </c>
      <c r="V178" s="8">
        <f t="shared" si="115"/>
        <v>0</v>
      </c>
      <c r="W178" s="8">
        <f t="shared" si="115"/>
        <v>0</v>
      </c>
      <c r="X178" s="8">
        <f t="shared" si="115"/>
        <v>0</v>
      </c>
      <c r="Y178" s="8"/>
      <c r="Z178" s="12"/>
      <c r="AA178" s="579"/>
      <c r="AI178" s="1306"/>
      <c r="AJ178" s="1316"/>
      <c r="AQ178" s="1306"/>
      <c r="AR178" s="1316"/>
      <c r="AV178" s="1306"/>
    </row>
    <row r="179" spans="1:48" ht="21.95" customHeight="1" x14ac:dyDescent="0.15">
      <c r="A179" s="2707"/>
      <c r="B179" s="2617"/>
      <c r="C179" s="2939" t="s">
        <v>1508</v>
      </c>
      <c r="D179" s="2940"/>
      <c r="E179" s="1062"/>
      <c r="F179" s="1345"/>
      <c r="G179" s="8">
        <f t="shared" ref="G179:X179" si="116">(G144+G145)*2</f>
        <v>31.2</v>
      </c>
      <c r="H179" s="8">
        <f t="shared" si="116"/>
        <v>31.2</v>
      </c>
      <c r="I179" s="8">
        <f t="shared" si="116"/>
        <v>62.4</v>
      </c>
      <c r="J179" s="8">
        <f t="shared" si="116"/>
        <v>62.4</v>
      </c>
      <c r="K179" s="8">
        <f t="shared" si="116"/>
        <v>46.8</v>
      </c>
      <c r="L179" s="8">
        <f t="shared" si="116"/>
        <v>62.4</v>
      </c>
      <c r="M179" s="8">
        <f t="shared" si="116"/>
        <v>15.6</v>
      </c>
      <c r="N179" s="8">
        <f t="shared" si="116"/>
        <v>46.8</v>
      </c>
      <c r="O179" s="8">
        <f t="shared" si="116"/>
        <v>62.4</v>
      </c>
      <c r="P179" s="8">
        <f t="shared" si="116"/>
        <v>46.8</v>
      </c>
      <c r="Q179" s="8">
        <f t="shared" si="116"/>
        <v>140.4</v>
      </c>
      <c r="R179" s="8">
        <f t="shared" si="116"/>
        <v>109.2</v>
      </c>
      <c r="S179" s="8">
        <f t="shared" si="116"/>
        <v>124.8</v>
      </c>
      <c r="T179" s="8">
        <f t="shared" si="116"/>
        <v>93.6</v>
      </c>
      <c r="U179" s="8">
        <f t="shared" si="116"/>
        <v>109.2</v>
      </c>
      <c r="V179" s="8">
        <f t="shared" si="116"/>
        <v>93.6</v>
      </c>
      <c r="W179" s="8">
        <f t="shared" si="116"/>
        <v>78</v>
      </c>
      <c r="X179" s="8">
        <f t="shared" si="116"/>
        <v>187.2</v>
      </c>
      <c r="Y179" s="8"/>
      <c r="Z179" s="12">
        <f>TRUNC(SUM(G179:Y179),2)</f>
        <v>1404</v>
      </c>
      <c r="AA179" s="579">
        <f t="shared" ref="AA179:AA211" si="117">SUM(G179:Z179)</f>
        <v>2808</v>
      </c>
      <c r="AI179" s="1306"/>
      <c r="AJ179" s="1316"/>
      <c r="AQ179" s="1306"/>
      <c r="AR179" s="1316"/>
      <c r="AV179" s="1306"/>
    </row>
    <row r="180" spans="1:48" ht="21.95" customHeight="1" thickBot="1" x14ac:dyDescent="0.2">
      <c r="A180" s="2707"/>
      <c r="B180" s="2618"/>
      <c r="C180" s="2943" t="s">
        <v>0</v>
      </c>
      <c r="D180" s="2828"/>
      <c r="E180" s="983"/>
      <c r="F180" s="1270"/>
      <c r="G180" s="215">
        <f>G179+G177+G178</f>
        <v>113.79</v>
      </c>
      <c r="H180" s="215">
        <f t="shared" ref="H180:X180" si="118">H179+H177+H178</f>
        <v>91.74</v>
      </c>
      <c r="I180" s="215">
        <f t="shared" si="118"/>
        <v>68.34</v>
      </c>
      <c r="J180" s="215">
        <f t="shared" si="118"/>
        <v>79.14</v>
      </c>
      <c r="K180" s="215">
        <f t="shared" si="118"/>
        <v>119.53999999999999</v>
      </c>
      <c r="L180" s="215">
        <f t="shared" si="118"/>
        <v>86.53</v>
      </c>
      <c r="M180" s="215">
        <f t="shared" si="118"/>
        <v>15.6</v>
      </c>
      <c r="N180" s="215">
        <f t="shared" si="118"/>
        <v>175.3</v>
      </c>
      <c r="O180" s="215">
        <f t="shared" si="118"/>
        <v>249.92000000000002</v>
      </c>
      <c r="P180" s="215">
        <f t="shared" si="118"/>
        <v>201.26</v>
      </c>
      <c r="Q180" s="215">
        <f t="shared" si="118"/>
        <v>183.39000000000001</v>
      </c>
      <c r="R180" s="215">
        <f t="shared" si="118"/>
        <v>439.52</v>
      </c>
      <c r="S180" s="215">
        <f t="shared" si="118"/>
        <v>391.87</v>
      </c>
      <c r="T180" s="215">
        <f t="shared" si="118"/>
        <v>384.08000000000004</v>
      </c>
      <c r="U180" s="215">
        <f t="shared" si="118"/>
        <v>368.47999999999996</v>
      </c>
      <c r="V180" s="215">
        <f t="shared" si="118"/>
        <v>371.17999999999995</v>
      </c>
      <c r="W180" s="215">
        <f t="shared" si="118"/>
        <v>117.44</v>
      </c>
      <c r="X180" s="215">
        <f t="shared" si="118"/>
        <v>208.85</v>
      </c>
      <c r="Y180" s="215"/>
      <c r="Z180" s="416">
        <f>TRUNC(SUM(G180:Y180),2)</f>
        <v>3665.97</v>
      </c>
      <c r="AA180" s="579">
        <f t="shared" si="117"/>
        <v>7331.94</v>
      </c>
      <c r="AI180" s="1306"/>
      <c r="AJ180" s="1316"/>
      <c r="AQ180" s="1306"/>
      <c r="AR180" s="1316"/>
      <c r="AV180" s="1306"/>
    </row>
    <row r="181" spans="1:48" ht="21.95" hidden="1" customHeight="1" x14ac:dyDescent="0.15">
      <c r="A181" s="2707"/>
      <c r="B181" s="2616" t="s">
        <v>1510</v>
      </c>
      <c r="C181" s="2805" t="s">
        <v>1509</v>
      </c>
      <c r="D181" s="542" t="s">
        <v>1280</v>
      </c>
      <c r="E181" s="1061"/>
      <c r="F181" s="1344"/>
      <c r="G181" s="1286"/>
      <c r="H181" s="1286"/>
      <c r="I181" s="1286"/>
      <c r="J181" s="1286"/>
      <c r="K181" s="1286"/>
      <c r="L181" s="1286"/>
      <c r="M181" s="1286"/>
      <c r="N181" s="1286"/>
      <c r="O181" s="1286"/>
      <c r="P181" s="1286"/>
      <c r="Q181" s="1286"/>
      <c r="R181" s="1286"/>
      <c r="S181" s="1286"/>
      <c r="T181" s="1286"/>
      <c r="U181" s="1286"/>
      <c r="V181" s="1286"/>
      <c r="W181" s="1286"/>
      <c r="X181" s="1286"/>
      <c r="Y181" s="1286"/>
      <c r="Z181" s="430"/>
      <c r="AA181" s="579">
        <f t="shared" si="117"/>
        <v>0</v>
      </c>
      <c r="AI181" s="1306"/>
      <c r="AJ181" s="1316"/>
      <c r="AQ181" s="1306"/>
      <c r="AR181" s="1316"/>
      <c r="AV181" s="1306"/>
    </row>
    <row r="182" spans="1:48" ht="21.95" hidden="1" customHeight="1" x14ac:dyDescent="0.15">
      <c r="A182" s="2707"/>
      <c r="B182" s="2617"/>
      <c r="C182" s="2807"/>
      <c r="D182" s="543" t="s">
        <v>29</v>
      </c>
      <c r="E182" s="1062"/>
      <c r="F182" s="1345"/>
      <c r="G182" s="8">
        <f t="shared" ref="G182:X182" si="119">G160+G142*G137*G138</f>
        <v>0</v>
      </c>
      <c r="H182" s="8">
        <f t="shared" si="119"/>
        <v>0</v>
      </c>
      <c r="I182" s="8">
        <f t="shared" si="119"/>
        <v>0</v>
      </c>
      <c r="J182" s="8">
        <f t="shared" si="119"/>
        <v>0</v>
      </c>
      <c r="K182" s="8">
        <f t="shared" si="119"/>
        <v>0</v>
      </c>
      <c r="L182" s="8">
        <f t="shared" si="119"/>
        <v>0</v>
      </c>
      <c r="M182" s="8">
        <f t="shared" si="119"/>
        <v>0</v>
      </c>
      <c r="N182" s="8">
        <f t="shared" si="119"/>
        <v>0</v>
      </c>
      <c r="O182" s="8">
        <f t="shared" si="119"/>
        <v>0</v>
      </c>
      <c r="P182" s="8">
        <f t="shared" si="119"/>
        <v>0</v>
      </c>
      <c r="Q182" s="8">
        <f t="shared" si="119"/>
        <v>0</v>
      </c>
      <c r="R182" s="8">
        <f t="shared" si="119"/>
        <v>0</v>
      </c>
      <c r="S182" s="8">
        <f t="shared" si="119"/>
        <v>0</v>
      </c>
      <c r="T182" s="8">
        <f t="shared" si="119"/>
        <v>0</v>
      </c>
      <c r="U182" s="8">
        <f t="shared" si="119"/>
        <v>0</v>
      </c>
      <c r="V182" s="8">
        <f t="shared" si="119"/>
        <v>0</v>
      </c>
      <c r="W182" s="8">
        <f t="shared" si="119"/>
        <v>0</v>
      </c>
      <c r="X182" s="8">
        <f t="shared" si="119"/>
        <v>0</v>
      </c>
      <c r="Y182" s="8"/>
      <c r="Z182" s="12">
        <f>TRUNC(SUM(G182:Y182),2)</f>
        <v>0</v>
      </c>
      <c r="AA182" s="579">
        <f t="shared" si="117"/>
        <v>0</v>
      </c>
      <c r="AI182" s="1306"/>
      <c r="AJ182" s="1316"/>
      <c r="AQ182" s="1306"/>
      <c r="AR182" s="1316"/>
      <c r="AV182" s="1306"/>
    </row>
    <row r="183" spans="1:48" ht="21.95" hidden="1" customHeight="1" x14ac:dyDescent="0.15">
      <c r="A183" s="2707"/>
      <c r="B183" s="2617"/>
      <c r="C183" s="2948"/>
      <c r="D183" s="543" t="s">
        <v>206</v>
      </c>
      <c r="E183" s="1063"/>
      <c r="F183" s="1362"/>
      <c r="G183" s="1073">
        <f t="shared" ref="G183:X183" si="120">G182*G181/100</f>
        <v>0</v>
      </c>
      <c r="H183" s="1073">
        <f t="shared" si="120"/>
        <v>0</v>
      </c>
      <c r="I183" s="1073">
        <f t="shared" si="120"/>
        <v>0</v>
      </c>
      <c r="J183" s="1073">
        <f t="shared" si="120"/>
        <v>0</v>
      </c>
      <c r="K183" s="1073">
        <f t="shared" si="120"/>
        <v>0</v>
      </c>
      <c r="L183" s="1073">
        <f t="shared" si="120"/>
        <v>0</v>
      </c>
      <c r="M183" s="1073">
        <f t="shared" si="120"/>
        <v>0</v>
      </c>
      <c r="N183" s="1073">
        <f t="shared" si="120"/>
        <v>0</v>
      </c>
      <c r="O183" s="1073">
        <f t="shared" si="120"/>
        <v>0</v>
      </c>
      <c r="P183" s="1073">
        <f t="shared" si="120"/>
        <v>0</v>
      </c>
      <c r="Q183" s="1073">
        <f t="shared" si="120"/>
        <v>0</v>
      </c>
      <c r="R183" s="1073">
        <f t="shared" si="120"/>
        <v>0</v>
      </c>
      <c r="S183" s="1073">
        <f t="shared" si="120"/>
        <v>0</v>
      </c>
      <c r="T183" s="1073">
        <f t="shared" si="120"/>
        <v>0</v>
      </c>
      <c r="U183" s="1073">
        <f t="shared" si="120"/>
        <v>0</v>
      </c>
      <c r="V183" s="1073">
        <f t="shared" si="120"/>
        <v>0</v>
      </c>
      <c r="W183" s="1073">
        <f t="shared" si="120"/>
        <v>0</v>
      </c>
      <c r="X183" s="1073">
        <f t="shared" si="120"/>
        <v>0</v>
      </c>
      <c r="Y183" s="1073"/>
      <c r="Z183" s="1277">
        <f>TRUNC(SUM(G183:Y183),2)</f>
        <v>0</v>
      </c>
      <c r="AA183" s="579">
        <f t="shared" si="117"/>
        <v>0</v>
      </c>
      <c r="AC183" s="46"/>
      <c r="AD183" s="46"/>
      <c r="AE183" s="46"/>
      <c r="AI183" s="1306"/>
      <c r="AJ183" s="1316"/>
      <c r="AQ183" s="1306"/>
      <c r="AR183" s="1316"/>
      <c r="AV183" s="1306"/>
    </row>
    <row r="184" spans="1:48" ht="21.95" hidden="1" customHeight="1" x14ac:dyDescent="0.15">
      <c r="A184" s="2707"/>
      <c r="B184" s="2617"/>
      <c r="C184" s="2936" t="s">
        <v>1511</v>
      </c>
      <c r="D184" s="543" t="s">
        <v>3</v>
      </c>
      <c r="E184" s="1062"/>
      <c r="F184" s="1345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2"/>
      <c r="AA184" s="579">
        <f t="shared" si="117"/>
        <v>0</v>
      </c>
      <c r="AC184" s="46"/>
      <c r="AD184" s="46"/>
      <c r="AE184" s="46"/>
      <c r="AI184" s="1306"/>
      <c r="AJ184" s="1316"/>
      <c r="AQ184" s="1306"/>
      <c r="AR184" s="1316"/>
      <c r="AV184" s="1306"/>
    </row>
    <row r="185" spans="1:48" ht="21.95" hidden="1" customHeight="1" x14ac:dyDescent="0.15">
      <c r="A185" s="2707"/>
      <c r="B185" s="2617"/>
      <c r="C185" s="2936"/>
      <c r="D185" s="543" t="s">
        <v>58</v>
      </c>
      <c r="E185" s="1062"/>
      <c r="F185" s="1345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2"/>
      <c r="AA185" s="579">
        <f t="shared" si="117"/>
        <v>0</v>
      </c>
      <c r="AC185" s="46"/>
      <c r="AD185" s="46"/>
      <c r="AE185" s="46"/>
      <c r="AI185" s="1306"/>
      <c r="AJ185" s="1316"/>
      <c r="AQ185" s="1306"/>
      <c r="AR185" s="1316"/>
      <c r="AV185" s="1306"/>
    </row>
    <row r="186" spans="1:48" ht="21.95" customHeight="1" x14ac:dyDescent="0.15">
      <c r="A186" s="2707"/>
      <c r="B186" s="2617"/>
      <c r="C186" s="2936"/>
      <c r="D186" s="543" t="s">
        <v>1280</v>
      </c>
      <c r="E186" s="1062"/>
      <c r="F186" s="1345"/>
      <c r="G186" s="1281">
        <v>10</v>
      </c>
      <c r="H186" s="1281">
        <v>10</v>
      </c>
      <c r="I186" s="1281">
        <v>10</v>
      </c>
      <c r="J186" s="1281">
        <v>10</v>
      </c>
      <c r="K186" s="1281">
        <v>10</v>
      </c>
      <c r="L186" s="1281">
        <v>10</v>
      </c>
      <c r="M186" s="1281"/>
      <c r="N186" s="1281">
        <v>10</v>
      </c>
      <c r="O186" s="1281">
        <v>10</v>
      </c>
      <c r="P186" s="1281">
        <v>10</v>
      </c>
      <c r="Q186" s="1281">
        <v>10</v>
      </c>
      <c r="R186" s="1281">
        <v>10</v>
      </c>
      <c r="S186" s="1281">
        <v>10</v>
      </c>
      <c r="T186" s="1281">
        <v>10</v>
      </c>
      <c r="U186" s="1281">
        <v>10</v>
      </c>
      <c r="V186" s="1281">
        <v>10</v>
      </c>
      <c r="W186" s="1281">
        <v>10</v>
      </c>
      <c r="X186" s="1281">
        <v>10</v>
      </c>
      <c r="Y186" s="1281"/>
      <c r="Z186" s="12"/>
      <c r="AA186" s="579">
        <f t="shared" si="117"/>
        <v>170</v>
      </c>
      <c r="AC186" s="46"/>
      <c r="AD186" s="46"/>
      <c r="AE186" s="46"/>
      <c r="AI186" s="1306"/>
      <c r="AJ186" s="1316"/>
      <c r="AQ186" s="1306"/>
      <c r="AR186" s="1316"/>
      <c r="AV186" s="1306"/>
    </row>
    <row r="187" spans="1:48" ht="21.95" customHeight="1" x14ac:dyDescent="0.15">
      <c r="A187" s="2707"/>
      <c r="B187" s="2617"/>
      <c r="C187" s="2936"/>
      <c r="D187" s="543" t="s">
        <v>206</v>
      </c>
      <c r="E187" s="1063"/>
      <c r="F187" s="1362"/>
      <c r="G187" s="1073">
        <v>8.7200000000000006</v>
      </c>
      <c r="H187" s="1073">
        <v>4.3099999999999996</v>
      </c>
      <c r="I187" s="1073">
        <v>0.66</v>
      </c>
      <c r="J187" s="1073">
        <v>0.84</v>
      </c>
      <c r="K187" s="1073">
        <v>5.46</v>
      </c>
      <c r="L187" s="1073">
        <v>3.22</v>
      </c>
      <c r="M187" s="1073"/>
      <c r="N187" s="1073">
        <f>12.82+11.04</f>
        <v>23.86</v>
      </c>
      <c r="O187" s="1073">
        <f>15.76+3.72</f>
        <v>19.48</v>
      </c>
      <c r="P187" s="1073">
        <f>1.88+9.63</f>
        <v>11.510000000000002</v>
      </c>
      <c r="Q187" s="1073">
        <v>2.57</v>
      </c>
      <c r="R187" s="1073">
        <f>13.96+19.47</f>
        <v>33.43</v>
      </c>
      <c r="S187" s="1073">
        <f>18+7.25</f>
        <v>25.25</v>
      </c>
      <c r="T187" s="1073">
        <f>30.67+7.77</f>
        <v>38.44</v>
      </c>
      <c r="U187" s="1073">
        <f>20.78+9.1</f>
        <v>29.880000000000003</v>
      </c>
      <c r="V187" s="1073">
        <f>26.2+6.16</f>
        <v>32.36</v>
      </c>
      <c r="W187" s="1073">
        <v>0.79</v>
      </c>
      <c r="X187" s="1073">
        <v>0.51</v>
      </c>
      <c r="Y187" s="1073"/>
      <c r="Z187" s="1277">
        <f>TRUNC(SUM(G187:Y187),2)</f>
        <v>241.29</v>
      </c>
      <c r="AA187" s="579">
        <f t="shared" si="117"/>
        <v>482.58</v>
      </c>
      <c r="AC187" s="46"/>
      <c r="AD187" s="46"/>
      <c r="AE187" s="46"/>
      <c r="AI187" s="1306"/>
      <c r="AJ187" s="1316"/>
      <c r="AQ187" s="1306"/>
      <c r="AR187" s="1316"/>
      <c r="AV187" s="1306"/>
    </row>
    <row r="188" spans="1:48" ht="21.95" customHeight="1" thickBot="1" x14ac:dyDescent="0.2">
      <c r="A188" s="2707"/>
      <c r="B188" s="2618"/>
      <c r="C188" s="2943" t="s">
        <v>1513</v>
      </c>
      <c r="D188" s="2828"/>
      <c r="E188" s="983"/>
      <c r="F188" s="1270"/>
      <c r="G188" s="215">
        <f t="shared" ref="G188:X188" si="121">G187+G183</f>
        <v>8.7200000000000006</v>
      </c>
      <c r="H188" s="215">
        <f t="shared" si="121"/>
        <v>4.3099999999999996</v>
      </c>
      <c r="I188" s="215">
        <f t="shared" si="121"/>
        <v>0.66</v>
      </c>
      <c r="J188" s="215">
        <f t="shared" si="121"/>
        <v>0.84</v>
      </c>
      <c r="K188" s="215">
        <f t="shared" si="121"/>
        <v>5.46</v>
      </c>
      <c r="L188" s="215">
        <f t="shared" si="121"/>
        <v>3.22</v>
      </c>
      <c r="M188" s="215">
        <f t="shared" si="121"/>
        <v>0</v>
      </c>
      <c r="N188" s="215">
        <f t="shared" si="121"/>
        <v>23.86</v>
      </c>
      <c r="O188" s="215">
        <f t="shared" si="121"/>
        <v>19.48</v>
      </c>
      <c r="P188" s="215">
        <f t="shared" si="121"/>
        <v>11.510000000000002</v>
      </c>
      <c r="Q188" s="215">
        <f t="shared" si="121"/>
        <v>2.57</v>
      </c>
      <c r="R188" s="215">
        <f t="shared" si="121"/>
        <v>33.43</v>
      </c>
      <c r="S188" s="215">
        <f t="shared" si="121"/>
        <v>25.25</v>
      </c>
      <c r="T188" s="215">
        <f t="shared" si="121"/>
        <v>38.44</v>
      </c>
      <c r="U188" s="215">
        <f t="shared" si="121"/>
        <v>29.880000000000003</v>
      </c>
      <c r="V188" s="215">
        <f t="shared" si="121"/>
        <v>32.36</v>
      </c>
      <c r="W188" s="215">
        <f t="shared" si="121"/>
        <v>0.79</v>
      </c>
      <c r="X188" s="215">
        <f t="shared" si="121"/>
        <v>0.51</v>
      </c>
      <c r="Y188" s="215"/>
      <c r="Z188" s="416">
        <f>TRUNC(SUM(G188:Y188),2)</f>
        <v>241.29</v>
      </c>
      <c r="AA188" s="579">
        <f t="shared" si="117"/>
        <v>482.58</v>
      </c>
      <c r="AI188" s="1306"/>
      <c r="AJ188" s="1316"/>
      <c r="AQ188" s="1306"/>
      <c r="AR188" s="1316"/>
      <c r="AV188" s="1306"/>
    </row>
    <row r="189" spans="1:48" ht="21.95" hidden="1" customHeight="1" x14ac:dyDescent="0.15">
      <c r="A189" s="2707"/>
      <c r="B189" s="2616" t="s">
        <v>1514</v>
      </c>
      <c r="C189" s="2939" t="s">
        <v>3</v>
      </c>
      <c r="D189" s="2940"/>
      <c r="E189" s="1061"/>
      <c r="F189" s="1344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430"/>
      <c r="AA189" s="579">
        <f t="shared" si="117"/>
        <v>0</v>
      </c>
      <c r="AC189" s="46"/>
      <c r="AD189" s="46"/>
      <c r="AE189" s="46"/>
      <c r="AI189" s="1306"/>
      <c r="AJ189" s="1316"/>
      <c r="AQ189" s="1306"/>
      <c r="AR189" s="1316"/>
      <c r="AV189" s="1306"/>
    </row>
    <row r="190" spans="1:48" ht="21.95" hidden="1" customHeight="1" x14ac:dyDescent="0.15">
      <c r="A190" s="2707"/>
      <c r="B190" s="2617"/>
      <c r="C190" s="2939" t="s">
        <v>58</v>
      </c>
      <c r="D190" s="2940"/>
      <c r="E190" s="1062"/>
      <c r="F190" s="1345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428"/>
      <c r="AA190" s="579">
        <f t="shared" si="117"/>
        <v>0</v>
      </c>
      <c r="AC190" s="46"/>
      <c r="AD190" s="46"/>
      <c r="AE190" s="46"/>
      <c r="AI190" s="1306"/>
      <c r="AJ190" s="1316"/>
      <c r="AQ190" s="1306"/>
      <c r="AR190" s="1316"/>
      <c r="AV190" s="1306"/>
    </row>
    <row r="191" spans="1:48" ht="21.95" hidden="1" customHeight="1" x14ac:dyDescent="0.15">
      <c r="A191" s="2707"/>
      <c r="B191" s="2617"/>
      <c r="C191" s="2939" t="s">
        <v>1280</v>
      </c>
      <c r="D191" s="2940"/>
      <c r="E191" s="1062"/>
      <c r="F191" s="1345"/>
      <c r="G191" s="426"/>
      <c r="H191" s="426"/>
      <c r="I191" s="426"/>
      <c r="J191" s="426"/>
      <c r="K191" s="426"/>
      <c r="L191" s="426"/>
      <c r="M191" s="426"/>
      <c r="N191" s="426"/>
      <c r="O191" s="426"/>
      <c r="P191" s="426"/>
      <c r="Q191" s="426"/>
      <c r="R191" s="426"/>
      <c r="S191" s="426"/>
      <c r="T191" s="426"/>
      <c r="U191" s="426"/>
      <c r="V191" s="426"/>
      <c r="W191" s="426"/>
      <c r="X191" s="426"/>
      <c r="Y191" s="426"/>
      <c r="Z191" s="428"/>
      <c r="AA191" s="579">
        <f t="shared" si="117"/>
        <v>0</v>
      </c>
      <c r="AC191" s="46"/>
      <c r="AD191" s="46"/>
      <c r="AE191" s="46"/>
      <c r="AI191" s="1306"/>
      <c r="AJ191" s="1316"/>
      <c r="AQ191" s="1306"/>
      <c r="AR191" s="1316"/>
      <c r="AV191" s="1306"/>
    </row>
    <row r="192" spans="1:48" ht="21.95" hidden="1" customHeight="1" thickBot="1" x14ac:dyDescent="0.2">
      <c r="A192" s="2707"/>
      <c r="B192" s="2618"/>
      <c r="C192" s="2943" t="s">
        <v>206</v>
      </c>
      <c r="D192" s="2828"/>
      <c r="E192" s="983"/>
      <c r="F192" s="1270"/>
      <c r="G192" s="215">
        <f t="shared" ref="G192:X192" si="122">G191*G190*G189/100</f>
        <v>0</v>
      </c>
      <c r="H192" s="215">
        <f t="shared" si="122"/>
        <v>0</v>
      </c>
      <c r="I192" s="215">
        <f t="shared" si="122"/>
        <v>0</v>
      </c>
      <c r="J192" s="215">
        <f t="shared" si="122"/>
        <v>0</v>
      </c>
      <c r="K192" s="215">
        <f t="shared" si="122"/>
        <v>0</v>
      </c>
      <c r="L192" s="215">
        <f t="shared" si="122"/>
        <v>0</v>
      </c>
      <c r="M192" s="215">
        <f t="shared" si="122"/>
        <v>0</v>
      </c>
      <c r="N192" s="215">
        <f t="shared" si="122"/>
        <v>0</v>
      </c>
      <c r="O192" s="215">
        <f t="shared" si="122"/>
        <v>0</v>
      </c>
      <c r="P192" s="215">
        <f t="shared" si="122"/>
        <v>0</v>
      </c>
      <c r="Q192" s="215">
        <f t="shared" si="122"/>
        <v>0</v>
      </c>
      <c r="R192" s="215">
        <f t="shared" si="122"/>
        <v>0</v>
      </c>
      <c r="S192" s="215">
        <f t="shared" si="122"/>
        <v>0</v>
      </c>
      <c r="T192" s="215">
        <f t="shared" si="122"/>
        <v>0</v>
      </c>
      <c r="U192" s="215">
        <f t="shared" si="122"/>
        <v>0</v>
      </c>
      <c r="V192" s="215">
        <f t="shared" si="122"/>
        <v>0</v>
      </c>
      <c r="W192" s="215">
        <f t="shared" si="122"/>
        <v>0</v>
      </c>
      <c r="X192" s="215">
        <f t="shared" si="122"/>
        <v>0</v>
      </c>
      <c r="Y192" s="215"/>
      <c r="Z192" s="416">
        <f>TRUNC(SUM(G192:Y192),2)</f>
        <v>0</v>
      </c>
      <c r="AA192" s="579">
        <f t="shared" si="117"/>
        <v>0</v>
      </c>
      <c r="AC192" s="46"/>
      <c r="AD192" s="46"/>
      <c r="AE192" s="46"/>
      <c r="AI192" s="1306"/>
      <c r="AJ192" s="1316"/>
      <c r="AQ192" s="1306"/>
      <c r="AR192" s="1316"/>
      <c r="AV192" s="1306"/>
    </row>
    <row r="193" spans="1:55" ht="21.95" hidden="1" customHeight="1" x14ac:dyDescent="0.15">
      <c r="A193" s="2707"/>
      <c r="B193" s="2616" t="s">
        <v>1515</v>
      </c>
      <c r="C193" s="2945" t="s">
        <v>3</v>
      </c>
      <c r="D193" s="2946"/>
      <c r="E193" s="1061"/>
      <c r="F193" s="1344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430"/>
      <c r="AA193" s="579">
        <f t="shared" si="117"/>
        <v>0</v>
      </c>
      <c r="AC193" s="46"/>
      <c r="AD193" s="46"/>
      <c r="AE193" s="46"/>
      <c r="AI193" s="1306"/>
      <c r="AJ193" s="1316"/>
      <c r="AQ193" s="1306"/>
      <c r="AR193" s="1316"/>
      <c r="AV193" s="1306"/>
    </row>
    <row r="194" spans="1:55" ht="21.95" hidden="1" customHeight="1" x14ac:dyDescent="0.15">
      <c r="A194" s="2707"/>
      <c r="B194" s="2617"/>
      <c r="C194" s="2939" t="s">
        <v>58</v>
      </c>
      <c r="D194" s="2940"/>
      <c r="E194" s="1062"/>
      <c r="F194" s="1345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428"/>
      <c r="AA194" s="579">
        <f t="shared" si="117"/>
        <v>0</v>
      </c>
      <c r="AC194" s="46"/>
      <c r="AD194" s="46"/>
      <c r="AE194" s="46"/>
      <c r="AI194" s="1306"/>
      <c r="AJ194" s="1316"/>
      <c r="AQ194" s="1306"/>
      <c r="AR194" s="1316"/>
      <c r="AV194" s="1306"/>
    </row>
    <row r="195" spans="1:55" ht="21.95" hidden="1" customHeight="1" x14ac:dyDescent="0.15">
      <c r="A195" s="2707"/>
      <c r="B195" s="2617"/>
      <c r="C195" s="2939" t="s">
        <v>1280</v>
      </c>
      <c r="D195" s="2940"/>
      <c r="E195" s="1062"/>
      <c r="F195" s="1345"/>
      <c r="G195" s="426"/>
      <c r="H195" s="426"/>
      <c r="I195" s="426"/>
      <c r="J195" s="426"/>
      <c r="K195" s="426"/>
      <c r="L195" s="426"/>
      <c r="M195" s="426"/>
      <c r="N195" s="426"/>
      <c r="O195" s="426"/>
      <c r="P195" s="426"/>
      <c r="Q195" s="426"/>
      <c r="R195" s="426"/>
      <c r="S195" s="426"/>
      <c r="T195" s="426"/>
      <c r="U195" s="426"/>
      <c r="V195" s="426"/>
      <c r="W195" s="426"/>
      <c r="X195" s="426"/>
      <c r="Y195" s="426"/>
      <c r="Z195" s="428"/>
      <c r="AA195" s="579">
        <f t="shared" si="117"/>
        <v>0</v>
      </c>
      <c r="AC195" s="46"/>
      <c r="AD195" s="46"/>
      <c r="AE195" s="46"/>
      <c r="AI195" s="1306"/>
      <c r="AJ195" s="1316"/>
      <c r="AQ195" s="1306"/>
      <c r="AR195" s="1316"/>
      <c r="AV195" s="1306"/>
    </row>
    <row r="196" spans="1:55" ht="21.95" hidden="1" customHeight="1" x14ac:dyDescent="0.15">
      <c r="A196" s="2707"/>
      <c r="B196" s="2617"/>
      <c r="C196" s="2939" t="s">
        <v>29</v>
      </c>
      <c r="D196" s="2940"/>
      <c r="E196" s="1062"/>
      <c r="F196" s="1345"/>
      <c r="G196" s="426"/>
      <c r="H196" s="426"/>
      <c r="I196" s="426"/>
      <c r="J196" s="426"/>
      <c r="K196" s="426"/>
      <c r="L196" s="426"/>
      <c r="M196" s="426"/>
      <c r="N196" s="426"/>
      <c r="O196" s="426"/>
      <c r="P196" s="426"/>
      <c r="Q196" s="426"/>
      <c r="R196" s="426"/>
      <c r="S196" s="426"/>
      <c r="T196" s="426"/>
      <c r="U196" s="426"/>
      <c r="V196" s="426"/>
      <c r="W196" s="426"/>
      <c r="X196" s="426"/>
      <c r="Y196" s="426"/>
      <c r="Z196" s="12">
        <f t="shared" ref="Z196:Z223" si="123">TRUNC(SUM(G196:Y196),2)</f>
        <v>0</v>
      </c>
      <c r="AA196" s="579">
        <f t="shared" si="117"/>
        <v>0</v>
      </c>
      <c r="AC196" s="46"/>
      <c r="AD196" s="46"/>
      <c r="AE196" s="46"/>
      <c r="AI196" s="1306"/>
      <c r="AJ196" s="1316"/>
      <c r="AQ196" s="1306"/>
      <c r="AR196" s="1316"/>
      <c r="AV196" s="1306"/>
    </row>
    <row r="197" spans="1:55" ht="21.95" hidden="1" customHeight="1" thickBot="1" x14ac:dyDescent="0.2">
      <c r="A197" s="2707"/>
      <c r="B197" s="2618"/>
      <c r="C197" s="2939" t="s">
        <v>206</v>
      </c>
      <c r="D197" s="2940"/>
      <c r="E197" s="983"/>
      <c r="F197" s="1270"/>
      <c r="G197" s="215">
        <f t="shared" ref="G197:X197" si="124">G195*G194*G193/100</f>
        <v>0</v>
      </c>
      <c r="H197" s="215">
        <f t="shared" si="124"/>
        <v>0</v>
      </c>
      <c r="I197" s="215">
        <f t="shared" si="124"/>
        <v>0</v>
      </c>
      <c r="J197" s="215">
        <f t="shared" si="124"/>
        <v>0</v>
      </c>
      <c r="K197" s="215">
        <f t="shared" si="124"/>
        <v>0</v>
      </c>
      <c r="L197" s="215">
        <f t="shared" si="124"/>
        <v>0</v>
      </c>
      <c r="M197" s="215">
        <f t="shared" si="124"/>
        <v>0</v>
      </c>
      <c r="N197" s="215">
        <f t="shared" si="124"/>
        <v>0</v>
      </c>
      <c r="O197" s="215">
        <f t="shared" si="124"/>
        <v>0</v>
      </c>
      <c r="P197" s="215">
        <f t="shared" si="124"/>
        <v>0</v>
      </c>
      <c r="Q197" s="215">
        <f t="shared" si="124"/>
        <v>0</v>
      </c>
      <c r="R197" s="215">
        <f t="shared" si="124"/>
        <v>0</v>
      </c>
      <c r="S197" s="215">
        <f t="shared" si="124"/>
        <v>0</v>
      </c>
      <c r="T197" s="215">
        <f t="shared" si="124"/>
        <v>0</v>
      </c>
      <c r="U197" s="215">
        <f t="shared" si="124"/>
        <v>0</v>
      </c>
      <c r="V197" s="215">
        <f t="shared" si="124"/>
        <v>0</v>
      </c>
      <c r="W197" s="215">
        <f t="shared" si="124"/>
        <v>0</v>
      </c>
      <c r="X197" s="215">
        <f t="shared" si="124"/>
        <v>0</v>
      </c>
      <c r="Y197" s="215"/>
      <c r="Z197" s="416">
        <f t="shared" si="123"/>
        <v>0</v>
      </c>
      <c r="AA197" s="579">
        <f t="shared" si="117"/>
        <v>0</v>
      </c>
      <c r="AC197" s="46"/>
      <c r="AD197" s="46"/>
      <c r="AE197" s="46"/>
      <c r="AI197" s="1306"/>
      <c r="AJ197" s="1316"/>
      <c r="AQ197" s="1306"/>
      <c r="AR197" s="1316"/>
      <c r="AV197" s="1306"/>
    </row>
    <row r="198" spans="1:55" ht="21.95" hidden="1" customHeight="1" x14ac:dyDescent="0.15">
      <c r="A198" s="2707"/>
      <c r="B198" s="2911" t="s">
        <v>1528</v>
      </c>
      <c r="C198" s="2937" t="s">
        <v>1516</v>
      </c>
      <c r="D198" s="2938"/>
      <c r="E198" s="1062"/>
      <c r="F198" s="1345"/>
      <c r="G198" s="426"/>
      <c r="H198" s="426"/>
      <c r="I198" s="426"/>
      <c r="J198" s="426"/>
      <c r="K198" s="426"/>
      <c r="L198" s="426"/>
      <c r="M198" s="426"/>
      <c r="N198" s="426"/>
      <c r="O198" s="426"/>
      <c r="P198" s="426"/>
      <c r="Q198" s="426"/>
      <c r="R198" s="426"/>
      <c r="S198" s="426"/>
      <c r="T198" s="426"/>
      <c r="U198" s="426"/>
      <c r="V198" s="426"/>
      <c r="W198" s="426"/>
      <c r="X198" s="426"/>
      <c r="Y198" s="426"/>
      <c r="Z198" s="425">
        <f t="shared" si="123"/>
        <v>0</v>
      </c>
      <c r="AA198" s="579">
        <f t="shared" si="117"/>
        <v>0</v>
      </c>
      <c r="AC198" s="46"/>
      <c r="AD198" s="46"/>
      <c r="AE198" s="46"/>
      <c r="AI198" s="1306"/>
      <c r="AJ198" s="1316"/>
      <c r="AQ198" s="1306"/>
      <c r="AR198" s="1316"/>
      <c r="AV198" s="1306"/>
    </row>
    <row r="199" spans="1:55" ht="21.95" hidden="1" customHeight="1" x14ac:dyDescent="0.15">
      <c r="A199" s="2707"/>
      <c r="B199" s="2912"/>
      <c r="C199" s="2939" t="s">
        <v>1537</v>
      </c>
      <c r="D199" s="2940"/>
      <c r="E199" s="1062"/>
      <c r="F199" s="1345"/>
      <c r="G199" s="426"/>
      <c r="H199" s="426"/>
      <c r="I199" s="426"/>
      <c r="J199" s="426"/>
      <c r="K199" s="426"/>
      <c r="L199" s="426"/>
      <c r="M199" s="426"/>
      <c r="N199" s="426"/>
      <c r="O199" s="426"/>
      <c r="P199" s="426"/>
      <c r="Q199" s="426"/>
      <c r="R199" s="426"/>
      <c r="S199" s="426"/>
      <c r="T199" s="426"/>
      <c r="U199" s="426"/>
      <c r="V199" s="426"/>
      <c r="W199" s="426"/>
      <c r="X199" s="426"/>
      <c r="Y199" s="426"/>
      <c r="Z199" s="425">
        <f t="shared" si="123"/>
        <v>0</v>
      </c>
      <c r="AA199" s="579">
        <f t="shared" si="117"/>
        <v>0</v>
      </c>
      <c r="AB199" s="1038"/>
      <c r="AC199" s="1038">
        <v>0.05</v>
      </c>
      <c r="AD199" s="1038"/>
      <c r="AE199" s="1038">
        <v>307.77999999999997</v>
      </c>
      <c r="AF199" s="1038"/>
      <c r="AG199" s="1038"/>
      <c r="AH199" s="1038"/>
      <c r="AI199" s="1305"/>
      <c r="AJ199" s="1315"/>
      <c r="AK199" s="1038">
        <v>0.05</v>
      </c>
      <c r="AL199" s="1038"/>
      <c r="AM199" s="1038">
        <v>0.89</v>
      </c>
      <c r="AN199" s="1038"/>
      <c r="AO199" s="1038"/>
      <c r="AP199" s="1038"/>
      <c r="AQ199" s="1305"/>
      <c r="AR199" s="1315"/>
      <c r="AS199" s="1038">
        <v>0.05</v>
      </c>
      <c r="AT199" s="1038"/>
      <c r="AU199" s="1038"/>
      <c r="AV199" s="1305"/>
      <c r="AW199" s="1038">
        <v>2</v>
      </c>
      <c r="AX199" s="1038"/>
      <c r="AY199" s="1038"/>
      <c r="AZ199" s="1038"/>
      <c r="BA199" s="1038">
        <v>0.2</v>
      </c>
      <c r="BB199" s="1038"/>
      <c r="BC199" s="1290">
        <v>6171</v>
      </c>
    </row>
    <row r="200" spans="1:55" ht="21.95" hidden="1" customHeight="1" x14ac:dyDescent="0.15">
      <c r="A200" s="2707"/>
      <c r="B200" s="2912"/>
      <c r="C200" s="2939" t="s">
        <v>1517</v>
      </c>
      <c r="D200" s="2940"/>
      <c r="E200" s="1062"/>
      <c r="F200" s="1563">
        <v>3.5</v>
      </c>
      <c r="G200" s="426"/>
      <c r="H200" s="426"/>
      <c r="I200" s="426"/>
      <c r="J200" s="426"/>
      <c r="K200" s="426"/>
      <c r="L200" s="426"/>
      <c r="M200" s="426"/>
      <c r="N200" s="426"/>
      <c r="O200" s="426"/>
      <c r="P200" s="426"/>
      <c r="Q200" s="426"/>
      <c r="R200" s="426"/>
      <c r="S200" s="426"/>
      <c r="T200" s="426"/>
      <c r="U200" s="426"/>
      <c r="V200" s="426"/>
      <c r="W200" s="426"/>
      <c r="X200" s="426"/>
      <c r="Y200" s="426"/>
      <c r="Z200" s="425">
        <f t="shared" si="123"/>
        <v>0</v>
      </c>
      <c r="AA200" s="579">
        <f t="shared" si="117"/>
        <v>0</v>
      </c>
      <c r="AB200" s="1038"/>
      <c r="AC200" s="1038"/>
      <c r="AD200" s="1038"/>
      <c r="AE200" s="1038"/>
      <c r="AF200" s="1038"/>
      <c r="AG200" s="1038">
        <v>1.8E-3</v>
      </c>
      <c r="AH200" s="1038"/>
      <c r="AI200" s="1305"/>
      <c r="AJ200" s="1315"/>
      <c r="AK200" s="1038"/>
      <c r="AL200" s="1038"/>
      <c r="AM200" s="1038"/>
      <c r="AN200" s="1038"/>
      <c r="AO200" s="1038">
        <v>1.8E-3</v>
      </c>
      <c r="AP200" s="1038"/>
      <c r="AQ200" s="1305"/>
      <c r="AR200" s="1315"/>
      <c r="AS200" s="1038"/>
      <c r="AT200" s="1038"/>
      <c r="AU200" s="1038"/>
      <c r="AV200" s="1305"/>
      <c r="AW200" s="1038"/>
      <c r="AX200" s="1038"/>
      <c r="AY200" s="1038"/>
      <c r="AZ200" s="1038"/>
      <c r="BA200" s="1038"/>
      <c r="BB200" s="1038"/>
      <c r="BC200" s="1290" t="s">
        <v>1539</v>
      </c>
    </row>
    <row r="201" spans="1:55" ht="21.95" hidden="1" customHeight="1" x14ac:dyDescent="0.15">
      <c r="A201" s="2707"/>
      <c r="B201" s="2912"/>
      <c r="C201" s="2939" t="s">
        <v>1518</v>
      </c>
      <c r="D201" s="2940"/>
      <c r="E201" s="1062"/>
      <c r="F201" s="1563">
        <v>5.8</v>
      </c>
      <c r="G201" s="426"/>
      <c r="H201" s="426"/>
      <c r="I201" s="426"/>
      <c r="J201" s="426"/>
      <c r="K201" s="426"/>
      <c r="L201" s="426"/>
      <c r="M201" s="426"/>
      <c r="N201" s="426"/>
      <c r="O201" s="426"/>
      <c r="P201" s="426"/>
      <c r="Q201" s="426"/>
      <c r="R201" s="426"/>
      <c r="S201" s="426"/>
      <c r="T201" s="426"/>
      <c r="U201" s="426"/>
      <c r="V201" s="426"/>
      <c r="W201" s="426"/>
      <c r="X201" s="426"/>
      <c r="Y201" s="426"/>
      <c r="Z201" s="425">
        <f t="shared" si="123"/>
        <v>0</v>
      </c>
      <c r="AA201" s="579">
        <f t="shared" si="117"/>
        <v>0</v>
      </c>
      <c r="AB201" s="1038"/>
      <c r="AC201" s="1038"/>
      <c r="AD201" s="1038"/>
      <c r="AE201" s="1038"/>
      <c r="AF201" s="1038"/>
      <c r="AG201" s="1038">
        <v>2.7000000000000001E-3</v>
      </c>
      <c r="AH201" s="1038"/>
      <c r="AI201" s="1305"/>
      <c r="AJ201" s="1315"/>
      <c r="AK201" s="1038"/>
      <c r="AL201" s="1038"/>
      <c r="AM201" s="1038"/>
      <c r="AN201" s="1038"/>
      <c r="AO201" s="1038">
        <v>2.7000000000000001E-3</v>
      </c>
      <c r="AP201" s="1038"/>
      <c r="AQ201" s="1305"/>
      <c r="AR201" s="1315"/>
      <c r="AS201" s="1038"/>
      <c r="AT201" s="1038"/>
      <c r="AU201" s="1038"/>
      <c r="AV201" s="1305"/>
      <c r="AW201" s="1038"/>
      <c r="AX201" s="1038"/>
      <c r="AY201" s="1038"/>
      <c r="AZ201" s="1038"/>
      <c r="BA201" s="1038"/>
      <c r="BB201" s="1038"/>
      <c r="BC201" s="1290" t="s">
        <v>1540</v>
      </c>
    </row>
    <row r="202" spans="1:55" ht="21.95" hidden="1" customHeight="1" x14ac:dyDescent="0.15">
      <c r="A202" s="2707"/>
      <c r="B202" s="2912"/>
      <c r="C202" s="2939" t="s">
        <v>1519</v>
      </c>
      <c r="D202" s="2940"/>
      <c r="E202" s="1062"/>
      <c r="F202" s="1563">
        <f>75*0.3*0.4</f>
        <v>9</v>
      </c>
      <c r="G202" s="426"/>
      <c r="H202" s="426"/>
      <c r="I202" s="426"/>
      <c r="J202" s="426"/>
      <c r="K202" s="426"/>
      <c r="L202" s="426"/>
      <c r="M202" s="426"/>
      <c r="N202" s="426"/>
      <c r="O202" s="426"/>
      <c r="P202" s="426"/>
      <c r="Q202" s="426"/>
      <c r="R202" s="426"/>
      <c r="S202" s="426"/>
      <c r="T202" s="426"/>
      <c r="U202" s="426"/>
      <c r="V202" s="426"/>
      <c r="W202" s="426"/>
      <c r="X202" s="426"/>
      <c r="Y202" s="426"/>
      <c r="Z202" s="425">
        <f t="shared" si="123"/>
        <v>0</v>
      </c>
      <c r="AA202" s="579">
        <f t="shared" si="117"/>
        <v>0</v>
      </c>
      <c r="AB202" s="1038"/>
      <c r="AC202" s="1038"/>
      <c r="AD202" s="1038"/>
      <c r="AE202" s="1038"/>
      <c r="AF202" s="1038"/>
      <c r="AG202" s="1038">
        <v>3.15E-3</v>
      </c>
      <c r="AH202" s="1038"/>
      <c r="AI202" s="1305"/>
      <c r="AJ202" s="1315"/>
      <c r="AK202" s="1038"/>
      <c r="AL202" s="1038"/>
      <c r="AM202" s="1038"/>
      <c r="AN202" s="1038"/>
      <c r="AO202" s="1038">
        <v>3.15E-3</v>
      </c>
      <c r="AP202" s="1038"/>
      <c r="AQ202" s="1305"/>
      <c r="AR202" s="1315"/>
      <c r="AS202" s="1038"/>
      <c r="AT202" s="1038"/>
      <c r="AU202" s="1038"/>
      <c r="AV202" s="1305"/>
      <c r="AW202" s="1038"/>
      <c r="AX202" s="1038"/>
      <c r="AY202" s="1038"/>
      <c r="AZ202" s="1038"/>
      <c r="BA202" s="1038"/>
      <c r="BB202" s="1038"/>
      <c r="BC202" s="1290" t="s">
        <v>1541</v>
      </c>
    </row>
    <row r="203" spans="1:55" ht="21.95" hidden="1" customHeight="1" x14ac:dyDescent="0.15">
      <c r="A203" s="2707"/>
      <c r="B203" s="2912"/>
      <c r="C203" s="2939" t="s">
        <v>1520</v>
      </c>
      <c r="D203" s="2940"/>
      <c r="E203" s="1062"/>
      <c r="F203" s="1563">
        <v>12</v>
      </c>
      <c r="G203" s="426"/>
      <c r="H203" s="426"/>
      <c r="I203" s="426"/>
      <c r="J203" s="426"/>
      <c r="K203" s="426"/>
      <c r="L203" s="426"/>
      <c r="M203" s="426"/>
      <c r="N203" s="426"/>
      <c r="O203" s="426"/>
      <c r="P203" s="426"/>
      <c r="Q203" s="426"/>
      <c r="R203" s="426"/>
      <c r="S203" s="426"/>
      <c r="T203" s="426"/>
      <c r="U203" s="426"/>
      <c r="V203" s="426"/>
      <c r="W203" s="426"/>
      <c r="X203" s="426"/>
      <c r="Y203" s="426"/>
      <c r="Z203" s="425">
        <f t="shared" si="123"/>
        <v>0</v>
      </c>
      <c r="AA203" s="579">
        <f t="shared" si="117"/>
        <v>0</v>
      </c>
      <c r="AB203" s="1038"/>
      <c r="AC203" s="1038"/>
      <c r="AD203" s="1038"/>
      <c r="AE203" s="1038"/>
      <c r="AF203" s="1038"/>
      <c r="AG203" s="1038">
        <v>3.5999999999999999E-3</v>
      </c>
      <c r="AH203" s="1038"/>
      <c r="AI203" s="1305"/>
      <c r="AJ203" s="1315"/>
      <c r="AK203" s="1038"/>
      <c r="AL203" s="1038"/>
      <c r="AM203" s="1038"/>
      <c r="AN203" s="1038"/>
      <c r="AO203" s="1038">
        <v>3.5999999999999999E-3</v>
      </c>
      <c r="AP203" s="1038"/>
      <c r="AQ203" s="1305"/>
      <c r="AR203" s="1315"/>
      <c r="AS203" s="1038"/>
      <c r="AT203" s="1038"/>
      <c r="AU203" s="1038"/>
      <c r="AV203" s="1305"/>
      <c r="AW203" s="1038"/>
      <c r="AX203" s="1038"/>
      <c r="AY203" s="1038"/>
      <c r="AZ203" s="1038"/>
      <c r="BA203" s="1038"/>
      <c r="BB203" s="1038"/>
      <c r="BC203" s="1290" t="s">
        <v>1542</v>
      </c>
    </row>
    <row r="204" spans="1:55" ht="21.95" hidden="1" customHeight="1" x14ac:dyDescent="0.15">
      <c r="A204" s="2707"/>
      <c r="B204" s="2912"/>
      <c r="C204" s="2939" t="s">
        <v>1521</v>
      </c>
      <c r="D204" s="2940"/>
      <c r="E204" s="1062"/>
      <c r="F204" s="1563">
        <f>75*0.4*0.5</f>
        <v>15</v>
      </c>
      <c r="G204" s="426"/>
      <c r="H204" s="426"/>
      <c r="I204" s="426"/>
      <c r="J204" s="426"/>
      <c r="K204" s="426"/>
      <c r="L204" s="426"/>
      <c r="M204" s="426"/>
      <c r="N204" s="426"/>
      <c r="O204" s="426"/>
      <c r="P204" s="426"/>
      <c r="Q204" s="426"/>
      <c r="R204" s="426"/>
      <c r="S204" s="426"/>
      <c r="T204" s="426"/>
      <c r="U204" s="426"/>
      <c r="V204" s="426"/>
      <c r="W204" s="426"/>
      <c r="X204" s="426"/>
      <c r="Y204" s="426"/>
      <c r="Z204" s="425">
        <f t="shared" si="123"/>
        <v>0</v>
      </c>
      <c r="AA204" s="579">
        <f t="shared" si="117"/>
        <v>0</v>
      </c>
      <c r="AB204" s="1038"/>
      <c r="AC204" s="1038"/>
      <c r="AD204" s="1038"/>
      <c r="AE204" s="1038"/>
      <c r="AF204" s="1038"/>
      <c r="AG204" s="1038">
        <v>4.0499999999999998E-3</v>
      </c>
      <c r="AH204" s="1038"/>
      <c r="AI204" s="1305"/>
      <c r="AJ204" s="1315"/>
      <c r="AK204" s="1038"/>
      <c r="AL204" s="1038"/>
      <c r="AM204" s="1038"/>
      <c r="AN204" s="1038"/>
      <c r="AO204" s="1038">
        <v>4.0499999999999998E-3</v>
      </c>
      <c r="AP204" s="1038"/>
      <c r="AQ204" s="1305"/>
      <c r="AR204" s="1315"/>
      <c r="AS204" s="1038"/>
      <c r="AT204" s="1038"/>
      <c r="AU204" s="1038"/>
      <c r="AV204" s="1305"/>
      <c r="AW204" s="1038"/>
      <c r="AX204" s="1038"/>
      <c r="AY204" s="1038"/>
      <c r="AZ204" s="1038"/>
      <c r="BA204" s="1038"/>
      <c r="BB204" s="1038"/>
      <c r="BC204" s="1290" t="s">
        <v>1543</v>
      </c>
    </row>
    <row r="205" spans="1:55" ht="21.95" hidden="1" customHeight="1" x14ac:dyDescent="0.15">
      <c r="A205" s="2707"/>
      <c r="B205" s="2912"/>
      <c r="C205" s="2939" t="s">
        <v>1522</v>
      </c>
      <c r="D205" s="2940"/>
      <c r="E205" s="1062"/>
      <c r="F205" s="1563">
        <f>75*0.4*0.6</f>
        <v>18</v>
      </c>
      <c r="G205" s="426"/>
      <c r="H205" s="426"/>
      <c r="I205" s="426"/>
      <c r="J205" s="426"/>
      <c r="K205" s="426"/>
      <c r="L205" s="426"/>
      <c r="M205" s="426"/>
      <c r="N205" s="426"/>
      <c r="O205" s="426"/>
      <c r="P205" s="426"/>
      <c r="Q205" s="426"/>
      <c r="R205" s="426"/>
      <c r="S205" s="426"/>
      <c r="T205" s="426"/>
      <c r="U205" s="426"/>
      <c r="V205" s="426"/>
      <c r="W205" s="426"/>
      <c r="X205" s="426"/>
      <c r="Y205" s="426"/>
      <c r="Z205" s="425">
        <f t="shared" si="123"/>
        <v>0</v>
      </c>
      <c r="AA205" s="579">
        <f t="shared" si="117"/>
        <v>0</v>
      </c>
      <c r="AB205" s="1038"/>
      <c r="AC205" s="1038"/>
      <c r="AD205" s="1038"/>
      <c r="AE205" s="1038"/>
      <c r="AF205" s="1038"/>
      <c r="AG205" s="1038">
        <v>4.4999999999999997E-3</v>
      </c>
      <c r="AH205" s="1038"/>
      <c r="AI205" s="1305"/>
      <c r="AJ205" s="1315"/>
      <c r="AK205" s="1038"/>
      <c r="AL205" s="1038"/>
      <c r="AM205" s="1038"/>
      <c r="AN205" s="1038"/>
      <c r="AO205" s="1038">
        <v>4.4999999999999997E-3</v>
      </c>
      <c r="AP205" s="1038"/>
      <c r="AQ205" s="1305"/>
      <c r="AR205" s="1315"/>
      <c r="AS205" s="1038"/>
      <c r="AT205" s="1038"/>
      <c r="AU205" s="1038"/>
      <c r="AV205" s="1305"/>
      <c r="AW205" s="1038"/>
      <c r="AX205" s="1038"/>
      <c r="AY205" s="1038"/>
      <c r="AZ205" s="1038"/>
      <c r="BA205" s="1038"/>
      <c r="BB205" s="1038"/>
      <c r="BC205" s="1290">
        <v>84798</v>
      </c>
    </row>
    <row r="206" spans="1:55" ht="21.95" hidden="1" customHeight="1" x14ac:dyDescent="0.15">
      <c r="A206" s="2707"/>
      <c r="B206" s="2912"/>
      <c r="C206" s="2939" t="s">
        <v>1523</v>
      </c>
      <c r="D206" s="2940"/>
      <c r="E206" s="1062"/>
      <c r="F206" s="1563">
        <f>75*0.55*1.1</f>
        <v>45.375000000000007</v>
      </c>
      <c r="G206" s="426"/>
      <c r="H206" s="426"/>
      <c r="I206" s="426"/>
      <c r="J206" s="426"/>
      <c r="K206" s="426"/>
      <c r="L206" s="426"/>
      <c r="M206" s="426"/>
      <c r="N206" s="426"/>
      <c r="O206" s="426"/>
      <c r="P206" s="426"/>
      <c r="Q206" s="426"/>
      <c r="R206" s="426"/>
      <c r="S206" s="426"/>
      <c r="T206" s="426"/>
      <c r="U206" s="426"/>
      <c r="V206" s="426"/>
      <c r="W206" s="426"/>
      <c r="X206" s="426"/>
      <c r="Y206" s="426"/>
      <c r="Z206" s="425">
        <f t="shared" si="123"/>
        <v>0</v>
      </c>
      <c r="AA206" s="579">
        <f t="shared" si="117"/>
        <v>0</v>
      </c>
      <c r="AB206" s="1038"/>
      <c r="AC206" s="1038"/>
      <c r="AD206" s="1038"/>
      <c r="AE206" s="1038"/>
      <c r="AF206" s="1038"/>
      <c r="AG206" s="1038">
        <v>7.0000000000000001E-3</v>
      </c>
      <c r="AH206" s="1038"/>
      <c r="AI206" s="1305"/>
      <c r="AJ206" s="1315"/>
      <c r="AK206" s="1038"/>
      <c r="AL206" s="1038"/>
      <c r="AM206" s="1038"/>
      <c r="AN206" s="1038"/>
      <c r="AO206" s="1038">
        <v>7.0000000000000001E-3</v>
      </c>
      <c r="AP206" s="1038"/>
      <c r="AQ206" s="1305"/>
      <c r="AR206" s="1315"/>
      <c r="AS206" s="1038"/>
      <c r="AT206" s="1038"/>
      <c r="AU206" s="1038"/>
      <c r="AV206" s="1305"/>
      <c r="AW206" s="1038"/>
      <c r="AX206" s="1038"/>
      <c r="AY206" s="1038"/>
      <c r="AZ206" s="1038"/>
      <c r="BA206" s="1038"/>
      <c r="BB206" s="1038"/>
      <c r="BC206" s="1290">
        <v>84796</v>
      </c>
    </row>
    <row r="207" spans="1:55" ht="21.95" hidden="1" customHeight="1" x14ac:dyDescent="0.15">
      <c r="A207" s="2707"/>
      <c r="B207" s="2912"/>
      <c r="C207" s="2939" t="s">
        <v>1527</v>
      </c>
      <c r="D207" s="2940"/>
      <c r="E207" s="1062"/>
      <c r="F207" s="1345"/>
      <c r="G207" s="426"/>
      <c r="H207" s="426"/>
      <c r="I207" s="426"/>
      <c r="J207" s="426"/>
      <c r="K207" s="426"/>
      <c r="L207" s="426"/>
      <c r="M207" s="426"/>
      <c r="N207" s="426"/>
      <c r="O207" s="426"/>
      <c r="P207" s="426"/>
      <c r="Q207" s="426"/>
      <c r="R207" s="426"/>
      <c r="S207" s="426"/>
      <c r="T207" s="426"/>
      <c r="U207" s="426"/>
      <c r="V207" s="426"/>
      <c r="W207" s="426"/>
      <c r="X207" s="426"/>
      <c r="Y207" s="426"/>
      <c r="Z207" s="425">
        <f t="shared" si="123"/>
        <v>0</v>
      </c>
      <c r="AA207" s="579">
        <f t="shared" si="117"/>
        <v>0</v>
      </c>
      <c r="AC207" s="46"/>
      <c r="AD207" s="46"/>
      <c r="AE207" s="46"/>
      <c r="AI207" s="1306"/>
      <c r="AJ207" s="1316"/>
      <c r="AQ207" s="1306"/>
      <c r="AR207" s="1316"/>
      <c r="AV207" s="1306"/>
      <c r="BC207" s="1290"/>
    </row>
    <row r="208" spans="1:55" ht="21.95" hidden="1" customHeight="1" x14ac:dyDescent="0.15">
      <c r="A208" s="2707"/>
      <c r="B208" s="2912"/>
      <c r="C208" s="2720" t="s">
        <v>1547</v>
      </c>
      <c r="D208" s="2721"/>
      <c r="E208" s="1062"/>
      <c r="F208" s="1345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425">
        <f t="shared" si="123"/>
        <v>0</v>
      </c>
      <c r="AA208" s="579">
        <f t="shared" si="117"/>
        <v>0</v>
      </c>
      <c r="AB208" s="1038">
        <v>1</v>
      </c>
      <c r="AC208" s="1038"/>
      <c r="AD208" s="1038"/>
      <c r="AE208" s="1038"/>
      <c r="AF208" s="1038"/>
      <c r="AG208" s="1038"/>
      <c r="AH208" s="1038"/>
      <c r="AI208" s="1305"/>
      <c r="AJ208" s="1315">
        <v>1</v>
      </c>
      <c r="AK208" s="1038"/>
      <c r="AL208" s="1038"/>
      <c r="AM208" s="1038"/>
      <c r="AN208" s="1038"/>
      <c r="AO208" s="1038"/>
      <c r="AP208" s="1038"/>
      <c r="AQ208" s="1305"/>
      <c r="AR208" s="1315">
        <v>1</v>
      </c>
      <c r="AS208" s="1038"/>
      <c r="AT208" s="1038"/>
      <c r="AU208" s="1038"/>
      <c r="AV208" s="1305"/>
      <c r="AW208" s="1038"/>
      <c r="AX208" s="1038"/>
      <c r="AY208" s="1038"/>
      <c r="AZ208" s="1038"/>
      <c r="BA208" s="1038"/>
      <c r="BB208" s="1038"/>
      <c r="BC208" s="1290"/>
    </row>
    <row r="209" spans="1:55" ht="21.95" hidden="1" customHeight="1" x14ac:dyDescent="0.15">
      <c r="A209" s="2707"/>
      <c r="B209" s="2912"/>
      <c r="C209" s="2720" t="s">
        <v>1548</v>
      </c>
      <c r="D209" s="2721"/>
      <c r="E209" s="1062"/>
      <c r="F209" s="1345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425">
        <f t="shared" si="123"/>
        <v>0</v>
      </c>
      <c r="AA209" s="579">
        <f t="shared" si="117"/>
        <v>0</v>
      </c>
      <c r="AB209" s="1038"/>
      <c r="AC209" s="1038"/>
      <c r="AD209" s="1038"/>
      <c r="AE209" s="1038"/>
      <c r="AF209" s="1038"/>
      <c r="AG209" s="1038"/>
      <c r="AH209" s="1038">
        <f>0.285*206.42</f>
        <v>58.829699999999988</v>
      </c>
      <c r="AI209" s="1305"/>
      <c r="AJ209" s="1315"/>
      <c r="AK209" s="1038"/>
      <c r="AL209" s="1038"/>
      <c r="AM209" s="1038"/>
      <c r="AN209" s="1038"/>
      <c r="AO209" s="1038"/>
      <c r="AP209" s="1038">
        <f>0.285*1.15</f>
        <v>0.32774999999999993</v>
      </c>
      <c r="AQ209" s="1305"/>
      <c r="AR209" s="1315"/>
      <c r="AS209" s="1038"/>
      <c r="AT209" s="1038"/>
      <c r="AU209" s="1038"/>
      <c r="AV209" s="1305"/>
      <c r="AW209" s="1038"/>
      <c r="AX209" s="1038"/>
      <c r="AY209" s="1038">
        <v>795</v>
      </c>
      <c r="AZ209" s="1038"/>
      <c r="BA209" s="1038"/>
      <c r="BB209" s="1038">
        <f>0.285*0.13761</f>
        <v>3.921885E-2</v>
      </c>
      <c r="BC209" s="1290">
        <v>95474</v>
      </c>
    </row>
    <row r="210" spans="1:55" ht="21.95" hidden="1" customHeight="1" x14ac:dyDescent="0.15">
      <c r="A210" s="2707"/>
      <c r="B210" s="2912"/>
      <c r="C210" s="2720" t="s">
        <v>1525</v>
      </c>
      <c r="D210" s="2721"/>
      <c r="E210" s="1062"/>
      <c r="F210" s="1345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425">
        <f t="shared" si="123"/>
        <v>0</v>
      </c>
      <c r="AA210" s="579">
        <f t="shared" si="117"/>
        <v>0</v>
      </c>
      <c r="AB210" s="1038"/>
      <c r="AC210" s="1038"/>
      <c r="AD210" s="1038"/>
      <c r="AE210" s="1038"/>
      <c r="AF210" s="1038"/>
      <c r="AG210" s="1038"/>
      <c r="AH210" s="1038"/>
      <c r="AI210" s="1305">
        <v>1</v>
      </c>
      <c r="AJ210" s="1315"/>
      <c r="AK210" s="1038"/>
      <c r="AL210" s="1038"/>
      <c r="AM210" s="1038"/>
      <c r="AN210" s="1038"/>
      <c r="AO210" s="1038"/>
      <c r="AP210" s="1038"/>
      <c r="AQ210" s="1305">
        <v>1</v>
      </c>
      <c r="AR210" s="1315"/>
      <c r="AS210" s="1038"/>
      <c r="AT210" s="1038"/>
      <c r="AU210" s="1038"/>
      <c r="AV210" s="1305"/>
      <c r="AW210" s="1038"/>
      <c r="AX210" s="1038"/>
      <c r="AY210" s="1038"/>
      <c r="AZ210" s="1038"/>
      <c r="BA210" s="1038"/>
      <c r="BB210" s="1038"/>
    </row>
    <row r="211" spans="1:55" ht="21.95" hidden="1" customHeight="1" thickBot="1" x14ac:dyDescent="0.2">
      <c r="A211" s="2707"/>
      <c r="B211" s="2951"/>
      <c r="C211" s="2722" t="s">
        <v>1526</v>
      </c>
      <c r="D211" s="2723"/>
      <c r="E211" s="983"/>
      <c r="F211" s="1270"/>
      <c r="G211" s="215">
        <f t="shared" ref="G211:X211" si="125">G210*0.02</f>
        <v>0</v>
      </c>
      <c r="H211" s="215">
        <f t="shared" si="125"/>
        <v>0</v>
      </c>
      <c r="I211" s="215">
        <f t="shared" si="125"/>
        <v>0</v>
      </c>
      <c r="J211" s="215">
        <f t="shared" si="125"/>
        <v>0</v>
      </c>
      <c r="K211" s="215">
        <f t="shared" si="125"/>
        <v>0</v>
      </c>
      <c r="L211" s="215">
        <f t="shared" si="125"/>
        <v>0</v>
      </c>
      <c r="M211" s="215">
        <f t="shared" si="125"/>
        <v>0</v>
      </c>
      <c r="N211" s="215">
        <f t="shared" si="125"/>
        <v>0</v>
      </c>
      <c r="O211" s="215">
        <f t="shared" si="125"/>
        <v>0</v>
      </c>
      <c r="P211" s="215">
        <f t="shared" si="125"/>
        <v>0</v>
      </c>
      <c r="Q211" s="215">
        <f t="shared" si="125"/>
        <v>0</v>
      </c>
      <c r="R211" s="215">
        <f t="shared" si="125"/>
        <v>0</v>
      </c>
      <c r="S211" s="215">
        <f t="shared" si="125"/>
        <v>0</v>
      </c>
      <c r="T211" s="215">
        <f t="shared" si="125"/>
        <v>0</v>
      </c>
      <c r="U211" s="215">
        <f t="shared" si="125"/>
        <v>0</v>
      </c>
      <c r="V211" s="215">
        <f t="shared" si="125"/>
        <v>0</v>
      </c>
      <c r="W211" s="215">
        <f t="shared" si="125"/>
        <v>0</v>
      </c>
      <c r="X211" s="215">
        <f t="shared" si="125"/>
        <v>0</v>
      </c>
      <c r="Y211" s="215"/>
      <c r="Z211" s="416">
        <f t="shared" si="123"/>
        <v>0</v>
      </c>
      <c r="AA211" s="579">
        <f t="shared" si="117"/>
        <v>0</v>
      </c>
      <c r="AB211" s="1038"/>
      <c r="AC211" s="1038"/>
      <c r="AD211" s="1038"/>
      <c r="AE211" s="1038"/>
      <c r="AF211" s="1038">
        <v>1</v>
      </c>
      <c r="AG211" s="1038"/>
      <c r="AH211" s="1038"/>
      <c r="AI211" s="1305"/>
      <c r="AJ211" s="1315"/>
      <c r="AK211" s="1038"/>
      <c r="AL211" s="1038"/>
      <c r="AM211" s="1038"/>
      <c r="AN211" s="1038">
        <v>1</v>
      </c>
      <c r="AO211" s="1038"/>
      <c r="AP211" s="1038"/>
      <c r="AQ211" s="1305"/>
      <c r="AR211" s="1315"/>
      <c r="AS211" s="1038"/>
      <c r="AT211" s="1038"/>
      <c r="AU211" s="1038"/>
      <c r="AV211" s="1305"/>
      <c r="AW211" s="1038"/>
      <c r="AX211" s="1038"/>
      <c r="AY211" s="1038"/>
      <c r="AZ211" s="1038"/>
      <c r="BA211" s="1038"/>
      <c r="BB211" s="1038"/>
    </row>
    <row r="212" spans="1:55" ht="21.95" customHeight="1" x14ac:dyDescent="0.15">
      <c r="A212" s="2707"/>
      <c r="B212" s="2824" t="s">
        <v>1626</v>
      </c>
      <c r="C212" s="2935" t="s">
        <v>1234</v>
      </c>
      <c r="D212" s="977" t="s">
        <v>1623</v>
      </c>
      <c r="E212" s="1062"/>
      <c r="F212" s="1358"/>
      <c r="G212" s="1391">
        <f>Pav_Dados!G11</f>
        <v>0</v>
      </c>
      <c r="H212" s="1391">
        <f>Pav_Dados!H11</f>
        <v>0</v>
      </c>
      <c r="I212" s="1391">
        <f>Pav_Dados!I11</f>
        <v>0</v>
      </c>
      <c r="J212" s="1391">
        <f>Pav_Dados!J11</f>
        <v>1</v>
      </c>
      <c r="K212" s="1391">
        <f>Pav_Dados!K11</f>
        <v>4</v>
      </c>
      <c r="L212" s="1391">
        <f>Pav_Dados!L11</f>
        <v>0</v>
      </c>
      <c r="M212" s="1391">
        <f>Pav_Dados!M11</f>
        <v>0</v>
      </c>
      <c r="N212" s="1391">
        <f>Pav_Dados!N11</f>
        <v>3</v>
      </c>
      <c r="O212" s="1391">
        <f>Pav_Dados!O11</f>
        <v>8</v>
      </c>
      <c r="P212" s="1391">
        <f>Pav_Dados!P11</f>
        <v>7</v>
      </c>
      <c r="Q212" s="1391">
        <f>Pav_Dados!Q11</f>
        <v>1</v>
      </c>
      <c r="R212" s="1391">
        <f>Pav_Dados!R11</f>
        <v>12</v>
      </c>
      <c r="S212" s="1391">
        <f>Pav_Dados!S11</f>
        <v>14</v>
      </c>
      <c r="T212" s="1391">
        <f>Pav_Dados!T11</f>
        <v>22</v>
      </c>
      <c r="U212" s="1391">
        <f>Pav_Dados!U11</f>
        <v>13</v>
      </c>
      <c r="V212" s="1391">
        <f>Pav_Dados!V11</f>
        <v>14</v>
      </c>
      <c r="W212" s="1391">
        <f>Pav_Dados!W11</f>
        <v>5</v>
      </c>
      <c r="X212" s="1391">
        <f>Pav_Dados!X11</f>
        <v>0</v>
      </c>
      <c r="Y212" s="1391"/>
      <c r="Z212" s="425">
        <f t="shared" si="123"/>
        <v>104</v>
      </c>
      <c r="AA212" s="579">
        <v>1</v>
      </c>
      <c r="AC212" s="46"/>
      <c r="AD212" s="46"/>
      <c r="AE212" s="46"/>
      <c r="AI212" s="1306"/>
      <c r="AJ212" s="1316"/>
      <c r="AQ212" s="1306"/>
      <c r="AR212" s="1316"/>
      <c r="AV212" s="1306"/>
    </row>
    <row r="213" spans="1:55" ht="21.95" customHeight="1" x14ac:dyDescent="0.15">
      <c r="A213" s="2707"/>
      <c r="B213" s="2888"/>
      <c r="C213" s="2936"/>
      <c r="D213" s="1070" t="s">
        <v>1624</v>
      </c>
      <c r="E213" s="1062"/>
      <c r="F213" s="1358"/>
      <c r="G213" s="1391">
        <f>Pav_Dados!G12</f>
        <v>0</v>
      </c>
      <c r="H213" s="1391">
        <f>Pav_Dados!H12</f>
        <v>0</v>
      </c>
      <c r="I213" s="1391">
        <f>Pav_Dados!I12</f>
        <v>1</v>
      </c>
      <c r="J213" s="1391">
        <f>Pav_Dados!J12</f>
        <v>0</v>
      </c>
      <c r="K213" s="1391">
        <f>Pav_Dados!K12</f>
        <v>0</v>
      </c>
      <c r="L213" s="1391">
        <f>Pav_Dados!L12</f>
        <v>0</v>
      </c>
      <c r="M213" s="1391">
        <f>Pav_Dados!M12</f>
        <v>0</v>
      </c>
      <c r="N213" s="1391">
        <f>Pav_Dados!N12</f>
        <v>0</v>
      </c>
      <c r="O213" s="1391">
        <f>Pav_Dados!O12</f>
        <v>1</v>
      </c>
      <c r="P213" s="1391">
        <f>Pav_Dados!P12</f>
        <v>0</v>
      </c>
      <c r="Q213" s="1391">
        <f>Pav_Dados!Q12</f>
        <v>0</v>
      </c>
      <c r="R213" s="1391">
        <f>Pav_Dados!R12</f>
        <v>0</v>
      </c>
      <c r="S213" s="1391">
        <f>Pav_Dados!S12</f>
        <v>0</v>
      </c>
      <c r="T213" s="1391">
        <f>Pav_Dados!T12</f>
        <v>0</v>
      </c>
      <c r="U213" s="1391">
        <f>Pav_Dados!U12</f>
        <v>1</v>
      </c>
      <c r="V213" s="1391">
        <f>Pav_Dados!V12</f>
        <v>0</v>
      </c>
      <c r="W213" s="1391">
        <f>Pav_Dados!W12</f>
        <v>0</v>
      </c>
      <c r="X213" s="1391">
        <f>Pav_Dados!X12</f>
        <v>0</v>
      </c>
      <c r="Y213" s="1391"/>
      <c r="Z213" s="425">
        <f t="shared" si="123"/>
        <v>3</v>
      </c>
      <c r="AA213" s="579">
        <v>1</v>
      </c>
      <c r="AC213" s="46"/>
      <c r="AD213" s="46"/>
      <c r="AE213" s="46"/>
      <c r="AI213" s="1306"/>
      <c r="AJ213" s="1316"/>
      <c r="AQ213" s="1306"/>
      <c r="AR213" s="1316"/>
      <c r="AV213" s="1306"/>
    </row>
    <row r="214" spans="1:55" ht="21.95" customHeight="1" x14ac:dyDescent="0.15">
      <c r="A214" s="2707"/>
      <c r="B214" s="2888"/>
      <c r="C214" s="2936"/>
      <c r="D214" s="543" t="s">
        <v>1625</v>
      </c>
      <c r="E214" s="1063"/>
      <c r="F214" s="1392"/>
      <c r="G214" s="1393">
        <f>Pav_Dados!G13</f>
        <v>0</v>
      </c>
      <c r="H214" s="1393">
        <f>Pav_Dados!H13</f>
        <v>0</v>
      </c>
      <c r="I214" s="1393">
        <f>Pav_Dados!I13</f>
        <v>0</v>
      </c>
      <c r="J214" s="1393">
        <f>Pav_Dados!J13</f>
        <v>0</v>
      </c>
      <c r="K214" s="1393">
        <f>Pav_Dados!K13</f>
        <v>0</v>
      </c>
      <c r="L214" s="1393">
        <f>Pav_Dados!L13</f>
        <v>0</v>
      </c>
      <c r="M214" s="1393">
        <f>Pav_Dados!M13</f>
        <v>0</v>
      </c>
      <c r="N214" s="1393">
        <f>Pav_Dados!N13</f>
        <v>0</v>
      </c>
      <c r="O214" s="1393">
        <f>Pav_Dados!O13</f>
        <v>0</v>
      </c>
      <c r="P214" s="1393">
        <f>Pav_Dados!P13</f>
        <v>0</v>
      </c>
      <c r="Q214" s="1393">
        <f>Pav_Dados!Q13</f>
        <v>0</v>
      </c>
      <c r="R214" s="1393">
        <f>Pav_Dados!R13</f>
        <v>0</v>
      </c>
      <c r="S214" s="1393">
        <f>Pav_Dados!S13</f>
        <v>0</v>
      </c>
      <c r="T214" s="1393">
        <f>Pav_Dados!T13</f>
        <v>0</v>
      </c>
      <c r="U214" s="1393">
        <f>Pav_Dados!U13</f>
        <v>0</v>
      </c>
      <c r="V214" s="1393">
        <f>Pav_Dados!V13</f>
        <v>0</v>
      </c>
      <c r="W214" s="1393">
        <f>Pav_Dados!W13</f>
        <v>0</v>
      </c>
      <c r="X214" s="1393">
        <f>Pav_Dados!X13</f>
        <v>0</v>
      </c>
      <c r="Y214" s="1393"/>
      <c r="Z214" s="1282">
        <f t="shared" si="123"/>
        <v>0</v>
      </c>
      <c r="AA214" s="579">
        <v>1</v>
      </c>
      <c r="AC214" s="46"/>
      <c r="AD214" s="46"/>
      <c r="AE214" s="46"/>
      <c r="AI214" s="1306"/>
      <c r="AJ214" s="1316"/>
      <c r="AQ214" s="1306"/>
      <c r="AR214" s="1316"/>
      <c r="AV214" s="1306"/>
    </row>
    <row r="215" spans="1:55" ht="21.95" customHeight="1" x14ac:dyDescent="0.15">
      <c r="A215" s="2707"/>
      <c r="B215" s="2888"/>
      <c r="C215" s="2936" t="s">
        <v>1228</v>
      </c>
      <c r="D215" s="543" t="s">
        <v>1623</v>
      </c>
      <c r="E215" s="1062"/>
      <c r="F215" s="1358"/>
      <c r="G215" s="2343">
        <f>Pav_Dados!G14</f>
        <v>0</v>
      </c>
      <c r="H215" s="2343">
        <f>Pav_Dados!H14</f>
        <v>0</v>
      </c>
      <c r="I215" s="2343">
        <f>Pav_Dados!I14</f>
        <v>0</v>
      </c>
      <c r="J215" s="2343">
        <f>Pav_Dados!J14</f>
        <v>1</v>
      </c>
      <c r="K215" s="2343">
        <f>Pav_Dados!K14</f>
        <v>4</v>
      </c>
      <c r="L215" s="2343">
        <f>Pav_Dados!L14</f>
        <v>0</v>
      </c>
      <c r="M215" s="2343">
        <f>Pav_Dados!M14</f>
        <v>0</v>
      </c>
      <c r="N215" s="2343">
        <f>Pav_Dados!N14</f>
        <v>3</v>
      </c>
      <c r="O215" s="2343">
        <f>Pav_Dados!O14</f>
        <v>8</v>
      </c>
      <c r="P215" s="2343">
        <f>Pav_Dados!P14</f>
        <v>7</v>
      </c>
      <c r="Q215" s="2343">
        <f>Pav_Dados!Q14</f>
        <v>1</v>
      </c>
      <c r="R215" s="2343">
        <f>Pav_Dados!R14</f>
        <v>12</v>
      </c>
      <c r="S215" s="2343">
        <f>Pav_Dados!S14</f>
        <v>14</v>
      </c>
      <c r="T215" s="2343">
        <f>Pav_Dados!T14</f>
        <v>22</v>
      </c>
      <c r="U215" s="2343">
        <f>Pav_Dados!U14</f>
        <v>13</v>
      </c>
      <c r="V215" s="2343">
        <f>Pav_Dados!V14</f>
        <v>14</v>
      </c>
      <c r="W215" s="2343">
        <f>Pav_Dados!W14</f>
        <v>5</v>
      </c>
      <c r="X215" s="2343">
        <f>Pav_Dados!X14</f>
        <v>0</v>
      </c>
      <c r="Y215" s="1391"/>
      <c r="Z215" s="2344">
        <f t="shared" si="123"/>
        <v>104</v>
      </c>
      <c r="AA215" s="579">
        <v>1</v>
      </c>
      <c r="AC215" s="46"/>
      <c r="AD215" s="46"/>
      <c r="AE215" s="46"/>
      <c r="AI215" s="1306"/>
      <c r="AJ215" s="1316"/>
      <c r="AQ215" s="1306"/>
      <c r="AR215" s="1316"/>
      <c r="AV215" s="1306"/>
    </row>
    <row r="216" spans="1:55" ht="21.95" customHeight="1" x14ac:dyDescent="0.15">
      <c r="A216" s="2707"/>
      <c r="B216" s="2888"/>
      <c r="C216" s="2936"/>
      <c r="D216" s="1070" t="s">
        <v>1624</v>
      </c>
      <c r="E216" s="1062"/>
      <c r="F216" s="1358"/>
      <c r="G216" s="1391">
        <f>Pav_Dados!G15</f>
        <v>0</v>
      </c>
      <c r="H216" s="1391">
        <f>Pav_Dados!H15</f>
        <v>0</v>
      </c>
      <c r="I216" s="1391">
        <f>Pav_Dados!I15</f>
        <v>1</v>
      </c>
      <c r="J216" s="1391">
        <f>Pav_Dados!J15</f>
        <v>0</v>
      </c>
      <c r="K216" s="1391">
        <f>Pav_Dados!K15</f>
        <v>0</v>
      </c>
      <c r="L216" s="1391">
        <f>Pav_Dados!L15</f>
        <v>0</v>
      </c>
      <c r="M216" s="1391">
        <f>Pav_Dados!M15</f>
        <v>0</v>
      </c>
      <c r="N216" s="1391">
        <f>Pav_Dados!N15</f>
        <v>0</v>
      </c>
      <c r="O216" s="1391">
        <f>Pav_Dados!O15</f>
        <v>1</v>
      </c>
      <c r="P216" s="1391">
        <f>Pav_Dados!P15</f>
        <v>0</v>
      </c>
      <c r="Q216" s="1391">
        <f>Pav_Dados!Q15</f>
        <v>0</v>
      </c>
      <c r="R216" s="1391">
        <f>Pav_Dados!R15</f>
        <v>0</v>
      </c>
      <c r="S216" s="1391">
        <f>Pav_Dados!S15</f>
        <v>0</v>
      </c>
      <c r="T216" s="1391">
        <f>Pav_Dados!T15</f>
        <v>0</v>
      </c>
      <c r="U216" s="1391">
        <f>Pav_Dados!U15</f>
        <v>1</v>
      </c>
      <c r="V216" s="1391">
        <f>Pav_Dados!V15</f>
        <v>0</v>
      </c>
      <c r="W216" s="1391">
        <f>Pav_Dados!W15</f>
        <v>0</v>
      </c>
      <c r="X216" s="1391">
        <f>Pav_Dados!X15</f>
        <v>0</v>
      </c>
      <c r="Y216" s="1391"/>
      <c r="Z216" s="425">
        <f t="shared" si="123"/>
        <v>3</v>
      </c>
      <c r="AA216" s="579">
        <v>1</v>
      </c>
      <c r="AC216" s="46"/>
      <c r="AD216" s="46"/>
      <c r="AE216" s="46"/>
      <c r="AI216" s="1306"/>
      <c r="AJ216" s="1316"/>
      <c r="AQ216" s="1306"/>
      <c r="AR216" s="1316"/>
      <c r="AV216" s="1306"/>
    </row>
    <row r="217" spans="1:55" ht="21.95" customHeight="1" x14ac:dyDescent="0.15">
      <c r="A217" s="2707"/>
      <c r="B217" s="2888"/>
      <c r="C217" s="2936"/>
      <c r="D217" s="543" t="s">
        <v>1625</v>
      </c>
      <c r="E217" s="1063"/>
      <c r="F217" s="1392"/>
      <c r="G217" s="1393">
        <f>Pav_Dados!G16</f>
        <v>0</v>
      </c>
      <c r="H217" s="1393">
        <f>Pav_Dados!H16</f>
        <v>0</v>
      </c>
      <c r="I217" s="1393">
        <f>Pav_Dados!I16</f>
        <v>0</v>
      </c>
      <c r="J217" s="1393">
        <f>Pav_Dados!J16</f>
        <v>0</v>
      </c>
      <c r="K217" s="1393">
        <f>Pav_Dados!K16</f>
        <v>0</v>
      </c>
      <c r="L217" s="1393">
        <f>Pav_Dados!L16</f>
        <v>0</v>
      </c>
      <c r="M217" s="1393">
        <f>Pav_Dados!M16</f>
        <v>0</v>
      </c>
      <c r="N217" s="1393">
        <f>Pav_Dados!N16</f>
        <v>0</v>
      </c>
      <c r="O217" s="1393">
        <f>Pav_Dados!O16</f>
        <v>0</v>
      </c>
      <c r="P217" s="1393">
        <f>Pav_Dados!P16</f>
        <v>0</v>
      </c>
      <c r="Q217" s="1393">
        <f>Pav_Dados!Q16</f>
        <v>0</v>
      </c>
      <c r="R217" s="1393">
        <f>Pav_Dados!R16</f>
        <v>0</v>
      </c>
      <c r="S217" s="1393">
        <f>Pav_Dados!S16</f>
        <v>0</v>
      </c>
      <c r="T217" s="1393">
        <f>Pav_Dados!T16</f>
        <v>0</v>
      </c>
      <c r="U217" s="1393">
        <f>Pav_Dados!U16</f>
        <v>0</v>
      </c>
      <c r="V217" s="1393">
        <f>Pav_Dados!V16</f>
        <v>0</v>
      </c>
      <c r="W217" s="1393">
        <f>Pav_Dados!W16</f>
        <v>0</v>
      </c>
      <c r="X217" s="1393">
        <f>Pav_Dados!X16</f>
        <v>0</v>
      </c>
      <c r="Y217" s="1393"/>
      <c r="Z217" s="1282">
        <f t="shared" si="123"/>
        <v>0</v>
      </c>
      <c r="AA217" s="579">
        <v>1</v>
      </c>
      <c r="AC217" s="46"/>
      <c r="AD217" s="46"/>
      <c r="AE217" s="46"/>
      <c r="AI217" s="1306"/>
      <c r="AJ217" s="1316"/>
      <c r="AQ217" s="1306"/>
      <c r="AR217" s="1316"/>
      <c r="AV217" s="1306"/>
    </row>
    <row r="218" spans="1:55" ht="21.95" customHeight="1" x14ac:dyDescent="0.15">
      <c r="A218" s="2707"/>
      <c r="B218" s="2888"/>
      <c r="C218" s="2936" t="s">
        <v>1230</v>
      </c>
      <c r="D218" s="543" t="s">
        <v>1229</v>
      </c>
      <c r="E218" s="1062"/>
      <c r="F218" s="1358"/>
      <c r="G218" s="2343">
        <f>Pav_Dados!G17</f>
        <v>0</v>
      </c>
      <c r="H218" s="2343">
        <f>Pav_Dados!H17</f>
        <v>0</v>
      </c>
      <c r="I218" s="2343">
        <f>Pav_Dados!I17</f>
        <v>0</v>
      </c>
      <c r="J218" s="2343">
        <f>Pav_Dados!J17</f>
        <v>0</v>
      </c>
      <c r="K218" s="2343">
        <f>Pav_Dados!K17</f>
        <v>0</v>
      </c>
      <c r="L218" s="2343">
        <f>Pav_Dados!L17</f>
        <v>0</v>
      </c>
      <c r="M218" s="2343">
        <f>Pav_Dados!M17</f>
        <v>0</v>
      </c>
      <c r="N218" s="2343">
        <f>Pav_Dados!N17</f>
        <v>0</v>
      </c>
      <c r="O218" s="2343">
        <f>Pav_Dados!O17</f>
        <v>0</v>
      </c>
      <c r="P218" s="2343">
        <f>Pav_Dados!P17</f>
        <v>0</v>
      </c>
      <c r="Q218" s="2343">
        <f>Pav_Dados!Q17</f>
        <v>0</v>
      </c>
      <c r="R218" s="2343">
        <f>Pav_Dados!R17</f>
        <v>0</v>
      </c>
      <c r="S218" s="2343">
        <f>Pav_Dados!S17</f>
        <v>0</v>
      </c>
      <c r="T218" s="2343">
        <f>Pav_Dados!T17</f>
        <v>0</v>
      </c>
      <c r="U218" s="2343">
        <f>Pav_Dados!U17</f>
        <v>0</v>
      </c>
      <c r="V218" s="2343">
        <f>Pav_Dados!V17</f>
        <v>0</v>
      </c>
      <c r="W218" s="2343">
        <f>Pav_Dados!W17</f>
        <v>0</v>
      </c>
      <c r="X218" s="2343">
        <f>Pav_Dados!X17</f>
        <v>0</v>
      </c>
      <c r="Y218" s="1391"/>
      <c r="Z218" s="2344">
        <f t="shared" si="123"/>
        <v>0</v>
      </c>
      <c r="AA218" s="579">
        <v>1</v>
      </c>
      <c r="AC218" s="46"/>
      <c r="AD218" s="46"/>
      <c r="AE218" s="46"/>
      <c r="AI218" s="1306"/>
      <c r="AJ218" s="1316"/>
      <c r="AQ218" s="1306"/>
      <c r="AR218" s="1316"/>
      <c r="AV218" s="1306"/>
    </row>
    <row r="219" spans="1:55" ht="21.95" customHeight="1" x14ac:dyDescent="0.15">
      <c r="A219" s="2707"/>
      <c r="B219" s="2888"/>
      <c r="C219" s="2936"/>
      <c r="D219" s="1070" t="s">
        <v>1623</v>
      </c>
      <c r="E219" s="1062"/>
      <c r="F219" s="1358"/>
      <c r="G219" s="1391">
        <f>Pav_Dados!G18</f>
        <v>0</v>
      </c>
      <c r="H219" s="1391">
        <f>Pav_Dados!H18</f>
        <v>0</v>
      </c>
      <c r="I219" s="1391">
        <f>Pav_Dados!I18</f>
        <v>0</v>
      </c>
      <c r="J219" s="1391">
        <f>Pav_Dados!J18</f>
        <v>1</v>
      </c>
      <c r="K219" s="1391">
        <f>Pav_Dados!K18</f>
        <v>4</v>
      </c>
      <c r="L219" s="1391">
        <f>Pav_Dados!L18</f>
        <v>0</v>
      </c>
      <c r="M219" s="1391">
        <f>Pav_Dados!M18</f>
        <v>0</v>
      </c>
      <c r="N219" s="1391">
        <f>Pav_Dados!N18</f>
        <v>3</v>
      </c>
      <c r="O219" s="1391">
        <f>Pav_Dados!O18</f>
        <v>8</v>
      </c>
      <c r="P219" s="1391">
        <f>Pav_Dados!P18</f>
        <v>7</v>
      </c>
      <c r="Q219" s="1391">
        <f>Pav_Dados!Q18</f>
        <v>1</v>
      </c>
      <c r="R219" s="1391">
        <f>Pav_Dados!R18</f>
        <v>12</v>
      </c>
      <c r="S219" s="1391">
        <f>Pav_Dados!S18</f>
        <v>14</v>
      </c>
      <c r="T219" s="1391">
        <f>Pav_Dados!T18</f>
        <v>22</v>
      </c>
      <c r="U219" s="1391">
        <f>Pav_Dados!U18</f>
        <v>13</v>
      </c>
      <c r="V219" s="1391">
        <f>Pav_Dados!V18</f>
        <v>14</v>
      </c>
      <c r="W219" s="1391">
        <f>Pav_Dados!W18</f>
        <v>5</v>
      </c>
      <c r="X219" s="1391">
        <f>Pav_Dados!X18</f>
        <v>0</v>
      </c>
      <c r="Y219" s="1391"/>
      <c r="Z219" s="425">
        <f t="shared" si="123"/>
        <v>104</v>
      </c>
      <c r="AA219" s="579">
        <v>1</v>
      </c>
      <c r="AC219" s="46"/>
      <c r="AD219" s="46"/>
      <c r="AE219" s="46"/>
      <c r="AI219" s="1306"/>
      <c r="AJ219" s="1316"/>
      <c r="AQ219" s="1306"/>
      <c r="AR219" s="1316"/>
      <c r="AV219" s="1306"/>
    </row>
    <row r="220" spans="1:55" ht="21.95" customHeight="1" x14ac:dyDescent="0.15">
      <c r="A220" s="2707"/>
      <c r="B220" s="2888"/>
      <c r="C220" s="2936"/>
      <c r="D220" s="1070" t="s">
        <v>1624</v>
      </c>
      <c r="E220" s="1062"/>
      <c r="F220" s="1358"/>
      <c r="G220" s="1391">
        <f>Pav_Dados!G19</f>
        <v>0</v>
      </c>
      <c r="H220" s="1391">
        <f>Pav_Dados!H19</f>
        <v>0</v>
      </c>
      <c r="I220" s="1391">
        <f>Pav_Dados!I19</f>
        <v>1</v>
      </c>
      <c r="J220" s="1391">
        <f>Pav_Dados!J19</f>
        <v>0</v>
      </c>
      <c r="K220" s="1391">
        <f>Pav_Dados!K19</f>
        <v>0</v>
      </c>
      <c r="L220" s="1391">
        <f>Pav_Dados!L19</f>
        <v>0</v>
      </c>
      <c r="M220" s="1391">
        <f>Pav_Dados!M19</f>
        <v>0</v>
      </c>
      <c r="N220" s="1391">
        <f>Pav_Dados!N19</f>
        <v>0</v>
      </c>
      <c r="O220" s="1391">
        <f>Pav_Dados!O19</f>
        <v>1</v>
      </c>
      <c r="P220" s="1391">
        <f>Pav_Dados!P19</f>
        <v>0</v>
      </c>
      <c r="Q220" s="1391">
        <f>Pav_Dados!Q19</f>
        <v>0</v>
      </c>
      <c r="R220" s="1391">
        <f>Pav_Dados!R19</f>
        <v>0</v>
      </c>
      <c r="S220" s="1391">
        <f>Pav_Dados!S19</f>
        <v>0</v>
      </c>
      <c r="T220" s="1391">
        <f>Pav_Dados!T19</f>
        <v>0</v>
      </c>
      <c r="U220" s="1391">
        <f>Pav_Dados!U19</f>
        <v>1</v>
      </c>
      <c r="V220" s="1391">
        <f>Pav_Dados!V19</f>
        <v>0</v>
      </c>
      <c r="W220" s="1391">
        <f>Pav_Dados!W19</f>
        <v>0</v>
      </c>
      <c r="X220" s="1391">
        <f>Pav_Dados!X19</f>
        <v>0</v>
      </c>
      <c r="Y220" s="1391"/>
      <c r="Z220" s="425">
        <f t="shared" si="123"/>
        <v>3</v>
      </c>
      <c r="AA220" s="579">
        <v>1</v>
      </c>
      <c r="AC220" s="46"/>
      <c r="AD220" s="46"/>
      <c r="AE220" s="46"/>
      <c r="AI220" s="1306"/>
      <c r="AJ220" s="1316"/>
      <c r="AQ220" s="1306"/>
      <c r="AR220" s="1316"/>
      <c r="AV220" s="1306"/>
    </row>
    <row r="221" spans="1:55" ht="21.95" customHeight="1" thickBot="1" x14ac:dyDescent="0.2">
      <c r="A221" s="2707"/>
      <c r="B221" s="2889"/>
      <c r="C221" s="2960"/>
      <c r="D221" s="1343" t="s">
        <v>1625</v>
      </c>
      <c r="E221" s="1062"/>
      <c r="F221" s="1358"/>
      <c r="G221" s="1391">
        <f>Pav_Dados!G20</f>
        <v>0</v>
      </c>
      <c r="H221" s="1391">
        <f>Pav_Dados!H20</f>
        <v>0</v>
      </c>
      <c r="I221" s="1391">
        <f>Pav_Dados!I20</f>
        <v>0</v>
      </c>
      <c r="J221" s="1391">
        <f>Pav_Dados!J20</f>
        <v>0</v>
      </c>
      <c r="K221" s="1391">
        <f>Pav_Dados!K20</f>
        <v>0</v>
      </c>
      <c r="L221" s="1391">
        <f>Pav_Dados!L20</f>
        <v>0</v>
      </c>
      <c r="M221" s="1391">
        <f>Pav_Dados!M20</f>
        <v>0</v>
      </c>
      <c r="N221" s="1391">
        <f>Pav_Dados!N20</f>
        <v>0</v>
      </c>
      <c r="O221" s="1391">
        <f>Pav_Dados!O20</f>
        <v>0</v>
      </c>
      <c r="P221" s="1391">
        <f>Pav_Dados!P20</f>
        <v>0</v>
      </c>
      <c r="Q221" s="1391">
        <f>Pav_Dados!Q20</f>
        <v>0</v>
      </c>
      <c r="R221" s="1391">
        <f>Pav_Dados!R20</f>
        <v>0</v>
      </c>
      <c r="S221" s="1391">
        <f>Pav_Dados!S20</f>
        <v>0</v>
      </c>
      <c r="T221" s="1391">
        <f>Pav_Dados!T20</f>
        <v>0</v>
      </c>
      <c r="U221" s="1391">
        <f>Pav_Dados!U20</f>
        <v>0</v>
      </c>
      <c r="V221" s="1391">
        <f>Pav_Dados!V20</f>
        <v>0</v>
      </c>
      <c r="W221" s="1391">
        <f>Pav_Dados!W20</f>
        <v>0</v>
      </c>
      <c r="X221" s="1391">
        <f>Pav_Dados!X20</f>
        <v>0</v>
      </c>
      <c r="Y221" s="1391"/>
      <c r="Z221" s="416">
        <f t="shared" si="123"/>
        <v>0</v>
      </c>
      <c r="AA221" s="579">
        <v>1</v>
      </c>
      <c r="AC221" s="46"/>
      <c r="AD221" s="46"/>
      <c r="AE221" s="46"/>
      <c r="AI221" s="1306"/>
      <c r="AJ221" s="1316"/>
      <c r="AQ221" s="1306"/>
      <c r="AR221" s="1316"/>
      <c r="AV221" s="1306"/>
    </row>
    <row r="222" spans="1:55" s="68" customFormat="1" ht="21.95" hidden="1" customHeight="1" x14ac:dyDescent="0.15">
      <c r="A222" s="2707"/>
      <c r="B222" s="2616" t="s">
        <v>755</v>
      </c>
      <c r="C222" s="2727" t="s">
        <v>60</v>
      </c>
      <c r="D222" s="2728"/>
      <c r="E222" s="1061"/>
      <c r="F222" s="1344"/>
      <c r="G222" s="673"/>
      <c r="H222" s="673"/>
      <c r="I222" s="673"/>
      <c r="J222" s="673"/>
      <c r="K222" s="673"/>
      <c r="L222" s="673"/>
      <c r="M222" s="673"/>
      <c r="N222" s="673"/>
      <c r="O222" s="673"/>
      <c r="P222" s="673"/>
      <c r="Q222" s="673"/>
      <c r="R222" s="673"/>
      <c r="S222" s="673"/>
      <c r="T222" s="673"/>
      <c r="U222" s="673"/>
      <c r="V222" s="673"/>
      <c r="W222" s="673"/>
      <c r="X222" s="673"/>
      <c r="Y222" s="673"/>
      <c r="Z222" s="801">
        <f t="shared" si="123"/>
        <v>0</v>
      </c>
      <c r="AA222" s="579">
        <f t="shared" ref="AA222:AA247" si="126">SUM(G222:Z222)</f>
        <v>0</v>
      </c>
      <c r="AI222" s="1307"/>
      <c r="AJ222" s="1317"/>
      <c r="AQ222" s="1307"/>
      <c r="AR222" s="1317"/>
      <c r="AV222" s="1307"/>
    </row>
    <row r="223" spans="1:55" s="68" customFormat="1" ht="21.95" hidden="1" customHeight="1" x14ac:dyDescent="0.15">
      <c r="A223" s="2707"/>
      <c r="B223" s="2617"/>
      <c r="C223" s="2720" t="s">
        <v>760</v>
      </c>
      <c r="D223" s="2721"/>
      <c r="E223" s="1062"/>
      <c r="F223" s="1345"/>
      <c r="G223" s="8">
        <f>IF(G222=0,0,Pav_Dados!G6+IF(Pav_Dados!G5="dupla",2*0.3,0.3))</f>
        <v>0</v>
      </c>
      <c r="H223" s="8">
        <f>IF(H222=0,0,Pav_Dados!H6+IF(Pav_Dados!H5="dupla",2*0.3,0.3))</f>
        <v>0</v>
      </c>
      <c r="I223" s="8">
        <f>IF(I222=0,0,Pav_Dados!I6+IF(Pav_Dados!I5="dupla",2*0.3,0.3))</f>
        <v>0</v>
      </c>
      <c r="J223" s="8">
        <f>IF(J222=0,0,Pav_Dados!J6+IF(Pav_Dados!J5="dupla",2*0.3,0.3))</f>
        <v>0</v>
      </c>
      <c r="K223" s="8">
        <f>IF(K222=0,0,Pav_Dados!K6+IF(Pav_Dados!K5="dupla",2*0.3,0.3))</f>
        <v>0</v>
      </c>
      <c r="L223" s="8">
        <f>IF(L222=0,0,Pav_Dados!L6+IF(Pav_Dados!L5="dupla",2*0.3,0.3))</f>
        <v>0</v>
      </c>
      <c r="M223" s="8">
        <f>IF(M222=0,0,Pav_Dados!M6+IF(Pav_Dados!M5="dupla",2*0.3,0.3))</f>
        <v>0</v>
      </c>
      <c r="N223" s="8">
        <f>IF(N222=0,0,Pav_Dados!N6+IF(Pav_Dados!N5="dupla",2*0.3,0.3))</f>
        <v>0</v>
      </c>
      <c r="O223" s="8">
        <f>IF(O222=0,0,Pav_Dados!O6+IF(Pav_Dados!O5="dupla",2*0.3,0.3))</f>
        <v>0</v>
      </c>
      <c r="P223" s="8">
        <f>IF(P222=0,0,Pav_Dados!P6+IF(Pav_Dados!P5="dupla",2*0.3,0.3))</f>
        <v>0</v>
      </c>
      <c r="Q223" s="8">
        <f>IF(Q222=0,0,Pav_Dados!Q6+IF(Pav_Dados!Q5="dupla",2*0.3,0.3))</f>
        <v>0</v>
      </c>
      <c r="R223" s="8">
        <f>IF(R222=0,0,Pav_Dados!R6+IF(Pav_Dados!R5="dupla",2*0.3,0.3))</f>
        <v>0</v>
      </c>
      <c r="S223" s="8">
        <f>IF(S222=0,0,Pav_Dados!S6+IF(Pav_Dados!S5="dupla",2*0.3,0.3))</f>
        <v>0</v>
      </c>
      <c r="T223" s="8">
        <f>IF(T222=0,0,Pav_Dados!T6+IF(Pav_Dados!T5="dupla",2*0.3,0.3))</f>
        <v>0</v>
      </c>
      <c r="U223" s="8">
        <f>IF(U222=0,0,Pav_Dados!U6+IF(Pav_Dados!U5="dupla",2*0.3,0.3))</f>
        <v>0</v>
      </c>
      <c r="V223" s="8">
        <f>IF(V222=0,0,Pav_Dados!V6+IF(Pav_Dados!V5="dupla",2*0.3,0.3))</f>
        <v>0</v>
      </c>
      <c r="W223" s="8">
        <f>IF(W222=0,0,Pav_Dados!W6+IF(Pav_Dados!W5="dupla",2*0.3,0.3))</f>
        <v>0</v>
      </c>
      <c r="X223" s="8">
        <f>IF(X222=0,0,Pav_Dados!X6+IF(Pav_Dados!X5="dupla",2*0.3,0.3))</f>
        <v>0</v>
      </c>
      <c r="Y223" s="8"/>
      <c r="Z223" s="12">
        <f t="shared" si="123"/>
        <v>0</v>
      </c>
      <c r="AA223" s="579">
        <f t="shared" si="126"/>
        <v>0</v>
      </c>
      <c r="AI223" s="1307"/>
      <c r="AJ223" s="1317"/>
      <c r="AQ223" s="1307"/>
      <c r="AR223" s="1317"/>
      <c r="AV223" s="1307"/>
    </row>
    <row r="224" spans="1:55" s="68" customFormat="1" ht="21.95" hidden="1" customHeight="1" x14ac:dyDescent="0.15">
      <c r="A224" s="2707"/>
      <c r="B224" s="2617"/>
      <c r="C224" s="2720" t="s">
        <v>756</v>
      </c>
      <c r="D224" s="2721"/>
      <c r="E224" s="1062"/>
      <c r="F224" s="1345"/>
      <c r="G224" s="8">
        <f t="shared" ref="G224:X224" si="127">IF(G222&gt;0,8,0)</f>
        <v>0</v>
      </c>
      <c r="H224" s="8">
        <f t="shared" si="127"/>
        <v>0</v>
      </c>
      <c r="I224" s="8">
        <f t="shared" si="127"/>
        <v>0</v>
      </c>
      <c r="J224" s="8">
        <f t="shared" si="127"/>
        <v>0</v>
      </c>
      <c r="K224" s="8">
        <f t="shared" si="127"/>
        <v>0</v>
      </c>
      <c r="L224" s="8">
        <f t="shared" si="127"/>
        <v>0</v>
      </c>
      <c r="M224" s="8">
        <f t="shared" si="127"/>
        <v>0</v>
      </c>
      <c r="N224" s="8">
        <f t="shared" si="127"/>
        <v>0</v>
      </c>
      <c r="O224" s="8">
        <f t="shared" si="127"/>
        <v>0</v>
      </c>
      <c r="P224" s="8">
        <f t="shared" si="127"/>
        <v>0</v>
      </c>
      <c r="Q224" s="8">
        <f t="shared" si="127"/>
        <v>0</v>
      </c>
      <c r="R224" s="8">
        <f t="shared" si="127"/>
        <v>0</v>
      </c>
      <c r="S224" s="8">
        <f t="shared" si="127"/>
        <v>0</v>
      </c>
      <c r="T224" s="8">
        <f t="shared" si="127"/>
        <v>0</v>
      </c>
      <c r="U224" s="8">
        <f t="shared" si="127"/>
        <v>0</v>
      </c>
      <c r="V224" s="8">
        <f t="shared" si="127"/>
        <v>0</v>
      </c>
      <c r="W224" s="8">
        <f t="shared" si="127"/>
        <v>0</v>
      </c>
      <c r="X224" s="8">
        <f t="shared" si="127"/>
        <v>0</v>
      </c>
      <c r="Y224" s="8"/>
      <c r="Z224" s="12"/>
      <c r="AA224" s="579">
        <f t="shared" si="126"/>
        <v>0</v>
      </c>
      <c r="AI224" s="1307"/>
      <c r="AJ224" s="1317"/>
      <c r="AQ224" s="1307"/>
      <c r="AR224" s="1317"/>
      <c r="AV224" s="1307"/>
    </row>
    <row r="225" spans="1:54" s="68" customFormat="1" ht="21.95" hidden="1" customHeight="1" x14ac:dyDescent="0.15">
      <c r="A225" s="2707"/>
      <c r="B225" s="2617"/>
      <c r="C225" s="2720" t="s">
        <v>757</v>
      </c>
      <c r="D225" s="2721"/>
      <c r="E225" s="1062"/>
      <c r="F225" s="1345"/>
      <c r="G225" s="8">
        <f t="shared" ref="G225:X225" si="128">IF(G222&gt;0,4,0)</f>
        <v>0</v>
      </c>
      <c r="H225" s="8">
        <f t="shared" si="128"/>
        <v>0</v>
      </c>
      <c r="I225" s="8">
        <f t="shared" si="128"/>
        <v>0</v>
      </c>
      <c r="J225" s="8">
        <f t="shared" si="128"/>
        <v>0</v>
      </c>
      <c r="K225" s="8">
        <f t="shared" si="128"/>
        <v>0</v>
      </c>
      <c r="L225" s="8">
        <f t="shared" si="128"/>
        <v>0</v>
      </c>
      <c r="M225" s="8">
        <f t="shared" si="128"/>
        <v>0</v>
      </c>
      <c r="N225" s="8">
        <f t="shared" si="128"/>
        <v>0</v>
      </c>
      <c r="O225" s="8">
        <f t="shared" si="128"/>
        <v>0</v>
      </c>
      <c r="P225" s="8">
        <f t="shared" si="128"/>
        <v>0</v>
      </c>
      <c r="Q225" s="8">
        <f t="shared" si="128"/>
        <v>0</v>
      </c>
      <c r="R225" s="8">
        <f t="shared" si="128"/>
        <v>0</v>
      </c>
      <c r="S225" s="8">
        <f t="shared" si="128"/>
        <v>0</v>
      </c>
      <c r="T225" s="8">
        <f t="shared" si="128"/>
        <v>0</v>
      </c>
      <c r="U225" s="8">
        <f t="shared" si="128"/>
        <v>0</v>
      </c>
      <c r="V225" s="8">
        <f t="shared" si="128"/>
        <v>0</v>
      </c>
      <c r="W225" s="8">
        <f t="shared" si="128"/>
        <v>0</v>
      </c>
      <c r="X225" s="8">
        <f t="shared" si="128"/>
        <v>0</v>
      </c>
      <c r="Y225" s="8"/>
      <c r="Z225" s="12"/>
      <c r="AA225" s="579">
        <f t="shared" si="126"/>
        <v>0</v>
      </c>
      <c r="AI225" s="1307"/>
      <c r="AJ225" s="1317"/>
      <c r="AQ225" s="1307"/>
      <c r="AR225" s="1317"/>
      <c r="AV225" s="1307"/>
    </row>
    <row r="226" spans="1:54" s="68" customFormat="1" ht="21.95" hidden="1" customHeight="1" x14ac:dyDescent="0.15">
      <c r="A226" s="2707"/>
      <c r="B226" s="2617"/>
      <c r="C226" s="2720" t="s">
        <v>758</v>
      </c>
      <c r="D226" s="2721"/>
      <c r="E226" s="1062"/>
      <c r="F226" s="1345"/>
      <c r="G226" s="800">
        <f t="shared" ref="G226:X226" si="129">IF(G222&gt;0,10,0)</f>
        <v>0</v>
      </c>
      <c r="H226" s="800">
        <f t="shared" si="129"/>
        <v>0</v>
      </c>
      <c r="I226" s="800">
        <f t="shared" si="129"/>
        <v>0</v>
      </c>
      <c r="J226" s="800">
        <f t="shared" si="129"/>
        <v>0</v>
      </c>
      <c r="K226" s="800">
        <f t="shared" si="129"/>
        <v>0</v>
      </c>
      <c r="L226" s="800">
        <f t="shared" si="129"/>
        <v>0</v>
      </c>
      <c r="M226" s="800">
        <f t="shared" si="129"/>
        <v>0</v>
      </c>
      <c r="N226" s="800">
        <f t="shared" si="129"/>
        <v>0</v>
      </c>
      <c r="O226" s="800">
        <f t="shared" si="129"/>
        <v>0</v>
      </c>
      <c r="P226" s="800">
        <f t="shared" si="129"/>
        <v>0</v>
      </c>
      <c r="Q226" s="800">
        <f t="shared" si="129"/>
        <v>0</v>
      </c>
      <c r="R226" s="800">
        <f t="shared" si="129"/>
        <v>0</v>
      </c>
      <c r="S226" s="800">
        <f t="shared" si="129"/>
        <v>0</v>
      </c>
      <c r="T226" s="800">
        <f t="shared" si="129"/>
        <v>0</v>
      </c>
      <c r="U226" s="800">
        <f t="shared" si="129"/>
        <v>0</v>
      </c>
      <c r="V226" s="800">
        <f t="shared" si="129"/>
        <v>0</v>
      </c>
      <c r="W226" s="800">
        <f t="shared" si="129"/>
        <v>0</v>
      </c>
      <c r="X226" s="800">
        <f t="shared" si="129"/>
        <v>0</v>
      </c>
      <c r="Y226" s="800"/>
      <c r="Z226" s="12"/>
      <c r="AA226" s="579">
        <f t="shared" si="126"/>
        <v>0</v>
      </c>
      <c r="AF226" s="6"/>
      <c r="AG226" s="6"/>
      <c r="AH226" s="6"/>
      <c r="AI226" s="1306"/>
      <c r="AJ226" s="1316"/>
      <c r="AK226" s="5"/>
      <c r="AL226" s="5"/>
      <c r="AM226" s="5"/>
      <c r="AN226" s="5"/>
      <c r="AO226" s="5"/>
      <c r="AP226" s="5"/>
      <c r="AQ226" s="1318"/>
      <c r="AR226" s="1320"/>
      <c r="AV226" s="1307"/>
    </row>
    <row r="227" spans="1:54" s="68" customFormat="1" ht="21.95" hidden="1" customHeight="1" x14ac:dyDescent="0.15">
      <c r="A227" s="2707"/>
      <c r="B227" s="2617"/>
      <c r="C227" s="2720" t="s">
        <v>1587</v>
      </c>
      <c r="D227" s="2721"/>
      <c r="E227" s="1062"/>
      <c r="F227" s="1345"/>
      <c r="G227" s="800">
        <f t="shared" ref="G227:X227" si="130">IF(G222&gt;0,5,0)</f>
        <v>0</v>
      </c>
      <c r="H227" s="800">
        <f t="shared" si="130"/>
        <v>0</v>
      </c>
      <c r="I227" s="800">
        <f t="shared" si="130"/>
        <v>0</v>
      </c>
      <c r="J227" s="800">
        <f t="shared" si="130"/>
        <v>0</v>
      </c>
      <c r="K227" s="800">
        <f t="shared" si="130"/>
        <v>0</v>
      </c>
      <c r="L227" s="800">
        <f t="shared" si="130"/>
        <v>0</v>
      </c>
      <c r="M227" s="800">
        <f t="shared" si="130"/>
        <v>0</v>
      </c>
      <c r="N227" s="800">
        <f t="shared" si="130"/>
        <v>0</v>
      </c>
      <c r="O227" s="800">
        <f t="shared" si="130"/>
        <v>0</v>
      </c>
      <c r="P227" s="800">
        <f t="shared" si="130"/>
        <v>0</v>
      </c>
      <c r="Q227" s="800">
        <f t="shared" si="130"/>
        <v>0</v>
      </c>
      <c r="R227" s="800">
        <f t="shared" si="130"/>
        <v>0</v>
      </c>
      <c r="S227" s="800">
        <f t="shared" si="130"/>
        <v>0</v>
      </c>
      <c r="T227" s="800">
        <f t="shared" si="130"/>
        <v>0</v>
      </c>
      <c r="U227" s="800">
        <f t="shared" si="130"/>
        <v>0</v>
      </c>
      <c r="V227" s="800">
        <f t="shared" si="130"/>
        <v>0</v>
      </c>
      <c r="W227" s="800">
        <f t="shared" si="130"/>
        <v>0</v>
      </c>
      <c r="X227" s="800">
        <f t="shared" si="130"/>
        <v>0</v>
      </c>
      <c r="Y227" s="800"/>
      <c r="Z227" s="12"/>
      <c r="AA227" s="579">
        <f t="shared" si="126"/>
        <v>0</v>
      </c>
      <c r="AF227" s="6"/>
      <c r="AG227" s="6"/>
      <c r="AH227" s="6"/>
      <c r="AI227" s="1306"/>
      <c r="AJ227" s="1316"/>
      <c r="AK227" s="5"/>
      <c r="AL227" s="5"/>
      <c r="AM227" s="5"/>
      <c r="AN227" s="5"/>
      <c r="AO227" s="5"/>
      <c r="AP227" s="5"/>
      <c r="AQ227" s="1318"/>
      <c r="AR227" s="1320"/>
      <c r="AV227" s="1307"/>
    </row>
    <row r="228" spans="1:54" s="68" customFormat="1" ht="21.95" hidden="1" customHeight="1" x14ac:dyDescent="0.15">
      <c r="A228" s="2707"/>
      <c r="B228" s="2617"/>
      <c r="C228" s="2720" t="s">
        <v>759</v>
      </c>
      <c r="D228" s="2721"/>
      <c r="E228" s="1062"/>
      <c r="F228" s="1345"/>
      <c r="G228" s="800">
        <f t="shared" ref="G228:X228" si="131">IF(G222&gt;0,15,0)</f>
        <v>0</v>
      </c>
      <c r="H228" s="800">
        <f t="shared" si="131"/>
        <v>0</v>
      </c>
      <c r="I228" s="800">
        <f t="shared" si="131"/>
        <v>0</v>
      </c>
      <c r="J228" s="800">
        <f t="shared" si="131"/>
        <v>0</v>
      </c>
      <c r="K228" s="800">
        <f t="shared" si="131"/>
        <v>0</v>
      </c>
      <c r="L228" s="800">
        <f t="shared" si="131"/>
        <v>0</v>
      </c>
      <c r="M228" s="800">
        <f t="shared" si="131"/>
        <v>0</v>
      </c>
      <c r="N228" s="800">
        <f t="shared" si="131"/>
        <v>0</v>
      </c>
      <c r="O228" s="800">
        <f t="shared" si="131"/>
        <v>0</v>
      </c>
      <c r="P228" s="800">
        <f t="shared" si="131"/>
        <v>0</v>
      </c>
      <c r="Q228" s="800">
        <f t="shared" si="131"/>
        <v>0</v>
      </c>
      <c r="R228" s="800">
        <f t="shared" si="131"/>
        <v>0</v>
      </c>
      <c r="S228" s="800">
        <f t="shared" si="131"/>
        <v>0</v>
      </c>
      <c r="T228" s="800">
        <f t="shared" si="131"/>
        <v>0</v>
      </c>
      <c r="U228" s="800">
        <f t="shared" si="131"/>
        <v>0</v>
      </c>
      <c r="V228" s="800">
        <f t="shared" si="131"/>
        <v>0</v>
      </c>
      <c r="W228" s="800">
        <f t="shared" si="131"/>
        <v>0</v>
      </c>
      <c r="X228" s="800">
        <f t="shared" si="131"/>
        <v>0</v>
      </c>
      <c r="Y228" s="800"/>
      <c r="Z228" s="12"/>
      <c r="AA228" s="579">
        <f t="shared" si="126"/>
        <v>0</v>
      </c>
      <c r="AF228" s="6"/>
      <c r="AG228" s="6"/>
      <c r="AH228" s="6"/>
      <c r="AI228" s="1306"/>
      <c r="AJ228" s="1316"/>
      <c r="AK228" s="5"/>
      <c r="AL228" s="5"/>
      <c r="AM228" s="5"/>
      <c r="AN228" s="5"/>
      <c r="AO228" s="5"/>
      <c r="AP228" s="5"/>
      <c r="AQ228" s="1318"/>
      <c r="AR228" s="1320"/>
      <c r="AV228" s="1307"/>
    </row>
    <row r="229" spans="1:54" s="68" customFormat="1" ht="21.95" hidden="1" customHeight="1" x14ac:dyDescent="0.15">
      <c r="A229" s="2707"/>
      <c r="B229" s="2617"/>
      <c r="C229" s="2720" t="s">
        <v>29</v>
      </c>
      <c r="D229" s="2721"/>
      <c r="E229" s="1062"/>
      <c r="F229" s="1345"/>
      <c r="G229" s="8">
        <f t="shared" ref="G229:X229" si="132">G223*G224*G222</f>
        <v>0</v>
      </c>
      <c r="H229" s="8">
        <f t="shared" si="132"/>
        <v>0</v>
      </c>
      <c r="I229" s="8">
        <f t="shared" si="132"/>
        <v>0</v>
      </c>
      <c r="J229" s="8">
        <f t="shared" si="132"/>
        <v>0</v>
      </c>
      <c r="K229" s="8">
        <f t="shared" si="132"/>
        <v>0</v>
      </c>
      <c r="L229" s="8">
        <f t="shared" si="132"/>
        <v>0</v>
      </c>
      <c r="M229" s="8">
        <f t="shared" si="132"/>
        <v>0</v>
      </c>
      <c r="N229" s="8">
        <f t="shared" si="132"/>
        <v>0</v>
      </c>
      <c r="O229" s="8">
        <f t="shared" si="132"/>
        <v>0</v>
      </c>
      <c r="P229" s="8">
        <f t="shared" si="132"/>
        <v>0</v>
      </c>
      <c r="Q229" s="8">
        <f t="shared" si="132"/>
        <v>0</v>
      </c>
      <c r="R229" s="8">
        <f t="shared" si="132"/>
        <v>0</v>
      </c>
      <c r="S229" s="8">
        <f t="shared" si="132"/>
        <v>0</v>
      </c>
      <c r="T229" s="8">
        <f t="shared" si="132"/>
        <v>0</v>
      </c>
      <c r="U229" s="8">
        <f t="shared" si="132"/>
        <v>0</v>
      </c>
      <c r="V229" s="8">
        <f t="shared" si="132"/>
        <v>0</v>
      </c>
      <c r="W229" s="8">
        <f t="shared" si="132"/>
        <v>0</v>
      </c>
      <c r="X229" s="8">
        <f t="shared" si="132"/>
        <v>0</v>
      </c>
      <c r="Y229" s="8"/>
      <c r="Z229" s="12">
        <f t="shared" ref="Z229:Z247" si="133">TRUNC(SUM(G229:Y229),2)</f>
        <v>0</v>
      </c>
      <c r="AA229" s="579">
        <f t="shared" si="126"/>
        <v>0</v>
      </c>
      <c r="AF229" s="6"/>
      <c r="AG229" s="6"/>
      <c r="AH229" s="6"/>
      <c r="AI229" s="1306"/>
      <c r="AJ229" s="1316"/>
      <c r="AK229" s="5"/>
      <c r="AL229" s="5"/>
      <c r="AM229" s="5"/>
      <c r="AN229" s="5"/>
      <c r="AO229" s="5"/>
      <c r="AP229" s="5"/>
      <c r="AQ229" s="1318"/>
      <c r="AR229" s="1320"/>
      <c r="AV229" s="1307"/>
    </row>
    <row r="230" spans="1:54" s="68" customFormat="1" ht="21.95" hidden="1" customHeight="1" x14ac:dyDescent="0.15">
      <c r="A230" s="2707"/>
      <c r="B230" s="2617"/>
      <c r="C230" s="2720" t="s">
        <v>6</v>
      </c>
      <c r="D230" s="2721"/>
      <c r="E230" s="1062"/>
      <c r="F230" s="1345"/>
      <c r="G230" s="8">
        <f t="shared" ref="G230:X230" si="134">G222*G223*G224*(G226+G227)/100</f>
        <v>0</v>
      </c>
      <c r="H230" s="8">
        <f t="shared" si="134"/>
        <v>0</v>
      </c>
      <c r="I230" s="8">
        <f t="shared" si="134"/>
        <v>0</v>
      </c>
      <c r="J230" s="8">
        <f t="shared" si="134"/>
        <v>0</v>
      </c>
      <c r="K230" s="8">
        <f t="shared" si="134"/>
        <v>0</v>
      </c>
      <c r="L230" s="8">
        <f t="shared" si="134"/>
        <v>0</v>
      </c>
      <c r="M230" s="8">
        <f t="shared" si="134"/>
        <v>0</v>
      </c>
      <c r="N230" s="8">
        <f t="shared" si="134"/>
        <v>0</v>
      </c>
      <c r="O230" s="8">
        <f t="shared" si="134"/>
        <v>0</v>
      </c>
      <c r="P230" s="8">
        <f t="shared" si="134"/>
        <v>0</v>
      </c>
      <c r="Q230" s="8">
        <f t="shared" si="134"/>
        <v>0</v>
      </c>
      <c r="R230" s="8">
        <f t="shared" si="134"/>
        <v>0</v>
      </c>
      <c r="S230" s="8">
        <f t="shared" si="134"/>
        <v>0</v>
      </c>
      <c r="T230" s="8">
        <f t="shared" si="134"/>
        <v>0</v>
      </c>
      <c r="U230" s="8">
        <f t="shared" si="134"/>
        <v>0</v>
      </c>
      <c r="V230" s="8">
        <f t="shared" si="134"/>
        <v>0</v>
      </c>
      <c r="W230" s="8">
        <f t="shared" si="134"/>
        <v>0</v>
      </c>
      <c r="X230" s="8">
        <f t="shared" si="134"/>
        <v>0</v>
      </c>
      <c r="Y230" s="8"/>
      <c r="Z230" s="425">
        <f t="shared" si="133"/>
        <v>0</v>
      </c>
      <c r="AA230" s="579">
        <f t="shared" si="126"/>
        <v>0</v>
      </c>
      <c r="AF230" s="6"/>
      <c r="AG230" s="6"/>
      <c r="AH230" s="6"/>
      <c r="AI230" s="1306"/>
      <c r="AJ230" s="1316"/>
      <c r="AK230" s="5"/>
      <c r="AL230" s="5"/>
      <c r="AM230" s="5"/>
      <c r="AN230" s="5"/>
      <c r="AO230" s="5"/>
      <c r="AP230" s="5"/>
      <c r="AQ230" s="1318"/>
      <c r="AR230" s="1320"/>
      <c r="AV230" s="1307"/>
    </row>
    <row r="231" spans="1:54" s="68" customFormat="1" ht="21.95" hidden="1" customHeight="1" x14ac:dyDescent="0.15">
      <c r="A231" s="2707"/>
      <c r="B231" s="2617"/>
      <c r="C231" s="2720" t="s">
        <v>1876</v>
      </c>
      <c r="D231" s="2721"/>
      <c r="E231" s="1062"/>
      <c r="F231" s="1345"/>
      <c r="G231" s="8">
        <f t="shared" ref="G231:X231" si="135">G229</f>
        <v>0</v>
      </c>
      <c r="H231" s="8">
        <f t="shared" si="135"/>
        <v>0</v>
      </c>
      <c r="I231" s="8">
        <f t="shared" si="135"/>
        <v>0</v>
      </c>
      <c r="J231" s="8">
        <f t="shared" si="135"/>
        <v>0</v>
      </c>
      <c r="K231" s="8">
        <f t="shared" si="135"/>
        <v>0</v>
      </c>
      <c r="L231" s="8">
        <f t="shared" si="135"/>
        <v>0</v>
      </c>
      <c r="M231" s="8">
        <f t="shared" si="135"/>
        <v>0</v>
      </c>
      <c r="N231" s="8">
        <f t="shared" si="135"/>
        <v>0</v>
      </c>
      <c r="O231" s="8">
        <f t="shared" si="135"/>
        <v>0</v>
      </c>
      <c r="P231" s="8">
        <f t="shared" si="135"/>
        <v>0</v>
      </c>
      <c r="Q231" s="8">
        <f t="shared" si="135"/>
        <v>0</v>
      </c>
      <c r="R231" s="8">
        <f t="shared" si="135"/>
        <v>0</v>
      </c>
      <c r="S231" s="8">
        <f t="shared" si="135"/>
        <v>0</v>
      </c>
      <c r="T231" s="8">
        <f t="shared" si="135"/>
        <v>0</v>
      </c>
      <c r="U231" s="8">
        <f t="shared" si="135"/>
        <v>0</v>
      </c>
      <c r="V231" s="8">
        <f t="shared" si="135"/>
        <v>0</v>
      </c>
      <c r="W231" s="8">
        <f t="shared" si="135"/>
        <v>0</v>
      </c>
      <c r="X231" s="8">
        <f t="shared" si="135"/>
        <v>0</v>
      </c>
      <c r="Y231" s="8"/>
      <c r="Z231" s="425">
        <f t="shared" si="133"/>
        <v>0</v>
      </c>
      <c r="AA231" s="579">
        <f t="shared" si="126"/>
        <v>0</v>
      </c>
      <c r="AF231" s="6"/>
      <c r="AG231" s="6"/>
      <c r="AH231" s="6"/>
      <c r="AI231" s="1306"/>
      <c r="AJ231" s="1316"/>
      <c r="AK231" s="5"/>
      <c r="AL231" s="5"/>
      <c r="AM231" s="5"/>
      <c r="AN231" s="5"/>
      <c r="AO231" s="5"/>
      <c r="AP231" s="5"/>
      <c r="AQ231" s="1318"/>
      <c r="AR231" s="1320"/>
      <c r="AV231" s="1307"/>
    </row>
    <row r="232" spans="1:54" s="68" customFormat="1" ht="21.95" hidden="1" customHeight="1" x14ac:dyDescent="0.15">
      <c r="A232" s="2707"/>
      <c r="B232" s="2617"/>
      <c r="C232" s="2720" t="s">
        <v>1585</v>
      </c>
      <c r="D232" s="2721"/>
      <c r="E232" s="1062"/>
      <c r="F232" s="1345"/>
      <c r="G232" s="8">
        <f t="shared" ref="G232:X232" si="136">G229*G227/100</f>
        <v>0</v>
      </c>
      <c r="H232" s="8">
        <f t="shared" si="136"/>
        <v>0</v>
      </c>
      <c r="I232" s="8">
        <f t="shared" si="136"/>
        <v>0</v>
      </c>
      <c r="J232" s="8">
        <f t="shared" si="136"/>
        <v>0</v>
      </c>
      <c r="K232" s="8">
        <f t="shared" si="136"/>
        <v>0</v>
      </c>
      <c r="L232" s="8">
        <f t="shared" si="136"/>
        <v>0</v>
      </c>
      <c r="M232" s="8">
        <f t="shared" si="136"/>
        <v>0</v>
      </c>
      <c r="N232" s="8">
        <f t="shared" si="136"/>
        <v>0</v>
      </c>
      <c r="O232" s="8">
        <f t="shared" si="136"/>
        <v>0</v>
      </c>
      <c r="P232" s="8">
        <f t="shared" si="136"/>
        <v>0</v>
      </c>
      <c r="Q232" s="8">
        <f t="shared" si="136"/>
        <v>0</v>
      </c>
      <c r="R232" s="8">
        <f t="shared" si="136"/>
        <v>0</v>
      </c>
      <c r="S232" s="8">
        <f t="shared" si="136"/>
        <v>0</v>
      </c>
      <c r="T232" s="8">
        <f t="shared" si="136"/>
        <v>0</v>
      </c>
      <c r="U232" s="8">
        <f t="shared" si="136"/>
        <v>0</v>
      </c>
      <c r="V232" s="8">
        <f t="shared" si="136"/>
        <v>0</v>
      </c>
      <c r="W232" s="8">
        <f t="shared" si="136"/>
        <v>0</v>
      </c>
      <c r="X232" s="8">
        <f t="shared" si="136"/>
        <v>0</v>
      </c>
      <c r="Y232" s="8"/>
      <c r="Z232" s="425">
        <f t="shared" si="133"/>
        <v>0</v>
      </c>
      <c r="AA232" s="579">
        <f t="shared" si="126"/>
        <v>0</v>
      </c>
      <c r="AB232" s="1038"/>
      <c r="AC232" s="1038"/>
      <c r="AD232" s="1038"/>
      <c r="AE232" s="1038"/>
      <c r="AF232" s="1038"/>
      <c r="AG232" s="1038"/>
      <c r="AH232" s="1038"/>
      <c r="AI232" s="1305"/>
      <c r="AJ232" s="1315"/>
      <c r="AK232" s="1038"/>
      <c r="AL232" s="1038"/>
      <c r="AM232" s="1038"/>
      <c r="AN232" s="1038"/>
      <c r="AO232" s="1038"/>
      <c r="AP232" s="1038"/>
      <c r="AQ232" s="1305"/>
      <c r="AR232" s="1315"/>
      <c r="AS232" s="1038"/>
      <c r="AT232" s="1038"/>
      <c r="AU232" s="1038"/>
      <c r="AV232" s="1305">
        <v>1</v>
      </c>
      <c r="AW232" s="1038"/>
      <c r="AX232" s="1038"/>
      <c r="AY232" s="1038"/>
      <c r="AZ232" s="1038"/>
      <c r="BA232" s="1038"/>
      <c r="BB232" s="1038"/>
    </row>
    <row r="233" spans="1:54" s="68" customFormat="1" ht="21.95" hidden="1" customHeight="1" x14ac:dyDescent="0.15">
      <c r="A233" s="2707"/>
      <c r="B233" s="2617"/>
      <c r="C233" s="2720" t="s">
        <v>1588</v>
      </c>
      <c r="D233" s="2721"/>
      <c r="E233" s="1062"/>
      <c r="F233" s="1345"/>
      <c r="G233" s="8">
        <f t="shared" ref="G233:X233" si="137">((G224+G225)/2*G228/100+(G224*G226/100))*3*G222</f>
        <v>0</v>
      </c>
      <c r="H233" s="8">
        <f t="shared" si="137"/>
        <v>0</v>
      </c>
      <c r="I233" s="8">
        <f t="shared" si="137"/>
        <v>0</v>
      </c>
      <c r="J233" s="8">
        <f t="shared" si="137"/>
        <v>0</v>
      </c>
      <c r="K233" s="8">
        <f t="shared" si="137"/>
        <v>0</v>
      </c>
      <c r="L233" s="8">
        <f t="shared" si="137"/>
        <v>0</v>
      </c>
      <c r="M233" s="8">
        <f t="shared" si="137"/>
        <v>0</v>
      </c>
      <c r="N233" s="8">
        <f t="shared" si="137"/>
        <v>0</v>
      </c>
      <c r="O233" s="8">
        <f t="shared" si="137"/>
        <v>0</v>
      </c>
      <c r="P233" s="8">
        <f t="shared" si="137"/>
        <v>0</v>
      </c>
      <c r="Q233" s="8">
        <f t="shared" si="137"/>
        <v>0</v>
      </c>
      <c r="R233" s="8">
        <f t="shared" si="137"/>
        <v>0</v>
      </c>
      <c r="S233" s="8">
        <f t="shared" si="137"/>
        <v>0</v>
      </c>
      <c r="T233" s="8">
        <f t="shared" si="137"/>
        <v>0</v>
      </c>
      <c r="U233" s="8">
        <f t="shared" si="137"/>
        <v>0</v>
      </c>
      <c r="V233" s="8">
        <f t="shared" si="137"/>
        <v>0</v>
      </c>
      <c r="W233" s="8">
        <f t="shared" si="137"/>
        <v>0</v>
      </c>
      <c r="X233" s="8">
        <f t="shared" si="137"/>
        <v>0</v>
      </c>
      <c r="Y233" s="8"/>
      <c r="Z233" s="425">
        <f t="shared" si="133"/>
        <v>0</v>
      </c>
      <c r="AA233" s="579">
        <f t="shared" si="126"/>
        <v>0</v>
      </c>
      <c r="AB233" s="1038"/>
      <c r="AC233" s="1038"/>
      <c r="AD233" s="1038"/>
      <c r="AE233" s="1038"/>
      <c r="AF233" s="1038"/>
      <c r="AG233" s="1038"/>
      <c r="AH233" s="1038"/>
      <c r="AI233" s="1305"/>
      <c r="AJ233" s="1315"/>
      <c r="AK233" s="1038"/>
      <c r="AL233" s="1038"/>
      <c r="AM233" s="1038"/>
      <c r="AN233" s="1038"/>
      <c r="AO233" s="1038"/>
      <c r="AP233" s="1038"/>
      <c r="AQ233" s="1305"/>
      <c r="AR233" s="1315"/>
      <c r="AS233" s="1038"/>
      <c r="AT233" s="1038"/>
      <c r="AU233" s="1038"/>
      <c r="AV233" s="1305"/>
      <c r="AW233" s="1038"/>
      <c r="AX233" s="1038"/>
      <c r="AY233" s="1038"/>
      <c r="AZ233" s="1038"/>
      <c r="BA233" s="1038">
        <v>1</v>
      </c>
      <c r="BB233" s="1038"/>
    </row>
    <row r="234" spans="1:54" s="68" customFormat="1" ht="21.95" hidden="1" customHeight="1" x14ac:dyDescent="0.15">
      <c r="A234" s="2707"/>
      <c r="B234" s="2617"/>
      <c r="C234" s="2720" t="s">
        <v>1866</v>
      </c>
      <c r="D234" s="2721"/>
      <c r="E234" s="1062"/>
      <c r="F234" s="1345"/>
      <c r="G234" s="8">
        <f t="shared" ref="G234:X234" si="138">((G224+G225)/2*G228/100+(G224*G226/100))*G223*G222</f>
        <v>0</v>
      </c>
      <c r="H234" s="8">
        <f t="shared" si="138"/>
        <v>0</v>
      </c>
      <c r="I234" s="8">
        <f t="shared" si="138"/>
        <v>0</v>
      </c>
      <c r="J234" s="8">
        <f t="shared" si="138"/>
        <v>0</v>
      </c>
      <c r="K234" s="8">
        <f t="shared" si="138"/>
        <v>0</v>
      </c>
      <c r="L234" s="8">
        <f t="shared" si="138"/>
        <v>0</v>
      </c>
      <c r="M234" s="8">
        <f t="shared" si="138"/>
        <v>0</v>
      </c>
      <c r="N234" s="8">
        <f t="shared" si="138"/>
        <v>0</v>
      </c>
      <c r="O234" s="8">
        <f t="shared" si="138"/>
        <v>0</v>
      </c>
      <c r="P234" s="8">
        <f t="shared" si="138"/>
        <v>0</v>
      </c>
      <c r="Q234" s="8">
        <f t="shared" si="138"/>
        <v>0</v>
      </c>
      <c r="R234" s="8">
        <f t="shared" si="138"/>
        <v>0</v>
      </c>
      <c r="S234" s="8">
        <f t="shared" si="138"/>
        <v>0</v>
      </c>
      <c r="T234" s="8">
        <f t="shared" si="138"/>
        <v>0</v>
      </c>
      <c r="U234" s="8">
        <f t="shared" si="138"/>
        <v>0</v>
      </c>
      <c r="V234" s="8">
        <f t="shared" si="138"/>
        <v>0</v>
      </c>
      <c r="W234" s="8">
        <f t="shared" si="138"/>
        <v>0</v>
      </c>
      <c r="X234" s="8">
        <f t="shared" si="138"/>
        <v>0</v>
      </c>
      <c r="Y234" s="8"/>
      <c r="Z234" s="425">
        <f t="shared" si="133"/>
        <v>0</v>
      </c>
      <c r="AA234" s="579">
        <f t="shared" si="126"/>
        <v>0</v>
      </c>
      <c r="AB234" s="1038"/>
      <c r="AC234" s="1038"/>
      <c r="AD234" s="1038"/>
      <c r="AE234" s="1038">
        <v>1</v>
      </c>
      <c r="AF234" s="1038"/>
      <c r="AG234" s="1038"/>
      <c r="AH234" s="1038"/>
      <c r="AI234" s="1305"/>
      <c r="AJ234" s="1315"/>
      <c r="AK234" s="1038"/>
      <c r="AL234" s="1038">
        <v>1</v>
      </c>
      <c r="AM234" s="1038"/>
      <c r="AN234" s="1038"/>
      <c r="AO234" s="1038"/>
      <c r="AP234" s="1038"/>
      <c r="AQ234" s="1305"/>
      <c r="AR234" s="1315"/>
      <c r="AS234" s="1038"/>
      <c r="AT234" s="1038">
        <v>1</v>
      </c>
      <c r="AU234" s="1038"/>
      <c r="AV234" s="1305"/>
      <c r="AW234" s="1038"/>
      <c r="AX234" s="1038"/>
      <c r="AY234" s="1038"/>
      <c r="AZ234" s="1038"/>
      <c r="BA234" s="1038"/>
      <c r="BB234" s="1038"/>
    </row>
    <row r="235" spans="1:54" s="68" customFormat="1" ht="21.95" hidden="1" customHeight="1" x14ac:dyDescent="0.15">
      <c r="A235" s="2707"/>
      <c r="B235" s="2617"/>
      <c r="C235" s="2720" t="s">
        <v>1871</v>
      </c>
      <c r="D235" s="2721"/>
      <c r="E235" s="1062"/>
      <c r="F235" s="1345"/>
      <c r="G235" s="8">
        <f t="shared" ref="G235:X235" si="139">G222*G223*G224*2.2</f>
        <v>0</v>
      </c>
      <c r="H235" s="8">
        <f t="shared" si="139"/>
        <v>0</v>
      </c>
      <c r="I235" s="8">
        <f t="shared" si="139"/>
        <v>0</v>
      </c>
      <c r="J235" s="8">
        <f t="shared" si="139"/>
        <v>0</v>
      </c>
      <c r="K235" s="8">
        <f t="shared" si="139"/>
        <v>0</v>
      </c>
      <c r="L235" s="8">
        <f t="shared" si="139"/>
        <v>0</v>
      </c>
      <c r="M235" s="8">
        <f t="shared" si="139"/>
        <v>0</v>
      </c>
      <c r="N235" s="8">
        <f t="shared" si="139"/>
        <v>0</v>
      </c>
      <c r="O235" s="8">
        <f t="shared" si="139"/>
        <v>0</v>
      </c>
      <c r="P235" s="8">
        <f t="shared" si="139"/>
        <v>0</v>
      </c>
      <c r="Q235" s="8">
        <f t="shared" si="139"/>
        <v>0</v>
      </c>
      <c r="R235" s="8">
        <f t="shared" si="139"/>
        <v>0</v>
      </c>
      <c r="S235" s="8">
        <f t="shared" si="139"/>
        <v>0</v>
      </c>
      <c r="T235" s="8">
        <f t="shared" si="139"/>
        <v>0</v>
      </c>
      <c r="U235" s="8">
        <f t="shared" si="139"/>
        <v>0</v>
      </c>
      <c r="V235" s="8">
        <f t="shared" si="139"/>
        <v>0</v>
      </c>
      <c r="W235" s="8">
        <f t="shared" si="139"/>
        <v>0</v>
      </c>
      <c r="X235" s="8">
        <f t="shared" si="139"/>
        <v>0</v>
      </c>
      <c r="Y235" s="8"/>
      <c r="Z235" s="425">
        <f t="shared" si="133"/>
        <v>0</v>
      </c>
      <c r="AA235" s="579">
        <f t="shared" si="126"/>
        <v>0</v>
      </c>
      <c r="AB235" s="1038"/>
      <c r="AC235" s="1038"/>
      <c r="AD235" s="1038"/>
      <c r="AE235" s="1038"/>
      <c r="AF235" s="1038"/>
      <c r="AG235" s="1038"/>
      <c r="AH235" s="1038"/>
      <c r="AI235" s="1305"/>
      <c r="AJ235" s="1315"/>
      <c r="AK235" s="1038"/>
      <c r="AL235" s="1038"/>
      <c r="AM235" s="1038"/>
      <c r="AN235" s="1038"/>
      <c r="AO235" s="1038"/>
      <c r="AP235" s="1038"/>
      <c r="AQ235" s="1305"/>
      <c r="AR235" s="1315"/>
      <c r="AS235" s="1038"/>
      <c r="AT235" s="1038"/>
      <c r="AU235" s="1038"/>
      <c r="AV235" s="1305"/>
      <c r="AW235" s="1038">
        <v>1</v>
      </c>
      <c r="AX235" s="1038"/>
      <c r="AY235" s="1038"/>
      <c r="AZ235" s="1038"/>
      <c r="BA235" s="1038"/>
      <c r="BB235" s="1038"/>
    </row>
    <row r="236" spans="1:54" s="68" customFormat="1" ht="21.95" hidden="1" customHeight="1" thickBot="1" x14ac:dyDescent="0.2">
      <c r="A236" s="2707"/>
      <c r="B236" s="2617"/>
      <c r="C236" s="2944" t="s">
        <v>1532</v>
      </c>
      <c r="D236" s="2730"/>
      <c r="E236" s="1062"/>
      <c r="F236" s="1358"/>
      <c r="G236" s="8">
        <f t="shared" ref="G236:X236" si="140">4*G222</f>
        <v>0</v>
      </c>
      <c r="H236" s="8">
        <f t="shared" si="140"/>
        <v>0</v>
      </c>
      <c r="I236" s="8">
        <f t="shared" si="140"/>
        <v>0</v>
      </c>
      <c r="J236" s="8">
        <f t="shared" si="140"/>
        <v>0</v>
      </c>
      <c r="K236" s="8">
        <f t="shared" si="140"/>
        <v>0</v>
      </c>
      <c r="L236" s="8">
        <f t="shared" si="140"/>
        <v>0</v>
      </c>
      <c r="M236" s="8">
        <f t="shared" si="140"/>
        <v>0</v>
      </c>
      <c r="N236" s="8">
        <f t="shared" si="140"/>
        <v>0</v>
      </c>
      <c r="O236" s="8">
        <f t="shared" si="140"/>
        <v>0</v>
      </c>
      <c r="P236" s="8">
        <f t="shared" si="140"/>
        <v>0</v>
      </c>
      <c r="Q236" s="8">
        <f t="shared" si="140"/>
        <v>0</v>
      </c>
      <c r="R236" s="8">
        <f t="shared" si="140"/>
        <v>0</v>
      </c>
      <c r="S236" s="8">
        <f t="shared" si="140"/>
        <v>0</v>
      </c>
      <c r="T236" s="8">
        <f t="shared" si="140"/>
        <v>0</v>
      </c>
      <c r="U236" s="8">
        <f t="shared" si="140"/>
        <v>0</v>
      </c>
      <c r="V236" s="8">
        <f t="shared" si="140"/>
        <v>0</v>
      </c>
      <c r="W236" s="8">
        <f t="shared" si="140"/>
        <v>0</v>
      </c>
      <c r="X236" s="8">
        <f t="shared" si="140"/>
        <v>0</v>
      </c>
      <c r="Y236" s="8"/>
      <c r="Z236" s="425">
        <f t="shared" si="133"/>
        <v>0</v>
      </c>
      <c r="AA236" s="579">
        <f t="shared" si="126"/>
        <v>0</v>
      </c>
      <c r="AF236" s="6"/>
      <c r="AG236" s="6"/>
      <c r="AH236" s="6"/>
      <c r="AI236" s="5"/>
      <c r="AJ236" s="5"/>
      <c r="AK236" s="5"/>
      <c r="AL236" s="5"/>
      <c r="AM236" s="5"/>
      <c r="AN236" s="5"/>
      <c r="AO236" s="5"/>
      <c r="AP236" s="5"/>
    </row>
    <row r="237" spans="1:54" s="68" customFormat="1" ht="21.95" hidden="1" customHeight="1" x14ac:dyDescent="0.15">
      <c r="A237" s="2707"/>
      <c r="B237" s="2677" t="s">
        <v>1530</v>
      </c>
      <c r="C237" s="2958" t="s">
        <v>1360</v>
      </c>
      <c r="D237" s="2959"/>
      <c r="E237" s="1061"/>
      <c r="F237" s="1359"/>
      <c r="G237" s="1180">
        <f t="shared" ref="G237:X237" si="141">G230*1.25</f>
        <v>0</v>
      </c>
      <c r="H237" s="1180">
        <f t="shared" si="141"/>
        <v>0</v>
      </c>
      <c r="I237" s="1180">
        <f t="shared" si="141"/>
        <v>0</v>
      </c>
      <c r="J237" s="1180">
        <f t="shared" si="141"/>
        <v>0</v>
      </c>
      <c r="K237" s="1180">
        <f t="shared" si="141"/>
        <v>0</v>
      </c>
      <c r="L237" s="1180">
        <f t="shared" si="141"/>
        <v>0</v>
      </c>
      <c r="M237" s="1180">
        <f t="shared" si="141"/>
        <v>0</v>
      </c>
      <c r="N237" s="1180">
        <f t="shared" si="141"/>
        <v>0</v>
      </c>
      <c r="O237" s="1180">
        <f t="shared" si="141"/>
        <v>0</v>
      </c>
      <c r="P237" s="1180">
        <f t="shared" si="141"/>
        <v>0</v>
      </c>
      <c r="Q237" s="1180">
        <f t="shared" si="141"/>
        <v>0</v>
      </c>
      <c r="R237" s="1180">
        <f t="shared" si="141"/>
        <v>0</v>
      </c>
      <c r="S237" s="1180">
        <f t="shared" si="141"/>
        <v>0</v>
      </c>
      <c r="T237" s="1180">
        <f t="shared" si="141"/>
        <v>0</v>
      </c>
      <c r="U237" s="1180">
        <f t="shared" si="141"/>
        <v>0</v>
      </c>
      <c r="V237" s="1180">
        <f t="shared" si="141"/>
        <v>0</v>
      </c>
      <c r="W237" s="1180">
        <f t="shared" si="141"/>
        <v>0</v>
      </c>
      <c r="X237" s="1180">
        <f t="shared" si="141"/>
        <v>0</v>
      </c>
      <c r="Y237" s="1180"/>
      <c r="Z237" s="415">
        <f t="shared" si="133"/>
        <v>0</v>
      </c>
      <c r="AA237" s="579">
        <f t="shared" si="126"/>
        <v>0</v>
      </c>
      <c r="AF237" s="6"/>
      <c r="AG237" s="6"/>
      <c r="AH237" s="6"/>
      <c r="AI237" s="5"/>
      <c r="AJ237" s="5"/>
      <c r="AK237" s="5"/>
      <c r="AL237" s="5"/>
      <c r="AM237" s="5"/>
      <c r="AN237" s="5"/>
      <c r="AO237" s="5"/>
      <c r="AP237" s="5"/>
    </row>
    <row r="238" spans="1:54" s="68" customFormat="1" ht="21.95" hidden="1" customHeight="1" x14ac:dyDescent="0.15">
      <c r="A238" s="2707"/>
      <c r="B238" s="2678"/>
      <c r="C238" s="2931" t="s">
        <v>2012</v>
      </c>
      <c r="D238" s="2932"/>
      <c r="E238" s="1062"/>
      <c r="F238" s="1358"/>
      <c r="G238" s="1144">
        <f t="shared" ref="G238:X238" si="142">G176</f>
        <v>0</v>
      </c>
      <c r="H238" s="1144">
        <f t="shared" si="142"/>
        <v>0</v>
      </c>
      <c r="I238" s="1144">
        <f t="shared" si="142"/>
        <v>0</v>
      </c>
      <c r="J238" s="1144">
        <f t="shared" si="142"/>
        <v>0</v>
      </c>
      <c r="K238" s="1144">
        <f t="shared" si="142"/>
        <v>0</v>
      </c>
      <c r="L238" s="1144">
        <f t="shared" si="142"/>
        <v>0</v>
      </c>
      <c r="M238" s="1144">
        <f t="shared" si="142"/>
        <v>0</v>
      </c>
      <c r="N238" s="1144">
        <f t="shared" si="142"/>
        <v>0</v>
      </c>
      <c r="O238" s="1144">
        <f t="shared" si="142"/>
        <v>0</v>
      </c>
      <c r="P238" s="1144">
        <f t="shared" si="142"/>
        <v>0</v>
      </c>
      <c r="Q238" s="1144">
        <f t="shared" si="142"/>
        <v>0</v>
      </c>
      <c r="R238" s="1144">
        <f t="shared" si="142"/>
        <v>0</v>
      </c>
      <c r="S238" s="1144">
        <f t="shared" si="142"/>
        <v>0</v>
      </c>
      <c r="T238" s="1144">
        <f t="shared" si="142"/>
        <v>0</v>
      </c>
      <c r="U238" s="1144">
        <f t="shared" si="142"/>
        <v>0</v>
      </c>
      <c r="V238" s="1144">
        <f t="shared" si="142"/>
        <v>0</v>
      </c>
      <c r="W238" s="1144">
        <f t="shared" si="142"/>
        <v>0</v>
      </c>
      <c r="X238" s="1144">
        <f t="shared" si="142"/>
        <v>0</v>
      </c>
      <c r="Y238" s="1144"/>
      <c r="Z238" s="425">
        <f t="shared" si="133"/>
        <v>0</v>
      </c>
      <c r="AA238" s="579">
        <f t="shared" si="126"/>
        <v>0</v>
      </c>
      <c r="AF238" s="6"/>
      <c r="AG238" s="6"/>
      <c r="AH238" s="6"/>
      <c r="AI238" s="5"/>
      <c r="AJ238" s="5"/>
      <c r="AK238" s="5"/>
      <c r="AL238" s="5"/>
      <c r="AM238" s="5"/>
      <c r="AN238" s="5"/>
      <c r="AO238" s="5"/>
      <c r="AP238" s="5"/>
    </row>
    <row r="239" spans="1:54" s="68" customFormat="1" ht="21.95" customHeight="1" x14ac:dyDescent="0.15">
      <c r="A239" s="2707"/>
      <c r="B239" s="2678"/>
      <c r="C239" s="2958" t="s">
        <v>1531</v>
      </c>
      <c r="D239" s="2959"/>
      <c r="E239" s="1062"/>
      <c r="F239" s="1358"/>
      <c r="G239" s="1137">
        <f t="shared" ref="G239:X239" si="143">(G157+G156)*0.4*0.02*2.4</f>
        <v>0.29952000000000001</v>
      </c>
      <c r="H239" s="1137">
        <f t="shared" si="143"/>
        <v>0.29952000000000001</v>
      </c>
      <c r="I239" s="1137">
        <f t="shared" si="143"/>
        <v>0.59904000000000002</v>
      </c>
      <c r="J239" s="1137">
        <f t="shared" si="143"/>
        <v>0.59904000000000002</v>
      </c>
      <c r="K239" s="1137">
        <f t="shared" si="143"/>
        <v>0.44928000000000001</v>
      </c>
      <c r="L239" s="1137">
        <f t="shared" si="143"/>
        <v>0.59904000000000002</v>
      </c>
      <c r="M239" s="1137">
        <f t="shared" si="143"/>
        <v>0.14976</v>
      </c>
      <c r="N239" s="1137">
        <f t="shared" si="143"/>
        <v>0.44928000000000001</v>
      </c>
      <c r="O239" s="1137">
        <f t="shared" si="143"/>
        <v>0.59904000000000002</v>
      </c>
      <c r="P239" s="1137">
        <f t="shared" si="143"/>
        <v>0.44928000000000001</v>
      </c>
      <c r="Q239" s="1137">
        <f t="shared" si="143"/>
        <v>1.3478400000000001</v>
      </c>
      <c r="R239" s="1137">
        <f t="shared" si="143"/>
        <v>1.0483200000000001</v>
      </c>
      <c r="S239" s="1137">
        <f t="shared" si="143"/>
        <v>1.19808</v>
      </c>
      <c r="T239" s="1137">
        <f t="shared" si="143"/>
        <v>0.89856000000000003</v>
      </c>
      <c r="U239" s="1137">
        <f t="shared" si="143"/>
        <v>1.0483200000000001</v>
      </c>
      <c r="V239" s="1137">
        <f t="shared" si="143"/>
        <v>0.89856000000000003</v>
      </c>
      <c r="W239" s="1137">
        <f t="shared" si="143"/>
        <v>0.74880000000000013</v>
      </c>
      <c r="X239" s="1137">
        <f t="shared" si="143"/>
        <v>1.7971200000000001</v>
      </c>
      <c r="Y239" s="1139"/>
      <c r="Z239" s="415">
        <f t="shared" si="133"/>
        <v>13.47</v>
      </c>
      <c r="AA239" s="579">
        <f t="shared" si="126"/>
        <v>26.948399999999999</v>
      </c>
      <c r="AF239" s="6"/>
      <c r="AG239" s="6"/>
      <c r="AH239" s="6"/>
      <c r="AI239" s="5"/>
      <c r="AJ239" s="5"/>
      <c r="AK239" s="5"/>
      <c r="AL239" s="5"/>
      <c r="AM239" s="5"/>
      <c r="AN239" s="5"/>
      <c r="AO239" s="5"/>
      <c r="AP239" s="5"/>
    </row>
    <row r="240" spans="1:54" s="68" customFormat="1" ht="21.95" hidden="1" customHeight="1" x14ac:dyDescent="0.15">
      <c r="A240" s="2707"/>
      <c r="B240" s="2678"/>
      <c r="C240" s="2933" t="s">
        <v>1533</v>
      </c>
      <c r="D240" s="2934"/>
      <c r="E240" s="1062"/>
      <c r="F240" s="1358"/>
      <c r="G240" s="1144">
        <f t="shared" ref="G240:X240" si="144">(G200*3.5+G201*5.8+G202*9+G203*12+G204*15+G205*18+G206*45.4)/1000</f>
        <v>0</v>
      </c>
      <c r="H240" s="1144">
        <f t="shared" si="144"/>
        <v>0</v>
      </c>
      <c r="I240" s="1144">
        <f t="shared" si="144"/>
        <v>0</v>
      </c>
      <c r="J240" s="1144">
        <f t="shared" si="144"/>
        <v>0</v>
      </c>
      <c r="K240" s="1144">
        <f t="shared" si="144"/>
        <v>0</v>
      </c>
      <c r="L240" s="1144">
        <f t="shared" si="144"/>
        <v>0</v>
      </c>
      <c r="M240" s="1144">
        <f t="shared" si="144"/>
        <v>0</v>
      </c>
      <c r="N240" s="1144">
        <f t="shared" si="144"/>
        <v>0</v>
      </c>
      <c r="O240" s="1144">
        <f t="shared" si="144"/>
        <v>0</v>
      </c>
      <c r="P240" s="1144">
        <f t="shared" si="144"/>
        <v>0</v>
      </c>
      <c r="Q240" s="1144">
        <f t="shared" si="144"/>
        <v>0</v>
      </c>
      <c r="R240" s="1144">
        <f t="shared" si="144"/>
        <v>0</v>
      </c>
      <c r="S240" s="1144">
        <f t="shared" si="144"/>
        <v>0</v>
      </c>
      <c r="T240" s="1144">
        <f t="shared" si="144"/>
        <v>0</v>
      </c>
      <c r="U240" s="1144">
        <f t="shared" si="144"/>
        <v>0</v>
      </c>
      <c r="V240" s="1144">
        <f t="shared" si="144"/>
        <v>0</v>
      </c>
      <c r="W240" s="1144">
        <f t="shared" si="144"/>
        <v>0</v>
      </c>
      <c r="X240" s="1144">
        <f t="shared" si="144"/>
        <v>0</v>
      </c>
      <c r="Y240" s="1144"/>
      <c r="Z240" s="425">
        <f t="shared" si="133"/>
        <v>0</v>
      </c>
      <c r="AA240" s="579">
        <f t="shared" si="126"/>
        <v>0</v>
      </c>
      <c r="AF240" s="6"/>
      <c r="AG240" s="6"/>
      <c r="AH240" s="6"/>
      <c r="AI240" s="5"/>
      <c r="AJ240" s="5"/>
      <c r="AK240" s="5"/>
      <c r="AL240" s="5"/>
      <c r="AM240" s="5"/>
      <c r="AN240" s="5"/>
      <c r="AO240" s="5"/>
      <c r="AP240" s="5"/>
    </row>
    <row r="241" spans="1:42" s="68" customFormat="1" ht="21.95" customHeight="1" x14ac:dyDescent="0.15">
      <c r="A241" s="2707"/>
      <c r="B241" s="2678"/>
      <c r="C241" s="2933" t="s">
        <v>1207</v>
      </c>
      <c r="D241" s="2934"/>
      <c r="E241" s="1062"/>
      <c r="F241" s="1358"/>
      <c r="G241" s="1144">
        <f t="shared" ref="G241:X241" si="145">($AB$152*(G208*$AB$208)+$AC$152*(G164*$AC$164+G168*$AC$168)+$AD$152*G234*$AC$234+$AE$152*G199*$AE$199+$AF$152*(G156*$AF$156+G157*$AF$157+G211*$AF$211)+$AG$152*SUMPRODUCT(G200:G206,$AG$200:$AG$206)+$AH$152*G209*$AH$209+$AI$152*G210*$AI$210)/1000</f>
        <v>19.640344589561998</v>
      </c>
      <c r="H241" s="1144">
        <f t="shared" si="145"/>
        <v>18.760849475735998</v>
      </c>
      <c r="I241" s="1144">
        <f t="shared" si="145"/>
        <v>10.473453369450002</v>
      </c>
      <c r="J241" s="1144">
        <f t="shared" si="145"/>
        <v>10.481680638989998</v>
      </c>
      <c r="K241" s="1144">
        <f t="shared" si="145"/>
        <v>17.543179834494005</v>
      </c>
      <c r="L241" s="1144">
        <f t="shared" si="145"/>
        <v>10.736451752412002</v>
      </c>
      <c r="M241" s="1144">
        <f t="shared" si="145"/>
        <v>1.6122368382000005</v>
      </c>
      <c r="N241" s="1144">
        <f t="shared" si="145"/>
        <v>17.789449436058003</v>
      </c>
      <c r="O241" s="1144">
        <f t="shared" si="145"/>
        <v>32.361281253666</v>
      </c>
      <c r="P241" s="1144">
        <f t="shared" si="145"/>
        <v>17.831134268394003</v>
      </c>
      <c r="Q241" s="1144">
        <f t="shared" si="145"/>
        <v>19.103141885664002</v>
      </c>
      <c r="R241" s="1144">
        <f t="shared" si="145"/>
        <v>44.19171936190201</v>
      </c>
      <c r="S241" s="1144">
        <f t="shared" si="145"/>
        <v>44.423146128972</v>
      </c>
      <c r="T241" s="1144">
        <f t="shared" si="145"/>
        <v>42.314015959878006</v>
      </c>
      <c r="U241" s="1144">
        <f t="shared" si="145"/>
        <v>45.527279450562006</v>
      </c>
      <c r="V241" s="1144">
        <f t="shared" si="145"/>
        <v>44.227678854882008</v>
      </c>
      <c r="W241" s="1144">
        <f t="shared" si="145"/>
        <v>17.893594018254003</v>
      </c>
      <c r="X241" s="1144">
        <f t="shared" si="145"/>
        <v>26.327680263089999</v>
      </c>
      <c r="Y241" s="1144"/>
      <c r="Z241" s="425">
        <f t="shared" si="133"/>
        <v>441.23</v>
      </c>
      <c r="AA241" s="579">
        <f t="shared" si="126"/>
        <v>882.46831738016613</v>
      </c>
      <c r="AF241" s="6"/>
      <c r="AG241" s="6"/>
      <c r="AH241" s="6"/>
      <c r="AI241" s="5"/>
      <c r="AJ241" s="5"/>
      <c r="AK241" s="5"/>
      <c r="AL241" s="5"/>
      <c r="AM241" s="5"/>
      <c r="AN241" s="5"/>
      <c r="AO241" s="5"/>
      <c r="AP241" s="5"/>
    </row>
    <row r="242" spans="1:42" s="68" customFormat="1" ht="21.95" customHeight="1" x14ac:dyDescent="0.15">
      <c r="A242" s="2707"/>
      <c r="B242" s="2678"/>
      <c r="C242" s="2933" t="s">
        <v>585</v>
      </c>
      <c r="D242" s="2934"/>
      <c r="E242" s="1062"/>
      <c r="F242" s="1358"/>
      <c r="G242" s="1144">
        <f t="shared" ref="G242:X242" si="146">$AJ$152*G208*$AJ208+$AK$152*(G164*$AK164+G168*$AK168)+$AM$152*G199*$AM199+$AN$152*(G156*$AN156+G157*$AN157+G211*$AN211)+$AO$152*SUMPRODUCT(G200:G206,$AO200:$AO206)+$AP$152*G209*$AP209+$AQ$152*G210*AW$210+G234*AR$234*$AL$152</f>
        <v>45.892367925019997</v>
      </c>
      <c r="H242" s="1144">
        <f t="shared" si="146"/>
        <v>43.834276380559999</v>
      </c>
      <c r="I242" s="1144">
        <f t="shared" si="146"/>
        <v>24.373413709500003</v>
      </c>
      <c r="J242" s="1144">
        <f t="shared" si="146"/>
        <v>24.392666202899996</v>
      </c>
      <c r="K242" s="1144">
        <f t="shared" si="146"/>
        <v>40.950994322740002</v>
      </c>
      <c r="L242" s="1144">
        <f t="shared" si="146"/>
        <v>24.988851748520005</v>
      </c>
      <c r="M242" s="1144">
        <f t="shared" si="146"/>
        <v>3.7389339220000006</v>
      </c>
      <c r="N242" s="1144">
        <f t="shared" si="146"/>
        <v>41.527285625180006</v>
      </c>
      <c r="O242" s="1144">
        <f t="shared" si="146"/>
        <v>75.592747150859992</v>
      </c>
      <c r="P242" s="1144">
        <f t="shared" si="146"/>
        <v>41.624831591740005</v>
      </c>
      <c r="Q242" s="1144">
        <f t="shared" si="146"/>
        <v>44.398430613440006</v>
      </c>
      <c r="R242" s="1144">
        <f t="shared" si="146"/>
        <v>103.17545180642003</v>
      </c>
      <c r="S242" s="1144">
        <f t="shared" si="146"/>
        <v>103.68317558612</v>
      </c>
      <c r="T242" s="1144">
        <f t="shared" si="146"/>
        <v>98.815304097380007</v>
      </c>
      <c r="U242" s="1144">
        <f t="shared" si="146"/>
        <v>106.30077323502002</v>
      </c>
      <c r="V242" s="1144">
        <f t="shared" si="146"/>
        <v>103.29343406222002</v>
      </c>
      <c r="W242" s="1144">
        <f t="shared" si="146"/>
        <v>41.703324472340007</v>
      </c>
      <c r="X242" s="1144">
        <f t="shared" si="146"/>
        <v>61.202947713900002</v>
      </c>
      <c r="Y242" s="1144"/>
      <c r="Z242" s="425">
        <f t="shared" si="133"/>
        <v>1029.48</v>
      </c>
      <c r="AA242" s="579">
        <f t="shared" si="126"/>
        <v>2058.9692101658602</v>
      </c>
      <c r="AF242" s="6"/>
      <c r="AG242" s="6"/>
      <c r="AH242" s="6"/>
      <c r="AI242" s="5"/>
      <c r="AJ242" s="5"/>
      <c r="AK242" s="5"/>
      <c r="AL242" s="5"/>
      <c r="AM242" s="5"/>
      <c r="AN242" s="5"/>
      <c r="AO242" s="5"/>
      <c r="AP242" s="5"/>
    </row>
    <row r="243" spans="1:42" s="68" customFormat="1" ht="21.95" customHeight="1" x14ac:dyDescent="0.15">
      <c r="A243" s="2707"/>
      <c r="B243" s="2678"/>
      <c r="C243" s="2933" t="s">
        <v>642</v>
      </c>
      <c r="D243" s="2934"/>
      <c r="E243" s="1062"/>
      <c r="F243" s="1358"/>
      <c r="G243" s="1144">
        <f t="shared" ref="G243:X243" si="147">$AR$152*G208*$AR208+$AS$152*(G164*$AS164+G168*$AS168)+$AT$152*G234*$AT234+$AU$152*G199*$AU199+$AV$152*(G166*$AV166+G232*$AV232)</f>
        <v>34.719557200300002</v>
      </c>
      <c r="H243" s="1144">
        <f t="shared" si="147"/>
        <v>33.121118808399999</v>
      </c>
      <c r="I243" s="1144">
        <f t="shared" si="147"/>
        <v>17.083403767500002</v>
      </c>
      <c r="J243" s="1144">
        <f t="shared" si="147"/>
        <v>17.098356418499996</v>
      </c>
      <c r="K243" s="1144">
        <f t="shared" si="147"/>
        <v>30.420171616100003</v>
      </c>
      <c r="L243" s="1144">
        <f t="shared" si="147"/>
        <v>17.561390177800003</v>
      </c>
      <c r="M243" s="1144">
        <f t="shared" si="147"/>
        <v>2.4422663300000003</v>
      </c>
      <c r="N243" s="1144">
        <f t="shared" si="147"/>
        <v>30.867754302700003</v>
      </c>
      <c r="O243" s="1144">
        <f t="shared" si="147"/>
        <v>56.863436487899996</v>
      </c>
      <c r="P243" s="1144">
        <f t="shared" si="147"/>
        <v>30.9435144011</v>
      </c>
      <c r="Q243" s="1144">
        <f t="shared" si="147"/>
        <v>30.327963601599997</v>
      </c>
      <c r="R243" s="1144">
        <f t="shared" si="147"/>
        <v>76.900985671300006</v>
      </c>
      <c r="S243" s="1144">
        <f t="shared" si="147"/>
        <v>76.833698741799992</v>
      </c>
      <c r="T243" s="1144">
        <f t="shared" si="147"/>
        <v>73.976247135700007</v>
      </c>
      <c r="U243" s="1144">
        <f t="shared" si="147"/>
        <v>79.3282993503</v>
      </c>
      <c r="V243" s="1144">
        <f t="shared" si="147"/>
        <v>77.454233758300006</v>
      </c>
      <c r="W243" s="1144">
        <f t="shared" si="147"/>
        <v>30.081244860100004</v>
      </c>
      <c r="X243" s="1144">
        <f t="shared" si="147"/>
        <v>41.994520333499999</v>
      </c>
      <c r="Y243" s="1144"/>
      <c r="Z243" s="425">
        <f t="shared" si="133"/>
        <v>758.01</v>
      </c>
      <c r="AA243" s="579">
        <f t="shared" si="126"/>
        <v>1516.0281629628998</v>
      </c>
      <c r="AF243" s="6"/>
      <c r="AG243" s="6"/>
      <c r="AH243" s="6"/>
      <c r="AI243" s="5"/>
      <c r="AJ243" s="5"/>
      <c r="AK243" s="5"/>
      <c r="AL243" s="5"/>
      <c r="AM243" s="5"/>
      <c r="AN243" s="5"/>
      <c r="AO243" s="5"/>
      <c r="AP243" s="5"/>
    </row>
    <row r="244" spans="1:42" s="68" customFormat="1" ht="21.95" hidden="1" customHeight="1" x14ac:dyDescent="0.15">
      <c r="A244" s="2707"/>
      <c r="B244" s="2678"/>
      <c r="C244" s="2933" t="s">
        <v>1208</v>
      </c>
      <c r="D244" s="2934"/>
      <c r="E244" s="1062"/>
      <c r="F244" s="1358"/>
      <c r="G244" s="1144">
        <f t="shared" ref="G244:X244" si="148">($AW$152*(G169*$AW169+G235*$AW235)+$AX$152*G199*$AX199)/1000</f>
        <v>0</v>
      </c>
      <c r="H244" s="1144">
        <f t="shared" si="148"/>
        <v>0</v>
      </c>
      <c r="I244" s="1144">
        <f t="shared" si="148"/>
        <v>0</v>
      </c>
      <c r="J244" s="1144">
        <f t="shared" si="148"/>
        <v>0</v>
      </c>
      <c r="K244" s="1144">
        <f t="shared" si="148"/>
        <v>0</v>
      </c>
      <c r="L244" s="1144">
        <f t="shared" si="148"/>
        <v>0</v>
      </c>
      <c r="M244" s="1144">
        <f t="shared" si="148"/>
        <v>0</v>
      </c>
      <c r="N244" s="1144">
        <f t="shared" si="148"/>
        <v>0</v>
      </c>
      <c r="O244" s="1144">
        <f t="shared" si="148"/>
        <v>0</v>
      </c>
      <c r="P244" s="1144">
        <f t="shared" si="148"/>
        <v>0</v>
      </c>
      <c r="Q244" s="1144">
        <f t="shared" si="148"/>
        <v>0</v>
      </c>
      <c r="R244" s="1144">
        <f t="shared" si="148"/>
        <v>0</v>
      </c>
      <c r="S244" s="1144">
        <f t="shared" si="148"/>
        <v>0</v>
      </c>
      <c r="T244" s="1144">
        <f t="shared" si="148"/>
        <v>0</v>
      </c>
      <c r="U244" s="1144">
        <f t="shared" si="148"/>
        <v>0</v>
      </c>
      <c r="V244" s="1144">
        <f t="shared" si="148"/>
        <v>0</v>
      </c>
      <c r="W244" s="1144">
        <f t="shared" si="148"/>
        <v>0</v>
      </c>
      <c r="X244" s="1144">
        <f t="shared" si="148"/>
        <v>0</v>
      </c>
      <c r="Y244" s="1144"/>
      <c r="Z244" s="425">
        <f t="shared" si="133"/>
        <v>0</v>
      </c>
      <c r="AA244" s="579">
        <f t="shared" si="126"/>
        <v>0</v>
      </c>
      <c r="AF244" s="6"/>
      <c r="AG244" s="6"/>
      <c r="AH244" s="6"/>
      <c r="AI244" s="5"/>
      <c r="AJ244" s="5"/>
      <c r="AK244" s="5"/>
      <c r="AL244" s="5"/>
      <c r="AM244" s="5"/>
      <c r="AN244" s="5"/>
      <c r="AO244" s="5"/>
      <c r="AP244" s="5"/>
    </row>
    <row r="245" spans="1:42" s="68" customFormat="1" ht="21.95" hidden="1" customHeight="1" x14ac:dyDescent="0.15">
      <c r="A245" s="2707"/>
      <c r="B245" s="2678"/>
      <c r="C245" s="2933" t="s">
        <v>1213</v>
      </c>
      <c r="D245" s="2934"/>
      <c r="E245" s="1062"/>
      <c r="F245" s="1358"/>
      <c r="G245" s="1144">
        <f t="shared" ref="G245:X245" si="149">$AY$152*G209*$AY209</f>
        <v>0</v>
      </c>
      <c r="H245" s="1144">
        <f t="shared" si="149"/>
        <v>0</v>
      </c>
      <c r="I245" s="1144">
        <f t="shared" si="149"/>
        <v>0</v>
      </c>
      <c r="J245" s="1144">
        <f t="shared" si="149"/>
        <v>0</v>
      </c>
      <c r="K245" s="1144">
        <f t="shared" si="149"/>
        <v>0</v>
      </c>
      <c r="L245" s="1144">
        <f t="shared" si="149"/>
        <v>0</v>
      </c>
      <c r="M245" s="1144">
        <f t="shared" si="149"/>
        <v>0</v>
      </c>
      <c r="N245" s="1144">
        <f t="shared" si="149"/>
        <v>0</v>
      </c>
      <c r="O245" s="1144">
        <f t="shared" si="149"/>
        <v>0</v>
      </c>
      <c r="P245" s="1144">
        <f t="shared" si="149"/>
        <v>0</v>
      </c>
      <c r="Q245" s="1144">
        <f t="shared" si="149"/>
        <v>0</v>
      </c>
      <c r="R245" s="1144">
        <f t="shared" si="149"/>
        <v>0</v>
      </c>
      <c r="S245" s="1144">
        <f t="shared" si="149"/>
        <v>0</v>
      </c>
      <c r="T245" s="1144">
        <f t="shared" si="149"/>
        <v>0</v>
      </c>
      <c r="U245" s="1144">
        <f t="shared" si="149"/>
        <v>0</v>
      </c>
      <c r="V245" s="1144">
        <f t="shared" si="149"/>
        <v>0</v>
      </c>
      <c r="W245" s="1144">
        <f t="shared" si="149"/>
        <v>0</v>
      </c>
      <c r="X245" s="1144">
        <f t="shared" si="149"/>
        <v>0</v>
      </c>
      <c r="Y245" s="1144"/>
      <c r="Z245" s="425">
        <f t="shared" si="133"/>
        <v>0</v>
      </c>
      <c r="AA245" s="579">
        <f t="shared" si="126"/>
        <v>0</v>
      </c>
      <c r="AF245" s="6"/>
      <c r="AG245" s="6"/>
      <c r="AH245" s="6"/>
      <c r="AI245" s="5"/>
      <c r="AJ245" s="5"/>
      <c r="AK245" s="5"/>
      <c r="AL245" s="5"/>
      <c r="AM245" s="5"/>
      <c r="AN245" s="5"/>
      <c r="AO245" s="5"/>
      <c r="AP245" s="5"/>
    </row>
    <row r="246" spans="1:42" s="68" customFormat="1" ht="21.95" customHeight="1" thickBot="1" x14ac:dyDescent="0.2">
      <c r="A246" s="2707"/>
      <c r="B246" s="2678"/>
      <c r="C246" s="2933" t="s">
        <v>1589</v>
      </c>
      <c r="D246" s="2934"/>
      <c r="E246" s="1062"/>
      <c r="F246" s="1358"/>
      <c r="G246" s="1144">
        <f t="shared" ref="G246:X246" si="150">$AZ$152*(G164*$AZ164+G168*$AZ168+G199*$AZ199)+$BA$152*G233*$BA233</f>
        <v>0.48761300000000002</v>
      </c>
      <c r="H246" s="1144">
        <f t="shared" si="150"/>
        <v>0.46516399999999997</v>
      </c>
      <c r="I246" s="1144">
        <f t="shared" si="150"/>
        <v>0.239925</v>
      </c>
      <c r="J246" s="1144">
        <f t="shared" si="150"/>
        <v>0.24013499999999993</v>
      </c>
      <c r="K246" s="1144">
        <f t="shared" si="150"/>
        <v>0.42723100000000003</v>
      </c>
      <c r="L246" s="1144">
        <f t="shared" si="150"/>
        <v>0.24663800000000002</v>
      </c>
      <c r="M246" s="1144">
        <f t="shared" si="150"/>
        <v>3.4300000000000004E-2</v>
      </c>
      <c r="N246" s="1144">
        <f t="shared" si="150"/>
        <v>0.43351700000000004</v>
      </c>
      <c r="O246" s="1144">
        <f t="shared" si="150"/>
        <v>0.7986089999999999</v>
      </c>
      <c r="P246" s="1144">
        <f t="shared" si="150"/>
        <v>0.43458100000000005</v>
      </c>
      <c r="Q246" s="1144">
        <f t="shared" si="150"/>
        <v>0.42593599999999998</v>
      </c>
      <c r="R246" s="1144">
        <f t="shared" si="150"/>
        <v>1.0800230000000002</v>
      </c>
      <c r="S246" s="1144">
        <f t="shared" si="150"/>
        <v>1.079078</v>
      </c>
      <c r="T246" s="1144">
        <f t="shared" si="150"/>
        <v>1.0389470000000001</v>
      </c>
      <c r="U246" s="1144">
        <f t="shared" si="150"/>
        <v>1.1141129999999999</v>
      </c>
      <c r="V246" s="1144">
        <f t="shared" si="150"/>
        <v>1.087793</v>
      </c>
      <c r="W246" s="1144">
        <f t="shared" si="150"/>
        <v>0.42247100000000004</v>
      </c>
      <c r="X246" s="1144">
        <f t="shared" si="150"/>
        <v>0.589785</v>
      </c>
      <c r="Y246" s="1144"/>
      <c r="Z246" s="425">
        <f t="shared" si="133"/>
        <v>10.64</v>
      </c>
      <c r="AA246" s="579">
        <f t="shared" si="126"/>
        <v>21.285859000000002</v>
      </c>
      <c r="AF246" s="6"/>
      <c r="AG246" s="6"/>
      <c r="AH246" s="6"/>
      <c r="AI246" s="5"/>
      <c r="AJ246" s="5"/>
      <c r="AK246" s="5"/>
      <c r="AL246" s="5"/>
      <c r="AM246" s="5"/>
      <c r="AN246" s="5"/>
      <c r="AO246" s="5"/>
      <c r="AP246" s="5"/>
    </row>
    <row r="247" spans="1:42" s="68" customFormat="1" ht="21.95" hidden="1" customHeight="1" thickBot="1" x14ac:dyDescent="0.2">
      <c r="A247" s="2707"/>
      <c r="B247" s="2670"/>
      <c r="C247" s="2941" t="s">
        <v>1590</v>
      </c>
      <c r="D247" s="2942"/>
      <c r="E247" s="983"/>
      <c r="F247" s="564"/>
      <c r="G247" s="1174">
        <f t="shared" ref="G247:X247" si="151">($BB$152*(G168*$BB168+G209*$BB209))/1000</f>
        <v>0</v>
      </c>
      <c r="H247" s="1174">
        <f t="shared" si="151"/>
        <v>0</v>
      </c>
      <c r="I247" s="1174">
        <f t="shared" si="151"/>
        <v>0</v>
      </c>
      <c r="J247" s="1174">
        <f t="shared" si="151"/>
        <v>0</v>
      </c>
      <c r="K247" s="1174">
        <f t="shared" si="151"/>
        <v>0</v>
      </c>
      <c r="L247" s="1174">
        <f t="shared" si="151"/>
        <v>0</v>
      </c>
      <c r="M247" s="1174">
        <f t="shared" si="151"/>
        <v>0</v>
      </c>
      <c r="N247" s="1174">
        <f t="shared" si="151"/>
        <v>0</v>
      </c>
      <c r="O247" s="1174">
        <f t="shared" si="151"/>
        <v>0</v>
      </c>
      <c r="P247" s="1174">
        <f t="shared" si="151"/>
        <v>0</v>
      </c>
      <c r="Q247" s="1174">
        <f t="shared" si="151"/>
        <v>0</v>
      </c>
      <c r="R247" s="1174">
        <f t="shared" si="151"/>
        <v>0</v>
      </c>
      <c r="S247" s="1174">
        <f t="shared" si="151"/>
        <v>0</v>
      </c>
      <c r="T247" s="1174">
        <f t="shared" si="151"/>
        <v>0</v>
      </c>
      <c r="U247" s="1174">
        <f t="shared" si="151"/>
        <v>0</v>
      </c>
      <c r="V247" s="1174">
        <f t="shared" si="151"/>
        <v>0</v>
      </c>
      <c r="W247" s="1174">
        <f t="shared" si="151"/>
        <v>0</v>
      </c>
      <c r="X247" s="1174">
        <f t="shared" si="151"/>
        <v>0</v>
      </c>
      <c r="Y247" s="1174"/>
      <c r="Z247" s="416">
        <f t="shared" si="133"/>
        <v>0</v>
      </c>
      <c r="AA247" s="579">
        <f t="shared" si="126"/>
        <v>0</v>
      </c>
      <c r="AF247" s="6"/>
      <c r="AG247" s="6"/>
      <c r="AH247" s="6"/>
      <c r="AI247" s="5"/>
      <c r="AJ247" s="5"/>
      <c r="AK247" s="5"/>
      <c r="AL247" s="5"/>
      <c r="AM247" s="5"/>
      <c r="AN247" s="5"/>
      <c r="AO247" s="5"/>
      <c r="AP247" s="5"/>
    </row>
    <row r="248" spans="1:42" s="68" customFormat="1" ht="21.95" hidden="1" customHeight="1" x14ac:dyDescent="0.15">
      <c r="A248" s="2707"/>
      <c r="B248" s="2677" t="s">
        <v>1534</v>
      </c>
      <c r="C248" s="2933" t="s">
        <v>1360</v>
      </c>
      <c r="D248" s="2934"/>
      <c r="E248" s="1062"/>
      <c r="F248" s="1358"/>
      <c r="G248" s="1144">
        <f t="shared" ref="G248:X248" si="152">G237</f>
        <v>0</v>
      </c>
      <c r="H248" s="1144">
        <f t="shared" si="152"/>
        <v>0</v>
      </c>
      <c r="I248" s="1144">
        <f t="shared" si="152"/>
        <v>0</v>
      </c>
      <c r="J248" s="1144">
        <f t="shared" si="152"/>
        <v>0</v>
      </c>
      <c r="K248" s="1144">
        <f t="shared" si="152"/>
        <v>0</v>
      </c>
      <c r="L248" s="1144">
        <f t="shared" si="152"/>
        <v>0</v>
      </c>
      <c r="M248" s="1144">
        <f t="shared" si="152"/>
        <v>0</v>
      </c>
      <c r="N248" s="1144">
        <f t="shared" si="152"/>
        <v>0</v>
      </c>
      <c r="O248" s="1144">
        <f t="shared" si="152"/>
        <v>0</v>
      </c>
      <c r="P248" s="1144">
        <f t="shared" si="152"/>
        <v>0</v>
      </c>
      <c r="Q248" s="1144">
        <f t="shared" si="152"/>
        <v>0</v>
      </c>
      <c r="R248" s="1144">
        <f t="shared" si="152"/>
        <v>0</v>
      </c>
      <c r="S248" s="1144">
        <f t="shared" si="152"/>
        <v>0</v>
      </c>
      <c r="T248" s="1144">
        <f t="shared" si="152"/>
        <v>0</v>
      </c>
      <c r="U248" s="1144">
        <f t="shared" si="152"/>
        <v>0</v>
      </c>
      <c r="V248" s="1144">
        <f t="shared" si="152"/>
        <v>0</v>
      </c>
      <c r="W248" s="1144">
        <f t="shared" si="152"/>
        <v>0</v>
      </c>
      <c r="X248" s="1144">
        <f t="shared" si="152"/>
        <v>0</v>
      </c>
      <c r="Y248" s="1144"/>
      <c r="Z248" s="425"/>
      <c r="AA248" s="579"/>
      <c r="AF248" s="6"/>
      <c r="AG248" s="6"/>
      <c r="AH248" s="6"/>
      <c r="AI248" s="5"/>
      <c r="AJ248" s="5"/>
      <c r="AK248" s="5"/>
      <c r="AL248" s="5"/>
      <c r="AM248" s="5"/>
      <c r="AN248" s="5"/>
      <c r="AO248" s="5"/>
      <c r="AP248" s="5"/>
    </row>
    <row r="249" spans="1:42" s="68" customFormat="1" ht="21.95" hidden="1" customHeight="1" x14ac:dyDescent="0.15">
      <c r="A249" s="2707"/>
      <c r="B249" s="2678"/>
      <c r="C249" s="2933" t="s">
        <v>2012</v>
      </c>
      <c r="D249" s="2934"/>
      <c r="E249" s="1062"/>
      <c r="F249" s="1358"/>
      <c r="G249" s="1144">
        <f t="shared" ref="G249:X249" si="153">G238</f>
        <v>0</v>
      </c>
      <c r="H249" s="1144">
        <f t="shared" si="153"/>
        <v>0</v>
      </c>
      <c r="I249" s="1144">
        <f t="shared" si="153"/>
        <v>0</v>
      </c>
      <c r="J249" s="1144">
        <f t="shared" si="153"/>
        <v>0</v>
      </c>
      <c r="K249" s="1144">
        <f t="shared" si="153"/>
        <v>0</v>
      </c>
      <c r="L249" s="1144">
        <f t="shared" si="153"/>
        <v>0</v>
      </c>
      <c r="M249" s="1144">
        <f t="shared" si="153"/>
        <v>0</v>
      </c>
      <c r="N249" s="1144">
        <f t="shared" si="153"/>
        <v>0</v>
      </c>
      <c r="O249" s="1144">
        <f t="shared" si="153"/>
        <v>0</v>
      </c>
      <c r="P249" s="1144">
        <f t="shared" si="153"/>
        <v>0</v>
      </c>
      <c r="Q249" s="1144">
        <f t="shared" si="153"/>
        <v>0</v>
      </c>
      <c r="R249" s="1144">
        <f t="shared" si="153"/>
        <v>0</v>
      </c>
      <c r="S249" s="1144">
        <f t="shared" si="153"/>
        <v>0</v>
      </c>
      <c r="T249" s="1144">
        <f t="shared" si="153"/>
        <v>0</v>
      </c>
      <c r="U249" s="1144">
        <f t="shared" si="153"/>
        <v>0</v>
      </c>
      <c r="V249" s="1144">
        <f t="shared" si="153"/>
        <v>0</v>
      </c>
      <c r="W249" s="1144">
        <f t="shared" si="153"/>
        <v>0</v>
      </c>
      <c r="X249" s="1144">
        <f t="shared" si="153"/>
        <v>0</v>
      </c>
      <c r="Y249" s="1144"/>
      <c r="Z249" s="425"/>
      <c r="AA249" s="579"/>
      <c r="AF249" s="6"/>
      <c r="AG249" s="6"/>
      <c r="AH249" s="6"/>
      <c r="AI249" s="5"/>
      <c r="AJ249" s="5"/>
      <c r="AK249" s="5"/>
      <c r="AL249" s="5"/>
      <c r="AM249" s="5"/>
      <c r="AN249" s="5"/>
      <c r="AO249" s="5"/>
      <c r="AP249" s="5"/>
    </row>
    <row r="250" spans="1:42" s="68" customFormat="1" ht="21.95" hidden="1" customHeight="1" x14ac:dyDescent="0.15">
      <c r="A250" s="2707"/>
      <c r="B250" s="2678"/>
      <c r="C250" s="2933" t="s">
        <v>1531</v>
      </c>
      <c r="D250" s="2934"/>
      <c r="E250" s="1062"/>
      <c r="F250" s="1358"/>
      <c r="G250" s="1144">
        <f t="shared" ref="G250:X250" si="154">G239</f>
        <v>0.29952000000000001</v>
      </c>
      <c r="H250" s="1144">
        <f t="shared" si="154"/>
        <v>0.29952000000000001</v>
      </c>
      <c r="I250" s="1144">
        <f t="shared" si="154"/>
        <v>0.59904000000000002</v>
      </c>
      <c r="J250" s="1144">
        <f t="shared" si="154"/>
        <v>0.59904000000000002</v>
      </c>
      <c r="K250" s="1144">
        <f t="shared" si="154"/>
        <v>0.44928000000000001</v>
      </c>
      <c r="L250" s="1144">
        <f t="shared" si="154"/>
        <v>0.59904000000000002</v>
      </c>
      <c r="M250" s="1144">
        <f t="shared" si="154"/>
        <v>0.14976</v>
      </c>
      <c r="N250" s="1144">
        <f t="shared" si="154"/>
        <v>0.44928000000000001</v>
      </c>
      <c r="O250" s="1144">
        <f t="shared" si="154"/>
        <v>0.59904000000000002</v>
      </c>
      <c r="P250" s="1144">
        <f t="shared" si="154"/>
        <v>0.44928000000000001</v>
      </c>
      <c r="Q250" s="1144">
        <f t="shared" si="154"/>
        <v>1.3478400000000001</v>
      </c>
      <c r="R250" s="1144">
        <f t="shared" si="154"/>
        <v>1.0483200000000001</v>
      </c>
      <c r="S250" s="1144">
        <f t="shared" si="154"/>
        <v>1.19808</v>
      </c>
      <c r="T250" s="1144">
        <f t="shared" si="154"/>
        <v>0.89856000000000003</v>
      </c>
      <c r="U250" s="1144">
        <f t="shared" si="154"/>
        <v>1.0483200000000001</v>
      </c>
      <c r="V250" s="1144">
        <f t="shared" si="154"/>
        <v>0.89856000000000003</v>
      </c>
      <c r="W250" s="1144">
        <f t="shared" si="154"/>
        <v>0.74880000000000013</v>
      </c>
      <c r="X250" s="1144">
        <f t="shared" si="154"/>
        <v>1.7971200000000001</v>
      </c>
      <c r="Y250" s="1144"/>
      <c r="Z250" s="425"/>
      <c r="AA250" s="579"/>
      <c r="AF250" s="6"/>
      <c r="AG250" s="6"/>
      <c r="AH250" s="6"/>
      <c r="AI250" s="5"/>
      <c r="AJ250" s="5"/>
      <c r="AK250" s="5"/>
      <c r="AL250" s="5"/>
      <c r="AM250" s="5"/>
      <c r="AN250" s="5"/>
      <c r="AO250" s="5"/>
      <c r="AP250" s="5"/>
    </row>
    <row r="251" spans="1:42" s="68" customFormat="1" ht="21.95" hidden="1" customHeight="1" x14ac:dyDescent="0.15">
      <c r="A251" s="2707"/>
      <c r="B251" s="2678"/>
      <c r="C251" s="2933" t="s">
        <v>1533</v>
      </c>
      <c r="D251" s="2934"/>
      <c r="E251" s="1062"/>
      <c r="F251" s="1358"/>
      <c r="G251" s="1144">
        <f t="shared" ref="G251:X251" si="155">G240</f>
        <v>0</v>
      </c>
      <c r="H251" s="1144">
        <f t="shared" si="155"/>
        <v>0</v>
      </c>
      <c r="I251" s="1144">
        <f t="shared" si="155"/>
        <v>0</v>
      </c>
      <c r="J251" s="1144">
        <f t="shared" si="155"/>
        <v>0</v>
      </c>
      <c r="K251" s="1144">
        <f t="shared" si="155"/>
        <v>0</v>
      </c>
      <c r="L251" s="1144">
        <f t="shared" si="155"/>
        <v>0</v>
      </c>
      <c r="M251" s="1144">
        <f t="shared" si="155"/>
        <v>0</v>
      </c>
      <c r="N251" s="1144">
        <f t="shared" si="155"/>
        <v>0</v>
      </c>
      <c r="O251" s="1144">
        <f t="shared" si="155"/>
        <v>0</v>
      </c>
      <c r="P251" s="1144">
        <f t="shared" si="155"/>
        <v>0</v>
      </c>
      <c r="Q251" s="1144">
        <f t="shared" si="155"/>
        <v>0</v>
      </c>
      <c r="R251" s="1144">
        <f t="shared" si="155"/>
        <v>0</v>
      </c>
      <c r="S251" s="1144">
        <f t="shared" si="155"/>
        <v>0</v>
      </c>
      <c r="T251" s="1144">
        <f t="shared" si="155"/>
        <v>0</v>
      </c>
      <c r="U251" s="1144">
        <f t="shared" si="155"/>
        <v>0</v>
      </c>
      <c r="V251" s="1144">
        <f t="shared" si="155"/>
        <v>0</v>
      </c>
      <c r="W251" s="1144">
        <f t="shared" si="155"/>
        <v>0</v>
      </c>
      <c r="X251" s="1144">
        <f t="shared" si="155"/>
        <v>0</v>
      </c>
      <c r="Y251" s="1144"/>
      <c r="Z251" s="425"/>
      <c r="AA251" s="579"/>
      <c r="AF251" s="6"/>
      <c r="AG251" s="6"/>
      <c r="AH251" s="6"/>
      <c r="AI251" s="5"/>
      <c r="AJ251" s="5"/>
      <c r="AK251" s="5"/>
      <c r="AL251" s="5"/>
      <c r="AM251" s="5"/>
      <c r="AN251" s="5"/>
      <c r="AO251" s="5"/>
      <c r="AP251" s="5"/>
    </row>
    <row r="252" spans="1:42" s="68" customFormat="1" ht="21.95" hidden="1" customHeight="1" x14ac:dyDescent="0.15">
      <c r="A252" s="2707"/>
      <c r="B252" s="2678"/>
      <c r="C252" s="2933" t="s">
        <v>1207</v>
      </c>
      <c r="D252" s="2934"/>
      <c r="E252" s="1062"/>
      <c r="F252" s="1358"/>
      <c r="G252" s="1144">
        <f t="shared" ref="G252:X252" si="156">G241</f>
        <v>19.640344589561998</v>
      </c>
      <c r="H252" s="1144">
        <f t="shared" si="156"/>
        <v>18.760849475735998</v>
      </c>
      <c r="I252" s="1144">
        <f t="shared" si="156"/>
        <v>10.473453369450002</v>
      </c>
      <c r="J252" s="1144">
        <f t="shared" si="156"/>
        <v>10.481680638989998</v>
      </c>
      <c r="K252" s="1144">
        <f t="shared" si="156"/>
        <v>17.543179834494005</v>
      </c>
      <c r="L252" s="1144">
        <f t="shared" si="156"/>
        <v>10.736451752412002</v>
      </c>
      <c r="M252" s="1144">
        <f t="shared" si="156"/>
        <v>1.6122368382000005</v>
      </c>
      <c r="N252" s="1144">
        <f t="shared" si="156"/>
        <v>17.789449436058003</v>
      </c>
      <c r="O252" s="1144">
        <f t="shared" si="156"/>
        <v>32.361281253666</v>
      </c>
      <c r="P252" s="1144">
        <f t="shared" si="156"/>
        <v>17.831134268394003</v>
      </c>
      <c r="Q252" s="1144">
        <f t="shared" si="156"/>
        <v>19.103141885664002</v>
      </c>
      <c r="R252" s="1144">
        <f t="shared" si="156"/>
        <v>44.19171936190201</v>
      </c>
      <c r="S252" s="1144">
        <f t="shared" si="156"/>
        <v>44.423146128972</v>
      </c>
      <c r="T252" s="1144">
        <f t="shared" si="156"/>
        <v>42.314015959878006</v>
      </c>
      <c r="U252" s="1144">
        <f t="shared" si="156"/>
        <v>45.527279450562006</v>
      </c>
      <c r="V252" s="1144">
        <f t="shared" si="156"/>
        <v>44.227678854882008</v>
      </c>
      <c r="W252" s="1144">
        <f t="shared" si="156"/>
        <v>17.893594018254003</v>
      </c>
      <c r="X252" s="1144">
        <f t="shared" si="156"/>
        <v>26.327680263089999</v>
      </c>
      <c r="Y252" s="1144"/>
      <c r="Z252" s="425"/>
      <c r="AA252" s="579"/>
      <c r="AF252" s="6"/>
      <c r="AG252" s="6"/>
      <c r="AH252" s="6"/>
      <c r="AI252" s="5"/>
      <c r="AJ252" s="5"/>
      <c r="AK252" s="5"/>
      <c r="AL252" s="5"/>
      <c r="AM252" s="5"/>
      <c r="AN252" s="5"/>
      <c r="AO252" s="5"/>
      <c r="AP252" s="5"/>
    </row>
    <row r="253" spans="1:42" s="68" customFormat="1" ht="21.95" hidden="1" customHeight="1" x14ac:dyDescent="0.15">
      <c r="A253" s="2707"/>
      <c r="B253" s="2678"/>
      <c r="C253" s="2933" t="s">
        <v>585</v>
      </c>
      <c r="D253" s="2934"/>
      <c r="E253" s="1062"/>
      <c r="F253" s="1358"/>
      <c r="G253" s="1144">
        <f t="shared" ref="G253:X253" si="157">G242</f>
        <v>45.892367925019997</v>
      </c>
      <c r="H253" s="1144">
        <f t="shared" si="157"/>
        <v>43.834276380559999</v>
      </c>
      <c r="I253" s="1144">
        <f t="shared" si="157"/>
        <v>24.373413709500003</v>
      </c>
      <c r="J253" s="1144">
        <f t="shared" si="157"/>
        <v>24.392666202899996</v>
      </c>
      <c r="K253" s="1144">
        <f t="shared" si="157"/>
        <v>40.950994322740002</v>
      </c>
      <c r="L253" s="1144">
        <f t="shared" si="157"/>
        <v>24.988851748520005</v>
      </c>
      <c r="M253" s="1144">
        <f t="shared" si="157"/>
        <v>3.7389339220000006</v>
      </c>
      <c r="N253" s="1144">
        <f t="shared" si="157"/>
        <v>41.527285625180006</v>
      </c>
      <c r="O253" s="1144">
        <f t="shared" si="157"/>
        <v>75.592747150859992</v>
      </c>
      <c r="P253" s="1144">
        <f t="shared" si="157"/>
        <v>41.624831591740005</v>
      </c>
      <c r="Q253" s="1144">
        <f t="shared" si="157"/>
        <v>44.398430613440006</v>
      </c>
      <c r="R253" s="1144">
        <f t="shared" si="157"/>
        <v>103.17545180642003</v>
      </c>
      <c r="S253" s="1144">
        <f t="shared" si="157"/>
        <v>103.68317558612</v>
      </c>
      <c r="T253" s="1144">
        <f t="shared" si="157"/>
        <v>98.815304097380007</v>
      </c>
      <c r="U253" s="1144">
        <f t="shared" si="157"/>
        <v>106.30077323502002</v>
      </c>
      <c r="V253" s="1144">
        <f t="shared" si="157"/>
        <v>103.29343406222002</v>
      </c>
      <c r="W253" s="1144">
        <f t="shared" si="157"/>
        <v>41.703324472340007</v>
      </c>
      <c r="X253" s="1144">
        <f t="shared" si="157"/>
        <v>61.202947713900002</v>
      </c>
      <c r="Y253" s="1144"/>
      <c r="Z253" s="425"/>
      <c r="AA253" s="579"/>
      <c r="AF253" s="6"/>
      <c r="AG253" s="6"/>
      <c r="AH253" s="6"/>
      <c r="AI253" s="5"/>
      <c r="AJ253" s="5"/>
      <c r="AK253" s="5"/>
      <c r="AL253" s="5"/>
      <c r="AM253" s="5"/>
      <c r="AN253" s="5"/>
      <c r="AO253" s="5"/>
      <c r="AP253" s="5"/>
    </row>
    <row r="254" spans="1:42" s="68" customFormat="1" ht="21.95" hidden="1" customHeight="1" x14ac:dyDescent="0.15">
      <c r="A254" s="2707"/>
      <c r="B254" s="2678"/>
      <c r="C254" s="2933" t="s">
        <v>642</v>
      </c>
      <c r="D254" s="2934"/>
      <c r="E254" s="1062"/>
      <c r="F254" s="1358"/>
      <c r="G254" s="1144">
        <f t="shared" ref="G254:X254" si="158">G243</f>
        <v>34.719557200300002</v>
      </c>
      <c r="H254" s="1144">
        <f t="shared" si="158"/>
        <v>33.121118808399999</v>
      </c>
      <c r="I254" s="1144">
        <f t="shared" si="158"/>
        <v>17.083403767500002</v>
      </c>
      <c r="J254" s="1144">
        <f t="shared" si="158"/>
        <v>17.098356418499996</v>
      </c>
      <c r="K254" s="1144">
        <f t="shared" si="158"/>
        <v>30.420171616100003</v>
      </c>
      <c r="L254" s="1144">
        <f t="shared" si="158"/>
        <v>17.561390177800003</v>
      </c>
      <c r="M254" s="1144">
        <f t="shared" si="158"/>
        <v>2.4422663300000003</v>
      </c>
      <c r="N254" s="1144">
        <f t="shared" si="158"/>
        <v>30.867754302700003</v>
      </c>
      <c r="O254" s="1144">
        <f t="shared" si="158"/>
        <v>56.863436487899996</v>
      </c>
      <c r="P254" s="1144">
        <f t="shared" si="158"/>
        <v>30.9435144011</v>
      </c>
      <c r="Q254" s="1144">
        <f t="shared" si="158"/>
        <v>30.327963601599997</v>
      </c>
      <c r="R254" s="1144">
        <f t="shared" si="158"/>
        <v>76.900985671300006</v>
      </c>
      <c r="S254" s="1144">
        <f t="shared" si="158"/>
        <v>76.833698741799992</v>
      </c>
      <c r="T254" s="1144">
        <f t="shared" si="158"/>
        <v>73.976247135700007</v>
      </c>
      <c r="U254" s="1144">
        <f t="shared" si="158"/>
        <v>79.3282993503</v>
      </c>
      <c r="V254" s="1144">
        <f t="shared" si="158"/>
        <v>77.454233758300006</v>
      </c>
      <c r="W254" s="1144">
        <f t="shared" si="158"/>
        <v>30.081244860100004</v>
      </c>
      <c r="X254" s="1144">
        <f t="shared" si="158"/>
        <v>41.994520333499999</v>
      </c>
      <c r="Y254" s="1144"/>
      <c r="Z254" s="425"/>
      <c r="AA254" s="579"/>
      <c r="AF254" s="6"/>
      <c r="AG254" s="6"/>
      <c r="AH254" s="6"/>
      <c r="AI254" s="5"/>
      <c r="AJ254" s="5"/>
      <c r="AK254" s="5"/>
      <c r="AL254" s="5"/>
      <c r="AM254" s="5"/>
      <c r="AN254" s="5"/>
      <c r="AO254" s="5"/>
      <c r="AP254" s="5"/>
    </row>
    <row r="255" spans="1:42" s="68" customFormat="1" ht="21.95" hidden="1" customHeight="1" x14ac:dyDescent="0.15">
      <c r="A255" s="2707"/>
      <c r="B255" s="2678"/>
      <c r="C255" s="2933" t="s">
        <v>1208</v>
      </c>
      <c r="D255" s="2934"/>
      <c r="E255" s="1062"/>
      <c r="F255" s="1358"/>
      <c r="G255" s="1144">
        <f t="shared" ref="G255:X255" si="159">G244</f>
        <v>0</v>
      </c>
      <c r="H255" s="1144">
        <f t="shared" si="159"/>
        <v>0</v>
      </c>
      <c r="I255" s="1144">
        <f t="shared" si="159"/>
        <v>0</v>
      </c>
      <c r="J255" s="1144">
        <f t="shared" si="159"/>
        <v>0</v>
      </c>
      <c r="K255" s="1144">
        <f t="shared" si="159"/>
        <v>0</v>
      </c>
      <c r="L255" s="1144">
        <f t="shared" si="159"/>
        <v>0</v>
      </c>
      <c r="M255" s="1144">
        <f t="shared" si="159"/>
        <v>0</v>
      </c>
      <c r="N255" s="1144">
        <f t="shared" si="159"/>
        <v>0</v>
      </c>
      <c r="O255" s="1144">
        <f t="shared" si="159"/>
        <v>0</v>
      </c>
      <c r="P255" s="1144">
        <f t="shared" si="159"/>
        <v>0</v>
      </c>
      <c r="Q255" s="1144">
        <f t="shared" si="159"/>
        <v>0</v>
      </c>
      <c r="R255" s="1144">
        <f t="shared" si="159"/>
        <v>0</v>
      </c>
      <c r="S255" s="1144">
        <f t="shared" si="159"/>
        <v>0</v>
      </c>
      <c r="T255" s="1144">
        <f t="shared" si="159"/>
        <v>0</v>
      </c>
      <c r="U255" s="1144">
        <f t="shared" si="159"/>
        <v>0</v>
      </c>
      <c r="V255" s="1144">
        <f t="shared" si="159"/>
        <v>0</v>
      </c>
      <c r="W255" s="1144">
        <f t="shared" si="159"/>
        <v>0</v>
      </c>
      <c r="X255" s="1144">
        <f t="shared" si="159"/>
        <v>0</v>
      </c>
      <c r="Y255" s="1144"/>
      <c r="Z255" s="425"/>
      <c r="AA255" s="579"/>
      <c r="AF255" s="6"/>
      <c r="AG255" s="6"/>
      <c r="AH255" s="6"/>
      <c r="AI255" s="5"/>
      <c r="AJ255" s="5"/>
      <c r="AK255" s="5"/>
      <c r="AL255" s="5"/>
      <c r="AM255" s="5"/>
      <c r="AN255" s="5"/>
      <c r="AO255" s="5"/>
      <c r="AP255" s="5"/>
    </row>
    <row r="256" spans="1:42" s="68" customFormat="1" ht="21.95" hidden="1" customHeight="1" x14ac:dyDescent="0.15">
      <c r="A256" s="2707"/>
      <c r="B256" s="2678"/>
      <c r="C256" s="2933" t="s">
        <v>1213</v>
      </c>
      <c r="D256" s="2934"/>
      <c r="E256" s="1062"/>
      <c r="F256" s="1358"/>
      <c r="G256" s="1144">
        <f t="shared" ref="G256:X256" si="160">G245</f>
        <v>0</v>
      </c>
      <c r="H256" s="1144">
        <f t="shared" si="160"/>
        <v>0</v>
      </c>
      <c r="I256" s="1144">
        <f t="shared" si="160"/>
        <v>0</v>
      </c>
      <c r="J256" s="1144">
        <f t="shared" si="160"/>
        <v>0</v>
      </c>
      <c r="K256" s="1144">
        <f t="shared" si="160"/>
        <v>0</v>
      </c>
      <c r="L256" s="1144">
        <f t="shared" si="160"/>
        <v>0</v>
      </c>
      <c r="M256" s="1144">
        <f t="shared" si="160"/>
        <v>0</v>
      </c>
      <c r="N256" s="1144">
        <f t="shared" si="160"/>
        <v>0</v>
      </c>
      <c r="O256" s="1144">
        <f t="shared" si="160"/>
        <v>0</v>
      </c>
      <c r="P256" s="1144">
        <f t="shared" si="160"/>
        <v>0</v>
      </c>
      <c r="Q256" s="1144">
        <f t="shared" si="160"/>
        <v>0</v>
      </c>
      <c r="R256" s="1144">
        <f t="shared" si="160"/>
        <v>0</v>
      </c>
      <c r="S256" s="1144">
        <f t="shared" si="160"/>
        <v>0</v>
      </c>
      <c r="T256" s="1144">
        <f t="shared" si="160"/>
        <v>0</v>
      </c>
      <c r="U256" s="1144">
        <f t="shared" si="160"/>
        <v>0</v>
      </c>
      <c r="V256" s="1144">
        <f t="shared" si="160"/>
        <v>0</v>
      </c>
      <c r="W256" s="1144">
        <f t="shared" si="160"/>
        <v>0</v>
      </c>
      <c r="X256" s="1144">
        <f t="shared" si="160"/>
        <v>0</v>
      </c>
      <c r="Y256" s="1144"/>
      <c r="Z256" s="425"/>
      <c r="AA256" s="579"/>
      <c r="AF256" s="6"/>
      <c r="AG256" s="6"/>
      <c r="AH256" s="6"/>
      <c r="AI256" s="5"/>
      <c r="AJ256" s="5"/>
      <c r="AK256" s="5"/>
      <c r="AL256" s="5"/>
      <c r="AM256" s="5"/>
      <c r="AN256" s="5"/>
      <c r="AO256" s="5"/>
      <c r="AP256" s="5"/>
    </row>
    <row r="257" spans="1:42" s="68" customFormat="1" ht="21.95" hidden="1" customHeight="1" x14ac:dyDescent="0.15">
      <c r="A257" s="2707"/>
      <c r="B257" s="2678"/>
      <c r="C257" s="2933" t="s">
        <v>1589</v>
      </c>
      <c r="D257" s="2934"/>
      <c r="E257" s="1062"/>
      <c r="F257" s="1358"/>
      <c r="G257" s="1144">
        <f t="shared" ref="G257:X257" si="161">G246</f>
        <v>0.48761300000000002</v>
      </c>
      <c r="H257" s="1144">
        <f t="shared" si="161"/>
        <v>0.46516399999999997</v>
      </c>
      <c r="I257" s="1144">
        <f t="shared" si="161"/>
        <v>0.239925</v>
      </c>
      <c r="J257" s="1144">
        <f t="shared" si="161"/>
        <v>0.24013499999999993</v>
      </c>
      <c r="K257" s="1144">
        <f t="shared" si="161"/>
        <v>0.42723100000000003</v>
      </c>
      <c r="L257" s="1144">
        <f t="shared" si="161"/>
        <v>0.24663800000000002</v>
      </c>
      <c r="M257" s="1144">
        <f t="shared" si="161"/>
        <v>3.4300000000000004E-2</v>
      </c>
      <c r="N257" s="1144">
        <f t="shared" si="161"/>
        <v>0.43351700000000004</v>
      </c>
      <c r="O257" s="1144">
        <f t="shared" si="161"/>
        <v>0.7986089999999999</v>
      </c>
      <c r="P257" s="1144">
        <f t="shared" si="161"/>
        <v>0.43458100000000005</v>
      </c>
      <c r="Q257" s="1144">
        <f t="shared" si="161"/>
        <v>0.42593599999999998</v>
      </c>
      <c r="R257" s="1144">
        <f t="shared" si="161"/>
        <v>1.0800230000000002</v>
      </c>
      <c r="S257" s="1144">
        <f t="shared" si="161"/>
        <v>1.079078</v>
      </c>
      <c r="T257" s="1144">
        <f t="shared" si="161"/>
        <v>1.0389470000000001</v>
      </c>
      <c r="U257" s="1144">
        <f t="shared" si="161"/>
        <v>1.1141129999999999</v>
      </c>
      <c r="V257" s="1144">
        <f t="shared" si="161"/>
        <v>1.087793</v>
      </c>
      <c r="W257" s="1144">
        <f t="shared" si="161"/>
        <v>0.42247100000000004</v>
      </c>
      <c r="X257" s="1144">
        <f t="shared" si="161"/>
        <v>0.589785</v>
      </c>
      <c r="Y257" s="1144"/>
      <c r="Z257" s="425"/>
      <c r="AA257" s="579"/>
      <c r="AF257" s="6"/>
      <c r="AG257" s="6"/>
      <c r="AH257" s="6"/>
      <c r="AI257" s="5"/>
      <c r="AJ257" s="5"/>
      <c r="AK257" s="5"/>
      <c r="AL257" s="5"/>
      <c r="AM257" s="5"/>
      <c r="AN257" s="5"/>
      <c r="AO257" s="5"/>
      <c r="AP257" s="5"/>
    </row>
    <row r="258" spans="1:42" s="68" customFormat="1" ht="21.95" hidden="1" customHeight="1" thickBot="1" x14ac:dyDescent="0.2">
      <c r="A258" s="2707"/>
      <c r="B258" s="2678"/>
      <c r="C258" s="2931" t="s">
        <v>1590</v>
      </c>
      <c r="D258" s="2932"/>
      <c r="E258" s="1062"/>
      <c r="F258" s="1358"/>
      <c r="G258" s="1144">
        <f t="shared" ref="G258:X258" si="162">G247</f>
        <v>0</v>
      </c>
      <c r="H258" s="1144">
        <f t="shared" si="162"/>
        <v>0</v>
      </c>
      <c r="I258" s="1144">
        <f t="shared" si="162"/>
        <v>0</v>
      </c>
      <c r="J258" s="1144">
        <f t="shared" si="162"/>
        <v>0</v>
      </c>
      <c r="K258" s="1144">
        <f t="shared" si="162"/>
        <v>0</v>
      </c>
      <c r="L258" s="1144">
        <f t="shared" si="162"/>
        <v>0</v>
      </c>
      <c r="M258" s="1144">
        <f t="shared" si="162"/>
        <v>0</v>
      </c>
      <c r="N258" s="1144">
        <f t="shared" si="162"/>
        <v>0</v>
      </c>
      <c r="O258" s="1144">
        <f t="shared" si="162"/>
        <v>0</v>
      </c>
      <c r="P258" s="1144">
        <f t="shared" si="162"/>
        <v>0</v>
      </c>
      <c r="Q258" s="1144">
        <f t="shared" si="162"/>
        <v>0</v>
      </c>
      <c r="R258" s="1144">
        <f t="shared" si="162"/>
        <v>0</v>
      </c>
      <c r="S258" s="1144">
        <f t="shared" si="162"/>
        <v>0</v>
      </c>
      <c r="T258" s="1144">
        <f t="shared" si="162"/>
        <v>0</v>
      </c>
      <c r="U258" s="1144">
        <f t="shared" si="162"/>
        <v>0</v>
      </c>
      <c r="V258" s="1144">
        <f t="shared" si="162"/>
        <v>0</v>
      </c>
      <c r="W258" s="1144">
        <f t="shared" si="162"/>
        <v>0</v>
      </c>
      <c r="X258" s="1144">
        <f t="shared" si="162"/>
        <v>0</v>
      </c>
      <c r="Y258" s="1144"/>
      <c r="Z258" s="425"/>
      <c r="AA258" s="579"/>
      <c r="AF258" s="6"/>
      <c r="AG258" s="6"/>
      <c r="AH258" s="6"/>
      <c r="AI258" s="5"/>
      <c r="AJ258" s="5"/>
      <c r="AK258" s="5"/>
      <c r="AL258" s="5"/>
      <c r="AM258" s="5"/>
      <c r="AN258" s="5"/>
      <c r="AO258" s="5"/>
      <c r="AP258" s="5"/>
    </row>
    <row r="259" spans="1:42" s="9" customFormat="1" ht="18.75" customHeight="1" thickBot="1" x14ac:dyDescent="0.2">
      <c r="A259" s="2708"/>
      <c r="B259" s="2913" t="s">
        <v>12</v>
      </c>
      <c r="C259" s="2949"/>
      <c r="D259" s="2914"/>
      <c r="E259" s="1397"/>
      <c r="F259" s="456"/>
      <c r="G259" s="1884"/>
      <c r="H259" s="1884"/>
      <c r="I259" s="1884"/>
      <c r="J259" s="1884"/>
      <c r="K259" s="1884"/>
      <c r="L259" s="1884"/>
      <c r="M259" s="1884"/>
      <c r="N259" s="1884"/>
      <c r="O259" s="1884"/>
      <c r="P259" s="1884"/>
      <c r="Q259" s="1884"/>
      <c r="R259" s="1884"/>
      <c r="S259" s="1884"/>
      <c r="T259" s="1884"/>
      <c r="U259" s="1884"/>
      <c r="V259" s="1884"/>
      <c r="W259" s="1884"/>
      <c r="X259" s="1884"/>
      <c r="Y259" s="1884"/>
      <c r="Z259" s="2065"/>
      <c r="AA259" s="668">
        <v>1</v>
      </c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</row>
    <row r="260" spans="1:42" ht="19.5" hidden="1" thickTop="1" x14ac:dyDescent="0.15"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</row>
    <row r="261" spans="1:42" hidden="1" x14ac:dyDescent="0.15"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</row>
    <row r="262" spans="1:42" hidden="1" x14ac:dyDescent="0.15"/>
    <row r="263" spans="1:42" hidden="1" x14ac:dyDescent="0.15"/>
    <row r="264" spans="1:42" hidden="1" x14ac:dyDescent="0.15"/>
    <row r="265" spans="1:42" hidden="1" x14ac:dyDescent="0.15"/>
    <row r="266" spans="1:42" hidden="1" x14ac:dyDescent="0.15"/>
    <row r="267" spans="1:42" hidden="1" x14ac:dyDescent="0.15"/>
    <row r="268" spans="1:42" hidden="1" x14ac:dyDescent="0.15"/>
    <row r="269" spans="1:42" hidden="1" x14ac:dyDescent="0.15"/>
    <row r="270" spans="1:42" ht="19.5" thickTop="1" x14ac:dyDescent="0.15"/>
  </sheetData>
  <autoFilter ref="AA1:AA269" xr:uid="{00000000-0009-0000-0000-00001D000000}">
    <filterColumn colId="0">
      <customFilters>
        <customFilter operator="notEqual" val=" "/>
      </customFilters>
    </filterColumn>
  </autoFilter>
  <mergeCells count="148">
    <mergeCell ref="B212:B221"/>
    <mergeCell ref="B248:B258"/>
    <mergeCell ref="C215:C217"/>
    <mergeCell ref="C218:C221"/>
    <mergeCell ref="C107:C113"/>
    <mergeCell ref="C114:C120"/>
    <mergeCell ref="C121:C127"/>
    <mergeCell ref="AW149:AX149"/>
    <mergeCell ref="BB149:BB150"/>
    <mergeCell ref="AB149:AI149"/>
    <mergeCell ref="AJ149:AQ149"/>
    <mergeCell ref="AR149:AV149"/>
    <mergeCell ref="AY149:AY151"/>
    <mergeCell ref="C254:D254"/>
    <mergeCell ref="C255:D255"/>
    <mergeCell ref="C256:D256"/>
    <mergeCell ref="C249:D249"/>
    <mergeCell ref="C250:D250"/>
    <mergeCell ref="C251:D251"/>
    <mergeCell ref="C252:D252"/>
    <mergeCell ref="C253:D253"/>
    <mergeCell ref="C248:D248"/>
    <mergeCell ref="C237:D237"/>
    <mergeCell ref="C238:D238"/>
    <mergeCell ref="B198:B211"/>
    <mergeCell ref="C231:D231"/>
    <mergeCell ref="B193:B197"/>
    <mergeCell ref="C239:D239"/>
    <mergeCell ref="C240:D240"/>
    <mergeCell ref="C241:D241"/>
    <mergeCell ref="C230:D230"/>
    <mergeCell ref="C223:D223"/>
    <mergeCell ref="C233:D233"/>
    <mergeCell ref="C224:D224"/>
    <mergeCell ref="C207:D207"/>
    <mergeCell ref="C234:D234"/>
    <mergeCell ref="C235:D235"/>
    <mergeCell ref="C209:D209"/>
    <mergeCell ref="C210:D210"/>
    <mergeCell ref="C211:D211"/>
    <mergeCell ref="C202:D202"/>
    <mergeCell ref="C203:D203"/>
    <mergeCell ref="C204:D204"/>
    <mergeCell ref="C205:D205"/>
    <mergeCell ref="C206:D206"/>
    <mergeCell ref="B237:B247"/>
    <mergeCell ref="C232:D232"/>
    <mergeCell ref="C227:D227"/>
    <mergeCell ref="B6:B11"/>
    <mergeCell ref="C35:D35"/>
    <mergeCell ref="C31:C32"/>
    <mergeCell ref="C33:C34"/>
    <mergeCell ref="B31:B35"/>
    <mergeCell ref="B3:D3"/>
    <mergeCell ref="B4:C5"/>
    <mergeCell ref="C12:C15"/>
    <mergeCell ref="C16:C19"/>
    <mergeCell ref="B12:B19"/>
    <mergeCell ref="C6:C8"/>
    <mergeCell ref="C9:C11"/>
    <mergeCell ref="B26:B30"/>
    <mergeCell ref="C27:C29"/>
    <mergeCell ref="C30:D30"/>
    <mergeCell ref="B21:B25"/>
    <mergeCell ref="C21:D21"/>
    <mergeCell ref="B20:C20"/>
    <mergeCell ref="C22:D22"/>
    <mergeCell ref="C23:D23"/>
    <mergeCell ref="C24:D24"/>
    <mergeCell ref="C25:D25"/>
    <mergeCell ref="A1:A259"/>
    <mergeCell ref="B259:D259"/>
    <mergeCell ref="B189:B192"/>
    <mergeCell ref="B222:B236"/>
    <mergeCell ref="C64:C70"/>
    <mergeCell ref="C71:C77"/>
    <mergeCell ref="C156:C157"/>
    <mergeCell ref="B146:B157"/>
    <mergeCell ref="C136:C142"/>
    <mergeCell ref="B36:B142"/>
    <mergeCell ref="B158:B169"/>
    <mergeCell ref="C158:C164"/>
    <mergeCell ref="C165:C169"/>
    <mergeCell ref="C148:C149"/>
    <mergeCell ref="C151:C152"/>
    <mergeCell ref="C144:D144"/>
    <mergeCell ref="C145:D145"/>
    <mergeCell ref="C177:D177"/>
    <mergeCell ref="B177:B180"/>
    <mergeCell ref="C178:D178"/>
    <mergeCell ref="B2:D2"/>
    <mergeCell ref="B1:D1"/>
    <mergeCell ref="C36:C42"/>
    <mergeCell ref="C43:C49"/>
    <mergeCell ref="B181:B188"/>
    <mergeCell ref="C93:C99"/>
    <mergeCell ref="C100:C106"/>
    <mergeCell ref="B170:D170"/>
    <mergeCell ref="C173:D173"/>
    <mergeCell ref="C174:D174"/>
    <mergeCell ref="C175:D175"/>
    <mergeCell ref="C176:D176"/>
    <mergeCell ref="B143:D143"/>
    <mergeCell ref="C181:C183"/>
    <mergeCell ref="C179:D179"/>
    <mergeCell ref="C180:D180"/>
    <mergeCell ref="C153:C155"/>
    <mergeCell ref="B171:B176"/>
    <mergeCell ref="C171:D171"/>
    <mergeCell ref="C172:D172"/>
    <mergeCell ref="B144:B145"/>
    <mergeCell ref="AZ149:BA149"/>
    <mergeCell ref="C246:D246"/>
    <mergeCell ref="C257:D257"/>
    <mergeCell ref="C247:D247"/>
    <mergeCell ref="C57:C63"/>
    <mergeCell ref="C78:C84"/>
    <mergeCell ref="C85:C92"/>
    <mergeCell ref="C188:D188"/>
    <mergeCell ref="C184:C187"/>
    <mergeCell ref="C236:D236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225:D225"/>
    <mergeCell ref="C258:D258"/>
    <mergeCell ref="C50:C56"/>
    <mergeCell ref="C128:C135"/>
    <mergeCell ref="C242:D242"/>
    <mergeCell ref="C243:D243"/>
    <mergeCell ref="C244:D244"/>
    <mergeCell ref="C245:D245"/>
    <mergeCell ref="C208:D208"/>
    <mergeCell ref="C212:C214"/>
    <mergeCell ref="C226:D226"/>
    <mergeCell ref="C228:D228"/>
    <mergeCell ref="C229:D229"/>
    <mergeCell ref="C198:D198"/>
    <mergeCell ref="C199:D199"/>
    <mergeCell ref="C200:D200"/>
    <mergeCell ref="C201:D201"/>
    <mergeCell ref="C222:D222"/>
  </mergeCells>
  <conditionalFormatting sqref="G6:Y6 G26:Y26">
    <cfRule type="expression" dxfId="43" priority="286">
      <formula>G$6&gt;0</formula>
    </cfRule>
    <cfRule type="expression" dxfId="42" priority="287">
      <formula>#REF!="SIM"</formula>
    </cfRule>
  </conditionalFormatting>
  <conditionalFormatting sqref="G7:Y8 G19:Y19">
    <cfRule type="expression" dxfId="41" priority="280">
      <formula>G$19&gt;0</formula>
    </cfRule>
    <cfRule type="expression" dxfId="40" priority="281">
      <formula>G$17="SIM"</formula>
    </cfRule>
  </conditionalFormatting>
  <conditionalFormatting sqref="G42:Y42">
    <cfRule type="expression" dxfId="39" priority="285">
      <formula>G$42&gt;G$36</formula>
    </cfRule>
  </conditionalFormatting>
  <conditionalFormatting sqref="G49:Y49">
    <cfRule type="expression" dxfId="38" priority="284">
      <formula>G$49&gt;G$43</formula>
    </cfRule>
  </conditionalFormatting>
  <conditionalFormatting sqref="G56:Y56">
    <cfRule type="expression" dxfId="37" priority="283">
      <formula>G$56&gt;G$50</formula>
    </cfRule>
  </conditionalFormatting>
  <conditionalFormatting sqref="G63:Y63">
    <cfRule type="expression" dxfId="36" priority="282">
      <formula>G$63&gt;G$57</formula>
    </cfRule>
  </conditionalFormatting>
  <conditionalFormatting sqref="G70:Y70 G77:Y77 G84:Y84">
    <cfRule type="expression" dxfId="35" priority="275">
      <formula>G70&gt;G64</formula>
    </cfRule>
  </conditionalFormatting>
  <conditionalFormatting sqref="G92:Y92">
    <cfRule type="expression" dxfId="34" priority="272">
      <formula>G92&gt;G85</formula>
    </cfRule>
  </conditionalFormatting>
  <conditionalFormatting sqref="G99:Y99">
    <cfRule type="expression" dxfId="33" priority="271">
      <formula>G$99&gt;G$93</formula>
    </cfRule>
  </conditionalFormatting>
  <conditionalFormatting sqref="G106:Y106">
    <cfRule type="expression" dxfId="32" priority="270">
      <formula>G$106&gt;G$100</formula>
    </cfRule>
  </conditionalFormatting>
  <conditionalFormatting sqref="G113:Y113">
    <cfRule type="expression" dxfId="31" priority="269">
      <formula>G$113&gt;G$107</formula>
    </cfRule>
  </conditionalFormatting>
  <conditionalFormatting sqref="G120:Y120">
    <cfRule type="expression" dxfId="30" priority="268">
      <formula>G$120&gt;G$114</formula>
    </cfRule>
  </conditionalFormatting>
  <conditionalFormatting sqref="G127:Y127">
    <cfRule type="expression" dxfId="29" priority="267">
      <formula>G$127&gt;G$121</formula>
    </cfRule>
  </conditionalFormatting>
  <conditionalFormatting sqref="G135:Y135">
    <cfRule type="expression" dxfId="28" priority="266">
      <formula>G$135&gt;G$128</formula>
    </cfRule>
  </conditionalFormatting>
  <conditionalFormatting sqref="G142:Y142">
    <cfRule type="expression" dxfId="27" priority="265">
      <formula>G$142&gt;G$136</formula>
    </cfRule>
  </conditionalFormatting>
  <conditionalFormatting sqref="G159:Y159">
    <cfRule type="expression" dxfId="26" priority="276">
      <formula>G$160&gt;G$159</formula>
    </cfRule>
    <cfRule type="expression" dxfId="25" priority="279">
      <formula>G$159&lt;0</formula>
    </cfRule>
  </conditionalFormatting>
  <pageMargins left="0.59055118110236227" right="0.59055118110236227" top="0.59055118110236227" bottom="0.39370078740157483" header="0.31496062992125984" footer="0.23622047244094491"/>
  <pageSetup paperSize="9" scale="57" fitToWidth="10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Z200:Z203 Z37" formulaRange="1"/>
    <ignoredError sqref="O145 U145" formula="1"/>
  </ignoredError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38"/>
  <dimension ref="A1:R179"/>
  <sheetViews>
    <sheetView showZeros="0" view="pageBreakPreview" zoomScale="115" zoomScaleNormal="100" zoomScaleSheetLayoutView="115" workbookViewId="0">
      <pane xSplit="6" ySplit="1" topLeftCell="G197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7" sqref="G7"/>
    </sheetView>
  </sheetViews>
  <sheetFormatPr defaultColWidth="9" defaultRowHeight="18.75" x14ac:dyDescent="0.15"/>
  <cols>
    <col min="1" max="1" width="9.75" style="5" customWidth="1"/>
    <col min="2" max="2" width="6.875" style="5" customWidth="1"/>
    <col min="3" max="3" width="6.75" style="5" customWidth="1"/>
    <col min="4" max="4" width="29.75" style="5" customWidth="1"/>
    <col min="5" max="5" width="4.125" style="982" customWidth="1"/>
    <col min="6" max="6" width="17.125" style="5" customWidth="1"/>
    <col min="7" max="9" width="12.625" style="492" customWidth="1"/>
    <col min="10" max="10" width="12.625" style="5" customWidth="1"/>
    <col min="11" max="11" width="17.875" style="5" customWidth="1"/>
    <col min="12" max="16384" width="9" style="5"/>
  </cols>
  <sheetData>
    <row r="1" spans="1:11" s="10" customFormat="1" ht="47.25" customHeight="1" thickTop="1" thickBot="1" x14ac:dyDescent="0.2">
      <c r="A1" s="2595" t="s">
        <v>657</v>
      </c>
      <c r="B1" s="2967" t="s">
        <v>1</v>
      </c>
      <c r="C1" s="2968"/>
      <c r="D1" s="2969"/>
      <c r="E1" s="991"/>
      <c r="F1" s="974" t="s">
        <v>587</v>
      </c>
      <c r="G1" s="524" t="s">
        <v>2449</v>
      </c>
      <c r="H1" s="524"/>
      <c r="I1" s="524"/>
      <c r="J1" s="214" t="s">
        <v>0</v>
      </c>
      <c r="K1" s="578" t="s">
        <v>695</v>
      </c>
    </row>
    <row r="2" spans="1:11" s="10" customFormat="1" ht="19.5" thickTop="1" x14ac:dyDescent="0.15">
      <c r="A2" s="2707"/>
      <c r="B2" s="2970" t="s">
        <v>1593</v>
      </c>
      <c r="C2" s="2971"/>
      <c r="D2" s="2972"/>
      <c r="E2" s="1375"/>
      <c r="F2" s="1376"/>
      <c r="G2" s="1334"/>
      <c r="H2" s="1334"/>
      <c r="I2" s="1334"/>
      <c r="J2" s="415">
        <f>ROUND(SUM(G2:I2),2)</f>
        <v>0</v>
      </c>
      <c r="K2" s="579">
        <f t="shared" ref="K2:K33" si="0">SUM(G2:J2)</f>
        <v>0</v>
      </c>
    </row>
    <row r="3" spans="1:11" s="10" customFormat="1" x14ac:dyDescent="0.15">
      <c r="A3" s="2707"/>
      <c r="B3" s="2598" t="s">
        <v>1592</v>
      </c>
      <c r="C3" s="2983"/>
      <c r="D3" s="2984"/>
      <c r="E3" s="1062"/>
      <c r="F3" s="1345"/>
      <c r="G3" s="162"/>
      <c r="H3" s="162"/>
      <c r="I3" s="162"/>
      <c r="J3" s="12">
        <f>ROUND(SUM(G3:I3),2)</f>
        <v>0</v>
      </c>
      <c r="K3" s="579">
        <f t="shared" si="0"/>
        <v>0</v>
      </c>
    </row>
    <row r="4" spans="1:11" s="10" customFormat="1" x14ac:dyDescent="0.15">
      <c r="A4" s="2707"/>
      <c r="B4" s="2985" t="s">
        <v>1591</v>
      </c>
      <c r="C4" s="2957"/>
      <c r="D4" s="2940"/>
      <c r="E4" s="1062"/>
      <c r="F4" s="1345"/>
      <c r="G4" s="8">
        <f>G2-G3</f>
        <v>0</v>
      </c>
      <c r="H4" s="8"/>
      <c r="I4" s="8"/>
      <c r="J4" s="12">
        <f>ROUND(SUM(G4:I4),2)</f>
        <v>0</v>
      </c>
      <c r="K4" s="579">
        <f t="shared" si="0"/>
        <v>0</v>
      </c>
    </row>
    <row r="5" spans="1:11" s="10" customFormat="1" x14ac:dyDescent="0.15">
      <c r="A5" s="2596"/>
      <c r="B5" s="2599" t="s">
        <v>163</v>
      </c>
      <c r="C5" s="2759"/>
      <c r="D5" s="799" t="s">
        <v>161</v>
      </c>
      <c r="E5" s="1062"/>
      <c r="F5" s="1345"/>
      <c r="G5" s="162"/>
      <c r="H5" s="162"/>
      <c r="I5" s="162"/>
      <c r="J5" s="1335">
        <f>COUNTA(G5:I5)</f>
        <v>0</v>
      </c>
      <c r="K5" s="579">
        <f t="shared" si="0"/>
        <v>0</v>
      </c>
    </row>
    <row r="6" spans="1:11" s="10" customFormat="1" ht="19.5" thickBot="1" x14ac:dyDescent="0.2">
      <c r="A6" s="2596"/>
      <c r="B6" s="2811"/>
      <c r="C6" s="2758"/>
      <c r="D6" s="554" t="s">
        <v>162</v>
      </c>
      <c r="E6" s="1377"/>
      <c r="F6" s="1270"/>
      <c r="G6" s="1303"/>
      <c r="H6" s="1303"/>
      <c r="I6" s="1303"/>
      <c r="J6" s="1336">
        <f>COUNTA(G6:I6)</f>
        <v>0</v>
      </c>
      <c r="K6" s="579">
        <f t="shared" si="0"/>
        <v>0</v>
      </c>
    </row>
    <row r="7" spans="1:11" ht="19.5" thickBot="1" x14ac:dyDescent="0.2">
      <c r="A7" s="2596"/>
      <c r="B7" s="2618" t="s">
        <v>658</v>
      </c>
      <c r="C7" s="2806"/>
      <c r="D7" s="2973"/>
      <c r="E7" s="1377"/>
      <c r="F7" s="1270"/>
      <c r="G7" s="1303"/>
      <c r="H7" s="1303"/>
      <c r="I7" s="1303"/>
      <c r="J7" s="1337"/>
      <c r="K7" s="579">
        <f t="shared" si="0"/>
        <v>0</v>
      </c>
    </row>
    <row r="8" spans="1:11" x14ac:dyDescent="0.15">
      <c r="A8" s="2596"/>
      <c r="B8" s="2810" t="s">
        <v>470</v>
      </c>
      <c r="C8" s="2757"/>
      <c r="D8" s="550" t="s">
        <v>475</v>
      </c>
      <c r="E8" s="1061"/>
      <c r="F8" s="1410"/>
      <c r="G8" s="1409"/>
      <c r="H8" s="1409"/>
      <c r="I8" s="1409"/>
      <c r="J8" s="428"/>
      <c r="K8" s="579">
        <f t="shared" si="0"/>
        <v>0</v>
      </c>
    </row>
    <row r="9" spans="1:11" ht="19.5" thickBot="1" x14ac:dyDescent="0.2">
      <c r="A9" s="2596"/>
      <c r="B9" s="2811"/>
      <c r="C9" s="2758"/>
      <c r="D9" s="566" t="s">
        <v>471</v>
      </c>
      <c r="E9" s="983"/>
      <c r="F9" s="564"/>
      <c r="G9" s="1174">
        <f>G8*G4</f>
        <v>0</v>
      </c>
      <c r="H9" s="1174"/>
      <c r="I9" s="1174"/>
      <c r="J9" s="416">
        <f>ROUND(SUM(G9:I9),2)</f>
        <v>0</v>
      </c>
      <c r="K9" s="579">
        <f t="shared" si="0"/>
        <v>0</v>
      </c>
    </row>
    <row r="10" spans="1:11" x14ac:dyDescent="0.15">
      <c r="A10" s="2596"/>
      <c r="B10" s="2810" t="s">
        <v>55</v>
      </c>
      <c r="C10" s="2757"/>
      <c r="D10" s="542" t="s">
        <v>3</v>
      </c>
      <c r="F10" s="1345"/>
      <c r="G10" s="162"/>
      <c r="H10" s="162"/>
      <c r="I10" s="162"/>
      <c r="J10" s="12">
        <f>ROUND(SUM(G10:I10),2)</f>
        <v>0</v>
      </c>
      <c r="K10" s="579">
        <f t="shared" si="0"/>
        <v>0</v>
      </c>
    </row>
    <row r="11" spans="1:11" x14ac:dyDescent="0.15">
      <c r="A11" s="2596"/>
      <c r="B11" s="2599"/>
      <c r="C11" s="2759"/>
      <c r="D11" s="543" t="s">
        <v>954</v>
      </c>
      <c r="F11" s="1345"/>
      <c r="G11" s="162"/>
      <c r="H11" s="162"/>
      <c r="I11" s="162"/>
      <c r="J11" s="12"/>
      <c r="K11" s="579">
        <f t="shared" si="0"/>
        <v>0</v>
      </c>
    </row>
    <row r="12" spans="1:11" x14ac:dyDescent="0.15">
      <c r="A12" s="2596"/>
      <c r="B12" s="2599"/>
      <c r="C12" s="2759"/>
      <c r="D12" s="543" t="s">
        <v>54</v>
      </c>
      <c r="F12" s="1345"/>
      <c r="G12" s="162"/>
      <c r="H12" s="162"/>
      <c r="I12" s="162"/>
      <c r="J12" s="12"/>
      <c r="K12" s="579">
        <f t="shared" si="0"/>
        <v>0</v>
      </c>
    </row>
    <row r="13" spans="1:11" x14ac:dyDescent="0.15">
      <c r="A13" s="2596"/>
      <c r="B13" s="2599"/>
      <c r="C13" s="2759"/>
      <c r="D13" s="543" t="s">
        <v>29</v>
      </c>
      <c r="F13" s="1345"/>
      <c r="G13" s="8">
        <f>G10*G12</f>
        <v>0</v>
      </c>
      <c r="H13" s="8"/>
      <c r="I13" s="8"/>
      <c r="J13" s="425">
        <f>ROUND(SUM(G13:I13),2)</f>
        <v>0</v>
      </c>
      <c r="K13" s="579">
        <f t="shared" si="0"/>
        <v>0</v>
      </c>
    </row>
    <row r="14" spans="1:11" x14ac:dyDescent="0.15">
      <c r="A14" s="2596"/>
      <c r="B14" s="2599"/>
      <c r="C14" s="2759"/>
      <c r="D14" s="543" t="s">
        <v>7</v>
      </c>
      <c r="F14" s="1345"/>
      <c r="G14" s="8">
        <f>G13*G11</f>
        <v>0</v>
      </c>
      <c r="H14" s="8"/>
      <c r="I14" s="8"/>
      <c r="J14" s="12">
        <f>ROUND(SUM(G14:I14),2)</f>
        <v>0</v>
      </c>
      <c r="K14" s="579">
        <f t="shared" si="0"/>
        <v>0</v>
      </c>
    </row>
    <row r="15" spans="1:11" ht="19.5" thickBot="1" x14ac:dyDescent="0.2">
      <c r="A15" s="2596"/>
      <c r="B15" s="2811"/>
      <c r="C15" s="2758"/>
      <c r="D15" s="546" t="s">
        <v>26</v>
      </c>
      <c r="E15" s="1377"/>
      <c r="F15" s="1345"/>
      <c r="G15" s="1303"/>
      <c r="H15" s="1303"/>
      <c r="I15" s="1303"/>
      <c r="J15" s="1336"/>
      <c r="K15" s="579">
        <f t="shared" si="0"/>
        <v>0</v>
      </c>
    </row>
    <row r="16" spans="1:11" ht="19.5" thickBot="1" x14ac:dyDescent="0.2">
      <c r="A16" s="2596"/>
      <c r="B16" s="2822" t="s">
        <v>1234</v>
      </c>
      <c r="C16" s="2823"/>
      <c r="D16" s="550" t="s">
        <v>1257</v>
      </c>
      <c r="E16" s="986"/>
      <c r="F16" s="1361"/>
      <c r="G16" s="426"/>
      <c r="H16" s="426"/>
      <c r="I16" s="426"/>
      <c r="J16" s="1399">
        <f t="shared" ref="J16:J26" si="1">ROUND(SUM(G16:I16),2)</f>
        <v>0</v>
      </c>
      <c r="K16" s="579">
        <f t="shared" si="0"/>
        <v>0</v>
      </c>
    </row>
    <row r="17" spans="1:11" ht="19.5" thickBot="1" x14ac:dyDescent="0.2">
      <c r="A17" s="2596"/>
      <c r="B17" s="2822"/>
      <c r="C17" s="2823"/>
      <c r="D17" s="567" t="s">
        <v>1258</v>
      </c>
      <c r="E17" s="986"/>
      <c r="F17" s="344"/>
      <c r="G17" s="426"/>
      <c r="H17" s="426"/>
      <c r="I17" s="426"/>
      <c r="J17" s="1399">
        <f t="shared" si="1"/>
        <v>0</v>
      </c>
      <c r="K17" s="579">
        <f t="shared" si="0"/>
        <v>0</v>
      </c>
    </row>
    <row r="18" spans="1:11" ht="19.5" thickBot="1" x14ac:dyDescent="0.2">
      <c r="A18" s="2596"/>
      <c r="B18" s="2822"/>
      <c r="C18" s="2823"/>
      <c r="D18" s="566" t="s">
        <v>1259</v>
      </c>
      <c r="E18" s="987"/>
      <c r="F18" s="414"/>
      <c r="G18" s="674"/>
      <c r="H18" s="674"/>
      <c r="I18" s="674"/>
      <c r="J18" s="1400">
        <f t="shared" si="1"/>
        <v>0</v>
      </c>
      <c r="K18" s="579">
        <f t="shared" si="0"/>
        <v>0</v>
      </c>
    </row>
    <row r="19" spans="1:11" ht="19.5" thickBot="1" x14ac:dyDescent="0.2">
      <c r="A19" s="2596"/>
      <c r="B19" s="2822" t="s">
        <v>1228</v>
      </c>
      <c r="C19" s="2823"/>
      <c r="D19" s="550" t="s">
        <v>1257</v>
      </c>
      <c r="E19" s="986"/>
      <c r="F19" s="1358"/>
      <c r="G19" s="426"/>
      <c r="H19" s="426"/>
      <c r="I19" s="426"/>
      <c r="J19" s="1399">
        <f t="shared" si="1"/>
        <v>0</v>
      </c>
      <c r="K19" s="579">
        <f t="shared" si="0"/>
        <v>0</v>
      </c>
    </row>
    <row r="20" spans="1:11" ht="19.5" thickBot="1" x14ac:dyDescent="0.2">
      <c r="A20" s="2596"/>
      <c r="B20" s="2822"/>
      <c r="C20" s="2823"/>
      <c r="D20" s="567" t="s">
        <v>1258</v>
      </c>
      <c r="E20" s="986"/>
      <c r="F20" s="1358"/>
      <c r="G20" s="426"/>
      <c r="H20" s="426"/>
      <c r="I20" s="426"/>
      <c r="J20" s="1399">
        <f t="shared" si="1"/>
        <v>0</v>
      </c>
      <c r="K20" s="579">
        <f t="shared" si="0"/>
        <v>0</v>
      </c>
    </row>
    <row r="21" spans="1:11" ht="19.5" thickBot="1" x14ac:dyDescent="0.2">
      <c r="A21" s="2596"/>
      <c r="B21" s="2822"/>
      <c r="C21" s="2823"/>
      <c r="D21" s="566" t="s">
        <v>1259</v>
      </c>
      <c r="E21" s="987"/>
      <c r="F21" s="564"/>
      <c r="G21" s="674"/>
      <c r="H21" s="674"/>
      <c r="I21" s="674"/>
      <c r="J21" s="1400">
        <f t="shared" si="1"/>
        <v>0</v>
      </c>
      <c r="K21" s="579">
        <f t="shared" si="0"/>
        <v>0</v>
      </c>
    </row>
    <row r="22" spans="1:11" x14ac:dyDescent="0.15">
      <c r="A22" s="2596"/>
      <c r="B22" s="2614" t="s">
        <v>1230</v>
      </c>
      <c r="C22" s="2656"/>
      <c r="D22" s="550" t="s">
        <v>1229</v>
      </c>
      <c r="E22" s="985"/>
      <c r="F22" s="1359"/>
      <c r="G22" s="426"/>
      <c r="H22" s="426"/>
      <c r="I22" s="426"/>
      <c r="J22" s="1399">
        <f t="shared" si="1"/>
        <v>0</v>
      </c>
      <c r="K22" s="579">
        <f t="shared" si="0"/>
        <v>0</v>
      </c>
    </row>
    <row r="23" spans="1:11" x14ac:dyDescent="0.15">
      <c r="A23" s="2596"/>
      <c r="B23" s="2614"/>
      <c r="C23" s="2656"/>
      <c r="D23" s="567" t="s">
        <v>1257</v>
      </c>
      <c r="E23" s="986"/>
      <c r="F23" s="1358"/>
      <c r="G23" s="426"/>
      <c r="H23" s="426"/>
      <c r="I23" s="426"/>
      <c r="J23" s="1399">
        <f t="shared" si="1"/>
        <v>0</v>
      </c>
      <c r="K23" s="579">
        <f t="shared" si="0"/>
        <v>0</v>
      </c>
    </row>
    <row r="24" spans="1:11" x14ac:dyDescent="0.15">
      <c r="A24" s="2596"/>
      <c r="B24" s="2614"/>
      <c r="C24" s="2656"/>
      <c r="D24" s="567" t="s">
        <v>1258</v>
      </c>
      <c r="E24" s="986"/>
      <c r="F24" s="344"/>
      <c r="G24" s="426"/>
      <c r="H24" s="426"/>
      <c r="I24" s="426"/>
      <c r="J24" s="1399">
        <f t="shared" si="1"/>
        <v>0</v>
      </c>
      <c r="K24" s="579">
        <f t="shared" si="0"/>
        <v>0</v>
      </c>
    </row>
    <row r="25" spans="1:11" ht="19.5" thickBot="1" x14ac:dyDescent="0.2">
      <c r="A25" s="2596"/>
      <c r="B25" s="2615"/>
      <c r="C25" s="2747"/>
      <c r="D25" s="566" t="s">
        <v>1259</v>
      </c>
      <c r="E25" s="987"/>
      <c r="F25" s="414"/>
      <c r="G25" s="674"/>
      <c r="H25" s="674"/>
      <c r="I25" s="674"/>
      <c r="J25" s="1400">
        <f t="shared" si="1"/>
        <v>0</v>
      </c>
      <c r="K25" s="579">
        <f t="shared" si="0"/>
        <v>0</v>
      </c>
    </row>
    <row r="26" spans="1:11" x14ac:dyDescent="0.15">
      <c r="A26" s="2596"/>
      <c r="B26" s="2824" t="s">
        <v>1597</v>
      </c>
      <c r="C26" s="2974" t="s">
        <v>23</v>
      </c>
      <c r="D26" s="542" t="s">
        <v>3</v>
      </c>
      <c r="E26" s="1380"/>
      <c r="F26" s="1344"/>
      <c r="G26" s="162"/>
      <c r="H26" s="162"/>
      <c r="I26" s="162"/>
      <c r="J26" s="12">
        <f t="shared" si="1"/>
        <v>0</v>
      </c>
      <c r="K26" s="579">
        <f t="shared" si="0"/>
        <v>0</v>
      </c>
    </row>
    <row r="27" spans="1:11" x14ac:dyDescent="0.15">
      <c r="A27" s="2596"/>
      <c r="B27" s="2888"/>
      <c r="C27" s="2975"/>
      <c r="D27" s="543" t="s">
        <v>954</v>
      </c>
      <c r="F27" s="1345"/>
      <c r="G27" s="162"/>
      <c r="H27" s="162"/>
      <c r="I27" s="162"/>
      <c r="J27" s="12"/>
      <c r="K27" s="579">
        <f t="shared" si="0"/>
        <v>0</v>
      </c>
    </row>
    <row r="28" spans="1:11" x14ac:dyDescent="0.15">
      <c r="A28" s="2596"/>
      <c r="B28" s="2888"/>
      <c r="C28" s="2975"/>
      <c r="D28" s="543" t="s">
        <v>164</v>
      </c>
      <c r="F28" s="1345"/>
      <c r="G28" s="162"/>
      <c r="H28" s="162"/>
      <c r="I28" s="162"/>
      <c r="J28" s="12"/>
      <c r="K28" s="579">
        <f t="shared" si="0"/>
        <v>0</v>
      </c>
    </row>
    <row r="29" spans="1:11" x14ac:dyDescent="0.15">
      <c r="A29" s="2596"/>
      <c r="B29" s="2888"/>
      <c r="C29" s="2975"/>
      <c r="D29" s="543" t="s">
        <v>29</v>
      </c>
      <c r="F29" s="1345"/>
      <c r="G29" s="8">
        <f>G26*G28</f>
        <v>0</v>
      </c>
      <c r="H29" s="8"/>
      <c r="I29" s="8"/>
      <c r="J29" s="12">
        <f>ROUND(SUM(G29:I29),2)</f>
        <v>0</v>
      </c>
      <c r="K29" s="579">
        <f t="shared" si="0"/>
        <v>0</v>
      </c>
    </row>
    <row r="30" spans="1:11" x14ac:dyDescent="0.15">
      <c r="A30" s="2596"/>
      <c r="B30" s="2888"/>
      <c r="C30" s="2975"/>
      <c r="D30" s="543" t="s">
        <v>1908</v>
      </c>
      <c r="F30" s="1345"/>
      <c r="G30" s="8">
        <f>G29*G27</f>
        <v>0</v>
      </c>
      <c r="H30" s="8"/>
      <c r="I30" s="8"/>
      <c r="J30" s="425">
        <f>ROUND(SUM(G30:I30),2)</f>
        <v>0</v>
      </c>
      <c r="K30" s="579">
        <f t="shared" si="0"/>
        <v>0</v>
      </c>
    </row>
    <row r="31" spans="1:11" ht="22.5" x14ac:dyDescent="0.15">
      <c r="A31" s="2596"/>
      <c r="B31" s="2888"/>
      <c r="C31" s="2975"/>
      <c r="D31" s="543" t="s">
        <v>1326</v>
      </c>
      <c r="F31" s="1345"/>
      <c r="G31" s="8">
        <f>G30*0.1</f>
        <v>0</v>
      </c>
      <c r="H31" s="8"/>
      <c r="I31" s="8"/>
      <c r="J31" s="12">
        <f>ROUND(SUM(G31:I31),2)</f>
        <v>0</v>
      </c>
      <c r="K31" s="579">
        <f t="shared" si="0"/>
        <v>0</v>
      </c>
    </row>
    <row r="32" spans="1:11" ht="19.5" thickBot="1" x14ac:dyDescent="0.2">
      <c r="A32" s="2596"/>
      <c r="B32" s="2888"/>
      <c r="C32" s="2975"/>
      <c r="D32" s="1071" t="s">
        <v>733</v>
      </c>
      <c r="E32" s="983"/>
      <c r="F32" s="1270"/>
      <c r="G32" s="215">
        <f>G30*1.3</f>
        <v>0</v>
      </c>
      <c r="H32" s="215"/>
      <c r="I32" s="215"/>
      <c r="J32" s="429">
        <f>ROUND(SUM(G32:I32),2)</f>
        <v>0</v>
      </c>
      <c r="K32" s="579">
        <f t="shared" si="0"/>
        <v>0</v>
      </c>
    </row>
    <row r="33" spans="1:11" x14ac:dyDescent="0.15">
      <c r="A33" s="2596"/>
      <c r="B33" s="2888"/>
      <c r="C33" s="2987" t="s">
        <v>53</v>
      </c>
      <c r="D33" s="542" t="s">
        <v>3</v>
      </c>
      <c r="E33" s="1380"/>
      <c r="F33" s="1344"/>
      <c r="G33" s="218"/>
      <c r="H33" s="218"/>
      <c r="I33" s="218"/>
      <c r="J33" s="12">
        <f>ROUND(SUM(G33:I33),2)</f>
        <v>0</v>
      </c>
      <c r="K33" s="579">
        <f t="shared" si="0"/>
        <v>0</v>
      </c>
    </row>
    <row r="34" spans="1:11" x14ac:dyDescent="0.15">
      <c r="A34" s="2596"/>
      <c r="B34" s="2888"/>
      <c r="C34" s="2988"/>
      <c r="D34" s="543" t="s">
        <v>954</v>
      </c>
      <c r="F34" s="1345"/>
      <c r="G34" s="162"/>
      <c r="H34" s="162"/>
      <c r="I34" s="162"/>
      <c r="J34" s="12"/>
      <c r="K34" s="579">
        <f t="shared" ref="K34:K62" si="2">SUM(G34:J34)</f>
        <v>0</v>
      </c>
    </row>
    <row r="35" spans="1:11" x14ac:dyDescent="0.15">
      <c r="A35" s="2596"/>
      <c r="B35" s="2888"/>
      <c r="C35" s="2988"/>
      <c r="D35" s="543" t="s">
        <v>164</v>
      </c>
      <c r="F35" s="1345"/>
      <c r="G35" s="162"/>
      <c r="H35" s="162"/>
      <c r="I35" s="162"/>
      <c r="J35" s="12"/>
      <c r="K35" s="579">
        <f t="shared" si="2"/>
        <v>0</v>
      </c>
    </row>
    <row r="36" spans="1:11" x14ac:dyDescent="0.15">
      <c r="A36" s="2596"/>
      <c r="B36" s="2888"/>
      <c r="C36" s="2988"/>
      <c r="D36" s="543" t="s">
        <v>29</v>
      </c>
      <c r="F36" s="1345"/>
      <c r="G36" s="8">
        <f>G33*G35</f>
        <v>0</v>
      </c>
      <c r="H36" s="8"/>
      <c r="I36" s="8"/>
      <c r="J36" s="12">
        <f>ROUND(SUM(G36:I36),2)</f>
        <v>0</v>
      </c>
      <c r="K36" s="579">
        <f t="shared" si="2"/>
        <v>0</v>
      </c>
    </row>
    <row r="37" spans="1:11" x14ac:dyDescent="0.15">
      <c r="A37" s="2596"/>
      <c r="B37" s="2888"/>
      <c r="C37" s="2988"/>
      <c r="D37" s="543" t="s">
        <v>1908</v>
      </c>
      <c r="F37" s="1345"/>
      <c r="G37" s="8">
        <f>G36*G34</f>
        <v>0</v>
      </c>
      <c r="H37" s="8"/>
      <c r="I37" s="8"/>
      <c r="J37" s="425">
        <f>ROUND(SUM(G37:I37),2)</f>
        <v>0</v>
      </c>
      <c r="K37" s="579">
        <f t="shared" si="2"/>
        <v>0</v>
      </c>
    </row>
    <row r="38" spans="1:11" ht="19.5" thickBot="1" x14ac:dyDescent="0.2">
      <c r="A38" s="2596"/>
      <c r="B38" s="2888"/>
      <c r="C38" s="2989"/>
      <c r="D38" s="546" t="s">
        <v>26</v>
      </c>
      <c r="E38" s="1377"/>
      <c r="F38" s="1270"/>
      <c r="G38" s="1303"/>
      <c r="H38" s="1303"/>
      <c r="I38" s="1303"/>
      <c r="J38" s="429"/>
      <c r="K38" s="579">
        <f t="shared" si="2"/>
        <v>0</v>
      </c>
    </row>
    <row r="39" spans="1:11" x14ac:dyDescent="0.15">
      <c r="A39" s="2596"/>
      <c r="B39" s="2888"/>
      <c r="C39" s="2987" t="s">
        <v>293</v>
      </c>
      <c r="D39" s="542" t="s">
        <v>3</v>
      </c>
      <c r="E39" s="1380"/>
      <c r="F39" s="1344"/>
      <c r="G39" s="218"/>
      <c r="H39" s="218"/>
      <c r="I39" s="218"/>
      <c r="J39" s="12">
        <f>ROUND(SUM(G39:I39),2)</f>
        <v>0</v>
      </c>
      <c r="K39" s="579">
        <f t="shared" si="2"/>
        <v>0</v>
      </c>
    </row>
    <row r="40" spans="1:11" x14ac:dyDescent="0.15">
      <c r="A40" s="2596"/>
      <c r="B40" s="2888"/>
      <c r="C40" s="2988"/>
      <c r="D40" s="543" t="s">
        <v>66</v>
      </c>
      <c r="F40" s="1345"/>
      <c r="G40" s="162"/>
      <c r="H40" s="162"/>
      <c r="I40" s="162"/>
      <c r="J40" s="12"/>
      <c r="K40" s="579">
        <f t="shared" si="2"/>
        <v>0</v>
      </c>
    </row>
    <row r="41" spans="1:11" x14ac:dyDescent="0.15">
      <c r="A41" s="2596"/>
      <c r="B41" s="2888"/>
      <c r="C41" s="2988"/>
      <c r="D41" s="543" t="s">
        <v>164</v>
      </c>
      <c r="F41" s="1345"/>
      <c r="G41" s="162"/>
      <c r="H41" s="162"/>
      <c r="I41" s="162"/>
      <c r="J41" s="12"/>
      <c r="K41" s="579">
        <f t="shared" si="2"/>
        <v>0</v>
      </c>
    </row>
    <row r="42" spans="1:11" x14ac:dyDescent="0.15">
      <c r="A42" s="2596"/>
      <c r="B42" s="2888"/>
      <c r="C42" s="2988"/>
      <c r="D42" s="543" t="s">
        <v>29</v>
      </c>
      <c r="F42" s="1345"/>
      <c r="G42" s="8">
        <f>G39*G41</f>
        <v>0</v>
      </c>
      <c r="H42" s="8"/>
      <c r="I42" s="8"/>
      <c r="J42" s="12">
        <f>ROUND(SUM(G42:I42),2)</f>
        <v>0</v>
      </c>
      <c r="K42" s="579">
        <f t="shared" si="2"/>
        <v>0</v>
      </c>
    </row>
    <row r="43" spans="1:11" x14ac:dyDescent="0.15">
      <c r="A43" s="2596"/>
      <c r="B43" s="2888"/>
      <c r="C43" s="2988"/>
      <c r="D43" s="543" t="s">
        <v>1908</v>
      </c>
      <c r="F43" s="1345"/>
      <c r="G43" s="8">
        <f>G42*G40</f>
        <v>0</v>
      </c>
      <c r="H43" s="8"/>
      <c r="I43" s="8"/>
      <c r="J43" s="425">
        <f>ROUND(SUM(G43:I43),2)</f>
        <v>0</v>
      </c>
      <c r="K43" s="579">
        <f t="shared" si="2"/>
        <v>0</v>
      </c>
    </row>
    <row r="44" spans="1:11" ht="19.5" thickBot="1" x14ac:dyDescent="0.2">
      <c r="A44" s="2596"/>
      <c r="B44" s="2888"/>
      <c r="C44" s="2989"/>
      <c r="D44" s="546" t="s">
        <v>26</v>
      </c>
      <c r="E44" s="1377"/>
      <c r="F44" s="1270"/>
      <c r="G44" s="1303"/>
      <c r="H44" s="1303"/>
      <c r="I44" s="1303"/>
      <c r="J44" s="429"/>
      <c r="K44" s="579">
        <f t="shared" si="2"/>
        <v>0</v>
      </c>
    </row>
    <row r="45" spans="1:11" x14ac:dyDescent="0.15">
      <c r="A45" s="2596"/>
      <c r="B45" s="2888"/>
      <c r="C45" s="2987" t="s">
        <v>28</v>
      </c>
      <c r="D45" s="542" t="s">
        <v>3</v>
      </c>
      <c r="F45" s="1345"/>
      <c r="G45" s="218"/>
      <c r="H45" s="218"/>
      <c r="I45" s="218"/>
      <c r="J45" s="12">
        <f>ROUND(SUM(G45:I45),2)</f>
        <v>0</v>
      </c>
      <c r="K45" s="579">
        <f t="shared" si="2"/>
        <v>0</v>
      </c>
    </row>
    <row r="46" spans="1:11" x14ac:dyDescent="0.15">
      <c r="A46" s="2596"/>
      <c r="B46" s="2888"/>
      <c r="C46" s="2988"/>
      <c r="D46" s="543" t="s">
        <v>66</v>
      </c>
      <c r="F46" s="1345"/>
      <c r="G46" s="162"/>
      <c r="H46" s="162"/>
      <c r="I46" s="162"/>
      <c r="J46" s="12"/>
      <c r="K46" s="579">
        <f t="shared" si="2"/>
        <v>0</v>
      </c>
    </row>
    <row r="47" spans="1:11" x14ac:dyDescent="0.15">
      <c r="A47" s="2596"/>
      <c r="B47" s="2888"/>
      <c r="C47" s="2988"/>
      <c r="D47" s="543" t="s">
        <v>1598</v>
      </c>
      <c r="F47" s="1345"/>
      <c r="G47" s="162"/>
      <c r="H47" s="162"/>
      <c r="I47" s="162"/>
      <c r="J47" s="12"/>
      <c r="K47" s="579">
        <f t="shared" si="2"/>
        <v>0</v>
      </c>
    </row>
    <row r="48" spans="1:11" x14ac:dyDescent="0.15">
      <c r="A48" s="2596"/>
      <c r="B48" s="2888"/>
      <c r="C48" s="2988"/>
      <c r="D48" s="543" t="s">
        <v>1337</v>
      </c>
      <c r="F48" s="1345"/>
      <c r="G48" s="8">
        <f>G47*G45</f>
        <v>0</v>
      </c>
      <c r="H48" s="8"/>
      <c r="I48" s="8"/>
      <c r="J48" s="12">
        <f t="shared" ref="J48:J53" si="3">ROUND(SUM(G48:I48),2)</f>
        <v>0</v>
      </c>
      <c r="K48" s="579">
        <f t="shared" si="2"/>
        <v>0</v>
      </c>
    </row>
    <row r="49" spans="1:11" x14ac:dyDescent="0.15">
      <c r="A49" s="2596"/>
      <c r="B49" s="2888"/>
      <c r="C49" s="2988"/>
      <c r="D49" s="543" t="s">
        <v>1338</v>
      </c>
      <c r="F49" s="1345"/>
      <c r="G49" s="8">
        <f>(G46*3+G47)*G45</f>
        <v>0</v>
      </c>
      <c r="H49" s="8"/>
      <c r="I49" s="8"/>
      <c r="J49" s="12">
        <f t="shared" si="3"/>
        <v>0</v>
      </c>
      <c r="K49" s="579">
        <f t="shared" si="2"/>
        <v>0</v>
      </c>
    </row>
    <row r="50" spans="1:11" x14ac:dyDescent="0.15">
      <c r="A50" s="2596"/>
      <c r="B50" s="2888"/>
      <c r="C50" s="2988"/>
      <c r="D50" s="543" t="s">
        <v>11</v>
      </c>
      <c r="F50" s="1345"/>
      <c r="G50" s="8">
        <f>(G49+G48)/2*G46</f>
        <v>0</v>
      </c>
      <c r="H50" s="8"/>
      <c r="I50" s="8"/>
      <c r="J50" s="425">
        <f t="shared" si="3"/>
        <v>0</v>
      </c>
      <c r="K50" s="579">
        <f t="shared" si="2"/>
        <v>0</v>
      </c>
    </row>
    <row r="51" spans="1:11" ht="19.5" thickBot="1" x14ac:dyDescent="0.2">
      <c r="A51" s="2596"/>
      <c r="B51" s="2888"/>
      <c r="C51" s="2989"/>
      <c r="D51" s="546" t="s">
        <v>743</v>
      </c>
      <c r="G51" s="8">
        <f>G50*1.25</f>
        <v>0</v>
      </c>
      <c r="H51" s="8"/>
      <c r="I51" s="8"/>
      <c r="J51" s="416">
        <f t="shared" si="3"/>
        <v>0</v>
      </c>
      <c r="K51" s="579">
        <f t="shared" si="2"/>
        <v>0</v>
      </c>
    </row>
    <row r="52" spans="1:11" ht="19.5" thickBot="1" x14ac:dyDescent="0.2">
      <c r="A52" s="2596"/>
      <c r="B52" s="2797" t="s">
        <v>1599</v>
      </c>
      <c r="C52" s="2798"/>
      <c r="D52" s="2799"/>
      <c r="E52" s="1288"/>
      <c r="F52" s="553"/>
      <c r="G52" s="243">
        <f>G75+G93+G98</f>
        <v>0</v>
      </c>
      <c r="H52" s="243"/>
      <c r="I52" s="243"/>
      <c r="J52" s="1285">
        <f t="shared" si="3"/>
        <v>0</v>
      </c>
      <c r="K52" s="579">
        <f t="shared" si="2"/>
        <v>0</v>
      </c>
    </row>
    <row r="53" spans="1:11" x14ac:dyDescent="0.15">
      <c r="A53" s="2596"/>
      <c r="B53" s="2911" t="s">
        <v>24</v>
      </c>
      <c r="C53" s="2935"/>
      <c r="D53" s="542" t="s">
        <v>3</v>
      </c>
      <c r="E53" s="1380"/>
      <c r="F53" s="450"/>
      <c r="G53" s="218">
        <f>G4</f>
        <v>0</v>
      </c>
      <c r="H53" s="218"/>
      <c r="I53" s="218"/>
      <c r="J53" s="12">
        <f t="shared" si="3"/>
        <v>0</v>
      </c>
      <c r="K53" s="579">
        <f t="shared" si="2"/>
        <v>0</v>
      </c>
    </row>
    <row r="54" spans="1:11" x14ac:dyDescent="0.15">
      <c r="A54" s="2596"/>
      <c r="B54" s="2916"/>
      <c r="C54" s="2948"/>
      <c r="D54" s="543" t="s">
        <v>164</v>
      </c>
      <c r="E54" s="1062"/>
      <c r="F54" s="1345"/>
      <c r="G54" s="162">
        <f>G7</f>
        <v>0</v>
      </c>
      <c r="H54" s="162"/>
      <c r="I54" s="162"/>
      <c r="J54" s="12"/>
      <c r="K54" s="579">
        <f t="shared" si="2"/>
        <v>0</v>
      </c>
    </row>
    <row r="55" spans="1:11" x14ac:dyDescent="0.15">
      <c r="A55" s="2596"/>
      <c r="B55" s="2916"/>
      <c r="C55" s="2948"/>
      <c r="D55" s="557" t="s">
        <v>1280</v>
      </c>
      <c r="E55" s="1062"/>
      <c r="F55" s="1345"/>
      <c r="G55" s="1328">
        <v>10</v>
      </c>
      <c r="H55" s="1328"/>
      <c r="I55" s="1328"/>
      <c r="J55" s="12"/>
      <c r="K55" s="579">
        <f t="shared" si="2"/>
        <v>10</v>
      </c>
    </row>
    <row r="56" spans="1:11" x14ac:dyDescent="0.15">
      <c r="A56" s="2596"/>
      <c r="B56" s="2912"/>
      <c r="C56" s="2936"/>
      <c r="D56" s="555" t="s">
        <v>29</v>
      </c>
      <c r="F56" s="1345"/>
      <c r="G56" s="8">
        <f>G53*G54</f>
        <v>0</v>
      </c>
      <c r="H56" s="8"/>
      <c r="I56" s="8"/>
      <c r="J56" s="12">
        <f>ROUND(SUM(G56:I56),2)</f>
        <v>0</v>
      </c>
      <c r="K56" s="579">
        <f t="shared" si="2"/>
        <v>0</v>
      </c>
    </row>
    <row r="57" spans="1:11" x14ac:dyDescent="0.15">
      <c r="A57" s="2596"/>
      <c r="B57" s="2912"/>
      <c r="C57" s="2936"/>
      <c r="D57" s="557" t="s">
        <v>300</v>
      </c>
      <c r="E57" s="1378"/>
      <c r="F57" s="1362"/>
      <c r="G57" s="1073">
        <f>G56*G55/100</f>
        <v>0</v>
      </c>
      <c r="H57" s="1073"/>
      <c r="I57" s="1073"/>
      <c r="J57" s="1277">
        <f>ROUND(SUM(G57:I57),2)</f>
        <v>0</v>
      </c>
      <c r="K57" s="579">
        <f t="shared" si="2"/>
        <v>0</v>
      </c>
    </row>
    <row r="58" spans="1:11" x14ac:dyDescent="0.15">
      <c r="A58" s="2596"/>
      <c r="B58" s="2912"/>
      <c r="C58" s="2936"/>
      <c r="D58" s="799" t="s">
        <v>1315</v>
      </c>
      <c r="F58" s="1345"/>
      <c r="G58" s="368"/>
      <c r="H58" s="368"/>
      <c r="I58" s="368"/>
      <c r="J58" s="348"/>
      <c r="K58" s="579">
        <f t="shared" si="2"/>
        <v>0</v>
      </c>
    </row>
    <row r="59" spans="1:11" x14ac:dyDescent="0.15">
      <c r="A59" s="2596"/>
      <c r="B59" s="2912"/>
      <c r="C59" s="2936"/>
      <c r="D59" s="555" t="s">
        <v>1303</v>
      </c>
      <c r="F59" s="1345"/>
      <c r="G59" s="368"/>
      <c r="H59" s="368"/>
      <c r="I59" s="368"/>
      <c r="J59" s="348"/>
      <c r="K59" s="579">
        <f t="shared" si="2"/>
        <v>0</v>
      </c>
    </row>
    <row r="60" spans="1:11" x14ac:dyDescent="0.15">
      <c r="A60" s="2596"/>
      <c r="B60" s="2912"/>
      <c r="C60" s="2936"/>
      <c r="D60" s="555" t="s">
        <v>1316</v>
      </c>
      <c r="F60" s="1345"/>
      <c r="G60" s="368"/>
      <c r="H60" s="368"/>
      <c r="I60" s="368"/>
      <c r="J60" s="348"/>
      <c r="K60" s="579">
        <f t="shared" si="2"/>
        <v>0</v>
      </c>
    </row>
    <row r="61" spans="1:11" x14ac:dyDescent="0.15">
      <c r="A61" s="2596"/>
      <c r="B61" s="2912"/>
      <c r="C61" s="2936"/>
      <c r="D61" s="555" t="s">
        <v>1302</v>
      </c>
      <c r="F61" s="1345"/>
      <c r="G61" s="368">
        <v>1</v>
      </c>
      <c r="H61" s="368"/>
      <c r="I61" s="368"/>
      <c r="J61" s="348"/>
      <c r="K61" s="579">
        <f t="shared" si="2"/>
        <v>1</v>
      </c>
    </row>
    <row r="62" spans="1:11" x14ac:dyDescent="0.15">
      <c r="A62" s="2596"/>
      <c r="B62" s="2912"/>
      <c r="C62" s="2936"/>
      <c r="D62" s="557" t="s">
        <v>1422</v>
      </c>
      <c r="E62" s="1378"/>
      <c r="F62" s="1362" t="s">
        <v>1603</v>
      </c>
      <c r="G62" s="1576"/>
      <c r="H62" s="1576"/>
      <c r="I62" s="1576"/>
      <c r="J62" s="1577"/>
      <c r="K62" s="579">
        <f t="shared" si="2"/>
        <v>0</v>
      </c>
    </row>
    <row r="63" spans="1:11" x14ac:dyDescent="0.15">
      <c r="A63" s="2596"/>
      <c r="B63" s="2912"/>
      <c r="C63" s="2936"/>
      <c r="D63" s="544" t="s">
        <v>1885</v>
      </c>
      <c r="F63" s="1345"/>
      <c r="G63" s="368"/>
      <c r="H63" s="368"/>
      <c r="I63" s="368"/>
      <c r="J63" s="425">
        <f t="shared" ref="J63:J75" si="4">ROUND(SUM(G63:I63),2)</f>
        <v>0</v>
      </c>
      <c r="K63" s="579"/>
    </row>
    <row r="64" spans="1:11" x14ac:dyDescent="0.15">
      <c r="A64" s="2596"/>
      <c r="B64" s="2912"/>
      <c r="C64" s="2936"/>
      <c r="D64" s="543" t="s">
        <v>1886</v>
      </c>
      <c r="F64" s="1345"/>
      <c r="G64" s="368"/>
      <c r="H64" s="368"/>
      <c r="I64" s="368"/>
      <c r="J64" s="425">
        <f t="shared" si="4"/>
        <v>0</v>
      </c>
      <c r="K64" s="579"/>
    </row>
    <row r="65" spans="1:11" x14ac:dyDescent="0.15">
      <c r="A65" s="2596"/>
      <c r="B65" s="2912"/>
      <c r="C65" s="2936"/>
      <c r="D65" s="543" t="s">
        <v>1887</v>
      </c>
      <c r="F65" s="1345"/>
      <c r="G65" s="368"/>
      <c r="H65" s="368"/>
      <c r="I65" s="368"/>
      <c r="J65" s="425">
        <f t="shared" si="4"/>
        <v>0</v>
      </c>
      <c r="K65" s="579"/>
    </row>
    <row r="66" spans="1:11" x14ac:dyDescent="0.15">
      <c r="A66" s="2596"/>
      <c r="B66" s="2912"/>
      <c r="C66" s="2936"/>
      <c r="D66" s="543" t="s">
        <v>1888</v>
      </c>
      <c r="F66" s="1345"/>
      <c r="G66" s="368"/>
      <c r="H66" s="368"/>
      <c r="I66" s="368"/>
      <c r="J66" s="425">
        <f t="shared" si="4"/>
        <v>0</v>
      </c>
      <c r="K66" s="579"/>
    </row>
    <row r="67" spans="1:11" x14ac:dyDescent="0.15">
      <c r="A67" s="2596"/>
      <c r="B67" s="2912"/>
      <c r="C67" s="2936"/>
      <c r="D67" s="543" t="s">
        <v>538</v>
      </c>
      <c r="F67" s="1345"/>
      <c r="G67" s="8">
        <f>IF(COUNTA(G58:G61)&gt;1,G57,0)</f>
        <v>0</v>
      </c>
      <c r="H67" s="8"/>
      <c r="I67" s="8"/>
      <c r="J67" s="425">
        <f t="shared" si="4"/>
        <v>0</v>
      </c>
      <c r="K67" s="579">
        <f>SUM(G67:J67)</f>
        <v>0</v>
      </c>
    </row>
    <row r="68" spans="1:11" x14ac:dyDescent="0.15">
      <c r="A68" s="2596"/>
      <c r="B68" s="2912"/>
      <c r="C68" s="2936"/>
      <c r="D68" s="543" t="s">
        <v>1889</v>
      </c>
      <c r="F68" s="1345"/>
      <c r="G68" s="8">
        <f>IF(G60=100%,G57,0)</f>
        <v>0</v>
      </c>
      <c r="H68" s="8"/>
      <c r="I68" s="8"/>
      <c r="J68" s="425">
        <f t="shared" si="4"/>
        <v>0</v>
      </c>
      <c r="K68" s="579"/>
    </row>
    <row r="69" spans="1:11" x14ac:dyDescent="0.15">
      <c r="A69" s="2596"/>
      <c r="B69" s="2912"/>
      <c r="C69" s="2936"/>
      <c r="D69" s="543" t="s">
        <v>1890</v>
      </c>
      <c r="E69" s="1378"/>
      <c r="F69" s="1362"/>
      <c r="G69" s="1073">
        <f>IF(G61=100%,G57,0)</f>
        <v>0</v>
      </c>
      <c r="H69" s="1073"/>
      <c r="I69" s="1073"/>
      <c r="J69" s="1282">
        <f t="shared" si="4"/>
        <v>0</v>
      </c>
      <c r="K69" s="579"/>
    </row>
    <row r="70" spans="1:11" x14ac:dyDescent="0.15">
      <c r="A70" s="2596"/>
      <c r="B70" s="2912"/>
      <c r="C70" s="2936"/>
      <c r="D70" s="799" t="s">
        <v>1207</v>
      </c>
      <c r="F70" s="1345"/>
      <c r="G70" s="8">
        <f>G62*G57*1.4</f>
        <v>0</v>
      </c>
      <c r="H70" s="8"/>
      <c r="I70" s="8"/>
      <c r="J70" s="425">
        <f t="shared" si="4"/>
        <v>0</v>
      </c>
      <c r="K70" s="579">
        <f t="shared" ref="K70:K101" si="5">SUM(G70:J70)</f>
        <v>0</v>
      </c>
    </row>
    <row r="71" spans="1:11" x14ac:dyDescent="0.15">
      <c r="A71" s="2596"/>
      <c r="B71" s="2912"/>
      <c r="C71" s="2936"/>
      <c r="D71" s="555" t="s">
        <v>725</v>
      </c>
      <c r="F71" s="1345"/>
      <c r="G71" s="8">
        <f>G57*G58*1.25</f>
        <v>0</v>
      </c>
      <c r="H71" s="8"/>
      <c r="I71" s="8"/>
      <c r="J71" s="425">
        <f t="shared" si="4"/>
        <v>0</v>
      </c>
      <c r="K71" s="579">
        <f t="shared" si="5"/>
        <v>0</v>
      </c>
    </row>
    <row r="72" spans="1:11" ht="22.5" x14ac:dyDescent="0.15">
      <c r="A72" s="2596"/>
      <c r="B72" s="2912"/>
      <c r="C72" s="2936"/>
      <c r="D72" s="555" t="s">
        <v>1304</v>
      </c>
      <c r="F72" s="1345"/>
      <c r="G72" s="8">
        <f>G57*G59*1.375</f>
        <v>0</v>
      </c>
      <c r="H72" s="8"/>
      <c r="I72" s="8"/>
      <c r="J72" s="425">
        <f t="shared" si="4"/>
        <v>0</v>
      </c>
      <c r="K72" s="579">
        <f t="shared" si="5"/>
        <v>0</v>
      </c>
    </row>
    <row r="73" spans="1:11" x14ac:dyDescent="0.15">
      <c r="A73" s="2596"/>
      <c r="B73" s="2912"/>
      <c r="C73" s="2936"/>
      <c r="D73" s="555" t="s">
        <v>726</v>
      </c>
      <c r="F73" s="1345"/>
      <c r="G73" s="8">
        <f>G57*G60*1.25</f>
        <v>0</v>
      </c>
      <c r="H73" s="8"/>
      <c r="I73" s="8"/>
      <c r="J73" s="425">
        <f t="shared" si="4"/>
        <v>0</v>
      </c>
      <c r="K73" s="579">
        <f t="shared" si="5"/>
        <v>0</v>
      </c>
    </row>
    <row r="74" spans="1:11" ht="19.5" thickBot="1" x14ac:dyDescent="0.2">
      <c r="A74" s="2596"/>
      <c r="B74" s="2951"/>
      <c r="C74" s="2960"/>
      <c r="D74" s="546" t="s">
        <v>1305</v>
      </c>
      <c r="E74" s="1377"/>
      <c r="F74" s="1270"/>
      <c r="G74" s="215">
        <f>G57*G61*1.375</f>
        <v>0</v>
      </c>
      <c r="H74" s="215"/>
      <c r="I74" s="215"/>
      <c r="J74" s="416">
        <f t="shared" si="4"/>
        <v>0</v>
      </c>
      <c r="K74" s="579">
        <f t="shared" si="5"/>
        <v>0</v>
      </c>
    </row>
    <row r="75" spans="1:11" x14ac:dyDescent="0.15">
      <c r="A75" s="2596"/>
      <c r="B75" s="2599" t="s">
        <v>301</v>
      </c>
      <c r="C75" s="2759"/>
      <c r="D75" s="544" t="s">
        <v>3</v>
      </c>
      <c r="E75" s="1061"/>
      <c r="F75" s="1572" t="s">
        <v>1892</v>
      </c>
      <c r="G75" s="218">
        <f>G4</f>
        <v>0</v>
      </c>
      <c r="H75" s="218"/>
      <c r="I75" s="218"/>
      <c r="J75" s="12">
        <f t="shared" si="4"/>
        <v>0</v>
      </c>
      <c r="K75" s="579">
        <f t="shared" si="5"/>
        <v>0</v>
      </c>
    </row>
    <row r="76" spans="1:11" x14ac:dyDescent="0.15">
      <c r="A76" s="2596"/>
      <c r="B76" s="2599"/>
      <c r="C76" s="2759"/>
      <c r="D76" s="543" t="s">
        <v>1601</v>
      </c>
      <c r="E76" s="1062"/>
      <c r="F76" s="1345"/>
      <c r="G76" s="8">
        <f>IF(G75=0,0,G7)</f>
        <v>0</v>
      </c>
      <c r="H76" s="8"/>
      <c r="I76" s="8"/>
      <c r="J76" s="12"/>
      <c r="K76" s="579">
        <f t="shared" si="5"/>
        <v>0</v>
      </c>
    </row>
    <row r="77" spans="1:11" x14ac:dyDescent="0.15">
      <c r="A77" s="2596"/>
      <c r="B77" s="2599"/>
      <c r="C77" s="2759"/>
      <c r="D77" s="547" t="s">
        <v>29</v>
      </c>
      <c r="E77" s="1062"/>
      <c r="F77" s="1345"/>
      <c r="G77" s="8">
        <f>G76*G75</f>
        <v>0</v>
      </c>
      <c r="H77" s="8"/>
      <c r="I77" s="8"/>
      <c r="J77" s="425">
        <f>ROUND(SUM(G77:I77),2)</f>
        <v>0</v>
      </c>
      <c r="K77" s="579">
        <f t="shared" si="5"/>
        <v>0</v>
      </c>
    </row>
    <row r="78" spans="1:11" ht="19.5" thickBot="1" x14ac:dyDescent="0.2">
      <c r="A78" s="2596"/>
      <c r="B78" s="2811"/>
      <c r="C78" s="2758"/>
      <c r="D78" s="546" t="s">
        <v>689</v>
      </c>
      <c r="E78" s="983"/>
      <c r="F78" s="1270"/>
      <c r="G78" s="215">
        <f>G77*0.0013</f>
        <v>0</v>
      </c>
      <c r="H78" s="215"/>
      <c r="I78" s="215"/>
      <c r="J78" s="416">
        <f>ROUND(SUM(G78:I78),2)</f>
        <v>0</v>
      </c>
      <c r="K78" s="579">
        <f t="shared" si="5"/>
        <v>0</v>
      </c>
    </row>
    <row r="79" spans="1:11" x14ac:dyDescent="0.15">
      <c r="A79" s="2596"/>
      <c r="B79" s="2810" t="s">
        <v>517</v>
      </c>
      <c r="C79" s="2757"/>
      <c r="D79" s="555" t="s">
        <v>3</v>
      </c>
      <c r="F79" s="1345"/>
      <c r="G79" s="162"/>
      <c r="H79" s="162"/>
      <c r="I79" s="162"/>
      <c r="J79" s="12">
        <f>ROUND(SUM(G79:I79),2)</f>
        <v>0</v>
      </c>
      <c r="K79" s="579">
        <f t="shared" si="5"/>
        <v>0</v>
      </c>
    </row>
    <row r="80" spans="1:11" x14ac:dyDescent="0.15">
      <c r="A80" s="2596"/>
      <c r="B80" s="2599"/>
      <c r="C80" s="2759"/>
      <c r="D80" s="543" t="s">
        <v>164</v>
      </c>
      <c r="F80" s="1345"/>
      <c r="G80" s="162"/>
      <c r="H80" s="162"/>
      <c r="I80" s="162"/>
      <c r="J80" s="12"/>
      <c r="K80" s="579">
        <f t="shared" si="5"/>
        <v>0</v>
      </c>
    </row>
    <row r="81" spans="1:18" x14ac:dyDescent="0.15">
      <c r="A81" s="2596"/>
      <c r="B81" s="2599"/>
      <c r="C81" s="2759"/>
      <c r="D81" s="1327" t="s">
        <v>29</v>
      </c>
      <c r="F81" s="1345"/>
      <c r="G81" s="8">
        <f>G80*G79</f>
        <v>0</v>
      </c>
      <c r="H81" s="8"/>
      <c r="I81" s="8"/>
      <c r="J81" s="425">
        <f>ROUND(SUM(G81:I81),2)</f>
        <v>0</v>
      </c>
      <c r="K81" s="579">
        <f t="shared" si="5"/>
        <v>0</v>
      </c>
    </row>
    <row r="82" spans="1:18" ht="19.5" thickBot="1" x14ac:dyDescent="0.2">
      <c r="A82" s="2596"/>
      <c r="B82" s="2811"/>
      <c r="C82" s="2758"/>
      <c r="D82" s="546" t="s">
        <v>518</v>
      </c>
      <c r="E82" s="1377"/>
      <c r="F82" s="1270"/>
      <c r="G82" s="215">
        <f>G81*0.0005</f>
        <v>0</v>
      </c>
      <c r="H82" s="215"/>
      <c r="I82" s="215"/>
      <c r="J82" s="416">
        <f>ROUND(SUM(G82:I82),2)</f>
        <v>0</v>
      </c>
      <c r="K82" s="579">
        <f t="shared" si="5"/>
        <v>0</v>
      </c>
    </row>
    <row r="83" spans="1:18" x14ac:dyDescent="0.15">
      <c r="A83" s="2596"/>
      <c r="B83" s="2824" t="s">
        <v>244</v>
      </c>
      <c r="C83" s="2974" t="s">
        <v>302</v>
      </c>
      <c r="D83" s="556" t="s">
        <v>1280</v>
      </c>
      <c r="F83" s="1345"/>
      <c r="G83" s="1341">
        <v>2</v>
      </c>
      <c r="H83" s="1341"/>
      <c r="I83" s="1341"/>
      <c r="J83" s="428"/>
      <c r="K83" s="579">
        <f t="shared" si="5"/>
        <v>2</v>
      </c>
    </row>
    <row r="84" spans="1:18" x14ac:dyDescent="0.15">
      <c r="A84" s="2596"/>
      <c r="B84" s="2825"/>
      <c r="C84" s="2975"/>
      <c r="D84" s="543" t="s">
        <v>29</v>
      </c>
      <c r="F84" s="1345"/>
      <c r="G84" s="8">
        <f>IF(G83=0,0,G77+G81)</f>
        <v>0</v>
      </c>
      <c r="H84" s="8"/>
      <c r="I84" s="8"/>
      <c r="J84" s="12">
        <f t="shared" ref="J84:J90" si="6">ROUND(SUM(G84:I84),2)</f>
        <v>0</v>
      </c>
      <c r="K84" s="579">
        <f t="shared" si="5"/>
        <v>0</v>
      </c>
    </row>
    <row r="85" spans="1:18" x14ac:dyDescent="0.15">
      <c r="A85" s="2596"/>
      <c r="B85" s="2825"/>
      <c r="C85" s="2975"/>
      <c r="D85" s="543" t="s">
        <v>1893</v>
      </c>
      <c r="F85" s="1345"/>
      <c r="G85" s="8">
        <f>G84*G83/100</f>
        <v>0</v>
      </c>
      <c r="H85" s="8"/>
      <c r="I85" s="8"/>
      <c r="J85" s="425">
        <f t="shared" si="6"/>
        <v>0</v>
      </c>
      <c r="K85" s="579">
        <f t="shared" si="5"/>
        <v>0</v>
      </c>
    </row>
    <row r="86" spans="1:18" x14ac:dyDescent="0.15">
      <c r="A86" s="2596"/>
      <c r="B86" s="2825"/>
      <c r="C86" s="2975"/>
      <c r="D86" s="543" t="s">
        <v>1894</v>
      </c>
      <c r="F86" s="1345"/>
      <c r="G86" s="8">
        <f>G85*2.5548</f>
        <v>0</v>
      </c>
      <c r="H86" s="8"/>
      <c r="I86" s="8"/>
      <c r="J86" s="12">
        <f t="shared" si="6"/>
        <v>0</v>
      </c>
      <c r="K86" s="579">
        <f t="shared" si="5"/>
        <v>0</v>
      </c>
    </row>
    <row r="87" spans="1:18" x14ac:dyDescent="0.15">
      <c r="A87" s="2596"/>
      <c r="B87" s="2825"/>
      <c r="C87" s="2975"/>
      <c r="D87" s="549" t="s">
        <v>690</v>
      </c>
      <c r="F87" s="1345"/>
      <c r="G87" s="8">
        <f>G86*0.06</f>
        <v>0</v>
      </c>
      <c r="H87" s="8"/>
      <c r="I87" s="8"/>
      <c r="J87" s="425">
        <f t="shared" si="6"/>
        <v>0</v>
      </c>
      <c r="K87" s="579">
        <f t="shared" si="5"/>
        <v>0</v>
      </c>
    </row>
    <row r="88" spans="1:18" x14ac:dyDescent="0.15">
      <c r="A88" s="2596"/>
      <c r="B88" s="2825"/>
      <c r="C88" s="2975"/>
      <c r="D88" s="563" t="s">
        <v>698</v>
      </c>
      <c r="F88" s="1345"/>
      <c r="G88" s="8">
        <f>G86*0.161</f>
        <v>0</v>
      </c>
      <c r="H88" s="8"/>
      <c r="I88" s="8"/>
      <c r="J88" s="425">
        <f t="shared" si="6"/>
        <v>0</v>
      </c>
      <c r="K88" s="579">
        <f t="shared" si="5"/>
        <v>0</v>
      </c>
    </row>
    <row r="89" spans="1:18" ht="19.5" thickBot="1" x14ac:dyDescent="0.2">
      <c r="A89" s="2596"/>
      <c r="B89" s="2825"/>
      <c r="C89" s="2976"/>
      <c r="D89" s="562" t="s">
        <v>697</v>
      </c>
      <c r="E89" s="1377"/>
      <c r="F89" s="1270"/>
      <c r="G89" s="215">
        <f>G86*0.447</f>
        <v>0</v>
      </c>
      <c r="H89" s="215"/>
      <c r="I89" s="215"/>
      <c r="J89" s="416">
        <f t="shared" si="6"/>
        <v>0</v>
      </c>
      <c r="K89" s="579">
        <f t="shared" si="5"/>
        <v>0</v>
      </c>
    </row>
    <row r="90" spans="1:18" x14ac:dyDescent="0.15">
      <c r="A90" s="2596"/>
      <c r="B90" s="2825"/>
      <c r="C90" s="2974" t="s">
        <v>1600</v>
      </c>
      <c r="D90" s="542" t="s">
        <v>3</v>
      </c>
      <c r="F90" s="450"/>
      <c r="G90" s="162"/>
      <c r="H90" s="162"/>
      <c r="I90" s="162"/>
      <c r="J90" s="12">
        <f t="shared" si="6"/>
        <v>0</v>
      </c>
      <c r="K90" s="579">
        <f t="shared" si="5"/>
        <v>0</v>
      </c>
      <c r="L90" s="2716" t="s">
        <v>1196</v>
      </c>
      <c r="M90" s="2717"/>
      <c r="N90" s="2966" t="s">
        <v>1197</v>
      </c>
      <c r="O90" s="2717"/>
      <c r="P90" s="2966" t="s">
        <v>1198</v>
      </c>
      <c r="Q90" s="2965"/>
      <c r="R90" s="1329" t="s">
        <v>1186</v>
      </c>
    </row>
    <row r="91" spans="1:18" x14ac:dyDescent="0.15">
      <c r="A91" s="2596"/>
      <c r="B91" s="2825"/>
      <c r="C91" s="2975"/>
      <c r="D91" s="543" t="s">
        <v>1601</v>
      </c>
      <c r="E91" s="1062"/>
      <c r="F91" s="1345"/>
      <c r="G91" s="8">
        <f>IF(G90=0,0,G7)</f>
        <v>0</v>
      </c>
      <c r="H91" s="8"/>
      <c r="I91" s="8"/>
      <c r="J91" s="12"/>
      <c r="K91" s="579">
        <f t="shared" si="5"/>
        <v>0</v>
      </c>
      <c r="L91" s="1024" t="s">
        <v>1182</v>
      </c>
      <c r="M91" s="1024" t="s">
        <v>1183</v>
      </c>
      <c r="N91" s="1312" t="s">
        <v>1182</v>
      </c>
      <c r="O91" s="1024" t="s">
        <v>1183</v>
      </c>
      <c r="P91" s="1312" t="s">
        <v>1182</v>
      </c>
      <c r="Q91" s="1309" t="s">
        <v>1183</v>
      </c>
      <c r="R91" s="1330" t="s">
        <v>1538</v>
      </c>
    </row>
    <row r="92" spans="1:18" x14ac:dyDescent="0.15">
      <c r="A92" s="2596"/>
      <c r="B92" s="2825"/>
      <c r="C92" s="2975"/>
      <c r="D92" s="557" t="s">
        <v>1280</v>
      </c>
      <c r="E92" s="1062"/>
      <c r="F92" s="1345"/>
      <c r="G92" s="1328"/>
      <c r="H92" s="1328"/>
      <c r="I92" s="1328"/>
      <c r="J92" s="12"/>
      <c r="K92" s="579">
        <f t="shared" si="5"/>
        <v>0</v>
      </c>
      <c r="L92" s="1025">
        <v>94963</v>
      </c>
      <c r="M92" s="1025">
        <v>94964</v>
      </c>
      <c r="N92" s="1313">
        <v>94963</v>
      </c>
      <c r="O92" s="1025">
        <v>94964</v>
      </c>
      <c r="P92" s="1313">
        <v>94963</v>
      </c>
      <c r="Q92" s="1310">
        <v>94964</v>
      </c>
      <c r="R92" s="1331"/>
    </row>
    <row r="93" spans="1:18" x14ac:dyDescent="0.15">
      <c r="A93" s="2596"/>
      <c r="B93" s="2825"/>
      <c r="C93" s="2975"/>
      <c r="D93" s="669" t="s">
        <v>29</v>
      </c>
      <c r="F93" s="1345"/>
      <c r="G93" s="8">
        <f>IF(G90=0,0,G91*G90)</f>
        <v>0</v>
      </c>
      <c r="H93" s="8"/>
      <c r="I93" s="8"/>
      <c r="J93" s="425">
        <f>ROUND(SUM(G93:I93),2)</f>
        <v>0</v>
      </c>
      <c r="K93" s="579">
        <f t="shared" si="5"/>
        <v>0</v>
      </c>
      <c r="L93" s="1026">
        <v>273.06</v>
      </c>
      <c r="M93" s="1026">
        <v>322.98</v>
      </c>
      <c r="N93" s="1314">
        <v>0.80500000000000005</v>
      </c>
      <c r="O93" s="1027">
        <v>0.75580000000000003</v>
      </c>
      <c r="P93" s="1314">
        <v>0.57899999999999996</v>
      </c>
      <c r="Q93" s="1325">
        <v>0.58699999999999997</v>
      </c>
      <c r="R93" s="1332">
        <v>1</v>
      </c>
    </row>
    <row r="94" spans="1:18" ht="19.5" thickBot="1" x14ac:dyDescent="0.2">
      <c r="A94" s="2596"/>
      <c r="B94" s="2825"/>
      <c r="C94" s="2976"/>
      <c r="D94" s="546" t="s">
        <v>11</v>
      </c>
      <c r="E94" s="1377"/>
      <c r="F94" s="1270"/>
      <c r="G94" s="215">
        <f>G93*G92/100</f>
        <v>0</v>
      </c>
      <c r="H94" s="215"/>
      <c r="I94" s="215"/>
      <c r="J94" s="416">
        <f>ROUND(SUM(G94:I94),2)</f>
        <v>0</v>
      </c>
      <c r="K94" s="579">
        <f t="shared" si="5"/>
        <v>0</v>
      </c>
      <c r="L94" s="1038"/>
      <c r="M94" s="1038">
        <v>1.2130000000000001</v>
      </c>
      <c r="N94" s="1315"/>
      <c r="O94" s="1038">
        <v>1.2130000000000001</v>
      </c>
      <c r="P94" s="1315"/>
      <c r="Q94" s="1038">
        <v>1.2130000000000001</v>
      </c>
      <c r="R94" s="1333">
        <v>0.01</v>
      </c>
    </row>
    <row r="95" spans="1:18" x14ac:dyDescent="0.15">
      <c r="A95" s="2596"/>
      <c r="B95" s="2825"/>
      <c r="C95" s="2974" t="s">
        <v>1595</v>
      </c>
      <c r="D95" s="556" t="s">
        <v>1594</v>
      </c>
      <c r="E95" s="1061"/>
      <c r="F95" s="1344"/>
      <c r="G95" s="1338"/>
      <c r="H95" s="1338"/>
      <c r="I95" s="1338"/>
      <c r="J95" s="1276"/>
      <c r="K95" s="579">
        <f t="shared" si="5"/>
        <v>0</v>
      </c>
    </row>
    <row r="96" spans="1:18" x14ac:dyDescent="0.15">
      <c r="A96" s="2596"/>
      <c r="B96" s="2825"/>
      <c r="C96" s="2975"/>
      <c r="D96" s="543" t="s">
        <v>3</v>
      </c>
      <c r="F96" s="1345"/>
      <c r="G96" s="162"/>
      <c r="H96" s="162"/>
      <c r="I96" s="162"/>
      <c r="J96" s="12">
        <f>ROUND(SUM(G96:I96),2)</f>
        <v>0</v>
      </c>
      <c r="K96" s="579">
        <f t="shared" si="5"/>
        <v>0</v>
      </c>
    </row>
    <row r="97" spans="1:18" x14ac:dyDescent="0.15">
      <c r="A97" s="2596"/>
      <c r="B97" s="2825"/>
      <c r="C97" s="2975"/>
      <c r="D97" s="543" t="s">
        <v>1601</v>
      </c>
      <c r="F97" s="1345"/>
      <c r="G97" s="8">
        <f>IF(G96=0,0,G7)</f>
        <v>0</v>
      </c>
      <c r="H97" s="8"/>
      <c r="I97" s="8"/>
      <c r="J97" s="428"/>
      <c r="K97" s="579">
        <f t="shared" si="5"/>
        <v>0</v>
      </c>
    </row>
    <row r="98" spans="1:18" x14ac:dyDescent="0.15">
      <c r="A98" s="2596"/>
      <c r="B98" s="2825"/>
      <c r="C98" s="2975"/>
      <c r="D98" s="543" t="s">
        <v>1606</v>
      </c>
      <c r="F98" s="1345"/>
      <c r="G98" s="8">
        <f>G97*G96</f>
        <v>0</v>
      </c>
      <c r="H98" s="8"/>
      <c r="I98" s="8"/>
      <c r="J98" s="425">
        <f t="shared" ref="J98:J130" si="7">ROUND(SUM(G98:I98),2)</f>
        <v>0</v>
      </c>
      <c r="K98" s="579">
        <f t="shared" si="5"/>
        <v>0</v>
      </c>
    </row>
    <row r="99" spans="1:18" ht="19.5" thickBot="1" x14ac:dyDescent="0.2">
      <c r="A99" s="2596"/>
      <c r="B99" s="2826"/>
      <c r="C99" s="2976"/>
      <c r="D99" s="546" t="s">
        <v>1596</v>
      </c>
      <c r="E99" s="1377"/>
      <c r="F99" s="1270"/>
      <c r="G99" s="215">
        <f>G98*0.0633</f>
        <v>0</v>
      </c>
      <c r="H99" s="215"/>
      <c r="I99" s="215"/>
      <c r="J99" s="416">
        <f t="shared" si="7"/>
        <v>0</v>
      </c>
      <c r="K99" s="579">
        <f t="shared" si="5"/>
        <v>0</v>
      </c>
    </row>
    <row r="100" spans="1:18" ht="39.75" customHeight="1" thickBot="1" x14ac:dyDescent="0.2">
      <c r="A100" s="2596"/>
      <c r="B100" s="2986" t="s">
        <v>1602</v>
      </c>
      <c r="C100" s="2908"/>
      <c r="D100" s="2111" t="s">
        <v>660</v>
      </c>
      <c r="F100" s="1345"/>
      <c r="G100" s="2120">
        <f>2*G4</f>
        <v>0</v>
      </c>
      <c r="H100" s="2120"/>
      <c r="I100" s="2120"/>
      <c r="J100" s="1285">
        <f t="shared" si="7"/>
        <v>0</v>
      </c>
      <c r="K100" s="579">
        <f t="shared" si="5"/>
        <v>0</v>
      </c>
      <c r="L100" s="1038">
        <v>1.4999999999999999E-2</v>
      </c>
      <c r="M100" s="1038"/>
      <c r="N100" s="1315">
        <v>1.4999999999999999E-2</v>
      </c>
      <c r="O100" s="1038"/>
      <c r="P100" s="1315">
        <v>1.4999999999999999E-2</v>
      </c>
      <c r="Q100" s="1305"/>
      <c r="R100" s="1333"/>
    </row>
    <row r="101" spans="1:18" x14ac:dyDescent="0.15">
      <c r="A101" s="2596"/>
      <c r="B101" s="2599"/>
      <c r="C101" s="2759"/>
      <c r="D101" s="544" t="s">
        <v>160</v>
      </c>
      <c r="F101" s="1345"/>
      <c r="G101" s="162"/>
      <c r="H101" s="162"/>
      <c r="I101" s="162"/>
      <c r="J101" s="425">
        <f t="shared" si="7"/>
        <v>0</v>
      </c>
      <c r="K101" s="579">
        <f t="shared" si="5"/>
        <v>0</v>
      </c>
      <c r="L101" s="1038">
        <v>3.3000000000000002E-2</v>
      </c>
      <c r="M101" s="1038"/>
      <c r="N101" s="1315">
        <v>3.3000000000000002E-2</v>
      </c>
      <c r="O101" s="1038"/>
      <c r="P101" s="1315">
        <v>3.3000000000000002E-2</v>
      </c>
      <c r="Q101" s="1305"/>
      <c r="R101" s="1333"/>
    </row>
    <row r="102" spans="1:18" x14ac:dyDescent="0.15">
      <c r="A102" s="2596"/>
      <c r="B102" s="2599"/>
      <c r="C102" s="2759"/>
      <c r="D102" s="543" t="s">
        <v>1282</v>
      </c>
      <c r="F102" s="1345"/>
      <c r="G102" s="162"/>
      <c r="H102" s="162"/>
      <c r="I102" s="162"/>
      <c r="J102" s="425">
        <f t="shared" si="7"/>
        <v>0</v>
      </c>
      <c r="K102" s="579">
        <f t="shared" ref="K102:K130" si="8">SUM(G102:J102)</f>
        <v>0</v>
      </c>
      <c r="L102" s="1038">
        <v>6.4500000000000002E-2</v>
      </c>
      <c r="M102" s="1038"/>
      <c r="N102" s="1315">
        <v>6.4500000000000002E-2</v>
      </c>
      <c r="O102" s="1038"/>
      <c r="P102" s="1315">
        <v>6.4500000000000002E-2</v>
      </c>
      <c r="Q102" s="1305"/>
      <c r="R102" s="1333"/>
    </row>
    <row r="103" spans="1:18" x14ac:dyDescent="0.15">
      <c r="A103" s="2596"/>
      <c r="B103" s="2599"/>
      <c r="C103" s="2759"/>
      <c r="D103" s="543" t="s">
        <v>1324</v>
      </c>
      <c r="F103" s="1345"/>
      <c r="G103" s="162"/>
      <c r="H103" s="162"/>
      <c r="I103" s="162"/>
      <c r="J103" s="425">
        <f t="shared" si="7"/>
        <v>0</v>
      </c>
      <c r="K103" s="579">
        <f t="shared" si="8"/>
        <v>0</v>
      </c>
      <c r="L103" s="1038">
        <v>2.8500000000000001E-2</v>
      </c>
      <c r="M103" s="1038"/>
      <c r="N103" s="1315">
        <v>2.8500000000000001E-2</v>
      </c>
      <c r="O103" s="1038"/>
      <c r="P103" s="1315">
        <v>2.8500000000000001E-2</v>
      </c>
      <c r="Q103" s="1305"/>
      <c r="R103" s="1333"/>
    </row>
    <row r="104" spans="1:18" ht="19.5" thickBot="1" x14ac:dyDescent="0.2">
      <c r="A104" s="2596"/>
      <c r="B104" s="2811"/>
      <c r="C104" s="2758"/>
      <c r="D104" s="546" t="s">
        <v>1284</v>
      </c>
      <c r="E104" s="1377"/>
      <c r="F104" s="1270"/>
      <c r="G104" s="1303"/>
      <c r="H104" s="1303"/>
      <c r="I104" s="1303"/>
      <c r="J104" s="416">
        <f t="shared" si="7"/>
        <v>0</v>
      </c>
      <c r="K104" s="579">
        <f t="shared" si="8"/>
        <v>0</v>
      </c>
      <c r="L104" s="1038">
        <v>3.3000000000000002E-2</v>
      </c>
      <c r="M104" s="1038"/>
      <c r="N104" s="1315">
        <v>3.3000000000000002E-2</v>
      </c>
      <c r="O104" s="1038"/>
      <c r="P104" s="1315">
        <v>3.3000000000000002E-2</v>
      </c>
      <c r="Q104" s="1305"/>
      <c r="R104" s="1333"/>
    </row>
    <row r="105" spans="1:18" x14ac:dyDescent="0.15">
      <c r="A105" s="2596"/>
      <c r="B105" s="2810" t="s">
        <v>1266</v>
      </c>
      <c r="C105" s="2840"/>
      <c r="D105" s="542" t="s">
        <v>701</v>
      </c>
      <c r="F105" s="1345"/>
      <c r="G105" s="162"/>
      <c r="H105" s="162"/>
      <c r="I105" s="162"/>
      <c r="J105" s="425">
        <f t="shared" si="7"/>
        <v>0</v>
      </c>
      <c r="K105" s="579">
        <f t="shared" si="8"/>
        <v>0</v>
      </c>
    </row>
    <row r="106" spans="1:18" x14ac:dyDescent="0.15">
      <c r="A106" s="2596"/>
      <c r="B106" s="2599"/>
      <c r="C106" s="2841"/>
      <c r="D106" s="544" t="s">
        <v>1564</v>
      </c>
      <c r="F106" s="1345"/>
      <c r="G106" s="162"/>
      <c r="H106" s="162"/>
      <c r="I106" s="162"/>
      <c r="J106" s="425">
        <f t="shared" si="7"/>
        <v>0</v>
      </c>
      <c r="K106" s="579">
        <f t="shared" si="8"/>
        <v>0</v>
      </c>
    </row>
    <row r="107" spans="1:18" x14ac:dyDescent="0.15">
      <c r="A107" s="2596"/>
      <c r="B107" s="2599"/>
      <c r="C107" s="2841"/>
      <c r="D107" s="543" t="s">
        <v>1324</v>
      </c>
      <c r="F107" s="1345"/>
      <c r="G107" s="162"/>
      <c r="H107" s="162"/>
      <c r="I107" s="162"/>
      <c r="J107" s="425">
        <f t="shared" si="7"/>
        <v>0</v>
      </c>
      <c r="K107" s="579">
        <f t="shared" si="8"/>
        <v>0</v>
      </c>
    </row>
    <row r="108" spans="1:18" x14ac:dyDescent="0.15">
      <c r="A108" s="2596"/>
      <c r="B108" s="2599"/>
      <c r="C108" s="2841"/>
      <c r="D108" s="543" t="s">
        <v>1284</v>
      </c>
      <c r="F108" s="1345"/>
      <c r="G108" s="162"/>
      <c r="H108" s="162"/>
      <c r="I108" s="162"/>
      <c r="J108" s="425">
        <f t="shared" si="7"/>
        <v>0</v>
      </c>
      <c r="K108" s="579">
        <f t="shared" si="8"/>
        <v>0</v>
      </c>
    </row>
    <row r="109" spans="1:18" ht="19.5" thickBot="1" x14ac:dyDescent="0.2">
      <c r="A109" s="2596"/>
      <c r="B109" s="2811"/>
      <c r="C109" s="2920"/>
      <c r="D109" s="546" t="s">
        <v>1350</v>
      </c>
      <c r="E109" s="1377"/>
      <c r="F109" s="1270"/>
      <c r="G109" s="8">
        <f>G107*0.0285+G108*0.033</f>
        <v>0</v>
      </c>
      <c r="H109" s="8"/>
      <c r="I109" s="8"/>
      <c r="J109" s="416">
        <f t="shared" si="7"/>
        <v>0</v>
      </c>
      <c r="K109" s="579">
        <f t="shared" si="8"/>
        <v>0</v>
      </c>
    </row>
    <row r="110" spans="1:18" x14ac:dyDescent="0.15">
      <c r="A110" s="2596"/>
      <c r="B110" s="2977" t="s">
        <v>1355</v>
      </c>
      <c r="C110" s="2978"/>
      <c r="D110" s="550" t="s">
        <v>538</v>
      </c>
      <c r="E110" s="1380"/>
      <c r="F110" s="1344"/>
      <c r="G110" s="216">
        <f>G67</f>
        <v>0</v>
      </c>
      <c r="H110" s="216"/>
      <c r="I110" s="216"/>
      <c r="J110" s="425">
        <f t="shared" si="7"/>
        <v>0</v>
      </c>
      <c r="K110" s="579">
        <f t="shared" si="8"/>
        <v>0</v>
      </c>
    </row>
    <row r="111" spans="1:18" x14ac:dyDescent="0.15">
      <c r="A111" s="2596"/>
      <c r="B111" s="2979"/>
      <c r="C111" s="2980"/>
      <c r="D111" s="543" t="s">
        <v>7</v>
      </c>
      <c r="F111" s="1345"/>
      <c r="G111" s="8">
        <f>G14</f>
        <v>0</v>
      </c>
      <c r="H111" s="8"/>
      <c r="I111" s="8"/>
      <c r="J111" s="425">
        <f t="shared" si="7"/>
        <v>0</v>
      </c>
      <c r="K111" s="579">
        <f t="shared" si="8"/>
        <v>0</v>
      </c>
    </row>
    <row r="112" spans="1:18" ht="19.5" thickBot="1" x14ac:dyDescent="0.2">
      <c r="A112" s="2596"/>
      <c r="B112" s="2981"/>
      <c r="C112" s="2982"/>
      <c r="D112" s="1071" t="s">
        <v>1535</v>
      </c>
      <c r="E112" s="1377"/>
      <c r="F112" s="1270"/>
      <c r="G112" s="215">
        <f>G109*1.25</f>
        <v>0</v>
      </c>
      <c r="H112" s="215"/>
      <c r="I112" s="215"/>
      <c r="J112" s="416">
        <f t="shared" si="7"/>
        <v>0</v>
      </c>
      <c r="K112" s="579">
        <f t="shared" si="8"/>
        <v>0</v>
      </c>
    </row>
    <row r="113" spans="1:11" x14ac:dyDescent="0.15">
      <c r="A113" s="2596"/>
      <c r="B113" s="2810" t="s">
        <v>1604</v>
      </c>
      <c r="C113" s="2757"/>
      <c r="D113" s="550" t="s">
        <v>1255</v>
      </c>
      <c r="E113" s="1380"/>
      <c r="F113" s="1344"/>
      <c r="G113" s="216">
        <f>G112</f>
        <v>0</v>
      </c>
      <c r="H113" s="216"/>
      <c r="I113" s="216"/>
      <c r="J113" s="425">
        <f t="shared" si="7"/>
        <v>0</v>
      </c>
      <c r="K113" s="579">
        <f t="shared" si="8"/>
        <v>0</v>
      </c>
    </row>
    <row r="114" spans="1:11" x14ac:dyDescent="0.15">
      <c r="A114" s="2596"/>
      <c r="B114" s="2599"/>
      <c r="C114" s="2759"/>
      <c r="D114" s="543" t="s">
        <v>7</v>
      </c>
      <c r="F114" s="1345"/>
      <c r="G114" s="8">
        <f>(G14+G37+G44)*1.25</f>
        <v>0</v>
      </c>
      <c r="H114" s="8"/>
      <c r="I114" s="8"/>
      <c r="J114" s="425">
        <f t="shared" si="7"/>
        <v>0</v>
      </c>
      <c r="K114" s="579">
        <f t="shared" si="8"/>
        <v>0</v>
      </c>
    </row>
    <row r="115" spans="1:11" ht="19.5" thickBot="1" x14ac:dyDescent="0.2">
      <c r="A115" s="2596"/>
      <c r="B115" s="2599"/>
      <c r="C115" s="2759"/>
      <c r="D115" s="543" t="s">
        <v>2012</v>
      </c>
      <c r="F115" s="1345"/>
      <c r="G115" s="8">
        <f>G50*1.25+G71</f>
        <v>0</v>
      </c>
      <c r="H115" s="8"/>
      <c r="I115" s="8"/>
      <c r="J115" s="425">
        <f t="shared" si="7"/>
        <v>0</v>
      </c>
      <c r="K115" s="579">
        <f t="shared" si="8"/>
        <v>0</v>
      </c>
    </row>
    <row r="116" spans="1:11" x14ac:dyDescent="0.15">
      <c r="A116" s="2596"/>
      <c r="B116" s="2810"/>
      <c r="C116" s="2757"/>
      <c r="D116" s="559" t="s">
        <v>1207</v>
      </c>
      <c r="F116" s="1345"/>
      <c r="G116" s="8">
        <f>(G94*$M94*$M$93+SUMPRODUCT(G100:G104,$L100:$L104)*$L$93)/1000+G70</f>
        <v>0</v>
      </c>
      <c r="H116" s="8"/>
      <c r="I116" s="8"/>
      <c r="J116" s="425">
        <f t="shared" si="7"/>
        <v>0</v>
      </c>
      <c r="K116" s="579">
        <f t="shared" si="8"/>
        <v>0</v>
      </c>
    </row>
    <row r="117" spans="1:11" ht="19.5" thickBot="1" x14ac:dyDescent="0.2">
      <c r="A117" s="2596"/>
      <c r="B117" s="2599"/>
      <c r="C117" s="2759"/>
      <c r="D117" s="559" t="s">
        <v>1607</v>
      </c>
      <c r="F117" s="1345"/>
      <c r="G117" s="8">
        <f>G99</f>
        <v>0</v>
      </c>
      <c r="H117" s="8"/>
      <c r="I117" s="8"/>
      <c r="J117" s="425">
        <f t="shared" si="7"/>
        <v>0</v>
      </c>
      <c r="K117" s="579">
        <f t="shared" si="8"/>
        <v>0</v>
      </c>
    </row>
    <row r="118" spans="1:11" x14ac:dyDescent="0.15">
      <c r="A118" s="2596"/>
      <c r="B118" s="2810"/>
      <c r="C118" s="2757"/>
      <c r="D118" s="559" t="s">
        <v>1608</v>
      </c>
      <c r="F118" s="1345"/>
      <c r="G118" s="8">
        <f>G94*$O94*$O$93+SUMPRODUCT(G100:G104,$N100:$N104)*$N$93</f>
        <v>0</v>
      </c>
      <c r="H118" s="8"/>
      <c r="I118" s="8"/>
      <c r="J118" s="425">
        <f t="shared" si="7"/>
        <v>0</v>
      </c>
      <c r="K118" s="579">
        <f t="shared" si="8"/>
        <v>0</v>
      </c>
    </row>
    <row r="119" spans="1:11" x14ac:dyDescent="0.15">
      <c r="A119" s="2596"/>
      <c r="B119" s="2599"/>
      <c r="C119" s="2759"/>
      <c r="D119" s="559" t="s">
        <v>1394</v>
      </c>
      <c r="F119" s="1345"/>
      <c r="G119" s="8">
        <f>G88</f>
        <v>0</v>
      </c>
      <c r="H119" s="8"/>
      <c r="I119" s="8"/>
      <c r="J119" s="425">
        <f t="shared" si="7"/>
        <v>0</v>
      </c>
      <c r="K119" s="579">
        <f t="shared" si="8"/>
        <v>0</v>
      </c>
    </row>
    <row r="120" spans="1:11" x14ac:dyDescent="0.15">
      <c r="A120" s="2596"/>
      <c r="B120" s="2599"/>
      <c r="C120" s="2759"/>
      <c r="D120" s="559" t="s">
        <v>586</v>
      </c>
      <c r="F120" s="1345"/>
      <c r="G120" s="8">
        <f>G98*0.14</f>
        <v>0</v>
      </c>
      <c r="H120" s="8"/>
      <c r="I120" s="8"/>
      <c r="J120" s="425">
        <f t="shared" si="7"/>
        <v>0</v>
      </c>
      <c r="K120" s="579">
        <f t="shared" si="8"/>
        <v>0</v>
      </c>
    </row>
    <row r="121" spans="1:11" x14ac:dyDescent="0.15">
      <c r="A121" s="2596"/>
      <c r="B121" s="2599"/>
      <c r="C121" s="2759"/>
      <c r="D121" s="559" t="s">
        <v>1371</v>
      </c>
      <c r="F121" s="1345"/>
      <c r="G121" s="8">
        <f>G73</f>
        <v>0</v>
      </c>
      <c r="H121" s="8"/>
      <c r="I121" s="8"/>
      <c r="J121" s="425">
        <f t="shared" si="7"/>
        <v>0</v>
      </c>
      <c r="K121" s="579">
        <f t="shared" si="8"/>
        <v>0</v>
      </c>
    </row>
    <row r="122" spans="1:11" ht="19.5" thickBot="1" x14ac:dyDescent="0.2">
      <c r="A122" s="2596"/>
      <c r="B122" s="2599"/>
      <c r="C122" s="2759"/>
      <c r="D122" s="567" t="s">
        <v>1767</v>
      </c>
      <c r="F122" s="1345"/>
      <c r="G122" s="8">
        <f>G72</f>
        <v>0</v>
      </c>
      <c r="H122" s="8"/>
      <c r="I122" s="8"/>
      <c r="J122" s="425">
        <f t="shared" si="7"/>
        <v>0</v>
      </c>
      <c r="K122" s="579">
        <f t="shared" si="8"/>
        <v>0</v>
      </c>
    </row>
    <row r="123" spans="1:11" x14ac:dyDescent="0.15">
      <c r="A123" s="2596"/>
      <c r="B123" s="2810"/>
      <c r="C123" s="2757"/>
      <c r="D123" s="567" t="s">
        <v>1766</v>
      </c>
      <c r="F123" s="1345"/>
      <c r="G123" s="8">
        <f>G74</f>
        <v>0</v>
      </c>
      <c r="H123" s="8"/>
      <c r="I123" s="8"/>
      <c r="J123" s="425">
        <f t="shared" si="7"/>
        <v>0</v>
      </c>
      <c r="K123" s="579">
        <f t="shared" si="8"/>
        <v>0</v>
      </c>
    </row>
    <row r="124" spans="1:11" x14ac:dyDescent="0.15">
      <c r="A124" s="2596"/>
      <c r="B124" s="2599"/>
      <c r="C124" s="2759"/>
      <c r="D124" s="567" t="s">
        <v>1605</v>
      </c>
      <c r="F124" s="1345"/>
      <c r="G124" s="8">
        <f>G94*$Q94*$Q$93+SUMPRODUCT(G100:G104,$P100:$P104)*$P$93</f>
        <v>0</v>
      </c>
      <c r="H124" s="8"/>
      <c r="I124" s="8"/>
      <c r="J124" s="425">
        <f t="shared" si="7"/>
        <v>0</v>
      </c>
      <c r="K124" s="579">
        <f t="shared" si="8"/>
        <v>0</v>
      </c>
    </row>
    <row r="125" spans="1:11" x14ac:dyDescent="0.15">
      <c r="A125" s="2596"/>
      <c r="B125" s="2599"/>
      <c r="C125" s="2759"/>
      <c r="D125" s="567" t="s">
        <v>1396</v>
      </c>
      <c r="F125" s="1345"/>
      <c r="G125" s="8">
        <f>G89</f>
        <v>0</v>
      </c>
      <c r="H125" s="8"/>
      <c r="I125" s="8"/>
      <c r="J125" s="425">
        <f t="shared" si="7"/>
        <v>0</v>
      </c>
      <c r="K125" s="579">
        <f t="shared" si="8"/>
        <v>0</v>
      </c>
    </row>
    <row r="126" spans="1:11" ht="19.5" thickBot="1" x14ac:dyDescent="0.2">
      <c r="A126" s="2596"/>
      <c r="B126" s="2599"/>
      <c r="C126" s="2759"/>
      <c r="D126" s="567" t="s">
        <v>538</v>
      </c>
      <c r="F126" s="1345"/>
      <c r="G126" s="8">
        <f>G67*1.25</f>
        <v>0</v>
      </c>
      <c r="H126" s="8"/>
      <c r="I126" s="8"/>
      <c r="J126" s="425">
        <f t="shared" si="7"/>
        <v>0</v>
      </c>
      <c r="K126" s="579">
        <f t="shared" si="8"/>
        <v>0</v>
      </c>
    </row>
    <row r="127" spans="1:11" x14ac:dyDescent="0.15">
      <c r="A127" s="2596"/>
      <c r="B127" s="2810"/>
      <c r="C127" s="2757"/>
      <c r="D127" s="567" t="s">
        <v>1399</v>
      </c>
      <c r="F127" s="1345"/>
      <c r="G127" s="8">
        <f>G87</f>
        <v>0</v>
      </c>
      <c r="H127" s="8"/>
      <c r="I127" s="8"/>
      <c r="J127" s="425">
        <f t="shared" si="7"/>
        <v>0</v>
      </c>
      <c r="K127" s="579">
        <f t="shared" si="8"/>
        <v>0</v>
      </c>
    </row>
    <row r="128" spans="1:11" x14ac:dyDescent="0.15">
      <c r="A128" s="2596"/>
      <c r="B128" s="2599"/>
      <c r="C128" s="2759"/>
      <c r="D128" s="567" t="s">
        <v>1401</v>
      </c>
      <c r="F128" s="1345"/>
      <c r="G128" s="8">
        <f>G78</f>
        <v>0</v>
      </c>
      <c r="H128" s="8"/>
      <c r="I128" s="8"/>
      <c r="J128" s="425">
        <f t="shared" si="7"/>
        <v>0</v>
      </c>
      <c r="K128" s="579">
        <f t="shared" si="8"/>
        <v>0</v>
      </c>
    </row>
    <row r="129" spans="1:11" ht="19.5" thickBot="1" x14ac:dyDescent="0.2">
      <c r="A129" s="2596"/>
      <c r="B129" s="2599"/>
      <c r="C129" s="2759"/>
      <c r="D129" s="567" t="s">
        <v>1404</v>
      </c>
      <c r="F129" s="1345"/>
      <c r="G129" s="8">
        <f>G82</f>
        <v>0</v>
      </c>
      <c r="H129" s="8"/>
      <c r="I129" s="8"/>
      <c r="J129" s="425">
        <f t="shared" si="7"/>
        <v>0</v>
      </c>
      <c r="K129" s="579">
        <f t="shared" si="8"/>
        <v>0</v>
      </c>
    </row>
    <row r="130" spans="1:11" ht="19.5" thickBot="1" x14ac:dyDescent="0.2">
      <c r="A130" s="2596"/>
      <c r="B130" s="2810"/>
      <c r="C130" s="2757"/>
      <c r="D130" s="567" t="s">
        <v>1376</v>
      </c>
      <c r="F130" s="1345"/>
      <c r="G130" s="8">
        <f>G86</f>
        <v>0</v>
      </c>
      <c r="H130" s="8"/>
      <c r="I130" s="8"/>
      <c r="J130" s="416">
        <f t="shared" si="7"/>
        <v>0</v>
      </c>
      <c r="K130" s="579">
        <f t="shared" si="8"/>
        <v>0</v>
      </c>
    </row>
    <row r="131" spans="1:11" x14ac:dyDescent="0.15">
      <c r="A131" s="2596"/>
      <c r="B131" s="2810" t="s">
        <v>1370</v>
      </c>
      <c r="C131" s="2757"/>
      <c r="D131" s="550" t="s">
        <v>1255</v>
      </c>
      <c r="E131" s="1380"/>
      <c r="F131" s="1344"/>
      <c r="G131" s="216">
        <f t="shared" ref="G131:G140" si="9">G113</f>
        <v>0</v>
      </c>
      <c r="H131" s="216"/>
      <c r="I131" s="216"/>
      <c r="J131" s="425"/>
      <c r="K131" s="579"/>
    </row>
    <row r="132" spans="1:11" x14ac:dyDescent="0.15">
      <c r="A132" s="2596"/>
      <c r="B132" s="2599"/>
      <c r="C132" s="2759"/>
      <c r="D132" s="543" t="s">
        <v>7</v>
      </c>
      <c r="E132" s="1062"/>
      <c r="F132" s="1345"/>
      <c r="G132" s="8">
        <f t="shared" si="9"/>
        <v>0</v>
      </c>
      <c r="H132" s="8"/>
      <c r="I132" s="8"/>
      <c r="J132" s="425"/>
      <c r="K132" s="579"/>
    </row>
    <row r="133" spans="1:11" x14ac:dyDescent="0.15">
      <c r="A133" s="2596"/>
      <c r="B133" s="2599"/>
      <c r="C133" s="2759"/>
      <c r="D133" s="559" t="s">
        <v>1357</v>
      </c>
      <c r="E133" s="1062"/>
      <c r="F133" s="1345"/>
      <c r="G133" s="8">
        <f t="shared" si="9"/>
        <v>0</v>
      </c>
      <c r="H133" s="8"/>
      <c r="I133" s="8"/>
      <c r="J133" s="425"/>
      <c r="K133" s="579"/>
    </row>
    <row r="134" spans="1:11" x14ac:dyDescent="0.15">
      <c r="A134" s="2596"/>
      <c r="B134" s="2599"/>
      <c r="C134" s="2759"/>
      <c r="D134" s="559" t="s">
        <v>1207</v>
      </c>
      <c r="E134" s="1062"/>
      <c r="F134" s="1345"/>
      <c r="G134" s="8">
        <f t="shared" si="9"/>
        <v>0</v>
      </c>
      <c r="H134" s="8"/>
      <c r="I134" s="8"/>
      <c r="J134" s="425"/>
      <c r="K134" s="579"/>
    </row>
    <row r="135" spans="1:11" x14ac:dyDescent="0.15">
      <c r="A135" s="2596"/>
      <c r="B135" s="2599"/>
      <c r="C135" s="2759"/>
      <c r="D135" s="559" t="s">
        <v>1607</v>
      </c>
      <c r="E135" s="1062"/>
      <c r="F135" s="1345"/>
      <c r="G135" s="8">
        <f t="shared" si="9"/>
        <v>0</v>
      </c>
      <c r="H135" s="8"/>
      <c r="I135" s="8"/>
      <c r="J135" s="425"/>
      <c r="K135" s="579"/>
    </row>
    <row r="136" spans="1:11" x14ac:dyDescent="0.15">
      <c r="A136" s="2596"/>
      <c r="B136" s="2599"/>
      <c r="C136" s="2759"/>
      <c r="D136" s="559" t="s">
        <v>1608</v>
      </c>
      <c r="E136" s="1062"/>
      <c r="F136" s="1345"/>
      <c r="G136" s="8">
        <f t="shared" si="9"/>
        <v>0</v>
      </c>
      <c r="H136" s="8"/>
      <c r="I136" s="8"/>
      <c r="J136" s="425"/>
      <c r="K136" s="579"/>
    </row>
    <row r="137" spans="1:11" x14ac:dyDescent="0.15">
      <c r="A137" s="2596"/>
      <c r="B137" s="2599"/>
      <c r="C137" s="2759"/>
      <c r="D137" s="559" t="s">
        <v>1394</v>
      </c>
      <c r="E137" s="1062"/>
      <c r="F137" s="1345"/>
      <c r="G137" s="8">
        <f t="shared" si="9"/>
        <v>0</v>
      </c>
      <c r="H137" s="8"/>
      <c r="I137" s="8"/>
      <c r="J137" s="425"/>
      <c r="K137" s="579"/>
    </row>
    <row r="138" spans="1:11" x14ac:dyDescent="0.15">
      <c r="A138" s="2596"/>
      <c r="B138" s="2599"/>
      <c r="C138" s="2759"/>
      <c r="D138" s="559" t="s">
        <v>586</v>
      </c>
      <c r="E138" s="1062"/>
      <c r="F138" s="1345"/>
      <c r="G138" s="8">
        <f t="shared" si="9"/>
        <v>0</v>
      </c>
      <c r="H138" s="8"/>
      <c r="I138" s="8"/>
      <c r="J138" s="425"/>
      <c r="K138" s="579"/>
    </row>
    <row r="139" spans="1:11" x14ac:dyDescent="0.15">
      <c r="A139" s="2596"/>
      <c r="B139" s="2599"/>
      <c r="C139" s="2759"/>
      <c r="D139" s="559" t="s">
        <v>1371</v>
      </c>
      <c r="E139" s="1062"/>
      <c r="F139" s="1345"/>
      <c r="G139" s="8">
        <f t="shared" si="9"/>
        <v>0</v>
      </c>
      <c r="H139" s="8"/>
      <c r="I139" s="8"/>
      <c r="J139" s="425"/>
      <c r="K139" s="579"/>
    </row>
    <row r="140" spans="1:11" x14ac:dyDescent="0.15">
      <c r="A140" s="2596"/>
      <c r="B140" s="2599"/>
      <c r="C140" s="2759"/>
      <c r="D140" s="567" t="s">
        <v>1609</v>
      </c>
      <c r="E140" s="1062"/>
      <c r="F140" s="1345"/>
      <c r="G140" s="8">
        <f t="shared" si="9"/>
        <v>0</v>
      </c>
      <c r="H140" s="8"/>
      <c r="I140" s="8"/>
      <c r="J140" s="425"/>
      <c r="K140" s="579"/>
    </row>
    <row r="141" spans="1:11" x14ac:dyDescent="0.15">
      <c r="A141" s="2596"/>
      <c r="B141" s="2599"/>
      <c r="C141" s="2759"/>
      <c r="D141" s="567" t="s">
        <v>1605</v>
      </c>
      <c r="E141" s="1062"/>
      <c r="F141" s="1345"/>
      <c r="G141" s="8">
        <f t="shared" ref="G141:G147" si="10">G124</f>
        <v>0</v>
      </c>
      <c r="H141" s="8"/>
      <c r="I141" s="8"/>
      <c r="J141" s="425"/>
      <c r="K141" s="579"/>
    </row>
    <row r="142" spans="1:11" x14ac:dyDescent="0.15">
      <c r="A142" s="2596"/>
      <c r="B142" s="2599"/>
      <c r="C142" s="2759"/>
      <c r="D142" s="567" t="s">
        <v>1396</v>
      </c>
      <c r="E142" s="1062"/>
      <c r="F142" s="1345"/>
      <c r="G142" s="8">
        <f t="shared" si="10"/>
        <v>0</v>
      </c>
      <c r="H142" s="8"/>
      <c r="I142" s="8"/>
      <c r="J142" s="425"/>
      <c r="K142" s="579"/>
    </row>
    <row r="143" spans="1:11" x14ac:dyDescent="0.15">
      <c r="A143" s="2596"/>
      <c r="B143" s="2599"/>
      <c r="C143" s="2759"/>
      <c r="D143" s="567" t="s">
        <v>538</v>
      </c>
      <c r="E143" s="1062"/>
      <c r="F143" s="1345"/>
      <c r="G143" s="8">
        <f t="shared" si="10"/>
        <v>0</v>
      </c>
      <c r="H143" s="8"/>
      <c r="I143" s="8"/>
      <c r="J143" s="425"/>
      <c r="K143" s="579"/>
    </row>
    <row r="144" spans="1:11" x14ac:dyDescent="0.15">
      <c r="A144" s="2596"/>
      <c r="B144" s="2599"/>
      <c r="C144" s="2759"/>
      <c r="D144" s="567" t="s">
        <v>1399</v>
      </c>
      <c r="E144" s="1062"/>
      <c r="F144" s="1345"/>
      <c r="G144" s="8">
        <f t="shared" si="10"/>
        <v>0</v>
      </c>
      <c r="H144" s="8"/>
      <c r="I144" s="8"/>
      <c r="J144" s="425"/>
      <c r="K144" s="579"/>
    </row>
    <row r="145" spans="1:11" x14ac:dyDescent="0.15">
      <c r="A145" s="2596"/>
      <c r="B145" s="2599"/>
      <c r="C145" s="2759"/>
      <c r="D145" s="567" t="s">
        <v>1401</v>
      </c>
      <c r="E145" s="1062"/>
      <c r="F145" s="1345"/>
      <c r="G145" s="8">
        <f t="shared" si="10"/>
        <v>0</v>
      </c>
      <c r="H145" s="8"/>
      <c r="I145" s="8"/>
      <c r="J145" s="425"/>
      <c r="K145" s="579"/>
    </row>
    <row r="146" spans="1:11" x14ac:dyDescent="0.15">
      <c r="A146" s="2596"/>
      <c r="B146" s="2599"/>
      <c r="C146" s="2759"/>
      <c r="D146" s="567" t="s">
        <v>1400</v>
      </c>
      <c r="E146" s="1062"/>
      <c r="F146" s="1345"/>
      <c r="G146" s="8">
        <f t="shared" si="10"/>
        <v>0</v>
      </c>
      <c r="H146" s="8"/>
      <c r="I146" s="8"/>
      <c r="J146" s="425"/>
      <c r="K146" s="579"/>
    </row>
    <row r="147" spans="1:11" ht="19.5" thickBot="1" x14ac:dyDescent="0.2">
      <c r="A147" s="2596"/>
      <c r="B147" s="2811"/>
      <c r="C147" s="2758"/>
      <c r="D147" s="567" t="s">
        <v>1376</v>
      </c>
      <c r="E147" s="983"/>
      <c r="F147" s="1270"/>
      <c r="G147" s="215">
        <f t="shared" si="10"/>
        <v>0</v>
      </c>
      <c r="H147" s="215"/>
      <c r="I147" s="215"/>
      <c r="J147" s="416"/>
      <c r="K147" s="579"/>
    </row>
    <row r="148" spans="1:11" s="9" customFormat="1" ht="13.5" customHeight="1" thickBot="1" x14ac:dyDescent="0.2">
      <c r="A148" s="2742"/>
      <c r="B148" s="2913" t="s">
        <v>12</v>
      </c>
      <c r="C148" s="2949"/>
      <c r="D148" s="2914"/>
      <c r="E148" s="1397"/>
      <c r="F148" s="1398"/>
      <c r="G148" s="1339"/>
      <c r="H148" s="1339"/>
      <c r="I148" s="1339"/>
      <c r="J148" s="1340"/>
      <c r="K148" s="668">
        <v>1</v>
      </c>
    </row>
    <row r="149" spans="1:11" ht="19.5" thickTop="1" x14ac:dyDescent="0.15"/>
    <row r="152" spans="1:11" ht="12.75" x14ac:dyDescent="0.15">
      <c r="B152" s="492"/>
      <c r="C152" s="492"/>
      <c r="D152" s="492"/>
      <c r="E152" s="492"/>
      <c r="F152" s="492"/>
    </row>
    <row r="153" spans="1:11" ht="12.75" x14ac:dyDescent="0.15">
      <c r="B153" s="492"/>
      <c r="C153" s="492"/>
      <c r="D153" s="492"/>
      <c r="E153" s="492"/>
      <c r="F153" s="492"/>
    </row>
    <row r="154" spans="1:11" ht="12.75" x14ac:dyDescent="0.15">
      <c r="B154" s="492"/>
      <c r="C154" s="492"/>
      <c r="D154" s="492"/>
      <c r="E154" s="492"/>
      <c r="F154" s="492"/>
    </row>
    <row r="155" spans="1:11" ht="12.75" x14ac:dyDescent="0.15">
      <c r="B155" s="492"/>
      <c r="C155" s="492"/>
      <c r="D155" s="492"/>
      <c r="E155" s="492"/>
      <c r="F155" s="492"/>
    </row>
    <row r="156" spans="1:11" ht="12.75" x14ac:dyDescent="0.15">
      <c r="B156" s="492"/>
      <c r="C156" s="492"/>
      <c r="D156" s="492"/>
      <c r="E156" s="492"/>
      <c r="F156" s="492"/>
    </row>
    <row r="157" spans="1:11" ht="12.75" x14ac:dyDescent="0.15">
      <c r="B157" s="492"/>
      <c r="C157" s="492"/>
      <c r="D157" s="492"/>
      <c r="E157" s="492"/>
      <c r="F157" s="492"/>
    </row>
    <row r="158" spans="1:11" ht="12.75" x14ac:dyDescent="0.15">
      <c r="B158" s="492"/>
      <c r="C158" s="492"/>
      <c r="D158" s="492"/>
      <c r="E158" s="492"/>
      <c r="F158" s="492"/>
    </row>
    <row r="159" spans="1:11" ht="12.75" x14ac:dyDescent="0.15">
      <c r="B159" s="492"/>
      <c r="C159" s="492"/>
      <c r="D159" s="492"/>
      <c r="E159" s="492"/>
      <c r="F159" s="492"/>
    </row>
    <row r="160" spans="1:11" ht="12.75" x14ac:dyDescent="0.15">
      <c r="B160" s="492"/>
      <c r="C160" s="492"/>
      <c r="D160" s="492"/>
      <c r="E160" s="492"/>
      <c r="F160" s="492"/>
    </row>
    <row r="161" spans="2:6" ht="12.75" x14ac:dyDescent="0.15">
      <c r="B161" s="492"/>
      <c r="C161" s="492"/>
      <c r="D161" s="492"/>
      <c r="E161" s="492"/>
      <c r="F161" s="492"/>
    </row>
    <row r="162" spans="2:6" ht="12.75" x14ac:dyDescent="0.15">
      <c r="B162" s="492"/>
      <c r="C162" s="492"/>
      <c r="D162" s="492"/>
      <c r="E162" s="492"/>
      <c r="F162" s="492"/>
    </row>
    <row r="163" spans="2:6" ht="12.75" x14ac:dyDescent="0.15">
      <c r="B163" s="492"/>
      <c r="C163" s="492"/>
      <c r="D163" s="492"/>
      <c r="E163" s="492"/>
      <c r="F163" s="492"/>
    </row>
    <row r="164" spans="2:6" ht="12.75" x14ac:dyDescent="0.15">
      <c r="B164" s="492"/>
      <c r="C164" s="492"/>
      <c r="D164" s="492"/>
      <c r="E164" s="492"/>
      <c r="F164" s="492"/>
    </row>
    <row r="165" spans="2:6" ht="12.75" x14ac:dyDescent="0.15">
      <c r="B165" s="492"/>
      <c r="C165" s="492"/>
      <c r="D165" s="492"/>
      <c r="E165" s="492"/>
      <c r="F165" s="492"/>
    </row>
    <row r="166" spans="2:6" ht="12.75" x14ac:dyDescent="0.15">
      <c r="B166" s="492"/>
      <c r="C166" s="492"/>
      <c r="D166" s="492"/>
      <c r="E166" s="492"/>
      <c r="F166" s="492"/>
    </row>
    <row r="167" spans="2:6" ht="12.75" x14ac:dyDescent="0.15">
      <c r="B167" s="492"/>
      <c r="C167" s="492"/>
      <c r="D167" s="492"/>
      <c r="E167" s="492"/>
      <c r="F167" s="492"/>
    </row>
    <row r="168" spans="2:6" ht="12.75" x14ac:dyDescent="0.15">
      <c r="B168" s="492"/>
      <c r="C168" s="492"/>
      <c r="D168" s="492"/>
      <c r="E168" s="492"/>
      <c r="F168" s="492"/>
    </row>
    <row r="169" spans="2:6" ht="12.75" x14ac:dyDescent="0.15">
      <c r="B169" s="492"/>
      <c r="C169" s="492"/>
      <c r="D169" s="492"/>
      <c r="E169" s="492"/>
      <c r="F169" s="492"/>
    </row>
    <row r="170" spans="2:6" ht="12.75" x14ac:dyDescent="0.15">
      <c r="B170" s="492"/>
      <c r="C170" s="492"/>
      <c r="D170" s="492"/>
      <c r="E170" s="492"/>
      <c r="F170" s="492"/>
    </row>
    <row r="171" spans="2:6" ht="12.75" x14ac:dyDescent="0.15">
      <c r="B171" s="492"/>
      <c r="C171" s="492"/>
      <c r="D171" s="492"/>
      <c r="E171" s="492"/>
      <c r="F171" s="492"/>
    </row>
    <row r="172" spans="2:6" ht="12.75" x14ac:dyDescent="0.15">
      <c r="B172" s="492"/>
      <c r="C172" s="492"/>
      <c r="D172" s="492"/>
      <c r="E172" s="492"/>
      <c r="F172" s="492"/>
    </row>
    <row r="173" spans="2:6" ht="12.75" x14ac:dyDescent="0.15">
      <c r="B173" s="492"/>
      <c r="C173" s="492"/>
      <c r="D173" s="492"/>
      <c r="E173" s="492"/>
      <c r="F173" s="492"/>
    </row>
    <row r="174" spans="2:6" ht="12.75" x14ac:dyDescent="0.15">
      <c r="B174" s="492"/>
      <c r="C174" s="492"/>
      <c r="D174" s="492"/>
      <c r="E174" s="492"/>
      <c r="F174" s="492"/>
    </row>
    <row r="175" spans="2:6" ht="12.75" x14ac:dyDescent="0.15">
      <c r="B175" s="492"/>
      <c r="C175" s="492"/>
      <c r="D175" s="492"/>
      <c r="E175" s="492"/>
      <c r="F175" s="492"/>
    </row>
    <row r="176" spans="2:6" ht="12.75" x14ac:dyDescent="0.15">
      <c r="B176" s="492"/>
      <c r="C176" s="492"/>
      <c r="D176" s="492"/>
      <c r="E176" s="492"/>
      <c r="F176" s="492"/>
    </row>
    <row r="177" spans="2:6" ht="12.75" x14ac:dyDescent="0.15">
      <c r="B177" s="492"/>
      <c r="C177" s="492"/>
      <c r="D177" s="492"/>
      <c r="E177" s="492"/>
      <c r="F177" s="492"/>
    </row>
    <row r="178" spans="2:6" ht="12.75" x14ac:dyDescent="0.15">
      <c r="B178" s="492"/>
      <c r="C178" s="492"/>
      <c r="D178" s="492"/>
      <c r="E178" s="492"/>
      <c r="F178" s="492"/>
    </row>
    <row r="179" spans="2:6" ht="12.75" x14ac:dyDescent="0.15">
      <c r="B179" s="492"/>
      <c r="C179" s="492"/>
      <c r="D179" s="492"/>
      <c r="E179" s="492"/>
      <c r="F179" s="492"/>
    </row>
  </sheetData>
  <autoFilter ref="K1:K149" xr:uid="{00000000-0009-0000-0000-00001E000000}"/>
  <mergeCells count="34">
    <mergeCell ref="N90:O90"/>
    <mergeCell ref="P90:Q90"/>
    <mergeCell ref="B83:B99"/>
    <mergeCell ref="C26:C32"/>
    <mergeCell ref="C33:C38"/>
    <mergeCell ref="C39:C44"/>
    <mergeCell ref="B26:B51"/>
    <mergeCell ref="C45:C51"/>
    <mergeCell ref="B8:C9"/>
    <mergeCell ref="B113:C130"/>
    <mergeCell ref="B131:C147"/>
    <mergeCell ref="B22:C25"/>
    <mergeCell ref="L90:M90"/>
    <mergeCell ref="B100:C104"/>
    <mergeCell ref="C95:C99"/>
    <mergeCell ref="C90:C94"/>
    <mergeCell ref="B16:C18"/>
    <mergeCell ref="B19:C21"/>
    <mergeCell ref="B148:D148"/>
    <mergeCell ref="A1:A148"/>
    <mergeCell ref="B1:D1"/>
    <mergeCell ref="B5:C6"/>
    <mergeCell ref="B2:D2"/>
    <mergeCell ref="B7:D7"/>
    <mergeCell ref="B52:D52"/>
    <mergeCell ref="B53:C74"/>
    <mergeCell ref="C83:C89"/>
    <mergeCell ref="B79:C82"/>
    <mergeCell ref="B105:C109"/>
    <mergeCell ref="B110:C112"/>
    <mergeCell ref="B3:D3"/>
    <mergeCell ref="B4:D4"/>
    <mergeCell ref="B75:C78"/>
    <mergeCell ref="B10:C15"/>
  </mergeCells>
  <conditionalFormatting sqref="G75:I75">
    <cfRule type="expression" dxfId="24" priority="7">
      <formula>G$75+G$79&lt;&gt;G$53</formula>
    </cfRule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65" orientation="landscape" r:id="rId1"/>
  <headerFooter>
    <oddFooter>&amp;L&amp;"Arial,Normal"&amp;8&amp;F&amp;C&amp;"Arial,Normal"&amp;8&amp;P/&amp;N&amp;R&amp;"Arial,Normal"&amp;8Ricardo Schettini Figueiredo
Eng. Civil - CREA-RJ 52.656/D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C0831-4582-4742-B4D4-66DF615BF366}">
  <sheetPr>
    <pageSetUpPr fitToPage="1"/>
  </sheetPr>
  <dimension ref="A1:K44"/>
  <sheetViews>
    <sheetView showZeros="0" topLeftCell="B1" workbookViewId="0">
      <pane ySplit="9" topLeftCell="A10" activePane="bottomLeft" state="frozen"/>
      <selection activeCell="B1" sqref="B1"/>
      <selection pane="bottomLeft" activeCell="K44" sqref="K44"/>
    </sheetView>
  </sheetViews>
  <sheetFormatPr defaultColWidth="9" defaultRowHeight="15" x14ac:dyDescent="0.15"/>
  <cols>
    <col min="1" max="1" width="0" style="2296" hidden="1" customWidth="1"/>
    <col min="2" max="6" width="10.625" style="2296" customWidth="1"/>
    <col min="7" max="8" width="12.5" style="2296" customWidth="1"/>
    <col min="9" max="10" width="13.125" style="2296" customWidth="1"/>
    <col min="11" max="16384" width="9" style="2296"/>
  </cols>
  <sheetData>
    <row r="1" spans="1:10" ht="20.25" customHeight="1" thickBot="1" x14ac:dyDescent="0.2">
      <c r="B1" s="2990" t="s">
        <v>2703</v>
      </c>
      <c r="C1" s="2991"/>
      <c r="D1" s="2991"/>
      <c r="E1" s="2991"/>
      <c r="F1" s="2991"/>
      <c r="G1" s="2991"/>
      <c r="H1" s="2991"/>
      <c r="I1" s="2991"/>
      <c r="J1" s="2992"/>
    </row>
    <row r="2" spans="1:10" ht="24.75" customHeight="1" thickTop="1" x14ac:dyDescent="0.15">
      <c r="A2" s="2995"/>
      <c r="B2" s="2998" t="s">
        <v>163</v>
      </c>
      <c r="C2" s="2999"/>
      <c r="D2" s="2993" t="s">
        <v>2702</v>
      </c>
      <c r="E2" s="2999"/>
      <c r="F2" s="3000" t="s">
        <v>2701</v>
      </c>
      <c r="G2" s="2993" t="s">
        <v>2700</v>
      </c>
      <c r="H2" s="2999"/>
      <c r="I2" s="2993" t="s">
        <v>2699</v>
      </c>
      <c r="J2" s="2994"/>
    </row>
    <row r="3" spans="1:10" ht="43.5" customHeight="1" thickBot="1" x14ac:dyDescent="0.2">
      <c r="A3" s="2996"/>
      <c r="B3" s="2317" t="s">
        <v>2698</v>
      </c>
      <c r="C3" s="2316" t="s">
        <v>2697</v>
      </c>
      <c r="D3" s="2315" t="s">
        <v>293</v>
      </c>
      <c r="E3" s="2315" t="s">
        <v>28</v>
      </c>
      <c r="F3" s="3001"/>
      <c r="G3" s="2315" t="s">
        <v>293</v>
      </c>
      <c r="H3" s="2315" t="s">
        <v>28</v>
      </c>
      <c r="I3" s="2315" t="s">
        <v>293</v>
      </c>
      <c r="J3" s="2315" t="s">
        <v>28</v>
      </c>
    </row>
    <row r="4" spans="1:10" ht="24.75" hidden="1" customHeight="1" x14ac:dyDescent="0.15">
      <c r="A4" s="2996"/>
      <c r="B4" s="2314">
        <v>0</v>
      </c>
      <c r="C4" s="2313"/>
      <c r="D4" s="2302"/>
      <c r="E4" s="2312">
        <v>0</v>
      </c>
      <c r="F4" s="2311"/>
      <c r="G4" s="2311"/>
      <c r="H4" s="2311"/>
      <c r="I4" s="2311"/>
      <c r="J4" s="2310"/>
    </row>
    <row r="5" spans="1:10" ht="24.75" hidden="1" customHeight="1" x14ac:dyDescent="0.15">
      <c r="A5" s="2996"/>
      <c r="B5" s="2304">
        <v>1</v>
      </c>
      <c r="C5" s="2309"/>
      <c r="D5" s="2302"/>
      <c r="E5" s="2302"/>
      <c r="F5" s="2302">
        <f>+(B5*10+C5-(B4*10+C4))/2</f>
        <v>5</v>
      </c>
      <c r="G5" s="2301">
        <f t="shared" ref="G5:G42" si="0">+(D5+D4)*$F5</f>
        <v>0</v>
      </c>
      <c r="H5" s="2301">
        <f t="shared" ref="H5:H42" si="1">+(E5+E4)*$F5</f>
        <v>0</v>
      </c>
      <c r="I5" s="2301">
        <f t="shared" ref="I5:I42" si="2">+I4+G5</f>
        <v>0</v>
      </c>
      <c r="J5" s="2305">
        <f t="shared" ref="J5:J42" si="3">+J4+H5</f>
        <v>0</v>
      </c>
    </row>
    <row r="6" spans="1:10" ht="24.75" hidden="1" customHeight="1" x14ac:dyDescent="0.15">
      <c r="A6" s="2996"/>
      <c r="B6" s="2304">
        <v>1</v>
      </c>
      <c r="C6" s="2309"/>
      <c r="D6" s="2302"/>
      <c r="E6" s="2302"/>
      <c r="F6" s="2302">
        <f>+(B6*10+C6-(B5*10+C5))/2</f>
        <v>0</v>
      </c>
      <c r="G6" s="2301">
        <f t="shared" si="0"/>
        <v>0</v>
      </c>
      <c r="H6" s="2301">
        <f t="shared" si="1"/>
        <v>0</v>
      </c>
      <c r="I6" s="2301">
        <f t="shared" si="2"/>
        <v>0</v>
      </c>
      <c r="J6" s="2305">
        <f t="shared" si="3"/>
        <v>0</v>
      </c>
    </row>
    <row r="7" spans="1:10" ht="24.75" hidden="1" customHeight="1" x14ac:dyDescent="0.15">
      <c r="A7" s="2996"/>
      <c r="B7" s="2304">
        <v>2</v>
      </c>
      <c r="C7" s="2306"/>
      <c r="D7" s="2302"/>
      <c r="E7" s="2302"/>
      <c r="F7" s="2302">
        <f>+(B7*10+C7-(B6*10+C6))/2</f>
        <v>5</v>
      </c>
      <c r="G7" s="2301">
        <f t="shared" si="0"/>
        <v>0</v>
      </c>
      <c r="H7" s="2301">
        <f t="shared" si="1"/>
        <v>0</v>
      </c>
      <c r="I7" s="2301">
        <f t="shared" si="2"/>
        <v>0</v>
      </c>
      <c r="J7" s="2305">
        <f t="shared" si="3"/>
        <v>0</v>
      </c>
    </row>
    <row r="8" spans="1:10" ht="24.75" hidden="1" customHeight="1" x14ac:dyDescent="0.15">
      <c r="A8" s="2996"/>
      <c r="B8" s="2304">
        <v>3</v>
      </c>
      <c r="C8" s="2306"/>
      <c r="D8" s="2302"/>
      <c r="E8" s="2302"/>
      <c r="F8" s="2302">
        <f>+(B8*10+C8-(B7*10+C7))/2</f>
        <v>5</v>
      </c>
      <c r="G8" s="2301">
        <f t="shared" si="0"/>
        <v>0</v>
      </c>
      <c r="H8" s="2301">
        <f t="shared" si="1"/>
        <v>0</v>
      </c>
      <c r="I8" s="2301">
        <f t="shared" si="2"/>
        <v>0</v>
      </c>
      <c r="J8" s="2305">
        <f t="shared" si="3"/>
        <v>0</v>
      </c>
    </row>
    <row r="9" spans="1:10" ht="24.75" hidden="1" customHeight="1" x14ac:dyDescent="0.15">
      <c r="A9" s="2996"/>
      <c r="B9" s="2304">
        <v>4</v>
      </c>
      <c r="C9" s="2306"/>
      <c r="D9" s="2308"/>
      <c r="E9" s="2302"/>
      <c r="F9" s="2302">
        <f>+(B9*10+C9-(B8*10+C8))/2</f>
        <v>5</v>
      </c>
      <c r="G9" s="2301">
        <f t="shared" si="0"/>
        <v>0</v>
      </c>
      <c r="H9" s="2301">
        <f t="shared" si="1"/>
        <v>0</v>
      </c>
      <c r="I9" s="2301">
        <f t="shared" si="2"/>
        <v>0</v>
      </c>
      <c r="J9" s="2305">
        <f t="shared" si="3"/>
        <v>0</v>
      </c>
    </row>
    <row r="10" spans="1:10" ht="24.75" customHeight="1" x14ac:dyDescent="0.15">
      <c r="A10" s="2996"/>
      <c r="B10" s="2304">
        <v>5</v>
      </c>
      <c r="C10" s="2306"/>
      <c r="D10" s="2307">
        <v>1.1100000000000001</v>
      </c>
      <c r="E10" s="2302">
        <v>0.25</v>
      </c>
      <c r="F10" s="2302">
        <f t="shared" ref="F10:F42" si="4">+(B10*20+C10-(B9*20+C9))/2</f>
        <v>10</v>
      </c>
      <c r="G10" s="2301">
        <f t="shared" si="0"/>
        <v>11.100000000000001</v>
      </c>
      <c r="H10" s="2301">
        <f t="shared" si="1"/>
        <v>2.5</v>
      </c>
      <c r="I10" s="2301">
        <f t="shared" si="2"/>
        <v>11.100000000000001</v>
      </c>
      <c r="J10" s="2305">
        <f t="shared" si="3"/>
        <v>2.5</v>
      </c>
    </row>
    <row r="11" spans="1:10" ht="24.75" customHeight="1" x14ac:dyDescent="0.15">
      <c r="A11" s="2996"/>
      <c r="B11" s="2304">
        <v>6</v>
      </c>
      <c r="C11" s="2306"/>
      <c r="D11" s="2307">
        <v>0.66</v>
      </c>
      <c r="E11" s="2302">
        <v>3.28</v>
      </c>
      <c r="F11" s="2302">
        <f t="shared" si="4"/>
        <v>10</v>
      </c>
      <c r="G11" s="2301">
        <f t="shared" si="0"/>
        <v>17.7</v>
      </c>
      <c r="H11" s="2301">
        <f t="shared" si="1"/>
        <v>35.299999999999997</v>
      </c>
      <c r="I11" s="2301">
        <f t="shared" si="2"/>
        <v>28.8</v>
      </c>
      <c r="J11" s="2305">
        <f t="shared" si="3"/>
        <v>37.799999999999997</v>
      </c>
    </row>
    <row r="12" spans="1:10" ht="24.75" customHeight="1" x14ac:dyDescent="0.15">
      <c r="A12" s="2996"/>
      <c r="B12" s="2304">
        <v>7</v>
      </c>
      <c r="C12" s="2306"/>
      <c r="D12" s="2302"/>
      <c r="E12" s="2307">
        <v>10.16</v>
      </c>
      <c r="F12" s="2302">
        <f t="shared" si="4"/>
        <v>10</v>
      </c>
      <c r="G12" s="2301">
        <f t="shared" si="0"/>
        <v>6.6000000000000005</v>
      </c>
      <c r="H12" s="2301">
        <f t="shared" si="1"/>
        <v>134.4</v>
      </c>
      <c r="I12" s="2301">
        <f t="shared" si="2"/>
        <v>35.4</v>
      </c>
      <c r="J12" s="2305">
        <f t="shared" si="3"/>
        <v>172.2</v>
      </c>
    </row>
    <row r="13" spans="1:10" ht="24.75" customHeight="1" x14ac:dyDescent="0.15">
      <c r="A13" s="2996"/>
      <c r="B13" s="2304">
        <v>8</v>
      </c>
      <c r="C13" s="2306"/>
      <c r="D13" s="2302">
        <v>0.99</v>
      </c>
      <c r="E13" s="2302">
        <v>8.99</v>
      </c>
      <c r="F13" s="2302">
        <f t="shared" si="4"/>
        <v>10</v>
      </c>
      <c r="G13" s="2301">
        <f t="shared" si="0"/>
        <v>9.9</v>
      </c>
      <c r="H13" s="2301">
        <f t="shared" si="1"/>
        <v>191.5</v>
      </c>
      <c r="I13" s="2301">
        <f t="shared" si="2"/>
        <v>45.3</v>
      </c>
      <c r="J13" s="2305">
        <f t="shared" si="3"/>
        <v>363.7</v>
      </c>
    </row>
    <row r="14" spans="1:10" ht="24.75" customHeight="1" x14ac:dyDescent="0.15">
      <c r="A14" s="2996"/>
      <c r="B14" s="2304">
        <v>9</v>
      </c>
      <c r="C14" s="2306"/>
      <c r="D14" s="2302">
        <v>1.1100000000000001</v>
      </c>
      <c r="E14" s="2302">
        <v>16.43</v>
      </c>
      <c r="F14" s="2302">
        <f t="shared" si="4"/>
        <v>10</v>
      </c>
      <c r="G14" s="2301">
        <f t="shared" si="0"/>
        <v>21</v>
      </c>
      <c r="H14" s="2301">
        <f t="shared" si="1"/>
        <v>254.20000000000002</v>
      </c>
      <c r="I14" s="2301">
        <f t="shared" si="2"/>
        <v>66.3</v>
      </c>
      <c r="J14" s="2305">
        <f t="shared" si="3"/>
        <v>617.9</v>
      </c>
    </row>
    <row r="15" spans="1:10" ht="24.75" customHeight="1" x14ac:dyDescent="0.15">
      <c r="A15" s="2996"/>
      <c r="B15" s="2304">
        <v>10</v>
      </c>
      <c r="C15" s="2306"/>
      <c r="D15" s="2302">
        <v>0.48</v>
      </c>
      <c r="E15" s="2302">
        <v>20.45</v>
      </c>
      <c r="F15" s="2302">
        <f t="shared" si="4"/>
        <v>10</v>
      </c>
      <c r="G15" s="2301">
        <f t="shared" si="0"/>
        <v>15.9</v>
      </c>
      <c r="H15" s="2301">
        <f t="shared" si="1"/>
        <v>368.79999999999995</v>
      </c>
      <c r="I15" s="2301">
        <f t="shared" si="2"/>
        <v>82.2</v>
      </c>
      <c r="J15" s="2305">
        <f t="shared" si="3"/>
        <v>986.69999999999993</v>
      </c>
    </row>
    <row r="16" spans="1:10" ht="24.75" customHeight="1" x14ac:dyDescent="0.15">
      <c r="A16" s="2996"/>
      <c r="B16" s="2304">
        <v>11</v>
      </c>
      <c r="C16" s="2306"/>
      <c r="D16" s="2302">
        <v>0.19</v>
      </c>
      <c r="E16" s="2302">
        <v>25.99</v>
      </c>
      <c r="F16" s="2302">
        <f t="shared" si="4"/>
        <v>10</v>
      </c>
      <c r="G16" s="2301">
        <f t="shared" si="0"/>
        <v>6.6999999999999993</v>
      </c>
      <c r="H16" s="2301">
        <f t="shared" si="1"/>
        <v>464.4</v>
      </c>
      <c r="I16" s="2301">
        <f t="shared" si="2"/>
        <v>88.9</v>
      </c>
      <c r="J16" s="2305">
        <f t="shared" si="3"/>
        <v>1451.1</v>
      </c>
    </row>
    <row r="17" spans="1:10" ht="24.75" customHeight="1" x14ac:dyDescent="0.15">
      <c r="A17" s="2996"/>
      <c r="B17" s="2304">
        <v>12</v>
      </c>
      <c r="C17" s="2303"/>
      <c r="D17" s="2302"/>
      <c r="E17" s="2302"/>
      <c r="F17" s="2302">
        <f t="shared" si="4"/>
        <v>10</v>
      </c>
      <c r="G17" s="2301">
        <f t="shared" si="0"/>
        <v>1.9</v>
      </c>
      <c r="H17" s="2301">
        <f t="shared" si="1"/>
        <v>259.89999999999998</v>
      </c>
      <c r="I17" s="2301">
        <f t="shared" si="2"/>
        <v>90.800000000000011</v>
      </c>
      <c r="J17" s="2305">
        <f t="shared" si="3"/>
        <v>1711</v>
      </c>
    </row>
    <row r="18" spans="1:10" ht="24.75" customHeight="1" x14ac:dyDescent="0.15">
      <c r="A18" s="2996"/>
      <c r="B18" s="2304">
        <v>13</v>
      </c>
      <c r="C18" s="2306"/>
      <c r="D18" s="2307">
        <v>0.18</v>
      </c>
      <c r="E18" s="2307">
        <v>7.2122999999999999</v>
      </c>
      <c r="F18" s="2302">
        <f t="shared" si="4"/>
        <v>10</v>
      </c>
      <c r="G18" s="2301">
        <f t="shared" si="0"/>
        <v>1.7999999999999998</v>
      </c>
      <c r="H18" s="2301">
        <f t="shared" si="1"/>
        <v>72.123000000000005</v>
      </c>
      <c r="I18" s="2301">
        <f t="shared" si="2"/>
        <v>92.600000000000009</v>
      </c>
      <c r="J18" s="2305">
        <f t="shared" si="3"/>
        <v>1783.123</v>
      </c>
    </row>
    <row r="19" spans="1:10" ht="24.75" customHeight="1" x14ac:dyDescent="0.15">
      <c r="A19" s="2996"/>
      <c r="B19" s="2304">
        <v>14</v>
      </c>
      <c r="C19" s="2306"/>
      <c r="D19" s="2307">
        <v>1.49</v>
      </c>
      <c r="E19" s="2307">
        <v>5.0789999999999997</v>
      </c>
      <c r="F19" s="2302">
        <f t="shared" si="4"/>
        <v>10</v>
      </c>
      <c r="G19" s="2301">
        <f t="shared" si="0"/>
        <v>16.7</v>
      </c>
      <c r="H19" s="2301">
        <f t="shared" si="1"/>
        <v>122.913</v>
      </c>
      <c r="I19" s="2301">
        <f t="shared" si="2"/>
        <v>109.30000000000001</v>
      </c>
      <c r="J19" s="2305">
        <f t="shared" si="3"/>
        <v>1906.0360000000001</v>
      </c>
    </row>
    <row r="20" spans="1:10" ht="24.75" customHeight="1" x14ac:dyDescent="0.15">
      <c r="A20" s="2996"/>
      <c r="B20" s="2304">
        <v>15</v>
      </c>
      <c r="C20" s="2306"/>
      <c r="D20" s="2302">
        <v>0.11</v>
      </c>
      <c r="E20" s="2307">
        <v>11.05</v>
      </c>
      <c r="F20" s="2302">
        <f t="shared" si="4"/>
        <v>10</v>
      </c>
      <c r="G20" s="2301">
        <f t="shared" si="0"/>
        <v>16</v>
      </c>
      <c r="H20" s="2301">
        <f t="shared" si="1"/>
        <v>161.29000000000002</v>
      </c>
      <c r="I20" s="2301">
        <f t="shared" si="2"/>
        <v>125.30000000000001</v>
      </c>
      <c r="J20" s="2305">
        <f t="shared" si="3"/>
        <v>2067.326</v>
      </c>
    </row>
    <row r="21" spans="1:10" ht="24.75" customHeight="1" x14ac:dyDescent="0.15">
      <c r="A21" s="2996"/>
      <c r="B21" s="2304">
        <v>16</v>
      </c>
      <c r="C21" s="2306"/>
      <c r="D21" s="2302"/>
      <c r="E21" s="2307">
        <v>16.25</v>
      </c>
      <c r="F21" s="2302">
        <f t="shared" si="4"/>
        <v>10</v>
      </c>
      <c r="G21" s="2301">
        <f t="shared" si="0"/>
        <v>1.1000000000000001</v>
      </c>
      <c r="H21" s="2301">
        <f t="shared" si="1"/>
        <v>273</v>
      </c>
      <c r="I21" s="2301">
        <f t="shared" si="2"/>
        <v>126.4</v>
      </c>
      <c r="J21" s="2305">
        <f t="shared" si="3"/>
        <v>2340.326</v>
      </c>
    </row>
    <row r="22" spans="1:10" ht="24.75" customHeight="1" x14ac:dyDescent="0.15">
      <c r="A22" s="2996"/>
      <c r="B22" s="2304">
        <v>17</v>
      </c>
      <c r="C22" s="2306"/>
      <c r="D22" s="2307"/>
      <c r="E22" s="2302">
        <v>16.71</v>
      </c>
      <c r="F22" s="2302">
        <f t="shared" si="4"/>
        <v>10</v>
      </c>
      <c r="G22" s="2301">
        <f t="shared" si="0"/>
        <v>0</v>
      </c>
      <c r="H22" s="2301">
        <f t="shared" si="1"/>
        <v>329.6</v>
      </c>
      <c r="I22" s="2301">
        <f t="shared" si="2"/>
        <v>126.4</v>
      </c>
      <c r="J22" s="2305">
        <f t="shared" si="3"/>
        <v>2669.9259999999999</v>
      </c>
    </row>
    <row r="23" spans="1:10" ht="24.75" customHeight="1" x14ac:dyDescent="0.15">
      <c r="A23" s="2996"/>
      <c r="B23" s="2304">
        <v>18</v>
      </c>
      <c r="C23" s="2306"/>
      <c r="D23" s="2302"/>
      <c r="E23" s="2302">
        <v>16.55</v>
      </c>
      <c r="F23" s="2302">
        <f t="shared" si="4"/>
        <v>10</v>
      </c>
      <c r="G23" s="2301">
        <f t="shared" si="0"/>
        <v>0</v>
      </c>
      <c r="H23" s="2301">
        <f t="shared" si="1"/>
        <v>332.6</v>
      </c>
      <c r="I23" s="2301">
        <f t="shared" si="2"/>
        <v>126.4</v>
      </c>
      <c r="J23" s="2305">
        <f t="shared" si="3"/>
        <v>3002.5259999999998</v>
      </c>
    </row>
    <row r="24" spans="1:10" ht="24.75" customHeight="1" x14ac:dyDescent="0.15">
      <c r="A24" s="2996"/>
      <c r="B24" s="2304">
        <v>19</v>
      </c>
      <c r="C24" s="2306"/>
      <c r="D24" s="2302"/>
      <c r="E24" s="2302">
        <v>16.82</v>
      </c>
      <c r="F24" s="2302">
        <f t="shared" si="4"/>
        <v>10</v>
      </c>
      <c r="G24" s="2301">
        <f t="shared" si="0"/>
        <v>0</v>
      </c>
      <c r="H24" s="2301">
        <f t="shared" si="1"/>
        <v>333.70000000000005</v>
      </c>
      <c r="I24" s="2301">
        <f t="shared" si="2"/>
        <v>126.4</v>
      </c>
      <c r="J24" s="2305">
        <f t="shared" si="3"/>
        <v>3336.2259999999997</v>
      </c>
    </row>
    <row r="25" spans="1:10" ht="24.75" customHeight="1" x14ac:dyDescent="0.15">
      <c r="A25" s="2996"/>
      <c r="B25" s="2304">
        <v>20</v>
      </c>
      <c r="C25" s="2306"/>
      <c r="D25" s="2302"/>
      <c r="E25" s="2307">
        <v>17.66</v>
      </c>
      <c r="F25" s="2302">
        <f t="shared" si="4"/>
        <v>10</v>
      </c>
      <c r="G25" s="2301">
        <f t="shared" si="0"/>
        <v>0</v>
      </c>
      <c r="H25" s="2301">
        <f t="shared" si="1"/>
        <v>344.80000000000007</v>
      </c>
      <c r="I25" s="2301">
        <f t="shared" si="2"/>
        <v>126.4</v>
      </c>
      <c r="J25" s="2305">
        <f t="shared" si="3"/>
        <v>3681.0259999999998</v>
      </c>
    </row>
    <row r="26" spans="1:10" ht="24.75" customHeight="1" x14ac:dyDescent="0.15">
      <c r="A26" s="2996"/>
      <c r="B26" s="2304">
        <v>21</v>
      </c>
      <c r="C26" s="2306"/>
      <c r="D26" s="2302">
        <v>0.27</v>
      </c>
      <c r="E26" s="2302">
        <v>17.940000000000001</v>
      </c>
      <c r="F26" s="2302">
        <f t="shared" si="4"/>
        <v>10</v>
      </c>
      <c r="G26" s="2301">
        <f t="shared" si="0"/>
        <v>2.7</v>
      </c>
      <c r="H26" s="2301">
        <f t="shared" si="1"/>
        <v>356</v>
      </c>
      <c r="I26" s="2301">
        <f t="shared" si="2"/>
        <v>129.1</v>
      </c>
      <c r="J26" s="2305">
        <f t="shared" si="3"/>
        <v>4037.0259999999998</v>
      </c>
    </row>
    <row r="27" spans="1:10" ht="24.75" customHeight="1" x14ac:dyDescent="0.15">
      <c r="A27" s="2996"/>
      <c r="B27" s="2304">
        <v>22</v>
      </c>
      <c r="C27" s="2303"/>
      <c r="D27" s="2302"/>
      <c r="E27" s="2302">
        <v>18.45</v>
      </c>
      <c r="F27" s="2302">
        <f t="shared" si="4"/>
        <v>10</v>
      </c>
      <c r="G27" s="2301">
        <f t="shared" si="0"/>
        <v>2.7</v>
      </c>
      <c r="H27" s="2301">
        <f t="shared" si="1"/>
        <v>363.9</v>
      </c>
      <c r="I27" s="2301">
        <f t="shared" si="2"/>
        <v>131.79999999999998</v>
      </c>
      <c r="J27" s="2305">
        <f t="shared" si="3"/>
        <v>4400.9259999999995</v>
      </c>
    </row>
    <row r="28" spans="1:10" ht="24.75" customHeight="1" x14ac:dyDescent="0.15">
      <c r="A28" s="2996"/>
      <c r="B28" s="2304">
        <v>23</v>
      </c>
      <c r="C28" s="2306"/>
      <c r="D28" s="2302"/>
      <c r="E28" s="2302">
        <v>14.86</v>
      </c>
      <c r="F28" s="2302">
        <f t="shared" si="4"/>
        <v>10</v>
      </c>
      <c r="G28" s="2301">
        <f t="shared" si="0"/>
        <v>0</v>
      </c>
      <c r="H28" s="2301">
        <f t="shared" si="1"/>
        <v>333.1</v>
      </c>
      <c r="I28" s="2301">
        <f t="shared" si="2"/>
        <v>131.79999999999998</v>
      </c>
      <c r="J28" s="2305">
        <f t="shared" si="3"/>
        <v>4734.0259999999998</v>
      </c>
    </row>
    <row r="29" spans="1:10" ht="24.75" customHeight="1" x14ac:dyDescent="0.15">
      <c r="A29" s="2996"/>
      <c r="B29" s="2304">
        <v>24</v>
      </c>
      <c r="C29" s="2306"/>
      <c r="D29" s="2302"/>
      <c r="E29" s="2302">
        <v>18.059999999999999</v>
      </c>
      <c r="F29" s="2302">
        <f t="shared" si="4"/>
        <v>10</v>
      </c>
      <c r="G29" s="2301">
        <f t="shared" si="0"/>
        <v>0</v>
      </c>
      <c r="H29" s="2301">
        <f t="shared" si="1"/>
        <v>329.20000000000005</v>
      </c>
      <c r="I29" s="2301">
        <f t="shared" si="2"/>
        <v>131.79999999999998</v>
      </c>
      <c r="J29" s="2305">
        <f t="shared" si="3"/>
        <v>5063.2259999999997</v>
      </c>
    </row>
    <row r="30" spans="1:10" ht="24.75" customHeight="1" x14ac:dyDescent="0.15">
      <c r="A30" s="2996"/>
      <c r="B30" s="2304">
        <v>25</v>
      </c>
      <c r="C30" s="2306"/>
      <c r="D30" s="2302"/>
      <c r="E30" s="2307">
        <v>18.41</v>
      </c>
      <c r="F30" s="2302">
        <f t="shared" si="4"/>
        <v>10</v>
      </c>
      <c r="G30" s="2301">
        <f t="shared" si="0"/>
        <v>0</v>
      </c>
      <c r="H30" s="2301">
        <f t="shared" si="1"/>
        <v>364.7</v>
      </c>
      <c r="I30" s="2301">
        <f t="shared" si="2"/>
        <v>131.79999999999998</v>
      </c>
      <c r="J30" s="2305">
        <f t="shared" si="3"/>
        <v>5427.9259999999995</v>
      </c>
    </row>
    <row r="31" spans="1:10" ht="24.75" customHeight="1" x14ac:dyDescent="0.15">
      <c r="A31" s="2996"/>
      <c r="B31" s="2304">
        <v>26</v>
      </c>
      <c r="C31" s="2306"/>
      <c r="D31" s="2302"/>
      <c r="E31" s="2302">
        <v>17.29</v>
      </c>
      <c r="F31" s="2302">
        <f t="shared" si="4"/>
        <v>10</v>
      </c>
      <c r="G31" s="2301">
        <f t="shared" si="0"/>
        <v>0</v>
      </c>
      <c r="H31" s="2301">
        <f t="shared" si="1"/>
        <v>357</v>
      </c>
      <c r="I31" s="2301">
        <f t="shared" si="2"/>
        <v>131.79999999999998</v>
      </c>
      <c r="J31" s="2305">
        <f t="shared" si="3"/>
        <v>5784.9259999999995</v>
      </c>
    </row>
    <row r="32" spans="1:10" ht="24.75" customHeight="1" x14ac:dyDescent="0.15">
      <c r="A32" s="2996"/>
      <c r="B32" s="2304">
        <v>27</v>
      </c>
      <c r="C32" s="2303"/>
      <c r="D32" s="2302"/>
      <c r="E32" s="2302">
        <v>15.06</v>
      </c>
      <c r="F32" s="2302">
        <f t="shared" si="4"/>
        <v>10</v>
      </c>
      <c r="G32" s="2301">
        <f t="shared" si="0"/>
        <v>0</v>
      </c>
      <c r="H32" s="2301">
        <f t="shared" si="1"/>
        <v>323.5</v>
      </c>
      <c r="I32" s="2301">
        <f t="shared" si="2"/>
        <v>131.79999999999998</v>
      </c>
      <c r="J32" s="2305">
        <f t="shared" si="3"/>
        <v>6108.4259999999995</v>
      </c>
    </row>
    <row r="33" spans="1:11" ht="24.75" customHeight="1" x14ac:dyDescent="0.15">
      <c r="A33" s="2996"/>
      <c r="B33" s="2304">
        <v>28</v>
      </c>
      <c r="C33" s="2306"/>
      <c r="D33" s="2302"/>
      <c r="E33" s="2302">
        <v>15.18</v>
      </c>
      <c r="F33" s="2302">
        <f t="shared" si="4"/>
        <v>10</v>
      </c>
      <c r="G33" s="2301">
        <f t="shared" si="0"/>
        <v>0</v>
      </c>
      <c r="H33" s="2301">
        <f t="shared" si="1"/>
        <v>302.40000000000003</v>
      </c>
      <c r="I33" s="2301">
        <f t="shared" si="2"/>
        <v>131.79999999999998</v>
      </c>
      <c r="J33" s="2305">
        <f t="shared" si="3"/>
        <v>6410.8259999999991</v>
      </c>
    </row>
    <row r="34" spans="1:11" ht="24.75" customHeight="1" x14ac:dyDescent="0.15">
      <c r="A34" s="2996"/>
      <c r="B34" s="2304">
        <v>28</v>
      </c>
      <c r="C34" s="2306">
        <v>10.362</v>
      </c>
      <c r="D34" s="2302">
        <v>7.0000000000000007E-2</v>
      </c>
      <c r="E34" s="2302">
        <v>9.66</v>
      </c>
      <c r="F34" s="2302">
        <f t="shared" si="4"/>
        <v>5.1809999999999832</v>
      </c>
      <c r="G34" s="2301">
        <f t="shared" si="0"/>
        <v>0.36266999999999888</v>
      </c>
      <c r="H34" s="2301">
        <f t="shared" si="1"/>
        <v>128.69603999999958</v>
      </c>
      <c r="I34" s="2301">
        <f t="shared" si="2"/>
        <v>132.16266999999999</v>
      </c>
      <c r="J34" s="2305">
        <f t="shared" si="3"/>
        <v>6539.5220399999989</v>
      </c>
    </row>
    <row r="35" spans="1:11" ht="24.75" customHeight="1" x14ac:dyDescent="0.15">
      <c r="A35" s="2996"/>
      <c r="B35" s="2304">
        <v>29</v>
      </c>
      <c r="C35" s="2306"/>
      <c r="D35" s="2302">
        <v>0</v>
      </c>
      <c r="E35" s="2307"/>
      <c r="F35" s="2302">
        <f t="shared" si="4"/>
        <v>4.8190000000000168</v>
      </c>
      <c r="G35" s="2301">
        <f t="shared" si="0"/>
        <v>0.33733000000000118</v>
      </c>
      <c r="H35" s="2301">
        <f t="shared" si="1"/>
        <v>46.551540000000166</v>
      </c>
      <c r="I35" s="2301">
        <f t="shared" si="2"/>
        <v>132.5</v>
      </c>
      <c r="J35" s="2305">
        <f t="shared" si="3"/>
        <v>6586.0735799999993</v>
      </c>
    </row>
    <row r="36" spans="1:11" ht="24.75" customHeight="1" x14ac:dyDescent="0.15">
      <c r="A36" s="2996"/>
      <c r="B36" s="2304">
        <v>30</v>
      </c>
      <c r="C36" s="2306"/>
      <c r="D36" s="2302">
        <v>1.9</v>
      </c>
      <c r="E36" s="2302">
        <v>11.56</v>
      </c>
      <c r="F36" s="2302">
        <f t="shared" si="4"/>
        <v>10</v>
      </c>
      <c r="G36" s="2301">
        <f t="shared" si="0"/>
        <v>19</v>
      </c>
      <c r="H36" s="2301">
        <f t="shared" si="1"/>
        <v>115.60000000000001</v>
      </c>
      <c r="I36" s="2301">
        <f t="shared" si="2"/>
        <v>151.5</v>
      </c>
      <c r="J36" s="2305">
        <f t="shared" si="3"/>
        <v>6701.6735799999997</v>
      </c>
    </row>
    <row r="37" spans="1:11" ht="24.75" customHeight="1" x14ac:dyDescent="0.15">
      <c r="A37" s="2996"/>
      <c r="B37" s="2304">
        <v>31</v>
      </c>
      <c r="C37" s="2306"/>
      <c r="D37" s="2302">
        <v>0.67</v>
      </c>
      <c r="E37" s="2302">
        <v>22.27</v>
      </c>
      <c r="F37" s="2302">
        <f t="shared" si="4"/>
        <v>10</v>
      </c>
      <c r="G37" s="2301">
        <f t="shared" si="0"/>
        <v>25.7</v>
      </c>
      <c r="H37" s="2301">
        <f t="shared" si="1"/>
        <v>338.29999999999995</v>
      </c>
      <c r="I37" s="2301">
        <f t="shared" si="2"/>
        <v>177.2</v>
      </c>
      <c r="J37" s="2305">
        <f t="shared" si="3"/>
        <v>7039.9735799999999</v>
      </c>
    </row>
    <row r="38" spans="1:11" ht="24.75" customHeight="1" x14ac:dyDescent="0.15">
      <c r="A38" s="2996"/>
      <c r="B38" s="2304">
        <v>32</v>
      </c>
      <c r="C38" s="2306"/>
      <c r="D38" s="2302">
        <v>1.34</v>
      </c>
      <c r="E38" s="2302">
        <v>15.86</v>
      </c>
      <c r="F38" s="2302">
        <f t="shared" si="4"/>
        <v>10</v>
      </c>
      <c r="G38" s="2301">
        <f t="shared" si="0"/>
        <v>20.100000000000001</v>
      </c>
      <c r="H38" s="2301">
        <f t="shared" si="1"/>
        <v>381.29999999999995</v>
      </c>
      <c r="I38" s="2301">
        <f t="shared" si="2"/>
        <v>197.29999999999998</v>
      </c>
      <c r="J38" s="2305">
        <f t="shared" si="3"/>
        <v>7421.27358</v>
      </c>
    </row>
    <row r="39" spans="1:11" ht="24.75" customHeight="1" x14ac:dyDescent="0.15">
      <c r="A39" s="2996"/>
      <c r="B39" s="2304">
        <v>33</v>
      </c>
      <c r="C39" s="2306"/>
      <c r="D39" s="2302">
        <v>0.87</v>
      </c>
      <c r="E39" s="2302">
        <v>17.079999999999998</v>
      </c>
      <c r="F39" s="2302">
        <f t="shared" si="4"/>
        <v>10</v>
      </c>
      <c r="G39" s="2301">
        <f t="shared" si="0"/>
        <v>22.1</v>
      </c>
      <c r="H39" s="2301">
        <f t="shared" si="1"/>
        <v>329.4</v>
      </c>
      <c r="I39" s="2301">
        <f t="shared" si="2"/>
        <v>219.39999999999998</v>
      </c>
      <c r="J39" s="2305">
        <f t="shared" si="3"/>
        <v>7750.6735799999997</v>
      </c>
    </row>
    <row r="40" spans="1:11" ht="24.75" customHeight="1" x14ac:dyDescent="0.15">
      <c r="A40" s="2996"/>
      <c r="B40" s="2304">
        <v>34</v>
      </c>
      <c r="C40" s="2306"/>
      <c r="D40" s="2302">
        <v>0.4</v>
      </c>
      <c r="E40" s="2302">
        <v>12.02</v>
      </c>
      <c r="F40" s="2302">
        <f t="shared" si="4"/>
        <v>10</v>
      </c>
      <c r="G40" s="2301">
        <f t="shared" si="0"/>
        <v>12.7</v>
      </c>
      <c r="H40" s="2301">
        <f t="shared" si="1"/>
        <v>291</v>
      </c>
      <c r="I40" s="2301">
        <f t="shared" si="2"/>
        <v>232.09999999999997</v>
      </c>
      <c r="J40" s="2305">
        <f t="shared" si="3"/>
        <v>8041.6735799999997</v>
      </c>
    </row>
    <row r="41" spans="1:11" ht="24.75" customHeight="1" x14ac:dyDescent="0.15">
      <c r="A41" s="2996"/>
      <c r="B41" s="2304">
        <v>35</v>
      </c>
      <c r="C41" s="2303"/>
      <c r="D41" s="2302"/>
      <c r="E41" s="2302">
        <v>4.09</v>
      </c>
      <c r="F41" s="2302">
        <f t="shared" si="4"/>
        <v>10</v>
      </c>
      <c r="G41" s="2301">
        <f t="shared" si="0"/>
        <v>4</v>
      </c>
      <c r="H41" s="2301">
        <f t="shared" si="1"/>
        <v>161.1</v>
      </c>
      <c r="I41" s="2301">
        <f t="shared" si="2"/>
        <v>236.09999999999997</v>
      </c>
      <c r="J41" s="2305">
        <f t="shared" si="3"/>
        <v>8202.7735799999991</v>
      </c>
    </row>
    <row r="42" spans="1:11" ht="24.75" customHeight="1" x14ac:dyDescent="0.15">
      <c r="A42" s="2996"/>
      <c r="B42" s="2304">
        <v>36</v>
      </c>
      <c r="C42" s="2303"/>
      <c r="D42" s="2302"/>
      <c r="E42" s="2302">
        <v>1.34</v>
      </c>
      <c r="F42" s="2302">
        <f t="shared" si="4"/>
        <v>10</v>
      </c>
      <c r="G42" s="2301">
        <f t="shared" si="0"/>
        <v>0</v>
      </c>
      <c r="H42" s="2301">
        <f t="shared" si="1"/>
        <v>54.3</v>
      </c>
      <c r="I42" s="2318">
        <f t="shared" si="2"/>
        <v>236.09999999999997</v>
      </c>
      <c r="J42" s="2319">
        <f t="shared" si="3"/>
        <v>8257.0735799999984</v>
      </c>
    </row>
    <row r="43" spans="1:11" ht="23.25" customHeight="1" thickBot="1" x14ac:dyDescent="0.2">
      <c r="A43" s="2997"/>
      <c r="B43" s="2300" t="s">
        <v>2696</v>
      </c>
      <c r="C43" s="2299"/>
      <c r="D43" s="2299"/>
      <c r="E43" s="2299"/>
      <c r="F43" s="2299"/>
      <c r="G43" s="2299"/>
      <c r="H43" s="2299"/>
      <c r="I43" s="2299"/>
      <c r="J43" s="2298"/>
      <c r="K43" s="2297"/>
    </row>
    <row r="44" spans="1:11" ht="15.75" thickTop="1" x14ac:dyDescent="0.15"/>
  </sheetData>
  <mergeCells count="7">
    <mergeCell ref="B1:J1"/>
    <mergeCell ref="I2:J2"/>
    <mergeCell ref="A2:A43"/>
    <mergeCell ref="B2:C2"/>
    <mergeCell ref="D2:E2"/>
    <mergeCell ref="F2:F3"/>
    <mergeCell ref="G2:H2"/>
  </mergeCells>
  <printOptions horizontalCentered="1"/>
  <pageMargins left="0.39370078740157483" right="0.39370078740157483" top="0.39370078740157483" bottom="0.59055118110236227" header="0.31496062992125984" footer="0.23622047244094491"/>
  <pageSetup paperSize="9" scale="60" fitToWidth="5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39" filterMode="1"/>
  <dimension ref="A1:AE403"/>
  <sheetViews>
    <sheetView showZeros="0" zoomScaleNormal="100" zoomScaleSheetLayoutView="85" workbookViewId="0">
      <pane xSplit="6" ySplit="1" topLeftCell="G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T373" sqref="T373:T374"/>
    </sheetView>
  </sheetViews>
  <sheetFormatPr defaultColWidth="9" defaultRowHeight="12.75" x14ac:dyDescent="0.15"/>
  <cols>
    <col min="1" max="1" width="9.75" style="1878" customWidth="1"/>
    <col min="2" max="2" width="12.625" style="1878" customWidth="1"/>
    <col min="3" max="3" width="22.625" style="1878" customWidth="1"/>
    <col min="4" max="4" width="31.125" style="1881" customWidth="1"/>
    <col min="5" max="5" width="6.125" style="1880" hidden="1" customWidth="1"/>
    <col min="6" max="6" width="20.375" style="1878" hidden="1" customWidth="1"/>
    <col min="7" max="24" width="12.625" style="1878" customWidth="1"/>
    <col min="25" max="25" width="12.625" style="1878" hidden="1" customWidth="1"/>
    <col min="26" max="26" width="12.625" style="1879" customWidth="1"/>
    <col min="27" max="27" width="13.25" style="1878" customWidth="1"/>
    <col min="28" max="16384" width="9" style="1878"/>
  </cols>
  <sheetData>
    <row r="1" spans="1:31" s="1906" customFormat="1" ht="60" customHeight="1" thickTop="1" thickBot="1" x14ac:dyDescent="0.2">
      <c r="A1" s="3044" t="s">
        <v>350</v>
      </c>
      <c r="B1" s="2848" t="s">
        <v>348</v>
      </c>
      <c r="C1" s="2848"/>
      <c r="D1" s="2848"/>
      <c r="E1" s="3047" t="s">
        <v>587</v>
      </c>
      <c r="F1" s="3047"/>
      <c r="G1" s="1940" t="s">
        <v>2760</v>
      </c>
      <c r="H1" s="1940" t="s">
        <v>2761</v>
      </c>
      <c r="I1" s="1940" t="s">
        <v>2763</v>
      </c>
      <c r="J1" s="1940" t="s">
        <v>2762</v>
      </c>
      <c r="K1" s="1940" t="s">
        <v>2764</v>
      </c>
      <c r="L1" s="1940" t="s">
        <v>2765</v>
      </c>
      <c r="M1" s="1940" t="s">
        <v>2766</v>
      </c>
      <c r="N1" s="1940" t="s">
        <v>2767</v>
      </c>
      <c r="O1" s="1940" t="s">
        <v>2768</v>
      </c>
      <c r="P1" s="1940" t="s">
        <v>2769</v>
      </c>
      <c r="Q1" s="1940" t="s">
        <v>2770</v>
      </c>
      <c r="R1" s="1940" t="s">
        <v>2771</v>
      </c>
      <c r="S1" s="1940" t="s">
        <v>2772</v>
      </c>
      <c r="T1" s="1940" t="s">
        <v>2773</v>
      </c>
      <c r="U1" s="1940" t="s">
        <v>2774</v>
      </c>
      <c r="V1" s="1940" t="s">
        <v>2775</v>
      </c>
      <c r="W1" s="1940" t="s">
        <v>2776</v>
      </c>
      <c r="X1" s="1940" t="s">
        <v>2777</v>
      </c>
      <c r="Y1" s="1940"/>
      <c r="Z1" s="1939" t="s">
        <v>0</v>
      </c>
      <c r="AA1" s="578" t="s">
        <v>695</v>
      </c>
    </row>
    <row r="2" spans="1:31" ht="19.5" customHeight="1" thickTop="1" x14ac:dyDescent="0.15">
      <c r="A2" s="3045"/>
      <c r="B2" s="3030" t="s">
        <v>2442</v>
      </c>
      <c r="C2" s="1938" t="s">
        <v>339</v>
      </c>
      <c r="D2" s="1948">
        <v>0.28000000000000003</v>
      </c>
      <c r="E2" s="1901" t="s">
        <v>1067</v>
      </c>
      <c r="F2" s="1935"/>
      <c r="G2" s="3009">
        <v>4</v>
      </c>
      <c r="H2" s="3009"/>
      <c r="I2" s="3009"/>
      <c r="J2" s="3009"/>
      <c r="K2" s="3009">
        <v>3</v>
      </c>
      <c r="L2" s="3009">
        <v>1</v>
      </c>
      <c r="M2" s="3009">
        <v>4</v>
      </c>
      <c r="N2" s="3009">
        <v>3</v>
      </c>
      <c r="O2" s="3009">
        <v>3</v>
      </c>
      <c r="P2" s="3009">
        <v>3</v>
      </c>
      <c r="Q2" s="3009">
        <v>5</v>
      </c>
      <c r="R2" s="3009">
        <v>7</v>
      </c>
      <c r="S2" s="3009">
        <v>9</v>
      </c>
      <c r="T2" s="3009">
        <v>5</v>
      </c>
      <c r="U2" s="3009">
        <v>9</v>
      </c>
      <c r="V2" s="3009">
        <v>8</v>
      </c>
      <c r="W2" s="3009">
        <v>2</v>
      </c>
      <c r="X2" s="3009">
        <v>1</v>
      </c>
      <c r="Y2" s="3009"/>
      <c r="Z2" s="3043">
        <f>+TRUNC(+SUM(G2:Y3),2)</f>
        <v>67</v>
      </c>
      <c r="AA2" s="579">
        <f>SUM(G2:Z2)</f>
        <v>134</v>
      </c>
      <c r="AC2" s="1906"/>
      <c r="AD2" s="1906"/>
      <c r="AE2" s="1906"/>
    </row>
    <row r="3" spans="1:31" ht="49.5" x14ac:dyDescent="0.15">
      <c r="A3" s="3045"/>
      <c r="B3" s="3031"/>
      <c r="C3" s="1900" t="s">
        <v>581</v>
      </c>
      <c r="D3" s="1951"/>
      <c r="E3" s="1904" t="s">
        <v>1067</v>
      </c>
      <c r="F3" s="1911"/>
      <c r="G3" s="3003"/>
      <c r="H3" s="3003"/>
      <c r="I3" s="3003"/>
      <c r="J3" s="3003"/>
      <c r="K3" s="3003"/>
      <c r="L3" s="3003"/>
      <c r="M3" s="3003"/>
      <c r="N3" s="3003"/>
      <c r="O3" s="3003"/>
      <c r="P3" s="3003"/>
      <c r="Q3" s="3003"/>
      <c r="R3" s="3003"/>
      <c r="S3" s="3003"/>
      <c r="T3" s="3003"/>
      <c r="U3" s="3003"/>
      <c r="V3" s="3003"/>
      <c r="W3" s="3003"/>
      <c r="X3" s="3003"/>
      <c r="Y3" s="3003"/>
      <c r="Z3" s="3012"/>
      <c r="AA3" s="580">
        <f>+AA2</f>
        <v>134</v>
      </c>
      <c r="AC3" s="1906"/>
      <c r="AD3" s="1906"/>
      <c r="AE3" s="1906"/>
    </row>
    <row r="4" spans="1:31" ht="18.75" hidden="1" x14ac:dyDescent="0.15">
      <c r="A4" s="3045"/>
      <c r="B4" s="3032"/>
      <c r="C4" s="1937" t="s">
        <v>339</v>
      </c>
      <c r="D4" s="1949">
        <v>0.25</v>
      </c>
      <c r="E4" s="1901" t="s">
        <v>1067</v>
      </c>
      <c r="F4" s="1911"/>
      <c r="G4" s="3002"/>
      <c r="H4" s="3002"/>
      <c r="I4" s="3002"/>
      <c r="J4" s="3002"/>
      <c r="K4" s="3002"/>
      <c r="L4" s="3002"/>
      <c r="M4" s="3002"/>
      <c r="N4" s="3002"/>
      <c r="O4" s="3002"/>
      <c r="P4" s="3002"/>
      <c r="Q4" s="3002"/>
      <c r="R4" s="3002"/>
      <c r="S4" s="3002"/>
      <c r="T4" s="3002"/>
      <c r="U4" s="3002"/>
      <c r="V4" s="3002"/>
      <c r="W4" s="3002"/>
      <c r="X4" s="3002"/>
      <c r="Y4" s="3002"/>
      <c r="Z4" s="3011">
        <f>+TRUNC(+SUM(G4:Y5),2)</f>
        <v>0</v>
      </c>
      <c r="AA4" s="579">
        <f>SUM(G4:Z4)</f>
        <v>0</v>
      </c>
      <c r="AC4" s="1906"/>
      <c r="AD4" s="1906"/>
      <c r="AE4" s="1906"/>
    </row>
    <row r="5" spans="1:31" ht="49.5" hidden="1" x14ac:dyDescent="0.15">
      <c r="A5" s="3045"/>
      <c r="B5" s="3032"/>
      <c r="C5" s="1900" t="s">
        <v>764</v>
      </c>
      <c r="D5" s="1951"/>
      <c r="E5" s="1904" t="s">
        <v>1067</v>
      </c>
      <c r="F5" s="1935"/>
      <c r="G5" s="3003"/>
      <c r="H5" s="3003"/>
      <c r="I5" s="3003"/>
      <c r="J5" s="3003"/>
      <c r="K5" s="3003"/>
      <c r="L5" s="3003"/>
      <c r="M5" s="3003"/>
      <c r="N5" s="3003"/>
      <c r="O5" s="3003"/>
      <c r="P5" s="3003"/>
      <c r="Q5" s="3003"/>
      <c r="R5" s="3003"/>
      <c r="S5" s="3003"/>
      <c r="T5" s="3003"/>
      <c r="U5" s="3003"/>
      <c r="V5" s="3003"/>
      <c r="W5" s="3003"/>
      <c r="X5" s="3003"/>
      <c r="Y5" s="3003"/>
      <c r="Z5" s="3012"/>
      <c r="AA5" s="580">
        <f>+AA4</f>
        <v>0</v>
      </c>
      <c r="AC5" s="1906"/>
      <c r="AD5" s="1906"/>
      <c r="AE5" s="1906"/>
    </row>
    <row r="6" spans="1:31" ht="18.75" hidden="1" x14ac:dyDescent="0.15">
      <c r="A6" s="3045"/>
      <c r="B6" s="3032"/>
      <c r="C6" s="1937" t="s">
        <v>339</v>
      </c>
      <c r="D6" s="1949">
        <v>0.28000000000000003</v>
      </c>
      <c r="E6" s="1901" t="s">
        <v>1067</v>
      </c>
      <c r="F6" s="1911"/>
      <c r="G6" s="3002"/>
      <c r="H6" s="3002"/>
      <c r="I6" s="3002"/>
      <c r="J6" s="3002"/>
      <c r="K6" s="3002"/>
      <c r="L6" s="3002"/>
      <c r="M6" s="3002"/>
      <c r="N6" s="3002"/>
      <c r="O6" s="3002"/>
      <c r="P6" s="3002"/>
      <c r="Q6" s="3002"/>
      <c r="R6" s="3002"/>
      <c r="S6" s="3002"/>
      <c r="T6" s="3002"/>
      <c r="U6" s="3002"/>
      <c r="V6" s="3002"/>
      <c r="W6" s="3002"/>
      <c r="X6" s="3002"/>
      <c r="Y6" s="3002"/>
      <c r="Z6" s="3011">
        <f>+TRUNC(+SUM(G6:Y7),2)</f>
        <v>0</v>
      </c>
      <c r="AA6" s="579">
        <f>SUM(G6:Z6)</f>
        <v>0</v>
      </c>
      <c r="AC6" s="1906"/>
      <c r="AD6" s="1906"/>
      <c r="AE6" s="1906"/>
    </row>
    <row r="7" spans="1:31" ht="49.5" hidden="1" x14ac:dyDescent="0.15">
      <c r="A7" s="3045"/>
      <c r="B7" s="3032"/>
      <c r="C7" s="1900" t="s">
        <v>2396</v>
      </c>
      <c r="D7" s="1951"/>
      <c r="E7" s="1904" t="s">
        <v>1067</v>
      </c>
      <c r="F7" s="1935"/>
      <c r="G7" s="3003"/>
      <c r="H7" s="3003"/>
      <c r="I7" s="3003"/>
      <c r="J7" s="3003"/>
      <c r="K7" s="3003"/>
      <c r="L7" s="3003"/>
      <c r="M7" s="3003"/>
      <c r="N7" s="3003"/>
      <c r="O7" s="3003"/>
      <c r="P7" s="3003"/>
      <c r="Q7" s="3003"/>
      <c r="R7" s="3003"/>
      <c r="S7" s="3003"/>
      <c r="T7" s="3003"/>
      <c r="U7" s="3003"/>
      <c r="V7" s="3003"/>
      <c r="W7" s="3003"/>
      <c r="X7" s="3003"/>
      <c r="Y7" s="3003"/>
      <c r="Z7" s="3012"/>
      <c r="AA7" s="580">
        <f>+AA6</f>
        <v>0</v>
      </c>
      <c r="AC7" s="1906"/>
      <c r="AD7" s="1906"/>
      <c r="AE7" s="1906"/>
    </row>
    <row r="8" spans="1:31" ht="18.75" hidden="1" x14ac:dyDescent="0.15">
      <c r="A8" s="3045"/>
      <c r="B8" s="3032"/>
      <c r="C8" s="1937" t="s">
        <v>339</v>
      </c>
      <c r="D8" s="1949">
        <v>0.28000000000000003</v>
      </c>
      <c r="E8" s="1901" t="s">
        <v>1067</v>
      </c>
      <c r="F8" s="1911"/>
      <c r="G8" s="3002"/>
      <c r="H8" s="3002"/>
      <c r="I8" s="3002"/>
      <c r="J8" s="3002"/>
      <c r="K8" s="3002"/>
      <c r="L8" s="3002"/>
      <c r="M8" s="3002"/>
      <c r="N8" s="3002"/>
      <c r="O8" s="3002"/>
      <c r="P8" s="3002"/>
      <c r="Q8" s="3002"/>
      <c r="R8" s="3002"/>
      <c r="S8" s="3002"/>
      <c r="T8" s="3002"/>
      <c r="U8" s="3002"/>
      <c r="V8" s="3002"/>
      <c r="W8" s="3002"/>
      <c r="X8" s="3002"/>
      <c r="Y8" s="3002"/>
      <c r="Z8" s="3011">
        <f>+TRUNC(+SUM(G8:Y9),2)</f>
        <v>0</v>
      </c>
      <c r="AA8" s="579">
        <f>SUM(G8:Z8)</f>
        <v>0</v>
      </c>
      <c r="AC8" s="1906"/>
      <c r="AD8" s="1906"/>
      <c r="AE8" s="1906"/>
    </row>
    <row r="9" spans="1:31" ht="49.5" hidden="1" x14ac:dyDescent="0.15">
      <c r="A9" s="3045"/>
      <c r="B9" s="3032"/>
      <c r="C9" s="1900" t="s">
        <v>2395</v>
      </c>
      <c r="D9" s="1951"/>
      <c r="E9" s="1904" t="s">
        <v>1067</v>
      </c>
      <c r="F9" s="1935"/>
      <c r="G9" s="3003"/>
      <c r="H9" s="3003"/>
      <c r="I9" s="3003"/>
      <c r="J9" s="3003"/>
      <c r="K9" s="3003"/>
      <c r="L9" s="3003"/>
      <c r="M9" s="3003"/>
      <c r="N9" s="3003"/>
      <c r="O9" s="3003"/>
      <c r="P9" s="3003"/>
      <c r="Q9" s="3003"/>
      <c r="R9" s="3003"/>
      <c r="S9" s="3003"/>
      <c r="T9" s="3003"/>
      <c r="U9" s="3003"/>
      <c r="V9" s="3003"/>
      <c r="W9" s="3003"/>
      <c r="X9" s="3003"/>
      <c r="Y9" s="3003"/>
      <c r="Z9" s="3012"/>
      <c r="AA9" s="580">
        <f>+AA8</f>
        <v>0</v>
      </c>
      <c r="AC9" s="1906"/>
      <c r="AD9" s="1906"/>
      <c r="AE9" s="1906"/>
    </row>
    <row r="10" spans="1:31" ht="18.75" hidden="1" x14ac:dyDescent="0.15">
      <c r="A10" s="3045"/>
      <c r="B10" s="3032"/>
      <c r="C10" s="1937" t="s">
        <v>339</v>
      </c>
      <c r="D10" s="1949">
        <v>0.28000000000000003</v>
      </c>
      <c r="E10" s="1901" t="s">
        <v>1067</v>
      </c>
      <c r="F10" s="1911"/>
      <c r="G10" s="3002"/>
      <c r="H10" s="3002"/>
      <c r="I10" s="3002"/>
      <c r="J10" s="3002"/>
      <c r="K10" s="3002"/>
      <c r="L10" s="3002"/>
      <c r="M10" s="3002"/>
      <c r="N10" s="3002"/>
      <c r="O10" s="3002"/>
      <c r="P10" s="3002"/>
      <c r="Q10" s="3002"/>
      <c r="R10" s="3002"/>
      <c r="S10" s="3002"/>
      <c r="T10" s="3002"/>
      <c r="U10" s="3002"/>
      <c r="V10" s="3002"/>
      <c r="W10" s="3002"/>
      <c r="X10" s="3002"/>
      <c r="Y10" s="3002"/>
      <c r="Z10" s="3011">
        <f>+TRUNC(+SUM(G10:Y11),2)</f>
        <v>0</v>
      </c>
      <c r="AA10" s="579">
        <f>SUM(G10:Z10)</f>
        <v>0</v>
      </c>
      <c r="AC10" s="1906"/>
      <c r="AD10" s="1906"/>
      <c r="AE10" s="1906"/>
    </row>
    <row r="11" spans="1:31" ht="49.5" hidden="1" x14ac:dyDescent="0.15">
      <c r="A11" s="3045"/>
      <c r="B11" s="3032"/>
      <c r="C11" s="1900" t="s">
        <v>2394</v>
      </c>
      <c r="D11" s="1951"/>
      <c r="E11" s="1904" t="s">
        <v>1067</v>
      </c>
      <c r="F11" s="1935"/>
      <c r="G11" s="3003"/>
      <c r="H11" s="3003"/>
      <c r="I11" s="3003"/>
      <c r="J11" s="3003"/>
      <c r="K11" s="3003"/>
      <c r="L11" s="3003"/>
      <c r="M11" s="3003"/>
      <c r="N11" s="3003"/>
      <c r="O11" s="3003"/>
      <c r="P11" s="3003"/>
      <c r="Q11" s="3003"/>
      <c r="R11" s="3003"/>
      <c r="S11" s="3003"/>
      <c r="T11" s="3003"/>
      <c r="U11" s="3003"/>
      <c r="V11" s="3003"/>
      <c r="W11" s="3003"/>
      <c r="X11" s="3003"/>
      <c r="Y11" s="3003"/>
      <c r="Z11" s="3012"/>
      <c r="AA11" s="580">
        <f>+AA10</f>
        <v>0</v>
      </c>
      <c r="AC11" s="1906"/>
      <c r="AD11" s="1906"/>
      <c r="AE11" s="1906"/>
    </row>
    <row r="12" spans="1:31" ht="18.75" hidden="1" x14ac:dyDescent="0.15">
      <c r="A12" s="3045"/>
      <c r="B12" s="3032"/>
      <c r="C12" s="1937" t="s">
        <v>339</v>
      </c>
      <c r="D12" s="1949">
        <v>0.28000000000000003</v>
      </c>
      <c r="E12" s="1901" t="s">
        <v>1067</v>
      </c>
      <c r="F12" s="1911"/>
      <c r="G12" s="3002"/>
      <c r="H12" s="3002"/>
      <c r="I12" s="3002"/>
      <c r="J12" s="3002"/>
      <c r="K12" s="3002"/>
      <c r="L12" s="3002"/>
      <c r="M12" s="3002"/>
      <c r="N12" s="3002"/>
      <c r="O12" s="3002"/>
      <c r="P12" s="3002"/>
      <c r="Q12" s="3002"/>
      <c r="R12" s="3002"/>
      <c r="S12" s="3002"/>
      <c r="T12" s="3002"/>
      <c r="U12" s="3002"/>
      <c r="V12" s="3002"/>
      <c r="W12" s="3002"/>
      <c r="X12" s="3002"/>
      <c r="Y12" s="3002"/>
      <c r="Z12" s="3011">
        <f>+TRUNC(+SUM(G12:Y13),2)</f>
        <v>0</v>
      </c>
      <c r="AA12" s="579">
        <f>SUM(G12:Z12)</f>
        <v>0</v>
      </c>
      <c r="AC12" s="1906"/>
      <c r="AD12" s="1906"/>
      <c r="AE12" s="1906"/>
    </row>
    <row r="13" spans="1:31" ht="49.5" hidden="1" x14ac:dyDescent="0.15">
      <c r="A13" s="3045"/>
      <c r="B13" s="3032"/>
      <c r="C13" s="1900" t="s">
        <v>2393</v>
      </c>
      <c r="D13" s="1951"/>
      <c r="E13" s="1904" t="s">
        <v>1067</v>
      </c>
      <c r="F13" s="1935"/>
      <c r="G13" s="3003"/>
      <c r="H13" s="3003"/>
      <c r="I13" s="3003"/>
      <c r="J13" s="3003"/>
      <c r="K13" s="3003"/>
      <c r="L13" s="3003"/>
      <c r="M13" s="3003"/>
      <c r="N13" s="3003"/>
      <c r="O13" s="3003"/>
      <c r="P13" s="3003"/>
      <c r="Q13" s="3003"/>
      <c r="R13" s="3003"/>
      <c r="S13" s="3003"/>
      <c r="T13" s="3003"/>
      <c r="U13" s="3003"/>
      <c r="V13" s="3003"/>
      <c r="W13" s="3003"/>
      <c r="X13" s="3003"/>
      <c r="Y13" s="3003"/>
      <c r="Z13" s="3012"/>
      <c r="AA13" s="580">
        <f>+AA12</f>
        <v>0</v>
      </c>
      <c r="AC13" s="1906"/>
      <c r="AD13" s="1906"/>
      <c r="AE13" s="1906"/>
    </row>
    <row r="14" spans="1:31" ht="18.75" hidden="1" x14ac:dyDescent="0.15">
      <c r="A14" s="3045"/>
      <c r="B14" s="3032"/>
      <c r="C14" s="1937" t="s">
        <v>339</v>
      </c>
      <c r="D14" s="1949">
        <v>0.28000000000000003</v>
      </c>
      <c r="E14" s="1901" t="s">
        <v>1067</v>
      </c>
      <c r="F14" s="1911"/>
      <c r="G14" s="3002"/>
      <c r="H14" s="3002"/>
      <c r="I14" s="3002"/>
      <c r="J14" s="3002"/>
      <c r="K14" s="3002"/>
      <c r="L14" s="3002"/>
      <c r="M14" s="3002"/>
      <c r="N14" s="3002"/>
      <c r="O14" s="3002"/>
      <c r="P14" s="3002"/>
      <c r="Q14" s="3002"/>
      <c r="R14" s="3002"/>
      <c r="S14" s="3002"/>
      <c r="T14" s="3002"/>
      <c r="U14" s="3002"/>
      <c r="V14" s="3002"/>
      <c r="W14" s="3002"/>
      <c r="X14" s="3002"/>
      <c r="Y14" s="3002"/>
      <c r="Z14" s="3011">
        <f>+TRUNC(+SUM(G14:Y15),2)</f>
        <v>0</v>
      </c>
      <c r="AA14" s="579">
        <f>SUM(G14:Z14)</f>
        <v>0</v>
      </c>
      <c r="AC14" s="1906"/>
      <c r="AD14" s="1906"/>
      <c r="AE14" s="1906"/>
    </row>
    <row r="15" spans="1:31" ht="49.5" hidden="1" x14ac:dyDescent="0.15">
      <c r="A15" s="3045"/>
      <c r="B15" s="3032"/>
      <c r="C15" s="1900" t="s">
        <v>2392</v>
      </c>
      <c r="D15" s="1951"/>
      <c r="E15" s="1904" t="s">
        <v>1067</v>
      </c>
      <c r="F15" s="1935"/>
      <c r="G15" s="3003"/>
      <c r="H15" s="3003"/>
      <c r="I15" s="3003"/>
      <c r="J15" s="3003"/>
      <c r="K15" s="3003"/>
      <c r="L15" s="3003"/>
      <c r="M15" s="3003"/>
      <c r="N15" s="3003"/>
      <c r="O15" s="3003"/>
      <c r="P15" s="3003"/>
      <c r="Q15" s="3003"/>
      <c r="R15" s="3003"/>
      <c r="S15" s="3003"/>
      <c r="T15" s="3003"/>
      <c r="U15" s="3003"/>
      <c r="V15" s="3003"/>
      <c r="W15" s="3003"/>
      <c r="X15" s="3003"/>
      <c r="Y15" s="3003"/>
      <c r="Z15" s="3012"/>
      <c r="AA15" s="580">
        <f>+AA14</f>
        <v>0</v>
      </c>
      <c r="AC15" s="1906"/>
      <c r="AD15" s="1906"/>
      <c r="AE15" s="1906"/>
    </row>
    <row r="16" spans="1:31" ht="18.75" hidden="1" x14ac:dyDescent="0.15">
      <c r="A16" s="3045"/>
      <c r="B16" s="3032"/>
      <c r="C16" s="1937" t="s">
        <v>339</v>
      </c>
      <c r="D16" s="1949">
        <v>0.28000000000000003</v>
      </c>
      <c r="E16" s="1901" t="s">
        <v>1067</v>
      </c>
      <c r="F16" s="1911"/>
      <c r="G16" s="3002"/>
      <c r="H16" s="3002"/>
      <c r="I16" s="3002"/>
      <c r="J16" s="3002"/>
      <c r="K16" s="3002"/>
      <c r="L16" s="3002"/>
      <c r="M16" s="3002"/>
      <c r="N16" s="3002"/>
      <c r="O16" s="3002"/>
      <c r="P16" s="3002"/>
      <c r="Q16" s="3002"/>
      <c r="R16" s="3002"/>
      <c r="S16" s="3002"/>
      <c r="T16" s="3002"/>
      <c r="U16" s="3002"/>
      <c r="V16" s="3002"/>
      <c r="W16" s="3002"/>
      <c r="X16" s="3002"/>
      <c r="Y16" s="3002"/>
      <c r="Z16" s="3011">
        <f>+TRUNC(+SUM(G16:Y17),2)</f>
        <v>0</v>
      </c>
      <c r="AA16" s="579">
        <f>SUM(G16:Z16)</f>
        <v>0</v>
      </c>
      <c r="AC16" s="1906"/>
      <c r="AD16" s="1906"/>
      <c r="AE16" s="1906"/>
    </row>
    <row r="17" spans="1:31" ht="49.5" hidden="1" x14ac:dyDescent="0.15">
      <c r="A17" s="3045"/>
      <c r="B17" s="3032"/>
      <c r="C17" s="1900" t="s">
        <v>2391</v>
      </c>
      <c r="D17" s="1951"/>
      <c r="E17" s="1904" t="s">
        <v>1067</v>
      </c>
      <c r="F17" s="1935"/>
      <c r="G17" s="3003"/>
      <c r="H17" s="3003"/>
      <c r="I17" s="3003"/>
      <c r="J17" s="3003"/>
      <c r="K17" s="3003"/>
      <c r="L17" s="3003"/>
      <c r="M17" s="3003"/>
      <c r="N17" s="3003"/>
      <c r="O17" s="3003"/>
      <c r="P17" s="3003"/>
      <c r="Q17" s="3003"/>
      <c r="R17" s="3003"/>
      <c r="S17" s="3003"/>
      <c r="T17" s="3003"/>
      <c r="U17" s="3003"/>
      <c r="V17" s="3003"/>
      <c r="W17" s="3003"/>
      <c r="X17" s="3003"/>
      <c r="Y17" s="3003"/>
      <c r="Z17" s="3012"/>
      <c r="AA17" s="580">
        <f>+AA16</f>
        <v>0</v>
      </c>
      <c r="AC17" s="1906"/>
      <c r="AD17" s="1906"/>
      <c r="AE17" s="1906"/>
    </row>
    <row r="18" spans="1:31" ht="18.75" hidden="1" x14ac:dyDescent="0.15">
      <c r="A18" s="3045"/>
      <c r="B18" s="3032"/>
      <c r="C18" s="1937" t="s">
        <v>339</v>
      </c>
      <c r="D18" s="1949">
        <v>0.28000000000000003</v>
      </c>
      <c r="E18" s="1901" t="s">
        <v>1067</v>
      </c>
      <c r="F18" s="1911"/>
      <c r="G18" s="3002"/>
      <c r="H18" s="3002"/>
      <c r="I18" s="3002"/>
      <c r="J18" s="3002"/>
      <c r="K18" s="3002"/>
      <c r="L18" s="3002"/>
      <c r="M18" s="3002"/>
      <c r="N18" s="3002"/>
      <c r="O18" s="3002"/>
      <c r="P18" s="3002"/>
      <c r="Q18" s="3002"/>
      <c r="R18" s="3002"/>
      <c r="S18" s="3002"/>
      <c r="T18" s="3002"/>
      <c r="U18" s="3002"/>
      <c r="V18" s="3002"/>
      <c r="W18" s="3002"/>
      <c r="X18" s="3002"/>
      <c r="Y18" s="3002"/>
      <c r="Z18" s="3011">
        <f>+TRUNC(+SUM(G18:Y19),2)</f>
        <v>0</v>
      </c>
      <c r="AA18" s="579">
        <f>SUM(G18:Z18)</f>
        <v>0</v>
      </c>
      <c r="AC18" s="1906"/>
      <c r="AD18" s="1906"/>
      <c r="AE18" s="1906"/>
    </row>
    <row r="19" spans="1:31" ht="49.5" hidden="1" x14ac:dyDescent="0.15">
      <c r="A19" s="3045"/>
      <c r="B19" s="3032"/>
      <c r="C19" s="1900" t="s">
        <v>2390</v>
      </c>
      <c r="D19" s="1951"/>
      <c r="E19" s="1904" t="s">
        <v>1067</v>
      </c>
      <c r="F19" s="1935"/>
      <c r="G19" s="3003"/>
      <c r="H19" s="3003"/>
      <c r="I19" s="3003"/>
      <c r="J19" s="3003"/>
      <c r="K19" s="3003"/>
      <c r="L19" s="3003"/>
      <c r="M19" s="3003"/>
      <c r="N19" s="3003"/>
      <c r="O19" s="3003"/>
      <c r="P19" s="3003"/>
      <c r="Q19" s="3003"/>
      <c r="R19" s="3003"/>
      <c r="S19" s="3003"/>
      <c r="T19" s="3003"/>
      <c r="U19" s="3003"/>
      <c r="V19" s="3003"/>
      <c r="W19" s="3003"/>
      <c r="X19" s="3003"/>
      <c r="Y19" s="3003"/>
      <c r="Z19" s="3012"/>
      <c r="AA19" s="580">
        <f>+AA18</f>
        <v>0</v>
      </c>
      <c r="AC19" s="1906"/>
      <c r="AD19" s="1906"/>
      <c r="AE19" s="1906"/>
    </row>
    <row r="20" spans="1:31" ht="18.75" hidden="1" x14ac:dyDescent="0.15">
      <c r="A20" s="3045"/>
      <c r="B20" s="3032"/>
      <c r="C20" s="1937" t="s">
        <v>339</v>
      </c>
      <c r="D20" s="1949">
        <v>0.28000000000000003</v>
      </c>
      <c r="E20" s="1901" t="s">
        <v>1067</v>
      </c>
      <c r="F20" s="1911"/>
      <c r="G20" s="3002"/>
      <c r="H20" s="3002"/>
      <c r="I20" s="3002"/>
      <c r="J20" s="3002"/>
      <c r="K20" s="3002"/>
      <c r="L20" s="3002"/>
      <c r="M20" s="3002"/>
      <c r="N20" s="3002"/>
      <c r="O20" s="3002"/>
      <c r="P20" s="3002"/>
      <c r="Q20" s="3002"/>
      <c r="R20" s="3002"/>
      <c r="S20" s="3002"/>
      <c r="T20" s="3002"/>
      <c r="U20" s="3002"/>
      <c r="V20" s="3002"/>
      <c r="W20" s="3002"/>
      <c r="X20" s="3002"/>
      <c r="Y20" s="3002"/>
      <c r="Z20" s="3011">
        <f>+TRUNC(+SUM(G20:Y21),2)</f>
        <v>0</v>
      </c>
      <c r="AA20" s="579">
        <f>SUM(G20:Z20)</f>
        <v>0</v>
      </c>
      <c r="AC20" s="1906"/>
      <c r="AD20" s="1906"/>
      <c r="AE20" s="1906"/>
    </row>
    <row r="21" spans="1:31" ht="49.5" hidden="1" x14ac:dyDescent="0.15">
      <c r="A21" s="3045"/>
      <c r="B21" s="3032"/>
      <c r="C21" s="1900" t="s">
        <v>2389</v>
      </c>
      <c r="D21" s="1951"/>
      <c r="E21" s="1904" t="s">
        <v>1067</v>
      </c>
      <c r="F21" s="1935"/>
      <c r="G21" s="3003"/>
      <c r="H21" s="3003"/>
      <c r="I21" s="3003"/>
      <c r="J21" s="3003"/>
      <c r="K21" s="3003"/>
      <c r="L21" s="3003"/>
      <c r="M21" s="3003"/>
      <c r="N21" s="3003"/>
      <c r="O21" s="3003"/>
      <c r="P21" s="3003"/>
      <c r="Q21" s="3003"/>
      <c r="R21" s="3003"/>
      <c r="S21" s="3003"/>
      <c r="T21" s="3003"/>
      <c r="U21" s="3003"/>
      <c r="V21" s="3003"/>
      <c r="W21" s="3003"/>
      <c r="X21" s="3003"/>
      <c r="Y21" s="3003"/>
      <c r="Z21" s="3012"/>
      <c r="AA21" s="580">
        <f>+AA20</f>
        <v>0</v>
      </c>
      <c r="AC21" s="1906"/>
      <c r="AD21" s="1906"/>
      <c r="AE21" s="1906"/>
    </row>
    <row r="22" spans="1:31" ht="18.75" hidden="1" x14ac:dyDescent="0.15">
      <c r="A22" s="3045"/>
      <c r="B22" s="3032"/>
      <c r="C22" s="1937" t="s">
        <v>339</v>
      </c>
      <c r="D22" s="1949">
        <v>0.28000000000000003</v>
      </c>
      <c r="E22" s="1901" t="s">
        <v>1067</v>
      </c>
      <c r="F22" s="1911"/>
      <c r="G22" s="3002"/>
      <c r="H22" s="3002"/>
      <c r="I22" s="3002"/>
      <c r="J22" s="3002"/>
      <c r="K22" s="3002"/>
      <c r="L22" s="3002"/>
      <c r="M22" s="3002"/>
      <c r="N22" s="3002"/>
      <c r="O22" s="3002"/>
      <c r="P22" s="3002"/>
      <c r="Q22" s="3002"/>
      <c r="R22" s="3002"/>
      <c r="S22" s="3002"/>
      <c r="T22" s="3002"/>
      <c r="U22" s="3002"/>
      <c r="V22" s="3002"/>
      <c r="W22" s="3002"/>
      <c r="X22" s="3002"/>
      <c r="Y22" s="3002"/>
      <c r="Z22" s="3011">
        <f>+TRUNC(+SUM(G22:Y23),2)</f>
        <v>0</v>
      </c>
      <c r="AA22" s="579">
        <f>SUM(G22:Z22)</f>
        <v>0</v>
      </c>
      <c r="AC22" s="1906"/>
      <c r="AD22" s="1906"/>
      <c r="AE22" s="1906"/>
    </row>
    <row r="23" spans="1:31" ht="49.5" hidden="1" x14ac:dyDescent="0.15">
      <c r="A23" s="3045"/>
      <c r="B23" s="3032"/>
      <c r="C23" s="1900" t="s">
        <v>2388</v>
      </c>
      <c r="D23" s="1951"/>
      <c r="E23" s="1904" t="s">
        <v>1067</v>
      </c>
      <c r="F23" s="1935"/>
      <c r="G23" s="3003"/>
      <c r="H23" s="3003"/>
      <c r="I23" s="3003"/>
      <c r="J23" s="3003"/>
      <c r="K23" s="3003"/>
      <c r="L23" s="3003"/>
      <c r="M23" s="3003"/>
      <c r="N23" s="3003"/>
      <c r="O23" s="3003"/>
      <c r="P23" s="3003"/>
      <c r="Q23" s="3003"/>
      <c r="R23" s="3003"/>
      <c r="S23" s="3003"/>
      <c r="T23" s="3003"/>
      <c r="U23" s="3003"/>
      <c r="V23" s="3003"/>
      <c r="W23" s="3003"/>
      <c r="X23" s="3003"/>
      <c r="Y23" s="3003"/>
      <c r="Z23" s="3012"/>
      <c r="AA23" s="580">
        <f>+AA22</f>
        <v>0</v>
      </c>
      <c r="AC23" s="1906"/>
      <c r="AD23" s="1906"/>
      <c r="AE23" s="1906"/>
    </row>
    <row r="24" spans="1:31" ht="18.75" hidden="1" x14ac:dyDescent="0.15">
      <c r="A24" s="3045"/>
      <c r="B24" s="3032"/>
      <c r="C24" s="1937" t="s">
        <v>339</v>
      </c>
      <c r="D24" s="1949">
        <v>0.28000000000000003</v>
      </c>
      <c r="E24" s="1901" t="s">
        <v>1067</v>
      </c>
      <c r="F24" s="1911"/>
      <c r="G24" s="3002"/>
      <c r="H24" s="3002"/>
      <c r="I24" s="3002"/>
      <c r="J24" s="3002"/>
      <c r="K24" s="3002"/>
      <c r="L24" s="3002"/>
      <c r="M24" s="3002"/>
      <c r="N24" s="3002"/>
      <c r="O24" s="3002"/>
      <c r="P24" s="3002"/>
      <c r="Q24" s="3002"/>
      <c r="R24" s="3002"/>
      <c r="S24" s="3002"/>
      <c r="T24" s="3002"/>
      <c r="U24" s="3002"/>
      <c r="V24" s="3002"/>
      <c r="W24" s="3002"/>
      <c r="X24" s="3002"/>
      <c r="Y24" s="3002"/>
      <c r="Z24" s="3011">
        <f>+TRUNC(+SUM(G24:Y25),2)</f>
        <v>0</v>
      </c>
      <c r="AA24" s="579">
        <f>SUM(G24:Z24)</f>
        <v>0</v>
      </c>
      <c r="AC24" s="1906"/>
      <c r="AD24" s="1906"/>
      <c r="AE24" s="1906"/>
    </row>
    <row r="25" spans="1:31" ht="49.5" hidden="1" customHeight="1" x14ac:dyDescent="0.15">
      <c r="A25" s="3045"/>
      <c r="B25" s="3032"/>
      <c r="C25" s="1900" t="s">
        <v>2387</v>
      </c>
      <c r="D25" s="1951"/>
      <c r="E25" s="1904" t="s">
        <v>1067</v>
      </c>
      <c r="F25" s="1935"/>
      <c r="G25" s="3003"/>
      <c r="H25" s="3003"/>
      <c r="I25" s="3003"/>
      <c r="J25" s="3003"/>
      <c r="K25" s="3003"/>
      <c r="L25" s="3003"/>
      <c r="M25" s="3003"/>
      <c r="N25" s="3003"/>
      <c r="O25" s="3003"/>
      <c r="P25" s="3003"/>
      <c r="Q25" s="3003"/>
      <c r="R25" s="3003"/>
      <c r="S25" s="3003"/>
      <c r="T25" s="3003"/>
      <c r="U25" s="3003"/>
      <c r="V25" s="3003"/>
      <c r="W25" s="3003"/>
      <c r="X25" s="3003"/>
      <c r="Y25" s="3003"/>
      <c r="Z25" s="3012"/>
      <c r="AA25" s="580">
        <f>+AA24</f>
        <v>0</v>
      </c>
      <c r="AC25" s="1906"/>
      <c r="AD25" s="1906"/>
      <c r="AE25" s="1906"/>
    </row>
    <row r="26" spans="1:31" ht="18.75" hidden="1" x14ac:dyDescent="0.15">
      <c r="A26" s="3045"/>
      <c r="B26" s="3032"/>
      <c r="C26" s="1937" t="s">
        <v>339</v>
      </c>
      <c r="D26" s="1949">
        <v>0.28000000000000003</v>
      </c>
      <c r="E26" s="1901" t="s">
        <v>1067</v>
      </c>
      <c r="F26" s="1911"/>
      <c r="G26" s="3002"/>
      <c r="H26" s="3002"/>
      <c r="I26" s="3002"/>
      <c r="J26" s="3002"/>
      <c r="K26" s="3002"/>
      <c r="L26" s="3002"/>
      <c r="M26" s="3002"/>
      <c r="N26" s="3002"/>
      <c r="O26" s="3002"/>
      <c r="P26" s="3002"/>
      <c r="Q26" s="3002"/>
      <c r="R26" s="3002"/>
      <c r="S26" s="3002"/>
      <c r="T26" s="3002"/>
      <c r="U26" s="3002"/>
      <c r="V26" s="3002"/>
      <c r="W26" s="3002"/>
      <c r="X26" s="3002"/>
      <c r="Y26" s="3002"/>
      <c r="Z26" s="3011">
        <f>+TRUNC(+SUM(G26:Y27),2)</f>
        <v>0</v>
      </c>
      <c r="AA26" s="579">
        <f>SUM(G26:Z26)</f>
        <v>0</v>
      </c>
      <c r="AC26" s="1906"/>
      <c r="AD26" s="1906"/>
      <c r="AE26" s="1906"/>
    </row>
    <row r="27" spans="1:31" ht="49.5" hidden="1" customHeight="1" x14ac:dyDescent="0.15">
      <c r="A27" s="3045"/>
      <c r="B27" s="3032"/>
      <c r="C27" s="1900" t="s">
        <v>2386</v>
      </c>
      <c r="D27" s="1951"/>
      <c r="E27" s="1904" t="s">
        <v>1067</v>
      </c>
      <c r="F27" s="1935"/>
      <c r="G27" s="3003"/>
      <c r="H27" s="3003"/>
      <c r="I27" s="3003"/>
      <c r="J27" s="3003"/>
      <c r="K27" s="3003"/>
      <c r="L27" s="3003"/>
      <c r="M27" s="3003"/>
      <c r="N27" s="3003"/>
      <c r="O27" s="3003"/>
      <c r="P27" s="3003"/>
      <c r="Q27" s="3003"/>
      <c r="R27" s="3003"/>
      <c r="S27" s="3003"/>
      <c r="T27" s="3003"/>
      <c r="U27" s="3003"/>
      <c r="V27" s="3003"/>
      <c r="W27" s="3003"/>
      <c r="X27" s="3003"/>
      <c r="Y27" s="3003"/>
      <c r="Z27" s="3012"/>
      <c r="AA27" s="580">
        <f>+AA26</f>
        <v>0</v>
      </c>
      <c r="AC27" s="1906"/>
      <c r="AD27" s="1906"/>
      <c r="AE27" s="1906"/>
    </row>
    <row r="28" spans="1:31" ht="18.75" hidden="1" x14ac:dyDescent="0.15">
      <c r="A28" s="3045"/>
      <c r="B28" s="3032"/>
      <c r="C28" s="1937" t="s">
        <v>339</v>
      </c>
      <c r="D28" s="1949">
        <v>0.28000000000000003</v>
      </c>
      <c r="E28" s="1901" t="s">
        <v>1067</v>
      </c>
      <c r="F28" s="1911"/>
      <c r="G28" s="3002"/>
      <c r="H28" s="3002"/>
      <c r="I28" s="3002"/>
      <c r="J28" s="3002"/>
      <c r="K28" s="3002"/>
      <c r="L28" s="3002"/>
      <c r="M28" s="3002"/>
      <c r="N28" s="3002"/>
      <c r="O28" s="3002"/>
      <c r="P28" s="3002"/>
      <c r="Q28" s="3002"/>
      <c r="R28" s="3002"/>
      <c r="S28" s="3002"/>
      <c r="T28" s="3002"/>
      <c r="U28" s="3002"/>
      <c r="V28" s="3002"/>
      <c r="W28" s="3002"/>
      <c r="X28" s="3002"/>
      <c r="Y28" s="3002"/>
      <c r="Z28" s="3011">
        <f>+TRUNC(+SUM(G28:Y29),2)</f>
        <v>0</v>
      </c>
      <c r="AA28" s="579">
        <f>SUM(G28:Z28)</f>
        <v>0</v>
      </c>
      <c r="AC28" s="1906"/>
      <c r="AD28" s="1906"/>
      <c r="AE28" s="1906"/>
    </row>
    <row r="29" spans="1:31" ht="49.5" hidden="1" x14ac:dyDescent="0.15">
      <c r="A29" s="3045"/>
      <c r="B29" s="3032"/>
      <c r="C29" s="1900" t="s">
        <v>2385</v>
      </c>
      <c r="D29" s="1951"/>
      <c r="E29" s="1904" t="s">
        <v>1067</v>
      </c>
      <c r="F29" s="1935"/>
      <c r="G29" s="3003"/>
      <c r="H29" s="3003"/>
      <c r="I29" s="3003"/>
      <c r="J29" s="3003"/>
      <c r="K29" s="3003"/>
      <c r="L29" s="3003"/>
      <c r="M29" s="3003"/>
      <c r="N29" s="3003"/>
      <c r="O29" s="3003"/>
      <c r="P29" s="3003"/>
      <c r="Q29" s="3003"/>
      <c r="R29" s="3003"/>
      <c r="S29" s="3003"/>
      <c r="T29" s="3003"/>
      <c r="U29" s="3003"/>
      <c r="V29" s="3003"/>
      <c r="W29" s="3003"/>
      <c r="X29" s="3003"/>
      <c r="Y29" s="3003"/>
      <c r="Z29" s="3012"/>
      <c r="AA29" s="580">
        <f>+AA28</f>
        <v>0</v>
      </c>
      <c r="AC29" s="1906"/>
      <c r="AD29" s="1906"/>
      <c r="AE29" s="1906"/>
    </row>
    <row r="30" spans="1:31" ht="18.75" hidden="1" x14ac:dyDescent="0.15">
      <c r="A30" s="3045"/>
      <c r="B30" s="3032"/>
      <c r="C30" s="1937" t="s">
        <v>339</v>
      </c>
      <c r="D30" s="1949">
        <v>0.28000000000000003</v>
      </c>
      <c r="E30" s="1901" t="s">
        <v>1067</v>
      </c>
      <c r="F30" s="1911"/>
      <c r="G30" s="3002"/>
      <c r="H30" s="3002"/>
      <c r="I30" s="3002"/>
      <c r="J30" s="3002"/>
      <c r="K30" s="3002"/>
      <c r="L30" s="3002"/>
      <c r="M30" s="3002"/>
      <c r="N30" s="3002"/>
      <c r="O30" s="3002"/>
      <c r="P30" s="3002"/>
      <c r="Q30" s="3002"/>
      <c r="R30" s="3002"/>
      <c r="S30" s="3002"/>
      <c r="T30" s="3002"/>
      <c r="U30" s="3002"/>
      <c r="V30" s="3002"/>
      <c r="W30" s="3002"/>
      <c r="X30" s="3002"/>
      <c r="Y30" s="3002"/>
      <c r="Z30" s="3011">
        <f>+TRUNC(+SUM(G30:Y31),2)</f>
        <v>0</v>
      </c>
      <c r="AA30" s="579">
        <f>SUM(G30:Z30)</f>
        <v>0</v>
      </c>
      <c r="AC30" s="1906"/>
      <c r="AD30" s="1906"/>
      <c r="AE30" s="1906"/>
    </row>
    <row r="31" spans="1:31" ht="49.5" hidden="1" x14ac:dyDescent="0.15">
      <c r="A31" s="3045"/>
      <c r="B31" s="3032"/>
      <c r="C31" s="1900" t="s">
        <v>2384</v>
      </c>
      <c r="D31" s="1951"/>
      <c r="E31" s="1904" t="s">
        <v>1067</v>
      </c>
      <c r="F31" s="1935"/>
      <c r="G31" s="3003"/>
      <c r="H31" s="3003"/>
      <c r="I31" s="3003"/>
      <c r="J31" s="3003"/>
      <c r="K31" s="3003"/>
      <c r="L31" s="3003"/>
      <c r="M31" s="3003"/>
      <c r="N31" s="3003"/>
      <c r="O31" s="3003"/>
      <c r="P31" s="3003"/>
      <c r="Q31" s="3003"/>
      <c r="R31" s="3003"/>
      <c r="S31" s="3003"/>
      <c r="T31" s="3003"/>
      <c r="U31" s="3003"/>
      <c r="V31" s="3003"/>
      <c r="W31" s="3003"/>
      <c r="X31" s="3003"/>
      <c r="Y31" s="3003"/>
      <c r="Z31" s="3012"/>
      <c r="AA31" s="580">
        <f>+AA30</f>
        <v>0</v>
      </c>
      <c r="AC31" s="1906"/>
      <c r="AD31" s="1906"/>
      <c r="AE31" s="1906"/>
    </row>
    <row r="32" spans="1:31" ht="18.75" hidden="1" x14ac:dyDescent="0.15">
      <c r="A32" s="3045"/>
      <c r="B32" s="3032"/>
      <c r="C32" s="1937" t="s">
        <v>339</v>
      </c>
      <c r="D32" s="1949">
        <v>0.28000000000000003</v>
      </c>
      <c r="E32" s="1901" t="s">
        <v>1067</v>
      </c>
      <c r="F32" s="1911"/>
      <c r="G32" s="3002"/>
      <c r="H32" s="3002"/>
      <c r="I32" s="3002"/>
      <c r="J32" s="3002"/>
      <c r="K32" s="3002"/>
      <c r="L32" s="3002"/>
      <c r="M32" s="3002"/>
      <c r="N32" s="3002"/>
      <c r="O32" s="3002"/>
      <c r="P32" s="3002"/>
      <c r="Q32" s="3002"/>
      <c r="R32" s="3002"/>
      <c r="S32" s="3002"/>
      <c r="T32" s="3002"/>
      <c r="U32" s="3002"/>
      <c r="V32" s="3002"/>
      <c r="W32" s="3002"/>
      <c r="X32" s="3002"/>
      <c r="Y32" s="3002"/>
      <c r="Z32" s="3011">
        <f>+TRUNC(+SUM(G32:Y33),2)</f>
        <v>0</v>
      </c>
      <c r="AA32" s="579">
        <f>SUM(G32:Z32)</f>
        <v>0</v>
      </c>
      <c r="AC32" s="1906"/>
      <c r="AD32" s="1906"/>
      <c r="AE32" s="1906"/>
    </row>
    <row r="33" spans="1:31" ht="49.5" hidden="1" x14ac:dyDescent="0.15">
      <c r="A33" s="3045"/>
      <c r="B33" s="3032"/>
      <c r="C33" s="1900" t="s">
        <v>2383</v>
      </c>
      <c r="D33" s="1951"/>
      <c r="E33" s="1904" t="s">
        <v>1067</v>
      </c>
      <c r="F33" s="1935"/>
      <c r="G33" s="3003"/>
      <c r="H33" s="3003"/>
      <c r="I33" s="3003"/>
      <c r="J33" s="3003"/>
      <c r="K33" s="3003"/>
      <c r="L33" s="3003"/>
      <c r="M33" s="3003"/>
      <c r="N33" s="3003"/>
      <c r="O33" s="3003"/>
      <c r="P33" s="3003"/>
      <c r="Q33" s="3003"/>
      <c r="R33" s="3003"/>
      <c r="S33" s="3003"/>
      <c r="T33" s="3003"/>
      <c r="U33" s="3003"/>
      <c r="V33" s="3003"/>
      <c r="W33" s="3003"/>
      <c r="X33" s="3003"/>
      <c r="Y33" s="3003"/>
      <c r="Z33" s="3012"/>
      <c r="AA33" s="580">
        <f>+AA32</f>
        <v>0</v>
      </c>
      <c r="AC33" s="1906"/>
      <c r="AD33" s="1906"/>
      <c r="AE33" s="1906"/>
    </row>
    <row r="34" spans="1:31" ht="18.75" hidden="1" x14ac:dyDescent="0.15">
      <c r="A34" s="3045"/>
      <c r="B34" s="3032"/>
      <c r="C34" s="1937" t="s">
        <v>339</v>
      </c>
      <c r="D34" s="1949">
        <v>0.28000000000000003</v>
      </c>
      <c r="E34" s="1901" t="s">
        <v>1067</v>
      </c>
      <c r="F34" s="1911"/>
      <c r="G34" s="3002"/>
      <c r="H34" s="3002"/>
      <c r="I34" s="3002"/>
      <c r="J34" s="3002"/>
      <c r="K34" s="3002"/>
      <c r="L34" s="3002"/>
      <c r="M34" s="3002"/>
      <c r="N34" s="3002"/>
      <c r="O34" s="3002"/>
      <c r="P34" s="3002"/>
      <c r="Q34" s="3002"/>
      <c r="R34" s="3002"/>
      <c r="S34" s="3002"/>
      <c r="T34" s="3002"/>
      <c r="U34" s="3002"/>
      <c r="V34" s="3002"/>
      <c r="W34" s="3002"/>
      <c r="X34" s="3002"/>
      <c r="Y34" s="3002"/>
      <c r="Z34" s="3011">
        <f>+TRUNC(+SUM(G34:Y35),2)</f>
        <v>0</v>
      </c>
      <c r="AA34" s="579">
        <f>SUM(G34:Z34)</f>
        <v>0</v>
      </c>
      <c r="AC34" s="1906"/>
      <c r="AD34" s="1906"/>
      <c r="AE34" s="1906"/>
    </row>
    <row r="35" spans="1:31" ht="49.5" hidden="1" x14ac:dyDescent="0.15">
      <c r="A35" s="3045"/>
      <c r="B35" s="3032"/>
      <c r="C35" s="1900" t="s">
        <v>2382</v>
      </c>
      <c r="D35" s="1951"/>
      <c r="E35" s="1904" t="s">
        <v>1067</v>
      </c>
      <c r="F35" s="1935"/>
      <c r="G35" s="3003"/>
      <c r="H35" s="3003"/>
      <c r="I35" s="3003"/>
      <c r="J35" s="3003"/>
      <c r="K35" s="3003"/>
      <c r="L35" s="3003"/>
      <c r="M35" s="3003"/>
      <c r="N35" s="3003"/>
      <c r="O35" s="3003"/>
      <c r="P35" s="3003"/>
      <c r="Q35" s="3003"/>
      <c r="R35" s="3003"/>
      <c r="S35" s="3003"/>
      <c r="T35" s="3003"/>
      <c r="U35" s="3003"/>
      <c r="V35" s="3003"/>
      <c r="W35" s="3003"/>
      <c r="X35" s="3003"/>
      <c r="Y35" s="3003"/>
      <c r="Z35" s="3012"/>
      <c r="AA35" s="580">
        <f>+AA34</f>
        <v>0</v>
      </c>
      <c r="AC35" s="1906"/>
      <c r="AD35" s="1906"/>
      <c r="AE35" s="1906"/>
    </row>
    <row r="36" spans="1:31" ht="18.75" hidden="1" x14ac:dyDescent="0.15">
      <c r="A36" s="3045"/>
      <c r="B36" s="3032"/>
      <c r="C36" s="1937" t="s">
        <v>339</v>
      </c>
      <c r="D36" s="1949">
        <v>0.28000000000000003</v>
      </c>
      <c r="E36" s="1901" t="s">
        <v>1067</v>
      </c>
      <c r="F36" s="1911"/>
      <c r="G36" s="3002"/>
      <c r="H36" s="3002"/>
      <c r="I36" s="3002"/>
      <c r="J36" s="3002"/>
      <c r="K36" s="3002"/>
      <c r="L36" s="3002"/>
      <c r="M36" s="3002"/>
      <c r="N36" s="3002"/>
      <c r="O36" s="3002"/>
      <c r="P36" s="3002"/>
      <c r="Q36" s="3002"/>
      <c r="R36" s="3002"/>
      <c r="S36" s="3002"/>
      <c r="T36" s="3002"/>
      <c r="U36" s="3002"/>
      <c r="V36" s="3002"/>
      <c r="W36" s="3002"/>
      <c r="X36" s="3002"/>
      <c r="Y36" s="3002"/>
      <c r="Z36" s="3011">
        <f>+TRUNC(+SUM(G36:Y37),2)</f>
        <v>0</v>
      </c>
      <c r="AA36" s="579">
        <f>SUM(G36:Z36)</f>
        <v>0</v>
      </c>
      <c r="AC36" s="1906"/>
      <c r="AD36" s="1906"/>
      <c r="AE36" s="1906"/>
    </row>
    <row r="37" spans="1:31" ht="49.5" hidden="1" x14ac:dyDescent="0.15">
      <c r="A37" s="3045"/>
      <c r="B37" s="3032"/>
      <c r="C37" s="1900" t="s">
        <v>2381</v>
      </c>
      <c r="D37" s="1951"/>
      <c r="E37" s="1904" t="s">
        <v>1067</v>
      </c>
      <c r="F37" s="1935"/>
      <c r="G37" s="3003"/>
      <c r="H37" s="3003"/>
      <c r="I37" s="3003"/>
      <c r="J37" s="3003"/>
      <c r="K37" s="3003"/>
      <c r="L37" s="3003"/>
      <c r="M37" s="3003"/>
      <c r="N37" s="3003"/>
      <c r="O37" s="3003"/>
      <c r="P37" s="3003"/>
      <c r="Q37" s="3003"/>
      <c r="R37" s="3003"/>
      <c r="S37" s="3003"/>
      <c r="T37" s="3003"/>
      <c r="U37" s="3003"/>
      <c r="V37" s="3003"/>
      <c r="W37" s="3003"/>
      <c r="X37" s="3003"/>
      <c r="Y37" s="3003"/>
      <c r="Z37" s="3012"/>
      <c r="AA37" s="580">
        <f>+AA36</f>
        <v>0</v>
      </c>
      <c r="AC37" s="1906"/>
      <c r="AD37" s="1906"/>
      <c r="AE37" s="1906"/>
    </row>
    <row r="38" spans="1:31" ht="18.75" hidden="1" x14ac:dyDescent="0.15">
      <c r="A38" s="3045"/>
      <c r="B38" s="3032"/>
      <c r="C38" s="1937" t="s">
        <v>339</v>
      </c>
      <c r="D38" s="1949">
        <v>0.28000000000000003</v>
      </c>
      <c r="E38" s="1901" t="s">
        <v>1067</v>
      </c>
      <c r="F38" s="1911"/>
      <c r="G38" s="3002"/>
      <c r="H38" s="3002"/>
      <c r="I38" s="3002"/>
      <c r="J38" s="3002"/>
      <c r="K38" s="3002"/>
      <c r="L38" s="3002"/>
      <c r="M38" s="3002"/>
      <c r="N38" s="3002"/>
      <c r="O38" s="3002"/>
      <c r="P38" s="3002"/>
      <c r="Q38" s="3002"/>
      <c r="R38" s="3002"/>
      <c r="S38" s="3002"/>
      <c r="T38" s="3002"/>
      <c r="U38" s="3002"/>
      <c r="V38" s="3002"/>
      <c r="W38" s="3002"/>
      <c r="X38" s="3002"/>
      <c r="Y38" s="3002"/>
      <c r="Z38" s="3011">
        <f>+TRUNC(+SUM(G38:Y39),2)</f>
        <v>0</v>
      </c>
      <c r="AA38" s="579">
        <f>SUM(G38:Z38)</f>
        <v>0</v>
      </c>
      <c r="AC38" s="1906"/>
      <c r="AD38" s="1906"/>
      <c r="AE38" s="1906"/>
    </row>
    <row r="39" spans="1:31" ht="49.5" hidden="1" x14ac:dyDescent="0.15">
      <c r="A39" s="3045"/>
      <c r="B39" s="3032"/>
      <c r="C39" s="1900" t="s">
        <v>2380</v>
      </c>
      <c r="D39" s="1951"/>
      <c r="E39" s="1904" t="s">
        <v>1067</v>
      </c>
      <c r="F39" s="1935"/>
      <c r="G39" s="3003"/>
      <c r="H39" s="3003"/>
      <c r="I39" s="3003"/>
      <c r="J39" s="3003"/>
      <c r="K39" s="3003"/>
      <c r="L39" s="3003"/>
      <c r="M39" s="3003"/>
      <c r="N39" s="3003"/>
      <c r="O39" s="3003"/>
      <c r="P39" s="3003"/>
      <c r="Q39" s="3003"/>
      <c r="R39" s="3003"/>
      <c r="S39" s="3003"/>
      <c r="T39" s="3003"/>
      <c r="U39" s="3003"/>
      <c r="V39" s="3003"/>
      <c r="W39" s="3003"/>
      <c r="X39" s="3003"/>
      <c r="Y39" s="3003"/>
      <c r="Z39" s="3012"/>
      <c r="AA39" s="580">
        <f>+AA38</f>
        <v>0</v>
      </c>
      <c r="AC39" s="1906"/>
      <c r="AD39" s="1906"/>
      <c r="AE39" s="1906"/>
    </row>
    <row r="40" spans="1:31" ht="18.75" hidden="1" x14ac:dyDescent="0.15">
      <c r="A40" s="3045"/>
      <c r="B40" s="3032"/>
      <c r="C40" s="1937" t="s">
        <v>339</v>
      </c>
      <c r="D40" s="1949">
        <v>0.28000000000000003</v>
      </c>
      <c r="E40" s="1901" t="s">
        <v>1067</v>
      </c>
      <c r="F40" s="1911"/>
      <c r="G40" s="3002"/>
      <c r="H40" s="3002"/>
      <c r="I40" s="3002"/>
      <c r="J40" s="3002"/>
      <c r="K40" s="3002"/>
      <c r="L40" s="3002"/>
      <c r="M40" s="3002"/>
      <c r="N40" s="3002"/>
      <c r="O40" s="3002"/>
      <c r="P40" s="3002"/>
      <c r="Q40" s="3002"/>
      <c r="R40" s="3002"/>
      <c r="S40" s="3002"/>
      <c r="T40" s="3002"/>
      <c r="U40" s="3002"/>
      <c r="V40" s="3002"/>
      <c r="W40" s="3002"/>
      <c r="X40" s="3002"/>
      <c r="Y40" s="3002"/>
      <c r="Z40" s="3011">
        <f>+TRUNC(+SUM(G40:Y41),2)</f>
        <v>0</v>
      </c>
      <c r="AA40" s="579">
        <f>SUM(G40:Z40)</f>
        <v>0</v>
      </c>
      <c r="AC40" s="1906"/>
      <c r="AD40" s="1906"/>
      <c r="AE40" s="1906"/>
    </row>
    <row r="41" spans="1:31" ht="49.5" hidden="1" x14ac:dyDescent="0.15">
      <c r="A41" s="3045"/>
      <c r="B41" s="3032"/>
      <c r="C41" s="1900" t="s">
        <v>2379</v>
      </c>
      <c r="D41" s="1951"/>
      <c r="E41" s="1904" t="s">
        <v>1067</v>
      </c>
      <c r="F41" s="1935"/>
      <c r="G41" s="3003"/>
      <c r="H41" s="3003"/>
      <c r="I41" s="3003"/>
      <c r="J41" s="3003"/>
      <c r="K41" s="3003"/>
      <c r="L41" s="3003"/>
      <c r="M41" s="3003"/>
      <c r="N41" s="3003"/>
      <c r="O41" s="3003"/>
      <c r="P41" s="3003"/>
      <c r="Q41" s="3003"/>
      <c r="R41" s="3003"/>
      <c r="S41" s="3003"/>
      <c r="T41" s="3003"/>
      <c r="U41" s="3003"/>
      <c r="V41" s="3003"/>
      <c r="W41" s="3003"/>
      <c r="X41" s="3003"/>
      <c r="Y41" s="3003"/>
      <c r="Z41" s="3012"/>
      <c r="AA41" s="580">
        <f>+AA40</f>
        <v>0</v>
      </c>
      <c r="AC41" s="1906"/>
      <c r="AD41" s="1906"/>
      <c r="AE41" s="1906"/>
    </row>
    <row r="42" spans="1:31" ht="18.75" hidden="1" x14ac:dyDescent="0.15">
      <c r="A42" s="3045"/>
      <c r="B42" s="3032"/>
      <c r="C42" s="1937" t="s">
        <v>339</v>
      </c>
      <c r="D42" s="1949">
        <v>0.28000000000000003</v>
      </c>
      <c r="E42" s="1901" t="s">
        <v>1067</v>
      </c>
      <c r="F42" s="1911"/>
      <c r="G42" s="3002"/>
      <c r="H42" s="3002"/>
      <c r="I42" s="3002"/>
      <c r="J42" s="3002"/>
      <c r="K42" s="3002"/>
      <c r="L42" s="3002"/>
      <c r="M42" s="3002"/>
      <c r="N42" s="3002"/>
      <c r="O42" s="3002"/>
      <c r="P42" s="3002"/>
      <c r="Q42" s="3002"/>
      <c r="R42" s="3002"/>
      <c r="S42" s="3002"/>
      <c r="T42" s="3002"/>
      <c r="U42" s="3002"/>
      <c r="V42" s="3002"/>
      <c r="W42" s="3002"/>
      <c r="X42" s="3002"/>
      <c r="Y42" s="3002"/>
      <c r="Z42" s="3011">
        <f>+TRUNC(+SUM(G42:Y43),2)</f>
        <v>0</v>
      </c>
      <c r="AA42" s="579">
        <f>SUM(G42:Z42)</f>
        <v>0</v>
      </c>
      <c r="AC42" s="1906"/>
      <c r="AD42" s="1906"/>
      <c r="AE42" s="1906"/>
    </row>
    <row r="43" spans="1:31" ht="49.5" hidden="1" x14ac:dyDescent="0.15">
      <c r="A43" s="3045"/>
      <c r="B43" s="3032"/>
      <c r="C43" s="1900" t="s">
        <v>2378</v>
      </c>
      <c r="D43" s="1951"/>
      <c r="E43" s="1904" t="s">
        <v>1067</v>
      </c>
      <c r="F43" s="1935"/>
      <c r="G43" s="3003"/>
      <c r="H43" s="3003"/>
      <c r="I43" s="3003"/>
      <c r="J43" s="3003"/>
      <c r="K43" s="3003"/>
      <c r="L43" s="3003"/>
      <c r="M43" s="3003"/>
      <c r="N43" s="3003"/>
      <c r="O43" s="3003"/>
      <c r="P43" s="3003"/>
      <c r="Q43" s="3003"/>
      <c r="R43" s="3003"/>
      <c r="S43" s="3003"/>
      <c r="T43" s="3003"/>
      <c r="U43" s="3003"/>
      <c r="V43" s="3003"/>
      <c r="W43" s="3003"/>
      <c r="X43" s="3003"/>
      <c r="Y43" s="3003"/>
      <c r="Z43" s="3012"/>
      <c r="AA43" s="580">
        <f>+AA42</f>
        <v>0</v>
      </c>
      <c r="AC43" s="1906"/>
      <c r="AD43" s="1906"/>
      <c r="AE43" s="1906"/>
    </row>
    <row r="44" spans="1:31" ht="18.75" hidden="1" x14ac:dyDescent="0.15">
      <c r="A44" s="3045"/>
      <c r="B44" s="3032"/>
      <c r="C44" s="1937" t="s">
        <v>339</v>
      </c>
      <c r="D44" s="1949">
        <v>0.28000000000000003</v>
      </c>
      <c r="E44" s="1901" t="s">
        <v>1067</v>
      </c>
      <c r="F44" s="1911"/>
      <c r="G44" s="3002"/>
      <c r="H44" s="3002"/>
      <c r="I44" s="3002"/>
      <c r="J44" s="3002"/>
      <c r="K44" s="3002"/>
      <c r="L44" s="3002"/>
      <c r="M44" s="3002"/>
      <c r="N44" s="3002"/>
      <c r="O44" s="3002"/>
      <c r="P44" s="3002"/>
      <c r="Q44" s="3002"/>
      <c r="R44" s="3002"/>
      <c r="S44" s="3002"/>
      <c r="T44" s="3002"/>
      <c r="U44" s="3002"/>
      <c r="V44" s="3002"/>
      <c r="W44" s="3002"/>
      <c r="X44" s="3002"/>
      <c r="Y44" s="3002"/>
      <c r="Z44" s="3011">
        <f>+TRUNC(+SUM(G44:Y45),2)</f>
        <v>0</v>
      </c>
      <c r="AA44" s="579">
        <f>SUM(G44:Z44)</f>
        <v>0</v>
      </c>
      <c r="AC44" s="1906"/>
      <c r="AD44" s="1906"/>
      <c r="AE44" s="1906"/>
    </row>
    <row r="45" spans="1:31" ht="49.5" hidden="1" x14ac:dyDescent="0.15">
      <c r="A45" s="3045"/>
      <c r="B45" s="3032"/>
      <c r="C45" s="1900" t="s">
        <v>2377</v>
      </c>
      <c r="D45" s="1951"/>
      <c r="E45" s="1904" t="s">
        <v>1067</v>
      </c>
      <c r="F45" s="1935"/>
      <c r="G45" s="3003"/>
      <c r="H45" s="3003"/>
      <c r="I45" s="3003"/>
      <c r="J45" s="3003"/>
      <c r="K45" s="3003"/>
      <c r="L45" s="3003"/>
      <c r="M45" s="3003"/>
      <c r="N45" s="3003"/>
      <c r="O45" s="3003"/>
      <c r="P45" s="3003"/>
      <c r="Q45" s="3003"/>
      <c r="R45" s="3003"/>
      <c r="S45" s="3003"/>
      <c r="T45" s="3003"/>
      <c r="U45" s="3003"/>
      <c r="V45" s="3003"/>
      <c r="W45" s="3003"/>
      <c r="X45" s="3003"/>
      <c r="Y45" s="3003"/>
      <c r="Z45" s="3012"/>
      <c r="AA45" s="580">
        <f>+AA44</f>
        <v>0</v>
      </c>
      <c r="AC45" s="1906"/>
      <c r="AD45" s="1906"/>
      <c r="AE45" s="1906"/>
    </row>
    <row r="46" spans="1:31" ht="18.75" hidden="1" x14ac:dyDescent="0.15">
      <c r="A46" s="3045"/>
      <c r="B46" s="3032"/>
      <c r="C46" s="1937" t="s">
        <v>339</v>
      </c>
      <c r="D46" s="1949">
        <v>0.28000000000000003</v>
      </c>
      <c r="E46" s="1901" t="s">
        <v>1067</v>
      </c>
      <c r="F46" s="1911"/>
      <c r="G46" s="3002"/>
      <c r="H46" s="3002"/>
      <c r="I46" s="3002"/>
      <c r="J46" s="3002"/>
      <c r="K46" s="3002"/>
      <c r="L46" s="3002"/>
      <c r="M46" s="3002"/>
      <c r="N46" s="3002"/>
      <c r="O46" s="3002"/>
      <c r="P46" s="3002"/>
      <c r="Q46" s="3002"/>
      <c r="R46" s="3002"/>
      <c r="S46" s="3002"/>
      <c r="T46" s="3002"/>
      <c r="U46" s="3002"/>
      <c r="V46" s="3002"/>
      <c r="W46" s="3002"/>
      <c r="X46" s="3002"/>
      <c r="Y46" s="3002"/>
      <c r="Z46" s="3011">
        <f>+TRUNC(+SUM(G46:Y47),2)</f>
        <v>0</v>
      </c>
      <c r="AA46" s="579">
        <f>SUM(G46:Z46)</f>
        <v>0</v>
      </c>
      <c r="AC46" s="1906"/>
      <c r="AD46" s="1906"/>
      <c r="AE46" s="1906"/>
    </row>
    <row r="47" spans="1:31" ht="49.5" hidden="1" x14ac:dyDescent="0.15">
      <c r="A47" s="3045"/>
      <c r="B47" s="3032"/>
      <c r="C47" s="1900" t="s">
        <v>2376</v>
      </c>
      <c r="D47" s="1951"/>
      <c r="E47" s="1904" t="s">
        <v>1067</v>
      </c>
      <c r="F47" s="1935"/>
      <c r="G47" s="3003"/>
      <c r="H47" s="3003"/>
      <c r="I47" s="3003"/>
      <c r="J47" s="3003"/>
      <c r="K47" s="3003"/>
      <c r="L47" s="3003"/>
      <c r="M47" s="3003"/>
      <c r="N47" s="3003"/>
      <c r="O47" s="3003"/>
      <c r="P47" s="3003"/>
      <c r="Q47" s="3003"/>
      <c r="R47" s="3003"/>
      <c r="S47" s="3003"/>
      <c r="T47" s="3003"/>
      <c r="U47" s="3003"/>
      <c r="V47" s="3003"/>
      <c r="W47" s="3003"/>
      <c r="X47" s="3003"/>
      <c r="Y47" s="3003"/>
      <c r="Z47" s="3012"/>
      <c r="AA47" s="580">
        <f>+AA46</f>
        <v>0</v>
      </c>
      <c r="AC47" s="1906"/>
      <c r="AD47" s="1906"/>
      <c r="AE47" s="1906"/>
    </row>
    <row r="48" spans="1:31" ht="18.75" x14ac:dyDescent="0.15">
      <c r="A48" s="3045"/>
      <c r="B48" s="3031"/>
      <c r="C48" s="1937" t="s">
        <v>339</v>
      </c>
      <c r="D48" s="1949">
        <v>0.28000000000000003</v>
      </c>
      <c r="E48" s="1901" t="s">
        <v>1067</v>
      </c>
      <c r="F48" s="1911"/>
      <c r="G48" s="3002">
        <v>1</v>
      </c>
      <c r="H48" s="3002">
        <v>1</v>
      </c>
      <c r="I48" s="3002"/>
      <c r="J48" s="3002"/>
      <c r="K48" s="3002"/>
      <c r="L48" s="3002"/>
      <c r="M48" s="3002"/>
      <c r="N48" s="3002"/>
      <c r="O48" s="3002"/>
      <c r="P48" s="3002"/>
      <c r="Q48" s="3002"/>
      <c r="R48" s="3002"/>
      <c r="S48" s="3002"/>
      <c r="T48" s="3002"/>
      <c r="U48" s="3002"/>
      <c r="V48" s="3002"/>
      <c r="W48" s="3002">
        <v>1</v>
      </c>
      <c r="X48" s="3002"/>
      <c r="Y48" s="3002"/>
      <c r="Z48" s="3011">
        <f>+TRUNC(+SUM(G48:Y49),2)</f>
        <v>3</v>
      </c>
      <c r="AA48" s="579">
        <f>SUM(G48:Z48)</f>
        <v>6</v>
      </c>
      <c r="AC48" s="1906"/>
      <c r="AD48" s="1906"/>
      <c r="AE48" s="1906"/>
    </row>
    <row r="49" spans="1:31" ht="49.5" x14ac:dyDescent="0.15">
      <c r="A49" s="3045"/>
      <c r="B49" s="3031"/>
      <c r="C49" s="1936" t="s">
        <v>662</v>
      </c>
      <c r="D49" s="1951"/>
      <c r="E49" s="1904" t="s">
        <v>1067</v>
      </c>
      <c r="F49" s="1935"/>
      <c r="G49" s="3003"/>
      <c r="H49" s="3003"/>
      <c r="I49" s="3003"/>
      <c r="J49" s="3003"/>
      <c r="K49" s="3003"/>
      <c r="L49" s="3003"/>
      <c r="M49" s="3003"/>
      <c r="N49" s="3003"/>
      <c r="O49" s="3003"/>
      <c r="P49" s="3003"/>
      <c r="Q49" s="3003"/>
      <c r="R49" s="3003"/>
      <c r="S49" s="3003"/>
      <c r="T49" s="3003"/>
      <c r="U49" s="3003"/>
      <c r="V49" s="3003"/>
      <c r="W49" s="3003"/>
      <c r="X49" s="3003"/>
      <c r="Y49" s="3003"/>
      <c r="Z49" s="3012"/>
      <c r="AA49" s="580">
        <f>+AA48</f>
        <v>6</v>
      </c>
      <c r="AC49" s="1906"/>
      <c r="AD49" s="1906"/>
      <c r="AE49" s="1906"/>
    </row>
    <row r="50" spans="1:31" ht="18.75" x14ac:dyDescent="0.15">
      <c r="A50" s="3045"/>
      <c r="B50" s="3032"/>
      <c r="C50" s="1937" t="s">
        <v>339</v>
      </c>
      <c r="D50" s="1949">
        <v>0.28000000000000003</v>
      </c>
      <c r="E50" s="1901" t="s">
        <v>1067</v>
      </c>
      <c r="F50" s="1911"/>
      <c r="G50" s="3002">
        <v>2</v>
      </c>
      <c r="H50" s="3002">
        <v>2</v>
      </c>
      <c r="I50" s="3002">
        <v>2</v>
      </c>
      <c r="J50" s="3002">
        <v>2</v>
      </c>
      <c r="K50" s="3002">
        <v>2</v>
      </c>
      <c r="L50" s="3002">
        <v>2</v>
      </c>
      <c r="M50" s="3002"/>
      <c r="N50" s="3002">
        <v>2</v>
      </c>
      <c r="O50" s="3002">
        <v>4</v>
      </c>
      <c r="P50" s="3002">
        <v>2</v>
      </c>
      <c r="Q50" s="3002">
        <v>2</v>
      </c>
      <c r="R50" s="3002">
        <v>6</v>
      </c>
      <c r="S50" s="3002">
        <v>6</v>
      </c>
      <c r="T50" s="3002">
        <v>6</v>
      </c>
      <c r="U50" s="3002">
        <v>6</v>
      </c>
      <c r="V50" s="3002">
        <v>6</v>
      </c>
      <c r="W50" s="3002">
        <v>2</v>
      </c>
      <c r="X50" s="3002">
        <v>6</v>
      </c>
      <c r="Y50" s="3002"/>
      <c r="Z50" s="3011">
        <f>+TRUNC(+SUM(G50:Y51),2)</f>
        <v>60</v>
      </c>
      <c r="AA50" s="579">
        <f>SUM(G50:Z50)</f>
        <v>120</v>
      </c>
      <c r="AC50" s="1906"/>
      <c r="AD50" s="1906"/>
      <c r="AE50" s="1906"/>
    </row>
    <row r="51" spans="1:31" ht="49.5" x14ac:dyDescent="0.15">
      <c r="A51" s="3045"/>
      <c r="B51" s="3032"/>
      <c r="C51" s="1936" t="s">
        <v>582</v>
      </c>
      <c r="D51" s="1951"/>
      <c r="E51" s="1904" t="s">
        <v>1067</v>
      </c>
      <c r="F51" s="1935"/>
      <c r="G51" s="3003"/>
      <c r="H51" s="3003"/>
      <c r="I51" s="3003"/>
      <c r="J51" s="3003"/>
      <c r="K51" s="3003"/>
      <c r="L51" s="3003"/>
      <c r="M51" s="3003"/>
      <c r="N51" s="3003"/>
      <c r="O51" s="3003"/>
      <c r="P51" s="3003"/>
      <c r="Q51" s="3003"/>
      <c r="R51" s="3003"/>
      <c r="S51" s="3003"/>
      <c r="T51" s="3003"/>
      <c r="U51" s="3003"/>
      <c r="V51" s="3003"/>
      <c r="W51" s="3003"/>
      <c r="X51" s="3003"/>
      <c r="Y51" s="3003"/>
      <c r="Z51" s="3012"/>
      <c r="AA51" s="580">
        <f>+AA50</f>
        <v>120</v>
      </c>
      <c r="AC51" s="1906"/>
      <c r="AD51" s="1906"/>
      <c r="AE51" s="1906"/>
    </row>
    <row r="52" spans="1:31" ht="18.75" hidden="1" x14ac:dyDescent="0.15">
      <c r="A52" s="3045"/>
      <c r="B52" s="3032"/>
      <c r="C52" s="1937" t="s">
        <v>339</v>
      </c>
      <c r="D52" s="1949">
        <v>0.28000000000000003</v>
      </c>
      <c r="E52" s="1901" t="s">
        <v>1067</v>
      </c>
      <c r="F52" s="1911"/>
      <c r="G52" s="3002"/>
      <c r="H52" s="3002"/>
      <c r="I52" s="3002"/>
      <c r="J52" s="3002"/>
      <c r="K52" s="3002"/>
      <c r="L52" s="3002"/>
      <c r="M52" s="3002"/>
      <c r="N52" s="3002"/>
      <c r="O52" s="3002"/>
      <c r="P52" s="3002"/>
      <c r="Q52" s="3002"/>
      <c r="R52" s="3002"/>
      <c r="S52" s="3002"/>
      <c r="T52" s="3002"/>
      <c r="U52" s="3002"/>
      <c r="V52" s="3002"/>
      <c r="W52" s="3002"/>
      <c r="X52" s="3002"/>
      <c r="Y52" s="3002"/>
      <c r="Z52" s="3011">
        <f>+TRUNC(+SUM(G52:Y53),2)</f>
        <v>0</v>
      </c>
      <c r="AA52" s="579">
        <f>SUM(G52:Z52)</f>
        <v>0</v>
      </c>
      <c r="AC52" s="1906"/>
      <c r="AD52" s="1906"/>
      <c r="AE52" s="1906"/>
    </row>
    <row r="53" spans="1:31" ht="49.5" hidden="1" x14ac:dyDescent="0.15">
      <c r="A53" s="3045"/>
      <c r="B53" s="3032"/>
      <c r="C53" s="1936" t="s">
        <v>1061</v>
      </c>
      <c r="D53" s="1951"/>
      <c r="E53" s="1904" t="s">
        <v>1067</v>
      </c>
      <c r="F53" s="1935"/>
      <c r="G53" s="3003"/>
      <c r="H53" s="3003"/>
      <c r="I53" s="3003"/>
      <c r="J53" s="3003"/>
      <c r="K53" s="3003"/>
      <c r="L53" s="3003"/>
      <c r="M53" s="3003"/>
      <c r="N53" s="3003"/>
      <c r="O53" s="3003"/>
      <c r="P53" s="3003"/>
      <c r="Q53" s="3003"/>
      <c r="R53" s="3003"/>
      <c r="S53" s="3003"/>
      <c r="T53" s="3003"/>
      <c r="U53" s="3003"/>
      <c r="V53" s="3003"/>
      <c r="W53" s="3003"/>
      <c r="X53" s="3003"/>
      <c r="Y53" s="3003"/>
      <c r="Z53" s="3012"/>
      <c r="AA53" s="580">
        <f>+AA52</f>
        <v>0</v>
      </c>
      <c r="AC53" s="1906"/>
      <c r="AD53" s="1906"/>
      <c r="AE53" s="1906"/>
    </row>
    <row r="54" spans="1:31" ht="18.75" hidden="1" x14ac:dyDescent="0.15">
      <c r="A54" s="3045"/>
      <c r="B54" s="3032"/>
      <c r="C54" s="1937" t="s">
        <v>339</v>
      </c>
      <c r="D54" s="1949">
        <v>0.78500000000000003</v>
      </c>
      <c r="E54" s="1901" t="s">
        <v>1067</v>
      </c>
      <c r="F54" s="1911"/>
      <c r="G54" s="3002"/>
      <c r="H54" s="3002"/>
      <c r="I54" s="3002"/>
      <c r="J54" s="3002"/>
      <c r="K54" s="3002"/>
      <c r="L54" s="3002"/>
      <c r="M54" s="3002"/>
      <c r="N54" s="3002"/>
      <c r="O54" s="3002"/>
      <c r="P54" s="3002"/>
      <c r="Q54" s="3002"/>
      <c r="R54" s="3002"/>
      <c r="S54" s="3002"/>
      <c r="T54" s="3002"/>
      <c r="U54" s="3002"/>
      <c r="V54" s="3002"/>
      <c r="W54" s="3002"/>
      <c r="X54" s="3002"/>
      <c r="Y54" s="3002"/>
      <c r="Z54" s="3011">
        <f>+TRUNC(+SUM(G54:Y55),2)</f>
        <v>0</v>
      </c>
      <c r="AA54" s="579">
        <f>SUM(G54:Z54)</f>
        <v>0</v>
      </c>
      <c r="AC54" s="1906"/>
      <c r="AD54" s="1906"/>
      <c r="AE54" s="1906"/>
    </row>
    <row r="55" spans="1:31" ht="49.5" hidden="1" x14ac:dyDescent="0.15">
      <c r="A55" s="3045"/>
      <c r="B55" s="3032"/>
      <c r="C55" s="1936" t="s">
        <v>2041</v>
      </c>
      <c r="D55" s="1951"/>
      <c r="E55" s="1904" t="s">
        <v>1067</v>
      </c>
      <c r="F55" s="1935"/>
      <c r="G55" s="3003"/>
      <c r="H55" s="3003"/>
      <c r="I55" s="3003"/>
      <c r="J55" s="3003"/>
      <c r="K55" s="3003"/>
      <c r="L55" s="3003"/>
      <c r="M55" s="3003"/>
      <c r="N55" s="3003"/>
      <c r="O55" s="3003"/>
      <c r="P55" s="3003"/>
      <c r="Q55" s="3003"/>
      <c r="R55" s="3003"/>
      <c r="S55" s="3003"/>
      <c r="T55" s="3003"/>
      <c r="U55" s="3003"/>
      <c r="V55" s="3003"/>
      <c r="W55" s="3003"/>
      <c r="X55" s="3003"/>
      <c r="Y55" s="3003"/>
      <c r="Z55" s="3012"/>
      <c r="AA55" s="580">
        <f>+AA54</f>
        <v>0</v>
      </c>
      <c r="AD55" s="1906"/>
      <c r="AE55" s="1906"/>
    </row>
    <row r="56" spans="1:31" ht="18.75" hidden="1" x14ac:dyDescent="0.15">
      <c r="A56" s="3045"/>
      <c r="B56" s="3032"/>
      <c r="C56" s="1937" t="s">
        <v>339</v>
      </c>
      <c r="D56" s="1949">
        <v>0.78500000000000003</v>
      </c>
      <c r="E56" s="1901" t="s">
        <v>1067</v>
      </c>
      <c r="F56" s="1911"/>
      <c r="G56" s="3002"/>
      <c r="H56" s="3002"/>
      <c r="I56" s="3002"/>
      <c r="J56" s="3002"/>
      <c r="K56" s="3002"/>
      <c r="L56" s="3002"/>
      <c r="M56" s="3002"/>
      <c r="N56" s="3002"/>
      <c r="O56" s="3002"/>
      <c r="P56" s="3002"/>
      <c r="Q56" s="3002"/>
      <c r="R56" s="3002"/>
      <c r="S56" s="3002"/>
      <c r="T56" s="3002"/>
      <c r="U56" s="3002"/>
      <c r="V56" s="3002"/>
      <c r="W56" s="3002"/>
      <c r="X56" s="3002"/>
      <c r="Y56" s="3002"/>
      <c r="Z56" s="3011">
        <f>+TRUNC(+SUM(G56:Y57),2)</f>
        <v>0</v>
      </c>
      <c r="AA56" s="579">
        <f>SUM(G56:Z56)</f>
        <v>0</v>
      </c>
      <c r="AC56" s="1906"/>
      <c r="AD56" s="1906"/>
      <c r="AE56" s="1906"/>
    </row>
    <row r="57" spans="1:31" ht="49.5" hidden="1" x14ac:dyDescent="0.15">
      <c r="A57" s="3045"/>
      <c r="B57" s="3032"/>
      <c r="C57" s="1936" t="s">
        <v>2042</v>
      </c>
      <c r="D57" s="1951"/>
      <c r="E57" s="1904" t="s">
        <v>1067</v>
      </c>
      <c r="F57" s="1935"/>
      <c r="G57" s="3003"/>
      <c r="H57" s="3003"/>
      <c r="I57" s="3003"/>
      <c r="J57" s="3003"/>
      <c r="K57" s="3003"/>
      <c r="L57" s="3003"/>
      <c r="M57" s="3003"/>
      <c r="N57" s="3003"/>
      <c r="O57" s="3003"/>
      <c r="P57" s="3003"/>
      <c r="Q57" s="3003"/>
      <c r="R57" s="3003"/>
      <c r="S57" s="3003"/>
      <c r="T57" s="3003"/>
      <c r="U57" s="3003"/>
      <c r="V57" s="3003"/>
      <c r="W57" s="3003"/>
      <c r="X57" s="3003"/>
      <c r="Y57" s="3003"/>
      <c r="Z57" s="3012"/>
      <c r="AA57" s="580">
        <f>+AA56</f>
        <v>0</v>
      </c>
      <c r="AD57" s="1906"/>
      <c r="AE57" s="1906"/>
    </row>
    <row r="58" spans="1:31" ht="18.75" hidden="1" x14ac:dyDescent="0.15">
      <c r="A58" s="3045"/>
      <c r="B58" s="3032"/>
      <c r="C58" s="1937" t="s">
        <v>339</v>
      </c>
      <c r="D58" s="1949">
        <v>0.28000000000000003</v>
      </c>
      <c r="E58" s="1901" t="s">
        <v>1067</v>
      </c>
      <c r="F58" s="1911"/>
      <c r="G58" s="3002"/>
      <c r="H58" s="3002"/>
      <c r="I58" s="3002"/>
      <c r="J58" s="3002"/>
      <c r="K58" s="3002"/>
      <c r="L58" s="3002"/>
      <c r="M58" s="3002"/>
      <c r="N58" s="3002"/>
      <c r="O58" s="3002"/>
      <c r="P58" s="3002"/>
      <c r="Q58" s="3002"/>
      <c r="R58" s="3002"/>
      <c r="S58" s="3002"/>
      <c r="T58" s="3002"/>
      <c r="U58" s="3002"/>
      <c r="V58" s="3002"/>
      <c r="W58" s="3002"/>
      <c r="X58" s="3002"/>
      <c r="Y58" s="3002"/>
      <c r="Z58" s="3011">
        <f>+TRUNC(+SUM(G58:Y59),2)</f>
        <v>0</v>
      </c>
      <c r="AA58" s="579">
        <f>SUM(G58:Z58)</f>
        <v>0</v>
      </c>
      <c r="AC58" s="1906"/>
      <c r="AD58" s="1906"/>
      <c r="AE58" s="1906"/>
    </row>
    <row r="59" spans="1:31" ht="49.5" hidden="1" x14ac:dyDescent="0.15">
      <c r="A59" s="3045"/>
      <c r="B59" s="3032"/>
      <c r="C59" s="1900" t="s">
        <v>2375</v>
      </c>
      <c r="D59" s="1951"/>
      <c r="E59" s="1904" t="s">
        <v>1067</v>
      </c>
      <c r="F59" s="1935"/>
      <c r="G59" s="3003"/>
      <c r="H59" s="3003"/>
      <c r="I59" s="3003"/>
      <c r="J59" s="3003"/>
      <c r="K59" s="3003"/>
      <c r="L59" s="3003"/>
      <c r="M59" s="3003"/>
      <c r="N59" s="3003"/>
      <c r="O59" s="3003"/>
      <c r="P59" s="3003"/>
      <c r="Q59" s="3003"/>
      <c r="R59" s="3003"/>
      <c r="S59" s="3003"/>
      <c r="T59" s="3003"/>
      <c r="U59" s="3003"/>
      <c r="V59" s="3003"/>
      <c r="W59" s="3003"/>
      <c r="X59" s="3003"/>
      <c r="Y59" s="3003"/>
      <c r="Z59" s="3012"/>
      <c r="AA59" s="580">
        <f>+AA58</f>
        <v>0</v>
      </c>
      <c r="AD59" s="1906"/>
      <c r="AE59" s="1906"/>
    </row>
    <row r="60" spans="1:31" ht="18.75" hidden="1" x14ac:dyDescent="0.15">
      <c r="A60" s="3045"/>
      <c r="B60" s="3032"/>
      <c r="C60" s="1937" t="s">
        <v>339</v>
      </c>
      <c r="D60" s="1949">
        <v>0.28000000000000003</v>
      </c>
      <c r="E60" s="1901" t="s">
        <v>1067</v>
      </c>
      <c r="F60" s="1911"/>
      <c r="G60" s="3002"/>
      <c r="H60" s="3002"/>
      <c r="I60" s="3002"/>
      <c r="J60" s="3002"/>
      <c r="K60" s="3002"/>
      <c r="L60" s="3002"/>
      <c r="M60" s="3002"/>
      <c r="N60" s="3002"/>
      <c r="O60" s="3002"/>
      <c r="P60" s="3002"/>
      <c r="Q60" s="3002"/>
      <c r="R60" s="3002"/>
      <c r="S60" s="3002"/>
      <c r="T60" s="3002"/>
      <c r="U60" s="3002"/>
      <c r="V60" s="3002"/>
      <c r="W60" s="3002"/>
      <c r="X60" s="3002"/>
      <c r="Y60" s="3002"/>
      <c r="Z60" s="3011">
        <f>+TRUNC(+SUM(G60:Y61),2)</f>
        <v>0</v>
      </c>
      <c r="AA60" s="579">
        <f>SUM(G60:Z60)</f>
        <v>0</v>
      </c>
      <c r="AC60" s="1906"/>
      <c r="AD60" s="1906"/>
      <c r="AE60" s="1906"/>
    </row>
    <row r="61" spans="1:31" ht="49.5" hidden="1" x14ac:dyDescent="0.15">
      <c r="A61" s="3045"/>
      <c r="B61" s="3032"/>
      <c r="C61" s="1900" t="s">
        <v>2374</v>
      </c>
      <c r="D61" s="1951"/>
      <c r="E61" s="1904" t="s">
        <v>1067</v>
      </c>
      <c r="F61" s="1935"/>
      <c r="G61" s="3003"/>
      <c r="H61" s="3003"/>
      <c r="I61" s="3003"/>
      <c r="J61" s="3003"/>
      <c r="K61" s="3003"/>
      <c r="L61" s="3003"/>
      <c r="M61" s="3003"/>
      <c r="N61" s="3003"/>
      <c r="O61" s="3003"/>
      <c r="P61" s="3003"/>
      <c r="Q61" s="3003"/>
      <c r="R61" s="3003"/>
      <c r="S61" s="3003"/>
      <c r="T61" s="3003"/>
      <c r="U61" s="3003"/>
      <c r="V61" s="3003"/>
      <c r="W61" s="3003"/>
      <c r="X61" s="3003"/>
      <c r="Y61" s="3003"/>
      <c r="Z61" s="3012"/>
      <c r="AA61" s="580">
        <f>+AA60</f>
        <v>0</v>
      </c>
      <c r="AD61" s="1906"/>
      <c r="AE61" s="1906"/>
    </row>
    <row r="62" spans="1:31" ht="18.75" hidden="1" x14ac:dyDescent="0.15">
      <c r="A62" s="3045"/>
      <c r="B62" s="3032"/>
      <c r="C62" s="1937" t="s">
        <v>339</v>
      </c>
      <c r="D62" s="1949">
        <v>0.28000000000000003</v>
      </c>
      <c r="E62" s="1901" t="s">
        <v>1067</v>
      </c>
      <c r="F62" s="1911"/>
      <c r="G62" s="3002"/>
      <c r="H62" s="3002"/>
      <c r="I62" s="3002"/>
      <c r="J62" s="3002"/>
      <c r="K62" s="3002"/>
      <c r="L62" s="3002"/>
      <c r="M62" s="3002"/>
      <c r="N62" s="3002"/>
      <c r="O62" s="3002"/>
      <c r="P62" s="3002"/>
      <c r="Q62" s="3002"/>
      <c r="R62" s="3002"/>
      <c r="S62" s="3002"/>
      <c r="T62" s="3002"/>
      <c r="U62" s="3002"/>
      <c r="V62" s="3002"/>
      <c r="W62" s="3002"/>
      <c r="X62" s="3002"/>
      <c r="Y62" s="3002"/>
      <c r="Z62" s="3011">
        <f>+TRUNC(+SUM(G62:Y63),2)</f>
        <v>0</v>
      </c>
      <c r="AA62" s="579">
        <f>SUM(G62:Z62)</f>
        <v>0</v>
      </c>
      <c r="AC62" s="1906"/>
      <c r="AD62" s="1906"/>
      <c r="AE62" s="1906"/>
    </row>
    <row r="63" spans="1:31" ht="49.5" hidden="1" x14ac:dyDescent="0.15">
      <c r="A63" s="3045"/>
      <c r="B63" s="3032"/>
      <c r="C63" s="1900" t="s">
        <v>2373</v>
      </c>
      <c r="D63" s="1951"/>
      <c r="E63" s="1904" t="s">
        <v>1067</v>
      </c>
      <c r="F63" s="1935"/>
      <c r="G63" s="3003"/>
      <c r="H63" s="3003"/>
      <c r="I63" s="3003"/>
      <c r="J63" s="3003"/>
      <c r="K63" s="3003"/>
      <c r="L63" s="3003"/>
      <c r="M63" s="3003"/>
      <c r="N63" s="3003"/>
      <c r="O63" s="3003"/>
      <c r="P63" s="3003"/>
      <c r="Q63" s="3003"/>
      <c r="R63" s="3003"/>
      <c r="S63" s="3003"/>
      <c r="T63" s="3003"/>
      <c r="U63" s="3003"/>
      <c r="V63" s="3003"/>
      <c r="W63" s="3003"/>
      <c r="X63" s="3003"/>
      <c r="Y63" s="3003"/>
      <c r="Z63" s="3012"/>
      <c r="AA63" s="580">
        <f>+AA62</f>
        <v>0</v>
      </c>
      <c r="AD63" s="1906"/>
      <c r="AE63" s="1906"/>
    </row>
    <row r="64" spans="1:31" ht="18.75" hidden="1" x14ac:dyDescent="0.15">
      <c r="A64" s="3045"/>
      <c r="B64" s="3032"/>
      <c r="C64" s="1937" t="s">
        <v>339</v>
      </c>
      <c r="D64" s="1949">
        <v>0.28000000000000003</v>
      </c>
      <c r="E64" s="1901" t="s">
        <v>1067</v>
      </c>
      <c r="F64" s="1911"/>
      <c r="G64" s="3002"/>
      <c r="H64" s="3002"/>
      <c r="I64" s="3002"/>
      <c r="J64" s="3002"/>
      <c r="K64" s="3002"/>
      <c r="L64" s="3002"/>
      <c r="M64" s="3002"/>
      <c r="N64" s="3002"/>
      <c r="O64" s="3002"/>
      <c r="P64" s="3002"/>
      <c r="Q64" s="3002"/>
      <c r="R64" s="3002"/>
      <c r="S64" s="3002"/>
      <c r="T64" s="3002"/>
      <c r="U64" s="3002"/>
      <c r="V64" s="3002"/>
      <c r="W64" s="3002"/>
      <c r="X64" s="3002"/>
      <c r="Y64" s="3002"/>
      <c r="Z64" s="3011">
        <f>+TRUNC(+SUM(G64:Y65),2)</f>
        <v>0</v>
      </c>
      <c r="AA64" s="579">
        <f>SUM(G64:Z64)</f>
        <v>0</v>
      </c>
      <c r="AC64" s="1906"/>
      <c r="AD64" s="1906"/>
      <c r="AE64" s="1906"/>
    </row>
    <row r="65" spans="1:31" ht="49.5" hidden="1" x14ac:dyDescent="0.15">
      <c r="A65" s="3045"/>
      <c r="B65" s="3032"/>
      <c r="C65" s="1900" t="s">
        <v>2372</v>
      </c>
      <c r="D65" s="1951"/>
      <c r="E65" s="1904" t="s">
        <v>1067</v>
      </c>
      <c r="F65" s="1935"/>
      <c r="G65" s="3003"/>
      <c r="H65" s="3003"/>
      <c r="I65" s="3003"/>
      <c r="J65" s="3003"/>
      <c r="K65" s="3003"/>
      <c r="L65" s="3003"/>
      <c r="M65" s="3003"/>
      <c r="N65" s="3003"/>
      <c r="O65" s="3003"/>
      <c r="P65" s="3003"/>
      <c r="Q65" s="3003"/>
      <c r="R65" s="3003"/>
      <c r="S65" s="3003"/>
      <c r="T65" s="3003"/>
      <c r="U65" s="3003"/>
      <c r="V65" s="3003"/>
      <c r="W65" s="3003"/>
      <c r="X65" s="3003"/>
      <c r="Y65" s="3003"/>
      <c r="Z65" s="3012"/>
      <c r="AA65" s="580">
        <f>+AA64</f>
        <v>0</v>
      </c>
      <c r="AD65" s="1906"/>
      <c r="AE65" s="1906"/>
    </row>
    <row r="66" spans="1:31" ht="18.75" x14ac:dyDescent="0.15">
      <c r="A66" s="3045"/>
      <c r="B66" s="3032"/>
      <c r="C66" s="1937" t="s">
        <v>339</v>
      </c>
      <c r="D66" s="1949">
        <v>0.28000000000000003</v>
      </c>
      <c r="E66" s="1901" t="s">
        <v>1067</v>
      </c>
      <c r="F66" s="1911"/>
      <c r="G66" s="3002">
        <v>2</v>
      </c>
      <c r="H66" s="3002"/>
      <c r="I66" s="3002"/>
      <c r="J66" s="3002"/>
      <c r="K66" s="3002"/>
      <c r="L66" s="3002"/>
      <c r="M66" s="3002">
        <v>4</v>
      </c>
      <c r="N66" s="3002"/>
      <c r="O66" s="3002">
        <v>2</v>
      </c>
      <c r="P66" s="3002"/>
      <c r="Q66" s="3002">
        <v>4</v>
      </c>
      <c r="R66" s="3002">
        <v>2</v>
      </c>
      <c r="S66" s="3002">
        <v>2</v>
      </c>
      <c r="T66" s="3002">
        <v>2</v>
      </c>
      <c r="U66" s="3002">
        <v>2</v>
      </c>
      <c r="V66" s="3002">
        <v>2</v>
      </c>
      <c r="W66" s="3002"/>
      <c r="X66" s="3002"/>
      <c r="Y66" s="3002"/>
      <c r="Z66" s="3011">
        <f>+TRUNC(+SUM(G66:Y67),2)</f>
        <v>22</v>
      </c>
      <c r="AA66" s="579">
        <f>SUM(G66:Z66)</f>
        <v>44</v>
      </c>
      <c r="AC66" s="1906"/>
      <c r="AD66" s="1906"/>
      <c r="AE66" s="1906"/>
    </row>
    <row r="67" spans="1:31" ht="49.5" x14ac:dyDescent="0.15">
      <c r="A67" s="3045"/>
      <c r="B67" s="3032"/>
      <c r="C67" s="1936" t="s">
        <v>2043</v>
      </c>
      <c r="D67" s="1951"/>
      <c r="E67" s="1904" t="s">
        <v>1067</v>
      </c>
      <c r="F67" s="1935"/>
      <c r="G67" s="3003"/>
      <c r="H67" s="3003"/>
      <c r="I67" s="3003"/>
      <c r="J67" s="3003"/>
      <c r="K67" s="3003"/>
      <c r="L67" s="3003"/>
      <c r="M67" s="3003"/>
      <c r="N67" s="3003"/>
      <c r="O67" s="3003"/>
      <c r="P67" s="3003"/>
      <c r="Q67" s="3003"/>
      <c r="R67" s="3003"/>
      <c r="S67" s="3003"/>
      <c r="T67" s="3003"/>
      <c r="U67" s="3003"/>
      <c r="V67" s="3003"/>
      <c r="W67" s="3003"/>
      <c r="X67" s="3003"/>
      <c r="Y67" s="3003"/>
      <c r="Z67" s="3012"/>
      <c r="AA67" s="580">
        <f>+AA66</f>
        <v>44</v>
      </c>
      <c r="AD67" s="1906"/>
      <c r="AE67" s="1906"/>
    </row>
    <row r="68" spans="1:31" ht="18.75" hidden="1" x14ac:dyDescent="0.15">
      <c r="A68" s="3045"/>
      <c r="B68" s="3032"/>
      <c r="C68" s="1937" t="s">
        <v>339</v>
      </c>
      <c r="D68" s="1949">
        <v>0.28000000000000003</v>
      </c>
      <c r="E68" s="1901" t="s">
        <v>1067</v>
      </c>
      <c r="F68" s="1911"/>
      <c r="G68" s="3002"/>
      <c r="H68" s="3002"/>
      <c r="I68" s="3002"/>
      <c r="J68" s="3002"/>
      <c r="K68" s="3002"/>
      <c r="L68" s="3002"/>
      <c r="M68" s="3002"/>
      <c r="N68" s="3002"/>
      <c r="O68" s="3002"/>
      <c r="P68" s="3002"/>
      <c r="Q68" s="3002"/>
      <c r="R68" s="3002"/>
      <c r="S68" s="3002"/>
      <c r="T68" s="3002"/>
      <c r="U68" s="3002"/>
      <c r="V68" s="3002"/>
      <c r="W68" s="3002"/>
      <c r="X68" s="3002"/>
      <c r="Y68" s="3002"/>
      <c r="Z68" s="3011">
        <f>+TRUNC(+SUM(G68:Y69),2)</f>
        <v>0</v>
      </c>
      <c r="AA68" s="579">
        <f>SUM(G68:Z68)</f>
        <v>0</v>
      </c>
      <c r="AC68" s="1906"/>
      <c r="AD68" s="1906"/>
      <c r="AE68" s="1906"/>
    </row>
    <row r="69" spans="1:31" ht="49.5" hidden="1" x14ac:dyDescent="0.15">
      <c r="A69" s="3045"/>
      <c r="B69" s="3032"/>
      <c r="C69" s="1936" t="s">
        <v>2371</v>
      </c>
      <c r="D69" s="1951"/>
      <c r="E69" s="1904" t="s">
        <v>1067</v>
      </c>
      <c r="F69" s="1935"/>
      <c r="G69" s="3003"/>
      <c r="H69" s="3003"/>
      <c r="I69" s="3003"/>
      <c r="J69" s="3003"/>
      <c r="K69" s="3003"/>
      <c r="L69" s="3003"/>
      <c r="M69" s="3003"/>
      <c r="N69" s="3003"/>
      <c r="O69" s="3003"/>
      <c r="P69" s="3003"/>
      <c r="Q69" s="3003"/>
      <c r="R69" s="3003"/>
      <c r="S69" s="3003"/>
      <c r="T69" s="3003"/>
      <c r="U69" s="3003"/>
      <c r="V69" s="3003"/>
      <c r="W69" s="3003"/>
      <c r="X69" s="3003"/>
      <c r="Y69" s="3003"/>
      <c r="Z69" s="3012"/>
      <c r="AA69" s="580">
        <f>+AA68</f>
        <v>0</v>
      </c>
      <c r="AD69" s="1906"/>
      <c r="AE69" s="1906"/>
    </row>
    <row r="70" spans="1:31" ht="18.75" hidden="1" x14ac:dyDescent="0.15">
      <c r="A70" s="3045"/>
      <c r="B70" s="3032"/>
      <c r="C70" s="1937" t="s">
        <v>339</v>
      </c>
      <c r="D70" s="1949">
        <v>0.28000000000000003</v>
      </c>
      <c r="E70" s="1901" t="s">
        <v>1067</v>
      </c>
      <c r="F70" s="1911"/>
      <c r="G70" s="3002"/>
      <c r="H70" s="3002"/>
      <c r="I70" s="3002"/>
      <c r="J70" s="3002"/>
      <c r="K70" s="3002"/>
      <c r="L70" s="3002"/>
      <c r="M70" s="3002"/>
      <c r="N70" s="3002"/>
      <c r="O70" s="3002"/>
      <c r="P70" s="3002"/>
      <c r="Q70" s="3002"/>
      <c r="R70" s="3002"/>
      <c r="S70" s="3002"/>
      <c r="T70" s="3002"/>
      <c r="U70" s="3002"/>
      <c r="V70" s="3002"/>
      <c r="W70" s="3002"/>
      <c r="X70" s="3002"/>
      <c r="Y70" s="3002"/>
      <c r="Z70" s="3011">
        <f>+TRUNC(+SUM(G70:Y71),2)</f>
        <v>0</v>
      </c>
      <c r="AA70" s="579">
        <f>SUM(G70:Z70)</f>
        <v>0</v>
      </c>
      <c r="AC70" s="1906"/>
      <c r="AD70" s="1906"/>
      <c r="AE70" s="1906"/>
    </row>
    <row r="71" spans="1:31" ht="49.5" hidden="1" x14ac:dyDescent="0.15">
      <c r="A71" s="3045"/>
      <c r="B71" s="3032"/>
      <c r="C71" s="1900" t="s">
        <v>2370</v>
      </c>
      <c r="D71" s="1951"/>
      <c r="E71" s="1904" t="s">
        <v>1067</v>
      </c>
      <c r="F71" s="1935"/>
      <c r="G71" s="3003"/>
      <c r="H71" s="3003"/>
      <c r="I71" s="3003"/>
      <c r="J71" s="3003"/>
      <c r="K71" s="3003"/>
      <c r="L71" s="3003"/>
      <c r="M71" s="3003"/>
      <c r="N71" s="3003"/>
      <c r="O71" s="3003"/>
      <c r="P71" s="3003"/>
      <c r="Q71" s="3003"/>
      <c r="R71" s="3003"/>
      <c r="S71" s="3003"/>
      <c r="T71" s="3003"/>
      <c r="U71" s="3003"/>
      <c r="V71" s="3003"/>
      <c r="W71" s="3003"/>
      <c r="X71" s="3003"/>
      <c r="Y71" s="3003"/>
      <c r="Z71" s="3012"/>
      <c r="AA71" s="580">
        <f>+AA70</f>
        <v>0</v>
      </c>
      <c r="AD71" s="1906"/>
      <c r="AE71" s="1906"/>
    </row>
    <row r="72" spans="1:31" ht="18.75" hidden="1" x14ac:dyDescent="0.15">
      <c r="A72" s="3045"/>
      <c r="B72" s="3032"/>
      <c r="C72" s="1937" t="s">
        <v>339</v>
      </c>
      <c r="D72" s="1949">
        <v>0.28000000000000003</v>
      </c>
      <c r="E72" s="1901" t="s">
        <v>1067</v>
      </c>
      <c r="F72" s="1911"/>
      <c r="G72" s="3002"/>
      <c r="H72" s="3002"/>
      <c r="I72" s="3002"/>
      <c r="J72" s="3002"/>
      <c r="K72" s="3002"/>
      <c r="L72" s="3002"/>
      <c r="M72" s="3002"/>
      <c r="N72" s="3002"/>
      <c r="O72" s="3002"/>
      <c r="P72" s="3002"/>
      <c r="Q72" s="3002"/>
      <c r="R72" s="3002"/>
      <c r="S72" s="3002"/>
      <c r="T72" s="3002"/>
      <c r="U72" s="3002"/>
      <c r="V72" s="3002"/>
      <c r="W72" s="3002"/>
      <c r="X72" s="3002"/>
      <c r="Y72" s="3002"/>
      <c r="Z72" s="3011">
        <f>+TRUNC(+SUM(G72:Y73),2)</f>
        <v>0</v>
      </c>
      <c r="AA72" s="579">
        <f>SUM(G72:Z72)</f>
        <v>0</v>
      </c>
      <c r="AC72" s="1906"/>
      <c r="AD72" s="1906"/>
      <c r="AE72" s="1906"/>
    </row>
    <row r="73" spans="1:31" ht="49.5" hidden="1" x14ac:dyDescent="0.15">
      <c r="A73" s="3045"/>
      <c r="B73" s="3032"/>
      <c r="C73" s="1900" t="s">
        <v>2369</v>
      </c>
      <c r="D73" s="1951"/>
      <c r="E73" s="1904" t="s">
        <v>1067</v>
      </c>
      <c r="F73" s="1935"/>
      <c r="G73" s="3003"/>
      <c r="H73" s="3003"/>
      <c r="I73" s="3003"/>
      <c r="J73" s="3003"/>
      <c r="K73" s="3003"/>
      <c r="L73" s="3003"/>
      <c r="M73" s="3003"/>
      <c r="N73" s="3003"/>
      <c r="O73" s="3003"/>
      <c r="P73" s="3003"/>
      <c r="Q73" s="3003"/>
      <c r="R73" s="3003"/>
      <c r="S73" s="3003"/>
      <c r="T73" s="3003"/>
      <c r="U73" s="3003"/>
      <c r="V73" s="3003"/>
      <c r="W73" s="3003"/>
      <c r="X73" s="3003"/>
      <c r="Y73" s="3003"/>
      <c r="Z73" s="3012"/>
      <c r="AA73" s="580">
        <f>+AA72</f>
        <v>0</v>
      </c>
      <c r="AD73" s="1906"/>
      <c r="AE73" s="1906"/>
    </row>
    <row r="74" spans="1:31" ht="18.75" hidden="1" x14ac:dyDescent="0.15">
      <c r="A74" s="3045"/>
      <c r="B74" s="3032"/>
      <c r="C74" s="1937" t="s">
        <v>339</v>
      </c>
      <c r="D74" s="1949">
        <v>0.28000000000000003</v>
      </c>
      <c r="E74" s="1901" t="s">
        <v>1067</v>
      </c>
      <c r="F74" s="1911"/>
      <c r="G74" s="3002"/>
      <c r="H74" s="3002"/>
      <c r="I74" s="3002"/>
      <c r="J74" s="3002"/>
      <c r="K74" s="3002"/>
      <c r="L74" s="3002"/>
      <c r="M74" s="3002"/>
      <c r="N74" s="3002"/>
      <c r="O74" s="3002"/>
      <c r="P74" s="3002"/>
      <c r="Q74" s="3002"/>
      <c r="R74" s="3002"/>
      <c r="S74" s="3002"/>
      <c r="T74" s="3002"/>
      <c r="U74" s="3002"/>
      <c r="V74" s="3002"/>
      <c r="W74" s="3002"/>
      <c r="X74" s="3002"/>
      <c r="Y74" s="3002"/>
      <c r="Z74" s="3011">
        <f>+TRUNC(+SUM(G74:Y75),2)</f>
        <v>0</v>
      </c>
      <c r="AA74" s="579">
        <f>SUM(G74:Z74)</f>
        <v>0</v>
      </c>
      <c r="AC74" s="1906"/>
      <c r="AD74" s="1906"/>
      <c r="AE74" s="1906"/>
    </row>
    <row r="75" spans="1:31" ht="49.5" hidden="1" x14ac:dyDescent="0.15">
      <c r="A75" s="3045"/>
      <c r="B75" s="3032"/>
      <c r="C75" s="1900" t="s">
        <v>2368</v>
      </c>
      <c r="D75" s="1951"/>
      <c r="E75" s="1904" t="s">
        <v>1067</v>
      </c>
      <c r="F75" s="1935"/>
      <c r="G75" s="3003"/>
      <c r="H75" s="3003"/>
      <c r="I75" s="3003"/>
      <c r="J75" s="3003"/>
      <c r="K75" s="3003"/>
      <c r="L75" s="3003"/>
      <c r="M75" s="3003"/>
      <c r="N75" s="3003"/>
      <c r="O75" s="3003"/>
      <c r="P75" s="3003"/>
      <c r="Q75" s="3003"/>
      <c r="R75" s="3003"/>
      <c r="S75" s="3003"/>
      <c r="T75" s="3003"/>
      <c r="U75" s="3003"/>
      <c r="V75" s="3003"/>
      <c r="W75" s="3003"/>
      <c r="X75" s="3003"/>
      <c r="Y75" s="3003"/>
      <c r="Z75" s="3012"/>
      <c r="AA75" s="580">
        <f>+AA74</f>
        <v>0</v>
      </c>
      <c r="AD75" s="1906"/>
      <c r="AE75" s="1906"/>
    </row>
    <row r="76" spans="1:31" ht="18.75" hidden="1" x14ac:dyDescent="0.15">
      <c r="A76" s="3045"/>
      <c r="B76" s="3032"/>
      <c r="C76" s="1937" t="s">
        <v>339</v>
      </c>
      <c r="D76" s="1949">
        <v>0.28000000000000003</v>
      </c>
      <c r="E76" s="1901" t="s">
        <v>1067</v>
      </c>
      <c r="F76" s="1911"/>
      <c r="G76" s="3002"/>
      <c r="H76" s="3002"/>
      <c r="I76" s="3002"/>
      <c r="J76" s="3002"/>
      <c r="K76" s="3002"/>
      <c r="L76" s="3002"/>
      <c r="M76" s="3002"/>
      <c r="N76" s="3002"/>
      <c r="O76" s="3002"/>
      <c r="P76" s="3002"/>
      <c r="Q76" s="3002"/>
      <c r="R76" s="3002"/>
      <c r="S76" s="3002"/>
      <c r="T76" s="3002"/>
      <c r="U76" s="3002"/>
      <c r="V76" s="3002"/>
      <c r="W76" s="3002"/>
      <c r="X76" s="3002"/>
      <c r="Y76" s="3002"/>
      <c r="Z76" s="3011">
        <f>+TRUNC(+SUM(G76:Y77),2)</f>
        <v>0</v>
      </c>
      <c r="AA76" s="579">
        <f>SUM(G76:Z76)</f>
        <v>0</v>
      </c>
      <c r="AC76" s="1906"/>
      <c r="AD76" s="1906"/>
      <c r="AE76" s="1906"/>
    </row>
    <row r="77" spans="1:31" ht="49.5" hidden="1" x14ac:dyDescent="0.15">
      <c r="A77" s="3045"/>
      <c r="B77" s="3032"/>
      <c r="C77" s="1900" t="s">
        <v>2367</v>
      </c>
      <c r="D77" s="1951"/>
      <c r="E77" s="1904" t="s">
        <v>1067</v>
      </c>
      <c r="F77" s="1935"/>
      <c r="G77" s="3003"/>
      <c r="H77" s="3003"/>
      <c r="I77" s="3003"/>
      <c r="J77" s="3003"/>
      <c r="K77" s="3003"/>
      <c r="L77" s="3003"/>
      <c r="M77" s="3003"/>
      <c r="N77" s="3003"/>
      <c r="O77" s="3003"/>
      <c r="P77" s="3003"/>
      <c r="Q77" s="3003"/>
      <c r="R77" s="3003"/>
      <c r="S77" s="3003"/>
      <c r="T77" s="3003"/>
      <c r="U77" s="3003"/>
      <c r="V77" s="3003"/>
      <c r="W77" s="3003"/>
      <c r="X77" s="3003"/>
      <c r="Y77" s="3003"/>
      <c r="Z77" s="3012"/>
      <c r="AA77" s="580">
        <f>+AA76</f>
        <v>0</v>
      </c>
      <c r="AD77" s="1906"/>
      <c r="AE77" s="1906"/>
    </row>
    <row r="78" spans="1:31" ht="18.75" hidden="1" x14ac:dyDescent="0.15">
      <c r="A78" s="3045"/>
      <c r="B78" s="3032"/>
      <c r="C78" s="1937" t="s">
        <v>339</v>
      </c>
      <c r="D78" s="1949">
        <v>0.28000000000000003</v>
      </c>
      <c r="E78" s="1901" t="s">
        <v>1067</v>
      </c>
      <c r="F78" s="1911"/>
      <c r="G78" s="3002"/>
      <c r="H78" s="3002"/>
      <c r="I78" s="3002"/>
      <c r="J78" s="3002"/>
      <c r="K78" s="3002"/>
      <c r="L78" s="3002"/>
      <c r="M78" s="3002"/>
      <c r="N78" s="3002"/>
      <c r="O78" s="3002"/>
      <c r="P78" s="3002"/>
      <c r="Q78" s="3002"/>
      <c r="R78" s="3002"/>
      <c r="S78" s="3002"/>
      <c r="T78" s="3002"/>
      <c r="U78" s="3002"/>
      <c r="V78" s="3002"/>
      <c r="W78" s="3002"/>
      <c r="X78" s="3002"/>
      <c r="Y78" s="3002"/>
      <c r="Z78" s="3011">
        <f>+TRUNC(+SUM(G78:Y79),2)</f>
        <v>0</v>
      </c>
      <c r="AA78" s="579">
        <f>SUM(G78:Z78)</f>
        <v>0</v>
      </c>
      <c r="AC78" s="1906"/>
      <c r="AD78" s="1906"/>
      <c r="AE78" s="1906"/>
    </row>
    <row r="79" spans="1:31" ht="49.5" hidden="1" x14ac:dyDescent="0.15">
      <c r="A79" s="3045"/>
      <c r="B79" s="3032"/>
      <c r="C79" s="1900" t="s">
        <v>2366</v>
      </c>
      <c r="D79" s="1951"/>
      <c r="E79" s="1904" t="s">
        <v>1067</v>
      </c>
      <c r="F79" s="1935"/>
      <c r="G79" s="3003"/>
      <c r="H79" s="3003"/>
      <c r="I79" s="3003"/>
      <c r="J79" s="3003"/>
      <c r="K79" s="3003"/>
      <c r="L79" s="3003"/>
      <c r="M79" s="3003"/>
      <c r="N79" s="3003"/>
      <c r="O79" s="3003"/>
      <c r="P79" s="3003"/>
      <c r="Q79" s="3003"/>
      <c r="R79" s="3003"/>
      <c r="S79" s="3003"/>
      <c r="T79" s="3003"/>
      <c r="U79" s="3003"/>
      <c r="V79" s="3003"/>
      <c r="W79" s="3003"/>
      <c r="X79" s="3003"/>
      <c r="Y79" s="3003"/>
      <c r="Z79" s="3012"/>
      <c r="AA79" s="580">
        <f>+AA78</f>
        <v>0</v>
      </c>
      <c r="AD79" s="1906"/>
      <c r="AE79" s="1906"/>
    </row>
    <row r="80" spans="1:31" ht="18.75" hidden="1" x14ac:dyDescent="0.15">
      <c r="A80" s="3045"/>
      <c r="B80" s="3032"/>
      <c r="C80" s="1937" t="s">
        <v>339</v>
      </c>
      <c r="D80" s="1949">
        <v>0.28000000000000003</v>
      </c>
      <c r="E80" s="1901" t="s">
        <v>1067</v>
      </c>
      <c r="F80" s="1911"/>
      <c r="G80" s="3002"/>
      <c r="H80" s="3002"/>
      <c r="I80" s="3002"/>
      <c r="J80" s="3002"/>
      <c r="K80" s="3002"/>
      <c r="L80" s="3002"/>
      <c r="M80" s="3002"/>
      <c r="N80" s="3002"/>
      <c r="O80" s="3002"/>
      <c r="P80" s="3002"/>
      <c r="Q80" s="3002"/>
      <c r="R80" s="3002"/>
      <c r="S80" s="3002"/>
      <c r="T80" s="3002"/>
      <c r="U80" s="3002"/>
      <c r="V80" s="3002"/>
      <c r="W80" s="3002"/>
      <c r="X80" s="3002"/>
      <c r="Y80" s="3002"/>
      <c r="Z80" s="3011">
        <f>+TRUNC(+SUM(G80:Y81),2)</f>
        <v>0</v>
      </c>
      <c r="AA80" s="579">
        <f>SUM(G80:Z80)</f>
        <v>0</v>
      </c>
      <c r="AC80" s="1906"/>
      <c r="AD80" s="1906"/>
      <c r="AE80" s="1906"/>
    </row>
    <row r="81" spans="1:31" ht="49.5" hidden="1" x14ac:dyDescent="0.15">
      <c r="A81" s="3045"/>
      <c r="B81" s="3032"/>
      <c r="C81" s="1900" t="s">
        <v>2365</v>
      </c>
      <c r="D81" s="1951"/>
      <c r="E81" s="1904" t="s">
        <v>1067</v>
      </c>
      <c r="F81" s="1935"/>
      <c r="G81" s="3003"/>
      <c r="H81" s="3003"/>
      <c r="I81" s="3003"/>
      <c r="J81" s="3003"/>
      <c r="K81" s="3003"/>
      <c r="L81" s="3003"/>
      <c r="M81" s="3003"/>
      <c r="N81" s="3003"/>
      <c r="O81" s="3003"/>
      <c r="P81" s="3003"/>
      <c r="Q81" s="3003"/>
      <c r="R81" s="3003"/>
      <c r="S81" s="3003"/>
      <c r="T81" s="3003"/>
      <c r="U81" s="3003"/>
      <c r="V81" s="3003"/>
      <c r="W81" s="3003"/>
      <c r="X81" s="3003"/>
      <c r="Y81" s="3003"/>
      <c r="Z81" s="3012"/>
      <c r="AA81" s="580">
        <f>+AA80</f>
        <v>0</v>
      </c>
      <c r="AD81" s="1906"/>
      <c r="AE81" s="1906"/>
    </row>
    <row r="82" spans="1:31" ht="18.75" hidden="1" x14ac:dyDescent="0.15">
      <c r="A82" s="3045"/>
      <c r="B82" s="3032"/>
      <c r="C82" s="1937" t="s">
        <v>339</v>
      </c>
      <c r="D82" s="1949">
        <v>0.28000000000000003</v>
      </c>
      <c r="E82" s="1901" t="s">
        <v>1067</v>
      </c>
      <c r="F82" s="1911"/>
      <c r="G82" s="3002"/>
      <c r="H82" s="3002"/>
      <c r="I82" s="3002"/>
      <c r="J82" s="3002"/>
      <c r="K82" s="3002"/>
      <c r="L82" s="3002"/>
      <c r="M82" s="3002"/>
      <c r="N82" s="3002"/>
      <c r="O82" s="3002"/>
      <c r="P82" s="3002"/>
      <c r="Q82" s="3002"/>
      <c r="R82" s="3002"/>
      <c r="S82" s="3002"/>
      <c r="T82" s="3002"/>
      <c r="U82" s="3002"/>
      <c r="V82" s="3002"/>
      <c r="W82" s="3002"/>
      <c r="X82" s="3002"/>
      <c r="Y82" s="3002"/>
      <c r="Z82" s="3011">
        <f>+TRUNC(+SUM(G82:Y83),2)</f>
        <v>0</v>
      </c>
      <c r="AA82" s="579">
        <f>SUM(G82:Z82)</f>
        <v>0</v>
      </c>
      <c r="AC82" s="1906"/>
      <c r="AD82" s="1906"/>
      <c r="AE82" s="1906"/>
    </row>
    <row r="83" spans="1:31" ht="49.5" hidden="1" x14ac:dyDescent="0.15">
      <c r="A83" s="3045"/>
      <c r="B83" s="3032"/>
      <c r="C83" s="1900" t="s">
        <v>2364</v>
      </c>
      <c r="D83" s="1951"/>
      <c r="E83" s="1904" t="s">
        <v>1067</v>
      </c>
      <c r="F83" s="1935"/>
      <c r="G83" s="3003"/>
      <c r="H83" s="3003"/>
      <c r="I83" s="3003"/>
      <c r="J83" s="3003"/>
      <c r="K83" s="3003"/>
      <c r="L83" s="3003"/>
      <c r="M83" s="3003"/>
      <c r="N83" s="3003"/>
      <c r="O83" s="3003"/>
      <c r="P83" s="3003"/>
      <c r="Q83" s="3003"/>
      <c r="R83" s="3003"/>
      <c r="S83" s="3003"/>
      <c r="T83" s="3003"/>
      <c r="U83" s="3003"/>
      <c r="V83" s="3003"/>
      <c r="W83" s="3003"/>
      <c r="X83" s="3003"/>
      <c r="Y83" s="3003"/>
      <c r="Z83" s="3012"/>
      <c r="AA83" s="580">
        <f>+AA82</f>
        <v>0</v>
      </c>
      <c r="AD83" s="1906"/>
      <c r="AE83" s="1906"/>
    </row>
    <row r="84" spans="1:31" ht="18.75" hidden="1" x14ac:dyDescent="0.15">
      <c r="A84" s="3045"/>
      <c r="B84" s="3032"/>
      <c r="C84" s="1937" t="s">
        <v>339</v>
      </c>
      <c r="D84" s="1949">
        <v>0.28000000000000003</v>
      </c>
      <c r="E84" s="1901" t="s">
        <v>1067</v>
      </c>
      <c r="F84" s="1911"/>
      <c r="G84" s="3002"/>
      <c r="H84" s="3002"/>
      <c r="I84" s="3002"/>
      <c r="J84" s="3002"/>
      <c r="K84" s="3002"/>
      <c r="L84" s="3002"/>
      <c r="M84" s="3002"/>
      <c r="N84" s="3002"/>
      <c r="O84" s="3002"/>
      <c r="P84" s="3002"/>
      <c r="Q84" s="3002"/>
      <c r="R84" s="3002"/>
      <c r="S84" s="3002"/>
      <c r="T84" s="3002"/>
      <c r="U84" s="3002"/>
      <c r="V84" s="3002"/>
      <c r="W84" s="3002"/>
      <c r="X84" s="3002"/>
      <c r="Y84" s="3002"/>
      <c r="Z84" s="3011">
        <f>+TRUNC(+SUM(G84:Y85),2)</f>
        <v>0</v>
      </c>
      <c r="AA84" s="579">
        <f>SUM(G84:Z84)</f>
        <v>0</v>
      </c>
      <c r="AC84" s="1906"/>
      <c r="AD84" s="1906"/>
      <c r="AE84" s="1906"/>
    </row>
    <row r="85" spans="1:31" ht="49.5" hidden="1" x14ac:dyDescent="0.15">
      <c r="A85" s="3045"/>
      <c r="B85" s="3032"/>
      <c r="C85" s="1900" t="s">
        <v>2363</v>
      </c>
      <c r="D85" s="1951"/>
      <c r="E85" s="1904" t="s">
        <v>1067</v>
      </c>
      <c r="F85" s="1935"/>
      <c r="G85" s="3003"/>
      <c r="H85" s="3003"/>
      <c r="I85" s="3003"/>
      <c r="J85" s="3003"/>
      <c r="K85" s="3003"/>
      <c r="L85" s="3003"/>
      <c r="M85" s="3003"/>
      <c r="N85" s="3003"/>
      <c r="O85" s="3003"/>
      <c r="P85" s="3003"/>
      <c r="Q85" s="3003"/>
      <c r="R85" s="3003"/>
      <c r="S85" s="3003"/>
      <c r="T85" s="3003"/>
      <c r="U85" s="3003"/>
      <c r="V85" s="3003"/>
      <c r="W85" s="3003"/>
      <c r="X85" s="3003"/>
      <c r="Y85" s="3003"/>
      <c r="Z85" s="3012"/>
      <c r="AA85" s="580">
        <f>+AA84</f>
        <v>0</v>
      </c>
      <c r="AD85" s="1906"/>
      <c r="AE85" s="1906"/>
    </row>
    <row r="86" spans="1:31" ht="18.75" hidden="1" x14ac:dyDescent="0.15">
      <c r="A86" s="3045"/>
      <c r="B86" s="3032"/>
      <c r="C86" s="1937" t="s">
        <v>339</v>
      </c>
      <c r="D86" s="1949">
        <v>0.28000000000000003</v>
      </c>
      <c r="E86" s="1901" t="s">
        <v>1067</v>
      </c>
      <c r="F86" s="1911"/>
      <c r="G86" s="3002"/>
      <c r="H86" s="3002"/>
      <c r="I86" s="3002"/>
      <c r="J86" s="3002"/>
      <c r="K86" s="3002"/>
      <c r="L86" s="3002"/>
      <c r="M86" s="3002"/>
      <c r="N86" s="3002"/>
      <c r="O86" s="3002"/>
      <c r="P86" s="3002"/>
      <c r="Q86" s="3002"/>
      <c r="R86" s="3002"/>
      <c r="S86" s="3002"/>
      <c r="T86" s="3002"/>
      <c r="U86" s="3002"/>
      <c r="V86" s="3002"/>
      <c r="W86" s="3002"/>
      <c r="X86" s="3002"/>
      <c r="Y86" s="3002"/>
      <c r="Z86" s="3011">
        <f>+TRUNC(+SUM(G86:Y87),2)</f>
        <v>0</v>
      </c>
      <c r="AA86" s="579">
        <f>SUM(G86:Z86)</f>
        <v>0</v>
      </c>
      <c r="AC86" s="1906"/>
      <c r="AD86" s="1906"/>
      <c r="AE86" s="1906"/>
    </row>
    <row r="87" spans="1:31" ht="49.5" hidden="1" x14ac:dyDescent="0.15">
      <c r="A87" s="3045"/>
      <c r="B87" s="3032"/>
      <c r="C87" s="1900" t="s">
        <v>2362</v>
      </c>
      <c r="D87" s="1951"/>
      <c r="E87" s="1904" t="s">
        <v>1067</v>
      </c>
      <c r="F87" s="1935"/>
      <c r="G87" s="3003"/>
      <c r="H87" s="3003"/>
      <c r="I87" s="3003"/>
      <c r="J87" s="3003"/>
      <c r="K87" s="3003"/>
      <c r="L87" s="3003"/>
      <c r="M87" s="3003"/>
      <c r="N87" s="3003"/>
      <c r="O87" s="3003"/>
      <c r="P87" s="3003"/>
      <c r="Q87" s="3003"/>
      <c r="R87" s="3003"/>
      <c r="S87" s="3003"/>
      <c r="T87" s="3003"/>
      <c r="U87" s="3003"/>
      <c r="V87" s="3003"/>
      <c r="W87" s="3003"/>
      <c r="X87" s="3003"/>
      <c r="Y87" s="3003"/>
      <c r="Z87" s="3012"/>
      <c r="AA87" s="580">
        <f>+AA86</f>
        <v>0</v>
      </c>
      <c r="AD87" s="1906"/>
      <c r="AE87" s="1906"/>
    </row>
    <row r="88" spans="1:31" ht="18.75" hidden="1" x14ac:dyDescent="0.15">
      <c r="A88" s="3045"/>
      <c r="B88" s="3032"/>
      <c r="C88" s="1937" t="s">
        <v>339</v>
      </c>
      <c r="D88" s="1949">
        <v>0.28000000000000003</v>
      </c>
      <c r="E88" s="1901" t="s">
        <v>1067</v>
      </c>
      <c r="F88" s="1911"/>
      <c r="G88" s="3002"/>
      <c r="H88" s="3002"/>
      <c r="I88" s="3002"/>
      <c r="J88" s="3002"/>
      <c r="K88" s="3002"/>
      <c r="L88" s="3002"/>
      <c r="M88" s="3002"/>
      <c r="N88" s="3002"/>
      <c r="O88" s="3002"/>
      <c r="P88" s="3002"/>
      <c r="Q88" s="3002"/>
      <c r="R88" s="3002"/>
      <c r="S88" s="3002"/>
      <c r="T88" s="3002"/>
      <c r="U88" s="3002"/>
      <c r="V88" s="3002"/>
      <c r="W88" s="3002"/>
      <c r="X88" s="3002"/>
      <c r="Y88" s="3002"/>
      <c r="Z88" s="3011">
        <f>+TRUNC(+SUM(G88:Y89),2)</f>
        <v>0</v>
      </c>
      <c r="AA88" s="579">
        <f>SUM(G88:Z88)</f>
        <v>0</v>
      </c>
      <c r="AC88" s="1906"/>
      <c r="AD88" s="1906"/>
      <c r="AE88" s="1906"/>
    </row>
    <row r="89" spans="1:31" ht="49.5" hidden="1" x14ac:dyDescent="0.15">
      <c r="A89" s="3045"/>
      <c r="B89" s="3032"/>
      <c r="C89" s="1900" t="s">
        <v>2361</v>
      </c>
      <c r="D89" s="1951"/>
      <c r="E89" s="1904" t="s">
        <v>1067</v>
      </c>
      <c r="F89" s="1935"/>
      <c r="G89" s="3003"/>
      <c r="H89" s="3003"/>
      <c r="I89" s="3003"/>
      <c r="J89" s="3003"/>
      <c r="K89" s="3003"/>
      <c r="L89" s="3003"/>
      <c r="M89" s="3003"/>
      <c r="N89" s="3003"/>
      <c r="O89" s="3003"/>
      <c r="P89" s="3003"/>
      <c r="Q89" s="3003"/>
      <c r="R89" s="3003"/>
      <c r="S89" s="3003"/>
      <c r="T89" s="3003"/>
      <c r="U89" s="3003"/>
      <c r="V89" s="3003"/>
      <c r="W89" s="3003"/>
      <c r="X89" s="3003"/>
      <c r="Y89" s="3003"/>
      <c r="Z89" s="3012"/>
      <c r="AA89" s="580">
        <f>+AA88</f>
        <v>0</v>
      </c>
      <c r="AD89" s="1906"/>
      <c r="AE89" s="1906"/>
    </row>
    <row r="90" spans="1:31" ht="18.75" hidden="1" x14ac:dyDescent="0.15">
      <c r="A90" s="3045"/>
      <c r="B90" s="3032"/>
      <c r="C90" s="1937" t="s">
        <v>339</v>
      </c>
      <c r="D90" s="1949">
        <v>0.28000000000000003</v>
      </c>
      <c r="E90" s="1901" t="s">
        <v>1067</v>
      </c>
      <c r="F90" s="1911"/>
      <c r="G90" s="3002"/>
      <c r="H90" s="3002"/>
      <c r="I90" s="3002"/>
      <c r="J90" s="3002"/>
      <c r="K90" s="3002"/>
      <c r="L90" s="3002"/>
      <c r="M90" s="3002"/>
      <c r="N90" s="3002"/>
      <c r="O90" s="3002"/>
      <c r="P90" s="3002"/>
      <c r="Q90" s="3002"/>
      <c r="R90" s="3002"/>
      <c r="S90" s="3002"/>
      <c r="T90" s="3002"/>
      <c r="U90" s="3002"/>
      <c r="V90" s="3002"/>
      <c r="W90" s="3002"/>
      <c r="X90" s="3002"/>
      <c r="Y90" s="3002"/>
      <c r="Z90" s="3011">
        <f>+TRUNC(+SUM(G90:Y91),2)</f>
        <v>0</v>
      </c>
      <c r="AA90" s="579">
        <f>SUM(G90:Z90)</f>
        <v>0</v>
      </c>
      <c r="AC90" s="1906"/>
      <c r="AD90" s="1906"/>
      <c r="AE90" s="1906"/>
    </row>
    <row r="91" spans="1:31" ht="49.5" hidden="1" x14ac:dyDescent="0.15">
      <c r="A91" s="3045"/>
      <c r="B91" s="3032"/>
      <c r="C91" s="1900" t="s">
        <v>2360</v>
      </c>
      <c r="D91" s="1951"/>
      <c r="E91" s="1904" t="s">
        <v>1067</v>
      </c>
      <c r="F91" s="1935"/>
      <c r="G91" s="3003"/>
      <c r="H91" s="3003"/>
      <c r="I91" s="3003"/>
      <c r="J91" s="3003"/>
      <c r="K91" s="3003"/>
      <c r="L91" s="3003"/>
      <c r="M91" s="3003"/>
      <c r="N91" s="3003"/>
      <c r="O91" s="3003"/>
      <c r="P91" s="3003"/>
      <c r="Q91" s="3003"/>
      <c r="R91" s="3003"/>
      <c r="S91" s="3003"/>
      <c r="T91" s="3003"/>
      <c r="U91" s="3003"/>
      <c r="V91" s="3003"/>
      <c r="W91" s="3003"/>
      <c r="X91" s="3003"/>
      <c r="Y91" s="3003"/>
      <c r="Z91" s="3012"/>
      <c r="AA91" s="580">
        <f>+AA90</f>
        <v>0</v>
      </c>
      <c r="AD91" s="1906"/>
      <c r="AE91" s="1906"/>
    </row>
    <row r="92" spans="1:31" ht="18.75" hidden="1" x14ac:dyDescent="0.15">
      <c r="A92" s="3045"/>
      <c r="B92" s="3032"/>
      <c r="C92" s="1937" t="s">
        <v>339</v>
      </c>
      <c r="D92" s="1949">
        <v>0.28000000000000003</v>
      </c>
      <c r="E92" s="1901" t="s">
        <v>1067</v>
      </c>
      <c r="F92" s="1911"/>
      <c r="G92" s="3002"/>
      <c r="H92" s="3002"/>
      <c r="I92" s="3002"/>
      <c r="J92" s="3002"/>
      <c r="K92" s="3002"/>
      <c r="L92" s="3002"/>
      <c r="M92" s="3002"/>
      <c r="N92" s="3002"/>
      <c r="O92" s="3002"/>
      <c r="P92" s="3002"/>
      <c r="Q92" s="3002"/>
      <c r="R92" s="3002"/>
      <c r="S92" s="3002"/>
      <c r="T92" s="3002"/>
      <c r="U92" s="3002"/>
      <c r="V92" s="3002"/>
      <c r="W92" s="3002"/>
      <c r="X92" s="3002"/>
      <c r="Y92" s="3002"/>
      <c r="Z92" s="3011">
        <f>+TRUNC(+SUM(G92:Y93),2)</f>
        <v>0</v>
      </c>
      <c r="AA92" s="579">
        <f>SUM(G92:Z92)</f>
        <v>0</v>
      </c>
      <c r="AC92" s="1906"/>
      <c r="AD92" s="1906"/>
      <c r="AE92" s="1906"/>
    </row>
    <row r="93" spans="1:31" ht="49.5" hidden="1" x14ac:dyDescent="0.15">
      <c r="A93" s="3045"/>
      <c r="B93" s="3032"/>
      <c r="C93" s="1900" t="s">
        <v>2359</v>
      </c>
      <c r="D93" s="1951"/>
      <c r="E93" s="1904" t="s">
        <v>1067</v>
      </c>
      <c r="F93" s="1935"/>
      <c r="G93" s="3003"/>
      <c r="H93" s="3003"/>
      <c r="I93" s="3003"/>
      <c r="J93" s="3003"/>
      <c r="K93" s="3003"/>
      <c r="L93" s="3003"/>
      <c r="M93" s="3003"/>
      <c r="N93" s="3003"/>
      <c r="O93" s="3003"/>
      <c r="P93" s="3003"/>
      <c r="Q93" s="3003"/>
      <c r="R93" s="3003"/>
      <c r="S93" s="3003"/>
      <c r="T93" s="3003"/>
      <c r="U93" s="3003"/>
      <c r="V93" s="3003"/>
      <c r="W93" s="3003"/>
      <c r="X93" s="3003"/>
      <c r="Y93" s="3003"/>
      <c r="Z93" s="3012"/>
      <c r="AA93" s="580">
        <f>+AA92</f>
        <v>0</v>
      </c>
      <c r="AD93" s="1906"/>
      <c r="AE93" s="1906"/>
    </row>
    <row r="94" spans="1:31" ht="18.75" hidden="1" x14ac:dyDescent="0.15">
      <c r="A94" s="3045"/>
      <c r="B94" s="3032"/>
      <c r="C94" s="1937" t="s">
        <v>339</v>
      </c>
      <c r="D94" s="1949">
        <v>0.28000000000000003</v>
      </c>
      <c r="E94" s="1901" t="s">
        <v>1067</v>
      </c>
      <c r="F94" s="1911"/>
      <c r="G94" s="3002"/>
      <c r="H94" s="3002"/>
      <c r="I94" s="3002"/>
      <c r="J94" s="3002"/>
      <c r="K94" s="3002"/>
      <c r="L94" s="3002"/>
      <c r="M94" s="3002"/>
      <c r="N94" s="3002"/>
      <c r="O94" s="3002"/>
      <c r="P94" s="3002"/>
      <c r="Q94" s="3002"/>
      <c r="R94" s="3002"/>
      <c r="S94" s="3002"/>
      <c r="T94" s="3002"/>
      <c r="U94" s="3002"/>
      <c r="V94" s="3002"/>
      <c r="W94" s="3002"/>
      <c r="X94" s="3002"/>
      <c r="Y94" s="3002"/>
      <c r="Z94" s="3011">
        <f>+TRUNC(+SUM(G94:Y95),2)</f>
        <v>0</v>
      </c>
      <c r="AA94" s="579">
        <f>SUM(G94:Z94)</f>
        <v>0</v>
      </c>
      <c r="AC94" s="1906"/>
      <c r="AD94" s="1906"/>
      <c r="AE94" s="1906"/>
    </row>
    <row r="95" spans="1:31" ht="49.5" hidden="1" x14ac:dyDescent="0.15">
      <c r="A95" s="3045"/>
      <c r="B95" s="3032"/>
      <c r="C95" s="1900" t="s">
        <v>2358</v>
      </c>
      <c r="D95" s="1951"/>
      <c r="E95" s="1904" t="s">
        <v>1067</v>
      </c>
      <c r="F95" s="1935"/>
      <c r="G95" s="3003"/>
      <c r="H95" s="3003"/>
      <c r="I95" s="3003"/>
      <c r="J95" s="3003"/>
      <c r="K95" s="3003"/>
      <c r="L95" s="3003"/>
      <c r="M95" s="3003"/>
      <c r="N95" s="3003"/>
      <c r="O95" s="3003"/>
      <c r="P95" s="3003"/>
      <c r="Q95" s="3003"/>
      <c r="R95" s="3003"/>
      <c r="S95" s="3003"/>
      <c r="T95" s="3003"/>
      <c r="U95" s="3003"/>
      <c r="V95" s="3003"/>
      <c r="W95" s="3003"/>
      <c r="X95" s="3003"/>
      <c r="Y95" s="3003"/>
      <c r="Z95" s="3012"/>
      <c r="AA95" s="580">
        <f>+AA94</f>
        <v>0</v>
      </c>
      <c r="AD95" s="1906"/>
      <c r="AE95" s="1906"/>
    </row>
    <row r="96" spans="1:31" ht="18.75" hidden="1" x14ac:dyDescent="0.15">
      <c r="A96" s="3045"/>
      <c r="B96" s="3032"/>
      <c r="C96" s="1937" t="s">
        <v>339</v>
      </c>
      <c r="D96" s="1949">
        <v>0.28000000000000003</v>
      </c>
      <c r="E96" s="1901" t="s">
        <v>1067</v>
      </c>
      <c r="F96" s="1911"/>
      <c r="G96" s="3002"/>
      <c r="H96" s="3002"/>
      <c r="I96" s="3002"/>
      <c r="J96" s="3002"/>
      <c r="K96" s="3002"/>
      <c r="L96" s="3002"/>
      <c r="M96" s="3002"/>
      <c r="N96" s="3002"/>
      <c r="O96" s="3002"/>
      <c r="P96" s="3002"/>
      <c r="Q96" s="3002"/>
      <c r="R96" s="3002"/>
      <c r="S96" s="3002"/>
      <c r="T96" s="3002"/>
      <c r="U96" s="3002"/>
      <c r="V96" s="3002"/>
      <c r="W96" s="3002"/>
      <c r="X96" s="3002"/>
      <c r="Y96" s="3002"/>
      <c r="Z96" s="3011">
        <f>+TRUNC(+SUM(G96:Y97),2)</f>
        <v>0</v>
      </c>
      <c r="AA96" s="579">
        <f>SUM(G96:Z96)</f>
        <v>0</v>
      </c>
      <c r="AC96" s="1906"/>
      <c r="AD96" s="1906"/>
      <c r="AE96" s="1906"/>
    </row>
    <row r="97" spans="1:31" ht="49.5" hidden="1" x14ac:dyDescent="0.15">
      <c r="A97" s="3045"/>
      <c r="B97" s="3032"/>
      <c r="C97" s="1900" t="s">
        <v>2357</v>
      </c>
      <c r="D97" s="1951"/>
      <c r="E97" s="1904" t="s">
        <v>1067</v>
      </c>
      <c r="F97" s="1935"/>
      <c r="G97" s="3003"/>
      <c r="H97" s="3003"/>
      <c r="I97" s="3003"/>
      <c r="J97" s="3003"/>
      <c r="K97" s="3003"/>
      <c r="L97" s="3003"/>
      <c r="M97" s="3003"/>
      <c r="N97" s="3003"/>
      <c r="O97" s="3003"/>
      <c r="P97" s="3003"/>
      <c r="Q97" s="3003"/>
      <c r="R97" s="3003"/>
      <c r="S97" s="3003"/>
      <c r="T97" s="3003"/>
      <c r="U97" s="3003"/>
      <c r="V97" s="3003"/>
      <c r="W97" s="3003"/>
      <c r="X97" s="3003"/>
      <c r="Y97" s="3003"/>
      <c r="Z97" s="3012"/>
      <c r="AA97" s="580">
        <f>+AA96</f>
        <v>0</v>
      </c>
      <c r="AD97" s="1906"/>
      <c r="AE97" s="1906"/>
    </row>
    <row r="98" spans="1:31" ht="18.75" hidden="1" x14ac:dyDescent="0.15">
      <c r="A98" s="3045"/>
      <c r="B98" s="3032"/>
      <c r="C98" s="1937" t="s">
        <v>339</v>
      </c>
      <c r="D98" s="1949">
        <v>0.28000000000000003</v>
      </c>
      <c r="E98" s="1901" t="s">
        <v>1067</v>
      </c>
      <c r="F98" s="1911"/>
      <c r="G98" s="3002"/>
      <c r="H98" s="3002"/>
      <c r="I98" s="3002"/>
      <c r="J98" s="3002"/>
      <c r="K98" s="3002"/>
      <c r="L98" s="3002"/>
      <c r="M98" s="3002"/>
      <c r="N98" s="3002"/>
      <c r="O98" s="3002"/>
      <c r="P98" s="3002"/>
      <c r="Q98" s="3002"/>
      <c r="R98" s="3002"/>
      <c r="S98" s="3002"/>
      <c r="T98" s="3002"/>
      <c r="U98" s="3002"/>
      <c r="V98" s="3002"/>
      <c r="W98" s="3002"/>
      <c r="X98" s="3002"/>
      <c r="Y98" s="3002"/>
      <c r="Z98" s="3011">
        <f>+TRUNC(+SUM(G98:Y99),2)</f>
        <v>0</v>
      </c>
      <c r="AA98" s="579">
        <f>SUM(G98:Z98)</f>
        <v>0</v>
      </c>
      <c r="AC98" s="1906"/>
      <c r="AD98" s="1906"/>
      <c r="AE98" s="1906"/>
    </row>
    <row r="99" spans="1:31" ht="49.5" hidden="1" x14ac:dyDescent="0.15">
      <c r="A99" s="3045"/>
      <c r="B99" s="3032"/>
      <c r="C99" s="1900" t="s">
        <v>2356</v>
      </c>
      <c r="D99" s="1951"/>
      <c r="E99" s="1904" t="s">
        <v>1067</v>
      </c>
      <c r="F99" s="1935"/>
      <c r="G99" s="3003"/>
      <c r="H99" s="3003"/>
      <c r="I99" s="3003"/>
      <c r="J99" s="3003"/>
      <c r="K99" s="3003"/>
      <c r="L99" s="3003"/>
      <c r="M99" s="3003"/>
      <c r="N99" s="3003"/>
      <c r="O99" s="3003"/>
      <c r="P99" s="3003"/>
      <c r="Q99" s="3003"/>
      <c r="R99" s="3003"/>
      <c r="S99" s="3003"/>
      <c r="T99" s="3003"/>
      <c r="U99" s="3003"/>
      <c r="V99" s="3003"/>
      <c r="W99" s="3003"/>
      <c r="X99" s="3003"/>
      <c r="Y99" s="3003"/>
      <c r="Z99" s="3012"/>
      <c r="AA99" s="580">
        <f>+AA98</f>
        <v>0</v>
      </c>
      <c r="AD99" s="1906"/>
      <c r="AE99" s="1906"/>
    </row>
    <row r="100" spans="1:31" ht="18.75" hidden="1" x14ac:dyDescent="0.15">
      <c r="A100" s="3045"/>
      <c r="B100" s="3032"/>
      <c r="C100" s="1937" t="s">
        <v>339</v>
      </c>
      <c r="D100" s="1949">
        <v>0.28000000000000003</v>
      </c>
      <c r="E100" s="1901" t="s">
        <v>1067</v>
      </c>
      <c r="F100" s="1911"/>
      <c r="G100" s="3002"/>
      <c r="H100" s="3002"/>
      <c r="I100" s="3002"/>
      <c r="J100" s="3002"/>
      <c r="K100" s="3002"/>
      <c r="L100" s="3002"/>
      <c r="M100" s="3002"/>
      <c r="N100" s="3002"/>
      <c r="O100" s="3002"/>
      <c r="P100" s="3002"/>
      <c r="Q100" s="3002"/>
      <c r="R100" s="3002"/>
      <c r="S100" s="3002"/>
      <c r="T100" s="3002"/>
      <c r="U100" s="3002"/>
      <c r="V100" s="3002"/>
      <c r="W100" s="3002"/>
      <c r="X100" s="3002"/>
      <c r="Y100" s="3002"/>
      <c r="Z100" s="3011">
        <f>+TRUNC(+SUM(G100:Y101),2)</f>
        <v>0</v>
      </c>
      <c r="AA100" s="579">
        <f>SUM(G100:Z100)</f>
        <v>0</v>
      </c>
      <c r="AC100" s="1906"/>
      <c r="AD100" s="1906"/>
      <c r="AE100" s="1906"/>
    </row>
    <row r="101" spans="1:31" ht="49.5" hidden="1" x14ac:dyDescent="0.15">
      <c r="A101" s="3045"/>
      <c r="B101" s="3032"/>
      <c r="C101" s="1900" t="s">
        <v>2355</v>
      </c>
      <c r="D101" s="1951"/>
      <c r="E101" s="1904" t="s">
        <v>1067</v>
      </c>
      <c r="F101" s="1935"/>
      <c r="G101" s="3003"/>
      <c r="H101" s="3003"/>
      <c r="I101" s="3003"/>
      <c r="J101" s="3003"/>
      <c r="K101" s="3003"/>
      <c r="L101" s="3003"/>
      <c r="M101" s="3003"/>
      <c r="N101" s="3003"/>
      <c r="O101" s="3003"/>
      <c r="P101" s="3003"/>
      <c r="Q101" s="3003"/>
      <c r="R101" s="3003"/>
      <c r="S101" s="3003"/>
      <c r="T101" s="3003"/>
      <c r="U101" s="3003"/>
      <c r="V101" s="3003"/>
      <c r="W101" s="3003"/>
      <c r="X101" s="3003"/>
      <c r="Y101" s="3003"/>
      <c r="Z101" s="3012"/>
      <c r="AA101" s="580">
        <f>+AA100</f>
        <v>0</v>
      </c>
      <c r="AD101" s="1906"/>
      <c r="AE101" s="1906"/>
    </row>
    <row r="102" spans="1:31" ht="18.75" hidden="1" x14ac:dyDescent="0.15">
      <c r="A102" s="3045"/>
      <c r="B102" s="3032"/>
      <c r="C102" s="1937" t="s">
        <v>339</v>
      </c>
      <c r="D102" s="1949">
        <v>0.28000000000000003</v>
      </c>
      <c r="E102" s="1901" t="s">
        <v>1067</v>
      </c>
      <c r="F102" s="1911"/>
      <c r="G102" s="3002"/>
      <c r="H102" s="3002"/>
      <c r="I102" s="3002"/>
      <c r="J102" s="3002"/>
      <c r="K102" s="3002"/>
      <c r="L102" s="3002"/>
      <c r="M102" s="3002"/>
      <c r="N102" s="3002"/>
      <c r="O102" s="3002"/>
      <c r="P102" s="3002"/>
      <c r="Q102" s="3002"/>
      <c r="R102" s="3002"/>
      <c r="S102" s="3002"/>
      <c r="T102" s="3002"/>
      <c r="U102" s="3002"/>
      <c r="V102" s="3002"/>
      <c r="W102" s="3002"/>
      <c r="X102" s="3002"/>
      <c r="Y102" s="3002"/>
      <c r="Z102" s="3011">
        <f>+TRUNC(+SUM(G102:Y103),2)</f>
        <v>0</v>
      </c>
      <c r="AA102" s="579">
        <f>SUM(G102:Z102)</f>
        <v>0</v>
      </c>
      <c r="AC102" s="1906"/>
      <c r="AD102" s="1906"/>
      <c r="AE102" s="1906"/>
    </row>
    <row r="103" spans="1:31" ht="49.5" hidden="1" x14ac:dyDescent="0.15">
      <c r="A103" s="3045"/>
      <c r="B103" s="3032"/>
      <c r="C103" s="1900" t="s">
        <v>2354</v>
      </c>
      <c r="D103" s="1951"/>
      <c r="E103" s="1904" t="s">
        <v>1067</v>
      </c>
      <c r="F103" s="1935"/>
      <c r="G103" s="3003"/>
      <c r="H103" s="3003"/>
      <c r="I103" s="3003"/>
      <c r="J103" s="3003"/>
      <c r="K103" s="3003"/>
      <c r="L103" s="3003"/>
      <c r="M103" s="3003"/>
      <c r="N103" s="3003"/>
      <c r="O103" s="3003"/>
      <c r="P103" s="3003"/>
      <c r="Q103" s="3003"/>
      <c r="R103" s="3003"/>
      <c r="S103" s="3003"/>
      <c r="T103" s="3003"/>
      <c r="U103" s="3003"/>
      <c r="V103" s="3003"/>
      <c r="W103" s="3003"/>
      <c r="X103" s="3003"/>
      <c r="Y103" s="3003"/>
      <c r="Z103" s="3012"/>
      <c r="AA103" s="580">
        <f>+AA102</f>
        <v>0</v>
      </c>
      <c r="AD103" s="1906"/>
      <c r="AE103" s="1906"/>
    </row>
    <row r="104" spans="1:31" ht="18.75" hidden="1" x14ac:dyDescent="0.15">
      <c r="A104" s="3045"/>
      <c r="B104" s="3032"/>
      <c r="C104" s="1937" t="s">
        <v>339</v>
      </c>
      <c r="D104" s="1949">
        <v>0.28000000000000003</v>
      </c>
      <c r="E104" s="1901" t="s">
        <v>1067</v>
      </c>
      <c r="F104" s="1911"/>
      <c r="G104" s="3002"/>
      <c r="H104" s="3002"/>
      <c r="I104" s="3002"/>
      <c r="J104" s="3002"/>
      <c r="K104" s="3002"/>
      <c r="L104" s="3002"/>
      <c r="M104" s="3002"/>
      <c r="N104" s="3002"/>
      <c r="O104" s="3002"/>
      <c r="P104" s="3002"/>
      <c r="Q104" s="3002"/>
      <c r="R104" s="3002"/>
      <c r="S104" s="3002"/>
      <c r="T104" s="3002"/>
      <c r="U104" s="3002"/>
      <c r="V104" s="3002"/>
      <c r="W104" s="3002"/>
      <c r="X104" s="3002"/>
      <c r="Y104" s="3002"/>
      <c r="Z104" s="3011">
        <f>+TRUNC(+SUM(G104:Y105),2)</f>
        <v>0</v>
      </c>
      <c r="AA104" s="579">
        <f>SUM(G104:Z104)</f>
        <v>0</v>
      </c>
      <c r="AC104" s="1906"/>
      <c r="AD104" s="1906"/>
      <c r="AE104" s="1906"/>
    </row>
    <row r="105" spans="1:31" ht="49.5" hidden="1" x14ac:dyDescent="0.15">
      <c r="A105" s="3045"/>
      <c r="B105" s="3032"/>
      <c r="C105" s="1900" t="s">
        <v>2353</v>
      </c>
      <c r="D105" s="1951"/>
      <c r="E105" s="1904" t="s">
        <v>1067</v>
      </c>
      <c r="F105" s="1935"/>
      <c r="G105" s="3003"/>
      <c r="H105" s="3003"/>
      <c r="I105" s="3003"/>
      <c r="J105" s="3003"/>
      <c r="K105" s="3003"/>
      <c r="L105" s="3003"/>
      <c r="M105" s="3003"/>
      <c r="N105" s="3003"/>
      <c r="O105" s="3003"/>
      <c r="P105" s="3003"/>
      <c r="Q105" s="3003"/>
      <c r="R105" s="3003"/>
      <c r="S105" s="3003"/>
      <c r="T105" s="3003"/>
      <c r="U105" s="3003"/>
      <c r="V105" s="3003"/>
      <c r="W105" s="3003"/>
      <c r="X105" s="3003"/>
      <c r="Y105" s="3003"/>
      <c r="Z105" s="3012"/>
      <c r="AA105" s="580">
        <f>+AA104</f>
        <v>0</v>
      </c>
      <c r="AD105" s="1906"/>
      <c r="AE105" s="1906"/>
    </row>
    <row r="106" spans="1:31" ht="18.75" hidden="1" x14ac:dyDescent="0.15">
      <c r="A106" s="3045"/>
      <c r="B106" s="3032"/>
      <c r="C106" s="1937" t="s">
        <v>339</v>
      </c>
      <c r="D106" s="1949">
        <v>0.28000000000000003</v>
      </c>
      <c r="E106" s="1901" t="s">
        <v>1067</v>
      </c>
      <c r="F106" s="1911"/>
      <c r="G106" s="3002"/>
      <c r="H106" s="3002"/>
      <c r="I106" s="3002"/>
      <c r="J106" s="3002"/>
      <c r="K106" s="3002"/>
      <c r="L106" s="3002"/>
      <c r="M106" s="3002"/>
      <c r="N106" s="3002"/>
      <c r="O106" s="3002"/>
      <c r="P106" s="3002"/>
      <c r="Q106" s="3002"/>
      <c r="R106" s="3002"/>
      <c r="S106" s="3002"/>
      <c r="T106" s="3002"/>
      <c r="U106" s="3002"/>
      <c r="V106" s="3002"/>
      <c r="W106" s="3002"/>
      <c r="X106" s="3002"/>
      <c r="Y106" s="3002"/>
      <c r="Z106" s="3011">
        <f>+TRUNC(+SUM(G106:Y107),2)</f>
        <v>0</v>
      </c>
      <c r="AA106" s="579">
        <f>SUM(G106:Z106)</f>
        <v>0</v>
      </c>
      <c r="AC106" s="1906"/>
      <c r="AD106" s="1906"/>
      <c r="AE106" s="1906"/>
    </row>
    <row r="107" spans="1:31" ht="49.5" hidden="1" x14ac:dyDescent="0.15">
      <c r="A107" s="3045"/>
      <c r="B107" s="3032"/>
      <c r="C107" s="1900" t="s">
        <v>2352</v>
      </c>
      <c r="D107" s="1951"/>
      <c r="E107" s="1904" t="s">
        <v>1067</v>
      </c>
      <c r="F107" s="1935"/>
      <c r="G107" s="3003"/>
      <c r="H107" s="3003"/>
      <c r="I107" s="3003"/>
      <c r="J107" s="3003"/>
      <c r="K107" s="3003"/>
      <c r="L107" s="3003"/>
      <c r="M107" s="3003"/>
      <c r="N107" s="3003"/>
      <c r="O107" s="3003"/>
      <c r="P107" s="3003"/>
      <c r="Q107" s="3003"/>
      <c r="R107" s="3003"/>
      <c r="S107" s="3003"/>
      <c r="T107" s="3003"/>
      <c r="U107" s="3003"/>
      <c r="V107" s="3003"/>
      <c r="W107" s="3003"/>
      <c r="X107" s="3003"/>
      <c r="Y107" s="3003"/>
      <c r="Z107" s="3012"/>
      <c r="AA107" s="580">
        <f>+AA106</f>
        <v>0</v>
      </c>
      <c r="AD107" s="1906"/>
      <c r="AE107" s="1906"/>
    </row>
    <row r="108" spans="1:31" ht="18.75" hidden="1" x14ac:dyDescent="0.15">
      <c r="A108" s="3045"/>
      <c r="B108" s="3032"/>
      <c r="C108" s="1937" t="s">
        <v>339</v>
      </c>
      <c r="D108" s="1949">
        <v>0.28000000000000003</v>
      </c>
      <c r="E108" s="1901" t="s">
        <v>1067</v>
      </c>
      <c r="F108" s="1911"/>
      <c r="G108" s="3002"/>
      <c r="H108" s="3002"/>
      <c r="I108" s="3002"/>
      <c r="J108" s="3002"/>
      <c r="K108" s="3002"/>
      <c r="L108" s="3002"/>
      <c r="M108" s="3002"/>
      <c r="N108" s="3002"/>
      <c r="O108" s="3002"/>
      <c r="P108" s="3002"/>
      <c r="Q108" s="3002"/>
      <c r="R108" s="3002"/>
      <c r="S108" s="3002"/>
      <c r="T108" s="3002"/>
      <c r="U108" s="3002"/>
      <c r="V108" s="3002"/>
      <c r="W108" s="3002"/>
      <c r="X108" s="3002"/>
      <c r="Y108" s="3002"/>
      <c r="Z108" s="3011">
        <f>+TRUNC(+SUM(G108:Y109),2)</f>
        <v>0</v>
      </c>
      <c r="AA108" s="579">
        <f>SUM(G108:Z108)</f>
        <v>0</v>
      </c>
      <c r="AC108" s="1906"/>
      <c r="AD108" s="1906"/>
      <c r="AE108" s="1906"/>
    </row>
    <row r="109" spans="1:31" ht="49.5" hidden="1" x14ac:dyDescent="0.15">
      <c r="A109" s="3045"/>
      <c r="B109" s="3032"/>
      <c r="C109" s="1900" t="s">
        <v>2351</v>
      </c>
      <c r="D109" s="1951"/>
      <c r="E109" s="1904" t="s">
        <v>1067</v>
      </c>
      <c r="F109" s="1935"/>
      <c r="G109" s="3003"/>
      <c r="H109" s="3003"/>
      <c r="I109" s="3003"/>
      <c r="J109" s="3003"/>
      <c r="K109" s="3003"/>
      <c r="L109" s="3003"/>
      <c r="M109" s="3003"/>
      <c r="N109" s="3003"/>
      <c r="O109" s="3003"/>
      <c r="P109" s="3003"/>
      <c r="Q109" s="3003"/>
      <c r="R109" s="3003"/>
      <c r="S109" s="3003"/>
      <c r="T109" s="3003"/>
      <c r="U109" s="3003"/>
      <c r="V109" s="3003"/>
      <c r="W109" s="3003"/>
      <c r="X109" s="3003"/>
      <c r="Y109" s="3003"/>
      <c r="Z109" s="3012"/>
      <c r="AA109" s="580">
        <f>+AA108</f>
        <v>0</v>
      </c>
      <c r="AD109" s="1906"/>
      <c r="AE109" s="1906"/>
    </row>
    <row r="110" spans="1:31" ht="18.75" hidden="1" x14ac:dyDescent="0.15">
      <c r="A110" s="3045"/>
      <c r="B110" s="3032"/>
      <c r="C110" s="1937" t="s">
        <v>339</v>
      </c>
      <c r="D110" s="1949">
        <v>0.28000000000000003</v>
      </c>
      <c r="E110" s="1901" t="s">
        <v>1067</v>
      </c>
      <c r="F110" s="1911"/>
      <c r="G110" s="3002"/>
      <c r="H110" s="3002"/>
      <c r="I110" s="3002"/>
      <c r="J110" s="3002"/>
      <c r="K110" s="3002"/>
      <c r="L110" s="3002"/>
      <c r="M110" s="3002"/>
      <c r="N110" s="3002"/>
      <c r="O110" s="3002"/>
      <c r="P110" s="3002"/>
      <c r="Q110" s="3002"/>
      <c r="R110" s="3002"/>
      <c r="S110" s="3002"/>
      <c r="T110" s="3002"/>
      <c r="U110" s="3002"/>
      <c r="V110" s="3002"/>
      <c r="W110" s="3002"/>
      <c r="X110" s="3002"/>
      <c r="Y110" s="3002"/>
      <c r="Z110" s="3011">
        <f>+TRUNC(+SUM(G110:Y111),2)</f>
        <v>0</v>
      </c>
      <c r="AA110" s="579">
        <f>SUM(G110:Z110)</f>
        <v>0</v>
      </c>
      <c r="AC110" s="1906"/>
      <c r="AD110" s="1906"/>
      <c r="AE110" s="1906"/>
    </row>
    <row r="111" spans="1:31" ht="49.5" hidden="1" x14ac:dyDescent="0.15">
      <c r="A111" s="3045"/>
      <c r="B111" s="3032"/>
      <c r="C111" s="1900" t="s">
        <v>2350</v>
      </c>
      <c r="D111" s="1951"/>
      <c r="E111" s="1904" t="s">
        <v>1067</v>
      </c>
      <c r="F111" s="1935"/>
      <c r="G111" s="3003"/>
      <c r="H111" s="3003"/>
      <c r="I111" s="3003"/>
      <c r="J111" s="3003"/>
      <c r="K111" s="3003"/>
      <c r="L111" s="3003"/>
      <c r="M111" s="3003"/>
      <c r="N111" s="3003"/>
      <c r="O111" s="3003"/>
      <c r="P111" s="3003"/>
      <c r="Q111" s="3003"/>
      <c r="R111" s="3003"/>
      <c r="S111" s="3003"/>
      <c r="T111" s="3003"/>
      <c r="U111" s="3003"/>
      <c r="V111" s="3003"/>
      <c r="W111" s="3003"/>
      <c r="X111" s="3003"/>
      <c r="Y111" s="3003"/>
      <c r="Z111" s="3012"/>
      <c r="AA111" s="580">
        <f>+AA110</f>
        <v>0</v>
      </c>
      <c r="AD111" s="1906"/>
      <c r="AE111" s="1906"/>
    </row>
    <row r="112" spans="1:31" ht="18.75" hidden="1" x14ac:dyDescent="0.15">
      <c r="A112" s="3045"/>
      <c r="B112" s="3032"/>
      <c r="C112" s="1937" t="s">
        <v>339</v>
      </c>
      <c r="D112" s="1949">
        <v>0.28000000000000003</v>
      </c>
      <c r="E112" s="1901" t="s">
        <v>1067</v>
      </c>
      <c r="F112" s="1911"/>
      <c r="G112" s="3002"/>
      <c r="H112" s="3002"/>
      <c r="I112" s="3002"/>
      <c r="J112" s="3002"/>
      <c r="K112" s="3002"/>
      <c r="L112" s="3002"/>
      <c r="M112" s="3002"/>
      <c r="N112" s="3002"/>
      <c r="O112" s="3002"/>
      <c r="P112" s="3002"/>
      <c r="Q112" s="3002"/>
      <c r="R112" s="3002"/>
      <c r="S112" s="3002"/>
      <c r="T112" s="3002"/>
      <c r="U112" s="3002"/>
      <c r="V112" s="3002"/>
      <c r="W112" s="3002"/>
      <c r="X112" s="3002"/>
      <c r="Y112" s="3002"/>
      <c r="Z112" s="3011">
        <f>+TRUNC(+SUM(G112:Y113),2)</f>
        <v>0</v>
      </c>
      <c r="AA112" s="579">
        <f>SUM(G112:Z112)</f>
        <v>0</v>
      </c>
      <c r="AC112" s="1906"/>
      <c r="AD112" s="1906"/>
      <c r="AE112" s="1906"/>
    </row>
    <row r="113" spans="1:31" ht="49.5" hidden="1" x14ac:dyDescent="0.15">
      <c r="A113" s="3045"/>
      <c r="B113" s="3032"/>
      <c r="C113" s="1900" t="s">
        <v>2349</v>
      </c>
      <c r="D113" s="1951"/>
      <c r="E113" s="1904" t="s">
        <v>1067</v>
      </c>
      <c r="F113" s="1935"/>
      <c r="G113" s="3003"/>
      <c r="H113" s="3003"/>
      <c r="I113" s="3003"/>
      <c r="J113" s="3003"/>
      <c r="K113" s="3003"/>
      <c r="L113" s="3003"/>
      <c r="M113" s="3003"/>
      <c r="N113" s="3003"/>
      <c r="O113" s="3003"/>
      <c r="P113" s="3003"/>
      <c r="Q113" s="3003"/>
      <c r="R113" s="3003"/>
      <c r="S113" s="3003"/>
      <c r="T113" s="3003"/>
      <c r="U113" s="3003"/>
      <c r="V113" s="3003"/>
      <c r="W113" s="3003"/>
      <c r="X113" s="3003"/>
      <c r="Y113" s="3003"/>
      <c r="Z113" s="3012"/>
      <c r="AA113" s="580">
        <f>+AA112</f>
        <v>0</v>
      </c>
      <c r="AD113" s="1906"/>
      <c r="AE113" s="1906"/>
    </row>
    <row r="114" spans="1:31" ht="18.75" hidden="1" x14ac:dyDescent="0.15">
      <c r="A114" s="3045"/>
      <c r="B114" s="3032"/>
      <c r="C114" s="1937" t="s">
        <v>339</v>
      </c>
      <c r="D114" s="1949">
        <v>0.36</v>
      </c>
      <c r="E114" s="1901" t="s">
        <v>1067</v>
      </c>
      <c r="F114" s="1911"/>
      <c r="G114" s="3002"/>
      <c r="H114" s="3002"/>
      <c r="I114" s="3002"/>
      <c r="J114" s="3002"/>
      <c r="K114" s="3002"/>
      <c r="L114" s="3002"/>
      <c r="M114" s="3002"/>
      <c r="N114" s="3002"/>
      <c r="O114" s="3002"/>
      <c r="P114" s="3002"/>
      <c r="Q114" s="3002"/>
      <c r="R114" s="3002"/>
      <c r="S114" s="3002"/>
      <c r="T114" s="3002"/>
      <c r="U114" s="3002"/>
      <c r="V114" s="3002"/>
      <c r="W114" s="3002"/>
      <c r="X114" s="3002"/>
      <c r="Y114" s="3002"/>
      <c r="Z114" s="3011">
        <f>+TRUNC(+SUM(G114:Y115),2)</f>
        <v>0</v>
      </c>
      <c r="AA114" s="579">
        <f>SUM(G114:Z114)</f>
        <v>0</v>
      </c>
      <c r="AD114" s="1906"/>
      <c r="AE114" s="1906"/>
    </row>
    <row r="115" spans="1:31" ht="49.5" hidden="1" x14ac:dyDescent="0.15">
      <c r="A115" s="3045"/>
      <c r="B115" s="3032"/>
      <c r="C115" s="1900" t="s">
        <v>2348</v>
      </c>
      <c r="D115" s="1951"/>
      <c r="E115" s="1904" t="s">
        <v>1067</v>
      </c>
      <c r="F115" s="1935"/>
      <c r="G115" s="3003"/>
      <c r="H115" s="3003"/>
      <c r="I115" s="3003"/>
      <c r="J115" s="3003"/>
      <c r="K115" s="3003"/>
      <c r="L115" s="3003"/>
      <c r="M115" s="3003"/>
      <c r="N115" s="3003"/>
      <c r="O115" s="3003"/>
      <c r="P115" s="3003"/>
      <c r="Q115" s="3003"/>
      <c r="R115" s="3003"/>
      <c r="S115" s="3003"/>
      <c r="T115" s="3003"/>
      <c r="U115" s="3003"/>
      <c r="V115" s="3003"/>
      <c r="W115" s="3003"/>
      <c r="X115" s="3003"/>
      <c r="Y115" s="3003"/>
      <c r="Z115" s="3012"/>
      <c r="AA115" s="580">
        <f>+AA114</f>
        <v>0</v>
      </c>
      <c r="AD115" s="1906"/>
      <c r="AE115" s="1906"/>
    </row>
    <row r="116" spans="1:31" ht="18.75" hidden="1" x14ac:dyDescent="0.15">
      <c r="A116" s="3045"/>
      <c r="B116" s="3032"/>
      <c r="C116" s="1937" t="s">
        <v>339</v>
      </c>
      <c r="D116" s="1949">
        <v>0.36</v>
      </c>
      <c r="E116" s="1901" t="s">
        <v>1067</v>
      </c>
      <c r="F116" s="1911"/>
      <c r="G116" s="3002"/>
      <c r="H116" s="3002"/>
      <c r="I116" s="3002"/>
      <c r="J116" s="3002"/>
      <c r="K116" s="3002"/>
      <c r="L116" s="3002"/>
      <c r="M116" s="3002"/>
      <c r="N116" s="3002"/>
      <c r="O116" s="3002"/>
      <c r="P116" s="3002"/>
      <c r="Q116" s="3002"/>
      <c r="R116" s="3002"/>
      <c r="S116" s="3002"/>
      <c r="T116" s="3002"/>
      <c r="U116" s="3002"/>
      <c r="V116" s="3002"/>
      <c r="W116" s="3002"/>
      <c r="X116" s="3002"/>
      <c r="Y116" s="3002"/>
      <c r="Z116" s="3011">
        <f>+TRUNC(+SUM(G116:Y117),2)</f>
        <v>0</v>
      </c>
      <c r="AA116" s="579">
        <f>SUM(G116:Z116)</f>
        <v>0</v>
      </c>
      <c r="AD116" s="1906"/>
      <c r="AE116" s="1906"/>
    </row>
    <row r="117" spans="1:31" ht="49.5" hidden="1" x14ac:dyDescent="0.15">
      <c r="A117" s="3045"/>
      <c r="B117" s="3032"/>
      <c r="C117" s="1900" t="s">
        <v>2347</v>
      </c>
      <c r="D117" s="1951"/>
      <c r="E117" s="1904" t="s">
        <v>1067</v>
      </c>
      <c r="F117" s="1935"/>
      <c r="G117" s="3003"/>
      <c r="H117" s="3003"/>
      <c r="I117" s="3003"/>
      <c r="J117" s="3003"/>
      <c r="K117" s="3003"/>
      <c r="L117" s="3003"/>
      <c r="M117" s="3003"/>
      <c r="N117" s="3003"/>
      <c r="O117" s="3003"/>
      <c r="P117" s="3003"/>
      <c r="Q117" s="3003"/>
      <c r="R117" s="3003"/>
      <c r="S117" s="3003"/>
      <c r="T117" s="3003"/>
      <c r="U117" s="3003"/>
      <c r="V117" s="3003"/>
      <c r="W117" s="3003"/>
      <c r="X117" s="3003"/>
      <c r="Y117" s="3003"/>
      <c r="Z117" s="3012"/>
      <c r="AA117" s="580">
        <f>+AA116</f>
        <v>0</v>
      </c>
      <c r="AD117" s="1906"/>
      <c r="AE117" s="1906"/>
    </row>
    <row r="118" spans="1:31" ht="18.75" hidden="1" x14ac:dyDescent="0.15">
      <c r="A118" s="3045"/>
      <c r="B118" s="3032"/>
      <c r="C118" s="1937" t="s">
        <v>339</v>
      </c>
      <c r="D118" s="1949">
        <v>0.36</v>
      </c>
      <c r="E118" s="1901" t="s">
        <v>1067</v>
      </c>
      <c r="F118" s="1911"/>
      <c r="G118" s="3002"/>
      <c r="H118" s="3002"/>
      <c r="I118" s="3002"/>
      <c r="J118" s="3002"/>
      <c r="K118" s="3002"/>
      <c r="L118" s="3002"/>
      <c r="M118" s="3002"/>
      <c r="N118" s="3002"/>
      <c r="O118" s="3002"/>
      <c r="P118" s="3002"/>
      <c r="Q118" s="3002"/>
      <c r="R118" s="3002"/>
      <c r="S118" s="3002"/>
      <c r="T118" s="3002"/>
      <c r="U118" s="3002"/>
      <c r="V118" s="3002"/>
      <c r="W118" s="3002"/>
      <c r="X118" s="3002"/>
      <c r="Y118" s="3002"/>
      <c r="Z118" s="3011">
        <f>+TRUNC(+SUM(G118:Y119),2)</f>
        <v>0</v>
      </c>
      <c r="AA118" s="579">
        <f>SUM(G118:Z118)</f>
        <v>0</v>
      </c>
      <c r="AD118" s="1906"/>
      <c r="AE118" s="1906"/>
    </row>
    <row r="119" spans="1:31" ht="49.5" hidden="1" x14ac:dyDescent="0.15">
      <c r="A119" s="3045"/>
      <c r="B119" s="3032"/>
      <c r="C119" s="1900" t="s">
        <v>2346</v>
      </c>
      <c r="D119" s="1951"/>
      <c r="E119" s="1904" t="s">
        <v>1067</v>
      </c>
      <c r="F119" s="1935"/>
      <c r="G119" s="3003"/>
      <c r="H119" s="3003"/>
      <c r="I119" s="3003"/>
      <c r="J119" s="3003"/>
      <c r="K119" s="3003"/>
      <c r="L119" s="3003"/>
      <c r="M119" s="3003"/>
      <c r="N119" s="3003"/>
      <c r="O119" s="3003"/>
      <c r="P119" s="3003"/>
      <c r="Q119" s="3003"/>
      <c r="R119" s="3003"/>
      <c r="S119" s="3003"/>
      <c r="T119" s="3003"/>
      <c r="U119" s="3003"/>
      <c r="V119" s="3003"/>
      <c r="W119" s="3003"/>
      <c r="X119" s="3003"/>
      <c r="Y119" s="3003"/>
      <c r="Z119" s="3012"/>
      <c r="AA119" s="580">
        <f>+AA118</f>
        <v>0</v>
      </c>
      <c r="AD119" s="1906"/>
      <c r="AE119" s="1906"/>
    </row>
    <row r="120" spans="1:31" ht="18.75" hidden="1" x14ac:dyDescent="0.15">
      <c r="A120" s="3045"/>
      <c r="B120" s="3032"/>
      <c r="C120" s="1937" t="s">
        <v>339</v>
      </c>
      <c r="D120" s="1949">
        <v>0.36</v>
      </c>
      <c r="E120" s="1901" t="s">
        <v>1067</v>
      </c>
      <c r="F120" s="1911"/>
      <c r="G120" s="3002"/>
      <c r="H120" s="3002"/>
      <c r="I120" s="3002"/>
      <c r="J120" s="3002"/>
      <c r="K120" s="3002"/>
      <c r="L120" s="3002"/>
      <c r="M120" s="3002"/>
      <c r="N120" s="3002"/>
      <c r="O120" s="3002"/>
      <c r="P120" s="3002"/>
      <c r="Q120" s="3002"/>
      <c r="R120" s="3002"/>
      <c r="S120" s="3002"/>
      <c r="T120" s="3002"/>
      <c r="U120" s="3002"/>
      <c r="V120" s="3002"/>
      <c r="W120" s="3002"/>
      <c r="X120" s="3002"/>
      <c r="Y120" s="3002"/>
      <c r="Z120" s="3011">
        <f>+TRUNC(+SUM(G120:Y121),2)</f>
        <v>0</v>
      </c>
      <c r="AA120" s="579">
        <f>SUM(G120:Z120)</f>
        <v>0</v>
      </c>
      <c r="AD120" s="1906"/>
      <c r="AE120" s="1906"/>
    </row>
    <row r="121" spans="1:31" ht="49.5" hidden="1" x14ac:dyDescent="0.15">
      <c r="A121" s="3045"/>
      <c r="B121" s="3032"/>
      <c r="C121" s="1900" t="s">
        <v>2345</v>
      </c>
      <c r="D121" s="1951"/>
      <c r="E121" s="1904" t="s">
        <v>1067</v>
      </c>
      <c r="F121" s="1935"/>
      <c r="G121" s="3003"/>
      <c r="H121" s="3003"/>
      <c r="I121" s="3003"/>
      <c r="J121" s="3003"/>
      <c r="K121" s="3003"/>
      <c r="L121" s="3003"/>
      <c r="M121" s="3003"/>
      <c r="N121" s="3003"/>
      <c r="O121" s="3003"/>
      <c r="P121" s="3003"/>
      <c r="Q121" s="3003"/>
      <c r="R121" s="3003"/>
      <c r="S121" s="3003"/>
      <c r="T121" s="3003"/>
      <c r="U121" s="3003"/>
      <c r="V121" s="3003"/>
      <c r="W121" s="3003"/>
      <c r="X121" s="3003"/>
      <c r="Y121" s="3003"/>
      <c r="Z121" s="3012"/>
      <c r="AA121" s="580">
        <f>+AA120</f>
        <v>0</v>
      </c>
      <c r="AD121" s="1906"/>
      <c r="AE121" s="1906"/>
    </row>
    <row r="122" spans="1:31" ht="18.75" hidden="1" x14ac:dyDescent="0.15">
      <c r="A122" s="3045"/>
      <c r="B122" s="3032"/>
      <c r="C122" s="1937" t="s">
        <v>339</v>
      </c>
      <c r="D122" s="1949">
        <v>0.36</v>
      </c>
      <c r="E122" s="1901" t="s">
        <v>1067</v>
      </c>
      <c r="F122" s="1911"/>
      <c r="G122" s="3002"/>
      <c r="H122" s="3002"/>
      <c r="I122" s="3002"/>
      <c r="J122" s="3002"/>
      <c r="K122" s="3002"/>
      <c r="L122" s="3002"/>
      <c r="M122" s="3002"/>
      <c r="N122" s="3002"/>
      <c r="O122" s="3002"/>
      <c r="P122" s="3002"/>
      <c r="Q122" s="3002"/>
      <c r="R122" s="3002"/>
      <c r="S122" s="3002"/>
      <c r="T122" s="3002"/>
      <c r="U122" s="3002"/>
      <c r="V122" s="3002"/>
      <c r="W122" s="3002"/>
      <c r="X122" s="3002"/>
      <c r="Y122" s="3002"/>
      <c r="Z122" s="3011">
        <f>+TRUNC(+SUM(G122:Y123),2)</f>
        <v>0</v>
      </c>
      <c r="AA122" s="579">
        <f>SUM(G122:Z122)</f>
        <v>0</v>
      </c>
      <c r="AD122" s="1906"/>
      <c r="AE122" s="1906"/>
    </row>
    <row r="123" spans="1:31" ht="49.5" hidden="1" x14ac:dyDescent="0.15">
      <c r="A123" s="3045"/>
      <c r="B123" s="3032"/>
      <c r="C123" s="1900" t="s">
        <v>2344</v>
      </c>
      <c r="D123" s="1951"/>
      <c r="E123" s="1904" t="s">
        <v>1067</v>
      </c>
      <c r="F123" s="1935"/>
      <c r="G123" s="3003"/>
      <c r="H123" s="3003"/>
      <c r="I123" s="3003"/>
      <c r="J123" s="3003"/>
      <c r="K123" s="3003"/>
      <c r="L123" s="3003"/>
      <c r="M123" s="3003"/>
      <c r="N123" s="3003"/>
      <c r="O123" s="3003"/>
      <c r="P123" s="3003"/>
      <c r="Q123" s="3003"/>
      <c r="R123" s="3003"/>
      <c r="S123" s="3003"/>
      <c r="T123" s="3003"/>
      <c r="U123" s="3003"/>
      <c r="V123" s="3003"/>
      <c r="W123" s="3003"/>
      <c r="X123" s="3003"/>
      <c r="Y123" s="3003"/>
      <c r="Z123" s="3012"/>
      <c r="AA123" s="580">
        <f>+AA122</f>
        <v>0</v>
      </c>
      <c r="AD123" s="1906"/>
      <c r="AE123" s="1906"/>
    </row>
    <row r="124" spans="1:31" ht="18.75" hidden="1" x14ac:dyDescent="0.15">
      <c r="A124" s="3045"/>
      <c r="B124" s="3032"/>
      <c r="C124" s="1937" t="s">
        <v>339</v>
      </c>
      <c r="D124" s="1949">
        <v>0.36</v>
      </c>
      <c r="E124" s="1901" t="s">
        <v>1067</v>
      </c>
      <c r="F124" s="1911"/>
      <c r="G124" s="3002"/>
      <c r="H124" s="3002"/>
      <c r="I124" s="3002"/>
      <c r="J124" s="3002"/>
      <c r="K124" s="3002"/>
      <c r="L124" s="3002"/>
      <c r="M124" s="3002"/>
      <c r="N124" s="3002"/>
      <c r="O124" s="3002"/>
      <c r="P124" s="3002"/>
      <c r="Q124" s="3002"/>
      <c r="R124" s="3002"/>
      <c r="S124" s="3002"/>
      <c r="T124" s="3002"/>
      <c r="U124" s="3002"/>
      <c r="V124" s="3002"/>
      <c r="W124" s="3002"/>
      <c r="X124" s="3002"/>
      <c r="Y124" s="3002"/>
      <c r="Z124" s="3011">
        <f>+TRUNC(+SUM(G124:Y125),2)</f>
        <v>0</v>
      </c>
      <c r="AA124" s="579">
        <f>SUM(G124:Z124)</f>
        <v>0</v>
      </c>
      <c r="AD124" s="1906"/>
      <c r="AE124" s="1906"/>
    </row>
    <row r="125" spans="1:31" ht="49.5" hidden="1" x14ac:dyDescent="0.15">
      <c r="A125" s="3045"/>
      <c r="B125" s="3032"/>
      <c r="C125" s="1900" t="s">
        <v>2343</v>
      </c>
      <c r="D125" s="1951"/>
      <c r="E125" s="1904" t="s">
        <v>1067</v>
      </c>
      <c r="F125" s="1935"/>
      <c r="G125" s="3003"/>
      <c r="H125" s="3003"/>
      <c r="I125" s="3003"/>
      <c r="J125" s="3003"/>
      <c r="K125" s="3003"/>
      <c r="L125" s="3003"/>
      <c r="M125" s="3003"/>
      <c r="N125" s="3003"/>
      <c r="O125" s="3003"/>
      <c r="P125" s="3003"/>
      <c r="Q125" s="3003"/>
      <c r="R125" s="3003"/>
      <c r="S125" s="3003"/>
      <c r="T125" s="3003"/>
      <c r="U125" s="3003"/>
      <c r="V125" s="3003"/>
      <c r="W125" s="3003"/>
      <c r="X125" s="3003"/>
      <c r="Y125" s="3003"/>
      <c r="Z125" s="3012"/>
      <c r="AA125" s="580">
        <f>+AA124</f>
        <v>0</v>
      </c>
      <c r="AD125" s="1906"/>
      <c r="AE125" s="1906"/>
    </row>
    <row r="126" spans="1:31" ht="18.75" hidden="1" x14ac:dyDescent="0.15">
      <c r="A126" s="3045"/>
      <c r="B126" s="3032"/>
      <c r="C126" s="1937" t="s">
        <v>339</v>
      </c>
      <c r="D126" s="1949">
        <v>0.36</v>
      </c>
      <c r="E126" s="1901" t="s">
        <v>1067</v>
      </c>
      <c r="F126" s="1911"/>
      <c r="G126" s="3002"/>
      <c r="H126" s="3002"/>
      <c r="I126" s="3002"/>
      <c r="J126" s="3002"/>
      <c r="K126" s="3002"/>
      <c r="L126" s="3002"/>
      <c r="M126" s="3002"/>
      <c r="N126" s="3002"/>
      <c r="O126" s="3002"/>
      <c r="P126" s="3002"/>
      <c r="Q126" s="3002"/>
      <c r="R126" s="3002"/>
      <c r="S126" s="3002"/>
      <c r="T126" s="3002"/>
      <c r="U126" s="3002"/>
      <c r="V126" s="3002"/>
      <c r="W126" s="3002"/>
      <c r="X126" s="3002"/>
      <c r="Y126" s="3002"/>
      <c r="Z126" s="3011">
        <f>+TRUNC(+SUM(G126:Y127),2)</f>
        <v>0</v>
      </c>
      <c r="AA126" s="579">
        <f>SUM(G126:Z126)</f>
        <v>0</v>
      </c>
      <c r="AD126" s="1906"/>
      <c r="AE126" s="1906"/>
    </row>
    <row r="127" spans="1:31" ht="49.5" hidden="1" x14ac:dyDescent="0.15">
      <c r="A127" s="3045"/>
      <c r="B127" s="3032"/>
      <c r="C127" s="1900" t="s">
        <v>2342</v>
      </c>
      <c r="D127" s="1951"/>
      <c r="E127" s="1904" t="s">
        <v>1067</v>
      </c>
      <c r="F127" s="1935"/>
      <c r="G127" s="3003"/>
      <c r="H127" s="3003"/>
      <c r="I127" s="3003"/>
      <c r="J127" s="3003"/>
      <c r="K127" s="3003"/>
      <c r="L127" s="3003"/>
      <c r="M127" s="3003"/>
      <c r="N127" s="3003"/>
      <c r="O127" s="3003"/>
      <c r="P127" s="3003"/>
      <c r="Q127" s="3003"/>
      <c r="R127" s="3003"/>
      <c r="S127" s="3003"/>
      <c r="T127" s="3003"/>
      <c r="U127" s="3003"/>
      <c r="V127" s="3003"/>
      <c r="W127" s="3003"/>
      <c r="X127" s="3003"/>
      <c r="Y127" s="3003"/>
      <c r="Z127" s="3012"/>
      <c r="AA127" s="580">
        <f>+AA126</f>
        <v>0</v>
      </c>
      <c r="AD127" s="1906"/>
      <c r="AE127" s="1906"/>
    </row>
    <row r="128" spans="1:31" ht="18.75" hidden="1" x14ac:dyDescent="0.15">
      <c r="A128" s="3045"/>
      <c r="B128" s="3032"/>
      <c r="C128" s="1937" t="s">
        <v>339</v>
      </c>
      <c r="D128" s="1949">
        <v>0.36</v>
      </c>
      <c r="E128" s="1901" t="s">
        <v>1067</v>
      </c>
      <c r="F128" s="1911"/>
      <c r="G128" s="3002"/>
      <c r="H128" s="3002"/>
      <c r="I128" s="3002"/>
      <c r="J128" s="3002"/>
      <c r="K128" s="3002"/>
      <c r="L128" s="3002"/>
      <c r="M128" s="3002"/>
      <c r="N128" s="3002"/>
      <c r="O128" s="3002"/>
      <c r="P128" s="3002"/>
      <c r="Q128" s="3002"/>
      <c r="R128" s="3002"/>
      <c r="S128" s="3002"/>
      <c r="T128" s="3002"/>
      <c r="U128" s="3002"/>
      <c r="V128" s="3002"/>
      <c r="W128" s="3002"/>
      <c r="X128" s="3002"/>
      <c r="Y128" s="3002"/>
      <c r="Z128" s="3011">
        <f>+TRUNC(+SUM(G128:Y129),2)</f>
        <v>0</v>
      </c>
      <c r="AA128" s="579">
        <f>SUM(G128:Z128)</f>
        <v>0</v>
      </c>
      <c r="AD128" s="1906"/>
      <c r="AE128" s="1906"/>
    </row>
    <row r="129" spans="1:31" ht="49.5" hidden="1" x14ac:dyDescent="0.15">
      <c r="A129" s="3045"/>
      <c r="B129" s="3032"/>
      <c r="C129" s="1900" t="s">
        <v>2341</v>
      </c>
      <c r="D129" s="1951"/>
      <c r="E129" s="1904" t="s">
        <v>1067</v>
      </c>
      <c r="F129" s="1935"/>
      <c r="G129" s="3003"/>
      <c r="H129" s="3003"/>
      <c r="I129" s="3003"/>
      <c r="J129" s="3003"/>
      <c r="K129" s="3003"/>
      <c r="L129" s="3003"/>
      <c r="M129" s="3003"/>
      <c r="N129" s="3003"/>
      <c r="O129" s="3003"/>
      <c r="P129" s="3003"/>
      <c r="Q129" s="3003"/>
      <c r="R129" s="3003"/>
      <c r="S129" s="3003"/>
      <c r="T129" s="3003"/>
      <c r="U129" s="3003"/>
      <c r="V129" s="3003"/>
      <c r="W129" s="3003"/>
      <c r="X129" s="3003"/>
      <c r="Y129" s="3003"/>
      <c r="Z129" s="3012"/>
      <c r="AA129" s="580">
        <f>+AA128</f>
        <v>0</v>
      </c>
      <c r="AD129" s="1906"/>
      <c r="AE129" s="1906"/>
    </row>
    <row r="130" spans="1:31" ht="18.75" hidden="1" x14ac:dyDescent="0.15">
      <c r="A130" s="3045"/>
      <c r="B130" s="3032"/>
      <c r="C130" s="1937" t="s">
        <v>339</v>
      </c>
      <c r="D130" s="1949">
        <v>0.36</v>
      </c>
      <c r="E130" s="1901" t="s">
        <v>1067</v>
      </c>
      <c r="F130" s="1911"/>
      <c r="G130" s="3002"/>
      <c r="H130" s="3002"/>
      <c r="I130" s="3002"/>
      <c r="J130" s="3002"/>
      <c r="K130" s="3002"/>
      <c r="L130" s="3002"/>
      <c r="M130" s="3002"/>
      <c r="N130" s="3002"/>
      <c r="O130" s="3002"/>
      <c r="P130" s="3002"/>
      <c r="Q130" s="3002"/>
      <c r="R130" s="3002"/>
      <c r="S130" s="3002"/>
      <c r="T130" s="3002"/>
      <c r="U130" s="3002"/>
      <c r="V130" s="3002"/>
      <c r="W130" s="3002"/>
      <c r="X130" s="3002"/>
      <c r="Y130" s="3002"/>
      <c r="Z130" s="3011">
        <f>+TRUNC(+SUM(G130:Y131),2)</f>
        <v>0</v>
      </c>
      <c r="AA130" s="579">
        <f>SUM(G130:Z130)</f>
        <v>0</v>
      </c>
      <c r="AD130" s="1906"/>
      <c r="AE130" s="1906"/>
    </row>
    <row r="131" spans="1:31" ht="49.5" hidden="1" x14ac:dyDescent="0.15">
      <c r="A131" s="3045"/>
      <c r="B131" s="3032"/>
      <c r="C131" s="1900" t="s">
        <v>2340</v>
      </c>
      <c r="D131" s="1951"/>
      <c r="E131" s="1904" t="s">
        <v>1067</v>
      </c>
      <c r="F131" s="1935"/>
      <c r="G131" s="3003"/>
      <c r="H131" s="3003"/>
      <c r="I131" s="3003"/>
      <c r="J131" s="3003"/>
      <c r="K131" s="3003"/>
      <c r="L131" s="3003"/>
      <c r="M131" s="3003"/>
      <c r="N131" s="3003"/>
      <c r="O131" s="3003"/>
      <c r="P131" s="3003"/>
      <c r="Q131" s="3003"/>
      <c r="R131" s="3003"/>
      <c r="S131" s="3003"/>
      <c r="T131" s="3003"/>
      <c r="U131" s="3003"/>
      <c r="V131" s="3003"/>
      <c r="W131" s="3003"/>
      <c r="X131" s="3003"/>
      <c r="Y131" s="3003"/>
      <c r="Z131" s="3012"/>
      <c r="AA131" s="580">
        <f>+AA130</f>
        <v>0</v>
      </c>
      <c r="AD131" s="1906"/>
      <c r="AE131" s="1906"/>
    </row>
    <row r="132" spans="1:31" ht="18.75" hidden="1" x14ac:dyDescent="0.15">
      <c r="A132" s="3045"/>
      <c r="B132" s="3032"/>
      <c r="C132" s="1937" t="s">
        <v>339</v>
      </c>
      <c r="D132" s="1949">
        <v>0.36</v>
      </c>
      <c r="E132" s="1901" t="s">
        <v>1067</v>
      </c>
      <c r="F132" s="1911"/>
      <c r="G132" s="3002"/>
      <c r="H132" s="3002"/>
      <c r="I132" s="3002"/>
      <c r="J132" s="3002"/>
      <c r="K132" s="3002"/>
      <c r="L132" s="3002"/>
      <c r="M132" s="3002"/>
      <c r="N132" s="3002"/>
      <c r="O132" s="3002"/>
      <c r="P132" s="3002"/>
      <c r="Q132" s="3002"/>
      <c r="R132" s="3002"/>
      <c r="S132" s="3002"/>
      <c r="T132" s="3002"/>
      <c r="U132" s="3002"/>
      <c r="V132" s="3002"/>
      <c r="W132" s="3002"/>
      <c r="X132" s="3002"/>
      <c r="Y132" s="3002"/>
      <c r="Z132" s="3011">
        <f>+TRUNC(+SUM(G132:Y133),2)</f>
        <v>0</v>
      </c>
      <c r="AA132" s="579">
        <f>SUM(G132:Z132)</f>
        <v>0</v>
      </c>
      <c r="AD132" s="1906"/>
      <c r="AE132" s="1906"/>
    </row>
    <row r="133" spans="1:31" ht="49.5" hidden="1" x14ac:dyDescent="0.15">
      <c r="A133" s="3045"/>
      <c r="B133" s="3032"/>
      <c r="C133" s="1900" t="s">
        <v>2339</v>
      </c>
      <c r="D133" s="1951"/>
      <c r="E133" s="1904" t="s">
        <v>1067</v>
      </c>
      <c r="F133" s="1935"/>
      <c r="G133" s="3003"/>
      <c r="H133" s="3003"/>
      <c r="I133" s="3003"/>
      <c r="J133" s="3003"/>
      <c r="K133" s="3003"/>
      <c r="L133" s="3003"/>
      <c r="M133" s="3003"/>
      <c r="N133" s="3003"/>
      <c r="O133" s="3003"/>
      <c r="P133" s="3003"/>
      <c r="Q133" s="3003"/>
      <c r="R133" s="3003"/>
      <c r="S133" s="3003"/>
      <c r="T133" s="3003"/>
      <c r="U133" s="3003"/>
      <c r="V133" s="3003"/>
      <c r="W133" s="3003"/>
      <c r="X133" s="3003"/>
      <c r="Y133" s="3003"/>
      <c r="Z133" s="3012"/>
      <c r="AA133" s="580">
        <f>+AA132</f>
        <v>0</v>
      </c>
      <c r="AD133" s="1906"/>
      <c r="AE133" s="1906"/>
    </row>
    <row r="134" spans="1:31" ht="18.75" hidden="1" x14ac:dyDescent="0.15">
      <c r="A134" s="3045"/>
      <c r="B134" s="3032"/>
      <c r="C134" s="1937" t="s">
        <v>339</v>
      </c>
      <c r="D134" s="1949">
        <v>0.36</v>
      </c>
      <c r="E134" s="1901" t="s">
        <v>1067</v>
      </c>
      <c r="F134" s="1911"/>
      <c r="G134" s="3002"/>
      <c r="H134" s="3002"/>
      <c r="I134" s="3002"/>
      <c r="J134" s="3002"/>
      <c r="K134" s="3002"/>
      <c r="L134" s="3002"/>
      <c r="M134" s="3002"/>
      <c r="N134" s="3002"/>
      <c r="O134" s="3002"/>
      <c r="P134" s="3002"/>
      <c r="Q134" s="3002"/>
      <c r="R134" s="3002"/>
      <c r="S134" s="3002"/>
      <c r="T134" s="3002"/>
      <c r="U134" s="3002"/>
      <c r="V134" s="3002"/>
      <c r="W134" s="3002"/>
      <c r="X134" s="3002"/>
      <c r="Y134" s="3002"/>
      <c r="Z134" s="3011">
        <f>+TRUNC(+SUM(G134:Y135),2)</f>
        <v>0</v>
      </c>
      <c r="AA134" s="579">
        <f>SUM(G134:Z134)</f>
        <v>0</v>
      </c>
      <c r="AD134" s="1906"/>
      <c r="AE134" s="1906"/>
    </row>
    <row r="135" spans="1:31" ht="49.5" hidden="1" x14ac:dyDescent="0.15">
      <c r="A135" s="3045"/>
      <c r="B135" s="3032"/>
      <c r="C135" s="1900" t="s">
        <v>2338</v>
      </c>
      <c r="D135" s="1951"/>
      <c r="E135" s="1904" t="s">
        <v>1067</v>
      </c>
      <c r="F135" s="1935"/>
      <c r="G135" s="3003"/>
      <c r="H135" s="3003"/>
      <c r="I135" s="3003"/>
      <c r="J135" s="3003"/>
      <c r="K135" s="3003"/>
      <c r="L135" s="3003"/>
      <c r="M135" s="3003"/>
      <c r="N135" s="3003"/>
      <c r="O135" s="3003"/>
      <c r="P135" s="3003"/>
      <c r="Q135" s="3003"/>
      <c r="R135" s="3003"/>
      <c r="S135" s="3003"/>
      <c r="T135" s="3003"/>
      <c r="U135" s="3003"/>
      <c r="V135" s="3003"/>
      <c r="W135" s="3003"/>
      <c r="X135" s="3003"/>
      <c r="Y135" s="3003"/>
      <c r="Z135" s="3012"/>
      <c r="AA135" s="580">
        <f>+AA134</f>
        <v>0</v>
      </c>
      <c r="AD135" s="1906"/>
      <c r="AE135" s="1906"/>
    </row>
    <row r="136" spans="1:31" ht="18.75" hidden="1" x14ac:dyDescent="0.15">
      <c r="A136" s="3045"/>
      <c r="B136" s="3032"/>
      <c r="C136" s="1937" t="s">
        <v>339</v>
      </c>
      <c r="D136" s="1949">
        <v>0.36</v>
      </c>
      <c r="E136" s="1901" t="s">
        <v>1067</v>
      </c>
      <c r="F136" s="1911"/>
      <c r="G136" s="3002"/>
      <c r="H136" s="3002"/>
      <c r="I136" s="3002"/>
      <c r="J136" s="3002"/>
      <c r="K136" s="3002"/>
      <c r="L136" s="3002"/>
      <c r="M136" s="3002"/>
      <c r="N136" s="3002"/>
      <c r="O136" s="3002"/>
      <c r="P136" s="3002"/>
      <c r="Q136" s="3002"/>
      <c r="R136" s="3002"/>
      <c r="S136" s="3002"/>
      <c r="T136" s="3002"/>
      <c r="U136" s="3002"/>
      <c r="V136" s="3002"/>
      <c r="W136" s="3002"/>
      <c r="X136" s="3002"/>
      <c r="Y136" s="3002"/>
      <c r="Z136" s="3011">
        <f>+TRUNC(+SUM(G136:Y137),2)</f>
        <v>0</v>
      </c>
      <c r="AA136" s="579">
        <f>SUM(G136:Z136)</f>
        <v>0</v>
      </c>
      <c r="AD136" s="1906"/>
      <c r="AE136" s="1906"/>
    </row>
    <row r="137" spans="1:31" ht="49.5" hidden="1" x14ac:dyDescent="0.15">
      <c r="A137" s="3045"/>
      <c r="B137" s="3032"/>
      <c r="C137" s="1900" t="s">
        <v>2337</v>
      </c>
      <c r="D137" s="1951"/>
      <c r="E137" s="1904" t="s">
        <v>1067</v>
      </c>
      <c r="F137" s="1935"/>
      <c r="G137" s="3003"/>
      <c r="H137" s="3003"/>
      <c r="I137" s="3003"/>
      <c r="J137" s="3003"/>
      <c r="K137" s="3003"/>
      <c r="L137" s="3003"/>
      <c r="M137" s="3003"/>
      <c r="N137" s="3003"/>
      <c r="O137" s="3003"/>
      <c r="P137" s="3003"/>
      <c r="Q137" s="3003"/>
      <c r="R137" s="3003"/>
      <c r="S137" s="3003"/>
      <c r="T137" s="3003"/>
      <c r="U137" s="3003"/>
      <c r="V137" s="3003"/>
      <c r="W137" s="3003"/>
      <c r="X137" s="3003"/>
      <c r="Y137" s="3003"/>
      <c r="Z137" s="3012"/>
      <c r="AA137" s="580">
        <f>+AA136</f>
        <v>0</v>
      </c>
      <c r="AD137" s="1906"/>
      <c r="AE137" s="1906"/>
    </row>
    <row r="138" spans="1:31" ht="18.75" hidden="1" x14ac:dyDescent="0.15">
      <c r="A138" s="3045"/>
      <c r="B138" s="3032"/>
      <c r="C138" s="1937" t="s">
        <v>339</v>
      </c>
      <c r="D138" s="1949">
        <v>0.36</v>
      </c>
      <c r="E138" s="1901" t="s">
        <v>1067</v>
      </c>
      <c r="F138" s="1911"/>
      <c r="G138" s="3002"/>
      <c r="H138" s="3002"/>
      <c r="I138" s="3002"/>
      <c r="J138" s="3002"/>
      <c r="K138" s="3002"/>
      <c r="L138" s="3002"/>
      <c r="M138" s="3002"/>
      <c r="N138" s="3002"/>
      <c r="O138" s="3002"/>
      <c r="P138" s="3002"/>
      <c r="Q138" s="3002"/>
      <c r="R138" s="3002"/>
      <c r="S138" s="3002"/>
      <c r="T138" s="3002"/>
      <c r="U138" s="3002"/>
      <c r="V138" s="3002"/>
      <c r="W138" s="3002"/>
      <c r="X138" s="3002"/>
      <c r="Y138" s="3002"/>
      <c r="Z138" s="3011">
        <f>+TRUNC(+SUM(G138:Y139),2)</f>
        <v>0</v>
      </c>
      <c r="AA138" s="579">
        <f>SUM(G138:Z138)</f>
        <v>0</v>
      </c>
      <c r="AD138" s="1906"/>
      <c r="AE138" s="1906"/>
    </row>
    <row r="139" spans="1:31" ht="49.5" hidden="1" x14ac:dyDescent="0.15">
      <c r="A139" s="3045"/>
      <c r="B139" s="3032"/>
      <c r="C139" s="1900" t="s">
        <v>2336</v>
      </c>
      <c r="D139" s="1951"/>
      <c r="E139" s="1904" t="s">
        <v>1067</v>
      </c>
      <c r="F139" s="1935"/>
      <c r="G139" s="3003"/>
      <c r="H139" s="3003"/>
      <c r="I139" s="3003"/>
      <c r="J139" s="3003"/>
      <c r="K139" s="3003"/>
      <c r="L139" s="3003"/>
      <c r="M139" s="3003"/>
      <c r="N139" s="3003"/>
      <c r="O139" s="3003"/>
      <c r="P139" s="3003"/>
      <c r="Q139" s="3003"/>
      <c r="R139" s="3003"/>
      <c r="S139" s="3003"/>
      <c r="T139" s="3003"/>
      <c r="U139" s="3003"/>
      <c r="V139" s="3003"/>
      <c r="W139" s="3003"/>
      <c r="X139" s="3003"/>
      <c r="Y139" s="3003"/>
      <c r="Z139" s="3012"/>
      <c r="AA139" s="580">
        <f>+AA138</f>
        <v>0</v>
      </c>
      <c r="AD139" s="1906"/>
      <c r="AE139" s="1906"/>
    </row>
    <row r="140" spans="1:31" ht="18.75" hidden="1" x14ac:dyDescent="0.15">
      <c r="A140" s="3045"/>
      <c r="B140" s="3032"/>
      <c r="C140" s="1937" t="s">
        <v>339</v>
      </c>
      <c r="D140" s="1949">
        <v>0.36</v>
      </c>
      <c r="E140" s="1901" t="s">
        <v>1067</v>
      </c>
      <c r="F140" s="1911"/>
      <c r="G140" s="3002"/>
      <c r="H140" s="3002"/>
      <c r="I140" s="3002"/>
      <c r="J140" s="3002"/>
      <c r="K140" s="3002"/>
      <c r="L140" s="3002"/>
      <c r="M140" s="3002"/>
      <c r="N140" s="3002"/>
      <c r="O140" s="3002"/>
      <c r="P140" s="3002"/>
      <c r="Q140" s="3002"/>
      <c r="R140" s="3002"/>
      <c r="S140" s="3002"/>
      <c r="T140" s="3002"/>
      <c r="U140" s="3002"/>
      <c r="V140" s="3002"/>
      <c r="W140" s="3002"/>
      <c r="X140" s="3002"/>
      <c r="Y140" s="3002"/>
      <c r="Z140" s="3011">
        <f>+TRUNC(+SUM(G140:Y141),2)</f>
        <v>0</v>
      </c>
      <c r="AA140" s="579">
        <f>SUM(G140:Z140)</f>
        <v>0</v>
      </c>
      <c r="AD140" s="1906"/>
      <c r="AE140" s="1906"/>
    </row>
    <row r="141" spans="1:31" ht="49.5" hidden="1" x14ac:dyDescent="0.15">
      <c r="A141" s="3045"/>
      <c r="B141" s="3032"/>
      <c r="C141" s="1900" t="s">
        <v>2335</v>
      </c>
      <c r="D141" s="1951"/>
      <c r="E141" s="1904" t="s">
        <v>1067</v>
      </c>
      <c r="F141" s="1935"/>
      <c r="G141" s="3003"/>
      <c r="H141" s="3003"/>
      <c r="I141" s="3003"/>
      <c r="J141" s="3003"/>
      <c r="K141" s="3003"/>
      <c r="L141" s="3003"/>
      <c r="M141" s="3003"/>
      <c r="N141" s="3003"/>
      <c r="O141" s="3003"/>
      <c r="P141" s="3003"/>
      <c r="Q141" s="3003"/>
      <c r="R141" s="3003"/>
      <c r="S141" s="3003"/>
      <c r="T141" s="3003"/>
      <c r="U141" s="3003"/>
      <c r="V141" s="3003"/>
      <c r="W141" s="3003"/>
      <c r="X141" s="3003"/>
      <c r="Y141" s="3003"/>
      <c r="Z141" s="3012"/>
      <c r="AA141" s="580">
        <f>+AA140</f>
        <v>0</v>
      </c>
      <c r="AD141" s="1906"/>
      <c r="AE141" s="1906"/>
    </row>
    <row r="142" spans="1:31" ht="18.75" hidden="1" x14ac:dyDescent="0.15">
      <c r="A142" s="3045"/>
      <c r="B142" s="3032"/>
      <c r="C142" s="1937" t="s">
        <v>339</v>
      </c>
      <c r="D142" s="1949">
        <v>0.36</v>
      </c>
      <c r="E142" s="1901" t="s">
        <v>1067</v>
      </c>
      <c r="F142" s="1911"/>
      <c r="G142" s="3002"/>
      <c r="H142" s="3002"/>
      <c r="I142" s="3002"/>
      <c r="J142" s="3002"/>
      <c r="K142" s="3002"/>
      <c r="L142" s="3002"/>
      <c r="M142" s="3002"/>
      <c r="N142" s="3002"/>
      <c r="O142" s="3002"/>
      <c r="P142" s="3002"/>
      <c r="Q142" s="3002"/>
      <c r="R142" s="3002"/>
      <c r="S142" s="3002"/>
      <c r="T142" s="3002"/>
      <c r="U142" s="3002"/>
      <c r="V142" s="3002"/>
      <c r="W142" s="3002"/>
      <c r="X142" s="3002"/>
      <c r="Y142" s="3002"/>
      <c r="Z142" s="3011">
        <f>+TRUNC(+SUM(G142:Y143),2)</f>
        <v>0</v>
      </c>
      <c r="AA142" s="579">
        <f>SUM(G142:Z142)</f>
        <v>0</v>
      </c>
      <c r="AD142" s="1906"/>
      <c r="AE142" s="1906"/>
    </row>
    <row r="143" spans="1:31" ht="49.5" hidden="1" x14ac:dyDescent="0.15">
      <c r="A143" s="3045"/>
      <c r="B143" s="3032"/>
      <c r="C143" s="1900" t="s">
        <v>2334</v>
      </c>
      <c r="D143" s="1951"/>
      <c r="E143" s="1904" t="s">
        <v>1067</v>
      </c>
      <c r="F143" s="1935"/>
      <c r="G143" s="3003"/>
      <c r="H143" s="3003"/>
      <c r="I143" s="3003"/>
      <c r="J143" s="3003"/>
      <c r="K143" s="3003"/>
      <c r="L143" s="3003"/>
      <c r="M143" s="3003"/>
      <c r="N143" s="3003"/>
      <c r="O143" s="3003"/>
      <c r="P143" s="3003"/>
      <c r="Q143" s="3003"/>
      <c r="R143" s="3003"/>
      <c r="S143" s="3003"/>
      <c r="T143" s="3003"/>
      <c r="U143" s="3003"/>
      <c r="V143" s="3003"/>
      <c r="W143" s="3003"/>
      <c r="X143" s="3003"/>
      <c r="Y143" s="3003"/>
      <c r="Z143" s="3012"/>
      <c r="AA143" s="580">
        <f>+AA142</f>
        <v>0</v>
      </c>
      <c r="AD143" s="1906"/>
      <c r="AE143" s="1906"/>
    </row>
    <row r="144" spans="1:31" ht="18.75" hidden="1" x14ac:dyDescent="0.15">
      <c r="A144" s="3045"/>
      <c r="B144" s="3032"/>
      <c r="C144" s="1937" t="s">
        <v>339</v>
      </c>
      <c r="D144" s="1949">
        <v>0.36</v>
      </c>
      <c r="E144" s="1901" t="s">
        <v>1067</v>
      </c>
      <c r="F144" s="1911"/>
      <c r="G144" s="3002"/>
      <c r="H144" s="3002"/>
      <c r="I144" s="3002"/>
      <c r="J144" s="3002"/>
      <c r="K144" s="3002"/>
      <c r="L144" s="3002"/>
      <c r="M144" s="3002"/>
      <c r="N144" s="3002"/>
      <c r="O144" s="3002"/>
      <c r="P144" s="3002"/>
      <c r="Q144" s="3002"/>
      <c r="R144" s="3002"/>
      <c r="S144" s="3002"/>
      <c r="T144" s="3002"/>
      <c r="U144" s="3002"/>
      <c r="V144" s="3002"/>
      <c r="W144" s="3002"/>
      <c r="X144" s="3002"/>
      <c r="Y144" s="3002"/>
      <c r="Z144" s="3011">
        <f>+TRUNC(+SUM(G144:Y145),2)</f>
        <v>0</v>
      </c>
      <c r="AA144" s="579">
        <f>SUM(G144:Z144)</f>
        <v>0</v>
      </c>
      <c r="AD144" s="1906"/>
      <c r="AE144" s="1906"/>
    </row>
    <row r="145" spans="1:31" ht="49.5" hidden="1" x14ac:dyDescent="0.15">
      <c r="A145" s="3045"/>
      <c r="B145" s="3032"/>
      <c r="C145" s="1900" t="s">
        <v>2333</v>
      </c>
      <c r="D145" s="1951"/>
      <c r="E145" s="1904" t="s">
        <v>1067</v>
      </c>
      <c r="F145" s="1935"/>
      <c r="G145" s="3003"/>
      <c r="H145" s="3003"/>
      <c r="I145" s="3003"/>
      <c r="J145" s="3003"/>
      <c r="K145" s="3003"/>
      <c r="L145" s="3003"/>
      <c r="M145" s="3003"/>
      <c r="N145" s="3003"/>
      <c r="O145" s="3003"/>
      <c r="P145" s="3003"/>
      <c r="Q145" s="3003"/>
      <c r="R145" s="3003"/>
      <c r="S145" s="3003"/>
      <c r="T145" s="3003"/>
      <c r="U145" s="3003"/>
      <c r="V145" s="3003"/>
      <c r="W145" s="3003"/>
      <c r="X145" s="3003"/>
      <c r="Y145" s="3003"/>
      <c r="Z145" s="3012"/>
      <c r="AA145" s="580">
        <f>+AA144</f>
        <v>0</v>
      </c>
      <c r="AD145" s="1906"/>
      <c r="AE145" s="1906"/>
    </row>
    <row r="146" spans="1:31" ht="18.75" hidden="1" x14ac:dyDescent="0.15">
      <c r="A146" s="3045"/>
      <c r="B146" s="3032"/>
      <c r="C146" s="1937" t="s">
        <v>339</v>
      </c>
      <c r="D146" s="1949">
        <v>0.36</v>
      </c>
      <c r="E146" s="1901" t="s">
        <v>1067</v>
      </c>
      <c r="F146" s="1911"/>
      <c r="G146" s="3002"/>
      <c r="H146" s="3002"/>
      <c r="I146" s="3002"/>
      <c r="J146" s="3002"/>
      <c r="K146" s="3002"/>
      <c r="L146" s="3002"/>
      <c r="M146" s="3002"/>
      <c r="N146" s="3002"/>
      <c r="O146" s="3002"/>
      <c r="P146" s="3002"/>
      <c r="Q146" s="3002"/>
      <c r="R146" s="3002"/>
      <c r="S146" s="3002"/>
      <c r="T146" s="3002"/>
      <c r="U146" s="3002"/>
      <c r="V146" s="3002"/>
      <c r="W146" s="3002"/>
      <c r="X146" s="3002"/>
      <c r="Y146" s="3002"/>
      <c r="Z146" s="3011">
        <f>+TRUNC(+SUM(G146:Y147),2)</f>
        <v>0</v>
      </c>
      <c r="AA146" s="579">
        <f>SUM(G146:Z146)</f>
        <v>0</v>
      </c>
      <c r="AD146" s="1906"/>
      <c r="AE146" s="1906"/>
    </row>
    <row r="147" spans="1:31" ht="49.5" hidden="1" x14ac:dyDescent="0.15">
      <c r="A147" s="3045"/>
      <c r="B147" s="3032"/>
      <c r="C147" s="1900" t="s">
        <v>2332</v>
      </c>
      <c r="D147" s="1951"/>
      <c r="E147" s="1904" t="s">
        <v>1067</v>
      </c>
      <c r="F147" s="1935"/>
      <c r="G147" s="3003"/>
      <c r="H147" s="3003"/>
      <c r="I147" s="3003"/>
      <c r="J147" s="3003"/>
      <c r="K147" s="3003"/>
      <c r="L147" s="3003"/>
      <c r="M147" s="3003"/>
      <c r="N147" s="3003"/>
      <c r="O147" s="3003"/>
      <c r="P147" s="3003"/>
      <c r="Q147" s="3003"/>
      <c r="R147" s="3003"/>
      <c r="S147" s="3003"/>
      <c r="T147" s="3003"/>
      <c r="U147" s="3003"/>
      <c r="V147" s="3003"/>
      <c r="W147" s="3003"/>
      <c r="X147" s="3003"/>
      <c r="Y147" s="3003"/>
      <c r="Z147" s="3012"/>
      <c r="AA147" s="580">
        <f>+AA146</f>
        <v>0</v>
      </c>
      <c r="AD147" s="1906"/>
      <c r="AE147" s="1906"/>
    </row>
    <row r="148" spans="1:31" ht="18.75" hidden="1" x14ac:dyDescent="0.15">
      <c r="A148" s="3045"/>
      <c r="B148" s="3032"/>
      <c r="C148" s="1937" t="s">
        <v>339</v>
      </c>
      <c r="D148" s="1949">
        <v>0.36</v>
      </c>
      <c r="E148" s="1901" t="s">
        <v>1067</v>
      </c>
      <c r="F148" s="1911"/>
      <c r="G148" s="3002"/>
      <c r="H148" s="3002"/>
      <c r="I148" s="3002"/>
      <c r="J148" s="3002"/>
      <c r="K148" s="3002"/>
      <c r="L148" s="3002"/>
      <c r="M148" s="3002"/>
      <c r="N148" s="3002"/>
      <c r="O148" s="3002"/>
      <c r="P148" s="3002"/>
      <c r="Q148" s="3002"/>
      <c r="R148" s="3002"/>
      <c r="S148" s="3002"/>
      <c r="T148" s="3002"/>
      <c r="U148" s="3002"/>
      <c r="V148" s="3002"/>
      <c r="W148" s="3002"/>
      <c r="X148" s="3002"/>
      <c r="Y148" s="3002"/>
      <c r="Z148" s="3011">
        <f>+TRUNC(+SUM(G148:Y149),2)</f>
        <v>0</v>
      </c>
      <c r="AA148" s="579">
        <f>SUM(G148:Z148)</f>
        <v>0</v>
      </c>
      <c r="AD148" s="1906"/>
      <c r="AE148" s="1906"/>
    </row>
    <row r="149" spans="1:31" ht="49.5" hidden="1" x14ac:dyDescent="0.15">
      <c r="A149" s="3045"/>
      <c r="B149" s="3032"/>
      <c r="C149" s="1900" t="s">
        <v>2331</v>
      </c>
      <c r="D149" s="1951"/>
      <c r="E149" s="1904" t="s">
        <v>1067</v>
      </c>
      <c r="F149" s="1935"/>
      <c r="G149" s="3003"/>
      <c r="H149" s="3003"/>
      <c r="I149" s="3003"/>
      <c r="J149" s="3003"/>
      <c r="K149" s="3003"/>
      <c r="L149" s="3003"/>
      <c r="M149" s="3003"/>
      <c r="N149" s="3003"/>
      <c r="O149" s="3003"/>
      <c r="P149" s="3003"/>
      <c r="Q149" s="3003"/>
      <c r="R149" s="3003"/>
      <c r="S149" s="3003"/>
      <c r="T149" s="3003"/>
      <c r="U149" s="3003"/>
      <c r="V149" s="3003"/>
      <c r="W149" s="3003"/>
      <c r="X149" s="3003"/>
      <c r="Y149" s="3003"/>
      <c r="Z149" s="3012"/>
      <c r="AA149" s="580">
        <f>+AA148</f>
        <v>0</v>
      </c>
      <c r="AD149" s="1906"/>
      <c r="AE149" s="1906"/>
    </row>
    <row r="150" spans="1:31" ht="18.75" hidden="1" x14ac:dyDescent="0.15">
      <c r="A150" s="3045"/>
      <c r="B150" s="3032"/>
      <c r="C150" s="1937" t="s">
        <v>339</v>
      </c>
      <c r="D150" s="1949">
        <v>0.36</v>
      </c>
      <c r="E150" s="1901" t="s">
        <v>1067</v>
      </c>
      <c r="F150" s="1911"/>
      <c r="G150" s="3002"/>
      <c r="H150" s="3002"/>
      <c r="I150" s="3002"/>
      <c r="J150" s="3002"/>
      <c r="K150" s="3002"/>
      <c r="L150" s="3002"/>
      <c r="M150" s="3002"/>
      <c r="N150" s="3002"/>
      <c r="O150" s="3002"/>
      <c r="P150" s="3002"/>
      <c r="Q150" s="3002"/>
      <c r="R150" s="3002"/>
      <c r="S150" s="3002"/>
      <c r="T150" s="3002"/>
      <c r="U150" s="3002"/>
      <c r="V150" s="3002"/>
      <c r="W150" s="3002"/>
      <c r="X150" s="3002"/>
      <c r="Y150" s="3002"/>
      <c r="Z150" s="3011">
        <f>+TRUNC(+SUM(G150:Y151),2)</f>
        <v>0</v>
      </c>
      <c r="AA150" s="579">
        <f>SUM(G150:Z150)</f>
        <v>0</v>
      </c>
      <c r="AD150" s="1906"/>
      <c r="AE150" s="1906"/>
    </row>
    <row r="151" spans="1:31" ht="49.5" hidden="1" x14ac:dyDescent="0.15">
      <c r="A151" s="3045"/>
      <c r="B151" s="3032"/>
      <c r="C151" s="1900" t="s">
        <v>2330</v>
      </c>
      <c r="D151" s="1951"/>
      <c r="E151" s="1904" t="s">
        <v>1067</v>
      </c>
      <c r="F151" s="1935"/>
      <c r="G151" s="3003"/>
      <c r="H151" s="3003"/>
      <c r="I151" s="3003"/>
      <c r="J151" s="3003"/>
      <c r="K151" s="3003"/>
      <c r="L151" s="3003"/>
      <c r="M151" s="3003"/>
      <c r="N151" s="3003"/>
      <c r="O151" s="3003"/>
      <c r="P151" s="3003"/>
      <c r="Q151" s="3003"/>
      <c r="R151" s="3003"/>
      <c r="S151" s="3003"/>
      <c r="T151" s="3003"/>
      <c r="U151" s="3003"/>
      <c r="V151" s="3003"/>
      <c r="W151" s="3003"/>
      <c r="X151" s="3003"/>
      <c r="Y151" s="3003"/>
      <c r="Z151" s="3012"/>
      <c r="AA151" s="580">
        <f>+AA150</f>
        <v>0</v>
      </c>
      <c r="AD151" s="1906"/>
      <c r="AE151" s="1906"/>
    </row>
    <row r="152" spans="1:31" ht="18.75" hidden="1" x14ac:dyDescent="0.15">
      <c r="A152" s="3045"/>
      <c r="B152" s="3032"/>
      <c r="C152" s="1937" t="s">
        <v>339</v>
      </c>
      <c r="D152" s="1949">
        <v>0.36</v>
      </c>
      <c r="E152" s="1901" t="s">
        <v>1067</v>
      </c>
      <c r="F152" s="1911"/>
      <c r="G152" s="3002"/>
      <c r="H152" s="3002"/>
      <c r="I152" s="3002"/>
      <c r="J152" s="3002"/>
      <c r="K152" s="3002"/>
      <c r="L152" s="3002"/>
      <c r="M152" s="3002"/>
      <c r="N152" s="3002"/>
      <c r="O152" s="3002"/>
      <c r="P152" s="3002"/>
      <c r="Q152" s="3002"/>
      <c r="R152" s="3002"/>
      <c r="S152" s="3002"/>
      <c r="T152" s="3002"/>
      <c r="U152" s="3002"/>
      <c r="V152" s="3002"/>
      <c r="W152" s="3002"/>
      <c r="X152" s="3002"/>
      <c r="Y152" s="3002"/>
      <c r="Z152" s="3011">
        <f>+TRUNC(+SUM(G152:Y153),2)</f>
        <v>0</v>
      </c>
      <c r="AA152" s="579">
        <f>SUM(G152:Z152)</f>
        <v>0</v>
      </c>
      <c r="AD152" s="1906"/>
      <c r="AE152" s="1906"/>
    </row>
    <row r="153" spans="1:31" ht="49.5" hidden="1" x14ac:dyDescent="0.15">
      <c r="A153" s="3045"/>
      <c r="B153" s="3032"/>
      <c r="C153" s="1900" t="s">
        <v>2329</v>
      </c>
      <c r="D153" s="1951"/>
      <c r="E153" s="1904" t="s">
        <v>1067</v>
      </c>
      <c r="F153" s="1935"/>
      <c r="G153" s="3003"/>
      <c r="H153" s="3003"/>
      <c r="I153" s="3003"/>
      <c r="J153" s="3003"/>
      <c r="K153" s="3003"/>
      <c r="L153" s="3003"/>
      <c r="M153" s="3003"/>
      <c r="N153" s="3003"/>
      <c r="O153" s="3003"/>
      <c r="P153" s="3003"/>
      <c r="Q153" s="3003"/>
      <c r="R153" s="3003"/>
      <c r="S153" s="3003"/>
      <c r="T153" s="3003"/>
      <c r="U153" s="3003"/>
      <c r="V153" s="3003"/>
      <c r="W153" s="3003"/>
      <c r="X153" s="3003"/>
      <c r="Y153" s="3003"/>
      <c r="Z153" s="3012"/>
      <c r="AA153" s="580">
        <f>+AA152</f>
        <v>0</v>
      </c>
      <c r="AD153" s="1906"/>
      <c r="AE153" s="1906"/>
    </row>
    <row r="154" spans="1:31" ht="18.75" hidden="1" x14ac:dyDescent="0.15">
      <c r="A154" s="3045"/>
      <c r="B154" s="3032"/>
      <c r="C154" s="1937" t="s">
        <v>339</v>
      </c>
      <c r="D154" s="1949">
        <v>0.36</v>
      </c>
      <c r="E154" s="1901" t="s">
        <v>1067</v>
      </c>
      <c r="F154" s="1911"/>
      <c r="G154" s="3002"/>
      <c r="H154" s="3002"/>
      <c r="I154" s="3002"/>
      <c r="J154" s="3002"/>
      <c r="K154" s="3002"/>
      <c r="L154" s="3002"/>
      <c r="M154" s="3002"/>
      <c r="N154" s="3002"/>
      <c r="O154" s="3002"/>
      <c r="P154" s="3002"/>
      <c r="Q154" s="3002"/>
      <c r="R154" s="3002"/>
      <c r="S154" s="3002"/>
      <c r="T154" s="3002"/>
      <c r="U154" s="3002"/>
      <c r="V154" s="3002"/>
      <c r="W154" s="3002"/>
      <c r="X154" s="3002"/>
      <c r="Y154" s="3002"/>
      <c r="Z154" s="3011">
        <f>+TRUNC(+SUM(G154:Y155),2)</f>
        <v>0</v>
      </c>
      <c r="AA154" s="579">
        <f>SUM(G154:Z154)</f>
        <v>0</v>
      </c>
      <c r="AD154" s="1906"/>
      <c r="AE154" s="1906"/>
    </row>
    <row r="155" spans="1:31" ht="49.5" hidden="1" x14ac:dyDescent="0.15">
      <c r="A155" s="3045"/>
      <c r="B155" s="3032"/>
      <c r="C155" s="1900" t="s">
        <v>2328</v>
      </c>
      <c r="D155" s="1951"/>
      <c r="E155" s="1904" t="s">
        <v>1067</v>
      </c>
      <c r="F155" s="1935"/>
      <c r="G155" s="3003"/>
      <c r="H155" s="3003"/>
      <c r="I155" s="3003"/>
      <c r="J155" s="3003"/>
      <c r="K155" s="3003"/>
      <c r="L155" s="3003"/>
      <c r="M155" s="3003"/>
      <c r="N155" s="3003"/>
      <c r="O155" s="3003"/>
      <c r="P155" s="3003"/>
      <c r="Q155" s="3003"/>
      <c r="R155" s="3003"/>
      <c r="S155" s="3003"/>
      <c r="T155" s="3003"/>
      <c r="U155" s="3003"/>
      <c r="V155" s="3003"/>
      <c r="W155" s="3003"/>
      <c r="X155" s="3003"/>
      <c r="Y155" s="3003"/>
      <c r="Z155" s="3012"/>
      <c r="AA155" s="580">
        <f>+AA154</f>
        <v>0</v>
      </c>
      <c r="AD155" s="1906"/>
      <c r="AE155" s="1906"/>
    </row>
    <row r="156" spans="1:31" ht="18.75" hidden="1" x14ac:dyDescent="0.15">
      <c r="A156" s="3045"/>
      <c r="B156" s="3032"/>
      <c r="C156" s="1937" t="s">
        <v>339</v>
      </c>
      <c r="D156" s="1949">
        <v>0.36</v>
      </c>
      <c r="E156" s="1901" t="s">
        <v>1067</v>
      </c>
      <c r="F156" s="1911"/>
      <c r="G156" s="3002"/>
      <c r="H156" s="3002"/>
      <c r="I156" s="3002"/>
      <c r="J156" s="3002"/>
      <c r="K156" s="3002"/>
      <c r="L156" s="3002"/>
      <c r="M156" s="3002"/>
      <c r="N156" s="3002"/>
      <c r="O156" s="3002"/>
      <c r="P156" s="3002"/>
      <c r="Q156" s="3002"/>
      <c r="R156" s="3002"/>
      <c r="S156" s="3002"/>
      <c r="T156" s="3002"/>
      <c r="U156" s="3002"/>
      <c r="V156" s="3002"/>
      <c r="W156" s="3002"/>
      <c r="X156" s="3002"/>
      <c r="Y156" s="3002"/>
      <c r="Z156" s="3011">
        <f>+TRUNC(+SUM(G156:Y157),2)</f>
        <v>0</v>
      </c>
      <c r="AA156" s="579">
        <f>SUM(G156:Z156)</f>
        <v>0</v>
      </c>
      <c r="AD156" s="1906"/>
      <c r="AE156" s="1906"/>
    </row>
    <row r="157" spans="1:31" ht="49.5" hidden="1" x14ac:dyDescent="0.15">
      <c r="A157" s="3045"/>
      <c r="B157" s="3032"/>
      <c r="C157" s="1900" t="s">
        <v>2327</v>
      </c>
      <c r="D157" s="1951"/>
      <c r="E157" s="1904" t="s">
        <v>1067</v>
      </c>
      <c r="F157" s="1935"/>
      <c r="G157" s="3003"/>
      <c r="H157" s="3003"/>
      <c r="I157" s="3003"/>
      <c r="J157" s="3003"/>
      <c r="K157" s="3003"/>
      <c r="L157" s="3003"/>
      <c r="M157" s="3003"/>
      <c r="N157" s="3003"/>
      <c r="O157" s="3003"/>
      <c r="P157" s="3003"/>
      <c r="Q157" s="3003"/>
      <c r="R157" s="3003"/>
      <c r="S157" s="3003"/>
      <c r="T157" s="3003"/>
      <c r="U157" s="3003"/>
      <c r="V157" s="3003"/>
      <c r="W157" s="3003"/>
      <c r="X157" s="3003"/>
      <c r="Y157" s="3003"/>
      <c r="Z157" s="3012"/>
      <c r="AA157" s="580">
        <f>+AA156</f>
        <v>0</v>
      </c>
      <c r="AD157" s="1906"/>
      <c r="AE157" s="1906"/>
    </row>
    <row r="158" spans="1:31" ht="18.75" hidden="1" x14ac:dyDescent="0.15">
      <c r="A158" s="3045"/>
      <c r="B158" s="3032"/>
      <c r="C158" s="1937" t="s">
        <v>339</v>
      </c>
      <c r="D158" s="1949">
        <v>0.36</v>
      </c>
      <c r="E158" s="1901" t="s">
        <v>1067</v>
      </c>
      <c r="F158" s="1911"/>
      <c r="G158" s="3002"/>
      <c r="H158" s="3002"/>
      <c r="I158" s="3002"/>
      <c r="J158" s="3002"/>
      <c r="K158" s="3002"/>
      <c r="L158" s="3002"/>
      <c r="M158" s="3002"/>
      <c r="N158" s="3002"/>
      <c r="O158" s="3002"/>
      <c r="P158" s="3002"/>
      <c r="Q158" s="3002"/>
      <c r="R158" s="3002"/>
      <c r="S158" s="3002"/>
      <c r="T158" s="3002"/>
      <c r="U158" s="3002"/>
      <c r="V158" s="3002"/>
      <c r="W158" s="3002"/>
      <c r="X158" s="3002"/>
      <c r="Y158" s="3002"/>
      <c r="Z158" s="3011">
        <f>+TRUNC(+SUM(G158:Y159),2)</f>
        <v>0</v>
      </c>
      <c r="AA158" s="579">
        <f>SUM(G158:Z158)</f>
        <v>0</v>
      </c>
      <c r="AD158" s="1906"/>
      <c r="AE158" s="1906"/>
    </row>
    <row r="159" spans="1:31" ht="49.5" hidden="1" x14ac:dyDescent="0.15">
      <c r="A159" s="3045"/>
      <c r="B159" s="3032"/>
      <c r="C159" s="1900" t="s">
        <v>2326</v>
      </c>
      <c r="D159" s="1951"/>
      <c r="E159" s="1904" t="s">
        <v>1067</v>
      </c>
      <c r="F159" s="1935"/>
      <c r="G159" s="3003"/>
      <c r="H159" s="3003"/>
      <c r="I159" s="3003"/>
      <c r="J159" s="3003"/>
      <c r="K159" s="3003"/>
      <c r="L159" s="3003"/>
      <c r="M159" s="3003"/>
      <c r="N159" s="3003"/>
      <c r="O159" s="3003"/>
      <c r="P159" s="3003"/>
      <c r="Q159" s="3003"/>
      <c r="R159" s="3003"/>
      <c r="S159" s="3003"/>
      <c r="T159" s="3003"/>
      <c r="U159" s="3003"/>
      <c r="V159" s="3003"/>
      <c r="W159" s="3003"/>
      <c r="X159" s="3003"/>
      <c r="Y159" s="3003"/>
      <c r="Z159" s="3012"/>
      <c r="AA159" s="580">
        <f>+AA158</f>
        <v>0</v>
      </c>
      <c r="AD159" s="1906"/>
      <c r="AE159" s="1906"/>
    </row>
    <row r="160" spans="1:31" ht="18.75" hidden="1" x14ac:dyDescent="0.15">
      <c r="A160" s="3045"/>
      <c r="B160" s="3032"/>
      <c r="C160" s="1937" t="s">
        <v>339</v>
      </c>
      <c r="D160" s="1949">
        <v>0.36</v>
      </c>
      <c r="E160" s="1901" t="s">
        <v>1067</v>
      </c>
      <c r="F160" s="1911"/>
      <c r="G160" s="3002"/>
      <c r="H160" s="3002"/>
      <c r="I160" s="3002"/>
      <c r="J160" s="3002"/>
      <c r="K160" s="3002"/>
      <c r="L160" s="3002"/>
      <c r="M160" s="3002"/>
      <c r="N160" s="3002"/>
      <c r="O160" s="3002"/>
      <c r="P160" s="3002"/>
      <c r="Q160" s="3002"/>
      <c r="R160" s="3002"/>
      <c r="S160" s="3002"/>
      <c r="T160" s="3002"/>
      <c r="U160" s="3002"/>
      <c r="V160" s="3002"/>
      <c r="W160" s="3002"/>
      <c r="X160" s="3002"/>
      <c r="Y160" s="3002"/>
      <c r="Z160" s="3011">
        <f>+TRUNC(+SUM(G160:Y161),2)</f>
        <v>0</v>
      </c>
      <c r="AA160" s="579">
        <f>SUM(G160:Z160)</f>
        <v>0</v>
      </c>
      <c r="AD160" s="1906"/>
      <c r="AE160" s="1906"/>
    </row>
    <row r="161" spans="1:31" ht="49.5" hidden="1" x14ac:dyDescent="0.15">
      <c r="A161" s="3045"/>
      <c r="B161" s="3032"/>
      <c r="C161" s="1900" t="s">
        <v>2325</v>
      </c>
      <c r="D161" s="1951"/>
      <c r="E161" s="1904" t="s">
        <v>1067</v>
      </c>
      <c r="F161" s="1935"/>
      <c r="G161" s="3003"/>
      <c r="H161" s="3003"/>
      <c r="I161" s="3003"/>
      <c r="J161" s="3003"/>
      <c r="K161" s="3003"/>
      <c r="L161" s="3003"/>
      <c r="M161" s="3003"/>
      <c r="N161" s="3003"/>
      <c r="O161" s="3003"/>
      <c r="P161" s="3003"/>
      <c r="Q161" s="3003"/>
      <c r="R161" s="3003"/>
      <c r="S161" s="3003"/>
      <c r="T161" s="3003"/>
      <c r="U161" s="3003"/>
      <c r="V161" s="3003"/>
      <c r="W161" s="3003"/>
      <c r="X161" s="3003"/>
      <c r="Y161" s="3003"/>
      <c r="Z161" s="3012"/>
      <c r="AA161" s="580">
        <f>+AA160</f>
        <v>0</v>
      </c>
      <c r="AD161" s="1906"/>
      <c r="AE161" s="1906"/>
    </row>
    <row r="162" spans="1:31" ht="18.75" hidden="1" x14ac:dyDescent="0.15">
      <c r="A162" s="3045"/>
      <c r="B162" s="3032"/>
      <c r="C162" s="1937" t="s">
        <v>339</v>
      </c>
      <c r="D162" s="1949">
        <v>0.36</v>
      </c>
      <c r="E162" s="1901" t="s">
        <v>1067</v>
      </c>
      <c r="F162" s="1911"/>
      <c r="G162" s="3002"/>
      <c r="H162" s="3002"/>
      <c r="I162" s="3002"/>
      <c r="J162" s="3002"/>
      <c r="K162" s="3002"/>
      <c r="L162" s="3002"/>
      <c r="M162" s="3002"/>
      <c r="N162" s="3002"/>
      <c r="O162" s="3002"/>
      <c r="P162" s="3002"/>
      <c r="Q162" s="3002"/>
      <c r="R162" s="3002"/>
      <c r="S162" s="3002"/>
      <c r="T162" s="3002"/>
      <c r="U162" s="3002"/>
      <c r="V162" s="3002"/>
      <c r="W162" s="3002"/>
      <c r="X162" s="3002"/>
      <c r="Y162" s="3002"/>
      <c r="Z162" s="3011">
        <f>+TRUNC(+SUM(G162:Y163),2)</f>
        <v>0</v>
      </c>
      <c r="AA162" s="579">
        <f>SUM(G162:Z162)</f>
        <v>0</v>
      </c>
      <c r="AD162" s="1906"/>
      <c r="AE162" s="1906"/>
    </row>
    <row r="163" spans="1:31" ht="49.5" hidden="1" x14ac:dyDescent="0.15">
      <c r="A163" s="3045"/>
      <c r="B163" s="3032"/>
      <c r="C163" s="1900" t="s">
        <v>2324</v>
      </c>
      <c r="D163" s="1951"/>
      <c r="E163" s="1904" t="s">
        <v>1067</v>
      </c>
      <c r="F163" s="1935"/>
      <c r="G163" s="3003"/>
      <c r="H163" s="3003"/>
      <c r="I163" s="3003"/>
      <c r="J163" s="3003"/>
      <c r="K163" s="3003"/>
      <c r="L163" s="3003"/>
      <c r="M163" s="3003"/>
      <c r="N163" s="3003"/>
      <c r="O163" s="3003"/>
      <c r="P163" s="3003"/>
      <c r="Q163" s="3003"/>
      <c r="R163" s="3003"/>
      <c r="S163" s="3003"/>
      <c r="T163" s="3003"/>
      <c r="U163" s="3003"/>
      <c r="V163" s="3003"/>
      <c r="W163" s="3003"/>
      <c r="X163" s="3003"/>
      <c r="Y163" s="3003"/>
      <c r="Z163" s="3012"/>
      <c r="AA163" s="580">
        <f>+AA162</f>
        <v>0</v>
      </c>
      <c r="AD163" s="1906"/>
      <c r="AE163" s="1906"/>
    </row>
    <row r="164" spans="1:31" ht="18.75" hidden="1" x14ac:dyDescent="0.15">
      <c r="A164" s="3045"/>
      <c r="B164" s="3032"/>
      <c r="C164" s="1937" t="s">
        <v>339</v>
      </c>
      <c r="D164" s="1949">
        <v>0.36</v>
      </c>
      <c r="E164" s="1901" t="s">
        <v>1067</v>
      </c>
      <c r="F164" s="1911"/>
      <c r="G164" s="3002"/>
      <c r="H164" s="3002"/>
      <c r="I164" s="3002"/>
      <c r="J164" s="3002"/>
      <c r="K164" s="3002"/>
      <c r="L164" s="3002"/>
      <c r="M164" s="3002"/>
      <c r="N164" s="3002"/>
      <c r="O164" s="3002"/>
      <c r="P164" s="3002"/>
      <c r="Q164" s="3002"/>
      <c r="R164" s="3002"/>
      <c r="S164" s="3002"/>
      <c r="T164" s="3002"/>
      <c r="U164" s="3002"/>
      <c r="V164" s="3002"/>
      <c r="W164" s="3002"/>
      <c r="X164" s="3002"/>
      <c r="Y164" s="3002"/>
      <c r="Z164" s="3011">
        <f>+TRUNC(+SUM(G164:Y165),2)</f>
        <v>0</v>
      </c>
      <c r="AA164" s="579">
        <f>SUM(G164:Z164)</f>
        <v>0</v>
      </c>
      <c r="AD164" s="1906"/>
      <c r="AE164" s="1906"/>
    </row>
    <row r="165" spans="1:31" ht="49.5" hidden="1" x14ac:dyDescent="0.15">
      <c r="A165" s="3045"/>
      <c r="B165" s="3032"/>
      <c r="C165" s="1900" t="s">
        <v>2323</v>
      </c>
      <c r="D165" s="1951"/>
      <c r="E165" s="1904" t="s">
        <v>1067</v>
      </c>
      <c r="F165" s="1935"/>
      <c r="G165" s="3003"/>
      <c r="H165" s="3003"/>
      <c r="I165" s="3003"/>
      <c r="J165" s="3003"/>
      <c r="K165" s="3003"/>
      <c r="L165" s="3003"/>
      <c r="M165" s="3003"/>
      <c r="N165" s="3003"/>
      <c r="O165" s="3003"/>
      <c r="P165" s="3003"/>
      <c r="Q165" s="3003"/>
      <c r="R165" s="3003"/>
      <c r="S165" s="3003"/>
      <c r="T165" s="3003"/>
      <c r="U165" s="3003"/>
      <c r="V165" s="3003"/>
      <c r="W165" s="3003"/>
      <c r="X165" s="3003"/>
      <c r="Y165" s="3003"/>
      <c r="Z165" s="3012"/>
      <c r="AA165" s="580">
        <f>+AA164</f>
        <v>0</v>
      </c>
      <c r="AD165" s="1906"/>
      <c r="AE165" s="1906"/>
    </row>
    <row r="166" spans="1:31" ht="18.75" x14ac:dyDescent="0.15">
      <c r="A166" s="3045"/>
      <c r="B166" s="3032"/>
      <c r="C166" s="1937" t="s">
        <v>339</v>
      </c>
      <c r="D166" s="1949">
        <v>0.36</v>
      </c>
      <c r="E166" s="1901" t="s">
        <v>1067</v>
      </c>
      <c r="F166" s="1911"/>
      <c r="G166" s="3002">
        <v>1</v>
      </c>
      <c r="H166" s="3002">
        <v>1</v>
      </c>
      <c r="I166" s="3002"/>
      <c r="J166" s="3002"/>
      <c r="K166" s="3002"/>
      <c r="L166" s="3002"/>
      <c r="M166" s="3002"/>
      <c r="N166" s="3002"/>
      <c r="O166" s="3002"/>
      <c r="P166" s="3002"/>
      <c r="Q166" s="3002"/>
      <c r="R166" s="3002"/>
      <c r="S166" s="3002"/>
      <c r="T166" s="3002"/>
      <c r="U166" s="3002"/>
      <c r="V166" s="3002"/>
      <c r="W166" s="3002">
        <v>1</v>
      </c>
      <c r="X166" s="3002"/>
      <c r="Y166" s="3002"/>
      <c r="Z166" s="3011">
        <f>+TRUNC(+SUM(G166:Y167),2)</f>
        <v>3</v>
      </c>
      <c r="AA166" s="579">
        <f>SUM(G166:Z166)</f>
        <v>6</v>
      </c>
      <c r="AD166" s="1906"/>
      <c r="AE166" s="1906"/>
    </row>
    <row r="167" spans="1:31" ht="49.5" x14ac:dyDescent="0.15">
      <c r="A167" s="3045"/>
      <c r="B167" s="3032"/>
      <c r="C167" s="1900" t="s">
        <v>2322</v>
      </c>
      <c r="D167" s="1951"/>
      <c r="E167" s="1904" t="s">
        <v>1067</v>
      </c>
      <c r="F167" s="1935"/>
      <c r="G167" s="3003"/>
      <c r="H167" s="3003"/>
      <c r="I167" s="3003"/>
      <c r="J167" s="3003"/>
      <c r="K167" s="3003"/>
      <c r="L167" s="3003"/>
      <c r="M167" s="3003"/>
      <c r="N167" s="3003"/>
      <c r="O167" s="3003"/>
      <c r="P167" s="3003"/>
      <c r="Q167" s="3003"/>
      <c r="R167" s="3003"/>
      <c r="S167" s="3003"/>
      <c r="T167" s="3003"/>
      <c r="U167" s="3003"/>
      <c r="V167" s="3003"/>
      <c r="W167" s="3003"/>
      <c r="X167" s="3003"/>
      <c r="Y167" s="3003"/>
      <c r="Z167" s="3012"/>
      <c r="AA167" s="580">
        <f>+AA166</f>
        <v>6</v>
      </c>
      <c r="AD167" s="1906"/>
      <c r="AE167" s="1906"/>
    </row>
    <row r="168" spans="1:31" ht="18.75" hidden="1" x14ac:dyDescent="0.15">
      <c r="A168" s="3045"/>
      <c r="B168" s="3032"/>
      <c r="C168" s="1937" t="s">
        <v>339</v>
      </c>
      <c r="D168" s="1949">
        <v>0.96</v>
      </c>
      <c r="E168" s="1901" t="s">
        <v>1067</v>
      </c>
      <c r="F168" s="1911"/>
      <c r="G168" s="3002"/>
      <c r="H168" s="3002"/>
      <c r="I168" s="3002"/>
      <c r="J168" s="3002"/>
      <c r="K168" s="3002"/>
      <c r="L168" s="3002"/>
      <c r="M168" s="3002"/>
      <c r="N168" s="3002"/>
      <c r="O168" s="3002"/>
      <c r="P168" s="3002"/>
      <c r="Q168" s="3002"/>
      <c r="R168" s="3002"/>
      <c r="S168" s="3002"/>
      <c r="T168" s="3002"/>
      <c r="U168" s="3002"/>
      <c r="V168" s="3002"/>
      <c r="W168" s="3002"/>
      <c r="X168" s="3002"/>
      <c r="Y168" s="3002"/>
      <c r="Z168" s="3011">
        <f>+TRUNC(+SUM(G168:Y169),2)</f>
        <v>0</v>
      </c>
      <c r="AA168" s="579">
        <f>SUM(G168:Z168)</f>
        <v>0</v>
      </c>
      <c r="AD168" s="1906"/>
      <c r="AE168" s="1906"/>
    </row>
    <row r="169" spans="1:31" ht="49.5" hidden="1" x14ac:dyDescent="0.15">
      <c r="A169" s="3045"/>
      <c r="B169" s="3032"/>
      <c r="C169" s="1900" t="s">
        <v>2321</v>
      </c>
      <c r="D169" s="1951"/>
      <c r="E169" s="1904" t="s">
        <v>1067</v>
      </c>
      <c r="F169" s="1950"/>
      <c r="G169" s="3003"/>
      <c r="H169" s="3003"/>
      <c r="I169" s="3003"/>
      <c r="J169" s="3003"/>
      <c r="K169" s="3003"/>
      <c r="L169" s="3003"/>
      <c r="M169" s="3003"/>
      <c r="N169" s="3003"/>
      <c r="O169" s="3003"/>
      <c r="P169" s="3003"/>
      <c r="Q169" s="3003"/>
      <c r="R169" s="3003"/>
      <c r="S169" s="3003"/>
      <c r="T169" s="3003"/>
      <c r="U169" s="3003"/>
      <c r="V169" s="3003"/>
      <c r="W169" s="3003"/>
      <c r="X169" s="3003"/>
      <c r="Y169" s="3003"/>
      <c r="Z169" s="3012"/>
      <c r="AA169" s="580">
        <f>+AA168</f>
        <v>0</v>
      </c>
      <c r="AD169" s="1906"/>
      <c r="AE169" s="1906"/>
    </row>
    <row r="170" spans="1:31" ht="18.75" hidden="1" x14ac:dyDescent="0.15">
      <c r="A170" s="3045"/>
      <c r="B170" s="3032"/>
      <c r="C170" s="1937" t="s">
        <v>339</v>
      </c>
      <c r="D170" s="1949">
        <v>0.36</v>
      </c>
      <c r="E170" s="1901" t="s">
        <v>1067</v>
      </c>
      <c r="F170" s="1911"/>
      <c r="G170" s="3002"/>
      <c r="H170" s="3002"/>
      <c r="I170" s="3002"/>
      <c r="J170" s="3002"/>
      <c r="K170" s="3002"/>
      <c r="L170" s="3002"/>
      <c r="M170" s="3002"/>
      <c r="N170" s="3002"/>
      <c r="O170" s="3002"/>
      <c r="P170" s="3002"/>
      <c r="Q170" s="3002"/>
      <c r="R170" s="3002"/>
      <c r="S170" s="3002"/>
      <c r="T170" s="3002"/>
      <c r="U170" s="3002"/>
      <c r="V170" s="3002"/>
      <c r="W170" s="3002"/>
      <c r="X170" s="3002"/>
      <c r="Y170" s="3002"/>
      <c r="Z170" s="3011">
        <f>+TRUNC(+SUM(G170:Y171),2)</f>
        <v>0</v>
      </c>
      <c r="AA170" s="579">
        <f>SUM(G170:Z170)</f>
        <v>0</v>
      </c>
      <c r="AD170" s="1906"/>
      <c r="AE170" s="1906"/>
    </row>
    <row r="171" spans="1:31" ht="49.5" hidden="1" x14ac:dyDescent="0.15">
      <c r="A171" s="3045"/>
      <c r="B171" s="3032"/>
      <c r="C171" s="1900" t="s">
        <v>2320</v>
      </c>
      <c r="D171" s="1951"/>
      <c r="E171" s="1904" t="s">
        <v>1067</v>
      </c>
      <c r="F171" s="1935"/>
      <c r="G171" s="3003"/>
      <c r="H171" s="3003"/>
      <c r="I171" s="3003"/>
      <c r="J171" s="3003"/>
      <c r="K171" s="3003"/>
      <c r="L171" s="3003"/>
      <c r="M171" s="3003"/>
      <c r="N171" s="3003"/>
      <c r="O171" s="3003"/>
      <c r="P171" s="3003"/>
      <c r="Q171" s="3003"/>
      <c r="R171" s="3003"/>
      <c r="S171" s="3003"/>
      <c r="T171" s="3003"/>
      <c r="U171" s="3003"/>
      <c r="V171" s="3003"/>
      <c r="W171" s="3003"/>
      <c r="X171" s="3003"/>
      <c r="Y171" s="3003"/>
      <c r="Z171" s="3012"/>
      <c r="AA171" s="580">
        <f>+AA170</f>
        <v>0</v>
      </c>
      <c r="AD171" s="1906"/>
      <c r="AE171" s="1906"/>
    </row>
    <row r="172" spans="1:31" ht="18.75" hidden="1" x14ac:dyDescent="0.15">
      <c r="A172" s="3045"/>
      <c r="B172" s="3032"/>
      <c r="C172" s="1937" t="s">
        <v>339</v>
      </c>
      <c r="D172" s="1949">
        <v>0.36</v>
      </c>
      <c r="E172" s="1901" t="s">
        <v>1067</v>
      </c>
      <c r="F172" s="1911"/>
      <c r="G172" s="3002"/>
      <c r="H172" s="3002"/>
      <c r="I172" s="3002"/>
      <c r="J172" s="3002"/>
      <c r="K172" s="3002"/>
      <c r="L172" s="3002"/>
      <c r="M172" s="3002"/>
      <c r="N172" s="3002"/>
      <c r="O172" s="3002"/>
      <c r="P172" s="3002"/>
      <c r="Q172" s="3002"/>
      <c r="R172" s="3002"/>
      <c r="S172" s="3002"/>
      <c r="T172" s="3002"/>
      <c r="U172" s="3002"/>
      <c r="V172" s="3002"/>
      <c r="W172" s="3002"/>
      <c r="X172" s="3002"/>
      <c r="Y172" s="3002"/>
      <c r="Z172" s="3011">
        <f>+TRUNC(+SUM(G172:Y173),2)</f>
        <v>0</v>
      </c>
      <c r="AA172" s="579">
        <f>SUM(G172:Z172)</f>
        <v>0</v>
      </c>
      <c r="AD172" s="1906"/>
      <c r="AE172" s="1906"/>
    </row>
    <row r="173" spans="1:31" ht="49.5" hidden="1" x14ac:dyDescent="0.15">
      <c r="A173" s="3045"/>
      <c r="B173" s="3032"/>
      <c r="C173" s="1900" t="s">
        <v>2319</v>
      </c>
      <c r="D173" s="1951"/>
      <c r="E173" s="1904" t="s">
        <v>1067</v>
      </c>
      <c r="F173" s="1935"/>
      <c r="G173" s="3003"/>
      <c r="H173" s="3003"/>
      <c r="I173" s="3003"/>
      <c r="J173" s="3003"/>
      <c r="K173" s="3003"/>
      <c r="L173" s="3003"/>
      <c r="M173" s="3003"/>
      <c r="N173" s="3003"/>
      <c r="O173" s="3003"/>
      <c r="P173" s="3003"/>
      <c r="Q173" s="3003"/>
      <c r="R173" s="3003"/>
      <c r="S173" s="3003"/>
      <c r="T173" s="3003"/>
      <c r="U173" s="3003"/>
      <c r="V173" s="3003"/>
      <c r="W173" s="3003"/>
      <c r="X173" s="3003"/>
      <c r="Y173" s="3003"/>
      <c r="Z173" s="3012"/>
      <c r="AA173" s="580">
        <f>+AA172</f>
        <v>0</v>
      </c>
      <c r="AD173" s="1906"/>
      <c r="AE173" s="1906"/>
    </row>
    <row r="174" spans="1:31" ht="18.75" hidden="1" x14ac:dyDescent="0.15">
      <c r="A174" s="3045"/>
      <c r="B174" s="3032"/>
      <c r="C174" s="1937" t="s">
        <v>339</v>
      </c>
      <c r="D174" s="1949">
        <v>0.36</v>
      </c>
      <c r="E174" s="1901" t="s">
        <v>1067</v>
      </c>
      <c r="F174" s="1911"/>
      <c r="G174" s="3002"/>
      <c r="H174" s="3002"/>
      <c r="I174" s="3002"/>
      <c r="J174" s="3002"/>
      <c r="K174" s="3002"/>
      <c r="L174" s="3002"/>
      <c r="M174" s="3002"/>
      <c r="N174" s="3002"/>
      <c r="O174" s="3002"/>
      <c r="P174" s="3002"/>
      <c r="Q174" s="3002"/>
      <c r="R174" s="3002"/>
      <c r="S174" s="3002"/>
      <c r="T174" s="3002"/>
      <c r="U174" s="3002"/>
      <c r="V174" s="3002"/>
      <c r="W174" s="3002"/>
      <c r="X174" s="3002"/>
      <c r="Y174" s="3002"/>
      <c r="Z174" s="3011">
        <f>+TRUNC(+SUM(G174:Y175),2)</f>
        <v>0</v>
      </c>
      <c r="AA174" s="579">
        <f>SUM(G174:Z174)</f>
        <v>0</v>
      </c>
      <c r="AD174" s="1906"/>
      <c r="AE174" s="1906"/>
    </row>
    <row r="175" spans="1:31" ht="49.5" hidden="1" x14ac:dyDescent="0.15">
      <c r="A175" s="3045"/>
      <c r="B175" s="3032"/>
      <c r="C175" s="1900" t="s">
        <v>2318</v>
      </c>
      <c r="D175" s="1951"/>
      <c r="E175" s="1904" t="s">
        <v>1067</v>
      </c>
      <c r="F175" s="1935"/>
      <c r="G175" s="3003"/>
      <c r="H175" s="3003"/>
      <c r="I175" s="3003"/>
      <c r="J175" s="3003"/>
      <c r="K175" s="3003"/>
      <c r="L175" s="3003"/>
      <c r="M175" s="3003"/>
      <c r="N175" s="3003"/>
      <c r="O175" s="3003"/>
      <c r="P175" s="3003"/>
      <c r="Q175" s="3003"/>
      <c r="R175" s="3003"/>
      <c r="S175" s="3003"/>
      <c r="T175" s="3003"/>
      <c r="U175" s="3003"/>
      <c r="V175" s="3003"/>
      <c r="W175" s="3003"/>
      <c r="X175" s="3003"/>
      <c r="Y175" s="3003"/>
      <c r="Z175" s="3012"/>
      <c r="AA175" s="580">
        <f>+AA174</f>
        <v>0</v>
      </c>
      <c r="AD175" s="1906"/>
      <c r="AE175" s="1906"/>
    </row>
    <row r="176" spans="1:31" ht="18.75" hidden="1" x14ac:dyDescent="0.15">
      <c r="A176" s="3045"/>
      <c r="B176" s="3032"/>
      <c r="C176" s="1937" t="s">
        <v>339</v>
      </c>
      <c r="D176" s="1949">
        <v>0.36</v>
      </c>
      <c r="E176" s="1901" t="s">
        <v>1067</v>
      </c>
      <c r="F176" s="1911"/>
      <c r="G176" s="3002"/>
      <c r="H176" s="3002"/>
      <c r="I176" s="3002"/>
      <c r="J176" s="3002"/>
      <c r="K176" s="3002"/>
      <c r="L176" s="3002"/>
      <c r="M176" s="3002"/>
      <c r="N176" s="3002"/>
      <c r="O176" s="3002"/>
      <c r="P176" s="3002"/>
      <c r="Q176" s="3002"/>
      <c r="R176" s="3002"/>
      <c r="S176" s="3002"/>
      <c r="T176" s="3002"/>
      <c r="U176" s="3002"/>
      <c r="V176" s="3002"/>
      <c r="W176" s="3002"/>
      <c r="X176" s="3002"/>
      <c r="Y176" s="3002"/>
      <c r="Z176" s="3011">
        <f>+TRUNC(+SUM(G176:Y177),2)</f>
        <v>0</v>
      </c>
      <c r="AA176" s="579">
        <f>SUM(G176:Z176)</f>
        <v>0</v>
      </c>
      <c r="AD176" s="1906"/>
      <c r="AE176" s="1906"/>
    </row>
    <row r="177" spans="1:31" ht="49.5" hidden="1" x14ac:dyDescent="0.15">
      <c r="A177" s="3045"/>
      <c r="B177" s="3032"/>
      <c r="C177" s="1900" t="s">
        <v>2317</v>
      </c>
      <c r="D177" s="1951"/>
      <c r="E177" s="1904" t="s">
        <v>1067</v>
      </c>
      <c r="F177" s="1935"/>
      <c r="G177" s="3003"/>
      <c r="H177" s="3003"/>
      <c r="I177" s="3003"/>
      <c r="J177" s="3003"/>
      <c r="K177" s="3003"/>
      <c r="L177" s="3003"/>
      <c r="M177" s="3003"/>
      <c r="N177" s="3003"/>
      <c r="O177" s="3003"/>
      <c r="P177" s="3003"/>
      <c r="Q177" s="3003"/>
      <c r="R177" s="3003"/>
      <c r="S177" s="3003"/>
      <c r="T177" s="3003"/>
      <c r="U177" s="3003"/>
      <c r="V177" s="3003"/>
      <c r="W177" s="3003"/>
      <c r="X177" s="3003"/>
      <c r="Y177" s="3003"/>
      <c r="Z177" s="3012"/>
      <c r="AA177" s="580">
        <f>+AA176</f>
        <v>0</v>
      </c>
      <c r="AD177" s="1906"/>
      <c r="AE177" s="1906"/>
    </row>
    <row r="178" spans="1:31" ht="18.75" hidden="1" x14ac:dyDescent="0.15">
      <c r="A178" s="3045"/>
      <c r="B178" s="3032"/>
      <c r="C178" s="1937" t="s">
        <v>339</v>
      </c>
      <c r="D178" s="1949">
        <v>0.36</v>
      </c>
      <c r="E178" s="1901" t="s">
        <v>1067</v>
      </c>
      <c r="F178" s="1911"/>
      <c r="G178" s="3002"/>
      <c r="H178" s="3002"/>
      <c r="I178" s="3002"/>
      <c r="J178" s="3002"/>
      <c r="K178" s="3002"/>
      <c r="L178" s="3002"/>
      <c r="M178" s="3002"/>
      <c r="N178" s="3002"/>
      <c r="O178" s="3002"/>
      <c r="P178" s="3002"/>
      <c r="Q178" s="3002"/>
      <c r="R178" s="3002"/>
      <c r="S178" s="3002"/>
      <c r="T178" s="3002"/>
      <c r="U178" s="3002"/>
      <c r="V178" s="3002"/>
      <c r="W178" s="3002"/>
      <c r="X178" s="3002"/>
      <c r="Y178" s="3002"/>
      <c r="Z178" s="3011">
        <f>+TRUNC(+SUM(G178:Y179),2)</f>
        <v>0</v>
      </c>
      <c r="AA178" s="579">
        <f>SUM(G178:Z178)</f>
        <v>0</v>
      </c>
      <c r="AD178" s="1906"/>
      <c r="AE178" s="1906"/>
    </row>
    <row r="179" spans="1:31" ht="49.5" hidden="1" x14ac:dyDescent="0.15">
      <c r="A179" s="3045"/>
      <c r="B179" s="3032"/>
      <c r="C179" s="1900" t="s">
        <v>2316</v>
      </c>
      <c r="D179" s="1951"/>
      <c r="E179" s="1904" t="s">
        <v>1067</v>
      </c>
      <c r="F179" s="1935"/>
      <c r="G179" s="3003"/>
      <c r="H179" s="3003"/>
      <c r="I179" s="3003"/>
      <c r="J179" s="3003"/>
      <c r="K179" s="3003"/>
      <c r="L179" s="3003"/>
      <c r="M179" s="3003"/>
      <c r="N179" s="3003"/>
      <c r="O179" s="3003"/>
      <c r="P179" s="3003"/>
      <c r="Q179" s="3003"/>
      <c r="R179" s="3003"/>
      <c r="S179" s="3003"/>
      <c r="T179" s="3003"/>
      <c r="U179" s="3003"/>
      <c r="V179" s="3003"/>
      <c r="W179" s="3003"/>
      <c r="X179" s="3003"/>
      <c r="Y179" s="3003"/>
      <c r="Z179" s="3012"/>
      <c r="AA179" s="580">
        <f>+AA178</f>
        <v>0</v>
      </c>
      <c r="AD179" s="1906"/>
      <c r="AE179" s="1906"/>
    </row>
    <row r="180" spans="1:31" ht="18.75" hidden="1" x14ac:dyDescent="0.15">
      <c r="A180" s="3045"/>
      <c r="B180" s="3032"/>
      <c r="C180" s="1937" t="s">
        <v>339</v>
      </c>
      <c r="D180" s="1949">
        <v>0.36</v>
      </c>
      <c r="E180" s="1901" t="s">
        <v>1067</v>
      </c>
      <c r="F180" s="1911"/>
      <c r="G180" s="3002"/>
      <c r="H180" s="3002"/>
      <c r="I180" s="3002"/>
      <c r="J180" s="3002"/>
      <c r="K180" s="3002"/>
      <c r="L180" s="3002"/>
      <c r="M180" s="3002"/>
      <c r="N180" s="3002"/>
      <c r="O180" s="3002"/>
      <c r="P180" s="3002"/>
      <c r="Q180" s="3002"/>
      <c r="R180" s="3002"/>
      <c r="S180" s="3002"/>
      <c r="T180" s="3002"/>
      <c r="U180" s="3002"/>
      <c r="V180" s="3002"/>
      <c r="W180" s="3002"/>
      <c r="X180" s="3002"/>
      <c r="Y180" s="3002"/>
      <c r="Z180" s="3011">
        <f>+TRUNC(+SUM(G180:Y181),2)</f>
        <v>0</v>
      </c>
      <c r="AA180" s="579">
        <f>SUM(G180:Z180)</f>
        <v>0</v>
      </c>
      <c r="AD180" s="1906"/>
      <c r="AE180" s="1906"/>
    </row>
    <row r="181" spans="1:31" ht="49.5" hidden="1" x14ac:dyDescent="0.15">
      <c r="A181" s="3045"/>
      <c r="B181" s="3032"/>
      <c r="C181" s="1900" t="s">
        <v>2315</v>
      </c>
      <c r="D181" s="1951"/>
      <c r="E181" s="1904" t="s">
        <v>1067</v>
      </c>
      <c r="F181" s="1935"/>
      <c r="G181" s="3003"/>
      <c r="H181" s="3003"/>
      <c r="I181" s="3003"/>
      <c r="J181" s="3003"/>
      <c r="K181" s="3003"/>
      <c r="L181" s="3003"/>
      <c r="M181" s="3003"/>
      <c r="N181" s="3003"/>
      <c r="O181" s="3003"/>
      <c r="P181" s="3003"/>
      <c r="Q181" s="3003"/>
      <c r="R181" s="3003"/>
      <c r="S181" s="3003"/>
      <c r="T181" s="3003"/>
      <c r="U181" s="3003"/>
      <c r="V181" s="3003"/>
      <c r="W181" s="3003"/>
      <c r="X181" s="3003"/>
      <c r="Y181" s="3003"/>
      <c r="Z181" s="3012"/>
      <c r="AA181" s="580">
        <f>+AA180</f>
        <v>0</v>
      </c>
      <c r="AD181" s="1906"/>
      <c r="AE181" s="1906"/>
    </row>
    <row r="182" spans="1:31" ht="18.75" hidden="1" x14ac:dyDescent="0.15">
      <c r="A182" s="3045"/>
      <c r="B182" s="3032"/>
      <c r="C182" s="1937" t="s">
        <v>339</v>
      </c>
      <c r="D182" s="1949">
        <v>0.36</v>
      </c>
      <c r="E182" s="1901" t="s">
        <v>1067</v>
      </c>
      <c r="F182" s="1911"/>
      <c r="G182" s="3002"/>
      <c r="H182" s="3002"/>
      <c r="I182" s="3002"/>
      <c r="J182" s="3002"/>
      <c r="K182" s="3002"/>
      <c r="L182" s="3002"/>
      <c r="M182" s="3002"/>
      <c r="N182" s="3002"/>
      <c r="O182" s="3002"/>
      <c r="P182" s="3002"/>
      <c r="Q182" s="3002"/>
      <c r="R182" s="3002"/>
      <c r="S182" s="3002"/>
      <c r="T182" s="3002"/>
      <c r="U182" s="3002"/>
      <c r="V182" s="3002"/>
      <c r="W182" s="3002"/>
      <c r="X182" s="3002"/>
      <c r="Y182" s="3002"/>
      <c r="Z182" s="3011">
        <f>+TRUNC(+SUM(G182:Y183),2)</f>
        <v>0</v>
      </c>
      <c r="AA182" s="579">
        <f>SUM(G182:Z182)</f>
        <v>0</v>
      </c>
      <c r="AD182" s="1906"/>
      <c r="AE182" s="1906"/>
    </row>
    <row r="183" spans="1:31" ht="49.5" hidden="1" x14ac:dyDescent="0.15">
      <c r="A183" s="3045"/>
      <c r="B183" s="3032"/>
      <c r="C183" s="1900" t="s">
        <v>2314</v>
      </c>
      <c r="D183" s="1951"/>
      <c r="E183" s="1904" t="s">
        <v>1067</v>
      </c>
      <c r="F183" s="1935"/>
      <c r="G183" s="3003"/>
      <c r="H183" s="3003"/>
      <c r="I183" s="3003"/>
      <c r="J183" s="3003"/>
      <c r="K183" s="3003"/>
      <c r="L183" s="3003"/>
      <c r="M183" s="3003"/>
      <c r="N183" s="3003"/>
      <c r="O183" s="3003"/>
      <c r="P183" s="3003"/>
      <c r="Q183" s="3003"/>
      <c r="R183" s="3003"/>
      <c r="S183" s="3003"/>
      <c r="T183" s="3003"/>
      <c r="U183" s="3003"/>
      <c r="V183" s="3003"/>
      <c r="W183" s="3003"/>
      <c r="X183" s="3003"/>
      <c r="Y183" s="3003"/>
      <c r="Z183" s="3012"/>
      <c r="AA183" s="580">
        <f>+AA182</f>
        <v>0</v>
      </c>
      <c r="AD183" s="1906"/>
      <c r="AE183" s="1906"/>
    </row>
    <row r="184" spans="1:31" ht="18.75" hidden="1" x14ac:dyDescent="0.15">
      <c r="A184" s="3045"/>
      <c r="B184" s="3032"/>
      <c r="C184" s="1937" t="s">
        <v>339</v>
      </c>
      <c r="D184" s="1949">
        <v>0.36</v>
      </c>
      <c r="E184" s="1901" t="s">
        <v>1067</v>
      </c>
      <c r="F184" s="1911"/>
      <c r="G184" s="3002"/>
      <c r="H184" s="3002"/>
      <c r="I184" s="3002"/>
      <c r="J184" s="3002"/>
      <c r="K184" s="3002"/>
      <c r="L184" s="3002"/>
      <c r="M184" s="3002"/>
      <c r="N184" s="3002"/>
      <c r="O184" s="3002"/>
      <c r="P184" s="3002"/>
      <c r="Q184" s="3002"/>
      <c r="R184" s="3002"/>
      <c r="S184" s="3002"/>
      <c r="T184" s="3002"/>
      <c r="U184" s="3002"/>
      <c r="V184" s="3002"/>
      <c r="W184" s="3002"/>
      <c r="X184" s="3002"/>
      <c r="Y184" s="3002"/>
      <c r="Z184" s="3011">
        <f>+TRUNC(+SUM(G184:Y185),2)</f>
        <v>0</v>
      </c>
      <c r="AA184" s="579">
        <f>SUM(G184:Z184)</f>
        <v>0</v>
      </c>
      <c r="AD184" s="1906"/>
      <c r="AE184" s="1906"/>
    </row>
    <row r="185" spans="1:31" ht="49.5" hidden="1" x14ac:dyDescent="0.15">
      <c r="A185" s="3045"/>
      <c r="B185" s="3032"/>
      <c r="C185" s="1900" t="s">
        <v>2313</v>
      </c>
      <c r="D185" s="1951"/>
      <c r="E185" s="1904" t="s">
        <v>1067</v>
      </c>
      <c r="F185" s="1935"/>
      <c r="G185" s="3003"/>
      <c r="H185" s="3003"/>
      <c r="I185" s="3003"/>
      <c r="J185" s="3003"/>
      <c r="K185" s="3003"/>
      <c r="L185" s="3003"/>
      <c r="M185" s="3003"/>
      <c r="N185" s="3003"/>
      <c r="O185" s="3003"/>
      <c r="P185" s="3003"/>
      <c r="Q185" s="3003"/>
      <c r="R185" s="3003"/>
      <c r="S185" s="3003"/>
      <c r="T185" s="3003"/>
      <c r="U185" s="3003"/>
      <c r="V185" s="3003"/>
      <c r="W185" s="3003"/>
      <c r="X185" s="3003"/>
      <c r="Y185" s="3003"/>
      <c r="Z185" s="3012"/>
      <c r="AA185" s="580">
        <f>+AA184</f>
        <v>0</v>
      </c>
      <c r="AD185" s="1906"/>
      <c r="AE185" s="1906"/>
    </row>
    <row r="186" spans="1:31" ht="18.75" hidden="1" x14ac:dyDescent="0.15">
      <c r="A186" s="3045"/>
      <c r="B186" s="3032"/>
      <c r="C186" s="1937" t="s">
        <v>339</v>
      </c>
      <c r="D186" s="1949">
        <v>0.36</v>
      </c>
      <c r="E186" s="1901" t="s">
        <v>1067</v>
      </c>
      <c r="F186" s="1911"/>
      <c r="G186" s="3002"/>
      <c r="H186" s="3002"/>
      <c r="I186" s="3002"/>
      <c r="J186" s="3002"/>
      <c r="K186" s="3002"/>
      <c r="L186" s="3002"/>
      <c r="M186" s="3002"/>
      <c r="N186" s="3002"/>
      <c r="O186" s="3002"/>
      <c r="P186" s="3002"/>
      <c r="Q186" s="3002"/>
      <c r="R186" s="3002"/>
      <c r="S186" s="3002"/>
      <c r="T186" s="3002"/>
      <c r="U186" s="3002"/>
      <c r="V186" s="3002"/>
      <c r="W186" s="3002"/>
      <c r="X186" s="3002"/>
      <c r="Y186" s="3002"/>
      <c r="Z186" s="3011">
        <f>+TRUNC(+SUM(G186:Y187),2)</f>
        <v>0</v>
      </c>
      <c r="AA186" s="579">
        <f>SUM(G186:Z186)</f>
        <v>0</v>
      </c>
      <c r="AD186" s="1906"/>
      <c r="AE186" s="1906"/>
    </row>
    <row r="187" spans="1:31" ht="49.5" hidden="1" x14ac:dyDescent="0.15">
      <c r="A187" s="3045"/>
      <c r="B187" s="3032"/>
      <c r="C187" s="1900" t="s">
        <v>2312</v>
      </c>
      <c r="D187" s="1951"/>
      <c r="E187" s="1904" t="s">
        <v>1067</v>
      </c>
      <c r="F187" s="1935"/>
      <c r="G187" s="3003"/>
      <c r="H187" s="3003"/>
      <c r="I187" s="3003"/>
      <c r="J187" s="3003"/>
      <c r="K187" s="3003"/>
      <c r="L187" s="3003"/>
      <c r="M187" s="3003"/>
      <c r="N187" s="3003"/>
      <c r="O187" s="3003"/>
      <c r="P187" s="3003"/>
      <c r="Q187" s="3003"/>
      <c r="R187" s="3003"/>
      <c r="S187" s="3003"/>
      <c r="T187" s="3003"/>
      <c r="U187" s="3003"/>
      <c r="V187" s="3003"/>
      <c r="W187" s="3003"/>
      <c r="X187" s="3003"/>
      <c r="Y187" s="3003"/>
      <c r="Z187" s="3012"/>
      <c r="AA187" s="580">
        <f>+AA186</f>
        <v>0</v>
      </c>
      <c r="AD187" s="1906"/>
      <c r="AE187" s="1906"/>
    </row>
    <row r="188" spans="1:31" ht="18.75" hidden="1" x14ac:dyDescent="0.15">
      <c r="A188" s="3045"/>
      <c r="B188" s="3032"/>
      <c r="C188" s="1937" t="s">
        <v>339</v>
      </c>
      <c r="D188" s="1949">
        <v>0.36</v>
      </c>
      <c r="E188" s="1901" t="s">
        <v>1067</v>
      </c>
      <c r="F188" s="1911"/>
      <c r="G188" s="3002"/>
      <c r="H188" s="3002"/>
      <c r="I188" s="3002"/>
      <c r="J188" s="3002"/>
      <c r="K188" s="3002"/>
      <c r="L188" s="3002"/>
      <c r="M188" s="3002"/>
      <c r="N188" s="3002"/>
      <c r="O188" s="3002"/>
      <c r="P188" s="3002"/>
      <c r="Q188" s="3002"/>
      <c r="R188" s="3002"/>
      <c r="S188" s="3002"/>
      <c r="T188" s="3002"/>
      <c r="U188" s="3002"/>
      <c r="V188" s="3002"/>
      <c r="W188" s="3002"/>
      <c r="X188" s="3002"/>
      <c r="Y188" s="3002"/>
      <c r="Z188" s="3011">
        <f>+TRUNC(+SUM(G188:Y189),2)</f>
        <v>0</v>
      </c>
      <c r="AA188" s="579">
        <f>SUM(G188:Z188)</f>
        <v>0</v>
      </c>
      <c r="AD188" s="1906"/>
      <c r="AE188" s="1906"/>
    </row>
    <row r="189" spans="1:31" ht="49.5" hidden="1" x14ac:dyDescent="0.15">
      <c r="A189" s="3045"/>
      <c r="B189" s="3032"/>
      <c r="C189" s="1900" t="s">
        <v>2311</v>
      </c>
      <c r="D189" s="1951"/>
      <c r="E189" s="1904" t="s">
        <v>1067</v>
      </c>
      <c r="F189" s="1935"/>
      <c r="G189" s="3003"/>
      <c r="H189" s="3003"/>
      <c r="I189" s="3003"/>
      <c r="J189" s="3003"/>
      <c r="K189" s="3003"/>
      <c r="L189" s="3003"/>
      <c r="M189" s="3003"/>
      <c r="N189" s="3003"/>
      <c r="O189" s="3003"/>
      <c r="P189" s="3003"/>
      <c r="Q189" s="3003"/>
      <c r="R189" s="3003"/>
      <c r="S189" s="3003"/>
      <c r="T189" s="3003"/>
      <c r="U189" s="3003"/>
      <c r="V189" s="3003"/>
      <c r="W189" s="3003"/>
      <c r="X189" s="3003"/>
      <c r="Y189" s="3003"/>
      <c r="Z189" s="3012"/>
      <c r="AA189" s="580">
        <f>+AA188</f>
        <v>0</v>
      </c>
      <c r="AD189" s="1906"/>
      <c r="AE189" s="1906"/>
    </row>
    <row r="190" spans="1:31" ht="18.75" hidden="1" x14ac:dyDescent="0.15">
      <c r="A190" s="3045"/>
      <c r="B190" s="3032"/>
      <c r="C190" s="1937" t="s">
        <v>339</v>
      </c>
      <c r="D190" s="1949">
        <v>0.36</v>
      </c>
      <c r="E190" s="1901" t="s">
        <v>1067</v>
      </c>
      <c r="F190" s="1911"/>
      <c r="G190" s="3002"/>
      <c r="H190" s="3002"/>
      <c r="I190" s="3002"/>
      <c r="J190" s="3002"/>
      <c r="K190" s="3002"/>
      <c r="L190" s="3002"/>
      <c r="M190" s="3002"/>
      <c r="N190" s="3002"/>
      <c r="O190" s="3002"/>
      <c r="P190" s="3002"/>
      <c r="Q190" s="3002"/>
      <c r="R190" s="3002"/>
      <c r="S190" s="3002"/>
      <c r="T190" s="3002"/>
      <c r="U190" s="3002"/>
      <c r="V190" s="3002"/>
      <c r="W190" s="3002"/>
      <c r="X190" s="3002"/>
      <c r="Y190" s="3002"/>
      <c r="Z190" s="3011">
        <f>+TRUNC(+SUM(G190:Y191),2)</f>
        <v>0</v>
      </c>
      <c r="AA190" s="579">
        <f>SUM(G190:Z190)</f>
        <v>0</v>
      </c>
      <c r="AD190" s="1906"/>
      <c r="AE190" s="1906"/>
    </row>
    <row r="191" spans="1:31" ht="49.5" hidden="1" x14ac:dyDescent="0.15">
      <c r="A191" s="3045"/>
      <c r="B191" s="3032"/>
      <c r="C191" s="1900" t="s">
        <v>2310</v>
      </c>
      <c r="D191" s="1951"/>
      <c r="E191" s="1904" t="s">
        <v>1067</v>
      </c>
      <c r="F191" s="1935"/>
      <c r="G191" s="3003"/>
      <c r="H191" s="3003"/>
      <c r="I191" s="3003"/>
      <c r="J191" s="3003"/>
      <c r="K191" s="3003"/>
      <c r="L191" s="3003"/>
      <c r="M191" s="3003"/>
      <c r="N191" s="3003"/>
      <c r="O191" s="3003"/>
      <c r="P191" s="3003"/>
      <c r="Q191" s="3003"/>
      <c r="R191" s="3003"/>
      <c r="S191" s="3003"/>
      <c r="T191" s="3003"/>
      <c r="U191" s="3003"/>
      <c r="V191" s="3003"/>
      <c r="W191" s="3003"/>
      <c r="X191" s="3003"/>
      <c r="Y191" s="3003"/>
      <c r="Z191" s="3012"/>
      <c r="AA191" s="580">
        <f>+AA190</f>
        <v>0</v>
      </c>
      <c r="AD191" s="1906"/>
      <c r="AE191" s="1906"/>
    </row>
    <row r="192" spans="1:31" ht="18.75" hidden="1" x14ac:dyDescent="0.15">
      <c r="A192" s="3045"/>
      <c r="B192" s="3032"/>
      <c r="C192" s="1937" t="s">
        <v>339</v>
      </c>
      <c r="D192" s="1949">
        <v>0.36</v>
      </c>
      <c r="E192" s="1901" t="s">
        <v>1067</v>
      </c>
      <c r="F192" s="1911"/>
      <c r="G192" s="3002"/>
      <c r="H192" s="3002"/>
      <c r="I192" s="3002"/>
      <c r="J192" s="3002"/>
      <c r="K192" s="3002"/>
      <c r="L192" s="3002"/>
      <c r="M192" s="3002"/>
      <c r="N192" s="3002"/>
      <c r="O192" s="3002"/>
      <c r="P192" s="3002"/>
      <c r="Q192" s="3002"/>
      <c r="R192" s="3002"/>
      <c r="S192" s="3002"/>
      <c r="T192" s="3002"/>
      <c r="U192" s="3002"/>
      <c r="V192" s="3002"/>
      <c r="W192" s="3002"/>
      <c r="X192" s="3002"/>
      <c r="Y192" s="3002"/>
      <c r="Z192" s="3011">
        <f>+TRUNC(+SUM(G192:Y193),2)</f>
        <v>0</v>
      </c>
      <c r="AA192" s="579">
        <f>SUM(G192:Z192)</f>
        <v>0</v>
      </c>
      <c r="AD192" s="1906"/>
      <c r="AE192" s="1906"/>
    </row>
    <row r="193" spans="1:31" ht="49.5" hidden="1" x14ac:dyDescent="0.15">
      <c r="A193" s="3045"/>
      <c r="B193" s="3032"/>
      <c r="C193" s="1900" t="s">
        <v>2309</v>
      </c>
      <c r="D193" s="1951"/>
      <c r="E193" s="1904" t="s">
        <v>1067</v>
      </c>
      <c r="F193" s="1935"/>
      <c r="G193" s="3003"/>
      <c r="H193" s="3003"/>
      <c r="I193" s="3003"/>
      <c r="J193" s="3003"/>
      <c r="K193" s="3003"/>
      <c r="L193" s="3003"/>
      <c r="M193" s="3003"/>
      <c r="N193" s="3003"/>
      <c r="O193" s="3003"/>
      <c r="P193" s="3003"/>
      <c r="Q193" s="3003"/>
      <c r="R193" s="3003"/>
      <c r="S193" s="3003"/>
      <c r="T193" s="3003"/>
      <c r="U193" s="3003"/>
      <c r="V193" s="3003"/>
      <c r="W193" s="3003"/>
      <c r="X193" s="3003"/>
      <c r="Y193" s="3003"/>
      <c r="Z193" s="3012"/>
      <c r="AA193" s="580">
        <f>+AA192</f>
        <v>0</v>
      </c>
      <c r="AD193" s="1906"/>
      <c r="AE193" s="1906"/>
    </row>
    <row r="194" spans="1:31" ht="18.75" hidden="1" x14ac:dyDescent="0.15">
      <c r="A194" s="3045"/>
      <c r="B194" s="3032"/>
      <c r="C194" s="1937" t="s">
        <v>339</v>
      </c>
      <c r="D194" s="1949">
        <v>0.15</v>
      </c>
      <c r="E194" s="1901" t="s">
        <v>1067</v>
      </c>
      <c r="F194" s="1911"/>
      <c r="G194" s="3002"/>
      <c r="H194" s="3002"/>
      <c r="I194" s="3002"/>
      <c r="J194" s="3002"/>
      <c r="K194" s="3002"/>
      <c r="L194" s="3002"/>
      <c r="M194" s="3002"/>
      <c r="N194" s="3002"/>
      <c r="O194" s="3002"/>
      <c r="P194" s="3002"/>
      <c r="Q194" s="3002"/>
      <c r="R194" s="3002"/>
      <c r="S194" s="3002"/>
      <c r="T194" s="3002"/>
      <c r="U194" s="3002"/>
      <c r="V194" s="3002"/>
      <c r="W194" s="3002"/>
      <c r="X194" s="3002"/>
      <c r="Y194" s="3002"/>
      <c r="Z194" s="3011">
        <f>+TRUNC(+SUM(G194:Y195),2)</f>
        <v>0</v>
      </c>
      <c r="AA194" s="579">
        <f>SUM(G194:Z194)</f>
        <v>0</v>
      </c>
      <c r="AD194" s="1906"/>
      <c r="AE194" s="1906"/>
    </row>
    <row r="195" spans="1:31" ht="49.5" hidden="1" x14ac:dyDescent="0.15">
      <c r="A195" s="3045"/>
      <c r="B195" s="3032"/>
      <c r="C195" s="1900" t="s">
        <v>2308</v>
      </c>
      <c r="D195" s="1951"/>
      <c r="E195" s="1904" t="s">
        <v>1067</v>
      </c>
      <c r="F195" s="1950"/>
      <c r="G195" s="3003"/>
      <c r="H195" s="3003"/>
      <c r="I195" s="3003"/>
      <c r="J195" s="3003"/>
      <c r="K195" s="3003"/>
      <c r="L195" s="3003"/>
      <c r="M195" s="3003"/>
      <c r="N195" s="3003"/>
      <c r="O195" s="3003"/>
      <c r="P195" s="3003"/>
      <c r="Q195" s="3003"/>
      <c r="R195" s="3003"/>
      <c r="S195" s="3003"/>
      <c r="T195" s="3003"/>
      <c r="U195" s="3003"/>
      <c r="V195" s="3003"/>
      <c r="W195" s="3003"/>
      <c r="X195" s="3003"/>
      <c r="Y195" s="3003"/>
      <c r="Z195" s="3012"/>
      <c r="AA195" s="580">
        <f>+AA194</f>
        <v>0</v>
      </c>
      <c r="AD195" s="1906"/>
      <c r="AE195" s="1906"/>
    </row>
    <row r="196" spans="1:31" ht="18.75" hidden="1" x14ac:dyDescent="0.15">
      <c r="A196" s="3045"/>
      <c r="B196" s="3032"/>
      <c r="C196" s="1937" t="s">
        <v>339</v>
      </c>
      <c r="D196" s="1949">
        <v>0.15</v>
      </c>
      <c r="E196" s="1901" t="s">
        <v>1067</v>
      </c>
      <c r="F196" s="1911"/>
      <c r="G196" s="3002"/>
      <c r="H196" s="3002"/>
      <c r="I196" s="3002"/>
      <c r="J196" s="3002"/>
      <c r="K196" s="3002"/>
      <c r="L196" s="3002"/>
      <c r="M196" s="3002"/>
      <c r="N196" s="3002"/>
      <c r="O196" s="3002"/>
      <c r="P196" s="3002"/>
      <c r="Q196" s="3002"/>
      <c r="R196" s="3002"/>
      <c r="S196" s="3002"/>
      <c r="T196" s="3002"/>
      <c r="U196" s="3002"/>
      <c r="V196" s="3002"/>
      <c r="W196" s="3002"/>
      <c r="X196" s="3002"/>
      <c r="Y196" s="3002"/>
      <c r="Z196" s="3011">
        <f>+TRUNC(+SUM(G196:Y197),2)</f>
        <v>0</v>
      </c>
      <c r="AA196" s="579">
        <f>SUM(G196:Z196)</f>
        <v>0</v>
      </c>
      <c r="AD196" s="1906"/>
      <c r="AE196" s="1906"/>
    </row>
    <row r="197" spans="1:31" ht="49.5" hidden="1" x14ac:dyDescent="0.15">
      <c r="A197" s="3045"/>
      <c r="B197" s="3032"/>
      <c r="C197" s="1900" t="s">
        <v>2307</v>
      </c>
      <c r="D197" s="1951"/>
      <c r="E197" s="1904" t="s">
        <v>1067</v>
      </c>
      <c r="F197" s="1950"/>
      <c r="G197" s="3003"/>
      <c r="H197" s="3003"/>
      <c r="I197" s="3003"/>
      <c r="J197" s="3003"/>
      <c r="K197" s="3003"/>
      <c r="L197" s="3003"/>
      <c r="M197" s="3003"/>
      <c r="N197" s="3003"/>
      <c r="O197" s="3003"/>
      <c r="P197" s="3003"/>
      <c r="Q197" s="3003"/>
      <c r="R197" s="3003"/>
      <c r="S197" s="3003"/>
      <c r="T197" s="3003"/>
      <c r="U197" s="3003"/>
      <c r="V197" s="3003"/>
      <c r="W197" s="3003"/>
      <c r="X197" s="3003"/>
      <c r="Y197" s="3003"/>
      <c r="Z197" s="3012"/>
      <c r="AA197" s="580">
        <f>+AA196</f>
        <v>0</v>
      </c>
      <c r="AD197" s="1906"/>
      <c r="AE197" s="1906"/>
    </row>
    <row r="198" spans="1:31" ht="18.75" hidden="1" x14ac:dyDescent="0.15">
      <c r="A198" s="3045"/>
      <c r="B198" s="3032"/>
      <c r="C198" s="1937" t="s">
        <v>339</v>
      </c>
      <c r="D198" s="1949">
        <v>0.36</v>
      </c>
      <c r="E198" s="1901" t="s">
        <v>1067</v>
      </c>
      <c r="F198" s="1911"/>
      <c r="G198" s="3002"/>
      <c r="H198" s="3002"/>
      <c r="I198" s="3002"/>
      <c r="J198" s="3002"/>
      <c r="K198" s="3002"/>
      <c r="L198" s="3002"/>
      <c r="M198" s="3002"/>
      <c r="N198" s="3002"/>
      <c r="O198" s="3002"/>
      <c r="P198" s="3002"/>
      <c r="Q198" s="3002"/>
      <c r="R198" s="3002"/>
      <c r="S198" s="3002"/>
      <c r="T198" s="3002"/>
      <c r="U198" s="3002"/>
      <c r="V198" s="3002"/>
      <c r="W198" s="3002"/>
      <c r="X198" s="3002"/>
      <c r="Y198" s="3002"/>
      <c r="Z198" s="3011">
        <f>+TRUNC(+SUM(G198:Y199),2)</f>
        <v>0</v>
      </c>
      <c r="AA198" s="579">
        <f>SUM(G198:Z198)</f>
        <v>0</v>
      </c>
      <c r="AD198" s="1906"/>
      <c r="AE198" s="1906"/>
    </row>
    <row r="199" spans="1:31" ht="49.5" hidden="1" x14ac:dyDescent="0.15">
      <c r="A199" s="3045"/>
      <c r="B199" s="3032"/>
      <c r="C199" s="1900" t="s">
        <v>2306</v>
      </c>
      <c r="D199" s="1951"/>
      <c r="E199" s="1904" t="s">
        <v>1067</v>
      </c>
      <c r="F199" s="1935"/>
      <c r="G199" s="3003"/>
      <c r="H199" s="3003"/>
      <c r="I199" s="3003"/>
      <c r="J199" s="3003"/>
      <c r="K199" s="3003"/>
      <c r="L199" s="3003"/>
      <c r="M199" s="3003"/>
      <c r="N199" s="3003"/>
      <c r="O199" s="3003"/>
      <c r="P199" s="3003"/>
      <c r="Q199" s="3003"/>
      <c r="R199" s="3003"/>
      <c r="S199" s="3003"/>
      <c r="T199" s="3003"/>
      <c r="U199" s="3003"/>
      <c r="V199" s="3003"/>
      <c r="W199" s="3003"/>
      <c r="X199" s="3003"/>
      <c r="Y199" s="3003"/>
      <c r="Z199" s="3012"/>
      <c r="AA199" s="580">
        <f>+AA198</f>
        <v>0</v>
      </c>
      <c r="AD199" s="1906"/>
      <c r="AE199" s="1906"/>
    </row>
    <row r="200" spans="1:31" ht="18.75" hidden="1" x14ac:dyDescent="0.15">
      <c r="A200" s="3045"/>
      <c r="B200" s="3032"/>
      <c r="C200" s="1937" t="s">
        <v>339</v>
      </c>
      <c r="D200" s="1949">
        <v>0.36</v>
      </c>
      <c r="E200" s="1901" t="s">
        <v>1067</v>
      </c>
      <c r="F200" s="1911"/>
      <c r="G200" s="3002"/>
      <c r="H200" s="3002"/>
      <c r="I200" s="3002"/>
      <c r="J200" s="3002"/>
      <c r="K200" s="3002"/>
      <c r="L200" s="3002"/>
      <c r="M200" s="3002"/>
      <c r="N200" s="3002"/>
      <c r="O200" s="3002"/>
      <c r="P200" s="3002"/>
      <c r="Q200" s="3002"/>
      <c r="R200" s="3002"/>
      <c r="S200" s="3002"/>
      <c r="T200" s="3002"/>
      <c r="U200" s="3002"/>
      <c r="V200" s="3002"/>
      <c r="W200" s="3002"/>
      <c r="X200" s="3002"/>
      <c r="Y200" s="3002"/>
      <c r="Z200" s="3011">
        <f>+TRUNC(+SUM(G200:Y201),2)</f>
        <v>0</v>
      </c>
      <c r="AA200" s="579">
        <f>SUM(G200:Z200)</f>
        <v>0</v>
      </c>
      <c r="AD200" s="1906"/>
      <c r="AE200" s="1906"/>
    </row>
    <row r="201" spans="1:31" ht="49.5" hidden="1" x14ac:dyDescent="0.15">
      <c r="A201" s="3045"/>
      <c r="B201" s="3032"/>
      <c r="C201" s="1900" t="s">
        <v>2305</v>
      </c>
      <c r="D201" s="1951"/>
      <c r="E201" s="1904" t="s">
        <v>1067</v>
      </c>
      <c r="F201" s="1935"/>
      <c r="G201" s="3003"/>
      <c r="H201" s="3003"/>
      <c r="I201" s="3003"/>
      <c r="J201" s="3003"/>
      <c r="K201" s="3003"/>
      <c r="L201" s="3003"/>
      <c r="M201" s="3003"/>
      <c r="N201" s="3003"/>
      <c r="O201" s="3003"/>
      <c r="P201" s="3003"/>
      <c r="Q201" s="3003"/>
      <c r="R201" s="3003"/>
      <c r="S201" s="3003"/>
      <c r="T201" s="3003"/>
      <c r="U201" s="3003"/>
      <c r="V201" s="3003"/>
      <c r="W201" s="3003"/>
      <c r="X201" s="3003"/>
      <c r="Y201" s="3003"/>
      <c r="Z201" s="3012"/>
      <c r="AA201" s="580">
        <f>+AA200</f>
        <v>0</v>
      </c>
      <c r="AD201" s="1906"/>
      <c r="AE201" s="1906"/>
    </row>
    <row r="202" spans="1:31" ht="18.75" hidden="1" x14ac:dyDescent="0.15">
      <c r="A202" s="3045"/>
      <c r="B202" s="3032"/>
      <c r="C202" s="1937" t="s">
        <v>339</v>
      </c>
      <c r="D202" s="1949">
        <v>0.36</v>
      </c>
      <c r="E202" s="1901" t="s">
        <v>1067</v>
      </c>
      <c r="F202" s="1911"/>
      <c r="G202" s="3002"/>
      <c r="H202" s="3002"/>
      <c r="I202" s="3002"/>
      <c r="J202" s="3002"/>
      <c r="K202" s="3002"/>
      <c r="L202" s="3002"/>
      <c r="M202" s="3002"/>
      <c r="N202" s="3002"/>
      <c r="O202" s="3002"/>
      <c r="P202" s="3002"/>
      <c r="Q202" s="3002"/>
      <c r="R202" s="3002"/>
      <c r="S202" s="3002"/>
      <c r="T202" s="3002"/>
      <c r="U202" s="3002"/>
      <c r="V202" s="3002"/>
      <c r="W202" s="3002"/>
      <c r="X202" s="3002"/>
      <c r="Y202" s="3002"/>
      <c r="Z202" s="3011">
        <f>+TRUNC(+SUM(G202:Y203),2)</f>
        <v>0</v>
      </c>
      <c r="AA202" s="579">
        <f>SUM(G202:Z202)</f>
        <v>0</v>
      </c>
      <c r="AD202" s="1906"/>
      <c r="AE202" s="1906"/>
    </row>
    <row r="203" spans="1:31" ht="49.5" hidden="1" x14ac:dyDescent="0.15">
      <c r="A203" s="3045"/>
      <c r="B203" s="3032"/>
      <c r="C203" s="1900" t="s">
        <v>2304</v>
      </c>
      <c r="D203" s="1951"/>
      <c r="E203" s="1904" t="s">
        <v>1067</v>
      </c>
      <c r="F203" s="1935"/>
      <c r="G203" s="3003"/>
      <c r="H203" s="3003"/>
      <c r="I203" s="3003"/>
      <c r="J203" s="3003"/>
      <c r="K203" s="3003"/>
      <c r="L203" s="3003"/>
      <c r="M203" s="3003"/>
      <c r="N203" s="3003"/>
      <c r="O203" s="3003"/>
      <c r="P203" s="3003"/>
      <c r="Q203" s="3003"/>
      <c r="R203" s="3003"/>
      <c r="S203" s="3003"/>
      <c r="T203" s="3003"/>
      <c r="U203" s="3003"/>
      <c r="V203" s="3003"/>
      <c r="W203" s="3003"/>
      <c r="X203" s="3003"/>
      <c r="Y203" s="3003"/>
      <c r="Z203" s="3012"/>
      <c r="AA203" s="580">
        <f>+AA202</f>
        <v>0</v>
      </c>
      <c r="AD203" s="1906"/>
      <c r="AE203" s="1906"/>
    </row>
    <row r="204" spans="1:31" ht="18.75" hidden="1" x14ac:dyDescent="0.15">
      <c r="A204" s="3045"/>
      <c r="B204" s="3032"/>
      <c r="C204" s="1937" t="s">
        <v>339</v>
      </c>
      <c r="D204" s="1949">
        <v>0.36</v>
      </c>
      <c r="E204" s="1901" t="s">
        <v>1067</v>
      </c>
      <c r="F204" s="1911"/>
      <c r="G204" s="3002"/>
      <c r="H204" s="3002"/>
      <c r="I204" s="3002"/>
      <c r="J204" s="3002"/>
      <c r="K204" s="3002"/>
      <c r="L204" s="3002"/>
      <c r="M204" s="3002"/>
      <c r="N204" s="3002"/>
      <c r="O204" s="3002"/>
      <c r="P204" s="3002"/>
      <c r="Q204" s="3002"/>
      <c r="R204" s="3002"/>
      <c r="S204" s="3002"/>
      <c r="T204" s="3002"/>
      <c r="U204" s="3002"/>
      <c r="V204" s="3002"/>
      <c r="W204" s="3002"/>
      <c r="X204" s="3002"/>
      <c r="Y204" s="3002"/>
      <c r="Z204" s="3011">
        <f>+TRUNC(+SUM(G204:Y205),2)</f>
        <v>0</v>
      </c>
      <c r="AA204" s="579">
        <f>SUM(G204:Z204)</f>
        <v>0</v>
      </c>
      <c r="AD204" s="1906"/>
      <c r="AE204" s="1906"/>
    </row>
    <row r="205" spans="1:31" ht="49.5" hidden="1" x14ac:dyDescent="0.15">
      <c r="A205" s="3045"/>
      <c r="B205" s="3032"/>
      <c r="C205" s="1900" t="s">
        <v>2303</v>
      </c>
      <c r="D205" s="1951"/>
      <c r="E205" s="1904" t="s">
        <v>1067</v>
      </c>
      <c r="F205" s="1935"/>
      <c r="G205" s="3003"/>
      <c r="H205" s="3003"/>
      <c r="I205" s="3003"/>
      <c r="J205" s="3003"/>
      <c r="K205" s="3003"/>
      <c r="L205" s="3003"/>
      <c r="M205" s="3003"/>
      <c r="N205" s="3003"/>
      <c r="O205" s="3003"/>
      <c r="P205" s="3003"/>
      <c r="Q205" s="3003"/>
      <c r="R205" s="3003"/>
      <c r="S205" s="3003"/>
      <c r="T205" s="3003"/>
      <c r="U205" s="3003"/>
      <c r="V205" s="3003"/>
      <c r="W205" s="3003"/>
      <c r="X205" s="3003"/>
      <c r="Y205" s="3003"/>
      <c r="Z205" s="3012"/>
      <c r="AA205" s="580">
        <f>+AA204</f>
        <v>0</v>
      </c>
      <c r="AD205" s="1906"/>
      <c r="AE205" s="1906"/>
    </row>
    <row r="206" spans="1:31" ht="18.75" hidden="1" x14ac:dyDescent="0.15">
      <c r="A206" s="3045"/>
      <c r="B206" s="3032"/>
      <c r="C206" s="1937" t="s">
        <v>339</v>
      </c>
      <c r="D206" s="1949">
        <v>0.36</v>
      </c>
      <c r="E206" s="1901" t="s">
        <v>1067</v>
      </c>
      <c r="F206" s="1911"/>
      <c r="G206" s="3002"/>
      <c r="H206" s="3002"/>
      <c r="I206" s="3002"/>
      <c r="J206" s="3002"/>
      <c r="K206" s="3002"/>
      <c r="L206" s="3002"/>
      <c r="M206" s="3002"/>
      <c r="N206" s="3002"/>
      <c r="O206" s="3002"/>
      <c r="P206" s="3002"/>
      <c r="Q206" s="3002"/>
      <c r="R206" s="3002"/>
      <c r="S206" s="3002"/>
      <c r="T206" s="3002"/>
      <c r="U206" s="3002"/>
      <c r="V206" s="3002"/>
      <c r="W206" s="3002"/>
      <c r="X206" s="3002"/>
      <c r="Y206" s="3002"/>
      <c r="Z206" s="3011">
        <f>+TRUNC(+SUM(G206:Y207),2)</f>
        <v>0</v>
      </c>
      <c r="AA206" s="579">
        <f>SUM(G206:Z206)</f>
        <v>0</v>
      </c>
      <c r="AD206" s="1906"/>
      <c r="AE206" s="1906"/>
    </row>
    <row r="207" spans="1:31" ht="49.5" hidden="1" x14ac:dyDescent="0.15">
      <c r="A207" s="3045"/>
      <c r="B207" s="3032"/>
      <c r="C207" s="1900" t="s">
        <v>2302</v>
      </c>
      <c r="D207" s="1951"/>
      <c r="E207" s="1904" t="s">
        <v>1067</v>
      </c>
      <c r="F207" s="1935"/>
      <c r="G207" s="3003"/>
      <c r="H207" s="3003"/>
      <c r="I207" s="3003"/>
      <c r="J207" s="3003"/>
      <c r="K207" s="3003"/>
      <c r="L207" s="3003"/>
      <c r="M207" s="3003"/>
      <c r="N207" s="3003"/>
      <c r="O207" s="3003"/>
      <c r="P207" s="3003"/>
      <c r="Q207" s="3003"/>
      <c r="R207" s="3003"/>
      <c r="S207" s="3003"/>
      <c r="T207" s="3003"/>
      <c r="U207" s="3003"/>
      <c r="V207" s="3003"/>
      <c r="W207" s="3003"/>
      <c r="X207" s="3003"/>
      <c r="Y207" s="3003"/>
      <c r="Z207" s="3012"/>
      <c r="AA207" s="580">
        <f>+AA206</f>
        <v>0</v>
      </c>
      <c r="AD207" s="1906"/>
      <c r="AE207" s="1906"/>
    </row>
    <row r="208" spans="1:31" ht="18.75" hidden="1" x14ac:dyDescent="0.15">
      <c r="A208" s="3045"/>
      <c r="B208" s="3032"/>
      <c r="C208" s="1937" t="s">
        <v>339</v>
      </c>
      <c r="D208" s="1949">
        <v>0.36</v>
      </c>
      <c r="E208" s="1901" t="s">
        <v>1067</v>
      </c>
      <c r="F208" s="1911"/>
      <c r="G208" s="3002"/>
      <c r="H208" s="3002"/>
      <c r="I208" s="3002"/>
      <c r="J208" s="3002"/>
      <c r="K208" s="3002"/>
      <c r="L208" s="3002"/>
      <c r="M208" s="3002"/>
      <c r="N208" s="3002"/>
      <c r="O208" s="3002"/>
      <c r="P208" s="3002"/>
      <c r="Q208" s="3002"/>
      <c r="R208" s="3002"/>
      <c r="S208" s="3002"/>
      <c r="T208" s="3002"/>
      <c r="U208" s="3002"/>
      <c r="V208" s="3002"/>
      <c r="W208" s="3002"/>
      <c r="X208" s="3002"/>
      <c r="Y208" s="3002"/>
      <c r="Z208" s="3011">
        <f>+TRUNC(+SUM(G208:Y209),2)</f>
        <v>0</v>
      </c>
      <c r="AA208" s="579">
        <f>SUM(G208:Z208)</f>
        <v>0</v>
      </c>
      <c r="AD208" s="1906"/>
      <c r="AE208" s="1906"/>
    </row>
    <row r="209" spans="1:31" ht="49.5" hidden="1" x14ac:dyDescent="0.15">
      <c r="A209" s="3045"/>
      <c r="B209" s="3032"/>
      <c r="C209" s="1900" t="s">
        <v>2301</v>
      </c>
      <c r="D209" s="1951"/>
      <c r="E209" s="1904" t="s">
        <v>1067</v>
      </c>
      <c r="F209" s="1935"/>
      <c r="G209" s="3003"/>
      <c r="H209" s="3003"/>
      <c r="I209" s="3003"/>
      <c r="J209" s="3003"/>
      <c r="K209" s="3003"/>
      <c r="L209" s="3003"/>
      <c r="M209" s="3003"/>
      <c r="N209" s="3003"/>
      <c r="O209" s="3003"/>
      <c r="P209" s="3003"/>
      <c r="Q209" s="3003"/>
      <c r="R209" s="3003"/>
      <c r="S209" s="3003"/>
      <c r="T209" s="3003"/>
      <c r="U209" s="3003"/>
      <c r="V209" s="3003"/>
      <c r="W209" s="3003"/>
      <c r="X209" s="3003"/>
      <c r="Y209" s="3003"/>
      <c r="Z209" s="3012"/>
      <c r="AA209" s="580">
        <f>+AA208</f>
        <v>0</v>
      </c>
      <c r="AD209" s="1906"/>
      <c r="AE209" s="1906"/>
    </row>
    <row r="210" spans="1:31" ht="18.75" hidden="1" x14ac:dyDescent="0.15">
      <c r="A210" s="3045"/>
      <c r="B210" s="3032"/>
      <c r="C210" s="1937" t="s">
        <v>339</v>
      </c>
      <c r="D210" s="1949">
        <v>0.36</v>
      </c>
      <c r="E210" s="1901" t="s">
        <v>1067</v>
      </c>
      <c r="F210" s="1911"/>
      <c r="G210" s="3002"/>
      <c r="H210" s="3002"/>
      <c r="I210" s="3002"/>
      <c r="J210" s="3002"/>
      <c r="K210" s="3002"/>
      <c r="L210" s="3002"/>
      <c r="M210" s="3002"/>
      <c r="N210" s="3002"/>
      <c r="O210" s="3002"/>
      <c r="P210" s="3002"/>
      <c r="Q210" s="3002"/>
      <c r="R210" s="3002"/>
      <c r="S210" s="3002"/>
      <c r="T210" s="3002"/>
      <c r="U210" s="3002"/>
      <c r="V210" s="3002"/>
      <c r="W210" s="3002"/>
      <c r="X210" s="3002"/>
      <c r="Y210" s="3002"/>
      <c r="Z210" s="3011">
        <f>+TRUNC(+SUM(G210:Y211),2)</f>
        <v>0</v>
      </c>
      <c r="AA210" s="579">
        <f>SUM(G210:Z210)</f>
        <v>0</v>
      </c>
      <c r="AD210" s="1906"/>
      <c r="AE210" s="1906"/>
    </row>
    <row r="211" spans="1:31" ht="49.5" hidden="1" x14ac:dyDescent="0.15">
      <c r="A211" s="3045"/>
      <c r="B211" s="3032"/>
      <c r="C211" s="1900" t="s">
        <v>2300</v>
      </c>
      <c r="D211" s="1951"/>
      <c r="E211" s="1904" t="s">
        <v>1067</v>
      </c>
      <c r="F211" s="1935"/>
      <c r="G211" s="3003"/>
      <c r="H211" s="3003"/>
      <c r="I211" s="3003"/>
      <c r="J211" s="3003"/>
      <c r="K211" s="3003"/>
      <c r="L211" s="3003"/>
      <c r="M211" s="3003"/>
      <c r="N211" s="3003"/>
      <c r="O211" s="3003"/>
      <c r="P211" s="3003"/>
      <c r="Q211" s="3003"/>
      <c r="R211" s="3003"/>
      <c r="S211" s="3003"/>
      <c r="T211" s="3003"/>
      <c r="U211" s="3003"/>
      <c r="V211" s="3003"/>
      <c r="W211" s="3003"/>
      <c r="X211" s="3003"/>
      <c r="Y211" s="3003"/>
      <c r="Z211" s="3012"/>
      <c r="AA211" s="580">
        <f>+AA210</f>
        <v>0</v>
      </c>
      <c r="AD211" s="1906"/>
      <c r="AE211" s="1906"/>
    </row>
    <row r="212" spans="1:31" ht="18.75" hidden="1" x14ac:dyDescent="0.15">
      <c r="A212" s="3045"/>
      <c r="B212" s="3032"/>
      <c r="C212" s="1937" t="s">
        <v>339</v>
      </c>
      <c r="D212" s="1949">
        <v>0.36</v>
      </c>
      <c r="E212" s="1901" t="s">
        <v>1067</v>
      </c>
      <c r="F212" s="1911"/>
      <c r="G212" s="3002"/>
      <c r="H212" s="3002"/>
      <c r="I212" s="3002"/>
      <c r="J212" s="3002"/>
      <c r="K212" s="3002"/>
      <c r="L212" s="3002"/>
      <c r="M212" s="3002"/>
      <c r="N212" s="3002"/>
      <c r="O212" s="3002"/>
      <c r="P212" s="3002"/>
      <c r="Q212" s="3002"/>
      <c r="R212" s="3002"/>
      <c r="S212" s="3002"/>
      <c r="T212" s="3002"/>
      <c r="U212" s="3002"/>
      <c r="V212" s="3002"/>
      <c r="W212" s="3002"/>
      <c r="X212" s="3002"/>
      <c r="Y212" s="3002"/>
      <c r="Z212" s="3011">
        <f>+TRUNC(+SUM(G212:Y213),2)</f>
        <v>0</v>
      </c>
      <c r="AA212" s="579">
        <f>SUM(G212:Z212)</f>
        <v>0</v>
      </c>
      <c r="AD212" s="1906"/>
      <c r="AE212" s="1906"/>
    </row>
    <row r="213" spans="1:31" ht="49.5" hidden="1" x14ac:dyDescent="0.15">
      <c r="A213" s="3045"/>
      <c r="B213" s="3032"/>
      <c r="C213" s="1900" t="s">
        <v>2299</v>
      </c>
      <c r="D213" s="1951"/>
      <c r="E213" s="1904" t="s">
        <v>1067</v>
      </c>
      <c r="F213" s="1935"/>
      <c r="G213" s="3003"/>
      <c r="H213" s="3003"/>
      <c r="I213" s="3003"/>
      <c r="J213" s="3003"/>
      <c r="K213" s="3003"/>
      <c r="L213" s="3003"/>
      <c r="M213" s="3003"/>
      <c r="N213" s="3003"/>
      <c r="O213" s="3003"/>
      <c r="P213" s="3003"/>
      <c r="Q213" s="3003"/>
      <c r="R213" s="3003"/>
      <c r="S213" s="3003"/>
      <c r="T213" s="3003"/>
      <c r="U213" s="3003"/>
      <c r="V213" s="3003"/>
      <c r="W213" s="3003"/>
      <c r="X213" s="3003"/>
      <c r="Y213" s="3003"/>
      <c r="Z213" s="3012"/>
      <c r="AA213" s="580">
        <f>+AA212</f>
        <v>0</v>
      </c>
      <c r="AD213" s="1906"/>
      <c r="AE213" s="1906"/>
    </row>
    <row r="214" spans="1:31" ht="18.75" hidden="1" x14ac:dyDescent="0.15">
      <c r="A214" s="3045"/>
      <c r="B214" s="3032"/>
      <c r="C214" s="1937" t="s">
        <v>339</v>
      </c>
      <c r="D214" s="1949">
        <v>0.36</v>
      </c>
      <c r="E214" s="1901" t="s">
        <v>1067</v>
      </c>
      <c r="F214" s="1911"/>
      <c r="G214" s="3002"/>
      <c r="H214" s="3002"/>
      <c r="I214" s="3002"/>
      <c r="J214" s="3002"/>
      <c r="K214" s="3002"/>
      <c r="L214" s="3002"/>
      <c r="M214" s="3002"/>
      <c r="N214" s="3002"/>
      <c r="O214" s="3002"/>
      <c r="P214" s="3002"/>
      <c r="Q214" s="3002"/>
      <c r="R214" s="3002"/>
      <c r="S214" s="3002"/>
      <c r="T214" s="3002"/>
      <c r="U214" s="3002"/>
      <c r="V214" s="3002"/>
      <c r="W214" s="3002"/>
      <c r="X214" s="3002"/>
      <c r="Y214" s="3002"/>
      <c r="Z214" s="3011">
        <f>+TRUNC(+SUM(G214:Y215),2)</f>
        <v>0</v>
      </c>
      <c r="AA214" s="579">
        <f>SUM(G214:Z214)</f>
        <v>0</v>
      </c>
      <c r="AD214" s="1906"/>
      <c r="AE214" s="1906"/>
    </row>
    <row r="215" spans="1:31" ht="49.5" hidden="1" x14ac:dyDescent="0.15">
      <c r="A215" s="3045"/>
      <c r="B215" s="3032"/>
      <c r="C215" s="1900" t="s">
        <v>2298</v>
      </c>
      <c r="D215" s="1951"/>
      <c r="E215" s="1904" t="s">
        <v>1067</v>
      </c>
      <c r="F215" s="1935"/>
      <c r="G215" s="3003"/>
      <c r="H215" s="3003"/>
      <c r="I215" s="3003"/>
      <c r="J215" s="3003"/>
      <c r="K215" s="3003"/>
      <c r="L215" s="3003"/>
      <c r="M215" s="3003"/>
      <c r="N215" s="3003"/>
      <c r="O215" s="3003"/>
      <c r="P215" s="3003"/>
      <c r="Q215" s="3003"/>
      <c r="R215" s="3003"/>
      <c r="S215" s="3003"/>
      <c r="T215" s="3003"/>
      <c r="U215" s="3003"/>
      <c r="V215" s="3003"/>
      <c r="W215" s="3003"/>
      <c r="X215" s="3003"/>
      <c r="Y215" s="3003"/>
      <c r="Z215" s="3012"/>
      <c r="AA215" s="580">
        <f>+AA214</f>
        <v>0</v>
      </c>
      <c r="AD215" s="1906"/>
      <c r="AE215" s="1906"/>
    </row>
    <row r="216" spans="1:31" ht="18.75" x14ac:dyDescent="0.15">
      <c r="A216" s="3045"/>
      <c r="B216" s="3032"/>
      <c r="C216" s="1937" t="s">
        <v>339</v>
      </c>
      <c r="D216" s="1949">
        <v>0.96</v>
      </c>
      <c r="E216" s="1901" t="s">
        <v>1067</v>
      </c>
      <c r="F216" s="1911"/>
      <c r="G216" s="3002">
        <v>1</v>
      </c>
      <c r="H216" s="3002">
        <v>1</v>
      </c>
      <c r="I216" s="3002"/>
      <c r="J216" s="3002"/>
      <c r="K216" s="3002"/>
      <c r="L216" s="3002"/>
      <c r="M216" s="3002"/>
      <c r="N216" s="3002"/>
      <c r="O216" s="3002"/>
      <c r="P216" s="3002"/>
      <c r="Q216" s="3002"/>
      <c r="R216" s="3002"/>
      <c r="S216" s="3002"/>
      <c r="T216" s="3002"/>
      <c r="U216" s="3002"/>
      <c r="V216" s="3002"/>
      <c r="W216" s="3002">
        <v>2</v>
      </c>
      <c r="X216" s="3002"/>
      <c r="Y216" s="3002"/>
      <c r="Z216" s="3011">
        <f>+TRUNC(+SUM(G216:Y217),2)</f>
        <v>4</v>
      </c>
      <c r="AA216" s="579">
        <f>SUM(G216:Z216)</f>
        <v>8</v>
      </c>
      <c r="AD216" s="1906"/>
      <c r="AE216" s="1906"/>
    </row>
    <row r="217" spans="1:31" ht="49.5" x14ac:dyDescent="0.15">
      <c r="A217" s="3045"/>
      <c r="B217" s="3032"/>
      <c r="C217" s="1900" t="s">
        <v>2297</v>
      </c>
      <c r="D217" s="1951"/>
      <c r="E217" s="1904" t="s">
        <v>1067</v>
      </c>
      <c r="F217" s="1950"/>
      <c r="G217" s="3003"/>
      <c r="H217" s="3003"/>
      <c r="I217" s="3003"/>
      <c r="J217" s="3003"/>
      <c r="K217" s="3003"/>
      <c r="L217" s="3003"/>
      <c r="M217" s="3003"/>
      <c r="N217" s="3003"/>
      <c r="O217" s="3003"/>
      <c r="P217" s="3003"/>
      <c r="Q217" s="3003"/>
      <c r="R217" s="3003"/>
      <c r="S217" s="3003"/>
      <c r="T217" s="3003"/>
      <c r="U217" s="3003"/>
      <c r="V217" s="3003"/>
      <c r="W217" s="3003"/>
      <c r="X217" s="3003"/>
      <c r="Y217" s="3003"/>
      <c r="Z217" s="3012"/>
      <c r="AA217" s="580">
        <f>+AA216</f>
        <v>8</v>
      </c>
      <c r="AD217" s="1906"/>
      <c r="AE217" s="1906"/>
    </row>
    <row r="218" spans="1:31" ht="18.75" hidden="1" x14ac:dyDescent="0.15">
      <c r="A218" s="3045"/>
      <c r="B218" s="3032"/>
      <c r="C218" s="1937" t="s">
        <v>339</v>
      </c>
      <c r="D218" s="1949">
        <v>0.36</v>
      </c>
      <c r="E218" s="1901" t="s">
        <v>1067</v>
      </c>
      <c r="F218" s="1911"/>
      <c r="G218" s="3002"/>
      <c r="H218" s="3002"/>
      <c r="I218" s="3002"/>
      <c r="J218" s="3002"/>
      <c r="K218" s="3002"/>
      <c r="L218" s="3002"/>
      <c r="M218" s="3002"/>
      <c r="N218" s="3002"/>
      <c r="O218" s="3002"/>
      <c r="P218" s="3002"/>
      <c r="Q218" s="3002"/>
      <c r="R218" s="3002"/>
      <c r="S218" s="3002"/>
      <c r="T218" s="3002"/>
      <c r="U218" s="3002"/>
      <c r="V218" s="3002"/>
      <c r="W218" s="3002"/>
      <c r="X218" s="3002"/>
      <c r="Y218" s="3002"/>
      <c r="Z218" s="3011">
        <f>+TRUNC(+SUM(G218:Y219),2)</f>
        <v>0</v>
      </c>
      <c r="AA218" s="579">
        <f>SUM(G218:Z218)</f>
        <v>0</v>
      </c>
      <c r="AD218" s="1906"/>
      <c r="AE218" s="1906"/>
    </row>
    <row r="219" spans="1:31" ht="49.5" hidden="1" x14ac:dyDescent="0.15">
      <c r="A219" s="3045"/>
      <c r="B219" s="3032"/>
      <c r="C219" s="1900" t="s">
        <v>2296</v>
      </c>
      <c r="D219" s="1951"/>
      <c r="E219" s="1904" t="s">
        <v>1067</v>
      </c>
      <c r="F219" s="1935"/>
      <c r="G219" s="3003"/>
      <c r="H219" s="3003"/>
      <c r="I219" s="3003"/>
      <c r="J219" s="3003"/>
      <c r="K219" s="3003"/>
      <c r="L219" s="3003"/>
      <c r="M219" s="3003"/>
      <c r="N219" s="3003"/>
      <c r="O219" s="3003"/>
      <c r="P219" s="3003"/>
      <c r="Q219" s="3003"/>
      <c r="R219" s="3003"/>
      <c r="S219" s="3003"/>
      <c r="T219" s="3003"/>
      <c r="U219" s="3003"/>
      <c r="V219" s="3003"/>
      <c r="W219" s="3003"/>
      <c r="X219" s="3003"/>
      <c r="Y219" s="3003"/>
      <c r="Z219" s="3012"/>
      <c r="AA219" s="580">
        <f>+AA218</f>
        <v>0</v>
      </c>
      <c r="AD219" s="1906"/>
      <c r="AE219" s="1906"/>
    </row>
    <row r="220" spans="1:31" ht="18.75" hidden="1" x14ac:dyDescent="0.15">
      <c r="A220" s="3045"/>
      <c r="B220" s="3032"/>
      <c r="C220" s="1937" t="s">
        <v>339</v>
      </c>
      <c r="D220" s="1949">
        <v>0.36</v>
      </c>
      <c r="E220" s="1901" t="s">
        <v>1067</v>
      </c>
      <c r="F220" s="1911"/>
      <c r="G220" s="3002"/>
      <c r="H220" s="3002"/>
      <c r="I220" s="3002"/>
      <c r="J220" s="3002"/>
      <c r="K220" s="3002"/>
      <c r="L220" s="3002"/>
      <c r="M220" s="3002"/>
      <c r="N220" s="3002"/>
      <c r="O220" s="3002"/>
      <c r="P220" s="3002"/>
      <c r="Q220" s="3002"/>
      <c r="R220" s="3002"/>
      <c r="S220" s="3002"/>
      <c r="T220" s="3002"/>
      <c r="U220" s="3002"/>
      <c r="V220" s="3002"/>
      <c r="W220" s="3002"/>
      <c r="X220" s="3002"/>
      <c r="Y220" s="3002"/>
      <c r="Z220" s="3011">
        <f>+TRUNC(+SUM(G220:Y221),2)</f>
        <v>0</v>
      </c>
      <c r="AA220" s="579">
        <f>SUM(G220:Z220)</f>
        <v>0</v>
      </c>
      <c r="AD220" s="1906"/>
      <c r="AE220" s="1906"/>
    </row>
    <row r="221" spans="1:31" ht="49.5" hidden="1" x14ac:dyDescent="0.15">
      <c r="A221" s="3045"/>
      <c r="B221" s="3032"/>
      <c r="C221" s="1900" t="s">
        <v>2295</v>
      </c>
      <c r="D221" s="1951"/>
      <c r="E221" s="1904" t="s">
        <v>1067</v>
      </c>
      <c r="F221" s="1935"/>
      <c r="G221" s="3003"/>
      <c r="H221" s="3003"/>
      <c r="I221" s="3003"/>
      <c r="J221" s="3003"/>
      <c r="K221" s="3003"/>
      <c r="L221" s="3003"/>
      <c r="M221" s="3003"/>
      <c r="N221" s="3003"/>
      <c r="O221" s="3003"/>
      <c r="P221" s="3003"/>
      <c r="Q221" s="3003"/>
      <c r="R221" s="3003"/>
      <c r="S221" s="3003"/>
      <c r="T221" s="3003"/>
      <c r="U221" s="3003"/>
      <c r="V221" s="3003"/>
      <c r="W221" s="3003"/>
      <c r="X221" s="3003"/>
      <c r="Y221" s="3003"/>
      <c r="Z221" s="3012"/>
      <c r="AA221" s="580">
        <f>+AA220</f>
        <v>0</v>
      </c>
      <c r="AD221" s="1906"/>
      <c r="AE221" s="1906"/>
    </row>
    <row r="222" spans="1:31" ht="18.75" hidden="1" x14ac:dyDescent="0.15">
      <c r="A222" s="3045"/>
      <c r="B222" s="3032"/>
      <c r="C222" s="1937" t="s">
        <v>339</v>
      </c>
      <c r="D222" s="1949">
        <v>0.36</v>
      </c>
      <c r="E222" s="1901" t="s">
        <v>1067</v>
      </c>
      <c r="F222" s="1911"/>
      <c r="G222" s="3002"/>
      <c r="H222" s="3002"/>
      <c r="I222" s="3002"/>
      <c r="J222" s="3002"/>
      <c r="K222" s="3002"/>
      <c r="L222" s="3002"/>
      <c r="M222" s="3002"/>
      <c r="N222" s="3002"/>
      <c r="O222" s="3002"/>
      <c r="P222" s="3002"/>
      <c r="Q222" s="3002"/>
      <c r="R222" s="3002"/>
      <c r="S222" s="3002"/>
      <c r="T222" s="3002"/>
      <c r="U222" s="3002"/>
      <c r="V222" s="3002"/>
      <c r="W222" s="3002"/>
      <c r="X222" s="3002"/>
      <c r="Y222" s="3002"/>
      <c r="Z222" s="3011">
        <f>+TRUNC(+SUM(G222:Y223),2)</f>
        <v>0</v>
      </c>
      <c r="AA222" s="579">
        <f>SUM(G222:Z222)</f>
        <v>0</v>
      </c>
      <c r="AD222" s="1906"/>
      <c r="AE222" s="1906"/>
    </row>
    <row r="223" spans="1:31" ht="49.5" hidden="1" x14ac:dyDescent="0.15">
      <c r="A223" s="3045"/>
      <c r="B223" s="3032"/>
      <c r="C223" s="1900" t="s">
        <v>2294</v>
      </c>
      <c r="D223" s="1951"/>
      <c r="E223" s="1904" t="s">
        <v>1067</v>
      </c>
      <c r="F223" s="1935"/>
      <c r="G223" s="3003"/>
      <c r="H223" s="3003"/>
      <c r="I223" s="3003"/>
      <c r="J223" s="3003"/>
      <c r="K223" s="3003"/>
      <c r="L223" s="3003"/>
      <c r="M223" s="3003"/>
      <c r="N223" s="3003"/>
      <c r="O223" s="3003"/>
      <c r="P223" s="3003"/>
      <c r="Q223" s="3003"/>
      <c r="R223" s="3003"/>
      <c r="S223" s="3003"/>
      <c r="T223" s="3003"/>
      <c r="U223" s="3003"/>
      <c r="V223" s="3003"/>
      <c r="W223" s="3003"/>
      <c r="X223" s="3003"/>
      <c r="Y223" s="3003"/>
      <c r="Z223" s="3012"/>
      <c r="AA223" s="580">
        <f>+AA222</f>
        <v>0</v>
      </c>
      <c r="AD223" s="1906"/>
      <c r="AE223" s="1906"/>
    </row>
    <row r="224" spans="1:31" ht="18.75" hidden="1" x14ac:dyDescent="0.15">
      <c r="A224" s="3045"/>
      <c r="B224" s="3032"/>
      <c r="C224" s="1937" t="s">
        <v>339</v>
      </c>
      <c r="D224" s="1949">
        <v>0.36</v>
      </c>
      <c r="E224" s="1901" t="s">
        <v>1067</v>
      </c>
      <c r="F224" s="1911"/>
      <c r="G224" s="3002"/>
      <c r="H224" s="3002"/>
      <c r="I224" s="3002"/>
      <c r="J224" s="3002"/>
      <c r="K224" s="3002"/>
      <c r="L224" s="3002"/>
      <c r="M224" s="3002"/>
      <c r="N224" s="3002"/>
      <c r="O224" s="3002"/>
      <c r="P224" s="3002"/>
      <c r="Q224" s="3002"/>
      <c r="R224" s="3002"/>
      <c r="S224" s="3002"/>
      <c r="T224" s="3002"/>
      <c r="U224" s="3002"/>
      <c r="V224" s="3002"/>
      <c r="W224" s="3002"/>
      <c r="X224" s="3002"/>
      <c r="Y224" s="3002"/>
      <c r="Z224" s="3011">
        <f>+TRUNC(+SUM(G224:Y225),2)</f>
        <v>0</v>
      </c>
      <c r="AA224" s="579">
        <f>SUM(G224:Z224)</f>
        <v>0</v>
      </c>
      <c r="AD224" s="1906"/>
      <c r="AE224" s="1906"/>
    </row>
    <row r="225" spans="1:31" ht="49.5" hidden="1" x14ac:dyDescent="0.15">
      <c r="A225" s="3045"/>
      <c r="B225" s="3032"/>
      <c r="C225" s="1900" t="s">
        <v>2293</v>
      </c>
      <c r="D225" s="1951"/>
      <c r="E225" s="1904" t="s">
        <v>1067</v>
      </c>
      <c r="F225" s="1935"/>
      <c r="G225" s="3003"/>
      <c r="H225" s="3003"/>
      <c r="I225" s="3003"/>
      <c r="J225" s="3003"/>
      <c r="K225" s="3003"/>
      <c r="L225" s="3003"/>
      <c r="M225" s="3003"/>
      <c r="N225" s="3003"/>
      <c r="O225" s="3003"/>
      <c r="P225" s="3003"/>
      <c r="Q225" s="3003"/>
      <c r="R225" s="3003"/>
      <c r="S225" s="3003"/>
      <c r="T225" s="3003"/>
      <c r="U225" s="3003"/>
      <c r="V225" s="3003"/>
      <c r="W225" s="3003"/>
      <c r="X225" s="3003"/>
      <c r="Y225" s="3003"/>
      <c r="Z225" s="3012"/>
      <c r="AA225" s="580">
        <f>+AA224</f>
        <v>0</v>
      </c>
      <c r="AD225" s="1906"/>
      <c r="AE225" s="1906"/>
    </row>
    <row r="226" spans="1:31" ht="18.75" hidden="1" x14ac:dyDescent="0.15">
      <c r="A226" s="3045"/>
      <c r="B226" s="3032"/>
      <c r="C226" s="1937" t="s">
        <v>339</v>
      </c>
      <c r="D226" s="1949">
        <v>0.36</v>
      </c>
      <c r="E226" s="1901" t="s">
        <v>1067</v>
      </c>
      <c r="F226" s="1911"/>
      <c r="G226" s="3002"/>
      <c r="H226" s="3002"/>
      <c r="I226" s="3002"/>
      <c r="J226" s="3002"/>
      <c r="K226" s="3002"/>
      <c r="L226" s="3002"/>
      <c r="M226" s="3002"/>
      <c r="N226" s="3002"/>
      <c r="O226" s="3002"/>
      <c r="P226" s="3002"/>
      <c r="Q226" s="3002"/>
      <c r="R226" s="3002"/>
      <c r="S226" s="3002"/>
      <c r="T226" s="3002"/>
      <c r="U226" s="3002"/>
      <c r="V226" s="3002"/>
      <c r="W226" s="3002"/>
      <c r="X226" s="3002"/>
      <c r="Y226" s="3002"/>
      <c r="Z226" s="3011">
        <f>+TRUNC(+SUM(G226:Y227),2)</f>
        <v>0</v>
      </c>
      <c r="AA226" s="579">
        <f>SUM(G226:Z226)</f>
        <v>0</v>
      </c>
      <c r="AD226" s="1906"/>
      <c r="AE226" s="1906"/>
    </row>
    <row r="227" spans="1:31" ht="49.5" hidden="1" x14ac:dyDescent="0.15">
      <c r="A227" s="3045"/>
      <c r="B227" s="3032"/>
      <c r="C227" s="1900" t="s">
        <v>2292</v>
      </c>
      <c r="D227" s="1951"/>
      <c r="E227" s="1904" t="s">
        <v>1067</v>
      </c>
      <c r="F227" s="1935"/>
      <c r="G227" s="3003"/>
      <c r="H227" s="3003"/>
      <c r="I227" s="3003"/>
      <c r="J227" s="3003"/>
      <c r="K227" s="3003"/>
      <c r="L227" s="3003"/>
      <c r="M227" s="3003"/>
      <c r="N227" s="3003"/>
      <c r="O227" s="3003"/>
      <c r="P227" s="3003"/>
      <c r="Q227" s="3003"/>
      <c r="R227" s="3003"/>
      <c r="S227" s="3003"/>
      <c r="T227" s="3003"/>
      <c r="U227" s="3003"/>
      <c r="V227" s="3003"/>
      <c r="W227" s="3003"/>
      <c r="X227" s="3003"/>
      <c r="Y227" s="3003"/>
      <c r="Z227" s="3012"/>
      <c r="AA227" s="580">
        <f>+AA226</f>
        <v>0</v>
      </c>
      <c r="AD227" s="1906"/>
      <c r="AE227" s="1906"/>
    </row>
    <row r="228" spans="1:31" ht="18.75" hidden="1" x14ac:dyDescent="0.15">
      <c r="A228" s="3045"/>
      <c r="B228" s="3032"/>
      <c r="C228" s="1937" t="s">
        <v>339</v>
      </c>
      <c r="D228" s="1949">
        <v>0.36</v>
      </c>
      <c r="E228" s="1901" t="s">
        <v>1067</v>
      </c>
      <c r="F228" s="1911"/>
      <c r="G228" s="3002"/>
      <c r="H228" s="3002"/>
      <c r="I228" s="3002"/>
      <c r="J228" s="3002"/>
      <c r="K228" s="3002"/>
      <c r="L228" s="3002"/>
      <c r="M228" s="3002"/>
      <c r="N228" s="3002"/>
      <c r="O228" s="3002"/>
      <c r="P228" s="3002"/>
      <c r="Q228" s="3002"/>
      <c r="R228" s="3002"/>
      <c r="S228" s="3002"/>
      <c r="T228" s="3002"/>
      <c r="U228" s="3002"/>
      <c r="V228" s="3002"/>
      <c r="W228" s="3002"/>
      <c r="X228" s="3002"/>
      <c r="Y228" s="3002"/>
      <c r="Z228" s="3011">
        <f>+TRUNC(+SUM(G228:Y229),2)</f>
        <v>0</v>
      </c>
      <c r="AA228" s="579">
        <f>SUM(G228:Z228)</f>
        <v>0</v>
      </c>
      <c r="AD228" s="1906"/>
      <c r="AE228" s="1906"/>
    </row>
    <row r="229" spans="1:31" ht="49.5" hidden="1" x14ac:dyDescent="0.15">
      <c r="A229" s="3045"/>
      <c r="B229" s="3032"/>
      <c r="C229" s="1900" t="s">
        <v>2291</v>
      </c>
      <c r="D229" s="1951"/>
      <c r="E229" s="1904" t="s">
        <v>1067</v>
      </c>
      <c r="F229" s="1935"/>
      <c r="G229" s="3003"/>
      <c r="H229" s="3003"/>
      <c r="I229" s="3003"/>
      <c r="J229" s="3003"/>
      <c r="K229" s="3003"/>
      <c r="L229" s="3003"/>
      <c r="M229" s="3003"/>
      <c r="N229" s="3003"/>
      <c r="O229" s="3003"/>
      <c r="P229" s="3003"/>
      <c r="Q229" s="3003"/>
      <c r="R229" s="3003"/>
      <c r="S229" s="3003"/>
      <c r="T229" s="3003"/>
      <c r="U229" s="3003"/>
      <c r="V229" s="3003"/>
      <c r="W229" s="3003"/>
      <c r="X229" s="3003"/>
      <c r="Y229" s="3003"/>
      <c r="Z229" s="3012"/>
      <c r="AA229" s="580">
        <f>+AA228</f>
        <v>0</v>
      </c>
      <c r="AD229" s="1906"/>
      <c r="AE229" s="1906"/>
    </row>
    <row r="230" spans="1:31" ht="18.75" hidden="1" x14ac:dyDescent="0.15">
      <c r="A230" s="3045"/>
      <c r="B230" s="3032"/>
      <c r="C230" s="1937" t="s">
        <v>339</v>
      </c>
      <c r="D230" s="1949">
        <v>0.36</v>
      </c>
      <c r="E230" s="1901" t="s">
        <v>1067</v>
      </c>
      <c r="F230" s="1911"/>
      <c r="G230" s="3002"/>
      <c r="H230" s="3002"/>
      <c r="I230" s="3002"/>
      <c r="J230" s="3002"/>
      <c r="K230" s="3002"/>
      <c r="L230" s="3002"/>
      <c r="M230" s="3002"/>
      <c r="N230" s="3002"/>
      <c r="O230" s="3002"/>
      <c r="P230" s="3002"/>
      <c r="Q230" s="3002"/>
      <c r="R230" s="3002"/>
      <c r="S230" s="3002"/>
      <c r="T230" s="3002"/>
      <c r="U230" s="3002"/>
      <c r="V230" s="3002"/>
      <c r="W230" s="3002"/>
      <c r="X230" s="3002"/>
      <c r="Y230" s="3002"/>
      <c r="Z230" s="3011">
        <f>+TRUNC(+SUM(G230:Y231),2)</f>
        <v>0</v>
      </c>
      <c r="AA230" s="579">
        <f>SUM(G230:Z230)</f>
        <v>0</v>
      </c>
      <c r="AD230" s="1906"/>
      <c r="AE230" s="1906"/>
    </row>
    <row r="231" spans="1:31" ht="49.5" hidden="1" x14ac:dyDescent="0.15">
      <c r="A231" s="3045"/>
      <c r="B231" s="3032"/>
      <c r="C231" s="1900" t="s">
        <v>2290</v>
      </c>
      <c r="D231" s="1951"/>
      <c r="E231" s="1904" t="s">
        <v>1067</v>
      </c>
      <c r="F231" s="1935"/>
      <c r="G231" s="3003"/>
      <c r="H231" s="3003"/>
      <c r="I231" s="3003"/>
      <c r="J231" s="3003"/>
      <c r="K231" s="3003"/>
      <c r="L231" s="3003"/>
      <c r="M231" s="3003"/>
      <c r="N231" s="3003"/>
      <c r="O231" s="3003"/>
      <c r="P231" s="3003"/>
      <c r="Q231" s="3003"/>
      <c r="R231" s="3003"/>
      <c r="S231" s="3003"/>
      <c r="T231" s="3003"/>
      <c r="U231" s="3003"/>
      <c r="V231" s="3003"/>
      <c r="W231" s="3003"/>
      <c r="X231" s="3003"/>
      <c r="Y231" s="3003"/>
      <c r="Z231" s="3012"/>
      <c r="AA231" s="580">
        <f>+AA230</f>
        <v>0</v>
      </c>
      <c r="AD231" s="1906"/>
      <c r="AE231" s="1906"/>
    </row>
    <row r="232" spans="1:31" ht="18.75" hidden="1" x14ac:dyDescent="0.15">
      <c r="A232" s="3045"/>
      <c r="B232" s="3032"/>
      <c r="C232" s="1937" t="s">
        <v>339</v>
      </c>
      <c r="D232" s="1949">
        <v>0.36</v>
      </c>
      <c r="E232" s="1901" t="s">
        <v>1067</v>
      </c>
      <c r="F232" s="1911"/>
      <c r="G232" s="3002"/>
      <c r="H232" s="3002"/>
      <c r="I232" s="3002"/>
      <c r="J232" s="3002"/>
      <c r="K232" s="3002"/>
      <c r="L232" s="3002"/>
      <c r="M232" s="3002"/>
      <c r="N232" s="3002"/>
      <c r="O232" s="3002"/>
      <c r="P232" s="3002"/>
      <c r="Q232" s="3002"/>
      <c r="R232" s="3002"/>
      <c r="S232" s="3002"/>
      <c r="T232" s="3002"/>
      <c r="U232" s="3002"/>
      <c r="V232" s="3002"/>
      <c r="W232" s="3002"/>
      <c r="X232" s="3002"/>
      <c r="Y232" s="3002"/>
      <c r="Z232" s="3011">
        <f>+TRUNC(+SUM(G232:Y233),2)</f>
        <v>0</v>
      </c>
      <c r="AA232" s="579">
        <f>SUM(G232:Z232)</f>
        <v>0</v>
      </c>
      <c r="AD232" s="1906"/>
      <c r="AE232" s="1906"/>
    </row>
    <row r="233" spans="1:31" ht="49.5" hidden="1" x14ac:dyDescent="0.15">
      <c r="A233" s="3045"/>
      <c r="B233" s="3032"/>
      <c r="C233" s="1900" t="s">
        <v>2289</v>
      </c>
      <c r="D233" s="1951"/>
      <c r="E233" s="1904" t="s">
        <v>1067</v>
      </c>
      <c r="F233" s="1935"/>
      <c r="G233" s="3003"/>
      <c r="H233" s="3003"/>
      <c r="I233" s="3003"/>
      <c r="J233" s="3003"/>
      <c r="K233" s="3003"/>
      <c r="L233" s="3003"/>
      <c r="M233" s="3003"/>
      <c r="N233" s="3003"/>
      <c r="O233" s="3003"/>
      <c r="P233" s="3003"/>
      <c r="Q233" s="3003"/>
      <c r="R233" s="3003"/>
      <c r="S233" s="3003"/>
      <c r="T233" s="3003"/>
      <c r="U233" s="3003"/>
      <c r="V233" s="3003"/>
      <c r="W233" s="3003"/>
      <c r="X233" s="3003"/>
      <c r="Y233" s="3003"/>
      <c r="Z233" s="3012"/>
      <c r="AA233" s="580">
        <f>+AA232</f>
        <v>0</v>
      </c>
      <c r="AD233" s="1906"/>
      <c r="AE233" s="1906"/>
    </row>
    <row r="234" spans="1:31" ht="18.75" hidden="1" x14ac:dyDescent="0.15">
      <c r="A234" s="3045"/>
      <c r="B234" s="3032"/>
      <c r="C234" s="1937" t="s">
        <v>339</v>
      </c>
      <c r="D234" s="1949">
        <v>0.36</v>
      </c>
      <c r="E234" s="1901" t="s">
        <v>1067</v>
      </c>
      <c r="F234" s="1911"/>
      <c r="G234" s="3002"/>
      <c r="H234" s="3002"/>
      <c r="I234" s="3002"/>
      <c r="J234" s="3002"/>
      <c r="K234" s="3002"/>
      <c r="L234" s="3002"/>
      <c r="M234" s="3002"/>
      <c r="N234" s="3002"/>
      <c r="O234" s="3002"/>
      <c r="P234" s="3002"/>
      <c r="Q234" s="3002"/>
      <c r="R234" s="3002"/>
      <c r="S234" s="3002"/>
      <c r="T234" s="3002"/>
      <c r="U234" s="3002"/>
      <c r="V234" s="3002"/>
      <c r="W234" s="3002"/>
      <c r="X234" s="3002"/>
      <c r="Y234" s="3002"/>
      <c r="Z234" s="3011">
        <f>+TRUNC(+SUM(G234:Y235),2)</f>
        <v>0</v>
      </c>
      <c r="AA234" s="579">
        <f>SUM(G234:Z234)</f>
        <v>0</v>
      </c>
      <c r="AD234" s="1906"/>
      <c r="AE234" s="1906"/>
    </row>
    <row r="235" spans="1:31" ht="49.5" hidden="1" x14ac:dyDescent="0.15">
      <c r="A235" s="3045"/>
      <c r="B235" s="3032"/>
      <c r="C235" s="1900" t="s">
        <v>2288</v>
      </c>
      <c r="D235" s="1951"/>
      <c r="E235" s="1904" t="s">
        <v>1067</v>
      </c>
      <c r="F235" s="1935"/>
      <c r="G235" s="3003"/>
      <c r="H235" s="3003"/>
      <c r="I235" s="3003"/>
      <c r="J235" s="3003"/>
      <c r="K235" s="3003"/>
      <c r="L235" s="3003"/>
      <c r="M235" s="3003"/>
      <c r="N235" s="3003"/>
      <c r="O235" s="3003"/>
      <c r="P235" s="3003"/>
      <c r="Q235" s="3003"/>
      <c r="R235" s="3003"/>
      <c r="S235" s="3003"/>
      <c r="T235" s="3003"/>
      <c r="U235" s="3003"/>
      <c r="V235" s="3003"/>
      <c r="W235" s="3003"/>
      <c r="X235" s="3003"/>
      <c r="Y235" s="3003"/>
      <c r="Z235" s="3012"/>
      <c r="AA235" s="580">
        <f>+AA234</f>
        <v>0</v>
      </c>
      <c r="AD235" s="1906"/>
      <c r="AE235" s="1906"/>
    </row>
    <row r="236" spans="1:31" ht="18.75" hidden="1" x14ac:dyDescent="0.15">
      <c r="A236" s="3045"/>
      <c r="B236" s="3032"/>
      <c r="C236" s="1937" t="s">
        <v>339</v>
      </c>
      <c r="D236" s="1949">
        <v>0.28399999999999997</v>
      </c>
      <c r="E236" s="1901" t="s">
        <v>1067</v>
      </c>
      <c r="F236" s="1911"/>
      <c r="G236" s="3002"/>
      <c r="H236" s="3002"/>
      <c r="I236" s="3002"/>
      <c r="J236" s="3002"/>
      <c r="K236" s="3002"/>
      <c r="L236" s="3002"/>
      <c r="M236" s="3002"/>
      <c r="N236" s="3002"/>
      <c r="O236" s="3002"/>
      <c r="P236" s="3002"/>
      <c r="Q236" s="3002"/>
      <c r="R236" s="3002"/>
      <c r="S236" s="3002"/>
      <c r="T236" s="3002"/>
      <c r="U236" s="3002"/>
      <c r="V236" s="3002"/>
      <c r="W236" s="3002"/>
      <c r="X236" s="3002"/>
      <c r="Y236" s="3002"/>
      <c r="Z236" s="3011">
        <f>+TRUNC(+SUM(G236:Y237),2)</f>
        <v>0</v>
      </c>
      <c r="AA236" s="579">
        <f>SUM(G236:Z236)</f>
        <v>0</v>
      </c>
      <c r="AD236" s="1906"/>
      <c r="AE236" s="1906"/>
    </row>
    <row r="237" spans="1:31" ht="49.5" hidden="1" x14ac:dyDescent="0.15">
      <c r="A237" s="3045"/>
      <c r="B237" s="3032"/>
      <c r="C237" s="1900" t="s">
        <v>2287</v>
      </c>
      <c r="D237" s="1951"/>
      <c r="E237" s="1904" t="s">
        <v>1067</v>
      </c>
      <c r="F237" s="1950"/>
      <c r="G237" s="3003"/>
      <c r="H237" s="3003"/>
      <c r="I237" s="3003"/>
      <c r="J237" s="3003"/>
      <c r="K237" s="3003"/>
      <c r="L237" s="3003"/>
      <c r="M237" s="3003"/>
      <c r="N237" s="3003"/>
      <c r="O237" s="3003"/>
      <c r="P237" s="3003"/>
      <c r="Q237" s="3003"/>
      <c r="R237" s="3003"/>
      <c r="S237" s="3003"/>
      <c r="T237" s="3003"/>
      <c r="U237" s="3003"/>
      <c r="V237" s="3003"/>
      <c r="W237" s="3003"/>
      <c r="X237" s="3003"/>
      <c r="Y237" s="3003"/>
      <c r="Z237" s="3012"/>
      <c r="AA237" s="580">
        <f>+AA236</f>
        <v>0</v>
      </c>
      <c r="AD237" s="1906"/>
      <c r="AE237" s="1906"/>
    </row>
    <row r="238" spans="1:31" ht="18.75" hidden="1" x14ac:dyDescent="0.15">
      <c r="A238" s="3045"/>
      <c r="B238" s="3032"/>
      <c r="C238" s="1937" t="s">
        <v>339</v>
      </c>
      <c r="D238" s="1949">
        <v>0.36</v>
      </c>
      <c r="E238" s="1901" t="s">
        <v>1067</v>
      </c>
      <c r="F238" s="1911"/>
      <c r="G238" s="3002"/>
      <c r="H238" s="3002"/>
      <c r="I238" s="3002"/>
      <c r="J238" s="3002"/>
      <c r="K238" s="3002"/>
      <c r="L238" s="3002"/>
      <c r="M238" s="3002"/>
      <c r="N238" s="3002"/>
      <c r="O238" s="3002"/>
      <c r="P238" s="3002"/>
      <c r="Q238" s="3002"/>
      <c r="R238" s="3002"/>
      <c r="S238" s="3002"/>
      <c r="T238" s="3002"/>
      <c r="U238" s="3002"/>
      <c r="V238" s="3002"/>
      <c r="W238" s="3002"/>
      <c r="X238" s="3002"/>
      <c r="Y238" s="3002"/>
      <c r="Z238" s="3011">
        <f>+TRUNC(+SUM(G238:Y239),2)</f>
        <v>0</v>
      </c>
      <c r="AA238" s="579">
        <f>SUM(G238:Z238)</f>
        <v>0</v>
      </c>
      <c r="AD238" s="1906"/>
      <c r="AE238" s="1906"/>
    </row>
    <row r="239" spans="1:31" ht="49.5" hidden="1" x14ac:dyDescent="0.15">
      <c r="A239" s="3045"/>
      <c r="B239" s="3032"/>
      <c r="C239" s="1900" t="s">
        <v>2286</v>
      </c>
      <c r="D239" s="1951"/>
      <c r="E239" s="1904" t="s">
        <v>1067</v>
      </c>
      <c r="F239" s="1935"/>
      <c r="G239" s="3003"/>
      <c r="H239" s="3003"/>
      <c r="I239" s="3003"/>
      <c r="J239" s="3003"/>
      <c r="K239" s="3003"/>
      <c r="L239" s="3003"/>
      <c r="M239" s="3003"/>
      <c r="N239" s="3003"/>
      <c r="O239" s="3003"/>
      <c r="P239" s="3003"/>
      <c r="Q239" s="3003"/>
      <c r="R239" s="3003"/>
      <c r="S239" s="3003"/>
      <c r="T239" s="3003"/>
      <c r="U239" s="3003"/>
      <c r="V239" s="3003"/>
      <c r="W239" s="3003"/>
      <c r="X239" s="3003"/>
      <c r="Y239" s="3003"/>
      <c r="Z239" s="3012"/>
      <c r="AA239" s="580">
        <f>+AA238</f>
        <v>0</v>
      </c>
      <c r="AD239" s="1906"/>
      <c r="AE239" s="1906"/>
    </row>
    <row r="240" spans="1:31" ht="18.75" hidden="1" x14ac:dyDescent="0.15">
      <c r="A240" s="3045"/>
      <c r="B240" s="3032"/>
      <c r="C240" s="1937" t="s">
        <v>339</v>
      </c>
      <c r="D240" s="1949">
        <v>0.36</v>
      </c>
      <c r="E240" s="1901" t="s">
        <v>1067</v>
      </c>
      <c r="F240" s="1911"/>
      <c r="G240" s="3002"/>
      <c r="H240" s="3002"/>
      <c r="I240" s="3002"/>
      <c r="J240" s="3002"/>
      <c r="K240" s="3002"/>
      <c r="L240" s="3002"/>
      <c r="M240" s="3002"/>
      <c r="N240" s="3002"/>
      <c r="O240" s="3002"/>
      <c r="P240" s="3002"/>
      <c r="Q240" s="3002"/>
      <c r="R240" s="3002"/>
      <c r="S240" s="3002"/>
      <c r="T240" s="3002"/>
      <c r="U240" s="3002"/>
      <c r="V240" s="3002"/>
      <c r="W240" s="3002"/>
      <c r="X240" s="3002"/>
      <c r="Y240" s="3002"/>
      <c r="Z240" s="3011">
        <f>+TRUNC(+SUM(G240:Y241),2)</f>
        <v>0</v>
      </c>
      <c r="AA240" s="579">
        <f>SUM(G240:Z240)</f>
        <v>0</v>
      </c>
      <c r="AD240" s="1906"/>
      <c r="AE240" s="1906"/>
    </row>
    <row r="241" spans="1:31" ht="49.5" hidden="1" x14ac:dyDescent="0.15">
      <c r="A241" s="3045"/>
      <c r="B241" s="3032"/>
      <c r="C241" s="1900" t="s">
        <v>2285</v>
      </c>
      <c r="D241" s="1951"/>
      <c r="E241" s="1904" t="s">
        <v>1067</v>
      </c>
      <c r="F241" s="1935"/>
      <c r="G241" s="3003"/>
      <c r="H241" s="3003"/>
      <c r="I241" s="3003"/>
      <c r="J241" s="3003"/>
      <c r="K241" s="3003"/>
      <c r="L241" s="3003"/>
      <c r="M241" s="3003"/>
      <c r="N241" s="3003"/>
      <c r="O241" s="3003"/>
      <c r="P241" s="3003"/>
      <c r="Q241" s="3003"/>
      <c r="R241" s="3003"/>
      <c r="S241" s="3003"/>
      <c r="T241" s="3003"/>
      <c r="U241" s="3003"/>
      <c r="V241" s="3003"/>
      <c r="W241" s="3003"/>
      <c r="X241" s="3003"/>
      <c r="Y241" s="3003"/>
      <c r="Z241" s="3012"/>
      <c r="AA241" s="580">
        <f>+AA240</f>
        <v>0</v>
      </c>
      <c r="AD241" s="1906"/>
      <c r="AE241" s="1906"/>
    </row>
    <row r="242" spans="1:31" ht="18.75" hidden="1" x14ac:dyDescent="0.15">
      <c r="A242" s="3045"/>
      <c r="B242" s="3032"/>
      <c r="C242" s="1937" t="s">
        <v>339</v>
      </c>
      <c r="D242" s="1949">
        <v>0.36</v>
      </c>
      <c r="E242" s="1901" t="s">
        <v>1067</v>
      </c>
      <c r="F242" s="1911"/>
      <c r="G242" s="3002"/>
      <c r="H242" s="3002"/>
      <c r="I242" s="3002"/>
      <c r="J242" s="3002"/>
      <c r="K242" s="3002"/>
      <c r="L242" s="3002"/>
      <c r="M242" s="3002"/>
      <c r="N242" s="3002"/>
      <c r="O242" s="3002"/>
      <c r="P242" s="3002"/>
      <c r="Q242" s="3002"/>
      <c r="R242" s="3002"/>
      <c r="S242" s="3002"/>
      <c r="T242" s="3002"/>
      <c r="U242" s="3002"/>
      <c r="V242" s="3002"/>
      <c r="W242" s="3002"/>
      <c r="X242" s="3002"/>
      <c r="Y242" s="3002"/>
      <c r="Z242" s="3011">
        <f>+TRUNC(+SUM(G242:Y243),2)</f>
        <v>0</v>
      </c>
      <c r="AA242" s="579">
        <f>SUM(G242:Z242)</f>
        <v>0</v>
      </c>
      <c r="AD242" s="1906"/>
      <c r="AE242" s="1906"/>
    </row>
    <row r="243" spans="1:31" ht="49.5" hidden="1" x14ac:dyDescent="0.15">
      <c r="A243" s="3045"/>
      <c r="B243" s="3032"/>
      <c r="C243" s="1900" t="s">
        <v>2284</v>
      </c>
      <c r="D243" s="1951"/>
      <c r="E243" s="1904" t="s">
        <v>1067</v>
      </c>
      <c r="F243" s="1935"/>
      <c r="G243" s="3003"/>
      <c r="H243" s="3003"/>
      <c r="I243" s="3003"/>
      <c r="J243" s="3003"/>
      <c r="K243" s="3003"/>
      <c r="L243" s="3003"/>
      <c r="M243" s="3003"/>
      <c r="N243" s="3003"/>
      <c r="O243" s="3003"/>
      <c r="P243" s="3003"/>
      <c r="Q243" s="3003"/>
      <c r="R243" s="3003"/>
      <c r="S243" s="3003"/>
      <c r="T243" s="3003"/>
      <c r="U243" s="3003"/>
      <c r="V243" s="3003"/>
      <c r="W243" s="3003"/>
      <c r="X243" s="3003"/>
      <c r="Y243" s="3003"/>
      <c r="Z243" s="3012"/>
      <c r="AA243" s="580">
        <f>+AA242</f>
        <v>0</v>
      </c>
      <c r="AD243" s="1906"/>
      <c r="AE243" s="1906"/>
    </row>
    <row r="244" spans="1:31" ht="18.75" hidden="1" x14ac:dyDescent="0.15">
      <c r="A244" s="3045"/>
      <c r="B244" s="3032"/>
      <c r="C244" s="1937" t="s">
        <v>339</v>
      </c>
      <c r="D244" s="1949">
        <v>0.36</v>
      </c>
      <c r="E244" s="1901" t="s">
        <v>1067</v>
      </c>
      <c r="F244" s="1911"/>
      <c r="G244" s="3002"/>
      <c r="H244" s="3002"/>
      <c r="I244" s="3002"/>
      <c r="J244" s="3002"/>
      <c r="K244" s="3002"/>
      <c r="L244" s="3002"/>
      <c r="M244" s="3002"/>
      <c r="N244" s="3002"/>
      <c r="O244" s="3002"/>
      <c r="P244" s="3002"/>
      <c r="Q244" s="3002"/>
      <c r="R244" s="3002"/>
      <c r="S244" s="3002"/>
      <c r="T244" s="3002"/>
      <c r="U244" s="3002"/>
      <c r="V244" s="3002"/>
      <c r="W244" s="3002"/>
      <c r="X244" s="3002"/>
      <c r="Y244" s="3002"/>
      <c r="Z244" s="3011">
        <f>+TRUNC(+SUM(G244:Y245),2)</f>
        <v>0</v>
      </c>
      <c r="AA244" s="579">
        <f>SUM(G244:Z244)</f>
        <v>0</v>
      </c>
      <c r="AD244" s="1906"/>
      <c r="AE244" s="1906"/>
    </row>
    <row r="245" spans="1:31" ht="49.5" hidden="1" x14ac:dyDescent="0.15">
      <c r="A245" s="3045"/>
      <c r="B245" s="3032"/>
      <c r="C245" s="1900" t="s">
        <v>2283</v>
      </c>
      <c r="D245" s="1951"/>
      <c r="E245" s="1904" t="s">
        <v>1067</v>
      </c>
      <c r="F245" s="1935"/>
      <c r="G245" s="3003"/>
      <c r="H245" s="3003"/>
      <c r="I245" s="3003"/>
      <c r="J245" s="3003"/>
      <c r="K245" s="3003"/>
      <c r="L245" s="3003"/>
      <c r="M245" s="3003"/>
      <c r="N245" s="3003"/>
      <c r="O245" s="3003"/>
      <c r="P245" s="3003"/>
      <c r="Q245" s="3003"/>
      <c r="R245" s="3003"/>
      <c r="S245" s="3003"/>
      <c r="T245" s="3003"/>
      <c r="U245" s="3003"/>
      <c r="V245" s="3003"/>
      <c r="W245" s="3003"/>
      <c r="X245" s="3003"/>
      <c r="Y245" s="3003"/>
      <c r="Z245" s="3012"/>
      <c r="AA245" s="580">
        <f>+AA244</f>
        <v>0</v>
      </c>
      <c r="AD245" s="1906"/>
      <c r="AE245" s="1906"/>
    </row>
    <row r="246" spans="1:31" ht="18.75" hidden="1" x14ac:dyDescent="0.15">
      <c r="A246" s="3045"/>
      <c r="B246" s="3032"/>
      <c r="C246" s="1937" t="s">
        <v>339</v>
      </c>
      <c r="D246" s="1949">
        <v>0.36</v>
      </c>
      <c r="E246" s="1901" t="s">
        <v>1067</v>
      </c>
      <c r="F246" s="1911"/>
      <c r="G246" s="3002"/>
      <c r="H246" s="3002"/>
      <c r="I246" s="3002"/>
      <c r="J246" s="3002"/>
      <c r="K246" s="3002"/>
      <c r="L246" s="3002"/>
      <c r="M246" s="3002"/>
      <c r="N246" s="3002"/>
      <c r="O246" s="3002"/>
      <c r="P246" s="3002"/>
      <c r="Q246" s="3002"/>
      <c r="R246" s="3002"/>
      <c r="S246" s="3002"/>
      <c r="T246" s="3002"/>
      <c r="U246" s="3002"/>
      <c r="V246" s="3002"/>
      <c r="W246" s="3002"/>
      <c r="X246" s="3002"/>
      <c r="Y246" s="3002"/>
      <c r="Z246" s="3011">
        <f>+TRUNC(+SUM(G246:Y247),2)</f>
        <v>0</v>
      </c>
      <c r="AA246" s="579">
        <f>SUM(G246:Z246)</f>
        <v>0</v>
      </c>
      <c r="AD246" s="1906"/>
      <c r="AE246" s="1906"/>
    </row>
    <row r="247" spans="1:31" ht="49.5" hidden="1" x14ac:dyDescent="0.15">
      <c r="A247" s="3045"/>
      <c r="B247" s="3032"/>
      <c r="C247" s="1900" t="s">
        <v>2282</v>
      </c>
      <c r="D247" s="1951"/>
      <c r="E247" s="1904" t="s">
        <v>1067</v>
      </c>
      <c r="F247" s="1935"/>
      <c r="G247" s="3003"/>
      <c r="H247" s="3003"/>
      <c r="I247" s="3003"/>
      <c r="J247" s="3003"/>
      <c r="K247" s="3003"/>
      <c r="L247" s="3003"/>
      <c r="M247" s="3003"/>
      <c r="N247" s="3003"/>
      <c r="O247" s="3003"/>
      <c r="P247" s="3003"/>
      <c r="Q247" s="3003"/>
      <c r="R247" s="3003"/>
      <c r="S247" s="3003"/>
      <c r="T247" s="3003"/>
      <c r="U247" s="3003"/>
      <c r="V247" s="3003"/>
      <c r="W247" s="3003"/>
      <c r="X247" s="3003"/>
      <c r="Y247" s="3003"/>
      <c r="Z247" s="3012"/>
      <c r="AA247" s="580">
        <f>+AA246</f>
        <v>0</v>
      </c>
      <c r="AD247" s="1906"/>
      <c r="AE247" s="1906"/>
    </row>
    <row r="248" spans="1:31" ht="18.75" hidden="1" x14ac:dyDescent="0.15">
      <c r="A248" s="3045"/>
      <c r="B248" s="3031"/>
      <c r="C248" s="1937" t="s">
        <v>339</v>
      </c>
      <c r="D248" s="1949">
        <v>0.36</v>
      </c>
      <c r="E248" s="1901" t="s">
        <v>1067</v>
      </c>
      <c r="F248" s="1911"/>
      <c r="G248" s="3002"/>
      <c r="H248" s="3002"/>
      <c r="I248" s="3002"/>
      <c r="J248" s="3002"/>
      <c r="K248" s="3002"/>
      <c r="L248" s="3002"/>
      <c r="M248" s="3002"/>
      <c r="N248" s="3002"/>
      <c r="O248" s="3002"/>
      <c r="P248" s="3002"/>
      <c r="Q248" s="3002"/>
      <c r="R248" s="3002"/>
      <c r="S248" s="3002"/>
      <c r="T248" s="3002"/>
      <c r="U248" s="3002"/>
      <c r="V248" s="3002"/>
      <c r="W248" s="3002"/>
      <c r="X248" s="3002"/>
      <c r="Y248" s="3002"/>
      <c r="Z248" s="3011">
        <f>+TRUNC(+SUM(G248:Y249),2)</f>
        <v>0</v>
      </c>
      <c r="AA248" s="579">
        <f>SUM(G248:Z248)</f>
        <v>0</v>
      </c>
      <c r="AD248" s="1906"/>
      <c r="AE248" s="1906"/>
    </row>
    <row r="249" spans="1:31" ht="49.5" hidden="1" x14ac:dyDescent="0.15">
      <c r="A249" s="3045"/>
      <c r="B249" s="3031"/>
      <c r="C249" s="1900" t="s">
        <v>2281</v>
      </c>
      <c r="D249" s="1951"/>
      <c r="E249" s="1904" t="s">
        <v>1067</v>
      </c>
      <c r="F249" s="1935"/>
      <c r="G249" s="3003"/>
      <c r="H249" s="3003"/>
      <c r="I249" s="3003"/>
      <c r="J249" s="3003"/>
      <c r="K249" s="3003"/>
      <c r="L249" s="3003"/>
      <c r="M249" s="3003"/>
      <c r="N249" s="3003"/>
      <c r="O249" s="3003"/>
      <c r="P249" s="3003"/>
      <c r="Q249" s="3003"/>
      <c r="R249" s="3003"/>
      <c r="S249" s="3003"/>
      <c r="T249" s="3003"/>
      <c r="U249" s="3003"/>
      <c r="V249" s="3003"/>
      <c r="W249" s="3003"/>
      <c r="X249" s="3003"/>
      <c r="Y249" s="3003"/>
      <c r="Z249" s="3012"/>
      <c r="AA249" s="580">
        <f>+AA248</f>
        <v>0</v>
      </c>
      <c r="AD249" s="1906"/>
      <c r="AE249" s="1906"/>
    </row>
    <row r="250" spans="1:31" ht="18.75" hidden="1" x14ac:dyDescent="0.15">
      <c r="A250" s="3045"/>
      <c r="B250" s="3032"/>
      <c r="C250" s="1937" t="s">
        <v>339</v>
      </c>
      <c r="D250" s="1949">
        <v>0.36</v>
      </c>
      <c r="E250" s="1901" t="s">
        <v>1067</v>
      </c>
      <c r="F250" s="1911"/>
      <c r="G250" s="3002"/>
      <c r="H250" s="3002"/>
      <c r="I250" s="3002"/>
      <c r="J250" s="3002"/>
      <c r="K250" s="3002"/>
      <c r="L250" s="3002"/>
      <c r="M250" s="3002"/>
      <c r="N250" s="3002"/>
      <c r="O250" s="3002"/>
      <c r="P250" s="3002"/>
      <c r="Q250" s="3002"/>
      <c r="R250" s="3002"/>
      <c r="S250" s="3002"/>
      <c r="T250" s="3002"/>
      <c r="U250" s="3002"/>
      <c r="V250" s="3002"/>
      <c r="W250" s="3002"/>
      <c r="X250" s="3002"/>
      <c r="Y250" s="3002"/>
      <c r="Z250" s="3011">
        <f>+TRUNC(+SUM(G250:Y251),2)</f>
        <v>0</v>
      </c>
      <c r="AA250" s="579">
        <f>SUM(G250:Z250)</f>
        <v>0</v>
      </c>
      <c r="AD250" s="1906"/>
      <c r="AE250" s="1906"/>
    </row>
    <row r="251" spans="1:31" ht="49.5" hidden="1" x14ac:dyDescent="0.15">
      <c r="A251" s="3045"/>
      <c r="B251" s="3032"/>
      <c r="C251" s="1900" t="s">
        <v>2280</v>
      </c>
      <c r="D251" s="1951"/>
      <c r="E251" s="1904" t="s">
        <v>1067</v>
      </c>
      <c r="F251" s="1935"/>
      <c r="G251" s="3003"/>
      <c r="H251" s="3003"/>
      <c r="I251" s="3003"/>
      <c r="J251" s="3003"/>
      <c r="K251" s="3003"/>
      <c r="L251" s="3003"/>
      <c r="M251" s="3003"/>
      <c r="N251" s="3003"/>
      <c r="O251" s="3003"/>
      <c r="P251" s="3003"/>
      <c r="Q251" s="3003"/>
      <c r="R251" s="3003"/>
      <c r="S251" s="3003"/>
      <c r="T251" s="3003"/>
      <c r="U251" s="3003"/>
      <c r="V251" s="3003"/>
      <c r="W251" s="3003"/>
      <c r="X251" s="3003"/>
      <c r="Y251" s="3003"/>
      <c r="Z251" s="3012"/>
      <c r="AA251" s="580">
        <f>+AA250</f>
        <v>0</v>
      </c>
      <c r="AD251" s="1906"/>
      <c r="AE251" s="1906"/>
    </row>
    <row r="252" spans="1:31" ht="18.75" hidden="1" x14ac:dyDescent="0.15">
      <c r="A252" s="3045"/>
      <c r="B252" s="3032"/>
      <c r="C252" s="1937" t="s">
        <v>339</v>
      </c>
      <c r="D252" s="1949">
        <v>0.36</v>
      </c>
      <c r="E252" s="1901" t="s">
        <v>1067</v>
      </c>
      <c r="F252" s="1911"/>
      <c r="G252" s="3002"/>
      <c r="H252" s="3002"/>
      <c r="I252" s="3002"/>
      <c r="J252" s="3002"/>
      <c r="K252" s="3002"/>
      <c r="L252" s="3002"/>
      <c r="M252" s="3002"/>
      <c r="N252" s="3002"/>
      <c r="O252" s="3002"/>
      <c r="P252" s="3002"/>
      <c r="Q252" s="3002"/>
      <c r="R252" s="3002"/>
      <c r="S252" s="3002"/>
      <c r="T252" s="3002"/>
      <c r="U252" s="3002"/>
      <c r="V252" s="3002"/>
      <c r="W252" s="3002"/>
      <c r="X252" s="3002"/>
      <c r="Y252" s="3002"/>
      <c r="Z252" s="3011">
        <f>+TRUNC(+SUM(G252:Y253),2)</f>
        <v>0</v>
      </c>
      <c r="AA252" s="579">
        <f>SUM(G252:Z252)</f>
        <v>0</v>
      </c>
      <c r="AD252" s="1906"/>
      <c r="AE252" s="1906"/>
    </row>
    <row r="253" spans="1:31" ht="49.5" hidden="1" x14ac:dyDescent="0.15">
      <c r="A253" s="3045"/>
      <c r="B253" s="3032"/>
      <c r="C253" s="1900" t="s">
        <v>2279</v>
      </c>
      <c r="D253" s="1951"/>
      <c r="E253" s="1904" t="s">
        <v>1067</v>
      </c>
      <c r="F253" s="1935"/>
      <c r="G253" s="3003"/>
      <c r="H253" s="3003"/>
      <c r="I253" s="3003"/>
      <c r="J253" s="3003"/>
      <c r="K253" s="3003"/>
      <c r="L253" s="3003"/>
      <c r="M253" s="3003"/>
      <c r="N253" s="3003"/>
      <c r="O253" s="3003"/>
      <c r="P253" s="3003"/>
      <c r="Q253" s="3003"/>
      <c r="R253" s="3003"/>
      <c r="S253" s="3003"/>
      <c r="T253" s="3003"/>
      <c r="U253" s="3003"/>
      <c r="V253" s="3003"/>
      <c r="W253" s="3003"/>
      <c r="X253" s="3003"/>
      <c r="Y253" s="3003"/>
      <c r="Z253" s="3012"/>
      <c r="AA253" s="580">
        <f>+AA252</f>
        <v>0</v>
      </c>
      <c r="AD253" s="1906"/>
      <c r="AE253" s="1906"/>
    </row>
    <row r="254" spans="1:31" ht="18.75" hidden="1" x14ac:dyDescent="0.15">
      <c r="A254" s="3045"/>
      <c r="B254" s="3032"/>
      <c r="C254" s="1937" t="s">
        <v>339</v>
      </c>
      <c r="D254" s="1949">
        <v>0.36</v>
      </c>
      <c r="E254" s="1901" t="s">
        <v>1067</v>
      </c>
      <c r="F254" s="1911"/>
      <c r="G254" s="3002"/>
      <c r="H254" s="3002"/>
      <c r="I254" s="3002"/>
      <c r="J254" s="3002"/>
      <c r="K254" s="3002"/>
      <c r="L254" s="3002"/>
      <c r="M254" s="3002"/>
      <c r="N254" s="3002"/>
      <c r="O254" s="3002"/>
      <c r="P254" s="3002"/>
      <c r="Q254" s="3002"/>
      <c r="R254" s="3002"/>
      <c r="S254" s="3002"/>
      <c r="T254" s="3002"/>
      <c r="U254" s="3002"/>
      <c r="V254" s="3002"/>
      <c r="W254" s="3002"/>
      <c r="X254" s="3002"/>
      <c r="Y254" s="3002"/>
      <c r="Z254" s="3011">
        <f>+TRUNC(+SUM(G254:Y255),2)</f>
        <v>0</v>
      </c>
      <c r="AA254" s="579">
        <f>SUM(G254:Z254)</f>
        <v>0</v>
      </c>
      <c r="AD254" s="1906"/>
      <c r="AE254" s="1906"/>
    </row>
    <row r="255" spans="1:31" ht="49.5" hidden="1" x14ac:dyDescent="0.15">
      <c r="A255" s="3045"/>
      <c r="B255" s="3032"/>
      <c r="C255" s="1900" t="s">
        <v>2278</v>
      </c>
      <c r="D255" s="1951"/>
      <c r="E255" s="1904" t="s">
        <v>1067</v>
      </c>
      <c r="F255" s="1935"/>
      <c r="G255" s="3003"/>
      <c r="H255" s="3003"/>
      <c r="I255" s="3003"/>
      <c r="J255" s="3003"/>
      <c r="K255" s="3003"/>
      <c r="L255" s="3003"/>
      <c r="M255" s="3003"/>
      <c r="N255" s="3003"/>
      <c r="O255" s="3003"/>
      <c r="P255" s="3003"/>
      <c r="Q255" s="3003"/>
      <c r="R255" s="3003"/>
      <c r="S255" s="3003"/>
      <c r="T255" s="3003"/>
      <c r="U255" s="3003"/>
      <c r="V255" s="3003"/>
      <c r="W255" s="3003"/>
      <c r="X255" s="3003"/>
      <c r="Y255" s="3003"/>
      <c r="Z255" s="3012"/>
      <c r="AA255" s="580">
        <f>+AA254</f>
        <v>0</v>
      </c>
      <c r="AD255" s="1906"/>
      <c r="AE255" s="1906"/>
    </row>
    <row r="256" spans="1:31" ht="18.75" x14ac:dyDescent="0.15">
      <c r="A256" s="3045"/>
      <c r="B256" s="3032"/>
      <c r="C256" s="1937" t="s">
        <v>339</v>
      </c>
      <c r="D256" s="1949">
        <v>0.15</v>
      </c>
      <c r="E256" s="1901" t="s">
        <v>1067</v>
      </c>
      <c r="F256" s="1911"/>
      <c r="G256" s="3002">
        <v>1</v>
      </c>
      <c r="H256" s="3002">
        <v>1</v>
      </c>
      <c r="I256" s="3002"/>
      <c r="J256" s="3002"/>
      <c r="K256" s="3002"/>
      <c r="L256" s="3002"/>
      <c r="M256" s="3002"/>
      <c r="N256" s="3002"/>
      <c r="O256" s="3002"/>
      <c r="P256" s="3002"/>
      <c r="Q256" s="3002"/>
      <c r="R256" s="3002"/>
      <c r="S256" s="3002"/>
      <c r="T256" s="3002"/>
      <c r="U256" s="3002"/>
      <c r="V256" s="3002"/>
      <c r="W256" s="3002">
        <v>1</v>
      </c>
      <c r="X256" s="3002"/>
      <c r="Y256" s="3002"/>
      <c r="Z256" s="3011">
        <f>+TRUNC(+SUM(G256:Y257),2)</f>
        <v>3</v>
      </c>
      <c r="AA256" s="579">
        <f>SUM(G256:Z256)</f>
        <v>6</v>
      </c>
      <c r="AD256" s="1906"/>
      <c r="AE256" s="1906"/>
    </row>
    <row r="257" spans="1:31" ht="49.5" x14ac:dyDescent="0.15">
      <c r="A257" s="3045"/>
      <c r="B257" s="3032"/>
      <c r="C257" s="1900" t="s">
        <v>2277</v>
      </c>
      <c r="D257" s="1951"/>
      <c r="E257" s="1904" t="s">
        <v>1067</v>
      </c>
      <c r="F257" s="1950"/>
      <c r="G257" s="3003"/>
      <c r="H257" s="3003"/>
      <c r="I257" s="3003"/>
      <c r="J257" s="3003"/>
      <c r="K257" s="3003"/>
      <c r="L257" s="3003"/>
      <c r="M257" s="3003"/>
      <c r="N257" s="3003"/>
      <c r="O257" s="3003"/>
      <c r="P257" s="3003"/>
      <c r="Q257" s="3003"/>
      <c r="R257" s="3003"/>
      <c r="S257" s="3003"/>
      <c r="T257" s="3003"/>
      <c r="U257" s="3003"/>
      <c r="V257" s="3003"/>
      <c r="W257" s="3003"/>
      <c r="X257" s="3003"/>
      <c r="Y257" s="3003"/>
      <c r="Z257" s="3012"/>
      <c r="AA257" s="580">
        <f>+AA256</f>
        <v>6</v>
      </c>
      <c r="AD257" s="1906"/>
      <c r="AE257" s="1906"/>
    </row>
    <row r="258" spans="1:31" ht="18.75" hidden="1" x14ac:dyDescent="0.15">
      <c r="A258" s="3045"/>
      <c r="B258" s="3032"/>
      <c r="C258" s="1937" t="s">
        <v>339</v>
      </c>
      <c r="D258" s="1949">
        <v>0.3</v>
      </c>
      <c r="E258" s="1901" t="s">
        <v>1067</v>
      </c>
      <c r="F258" s="1911"/>
      <c r="G258" s="3002"/>
      <c r="H258" s="3002"/>
      <c r="I258" s="3002"/>
      <c r="J258" s="3002"/>
      <c r="K258" s="3002"/>
      <c r="L258" s="3002"/>
      <c r="M258" s="3002"/>
      <c r="N258" s="3002"/>
      <c r="O258" s="3002"/>
      <c r="P258" s="3002"/>
      <c r="Q258" s="3002"/>
      <c r="R258" s="3002"/>
      <c r="S258" s="3002"/>
      <c r="T258" s="3002"/>
      <c r="U258" s="3002"/>
      <c r="V258" s="3002"/>
      <c r="W258" s="3002"/>
      <c r="X258" s="3002"/>
      <c r="Y258" s="3002"/>
      <c r="Z258" s="3011">
        <f>+TRUNC(+SUM(G258:Y259),2)</f>
        <v>0</v>
      </c>
      <c r="AA258" s="579">
        <f>SUM(G258:Z258)</f>
        <v>0</v>
      </c>
      <c r="AD258" s="1906"/>
      <c r="AE258" s="1906"/>
    </row>
    <row r="259" spans="1:31" ht="49.5" hidden="1" x14ac:dyDescent="0.15">
      <c r="A259" s="3045"/>
      <c r="B259" s="3032"/>
      <c r="C259" s="1900" t="s">
        <v>2276</v>
      </c>
      <c r="D259" s="1951"/>
      <c r="E259" s="1904" t="s">
        <v>1067</v>
      </c>
      <c r="F259" s="1950"/>
      <c r="G259" s="3003"/>
      <c r="H259" s="3003"/>
      <c r="I259" s="3003"/>
      <c r="J259" s="3003"/>
      <c r="K259" s="3003"/>
      <c r="L259" s="3003"/>
      <c r="M259" s="3003"/>
      <c r="N259" s="3003"/>
      <c r="O259" s="3003"/>
      <c r="P259" s="3003"/>
      <c r="Q259" s="3003"/>
      <c r="R259" s="3003"/>
      <c r="S259" s="3003"/>
      <c r="T259" s="3003"/>
      <c r="U259" s="3003"/>
      <c r="V259" s="3003"/>
      <c r="W259" s="3003"/>
      <c r="X259" s="3003"/>
      <c r="Y259" s="3003"/>
      <c r="Z259" s="3012"/>
      <c r="AA259" s="580">
        <f>+AA258</f>
        <v>0</v>
      </c>
      <c r="AD259" s="1906"/>
      <c r="AE259" s="1906"/>
    </row>
    <row r="260" spans="1:31" ht="18.75" hidden="1" x14ac:dyDescent="0.15">
      <c r="A260" s="3045"/>
      <c r="B260" s="3032"/>
      <c r="C260" s="1937" t="s">
        <v>339</v>
      </c>
      <c r="D260" s="1949">
        <v>0.12</v>
      </c>
      <c r="E260" s="1901" t="s">
        <v>1067</v>
      </c>
      <c r="F260" s="1911"/>
      <c r="G260" s="3002"/>
      <c r="H260" s="3002"/>
      <c r="I260" s="3002"/>
      <c r="J260" s="3002"/>
      <c r="K260" s="3002"/>
      <c r="L260" s="3002"/>
      <c r="M260" s="3002"/>
      <c r="N260" s="3002"/>
      <c r="O260" s="3002"/>
      <c r="P260" s="3002"/>
      <c r="Q260" s="3002"/>
      <c r="R260" s="3002"/>
      <c r="S260" s="3002"/>
      <c r="T260" s="3002"/>
      <c r="U260" s="3002"/>
      <c r="V260" s="3002"/>
      <c r="W260" s="3002"/>
      <c r="X260" s="3002"/>
      <c r="Y260" s="3002"/>
      <c r="Z260" s="3011">
        <f>+TRUNC(+SUM(G260:Y261),2)</f>
        <v>0</v>
      </c>
      <c r="AA260" s="579">
        <f>SUM(G260:Z260)</f>
        <v>0</v>
      </c>
      <c r="AC260" s="1906"/>
      <c r="AD260" s="1906"/>
      <c r="AE260" s="1906"/>
    </row>
    <row r="261" spans="1:31" ht="49.5" hidden="1" x14ac:dyDescent="0.15">
      <c r="A261" s="3045"/>
      <c r="B261" s="3032"/>
      <c r="C261" s="1936" t="s">
        <v>1009</v>
      </c>
      <c r="D261" s="1951"/>
      <c r="E261" s="1904" t="s">
        <v>1067</v>
      </c>
      <c r="F261" s="1950"/>
      <c r="G261" s="3003"/>
      <c r="H261" s="3003"/>
      <c r="I261" s="3003"/>
      <c r="J261" s="3003"/>
      <c r="K261" s="3003"/>
      <c r="L261" s="3003"/>
      <c r="M261" s="3003"/>
      <c r="N261" s="3003"/>
      <c r="O261" s="3003"/>
      <c r="P261" s="3003"/>
      <c r="Q261" s="3003"/>
      <c r="R261" s="3003"/>
      <c r="S261" s="3003"/>
      <c r="T261" s="3003"/>
      <c r="U261" s="3003"/>
      <c r="V261" s="3003"/>
      <c r="W261" s="3003"/>
      <c r="X261" s="3003"/>
      <c r="Y261" s="3003"/>
      <c r="Z261" s="3012"/>
      <c r="AA261" s="580">
        <f>+AA260</f>
        <v>0</v>
      </c>
      <c r="AC261" s="1906"/>
      <c r="AD261" s="1906"/>
      <c r="AE261" s="1906"/>
    </row>
    <row r="262" spans="1:31" ht="18.75" hidden="1" x14ac:dyDescent="0.15">
      <c r="A262" s="3045"/>
      <c r="B262" s="3032"/>
      <c r="C262" s="1937" t="s">
        <v>339</v>
      </c>
      <c r="D262" s="1949">
        <v>0.12</v>
      </c>
      <c r="E262" s="1901" t="s">
        <v>1067</v>
      </c>
      <c r="F262" s="1911"/>
      <c r="G262" s="3002"/>
      <c r="H262" s="3002"/>
      <c r="I262" s="3002"/>
      <c r="J262" s="3002"/>
      <c r="K262" s="3002"/>
      <c r="L262" s="3002"/>
      <c r="M262" s="3002"/>
      <c r="N262" s="3002"/>
      <c r="O262" s="3002"/>
      <c r="P262" s="3002"/>
      <c r="Q262" s="3002"/>
      <c r="R262" s="3002"/>
      <c r="S262" s="3002"/>
      <c r="T262" s="3002"/>
      <c r="U262" s="3002"/>
      <c r="V262" s="3002"/>
      <c r="W262" s="3002"/>
      <c r="X262" s="3002"/>
      <c r="Y262" s="3002"/>
      <c r="Z262" s="3011">
        <f>+TRUNC(+SUM(G262:Y263),2)</f>
        <v>0</v>
      </c>
      <c r="AA262" s="579">
        <f>SUM(G262:Z262)</f>
        <v>0</v>
      </c>
      <c r="AC262" s="1906"/>
      <c r="AD262" s="1906"/>
      <c r="AE262" s="1906"/>
    </row>
    <row r="263" spans="1:31" ht="49.5" hidden="1" x14ac:dyDescent="0.15">
      <c r="A263" s="3045"/>
      <c r="B263" s="3032"/>
      <c r="C263" s="1936" t="s">
        <v>1060</v>
      </c>
      <c r="D263" s="1951"/>
      <c r="E263" s="1904" t="s">
        <v>1067</v>
      </c>
      <c r="F263" s="1950"/>
      <c r="G263" s="3003"/>
      <c r="H263" s="3003"/>
      <c r="I263" s="3003"/>
      <c r="J263" s="3003"/>
      <c r="K263" s="3003"/>
      <c r="L263" s="3003"/>
      <c r="M263" s="3003"/>
      <c r="N263" s="3003"/>
      <c r="O263" s="3003"/>
      <c r="P263" s="3003"/>
      <c r="Q263" s="3003"/>
      <c r="R263" s="3003"/>
      <c r="S263" s="3003"/>
      <c r="T263" s="3003"/>
      <c r="U263" s="3003"/>
      <c r="V263" s="3003"/>
      <c r="W263" s="3003"/>
      <c r="X263" s="3003"/>
      <c r="Y263" s="3003"/>
      <c r="Z263" s="3012"/>
      <c r="AA263" s="580">
        <f>+AA262</f>
        <v>0</v>
      </c>
      <c r="AC263" s="1906"/>
      <c r="AD263" s="1906"/>
      <c r="AE263" s="1906"/>
    </row>
    <row r="264" spans="1:31" ht="18.75" hidden="1" x14ac:dyDescent="0.15">
      <c r="A264" s="3045"/>
      <c r="B264" s="3032"/>
      <c r="C264" s="1937" t="s">
        <v>339</v>
      </c>
      <c r="D264" s="1949">
        <v>0.96</v>
      </c>
      <c r="E264" s="1901" t="s">
        <v>1067</v>
      </c>
      <c r="F264" s="1911"/>
      <c r="G264" s="3002"/>
      <c r="H264" s="3002"/>
      <c r="I264" s="3002"/>
      <c r="J264" s="3002"/>
      <c r="K264" s="3002"/>
      <c r="L264" s="3002"/>
      <c r="M264" s="3002"/>
      <c r="N264" s="3002"/>
      <c r="O264" s="3002"/>
      <c r="P264" s="3002"/>
      <c r="Q264" s="3002"/>
      <c r="R264" s="3002"/>
      <c r="S264" s="3002"/>
      <c r="T264" s="3002"/>
      <c r="U264" s="3002"/>
      <c r="V264" s="3002"/>
      <c r="W264" s="3002"/>
      <c r="X264" s="3002"/>
      <c r="Y264" s="3002"/>
      <c r="Z264" s="3011">
        <f>+TRUNC(+SUM(G264:Y265),2)</f>
        <v>0</v>
      </c>
      <c r="AA264" s="579">
        <f>SUM(G264:Z264)</f>
        <v>0</v>
      </c>
      <c r="AC264" s="1906"/>
      <c r="AD264" s="1906"/>
      <c r="AE264" s="1906"/>
    </row>
    <row r="265" spans="1:31" ht="49.5" hidden="1" x14ac:dyDescent="0.15">
      <c r="A265" s="3045"/>
      <c r="B265" s="3032"/>
      <c r="C265" s="1936" t="s">
        <v>2709</v>
      </c>
      <c r="D265" s="1951"/>
      <c r="E265" s="1904" t="s">
        <v>1067</v>
      </c>
      <c r="F265" s="1950"/>
      <c r="G265" s="3003"/>
      <c r="H265" s="3003"/>
      <c r="I265" s="3003"/>
      <c r="J265" s="3003"/>
      <c r="K265" s="3003"/>
      <c r="L265" s="3003"/>
      <c r="M265" s="3003"/>
      <c r="N265" s="3003"/>
      <c r="O265" s="3003"/>
      <c r="P265" s="3003"/>
      <c r="Q265" s="3003"/>
      <c r="R265" s="3003"/>
      <c r="S265" s="3003"/>
      <c r="T265" s="3003"/>
      <c r="U265" s="3003"/>
      <c r="V265" s="3003"/>
      <c r="W265" s="3003"/>
      <c r="X265" s="3003"/>
      <c r="Y265" s="3003"/>
      <c r="Z265" s="3012"/>
      <c r="AA265" s="580">
        <f>+AA264</f>
        <v>0</v>
      </c>
      <c r="AC265" s="1906"/>
      <c r="AD265" s="1906"/>
      <c r="AE265" s="1906"/>
    </row>
    <row r="266" spans="1:31" ht="18.75" hidden="1" x14ac:dyDescent="0.15">
      <c r="A266" s="3045"/>
      <c r="B266" s="3032"/>
      <c r="C266" s="1937" t="s">
        <v>339</v>
      </c>
      <c r="D266" s="1949">
        <v>2</v>
      </c>
      <c r="E266" s="1901" t="s">
        <v>1067</v>
      </c>
      <c r="F266" s="1911"/>
      <c r="G266" s="3002"/>
      <c r="H266" s="3002"/>
      <c r="I266" s="3002"/>
      <c r="J266" s="3002"/>
      <c r="K266" s="3002"/>
      <c r="L266" s="3002"/>
      <c r="M266" s="3002"/>
      <c r="N266" s="3002"/>
      <c r="O266" s="3002"/>
      <c r="P266" s="3002"/>
      <c r="Q266" s="3002"/>
      <c r="R266" s="3002"/>
      <c r="S266" s="3002"/>
      <c r="T266" s="3002"/>
      <c r="U266" s="3002"/>
      <c r="V266" s="3002"/>
      <c r="W266" s="3002"/>
      <c r="X266" s="3002"/>
      <c r="Y266" s="3002"/>
      <c r="Z266" s="3011">
        <f>+TRUNC(+SUM(G266:Y267),2)</f>
        <v>0</v>
      </c>
      <c r="AA266" s="579">
        <f>SUM(G266:Z266)</f>
        <v>0</v>
      </c>
      <c r="AC266" s="1906"/>
      <c r="AD266" s="1906"/>
      <c r="AE266" s="1906"/>
    </row>
    <row r="267" spans="1:31" ht="49.5" hidden="1" x14ac:dyDescent="0.15">
      <c r="A267" s="3045"/>
      <c r="B267" s="3032"/>
      <c r="C267" s="1936" t="s">
        <v>2704</v>
      </c>
      <c r="D267" s="1951"/>
      <c r="E267" s="1904" t="s">
        <v>1067</v>
      </c>
      <c r="F267" s="1950"/>
      <c r="G267" s="3003"/>
      <c r="H267" s="3003"/>
      <c r="I267" s="3003"/>
      <c r="J267" s="3003"/>
      <c r="K267" s="3003"/>
      <c r="L267" s="3003"/>
      <c r="M267" s="3003"/>
      <c r="N267" s="3003"/>
      <c r="O267" s="3003"/>
      <c r="P267" s="3003"/>
      <c r="Q267" s="3003"/>
      <c r="R267" s="3003"/>
      <c r="S267" s="3003"/>
      <c r="T267" s="3003"/>
      <c r="U267" s="3003"/>
      <c r="V267" s="3003"/>
      <c r="W267" s="3003"/>
      <c r="X267" s="3003"/>
      <c r="Y267" s="3003"/>
      <c r="Z267" s="3012"/>
      <c r="AA267" s="580">
        <f>+AA266</f>
        <v>0</v>
      </c>
      <c r="AC267" s="1906"/>
      <c r="AD267" s="1906"/>
      <c r="AE267" s="1906"/>
    </row>
    <row r="268" spans="1:31" ht="18.75" hidden="1" x14ac:dyDescent="0.15">
      <c r="A268" s="3045"/>
      <c r="B268" s="3032"/>
      <c r="C268" s="1937" t="s">
        <v>339</v>
      </c>
      <c r="D268" s="1949">
        <v>2</v>
      </c>
      <c r="E268" s="1901" t="s">
        <v>1067</v>
      </c>
      <c r="F268" s="1911"/>
      <c r="G268" s="3002"/>
      <c r="H268" s="3002"/>
      <c r="I268" s="3002"/>
      <c r="J268" s="3002"/>
      <c r="K268" s="3002"/>
      <c r="L268" s="3002"/>
      <c r="M268" s="3002"/>
      <c r="N268" s="3002"/>
      <c r="O268" s="3002"/>
      <c r="P268" s="3002"/>
      <c r="Q268" s="3002"/>
      <c r="R268" s="3002"/>
      <c r="S268" s="3002"/>
      <c r="T268" s="3002"/>
      <c r="U268" s="3002"/>
      <c r="V268" s="3002"/>
      <c r="W268" s="3002"/>
      <c r="X268" s="3002"/>
      <c r="Y268" s="3002"/>
      <c r="Z268" s="3011">
        <f>+TRUNC(+SUM(G268:Y269),2)</f>
        <v>0</v>
      </c>
      <c r="AA268" s="579">
        <f>SUM(G268:Z268)</f>
        <v>0</v>
      </c>
      <c r="AC268" s="1906"/>
      <c r="AD268" s="1906"/>
      <c r="AE268" s="1906"/>
    </row>
    <row r="269" spans="1:31" ht="49.5" hidden="1" x14ac:dyDescent="0.15">
      <c r="A269" s="3045"/>
      <c r="B269" s="3032"/>
      <c r="C269" s="1936" t="s">
        <v>2705</v>
      </c>
      <c r="D269" s="1951"/>
      <c r="E269" s="1904" t="s">
        <v>1067</v>
      </c>
      <c r="F269" s="1950"/>
      <c r="G269" s="3003"/>
      <c r="H269" s="3003"/>
      <c r="I269" s="3003"/>
      <c r="J269" s="3003"/>
      <c r="K269" s="3003"/>
      <c r="L269" s="3003"/>
      <c r="M269" s="3003"/>
      <c r="N269" s="3003"/>
      <c r="O269" s="3003"/>
      <c r="P269" s="3003"/>
      <c r="Q269" s="3003"/>
      <c r="R269" s="3003"/>
      <c r="S269" s="3003"/>
      <c r="T269" s="3003"/>
      <c r="U269" s="3003"/>
      <c r="V269" s="3003"/>
      <c r="W269" s="3003"/>
      <c r="X269" s="3003"/>
      <c r="Y269" s="3003"/>
      <c r="Z269" s="3012"/>
      <c r="AA269" s="580">
        <f>+AA268</f>
        <v>0</v>
      </c>
      <c r="AC269" s="1906"/>
      <c r="AD269" s="1906"/>
      <c r="AE269" s="1906"/>
    </row>
    <row r="270" spans="1:31" ht="18.75" hidden="1" x14ac:dyDescent="0.15">
      <c r="A270" s="3045"/>
      <c r="B270" s="3032"/>
      <c r="C270" s="1937" t="s">
        <v>339</v>
      </c>
      <c r="D270" s="1949">
        <v>0.375</v>
      </c>
      <c r="E270" s="1901" t="s">
        <v>1067</v>
      </c>
      <c r="F270" s="1911"/>
      <c r="G270" s="3002"/>
      <c r="H270" s="3002"/>
      <c r="I270" s="3002"/>
      <c r="J270" s="3002"/>
      <c r="K270" s="3002"/>
      <c r="L270" s="3002"/>
      <c r="M270" s="3002"/>
      <c r="N270" s="3002"/>
      <c r="O270" s="3002"/>
      <c r="P270" s="3002"/>
      <c r="Q270" s="3002"/>
      <c r="R270" s="3002"/>
      <c r="S270" s="3002"/>
      <c r="T270" s="3002"/>
      <c r="U270" s="3002"/>
      <c r="V270" s="3002"/>
      <c r="W270" s="3002"/>
      <c r="X270" s="3002"/>
      <c r="Y270" s="3002"/>
      <c r="Z270" s="3011">
        <f>+TRUNC(+SUM(G270:Y271),2)</f>
        <v>0</v>
      </c>
      <c r="AA270" s="579">
        <f>SUM(G270:Z270)</f>
        <v>0</v>
      </c>
      <c r="AC270" s="1906"/>
      <c r="AD270" s="1906"/>
      <c r="AE270" s="1906"/>
    </row>
    <row r="271" spans="1:31" ht="49.5" hidden="1" x14ac:dyDescent="0.15">
      <c r="A271" s="3045"/>
      <c r="B271" s="3032"/>
      <c r="C271" s="1936" t="s">
        <v>661</v>
      </c>
      <c r="D271" s="1951"/>
      <c r="E271" s="1904" t="s">
        <v>1067</v>
      </c>
      <c r="F271" s="1950"/>
      <c r="G271" s="3003"/>
      <c r="H271" s="3003"/>
      <c r="I271" s="3003"/>
      <c r="J271" s="3003"/>
      <c r="K271" s="3003"/>
      <c r="L271" s="3003"/>
      <c r="M271" s="3003"/>
      <c r="N271" s="3003"/>
      <c r="O271" s="3003"/>
      <c r="P271" s="3003"/>
      <c r="Q271" s="3003"/>
      <c r="R271" s="3003"/>
      <c r="S271" s="3003"/>
      <c r="T271" s="3003"/>
      <c r="U271" s="3003"/>
      <c r="V271" s="3003"/>
      <c r="W271" s="3003"/>
      <c r="X271" s="3003"/>
      <c r="Y271" s="3003"/>
      <c r="Z271" s="3012"/>
      <c r="AA271" s="580">
        <f>+AA270</f>
        <v>0</v>
      </c>
      <c r="AC271" s="1906"/>
      <c r="AD271" s="1906"/>
      <c r="AE271" s="1906"/>
    </row>
    <row r="272" spans="1:31" ht="18.75" hidden="1" x14ac:dyDescent="0.15">
      <c r="A272" s="3045"/>
      <c r="B272" s="3032"/>
      <c r="C272" s="1937" t="s">
        <v>339</v>
      </c>
      <c r="D272" s="1949">
        <v>0.375</v>
      </c>
      <c r="E272" s="1901" t="s">
        <v>1067</v>
      </c>
      <c r="F272" s="1911"/>
      <c r="G272" s="3002"/>
      <c r="H272" s="3002"/>
      <c r="I272" s="3002"/>
      <c r="J272" s="3002"/>
      <c r="K272" s="3002"/>
      <c r="L272" s="3002"/>
      <c r="M272" s="3002"/>
      <c r="N272" s="3002"/>
      <c r="O272" s="3002"/>
      <c r="P272" s="3002"/>
      <c r="Q272" s="3002"/>
      <c r="R272" s="3002"/>
      <c r="S272" s="3002"/>
      <c r="T272" s="3002"/>
      <c r="U272" s="3002"/>
      <c r="V272" s="3002"/>
      <c r="W272" s="3002"/>
      <c r="X272" s="3002"/>
      <c r="Y272" s="3002"/>
      <c r="Z272" s="3011">
        <f>+TRUNC(+SUM(G272:Y273),2)</f>
        <v>0</v>
      </c>
      <c r="AA272" s="579">
        <f>SUM(G272:Z272)</f>
        <v>0</v>
      </c>
      <c r="AC272" s="1906"/>
      <c r="AD272" s="1906"/>
      <c r="AE272" s="1906"/>
    </row>
    <row r="273" spans="1:31" ht="49.5" hidden="1" x14ac:dyDescent="0.15">
      <c r="A273" s="3045"/>
      <c r="B273" s="3032"/>
      <c r="C273" s="1936" t="s">
        <v>2275</v>
      </c>
      <c r="D273" s="1951"/>
      <c r="E273" s="1904" t="s">
        <v>1067</v>
      </c>
      <c r="F273" s="1950"/>
      <c r="G273" s="3003"/>
      <c r="H273" s="3003"/>
      <c r="I273" s="3003"/>
      <c r="J273" s="3003"/>
      <c r="K273" s="3003"/>
      <c r="L273" s="3003"/>
      <c r="M273" s="3003"/>
      <c r="N273" s="3003"/>
      <c r="O273" s="3003"/>
      <c r="P273" s="3003"/>
      <c r="Q273" s="3003"/>
      <c r="R273" s="3003"/>
      <c r="S273" s="3003"/>
      <c r="T273" s="3003"/>
      <c r="U273" s="3003"/>
      <c r="V273" s="3003"/>
      <c r="W273" s="3003"/>
      <c r="X273" s="3003"/>
      <c r="Y273" s="3003"/>
      <c r="Z273" s="3012"/>
      <c r="AA273" s="580">
        <f>+AA272</f>
        <v>0</v>
      </c>
      <c r="AC273" s="1906"/>
      <c r="AD273" s="1906"/>
      <c r="AE273" s="1906"/>
    </row>
    <row r="274" spans="1:31" ht="18.75" hidden="1" x14ac:dyDescent="0.15">
      <c r="A274" s="3045"/>
      <c r="B274" s="3032"/>
      <c r="C274" s="1937" t="s">
        <v>339</v>
      </c>
      <c r="D274" s="1949">
        <v>0.375</v>
      </c>
      <c r="E274" s="1901" t="s">
        <v>1067</v>
      </c>
      <c r="F274" s="1911"/>
      <c r="G274" s="3002"/>
      <c r="H274" s="3002"/>
      <c r="I274" s="3002"/>
      <c r="J274" s="3002"/>
      <c r="K274" s="3002"/>
      <c r="L274" s="3002"/>
      <c r="M274" s="3002"/>
      <c r="N274" s="3002"/>
      <c r="O274" s="3002"/>
      <c r="P274" s="3002"/>
      <c r="Q274" s="3002"/>
      <c r="R274" s="3002"/>
      <c r="S274" s="3002"/>
      <c r="T274" s="3002"/>
      <c r="U274" s="3002"/>
      <c r="V274" s="3002"/>
      <c r="W274" s="3002"/>
      <c r="X274" s="3002"/>
      <c r="Y274" s="3002"/>
      <c r="Z274" s="3011">
        <f>+TRUNC(+SUM(G274:Y275),2)</f>
        <v>0</v>
      </c>
      <c r="AA274" s="579">
        <f>SUM(G274:Z274)</f>
        <v>0</v>
      </c>
      <c r="AC274" s="1906"/>
      <c r="AD274" s="1906"/>
      <c r="AE274" s="1906"/>
    </row>
    <row r="275" spans="1:31" ht="49.5" hidden="1" x14ac:dyDescent="0.15">
      <c r="A275" s="3045"/>
      <c r="B275" s="3032"/>
      <c r="C275" s="1936" t="s">
        <v>2274</v>
      </c>
      <c r="D275" s="1951"/>
      <c r="E275" s="1904" t="s">
        <v>1067</v>
      </c>
      <c r="F275" s="1950"/>
      <c r="G275" s="3003"/>
      <c r="H275" s="3003"/>
      <c r="I275" s="3003"/>
      <c r="J275" s="3003"/>
      <c r="K275" s="3003"/>
      <c r="L275" s="3003"/>
      <c r="M275" s="3003"/>
      <c r="N275" s="3003"/>
      <c r="O275" s="3003"/>
      <c r="P275" s="3003"/>
      <c r="Q275" s="3003"/>
      <c r="R275" s="3003"/>
      <c r="S275" s="3003"/>
      <c r="T275" s="3003"/>
      <c r="U275" s="3003"/>
      <c r="V275" s="3003"/>
      <c r="W275" s="3003"/>
      <c r="X275" s="3003"/>
      <c r="Y275" s="3003"/>
      <c r="Z275" s="3012"/>
      <c r="AA275" s="580">
        <f>+AA274</f>
        <v>0</v>
      </c>
      <c r="AC275" s="1906"/>
      <c r="AD275" s="1906"/>
      <c r="AE275" s="1906"/>
    </row>
    <row r="276" spans="1:31" ht="18.75" hidden="1" x14ac:dyDescent="0.15">
      <c r="A276" s="3045"/>
      <c r="B276" s="3032"/>
      <c r="C276" s="1937" t="s">
        <v>339</v>
      </c>
      <c r="D276" s="1949">
        <v>0.375</v>
      </c>
      <c r="E276" s="1901" t="s">
        <v>1067</v>
      </c>
      <c r="F276" s="1911"/>
      <c r="G276" s="3002"/>
      <c r="H276" s="3002"/>
      <c r="I276" s="3002"/>
      <c r="J276" s="3002"/>
      <c r="K276" s="3002"/>
      <c r="L276" s="3002"/>
      <c r="M276" s="3002"/>
      <c r="N276" s="3002"/>
      <c r="O276" s="3002"/>
      <c r="P276" s="3002"/>
      <c r="Q276" s="3002"/>
      <c r="R276" s="3002"/>
      <c r="S276" s="3002"/>
      <c r="T276" s="3002"/>
      <c r="U276" s="3002"/>
      <c r="V276" s="3002"/>
      <c r="W276" s="3002"/>
      <c r="X276" s="3002"/>
      <c r="Y276" s="3002"/>
      <c r="Z276" s="3011">
        <f>+TRUNC(+SUM(G276:Y277),2)</f>
        <v>0</v>
      </c>
      <c r="AA276" s="579">
        <f>SUM(G276:Z276)</f>
        <v>0</v>
      </c>
      <c r="AC276" s="1906"/>
      <c r="AD276" s="1906"/>
      <c r="AE276" s="1906"/>
    </row>
    <row r="277" spans="1:31" ht="49.5" hidden="1" x14ac:dyDescent="0.15">
      <c r="A277" s="3045"/>
      <c r="B277" s="3032"/>
      <c r="C277" s="1936" t="s">
        <v>2273</v>
      </c>
      <c r="D277" s="1951"/>
      <c r="E277" s="1904" t="s">
        <v>1067</v>
      </c>
      <c r="F277" s="1950"/>
      <c r="G277" s="3003"/>
      <c r="H277" s="3003"/>
      <c r="I277" s="3003"/>
      <c r="J277" s="3003"/>
      <c r="K277" s="3003"/>
      <c r="L277" s="3003"/>
      <c r="M277" s="3003"/>
      <c r="N277" s="3003"/>
      <c r="O277" s="3003"/>
      <c r="P277" s="3003"/>
      <c r="Q277" s="3003"/>
      <c r="R277" s="3003"/>
      <c r="S277" s="3003"/>
      <c r="T277" s="3003"/>
      <c r="U277" s="3003"/>
      <c r="V277" s="3003"/>
      <c r="W277" s="3003"/>
      <c r="X277" s="3003"/>
      <c r="Y277" s="3003"/>
      <c r="Z277" s="3012"/>
      <c r="AA277" s="580">
        <f>+AA276</f>
        <v>0</v>
      </c>
      <c r="AC277" s="1906"/>
      <c r="AD277" s="1906"/>
      <c r="AE277" s="1906"/>
    </row>
    <row r="278" spans="1:31" ht="25.5" x14ac:dyDescent="0.15">
      <c r="A278" s="3045"/>
      <c r="B278" s="3031"/>
      <c r="C278" s="3048" t="s">
        <v>1066</v>
      </c>
      <c r="D278" s="3049"/>
      <c r="E278" s="1889" t="s">
        <v>1067</v>
      </c>
      <c r="F278" s="1888"/>
      <c r="G278" s="2281">
        <f t="shared" ref="G278" si="0">SUM(G2:G277)</f>
        <v>12</v>
      </c>
      <c r="H278" s="2281">
        <f t="shared" ref="H278:M278" si="1">SUM(H2:H277)</f>
        <v>6</v>
      </c>
      <c r="I278" s="2281">
        <f t="shared" si="1"/>
        <v>2</v>
      </c>
      <c r="J278" s="2281">
        <f t="shared" si="1"/>
        <v>2</v>
      </c>
      <c r="K278" s="2281">
        <f t="shared" si="1"/>
        <v>5</v>
      </c>
      <c r="L278" s="2281">
        <f t="shared" si="1"/>
        <v>3</v>
      </c>
      <c r="M278" s="2281">
        <f t="shared" si="1"/>
        <v>8</v>
      </c>
      <c r="N278" s="2281">
        <f t="shared" ref="N278" si="2">SUM(N2:N277)</f>
        <v>5</v>
      </c>
      <c r="O278" s="2281">
        <f t="shared" ref="O278" si="3">SUM(O2:O277)</f>
        <v>9</v>
      </c>
      <c r="P278" s="2281">
        <f t="shared" ref="P278:Q278" si="4">SUM(P2:P277)</f>
        <v>5</v>
      </c>
      <c r="Q278" s="2281">
        <f t="shared" si="4"/>
        <v>11</v>
      </c>
      <c r="R278" s="2281">
        <f t="shared" ref="R278:S278" si="5">SUM(R2:R277)</f>
        <v>15</v>
      </c>
      <c r="S278" s="2281">
        <f t="shared" si="5"/>
        <v>17</v>
      </c>
      <c r="T278" s="2281">
        <f t="shared" ref="T278:U278" si="6">SUM(T2:T277)</f>
        <v>13</v>
      </c>
      <c r="U278" s="2281">
        <f t="shared" si="6"/>
        <v>17</v>
      </c>
      <c r="V278" s="2281">
        <f t="shared" ref="V278:W278" si="7">SUM(V2:V277)</f>
        <v>16</v>
      </c>
      <c r="W278" s="2281">
        <f t="shared" si="7"/>
        <v>9</v>
      </c>
      <c r="X278" s="2281">
        <f t="shared" ref="X278" si="8">SUM(X2:X277)</f>
        <v>7</v>
      </c>
      <c r="Y278" s="2281"/>
      <c r="Z278" s="1895">
        <f>+TRUNC(+SUM(G278:Y278),2)</f>
        <v>162</v>
      </c>
      <c r="AA278" s="579">
        <f>SUM(G278:Z278)</f>
        <v>324</v>
      </c>
      <c r="AC278" s="1906"/>
      <c r="AD278" s="1906"/>
    </row>
    <row r="279" spans="1:31" ht="25.5" x14ac:dyDescent="0.15">
      <c r="A279" s="3045"/>
      <c r="B279" s="3031"/>
      <c r="C279" s="3048" t="s">
        <v>1075</v>
      </c>
      <c r="D279" s="3049"/>
      <c r="E279" s="1889" t="s">
        <v>1067</v>
      </c>
      <c r="F279" s="1888"/>
      <c r="G279" s="2281">
        <f t="shared" ref="G279" si="9">SUM(G2:G277)</f>
        <v>12</v>
      </c>
      <c r="H279" s="2281">
        <f t="shared" ref="H279:M279" si="10">SUM(H2:H277)</f>
        <v>6</v>
      </c>
      <c r="I279" s="2281">
        <f t="shared" si="10"/>
        <v>2</v>
      </c>
      <c r="J279" s="2281">
        <f t="shared" si="10"/>
        <v>2</v>
      </c>
      <c r="K279" s="2281">
        <f t="shared" si="10"/>
        <v>5</v>
      </c>
      <c r="L279" s="2281">
        <f t="shared" si="10"/>
        <v>3</v>
      </c>
      <c r="M279" s="2281">
        <f t="shared" si="10"/>
        <v>8</v>
      </c>
      <c r="N279" s="2281">
        <f t="shared" ref="N279" si="11">SUM(N2:N277)</f>
        <v>5</v>
      </c>
      <c r="O279" s="2281">
        <f t="shared" ref="O279" si="12">SUM(O2:O277)</f>
        <v>9</v>
      </c>
      <c r="P279" s="2281">
        <f t="shared" ref="P279:Q279" si="13">SUM(P2:P277)</f>
        <v>5</v>
      </c>
      <c r="Q279" s="2281">
        <f t="shared" si="13"/>
        <v>11</v>
      </c>
      <c r="R279" s="2281">
        <f t="shared" ref="R279:S279" si="14">SUM(R2:R277)</f>
        <v>15</v>
      </c>
      <c r="S279" s="2281">
        <f t="shared" si="14"/>
        <v>17</v>
      </c>
      <c r="T279" s="2281">
        <f t="shared" ref="T279:U279" si="15">SUM(T2:T277)</f>
        <v>13</v>
      </c>
      <c r="U279" s="2281">
        <f t="shared" si="15"/>
        <v>17</v>
      </c>
      <c r="V279" s="2281">
        <f t="shared" ref="V279:W279" si="16">SUM(V2:V277)</f>
        <v>16</v>
      </c>
      <c r="W279" s="2281">
        <f t="shared" si="16"/>
        <v>9</v>
      </c>
      <c r="X279" s="2281">
        <f t="shared" ref="X279" si="17">SUM(X2:X277)</f>
        <v>7</v>
      </c>
      <c r="Y279" s="2281"/>
      <c r="Z279" s="1930">
        <f>+TRUNC(+SUM(G279:Y279),2)</f>
        <v>162</v>
      </c>
      <c r="AA279" s="579">
        <f>SUM(G279:Z279)</f>
        <v>324</v>
      </c>
      <c r="AC279" s="1906"/>
      <c r="AD279" s="1906"/>
    </row>
    <row r="280" spans="1:31" ht="26.25" thickBot="1" x14ac:dyDescent="0.2">
      <c r="A280" s="3045"/>
      <c r="B280" s="3033"/>
      <c r="C280" s="3040" t="s">
        <v>1081</v>
      </c>
      <c r="D280" s="3041"/>
      <c r="E280" s="1889" t="s">
        <v>1067</v>
      </c>
      <c r="F280" s="1941" t="s">
        <v>1074</v>
      </c>
      <c r="G280" s="1897" cm="1">
        <f t="array" ref="G280">SUMPRODUCT(($D2:$D277)*(G2:G277))</f>
        <v>3.99</v>
      </c>
      <c r="H280" s="1897" cm="1">
        <f t="array" ref="H280">SUMPRODUCT(($D2:$D277)*(H2:H277))</f>
        <v>2.31</v>
      </c>
      <c r="I280" s="1897" cm="1">
        <f t="array" ref="I280">SUMPRODUCT(($D2:$D277)*(I2:I277))</f>
        <v>0.56000000000000005</v>
      </c>
      <c r="J280" s="1897" cm="1">
        <f t="array" ref="J280">SUMPRODUCT(($D2:$D277)*(J2:J277))</f>
        <v>0.56000000000000005</v>
      </c>
      <c r="K280" s="1897" cm="1">
        <f t="array" ref="K280">SUMPRODUCT(($D2:$D277)*(K2:K277))</f>
        <v>1.4000000000000001</v>
      </c>
      <c r="L280" s="1897" cm="1">
        <f t="array" ref="L280">SUMPRODUCT(($D2:$D277)*(L2:L277))</f>
        <v>0.84000000000000008</v>
      </c>
      <c r="M280" s="1897" cm="1">
        <f t="array" ref="M280">SUMPRODUCT(($D2:$D277)*(M2:M277))</f>
        <v>2.2400000000000002</v>
      </c>
      <c r="N280" s="1897" cm="1">
        <f t="array" ref="N280">SUMPRODUCT(($D2:$D277)*(N2:N277))</f>
        <v>1.4000000000000001</v>
      </c>
      <c r="O280" s="1897" cm="1">
        <f t="array" ref="O280">SUMPRODUCT(($D2:$D277)*(O2:O277))</f>
        <v>2.5200000000000005</v>
      </c>
      <c r="P280" s="1897" cm="1">
        <f t="array" ref="P280">SUMPRODUCT(($D2:$D277)*(P2:P277))</f>
        <v>1.4000000000000001</v>
      </c>
      <c r="Q280" s="1897" cm="1">
        <f t="array" ref="Q280">SUMPRODUCT(($D2:$D277)*(Q2:Q277))</f>
        <v>3.08</v>
      </c>
      <c r="R280" s="1897" cm="1">
        <f t="array" ref="R280">SUMPRODUCT(($D2:$D277)*(R2:R277))</f>
        <v>4.2000000000000011</v>
      </c>
      <c r="S280" s="1897" cm="1">
        <f t="array" ref="S280">SUMPRODUCT(($D2:$D277)*(S2:S277))</f>
        <v>4.7600000000000016</v>
      </c>
      <c r="T280" s="1897" cm="1">
        <f t="array" ref="T280">SUMPRODUCT(($D2:$D277)*(T2:T277))</f>
        <v>3.64</v>
      </c>
      <c r="U280" s="1897" cm="1">
        <f t="array" ref="U280">SUMPRODUCT(($D2:$D277)*(U2:U277))</f>
        <v>4.7600000000000016</v>
      </c>
      <c r="V280" s="1897" cm="1">
        <f t="array" ref="V280">SUMPRODUCT(($D2:$D277)*(V2:V277))</f>
        <v>4.4800000000000004</v>
      </c>
      <c r="W280" s="1897" cm="1">
        <f t="array" ref="W280">SUMPRODUCT(($D2:$D277)*(W2:W277))</f>
        <v>3.83</v>
      </c>
      <c r="X280" s="1897" cm="1">
        <f t="array" ref="X280">SUMPRODUCT(($D2:$D277)*(X2:X277))</f>
        <v>1.9600000000000002</v>
      </c>
      <c r="Y280" s="1897"/>
      <c r="Z280" s="1886">
        <f>+TRUNC(+SUM(G280:Y280),2)</f>
        <v>47.93</v>
      </c>
      <c r="AA280" s="579">
        <f>SUM(G280:Z280)</f>
        <v>95.860000000000014</v>
      </c>
      <c r="AC280" s="1906"/>
      <c r="AD280" s="1906"/>
    </row>
    <row r="281" spans="1:31" ht="26.25" hidden="1" thickBot="1" x14ac:dyDescent="0.2">
      <c r="A281" s="3045"/>
      <c r="B281" s="3034" t="s">
        <v>2272</v>
      </c>
      <c r="C281" s="3051" t="s">
        <v>1082</v>
      </c>
      <c r="D281" s="3052"/>
      <c r="E281" s="1889" t="s">
        <v>1067</v>
      </c>
      <c r="F281" s="1898"/>
      <c r="G281" s="2283" t="s">
        <v>578</v>
      </c>
      <c r="H281" s="2283" t="s">
        <v>578</v>
      </c>
      <c r="I281" s="2283" t="s">
        <v>578</v>
      </c>
      <c r="J281" s="2283" t="s">
        <v>578</v>
      </c>
      <c r="K281" s="2283" t="s">
        <v>578</v>
      </c>
      <c r="L281" s="2283" t="s">
        <v>578</v>
      </c>
      <c r="M281" s="2283" t="s">
        <v>578</v>
      </c>
      <c r="N281" s="2283" t="s">
        <v>578</v>
      </c>
      <c r="O281" s="2283" t="s">
        <v>578</v>
      </c>
      <c r="P281" s="2283" t="s">
        <v>578</v>
      </c>
      <c r="Q281" s="2283" t="s">
        <v>578</v>
      </c>
      <c r="R281" s="2283" t="s">
        <v>578</v>
      </c>
      <c r="S281" s="2283" t="s">
        <v>578</v>
      </c>
      <c r="T281" s="2283" t="s">
        <v>578</v>
      </c>
      <c r="U281" s="2283" t="s">
        <v>578</v>
      </c>
      <c r="V281" s="2283" t="s">
        <v>578</v>
      </c>
      <c r="W281" s="2283" t="s">
        <v>578</v>
      </c>
      <c r="X281" s="2283" t="s">
        <v>578</v>
      </c>
      <c r="Y281" s="2283"/>
      <c r="Z281" s="1934"/>
      <c r="AA281" s="916">
        <f>SUM(AA282:AA284)</f>
        <v>0</v>
      </c>
      <c r="AC281" s="1906"/>
      <c r="AD281" s="1906"/>
    </row>
    <row r="282" spans="1:31" ht="50.25" hidden="1" thickBot="1" x14ac:dyDescent="0.2">
      <c r="A282" s="3045"/>
      <c r="B282" s="3035"/>
      <c r="C282" s="1952">
        <v>2.4</v>
      </c>
      <c r="D282" s="1931" t="s">
        <v>2271</v>
      </c>
      <c r="E282" s="1904" t="s">
        <v>1067</v>
      </c>
      <c r="F282" s="1888"/>
      <c r="G282" s="2282"/>
      <c r="H282" s="2282"/>
      <c r="I282" s="2282"/>
      <c r="J282" s="2282"/>
      <c r="K282" s="2282"/>
      <c r="L282" s="2282"/>
      <c r="M282" s="2282"/>
      <c r="N282" s="2282"/>
      <c r="O282" s="2282"/>
      <c r="P282" s="2282"/>
      <c r="Q282" s="2282"/>
      <c r="R282" s="2282"/>
      <c r="S282" s="2282"/>
      <c r="T282" s="2282"/>
      <c r="U282" s="2282"/>
      <c r="V282" s="2282"/>
      <c r="W282" s="2282"/>
      <c r="X282" s="2282"/>
      <c r="Y282" s="2282"/>
      <c r="Z282" s="1930">
        <f>+TRUNC(+SUM(G282:Y282),2)</f>
        <v>0</v>
      </c>
      <c r="AA282" s="579">
        <f>SUM(G282:Z282)</f>
        <v>0</v>
      </c>
      <c r="AC282" s="1906"/>
      <c r="AD282" s="1906"/>
    </row>
    <row r="283" spans="1:31" ht="50.25" hidden="1" thickBot="1" x14ac:dyDescent="0.2">
      <c r="A283" s="3045"/>
      <c r="B283" s="3035"/>
      <c r="C283" s="1952">
        <v>2</v>
      </c>
      <c r="D283" s="1931" t="s">
        <v>1076</v>
      </c>
      <c r="E283" s="1904" t="s">
        <v>1067</v>
      </c>
      <c r="F283" s="1888"/>
      <c r="G283" s="2282"/>
      <c r="H283" s="2282"/>
      <c r="I283" s="2282"/>
      <c r="J283" s="2282"/>
      <c r="K283" s="2282"/>
      <c r="L283" s="2282"/>
      <c r="M283" s="2282"/>
      <c r="N283" s="2282"/>
      <c r="O283" s="2282"/>
      <c r="P283" s="2282"/>
      <c r="Q283" s="2282"/>
      <c r="R283" s="2282"/>
      <c r="S283" s="2282"/>
      <c r="T283" s="2282"/>
      <c r="U283" s="2282"/>
      <c r="V283" s="2282"/>
      <c r="W283" s="2282"/>
      <c r="X283" s="2282"/>
      <c r="Y283" s="2282"/>
      <c r="Z283" s="1930">
        <f>+TRUNC(+SUM(G283:Y283),2)</f>
        <v>0</v>
      </c>
      <c r="AA283" s="579">
        <f>SUM(G283:Z283)</f>
        <v>0</v>
      </c>
      <c r="AC283" s="1906"/>
      <c r="AD283" s="1906"/>
    </row>
    <row r="284" spans="1:31" ht="50.25" hidden="1" thickBot="1" x14ac:dyDescent="0.2">
      <c r="A284" s="3045"/>
      <c r="B284" s="3035"/>
      <c r="C284" s="1952">
        <v>3</v>
      </c>
      <c r="D284" s="1931" t="s">
        <v>2270</v>
      </c>
      <c r="E284" s="1904" t="s">
        <v>1067</v>
      </c>
      <c r="F284" s="1888"/>
      <c r="G284" s="1894"/>
      <c r="H284" s="1894"/>
      <c r="I284" s="1894"/>
      <c r="J284" s="1894"/>
      <c r="K284" s="1894"/>
      <c r="L284" s="1894"/>
      <c r="M284" s="1894"/>
      <c r="N284" s="1894"/>
      <c r="O284" s="1894"/>
      <c r="P284" s="1894"/>
      <c r="Q284" s="1894"/>
      <c r="R284" s="1894"/>
      <c r="S284" s="1894"/>
      <c r="T284" s="1894"/>
      <c r="U284" s="1894"/>
      <c r="V284" s="1894"/>
      <c r="W284" s="1894"/>
      <c r="X284" s="1894"/>
      <c r="Y284" s="1894"/>
      <c r="Z284" s="1930">
        <f>+TRUNC(+SUM(G284:Y284),2)</f>
        <v>0</v>
      </c>
      <c r="AA284" s="579">
        <f>SUM(G284:Z284)</f>
        <v>0</v>
      </c>
      <c r="AC284" s="1906"/>
      <c r="AD284" s="1906"/>
    </row>
    <row r="285" spans="1:31" ht="26.25" hidden="1" thickBot="1" x14ac:dyDescent="0.2">
      <c r="A285" s="3045"/>
      <c r="B285" s="3035"/>
      <c r="C285" s="3050" t="s">
        <v>1068</v>
      </c>
      <c r="D285" s="3049"/>
      <c r="E285" s="1889" t="s">
        <v>1067</v>
      </c>
      <c r="F285" s="1888"/>
      <c r="G285" s="2281" t="s">
        <v>578</v>
      </c>
      <c r="H285" s="2281" t="s">
        <v>578</v>
      </c>
      <c r="I285" s="2281" t="s">
        <v>578</v>
      </c>
      <c r="J285" s="2281" t="s">
        <v>578</v>
      </c>
      <c r="K285" s="2281" t="s">
        <v>578</v>
      </c>
      <c r="L285" s="2281" t="s">
        <v>578</v>
      </c>
      <c r="M285" s="2281" t="s">
        <v>578</v>
      </c>
      <c r="N285" s="2281" t="s">
        <v>578</v>
      </c>
      <c r="O285" s="2281" t="s">
        <v>578</v>
      </c>
      <c r="P285" s="2281" t="s">
        <v>578</v>
      </c>
      <c r="Q285" s="2281" t="s">
        <v>578</v>
      </c>
      <c r="R285" s="2281" t="s">
        <v>578</v>
      </c>
      <c r="S285" s="2281" t="s">
        <v>578</v>
      </c>
      <c r="T285" s="2281" t="s">
        <v>578</v>
      </c>
      <c r="U285" s="2281" t="s">
        <v>578</v>
      </c>
      <c r="V285" s="2281" t="s">
        <v>578</v>
      </c>
      <c r="W285" s="2281" t="s">
        <v>578</v>
      </c>
      <c r="X285" s="2281" t="s">
        <v>578</v>
      </c>
      <c r="Y285" s="2281"/>
      <c r="Z285" s="1933"/>
      <c r="AA285" s="916">
        <f>SUM(AA286:AA288)</f>
        <v>0</v>
      </c>
      <c r="AC285" s="1906"/>
      <c r="AD285" s="1906"/>
    </row>
    <row r="286" spans="1:31" ht="50.25" hidden="1" thickBot="1" x14ac:dyDescent="0.2">
      <c r="A286" s="3045"/>
      <c r="B286" s="3035"/>
      <c r="C286" s="1952">
        <v>2.4</v>
      </c>
      <c r="D286" s="1931" t="s">
        <v>2271</v>
      </c>
      <c r="E286" s="1904" t="s">
        <v>1067</v>
      </c>
      <c r="F286" s="1888"/>
      <c r="G286" s="1932"/>
      <c r="H286" s="1932"/>
      <c r="I286" s="1932"/>
      <c r="J286" s="1932"/>
      <c r="K286" s="1932"/>
      <c r="L286" s="1932"/>
      <c r="M286" s="1932"/>
      <c r="N286" s="1932"/>
      <c r="O286" s="1932"/>
      <c r="P286" s="1932"/>
      <c r="Q286" s="1932"/>
      <c r="R286" s="1932"/>
      <c r="S286" s="1932"/>
      <c r="T286" s="1932"/>
      <c r="U286" s="1932"/>
      <c r="V286" s="1932"/>
      <c r="W286" s="1932"/>
      <c r="X286" s="1932"/>
      <c r="Y286" s="1932"/>
      <c r="Z286" s="1930">
        <f>+TRUNC(+SUM(G286:Y286),2)</f>
        <v>0</v>
      </c>
      <c r="AA286" s="579">
        <f t="shared" ref="AA286:AA296" si="18">SUM(G286:Z286)</f>
        <v>0</v>
      </c>
      <c r="AC286" s="1906"/>
      <c r="AD286" s="1906"/>
    </row>
    <row r="287" spans="1:31" ht="50.25" hidden="1" thickBot="1" x14ac:dyDescent="0.2">
      <c r="A287" s="3045"/>
      <c r="B287" s="3035"/>
      <c r="C287" s="1952">
        <v>2</v>
      </c>
      <c r="D287" s="1931" t="s">
        <v>1076</v>
      </c>
      <c r="E287" s="1904" t="s">
        <v>1067</v>
      </c>
      <c r="F287" s="1888"/>
      <c r="G287" s="2281"/>
      <c r="H287" s="2281"/>
      <c r="I287" s="2281"/>
      <c r="J287" s="2281"/>
      <c r="K287" s="2281"/>
      <c r="L287" s="2281"/>
      <c r="M287" s="2281"/>
      <c r="N287" s="2281"/>
      <c r="O287" s="2281"/>
      <c r="P287" s="2281"/>
      <c r="Q287" s="2281"/>
      <c r="R287" s="2281"/>
      <c r="S287" s="2281"/>
      <c r="T287" s="2281"/>
      <c r="U287" s="2281"/>
      <c r="V287" s="2281"/>
      <c r="W287" s="2281"/>
      <c r="X287" s="2281"/>
      <c r="Y287" s="2281"/>
      <c r="Z287" s="1930">
        <f>+TRUNC(+SUM(G287:Y287),2)</f>
        <v>0</v>
      </c>
      <c r="AA287" s="579">
        <f t="shared" si="18"/>
        <v>0</v>
      </c>
      <c r="AC287" s="1906"/>
      <c r="AD287" s="1906"/>
    </row>
    <row r="288" spans="1:31" ht="50.25" hidden="1" thickBot="1" x14ac:dyDescent="0.2">
      <c r="A288" s="3045"/>
      <c r="B288" s="3035"/>
      <c r="C288" s="1952">
        <v>3</v>
      </c>
      <c r="D288" s="1931" t="s">
        <v>2270</v>
      </c>
      <c r="E288" s="1904" t="s">
        <v>1067</v>
      </c>
      <c r="F288" s="1888"/>
      <c r="G288" s="2281"/>
      <c r="H288" s="2281"/>
      <c r="I288" s="2281"/>
      <c r="J288" s="2281"/>
      <c r="K288" s="2281"/>
      <c r="L288" s="2281"/>
      <c r="M288" s="2281"/>
      <c r="N288" s="2281"/>
      <c r="O288" s="2281"/>
      <c r="P288" s="2281"/>
      <c r="Q288" s="2281"/>
      <c r="R288" s="2281"/>
      <c r="S288" s="2281"/>
      <c r="T288" s="2281"/>
      <c r="U288" s="2281"/>
      <c r="V288" s="2281"/>
      <c r="W288" s="2281"/>
      <c r="X288" s="2281"/>
      <c r="Y288" s="2281"/>
      <c r="Z288" s="1930">
        <f>+TRUNC(+SUM(G288:Y288),2)</f>
        <v>0</v>
      </c>
      <c r="AA288" s="579">
        <f t="shared" si="18"/>
        <v>0</v>
      </c>
      <c r="AC288" s="1906"/>
      <c r="AD288" s="1906"/>
    </row>
    <row r="289" spans="1:30" ht="26.25" hidden="1" thickBot="1" x14ac:dyDescent="0.2">
      <c r="A289" s="3045"/>
      <c r="B289" s="3035"/>
      <c r="C289" s="3050" t="s">
        <v>1075</v>
      </c>
      <c r="D289" s="3049"/>
      <c r="E289" s="1889" t="s">
        <v>1067</v>
      </c>
      <c r="F289" s="1888"/>
      <c r="G289" s="2281">
        <f>SUM(G282:G284)*2</f>
        <v>0</v>
      </c>
      <c r="H289" s="2281">
        <f t="shared" ref="H289:M289" si="19">SUM(H282:H284)*2</f>
        <v>0</v>
      </c>
      <c r="I289" s="2281">
        <f t="shared" si="19"/>
        <v>0</v>
      </c>
      <c r="J289" s="2281">
        <f t="shared" si="19"/>
        <v>0</v>
      </c>
      <c r="K289" s="2281">
        <f t="shared" si="19"/>
        <v>0</v>
      </c>
      <c r="L289" s="2281">
        <f t="shared" si="19"/>
        <v>0</v>
      </c>
      <c r="M289" s="2281">
        <f t="shared" si="19"/>
        <v>0</v>
      </c>
      <c r="N289" s="2281">
        <f t="shared" ref="N289" si="20">SUM(N282:N284)*2</f>
        <v>0</v>
      </c>
      <c r="O289" s="2281">
        <f t="shared" ref="O289" si="21">SUM(O282:O284)*2</f>
        <v>0</v>
      </c>
      <c r="P289" s="2281">
        <f t="shared" ref="P289:Q289" si="22">SUM(P282:P284)*2</f>
        <v>0</v>
      </c>
      <c r="Q289" s="2281">
        <f t="shared" si="22"/>
        <v>0</v>
      </c>
      <c r="R289" s="2281">
        <f t="shared" ref="R289:S289" si="23">SUM(R282:R284)*2</f>
        <v>0</v>
      </c>
      <c r="S289" s="2281">
        <f t="shared" si="23"/>
        <v>0</v>
      </c>
      <c r="T289" s="2281">
        <f t="shared" ref="T289:U289" si="24">SUM(T282:T284)*2</f>
        <v>0</v>
      </c>
      <c r="U289" s="2281">
        <f t="shared" si="24"/>
        <v>0</v>
      </c>
      <c r="V289" s="2281">
        <f t="shared" ref="V289:W289" si="25">SUM(V282:V284)*2</f>
        <v>0</v>
      </c>
      <c r="W289" s="2281">
        <f t="shared" si="25"/>
        <v>0</v>
      </c>
      <c r="X289" s="2281">
        <f t="shared" ref="X289" si="26">SUM(X282:X284)*2</f>
        <v>0</v>
      </c>
      <c r="Y289" s="2281"/>
      <c r="Z289" s="1930">
        <f>+TRUNC(+SUM(G289:Y289),2)</f>
        <v>0</v>
      </c>
      <c r="AA289" s="579">
        <f t="shared" si="18"/>
        <v>0</v>
      </c>
      <c r="AC289" s="1906"/>
      <c r="AD289" s="1906"/>
    </row>
    <row r="290" spans="1:30" ht="26.25" hidden="1" thickBot="1" x14ac:dyDescent="0.2">
      <c r="A290" s="3045"/>
      <c r="B290" s="3036"/>
      <c r="C290" s="3019" t="s">
        <v>1083</v>
      </c>
      <c r="D290" s="3020"/>
      <c r="E290" s="1889" t="s">
        <v>1067</v>
      </c>
      <c r="F290" s="1898"/>
      <c r="G290" s="1897" cm="1">
        <f t="array" ref="G290">SUMPRODUCT(($C282:$C284)*(G282:G284))+SUMPRODUCT(($C286:$C288)*(G286:G288))</f>
        <v>0</v>
      </c>
      <c r="H290" s="1897" cm="1">
        <f t="array" ref="H290">SUMPRODUCT(($C282:$C284)*(H282:H284))+SUMPRODUCT(($C286:$C288)*(H286:H288))</f>
        <v>0</v>
      </c>
      <c r="I290" s="1897" cm="1">
        <f t="array" ref="I290">SUMPRODUCT(($C282:$C284)*(I282:I284))+SUMPRODUCT(($C286:$C288)*(I286:I288))</f>
        <v>0</v>
      </c>
      <c r="J290" s="1897" cm="1">
        <f t="array" ref="J290">SUMPRODUCT(($C282:$C284)*(J282:J284))+SUMPRODUCT(($C286:$C288)*(J286:J288))</f>
        <v>0</v>
      </c>
      <c r="K290" s="1897" cm="1">
        <f t="array" ref="K290">SUMPRODUCT(($C282:$C284)*(K282:K284))+SUMPRODUCT(($C286:$C288)*(K286:K288))</f>
        <v>0</v>
      </c>
      <c r="L290" s="1897" cm="1">
        <f t="array" ref="L290">SUMPRODUCT(($C282:$C284)*(L282:L284))+SUMPRODUCT(($C286:$C288)*(L286:L288))</f>
        <v>0</v>
      </c>
      <c r="M290" s="1897" cm="1">
        <f t="array" ref="M290">SUMPRODUCT(($C282:$C284)*(M282:M284))+SUMPRODUCT(($C286:$C288)*(M286:M288))</f>
        <v>0</v>
      </c>
      <c r="N290" s="1897" cm="1">
        <f t="array" ref="N290">SUMPRODUCT(($C282:$C284)*(N282:N284))+SUMPRODUCT(($C286:$C288)*(N286:N288))</f>
        <v>0</v>
      </c>
      <c r="O290" s="1897" cm="1">
        <f t="array" ref="O290">SUMPRODUCT(($C282:$C284)*(O282:O284))+SUMPRODUCT(($C286:$C288)*(O286:O288))</f>
        <v>0</v>
      </c>
      <c r="P290" s="1897" cm="1">
        <f t="array" ref="P290">SUMPRODUCT(($C282:$C284)*(P282:P284))+SUMPRODUCT(($C286:$C288)*(P286:P288))</f>
        <v>0</v>
      </c>
      <c r="Q290" s="1897" cm="1">
        <f t="array" ref="Q290">SUMPRODUCT(($C282:$C284)*(Q282:Q284))+SUMPRODUCT(($C286:$C288)*(Q286:Q288))</f>
        <v>0</v>
      </c>
      <c r="R290" s="1897" cm="1">
        <f t="array" ref="R290">SUMPRODUCT(($C282:$C284)*(R282:R284))+SUMPRODUCT(($C286:$C288)*(R286:R288))</f>
        <v>0</v>
      </c>
      <c r="S290" s="1897" cm="1">
        <f t="array" ref="S290">SUMPRODUCT(($C282:$C284)*(S282:S284))+SUMPRODUCT(($C286:$C288)*(S286:S288))</f>
        <v>0</v>
      </c>
      <c r="T290" s="1897" cm="1">
        <f t="array" ref="T290">SUMPRODUCT(($C282:$C284)*(T282:T284))+SUMPRODUCT(($C286:$C288)*(T286:T288))</f>
        <v>0</v>
      </c>
      <c r="U290" s="1897" cm="1">
        <f t="array" ref="U290">SUMPRODUCT(($C282:$C284)*(U282:U284))+SUMPRODUCT(($C286:$C288)*(U286:U288))</f>
        <v>0</v>
      </c>
      <c r="V290" s="1897" cm="1">
        <f t="array" ref="V290">SUMPRODUCT(($C282:$C284)*(V282:V284))+SUMPRODUCT(($C286:$C288)*(V286:V288))</f>
        <v>0</v>
      </c>
      <c r="W290" s="1897" cm="1">
        <f t="array" ref="W290">SUMPRODUCT(($C282:$C284)*(W282:W284))+SUMPRODUCT(($C286:$C288)*(W286:W288))</f>
        <v>0</v>
      </c>
      <c r="X290" s="1897" cm="1">
        <f t="array" ref="X290">SUMPRODUCT(($C282:$C284)*(X282:X284))+SUMPRODUCT(($C286:$C288)*(X286:X288))</f>
        <v>0</v>
      </c>
      <c r="Y290" s="1897"/>
      <c r="Z290" s="1886">
        <f>+TRUNC(+SUM(G290:Y290),2)</f>
        <v>0</v>
      </c>
      <c r="AA290" s="579">
        <f t="shared" si="18"/>
        <v>0</v>
      </c>
      <c r="AC290" s="1906"/>
      <c r="AD290" s="1906"/>
    </row>
    <row r="291" spans="1:30" ht="26.25" thickBot="1" x14ac:dyDescent="0.2">
      <c r="A291" s="3045"/>
      <c r="B291" s="3055" t="s">
        <v>1077</v>
      </c>
      <c r="C291" s="3026"/>
      <c r="D291" s="3027"/>
      <c r="E291" s="1889" t="s">
        <v>1067</v>
      </c>
      <c r="F291" s="1929"/>
      <c r="G291" s="1924">
        <f t="shared" ref="G291" si="27">G289+G278</f>
        <v>12</v>
      </c>
      <c r="H291" s="1924">
        <f t="shared" ref="H291:M291" si="28">H289+H278</f>
        <v>6</v>
      </c>
      <c r="I291" s="1924">
        <f t="shared" si="28"/>
        <v>2</v>
      </c>
      <c r="J291" s="1924">
        <f t="shared" si="28"/>
        <v>2</v>
      </c>
      <c r="K291" s="1924">
        <f t="shared" si="28"/>
        <v>5</v>
      </c>
      <c r="L291" s="1924">
        <f t="shared" si="28"/>
        <v>3</v>
      </c>
      <c r="M291" s="1924">
        <f t="shared" si="28"/>
        <v>8</v>
      </c>
      <c r="N291" s="1924">
        <f t="shared" ref="N291" si="29">N289+N278</f>
        <v>5</v>
      </c>
      <c r="O291" s="1924">
        <f t="shared" ref="O291" si="30">O289+O278</f>
        <v>9</v>
      </c>
      <c r="P291" s="1924">
        <f t="shared" ref="P291:Q291" si="31">P289+P278</f>
        <v>5</v>
      </c>
      <c r="Q291" s="1924">
        <f t="shared" si="31"/>
        <v>11</v>
      </c>
      <c r="R291" s="1924">
        <f t="shared" ref="R291:S291" si="32">R289+R278</f>
        <v>15</v>
      </c>
      <c r="S291" s="1924">
        <f t="shared" si="32"/>
        <v>17</v>
      </c>
      <c r="T291" s="1924">
        <f t="shared" ref="T291:U291" si="33">T289+T278</f>
        <v>13</v>
      </c>
      <c r="U291" s="1924">
        <f t="shared" si="33"/>
        <v>17</v>
      </c>
      <c r="V291" s="1924">
        <f t="shared" ref="V291:W291" si="34">V289+V278</f>
        <v>16</v>
      </c>
      <c r="W291" s="1924">
        <f t="shared" si="34"/>
        <v>9</v>
      </c>
      <c r="X291" s="1924">
        <f t="shared" ref="X291" si="35">X289+X278</f>
        <v>7</v>
      </c>
      <c r="Y291" s="1924"/>
      <c r="Z291" s="1893">
        <f>SUM(G291:Y291)</f>
        <v>162</v>
      </c>
      <c r="AA291" s="579">
        <f t="shared" si="18"/>
        <v>324</v>
      </c>
      <c r="AC291" s="1906"/>
      <c r="AD291" s="1906"/>
    </row>
    <row r="292" spans="1:30" ht="26.25" hidden="1" thickBot="1" x14ac:dyDescent="0.2">
      <c r="A292" s="3045"/>
      <c r="B292" s="3056" t="s">
        <v>575</v>
      </c>
      <c r="C292" s="3057"/>
      <c r="D292" s="3058"/>
      <c r="E292" s="1889" t="s">
        <v>1067</v>
      </c>
      <c r="F292" s="1929"/>
      <c r="G292" s="1928">
        <f>SUM(G286:G288)</f>
        <v>0</v>
      </c>
      <c r="H292" s="1928">
        <f t="shared" ref="H292:M292" si="36">SUM(H286:H288)</f>
        <v>0</v>
      </c>
      <c r="I292" s="1928">
        <f t="shared" si="36"/>
        <v>0</v>
      </c>
      <c r="J292" s="1928">
        <f t="shared" si="36"/>
        <v>0</v>
      </c>
      <c r="K292" s="1928">
        <f t="shared" si="36"/>
        <v>0</v>
      </c>
      <c r="L292" s="1928">
        <f t="shared" si="36"/>
        <v>0</v>
      </c>
      <c r="M292" s="1928">
        <f t="shared" si="36"/>
        <v>0</v>
      </c>
      <c r="N292" s="1928">
        <f t="shared" ref="N292" si="37">SUM(N286:N288)</f>
        <v>0</v>
      </c>
      <c r="O292" s="1928">
        <f t="shared" ref="O292" si="38">SUM(O286:O288)</f>
        <v>0</v>
      </c>
      <c r="P292" s="1928">
        <f t="shared" ref="P292:Q292" si="39">SUM(P286:P288)</f>
        <v>0</v>
      </c>
      <c r="Q292" s="1928">
        <f t="shared" si="39"/>
        <v>0</v>
      </c>
      <c r="R292" s="1928">
        <f t="shared" ref="R292:S292" si="40">SUM(R286:R288)</f>
        <v>0</v>
      </c>
      <c r="S292" s="1928">
        <f t="shared" si="40"/>
        <v>0</v>
      </c>
      <c r="T292" s="1928">
        <f t="shared" ref="T292:U292" si="41">SUM(T286:T288)</f>
        <v>0</v>
      </c>
      <c r="U292" s="1928">
        <f t="shared" si="41"/>
        <v>0</v>
      </c>
      <c r="V292" s="1928">
        <f t="shared" ref="V292:W292" si="42">SUM(V286:V288)</f>
        <v>0</v>
      </c>
      <c r="W292" s="1928">
        <f t="shared" si="42"/>
        <v>0</v>
      </c>
      <c r="X292" s="1928">
        <f t="shared" ref="X292" si="43">SUM(X286:X288)</f>
        <v>0</v>
      </c>
      <c r="Y292" s="1928"/>
      <c r="Z292" s="1893">
        <f>SUM(G292:Y292)</f>
        <v>0</v>
      </c>
      <c r="AA292" s="579">
        <f t="shared" si="18"/>
        <v>0</v>
      </c>
      <c r="AC292" s="1906"/>
      <c r="AD292" s="1906"/>
    </row>
    <row r="293" spans="1:30" ht="26.25" hidden="1" thickBot="1" x14ac:dyDescent="0.2">
      <c r="A293" s="3045"/>
      <c r="B293" s="3059" t="s">
        <v>576</v>
      </c>
      <c r="C293" s="3060"/>
      <c r="D293" s="3061"/>
      <c r="E293" s="1889" t="s">
        <v>1067</v>
      </c>
      <c r="F293" s="1911"/>
      <c r="G293" s="1920">
        <f>+G292</f>
        <v>0</v>
      </c>
      <c r="H293" s="1920">
        <f t="shared" ref="H293:M293" si="44">+H292</f>
        <v>0</v>
      </c>
      <c r="I293" s="1920">
        <f t="shared" si="44"/>
        <v>0</v>
      </c>
      <c r="J293" s="1920">
        <f t="shared" si="44"/>
        <v>0</v>
      </c>
      <c r="K293" s="1920">
        <f t="shared" si="44"/>
        <v>0</v>
      </c>
      <c r="L293" s="1920">
        <f t="shared" si="44"/>
        <v>0</v>
      </c>
      <c r="M293" s="1920">
        <f t="shared" si="44"/>
        <v>0</v>
      </c>
      <c r="N293" s="1920">
        <f t="shared" ref="N293" si="45">+N292</f>
        <v>0</v>
      </c>
      <c r="O293" s="1920">
        <f t="shared" ref="O293" si="46">+O292</f>
        <v>0</v>
      </c>
      <c r="P293" s="1920">
        <f t="shared" ref="P293:Q293" si="47">+P292</f>
        <v>0</v>
      </c>
      <c r="Q293" s="1920">
        <f t="shared" si="47"/>
        <v>0</v>
      </c>
      <c r="R293" s="1920">
        <f t="shared" ref="R293:S293" si="48">+R292</f>
        <v>0</v>
      </c>
      <c r="S293" s="1920">
        <f t="shared" si="48"/>
        <v>0</v>
      </c>
      <c r="T293" s="1920">
        <f t="shared" ref="T293:U293" si="49">+T292</f>
        <v>0</v>
      </c>
      <c r="U293" s="1920">
        <f t="shared" si="49"/>
        <v>0</v>
      </c>
      <c r="V293" s="1920">
        <f t="shared" ref="V293:W293" si="50">+V292</f>
        <v>0</v>
      </c>
      <c r="W293" s="1920">
        <f t="shared" si="50"/>
        <v>0</v>
      </c>
      <c r="X293" s="1920">
        <f t="shared" ref="X293" si="51">+X292</f>
        <v>0</v>
      </c>
      <c r="Y293" s="1920"/>
      <c r="Z293" s="1927">
        <f>SUM(G293:Y293)</f>
        <v>0</v>
      </c>
      <c r="AA293" s="579">
        <f t="shared" si="18"/>
        <v>0</v>
      </c>
      <c r="AC293" s="1906"/>
      <c r="AD293" s="1906"/>
    </row>
    <row r="294" spans="1:30" ht="25.5" customHeight="1" x14ac:dyDescent="0.15">
      <c r="A294" s="3045"/>
      <c r="B294" s="3062" t="s">
        <v>577</v>
      </c>
      <c r="C294" s="3026" t="s">
        <v>2269</v>
      </c>
      <c r="D294" s="3027"/>
      <c r="E294" s="1926" t="s">
        <v>1067</v>
      </c>
      <c r="F294" s="1925"/>
      <c r="G294" s="1924">
        <v>4</v>
      </c>
      <c r="H294" s="1924">
        <v>4</v>
      </c>
      <c r="I294" s="1924">
        <v>8</v>
      </c>
      <c r="J294" s="1924">
        <v>8</v>
      </c>
      <c r="K294" s="1924">
        <v>8</v>
      </c>
      <c r="L294" s="1924">
        <v>10</v>
      </c>
      <c r="M294" s="1924">
        <v>4</v>
      </c>
      <c r="N294" s="1924">
        <v>8</v>
      </c>
      <c r="O294" s="1924">
        <v>8</v>
      </c>
      <c r="P294" s="1924">
        <v>8</v>
      </c>
      <c r="Q294" s="1924">
        <v>20</v>
      </c>
      <c r="R294" s="1924">
        <v>14</v>
      </c>
      <c r="S294" s="1924">
        <v>16</v>
      </c>
      <c r="T294" s="1924">
        <v>14</v>
      </c>
      <c r="U294" s="1924">
        <v>14</v>
      </c>
      <c r="V294" s="1924">
        <v>12</v>
      </c>
      <c r="W294" s="1924">
        <v>14</v>
      </c>
      <c r="X294" s="1924">
        <v>28</v>
      </c>
      <c r="Y294" s="1924"/>
      <c r="Z294" s="1923">
        <f>SUM(G294:Y294)</f>
        <v>202</v>
      </c>
      <c r="AA294" s="579">
        <f t="shared" si="18"/>
        <v>404</v>
      </c>
      <c r="AC294" s="1906"/>
      <c r="AD294" s="1906"/>
    </row>
    <row r="295" spans="1:30" ht="26.25" thickBot="1" x14ac:dyDescent="0.2">
      <c r="A295" s="3045"/>
      <c r="B295" s="3064"/>
      <c r="C295" s="3028" t="s">
        <v>2268</v>
      </c>
      <c r="D295" s="3029"/>
      <c r="E295" s="1922"/>
      <c r="F295" s="1921"/>
      <c r="G295" s="1920">
        <f t="shared" ref="G295" si="52">G294/2</f>
        <v>2</v>
      </c>
      <c r="H295" s="1920">
        <f t="shared" ref="H295:M295" si="53">H294/2</f>
        <v>2</v>
      </c>
      <c r="I295" s="1920">
        <f t="shared" si="53"/>
        <v>4</v>
      </c>
      <c r="J295" s="1920">
        <f t="shared" si="53"/>
        <v>4</v>
      </c>
      <c r="K295" s="1920">
        <f t="shared" si="53"/>
        <v>4</v>
      </c>
      <c r="L295" s="1920">
        <f t="shared" si="53"/>
        <v>5</v>
      </c>
      <c r="M295" s="1920">
        <f t="shared" si="53"/>
        <v>2</v>
      </c>
      <c r="N295" s="1920">
        <f t="shared" ref="N295" si="54">N294/2</f>
        <v>4</v>
      </c>
      <c r="O295" s="1920">
        <f t="shared" ref="O295" si="55">O294/2</f>
        <v>4</v>
      </c>
      <c r="P295" s="1920">
        <f t="shared" ref="P295:Q295" si="56">P294/2</f>
        <v>4</v>
      </c>
      <c r="Q295" s="1920">
        <f t="shared" si="56"/>
        <v>10</v>
      </c>
      <c r="R295" s="1920">
        <f t="shared" ref="R295:S295" si="57">R294/2</f>
        <v>7</v>
      </c>
      <c r="S295" s="1920">
        <f t="shared" si="57"/>
        <v>8</v>
      </c>
      <c r="T295" s="1920">
        <f t="shared" ref="T295:U295" si="58">T294/2</f>
        <v>7</v>
      </c>
      <c r="U295" s="1920">
        <f t="shared" si="58"/>
        <v>7</v>
      </c>
      <c r="V295" s="1920">
        <f t="shared" ref="V295:W295" si="59">V294/2</f>
        <v>6</v>
      </c>
      <c r="W295" s="1920">
        <f t="shared" si="59"/>
        <v>7</v>
      </c>
      <c r="X295" s="1920">
        <f t="shared" ref="X295" si="60">X294/2</f>
        <v>14</v>
      </c>
      <c r="Y295" s="1920"/>
      <c r="Z295" s="1896">
        <f>SUM(G295:Y295)</f>
        <v>101</v>
      </c>
      <c r="AA295" s="579">
        <f t="shared" si="18"/>
        <v>202</v>
      </c>
      <c r="AC295" s="1906"/>
      <c r="AD295" s="1906"/>
    </row>
    <row r="296" spans="1:30" ht="18.75" x14ac:dyDescent="0.15">
      <c r="A296" s="3045"/>
      <c r="B296" s="3037" t="s">
        <v>2441</v>
      </c>
      <c r="C296" s="1953" t="s">
        <v>340</v>
      </c>
      <c r="D296" s="1907">
        <v>0.1</v>
      </c>
      <c r="E296" s="1901" t="s">
        <v>1067</v>
      </c>
      <c r="F296" s="1913"/>
      <c r="G296" s="3004">
        <v>30</v>
      </c>
      <c r="H296" s="3004"/>
      <c r="I296" s="3004"/>
      <c r="J296" s="3004"/>
      <c r="K296" s="3004">
        <v>88</v>
      </c>
      <c r="L296" s="3004">
        <v>30</v>
      </c>
      <c r="M296" s="3004">
        <v>66</v>
      </c>
      <c r="N296" s="3004">
        <v>88.02</v>
      </c>
      <c r="O296" s="3004">
        <v>90</v>
      </c>
      <c r="P296" s="3004">
        <v>88.01</v>
      </c>
      <c r="Q296" s="3004">
        <v>96</v>
      </c>
      <c r="R296" s="3004">
        <v>160</v>
      </c>
      <c r="S296" s="3004">
        <v>220</v>
      </c>
      <c r="T296" s="3004">
        <v>150</v>
      </c>
      <c r="U296" s="3004">
        <v>218.02</v>
      </c>
      <c r="V296" s="3004">
        <v>190</v>
      </c>
      <c r="W296" s="3004">
        <v>88</v>
      </c>
      <c r="X296" s="3004">
        <v>30</v>
      </c>
      <c r="Y296" s="3004"/>
      <c r="Z296" s="3018">
        <f>+TRUNC((+SUM(G296:Y297)),2)</f>
        <v>1632.05</v>
      </c>
      <c r="AA296" s="579">
        <f t="shared" si="18"/>
        <v>3264.1</v>
      </c>
      <c r="AC296" s="1906"/>
      <c r="AD296" s="1906"/>
    </row>
    <row r="297" spans="1:30" ht="49.5" x14ac:dyDescent="0.15">
      <c r="A297" s="3045"/>
      <c r="B297" s="3038"/>
      <c r="C297" s="1954" t="s">
        <v>1072</v>
      </c>
      <c r="D297" s="1905"/>
      <c r="E297" s="1904" t="s">
        <v>1067</v>
      </c>
      <c r="F297" s="1888"/>
      <c r="G297" s="3005"/>
      <c r="H297" s="3005"/>
      <c r="I297" s="3005"/>
      <c r="J297" s="3005"/>
      <c r="K297" s="3005"/>
      <c r="L297" s="3005"/>
      <c r="M297" s="3005"/>
      <c r="N297" s="3005"/>
      <c r="O297" s="3005"/>
      <c r="P297" s="3005"/>
      <c r="Q297" s="3005"/>
      <c r="R297" s="3005"/>
      <c r="S297" s="3005"/>
      <c r="T297" s="3005"/>
      <c r="U297" s="3005"/>
      <c r="V297" s="3005"/>
      <c r="W297" s="3005"/>
      <c r="X297" s="3005"/>
      <c r="Y297" s="3005"/>
      <c r="Z297" s="3012"/>
      <c r="AA297" s="580">
        <f>+AA296</f>
        <v>3264.1</v>
      </c>
    </row>
    <row r="298" spans="1:30" ht="22.5" hidden="1" customHeight="1" x14ac:dyDescent="0.15">
      <c r="A298" s="3045"/>
      <c r="B298" s="3069"/>
      <c r="C298" s="1959" t="s">
        <v>579</v>
      </c>
      <c r="D298" s="1919"/>
      <c r="E298" s="1901" t="s">
        <v>1067</v>
      </c>
      <c r="F298" s="1888"/>
      <c r="G298" s="1917">
        <v>462.61</v>
      </c>
      <c r="H298" s="1917">
        <v>498.08</v>
      </c>
      <c r="I298" s="1917">
        <v>207.74</v>
      </c>
      <c r="J298" s="1917">
        <v>207.99</v>
      </c>
      <c r="K298" s="1917">
        <v>224.53</v>
      </c>
      <c r="L298" s="1917">
        <v>129.53</v>
      </c>
      <c r="M298" s="1917">
        <v>5.59</v>
      </c>
      <c r="N298" s="1917">
        <v>224.44</v>
      </c>
      <c r="O298" s="1917">
        <v>432.88</v>
      </c>
      <c r="P298" s="1917">
        <v>224.52</v>
      </c>
      <c r="Q298" s="1917">
        <v>215.92</v>
      </c>
      <c r="R298" s="1917">
        <v>562.09</v>
      </c>
      <c r="S298" s="1917">
        <v>528.04</v>
      </c>
      <c r="T298" s="1917">
        <v>587.04999999999995</v>
      </c>
      <c r="U298" s="1917">
        <v>551.79</v>
      </c>
      <c r="V298" s="1917">
        <v>551.42999999999995</v>
      </c>
      <c r="W298" s="1917">
        <v>201.54</v>
      </c>
      <c r="X298" s="1917">
        <v>312.58</v>
      </c>
      <c r="Y298" s="1917"/>
      <c r="Z298" s="3011">
        <f>TRUNC((SUM(G299:Y300)),2)</f>
        <v>1542.06</v>
      </c>
      <c r="AA298" s="1916"/>
    </row>
    <row r="299" spans="1:30" ht="18.75" x14ac:dyDescent="0.15">
      <c r="A299" s="3045"/>
      <c r="B299" s="3038"/>
      <c r="C299" s="1955" t="s">
        <v>340</v>
      </c>
      <c r="D299" s="1915">
        <v>0.1</v>
      </c>
      <c r="E299" s="1901" t="s">
        <v>1067</v>
      </c>
      <c r="F299" s="1888"/>
      <c r="G299" s="3006">
        <f>(INT(G298/8)*2)+IF(MOD(G298,8)&gt;2,2,MOD(G298,8))</f>
        <v>116</v>
      </c>
      <c r="H299" s="3006">
        <f t="shared" ref="H299:M299" si="61">(INT(H298/8)*2)+IF(MOD(H298,8)&gt;2,2,MOD(H298,8))</f>
        <v>126</v>
      </c>
      <c r="I299" s="3006">
        <f t="shared" si="61"/>
        <v>52</v>
      </c>
      <c r="J299" s="3006">
        <f t="shared" si="61"/>
        <v>52</v>
      </c>
      <c r="K299" s="3006">
        <f t="shared" si="61"/>
        <v>56.53</v>
      </c>
      <c r="L299" s="3006">
        <f t="shared" si="61"/>
        <v>33.53</v>
      </c>
      <c r="M299" s="3006">
        <f t="shared" si="61"/>
        <v>2</v>
      </c>
      <c r="N299" s="3006">
        <f t="shared" ref="N299" si="62">(INT(N298/8)*2)+IF(MOD(N298,8)&gt;2,2,MOD(N298,8))</f>
        <v>56.44</v>
      </c>
      <c r="O299" s="3006">
        <f t="shared" ref="O299" si="63">(INT(O298/8)*2)+IF(MOD(O298,8)&gt;2,2,MOD(O298,8))</f>
        <v>108.88</v>
      </c>
      <c r="P299" s="3006">
        <f t="shared" ref="P299:Q299" si="64">(INT(P298/8)*2)+IF(MOD(P298,8)&gt;2,2,MOD(P298,8))</f>
        <v>56.52000000000001</v>
      </c>
      <c r="Q299" s="3006">
        <f t="shared" si="64"/>
        <v>54</v>
      </c>
      <c r="R299" s="3006">
        <f t="shared" ref="R299:S299" si="65">(INT(R298/8)*2)+IF(MOD(R298,8)&gt;2,2,MOD(R298,8))</f>
        <v>142</v>
      </c>
      <c r="S299" s="3006">
        <f t="shared" si="65"/>
        <v>132.03999999999996</v>
      </c>
      <c r="T299" s="3006">
        <f t="shared" ref="T299:U299" si="66">(INT(T298/8)*2)+IF(MOD(T298,8)&gt;2,2,MOD(T298,8))</f>
        <v>148</v>
      </c>
      <c r="U299" s="3006">
        <f t="shared" si="66"/>
        <v>138</v>
      </c>
      <c r="V299" s="3006">
        <f t="shared" ref="V299:W299" si="67">(INT(V298/8)*2)+IF(MOD(V298,8)&gt;2,2,MOD(V298,8))</f>
        <v>138</v>
      </c>
      <c r="W299" s="3006">
        <f t="shared" si="67"/>
        <v>51.539999999999992</v>
      </c>
      <c r="X299" s="3006">
        <f t="shared" ref="X299" si="68">(INT(X298/8)*2)+IF(MOD(X298,8)&gt;2,2,MOD(X298,8))</f>
        <v>78.579999999999984</v>
      </c>
      <c r="Y299" s="3006"/>
      <c r="Z299" s="3014"/>
      <c r="AA299" s="579">
        <f>SUM(G299:Z299)</f>
        <v>1542.0599999999997</v>
      </c>
    </row>
    <row r="300" spans="1:30" ht="55.5" x14ac:dyDescent="0.2">
      <c r="A300" s="3045"/>
      <c r="B300" s="3038"/>
      <c r="C300" s="1954" t="s">
        <v>1069</v>
      </c>
      <c r="D300" s="1902" t="s">
        <v>2461</v>
      </c>
      <c r="E300" s="1914" t="s">
        <v>1067</v>
      </c>
      <c r="F300" s="1888"/>
      <c r="G300" s="3005"/>
      <c r="H300" s="3005"/>
      <c r="I300" s="3005"/>
      <c r="J300" s="3005"/>
      <c r="K300" s="3005"/>
      <c r="L300" s="3005"/>
      <c r="M300" s="3005"/>
      <c r="N300" s="3005"/>
      <c r="O300" s="3005"/>
      <c r="P300" s="3005"/>
      <c r="Q300" s="3005"/>
      <c r="R300" s="3005"/>
      <c r="S300" s="3005"/>
      <c r="T300" s="3005"/>
      <c r="U300" s="3005"/>
      <c r="V300" s="3005"/>
      <c r="W300" s="3005"/>
      <c r="X300" s="3005"/>
      <c r="Y300" s="3005"/>
      <c r="Z300" s="3012"/>
      <c r="AA300" s="580">
        <f>+AA299</f>
        <v>1542.0599999999997</v>
      </c>
    </row>
    <row r="301" spans="1:30" ht="18.75" hidden="1" x14ac:dyDescent="0.15">
      <c r="A301" s="3045"/>
      <c r="B301" s="3069"/>
      <c r="C301" s="1959" t="s">
        <v>579</v>
      </c>
      <c r="D301" s="1918"/>
      <c r="E301" s="1901" t="s">
        <v>1067</v>
      </c>
      <c r="F301" s="1888"/>
      <c r="G301" s="1917">
        <v>496.63</v>
      </c>
      <c r="H301" s="1917">
        <v>492.47</v>
      </c>
      <c r="I301" s="1917">
        <v>235.73</v>
      </c>
      <c r="J301" s="1917">
        <v>236.82</v>
      </c>
      <c r="K301" s="1917"/>
      <c r="L301" s="1917"/>
      <c r="M301" s="1917"/>
      <c r="N301" s="1917"/>
      <c r="O301" s="1917"/>
      <c r="P301" s="1917"/>
      <c r="Q301" s="1917"/>
      <c r="R301" s="1917"/>
      <c r="S301" s="1917"/>
      <c r="T301" s="1917"/>
      <c r="U301" s="1917"/>
      <c r="V301" s="1917"/>
      <c r="W301" s="1917"/>
      <c r="X301" s="1917"/>
      <c r="Y301" s="1917"/>
      <c r="Z301" s="3011">
        <f>TRUNC((SUM(G302:Y303)),2)</f>
        <v>731.92</v>
      </c>
      <c r="AA301" s="1916"/>
    </row>
    <row r="302" spans="1:30" ht="18.75" x14ac:dyDescent="0.15">
      <c r="A302" s="3045"/>
      <c r="B302" s="3069"/>
      <c r="C302" s="1955" t="s">
        <v>340</v>
      </c>
      <c r="D302" s="1915">
        <v>0.1</v>
      </c>
      <c r="E302" s="1901" t="s">
        <v>1067</v>
      </c>
      <c r="F302" s="1888"/>
      <c r="G302" s="3006">
        <f>(INT(G301/2)*1)+IF(MOD(G301,2)&gt;1,1,MOD(G301,2))</f>
        <v>248.63</v>
      </c>
      <c r="H302" s="3006">
        <f t="shared" ref="H302:M302" si="69">(INT(H301/2)*1)+IF(MOD(H301,2)&gt;1,1,MOD(H301,2))</f>
        <v>246.47000000000003</v>
      </c>
      <c r="I302" s="3006">
        <f t="shared" si="69"/>
        <v>118</v>
      </c>
      <c r="J302" s="3006">
        <f t="shared" si="69"/>
        <v>118.82</v>
      </c>
      <c r="K302" s="3006">
        <f t="shared" si="69"/>
        <v>0</v>
      </c>
      <c r="L302" s="3006">
        <f t="shared" si="69"/>
        <v>0</v>
      </c>
      <c r="M302" s="3006">
        <f t="shared" si="69"/>
        <v>0</v>
      </c>
      <c r="N302" s="3006">
        <f t="shared" ref="N302" si="70">(INT(N301/2)*1)+IF(MOD(N301,2)&gt;1,1,MOD(N301,2))</f>
        <v>0</v>
      </c>
      <c r="O302" s="3006">
        <f t="shared" ref="O302" si="71">(INT(O301/2)*1)+IF(MOD(O301,2)&gt;1,1,MOD(O301,2))</f>
        <v>0</v>
      </c>
      <c r="P302" s="3006">
        <f t="shared" ref="P302:Q302" si="72">(INT(P301/2)*1)+IF(MOD(P301,2)&gt;1,1,MOD(P301,2))</f>
        <v>0</v>
      </c>
      <c r="Q302" s="3006">
        <f t="shared" si="72"/>
        <v>0</v>
      </c>
      <c r="R302" s="3006">
        <f t="shared" ref="R302:S302" si="73">(INT(R301/2)*1)+IF(MOD(R301,2)&gt;1,1,MOD(R301,2))</f>
        <v>0</v>
      </c>
      <c r="S302" s="3006">
        <f t="shared" si="73"/>
        <v>0</v>
      </c>
      <c r="T302" s="3006">
        <f t="shared" ref="T302:U302" si="74">(INT(T301/2)*1)+IF(MOD(T301,2)&gt;1,1,MOD(T301,2))</f>
        <v>0</v>
      </c>
      <c r="U302" s="3006">
        <f t="shared" si="74"/>
        <v>0</v>
      </c>
      <c r="V302" s="3006">
        <f t="shared" ref="V302:W302" si="75">(INT(V301/2)*1)+IF(MOD(V301,2)&gt;1,1,MOD(V301,2))</f>
        <v>0</v>
      </c>
      <c r="W302" s="3006">
        <f t="shared" si="75"/>
        <v>0</v>
      </c>
      <c r="X302" s="3006">
        <f t="shared" ref="X302" si="76">(INT(X301/2)*1)+IF(MOD(X301,2)&gt;1,1,MOD(X301,2))</f>
        <v>0</v>
      </c>
      <c r="Y302" s="3006"/>
      <c r="Z302" s="3014"/>
      <c r="AA302" s="579">
        <f>SUM(G302:Z302)</f>
        <v>731.92000000000007</v>
      </c>
    </row>
    <row r="303" spans="1:30" ht="55.5" x14ac:dyDescent="0.2">
      <c r="A303" s="3045"/>
      <c r="B303" s="3069"/>
      <c r="C303" s="1954" t="s">
        <v>1070</v>
      </c>
      <c r="D303" s="1902" t="s">
        <v>914</v>
      </c>
      <c r="E303" s="1914" t="s">
        <v>1067</v>
      </c>
      <c r="F303" s="1888"/>
      <c r="G303" s="3005"/>
      <c r="H303" s="3005"/>
      <c r="I303" s="3005"/>
      <c r="J303" s="3005"/>
      <c r="K303" s="3005"/>
      <c r="L303" s="3005"/>
      <c r="M303" s="3005"/>
      <c r="N303" s="3005"/>
      <c r="O303" s="3005"/>
      <c r="P303" s="3005"/>
      <c r="Q303" s="3005"/>
      <c r="R303" s="3005"/>
      <c r="S303" s="3005"/>
      <c r="T303" s="3005"/>
      <c r="U303" s="3005"/>
      <c r="V303" s="3005"/>
      <c r="W303" s="3005"/>
      <c r="X303" s="3005"/>
      <c r="Y303" s="3005"/>
      <c r="Z303" s="3012"/>
      <c r="AA303" s="580">
        <f>+AA302</f>
        <v>731.92000000000007</v>
      </c>
    </row>
    <row r="304" spans="1:30" ht="26.25" thickBot="1" x14ac:dyDescent="0.2">
      <c r="A304" s="3045"/>
      <c r="B304" s="3039"/>
      <c r="C304" s="3019" t="s">
        <v>580</v>
      </c>
      <c r="D304" s="3020"/>
      <c r="E304" s="1889" t="s">
        <v>1067</v>
      </c>
      <c r="F304" s="1888"/>
      <c r="G304" s="2284">
        <f t="shared" ref="G304" si="77">$D296*G296+$D299*G299+$D302*G302</f>
        <v>39.463000000000001</v>
      </c>
      <c r="H304" s="2284">
        <f t="shared" ref="H304:M304" si="78">$D296*H296+$D299*H299+$D302*H302</f>
        <v>37.247000000000007</v>
      </c>
      <c r="I304" s="2284">
        <f t="shared" si="78"/>
        <v>17</v>
      </c>
      <c r="J304" s="2284">
        <f t="shared" si="78"/>
        <v>17.082000000000001</v>
      </c>
      <c r="K304" s="2284">
        <f t="shared" si="78"/>
        <v>14.453000000000001</v>
      </c>
      <c r="L304" s="2284">
        <f t="shared" si="78"/>
        <v>6.3529999999999998</v>
      </c>
      <c r="M304" s="2284">
        <f t="shared" si="78"/>
        <v>6.8000000000000007</v>
      </c>
      <c r="N304" s="2284">
        <f t="shared" ref="N304" si="79">$D296*N296+$D299*N299+$D302*N302</f>
        <v>14.446</v>
      </c>
      <c r="O304" s="2284">
        <f t="shared" ref="O304" si="80">$D296*O296+$D299*O299+$D302*O302</f>
        <v>19.887999999999998</v>
      </c>
      <c r="P304" s="2284">
        <f t="shared" ref="P304:Q304" si="81">$D296*P296+$D299*P299+$D302*P302</f>
        <v>14.453000000000001</v>
      </c>
      <c r="Q304" s="2284">
        <f t="shared" si="81"/>
        <v>15.000000000000002</v>
      </c>
      <c r="R304" s="2284">
        <f t="shared" ref="R304:S304" si="82">$D296*R296+$D299*R299+$D302*R302</f>
        <v>30.200000000000003</v>
      </c>
      <c r="S304" s="2284">
        <f t="shared" si="82"/>
        <v>35.203999999999994</v>
      </c>
      <c r="T304" s="2284">
        <f t="shared" ref="T304:U304" si="83">$D296*T296+$D299*T299+$D302*T302</f>
        <v>29.8</v>
      </c>
      <c r="U304" s="2284">
        <f t="shared" si="83"/>
        <v>35.602000000000004</v>
      </c>
      <c r="V304" s="2284">
        <f t="shared" ref="V304:W304" si="84">$D296*V296+$D299*V299+$D302*V302</f>
        <v>32.799999999999997</v>
      </c>
      <c r="W304" s="2284">
        <f t="shared" si="84"/>
        <v>13.954000000000001</v>
      </c>
      <c r="X304" s="2284">
        <f t="shared" ref="X304" si="85">$D296*X296+$D299*X299+$D302*X302</f>
        <v>10.857999999999999</v>
      </c>
      <c r="Y304" s="2284"/>
      <c r="Z304" s="1886">
        <f>+TRUNC(+SUM(G304:Y304),2)</f>
        <v>390.6</v>
      </c>
      <c r="AA304" s="579">
        <f>SUM(G304:Z304)</f>
        <v>781.2030000000002</v>
      </c>
    </row>
    <row r="305" spans="1:30" ht="19.5" hidden="1" thickBot="1" x14ac:dyDescent="0.2">
      <c r="A305" s="3045"/>
      <c r="B305" s="3037" t="s">
        <v>2448</v>
      </c>
      <c r="C305" s="1959" t="s">
        <v>579</v>
      </c>
      <c r="D305" s="1918"/>
      <c r="E305" s="1901" t="s">
        <v>1067</v>
      </c>
      <c r="F305" s="1888"/>
      <c r="G305" s="1917"/>
      <c r="H305" s="1917"/>
      <c r="I305" s="1917"/>
      <c r="J305" s="1917"/>
      <c r="K305" s="1917"/>
      <c r="L305" s="1917"/>
      <c r="M305" s="1917"/>
      <c r="N305" s="1917"/>
      <c r="O305" s="1917"/>
      <c r="P305" s="1917"/>
      <c r="Q305" s="1917"/>
      <c r="R305" s="1917"/>
      <c r="S305" s="1917"/>
      <c r="T305" s="1917"/>
      <c r="U305" s="1917"/>
      <c r="V305" s="1917"/>
      <c r="W305" s="1917"/>
      <c r="X305" s="1917"/>
      <c r="Y305" s="1917"/>
      <c r="Z305" s="3011">
        <f>TRUNC((SUM(G306:Y307)),2)</f>
        <v>0</v>
      </c>
      <c r="AA305" s="1916"/>
    </row>
    <row r="306" spans="1:30" ht="19.5" hidden="1" thickBot="1" x14ac:dyDescent="0.2">
      <c r="A306" s="3045"/>
      <c r="B306" s="3038"/>
      <c r="C306" s="1955" t="s">
        <v>340</v>
      </c>
      <c r="D306" s="1915">
        <v>0.1</v>
      </c>
      <c r="E306" s="1901" t="s">
        <v>1067</v>
      </c>
      <c r="F306" s="1888"/>
      <c r="G306" s="3006">
        <f t="shared" ref="G306:M306" si="86">TRUNC((G305/2),2)</f>
        <v>0</v>
      </c>
      <c r="H306" s="3006">
        <f t="shared" si="86"/>
        <v>0</v>
      </c>
      <c r="I306" s="3006">
        <f t="shared" si="86"/>
        <v>0</v>
      </c>
      <c r="J306" s="3006">
        <f t="shared" si="86"/>
        <v>0</v>
      </c>
      <c r="K306" s="3006">
        <f t="shared" si="86"/>
        <v>0</v>
      </c>
      <c r="L306" s="3006">
        <f t="shared" si="86"/>
        <v>0</v>
      </c>
      <c r="M306" s="3006">
        <f t="shared" si="86"/>
        <v>0</v>
      </c>
      <c r="N306" s="3006">
        <f t="shared" ref="N306" si="87">TRUNC((N305/2),2)</f>
        <v>0</v>
      </c>
      <c r="O306" s="3006">
        <f t="shared" ref="O306" si="88">TRUNC((O305/2),2)</f>
        <v>0</v>
      </c>
      <c r="P306" s="3006">
        <f t="shared" ref="P306:Q306" si="89">TRUNC((P305/2),2)</f>
        <v>0</v>
      </c>
      <c r="Q306" s="3006">
        <f t="shared" si="89"/>
        <v>0</v>
      </c>
      <c r="R306" s="3006">
        <f t="shared" ref="R306:S306" si="90">TRUNC((R305/2),2)</f>
        <v>0</v>
      </c>
      <c r="S306" s="3006">
        <f t="shared" si="90"/>
        <v>0</v>
      </c>
      <c r="T306" s="3006">
        <f t="shared" ref="T306:U306" si="91">TRUNC((T305/2),2)</f>
        <v>0</v>
      </c>
      <c r="U306" s="3006">
        <f t="shared" si="91"/>
        <v>0</v>
      </c>
      <c r="V306" s="3006">
        <f t="shared" ref="V306:W306" si="92">TRUNC((V305/2),2)</f>
        <v>0</v>
      </c>
      <c r="W306" s="3006">
        <f t="shared" si="92"/>
        <v>0</v>
      </c>
      <c r="X306" s="3006">
        <f t="shared" ref="X306" si="93">TRUNC((X305/2),2)</f>
        <v>0</v>
      </c>
      <c r="Y306" s="3006"/>
      <c r="Z306" s="3014"/>
      <c r="AA306" s="579">
        <f>SUM(G306:Z306)</f>
        <v>0</v>
      </c>
    </row>
    <row r="307" spans="1:30" ht="56.25" hidden="1" thickBot="1" x14ac:dyDescent="0.25">
      <c r="A307" s="3045"/>
      <c r="B307" s="3038"/>
      <c r="C307" s="1954" t="s">
        <v>2267</v>
      </c>
      <c r="D307" s="1902" t="s">
        <v>913</v>
      </c>
      <c r="E307" s="1914" t="s">
        <v>1067</v>
      </c>
      <c r="F307" s="1888"/>
      <c r="G307" s="3005"/>
      <c r="H307" s="3005"/>
      <c r="I307" s="3005"/>
      <c r="J307" s="3005"/>
      <c r="K307" s="3005"/>
      <c r="L307" s="3005"/>
      <c r="M307" s="3005"/>
      <c r="N307" s="3005"/>
      <c r="O307" s="3005"/>
      <c r="P307" s="3008"/>
      <c r="Q307" s="3008"/>
      <c r="R307" s="3008"/>
      <c r="S307" s="3008"/>
      <c r="T307" s="3008"/>
      <c r="U307" s="3008"/>
      <c r="V307" s="3008"/>
      <c r="W307" s="3008"/>
      <c r="X307" s="3008"/>
      <c r="Y307" s="3005"/>
      <c r="Z307" s="3012"/>
      <c r="AA307" s="580">
        <f>+AA306</f>
        <v>0</v>
      </c>
    </row>
    <row r="308" spans="1:30" ht="19.5" hidden="1" thickBot="1" x14ac:dyDescent="0.2">
      <c r="A308" s="3045"/>
      <c r="B308" s="3038"/>
      <c r="C308" s="1953" t="s">
        <v>340</v>
      </c>
      <c r="D308" s="1907">
        <v>0.1</v>
      </c>
      <c r="E308" s="1901" t="s">
        <v>1067</v>
      </c>
      <c r="F308" s="1913"/>
      <c r="G308" s="3004"/>
      <c r="H308" s="3004"/>
      <c r="I308" s="3004"/>
      <c r="J308" s="3004"/>
      <c r="K308" s="3004"/>
      <c r="L308" s="3004"/>
      <c r="M308" s="3004"/>
      <c r="N308" s="3004"/>
      <c r="O308" s="3004"/>
      <c r="P308" s="3004"/>
      <c r="Q308" s="3004"/>
      <c r="R308" s="3004"/>
      <c r="S308" s="3004"/>
      <c r="T308" s="3004"/>
      <c r="U308" s="3004"/>
      <c r="V308" s="3004"/>
      <c r="W308" s="3004"/>
      <c r="X308" s="3004"/>
      <c r="Y308" s="3004"/>
      <c r="Z308" s="3018">
        <f>+TRUNC((+SUM(G308:Y309)),2)</f>
        <v>0</v>
      </c>
      <c r="AA308" s="579">
        <f>SUM(G308:Z308)</f>
        <v>0</v>
      </c>
      <c r="AC308" s="1906"/>
      <c r="AD308" s="1906"/>
    </row>
    <row r="309" spans="1:30" ht="50.25" hidden="1" thickBot="1" x14ac:dyDescent="0.2">
      <c r="A309" s="3045"/>
      <c r="B309" s="3038"/>
      <c r="C309" s="1954" t="s">
        <v>2266</v>
      </c>
      <c r="D309" s="1905"/>
      <c r="E309" s="1904" t="s">
        <v>1067</v>
      </c>
      <c r="F309" s="1888"/>
      <c r="G309" s="3008"/>
      <c r="H309" s="3008"/>
      <c r="I309" s="3008"/>
      <c r="J309" s="3008"/>
      <c r="K309" s="3008"/>
      <c r="L309" s="3008"/>
      <c r="M309" s="3008"/>
      <c r="N309" s="3008"/>
      <c r="O309" s="3008"/>
      <c r="P309" s="3008"/>
      <c r="Q309" s="3008"/>
      <c r="R309" s="3008"/>
      <c r="S309" s="3008"/>
      <c r="T309" s="3008"/>
      <c r="U309" s="3008"/>
      <c r="V309" s="3008"/>
      <c r="W309" s="3008"/>
      <c r="X309" s="3008"/>
      <c r="Y309" s="3008"/>
      <c r="Z309" s="3012"/>
      <c r="AA309" s="580">
        <f>+AA308</f>
        <v>0</v>
      </c>
    </row>
    <row r="310" spans="1:30" ht="19.5" hidden="1" thickBot="1" x14ac:dyDescent="0.2">
      <c r="A310" s="3045"/>
      <c r="B310" s="3038"/>
      <c r="C310" s="1953" t="s">
        <v>340</v>
      </c>
      <c r="D310" s="1907">
        <v>0.2</v>
      </c>
      <c r="E310" s="1901" t="s">
        <v>1067</v>
      </c>
      <c r="F310" s="1913"/>
      <c r="G310" s="3004"/>
      <c r="H310" s="3004"/>
      <c r="I310" s="3004"/>
      <c r="J310" s="3004"/>
      <c r="K310" s="3004"/>
      <c r="L310" s="3004"/>
      <c r="M310" s="3004"/>
      <c r="N310" s="3004"/>
      <c r="O310" s="3004"/>
      <c r="P310" s="3004"/>
      <c r="Q310" s="3004"/>
      <c r="R310" s="3004"/>
      <c r="S310" s="3004"/>
      <c r="T310" s="3004"/>
      <c r="U310" s="3004"/>
      <c r="V310" s="3004"/>
      <c r="W310" s="3004"/>
      <c r="X310" s="3004"/>
      <c r="Y310" s="3004"/>
      <c r="Z310" s="3018">
        <f>+TRUNC((+SUM(G310:Y311)),2)</f>
        <v>0</v>
      </c>
      <c r="AA310" s="579">
        <f>SUM(G310:Z310)</f>
        <v>0</v>
      </c>
      <c r="AC310" s="1906"/>
      <c r="AD310" s="1906"/>
    </row>
    <row r="311" spans="1:30" ht="50.25" hidden="1" thickBot="1" x14ac:dyDescent="0.2">
      <c r="A311" s="3045"/>
      <c r="B311" s="3038"/>
      <c r="C311" s="1954" t="s">
        <v>2265</v>
      </c>
      <c r="D311" s="1905"/>
      <c r="E311" s="1904" t="s">
        <v>1067</v>
      </c>
      <c r="F311" s="1888"/>
      <c r="G311" s="3005"/>
      <c r="H311" s="3005"/>
      <c r="I311" s="3005"/>
      <c r="J311" s="3005"/>
      <c r="K311" s="3005"/>
      <c r="L311" s="3005"/>
      <c r="M311" s="3005"/>
      <c r="N311" s="3005"/>
      <c r="O311" s="3005"/>
      <c r="P311" s="3005"/>
      <c r="Q311" s="3005"/>
      <c r="R311" s="3005"/>
      <c r="S311" s="3005"/>
      <c r="T311" s="3005"/>
      <c r="U311" s="3005"/>
      <c r="V311" s="3005"/>
      <c r="W311" s="3005"/>
      <c r="X311" s="3005"/>
      <c r="Y311" s="3005"/>
      <c r="Z311" s="3012"/>
      <c r="AA311" s="580">
        <f>+AA310</f>
        <v>0</v>
      </c>
    </row>
    <row r="312" spans="1:30" ht="26.25" hidden="1" thickBot="1" x14ac:dyDescent="0.2">
      <c r="A312" s="3045"/>
      <c r="B312" s="3039"/>
      <c r="C312" s="3019" t="s">
        <v>580</v>
      </c>
      <c r="D312" s="3020"/>
      <c r="E312" s="1889" t="s">
        <v>1067</v>
      </c>
      <c r="F312" s="1888"/>
      <c r="G312" s="2284">
        <f>$D$306*G306+$D$308*G308+$D$310*G310</f>
        <v>0</v>
      </c>
      <c r="H312" s="2284">
        <f t="shared" ref="H312:M312" si="94">$D$306*H306+$D$308*H308+$D$310*H310</f>
        <v>0</v>
      </c>
      <c r="I312" s="2284">
        <f t="shared" si="94"/>
        <v>0</v>
      </c>
      <c r="J312" s="2284">
        <f t="shared" si="94"/>
        <v>0</v>
      </c>
      <c r="K312" s="2284">
        <f t="shared" si="94"/>
        <v>0</v>
      </c>
      <c r="L312" s="2284">
        <f t="shared" si="94"/>
        <v>0</v>
      </c>
      <c r="M312" s="2284">
        <f t="shared" si="94"/>
        <v>0</v>
      </c>
      <c r="N312" s="2284">
        <f t="shared" ref="N312" si="95">$D$306*N306+$D$308*N308+$D$310*N310</f>
        <v>0</v>
      </c>
      <c r="O312" s="2284">
        <f t="shared" ref="O312" si="96">$D$306*O306+$D$308*O308+$D$310*O310</f>
        <v>0</v>
      </c>
      <c r="P312" s="2284">
        <f t="shared" ref="P312:Q312" si="97">$D$306*P306+$D$308*P308+$D$310*P310</f>
        <v>0</v>
      </c>
      <c r="Q312" s="2284">
        <f t="shared" si="97"/>
        <v>0</v>
      </c>
      <c r="R312" s="2284">
        <f t="shared" ref="R312:S312" si="98">$D$306*R306+$D$308*R308+$D$310*R310</f>
        <v>0</v>
      </c>
      <c r="S312" s="2284">
        <f t="shared" si="98"/>
        <v>0</v>
      </c>
      <c r="T312" s="2284">
        <f t="shared" ref="T312:U312" si="99">$D$306*T306+$D$308*T308+$D$310*T310</f>
        <v>0</v>
      </c>
      <c r="U312" s="2284">
        <f t="shared" si="99"/>
        <v>0</v>
      </c>
      <c r="V312" s="2284">
        <f t="shared" ref="V312:W312" si="100">$D$306*V306+$D$308*V308+$D$310*V310</f>
        <v>0</v>
      </c>
      <c r="W312" s="2284">
        <f t="shared" si="100"/>
        <v>0</v>
      </c>
      <c r="X312" s="2284">
        <f t="shared" ref="X312" si="101">$D$306*X306+$D$308*X308+$D$310*X310</f>
        <v>0</v>
      </c>
      <c r="Y312" s="2284"/>
      <c r="Z312" s="1886">
        <f>+TRUNC(+SUM(G312:Y312),2)</f>
        <v>0</v>
      </c>
      <c r="AA312" s="579">
        <f>SUM(G312:Z312)</f>
        <v>0</v>
      </c>
    </row>
    <row r="313" spans="1:30" ht="19.5" hidden="1" thickBot="1" x14ac:dyDescent="0.2">
      <c r="A313" s="3045"/>
      <c r="B313" s="3037" t="s">
        <v>1079</v>
      </c>
      <c r="C313" s="1956" t="s">
        <v>340</v>
      </c>
      <c r="D313" s="1907">
        <v>0.3</v>
      </c>
      <c r="E313" s="1901" t="s">
        <v>1067</v>
      </c>
      <c r="F313" s="1912"/>
      <c r="G313" s="3004"/>
      <c r="H313" s="3004"/>
      <c r="I313" s="3004"/>
      <c r="J313" s="3004"/>
      <c r="K313" s="3004"/>
      <c r="L313" s="3004"/>
      <c r="M313" s="3004"/>
      <c r="N313" s="3004"/>
      <c r="O313" s="3004"/>
      <c r="P313" s="3004"/>
      <c r="Q313" s="3004"/>
      <c r="R313" s="3004"/>
      <c r="S313" s="3004"/>
      <c r="T313" s="3004"/>
      <c r="U313" s="3004"/>
      <c r="V313" s="3004"/>
      <c r="W313" s="3004"/>
      <c r="X313" s="3004"/>
      <c r="Y313" s="2279"/>
      <c r="Z313" s="3018">
        <f>+TRUNC((+SUM(G313:Y314)),2)</f>
        <v>0</v>
      </c>
      <c r="AA313" s="579">
        <f>SUM(G313:Z313)</f>
        <v>0</v>
      </c>
    </row>
    <row r="314" spans="1:30" ht="50.25" hidden="1" thickBot="1" x14ac:dyDescent="0.2">
      <c r="A314" s="3045"/>
      <c r="B314" s="3038"/>
      <c r="C314" s="1954" t="s">
        <v>1071</v>
      </c>
      <c r="D314" s="1905"/>
      <c r="E314" s="1904" t="s">
        <v>1067</v>
      </c>
      <c r="F314" s="1911"/>
      <c r="G314" s="3005"/>
      <c r="H314" s="3005"/>
      <c r="I314" s="3005"/>
      <c r="J314" s="3005"/>
      <c r="K314" s="3005"/>
      <c r="L314" s="3005"/>
      <c r="M314" s="3005"/>
      <c r="N314" s="3005"/>
      <c r="O314" s="3005"/>
      <c r="P314" s="3005"/>
      <c r="Q314" s="3005"/>
      <c r="R314" s="3005"/>
      <c r="S314" s="3005"/>
      <c r="T314" s="3005"/>
      <c r="U314" s="3005"/>
      <c r="V314" s="3005"/>
      <c r="W314" s="3005"/>
      <c r="X314" s="3005"/>
      <c r="Y314" s="2280"/>
      <c r="Z314" s="3012"/>
      <c r="AA314" s="580">
        <f>+AA313</f>
        <v>0</v>
      </c>
    </row>
    <row r="315" spans="1:30" ht="26.25" hidden="1" thickBot="1" x14ac:dyDescent="0.2">
      <c r="A315" s="3045"/>
      <c r="B315" s="3039"/>
      <c r="C315" s="3019" t="s">
        <v>580</v>
      </c>
      <c r="D315" s="3020"/>
      <c r="E315" s="1889" t="s">
        <v>1067</v>
      </c>
      <c r="F315" s="1911"/>
      <c r="G315" s="1910">
        <f>$D313*G313</f>
        <v>0</v>
      </c>
      <c r="H315" s="1910">
        <f t="shared" ref="H315:M315" si="102">$D313*H313</f>
        <v>0</v>
      </c>
      <c r="I315" s="1910">
        <f t="shared" si="102"/>
        <v>0</v>
      </c>
      <c r="J315" s="1910">
        <f t="shared" si="102"/>
        <v>0</v>
      </c>
      <c r="K315" s="1910">
        <f t="shared" si="102"/>
        <v>0</v>
      </c>
      <c r="L315" s="1910">
        <f t="shared" si="102"/>
        <v>0</v>
      </c>
      <c r="M315" s="1910">
        <f t="shared" si="102"/>
        <v>0</v>
      </c>
      <c r="N315" s="1910">
        <f t="shared" ref="N315" si="103">$D313*N313</f>
        <v>0</v>
      </c>
      <c r="O315" s="1910">
        <f t="shared" ref="O315" si="104">$D313*O313</f>
        <v>0</v>
      </c>
      <c r="P315" s="1910">
        <f t="shared" ref="P315:Q315" si="105">$D313*P313</f>
        <v>0</v>
      </c>
      <c r="Q315" s="1910">
        <f t="shared" si="105"/>
        <v>0</v>
      </c>
      <c r="R315" s="1910">
        <f t="shared" ref="R315:S315" si="106">$D313*R313</f>
        <v>0</v>
      </c>
      <c r="S315" s="1910">
        <f t="shared" si="106"/>
        <v>0</v>
      </c>
      <c r="T315" s="1910">
        <f t="shared" ref="T315:U315" si="107">$D313*T313</f>
        <v>0</v>
      </c>
      <c r="U315" s="1910">
        <f t="shared" si="107"/>
        <v>0</v>
      </c>
      <c r="V315" s="1910">
        <f t="shared" ref="V315:W315" si="108">$D313*V313</f>
        <v>0</v>
      </c>
      <c r="W315" s="1910">
        <f t="shared" si="108"/>
        <v>0</v>
      </c>
      <c r="X315" s="1910">
        <f t="shared" ref="X315" si="109">$D313*X313</f>
        <v>0</v>
      </c>
      <c r="Y315" s="1910"/>
      <c r="Z315" s="1886">
        <f>+TRUNC(+SUM(G315:Y315),2)</f>
        <v>0</v>
      </c>
      <c r="AA315" s="579"/>
    </row>
    <row r="316" spans="1:30" ht="18.75" x14ac:dyDescent="0.15">
      <c r="A316" s="3045"/>
      <c r="B316" s="3037" t="s">
        <v>2264</v>
      </c>
      <c r="C316" s="1911" t="s">
        <v>342</v>
      </c>
      <c r="D316" s="1949">
        <v>2.92</v>
      </c>
      <c r="E316" s="1901" t="s">
        <v>1067</v>
      </c>
      <c r="F316" s="1906"/>
      <c r="G316" s="3007">
        <v>4</v>
      </c>
      <c r="H316" s="3007">
        <v>2</v>
      </c>
      <c r="I316" s="3007"/>
      <c r="J316" s="3007"/>
      <c r="K316" s="3007">
        <v>3</v>
      </c>
      <c r="L316" s="3007">
        <v>1</v>
      </c>
      <c r="M316" s="3007">
        <v>4</v>
      </c>
      <c r="N316" s="3007">
        <v>3</v>
      </c>
      <c r="O316" s="3007">
        <v>3</v>
      </c>
      <c r="P316" s="3007">
        <v>3</v>
      </c>
      <c r="Q316" s="3007">
        <v>5</v>
      </c>
      <c r="R316" s="3007">
        <v>7</v>
      </c>
      <c r="S316" s="3007">
        <v>9</v>
      </c>
      <c r="T316" s="3007">
        <v>5</v>
      </c>
      <c r="U316" s="3007">
        <v>9</v>
      </c>
      <c r="V316" s="3007">
        <v>8</v>
      </c>
      <c r="W316" s="3007">
        <v>2</v>
      </c>
      <c r="X316" s="3007">
        <v>1</v>
      </c>
      <c r="Y316" s="3007"/>
      <c r="Z316" s="3014">
        <f>+TRUNC((+SUM(G316:Y317)),2)</f>
        <v>69</v>
      </c>
      <c r="AA316" s="579">
        <f>SUM(G316:Z316)</f>
        <v>138</v>
      </c>
    </row>
    <row r="317" spans="1:30" ht="49.5" x14ac:dyDescent="0.15">
      <c r="A317" s="3045"/>
      <c r="B317" s="3038"/>
      <c r="C317" s="1954" t="s">
        <v>341</v>
      </c>
      <c r="D317" s="1908"/>
      <c r="E317" s="1904" t="s">
        <v>1067</v>
      </c>
      <c r="F317" s="1906"/>
      <c r="G317" s="3003"/>
      <c r="H317" s="3003"/>
      <c r="I317" s="3003"/>
      <c r="J317" s="3003"/>
      <c r="K317" s="3003"/>
      <c r="L317" s="3003"/>
      <c r="M317" s="3003"/>
      <c r="N317" s="3003"/>
      <c r="O317" s="3003"/>
      <c r="P317" s="3003"/>
      <c r="Q317" s="3003"/>
      <c r="R317" s="3003"/>
      <c r="S317" s="3003"/>
      <c r="T317" s="3003"/>
      <c r="U317" s="3003"/>
      <c r="V317" s="3003"/>
      <c r="W317" s="3003"/>
      <c r="X317" s="3003"/>
      <c r="Y317" s="3003"/>
      <c r="Z317" s="3012"/>
      <c r="AA317" s="580">
        <f>+AA316</f>
        <v>138</v>
      </c>
    </row>
    <row r="318" spans="1:30" ht="18.75" x14ac:dyDescent="0.15">
      <c r="A318" s="3045"/>
      <c r="B318" s="3038"/>
      <c r="C318" s="1911" t="s">
        <v>342</v>
      </c>
      <c r="D318" s="1949">
        <v>4.8899999999999997</v>
      </c>
      <c r="E318" s="1901" t="s">
        <v>1067</v>
      </c>
      <c r="F318" s="1906"/>
      <c r="G318" s="3002"/>
      <c r="H318" s="3002"/>
      <c r="I318" s="3002"/>
      <c r="J318" s="3002"/>
      <c r="K318" s="3002"/>
      <c r="L318" s="3002"/>
      <c r="M318" s="3002"/>
      <c r="N318" s="3002"/>
      <c r="O318" s="3002"/>
      <c r="P318" s="3002"/>
      <c r="Q318" s="3002"/>
      <c r="R318" s="3002"/>
      <c r="S318" s="3002"/>
      <c r="T318" s="3002"/>
      <c r="U318" s="3002"/>
      <c r="V318" s="3002"/>
      <c r="W318" s="3002">
        <v>1</v>
      </c>
      <c r="X318" s="3002"/>
      <c r="Y318" s="3002"/>
      <c r="Z318" s="3013">
        <f>+TRUNC((+SUM(G318:Y319)),2)</f>
        <v>1</v>
      </c>
      <c r="AA318" s="579">
        <f>SUM(G318:Z318)</f>
        <v>2</v>
      </c>
    </row>
    <row r="319" spans="1:30" ht="49.5" x14ac:dyDescent="0.15">
      <c r="A319" s="3045"/>
      <c r="B319" s="3038"/>
      <c r="C319" s="1954" t="s">
        <v>946</v>
      </c>
      <c r="D319" s="1908"/>
      <c r="E319" s="1904" t="s">
        <v>1067</v>
      </c>
      <c r="F319" s="1906"/>
      <c r="G319" s="3003"/>
      <c r="H319" s="3003"/>
      <c r="I319" s="3003"/>
      <c r="J319" s="3003"/>
      <c r="K319" s="3003"/>
      <c r="L319" s="3003"/>
      <c r="M319" s="3003"/>
      <c r="N319" s="3003"/>
      <c r="O319" s="3003"/>
      <c r="P319" s="3003"/>
      <c r="Q319" s="3003"/>
      <c r="R319" s="3003"/>
      <c r="S319" s="3003"/>
      <c r="T319" s="3003"/>
      <c r="U319" s="3003"/>
      <c r="V319" s="3003"/>
      <c r="W319" s="3003"/>
      <c r="X319" s="3003"/>
      <c r="Y319" s="3003"/>
      <c r="Z319" s="3013"/>
      <c r="AA319" s="580">
        <f>+AA318</f>
        <v>2</v>
      </c>
    </row>
    <row r="320" spans="1:30" ht="18.75" hidden="1" x14ac:dyDescent="0.15">
      <c r="A320" s="3045"/>
      <c r="B320" s="3038"/>
      <c r="C320" s="1911" t="s">
        <v>342</v>
      </c>
      <c r="D320" s="1949">
        <v>3.99</v>
      </c>
      <c r="E320" s="1901" t="s">
        <v>1067</v>
      </c>
      <c r="F320" s="1906"/>
      <c r="G320" s="3002"/>
      <c r="H320" s="3002"/>
      <c r="I320" s="3002"/>
      <c r="J320" s="3002"/>
      <c r="K320" s="3002"/>
      <c r="L320" s="3002"/>
      <c r="M320" s="3002"/>
      <c r="N320" s="3002"/>
      <c r="O320" s="3002"/>
      <c r="P320" s="3002"/>
      <c r="Q320" s="3002"/>
      <c r="R320" s="3002"/>
      <c r="S320" s="3002"/>
      <c r="T320" s="3002"/>
      <c r="U320" s="3002"/>
      <c r="V320" s="3002"/>
      <c r="W320" s="3002"/>
      <c r="X320" s="3002"/>
      <c r="Y320" s="3002"/>
      <c r="Z320" s="3013">
        <f>+TRUNC((+SUM(G320:Y321)),2)</f>
        <v>0</v>
      </c>
      <c r="AA320" s="579">
        <f>SUM(G320:Z320)</f>
        <v>0</v>
      </c>
    </row>
    <row r="321" spans="1:27" ht="49.5" hidden="1" x14ac:dyDescent="0.15">
      <c r="A321" s="3045"/>
      <c r="B321" s="3038"/>
      <c r="C321" s="1954" t="s">
        <v>945</v>
      </c>
      <c r="D321" s="1908"/>
      <c r="E321" s="1904" t="s">
        <v>1067</v>
      </c>
      <c r="F321" s="1906"/>
      <c r="G321" s="3003"/>
      <c r="H321" s="3003"/>
      <c r="I321" s="3003"/>
      <c r="J321" s="3003"/>
      <c r="K321" s="3003"/>
      <c r="L321" s="3003"/>
      <c r="M321" s="3003"/>
      <c r="N321" s="3003"/>
      <c r="O321" s="3003"/>
      <c r="P321" s="3003"/>
      <c r="Q321" s="3003"/>
      <c r="R321" s="3003"/>
      <c r="S321" s="3003"/>
      <c r="T321" s="3003"/>
      <c r="U321" s="3003"/>
      <c r="V321" s="3003"/>
      <c r="W321" s="3003"/>
      <c r="X321" s="3003"/>
      <c r="Y321" s="3003"/>
      <c r="Z321" s="3013"/>
      <c r="AA321" s="580">
        <f>+AA320</f>
        <v>0</v>
      </c>
    </row>
    <row r="322" spans="1:27" ht="18.75" x14ac:dyDescent="0.15">
      <c r="A322" s="3045"/>
      <c r="B322" s="3038"/>
      <c r="C322" s="1911" t="s">
        <v>342</v>
      </c>
      <c r="D322" s="1949">
        <v>3.74</v>
      </c>
      <c r="E322" s="1901" t="s">
        <v>1067</v>
      </c>
      <c r="F322" s="1906"/>
      <c r="G322" s="3002"/>
      <c r="H322" s="3002"/>
      <c r="I322" s="3002"/>
      <c r="J322" s="3002"/>
      <c r="K322" s="3002"/>
      <c r="L322" s="3002"/>
      <c r="M322" s="3002"/>
      <c r="N322" s="3002"/>
      <c r="O322" s="3002"/>
      <c r="P322" s="3002"/>
      <c r="Q322" s="3002"/>
      <c r="R322" s="3002"/>
      <c r="S322" s="3002"/>
      <c r="T322" s="3002"/>
      <c r="U322" s="3002"/>
      <c r="V322" s="3002"/>
      <c r="W322" s="3002">
        <v>1</v>
      </c>
      <c r="X322" s="3002"/>
      <c r="Y322" s="3002"/>
      <c r="Z322" s="3013">
        <f>+TRUNC((+SUM(G322:Y323)),2)</f>
        <v>1</v>
      </c>
      <c r="AA322" s="579">
        <f>SUM(G322:Z322)</f>
        <v>2</v>
      </c>
    </row>
    <row r="323" spans="1:27" ht="49.5" x14ac:dyDescent="0.15">
      <c r="A323" s="3045"/>
      <c r="B323" s="3038"/>
      <c r="C323" s="1954" t="s">
        <v>947</v>
      </c>
      <c r="D323" s="1908"/>
      <c r="E323" s="1904" t="s">
        <v>1067</v>
      </c>
      <c r="F323" s="1906"/>
      <c r="G323" s="3003"/>
      <c r="H323" s="3003"/>
      <c r="I323" s="3003"/>
      <c r="J323" s="3003"/>
      <c r="K323" s="3003"/>
      <c r="L323" s="3003"/>
      <c r="M323" s="3003"/>
      <c r="N323" s="3003"/>
      <c r="O323" s="3003"/>
      <c r="P323" s="3003"/>
      <c r="Q323" s="3003"/>
      <c r="R323" s="3003"/>
      <c r="S323" s="3003"/>
      <c r="T323" s="3003"/>
      <c r="U323" s="3003"/>
      <c r="V323" s="3003"/>
      <c r="W323" s="3003"/>
      <c r="X323" s="3003"/>
      <c r="Y323" s="3003"/>
      <c r="Z323" s="3013"/>
      <c r="AA323" s="580">
        <f>+AA322</f>
        <v>2</v>
      </c>
    </row>
    <row r="324" spans="1:27" ht="18.75" hidden="1" x14ac:dyDescent="0.15">
      <c r="A324" s="3045"/>
      <c r="B324" s="3038"/>
      <c r="C324" s="1911" t="s">
        <v>342</v>
      </c>
      <c r="D324" s="1949">
        <v>3.66</v>
      </c>
      <c r="E324" s="1901" t="s">
        <v>1067</v>
      </c>
      <c r="F324" s="1906"/>
      <c r="G324" s="3002"/>
      <c r="H324" s="3002"/>
      <c r="I324" s="3002"/>
      <c r="J324" s="3002"/>
      <c r="K324" s="3002"/>
      <c r="L324" s="3002"/>
      <c r="M324" s="3002"/>
      <c r="N324" s="3002"/>
      <c r="O324" s="3002"/>
      <c r="P324" s="3002"/>
      <c r="Q324" s="3002"/>
      <c r="R324" s="3002"/>
      <c r="S324" s="3002"/>
      <c r="T324" s="3002"/>
      <c r="U324" s="3002"/>
      <c r="V324" s="3002"/>
      <c r="W324" s="3002"/>
      <c r="X324" s="3002"/>
      <c r="Y324" s="3002"/>
      <c r="Z324" s="3013">
        <f>+TRUNC((+SUM(G324:Y325)),2)</f>
        <v>0</v>
      </c>
      <c r="AA324" s="579">
        <f>SUM(G324:Z324)</f>
        <v>0</v>
      </c>
    </row>
    <row r="325" spans="1:27" ht="49.5" hidden="1" x14ac:dyDescent="0.15">
      <c r="A325" s="3045"/>
      <c r="B325" s="3038"/>
      <c r="C325" s="1954" t="s">
        <v>2263</v>
      </c>
      <c r="D325" s="1908"/>
      <c r="E325" s="1904" t="s">
        <v>1067</v>
      </c>
      <c r="F325" s="1906"/>
      <c r="G325" s="3003"/>
      <c r="H325" s="3003"/>
      <c r="I325" s="3003"/>
      <c r="J325" s="3003"/>
      <c r="K325" s="3003"/>
      <c r="L325" s="3003"/>
      <c r="M325" s="3003"/>
      <c r="N325" s="3003"/>
      <c r="O325" s="3003"/>
      <c r="P325" s="3003"/>
      <c r="Q325" s="3003"/>
      <c r="R325" s="3003"/>
      <c r="S325" s="3003"/>
      <c r="T325" s="3003"/>
      <c r="U325" s="3003"/>
      <c r="V325" s="3003"/>
      <c r="W325" s="3003"/>
      <c r="X325" s="3003"/>
      <c r="Y325" s="3003"/>
      <c r="Z325" s="3013"/>
      <c r="AA325" s="580">
        <f>+AA324</f>
        <v>0</v>
      </c>
    </row>
    <row r="326" spans="1:27" ht="18.75" hidden="1" x14ac:dyDescent="0.15">
      <c r="A326" s="3045"/>
      <c r="B326" s="3038"/>
      <c r="C326" s="1911" t="s">
        <v>342</v>
      </c>
      <c r="D326" s="1949">
        <v>3.5</v>
      </c>
      <c r="E326" s="1901" t="s">
        <v>1067</v>
      </c>
      <c r="F326" s="1906"/>
      <c r="G326" s="3002"/>
      <c r="H326" s="3002"/>
      <c r="I326" s="3002"/>
      <c r="J326" s="3002"/>
      <c r="K326" s="3002"/>
      <c r="L326" s="3002"/>
      <c r="M326" s="3002"/>
      <c r="N326" s="3002"/>
      <c r="O326" s="3002"/>
      <c r="P326" s="3002"/>
      <c r="Q326" s="3002"/>
      <c r="R326" s="3002"/>
      <c r="S326" s="3002"/>
      <c r="T326" s="3002"/>
      <c r="U326" s="3002"/>
      <c r="V326" s="3002"/>
      <c r="W326" s="3002"/>
      <c r="X326" s="3002"/>
      <c r="Y326" s="3002"/>
      <c r="Z326" s="3013">
        <f>+TRUNC((+SUM(G326:Y327)),2)</f>
        <v>0</v>
      </c>
      <c r="AA326" s="579">
        <f>SUM(G326:Z326)</f>
        <v>0</v>
      </c>
    </row>
    <row r="327" spans="1:27" ht="49.5" hidden="1" x14ac:dyDescent="0.15">
      <c r="A327" s="3045"/>
      <c r="B327" s="3038"/>
      <c r="C327" s="1954" t="s">
        <v>401</v>
      </c>
      <c r="D327" s="1909"/>
      <c r="E327" s="1904" t="s">
        <v>1067</v>
      </c>
      <c r="F327" s="1906"/>
      <c r="G327" s="3003"/>
      <c r="H327" s="3003"/>
      <c r="I327" s="3003"/>
      <c r="J327" s="3003"/>
      <c r="K327" s="3003"/>
      <c r="L327" s="3003"/>
      <c r="M327" s="3003"/>
      <c r="N327" s="3003"/>
      <c r="O327" s="3003"/>
      <c r="P327" s="3003"/>
      <c r="Q327" s="3003"/>
      <c r="R327" s="3003"/>
      <c r="S327" s="3003"/>
      <c r="T327" s="3003"/>
      <c r="U327" s="3003"/>
      <c r="V327" s="3003"/>
      <c r="W327" s="3003"/>
      <c r="X327" s="3003"/>
      <c r="Y327" s="3003"/>
      <c r="Z327" s="3013"/>
      <c r="AA327" s="580">
        <f>+AA326</f>
        <v>0</v>
      </c>
    </row>
    <row r="328" spans="1:27" ht="18.75" hidden="1" x14ac:dyDescent="0.15">
      <c r="A328" s="3045"/>
      <c r="B328" s="3038"/>
      <c r="C328" s="1911" t="s">
        <v>342</v>
      </c>
      <c r="D328" s="1949">
        <v>3.5</v>
      </c>
      <c r="E328" s="1901" t="s">
        <v>1067</v>
      </c>
      <c r="F328" s="1906"/>
      <c r="G328" s="3002"/>
      <c r="H328" s="3002"/>
      <c r="I328" s="3002"/>
      <c r="J328" s="3002"/>
      <c r="K328" s="3002"/>
      <c r="L328" s="3002"/>
      <c r="M328" s="3002"/>
      <c r="N328" s="3002"/>
      <c r="O328" s="3002"/>
      <c r="P328" s="3002"/>
      <c r="Q328" s="3002"/>
      <c r="R328" s="3002"/>
      <c r="S328" s="3002"/>
      <c r="T328" s="3002"/>
      <c r="U328" s="3002"/>
      <c r="V328" s="3002"/>
      <c r="W328" s="3002"/>
      <c r="X328" s="3002"/>
      <c r="Y328" s="3002"/>
      <c r="Z328" s="3013">
        <f>+TRUNC((+SUM(G328:Y329)),2)</f>
        <v>0</v>
      </c>
      <c r="AA328" s="579">
        <f>SUM(G328:Z328)</f>
        <v>0</v>
      </c>
    </row>
    <row r="329" spans="1:27" ht="49.5" hidden="1" x14ac:dyDescent="0.15">
      <c r="A329" s="3045"/>
      <c r="B329" s="3038"/>
      <c r="C329" s="1954" t="s">
        <v>394</v>
      </c>
      <c r="D329" s="1909"/>
      <c r="E329" s="1904" t="s">
        <v>1067</v>
      </c>
      <c r="F329" s="1906"/>
      <c r="G329" s="3003"/>
      <c r="H329" s="3003"/>
      <c r="I329" s="3003"/>
      <c r="J329" s="3003"/>
      <c r="K329" s="3003"/>
      <c r="L329" s="3003"/>
      <c r="M329" s="3003"/>
      <c r="N329" s="3003"/>
      <c r="O329" s="3003"/>
      <c r="P329" s="3003"/>
      <c r="Q329" s="3003"/>
      <c r="R329" s="3003"/>
      <c r="S329" s="3003"/>
      <c r="T329" s="3003"/>
      <c r="U329" s="3003"/>
      <c r="V329" s="3003"/>
      <c r="W329" s="3003"/>
      <c r="X329" s="3003"/>
      <c r="Y329" s="3003"/>
      <c r="Z329" s="3013"/>
      <c r="AA329" s="580">
        <f>+AA328</f>
        <v>0</v>
      </c>
    </row>
    <row r="330" spans="1:27" ht="18.75" hidden="1" x14ac:dyDescent="0.15">
      <c r="A330" s="3045"/>
      <c r="B330" s="3038"/>
      <c r="C330" s="1911" t="s">
        <v>342</v>
      </c>
      <c r="D330" s="1949">
        <v>3.57</v>
      </c>
      <c r="E330" s="1901" t="s">
        <v>1067</v>
      </c>
      <c r="F330" s="1906"/>
      <c r="G330" s="3002"/>
      <c r="H330" s="3002"/>
      <c r="I330" s="3002"/>
      <c r="J330" s="3002"/>
      <c r="K330" s="3002"/>
      <c r="L330" s="3002"/>
      <c r="M330" s="3002"/>
      <c r="N330" s="3002"/>
      <c r="O330" s="3002"/>
      <c r="P330" s="3002"/>
      <c r="Q330" s="3002"/>
      <c r="R330" s="3002"/>
      <c r="S330" s="3002"/>
      <c r="T330" s="3002"/>
      <c r="U330" s="3002"/>
      <c r="V330" s="3002"/>
      <c r="W330" s="3002"/>
      <c r="X330" s="3002"/>
      <c r="Y330" s="3002"/>
      <c r="Z330" s="3013">
        <f>+TRUNC((+SUM(G330:Y331)),2)</f>
        <v>0</v>
      </c>
      <c r="AA330" s="579">
        <f>SUM(G330:Z330)</f>
        <v>0</v>
      </c>
    </row>
    <row r="331" spans="1:27" ht="49.5" hidden="1" x14ac:dyDescent="0.15">
      <c r="A331" s="3045"/>
      <c r="B331" s="3038"/>
      <c r="C331" s="1954" t="s">
        <v>944</v>
      </c>
      <c r="D331" s="1909"/>
      <c r="E331" s="1904" t="s">
        <v>1067</v>
      </c>
      <c r="F331" s="1906"/>
      <c r="G331" s="3003"/>
      <c r="H331" s="3003"/>
      <c r="I331" s="3003"/>
      <c r="J331" s="3003"/>
      <c r="K331" s="3003"/>
      <c r="L331" s="3003"/>
      <c r="M331" s="3003"/>
      <c r="N331" s="3003"/>
      <c r="O331" s="3003"/>
      <c r="P331" s="3003"/>
      <c r="Q331" s="3003"/>
      <c r="R331" s="3003"/>
      <c r="S331" s="3003"/>
      <c r="T331" s="3003"/>
      <c r="U331" s="3003"/>
      <c r="V331" s="3003"/>
      <c r="W331" s="3003"/>
      <c r="X331" s="3003"/>
      <c r="Y331" s="3003"/>
      <c r="Z331" s="3013"/>
      <c r="AA331" s="580">
        <f>+AA330</f>
        <v>0</v>
      </c>
    </row>
    <row r="332" spans="1:27" ht="18.75" hidden="1" x14ac:dyDescent="0.15">
      <c r="A332" s="3045"/>
      <c r="B332" s="3038"/>
      <c r="C332" s="1911" t="s">
        <v>342</v>
      </c>
      <c r="D332" s="1949">
        <v>2.12</v>
      </c>
      <c r="E332" s="1901" t="s">
        <v>1067</v>
      </c>
      <c r="F332" s="1906"/>
      <c r="G332" s="3002"/>
      <c r="H332" s="3002"/>
      <c r="I332" s="3002"/>
      <c r="J332" s="3002"/>
      <c r="K332" s="3002"/>
      <c r="L332" s="3002"/>
      <c r="M332" s="3002"/>
      <c r="N332" s="3002"/>
      <c r="O332" s="3002"/>
      <c r="P332" s="3002"/>
      <c r="Q332" s="3002"/>
      <c r="R332" s="3002"/>
      <c r="S332" s="3002"/>
      <c r="T332" s="3002"/>
      <c r="U332" s="3002"/>
      <c r="V332" s="3002"/>
      <c r="W332" s="3002"/>
      <c r="X332" s="3002"/>
      <c r="Y332" s="3002"/>
      <c r="Z332" s="3013">
        <f>+TRUNC((+SUM(G332:Y333)),2)</f>
        <v>0</v>
      </c>
      <c r="AA332" s="579">
        <f>SUM(G332:Z332)</f>
        <v>0</v>
      </c>
    </row>
    <row r="333" spans="1:27" ht="49.5" hidden="1" x14ac:dyDescent="0.15">
      <c r="A333" s="3045"/>
      <c r="B333" s="3038"/>
      <c r="C333" s="1954" t="s">
        <v>763</v>
      </c>
      <c r="D333" s="1908"/>
      <c r="E333" s="1904" t="s">
        <v>1067</v>
      </c>
      <c r="F333" s="1906"/>
      <c r="G333" s="3003"/>
      <c r="H333" s="3003"/>
      <c r="I333" s="3003"/>
      <c r="J333" s="3003"/>
      <c r="K333" s="3003"/>
      <c r="L333" s="3003"/>
      <c r="M333" s="3003"/>
      <c r="N333" s="3003"/>
      <c r="O333" s="3003"/>
      <c r="P333" s="3003"/>
      <c r="Q333" s="3003"/>
      <c r="R333" s="3003"/>
      <c r="S333" s="3003"/>
      <c r="T333" s="3003"/>
      <c r="U333" s="3003"/>
      <c r="V333" s="3003"/>
      <c r="W333" s="3003"/>
      <c r="X333" s="3003"/>
      <c r="Y333" s="3003"/>
      <c r="Z333" s="3013"/>
      <c r="AA333" s="580">
        <f>+AA332</f>
        <v>0</v>
      </c>
    </row>
    <row r="334" spans="1:27" ht="18.75" x14ac:dyDescent="0.15">
      <c r="A334" s="3045"/>
      <c r="B334" s="3038"/>
      <c r="C334" s="1911" t="s">
        <v>342</v>
      </c>
      <c r="D334" s="1949">
        <v>1.0900000000000001</v>
      </c>
      <c r="E334" s="1901" t="s">
        <v>1067</v>
      </c>
      <c r="F334" s="1906"/>
      <c r="G334" s="3002">
        <v>4</v>
      </c>
      <c r="H334" s="3002">
        <v>4</v>
      </c>
      <c r="I334" s="3002">
        <v>4</v>
      </c>
      <c r="J334" s="3002">
        <v>4</v>
      </c>
      <c r="K334" s="3002">
        <v>2</v>
      </c>
      <c r="L334" s="3002">
        <v>2</v>
      </c>
      <c r="M334" s="3002"/>
      <c r="N334" s="3002">
        <v>2</v>
      </c>
      <c r="O334" s="3002">
        <v>4</v>
      </c>
      <c r="P334" s="3002">
        <v>2</v>
      </c>
      <c r="Q334" s="3002">
        <v>4</v>
      </c>
      <c r="R334" s="3002">
        <v>6</v>
      </c>
      <c r="S334" s="3002">
        <v>6</v>
      </c>
      <c r="T334" s="3002">
        <v>6</v>
      </c>
      <c r="U334" s="3002">
        <v>6</v>
      </c>
      <c r="V334" s="3002">
        <v>6</v>
      </c>
      <c r="W334" s="3002">
        <v>4</v>
      </c>
      <c r="X334" s="3002">
        <v>6</v>
      </c>
      <c r="Y334" s="3002"/>
      <c r="Z334" s="3013">
        <f>+TRUNC((+SUM(G334:Y335)),2)</f>
        <v>72</v>
      </c>
      <c r="AA334" s="579">
        <f>SUM(G334:Z334)</f>
        <v>144</v>
      </c>
    </row>
    <row r="335" spans="1:27" ht="49.5" x14ac:dyDescent="0.15">
      <c r="A335" s="3045"/>
      <c r="B335" s="3038"/>
      <c r="C335" s="1954" t="s">
        <v>343</v>
      </c>
      <c r="D335" s="1908"/>
      <c r="E335" s="1904" t="s">
        <v>1067</v>
      </c>
      <c r="F335" s="1906"/>
      <c r="G335" s="3003"/>
      <c r="H335" s="3003"/>
      <c r="I335" s="3003"/>
      <c r="J335" s="3003"/>
      <c r="K335" s="3003"/>
      <c r="L335" s="3003"/>
      <c r="M335" s="3003"/>
      <c r="N335" s="3003"/>
      <c r="O335" s="3003"/>
      <c r="P335" s="3003"/>
      <c r="Q335" s="3003"/>
      <c r="R335" s="3003"/>
      <c r="S335" s="3003"/>
      <c r="T335" s="3003"/>
      <c r="U335" s="3003"/>
      <c r="V335" s="3003"/>
      <c r="W335" s="3003"/>
      <c r="X335" s="3003"/>
      <c r="Y335" s="3003"/>
      <c r="Z335" s="3013"/>
      <c r="AA335" s="580">
        <f>+AA334</f>
        <v>144</v>
      </c>
    </row>
    <row r="336" spans="1:27" ht="18.75" hidden="1" x14ac:dyDescent="0.15">
      <c r="A336" s="3045"/>
      <c r="B336" s="3038"/>
      <c r="C336" s="1911" t="s">
        <v>342</v>
      </c>
      <c r="D336" s="1949">
        <v>1.87</v>
      </c>
      <c r="E336" s="1901" t="s">
        <v>1067</v>
      </c>
      <c r="F336" s="1906"/>
      <c r="G336" s="3002"/>
      <c r="H336" s="3002"/>
      <c r="I336" s="3002"/>
      <c r="J336" s="3002"/>
      <c r="K336" s="3002"/>
      <c r="L336" s="3002"/>
      <c r="M336" s="3002"/>
      <c r="N336" s="3002"/>
      <c r="O336" s="3002"/>
      <c r="P336" s="3002"/>
      <c r="Q336" s="3002"/>
      <c r="R336" s="3002"/>
      <c r="S336" s="3002"/>
      <c r="T336" s="3002"/>
      <c r="U336" s="3002"/>
      <c r="V336" s="3002"/>
      <c r="W336" s="3002"/>
      <c r="X336" s="3002"/>
      <c r="Y336" s="3002"/>
      <c r="Z336" s="3013">
        <f>+TRUNC((+SUM(G336:Y337)),2)</f>
        <v>0</v>
      </c>
      <c r="AA336" s="579">
        <f>SUM(G336:Z336)</f>
        <v>0</v>
      </c>
    </row>
    <row r="337" spans="1:27" ht="49.5" hidden="1" x14ac:dyDescent="0.15">
      <c r="A337" s="3045"/>
      <c r="B337" s="3038"/>
      <c r="C337" s="1954" t="s">
        <v>343</v>
      </c>
      <c r="D337" s="1908"/>
      <c r="E337" s="1904" t="s">
        <v>1067</v>
      </c>
      <c r="F337" s="1906"/>
      <c r="G337" s="3003"/>
      <c r="H337" s="3003"/>
      <c r="I337" s="3003"/>
      <c r="J337" s="3003"/>
      <c r="K337" s="3003"/>
      <c r="L337" s="3003"/>
      <c r="M337" s="3003"/>
      <c r="N337" s="3003"/>
      <c r="O337" s="3003"/>
      <c r="P337" s="3003"/>
      <c r="Q337" s="3003"/>
      <c r="R337" s="3003"/>
      <c r="S337" s="3003"/>
      <c r="T337" s="3003"/>
      <c r="U337" s="3003"/>
      <c r="V337" s="3003"/>
      <c r="W337" s="3003"/>
      <c r="X337" s="3003"/>
      <c r="Y337" s="3003"/>
      <c r="Z337" s="3013"/>
      <c r="AA337" s="580">
        <f>+AA336</f>
        <v>0</v>
      </c>
    </row>
    <row r="338" spans="1:27" ht="18.75" hidden="1" x14ac:dyDescent="0.15">
      <c r="A338" s="3045"/>
      <c r="B338" s="3038"/>
      <c r="C338" s="1911" t="s">
        <v>342</v>
      </c>
      <c r="D338" s="1949">
        <v>1.1499999999999999</v>
      </c>
      <c r="E338" s="1901" t="s">
        <v>1067</v>
      </c>
      <c r="F338" s="1906"/>
      <c r="G338" s="3002"/>
      <c r="H338" s="3002"/>
      <c r="I338" s="3002"/>
      <c r="J338" s="3002"/>
      <c r="K338" s="3002"/>
      <c r="L338" s="3002"/>
      <c r="M338" s="3002"/>
      <c r="N338" s="3002"/>
      <c r="O338" s="3002"/>
      <c r="P338" s="3002"/>
      <c r="Q338" s="3002"/>
      <c r="R338" s="3002"/>
      <c r="S338" s="3002"/>
      <c r="T338" s="3002"/>
      <c r="U338" s="3002"/>
      <c r="V338" s="3002"/>
      <c r="W338" s="3002"/>
      <c r="X338" s="3002"/>
      <c r="Y338" s="3002"/>
      <c r="Z338" s="3013">
        <f>+TRUNC((+SUM(G338:Y339)),2)</f>
        <v>0</v>
      </c>
      <c r="AA338" s="579">
        <f>SUM(G338:Z338)</f>
        <v>0</v>
      </c>
    </row>
    <row r="339" spans="1:27" ht="49.5" hidden="1" x14ac:dyDescent="0.15">
      <c r="A339" s="3045"/>
      <c r="B339" s="3038"/>
      <c r="C339" s="1954" t="s">
        <v>343</v>
      </c>
      <c r="D339" s="1908"/>
      <c r="E339" s="1904" t="s">
        <v>1067</v>
      </c>
      <c r="F339" s="1906"/>
      <c r="G339" s="3003"/>
      <c r="H339" s="3003"/>
      <c r="I339" s="3003"/>
      <c r="J339" s="3003"/>
      <c r="K339" s="3003"/>
      <c r="L339" s="3003"/>
      <c r="M339" s="3003"/>
      <c r="N339" s="3003"/>
      <c r="O339" s="3003"/>
      <c r="P339" s="3003"/>
      <c r="Q339" s="3003"/>
      <c r="R339" s="3003"/>
      <c r="S339" s="3003"/>
      <c r="T339" s="3003"/>
      <c r="U339" s="3003"/>
      <c r="V339" s="3003"/>
      <c r="W339" s="3003"/>
      <c r="X339" s="3003"/>
      <c r="Y339" s="3003"/>
      <c r="Z339" s="3013"/>
      <c r="AA339" s="580">
        <f>+AA338</f>
        <v>0</v>
      </c>
    </row>
    <row r="340" spans="1:27" ht="18.75" hidden="1" x14ac:dyDescent="0.15">
      <c r="A340" s="3045"/>
      <c r="B340" s="3038"/>
      <c r="C340" s="1911" t="s">
        <v>342</v>
      </c>
      <c r="D340" s="1949">
        <v>1.38</v>
      </c>
      <c r="E340" s="1901" t="s">
        <v>1067</v>
      </c>
      <c r="F340" s="1906"/>
      <c r="G340" s="3002"/>
      <c r="H340" s="3002"/>
      <c r="I340" s="3002"/>
      <c r="J340" s="3002"/>
      <c r="K340" s="3002"/>
      <c r="L340" s="3002"/>
      <c r="M340" s="3002"/>
      <c r="N340" s="3002"/>
      <c r="O340" s="3002"/>
      <c r="P340" s="3002"/>
      <c r="Q340" s="3002"/>
      <c r="R340" s="3002"/>
      <c r="S340" s="3002"/>
      <c r="T340" s="3002"/>
      <c r="U340" s="3002"/>
      <c r="V340" s="3002"/>
      <c r="W340" s="3002"/>
      <c r="X340" s="3002"/>
      <c r="Y340" s="3002"/>
      <c r="Z340" s="3013">
        <f>+TRUNC((+SUM(G340:Y341)),2)</f>
        <v>0</v>
      </c>
      <c r="AA340" s="579">
        <f>SUM(G340:Z340)</f>
        <v>0</v>
      </c>
    </row>
    <row r="341" spans="1:27" ht="49.5" hidden="1" x14ac:dyDescent="0.15">
      <c r="A341" s="3045"/>
      <c r="B341" s="3038"/>
      <c r="C341" s="1954" t="s">
        <v>343</v>
      </c>
      <c r="D341" s="1908"/>
      <c r="E341" s="1904" t="s">
        <v>1067</v>
      </c>
      <c r="F341" s="1906"/>
      <c r="G341" s="3003"/>
      <c r="H341" s="3003"/>
      <c r="I341" s="3003"/>
      <c r="J341" s="3003"/>
      <c r="K341" s="3003"/>
      <c r="L341" s="3003"/>
      <c r="M341" s="3003"/>
      <c r="N341" s="3003"/>
      <c r="O341" s="3003"/>
      <c r="P341" s="3003"/>
      <c r="Q341" s="3003"/>
      <c r="R341" s="3003"/>
      <c r="S341" s="3003"/>
      <c r="T341" s="3003"/>
      <c r="U341" s="3003"/>
      <c r="V341" s="3003"/>
      <c r="W341" s="3003"/>
      <c r="X341" s="3003"/>
      <c r="Y341" s="3003"/>
      <c r="Z341" s="3013"/>
      <c r="AA341" s="580">
        <f>+AA340</f>
        <v>0</v>
      </c>
    </row>
    <row r="342" spans="1:27" ht="18.75" hidden="1" x14ac:dyDescent="0.15">
      <c r="A342" s="3045"/>
      <c r="B342" s="3038"/>
      <c r="C342" s="1911" t="s">
        <v>342</v>
      </c>
      <c r="D342" s="1949">
        <v>2.61</v>
      </c>
      <c r="E342" s="1901" t="s">
        <v>1067</v>
      </c>
      <c r="F342" s="1906"/>
      <c r="G342" s="3002"/>
      <c r="H342" s="3002"/>
      <c r="I342" s="3002"/>
      <c r="J342" s="3002"/>
      <c r="K342" s="3002"/>
      <c r="L342" s="3002"/>
      <c r="M342" s="3002"/>
      <c r="N342" s="3002"/>
      <c r="O342" s="3002"/>
      <c r="P342" s="3002"/>
      <c r="Q342" s="3002"/>
      <c r="R342" s="3002"/>
      <c r="S342" s="3002"/>
      <c r="T342" s="3002"/>
      <c r="U342" s="3002"/>
      <c r="V342" s="3002"/>
      <c r="W342" s="3002"/>
      <c r="X342" s="3002"/>
      <c r="Y342" s="3002"/>
      <c r="Z342" s="3013">
        <f>+TRUNC((+SUM(G342:Y343)),2)</f>
        <v>0</v>
      </c>
      <c r="AA342" s="579">
        <f>SUM(G342:Z342)</f>
        <v>0</v>
      </c>
    </row>
    <row r="343" spans="1:27" ht="49.5" hidden="1" x14ac:dyDescent="0.15">
      <c r="A343" s="3045"/>
      <c r="B343" s="3038"/>
      <c r="C343" s="1954" t="s">
        <v>343</v>
      </c>
      <c r="D343" s="2293"/>
      <c r="E343" s="1904" t="s">
        <v>1067</v>
      </c>
      <c r="F343" s="1906"/>
      <c r="G343" s="3003"/>
      <c r="H343" s="3003"/>
      <c r="I343" s="3003"/>
      <c r="J343" s="3003"/>
      <c r="K343" s="3003"/>
      <c r="L343" s="3003"/>
      <c r="M343" s="3003"/>
      <c r="N343" s="3003"/>
      <c r="O343" s="3003"/>
      <c r="P343" s="3003"/>
      <c r="Q343" s="3003"/>
      <c r="R343" s="3003"/>
      <c r="S343" s="3003"/>
      <c r="T343" s="3003"/>
      <c r="U343" s="3003"/>
      <c r="V343" s="3003"/>
      <c r="W343" s="3003"/>
      <c r="X343" s="3003"/>
      <c r="Y343" s="3003"/>
      <c r="Z343" s="3013"/>
      <c r="AA343" s="580">
        <f>+AA342</f>
        <v>0</v>
      </c>
    </row>
    <row r="344" spans="1:27" ht="18.75" hidden="1" x14ac:dyDescent="0.15">
      <c r="A344" s="3045"/>
      <c r="B344" s="3038"/>
      <c r="C344" s="1911" t="s">
        <v>342</v>
      </c>
      <c r="D344" s="1949">
        <v>3.87</v>
      </c>
      <c r="E344" s="1901" t="s">
        <v>1067</v>
      </c>
      <c r="F344" s="1906"/>
      <c r="G344" s="3002"/>
      <c r="H344" s="3002"/>
      <c r="I344" s="3002"/>
      <c r="J344" s="3002"/>
      <c r="K344" s="3002"/>
      <c r="L344" s="3002"/>
      <c r="M344" s="3002"/>
      <c r="N344" s="3002"/>
      <c r="O344" s="3002"/>
      <c r="P344" s="3002"/>
      <c r="Q344" s="3002"/>
      <c r="R344" s="3002"/>
      <c r="S344" s="3002"/>
      <c r="T344" s="3002"/>
      <c r="U344" s="3002"/>
      <c r="V344" s="3002"/>
      <c r="W344" s="3002"/>
      <c r="X344" s="3002"/>
      <c r="Y344" s="3002"/>
      <c r="Z344" s="3013">
        <f>+TRUNC((+SUM(G344:Y345)),2)</f>
        <v>0</v>
      </c>
      <c r="AA344" s="579">
        <f>SUM(G344:Z344)</f>
        <v>0</v>
      </c>
    </row>
    <row r="345" spans="1:27" ht="49.5" hidden="1" x14ac:dyDescent="0.15">
      <c r="A345" s="3045"/>
      <c r="B345" s="3038"/>
      <c r="C345" s="1954" t="s">
        <v>343</v>
      </c>
      <c r="D345" s="1908"/>
      <c r="E345" s="1904" t="s">
        <v>1067</v>
      </c>
      <c r="F345" s="1906"/>
      <c r="G345" s="3003"/>
      <c r="H345" s="3003"/>
      <c r="I345" s="3003"/>
      <c r="J345" s="3003"/>
      <c r="K345" s="3003"/>
      <c r="L345" s="3003"/>
      <c r="M345" s="3003"/>
      <c r="N345" s="3003"/>
      <c r="O345" s="3003"/>
      <c r="P345" s="3003"/>
      <c r="Q345" s="3003"/>
      <c r="R345" s="3003"/>
      <c r="S345" s="3003"/>
      <c r="T345" s="3003"/>
      <c r="U345" s="3003"/>
      <c r="V345" s="3003"/>
      <c r="W345" s="3003"/>
      <c r="X345" s="3003"/>
      <c r="Y345" s="3003"/>
      <c r="Z345" s="3013"/>
      <c r="AA345" s="580">
        <f>+AA344</f>
        <v>0</v>
      </c>
    </row>
    <row r="346" spans="1:27" ht="18.75" hidden="1" x14ac:dyDescent="0.15">
      <c r="A346" s="3045"/>
      <c r="B346" s="3038"/>
      <c r="C346" s="1911" t="s">
        <v>342</v>
      </c>
      <c r="D346" s="1949">
        <v>0.7</v>
      </c>
      <c r="E346" s="1901" t="s">
        <v>1067</v>
      </c>
      <c r="F346" s="1906"/>
      <c r="G346" s="3002"/>
      <c r="H346" s="3002"/>
      <c r="I346" s="3002"/>
      <c r="J346" s="3002"/>
      <c r="K346" s="3002"/>
      <c r="L346" s="3002"/>
      <c r="M346" s="3002"/>
      <c r="N346" s="3002"/>
      <c r="O346" s="3002"/>
      <c r="P346" s="3002"/>
      <c r="Q346" s="3002"/>
      <c r="R346" s="3002"/>
      <c r="S346" s="3002"/>
      <c r="T346" s="3002"/>
      <c r="U346" s="3002"/>
      <c r="V346" s="3002"/>
      <c r="W346" s="3002"/>
      <c r="X346" s="3002"/>
      <c r="Y346" s="3002"/>
      <c r="Z346" s="3013">
        <f>+TRUNC((+SUM(G346:Y347)),2)</f>
        <v>0</v>
      </c>
      <c r="AA346" s="579">
        <f>SUM(G346:Z346)</f>
        <v>0</v>
      </c>
    </row>
    <row r="347" spans="1:27" ht="49.5" hidden="1" x14ac:dyDescent="0.15">
      <c r="A347" s="3045"/>
      <c r="B347" s="3038"/>
      <c r="C347" s="1954" t="s">
        <v>2263</v>
      </c>
      <c r="D347" s="1908"/>
      <c r="E347" s="1904" t="s">
        <v>1067</v>
      </c>
      <c r="F347" s="1906"/>
      <c r="G347" s="3003"/>
      <c r="H347" s="3003"/>
      <c r="I347" s="3003"/>
      <c r="J347" s="3003"/>
      <c r="K347" s="3003"/>
      <c r="L347" s="3003"/>
      <c r="M347" s="3003"/>
      <c r="N347" s="3003"/>
      <c r="O347" s="3003"/>
      <c r="P347" s="3003"/>
      <c r="Q347" s="3003"/>
      <c r="R347" s="3003"/>
      <c r="S347" s="3003"/>
      <c r="T347" s="3003"/>
      <c r="U347" s="3003"/>
      <c r="V347" s="3003"/>
      <c r="W347" s="3003"/>
      <c r="X347" s="3003"/>
      <c r="Y347" s="3003"/>
      <c r="Z347" s="3013"/>
      <c r="AA347" s="580">
        <f>+AA346</f>
        <v>0</v>
      </c>
    </row>
    <row r="348" spans="1:27" ht="26.25" thickBot="1" x14ac:dyDescent="0.2">
      <c r="A348" s="3045"/>
      <c r="B348" s="3039"/>
      <c r="C348" s="3019" t="s">
        <v>1078</v>
      </c>
      <c r="D348" s="3020"/>
      <c r="E348" s="1889" t="s">
        <v>1067</v>
      </c>
      <c r="F348" s="1888"/>
      <c r="G348" s="1897" cm="1">
        <f t="array" ref="G348">SUMPRODUCT(($D316:$D347)*(G316:G347))</f>
        <v>16.04</v>
      </c>
      <c r="H348" s="1897" cm="1">
        <f t="array" ref="H348">SUMPRODUCT(($D316:$D347)*(H316:H347))</f>
        <v>10.199999999999999</v>
      </c>
      <c r="I348" s="1897" cm="1">
        <f t="array" ref="I348">SUMPRODUCT(($D316:$D347)*(I316:I347))</f>
        <v>4.3600000000000003</v>
      </c>
      <c r="J348" s="1897" cm="1">
        <f t="array" ref="J348">SUMPRODUCT(($D316:$D347)*(J316:J347))</f>
        <v>4.3600000000000003</v>
      </c>
      <c r="K348" s="1897" cm="1">
        <f t="array" ref="K348">SUMPRODUCT(($D316:$D347)*(K316:K347))</f>
        <v>10.94</v>
      </c>
      <c r="L348" s="1897" cm="1">
        <f t="array" ref="L348">SUMPRODUCT(($D316:$D347)*(L316:L347))</f>
        <v>5.0999999999999996</v>
      </c>
      <c r="M348" s="1897" cm="1">
        <f t="array" ref="M348">SUMPRODUCT(($D316:$D347)*(M316:M347))</f>
        <v>11.68</v>
      </c>
      <c r="N348" s="1897" cm="1">
        <f t="array" ref="N348">SUMPRODUCT(($D316:$D347)*(N316:N347))</f>
        <v>10.94</v>
      </c>
      <c r="O348" s="1897" cm="1">
        <f t="array" ref="O348">SUMPRODUCT(($D316:$D347)*(O316:O347))</f>
        <v>13.120000000000001</v>
      </c>
      <c r="P348" s="1897" cm="1">
        <f t="array" ref="P348">SUMPRODUCT(($D316:$D347)*(P316:P347))</f>
        <v>10.94</v>
      </c>
      <c r="Q348" s="1897" cm="1">
        <f t="array" ref="Q348">SUMPRODUCT(($D316:$D347)*(Q316:Q347))</f>
        <v>18.96</v>
      </c>
      <c r="R348" s="1897" cm="1">
        <f t="array" ref="R348">SUMPRODUCT(($D316:$D347)*(R316:R347))</f>
        <v>26.979999999999997</v>
      </c>
      <c r="S348" s="1897" cm="1">
        <f t="array" ref="S348">SUMPRODUCT(($D316:$D347)*(S316:S347))</f>
        <v>32.82</v>
      </c>
      <c r="T348" s="1897" cm="1">
        <f t="array" ref="T348">SUMPRODUCT(($D316:$D347)*(T316:T347))</f>
        <v>21.14</v>
      </c>
      <c r="U348" s="1897" cm="1">
        <f t="array" ref="U348">SUMPRODUCT(($D316:$D347)*(U316:U347))</f>
        <v>32.82</v>
      </c>
      <c r="V348" s="1897" cm="1">
        <f t="array" ref="V348">SUMPRODUCT(($D316:$D347)*(V316:V347))</f>
        <v>29.9</v>
      </c>
      <c r="W348" s="1897" cm="1">
        <f t="array" ref="W348">SUMPRODUCT(($D316:$D347)*(W316:W347))</f>
        <v>18.830000000000002</v>
      </c>
      <c r="X348" s="1897" cm="1">
        <f t="array" ref="X348">SUMPRODUCT(($D316:$D347)*(X316:X347))</f>
        <v>9.4600000000000009</v>
      </c>
      <c r="Y348" s="1897"/>
      <c r="Z348" s="1886">
        <f>+TRUNC(+SUM(G348:Y348),2)</f>
        <v>288.58999999999997</v>
      </c>
      <c r="AA348" s="579">
        <f>SUM(G348:Z348)</f>
        <v>577.17999999999984</v>
      </c>
    </row>
    <row r="349" spans="1:27" ht="19.5" hidden="1" thickBot="1" x14ac:dyDescent="0.2">
      <c r="A349" s="3045"/>
      <c r="B349" s="3037" t="s">
        <v>2413</v>
      </c>
      <c r="C349" s="1911" t="s">
        <v>342</v>
      </c>
      <c r="D349" s="1949">
        <v>1.1299999999999999</v>
      </c>
      <c r="E349" s="1901" t="s">
        <v>1067</v>
      </c>
      <c r="F349" s="1906"/>
      <c r="G349" s="3007"/>
      <c r="H349" s="3007"/>
      <c r="I349" s="3007"/>
      <c r="J349" s="3007"/>
      <c r="K349" s="3007"/>
      <c r="L349" s="3007"/>
      <c r="M349" s="3007"/>
      <c r="N349" s="3007"/>
      <c r="O349" s="3007"/>
      <c r="P349" s="3007"/>
      <c r="Q349" s="3007"/>
      <c r="R349" s="3007"/>
      <c r="S349" s="3007"/>
      <c r="T349" s="3007"/>
      <c r="U349" s="3007"/>
      <c r="V349" s="3007"/>
      <c r="W349" s="3007"/>
      <c r="X349" s="3007"/>
      <c r="Y349" s="3007"/>
      <c r="Z349" s="3013">
        <f>+TRUNC((+SUM(G349:Y350)),2)</f>
        <v>0</v>
      </c>
      <c r="AA349" s="579">
        <f>SUM(G349:Z349)</f>
        <v>0</v>
      </c>
    </row>
    <row r="350" spans="1:27" ht="50.25" hidden="1" thickBot="1" x14ac:dyDescent="0.2">
      <c r="A350" s="3045"/>
      <c r="B350" s="3038"/>
      <c r="C350" s="1954" t="s">
        <v>2262</v>
      </c>
      <c r="D350" s="1908"/>
      <c r="E350" s="1904" t="s">
        <v>1067</v>
      </c>
      <c r="F350" s="1906"/>
      <c r="G350" s="3003"/>
      <c r="H350" s="3003"/>
      <c r="I350" s="3003"/>
      <c r="J350" s="3003"/>
      <c r="K350" s="3003"/>
      <c r="L350" s="3003"/>
      <c r="M350" s="3003"/>
      <c r="N350" s="3003"/>
      <c r="O350" s="3003"/>
      <c r="P350" s="3003"/>
      <c r="Q350" s="3003"/>
      <c r="R350" s="3003"/>
      <c r="S350" s="3003"/>
      <c r="T350" s="3003"/>
      <c r="U350" s="3003"/>
      <c r="V350" s="3003"/>
      <c r="W350" s="3003"/>
      <c r="X350" s="3003"/>
      <c r="Y350" s="3003"/>
      <c r="Z350" s="3013"/>
      <c r="AA350" s="580">
        <f>+AA349</f>
        <v>0</v>
      </c>
    </row>
    <row r="351" spans="1:27" ht="19.5" hidden="1" thickBot="1" x14ac:dyDescent="0.2">
      <c r="A351" s="3045"/>
      <c r="B351" s="3038"/>
      <c r="C351" s="1911" t="s">
        <v>342</v>
      </c>
      <c r="D351" s="1949">
        <v>1.44</v>
      </c>
      <c r="E351" s="1901" t="s">
        <v>1067</v>
      </c>
      <c r="F351" s="1906"/>
      <c r="G351" s="3002"/>
      <c r="H351" s="3002"/>
      <c r="I351" s="3002"/>
      <c r="J351" s="3002"/>
      <c r="K351" s="3002"/>
      <c r="L351" s="3002"/>
      <c r="M351" s="3002"/>
      <c r="N351" s="3002"/>
      <c r="O351" s="3002"/>
      <c r="P351" s="3002"/>
      <c r="Q351" s="3002"/>
      <c r="R351" s="3002"/>
      <c r="S351" s="3002"/>
      <c r="T351" s="3002"/>
      <c r="U351" s="3002"/>
      <c r="V351" s="3002"/>
      <c r="W351" s="3002"/>
      <c r="X351" s="3002"/>
      <c r="Y351" s="3002"/>
      <c r="Z351" s="3013">
        <f>+TRUNC((+SUM(G351:Y352)),2)</f>
        <v>0</v>
      </c>
      <c r="AA351" s="579">
        <f>SUM(G351:Z351)</f>
        <v>0</v>
      </c>
    </row>
    <row r="352" spans="1:27" ht="50.25" hidden="1" thickBot="1" x14ac:dyDescent="0.2">
      <c r="A352" s="3045"/>
      <c r="B352" s="3038"/>
      <c r="C352" s="1954" t="s">
        <v>2261</v>
      </c>
      <c r="D352" s="1908"/>
      <c r="E352" s="1904" t="s">
        <v>1067</v>
      </c>
      <c r="F352" s="1906"/>
      <c r="G352" s="3003"/>
      <c r="H352" s="3003"/>
      <c r="I352" s="3003"/>
      <c r="J352" s="3003"/>
      <c r="K352" s="3003"/>
      <c r="L352" s="3003"/>
      <c r="M352" s="3003"/>
      <c r="N352" s="3003"/>
      <c r="O352" s="3003"/>
      <c r="P352" s="3003"/>
      <c r="Q352" s="3003"/>
      <c r="R352" s="3003"/>
      <c r="S352" s="3003"/>
      <c r="T352" s="3003"/>
      <c r="U352" s="3003"/>
      <c r="V352" s="3003"/>
      <c r="W352" s="3003"/>
      <c r="X352" s="3003"/>
      <c r="Y352" s="3003"/>
      <c r="Z352" s="3013"/>
      <c r="AA352" s="580">
        <f>+AA351</f>
        <v>0</v>
      </c>
    </row>
    <row r="353" spans="1:27" ht="19.5" hidden="1" thickBot="1" x14ac:dyDescent="0.2">
      <c r="A353" s="3045"/>
      <c r="B353" s="3038"/>
      <c r="C353" s="1911" t="s">
        <v>342</v>
      </c>
      <c r="D353" s="1949">
        <v>1.44</v>
      </c>
      <c r="E353" s="1901" t="s">
        <v>1067</v>
      </c>
      <c r="F353" s="1906"/>
      <c r="G353" s="3002"/>
      <c r="H353" s="3002"/>
      <c r="I353" s="3002"/>
      <c r="J353" s="3002"/>
      <c r="K353" s="3002"/>
      <c r="L353" s="3002"/>
      <c r="M353" s="3002"/>
      <c r="N353" s="3002"/>
      <c r="O353" s="3002"/>
      <c r="P353" s="3002"/>
      <c r="Q353" s="3002"/>
      <c r="R353" s="3002"/>
      <c r="S353" s="3002"/>
      <c r="T353" s="3002"/>
      <c r="U353" s="3002"/>
      <c r="V353" s="3002"/>
      <c r="W353" s="3002"/>
      <c r="X353" s="3002"/>
      <c r="Y353" s="3002"/>
      <c r="Z353" s="3013">
        <f>+TRUNC((+SUM(G353:Y354)),2)</f>
        <v>0</v>
      </c>
      <c r="AA353" s="579">
        <f>SUM(G353:Z353)</f>
        <v>0</v>
      </c>
    </row>
    <row r="354" spans="1:27" ht="50.25" hidden="1" thickBot="1" x14ac:dyDescent="0.2">
      <c r="A354" s="3045"/>
      <c r="B354" s="3038"/>
      <c r="C354" s="1954" t="s">
        <v>2260</v>
      </c>
      <c r="D354" s="1908"/>
      <c r="E354" s="1904" t="s">
        <v>1067</v>
      </c>
      <c r="F354" s="1906"/>
      <c r="G354" s="3003"/>
      <c r="H354" s="3003"/>
      <c r="I354" s="3003"/>
      <c r="J354" s="3003"/>
      <c r="K354" s="3003"/>
      <c r="L354" s="3003"/>
      <c r="M354" s="3003"/>
      <c r="N354" s="3003"/>
      <c r="O354" s="3003"/>
      <c r="P354" s="3003"/>
      <c r="Q354" s="3003"/>
      <c r="R354" s="3003"/>
      <c r="S354" s="3003"/>
      <c r="T354" s="3003"/>
      <c r="U354" s="3003"/>
      <c r="V354" s="3003"/>
      <c r="W354" s="3003"/>
      <c r="X354" s="3003"/>
      <c r="Y354" s="3003"/>
      <c r="Z354" s="3013"/>
      <c r="AA354" s="580">
        <f>+AA353</f>
        <v>0</v>
      </c>
    </row>
    <row r="355" spans="1:27" ht="26.25" hidden="1" thickBot="1" x14ac:dyDescent="0.2">
      <c r="A355" s="3045"/>
      <c r="B355" s="3039"/>
      <c r="C355" s="3019" t="s">
        <v>1078</v>
      </c>
      <c r="D355" s="3020"/>
      <c r="E355" s="1889" t="s">
        <v>1067</v>
      </c>
      <c r="F355" s="1888"/>
      <c r="G355" s="1897" cm="1">
        <f t="array" ref="G355">SUMPRODUCT(($D349:$D354)*(G349:G354))</f>
        <v>0</v>
      </c>
      <c r="H355" s="1897" cm="1">
        <f t="array" ref="H355">SUMPRODUCT(($D349:$D354)*(H349:H354))</f>
        <v>0</v>
      </c>
      <c r="I355" s="1897" cm="1">
        <f t="array" ref="I355">SUMPRODUCT(($D349:$D354)*(I349:I354))</f>
        <v>0</v>
      </c>
      <c r="J355" s="1897" cm="1">
        <f t="array" ref="J355">SUMPRODUCT(($D349:$D354)*(J349:J354))</f>
        <v>0</v>
      </c>
      <c r="K355" s="1897" cm="1">
        <f t="array" ref="K355">SUMPRODUCT(($D349:$D354)*(K349:K354))</f>
        <v>0</v>
      </c>
      <c r="L355" s="1897" cm="1">
        <f t="array" ref="L355">SUMPRODUCT(($D349:$D354)*(L349:L354))</f>
        <v>0</v>
      </c>
      <c r="M355" s="1897" cm="1">
        <f t="array" ref="M355">SUMPRODUCT(($D349:$D354)*(M349:M354))</f>
        <v>0</v>
      </c>
      <c r="N355" s="1897" cm="1">
        <f t="array" ref="N355">SUMPRODUCT(($D349:$D354)*(N349:N354))</f>
        <v>0</v>
      </c>
      <c r="O355" s="1897" cm="1">
        <f t="array" ref="O355">SUMPRODUCT(($D349:$D354)*(O349:O354))</f>
        <v>0</v>
      </c>
      <c r="P355" s="1897" cm="1">
        <f t="array" ref="P355">SUMPRODUCT(($D349:$D354)*(P349:P354))</f>
        <v>0</v>
      </c>
      <c r="Q355" s="1897" cm="1">
        <f t="array" ref="Q355">SUMPRODUCT(($D349:$D354)*(Q349:Q354))</f>
        <v>0</v>
      </c>
      <c r="R355" s="1897" cm="1">
        <f t="array" ref="R355">SUMPRODUCT(($D349:$D354)*(R349:R354))</f>
        <v>0</v>
      </c>
      <c r="S355" s="1897" cm="1">
        <f t="array" ref="S355">SUMPRODUCT(($D349:$D354)*(S349:S354))</f>
        <v>0</v>
      </c>
      <c r="T355" s="1897" cm="1">
        <f t="array" ref="T355">SUMPRODUCT(($D349:$D354)*(T349:T354))</f>
        <v>0</v>
      </c>
      <c r="U355" s="1897" cm="1">
        <f t="array" ref="U355">SUMPRODUCT(($D349:$D354)*(U349:U354))</f>
        <v>0</v>
      </c>
      <c r="V355" s="1897" cm="1">
        <f t="array" ref="V355">SUMPRODUCT(($D349:$D354)*(V349:V354))</f>
        <v>0</v>
      </c>
      <c r="W355" s="1897" cm="1">
        <f t="array" ref="W355">SUMPRODUCT(($D349:$D354)*(W349:W354))</f>
        <v>0</v>
      </c>
      <c r="X355" s="1897" cm="1">
        <f t="array" ref="X355">SUMPRODUCT(($D349:$D354)*(X349:X354))</f>
        <v>0</v>
      </c>
      <c r="Y355" s="1897"/>
      <c r="Z355" s="1886">
        <f>+TRUNC(+SUM(G355:Y355),2)</f>
        <v>0</v>
      </c>
      <c r="AA355" s="579">
        <f>SUM(G355:Z355)</f>
        <v>0</v>
      </c>
    </row>
    <row r="356" spans="1:27" ht="19.5" hidden="1" thickBot="1" x14ac:dyDescent="0.2">
      <c r="A356" s="3045"/>
      <c r="B356" s="3037" t="s">
        <v>2259</v>
      </c>
      <c r="C356" s="1911" t="s">
        <v>342</v>
      </c>
      <c r="D356" s="1949">
        <v>0.7</v>
      </c>
      <c r="E356" s="1901" t="s">
        <v>1067</v>
      </c>
      <c r="F356" s="1906"/>
      <c r="G356" s="3007"/>
      <c r="H356" s="3007"/>
      <c r="I356" s="3007"/>
      <c r="J356" s="3007"/>
      <c r="K356" s="3007"/>
      <c r="L356" s="3007"/>
      <c r="M356" s="3007"/>
      <c r="N356" s="3007"/>
      <c r="O356" s="3007"/>
      <c r="P356" s="3007"/>
      <c r="Q356" s="3007"/>
      <c r="R356" s="3007"/>
      <c r="S356" s="3007"/>
      <c r="T356" s="3007"/>
      <c r="U356" s="3007"/>
      <c r="V356" s="3007"/>
      <c r="W356" s="3007"/>
      <c r="X356" s="3007"/>
      <c r="Y356" s="3007"/>
      <c r="Z356" s="3014">
        <f>+TRUNC((+SUM(G356:Y357)),2)</f>
        <v>0</v>
      </c>
      <c r="AA356" s="579">
        <f>SUM(G356:Z356)</f>
        <v>0</v>
      </c>
    </row>
    <row r="357" spans="1:27" ht="50.25" hidden="1" thickBot="1" x14ac:dyDescent="0.2">
      <c r="A357" s="3045"/>
      <c r="B357" s="3038"/>
      <c r="C357" s="1957" t="s">
        <v>2258</v>
      </c>
      <c r="D357" s="1908"/>
      <c r="E357" s="1904" t="s">
        <v>1067</v>
      </c>
      <c r="F357" s="1906"/>
      <c r="G357" s="3003"/>
      <c r="H357" s="3003"/>
      <c r="I357" s="3003"/>
      <c r="J357" s="3003"/>
      <c r="K357" s="3003"/>
      <c r="L357" s="3003"/>
      <c r="M357" s="3003"/>
      <c r="N357" s="3003"/>
      <c r="O357" s="3003"/>
      <c r="P357" s="3003"/>
      <c r="Q357" s="3003"/>
      <c r="R357" s="3003"/>
      <c r="S357" s="3003"/>
      <c r="T357" s="3003"/>
      <c r="U357" s="3003"/>
      <c r="V357" s="3003"/>
      <c r="W357" s="3003"/>
      <c r="X357" s="3003"/>
      <c r="Y357" s="3003"/>
      <c r="Z357" s="3012"/>
      <c r="AA357" s="580">
        <f>+AA356</f>
        <v>0</v>
      </c>
    </row>
    <row r="358" spans="1:27" ht="19.5" hidden="1" thickBot="1" x14ac:dyDescent="0.2">
      <c r="A358" s="3045"/>
      <c r="B358" s="3038"/>
      <c r="C358" s="1911" t="s">
        <v>342</v>
      </c>
      <c r="D358" s="1949">
        <v>0.2</v>
      </c>
      <c r="E358" s="1901" t="s">
        <v>1067</v>
      </c>
      <c r="F358" s="1906"/>
      <c r="G358" s="3002"/>
      <c r="H358" s="3002"/>
      <c r="I358" s="3002"/>
      <c r="J358" s="3002"/>
      <c r="K358" s="3002"/>
      <c r="L358" s="3002"/>
      <c r="M358" s="3002"/>
      <c r="N358" s="3002"/>
      <c r="O358" s="3002"/>
      <c r="P358" s="3002"/>
      <c r="Q358" s="3002"/>
      <c r="R358" s="3002"/>
      <c r="S358" s="3002"/>
      <c r="T358" s="3002"/>
      <c r="U358" s="3002"/>
      <c r="V358" s="3002"/>
      <c r="W358" s="3002"/>
      <c r="X358" s="3002"/>
      <c r="Y358" s="3002"/>
      <c r="Z358" s="3013">
        <f>+TRUNC((+SUM(G358:Y359)),2)</f>
        <v>0</v>
      </c>
      <c r="AA358" s="579">
        <f>SUM(G358:Z358)</f>
        <v>0</v>
      </c>
    </row>
    <row r="359" spans="1:27" ht="50.25" hidden="1" thickBot="1" x14ac:dyDescent="0.2">
      <c r="A359" s="3045"/>
      <c r="B359" s="3038"/>
      <c r="C359" s="1954" t="s">
        <v>2257</v>
      </c>
      <c r="D359" s="1908"/>
      <c r="E359" s="1904" t="s">
        <v>1067</v>
      </c>
      <c r="F359" s="1906"/>
      <c r="G359" s="3003"/>
      <c r="H359" s="3003"/>
      <c r="I359" s="3003"/>
      <c r="J359" s="3003"/>
      <c r="K359" s="3003"/>
      <c r="L359" s="3003"/>
      <c r="M359" s="3003"/>
      <c r="N359" s="3003"/>
      <c r="O359" s="3003"/>
      <c r="P359" s="3003"/>
      <c r="Q359" s="3003"/>
      <c r="R359" s="3003"/>
      <c r="S359" s="3003"/>
      <c r="T359" s="3003"/>
      <c r="U359" s="3003"/>
      <c r="V359" s="3003"/>
      <c r="W359" s="3003"/>
      <c r="X359" s="3003"/>
      <c r="Y359" s="3003"/>
      <c r="Z359" s="3013"/>
      <c r="AA359" s="580">
        <f>+AA358</f>
        <v>0</v>
      </c>
    </row>
    <row r="360" spans="1:27" ht="19.5" hidden="1" thickBot="1" x14ac:dyDescent="0.2">
      <c r="A360" s="3045"/>
      <c r="B360" s="3038"/>
      <c r="C360" s="1911" t="s">
        <v>342</v>
      </c>
      <c r="D360" s="1949">
        <v>0.78</v>
      </c>
      <c r="E360" s="1901" t="s">
        <v>1067</v>
      </c>
      <c r="F360" s="1906"/>
      <c r="G360" s="3002"/>
      <c r="H360" s="3002"/>
      <c r="I360" s="3002"/>
      <c r="J360" s="3002"/>
      <c r="K360" s="3002"/>
      <c r="L360" s="3002"/>
      <c r="M360" s="3002"/>
      <c r="N360" s="3002"/>
      <c r="O360" s="3002"/>
      <c r="P360" s="3002"/>
      <c r="Q360" s="3002"/>
      <c r="R360" s="3002"/>
      <c r="S360" s="3002"/>
      <c r="T360" s="3002"/>
      <c r="U360" s="3002"/>
      <c r="V360" s="3002"/>
      <c r="W360" s="3002"/>
      <c r="X360" s="3002"/>
      <c r="Y360" s="3002"/>
      <c r="Z360" s="3013">
        <f>+TRUNC((+SUM(G360:Y361)),2)</f>
        <v>0</v>
      </c>
      <c r="AA360" s="579">
        <f>SUM(G360:Z360)</f>
        <v>0</v>
      </c>
    </row>
    <row r="361" spans="1:27" ht="50.25" hidden="1" thickBot="1" x14ac:dyDescent="0.2">
      <c r="A361" s="3045"/>
      <c r="B361" s="3038"/>
      <c r="C361" s="1954" t="s">
        <v>2256</v>
      </c>
      <c r="D361" s="1908"/>
      <c r="E361" s="1904" t="s">
        <v>1067</v>
      </c>
      <c r="F361" s="1906"/>
      <c r="G361" s="3003"/>
      <c r="H361" s="3003"/>
      <c r="I361" s="3003"/>
      <c r="J361" s="3003"/>
      <c r="K361" s="3003"/>
      <c r="L361" s="3003"/>
      <c r="M361" s="3003"/>
      <c r="N361" s="3003"/>
      <c r="O361" s="3003"/>
      <c r="P361" s="3003"/>
      <c r="Q361" s="3003"/>
      <c r="R361" s="3003"/>
      <c r="S361" s="3003"/>
      <c r="T361" s="3003"/>
      <c r="U361" s="3003"/>
      <c r="V361" s="3003"/>
      <c r="W361" s="3003"/>
      <c r="X361" s="3003"/>
      <c r="Y361" s="3003"/>
      <c r="Z361" s="3013"/>
      <c r="AA361" s="580">
        <f>+AA360</f>
        <v>0</v>
      </c>
    </row>
    <row r="362" spans="1:27" ht="26.25" hidden="1" thickBot="1" x14ac:dyDescent="0.2">
      <c r="A362" s="3045"/>
      <c r="B362" s="3039"/>
      <c r="C362" s="3019" t="s">
        <v>1078</v>
      </c>
      <c r="D362" s="3020"/>
      <c r="E362" s="1889" t="s">
        <v>1067</v>
      </c>
      <c r="F362" s="1888"/>
      <c r="G362" s="1897" cm="1">
        <f t="array" ref="G362">SUMPRODUCT(($D356:$D361)*(G356:G361))</f>
        <v>0</v>
      </c>
      <c r="H362" s="1897" cm="1">
        <f t="array" ref="H362">SUMPRODUCT(($D356:$D361)*(H356:H361))</f>
        <v>0</v>
      </c>
      <c r="I362" s="1897" cm="1">
        <f t="array" ref="I362">SUMPRODUCT(($D356:$D361)*(I356:I361))</f>
        <v>0</v>
      </c>
      <c r="J362" s="1897" cm="1">
        <f t="array" ref="J362">SUMPRODUCT(($D356:$D361)*(J356:J361))</f>
        <v>0</v>
      </c>
      <c r="K362" s="1897" cm="1">
        <f t="array" ref="K362">SUMPRODUCT(($D356:$D361)*(K356:K361))</f>
        <v>0</v>
      </c>
      <c r="L362" s="1897" cm="1">
        <f t="array" ref="L362">SUMPRODUCT(($D356:$D361)*(L356:L361))</f>
        <v>0</v>
      </c>
      <c r="M362" s="1897" cm="1">
        <f t="array" ref="M362">SUMPRODUCT(($D356:$D361)*(M356:M361))</f>
        <v>0</v>
      </c>
      <c r="N362" s="1897" cm="1">
        <f t="array" ref="N362">SUMPRODUCT(($D356:$D361)*(N356:N361))</f>
        <v>0</v>
      </c>
      <c r="O362" s="1897" cm="1">
        <f t="array" ref="O362">SUMPRODUCT(($D356:$D361)*(O356:O361))</f>
        <v>0</v>
      </c>
      <c r="P362" s="1897" cm="1">
        <f t="array" ref="P362">SUMPRODUCT(($D356:$D361)*(P356:P361))</f>
        <v>0</v>
      </c>
      <c r="Q362" s="1897" cm="1">
        <f t="array" ref="Q362">SUMPRODUCT(($D356:$D361)*(Q356:Q361))</f>
        <v>0</v>
      </c>
      <c r="R362" s="1897" cm="1">
        <f t="array" ref="R362">SUMPRODUCT(($D356:$D361)*(R356:R361))</f>
        <v>0</v>
      </c>
      <c r="S362" s="1897" cm="1">
        <f t="array" ref="S362">SUMPRODUCT(($D356:$D361)*(S356:S361))</f>
        <v>0</v>
      </c>
      <c r="T362" s="1897" cm="1">
        <f t="array" ref="T362">SUMPRODUCT(($D356:$D361)*(T356:T361))</f>
        <v>0</v>
      </c>
      <c r="U362" s="1897" cm="1">
        <f t="array" ref="U362">SUMPRODUCT(($D356:$D361)*(U356:U361))</f>
        <v>0</v>
      </c>
      <c r="V362" s="1897" cm="1">
        <f t="array" ref="V362">SUMPRODUCT(($D356:$D361)*(V356:V361))</f>
        <v>0</v>
      </c>
      <c r="W362" s="1897" cm="1">
        <f t="array" ref="W362">SUMPRODUCT(($D356:$D361)*(W356:W361))</f>
        <v>0</v>
      </c>
      <c r="X362" s="1897" cm="1">
        <f t="array" ref="X362">SUMPRODUCT(($D356:$D361)*(X356:X361))</f>
        <v>0</v>
      </c>
      <c r="Y362" s="1897"/>
      <c r="Z362" s="1886">
        <f>+TRUNC(+SUM(G362:Y362),2)</f>
        <v>0</v>
      </c>
      <c r="AA362" s="579">
        <f>SUM(G362:Z362)</f>
        <v>0</v>
      </c>
    </row>
    <row r="363" spans="1:27" ht="18.75" x14ac:dyDescent="0.15">
      <c r="A363" s="3045"/>
      <c r="B363" s="3037" t="s">
        <v>2440</v>
      </c>
      <c r="C363" s="1958" t="s">
        <v>340</v>
      </c>
      <c r="D363" s="1903">
        <v>0.4</v>
      </c>
      <c r="E363" s="1901" t="s">
        <v>1067</v>
      </c>
      <c r="F363" s="1906"/>
      <c r="G363" s="3004">
        <v>37.42</v>
      </c>
      <c r="H363" s="3004">
        <v>24.18</v>
      </c>
      <c r="I363" s="3004"/>
      <c r="J363" s="3004"/>
      <c r="K363" s="3004">
        <v>16.399999999999999</v>
      </c>
      <c r="L363" s="3004">
        <v>6.59</v>
      </c>
      <c r="M363" s="3004">
        <v>30.56</v>
      </c>
      <c r="N363" s="3004">
        <v>16.32</v>
      </c>
      <c r="O363" s="3004">
        <v>16.63</v>
      </c>
      <c r="P363" s="3004">
        <v>16.079999999999998</v>
      </c>
      <c r="Q363" s="3004">
        <v>35</v>
      </c>
      <c r="R363" s="3004">
        <v>40.35</v>
      </c>
      <c r="S363" s="3004">
        <v>49.18</v>
      </c>
      <c r="T363" s="3004">
        <v>27.53</v>
      </c>
      <c r="U363" s="3004">
        <v>51.69</v>
      </c>
      <c r="V363" s="3004">
        <v>45.38</v>
      </c>
      <c r="W363" s="3004">
        <v>18.510000000000002</v>
      </c>
      <c r="X363" s="3004">
        <v>6.32</v>
      </c>
      <c r="Y363" s="3004"/>
      <c r="Z363" s="3042">
        <f>+TRUNC((+SUM(G363:Y364)),2)</f>
        <v>438.14</v>
      </c>
      <c r="AA363" s="579">
        <f>SUM(G363:Z363)</f>
        <v>876.28</v>
      </c>
    </row>
    <row r="364" spans="1:27" ht="49.5" x14ac:dyDescent="0.15">
      <c r="A364" s="3045"/>
      <c r="B364" s="3038"/>
      <c r="C364" s="1954" t="s">
        <v>1063</v>
      </c>
      <c r="D364" s="1905"/>
      <c r="E364" s="1904" t="s">
        <v>1067</v>
      </c>
      <c r="F364" s="1888"/>
      <c r="G364" s="3005"/>
      <c r="H364" s="3005"/>
      <c r="I364" s="3005"/>
      <c r="J364" s="3005"/>
      <c r="K364" s="3005"/>
      <c r="L364" s="3005"/>
      <c r="M364" s="3005"/>
      <c r="N364" s="3005"/>
      <c r="O364" s="3005"/>
      <c r="P364" s="3005"/>
      <c r="Q364" s="3005"/>
      <c r="R364" s="3005"/>
      <c r="S364" s="3005"/>
      <c r="T364" s="3005"/>
      <c r="U364" s="3005"/>
      <c r="V364" s="3005"/>
      <c r="W364" s="3005"/>
      <c r="X364" s="3005"/>
      <c r="Y364" s="3005"/>
      <c r="Z364" s="3013"/>
      <c r="AA364" s="580">
        <f>+AA363</f>
        <v>876.28</v>
      </c>
    </row>
    <row r="365" spans="1:27" ht="18.75" hidden="1" x14ac:dyDescent="0.15">
      <c r="A365" s="3045"/>
      <c r="B365" s="3038"/>
      <c r="C365" s="1911" t="s">
        <v>340</v>
      </c>
      <c r="D365" s="1903">
        <v>0.4</v>
      </c>
      <c r="E365" s="1901" t="s">
        <v>1067</v>
      </c>
      <c r="F365" s="1906"/>
      <c r="G365" s="3010"/>
      <c r="H365" s="3010"/>
      <c r="I365" s="3010"/>
      <c r="J365" s="3010"/>
      <c r="K365" s="3010"/>
      <c r="L365" s="3010"/>
      <c r="M365" s="3010"/>
      <c r="N365" s="3010"/>
      <c r="O365" s="3010"/>
      <c r="P365" s="3006"/>
      <c r="Q365" s="3006"/>
      <c r="R365" s="3006"/>
      <c r="S365" s="3006"/>
      <c r="T365" s="3006"/>
      <c r="U365" s="3006"/>
      <c r="V365" s="3006"/>
      <c r="W365" s="3006"/>
      <c r="X365" s="3006"/>
      <c r="Y365" s="3010"/>
      <c r="Z365" s="3012">
        <f>+TRUNC((+SUM(G365:Y366)),2)</f>
        <v>0</v>
      </c>
      <c r="AA365" s="579">
        <f>SUM(G365:Z365)</f>
        <v>0</v>
      </c>
    </row>
    <row r="366" spans="1:27" ht="49.5" hidden="1" x14ac:dyDescent="0.15">
      <c r="A366" s="3045"/>
      <c r="B366" s="3038"/>
      <c r="C366" s="1954" t="s">
        <v>2255</v>
      </c>
      <c r="D366" s="1905"/>
      <c r="E366" s="1904" t="s">
        <v>1067</v>
      </c>
      <c r="F366" s="1888"/>
      <c r="G366" s="3005"/>
      <c r="H366" s="3005"/>
      <c r="I366" s="3005"/>
      <c r="J366" s="3005"/>
      <c r="K366" s="3005"/>
      <c r="L366" s="3005"/>
      <c r="M366" s="3005"/>
      <c r="N366" s="3005"/>
      <c r="O366" s="3005"/>
      <c r="P366" s="3005"/>
      <c r="Q366" s="3005"/>
      <c r="R366" s="3005"/>
      <c r="S366" s="3005"/>
      <c r="T366" s="3005"/>
      <c r="U366" s="3005"/>
      <c r="V366" s="3005"/>
      <c r="W366" s="3005"/>
      <c r="X366" s="3005"/>
      <c r="Y366" s="3005"/>
      <c r="Z366" s="3013"/>
      <c r="AA366" s="580">
        <f>+AA365</f>
        <v>0</v>
      </c>
    </row>
    <row r="367" spans="1:27" ht="18.75" x14ac:dyDescent="0.15">
      <c r="A367" s="3045"/>
      <c r="B367" s="3038"/>
      <c r="C367" s="1911" t="s">
        <v>340</v>
      </c>
      <c r="D367" s="1903">
        <v>0.4</v>
      </c>
      <c r="E367" s="1901" t="s">
        <v>1067</v>
      </c>
      <c r="F367" s="1906"/>
      <c r="G367" s="3006">
        <v>84</v>
      </c>
      <c r="H367" s="3006">
        <v>84</v>
      </c>
      <c r="I367" s="3006"/>
      <c r="J367" s="3006"/>
      <c r="K367" s="3006"/>
      <c r="L367" s="3006"/>
      <c r="M367" s="3006"/>
      <c r="N367" s="3006"/>
      <c r="O367" s="3006"/>
      <c r="P367" s="3006"/>
      <c r="Q367" s="3006"/>
      <c r="R367" s="3006"/>
      <c r="S367" s="3006"/>
      <c r="T367" s="3006"/>
      <c r="U367" s="3006"/>
      <c r="V367" s="3006"/>
      <c r="W367" s="3006">
        <v>68</v>
      </c>
      <c r="X367" s="3006"/>
      <c r="Y367" s="3006"/>
      <c r="Z367" s="3013">
        <f>+TRUNC((+SUM(G367:Y368)),2)</f>
        <v>236</v>
      </c>
      <c r="AA367" s="579">
        <f>SUM(G367:Z367)</f>
        <v>472</v>
      </c>
    </row>
    <row r="368" spans="1:27" ht="49.5" x14ac:dyDescent="0.15">
      <c r="A368" s="3045"/>
      <c r="B368" s="3038"/>
      <c r="C368" s="1954" t="s">
        <v>1062</v>
      </c>
      <c r="D368" s="1905"/>
      <c r="E368" s="1904" t="s">
        <v>1067</v>
      </c>
      <c r="F368" s="1888"/>
      <c r="G368" s="3005"/>
      <c r="H368" s="3005"/>
      <c r="I368" s="3005"/>
      <c r="J368" s="3005"/>
      <c r="K368" s="3005"/>
      <c r="L368" s="3005"/>
      <c r="M368" s="3005"/>
      <c r="N368" s="3005"/>
      <c r="O368" s="3005"/>
      <c r="P368" s="3005"/>
      <c r="Q368" s="3005"/>
      <c r="R368" s="3005"/>
      <c r="S368" s="3005"/>
      <c r="T368" s="3005"/>
      <c r="U368" s="3005"/>
      <c r="V368" s="3005"/>
      <c r="W368" s="3005"/>
      <c r="X368" s="3005"/>
      <c r="Y368" s="3005"/>
      <c r="Z368" s="3013"/>
      <c r="AA368" s="580">
        <f>+AA367</f>
        <v>472</v>
      </c>
    </row>
    <row r="369" spans="1:27" ht="18.75" x14ac:dyDescent="0.15">
      <c r="A369" s="3045"/>
      <c r="B369" s="3038"/>
      <c r="C369" s="1911" t="s">
        <v>340</v>
      </c>
      <c r="D369" s="1903">
        <v>0.2</v>
      </c>
      <c r="E369" s="1901" t="s">
        <v>1067</v>
      </c>
      <c r="F369" s="1906"/>
      <c r="G369" s="3006"/>
      <c r="H369" s="3006"/>
      <c r="I369" s="3006">
        <v>68.25</v>
      </c>
      <c r="J369" s="3006">
        <v>68.260000000000005</v>
      </c>
      <c r="K369" s="3006"/>
      <c r="L369" s="3006"/>
      <c r="M369" s="3006"/>
      <c r="N369" s="3006"/>
      <c r="O369" s="3006"/>
      <c r="P369" s="3006"/>
      <c r="Q369" s="3006"/>
      <c r="R369" s="3006"/>
      <c r="S369" s="3006"/>
      <c r="T369" s="3006">
        <v>21.89</v>
      </c>
      <c r="U369" s="3006"/>
      <c r="V369" s="3006"/>
      <c r="W369" s="3006"/>
      <c r="X369" s="3006"/>
      <c r="Y369" s="3006"/>
      <c r="Z369" s="3013">
        <f>+TRUNC((+SUM(G369:Y370)),2)</f>
        <v>158.4</v>
      </c>
      <c r="AA369" s="579">
        <f>SUM(G369:Z369)</f>
        <v>316.79999999999995</v>
      </c>
    </row>
    <row r="370" spans="1:27" ht="49.5" x14ac:dyDescent="0.15">
      <c r="A370" s="3045"/>
      <c r="B370" s="3038"/>
      <c r="C370" s="1954" t="s">
        <v>344</v>
      </c>
      <c r="D370" s="1905"/>
      <c r="E370" s="1904" t="s">
        <v>1067</v>
      </c>
      <c r="F370" s="1888"/>
      <c r="G370" s="3005"/>
      <c r="H370" s="3005"/>
      <c r="I370" s="3005"/>
      <c r="J370" s="3005"/>
      <c r="K370" s="3005"/>
      <c r="L370" s="3005"/>
      <c r="M370" s="3005"/>
      <c r="N370" s="3005"/>
      <c r="O370" s="3005"/>
      <c r="P370" s="3005"/>
      <c r="Q370" s="3005"/>
      <c r="R370" s="3005"/>
      <c r="S370" s="3005"/>
      <c r="T370" s="3005"/>
      <c r="U370" s="3005"/>
      <c r="V370" s="3005"/>
      <c r="W370" s="3005"/>
      <c r="X370" s="3005"/>
      <c r="Y370" s="3005"/>
      <c r="Z370" s="3013"/>
      <c r="AA370" s="580">
        <f>+AA369</f>
        <v>316.79999999999995</v>
      </c>
    </row>
    <row r="371" spans="1:27" ht="18.75" x14ac:dyDescent="0.15">
      <c r="A371" s="3045"/>
      <c r="B371" s="3038"/>
      <c r="C371" s="1911" t="s">
        <v>340</v>
      </c>
      <c r="D371" s="1903">
        <v>0.4</v>
      </c>
      <c r="E371" s="1901" t="s">
        <v>1067</v>
      </c>
      <c r="F371" s="1906"/>
      <c r="G371" s="3006"/>
      <c r="H371" s="3006"/>
      <c r="I371" s="3006">
        <v>80.31</v>
      </c>
      <c r="J371" s="3006">
        <v>80.430000000000007</v>
      </c>
      <c r="K371" s="3006"/>
      <c r="L371" s="3006"/>
      <c r="M371" s="3006"/>
      <c r="N371" s="3006"/>
      <c r="O371" s="3006"/>
      <c r="P371" s="3006"/>
      <c r="Q371" s="3006"/>
      <c r="R371" s="3006"/>
      <c r="S371" s="3006"/>
      <c r="T371" s="3006">
        <v>33.159999999999997</v>
      </c>
      <c r="U371" s="3006"/>
      <c r="V371" s="3006"/>
      <c r="W371" s="3006"/>
      <c r="X371" s="3006"/>
      <c r="Y371" s="3006"/>
      <c r="Z371" s="3013">
        <f>+TRUNC((+SUM(G371:Y372)),2)</f>
        <v>193.9</v>
      </c>
      <c r="AA371" s="579">
        <f>SUM(G371:Z371)</f>
        <v>387.8</v>
      </c>
    </row>
    <row r="372" spans="1:27" ht="49.5" x14ac:dyDescent="0.15">
      <c r="A372" s="3045"/>
      <c r="B372" s="3038"/>
      <c r="C372" s="1954" t="s">
        <v>345</v>
      </c>
      <c r="D372" s="1905"/>
      <c r="E372" s="1904" t="s">
        <v>1067</v>
      </c>
      <c r="F372" s="1888"/>
      <c r="G372" s="3005"/>
      <c r="H372" s="3005"/>
      <c r="I372" s="3005"/>
      <c r="J372" s="3005"/>
      <c r="K372" s="3005"/>
      <c r="L372" s="3005"/>
      <c r="M372" s="3005"/>
      <c r="N372" s="3005"/>
      <c r="O372" s="3005"/>
      <c r="P372" s="3005"/>
      <c r="Q372" s="3005"/>
      <c r="R372" s="3005"/>
      <c r="S372" s="3005"/>
      <c r="T372" s="3005"/>
      <c r="U372" s="3005"/>
      <c r="V372" s="3005"/>
      <c r="W372" s="3005"/>
      <c r="X372" s="3005"/>
      <c r="Y372" s="3005"/>
      <c r="Z372" s="3013"/>
      <c r="AA372" s="580">
        <f>+AA371</f>
        <v>387.8</v>
      </c>
    </row>
    <row r="373" spans="1:27" ht="18.75" x14ac:dyDescent="0.15">
      <c r="A373" s="3045"/>
      <c r="B373" s="3038"/>
      <c r="C373" s="1911" t="s">
        <v>340</v>
      </c>
      <c r="D373" s="1903">
        <v>0.2</v>
      </c>
      <c r="E373" s="1901" t="s">
        <v>1067</v>
      </c>
      <c r="F373" s="1906"/>
      <c r="G373" s="3006">
        <v>14.52</v>
      </c>
      <c r="H373" s="3006"/>
      <c r="I373" s="3006"/>
      <c r="J373" s="3006"/>
      <c r="K373" s="3006"/>
      <c r="L373" s="3006"/>
      <c r="M373" s="3006"/>
      <c r="N373" s="3006"/>
      <c r="O373" s="3006"/>
      <c r="P373" s="3006"/>
      <c r="Q373" s="3006"/>
      <c r="R373" s="3006"/>
      <c r="S373" s="3006"/>
      <c r="T373" s="3006"/>
      <c r="U373" s="3006"/>
      <c r="V373" s="3006"/>
      <c r="W373" s="3006"/>
      <c r="X373" s="3006"/>
      <c r="Y373" s="3006"/>
      <c r="Z373" s="3013">
        <f>+TRUNC((+SUM(G373:Y374)),2)</f>
        <v>14.52</v>
      </c>
      <c r="AA373" s="579">
        <f>SUM(G373:Z373)</f>
        <v>29.04</v>
      </c>
    </row>
    <row r="374" spans="1:27" ht="49.5" x14ac:dyDescent="0.15">
      <c r="A374" s="3045"/>
      <c r="B374" s="3038"/>
      <c r="C374" s="1954" t="s">
        <v>344</v>
      </c>
      <c r="D374" s="1905"/>
      <c r="E374" s="1904" t="s">
        <v>1067</v>
      </c>
      <c r="F374" s="1888"/>
      <c r="G374" s="3005"/>
      <c r="H374" s="3005"/>
      <c r="I374" s="3005"/>
      <c r="J374" s="3005"/>
      <c r="K374" s="3005"/>
      <c r="L374" s="3005"/>
      <c r="M374" s="3005"/>
      <c r="N374" s="3005"/>
      <c r="O374" s="3005"/>
      <c r="P374" s="3005"/>
      <c r="Q374" s="3005"/>
      <c r="R374" s="3005"/>
      <c r="S374" s="3005"/>
      <c r="T374" s="3005"/>
      <c r="U374" s="3005"/>
      <c r="V374" s="3005"/>
      <c r="W374" s="3005"/>
      <c r="X374" s="3005"/>
      <c r="Y374" s="3005"/>
      <c r="Z374" s="3013"/>
      <c r="AA374" s="580">
        <f>+AA373</f>
        <v>29.04</v>
      </c>
    </row>
    <row r="375" spans="1:27" ht="18.75" x14ac:dyDescent="0.15">
      <c r="A375" s="3045"/>
      <c r="B375" s="3038"/>
      <c r="C375" s="1911" t="s">
        <v>340</v>
      </c>
      <c r="D375" s="1903">
        <v>0.4</v>
      </c>
      <c r="E375" s="1901" t="s">
        <v>1067</v>
      </c>
      <c r="F375" s="1906"/>
      <c r="G375" s="3006">
        <v>16.059999999999999</v>
      </c>
      <c r="H375" s="3006"/>
      <c r="I375" s="3006"/>
      <c r="J375" s="3006"/>
      <c r="K375" s="3006"/>
      <c r="L375" s="3006"/>
      <c r="M375" s="3006"/>
      <c r="N375" s="3006"/>
      <c r="O375" s="3006"/>
      <c r="P375" s="3006"/>
      <c r="Q375" s="3006"/>
      <c r="R375" s="3006"/>
      <c r="S375" s="3006"/>
      <c r="T375" s="3006"/>
      <c r="U375" s="3006"/>
      <c r="V375" s="3006"/>
      <c r="W375" s="3006"/>
      <c r="X375" s="3006"/>
      <c r="Y375" s="3006"/>
      <c r="Z375" s="3013">
        <f>+TRUNC((+SUM(G375:Y376)),2)</f>
        <v>16.059999999999999</v>
      </c>
      <c r="AA375" s="579">
        <f>SUM(G375:Z375)</f>
        <v>32.119999999999997</v>
      </c>
    </row>
    <row r="376" spans="1:27" ht="49.5" x14ac:dyDescent="0.15">
      <c r="A376" s="3045"/>
      <c r="B376" s="3038"/>
      <c r="C376" s="1954" t="s">
        <v>345</v>
      </c>
      <c r="D376" s="1905"/>
      <c r="E376" s="1904" t="s">
        <v>1067</v>
      </c>
      <c r="F376" s="1888"/>
      <c r="G376" s="3005"/>
      <c r="H376" s="3005"/>
      <c r="I376" s="3005"/>
      <c r="J376" s="3005"/>
      <c r="K376" s="3005"/>
      <c r="L376" s="3005"/>
      <c r="M376" s="3005"/>
      <c r="N376" s="3005"/>
      <c r="O376" s="3005"/>
      <c r="P376" s="3005"/>
      <c r="Q376" s="3005"/>
      <c r="R376" s="3005"/>
      <c r="S376" s="3005"/>
      <c r="T376" s="3005"/>
      <c r="U376" s="3005"/>
      <c r="V376" s="3005"/>
      <c r="W376" s="3005"/>
      <c r="X376" s="3005"/>
      <c r="Y376" s="3005"/>
      <c r="Z376" s="3013"/>
      <c r="AA376" s="580">
        <f>+AA375</f>
        <v>32.119999999999997</v>
      </c>
    </row>
    <row r="377" spans="1:27" ht="18.75" hidden="1" x14ac:dyDescent="0.15">
      <c r="A377" s="3045"/>
      <c r="B377" s="3038"/>
      <c r="C377" s="1911" t="s">
        <v>340</v>
      </c>
      <c r="D377" s="1903">
        <v>0.15</v>
      </c>
      <c r="E377" s="1901" t="s">
        <v>1067</v>
      </c>
      <c r="F377" s="1906"/>
      <c r="G377" s="3006"/>
      <c r="H377" s="3006"/>
      <c r="I377" s="3006"/>
      <c r="J377" s="3006"/>
      <c r="K377" s="3006"/>
      <c r="L377" s="3006"/>
      <c r="M377" s="3006"/>
      <c r="N377" s="3006"/>
      <c r="O377" s="3006"/>
      <c r="P377" s="3006"/>
      <c r="Q377" s="3006"/>
      <c r="R377" s="3006"/>
      <c r="S377" s="3006"/>
      <c r="T377" s="3006"/>
      <c r="U377" s="3006"/>
      <c r="V377" s="3006"/>
      <c r="W377" s="3006"/>
      <c r="X377" s="3006"/>
      <c r="Y377" s="3006"/>
      <c r="Z377" s="3013">
        <f>+TRUNC((+SUM(G377:Y378)),2)</f>
        <v>0</v>
      </c>
      <c r="AA377" s="579">
        <f>SUM(G377:Z377)</f>
        <v>0</v>
      </c>
    </row>
    <row r="378" spans="1:27" ht="49.5" hidden="1" x14ac:dyDescent="0.15">
      <c r="A378" s="3045"/>
      <c r="B378" s="3038"/>
      <c r="C378" s="1954" t="s">
        <v>948</v>
      </c>
      <c r="D378" s="1905"/>
      <c r="E378" s="1904" t="s">
        <v>1067</v>
      </c>
      <c r="F378" s="1888"/>
      <c r="G378" s="3005"/>
      <c r="H378" s="3005"/>
      <c r="I378" s="3005"/>
      <c r="J378" s="3005"/>
      <c r="K378" s="3005"/>
      <c r="L378" s="3005"/>
      <c r="M378" s="3005"/>
      <c r="N378" s="3005"/>
      <c r="O378" s="3005"/>
      <c r="P378" s="3005"/>
      <c r="Q378" s="3005"/>
      <c r="R378" s="3005"/>
      <c r="S378" s="3005"/>
      <c r="T378" s="3005"/>
      <c r="U378" s="3005"/>
      <c r="V378" s="3005"/>
      <c r="W378" s="3005"/>
      <c r="X378" s="3005"/>
      <c r="Y378" s="3005"/>
      <c r="Z378" s="3013"/>
      <c r="AA378" s="580">
        <f>+AA377</f>
        <v>0</v>
      </c>
    </row>
    <row r="379" spans="1:27" ht="18.75" hidden="1" x14ac:dyDescent="0.15">
      <c r="A379" s="3045"/>
      <c r="B379" s="3038"/>
      <c r="C379" s="1911" t="s">
        <v>340</v>
      </c>
      <c r="D379" s="1903">
        <v>0.1</v>
      </c>
      <c r="E379" s="1901" t="s">
        <v>1067</v>
      </c>
      <c r="F379" s="1906"/>
      <c r="G379" s="3006"/>
      <c r="H379" s="3006"/>
      <c r="I379" s="3006"/>
      <c r="J379" s="3006"/>
      <c r="K379" s="3006"/>
      <c r="L379" s="3006"/>
      <c r="M379" s="3006"/>
      <c r="N379" s="3006"/>
      <c r="O379" s="3006"/>
      <c r="P379" s="3006"/>
      <c r="Q379" s="3006"/>
      <c r="R379" s="3006"/>
      <c r="S379" s="3006"/>
      <c r="T379" s="3006"/>
      <c r="U379" s="3006"/>
      <c r="V379" s="3006"/>
      <c r="W379" s="3006"/>
      <c r="X379" s="3006"/>
      <c r="Y379" s="3006"/>
      <c r="Z379" s="3013">
        <f>+TRUNC((+SUM(G379:Y380)),2)</f>
        <v>0</v>
      </c>
      <c r="AA379" s="579">
        <f>SUM(G379:Z379)</f>
        <v>0</v>
      </c>
    </row>
    <row r="380" spans="1:27" ht="49.5" hidden="1" x14ac:dyDescent="0.15">
      <c r="A380" s="3045"/>
      <c r="B380" s="3038"/>
      <c r="C380" s="1954" t="s">
        <v>949</v>
      </c>
      <c r="D380" s="1905"/>
      <c r="E380" s="1904" t="s">
        <v>1067</v>
      </c>
      <c r="F380" s="1888"/>
      <c r="G380" s="3005"/>
      <c r="H380" s="3005"/>
      <c r="I380" s="3005"/>
      <c r="J380" s="3005"/>
      <c r="K380" s="3005"/>
      <c r="L380" s="3005"/>
      <c r="M380" s="3005"/>
      <c r="N380" s="3005"/>
      <c r="O380" s="3005"/>
      <c r="P380" s="3005"/>
      <c r="Q380" s="3005"/>
      <c r="R380" s="3005"/>
      <c r="S380" s="3005"/>
      <c r="T380" s="3005"/>
      <c r="U380" s="3005"/>
      <c r="V380" s="3005"/>
      <c r="W380" s="3005"/>
      <c r="X380" s="3005"/>
      <c r="Y380" s="3005"/>
      <c r="Z380" s="3013"/>
      <c r="AA380" s="580">
        <f>+AA379</f>
        <v>0</v>
      </c>
    </row>
    <row r="381" spans="1:27" ht="18.75" hidden="1" x14ac:dyDescent="0.15">
      <c r="A381" s="3045"/>
      <c r="B381" s="3038"/>
      <c r="C381" s="1911" t="s">
        <v>340</v>
      </c>
      <c r="D381" s="1903">
        <v>0.4</v>
      </c>
      <c r="E381" s="1901" t="s">
        <v>1067</v>
      </c>
      <c r="F381" s="1906"/>
      <c r="G381" s="3006"/>
      <c r="H381" s="3006"/>
      <c r="I381" s="3006"/>
      <c r="J381" s="3006"/>
      <c r="K381" s="3006"/>
      <c r="L381" s="3006"/>
      <c r="M381" s="3006"/>
      <c r="N381" s="3006"/>
      <c r="O381" s="3006"/>
      <c r="P381" s="3006"/>
      <c r="Q381" s="3006"/>
      <c r="R381" s="3006"/>
      <c r="S381" s="3006"/>
      <c r="T381" s="3006"/>
      <c r="U381" s="3006"/>
      <c r="V381" s="3006"/>
      <c r="W381" s="3006"/>
      <c r="X381" s="3006"/>
      <c r="Y381" s="3006"/>
      <c r="Z381" s="3013">
        <f>+TRUNC((+SUM(G381:Y382)),2)</f>
        <v>0</v>
      </c>
      <c r="AA381" s="579">
        <f>SUM(G381:Z381)</f>
        <v>0</v>
      </c>
    </row>
    <row r="382" spans="1:27" ht="62.25" hidden="1" x14ac:dyDescent="0.2">
      <c r="A382" s="3045"/>
      <c r="B382" s="3038"/>
      <c r="C382" s="1954" t="s">
        <v>1008</v>
      </c>
      <c r="D382" s="1902" t="s">
        <v>1084</v>
      </c>
      <c r="E382" s="1899" t="s">
        <v>1067</v>
      </c>
      <c r="F382" s="1898"/>
      <c r="G382" s="3005"/>
      <c r="H382" s="3005"/>
      <c r="I382" s="3005"/>
      <c r="J382" s="3005"/>
      <c r="K382" s="3005"/>
      <c r="L382" s="3005"/>
      <c r="M382" s="3005"/>
      <c r="N382" s="3005"/>
      <c r="O382" s="3005"/>
      <c r="P382" s="3005"/>
      <c r="Q382" s="3005"/>
      <c r="R382" s="3005"/>
      <c r="S382" s="3005"/>
      <c r="T382" s="3005"/>
      <c r="U382" s="3005"/>
      <c r="V382" s="3005"/>
      <c r="W382" s="3005"/>
      <c r="X382" s="3005"/>
      <c r="Y382" s="3005"/>
      <c r="Z382" s="3013"/>
      <c r="AA382" s="580">
        <f>+AA381</f>
        <v>0</v>
      </c>
    </row>
    <row r="383" spans="1:27" ht="26.25" customHeight="1" thickBot="1" x14ac:dyDescent="0.2">
      <c r="A383" s="3045"/>
      <c r="B383" s="3039"/>
      <c r="C383" s="3019" t="s">
        <v>1078</v>
      </c>
      <c r="D383" s="3020"/>
      <c r="E383" s="1889" t="s">
        <v>1067</v>
      </c>
      <c r="F383" s="1898"/>
      <c r="G383" s="1897" cm="1">
        <f t="array" ref="G383">SUMPRODUCT(($D363:$D380)*(G363:G380))+($D381*G381/2)</f>
        <v>57.896000000000008</v>
      </c>
      <c r="H383" s="1897" cm="1">
        <f t="array" ref="H383">SUMPRODUCT(($D363:$D380)*(H363:H380))+($D381*H381/2)</f>
        <v>43.272000000000006</v>
      </c>
      <c r="I383" s="1897" cm="1">
        <f t="array" ref="I383">SUMPRODUCT(($D363:$D380)*(I363:I380))+($D381*I381/2)</f>
        <v>45.774000000000001</v>
      </c>
      <c r="J383" s="1897" cm="1">
        <f t="array" ref="J383">SUMPRODUCT(($D363:$D380)*(J363:J380))+($D381*J381/2)</f>
        <v>45.824000000000005</v>
      </c>
      <c r="K383" s="1897" cm="1">
        <f t="array" ref="K383">SUMPRODUCT(($D363:$D380)*(K363:K380))+($D381*K381/2)</f>
        <v>6.56</v>
      </c>
      <c r="L383" s="1897" cm="1">
        <f t="array" ref="L383">SUMPRODUCT(($D363:$D380)*(L363:L380))+($D381*L381/2)</f>
        <v>2.6360000000000001</v>
      </c>
      <c r="M383" s="1897" cm="1">
        <f t="array" ref="M383">SUMPRODUCT(($D363:$D380)*(M363:M380))+($D381*M381/2)</f>
        <v>12.224</v>
      </c>
      <c r="N383" s="1897" cm="1">
        <f t="array" ref="N383">SUMPRODUCT(($D363:$D380)*(N363:N380))+($D381*N381/2)</f>
        <v>6.5280000000000005</v>
      </c>
      <c r="O383" s="1897" cm="1">
        <f t="array" ref="O383">SUMPRODUCT(($D363:$D380)*(O363:O380))+($D381*O381/2)</f>
        <v>6.6520000000000001</v>
      </c>
      <c r="P383" s="1897" cm="1">
        <f t="array" ref="P383">SUMPRODUCT(($D363:$D380)*(P363:P380))+($D381*P381/2)</f>
        <v>6.4319999999999995</v>
      </c>
      <c r="Q383" s="1897" cm="1">
        <f t="array" ref="Q383">SUMPRODUCT(($D363:$D380)*(Q363:Q380))+($D381*Q381/2)</f>
        <v>14</v>
      </c>
      <c r="R383" s="1897" cm="1">
        <f t="array" ref="R383">SUMPRODUCT(($D363:$D380)*(R363:R380))+($D381*R381/2)</f>
        <v>16.14</v>
      </c>
      <c r="S383" s="1897" cm="1">
        <f t="array" ref="S383">SUMPRODUCT(($D363:$D380)*(S363:S380))+($D381*S381/2)</f>
        <v>19.672000000000001</v>
      </c>
      <c r="T383" s="1897" cm="1">
        <f t="array" ref="T383">SUMPRODUCT(($D363:$D380)*(T363:T380))+($D381*T381/2)</f>
        <v>28.654</v>
      </c>
      <c r="U383" s="1897" cm="1">
        <f t="array" ref="U383">SUMPRODUCT(($D363:$D380)*(U363:U380))+($D381*U381/2)</f>
        <v>20.676000000000002</v>
      </c>
      <c r="V383" s="1897" cm="1">
        <f t="array" ref="V383">SUMPRODUCT(($D363:$D380)*(V363:V380))+($D381*V381/2)</f>
        <v>18.152000000000001</v>
      </c>
      <c r="W383" s="1897" cm="1">
        <f t="array" ref="W383">SUMPRODUCT(($D363:$D380)*(W363:W380))+($D381*W381/2)</f>
        <v>34.604000000000006</v>
      </c>
      <c r="X383" s="1897" cm="1">
        <f t="array" ref="X383">SUMPRODUCT(($D363:$D380)*(X363:X380))+($D381*X381/2)</f>
        <v>2.5280000000000005</v>
      </c>
      <c r="Y383" s="1897"/>
      <c r="Z383" s="1896">
        <f>+TRUNC(+SUM(G383:Y383),2)</f>
        <v>388.22</v>
      </c>
      <c r="AA383" s="579">
        <f>SUM(G383:Z383)</f>
        <v>776.44399999999996</v>
      </c>
    </row>
    <row r="384" spans="1:27" ht="18.75" hidden="1" customHeight="1" x14ac:dyDescent="0.15">
      <c r="A384" s="3045"/>
      <c r="B384" s="3062" t="s">
        <v>1085</v>
      </c>
      <c r="C384" s="1958" t="s">
        <v>340</v>
      </c>
      <c r="D384" s="3053"/>
      <c r="E384" s="1901" t="s">
        <v>1067</v>
      </c>
      <c r="F384" s="1898"/>
      <c r="G384" s="3004"/>
      <c r="H384" s="3004"/>
      <c r="I384" s="3004"/>
      <c r="J384" s="3004"/>
      <c r="K384" s="3004"/>
      <c r="L384" s="3004"/>
      <c r="M384" s="3004"/>
      <c r="N384" s="3004"/>
      <c r="O384" s="3004"/>
      <c r="P384" s="3004"/>
      <c r="Q384" s="3004"/>
      <c r="R384" s="3004"/>
      <c r="S384" s="3004"/>
      <c r="T384" s="3004"/>
      <c r="U384" s="3004"/>
      <c r="V384" s="3004"/>
      <c r="W384" s="3004"/>
      <c r="X384" s="3004"/>
      <c r="Y384" s="3004"/>
      <c r="Z384" s="3013">
        <f>+TRUNC((+SUM(G384:Y385)),2)</f>
        <v>0</v>
      </c>
      <c r="AA384" s="579">
        <f>SUM(G384:Z384)</f>
        <v>0</v>
      </c>
    </row>
    <row r="385" spans="1:27" ht="63" hidden="1" thickBot="1" x14ac:dyDescent="0.2">
      <c r="A385" s="3045"/>
      <c r="B385" s="3063"/>
      <c r="C385" s="1954" t="s">
        <v>1065</v>
      </c>
      <c r="D385" s="3054"/>
      <c r="E385" s="1899" t="s">
        <v>1067</v>
      </c>
      <c r="F385" s="1898"/>
      <c r="G385" s="3005"/>
      <c r="H385" s="3005"/>
      <c r="I385" s="3005"/>
      <c r="J385" s="3005"/>
      <c r="K385" s="3005"/>
      <c r="L385" s="3005"/>
      <c r="M385" s="3005"/>
      <c r="N385" s="3005"/>
      <c r="O385" s="3005"/>
      <c r="P385" s="3005"/>
      <c r="Q385" s="3005"/>
      <c r="R385" s="3005"/>
      <c r="S385" s="3005"/>
      <c r="T385" s="3005"/>
      <c r="U385" s="3005"/>
      <c r="V385" s="3005"/>
      <c r="W385" s="3005"/>
      <c r="X385" s="3005"/>
      <c r="Y385" s="3005"/>
      <c r="Z385" s="3013"/>
      <c r="AA385" s="580">
        <f>+AA384</f>
        <v>0</v>
      </c>
    </row>
    <row r="386" spans="1:27" ht="26.25" hidden="1" customHeight="1" thickBot="1" x14ac:dyDescent="0.2">
      <c r="A386" s="3045"/>
      <c r="B386" s="3064"/>
      <c r="C386" s="3019" t="s">
        <v>1080</v>
      </c>
      <c r="D386" s="3020"/>
      <c r="E386" s="1889" t="s">
        <v>1067</v>
      </c>
      <c r="F386" s="1898"/>
      <c r="G386" s="1897">
        <f>+G384</f>
        <v>0</v>
      </c>
      <c r="H386" s="1897">
        <f t="shared" ref="H386:M386" si="110">+H384</f>
        <v>0</v>
      </c>
      <c r="I386" s="1897">
        <f t="shared" si="110"/>
        <v>0</v>
      </c>
      <c r="J386" s="1897">
        <f t="shared" si="110"/>
        <v>0</v>
      </c>
      <c r="K386" s="1897">
        <f t="shared" si="110"/>
        <v>0</v>
      </c>
      <c r="L386" s="1897">
        <f t="shared" si="110"/>
        <v>0</v>
      </c>
      <c r="M386" s="1897">
        <f t="shared" si="110"/>
        <v>0</v>
      </c>
      <c r="N386" s="1897">
        <f t="shared" ref="N386" si="111">+N384</f>
        <v>0</v>
      </c>
      <c r="O386" s="1897">
        <f t="shared" ref="O386" si="112">+O384</f>
        <v>0</v>
      </c>
      <c r="P386" s="1897">
        <f t="shared" ref="P386:Q386" si="113">+P384</f>
        <v>0</v>
      </c>
      <c r="Q386" s="1897">
        <f t="shared" si="113"/>
        <v>0</v>
      </c>
      <c r="R386" s="1897">
        <f t="shared" ref="R386:S386" si="114">+R384</f>
        <v>0</v>
      </c>
      <c r="S386" s="1897">
        <f t="shared" si="114"/>
        <v>0</v>
      </c>
      <c r="T386" s="1897">
        <f t="shared" ref="T386:U386" si="115">+T384</f>
        <v>0</v>
      </c>
      <c r="U386" s="1897">
        <f t="shared" si="115"/>
        <v>0</v>
      </c>
      <c r="V386" s="1897">
        <f t="shared" ref="V386:W386" si="116">+V384</f>
        <v>0</v>
      </c>
      <c r="W386" s="1897">
        <f t="shared" si="116"/>
        <v>0</v>
      </c>
      <c r="X386" s="1897">
        <f t="shared" ref="X386" si="117">+X384</f>
        <v>0</v>
      </c>
      <c r="Y386" s="1897"/>
      <c r="Z386" s="1896">
        <f>+TRUNC(+SUM(G386:Y386),2)</f>
        <v>0</v>
      </c>
      <c r="AA386" s="579">
        <f>SUM(G386:Z386)</f>
        <v>0</v>
      </c>
    </row>
    <row r="387" spans="1:27" ht="18.75" hidden="1" customHeight="1" x14ac:dyDescent="0.15">
      <c r="A387" s="3045"/>
      <c r="B387" s="3062" t="s">
        <v>2254</v>
      </c>
      <c r="C387" s="1958" t="s">
        <v>340</v>
      </c>
      <c r="D387" s="3053"/>
      <c r="E387" s="1901" t="s">
        <v>1067</v>
      </c>
      <c r="F387" s="1906"/>
      <c r="G387" s="3004"/>
      <c r="H387" s="3004"/>
      <c r="I387" s="3004"/>
      <c r="J387" s="3004"/>
      <c r="K387" s="3004"/>
      <c r="L387" s="3004"/>
      <c r="M387" s="3004"/>
      <c r="N387" s="3004"/>
      <c r="O387" s="3004"/>
      <c r="P387" s="3004"/>
      <c r="Q387" s="3004"/>
      <c r="R387" s="3004"/>
      <c r="S387" s="3004"/>
      <c r="T387" s="3004"/>
      <c r="U387" s="3004"/>
      <c r="V387" s="3004"/>
      <c r="W387" s="3004"/>
      <c r="X387" s="3004"/>
      <c r="Y387" s="3004"/>
      <c r="Z387" s="3013">
        <f>+TRUNC((+SUM(G387:Y388)),2)</f>
        <v>0</v>
      </c>
      <c r="AA387" s="579">
        <f>SUM(G387:Z387)</f>
        <v>0</v>
      </c>
    </row>
    <row r="388" spans="1:27" ht="63" hidden="1" thickBot="1" x14ac:dyDescent="0.2">
      <c r="A388" s="3045"/>
      <c r="B388" s="3063"/>
      <c r="C388" s="1954" t="s">
        <v>1064</v>
      </c>
      <c r="D388" s="3054"/>
      <c r="E388" s="1899" t="s">
        <v>1067</v>
      </c>
      <c r="F388" s="1898"/>
      <c r="G388" s="3005"/>
      <c r="H388" s="3005"/>
      <c r="I388" s="3005"/>
      <c r="J388" s="3005"/>
      <c r="K388" s="3005"/>
      <c r="L388" s="3005"/>
      <c r="M388" s="3005"/>
      <c r="N388" s="3005"/>
      <c r="O388" s="3005"/>
      <c r="P388" s="3005"/>
      <c r="Q388" s="3005"/>
      <c r="R388" s="3005"/>
      <c r="S388" s="3005"/>
      <c r="T388" s="3005"/>
      <c r="U388" s="3005"/>
      <c r="V388" s="3005"/>
      <c r="W388" s="3005"/>
      <c r="X388" s="3005"/>
      <c r="Y388" s="3005"/>
      <c r="Z388" s="3013"/>
      <c r="AA388" s="580">
        <f>+AA387</f>
        <v>0</v>
      </c>
    </row>
    <row r="389" spans="1:27" ht="26.25" hidden="1" customHeight="1" thickBot="1" x14ac:dyDescent="0.2">
      <c r="A389" s="3045"/>
      <c r="B389" s="3064"/>
      <c r="C389" s="3019" t="s">
        <v>1080</v>
      </c>
      <c r="D389" s="3020"/>
      <c r="E389" s="1889" t="s">
        <v>1067</v>
      </c>
      <c r="F389" s="1898"/>
      <c r="G389" s="1897">
        <f>+G387</f>
        <v>0</v>
      </c>
      <c r="H389" s="1897">
        <f t="shared" ref="H389:M389" si="118">+H387</f>
        <v>0</v>
      </c>
      <c r="I389" s="1897">
        <f t="shared" si="118"/>
        <v>0</v>
      </c>
      <c r="J389" s="1897">
        <f t="shared" si="118"/>
        <v>0</v>
      </c>
      <c r="K389" s="1897">
        <f t="shared" si="118"/>
        <v>0</v>
      </c>
      <c r="L389" s="1897">
        <f t="shared" si="118"/>
        <v>0</v>
      </c>
      <c r="M389" s="1897">
        <f t="shared" si="118"/>
        <v>0</v>
      </c>
      <c r="N389" s="1897">
        <f t="shared" ref="N389" si="119">+N387</f>
        <v>0</v>
      </c>
      <c r="O389" s="1897">
        <f t="shared" ref="O389" si="120">+O387</f>
        <v>0</v>
      </c>
      <c r="P389" s="1897">
        <f t="shared" ref="P389:Q389" si="121">+P387</f>
        <v>0</v>
      </c>
      <c r="Q389" s="1897">
        <f t="shared" si="121"/>
        <v>0</v>
      </c>
      <c r="R389" s="1897">
        <f t="shared" ref="R389:S389" si="122">+R387</f>
        <v>0</v>
      </c>
      <c r="S389" s="1897">
        <f t="shared" si="122"/>
        <v>0</v>
      </c>
      <c r="T389" s="1897">
        <f t="shared" ref="T389:U389" si="123">+T387</f>
        <v>0</v>
      </c>
      <c r="U389" s="1897">
        <f t="shared" si="123"/>
        <v>0</v>
      </c>
      <c r="V389" s="1897">
        <f t="shared" ref="V389:W389" si="124">+V387</f>
        <v>0</v>
      </c>
      <c r="W389" s="1897">
        <f t="shared" si="124"/>
        <v>0</v>
      </c>
      <c r="X389" s="1897">
        <f t="shared" ref="X389" si="125">+X387</f>
        <v>0</v>
      </c>
      <c r="Y389" s="1897"/>
      <c r="Z389" s="1896">
        <f>+TRUNC(+SUM(G389:Y389),2)</f>
        <v>0</v>
      </c>
      <c r="AA389" s="579">
        <f t="shared" ref="AA389:AA400" si="126">SUM(G389:Z389)</f>
        <v>0</v>
      </c>
    </row>
    <row r="390" spans="1:27" ht="24" hidden="1" customHeight="1" x14ac:dyDescent="0.15">
      <c r="A390" s="3045"/>
      <c r="B390" s="3062" t="s">
        <v>347</v>
      </c>
      <c r="C390" s="3021" t="s">
        <v>334</v>
      </c>
      <c r="D390" s="1944" t="s">
        <v>2408</v>
      </c>
      <c r="E390" s="1889" t="s">
        <v>1067</v>
      </c>
      <c r="F390" s="1888"/>
      <c r="G390" s="2283"/>
      <c r="H390" s="2283"/>
      <c r="I390" s="2283"/>
      <c r="J390" s="2283"/>
      <c r="K390" s="2283"/>
      <c r="L390" s="2283"/>
      <c r="M390" s="2283"/>
      <c r="N390" s="2283"/>
      <c r="O390" s="2283"/>
      <c r="P390" s="2283"/>
      <c r="Q390" s="2283"/>
      <c r="R390" s="2283"/>
      <c r="S390" s="2283"/>
      <c r="T390" s="2283"/>
      <c r="U390" s="2283"/>
      <c r="V390" s="2283"/>
      <c r="W390" s="2283"/>
      <c r="X390" s="2283"/>
      <c r="Y390" s="2283"/>
      <c r="Z390" s="1923">
        <f t="shared" ref="Z390:Z397" si="127">SUM(G390:Y390)</f>
        <v>0</v>
      </c>
      <c r="AA390" s="579">
        <f t="shared" si="126"/>
        <v>0</v>
      </c>
    </row>
    <row r="391" spans="1:27" ht="24" hidden="1" customHeight="1" x14ac:dyDescent="0.15">
      <c r="A391" s="3045"/>
      <c r="B391" s="3063"/>
      <c r="C391" s="3022"/>
      <c r="D391" s="1945" t="s">
        <v>2409</v>
      </c>
      <c r="E391" s="1889"/>
      <c r="F391" s="1888"/>
      <c r="G391" s="2282"/>
      <c r="H391" s="2282"/>
      <c r="I391" s="2282"/>
      <c r="J391" s="2282"/>
      <c r="K391" s="2282"/>
      <c r="L391" s="2282"/>
      <c r="M391" s="2282"/>
      <c r="N391" s="2282"/>
      <c r="O391" s="2282"/>
      <c r="P391" s="2282"/>
      <c r="Q391" s="2282"/>
      <c r="R391" s="2282"/>
      <c r="S391" s="2282"/>
      <c r="T391" s="2282"/>
      <c r="U391" s="2282"/>
      <c r="V391" s="2282"/>
      <c r="W391" s="2282"/>
      <c r="X391" s="2282"/>
      <c r="Y391" s="2282"/>
      <c r="Z391" s="1895">
        <f t="shared" si="127"/>
        <v>0</v>
      </c>
      <c r="AA391" s="579">
        <f t="shared" si="126"/>
        <v>0</v>
      </c>
    </row>
    <row r="392" spans="1:27" ht="24" hidden="1" customHeight="1" x14ac:dyDescent="0.15">
      <c r="A392" s="3045"/>
      <c r="B392" s="3063"/>
      <c r="C392" s="3022"/>
      <c r="D392" s="1945" t="s">
        <v>2410</v>
      </c>
      <c r="E392" s="1889"/>
      <c r="F392" s="1888"/>
      <c r="G392" s="2281"/>
      <c r="H392" s="2281"/>
      <c r="I392" s="2281"/>
      <c r="J392" s="2281"/>
      <c r="K392" s="2281"/>
      <c r="L392" s="2281"/>
      <c r="M392" s="2281"/>
      <c r="N392" s="2281"/>
      <c r="O392" s="2281"/>
      <c r="P392" s="2281"/>
      <c r="Q392" s="2281"/>
      <c r="R392" s="2281"/>
      <c r="S392" s="2281"/>
      <c r="T392" s="2281"/>
      <c r="U392" s="2281"/>
      <c r="V392" s="2281"/>
      <c r="W392" s="2281"/>
      <c r="X392" s="2281"/>
      <c r="Y392" s="2281"/>
      <c r="Z392" s="1927">
        <f t="shared" si="127"/>
        <v>0</v>
      </c>
      <c r="AA392" s="579">
        <f t="shared" si="126"/>
        <v>0</v>
      </c>
    </row>
    <row r="393" spans="1:27" ht="24" hidden="1" customHeight="1" x14ac:dyDescent="0.15">
      <c r="A393" s="3045"/>
      <c r="B393" s="3063"/>
      <c r="C393" s="3023"/>
      <c r="D393" s="1946" t="s">
        <v>2411</v>
      </c>
      <c r="E393" s="1889" t="s">
        <v>1067</v>
      </c>
      <c r="F393" s="1888"/>
      <c r="G393" s="2282"/>
      <c r="H393" s="2282"/>
      <c r="I393" s="2282"/>
      <c r="J393" s="2282"/>
      <c r="K393" s="2282"/>
      <c r="L393" s="2282"/>
      <c r="M393" s="2282"/>
      <c r="N393" s="2282"/>
      <c r="O393" s="2282"/>
      <c r="P393" s="2282"/>
      <c r="Q393" s="2282"/>
      <c r="R393" s="2282"/>
      <c r="S393" s="2282"/>
      <c r="T393" s="2282"/>
      <c r="U393" s="2282"/>
      <c r="V393" s="2282"/>
      <c r="W393" s="2282"/>
      <c r="X393" s="2282"/>
      <c r="Y393" s="2282"/>
      <c r="Z393" s="1895">
        <f t="shared" si="127"/>
        <v>0</v>
      </c>
      <c r="AA393" s="579">
        <f t="shared" si="126"/>
        <v>0</v>
      </c>
    </row>
    <row r="394" spans="1:27" ht="24" hidden="1" customHeight="1" x14ac:dyDescent="0.15">
      <c r="A394" s="3045"/>
      <c r="B394" s="3063"/>
      <c r="C394" s="3024" t="s">
        <v>335</v>
      </c>
      <c r="D394" s="1945" t="s">
        <v>2408</v>
      </c>
      <c r="E394" s="1889" t="s">
        <v>1067</v>
      </c>
      <c r="F394" s="1888"/>
      <c r="G394" s="2281"/>
      <c r="H394" s="2281"/>
      <c r="I394" s="2281"/>
      <c r="J394" s="2281"/>
      <c r="K394" s="2281"/>
      <c r="L394" s="2281"/>
      <c r="M394" s="2281"/>
      <c r="N394" s="2281"/>
      <c r="O394" s="2281"/>
      <c r="P394" s="2281"/>
      <c r="Q394" s="2281"/>
      <c r="R394" s="2281"/>
      <c r="S394" s="2281"/>
      <c r="T394" s="2281"/>
      <c r="U394" s="2281"/>
      <c r="V394" s="2281"/>
      <c r="W394" s="2281"/>
      <c r="X394" s="2281"/>
      <c r="Y394" s="2281"/>
      <c r="Z394" s="1927">
        <f t="shared" si="127"/>
        <v>0</v>
      </c>
      <c r="AA394" s="579">
        <f t="shared" si="126"/>
        <v>0</v>
      </c>
    </row>
    <row r="395" spans="1:27" ht="24" hidden="1" customHeight="1" x14ac:dyDescent="0.15">
      <c r="A395" s="3045"/>
      <c r="B395" s="3063"/>
      <c r="C395" s="3022"/>
      <c r="D395" s="1945" t="s">
        <v>2409</v>
      </c>
      <c r="E395" s="1889"/>
      <c r="F395" s="1888"/>
      <c r="G395" s="2282"/>
      <c r="H395" s="2282"/>
      <c r="I395" s="2282"/>
      <c r="J395" s="2282"/>
      <c r="K395" s="2282"/>
      <c r="L395" s="2282"/>
      <c r="M395" s="2282"/>
      <c r="N395" s="2282"/>
      <c r="O395" s="2282"/>
      <c r="P395" s="2282"/>
      <c r="Q395" s="2282"/>
      <c r="R395" s="2282"/>
      <c r="S395" s="2282"/>
      <c r="T395" s="2282"/>
      <c r="U395" s="2282"/>
      <c r="V395" s="2282"/>
      <c r="W395" s="2282"/>
      <c r="X395" s="2282"/>
      <c r="Y395" s="2282"/>
      <c r="Z395" s="1895">
        <f t="shared" si="127"/>
        <v>0</v>
      </c>
      <c r="AA395" s="579">
        <f t="shared" si="126"/>
        <v>0</v>
      </c>
    </row>
    <row r="396" spans="1:27" ht="24" hidden="1" customHeight="1" x14ac:dyDescent="0.15">
      <c r="A396" s="3045"/>
      <c r="B396" s="3063"/>
      <c r="C396" s="3022"/>
      <c r="D396" s="1945" t="s">
        <v>2410</v>
      </c>
      <c r="E396" s="1889"/>
      <c r="F396" s="1888"/>
      <c r="G396" s="2281"/>
      <c r="H396" s="2281"/>
      <c r="I396" s="2281"/>
      <c r="J396" s="2281"/>
      <c r="K396" s="2281"/>
      <c r="L396" s="2281"/>
      <c r="M396" s="2281"/>
      <c r="N396" s="2281"/>
      <c r="O396" s="2281"/>
      <c r="P396" s="2281"/>
      <c r="Q396" s="2281"/>
      <c r="R396" s="2281"/>
      <c r="S396" s="2281"/>
      <c r="T396" s="2281"/>
      <c r="U396" s="2281"/>
      <c r="V396" s="2281"/>
      <c r="W396" s="2281"/>
      <c r="X396" s="2281"/>
      <c r="Y396" s="2281"/>
      <c r="Z396" s="1927">
        <f t="shared" si="127"/>
        <v>0</v>
      </c>
      <c r="AA396" s="579">
        <f t="shared" si="126"/>
        <v>0</v>
      </c>
    </row>
    <row r="397" spans="1:27" ht="24" hidden="1" customHeight="1" thickBot="1" x14ac:dyDescent="0.2">
      <c r="A397" s="3045"/>
      <c r="B397" s="3064"/>
      <c r="C397" s="3025"/>
      <c r="D397" s="1947" t="s">
        <v>2411</v>
      </c>
      <c r="E397" s="1889" t="s">
        <v>1067</v>
      </c>
      <c r="F397" s="1888"/>
      <c r="G397" s="2282"/>
      <c r="H397" s="2282"/>
      <c r="I397" s="2282"/>
      <c r="J397" s="2282"/>
      <c r="K397" s="2282"/>
      <c r="L397" s="2282"/>
      <c r="M397" s="2282"/>
      <c r="N397" s="2282"/>
      <c r="O397" s="2282"/>
      <c r="P397" s="2282"/>
      <c r="Q397" s="2282"/>
      <c r="R397" s="2282"/>
      <c r="S397" s="2282"/>
      <c r="T397" s="2282"/>
      <c r="U397" s="2282"/>
      <c r="V397" s="2282"/>
      <c r="W397" s="2282"/>
      <c r="X397" s="2282"/>
      <c r="Y397" s="2282"/>
      <c r="Z397" s="1895">
        <f t="shared" si="127"/>
        <v>0</v>
      </c>
      <c r="AA397" s="579">
        <f t="shared" si="126"/>
        <v>0</v>
      </c>
    </row>
    <row r="398" spans="1:27" ht="25.5" hidden="1" customHeight="1" thickBot="1" x14ac:dyDescent="0.2">
      <c r="A398" s="3045"/>
      <c r="B398" s="3070" t="s">
        <v>2412</v>
      </c>
      <c r="C398" s="3071"/>
      <c r="D398" s="3072"/>
      <c r="E398" s="1889"/>
      <c r="F398" s="1888"/>
      <c r="G398" s="2283"/>
      <c r="H398" s="2283"/>
      <c r="I398" s="2283"/>
      <c r="J398" s="2283"/>
      <c r="K398" s="2283"/>
      <c r="L398" s="2283"/>
      <c r="M398" s="2283"/>
      <c r="N398" s="2283"/>
      <c r="O398" s="2283"/>
      <c r="P398" s="2283"/>
      <c r="Q398" s="2283"/>
      <c r="R398" s="2283"/>
      <c r="S398" s="2283"/>
      <c r="T398" s="2283"/>
      <c r="U398" s="2283"/>
      <c r="V398" s="2283"/>
      <c r="W398" s="2283"/>
      <c r="X398" s="2283"/>
      <c r="Y398" s="2283"/>
      <c r="Z398" s="1923">
        <f>+SUM(G398:Y398)</f>
        <v>0</v>
      </c>
      <c r="AA398" s="579">
        <f t="shared" si="126"/>
        <v>0</v>
      </c>
    </row>
    <row r="399" spans="1:27" ht="25.5" hidden="1" customHeight="1" x14ac:dyDescent="0.15">
      <c r="A399" s="3045"/>
      <c r="B399" s="3065" t="s">
        <v>1073</v>
      </c>
      <c r="C399" s="3066"/>
      <c r="D399" s="1892" t="s">
        <v>584</v>
      </c>
      <c r="E399" s="1889" t="s">
        <v>1067</v>
      </c>
      <c r="F399" s="1888"/>
      <c r="G399" s="1891"/>
      <c r="H399" s="1891"/>
      <c r="I399" s="1891"/>
      <c r="J399" s="1891"/>
      <c r="K399" s="1891"/>
      <c r="L399" s="1891"/>
      <c r="M399" s="1891"/>
      <c r="N399" s="1891"/>
      <c r="O399" s="1891"/>
      <c r="P399" s="1891"/>
      <c r="Q399" s="1891"/>
      <c r="R399" s="1891"/>
      <c r="S399" s="1891"/>
      <c r="T399" s="1891"/>
      <c r="U399" s="1891"/>
      <c r="V399" s="1891"/>
      <c r="W399" s="1891"/>
      <c r="X399" s="1891"/>
      <c r="Y399" s="1891"/>
      <c r="Z399" s="2066">
        <f>+TRUNC(+SUM(G399:Y399),2)</f>
        <v>0</v>
      </c>
      <c r="AA399" s="579">
        <f t="shared" si="126"/>
        <v>0</v>
      </c>
    </row>
    <row r="400" spans="1:27" ht="26.25" hidden="1" thickBot="1" x14ac:dyDescent="0.2">
      <c r="A400" s="3045"/>
      <c r="B400" s="3067"/>
      <c r="C400" s="3068"/>
      <c r="D400" s="1890" t="s">
        <v>583</v>
      </c>
      <c r="E400" s="1889" t="s">
        <v>1067</v>
      </c>
      <c r="F400" s="1888"/>
      <c r="G400" s="1887"/>
      <c r="H400" s="1887"/>
      <c r="I400" s="1887"/>
      <c r="J400" s="1887"/>
      <c r="K400" s="1887"/>
      <c r="L400" s="1887"/>
      <c r="M400" s="1887"/>
      <c r="N400" s="1887"/>
      <c r="O400" s="1887"/>
      <c r="P400" s="1887"/>
      <c r="Q400" s="1887"/>
      <c r="R400" s="1887"/>
      <c r="S400" s="1887"/>
      <c r="T400" s="1887"/>
      <c r="U400" s="1887"/>
      <c r="V400" s="1887"/>
      <c r="W400" s="1887"/>
      <c r="X400" s="1887"/>
      <c r="Y400" s="1887"/>
      <c r="Z400" s="1886">
        <f>SUM(G400:Y400)</f>
        <v>0</v>
      </c>
      <c r="AA400" s="579">
        <f t="shared" si="126"/>
        <v>0</v>
      </c>
    </row>
    <row r="401" spans="1:27" ht="50.1" customHeight="1" thickBot="1" x14ac:dyDescent="0.2">
      <c r="A401" s="3046"/>
      <c r="B401" s="3015" t="s">
        <v>12</v>
      </c>
      <c r="C401" s="3016"/>
      <c r="D401" s="3017"/>
      <c r="E401" s="1885" t="s">
        <v>1067</v>
      </c>
      <c r="F401" s="691"/>
      <c r="G401" s="1884"/>
      <c r="H401" s="1884"/>
      <c r="I401" s="1884"/>
      <c r="J401" s="1884"/>
      <c r="K401" s="1884"/>
      <c r="L401" s="1884"/>
      <c r="M401" s="1884"/>
      <c r="N401" s="1884"/>
      <c r="O401" s="1884"/>
      <c r="P401" s="1884"/>
      <c r="Q401" s="1884"/>
      <c r="R401" s="1884"/>
      <c r="S401" s="1884"/>
      <c r="T401" s="1884"/>
      <c r="U401" s="1884"/>
      <c r="V401" s="1884"/>
      <c r="W401" s="1884"/>
      <c r="X401" s="1884"/>
      <c r="Y401" s="1884"/>
      <c r="Z401" s="1883"/>
      <c r="AA401" s="668">
        <v>1</v>
      </c>
    </row>
    <row r="402" spans="1:27" ht="13.5" hidden="1" thickTop="1" x14ac:dyDescent="0.15">
      <c r="G402" s="1882"/>
      <c r="H402" s="1882"/>
      <c r="I402" s="1882"/>
      <c r="J402" s="1882"/>
      <c r="K402" s="1882"/>
      <c r="L402" s="1882"/>
      <c r="M402" s="1882"/>
      <c r="N402" s="1882"/>
      <c r="O402" s="1882"/>
      <c r="P402" s="1882"/>
      <c r="Q402" s="1882"/>
      <c r="R402" s="1882"/>
      <c r="S402" s="1882"/>
      <c r="T402" s="1882"/>
      <c r="U402" s="1882"/>
      <c r="V402" s="1882"/>
      <c r="W402" s="1882"/>
      <c r="X402" s="1882"/>
      <c r="Y402" s="1882"/>
    </row>
    <row r="403" spans="1:27" ht="13.5" thickTop="1" x14ac:dyDescent="0.15"/>
  </sheetData>
  <autoFilter ref="AA1:AA402" xr:uid="{00000000-0009-0000-0000-00001F000000}">
    <filterColumn colId="0">
      <customFilters>
        <customFilter operator="notEqual" val=" "/>
      </customFilters>
    </filterColumn>
  </autoFilter>
  <mergeCells count="3623">
    <mergeCell ref="Y4:Y5"/>
    <mergeCell ref="Z387:Z388"/>
    <mergeCell ref="Y365:Y366"/>
    <mergeCell ref="Z365:Z366"/>
    <mergeCell ref="Y384:Y385"/>
    <mergeCell ref="Y375:Y376"/>
    <mergeCell ref="Z381:Z382"/>
    <mergeCell ref="Y369:Y370"/>
    <mergeCell ref="Z369:Z370"/>
    <mergeCell ref="Y381:Y382"/>
    <mergeCell ref="Z384:Z385"/>
    <mergeCell ref="Y371:Y372"/>
    <mergeCell ref="Z371:Z372"/>
    <mergeCell ref="Z375:Z376"/>
    <mergeCell ref="Y379:Y380"/>
    <mergeCell ref="Z379:Z380"/>
    <mergeCell ref="Z377:Z378"/>
    <mergeCell ref="Z68:Z69"/>
    <mergeCell ref="Y72:Y73"/>
    <mergeCell ref="Z72:Z73"/>
    <mergeCell ref="Y88:Y89"/>
    <mergeCell ref="Z4:Z5"/>
    <mergeCell ref="Z326:Z327"/>
    <mergeCell ref="Z6:Z7"/>
    <mergeCell ref="Z272:Z273"/>
    <mergeCell ref="Z346:Z347"/>
    <mergeCell ref="Z344:Z345"/>
    <mergeCell ref="Y360:Y361"/>
    <mergeCell ref="Z274:Z275"/>
    <mergeCell ref="Y302:Y303"/>
    <mergeCell ref="Y332:Y333"/>
    <mergeCell ref="Z332:Z333"/>
    <mergeCell ref="Y334:Y335"/>
    <mergeCell ref="Z334:Z335"/>
    <mergeCell ref="Z313:Z314"/>
    <mergeCell ref="Z76:Z77"/>
    <mergeCell ref="Y90:Y91"/>
    <mergeCell ref="Z248:Z249"/>
    <mergeCell ref="Z250:Z251"/>
    <mergeCell ref="Z262:Z263"/>
    <mergeCell ref="Y264:Y265"/>
    <mergeCell ref="Y258:Y259"/>
    <mergeCell ref="Y250:Y251"/>
    <mergeCell ref="Z82:Z83"/>
    <mergeCell ref="Y356:Y357"/>
    <mergeCell ref="Y246:Y247"/>
    <mergeCell ref="Z260:Z261"/>
    <mergeCell ref="Z358:Z359"/>
    <mergeCell ref="Y346:Y347"/>
    <mergeCell ref="Y338:Y339"/>
    <mergeCell ref="Z156:Z157"/>
    <mergeCell ref="Z106:Z107"/>
    <mergeCell ref="Y112:Y113"/>
    <mergeCell ref="Y102:Y103"/>
    <mergeCell ref="Z102:Z103"/>
    <mergeCell ref="Y116:Y117"/>
    <mergeCell ref="Y128:Y129"/>
    <mergeCell ref="Y130:Y131"/>
    <mergeCell ref="Z130:Z131"/>
    <mergeCell ref="Y132:Y133"/>
    <mergeCell ref="Z90:Z91"/>
    <mergeCell ref="Z92:Z93"/>
    <mergeCell ref="Y96:Y97"/>
    <mergeCell ref="Z132:Z133"/>
    <mergeCell ref="A1:A401"/>
    <mergeCell ref="E1:F1"/>
    <mergeCell ref="C278:D278"/>
    <mergeCell ref="C289:D289"/>
    <mergeCell ref="C279:D279"/>
    <mergeCell ref="C281:D281"/>
    <mergeCell ref="C285:D285"/>
    <mergeCell ref="D387:D388"/>
    <mergeCell ref="C386:D386"/>
    <mergeCell ref="C315:D315"/>
    <mergeCell ref="C290:D290"/>
    <mergeCell ref="B291:D291"/>
    <mergeCell ref="B292:D292"/>
    <mergeCell ref="B293:D293"/>
    <mergeCell ref="B356:B362"/>
    <mergeCell ref="B363:B383"/>
    <mergeCell ref="B384:B386"/>
    <mergeCell ref="B387:B389"/>
    <mergeCell ref="B390:B397"/>
    <mergeCell ref="B399:C400"/>
    <mergeCell ref="B305:B312"/>
    <mergeCell ref="B313:B315"/>
    <mergeCell ref="B1:D1"/>
    <mergeCell ref="B294:B295"/>
    <mergeCell ref="B296:B304"/>
    <mergeCell ref="D384:D385"/>
    <mergeCell ref="B398:D398"/>
    <mergeCell ref="C389:D389"/>
    <mergeCell ref="Y2:Y3"/>
    <mergeCell ref="Z2:Z3"/>
    <mergeCell ref="Y342:Y343"/>
    <mergeCell ref="Z342:Z343"/>
    <mergeCell ref="Y328:Y329"/>
    <mergeCell ref="Z328:Z329"/>
    <mergeCell ref="Z160:Z161"/>
    <mergeCell ref="Z154:Z155"/>
    <mergeCell ref="Z40:Z41"/>
    <mergeCell ref="Y36:Y37"/>
    <mergeCell ref="Z42:Z43"/>
    <mergeCell ref="Y46:Y47"/>
    <mergeCell ref="Z36:Z37"/>
    <mergeCell ref="Z16:Z17"/>
    <mergeCell ref="Y24:Y25"/>
    <mergeCell ref="Z24:Z25"/>
    <mergeCell ref="Z28:Z29"/>
    <mergeCell ref="Z30:Z31"/>
    <mergeCell ref="Y32:Y33"/>
    <mergeCell ref="Z32:Z33"/>
    <mergeCell ref="Y38:Y39"/>
    <mergeCell ref="Z38:Z39"/>
    <mergeCell ref="Y44:Y45"/>
    <mergeCell ref="Z44:Z45"/>
    <mergeCell ref="Y48:Y49"/>
    <mergeCell ref="Z48:Z49"/>
    <mergeCell ref="Y56:Y57"/>
    <mergeCell ref="Z56:Z57"/>
    <mergeCell ref="Z50:Z51"/>
    <mergeCell ref="Y8:Y9"/>
    <mergeCell ref="Y236:Y237"/>
    <mergeCell ref="Y296:Y297"/>
    <mergeCell ref="Z70:Z71"/>
    <mergeCell ref="Z64:Z65"/>
    <mergeCell ref="Z66:Z67"/>
    <mergeCell ref="Y64:Y65"/>
    <mergeCell ref="Z88:Z89"/>
    <mergeCell ref="Y78:Y79"/>
    <mergeCell ref="Z78:Z79"/>
    <mergeCell ref="Y80:Y81"/>
    <mergeCell ref="Z80:Z81"/>
    <mergeCell ref="Z86:Z87"/>
    <mergeCell ref="Y74:Y75"/>
    <mergeCell ref="Z74:Z75"/>
    <mergeCell ref="Y76:Y77"/>
    <mergeCell ref="Z54:Z55"/>
    <mergeCell ref="Z52:Z53"/>
    <mergeCell ref="Y54:Y55"/>
    <mergeCell ref="Z84:Z85"/>
    <mergeCell ref="Z12:Z13"/>
    <mergeCell ref="Y40:Y41"/>
    <mergeCell ref="Z10:Z11"/>
    <mergeCell ref="Y14:Y15"/>
    <mergeCell ref="Y26:Y27"/>
    <mergeCell ref="Z26:Z27"/>
    <mergeCell ref="Y20:Y21"/>
    <mergeCell ref="Z20:Z21"/>
    <mergeCell ref="Y22:Y23"/>
    <mergeCell ref="Y28:Y29"/>
    <mergeCell ref="Y30:Y31"/>
    <mergeCell ref="Y16:Y17"/>
    <mergeCell ref="Y18:Y19"/>
    <mergeCell ref="Z18:Z19"/>
    <mergeCell ref="Y10:Y11"/>
    <mergeCell ref="Y12:Y13"/>
    <mergeCell ref="Y58:Y59"/>
    <mergeCell ref="Z22:Z23"/>
    <mergeCell ref="Z46:Z47"/>
    <mergeCell ref="Y50:Y51"/>
    <mergeCell ref="Z58:Z59"/>
    <mergeCell ref="Y52:Y53"/>
    <mergeCell ref="Z373:Z374"/>
    <mergeCell ref="B316:B348"/>
    <mergeCell ref="C280:D280"/>
    <mergeCell ref="Z134:Z135"/>
    <mergeCell ref="Z266:Z267"/>
    <mergeCell ref="Z316:Z317"/>
    <mergeCell ref="Z360:Z361"/>
    <mergeCell ref="B349:B355"/>
    <mergeCell ref="C355:D355"/>
    <mergeCell ref="Z363:Z364"/>
    <mergeCell ref="Y373:Y374"/>
    <mergeCell ref="Y377:Y378"/>
    <mergeCell ref="Z367:Z368"/>
    <mergeCell ref="Y367:Y368"/>
    <mergeCell ref="Y387:Y388"/>
    <mergeCell ref="Z144:Z145"/>
    <mergeCell ref="Y363:Y364"/>
    <mergeCell ref="Z296:Z297"/>
    <mergeCell ref="Y274:Y275"/>
    <mergeCell ref="Y351:Y352"/>
    <mergeCell ref="Z258:Z259"/>
    <mergeCell ref="Z252:Z253"/>
    <mergeCell ref="Z356:Z357"/>
    <mergeCell ref="Y308:Y309"/>
    <mergeCell ref="Y270:Y271"/>
    <mergeCell ref="Z308:Z309"/>
    <mergeCell ref="Y320:Y321"/>
    <mergeCell ref="Z320:Z321"/>
    <mergeCell ref="Y134:Y135"/>
    <mergeCell ref="Y204:Y205"/>
    <mergeCell ref="Z204:Z205"/>
    <mergeCell ref="Z182:Z183"/>
    <mergeCell ref="Z8:Z9"/>
    <mergeCell ref="Z14:Z15"/>
    <mergeCell ref="Y34:Y35"/>
    <mergeCell ref="Z34:Z35"/>
    <mergeCell ref="Y42:Y43"/>
    <mergeCell ref="B401:D401"/>
    <mergeCell ref="Z298:Z300"/>
    <mergeCell ref="Z310:Z311"/>
    <mergeCell ref="C312:D312"/>
    <mergeCell ref="C390:C393"/>
    <mergeCell ref="C394:C397"/>
    <mergeCell ref="Y60:Y61"/>
    <mergeCell ref="Z60:Z61"/>
    <mergeCell ref="Y62:Y63"/>
    <mergeCell ref="Z62:Z63"/>
    <mergeCell ref="C348:D348"/>
    <mergeCell ref="C294:D294"/>
    <mergeCell ref="C295:D295"/>
    <mergeCell ref="C304:D304"/>
    <mergeCell ref="C383:D383"/>
    <mergeCell ref="C362:D362"/>
    <mergeCell ref="B2:B280"/>
    <mergeCell ref="B281:B290"/>
    <mergeCell ref="Z98:Z99"/>
    <mergeCell ref="Z146:Z147"/>
    <mergeCell ref="Y148:Y149"/>
    <mergeCell ref="Z148:Z149"/>
    <mergeCell ref="Z124:Z125"/>
    <mergeCell ref="Y86:Y87"/>
    <mergeCell ref="Z136:Z137"/>
    <mergeCell ref="Y126:Y127"/>
    <mergeCell ref="Z126:Z127"/>
    <mergeCell ref="Z128:Z129"/>
    <mergeCell ref="Z110:Z111"/>
    <mergeCell ref="Z108:Z109"/>
    <mergeCell ref="Y108:Y109"/>
    <mergeCell ref="Z116:Z117"/>
    <mergeCell ref="Y114:Y115"/>
    <mergeCell ref="Z114:Z115"/>
    <mergeCell ref="Z112:Z113"/>
    <mergeCell ref="Y100:Y101"/>
    <mergeCell ref="Y94:Y95"/>
    <mergeCell ref="Z94:Z95"/>
    <mergeCell ref="Z122:Z123"/>
    <mergeCell ref="Z118:Z119"/>
    <mergeCell ref="Y120:Y121"/>
    <mergeCell ref="Z120:Z121"/>
    <mergeCell ref="Z96:Z97"/>
    <mergeCell ref="Z100:Z101"/>
    <mergeCell ref="Y104:Y105"/>
    <mergeCell ref="Z104:Z105"/>
    <mergeCell ref="Y184:Y185"/>
    <mergeCell ref="Z184:Z185"/>
    <mergeCell ref="Y198:Y199"/>
    <mergeCell ref="Z138:Z139"/>
    <mergeCell ref="Z140:Z141"/>
    <mergeCell ref="Z176:Z177"/>
    <mergeCell ref="Y170:Y171"/>
    <mergeCell ref="Z170:Z171"/>
    <mergeCell ref="Y172:Y173"/>
    <mergeCell ref="Z172:Z173"/>
    <mergeCell ref="Y162:Y163"/>
    <mergeCell ref="Z162:Z163"/>
    <mergeCell ref="Y164:Y165"/>
    <mergeCell ref="Z164:Z165"/>
    <mergeCell ref="Y168:Y169"/>
    <mergeCell ref="Z168:Z169"/>
    <mergeCell ref="Z166:Z167"/>
    <mergeCell ref="Z174:Z175"/>
    <mergeCell ref="Z142:Z143"/>
    <mergeCell ref="Y144:Y145"/>
    <mergeCell ref="Z150:Z151"/>
    <mergeCell ref="Y152:Y153"/>
    <mergeCell ref="Z152:Z153"/>
    <mergeCell ref="Y146:Y147"/>
    <mergeCell ref="Y158:Y159"/>
    <mergeCell ref="Z158:Z159"/>
    <mergeCell ref="Y156:Y157"/>
    <mergeCell ref="Z322:Z323"/>
    <mergeCell ref="Z254:Z255"/>
    <mergeCell ref="Y254:Y255"/>
    <mergeCell ref="Y244:Y245"/>
    <mergeCell ref="Z246:Z247"/>
    <mergeCell ref="Z318:Z319"/>
    <mergeCell ref="Y322:Y323"/>
    <mergeCell ref="Y306:Y307"/>
    <mergeCell ref="Z301:Z303"/>
    <mergeCell ref="Z270:Z271"/>
    <mergeCell ref="Y260:Y261"/>
    <mergeCell ref="Z256:Z257"/>
    <mergeCell ref="Z178:Z179"/>
    <mergeCell ref="Y180:Y181"/>
    <mergeCell ref="Z180:Z181"/>
    <mergeCell ref="Z198:Z199"/>
    <mergeCell ref="Y174:Y175"/>
    <mergeCell ref="Y176:Y177"/>
    <mergeCell ref="Z200:Z201"/>
    <mergeCell ref="Y194:Y195"/>
    <mergeCell ref="Z194:Z195"/>
    <mergeCell ref="Y196:Y197"/>
    <mergeCell ref="Z196:Z197"/>
    <mergeCell ref="Y190:Y191"/>
    <mergeCell ref="Z190:Z191"/>
    <mergeCell ref="Y192:Y193"/>
    <mergeCell ref="Z192:Z193"/>
    <mergeCell ref="Z186:Z187"/>
    <mergeCell ref="Y188:Y189"/>
    <mergeCell ref="Z188:Z189"/>
    <mergeCell ref="Y182:Y183"/>
    <mergeCell ref="Z202:Z203"/>
    <mergeCell ref="Z353:Z354"/>
    <mergeCell ref="Z340:Z341"/>
    <mergeCell ref="Y349:Y350"/>
    <mergeCell ref="Y353:Y354"/>
    <mergeCell ref="Z351:Z352"/>
    <mergeCell ref="Z324:Z325"/>
    <mergeCell ref="Z338:Z339"/>
    <mergeCell ref="Y340:Y341"/>
    <mergeCell ref="Y336:Y337"/>
    <mergeCell ref="Z336:Z337"/>
    <mergeCell ref="Z206:Z207"/>
    <mergeCell ref="Y208:Y209"/>
    <mergeCell ref="Z208:Z209"/>
    <mergeCell ref="Z240:Z241"/>
    <mergeCell ref="Y242:Y243"/>
    <mergeCell ref="Z242:Z243"/>
    <mergeCell ref="Z244:Z245"/>
    <mergeCell ref="Y222:Y223"/>
    <mergeCell ref="Y210:Y211"/>
    <mergeCell ref="Z226:Z227"/>
    <mergeCell ref="Y228:Y229"/>
    <mergeCell ref="Z228:Z229"/>
    <mergeCell ref="Z236:Z237"/>
    <mergeCell ref="Y238:Y239"/>
    <mergeCell ref="Y240:Y241"/>
    <mergeCell ref="Y226:Y227"/>
    <mergeCell ref="Z210:Z211"/>
    <mergeCell ref="Y212:Y213"/>
    <mergeCell ref="Z230:Z231"/>
    <mergeCell ref="Z232:Z233"/>
    <mergeCell ref="Y234:Y235"/>
    <mergeCell ref="Z234:Z235"/>
    <mergeCell ref="Y206:Y207"/>
    <mergeCell ref="Y232:Y233"/>
    <mergeCell ref="Y248:Y249"/>
    <mergeCell ref="Y186:Y187"/>
    <mergeCell ref="Y98:Y99"/>
    <mergeCell ref="Y124:Y125"/>
    <mergeCell ref="Y216:Y217"/>
    <mergeCell ref="Z216:Z217"/>
    <mergeCell ref="Y230:Y231"/>
    <mergeCell ref="Z222:Z223"/>
    <mergeCell ref="Y224:Y225"/>
    <mergeCell ref="Z224:Z225"/>
    <mergeCell ref="Y218:Y219"/>
    <mergeCell ref="Z218:Z219"/>
    <mergeCell ref="Y220:Y221"/>
    <mergeCell ref="Z220:Z221"/>
    <mergeCell ref="Z349:Z350"/>
    <mergeCell ref="Z330:Z331"/>
    <mergeCell ref="Z212:Z213"/>
    <mergeCell ref="Z214:Z215"/>
    <mergeCell ref="Y266:Y267"/>
    <mergeCell ref="Y268:Y269"/>
    <mergeCell ref="Z268:Z269"/>
    <mergeCell ref="Z305:Z307"/>
    <mergeCell ref="Z276:Z277"/>
    <mergeCell ref="Y310:Y311"/>
    <mergeCell ref="Z238:Z239"/>
    <mergeCell ref="Y324:Y325"/>
    <mergeCell ref="Y330:Y331"/>
    <mergeCell ref="Z264:Z265"/>
    <mergeCell ref="Y318:Y319"/>
    <mergeCell ref="Y316:Y317"/>
    <mergeCell ref="Y6:Y7"/>
    <mergeCell ref="Y154:Y155"/>
    <mergeCell ref="Y118:Y119"/>
    <mergeCell ref="Y344:Y345"/>
    <mergeCell ref="Y138:Y139"/>
    <mergeCell ref="Y160:Y161"/>
    <mergeCell ref="Y299:Y300"/>
    <mergeCell ref="Y272:Y273"/>
    <mergeCell ref="Y200:Y201"/>
    <mergeCell ref="Y140:Y141"/>
    <mergeCell ref="Y178:Y179"/>
    <mergeCell ref="Y70:Y71"/>
    <mergeCell ref="Y326:Y327"/>
    <mergeCell ref="Y92:Y93"/>
    <mergeCell ref="Y358:Y359"/>
    <mergeCell ref="Y214:Y215"/>
    <mergeCell ref="Y166:Y167"/>
    <mergeCell ref="Y68:Y69"/>
    <mergeCell ref="Y276:Y277"/>
    <mergeCell ref="Y150:Y151"/>
    <mergeCell ref="Y202:Y203"/>
    <mergeCell ref="Y262:Y263"/>
    <mergeCell ref="Y256:Y257"/>
    <mergeCell ref="Y106:Y107"/>
    <mergeCell ref="Y66:Y67"/>
    <mergeCell ref="Y252:Y253"/>
    <mergeCell ref="Y110:Y111"/>
    <mergeCell ref="Y122:Y123"/>
    <mergeCell ref="Y136:Y137"/>
    <mergeCell ref="Y84:Y85"/>
    <mergeCell ref="Y142:Y143"/>
    <mergeCell ref="Y82:Y83"/>
    <mergeCell ref="G2:G3"/>
    <mergeCell ref="H2:H3"/>
    <mergeCell ref="G4:G5"/>
    <mergeCell ref="H4:H5"/>
    <mergeCell ref="G6:G7"/>
    <mergeCell ref="H6:H7"/>
    <mergeCell ref="G8:G9"/>
    <mergeCell ref="H8:H9"/>
    <mergeCell ref="G10:G11"/>
    <mergeCell ref="H10:H11"/>
    <mergeCell ref="G384:G385"/>
    <mergeCell ref="H384:H385"/>
    <mergeCell ref="G363:G364"/>
    <mergeCell ref="H363:H364"/>
    <mergeCell ref="G365:G366"/>
    <mergeCell ref="H365:H366"/>
    <mergeCell ref="G379:G380"/>
    <mergeCell ref="H379:H380"/>
    <mergeCell ref="G381:G382"/>
    <mergeCell ref="H381:H382"/>
    <mergeCell ref="G358:G359"/>
    <mergeCell ref="H358:H359"/>
    <mergeCell ref="G360:G361"/>
    <mergeCell ref="H360:H361"/>
    <mergeCell ref="G34:G35"/>
    <mergeCell ref="H34:H35"/>
    <mergeCell ref="G12:G13"/>
    <mergeCell ref="H12:H13"/>
    <mergeCell ref="G14:G15"/>
    <mergeCell ref="H14:H15"/>
    <mergeCell ref="G16:G17"/>
    <mergeCell ref="H16:H17"/>
    <mergeCell ref="G18:G19"/>
    <mergeCell ref="H18:H19"/>
    <mergeCell ref="G20:G21"/>
    <mergeCell ref="H20:H21"/>
    <mergeCell ref="G22:G23"/>
    <mergeCell ref="H22:H23"/>
    <mergeCell ref="G24:G25"/>
    <mergeCell ref="H24:H25"/>
    <mergeCell ref="G26:G27"/>
    <mergeCell ref="H26:H27"/>
    <mergeCell ref="G28:G29"/>
    <mergeCell ref="H28:H29"/>
    <mergeCell ref="G30:G31"/>
    <mergeCell ref="H30:H31"/>
    <mergeCell ref="G32:G33"/>
    <mergeCell ref="H32:H33"/>
    <mergeCell ref="G78:G79"/>
    <mergeCell ref="H78:H79"/>
    <mergeCell ref="G66:G67"/>
    <mergeCell ref="H66:H67"/>
    <mergeCell ref="G68:G69"/>
    <mergeCell ref="H68:H69"/>
    <mergeCell ref="G70:G71"/>
    <mergeCell ref="H70:H71"/>
    <mergeCell ref="G72:G73"/>
    <mergeCell ref="H72:H73"/>
    <mergeCell ref="G74:G75"/>
    <mergeCell ref="H74:H75"/>
    <mergeCell ref="G76:G77"/>
    <mergeCell ref="H76:H77"/>
    <mergeCell ref="G80:G81"/>
    <mergeCell ref="H80:H81"/>
    <mergeCell ref="G58:G59"/>
    <mergeCell ref="H58:H59"/>
    <mergeCell ref="G36:G37"/>
    <mergeCell ref="H36:H37"/>
    <mergeCell ref="G38:G39"/>
    <mergeCell ref="H38:H39"/>
    <mergeCell ref="G40:G41"/>
    <mergeCell ref="H40:H41"/>
    <mergeCell ref="G42:G43"/>
    <mergeCell ref="H42:H43"/>
    <mergeCell ref="G44:G45"/>
    <mergeCell ref="H44:H45"/>
    <mergeCell ref="G46:G47"/>
    <mergeCell ref="H46:H47"/>
    <mergeCell ref="G48:G49"/>
    <mergeCell ref="H48:H49"/>
    <mergeCell ref="G50:G51"/>
    <mergeCell ref="H50:H51"/>
    <mergeCell ref="G52:G53"/>
    <mergeCell ref="H52:H53"/>
    <mergeCell ref="G54:G55"/>
    <mergeCell ref="H54:H55"/>
    <mergeCell ref="G56:G57"/>
    <mergeCell ref="H56:H57"/>
    <mergeCell ref="G60:G61"/>
    <mergeCell ref="H60:H61"/>
    <mergeCell ref="G62:G63"/>
    <mergeCell ref="H62:H63"/>
    <mergeCell ref="G64:G65"/>
    <mergeCell ref="H64:H65"/>
    <mergeCell ref="G82:G83"/>
    <mergeCell ref="H82:H83"/>
    <mergeCell ref="G84:G85"/>
    <mergeCell ref="H84:H85"/>
    <mergeCell ref="G110:G111"/>
    <mergeCell ref="H110:H111"/>
    <mergeCell ref="G88:G89"/>
    <mergeCell ref="H88:H89"/>
    <mergeCell ref="G90:G91"/>
    <mergeCell ref="H90:H91"/>
    <mergeCell ref="G92:G93"/>
    <mergeCell ref="H92:H93"/>
    <mergeCell ref="G94:G95"/>
    <mergeCell ref="H94:H95"/>
    <mergeCell ref="G96:G97"/>
    <mergeCell ref="H96:H97"/>
    <mergeCell ref="G98:G99"/>
    <mergeCell ref="H98:H99"/>
    <mergeCell ref="G100:G101"/>
    <mergeCell ref="H100:H101"/>
    <mergeCell ref="G102:G103"/>
    <mergeCell ref="H102:H103"/>
    <mergeCell ref="G104:G105"/>
    <mergeCell ref="H104:H105"/>
    <mergeCell ref="G86:G87"/>
    <mergeCell ref="H86:H87"/>
    <mergeCell ref="G106:G107"/>
    <mergeCell ref="H106:H107"/>
    <mergeCell ref="G108:G109"/>
    <mergeCell ref="H108:H109"/>
    <mergeCell ref="G134:G135"/>
    <mergeCell ref="H134:H135"/>
    <mergeCell ref="G112:G113"/>
    <mergeCell ref="H112:H113"/>
    <mergeCell ref="G114:G115"/>
    <mergeCell ref="H114:H115"/>
    <mergeCell ref="G116:G117"/>
    <mergeCell ref="H116:H117"/>
    <mergeCell ref="G118:G119"/>
    <mergeCell ref="H118:H119"/>
    <mergeCell ref="G120:G121"/>
    <mergeCell ref="H120:H121"/>
    <mergeCell ref="G122:G123"/>
    <mergeCell ref="H122:H123"/>
    <mergeCell ref="G124:G125"/>
    <mergeCell ref="H124:H125"/>
    <mergeCell ref="G126:G127"/>
    <mergeCell ref="H126:H127"/>
    <mergeCell ref="G128:G129"/>
    <mergeCell ref="H128:H129"/>
    <mergeCell ref="G130:G131"/>
    <mergeCell ref="H130:H131"/>
    <mergeCell ref="G132:G133"/>
    <mergeCell ref="H132:H133"/>
    <mergeCell ref="G158:G159"/>
    <mergeCell ref="H158:H159"/>
    <mergeCell ref="G136:G137"/>
    <mergeCell ref="H136:H137"/>
    <mergeCell ref="G138:G139"/>
    <mergeCell ref="H138:H139"/>
    <mergeCell ref="G140:G141"/>
    <mergeCell ref="H140:H141"/>
    <mergeCell ref="G142:G143"/>
    <mergeCell ref="H142:H143"/>
    <mergeCell ref="G144:G145"/>
    <mergeCell ref="H144:H145"/>
    <mergeCell ref="G146:G147"/>
    <mergeCell ref="H146:H147"/>
    <mergeCell ref="G148:G149"/>
    <mergeCell ref="H148:H149"/>
    <mergeCell ref="G150:G151"/>
    <mergeCell ref="H150:H151"/>
    <mergeCell ref="G152:G153"/>
    <mergeCell ref="H152:H153"/>
    <mergeCell ref="G154:G155"/>
    <mergeCell ref="H154:H155"/>
    <mergeCell ref="G156:G157"/>
    <mergeCell ref="H156:H157"/>
    <mergeCell ref="G182:G183"/>
    <mergeCell ref="H182:H183"/>
    <mergeCell ref="G160:G161"/>
    <mergeCell ref="H160:H161"/>
    <mergeCell ref="G162:G163"/>
    <mergeCell ref="H162:H163"/>
    <mergeCell ref="G164:G165"/>
    <mergeCell ref="H164:H165"/>
    <mergeCell ref="G166:G167"/>
    <mergeCell ref="H166:H167"/>
    <mergeCell ref="G168:G169"/>
    <mergeCell ref="H168:H169"/>
    <mergeCell ref="G170:G171"/>
    <mergeCell ref="H170:H171"/>
    <mergeCell ref="G172:G173"/>
    <mergeCell ref="H172:H173"/>
    <mergeCell ref="G174:G175"/>
    <mergeCell ref="H174:H175"/>
    <mergeCell ref="G176:G177"/>
    <mergeCell ref="H176:H177"/>
    <mergeCell ref="G178:G179"/>
    <mergeCell ref="H178:H179"/>
    <mergeCell ref="G180:G181"/>
    <mergeCell ref="H180:H181"/>
    <mergeCell ref="G206:G207"/>
    <mergeCell ref="H206:H207"/>
    <mergeCell ref="G184:G185"/>
    <mergeCell ref="H184:H185"/>
    <mergeCell ref="G186:G187"/>
    <mergeCell ref="H186:H187"/>
    <mergeCell ref="G188:G189"/>
    <mergeCell ref="H188:H189"/>
    <mergeCell ref="G190:G191"/>
    <mergeCell ref="H190:H191"/>
    <mergeCell ref="G192:G193"/>
    <mergeCell ref="H192:H193"/>
    <mergeCell ref="G194:G195"/>
    <mergeCell ref="H194:H195"/>
    <mergeCell ref="G196:G197"/>
    <mergeCell ref="H196:H197"/>
    <mergeCell ref="G198:G199"/>
    <mergeCell ref="H198:H199"/>
    <mergeCell ref="G200:G201"/>
    <mergeCell ref="H200:H201"/>
    <mergeCell ref="G202:G203"/>
    <mergeCell ref="H202:H203"/>
    <mergeCell ref="G204:G205"/>
    <mergeCell ref="H204:H205"/>
    <mergeCell ref="G230:G231"/>
    <mergeCell ref="H230:H231"/>
    <mergeCell ref="G208:G209"/>
    <mergeCell ref="H208:H209"/>
    <mergeCell ref="G210:G211"/>
    <mergeCell ref="H210:H211"/>
    <mergeCell ref="G212:G213"/>
    <mergeCell ref="H212:H213"/>
    <mergeCell ref="G214:G215"/>
    <mergeCell ref="H214:H215"/>
    <mergeCell ref="G216:G217"/>
    <mergeCell ref="H216:H217"/>
    <mergeCell ref="G218:G219"/>
    <mergeCell ref="H218:H219"/>
    <mergeCell ref="G220:G221"/>
    <mergeCell ref="H220:H221"/>
    <mergeCell ref="G222:G223"/>
    <mergeCell ref="H222:H223"/>
    <mergeCell ref="G224:G225"/>
    <mergeCell ref="H224:H225"/>
    <mergeCell ref="G226:G227"/>
    <mergeCell ref="H226:H227"/>
    <mergeCell ref="G228:G229"/>
    <mergeCell ref="H228:H229"/>
    <mergeCell ref="G254:G255"/>
    <mergeCell ref="H254:H255"/>
    <mergeCell ref="G232:G233"/>
    <mergeCell ref="H232:H233"/>
    <mergeCell ref="G234:G235"/>
    <mergeCell ref="H234:H235"/>
    <mergeCell ref="G236:G237"/>
    <mergeCell ref="H236:H237"/>
    <mergeCell ref="G238:G239"/>
    <mergeCell ref="H238:H239"/>
    <mergeCell ref="G240:G241"/>
    <mergeCell ref="H240:H241"/>
    <mergeCell ref="G242:G243"/>
    <mergeCell ref="H242:H243"/>
    <mergeCell ref="G244:G245"/>
    <mergeCell ref="H244:H245"/>
    <mergeCell ref="G246:G247"/>
    <mergeCell ref="H246:H247"/>
    <mergeCell ref="G248:G249"/>
    <mergeCell ref="H248:H249"/>
    <mergeCell ref="G250:G251"/>
    <mergeCell ref="H250:H251"/>
    <mergeCell ref="G252:G253"/>
    <mergeCell ref="H252:H253"/>
    <mergeCell ref="G296:G297"/>
    <mergeCell ref="H296:H297"/>
    <mergeCell ref="G256:G257"/>
    <mergeCell ref="H256:H257"/>
    <mergeCell ref="G258:G259"/>
    <mergeCell ref="H258:H259"/>
    <mergeCell ref="G260:G261"/>
    <mergeCell ref="H260:H261"/>
    <mergeCell ref="G262:G263"/>
    <mergeCell ref="H262:H263"/>
    <mergeCell ref="G264:G265"/>
    <mergeCell ref="H264:H265"/>
    <mergeCell ref="G266:G267"/>
    <mergeCell ref="H266:H267"/>
    <mergeCell ref="G268:G269"/>
    <mergeCell ref="H268:H269"/>
    <mergeCell ref="G270:G271"/>
    <mergeCell ref="H270:H271"/>
    <mergeCell ref="G272:G273"/>
    <mergeCell ref="H272:H273"/>
    <mergeCell ref="G274:G275"/>
    <mergeCell ref="H274:H275"/>
    <mergeCell ref="G276:G277"/>
    <mergeCell ref="H276:H277"/>
    <mergeCell ref="G299:G300"/>
    <mergeCell ref="H299:H300"/>
    <mergeCell ref="G302:G303"/>
    <mergeCell ref="H302:H303"/>
    <mergeCell ref="G306:G307"/>
    <mergeCell ref="H306:H307"/>
    <mergeCell ref="G308:G309"/>
    <mergeCell ref="H308:H309"/>
    <mergeCell ref="G310:G311"/>
    <mergeCell ref="H310:H311"/>
    <mergeCell ref="G316:G317"/>
    <mergeCell ref="H316:H317"/>
    <mergeCell ref="G318:G319"/>
    <mergeCell ref="H318:H319"/>
    <mergeCell ref="G320:G321"/>
    <mergeCell ref="H320:H321"/>
    <mergeCell ref="G322:G323"/>
    <mergeCell ref="H322:H323"/>
    <mergeCell ref="G313:G314"/>
    <mergeCell ref="H313:H314"/>
    <mergeCell ref="G324:G325"/>
    <mergeCell ref="H324:H325"/>
    <mergeCell ref="G326:G327"/>
    <mergeCell ref="H326:H327"/>
    <mergeCell ref="G330:G331"/>
    <mergeCell ref="H330:H331"/>
    <mergeCell ref="G356:G357"/>
    <mergeCell ref="H356:H357"/>
    <mergeCell ref="G332:G333"/>
    <mergeCell ref="H332:H333"/>
    <mergeCell ref="G334:G335"/>
    <mergeCell ref="H334:H335"/>
    <mergeCell ref="G336:G337"/>
    <mergeCell ref="H336:H337"/>
    <mergeCell ref="G338:G339"/>
    <mergeCell ref="H338:H339"/>
    <mergeCell ref="G340:G341"/>
    <mergeCell ref="H340:H341"/>
    <mergeCell ref="G342:G343"/>
    <mergeCell ref="H342:H343"/>
    <mergeCell ref="G328:G329"/>
    <mergeCell ref="H328:H329"/>
    <mergeCell ref="G387:G388"/>
    <mergeCell ref="H387:H388"/>
    <mergeCell ref="G344:G345"/>
    <mergeCell ref="H344:H345"/>
    <mergeCell ref="G346:G347"/>
    <mergeCell ref="H346:H347"/>
    <mergeCell ref="G349:G350"/>
    <mergeCell ref="H349:H350"/>
    <mergeCell ref="G351:G352"/>
    <mergeCell ref="H351:H352"/>
    <mergeCell ref="G353:G354"/>
    <mergeCell ref="H353:H354"/>
    <mergeCell ref="G375:G376"/>
    <mergeCell ref="H375:H376"/>
    <mergeCell ref="G377:G378"/>
    <mergeCell ref="H377:H378"/>
    <mergeCell ref="G371:G372"/>
    <mergeCell ref="H371:H372"/>
    <mergeCell ref="G373:G374"/>
    <mergeCell ref="H373:H374"/>
    <mergeCell ref="G367:G368"/>
    <mergeCell ref="H367:H368"/>
    <mergeCell ref="G369:G370"/>
    <mergeCell ref="H369:H370"/>
    <mergeCell ref="I6:I7"/>
    <mergeCell ref="J6:J7"/>
    <mergeCell ref="K6:K7"/>
    <mergeCell ref="L6:L7"/>
    <mergeCell ref="M6:M7"/>
    <mergeCell ref="I8:I9"/>
    <mergeCell ref="J8:J9"/>
    <mergeCell ref="K8:K9"/>
    <mergeCell ref="L8:L9"/>
    <mergeCell ref="M8:M9"/>
    <mergeCell ref="I2:I3"/>
    <mergeCell ref="J2:J3"/>
    <mergeCell ref="K2:K3"/>
    <mergeCell ref="L2:L3"/>
    <mergeCell ref="M2:M3"/>
    <mergeCell ref="I4:I5"/>
    <mergeCell ref="J4:J5"/>
    <mergeCell ref="K4:K5"/>
    <mergeCell ref="L4:L5"/>
    <mergeCell ref="M4:M5"/>
    <mergeCell ref="I14:I15"/>
    <mergeCell ref="J14:J15"/>
    <mergeCell ref="K14:K15"/>
    <mergeCell ref="L14:L15"/>
    <mergeCell ref="M14:M15"/>
    <mergeCell ref="I16:I17"/>
    <mergeCell ref="J16:J17"/>
    <mergeCell ref="K16:K17"/>
    <mergeCell ref="L16:L17"/>
    <mergeCell ref="M16:M17"/>
    <mergeCell ref="I10:I11"/>
    <mergeCell ref="J10:J11"/>
    <mergeCell ref="K10:K11"/>
    <mergeCell ref="L10:L11"/>
    <mergeCell ref="M10:M11"/>
    <mergeCell ref="I12:I13"/>
    <mergeCell ref="J12:J13"/>
    <mergeCell ref="K12:K13"/>
    <mergeCell ref="L12:L13"/>
    <mergeCell ref="M12:M13"/>
    <mergeCell ref="I22:I23"/>
    <mergeCell ref="J22:J23"/>
    <mergeCell ref="K22:K23"/>
    <mergeCell ref="L22:L23"/>
    <mergeCell ref="M22:M23"/>
    <mergeCell ref="I24:I25"/>
    <mergeCell ref="J24:J25"/>
    <mergeCell ref="K24:K25"/>
    <mergeCell ref="L24:L25"/>
    <mergeCell ref="M24:M25"/>
    <mergeCell ref="I18:I19"/>
    <mergeCell ref="J18:J19"/>
    <mergeCell ref="K18:K19"/>
    <mergeCell ref="L18:L19"/>
    <mergeCell ref="M18:M19"/>
    <mergeCell ref="I20:I21"/>
    <mergeCell ref="J20:J21"/>
    <mergeCell ref="K20:K21"/>
    <mergeCell ref="L20:L21"/>
    <mergeCell ref="M20:M21"/>
    <mergeCell ref="I30:I31"/>
    <mergeCell ref="J30:J31"/>
    <mergeCell ref="K30:K31"/>
    <mergeCell ref="L30:L31"/>
    <mergeCell ref="M30:M31"/>
    <mergeCell ref="I32:I33"/>
    <mergeCell ref="J32:J33"/>
    <mergeCell ref="K32:K33"/>
    <mergeCell ref="L32:L33"/>
    <mergeCell ref="M32:M33"/>
    <mergeCell ref="I26:I27"/>
    <mergeCell ref="J26:J27"/>
    <mergeCell ref="K26:K27"/>
    <mergeCell ref="L26:L27"/>
    <mergeCell ref="M26:M27"/>
    <mergeCell ref="I28:I29"/>
    <mergeCell ref="J28:J29"/>
    <mergeCell ref="K28:K29"/>
    <mergeCell ref="L28:L29"/>
    <mergeCell ref="M28:M29"/>
    <mergeCell ref="I38:I39"/>
    <mergeCell ref="J38:J39"/>
    <mergeCell ref="K38:K39"/>
    <mergeCell ref="L38:L39"/>
    <mergeCell ref="M38:M39"/>
    <mergeCell ref="I40:I41"/>
    <mergeCell ref="J40:J41"/>
    <mergeCell ref="K40:K41"/>
    <mergeCell ref="L40:L41"/>
    <mergeCell ref="M40:M41"/>
    <mergeCell ref="I34:I35"/>
    <mergeCell ref="J34:J35"/>
    <mergeCell ref="K34:K35"/>
    <mergeCell ref="L34:L35"/>
    <mergeCell ref="M34:M35"/>
    <mergeCell ref="I36:I37"/>
    <mergeCell ref="J36:J37"/>
    <mergeCell ref="K36:K37"/>
    <mergeCell ref="L36:L37"/>
    <mergeCell ref="M36:M37"/>
    <mergeCell ref="I46:I47"/>
    <mergeCell ref="J46:J47"/>
    <mergeCell ref="K46:K47"/>
    <mergeCell ref="L46:L47"/>
    <mergeCell ref="M46:M47"/>
    <mergeCell ref="I48:I49"/>
    <mergeCell ref="J48:J49"/>
    <mergeCell ref="K48:K49"/>
    <mergeCell ref="L48:L49"/>
    <mergeCell ref="M48:M49"/>
    <mergeCell ref="I42:I43"/>
    <mergeCell ref="J42:J43"/>
    <mergeCell ref="K42:K43"/>
    <mergeCell ref="L42:L43"/>
    <mergeCell ref="M42:M43"/>
    <mergeCell ref="I44:I45"/>
    <mergeCell ref="J44:J45"/>
    <mergeCell ref="K44:K45"/>
    <mergeCell ref="L44:L45"/>
    <mergeCell ref="M44:M45"/>
    <mergeCell ref="I54:I55"/>
    <mergeCell ref="J54:J55"/>
    <mergeCell ref="K54:K55"/>
    <mergeCell ref="L54:L55"/>
    <mergeCell ref="M54:M55"/>
    <mergeCell ref="I56:I57"/>
    <mergeCell ref="J56:J57"/>
    <mergeCell ref="K56:K57"/>
    <mergeCell ref="L56:L57"/>
    <mergeCell ref="M56:M57"/>
    <mergeCell ref="I50:I51"/>
    <mergeCell ref="J50:J51"/>
    <mergeCell ref="K50:K51"/>
    <mergeCell ref="L50:L51"/>
    <mergeCell ref="M50:M51"/>
    <mergeCell ref="I52:I53"/>
    <mergeCell ref="J52:J53"/>
    <mergeCell ref="K52:K53"/>
    <mergeCell ref="L52:L53"/>
    <mergeCell ref="M52:M53"/>
    <mergeCell ref="I62:I63"/>
    <mergeCell ref="J62:J63"/>
    <mergeCell ref="K62:K63"/>
    <mergeCell ref="L62:L63"/>
    <mergeCell ref="M62:M63"/>
    <mergeCell ref="I64:I65"/>
    <mergeCell ref="J64:J65"/>
    <mergeCell ref="K64:K65"/>
    <mergeCell ref="L64:L65"/>
    <mergeCell ref="M64:M65"/>
    <mergeCell ref="I58:I59"/>
    <mergeCell ref="J58:J59"/>
    <mergeCell ref="K58:K59"/>
    <mergeCell ref="L58:L59"/>
    <mergeCell ref="M58:M59"/>
    <mergeCell ref="I60:I61"/>
    <mergeCell ref="J60:J61"/>
    <mergeCell ref="K60:K61"/>
    <mergeCell ref="L60:L61"/>
    <mergeCell ref="M60:M61"/>
    <mergeCell ref="I70:I71"/>
    <mergeCell ref="J70:J71"/>
    <mergeCell ref="K70:K71"/>
    <mergeCell ref="L70:L71"/>
    <mergeCell ref="M70:M71"/>
    <mergeCell ref="I72:I73"/>
    <mergeCell ref="J72:J73"/>
    <mergeCell ref="K72:K73"/>
    <mergeCell ref="L72:L73"/>
    <mergeCell ref="M72:M73"/>
    <mergeCell ref="I66:I67"/>
    <mergeCell ref="J66:J67"/>
    <mergeCell ref="K66:K67"/>
    <mergeCell ref="L66:L67"/>
    <mergeCell ref="M66:M67"/>
    <mergeCell ref="I68:I69"/>
    <mergeCell ref="J68:J69"/>
    <mergeCell ref="K68:K69"/>
    <mergeCell ref="L68:L69"/>
    <mergeCell ref="M68:M69"/>
    <mergeCell ref="I78:I79"/>
    <mergeCell ref="J78:J79"/>
    <mergeCell ref="K78:K79"/>
    <mergeCell ref="L78:L79"/>
    <mergeCell ref="M78:M79"/>
    <mergeCell ref="I80:I81"/>
    <mergeCell ref="J80:J81"/>
    <mergeCell ref="K80:K81"/>
    <mergeCell ref="L80:L81"/>
    <mergeCell ref="M80:M81"/>
    <mergeCell ref="I74:I75"/>
    <mergeCell ref="J74:J75"/>
    <mergeCell ref="K74:K75"/>
    <mergeCell ref="L74:L75"/>
    <mergeCell ref="M74:M75"/>
    <mergeCell ref="I76:I77"/>
    <mergeCell ref="J76:J77"/>
    <mergeCell ref="K76:K77"/>
    <mergeCell ref="L76:L77"/>
    <mergeCell ref="M76:M77"/>
    <mergeCell ref="I86:I87"/>
    <mergeCell ref="J86:J87"/>
    <mergeCell ref="K86:K87"/>
    <mergeCell ref="L86:L87"/>
    <mergeCell ref="M86:M87"/>
    <mergeCell ref="I88:I89"/>
    <mergeCell ref="J88:J89"/>
    <mergeCell ref="K88:K89"/>
    <mergeCell ref="L88:L89"/>
    <mergeCell ref="M88:M89"/>
    <mergeCell ref="I82:I83"/>
    <mergeCell ref="J82:J83"/>
    <mergeCell ref="K82:K83"/>
    <mergeCell ref="L82:L83"/>
    <mergeCell ref="M82:M83"/>
    <mergeCell ref="I84:I85"/>
    <mergeCell ref="J84:J85"/>
    <mergeCell ref="K84:K85"/>
    <mergeCell ref="L84:L85"/>
    <mergeCell ref="M84:M85"/>
    <mergeCell ref="I94:I95"/>
    <mergeCell ref="J94:J95"/>
    <mergeCell ref="K94:K95"/>
    <mergeCell ref="L94:L95"/>
    <mergeCell ref="M94:M95"/>
    <mergeCell ref="I96:I97"/>
    <mergeCell ref="J96:J97"/>
    <mergeCell ref="K96:K97"/>
    <mergeCell ref="L96:L97"/>
    <mergeCell ref="M96:M97"/>
    <mergeCell ref="I90:I91"/>
    <mergeCell ref="J90:J91"/>
    <mergeCell ref="K90:K91"/>
    <mergeCell ref="L90:L91"/>
    <mergeCell ref="M90:M91"/>
    <mergeCell ref="I92:I93"/>
    <mergeCell ref="J92:J93"/>
    <mergeCell ref="K92:K93"/>
    <mergeCell ref="L92:L93"/>
    <mergeCell ref="M92:M93"/>
    <mergeCell ref="I102:I103"/>
    <mergeCell ref="J102:J103"/>
    <mergeCell ref="K102:K103"/>
    <mergeCell ref="L102:L103"/>
    <mergeCell ref="M102:M103"/>
    <mergeCell ref="I104:I105"/>
    <mergeCell ref="J104:J105"/>
    <mergeCell ref="K104:K105"/>
    <mergeCell ref="L104:L105"/>
    <mergeCell ref="M104:M105"/>
    <mergeCell ref="I98:I99"/>
    <mergeCell ref="J98:J99"/>
    <mergeCell ref="K98:K99"/>
    <mergeCell ref="L98:L99"/>
    <mergeCell ref="M98:M99"/>
    <mergeCell ref="I100:I101"/>
    <mergeCell ref="J100:J101"/>
    <mergeCell ref="K100:K101"/>
    <mergeCell ref="L100:L101"/>
    <mergeCell ref="M100:M101"/>
    <mergeCell ref="I110:I111"/>
    <mergeCell ref="J110:J111"/>
    <mergeCell ref="K110:K111"/>
    <mergeCell ref="L110:L111"/>
    <mergeCell ref="M110:M111"/>
    <mergeCell ref="I112:I113"/>
    <mergeCell ref="J112:J113"/>
    <mergeCell ref="K112:K113"/>
    <mergeCell ref="L112:L113"/>
    <mergeCell ref="M112:M113"/>
    <mergeCell ref="I106:I107"/>
    <mergeCell ref="J106:J107"/>
    <mergeCell ref="K106:K107"/>
    <mergeCell ref="L106:L107"/>
    <mergeCell ref="M106:M107"/>
    <mergeCell ref="I108:I109"/>
    <mergeCell ref="J108:J109"/>
    <mergeCell ref="K108:K109"/>
    <mergeCell ref="L108:L109"/>
    <mergeCell ref="M108:M109"/>
    <mergeCell ref="I118:I119"/>
    <mergeCell ref="J118:J119"/>
    <mergeCell ref="K118:K119"/>
    <mergeCell ref="L118:L119"/>
    <mergeCell ref="M118:M119"/>
    <mergeCell ref="I120:I121"/>
    <mergeCell ref="J120:J121"/>
    <mergeCell ref="K120:K121"/>
    <mergeCell ref="L120:L121"/>
    <mergeCell ref="M120:M121"/>
    <mergeCell ref="I114:I115"/>
    <mergeCell ref="J114:J115"/>
    <mergeCell ref="K114:K115"/>
    <mergeCell ref="L114:L115"/>
    <mergeCell ref="M114:M115"/>
    <mergeCell ref="I116:I117"/>
    <mergeCell ref="J116:J117"/>
    <mergeCell ref="K116:K117"/>
    <mergeCell ref="L116:L117"/>
    <mergeCell ref="M116:M117"/>
    <mergeCell ref="I126:I127"/>
    <mergeCell ref="J126:J127"/>
    <mergeCell ref="K126:K127"/>
    <mergeCell ref="L126:L127"/>
    <mergeCell ref="M126:M127"/>
    <mergeCell ref="I128:I129"/>
    <mergeCell ref="J128:J129"/>
    <mergeCell ref="K128:K129"/>
    <mergeCell ref="L128:L129"/>
    <mergeCell ref="M128:M129"/>
    <mergeCell ref="I122:I123"/>
    <mergeCell ref="J122:J123"/>
    <mergeCell ref="K122:K123"/>
    <mergeCell ref="L122:L123"/>
    <mergeCell ref="M122:M123"/>
    <mergeCell ref="I124:I125"/>
    <mergeCell ref="J124:J125"/>
    <mergeCell ref="K124:K125"/>
    <mergeCell ref="L124:L125"/>
    <mergeCell ref="M124:M125"/>
    <mergeCell ref="I134:I135"/>
    <mergeCell ref="J134:J135"/>
    <mergeCell ref="K134:K135"/>
    <mergeCell ref="L134:L135"/>
    <mergeCell ref="M134:M135"/>
    <mergeCell ref="I136:I137"/>
    <mergeCell ref="J136:J137"/>
    <mergeCell ref="K136:K137"/>
    <mergeCell ref="L136:L137"/>
    <mergeCell ref="M136:M137"/>
    <mergeCell ref="I130:I131"/>
    <mergeCell ref="J130:J131"/>
    <mergeCell ref="K130:K131"/>
    <mergeCell ref="L130:L131"/>
    <mergeCell ref="M130:M131"/>
    <mergeCell ref="I132:I133"/>
    <mergeCell ref="J132:J133"/>
    <mergeCell ref="K132:K133"/>
    <mergeCell ref="L132:L133"/>
    <mergeCell ref="M132:M133"/>
    <mergeCell ref="I142:I143"/>
    <mergeCell ref="J142:J143"/>
    <mergeCell ref="K142:K143"/>
    <mergeCell ref="L142:L143"/>
    <mergeCell ref="M142:M143"/>
    <mergeCell ref="I144:I145"/>
    <mergeCell ref="J144:J145"/>
    <mergeCell ref="K144:K145"/>
    <mergeCell ref="L144:L145"/>
    <mergeCell ref="M144:M145"/>
    <mergeCell ref="I138:I139"/>
    <mergeCell ref="J138:J139"/>
    <mergeCell ref="K138:K139"/>
    <mergeCell ref="L138:L139"/>
    <mergeCell ref="M138:M139"/>
    <mergeCell ref="I140:I141"/>
    <mergeCell ref="J140:J141"/>
    <mergeCell ref="K140:K141"/>
    <mergeCell ref="L140:L141"/>
    <mergeCell ref="M140:M141"/>
    <mergeCell ref="I150:I151"/>
    <mergeCell ref="J150:J151"/>
    <mergeCell ref="K150:K151"/>
    <mergeCell ref="L150:L151"/>
    <mergeCell ref="M150:M151"/>
    <mergeCell ref="I152:I153"/>
    <mergeCell ref="J152:J153"/>
    <mergeCell ref="K152:K153"/>
    <mergeCell ref="L152:L153"/>
    <mergeCell ref="M152:M153"/>
    <mergeCell ref="I146:I147"/>
    <mergeCell ref="J146:J147"/>
    <mergeCell ref="K146:K147"/>
    <mergeCell ref="L146:L147"/>
    <mergeCell ref="M146:M147"/>
    <mergeCell ref="I148:I149"/>
    <mergeCell ref="J148:J149"/>
    <mergeCell ref="K148:K149"/>
    <mergeCell ref="L148:L149"/>
    <mergeCell ref="M148:M149"/>
    <mergeCell ref="I158:I159"/>
    <mergeCell ref="J158:J159"/>
    <mergeCell ref="K158:K159"/>
    <mergeCell ref="L158:L159"/>
    <mergeCell ref="M158:M159"/>
    <mergeCell ref="I160:I161"/>
    <mergeCell ref="J160:J161"/>
    <mergeCell ref="K160:K161"/>
    <mergeCell ref="L160:L161"/>
    <mergeCell ref="M160:M161"/>
    <mergeCell ref="I154:I155"/>
    <mergeCell ref="J154:J155"/>
    <mergeCell ref="K154:K155"/>
    <mergeCell ref="L154:L155"/>
    <mergeCell ref="M154:M155"/>
    <mergeCell ref="I156:I157"/>
    <mergeCell ref="J156:J157"/>
    <mergeCell ref="K156:K157"/>
    <mergeCell ref="L156:L157"/>
    <mergeCell ref="M156:M157"/>
    <mergeCell ref="I166:I167"/>
    <mergeCell ref="J166:J167"/>
    <mergeCell ref="K166:K167"/>
    <mergeCell ref="L166:L167"/>
    <mergeCell ref="M166:M167"/>
    <mergeCell ref="I168:I169"/>
    <mergeCell ref="J168:J169"/>
    <mergeCell ref="K168:K169"/>
    <mergeCell ref="L168:L169"/>
    <mergeCell ref="M168:M169"/>
    <mergeCell ref="I162:I163"/>
    <mergeCell ref="J162:J163"/>
    <mergeCell ref="K162:K163"/>
    <mergeCell ref="L162:L163"/>
    <mergeCell ref="M162:M163"/>
    <mergeCell ref="I164:I165"/>
    <mergeCell ref="J164:J165"/>
    <mergeCell ref="K164:K165"/>
    <mergeCell ref="L164:L165"/>
    <mergeCell ref="M164:M165"/>
    <mergeCell ref="I174:I175"/>
    <mergeCell ref="J174:J175"/>
    <mergeCell ref="K174:K175"/>
    <mergeCell ref="L174:L175"/>
    <mergeCell ref="M174:M175"/>
    <mergeCell ref="I176:I177"/>
    <mergeCell ref="J176:J177"/>
    <mergeCell ref="K176:K177"/>
    <mergeCell ref="L176:L177"/>
    <mergeCell ref="M176:M177"/>
    <mergeCell ref="I170:I171"/>
    <mergeCell ref="J170:J171"/>
    <mergeCell ref="K170:K171"/>
    <mergeCell ref="L170:L171"/>
    <mergeCell ref="M170:M171"/>
    <mergeCell ref="I172:I173"/>
    <mergeCell ref="J172:J173"/>
    <mergeCell ref="K172:K173"/>
    <mergeCell ref="L172:L173"/>
    <mergeCell ref="M172:M173"/>
    <mergeCell ref="I182:I183"/>
    <mergeCell ref="J182:J183"/>
    <mergeCell ref="K182:K183"/>
    <mergeCell ref="L182:L183"/>
    <mergeCell ref="M182:M183"/>
    <mergeCell ref="I184:I185"/>
    <mergeCell ref="J184:J185"/>
    <mergeCell ref="K184:K185"/>
    <mergeCell ref="L184:L185"/>
    <mergeCell ref="M184:M185"/>
    <mergeCell ref="I178:I179"/>
    <mergeCell ref="J178:J179"/>
    <mergeCell ref="K178:K179"/>
    <mergeCell ref="L178:L179"/>
    <mergeCell ref="M178:M179"/>
    <mergeCell ref="I180:I181"/>
    <mergeCell ref="J180:J181"/>
    <mergeCell ref="K180:K181"/>
    <mergeCell ref="L180:L181"/>
    <mergeCell ref="M180:M181"/>
    <mergeCell ref="I190:I191"/>
    <mergeCell ref="J190:J191"/>
    <mergeCell ref="K190:K191"/>
    <mergeCell ref="L190:L191"/>
    <mergeCell ref="M190:M191"/>
    <mergeCell ref="I192:I193"/>
    <mergeCell ref="J192:J193"/>
    <mergeCell ref="K192:K193"/>
    <mergeCell ref="L192:L193"/>
    <mergeCell ref="M192:M193"/>
    <mergeCell ref="I186:I187"/>
    <mergeCell ref="J186:J187"/>
    <mergeCell ref="K186:K187"/>
    <mergeCell ref="L186:L187"/>
    <mergeCell ref="M186:M187"/>
    <mergeCell ref="I188:I189"/>
    <mergeCell ref="J188:J189"/>
    <mergeCell ref="K188:K189"/>
    <mergeCell ref="L188:L189"/>
    <mergeCell ref="M188:M189"/>
    <mergeCell ref="I198:I199"/>
    <mergeCell ref="J198:J199"/>
    <mergeCell ref="K198:K199"/>
    <mergeCell ref="L198:L199"/>
    <mergeCell ref="M198:M199"/>
    <mergeCell ref="I200:I201"/>
    <mergeCell ref="J200:J201"/>
    <mergeCell ref="K200:K201"/>
    <mergeCell ref="L200:L201"/>
    <mergeCell ref="M200:M201"/>
    <mergeCell ref="I194:I195"/>
    <mergeCell ref="J194:J195"/>
    <mergeCell ref="K194:K195"/>
    <mergeCell ref="L194:L195"/>
    <mergeCell ref="M194:M195"/>
    <mergeCell ref="I196:I197"/>
    <mergeCell ref="J196:J197"/>
    <mergeCell ref="K196:K197"/>
    <mergeCell ref="L196:L197"/>
    <mergeCell ref="M196:M197"/>
    <mergeCell ref="I206:I207"/>
    <mergeCell ref="J206:J207"/>
    <mergeCell ref="K206:K207"/>
    <mergeCell ref="L206:L207"/>
    <mergeCell ref="M206:M207"/>
    <mergeCell ref="I208:I209"/>
    <mergeCell ref="J208:J209"/>
    <mergeCell ref="K208:K209"/>
    <mergeCell ref="L208:L209"/>
    <mergeCell ref="M208:M209"/>
    <mergeCell ref="I202:I203"/>
    <mergeCell ref="J202:J203"/>
    <mergeCell ref="K202:K203"/>
    <mergeCell ref="L202:L203"/>
    <mergeCell ref="M202:M203"/>
    <mergeCell ref="I204:I205"/>
    <mergeCell ref="J204:J205"/>
    <mergeCell ref="K204:K205"/>
    <mergeCell ref="L204:L205"/>
    <mergeCell ref="M204:M205"/>
    <mergeCell ref="I214:I215"/>
    <mergeCell ref="J214:J215"/>
    <mergeCell ref="K214:K215"/>
    <mergeCell ref="L214:L215"/>
    <mergeCell ref="M214:M215"/>
    <mergeCell ref="I216:I217"/>
    <mergeCell ref="J216:J217"/>
    <mergeCell ref="K216:K217"/>
    <mergeCell ref="L216:L217"/>
    <mergeCell ref="M216:M217"/>
    <mergeCell ref="I210:I211"/>
    <mergeCell ref="J210:J211"/>
    <mergeCell ref="K210:K211"/>
    <mergeCell ref="L210:L211"/>
    <mergeCell ref="M210:M211"/>
    <mergeCell ref="I212:I213"/>
    <mergeCell ref="J212:J213"/>
    <mergeCell ref="K212:K213"/>
    <mergeCell ref="L212:L213"/>
    <mergeCell ref="M212:M213"/>
    <mergeCell ref="I222:I223"/>
    <mergeCell ref="J222:J223"/>
    <mergeCell ref="K222:K223"/>
    <mergeCell ref="L222:L223"/>
    <mergeCell ref="M222:M223"/>
    <mergeCell ref="I224:I225"/>
    <mergeCell ref="J224:J225"/>
    <mergeCell ref="K224:K225"/>
    <mergeCell ref="L224:L225"/>
    <mergeCell ref="M224:M225"/>
    <mergeCell ref="I218:I219"/>
    <mergeCell ref="J218:J219"/>
    <mergeCell ref="K218:K219"/>
    <mergeCell ref="L218:L219"/>
    <mergeCell ref="M218:M219"/>
    <mergeCell ref="I220:I221"/>
    <mergeCell ref="J220:J221"/>
    <mergeCell ref="K220:K221"/>
    <mergeCell ref="L220:L221"/>
    <mergeCell ref="M220:M221"/>
    <mergeCell ref="I230:I231"/>
    <mergeCell ref="J230:J231"/>
    <mergeCell ref="K230:K231"/>
    <mergeCell ref="L230:L231"/>
    <mergeCell ref="M230:M231"/>
    <mergeCell ref="I232:I233"/>
    <mergeCell ref="J232:J233"/>
    <mergeCell ref="K232:K233"/>
    <mergeCell ref="L232:L233"/>
    <mergeCell ref="M232:M233"/>
    <mergeCell ref="I226:I227"/>
    <mergeCell ref="J226:J227"/>
    <mergeCell ref="K226:K227"/>
    <mergeCell ref="L226:L227"/>
    <mergeCell ref="M226:M227"/>
    <mergeCell ref="I228:I229"/>
    <mergeCell ref="J228:J229"/>
    <mergeCell ref="K228:K229"/>
    <mergeCell ref="L228:L229"/>
    <mergeCell ref="M228:M229"/>
    <mergeCell ref="I238:I239"/>
    <mergeCell ref="J238:J239"/>
    <mergeCell ref="K238:K239"/>
    <mergeCell ref="L238:L239"/>
    <mergeCell ref="M238:M239"/>
    <mergeCell ref="I240:I241"/>
    <mergeCell ref="J240:J241"/>
    <mergeCell ref="K240:K241"/>
    <mergeCell ref="L240:L241"/>
    <mergeCell ref="M240:M241"/>
    <mergeCell ref="I234:I235"/>
    <mergeCell ref="J234:J235"/>
    <mergeCell ref="K234:K235"/>
    <mergeCell ref="L234:L235"/>
    <mergeCell ref="M234:M235"/>
    <mergeCell ref="I236:I237"/>
    <mergeCell ref="J236:J237"/>
    <mergeCell ref="K236:K237"/>
    <mergeCell ref="L236:L237"/>
    <mergeCell ref="M236:M237"/>
    <mergeCell ref="I246:I247"/>
    <mergeCell ref="J246:J247"/>
    <mergeCell ref="K246:K247"/>
    <mergeCell ref="L246:L247"/>
    <mergeCell ref="M246:M247"/>
    <mergeCell ref="I248:I249"/>
    <mergeCell ref="J248:J249"/>
    <mergeCell ref="K248:K249"/>
    <mergeCell ref="L248:L249"/>
    <mergeCell ref="M248:M249"/>
    <mergeCell ref="I242:I243"/>
    <mergeCell ref="J242:J243"/>
    <mergeCell ref="K242:K243"/>
    <mergeCell ref="L242:L243"/>
    <mergeCell ref="M242:M243"/>
    <mergeCell ref="I244:I245"/>
    <mergeCell ref="J244:J245"/>
    <mergeCell ref="K244:K245"/>
    <mergeCell ref="L244:L245"/>
    <mergeCell ref="M244:M245"/>
    <mergeCell ref="I254:I255"/>
    <mergeCell ref="J254:J255"/>
    <mergeCell ref="K254:K255"/>
    <mergeCell ref="L254:L255"/>
    <mergeCell ref="M254:M255"/>
    <mergeCell ref="I256:I257"/>
    <mergeCell ref="J256:J257"/>
    <mergeCell ref="K256:K257"/>
    <mergeCell ref="L256:L257"/>
    <mergeCell ref="M256:M257"/>
    <mergeCell ref="I250:I251"/>
    <mergeCell ref="J250:J251"/>
    <mergeCell ref="K250:K251"/>
    <mergeCell ref="L250:L251"/>
    <mergeCell ref="M250:M251"/>
    <mergeCell ref="I252:I253"/>
    <mergeCell ref="J252:J253"/>
    <mergeCell ref="K252:K253"/>
    <mergeCell ref="L252:L253"/>
    <mergeCell ref="M252:M253"/>
    <mergeCell ref="I262:I263"/>
    <mergeCell ref="J262:J263"/>
    <mergeCell ref="K262:K263"/>
    <mergeCell ref="L262:L263"/>
    <mergeCell ref="M262:M263"/>
    <mergeCell ref="I264:I265"/>
    <mergeCell ref="J264:J265"/>
    <mergeCell ref="K264:K265"/>
    <mergeCell ref="L264:L265"/>
    <mergeCell ref="M264:M265"/>
    <mergeCell ref="I258:I259"/>
    <mergeCell ref="J258:J259"/>
    <mergeCell ref="K258:K259"/>
    <mergeCell ref="L258:L259"/>
    <mergeCell ref="M258:M259"/>
    <mergeCell ref="I260:I261"/>
    <mergeCell ref="J260:J261"/>
    <mergeCell ref="K260:K261"/>
    <mergeCell ref="L260:L261"/>
    <mergeCell ref="M260:M261"/>
    <mergeCell ref="I270:I271"/>
    <mergeCell ref="J270:J271"/>
    <mergeCell ref="K270:K271"/>
    <mergeCell ref="L270:L271"/>
    <mergeCell ref="M270:M271"/>
    <mergeCell ref="I272:I273"/>
    <mergeCell ref="J272:J273"/>
    <mergeCell ref="K272:K273"/>
    <mergeCell ref="L272:L273"/>
    <mergeCell ref="M272:M273"/>
    <mergeCell ref="I266:I267"/>
    <mergeCell ref="J266:J267"/>
    <mergeCell ref="K266:K267"/>
    <mergeCell ref="L266:L267"/>
    <mergeCell ref="M266:M267"/>
    <mergeCell ref="I268:I269"/>
    <mergeCell ref="J268:J269"/>
    <mergeCell ref="K268:K269"/>
    <mergeCell ref="L268:L269"/>
    <mergeCell ref="M268:M269"/>
    <mergeCell ref="I296:I297"/>
    <mergeCell ref="J296:J297"/>
    <mergeCell ref="K296:K297"/>
    <mergeCell ref="L296:L297"/>
    <mergeCell ref="M296:M297"/>
    <mergeCell ref="I299:I300"/>
    <mergeCell ref="J299:J300"/>
    <mergeCell ref="K299:K300"/>
    <mergeCell ref="L299:L300"/>
    <mergeCell ref="M299:M300"/>
    <mergeCell ref="I274:I275"/>
    <mergeCell ref="J274:J275"/>
    <mergeCell ref="K274:K275"/>
    <mergeCell ref="L274:L275"/>
    <mergeCell ref="M274:M275"/>
    <mergeCell ref="I276:I277"/>
    <mergeCell ref="J276:J277"/>
    <mergeCell ref="K276:K277"/>
    <mergeCell ref="L276:L277"/>
    <mergeCell ref="M276:M277"/>
    <mergeCell ref="I308:I309"/>
    <mergeCell ref="J308:J309"/>
    <mergeCell ref="K308:K309"/>
    <mergeCell ref="L308:L309"/>
    <mergeCell ref="M308:M309"/>
    <mergeCell ref="I310:I311"/>
    <mergeCell ref="J310:J311"/>
    <mergeCell ref="K310:K311"/>
    <mergeCell ref="L310:L311"/>
    <mergeCell ref="M310:M311"/>
    <mergeCell ref="I313:I314"/>
    <mergeCell ref="J313:J314"/>
    <mergeCell ref="K313:K314"/>
    <mergeCell ref="L313:L314"/>
    <mergeCell ref="I302:I303"/>
    <mergeCell ref="J302:J303"/>
    <mergeCell ref="K302:K303"/>
    <mergeCell ref="L302:L303"/>
    <mergeCell ref="M302:M303"/>
    <mergeCell ref="I306:I307"/>
    <mergeCell ref="J306:J307"/>
    <mergeCell ref="K306:K307"/>
    <mergeCell ref="L306:L307"/>
    <mergeCell ref="M306:M307"/>
    <mergeCell ref="M313:M314"/>
    <mergeCell ref="I320:I321"/>
    <mergeCell ref="J320:J321"/>
    <mergeCell ref="K320:K321"/>
    <mergeCell ref="L320:L321"/>
    <mergeCell ref="M320:M321"/>
    <mergeCell ref="I322:I323"/>
    <mergeCell ref="J322:J323"/>
    <mergeCell ref="K322:K323"/>
    <mergeCell ref="L322:L323"/>
    <mergeCell ref="M322:M323"/>
    <mergeCell ref="I316:I317"/>
    <mergeCell ref="J316:J317"/>
    <mergeCell ref="K316:K317"/>
    <mergeCell ref="L316:L317"/>
    <mergeCell ref="M316:M317"/>
    <mergeCell ref="I318:I319"/>
    <mergeCell ref="J318:J319"/>
    <mergeCell ref="K318:K319"/>
    <mergeCell ref="L318:L319"/>
    <mergeCell ref="M318:M319"/>
    <mergeCell ref="I328:I329"/>
    <mergeCell ref="J328:J329"/>
    <mergeCell ref="K328:K329"/>
    <mergeCell ref="L328:L329"/>
    <mergeCell ref="M328:M329"/>
    <mergeCell ref="I330:I331"/>
    <mergeCell ref="J330:J331"/>
    <mergeCell ref="K330:K331"/>
    <mergeCell ref="L330:L331"/>
    <mergeCell ref="M330:M331"/>
    <mergeCell ref="I324:I325"/>
    <mergeCell ref="J324:J325"/>
    <mergeCell ref="K324:K325"/>
    <mergeCell ref="L324:L325"/>
    <mergeCell ref="M324:M325"/>
    <mergeCell ref="I326:I327"/>
    <mergeCell ref="J326:J327"/>
    <mergeCell ref="K326:K327"/>
    <mergeCell ref="L326:L327"/>
    <mergeCell ref="M326:M327"/>
    <mergeCell ref="I336:I337"/>
    <mergeCell ref="J336:J337"/>
    <mergeCell ref="K336:K337"/>
    <mergeCell ref="L336:L337"/>
    <mergeCell ref="M336:M337"/>
    <mergeCell ref="I338:I339"/>
    <mergeCell ref="J338:J339"/>
    <mergeCell ref="K338:K339"/>
    <mergeCell ref="L338:L339"/>
    <mergeCell ref="M338:M339"/>
    <mergeCell ref="I332:I333"/>
    <mergeCell ref="J332:J333"/>
    <mergeCell ref="K332:K333"/>
    <mergeCell ref="L332:L333"/>
    <mergeCell ref="M332:M333"/>
    <mergeCell ref="I334:I335"/>
    <mergeCell ref="J334:J335"/>
    <mergeCell ref="K334:K335"/>
    <mergeCell ref="L334:L335"/>
    <mergeCell ref="M334:M335"/>
    <mergeCell ref="I344:I345"/>
    <mergeCell ref="J344:J345"/>
    <mergeCell ref="K344:K345"/>
    <mergeCell ref="L344:L345"/>
    <mergeCell ref="M344:M345"/>
    <mergeCell ref="I346:I347"/>
    <mergeCell ref="J346:J347"/>
    <mergeCell ref="K346:K347"/>
    <mergeCell ref="L346:L347"/>
    <mergeCell ref="M346:M347"/>
    <mergeCell ref="I340:I341"/>
    <mergeCell ref="J340:J341"/>
    <mergeCell ref="K340:K341"/>
    <mergeCell ref="L340:L341"/>
    <mergeCell ref="M340:M341"/>
    <mergeCell ref="I342:I343"/>
    <mergeCell ref="J342:J343"/>
    <mergeCell ref="K342:K343"/>
    <mergeCell ref="L342:L343"/>
    <mergeCell ref="M342:M343"/>
    <mergeCell ref="I353:I354"/>
    <mergeCell ref="J353:J354"/>
    <mergeCell ref="K353:K354"/>
    <mergeCell ref="L353:L354"/>
    <mergeCell ref="M353:M354"/>
    <mergeCell ref="I356:I357"/>
    <mergeCell ref="J356:J357"/>
    <mergeCell ref="K356:K357"/>
    <mergeCell ref="L356:L357"/>
    <mergeCell ref="M356:M357"/>
    <mergeCell ref="I349:I350"/>
    <mergeCell ref="J349:J350"/>
    <mergeCell ref="K349:K350"/>
    <mergeCell ref="L349:L350"/>
    <mergeCell ref="M349:M350"/>
    <mergeCell ref="I351:I352"/>
    <mergeCell ref="J351:J352"/>
    <mergeCell ref="K351:K352"/>
    <mergeCell ref="L351:L352"/>
    <mergeCell ref="M351:M352"/>
    <mergeCell ref="I363:I364"/>
    <mergeCell ref="J363:J364"/>
    <mergeCell ref="K363:K364"/>
    <mergeCell ref="L363:L364"/>
    <mergeCell ref="M363:M364"/>
    <mergeCell ref="I365:I366"/>
    <mergeCell ref="J365:J366"/>
    <mergeCell ref="K365:K366"/>
    <mergeCell ref="L365:L366"/>
    <mergeCell ref="M365:M366"/>
    <mergeCell ref="I358:I359"/>
    <mergeCell ref="J358:J359"/>
    <mergeCell ref="K358:K359"/>
    <mergeCell ref="L358:L359"/>
    <mergeCell ref="M358:M359"/>
    <mergeCell ref="I360:I361"/>
    <mergeCell ref="J360:J361"/>
    <mergeCell ref="K360:K361"/>
    <mergeCell ref="L360:L361"/>
    <mergeCell ref="M360:M361"/>
    <mergeCell ref="J371:J372"/>
    <mergeCell ref="K371:K372"/>
    <mergeCell ref="L371:L372"/>
    <mergeCell ref="M371:M372"/>
    <mergeCell ref="I373:I374"/>
    <mergeCell ref="J373:J374"/>
    <mergeCell ref="K373:K374"/>
    <mergeCell ref="L373:L374"/>
    <mergeCell ref="M373:M374"/>
    <mergeCell ref="I367:I368"/>
    <mergeCell ref="J367:J368"/>
    <mergeCell ref="K367:K368"/>
    <mergeCell ref="L367:L368"/>
    <mergeCell ref="M367:M368"/>
    <mergeCell ref="I369:I370"/>
    <mergeCell ref="J369:J370"/>
    <mergeCell ref="K369:K370"/>
    <mergeCell ref="L369:L370"/>
    <mergeCell ref="M369:M370"/>
    <mergeCell ref="I384:I385"/>
    <mergeCell ref="J384:J385"/>
    <mergeCell ref="K384:K385"/>
    <mergeCell ref="L384:L385"/>
    <mergeCell ref="M384:M385"/>
    <mergeCell ref="I387:I388"/>
    <mergeCell ref="J387:J388"/>
    <mergeCell ref="K387:K388"/>
    <mergeCell ref="L387:L388"/>
    <mergeCell ref="M387:M388"/>
    <mergeCell ref="I379:I380"/>
    <mergeCell ref="J379:J380"/>
    <mergeCell ref="K379:K380"/>
    <mergeCell ref="L379:L380"/>
    <mergeCell ref="M379:M380"/>
    <mergeCell ref="I381:I382"/>
    <mergeCell ref="J381:J382"/>
    <mergeCell ref="K381:K382"/>
    <mergeCell ref="L381:L382"/>
    <mergeCell ref="M381:M382"/>
    <mergeCell ref="I375:I376"/>
    <mergeCell ref="J375:J376"/>
    <mergeCell ref="K375:K376"/>
    <mergeCell ref="L375:L376"/>
    <mergeCell ref="M375:M376"/>
    <mergeCell ref="I377:I378"/>
    <mergeCell ref="J377:J378"/>
    <mergeCell ref="K377:K378"/>
    <mergeCell ref="L377:L378"/>
    <mergeCell ref="M377:M378"/>
    <mergeCell ref="I371:I372"/>
    <mergeCell ref="N2:N3"/>
    <mergeCell ref="N4:N5"/>
    <mergeCell ref="N6:N7"/>
    <mergeCell ref="N8:N9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N62:N63"/>
    <mergeCell ref="N64:N65"/>
    <mergeCell ref="N66:N67"/>
    <mergeCell ref="N68:N69"/>
    <mergeCell ref="N70:N71"/>
    <mergeCell ref="N72:N73"/>
    <mergeCell ref="N74:N75"/>
    <mergeCell ref="N76:N77"/>
    <mergeCell ref="N78:N79"/>
    <mergeCell ref="N80:N81"/>
    <mergeCell ref="N82:N83"/>
    <mergeCell ref="N84:N85"/>
    <mergeCell ref="N86:N87"/>
    <mergeCell ref="N88:N89"/>
    <mergeCell ref="N90:N91"/>
    <mergeCell ref="N92:N93"/>
    <mergeCell ref="N94:N95"/>
    <mergeCell ref="N96:N97"/>
    <mergeCell ref="N98:N99"/>
    <mergeCell ref="N100:N101"/>
    <mergeCell ref="N102:N103"/>
    <mergeCell ref="N104:N105"/>
    <mergeCell ref="N106:N107"/>
    <mergeCell ref="N108:N109"/>
    <mergeCell ref="N110:N111"/>
    <mergeCell ref="N112:N113"/>
    <mergeCell ref="N114:N115"/>
    <mergeCell ref="N116:N117"/>
    <mergeCell ref="N118:N119"/>
    <mergeCell ref="N120:N121"/>
    <mergeCell ref="N122:N123"/>
    <mergeCell ref="N124:N125"/>
    <mergeCell ref="N126:N127"/>
    <mergeCell ref="N128:N129"/>
    <mergeCell ref="N130:N131"/>
    <mergeCell ref="N132:N133"/>
    <mergeCell ref="N134:N135"/>
    <mergeCell ref="N136:N137"/>
    <mergeCell ref="N138:N139"/>
    <mergeCell ref="N140:N141"/>
    <mergeCell ref="N142:N143"/>
    <mergeCell ref="N144:N145"/>
    <mergeCell ref="N146:N147"/>
    <mergeCell ref="N148:N149"/>
    <mergeCell ref="N150:N151"/>
    <mergeCell ref="N152:N153"/>
    <mergeCell ref="N154:N155"/>
    <mergeCell ref="N156:N157"/>
    <mergeCell ref="N158:N159"/>
    <mergeCell ref="N160:N161"/>
    <mergeCell ref="N162:N163"/>
    <mergeCell ref="N164:N165"/>
    <mergeCell ref="N166:N167"/>
    <mergeCell ref="N168:N169"/>
    <mergeCell ref="N170:N171"/>
    <mergeCell ref="N172:N173"/>
    <mergeCell ref="N174:N175"/>
    <mergeCell ref="N176:N177"/>
    <mergeCell ref="N178:N179"/>
    <mergeCell ref="N180:N181"/>
    <mergeCell ref="N182:N183"/>
    <mergeCell ref="N184:N185"/>
    <mergeCell ref="N186:N187"/>
    <mergeCell ref="N188:N189"/>
    <mergeCell ref="N190:N191"/>
    <mergeCell ref="N192:N193"/>
    <mergeCell ref="N194:N195"/>
    <mergeCell ref="N196:N197"/>
    <mergeCell ref="N198:N199"/>
    <mergeCell ref="N200:N201"/>
    <mergeCell ref="N202:N203"/>
    <mergeCell ref="N204:N205"/>
    <mergeCell ref="N206:N207"/>
    <mergeCell ref="N208:N209"/>
    <mergeCell ref="N210:N211"/>
    <mergeCell ref="N212:N213"/>
    <mergeCell ref="N214:N215"/>
    <mergeCell ref="N216:N217"/>
    <mergeCell ref="N218:N219"/>
    <mergeCell ref="N220:N221"/>
    <mergeCell ref="N222:N223"/>
    <mergeCell ref="N224:N225"/>
    <mergeCell ref="N226:N227"/>
    <mergeCell ref="N228:N229"/>
    <mergeCell ref="N230:N231"/>
    <mergeCell ref="N232:N233"/>
    <mergeCell ref="N234:N235"/>
    <mergeCell ref="N236:N237"/>
    <mergeCell ref="N238:N239"/>
    <mergeCell ref="N240:N241"/>
    <mergeCell ref="N242:N243"/>
    <mergeCell ref="N244:N245"/>
    <mergeCell ref="N246:N247"/>
    <mergeCell ref="N248:N249"/>
    <mergeCell ref="N250:N251"/>
    <mergeCell ref="N252:N253"/>
    <mergeCell ref="N254:N255"/>
    <mergeCell ref="N256:N257"/>
    <mergeCell ref="N258:N259"/>
    <mergeCell ref="N260:N261"/>
    <mergeCell ref="N262:N263"/>
    <mergeCell ref="N264:N265"/>
    <mergeCell ref="N266:N267"/>
    <mergeCell ref="N268:N269"/>
    <mergeCell ref="N270:N271"/>
    <mergeCell ref="N272:N273"/>
    <mergeCell ref="N274:N275"/>
    <mergeCell ref="N276:N277"/>
    <mergeCell ref="N296:N297"/>
    <mergeCell ref="N299:N300"/>
    <mergeCell ref="N302:N303"/>
    <mergeCell ref="N306:N307"/>
    <mergeCell ref="N308:N309"/>
    <mergeCell ref="N310:N311"/>
    <mergeCell ref="N313:N314"/>
    <mergeCell ref="N316:N317"/>
    <mergeCell ref="N318:N319"/>
    <mergeCell ref="N320:N321"/>
    <mergeCell ref="N322:N323"/>
    <mergeCell ref="N324:N325"/>
    <mergeCell ref="N326:N327"/>
    <mergeCell ref="N328:N329"/>
    <mergeCell ref="N330:N331"/>
    <mergeCell ref="N332:N333"/>
    <mergeCell ref="N334:N335"/>
    <mergeCell ref="N336:N337"/>
    <mergeCell ref="N338:N339"/>
    <mergeCell ref="N340:N341"/>
    <mergeCell ref="N342:N343"/>
    <mergeCell ref="N344:N345"/>
    <mergeCell ref="N346:N347"/>
    <mergeCell ref="N349:N350"/>
    <mergeCell ref="N351:N352"/>
    <mergeCell ref="N353:N354"/>
    <mergeCell ref="N356:N357"/>
    <mergeCell ref="N358:N359"/>
    <mergeCell ref="N360:N361"/>
    <mergeCell ref="N363:N364"/>
    <mergeCell ref="N365:N366"/>
    <mergeCell ref="N367:N368"/>
    <mergeCell ref="N369:N370"/>
    <mergeCell ref="N371:N372"/>
    <mergeCell ref="N373:N374"/>
    <mergeCell ref="N375:N376"/>
    <mergeCell ref="N377:N378"/>
    <mergeCell ref="N379:N380"/>
    <mergeCell ref="N381:N382"/>
    <mergeCell ref="N384:N385"/>
    <mergeCell ref="N387:N388"/>
    <mergeCell ref="O2:O3"/>
    <mergeCell ref="O4:O5"/>
    <mergeCell ref="O6:O7"/>
    <mergeCell ref="O8:O9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O62:O63"/>
    <mergeCell ref="O64:O65"/>
    <mergeCell ref="O66:O67"/>
    <mergeCell ref="O68:O69"/>
    <mergeCell ref="O70:O71"/>
    <mergeCell ref="O72:O73"/>
    <mergeCell ref="O74:O75"/>
    <mergeCell ref="O76:O77"/>
    <mergeCell ref="O78:O79"/>
    <mergeCell ref="O80:O81"/>
    <mergeCell ref="O82:O83"/>
    <mergeCell ref="O84:O85"/>
    <mergeCell ref="O86:O87"/>
    <mergeCell ref="O88:O89"/>
    <mergeCell ref="O90:O91"/>
    <mergeCell ref="O92:O93"/>
    <mergeCell ref="O94:O95"/>
    <mergeCell ref="O96:O97"/>
    <mergeCell ref="O98:O99"/>
    <mergeCell ref="O100:O101"/>
    <mergeCell ref="O102:O103"/>
    <mergeCell ref="O104:O105"/>
    <mergeCell ref="O106:O107"/>
    <mergeCell ref="O108:O109"/>
    <mergeCell ref="O110:O111"/>
    <mergeCell ref="O112:O113"/>
    <mergeCell ref="O114:O115"/>
    <mergeCell ref="O116:O117"/>
    <mergeCell ref="O118:O119"/>
    <mergeCell ref="O120:O121"/>
    <mergeCell ref="O122:O123"/>
    <mergeCell ref="O124:O125"/>
    <mergeCell ref="O126:O127"/>
    <mergeCell ref="O128:O129"/>
    <mergeCell ref="O130:O131"/>
    <mergeCell ref="O132:O133"/>
    <mergeCell ref="O134:O135"/>
    <mergeCell ref="O136:O137"/>
    <mergeCell ref="O138:O139"/>
    <mergeCell ref="O140:O141"/>
    <mergeCell ref="O142:O143"/>
    <mergeCell ref="O144:O145"/>
    <mergeCell ref="O146:O147"/>
    <mergeCell ref="O148:O149"/>
    <mergeCell ref="O150:O151"/>
    <mergeCell ref="O152:O153"/>
    <mergeCell ref="O154:O155"/>
    <mergeCell ref="O156:O157"/>
    <mergeCell ref="O158:O159"/>
    <mergeCell ref="O160:O161"/>
    <mergeCell ref="O162:O163"/>
    <mergeCell ref="O164:O165"/>
    <mergeCell ref="O166:O167"/>
    <mergeCell ref="O168:O169"/>
    <mergeCell ref="O170:O171"/>
    <mergeCell ref="O172:O173"/>
    <mergeCell ref="O174:O175"/>
    <mergeCell ref="O176:O177"/>
    <mergeCell ref="O178:O179"/>
    <mergeCell ref="O180:O181"/>
    <mergeCell ref="O182:O183"/>
    <mergeCell ref="O184:O185"/>
    <mergeCell ref="O186:O187"/>
    <mergeCell ref="O188:O189"/>
    <mergeCell ref="O190:O191"/>
    <mergeCell ref="O192:O193"/>
    <mergeCell ref="O194:O195"/>
    <mergeCell ref="O196:O197"/>
    <mergeCell ref="O198:O199"/>
    <mergeCell ref="O200:O201"/>
    <mergeCell ref="O202:O203"/>
    <mergeCell ref="O204:O205"/>
    <mergeCell ref="O206:O207"/>
    <mergeCell ref="O208:O209"/>
    <mergeCell ref="O210:O211"/>
    <mergeCell ref="O212:O213"/>
    <mergeCell ref="O214:O215"/>
    <mergeCell ref="O216:O217"/>
    <mergeCell ref="O218:O219"/>
    <mergeCell ref="O220:O221"/>
    <mergeCell ref="O222:O223"/>
    <mergeCell ref="O224:O225"/>
    <mergeCell ref="O226:O227"/>
    <mergeCell ref="O228:O229"/>
    <mergeCell ref="O230:O231"/>
    <mergeCell ref="O232:O233"/>
    <mergeCell ref="O234:O235"/>
    <mergeCell ref="O236:O237"/>
    <mergeCell ref="O238:O239"/>
    <mergeCell ref="O240:O241"/>
    <mergeCell ref="O242:O243"/>
    <mergeCell ref="O244:O245"/>
    <mergeCell ref="O246:O247"/>
    <mergeCell ref="O248:O249"/>
    <mergeCell ref="O250:O251"/>
    <mergeCell ref="O252:O253"/>
    <mergeCell ref="O254:O255"/>
    <mergeCell ref="O256:O257"/>
    <mergeCell ref="O258:O259"/>
    <mergeCell ref="O260:O261"/>
    <mergeCell ref="O262:O263"/>
    <mergeCell ref="O264:O265"/>
    <mergeCell ref="O266:O267"/>
    <mergeCell ref="O268:O269"/>
    <mergeCell ref="O270:O271"/>
    <mergeCell ref="O272:O273"/>
    <mergeCell ref="O274:O275"/>
    <mergeCell ref="O276:O277"/>
    <mergeCell ref="O296:O297"/>
    <mergeCell ref="O299:O300"/>
    <mergeCell ref="O302:O303"/>
    <mergeCell ref="O306:O307"/>
    <mergeCell ref="O308:O309"/>
    <mergeCell ref="O310:O311"/>
    <mergeCell ref="O313:O314"/>
    <mergeCell ref="O316:O317"/>
    <mergeCell ref="O318:O319"/>
    <mergeCell ref="O320:O321"/>
    <mergeCell ref="O322:O323"/>
    <mergeCell ref="O324:O325"/>
    <mergeCell ref="O326:O327"/>
    <mergeCell ref="O328:O329"/>
    <mergeCell ref="O330:O331"/>
    <mergeCell ref="O332:O333"/>
    <mergeCell ref="O334:O335"/>
    <mergeCell ref="O336:O337"/>
    <mergeCell ref="O338:O339"/>
    <mergeCell ref="O340:O341"/>
    <mergeCell ref="O342:O343"/>
    <mergeCell ref="O344:O345"/>
    <mergeCell ref="O346:O347"/>
    <mergeCell ref="O349:O350"/>
    <mergeCell ref="O351:O352"/>
    <mergeCell ref="O353:O354"/>
    <mergeCell ref="O356:O357"/>
    <mergeCell ref="O358:O359"/>
    <mergeCell ref="O360:O361"/>
    <mergeCell ref="O363:O364"/>
    <mergeCell ref="O365:O366"/>
    <mergeCell ref="O367:O368"/>
    <mergeCell ref="O369:O370"/>
    <mergeCell ref="O371:O372"/>
    <mergeCell ref="O373:O374"/>
    <mergeCell ref="O375:O376"/>
    <mergeCell ref="O377:O378"/>
    <mergeCell ref="O379:O380"/>
    <mergeCell ref="O381:O382"/>
    <mergeCell ref="O384:O385"/>
    <mergeCell ref="O387:O388"/>
    <mergeCell ref="P2:P3"/>
    <mergeCell ref="P4:P5"/>
    <mergeCell ref="P6:P7"/>
    <mergeCell ref="P8:P9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P62:P63"/>
    <mergeCell ref="P64:P65"/>
    <mergeCell ref="P66:P67"/>
    <mergeCell ref="P68:P69"/>
    <mergeCell ref="P70:P71"/>
    <mergeCell ref="P72:P73"/>
    <mergeCell ref="P74:P75"/>
    <mergeCell ref="P76:P77"/>
    <mergeCell ref="P78:P79"/>
    <mergeCell ref="P80:P81"/>
    <mergeCell ref="P82:P83"/>
    <mergeCell ref="P84:P85"/>
    <mergeCell ref="P86:P87"/>
    <mergeCell ref="P88:P89"/>
    <mergeCell ref="P90:P91"/>
    <mergeCell ref="P92:P93"/>
    <mergeCell ref="P94:P95"/>
    <mergeCell ref="P96:P97"/>
    <mergeCell ref="P98:P99"/>
    <mergeCell ref="P100:P101"/>
    <mergeCell ref="P102:P103"/>
    <mergeCell ref="P104:P105"/>
    <mergeCell ref="P106:P107"/>
    <mergeCell ref="P108:P109"/>
    <mergeCell ref="P110:P111"/>
    <mergeCell ref="P112:P113"/>
    <mergeCell ref="P114:P115"/>
    <mergeCell ref="P116:P117"/>
    <mergeCell ref="P118:P119"/>
    <mergeCell ref="P120:P121"/>
    <mergeCell ref="P122:P123"/>
    <mergeCell ref="P124:P125"/>
    <mergeCell ref="P126:P127"/>
    <mergeCell ref="P128:P129"/>
    <mergeCell ref="P130:P131"/>
    <mergeCell ref="P132:P133"/>
    <mergeCell ref="P134:P135"/>
    <mergeCell ref="P136:P137"/>
    <mergeCell ref="P138:P139"/>
    <mergeCell ref="P140:P141"/>
    <mergeCell ref="P142:P143"/>
    <mergeCell ref="P144:P145"/>
    <mergeCell ref="P146:P147"/>
    <mergeCell ref="P148:P149"/>
    <mergeCell ref="P150:P151"/>
    <mergeCell ref="P152:P153"/>
    <mergeCell ref="P154:P155"/>
    <mergeCell ref="P156:P157"/>
    <mergeCell ref="P158:P159"/>
    <mergeCell ref="P160:P161"/>
    <mergeCell ref="P162:P163"/>
    <mergeCell ref="P164:P165"/>
    <mergeCell ref="P166:P167"/>
    <mergeCell ref="P168:P169"/>
    <mergeCell ref="P170:P171"/>
    <mergeCell ref="P172:P173"/>
    <mergeCell ref="P174:P175"/>
    <mergeCell ref="P176:P177"/>
    <mergeCell ref="P178:P179"/>
    <mergeCell ref="P180:P181"/>
    <mergeCell ref="P182:P183"/>
    <mergeCell ref="P184:P185"/>
    <mergeCell ref="P186:P187"/>
    <mergeCell ref="P188:P189"/>
    <mergeCell ref="P190:P191"/>
    <mergeCell ref="P192:P193"/>
    <mergeCell ref="P194:P195"/>
    <mergeCell ref="P196:P197"/>
    <mergeCell ref="P198:P199"/>
    <mergeCell ref="P200:P201"/>
    <mergeCell ref="P202:P203"/>
    <mergeCell ref="P204:P205"/>
    <mergeCell ref="P206:P207"/>
    <mergeCell ref="P208:P209"/>
    <mergeCell ref="P210:P211"/>
    <mergeCell ref="P212:P213"/>
    <mergeCell ref="P214:P215"/>
    <mergeCell ref="P216:P217"/>
    <mergeCell ref="P218:P219"/>
    <mergeCell ref="P220:P221"/>
    <mergeCell ref="P222:P223"/>
    <mergeCell ref="P224:P225"/>
    <mergeCell ref="P226:P227"/>
    <mergeCell ref="P228:P229"/>
    <mergeCell ref="P230:P231"/>
    <mergeCell ref="P232:P233"/>
    <mergeCell ref="P234:P235"/>
    <mergeCell ref="P236:P237"/>
    <mergeCell ref="P238:P239"/>
    <mergeCell ref="P240:P241"/>
    <mergeCell ref="P242:P243"/>
    <mergeCell ref="P244:P245"/>
    <mergeCell ref="P246:P247"/>
    <mergeCell ref="P248:P249"/>
    <mergeCell ref="P250:P251"/>
    <mergeCell ref="P252:P253"/>
    <mergeCell ref="P254:P255"/>
    <mergeCell ref="P256:P257"/>
    <mergeCell ref="P258:P259"/>
    <mergeCell ref="P260:P261"/>
    <mergeCell ref="P262:P263"/>
    <mergeCell ref="P264:P265"/>
    <mergeCell ref="P266:P267"/>
    <mergeCell ref="P268:P269"/>
    <mergeCell ref="P270:P271"/>
    <mergeCell ref="P272:P273"/>
    <mergeCell ref="P274:P275"/>
    <mergeCell ref="P276:P277"/>
    <mergeCell ref="P296:P297"/>
    <mergeCell ref="P299:P300"/>
    <mergeCell ref="P302:P303"/>
    <mergeCell ref="P306:P307"/>
    <mergeCell ref="P308:P309"/>
    <mergeCell ref="P310:P311"/>
    <mergeCell ref="P313:P314"/>
    <mergeCell ref="P316:P317"/>
    <mergeCell ref="P318:P319"/>
    <mergeCell ref="P320:P321"/>
    <mergeCell ref="P322:P323"/>
    <mergeCell ref="P324:P325"/>
    <mergeCell ref="P326:P327"/>
    <mergeCell ref="P328:P329"/>
    <mergeCell ref="P330:P331"/>
    <mergeCell ref="P332:P333"/>
    <mergeCell ref="P334:P335"/>
    <mergeCell ref="P336:P337"/>
    <mergeCell ref="P338:P339"/>
    <mergeCell ref="P340:P341"/>
    <mergeCell ref="P342:P343"/>
    <mergeCell ref="P344:P345"/>
    <mergeCell ref="P346:P347"/>
    <mergeCell ref="P349:P350"/>
    <mergeCell ref="P351:P352"/>
    <mergeCell ref="P353:P354"/>
    <mergeCell ref="P356:P357"/>
    <mergeCell ref="P358:P359"/>
    <mergeCell ref="P360:P361"/>
    <mergeCell ref="P363:P364"/>
    <mergeCell ref="P365:P366"/>
    <mergeCell ref="P367:P368"/>
    <mergeCell ref="P369:P370"/>
    <mergeCell ref="P371:P372"/>
    <mergeCell ref="P373:P374"/>
    <mergeCell ref="P375:P376"/>
    <mergeCell ref="P377:P378"/>
    <mergeCell ref="P379:P380"/>
    <mergeCell ref="P381:P382"/>
    <mergeCell ref="P384:P385"/>
    <mergeCell ref="P387:P388"/>
    <mergeCell ref="Q2:Q3"/>
    <mergeCell ref="Q4:Q5"/>
    <mergeCell ref="Q6:Q7"/>
    <mergeCell ref="Q8:Q9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Q62:Q63"/>
    <mergeCell ref="Q64:Q65"/>
    <mergeCell ref="Q66:Q67"/>
    <mergeCell ref="Q68:Q69"/>
    <mergeCell ref="Q70:Q71"/>
    <mergeCell ref="Q72:Q73"/>
    <mergeCell ref="Q74:Q75"/>
    <mergeCell ref="Q76:Q77"/>
    <mergeCell ref="Q78:Q79"/>
    <mergeCell ref="Q80:Q81"/>
    <mergeCell ref="Q82:Q83"/>
    <mergeCell ref="Q84:Q85"/>
    <mergeCell ref="Q86:Q87"/>
    <mergeCell ref="Q88:Q89"/>
    <mergeCell ref="Q90:Q91"/>
    <mergeCell ref="Q92:Q93"/>
    <mergeCell ref="Q94:Q95"/>
    <mergeCell ref="Q96:Q97"/>
    <mergeCell ref="Q98:Q99"/>
    <mergeCell ref="Q100:Q101"/>
    <mergeCell ref="Q102:Q103"/>
    <mergeCell ref="Q104:Q105"/>
    <mergeCell ref="Q106:Q107"/>
    <mergeCell ref="Q108:Q109"/>
    <mergeCell ref="Q110:Q111"/>
    <mergeCell ref="Q112:Q113"/>
    <mergeCell ref="Q114:Q115"/>
    <mergeCell ref="Q116:Q117"/>
    <mergeCell ref="Q118:Q119"/>
    <mergeCell ref="Q120:Q121"/>
    <mergeCell ref="Q122:Q123"/>
    <mergeCell ref="Q124:Q125"/>
    <mergeCell ref="Q126:Q127"/>
    <mergeCell ref="Q128:Q129"/>
    <mergeCell ref="Q130:Q131"/>
    <mergeCell ref="Q132:Q133"/>
    <mergeCell ref="Q134:Q135"/>
    <mergeCell ref="Q136:Q137"/>
    <mergeCell ref="Q138:Q139"/>
    <mergeCell ref="Q140:Q141"/>
    <mergeCell ref="Q142:Q143"/>
    <mergeCell ref="Q144:Q145"/>
    <mergeCell ref="Q146:Q147"/>
    <mergeCell ref="Q148:Q149"/>
    <mergeCell ref="Q150:Q151"/>
    <mergeCell ref="Q152:Q153"/>
    <mergeCell ref="Q154:Q155"/>
    <mergeCell ref="Q156:Q157"/>
    <mergeCell ref="Q158:Q159"/>
    <mergeCell ref="Q160:Q161"/>
    <mergeCell ref="Q162:Q163"/>
    <mergeCell ref="Q164:Q165"/>
    <mergeCell ref="Q166:Q167"/>
    <mergeCell ref="Q168:Q169"/>
    <mergeCell ref="Q170:Q171"/>
    <mergeCell ref="Q172:Q173"/>
    <mergeCell ref="Q174:Q175"/>
    <mergeCell ref="Q176:Q177"/>
    <mergeCell ref="Q178:Q179"/>
    <mergeCell ref="Q180:Q181"/>
    <mergeCell ref="Q182:Q183"/>
    <mergeCell ref="Q184:Q185"/>
    <mergeCell ref="Q186:Q187"/>
    <mergeCell ref="Q188:Q189"/>
    <mergeCell ref="Q190:Q191"/>
    <mergeCell ref="Q192:Q193"/>
    <mergeCell ref="Q194:Q195"/>
    <mergeCell ref="Q196:Q197"/>
    <mergeCell ref="Q198:Q199"/>
    <mergeCell ref="Q200:Q201"/>
    <mergeCell ref="Q202:Q203"/>
    <mergeCell ref="Q204:Q205"/>
    <mergeCell ref="Q206:Q207"/>
    <mergeCell ref="Q208:Q209"/>
    <mergeCell ref="Q210:Q211"/>
    <mergeCell ref="Q212:Q213"/>
    <mergeCell ref="Q214:Q215"/>
    <mergeCell ref="Q216:Q217"/>
    <mergeCell ref="Q218:Q219"/>
    <mergeCell ref="Q220:Q221"/>
    <mergeCell ref="Q222:Q223"/>
    <mergeCell ref="Q224:Q225"/>
    <mergeCell ref="Q226:Q227"/>
    <mergeCell ref="Q228:Q229"/>
    <mergeCell ref="Q230:Q231"/>
    <mergeCell ref="Q232:Q233"/>
    <mergeCell ref="Q234:Q235"/>
    <mergeCell ref="Q236:Q237"/>
    <mergeCell ref="Q238:Q239"/>
    <mergeCell ref="Q240:Q241"/>
    <mergeCell ref="Q242:Q243"/>
    <mergeCell ref="Q244:Q245"/>
    <mergeCell ref="Q246:Q247"/>
    <mergeCell ref="Q248:Q249"/>
    <mergeCell ref="Q250:Q251"/>
    <mergeCell ref="Q252:Q253"/>
    <mergeCell ref="Q254:Q255"/>
    <mergeCell ref="Q256:Q257"/>
    <mergeCell ref="Q258:Q259"/>
    <mergeCell ref="Q260:Q261"/>
    <mergeCell ref="Q262:Q263"/>
    <mergeCell ref="Q264:Q265"/>
    <mergeCell ref="Q266:Q267"/>
    <mergeCell ref="Q268:Q269"/>
    <mergeCell ref="Q270:Q271"/>
    <mergeCell ref="Q272:Q273"/>
    <mergeCell ref="Q274:Q275"/>
    <mergeCell ref="Q276:Q277"/>
    <mergeCell ref="Q296:Q297"/>
    <mergeCell ref="Q299:Q300"/>
    <mergeCell ref="Q302:Q303"/>
    <mergeCell ref="Q306:Q307"/>
    <mergeCell ref="Q308:Q309"/>
    <mergeCell ref="Q310:Q311"/>
    <mergeCell ref="Q313:Q314"/>
    <mergeCell ref="Q316:Q317"/>
    <mergeCell ref="Q318:Q319"/>
    <mergeCell ref="Q320:Q321"/>
    <mergeCell ref="Q322:Q323"/>
    <mergeCell ref="Q324:Q325"/>
    <mergeCell ref="Q326:Q327"/>
    <mergeCell ref="Q328:Q329"/>
    <mergeCell ref="Q330:Q331"/>
    <mergeCell ref="Q332:Q333"/>
    <mergeCell ref="Q334:Q335"/>
    <mergeCell ref="Q336:Q337"/>
    <mergeCell ref="Q338:Q339"/>
    <mergeCell ref="Q340:Q341"/>
    <mergeCell ref="Q342:Q343"/>
    <mergeCell ref="Q344:Q345"/>
    <mergeCell ref="Q346:Q347"/>
    <mergeCell ref="Q349:Q350"/>
    <mergeCell ref="Q351:Q352"/>
    <mergeCell ref="Q353:Q354"/>
    <mergeCell ref="Q356:Q357"/>
    <mergeCell ref="Q358:Q359"/>
    <mergeCell ref="Q360:Q361"/>
    <mergeCell ref="Q363:Q364"/>
    <mergeCell ref="Q365:Q366"/>
    <mergeCell ref="Q367:Q368"/>
    <mergeCell ref="Q369:Q370"/>
    <mergeCell ref="Q371:Q372"/>
    <mergeCell ref="Q373:Q374"/>
    <mergeCell ref="Q375:Q376"/>
    <mergeCell ref="Q377:Q378"/>
    <mergeCell ref="Q379:Q380"/>
    <mergeCell ref="Q381:Q382"/>
    <mergeCell ref="Q384:Q385"/>
    <mergeCell ref="Q387:Q388"/>
    <mergeCell ref="R2:R3"/>
    <mergeCell ref="R4:R5"/>
    <mergeCell ref="R6:R7"/>
    <mergeCell ref="R8:R9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R62:R63"/>
    <mergeCell ref="R64:R65"/>
    <mergeCell ref="R66:R67"/>
    <mergeCell ref="R68:R69"/>
    <mergeCell ref="R70:R71"/>
    <mergeCell ref="R72:R73"/>
    <mergeCell ref="R74:R75"/>
    <mergeCell ref="R76:R77"/>
    <mergeCell ref="R78:R79"/>
    <mergeCell ref="R80:R81"/>
    <mergeCell ref="R82:R83"/>
    <mergeCell ref="R84:R85"/>
    <mergeCell ref="R86:R87"/>
    <mergeCell ref="R88:R89"/>
    <mergeCell ref="R90:R91"/>
    <mergeCell ref="R92:R93"/>
    <mergeCell ref="R94:R95"/>
    <mergeCell ref="R96:R97"/>
    <mergeCell ref="R98:R99"/>
    <mergeCell ref="R100:R101"/>
    <mergeCell ref="R102:R103"/>
    <mergeCell ref="R104:R105"/>
    <mergeCell ref="R106:R107"/>
    <mergeCell ref="R108:R109"/>
    <mergeCell ref="R110:R111"/>
    <mergeCell ref="R112:R113"/>
    <mergeCell ref="R114:R115"/>
    <mergeCell ref="R116:R117"/>
    <mergeCell ref="R118:R119"/>
    <mergeCell ref="R120:R121"/>
    <mergeCell ref="R122:R123"/>
    <mergeCell ref="R124:R125"/>
    <mergeCell ref="R126:R127"/>
    <mergeCell ref="R128:R129"/>
    <mergeCell ref="R130:R131"/>
    <mergeCell ref="R132:R133"/>
    <mergeCell ref="R134:R135"/>
    <mergeCell ref="R136:R137"/>
    <mergeCell ref="R138:R139"/>
    <mergeCell ref="R140:R141"/>
    <mergeCell ref="R142:R143"/>
    <mergeCell ref="R144:R145"/>
    <mergeCell ref="R146:R147"/>
    <mergeCell ref="R148:R149"/>
    <mergeCell ref="R150:R151"/>
    <mergeCell ref="R152:R153"/>
    <mergeCell ref="R154:R155"/>
    <mergeCell ref="R156:R157"/>
    <mergeCell ref="R158:R159"/>
    <mergeCell ref="R160:R161"/>
    <mergeCell ref="R162:R163"/>
    <mergeCell ref="R164:R165"/>
    <mergeCell ref="R166:R167"/>
    <mergeCell ref="R168:R169"/>
    <mergeCell ref="R170:R171"/>
    <mergeCell ref="R172:R173"/>
    <mergeCell ref="R174:R175"/>
    <mergeCell ref="R176:R177"/>
    <mergeCell ref="R178:R179"/>
    <mergeCell ref="R180:R181"/>
    <mergeCell ref="R182:R183"/>
    <mergeCell ref="R184:R185"/>
    <mergeCell ref="R186:R187"/>
    <mergeCell ref="R188:R189"/>
    <mergeCell ref="R190:R191"/>
    <mergeCell ref="R192:R193"/>
    <mergeCell ref="R194:R195"/>
    <mergeCell ref="R196:R197"/>
    <mergeCell ref="R198:R199"/>
    <mergeCell ref="R200:R201"/>
    <mergeCell ref="R202:R203"/>
    <mergeCell ref="R204:R205"/>
    <mergeCell ref="R206:R207"/>
    <mergeCell ref="R208:R209"/>
    <mergeCell ref="R210:R211"/>
    <mergeCell ref="R212:R213"/>
    <mergeCell ref="R214:R215"/>
    <mergeCell ref="R216:R217"/>
    <mergeCell ref="R218:R219"/>
    <mergeCell ref="R220:R221"/>
    <mergeCell ref="R222:R223"/>
    <mergeCell ref="R224:R225"/>
    <mergeCell ref="R226:R227"/>
    <mergeCell ref="R228:R229"/>
    <mergeCell ref="R230:R231"/>
    <mergeCell ref="R232:R233"/>
    <mergeCell ref="R234:R235"/>
    <mergeCell ref="R236:R237"/>
    <mergeCell ref="R238:R239"/>
    <mergeCell ref="R240:R241"/>
    <mergeCell ref="R242:R243"/>
    <mergeCell ref="R244:R245"/>
    <mergeCell ref="R246:R247"/>
    <mergeCell ref="R248:R249"/>
    <mergeCell ref="R250:R251"/>
    <mergeCell ref="R252:R253"/>
    <mergeCell ref="R254:R255"/>
    <mergeCell ref="R256:R257"/>
    <mergeCell ref="R258:R259"/>
    <mergeCell ref="R260:R261"/>
    <mergeCell ref="R262:R263"/>
    <mergeCell ref="R264:R265"/>
    <mergeCell ref="R266:R267"/>
    <mergeCell ref="R268:R269"/>
    <mergeCell ref="R270:R271"/>
    <mergeCell ref="R272:R273"/>
    <mergeCell ref="R274:R275"/>
    <mergeCell ref="R276:R277"/>
    <mergeCell ref="R296:R297"/>
    <mergeCell ref="R299:R300"/>
    <mergeCell ref="R302:R303"/>
    <mergeCell ref="R306:R307"/>
    <mergeCell ref="R308:R309"/>
    <mergeCell ref="R310:R311"/>
    <mergeCell ref="R313:R314"/>
    <mergeCell ref="R316:R317"/>
    <mergeCell ref="R318:R319"/>
    <mergeCell ref="R320:R321"/>
    <mergeCell ref="R322:R323"/>
    <mergeCell ref="R324:R325"/>
    <mergeCell ref="R326:R327"/>
    <mergeCell ref="R328:R329"/>
    <mergeCell ref="R330:R331"/>
    <mergeCell ref="R332:R333"/>
    <mergeCell ref="R334:R335"/>
    <mergeCell ref="R336:R337"/>
    <mergeCell ref="R338:R339"/>
    <mergeCell ref="R340:R341"/>
    <mergeCell ref="R342:R343"/>
    <mergeCell ref="R344:R345"/>
    <mergeCell ref="R346:R347"/>
    <mergeCell ref="R349:R350"/>
    <mergeCell ref="R351:R352"/>
    <mergeCell ref="R353:R354"/>
    <mergeCell ref="R356:R357"/>
    <mergeCell ref="R358:R359"/>
    <mergeCell ref="R360:R361"/>
    <mergeCell ref="R363:R364"/>
    <mergeCell ref="R365:R366"/>
    <mergeCell ref="R367:R368"/>
    <mergeCell ref="R369:R370"/>
    <mergeCell ref="R371:R372"/>
    <mergeCell ref="R373:R374"/>
    <mergeCell ref="R375:R376"/>
    <mergeCell ref="R377:R378"/>
    <mergeCell ref="R379:R380"/>
    <mergeCell ref="R381:R382"/>
    <mergeCell ref="R384:R385"/>
    <mergeCell ref="R387:R388"/>
    <mergeCell ref="S2:S3"/>
    <mergeCell ref="S4:S5"/>
    <mergeCell ref="S6:S7"/>
    <mergeCell ref="S8:S9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S62:S63"/>
    <mergeCell ref="S64:S65"/>
    <mergeCell ref="S66:S67"/>
    <mergeCell ref="S68:S69"/>
    <mergeCell ref="S70:S71"/>
    <mergeCell ref="S72:S73"/>
    <mergeCell ref="S74:S75"/>
    <mergeCell ref="S76:S77"/>
    <mergeCell ref="S78:S79"/>
    <mergeCell ref="S80:S81"/>
    <mergeCell ref="S82:S83"/>
    <mergeCell ref="S84:S85"/>
    <mergeCell ref="S86:S87"/>
    <mergeCell ref="S88:S89"/>
    <mergeCell ref="S90:S91"/>
    <mergeCell ref="S92:S93"/>
    <mergeCell ref="S94:S95"/>
    <mergeCell ref="S96:S97"/>
    <mergeCell ref="S98:S99"/>
    <mergeCell ref="S100:S101"/>
    <mergeCell ref="S102:S103"/>
    <mergeCell ref="S104:S105"/>
    <mergeCell ref="S106:S107"/>
    <mergeCell ref="S108:S109"/>
    <mergeCell ref="S110:S111"/>
    <mergeCell ref="S112:S113"/>
    <mergeCell ref="S114:S115"/>
    <mergeCell ref="S116:S117"/>
    <mergeCell ref="S118:S119"/>
    <mergeCell ref="S120:S121"/>
    <mergeCell ref="S122:S123"/>
    <mergeCell ref="S124:S125"/>
    <mergeCell ref="S126:S127"/>
    <mergeCell ref="S128:S129"/>
    <mergeCell ref="S130:S131"/>
    <mergeCell ref="S132:S133"/>
    <mergeCell ref="S134:S135"/>
    <mergeCell ref="S136:S137"/>
    <mergeCell ref="S138:S139"/>
    <mergeCell ref="S140:S141"/>
    <mergeCell ref="S142:S143"/>
    <mergeCell ref="S144:S145"/>
    <mergeCell ref="S146:S147"/>
    <mergeCell ref="S148:S149"/>
    <mergeCell ref="S150:S151"/>
    <mergeCell ref="S152:S153"/>
    <mergeCell ref="S154:S155"/>
    <mergeCell ref="S156:S157"/>
    <mergeCell ref="S158:S159"/>
    <mergeCell ref="S160:S161"/>
    <mergeCell ref="S162:S163"/>
    <mergeCell ref="S164:S165"/>
    <mergeCell ref="S166:S167"/>
    <mergeCell ref="S168:S169"/>
    <mergeCell ref="S170:S171"/>
    <mergeCell ref="S172:S173"/>
    <mergeCell ref="S174:S175"/>
    <mergeCell ref="S176:S177"/>
    <mergeCell ref="S178:S179"/>
    <mergeCell ref="S180:S181"/>
    <mergeCell ref="S182:S183"/>
    <mergeCell ref="S184:S185"/>
    <mergeCell ref="S186:S187"/>
    <mergeCell ref="S188:S189"/>
    <mergeCell ref="S190:S191"/>
    <mergeCell ref="S192:S193"/>
    <mergeCell ref="S194:S195"/>
    <mergeCell ref="S196:S197"/>
    <mergeCell ref="S198:S199"/>
    <mergeCell ref="S200:S201"/>
    <mergeCell ref="S202:S203"/>
    <mergeCell ref="S204:S205"/>
    <mergeCell ref="S206:S207"/>
    <mergeCell ref="S208:S209"/>
    <mergeCell ref="S210:S211"/>
    <mergeCell ref="S212:S213"/>
    <mergeCell ref="S214:S215"/>
    <mergeCell ref="S216:S217"/>
    <mergeCell ref="S218:S219"/>
    <mergeCell ref="S220:S221"/>
    <mergeCell ref="S222:S223"/>
    <mergeCell ref="S224:S225"/>
    <mergeCell ref="S226:S227"/>
    <mergeCell ref="S228:S229"/>
    <mergeCell ref="S230:S231"/>
    <mergeCell ref="S232:S233"/>
    <mergeCell ref="S234:S235"/>
    <mergeCell ref="S236:S237"/>
    <mergeCell ref="S238:S239"/>
    <mergeCell ref="S240:S241"/>
    <mergeCell ref="S242:S243"/>
    <mergeCell ref="S244:S245"/>
    <mergeCell ref="S246:S247"/>
    <mergeCell ref="S248:S249"/>
    <mergeCell ref="S250:S251"/>
    <mergeCell ref="S252:S253"/>
    <mergeCell ref="S254:S255"/>
    <mergeCell ref="S256:S257"/>
    <mergeCell ref="S258:S259"/>
    <mergeCell ref="S260:S261"/>
    <mergeCell ref="S262:S263"/>
    <mergeCell ref="S264:S265"/>
    <mergeCell ref="S266:S267"/>
    <mergeCell ref="S268:S269"/>
    <mergeCell ref="S270:S271"/>
    <mergeCell ref="S272:S273"/>
    <mergeCell ref="S274:S275"/>
    <mergeCell ref="S276:S277"/>
    <mergeCell ref="S296:S297"/>
    <mergeCell ref="S299:S300"/>
    <mergeCell ref="S302:S303"/>
    <mergeCell ref="S306:S307"/>
    <mergeCell ref="S308:S309"/>
    <mergeCell ref="S310:S311"/>
    <mergeCell ref="S313:S314"/>
    <mergeCell ref="S316:S317"/>
    <mergeCell ref="S318:S319"/>
    <mergeCell ref="S320:S321"/>
    <mergeCell ref="S322:S323"/>
    <mergeCell ref="S324:S325"/>
    <mergeCell ref="S326:S327"/>
    <mergeCell ref="S328:S329"/>
    <mergeCell ref="S330:S331"/>
    <mergeCell ref="S332:S333"/>
    <mergeCell ref="S334:S335"/>
    <mergeCell ref="S336:S337"/>
    <mergeCell ref="S338:S339"/>
    <mergeCell ref="S340:S341"/>
    <mergeCell ref="S342:S343"/>
    <mergeCell ref="S344:S345"/>
    <mergeCell ref="S346:S347"/>
    <mergeCell ref="S349:S350"/>
    <mergeCell ref="S351:S352"/>
    <mergeCell ref="S353:S354"/>
    <mergeCell ref="S356:S357"/>
    <mergeCell ref="S358:S359"/>
    <mergeCell ref="S360:S361"/>
    <mergeCell ref="S363:S364"/>
    <mergeCell ref="S365:S366"/>
    <mergeCell ref="S367:S368"/>
    <mergeCell ref="S369:S370"/>
    <mergeCell ref="S371:S372"/>
    <mergeCell ref="S373:S374"/>
    <mergeCell ref="S375:S376"/>
    <mergeCell ref="S377:S378"/>
    <mergeCell ref="S379:S380"/>
    <mergeCell ref="S381:S382"/>
    <mergeCell ref="S384:S385"/>
    <mergeCell ref="S387:S388"/>
    <mergeCell ref="T2:T3"/>
    <mergeCell ref="T4:T5"/>
    <mergeCell ref="T6:T7"/>
    <mergeCell ref="T8:T9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T62:T63"/>
    <mergeCell ref="T64:T65"/>
    <mergeCell ref="T66:T67"/>
    <mergeCell ref="T68:T69"/>
    <mergeCell ref="T70:T71"/>
    <mergeCell ref="T72:T73"/>
    <mergeCell ref="T74:T75"/>
    <mergeCell ref="T76:T77"/>
    <mergeCell ref="T78:T79"/>
    <mergeCell ref="T80:T81"/>
    <mergeCell ref="T82:T83"/>
    <mergeCell ref="T84:T85"/>
    <mergeCell ref="T86:T87"/>
    <mergeCell ref="T88:T89"/>
    <mergeCell ref="T90:T91"/>
    <mergeCell ref="T92:T93"/>
    <mergeCell ref="T94:T95"/>
    <mergeCell ref="T96:T97"/>
    <mergeCell ref="T98:T99"/>
    <mergeCell ref="T100:T101"/>
    <mergeCell ref="T102:T103"/>
    <mergeCell ref="T104:T105"/>
    <mergeCell ref="T106:T107"/>
    <mergeCell ref="T108:T109"/>
    <mergeCell ref="T110:T111"/>
    <mergeCell ref="T112:T113"/>
    <mergeCell ref="T114:T115"/>
    <mergeCell ref="T116:T117"/>
    <mergeCell ref="T118:T119"/>
    <mergeCell ref="T120:T121"/>
    <mergeCell ref="T122:T123"/>
    <mergeCell ref="T124:T125"/>
    <mergeCell ref="T126:T127"/>
    <mergeCell ref="T128:T129"/>
    <mergeCell ref="T130:T131"/>
    <mergeCell ref="T132:T133"/>
    <mergeCell ref="T134:T135"/>
    <mergeCell ref="T136:T137"/>
    <mergeCell ref="T138:T139"/>
    <mergeCell ref="T140:T141"/>
    <mergeCell ref="T142:T143"/>
    <mergeCell ref="T144:T145"/>
    <mergeCell ref="T146:T147"/>
    <mergeCell ref="T148:T149"/>
    <mergeCell ref="T150:T151"/>
    <mergeCell ref="T152:T153"/>
    <mergeCell ref="T154:T155"/>
    <mergeCell ref="T156:T157"/>
    <mergeCell ref="T158:T159"/>
    <mergeCell ref="T160:T161"/>
    <mergeCell ref="T162:T163"/>
    <mergeCell ref="T164:T165"/>
    <mergeCell ref="T166:T167"/>
    <mergeCell ref="T168:T169"/>
    <mergeCell ref="T170:T171"/>
    <mergeCell ref="T172:T173"/>
    <mergeCell ref="T174:T175"/>
    <mergeCell ref="T176:T177"/>
    <mergeCell ref="T178:T179"/>
    <mergeCell ref="T180:T181"/>
    <mergeCell ref="T182:T183"/>
    <mergeCell ref="T184:T185"/>
    <mergeCell ref="T186:T187"/>
    <mergeCell ref="T188:T189"/>
    <mergeCell ref="T190:T191"/>
    <mergeCell ref="T192:T193"/>
    <mergeCell ref="T194:T195"/>
    <mergeCell ref="T196:T197"/>
    <mergeCell ref="T198:T199"/>
    <mergeCell ref="T200:T201"/>
    <mergeCell ref="T202:T203"/>
    <mergeCell ref="T204:T205"/>
    <mergeCell ref="T206:T207"/>
    <mergeCell ref="T208:T209"/>
    <mergeCell ref="T210:T211"/>
    <mergeCell ref="T212:T213"/>
    <mergeCell ref="T214:T215"/>
    <mergeCell ref="T216:T217"/>
    <mergeCell ref="T218:T219"/>
    <mergeCell ref="T220:T221"/>
    <mergeCell ref="T222:T223"/>
    <mergeCell ref="T224:T225"/>
    <mergeCell ref="T226:T227"/>
    <mergeCell ref="T228:T229"/>
    <mergeCell ref="T230:T231"/>
    <mergeCell ref="T232:T233"/>
    <mergeCell ref="T234:T235"/>
    <mergeCell ref="T236:T237"/>
    <mergeCell ref="T238:T239"/>
    <mergeCell ref="T240:T241"/>
    <mergeCell ref="T242:T243"/>
    <mergeCell ref="T244:T245"/>
    <mergeCell ref="T246:T247"/>
    <mergeCell ref="T248:T249"/>
    <mergeCell ref="T250:T251"/>
    <mergeCell ref="T252:T253"/>
    <mergeCell ref="T254:T255"/>
    <mergeCell ref="T256:T257"/>
    <mergeCell ref="T258:T259"/>
    <mergeCell ref="T260:T261"/>
    <mergeCell ref="T262:T263"/>
    <mergeCell ref="T264:T265"/>
    <mergeCell ref="T266:T267"/>
    <mergeCell ref="T268:T269"/>
    <mergeCell ref="T270:T271"/>
    <mergeCell ref="T272:T273"/>
    <mergeCell ref="T274:T275"/>
    <mergeCell ref="T276:T277"/>
    <mergeCell ref="T296:T297"/>
    <mergeCell ref="T299:T300"/>
    <mergeCell ref="T302:T303"/>
    <mergeCell ref="T306:T307"/>
    <mergeCell ref="T308:T309"/>
    <mergeCell ref="T310:T311"/>
    <mergeCell ref="T313:T314"/>
    <mergeCell ref="T316:T317"/>
    <mergeCell ref="T318:T319"/>
    <mergeCell ref="T320:T321"/>
    <mergeCell ref="T322:T323"/>
    <mergeCell ref="T324:T325"/>
    <mergeCell ref="T326:T327"/>
    <mergeCell ref="T328:T329"/>
    <mergeCell ref="T330:T331"/>
    <mergeCell ref="T332:T333"/>
    <mergeCell ref="T334:T335"/>
    <mergeCell ref="T336:T337"/>
    <mergeCell ref="T338:T339"/>
    <mergeCell ref="T340:T341"/>
    <mergeCell ref="T342:T343"/>
    <mergeCell ref="T344:T345"/>
    <mergeCell ref="T346:T347"/>
    <mergeCell ref="T349:T350"/>
    <mergeCell ref="T351:T352"/>
    <mergeCell ref="T353:T354"/>
    <mergeCell ref="T356:T357"/>
    <mergeCell ref="T358:T359"/>
    <mergeCell ref="T360:T361"/>
    <mergeCell ref="T363:T364"/>
    <mergeCell ref="T365:T366"/>
    <mergeCell ref="T367:T368"/>
    <mergeCell ref="T369:T370"/>
    <mergeCell ref="T371:T372"/>
    <mergeCell ref="T373:T374"/>
    <mergeCell ref="T375:T376"/>
    <mergeCell ref="T377:T378"/>
    <mergeCell ref="T379:T380"/>
    <mergeCell ref="T381:T382"/>
    <mergeCell ref="T384:T385"/>
    <mergeCell ref="T387:T388"/>
    <mergeCell ref="U2:U3"/>
    <mergeCell ref="U4:U5"/>
    <mergeCell ref="U6:U7"/>
    <mergeCell ref="U8:U9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U62:U63"/>
    <mergeCell ref="U64:U65"/>
    <mergeCell ref="U66:U67"/>
    <mergeCell ref="U68:U69"/>
    <mergeCell ref="U70:U71"/>
    <mergeCell ref="U72:U73"/>
    <mergeCell ref="U74:U75"/>
    <mergeCell ref="U76:U77"/>
    <mergeCell ref="U78:U79"/>
    <mergeCell ref="U80:U81"/>
    <mergeCell ref="U82:U83"/>
    <mergeCell ref="U84:U85"/>
    <mergeCell ref="U86:U87"/>
    <mergeCell ref="U88:U89"/>
    <mergeCell ref="U90:U91"/>
    <mergeCell ref="U92:U93"/>
    <mergeCell ref="U94:U95"/>
    <mergeCell ref="U96:U97"/>
    <mergeCell ref="U98:U99"/>
    <mergeCell ref="U100:U101"/>
    <mergeCell ref="U102:U103"/>
    <mergeCell ref="U104:U105"/>
    <mergeCell ref="U106:U107"/>
    <mergeCell ref="U108:U109"/>
    <mergeCell ref="U110:U111"/>
    <mergeCell ref="U112:U113"/>
    <mergeCell ref="U114:U115"/>
    <mergeCell ref="U116:U117"/>
    <mergeCell ref="U118:U119"/>
    <mergeCell ref="U120:U121"/>
    <mergeCell ref="U122:U123"/>
    <mergeCell ref="U124:U125"/>
    <mergeCell ref="U126:U127"/>
    <mergeCell ref="U128:U129"/>
    <mergeCell ref="U130:U131"/>
    <mergeCell ref="U132:U133"/>
    <mergeCell ref="U134:U135"/>
    <mergeCell ref="U136:U137"/>
    <mergeCell ref="U138:U139"/>
    <mergeCell ref="U140:U141"/>
    <mergeCell ref="U142:U143"/>
    <mergeCell ref="U144:U145"/>
    <mergeCell ref="U146:U147"/>
    <mergeCell ref="U148:U149"/>
    <mergeCell ref="U150:U151"/>
    <mergeCell ref="U152:U153"/>
    <mergeCell ref="U154:U155"/>
    <mergeCell ref="U156:U157"/>
    <mergeCell ref="U158:U159"/>
    <mergeCell ref="U160:U161"/>
    <mergeCell ref="U162:U163"/>
    <mergeCell ref="U164:U165"/>
    <mergeCell ref="U166:U167"/>
    <mergeCell ref="U168:U169"/>
    <mergeCell ref="U170:U171"/>
    <mergeCell ref="U172:U173"/>
    <mergeCell ref="U174:U175"/>
    <mergeCell ref="U176:U177"/>
    <mergeCell ref="U178:U179"/>
    <mergeCell ref="U180:U181"/>
    <mergeCell ref="U182:U183"/>
    <mergeCell ref="U184:U185"/>
    <mergeCell ref="U186:U187"/>
    <mergeCell ref="U188:U189"/>
    <mergeCell ref="U190:U191"/>
    <mergeCell ref="U192:U193"/>
    <mergeCell ref="U194:U195"/>
    <mergeCell ref="U196:U197"/>
    <mergeCell ref="U198:U199"/>
    <mergeCell ref="U200:U201"/>
    <mergeCell ref="U202:U203"/>
    <mergeCell ref="U204:U205"/>
    <mergeCell ref="U206:U207"/>
    <mergeCell ref="U208:U209"/>
    <mergeCell ref="U210:U211"/>
    <mergeCell ref="U212:U213"/>
    <mergeCell ref="U214:U215"/>
    <mergeCell ref="U216:U217"/>
    <mergeCell ref="U218:U219"/>
    <mergeCell ref="U220:U221"/>
    <mergeCell ref="U222:U223"/>
    <mergeCell ref="U224:U225"/>
    <mergeCell ref="U226:U227"/>
    <mergeCell ref="U228:U229"/>
    <mergeCell ref="U230:U231"/>
    <mergeCell ref="U232:U233"/>
    <mergeCell ref="U234:U235"/>
    <mergeCell ref="U236:U237"/>
    <mergeCell ref="U238:U239"/>
    <mergeCell ref="U240:U241"/>
    <mergeCell ref="U242:U243"/>
    <mergeCell ref="U244:U245"/>
    <mergeCell ref="U246:U247"/>
    <mergeCell ref="U248:U249"/>
    <mergeCell ref="U250:U251"/>
    <mergeCell ref="U252:U253"/>
    <mergeCell ref="U254:U255"/>
    <mergeCell ref="U256:U257"/>
    <mergeCell ref="U258:U259"/>
    <mergeCell ref="U260:U261"/>
    <mergeCell ref="U262:U263"/>
    <mergeCell ref="U264:U265"/>
    <mergeCell ref="U266:U267"/>
    <mergeCell ref="U268:U269"/>
    <mergeCell ref="U270:U271"/>
    <mergeCell ref="U272:U273"/>
    <mergeCell ref="U274:U275"/>
    <mergeCell ref="U276:U277"/>
    <mergeCell ref="U296:U297"/>
    <mergeCell ref="U299:U300"/>
    <mergeCell ref="U302:U303"/>
    <mergeCell ref="U306:U307"/>
    <mergeCell ref="U308:U309"/>
    <mergeCell ref="U310:U311"/>
    <mergeCell ref="U313:U314"/>
    <mergeCell ref="U316:U317"/>
    <mergeCell ref="U318:U319"/>
    <mergeCell ref="U320:U321"/>
    <mergeCell ref="U322:U323"/>
    <mergeCell ref="U324:U325"/>
    <mergeCell ref="U326:U327"/>
    <mergeCell ref="U328:U329"/>
    <mergeCell ref="U330:U331"/>
    <mergeCell ref="U332:U333"/>
    <mergeCell ref="U334:U335"/>
    <mergeCell ref="U336:U337"/>
    <mergeCell ref="U338:U339"/>
    <mergeCell ref="U340:U341"/>
    <mergeCell ref="U342:U343"/>
    <mergeCell ref="U344:U345"/>
    <mergeCell ref="U346:U347"/>
    <mergeCell ref="U349:U350"/>
    <mergeCell ref="U351:U352"/>
    <mergeCell ref="U353:U354"/>
    <mergeCell ref="U356:U357"/>
    <mergeCell ref="U358:U359"/>
    <mergeCell ref="U360:U361"/>
    <mergeCell ref="U363:U364"/>
    <mergeCell ref="U365:U366"/>
    <mergeCell ref="U367:U368"/>
    <mergeCell ref="U369:U370"/>
    <mergeCell ref="U371:U372"/>
    <mergeCell ref="U373:U374"/>
    <mergeCell ref="U375:U376"/>
    <mergeCell ref="U377:U378"/>
    <mergeCell ref="U379:U380"/>
    <mergeCell ref="U381:U382"/>
    <mergeCell ref="U384:U385"/>
    <mergeCell ref="U387:U388"/>
    <mergeCell ref="V2:V3"/>
    <mergeCell ref="V4:V5"/>
    <mergeCell ref="V6:V7"/>
    <mergeCell ref="V8:V9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V62:V63"/>
    <mergeCell ref="V64:V65"/>
    <mergeCell ref="V66:V67"/>
    <mergeCell ref="V68:V69"/>
    <mergeCell ref="V70:V71"/>
    <mergeCell ref="V72:V73"/>
    <mergeCell ref="V74:V75"/>
    <mergeCell ref="V76:V77"/>
    <mergeCell ref="V78:V79"/>
    <mergeCell ref="V80:V81"/>
    <mergeCell ref="V82:V83"/>
    <mergeCell ref="V84:V85"/>
    <mergeCell ref="V86:V87"/>
    <mergeCell ref="V88:V89"/>
    <mergeCell ref="V90:V91"/>
    <mergeCell ref="V92:V93"/>
    <mergeCell ref="V94:V95"/>
    <mergeCell ref="V96:V97"/>
    <mergeCell ref="V98:V99"/>
    <mergeCell ref="V100:V101"/>
    <mergeCell ref="V102:V103"/>
    <mergeCell ref="V104:V105"/>
    <mergeCell ref="V106:V107"/>
    <mergeCell ref="V108:V109"/>
    <mergeCell ref="V110:V111"/>
    <mergeCell ref="V112:V113"/>
    <mergeCell ref="V114:V115"/>
    <mergeCell ref="V116:V117"/>
    <mergeCell ref="V118:V119"/>
    <mergeCell ref="V120:V121"/>
    <mergeCell ref="V122:V123"/>
    <mergeCell ref="V124:V125"/>
    <mergeCell ref="V126:V127"/>
    <mergeCell ref="V128:V129"/>
    <mergeCell ref="V130:V131"/>
    <mergeCell ref="V132:V133"/>
    <mergeCell ref="V134:V135"/>
    <mergeCell ref="V136:V137"/>
    <mergeCell ref="V138:V139"/>
    <mergeCell ref="V140:V141"/>
    <mergeCell ref="V142:V143"/>
    <mergeCell ref="V144:V145"/>
    <mergeCell ref="V146:V147"/>
    <mergeCell ref="V148:V149"/>
    <mergeCell ref="V150:V151"/>
    <mergeCell ref="V152:V153"/>
    <mergeCell ref="V154:V155"/>
    <mergeCell ref="V156:V157"/>
    <mergeCell ref="V158:V159"/>
    <mergeCell ref="V160:V161"/>
    <mergeCell ref="V162:V163"/>
    <mergeCell ref="V164:V165"/>
    <mergeCell ref="V166:V167"/>
    <mergeCell ref="V168:V169"/>
    <mergeCell ref="V170:V171"/>
    <mergeCell ref="V172:V173"/>
    <mergeCell ref="V174:V175"/>
    <mergeCell ref="V176:V177"/>
    <mergeCell ref="V178:V179"/>
    <mergeCell ref="V180:V181"/>
    <mergeCell ref="V182:V183"/>
    <mergeCell ref="V184:V185"/>
    <mergeCell ref="V186:V187"/>
    <mergeCell ref="V188:V189"/>
    <mergeCell ref="V190:V191"/>
    <mergeCell ref="V192:V193"/>
    <mergeCell ref="V194:V195"/>
    <mergeCell ref="V196:V197"/>
    <mergeCell ref="V198:V199"/>
    <mergeCell ref="V200:V201"/>
    <mergeCell ref="V202:V203"/>
    <mergeCell ref="V204:V205"/>
    <mergeCell ref="V206:V207"/>
    <mergeCell ref="V208:V209"/>
    <mergeCell ref="V210:V211"/>
    <mergeCell ref="V212:V213"/>
    <mergeCell ref="V214:V215"/>
    <mergeCell ref="V216:V217"/>
    <mergeCell ref="V218:V219"/>
    <mergeCell ref="V220:V221"/>
    <mergeCell ref="V222:V223"/>
    <mergeCell ref="V224:V225"/>
    <mergeCell ref="V226:V227"/>
    <mergeCell ref="V228:V229"/>
    <mergeCell ref="V230:V231"/>
    <mergeCell ref="V232:V233"/>
    <mergeCell ref="V234:V235"/>
    <mergeCell ref="V236:V237"/>
    <mergeCell ref="V238:V239"/>
    <mergeCell ref="V240:V241"/>
    <mergeCell ref="V242:V243"/>
    <mergeCell ref="V244:V245"/>
    <mergeCell ref="V246:V247"/>
    <mergeCell ref="V248:V249"/>
    <mergeCell ref="V250:V251"/>
    <mergeCell ref="V252:V253"/>
    <mergeCell ref="V254:V255"/>
    <mergeCell ref="V256:V257"/>
    <mergeCell ref="V258:V259"/>
    <mergeCell ref="V260:V261"/>
    <mergeCell ref="V262:V263"/>
    <mergeCell ref="V264:V265"/>
    <mergeCell ref="V266:V267"/>
    <mergeCell ref="V268:V269"/>
    <mergeCell ref="V270:V271"/>
    <mergeCell ref="V272:V273"/>
    <mergeCell ref="V274:V275"/>
    <mergeCell ref="V276:V277"/>
    <mergeCell ref="V296:V297"/>
    <mergeCell ref="V299:V300"/>
    <mergeCell ref="V302:V303"/>
    <mergeCell ref="V306:V307"/>
    <mergeCell ref="V308:V309"/>
    <mergeCell ref="V310:V311"/>
    <mergeCell ref="V313:V314"/>
    <mergeCell ref="V316:V317"/>
    <mergeCell ref="V318:V319"/>
    <mergeCell ref="V320:V321"/>
    <mergeCell ref="V322:V323"/>
    <mergeCell ref="V324:V325"/>
    <mergeCell ref="V326:V327"/>
    <mergeCell ref="V328:V329"/>
    <mergeCell ref="V330:V331"/>
    <mergeCell ref="V332:V333"/>
    <mergeCell ref="V334:V335"/>
    <mergeCell ref="V336:V337"/>
    <mergeCell ref="V338:V339"/>
    <mergeCell ref="V340:V341"/>
    <mergeCell ref="V342:V343"/>
    <mergeCell ref="V344:V345"/>
    <mergeCell ref="V346:V347"/>
    <mergeCell ref="V349:V350"/>
    <mergeCell ref="V351:V352"/>
    <mergeCell ref="V353:V354"/>
    <mergeCell ref="V356:V357"/>
    <mergeCell ref="V358:V359"/>
    <mergeCell ref="V360:V361"/>
    <mergeCell ref="V363:V364"/>
    <mergeCell ref="V365:V366"/>
    <mergeCell ref="V367:V368"/>
    <mergeCell ref="V369:V370"/>
    <mergeCell ref="V371:V372"/>
    <mergeCell ref="V373:V374"/>
    <mergeCell ref="V375:V376"/>
    <mergeCell ref="V377:V378"/>
    <mergeCell ref="V379:V380"/>
    <mergeCell ref="V381:V382"/>
    <mergeCell ref="V384:V385"/>
    <mergeCell ref="V387:V388"/>
    <mergeCell ref="W2:W3"/>
    <mergeCell ref="W4:W5"/>
    <mergeCell ref="W6:W7"/>
    <mergeCell ref="W8:W9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W62:W63"/>
    <mergeCell ref="W64:W65"/>
    <mergeCell ref="W66:W67"/>
    <mergeCell ref="W68:W69"/>
    <mergeCell ref="W70:W71"/>
    <mergeCell ref="W72:W73"/>
    <mergeCell ref="W74:W75"/>
    <mergeCell ref="W76:W77"/>
    <mergeCell ref="W78:W79"/>
    <mergeCell ref="W80:W81"/>
    <mergeCell ref="W82:W83"/>
    <mergeCell ref="W84:W85"/>
    <mergeCell ref="W86:W87"/>
    <mergeCell ref="W88:W89"/>
    <mergeCell ref="W90:W91"/>
    <mergeCell ref="W92:W93"/>
    <mergeCell ref="W94:W95"/>
    <mergeCell ref="W96:W97"/>
    <mergeCell ref="W98:W99"/>
    <mergeCell ref="W100:W101"/>
    <mergeCell ref="W102:W103"/>
    <mergeCell ref="W104:W105"/>
    <mergeCell ref="W106:W107"/>
    <mergeCell ref="W108:W109"/>
    <mergeCell ref="W110:W111"/>
    <mergeCell ref="W112:W113"/>
    <mergeCell ref="W114:W115"/>
    <mergeCell ref="W116:W117"/>
    <mergeCell ref="W118:W119"/>
    <mergeCell ref="W120:W121"/>
    <mergeCell ref="W122:W123"/>
    <mergeCell ref="W124:W125"/>
    <mergeCell ref="W126:W127"/>
    <mergeCell ref="W128:W129"/>
    <mergeCell ref="W130:W131"/>
    <mergeCell ref="W132:W133"/>
    <mergeCell ref="W134:W135"/>
    <mergeCell ref="W136:W137"/>
    <mergeCell ref="W138:W139"/>
    <mergeCell ref="W140:W141"/>
    <mergeCell ref="W142:W143"/>
    <mergeCell ref="W144:W145"/>
    <mergeCell ref="W146:W147"/>
    <mergeCell ref="W148:W149"/>
    <mergeCell ref="W150:W151"/>
    <mergeCell ref="W152:W153"/>
    <mergeCell ref="W154:W155"/>
    <mergeCell ref="W156:W157"/>
    <mergeCell ref="W158:W159"/>
    <mergeCell ref="W160:W161"/>
    <mergeCell ref="W162:W163"/>
    <mergeCell ref="W164:W165"/>
    <mergeCell ref="W166:W167"/>
    <mergeCell ref="W168:W169"/>
    <mergeCell ref="W170:W171"/>
    <mergeCell ref="W172:W173"/>
    <mergeCell ref="W174:W175"/>
    <mergeCell ref="W176:W177"/>
    <mergeCell ref="W178:W179"/>
    <mergeCell ref="W180:W181"/>
    <mergeCell ref="W182:W183"/>
    <mergeCell ref="W184:W185"/>
    <mergeCell ref="W186:W187"/>
    <mergeCell ref="W188:W189"/>
    <mergeCell ref="W190:W191"/>
    <mergeCell ref="W192:W193"/>
    <mergeCell ref="W194:W195"/>
    <mergeCell ref="W196:W197"/>
    <mergeCell ref="W198:W199"/>
    <mergeCell ref="W200:W201"/>
    <mergeCell ref="W202:W203"/>
    <mergeCell ref="W204:W205"/>
    <mergeCell ref="W206:W207"/>
    <mergeCell ref="W208:W209"/>
    <mergeCell ref="W210:W211"/>
    <mergeCell ref="W212:W213"/>
    <mergeCell ref="W214:W215"/>
    <mergeCell ref="W216:W217"/>
    <mergeCell ref="W218:W219"/>
    <mergeCell ref="W220:W221"/>
    <mergeCell ref="W222:W223"/>
    <mergeCell ref="W224:W225"/>
    <mergeCell ref="W226:W227"/>
    <mergeCell ref="W228:W229"/>
    <mergeCell ref="W230:W231"/>
    <mergeCell ref="W232:W233"/>
    <mergeCell ref="W234:W235"/>
    <mergeCell ref="W236:W237"/>
    <mergeCell ref="W238:W239"/>
    <mergeCell ref="W240:W241"/>
    <mergeCell ref="W242:W243"/>
    <mergeCell ref="W244:W245"/>
    <mergeCell ref="W246:W247"/>
    <mergeCell ref="W248:W249"/>
    <mergeCell ref="W250:W251"/>
    <mergeCell ref="W252:W253"/>
    <mergeCell ref="W254:W255"/>
    <mergeCell ref="W256:W257"/>
    <mergeCell ref="W258:W259"/>
    <mergeCell ref="W260:W261"/>
    <mergeCell ref="W262:W263"/>
    <mergeCell ref="W264:W265"/>
    <mergeCell ref="W266:W267"/>
    <mergeCell ref="W268:W269"/>
    <mergeCell ref="W270:W271"/>
    <mergeCell ref="W272:W273"/>
    <mergeCell ref="W274:W275"/>
    <mergeCell ref="W276:W277"/>
    <mergeCell ref="W296:W297"/>
    <mergeCell ref="W299:W300"/>
    <mergeCell ref="W302:W303"/>
    <mergeCell ref="W306:W307"/>
    <mergeCell ref="W308:W309"/>
    <mergeCell ref="W310:W311"/>
    <mergeCell ref="W313:W314"/>
    <mergeCell ref="W316:W317"/>
    <mergeCell ref="W318:W319"/>
    <mergeCell ref="W320:W321"/>
    <mergeCell ref="W322:W323"/>
    <mergeCell ref="W324:W325"/>
    <mergeCell ref="W326:W327"/>
    <mergeCell ref="W328:W329"/>
    <mergeCell ref="W330:W331"/>
    <mergeCell ref="W332:W333"/>
    <mergeCell ref="W334:W335"/>
    <mergeCell ref="W336:W337"/>
    <mergeCell ref="W338:W339"/>
    <mergeCell ref="W340:W341"/>
    <mergeCell ref="W342:W343"/>
    <mergeCell ref="W344:W345"/>
    <mergeCell ref="W346:W347"/>
    <mergeCell ref="W349:W350"/>
    <mergeCell ref="W351:W352"/>
    <mergeCell ref="W353:W354"/>
    <mergeCell ref="W356:W357"/>
    <mergeCell ref="W358:W359"/>
    <mergeCell ref="W360:W361"/>
    <mergeCell ref="W363:W364"/>
    <mergeCell ref="W365:W366"/>
    <mergeCell ref="W367:W368"/>
    <mergeCell ref="W369:W370"/>
    <mergeCell ref="W371:W372"/>
    <mergeCell ref="W373:W374"/>
    <mergeCell ref="W375:W376"/>
    <mergeCell ref="W377:W378"/>
    <mergeCell ref="W379:W380"/>
    <mergeCell ref="W381:W382"/>
    <mergeCell ref="W384:W385"/>
    <mergeCell ref="W387:W388"/>
    <mergeCell ref="X2:X3"/>
    <mergeCell ref="X4:X5"/>
    <mergeCell ref="X6:X7"/>
    <mergeCell ref="X8:X9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X62:X63"/>
    <mergeCell ref="X64:X65"/>
    <mergeCell ref="X66:X67"/>
    <mergeCell ref="X68:X69"/>
    <mergeCell ref="X70:X71"/>
    <mergeCell ref="X72:X73"/>
    <mergeCell ref="X74:X75"/>
    <mergeCell ref="X76:X77"/>
    <mergeCell ref="X78:X79"/>
    <mergeCell ref="X80:X81"/>
    <mergeCell ref="X82:X83"/>
    <mergeCell ref="X84:X85"/>
    <mergeCell ref="X86:X87"/>
    <mergeCell ref="X88:X89"/>
    <mergeCell ref="X90:X91"/>
    <mergeCell ref="X92:X93"/>
    <mergeCell ref="X94:X95"/>
    <mergeCell ref="X96:X97"/>
    <mergeCell ref="X98:X99"/>
    <mergeCell ref="X100:X101"/>
    <mergeCell ref="X102:X103"/>
    <mergeCell ref="X104:X105"/>
    <mergeCell ref="X106:X107"/>
    <mergeCell ref="X108:X109"/>
    <mergeCell ref="X110:X111"/>
    <mergeCell ref="X112:X113"/>
    <mergeCell ref="X114:X115"/>
    <mergeCell ref="X116:X117"/>
    <mergeCell ref="X118:X119"/>
    <mergeCell ref="X120:X121"/>
    <mergeCell ref="X122:X123"/>
    <mergeCell ref="X124:X125"/>
    <mergeCell ref="X126:X127"/>
    <mergeCell ref="X128:X129"/>
    <mergeCell ref="X130:X131"/>
    <mergeCell ref="X132:X133"/>
    <mergeCell ref="X134:X135"/>
    <mergeCell ref="X136:X137"/>
    <mergeCell ref="X138:X139"/>
    <mergeCell ref="X140:X141"/>
    <mergeCell ref="X142:X143"/>
    <mergeCell ref="X144:X145"/>
    <mergeCell ref="X146:X147"/>
    <mergeCell ref="X148:X149"/>
    <mergeCell ref="X150:X151"/>
    <mergeCell ref="X152:X153"/>
    <mergeCell ref="X154:X155"/>
    <mergeCell ref="X156:X157"/>
    <mergeCell ref="X158:X159"/>
    <mergeCell ref="X160:X161"/>
    <mergeCell ref="X162:X163"/>
    <mergeCell ref="X164:X165"/>
    <mergeCell ref="X166:X167"/>
    <mergeCell ref="X168:X169"/>
    <mergeCell ref="X170:X171"/>
    <mergeCell ref="X172:X173"/>
    <mergeCell ref="X174:X175"/>
    <mergeCell ref="X176:X177"/>
    <mergeCell ref="X178:X179"/>
    <mergeCell ref="X180:X181"/>
    <mergeCell ref="X182:X183"/>
    <mergeCell ref="X184:X185"/>
    <mergeCell ref="X186:X187"/>
    <mergeCell ref="X188:X189"/>
    <mergeCell ref="X190:X191"/>
    <mergeCell ref="X192:X193"/>
    <mergeCell ref="X194:X195"/>
    <mergeCell ref="X196:X197"/>
    <mergeCell ref="X198:X199"/>
    <mergeCell ref="X200:X201"/>
    <mergeCell ref="X202:X203"/>
    <mergeCell ref="X204:X205"/>
    <mergeCell ref="X206:X207"/>
    <mergeCell ref="X208:X209"/>
    <mergeCell ref="X210:X211"/>
    <mergeCell ref="X212:X213"/>
    <mergeCell ref="X214:X215"/>
    <mergeCell ref="X216:X217"/>
    <mergeCell ref="X218:X219"/>
    <mergeCell ref="X220:X221"/>
    <mergeCell ref="X222:X223"/>
    <mergeCell ref="X224:X225"/>
    <mergeCell ref="X226:X227"/>
    <mergeCell ref="X228:X229"/>
    <mergeCell ref="X230:X231"/>
    <mergeCell ref="X232:X233"/>
    <mergeCell ref="X234:X235"/>
    <mergeCell ref="X236:X237"/>
    <mergeCell ref="X238:X239"/>
    <mergeCell ref="X240:X241"/>
    <mergeCell ref="X242:X243"/>
    <mergeCell ref="X244:X245"/>
    <mergeCell ref="X246:X247"/>
    <mergeCell ref="X248:X249"/>
    <mergeCell ref="X250:X251"/>
    <mergeCell ref="X252:X253"/>
    <mergeCell ref="X254:X255"/>
    <mergeCell ref="X256:X257"/>
    <mergeCell ref="X258:X259"/>
    <mergeCell ref="X260:X261"/>
    <mergeCell ref="X262:X263"/>
    <mergeCell ref="X264:X265"/>
    <mergeCell ref="X266:X267"/>
    <mergeCell ref="X268:X269"/>
    <mergeCell ref="X270:X271"/>
    <mergeCell ref="X272:X273"/>
    <mergeCell ref="X274:X275"/>
    <mergeCell ref="X276:X277"/>
    <mergeCell ref="X296:X297"/>
    <mergeCell ref="X299:X300"/>
    <mergeCell ref="X302:X303"/>
    <mergeCell ref="X306:X307"/>
    <mergeCell ref="X308:X309"/>
    <mergeCell ref="X310:X311"/>
    <mergeCell ref="X313:X314"/>
    <mergeCell ref="X316:X317"/>
    <mergeCell ref="X318:X319"/>
    <mergeCell ref="X320:X321"/>
    <mergeCell ref="X322:X323"/>
    <mergeCell ref="X360:X361"/>
    <mergeCell ref="X363:X364"/>
    <mergeCell ref="X365:X366"/>
    <mergeCell ref="X367:X368"/>
    <mergeCell ref="X369:X370"/>
    <mergeCell ref="X371:X372"/>
    <mergeCell ref="X373:X374"/>
    <mergeCell ref="X375:X376"/>
    <mergeCell ref="X377:X378"/>
    <mergeCell ref="X379:X380"/>
    <mergeCell ref="X381:X382"/>
    <mergeCell ref="X384:X385"/>
    <mergeCell ref="X387:X388"/>
    <mergeCell ref="X324:X325"/>
    <mergeCell ref="X326:X327"/>
    <mergeCell ref="X328:X329"/>
    <mergeCell ref="X330:X331"/>
    <mergeCell ref="X332:X333"/>
    <mergeCell ref="X334:X335"/>
    <mergeCell ref="X336:X337"/>
    <mergeCell ref="X338:X339"/>
    <mergeCell ref="X340:X341"/>
    <mergeCell ref="X342:X343"/>
    <mergeCell ref="X344:X345"/>
    <mergeCell ref="X346:X347"/>
    <mergeCell ref="X349:X350"/>
    <mergeCell ref="X351:X352"/>
    <mergeCell ref="X353:X354"/>
    <mergeCell ref="X356:X357"/>
    <mergeCell ref="X358:X359"/>
  </mergeCells>
  <hyperlinks>
    <hyperlink ref="B1:D1" location="PAINEL!A1" display="TRECHO" xr:uid="{00000000-0004-0000-1F00-000000000000}"/>
  </hyperlinks>
  <pageMargins left="0.39370078740157483" right="0.39370078740157483" top="0.74803149606299213" bottom="0.74803149606299213" header="0.31496062992125984" footer="0.23622047244094491"/>
  <pageSetup paperSize="9" scale="41" fitToHeight="47" orientation="landscape" r:id="rId1"/>
  <headerFooter>
    <oddFooter>&amp;L&amp;"Arial,Normal"&amp;8&amp;F&amp;C&amp;"Arial,Normal"&amp;8 &amp;P / &amp;N                                        &amp;R&amp;"+,Regular"&amp;8Ricardo Schettini Figueiredo
Eng. Civil - CREA-RJ 52.656/D</oddFooter>
  </headerFooter>
  <ignoredErrors>
    <ignoredError sqref="AA333:AA388 AA285:AA294 AA235:AA281 AA193:AA234 AA156:AA191 AA114:AA155 AA78:AA112 AA39:AA77 AA15:AA38 AA3:AA13 AA296:AA332" formula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0F78D-7E49-4979-9D22-0E921F32CD70}">
  <sheetPr>
    <tabColor rgb="FF92D050"/>
  </sheetPr>
  <dimension ref="A1:K679"/>
  <sheetViews>
    <sheetView showGridLines="0" view="pageBreakPreview" topLeftCell="A80" zoomScaleNormal="100" zoomScaleSheetLayoutView="100" workbookViewId="0">
      <selection activeCell="D18" sqref="B13:I28"/>
    </sheetView>
  </sheetViews>
  <sheetFormatPr defaultColWidth="9" defaultRowHeight="12.75" x14ac:dyDescent="0.2"/>
  <cols>
    <col min="1" max="1" width="12.5" style="21" customWidth="1"/>
    <col min="2" max="2" width="10.625" style="21" customWidth="1"/>
    <col min="3" max="6" width="12.5" style="21" customWidth="1"/>
    <col min="7" max="7" width="12.5" style="2125" customWidth="1"/>
    <col min="8" max="8" width="9" style="21"/>
    <col min="9" max="9" width="10.375" style="21" customWidth="1"/>
    <col min="10" max="16384" width="9" style="21"/>
  </cols>
  <sheetData>
    <row r="1" spans="1:4" x14ac:dyDescent="0.2">
      <c r="D1" s="2124" t="s">
        <v>2464</v>
      </c>
    </row>
    <row r="3" spans="1:4" x14ac:dyDescent="0.2">
      <c r="A3" s="2126" t="s">
        <v>2465</v>
      </c>
      <c r="B3" s="21" t="s">
        <v>2466</v>
      </c>
    </row>
    <row r="4" spans="1:4" x14ac:dyDescent="0.2">
      <c r="A4" s="2126" t="s">
        <v>2</v>
      </c>
      <c r="B4" s="21" t="s">
        <v>2467</v>
      </c>
    </row>
    <row r="5" spans="1:4" x14ac:dyDescent="0.2">
      <c r="A5" s="2126" t="s">
        <v>2468</v>
      </c>
      <c r="B5" s="21" t="s">
        <v>2469</v>
      </c>
    </row>
    <row r="6" spans="1:4" x14ac:dyDescent="0.2">
      <c r="A6" s="2126" t="s">
        <v>2470</v>
      </c>
      <c r="B6" s="21" t="s">
        <v>2471</v>
      </c>
    </row>
    <row r="8" spans="1:4" x14ac:dyDescent="0.2">
      <c r="A8" s="2127" t="s">
        <v>2472</v>
      </c>
    </row>
    <row r="35" spans="1:9" ht="13.5" thickBot="1" x14ac:dyDescent="0.25"/>
    <row r="36" spans="1:9" ht="13.5" thickBot="1" x14ac:dyDescent="0.25">
      <c r="A36" s="3075" t="s">
        <v>2473</v>
      </c>
      <c r="B36" s="3076"/>
      <c r="C36" s="3076"/>
      <c r="D36" s="3076"/>
      <c r="E36" s="3076"/>
      <c r="F36" s="3076"/>
      <c r="G36" s="3077"/>
    </row>
    <row r="37" spans="1:9" ht="13.5" customHeight="1" x14ac:dyDescent="0.2">
      <c r="A37" s="2128" t="s">
        <v>2474</v>
      </c>
      <c r="B37" s="2129" t="s">
        <v>2475</v>
      </c>
      <c r="C37" s="2129" t="s">
        <v>2476</v>
      </c>
      <c r="D37" s="2129" t="s">
        <v>2477</v>
      </c>
      <c r="E37" s="2129" t="s">
        <v>2478</v>
      </c>
      <c r="F37" s="2129" t="s">
        <v>2479</v>
      </c>
      <c r="G37" s="3109" t="s">
        <v>2480</v>
      </c>
    </row>
    <row r="38" spans="1:9" ht="15" thickBot="1" x14ac:dyDescent="0.25">
      <c r="A38" s="2195" t="s">
        <v>2481</v>
      </c>
      <c r="B38" s="2198" t="s">
        <v>2482</v>
      </c>
      <c r="C38" s="2130" t="s">
        <v>2481</v>
      </c>
      <c r="D38" s="2198" t="s">
        <v>2483</v>
      </c>
      <c r="E38" s="2130" t="s">
        <v>2481</v>
      </c>
      <c r="F38" s="2198" t="s">
        <v>2484</v>
      </c>
      <c r="G38" s="3110"/>
    </row>
    <row r="39" spans="1:9" ht="13.5" thickBot="1" x14ac:dyDescent="0.25">
      <c r="A39" s="2131">
        <v>1</v>
      </c>
      <c r="B39" s="2132">
        <v>0.4</v>
      </c>
      <c r="C39" s="2132">
        <v>1</v>
      </c>
      <c r="D39" s="2132">
        <v>7</v>
      </c>
      <c r="E39" s="2132">
        <v>1</v>
      </c>
      <c r="F39" s="2132">
        <v>1.25</v>
      </c>
      <c r="G39" s="2133">
        <f>ROUND((A39+B39+C39)*(D39+E39)*F39,2)</f>
        <v>24</v>
      </c>
    </row>
    <row r="40" spans="1:9" ht="13.5" thickBot="1" x14ac:dyDescent="0.25"/>
    <row r="41" spans="1:9" ht="13.5" thickBot="1" x14ac:dyDescent="0.25">
      <c r="A41" s="3075" t="s">
        <v>2485</v>
      </c>
      <c r="B41" s="3076"/>
      <c r="C41" s="3076"/>
      <c r="D41" s="3076"/>
      <c r="E41" s="3076"/>
      <c r="F41" s="3076"/>
      <c r="G41" s="3077"/>
    </row>
    <row r="42" spans="1:9" x14ac:dyDescent="0.2">
      <c r="A42" s="2128" t="s">
        <v>2479</v>
      </c>
      <c r="B42" s="2129" t="s">
        <v>2486</v>
      </c>
      <c r="C42" s="2129" t="s">
        <v>2487</v>
      </c>
      <c r="D42" s="2129" t="s">
        <v>2488</v>
      </c>
      <c r="E42" s="2129" t="s">
        <v>2489</v>
      </c>
      <c r="F42" s="2129" t="s">
        <v>2479</v>
      </c>
      <c r="G42" s="3109" t="s">
        <v>2480</v>
      </c>
    </row>
    <row r="43" spans="1:9" ht="15" thickBot="1" x14ac:dyDescent="0.25">
      <c r="A43" s="2195" t="s">
        <v>2481</v>
      </c>
      <c r="B43" s="2198" t="s">
        <v>2482</v>
      </c>
      <c r="C43" s="2130" t="s">
        <v>2481</v>
      </c>
      <c r="D43" s="2198" t="s">
        <v>2483</v>
      </c>
      <c r="E43" s="2130" t="s">
        <v>2481</v>
      </c>
      <c r="F43" s="2198" t="s">
        <v>2484</v>
      </c>
      <c r="G43" s="3110"/>
    </row>
    <row r="44" spans="1:9" ht="13.5" thickBot="1" x14ac:dyDescent="0.25">
      <c r="A44" s="2131">
        <v>1</v>
      </c>
      <c r="B44" s="2132">
        <v>0.4</v>
      </c>
      <c r="C44" s="2132">
        <v>1</v>
      </c>
      <c r="D44" s="2132">
        <v>7</v>
      </c>
      <c r="E44" s="2132">
        <v>1</v>
      </c>
      <c r="F44" s="2132">
        <v>1.25</v>
      </c>
      <c r="G44" s="2134">
        <f>ROUND((A44+B44+C44)*(D44+E44)*F44,2)</f>
        <v>24</v>
      </c>
      <c r="I44" s="2135">
        <f>496.517-495.273</f>
        <v>1.2439999999999714</v>
      </c>
    </row>
    <row r="45" spans="1:9" ht="13.5" thickBot="1" x14ac:dyDescent="0.25"/>
    <row r="46" spans="1:9" ht="13.5" thickBot="1" x14ac:dyDescent="0.25">
      <c r="A46" s="3075" t="s">
        <v>2490</v>
      </c>
      <c r="B46" s="3076"/>
      <c r="C46" s="3076"/>
      <c r="D46" s="3076"/>
      <c r="E46" s="3076"/>
      <c r="F46" s="3077"/>
    </row>
    <row r="47" spans="1:9" x14ac:dyDescent="0.2">
      <c r="A47" s="2128" t="s">
        <v>2491</v>
      </c>
      <c r="B47" s="2129" t="s">
        <v>2492</v>
      </c>
      <c r="C47" s="2129" t="s">
        <v>2493</v>
      </c>
      <c r="D47" s="2129" t="s">
        <v>2494</v>
      </c>
      <c r="E47" s="2129" t="s">
        <v>2479</v>
      </c>
      <c r="F47" s="3109" t="s">
        <v>2480</v>
      </c>
    </row>
    <row r="48" spans="1:9" ht="13.5" thickBot="1" x14ac:dyDescent="0.25">
      <c r="A48" s="2195" t="s">
        <v>2481</v>
      </c>
      <c r="B48" s="2198" t="s">
        <v>2495</v>
      </c>
      <c r="C48" s="2130" t="s">
        <v>2481</v>
      </c>
      <c r="D48" s="2198" t="s">
        <v>2496</v>
      </c>
      <c r="E48" s="2198" t="s">
        <v>2484</v>
      </c>
      <c r="F48" s="3110"/>
    </row>
    <row r="49" spans="1:6" ht="13.5" thickBot="1" x14ac:dyDescent="0.25">
      <c r="A49" s="2131">
        <v>1</v>
      </c>
      <c r="B49" s="2132">
        <v>0.4</v>
      </c>
      <c r="C49" s="2132">
        <v>1</v>
      </c>
      <c r="D49" s="2132">
        <v>22</v>
      </c>
      <c r="E49" s="2132">
        <v>1.25</v>
      </c>
      <c r="F49" s="2134">
        <f>ROUND((A49+B49+C49)*D49*E49,2)</f>
        <v>66</v>
      </c>
    </row>
    <row r="78" spans="1:8" ht="13.5" thickBot="1" x14ac:dyDescent="0.25"/>
    <row r="79" spans="1:8" ht="13.5" thickBot="1" x14ac:dyDescent="0.25">
      <c r="A79" s="3075" t="s">
        <v>2497</v>
      </c>
      <c r="B79" s="3076"/>
      <c r="C79" s="3076"/>
      <c r="D79" s="3076"/>
      <c r="E79" s="3076"/>
      <c r="F79" s="3076"/>
      <c r="G79" s="3077"/>
    </row>
    <row r="80" spans="1:8" x14ac:dyDescent="0.2">
      <c r="A80" s="2128" t="s">
        <v>2474</v>
      </c>
      <c r="B80" s="2129" t="s">
        <v>2475</v>
      </c>
      <c r="C80" s="2129" t="s">
        <v>2476</v>
      </c>
      <c r="D80" s="2129" t="s">
        <v>2477</v>
      </c>
      <c r="E80" s="2129" t="s">
        <v>2478</v>
      </c>
      <c r="F80" s="2129" t="s">
        <v>2479</v>
      </c>
      <c r="G80" s="3109" t="s">
        <v>2480</v>
      </c>
      <c r="H80"/>
    </row>
    <row r="81" spans="1:8" ht="15" thickBot="1" x14ac:dyDescent="0.25">
      <c r="A81" s="2195" t="s">
        <v>2481</v>
      </c>
      <c r="B81" s="2198" t="s">
        <v>2482</v>
      </c>
      <c r="C81" s="2130" t="s">
        <v>2481</v>
      </c>
      <c r="D81" s="2198" t="s">
        <v>2483</v>
      </c>
      <c r="E81" s="2198" t="s">
        <v>2498</v>
      </c>
      <c r="F81" s="2198" t="s">
        <v>2484</v>
      </c>
      <c r="G81" s="3110"/>
      <c r="H81"/>
    </row>
    <row r="82" spans="1:8" ht="13.5" thickBot="1" x14ac:dyDescent="0.25">
      <c r="A82" s="2131">
        <v>1</v>
      </c>
      <c r="B82" s="2132">
        <v>0.4</v>
      </c>
      <c r="C82" s="2132">
        <v>1</v>
      </c>
      <c r="D82" s="2132">
        <v>7</v>
      </c>
      <c r="E82" s="2132">
        <v>1</v>
      </c>
      <c r="F82" s="2132">
        <v>1.25</v>
      </c>
      <c r="G82" s="2133">
        <f>ROUND((A82+B82+C82)*(D82+E82)*F82,2)</f>
        <v>24</v>
      </c>
      <c r="H82"/>
    </row>
    <row r="83" spans="1:8" ht="13.5" thickBot="1" x14ac:dyDescent="0.25">
      <c r="A83" s="3112"/>
      <c r="B83" s="3112"/>
      <c r="C83" s="3112"/>
      <c r="D83" s="3112"/>
      <c r="E83" s="3112"/>
      <c r="F83" s="3112"/>
      <c r="G83" s="3112"/>
    </row>
    <row r="84" spans="1:8" ht="13.5" thickBot="1" x14ac:dyDescent="0.25">
      <c r="A84" s="3075" t="s">
        <v>2499</v>
      </c>
      <c r="B84" s="3076"/>
      <c r="C84" s="3076"/>
      <c r="D84" s="3076"/>
      <c r="E84" s="3076"/>
      <c r="F84" s="3076"/>
      <c r="G84" s="3077"/>
    </row>
    <row r="85" spans="1:8" x14ac:dyDescent="0.2">
      <c r="A85" s="2128" t="s">
        <v>2479</v>
      </c>
      <c r="B85" s="2129" t="s">
        <v>2486</v>
      </c>
      <c r="C85" s="2129" t="s">
        <v>2487</v>
      </c>
      <c r="D85" s="2129" t="s">
        <v>2488</v>
      </c>
      <c r="E85" s="2129" t="s">
        <v>2489</v>
      </c>
      <c r="F85" s="2129" t="s">
        <v>2479</v>
      </c>
      <c r="G85" s="3109" t="s">
        <v>2480</v>
      </c>
    </row>
    <row r="86" spans="1:8" ht="15" thickBot="1" x14ac:dyDescent="0.25">
      <c r="A86" s="2195" t="s">
        <v>2481</v>
      </c>
      <c r="B86" s="2198" t="s">
        <v>2482</v>
      </c>
      <c r="C86" s="2130" t="s">
        <v>2481</v>
      </c>
      <c r="D86" s="2198" t="s">
        <v>2483</v>
      </c>
      <c r="E86" s="2198" t="s">
        <v>2498</v>
      </c>
      <c r="F86" s="2198" t="s">
        <v>2484</v>
      </c>
      <c r="G86" s="3110"/>
    </row>
    <row r="87" spans="1:8" ht="13.5" thickBot="1" x14ac:dyDescent="0.25">
      <c r="A87" s="2131">
        <v>1</v>
      </c>
      <c r="B87" s="2132">
        <v>0.4</v>
      </c>
      <c r="C87" s="2132">
        <v>1</v>
      </c>
      <c r="D87" s="2132">
        <v>7</v>
      </c>
      <c r="E87" s="2132">
        <v>1</v>
      </c>
      <c r="F87" s="2132">
        <v>1.25</v>
      </c>
      <c r="G87" s="2133">
        <f>ROUND((A87+B87+C87)*(D87+E87)*F87,2)</f>
        <v>24</v>
      </c>
    </row>
    <row r="88" spans="1:8" ht="13.5" thickBot="1" x14ac:dyDescent="0.25">
      <c r="A88" s="3095"/>
      <c r="B88" s="3095"/>
      <c r="C88" s="3095"/>
      <c r="D88" s="3095"/>
      <c r="E88" s="3095"/>
      <c r="F88" s="3095"/>
      <c r="G88" s="3095"/>
    </row>
    <row r="89" spans="1:8" ht="13.5" thickBot="1" x14ac:dyDescent="0.25">
      <c r="A89" s="3075" t="s">
        <v>2500</v>
      </c>
      <c r="B89" s="3076"/>
      <c r="C89" s="3076"/>
      <c r="D89" s="3076"/>
      <c r="E89" s="3076"/>
      <c r="F89" s="3077"/>
      <c r="G89" s="3111"/>
    </row>
    <row r="90" spans="1:8" x14ac:dyDescent="0.2">
      <c r="A90" s="2128" t="s">
        <v>2491</v>
      </c>
      <c r="B90" s="2129" t="s">
        <v>2492</v>
      </c>
      <c r="C90" s="2129" t="s">
        <v>2493</v>
      </c>
      <c r="D90" s="2129" t="s">
        <v>2494</v>
      </c>
      <c r="E90" s="2129" t="s">
        <v>2479</v>
      </c>
      <c r="F90" s="3109" t="s">
        <v>2480</v>
      </c>
      <c r="G90" s="3111"/>
    </row>
    <row r="91" spans="1:8" ht="13.5" thickBot="1" x14ac:dyDescent="0.25">
      <c r="A91" s="2195" t="s">
        <v>2481</v>
      </c>
      <c r="B91" s="2198" t="s">
        <v>2495</v>
      </c>
      <c r="C91" s="2130" t="s">
        <v>2481</v>
      </c>
      <c r="D91" s="2198" t="s">
        <v>2496</v>
      </c>
      <c r="E91" s="2198" t="s">
        <v>2484</v>
      </c>
      <c r="F91" s="3110"/>
      <c r="G91" s="3111"/>
    </row>
    <row r="92" spans="1:8" ht="13.5" thickBot="1" x14ac:dyDescent="0.25">
      <c r="A92" s="2131">
        <v>1</v>
      </c>
      <c r="B92" s="2132">
        <v>0.4</v>
      </c>
      <c r="C92" s="2132">
        <v>1</v>
      </c>
      <c r="D92" s="2132">
        <v>22</v>
      </c>
      <c r="E92" s="2132">
        <v>1.25</v>
      </c>
      <c r="F92" s="2133">
        <f>ROUND((A92+B92+C92)*D92*E92,2)</f>
        <v>66</v>
      </c>
      <c r="G92" s="3111"/>
    </row>
    <row r="93" spans="1:8" ht="13.5" thickBot="1" x14ac:dyDescent="0.25">
      <c r="A93" s="3107"/>
      <c r="B93" s="3107"/>
      <c r="C93" s="3107"/>
      <c r="D93" s="3107"/>
      <c r="E93" s="3107"/>
      <c r="F93" s="3107"/>
      <c r="G93" s="3107"/>
    </row>
    <row r="94" spans="1:8" ht="13.5" thickBot="1" x14ac:dyDescent="0.25">
      <c r="A94" s="3107"/>
      <c r="B94" s="3108"/>
      <c r="C94" s="3098" t="s">
        <v>2501</v>
      </c>
      <c r="D94" s="3099"/>
      <c r="E94" s="2136"/>
      <c r="F94" s="2137"/>
      <c r="G94" s="2137"/>
    </row>
    <row r="95" spans="1:8" ht="12.75" customHeight="1" x14ac:dyDescent="0.2">
      <c r="A95" s="3107"/>
      <c r="B95" s="3108"/>
      <c r="C95" s="3103" t="s">
        <v>2502</v>
      </c>
      <c r="D95" s="3104"/>
      <c r="E95" s="3103" t="s">
        <v>2597</v>
      </c>
      <c r="F95" s="3104"/>
      <c r="G95"/>
    </row>
    <row r="96" spans="1:8" ht="13.5" thickBot="1" x14ac:dyDescent="0.25">
      <c r="A96" s="3107"/>
      <c r="B96" s="3108"/>
      <c r="C96" s="3105" t="s">
        <v>2503</v>
      </c>
      <c r="D96" s="3106"/>
      <c r="E96" s="3105" t="s">
        <v>2598</v>
      </c>
      <c r="F96" s="3106"/>
      <c r="G96"/>
    </row>
    <row r="97" spans="1:7" ht="13.5" thickBot="1" x14ac:dyDescent="0.25">
      <c r="A97" s="3107"/>
      <c r="B97" s="3108"/>
      <c r="C97" s="3086">
        <f>ROUND(F92+G87+G82+F49+G44+G39,2)</f>
        <v>228</v>
      </c>
      <c r="D97" s="3088"/>
      <c r="E97" s="3086">
        <f>C97*5%</f>
        <v>11.4</v>
      </c>
      <c r="F97" s="3088"/>
      <c r="G97"/>
    </row>
    <row r="99" spans="1:7" x14ac:dyDescent="0.2">
      <c r="A99" s="2138" t="s">
        <v>2504</v>
      </c>
    </row>
    <row r="120" spans="1:6" ht="15" customHeight="1" thickBot="1" x14ac:dyDescent="0.25">
      <c r="A120" s="2139"/>
      <c r="B120"/>
      <c r="C120"/>
      <c r="D120"/>
      <c r="E120"/>
      <c r="F120"/>
    </row>
    <row r="121" spans="1:6" ht="13.5" thickBot="1" x14ac:dyDescent="0.25">
      <c r="A121" s="3075" t="s">
        <v>2505</v>
      </c>
      <c r="B121" s="3076"/>
      <c r="C121" s="3076"/>
      <c r="D121" s="3076"/>
      <c r="E121" s="3077"/>
      <c r="F121"/>
    </row>
    <row r="122" spans="1:6" s="2125" customFormat="1" x14ac:dyDescent="0.2">
      <c r="A122" s="2128" t="s">
        <v>2474</v>
      </c>
      <c r="B122" s="2129" t="s">
        <v>2475</v>
      </c>
      <c r="C122" s="2129" t="s">
        <v>2476</v>
      </c>
      <c r="D122" s="2129" t="s">
        <v>2506</v>
      </c>
      <c r="E122" s="3091" t="s">
        <v>2507</v>
      </c>
      <c r="F122" s="2140"/>
    </row>
    <row r="123" spans="1:6" s="2125" customFormat="1" ht="13.5" thickBot="1" x14ac:dyDescent="0.25">
      <c r="A123" s="2200" t="s">
        <v>2508</v>
      </c>
      <c r="B123" s="2198" t="s">
        <v>2509</v>
      </c>
      <c r="C123" s="2198" t="s">
        <v>2510</v>
      </c>
      <c r="D123" s="2198" t="s">
        <v>2511</v>
      </c>
      <c r="E123" s="3092"/>
      <c r="F123" s="2140"/>
    </row>
    <row r="124" spans="1:6" s="2125" customFormat="1" ht="13.5" thickBot="1" x14ac:dyDescent="0.25">
      <c r="A124" s="2200">
        <v>7</v>
      </c>
      <c r="B124" s="2198">
        <v>0.4</v>
      </c>
      <c r="C124" s="2198">
        <f>501.813-495.273</f>
        <v>6.5399999999999636</v>
      </c>
      <c r="D124" s="2133">
        <f>A124*B124*C124</f>
        <v>18.311999999999898</v>
      </c>
      <c r="E124" s="2133">
        <f>A124*C124*2+B124*C124</f>
        <v>94.175999999999476</v>
      </c>
      <c r="F124" s="2140"/>
    </row>
    <row r="125" spans="1:6" s="2125" customFormat="1" ht="13.5" thickBot="1" x14ac:dyDescent="0.25">
      <c r="A125" s="2141"/>
      <c r="B125" s="2140"/>
      <c r="C125" s="2140"/>
      <c r="D125" s="2140"/>
      <c r="E125" s="2140"/>
      <c r="F125" s="2140"/>
    </row>
    <row r="126" spans="1:6" s="2125" customFormat="1" ht="13.5" thickBot="1" x14ac:dyDescent="0.25">
      <c r="A126" s="3075" t="s">
        <v>2512</v>
      </c>
      <c r="B126" s="3076"/>
      <c r="C126" s="3076"/>
      <c r="D126" s="3076"/>
      <c r="E126" s="3077"/>
      <c r="F126" s="2140"/>
    </row>
    <row r="127" spans="1:6" s="2125" customFormat="1" x14ac:dyDescent="0.2">
      <c r="A127" s="2128" t="s">
        <v>2489</v>
      </c>
      <c r="B127" s="2129" t="s">
        <v>2491</v>
      </c>
      <c r="C127" s="2129" t="s">
        <v>2492</v>
      </c>
      <c r="D127" s="2129" t="s">
        <v>2506</v>
      </c>
      <c r="E127" s="3091" t="s">
        <v>2507</v>
      </c>
      <c r="F127" s="2140"/>
    </row>
    <row r="128" spans="1:6" s="2125" customFormat="1" ht="13.5" thickBot="1" x14ac:dyDescent="0.25">
      <c r="A128" s="2200" t="s">
        <v>2508</v>
      </c>
      <c r="B128" s="2198" t="s">
        <v>2509</v>
      </c>
      <c r="C128" s="2198" t="s">
        <v>2510</v>
      </c>
      <c r="D128" s="2198" t="s">
        <v>2511</v>
      </c>
      <c r="E128" s="3092"/>
      <c r="F128" s="2140"/>
    </row>
    <row r="129" spans="1:6" ht="13.5" thickBot="1" x14ac:dyDescent="0.25">
      <c r="A129" s="2200">
        <v>7</v>
      </c>
      <c r="B129" s="2198">
        <v>0.4</v>
      </c>
      <c r="C129" s="2198">
        <f>501.813-495.273</f>
        <v>6.5399999999999636</v>
      </c>
      <c r="D129" s="2134">
        <f>A129*B129*C129</f>
        <v>18.311999999999898</v>
      </c>
      <c r="E129" s="2134">
        <f>A129*C129*2+B129*C129</f>
        <v>94.175999999999476</v>
      </c>
      <c r="F129"/>
    </row>
    <row r="130" spans="1:6" ht="13.5" thickBot="1" x14ac:dyDescent="0.25">
      <c r="A130" s="2142"/>
      <c r="B130"/>
      <c r="C130"/>
      <c r="D130"/>
      <c r="E130"/>
      <c r="F130"/>
    </row>
    <row r="131" spans="1:6" ht="13.5" thickBot="1" x14ac:dyDescent="0.25">
      <c r="A131" s="3075" t="s">
        <v>2513</v>
      </c>
      <c r="B131" s="3076"/>
      <c r="C131" s="3076"/>
      <c r="D131" s="3076"/>
      <c r="E131" s="3077"/>
      <c r="F131"/>
    </row>
    <row r="132" spans="1:6" x14ac:dyDescent="0.2">
      <c r="A132" s="2128" t="s">
        <v>2477</v>
      </c>
      <c r="B132" s="2129" t="s">
        <v>2478</v>
      </c>
      <c r="C132" s="2129" t="s">
        <v>2486</v>
      </c>
      <c r="D132" s="2129" t="s">
        <v>2506</v>
      </c>
      <c r="E132" s="3091" t="s">
        <v>2507</v>
      </c>
      <c r="F132"/>
    </row>
    <row r="133" spans="1:6" ht="13.5" thickBot="1" x14ac:dyDescent="0.25">
      <c r="A133" s="2200" t="s">
        <v>2508</v>
      </c>
      <c r="B133" s="2198" t="s">
        <v>2509</v>
      </c>
      <c r="C133" s="2198" t="s">
        <v>2510</v>
      </c>
      <c r="D133" s="2198" t="s">
        <v>2511</v>
      </c>
      <c r="E133" s="3092"/>
      <c r="F133"/>
    </row>
    <row r="134" spans="1:6" ht="13.5" thickBot="1" x14ac:dyDescent="0.25">
      <c r="A134" s="2200">
        <v>22</v>
      </c>
      <c r="B134" s="2198">
        <v>0.4</v>
      </c>
      <c r="C134" s="2198">
        <f>501.813-495.273-0.25-0.3-0.02-0.6-0.05-0.02</f>
        <v>5.2999999999999652</v>
      </c>
      <c r="D134" s="2134">
        <f>A134*B134*C134</f>
        <v>46.639999999999695</v>
      </c>
      <c r="E134" s="2134">
        <f>A134*C134+A134*(C134-C139-D139)</f>
        <v>215.59999999999846</v>
      </c>
      <c r="F134"/>
    </row>
    <row r="135" spans="1:6" ht="13.5" thickBot="1" x14ac:dyDescent="0.25">
      <c r="A135" s="2142"/>
      <c r="B135"/>
      <c r="C135"/>
      <c r="D135"/>
      <c r="E135"/>
      <c r="F135"/>
    </row>
    <row r="136" spans="1:6" ht="13.5" thickBot="1" x14ac:dyDescent="0.25">
      <c r="A136" s="3075" t="s">
        <v>2514</v>
      </c>
      <c r="B136" s="3076"/>
      <c r="C136" s="3076"/>
      <c r="D136" s="3076"/>
      <c r="E136" s="3076"/>
      <c r="F136" s="3077"/>
    </row>
    <row r="137" spans="1:6" x14ac:dyDescent="0.2">
      <c r="A137" s="2128" t="s">
        <v>2477</v>
      </c>
      <c r="B137" s="2129" t="s">
        <v>2479</v>
      </c>
      <c r="C137" s="2129" t="s">
        <v>2487</v>
      </c>
      <c r="D137" s="2143" t="s">
        <v>2488</v>
      </c>
      <c r="E137" s="2129" t="s">
        <v>2506</v>
      </c>
      <c r="F137" s="3091" t="s">
        <v>2507</v>
      </c>
    </row>
    <row r="138" spans="1:6" ht="13.5" thickBot="1" x14ac:dyDescent="0.25">
      <c r="A138" s="2200" t="s">
        <v>2508</v>
      </c>
      <c r="B138" s="2198" t="s">
        <v>2509</v>
      </c>
      <c r="C138" s="2198" t="s">
        <v>2510</v>
      </c>
      <c r="D138" s="2144" t="s">
        <v>2510</v>
      </c>
      <c r="E138" s="2198" t="s">
        <v>2511</v>
      </c>
      <c r="F138" s="3092"/>
    </row>
    <row r="139" spans="1:6" ht="13.5" thickBot="1" x14ac:dyDescent="0.25">
      <c r="A139" s="2200">
        <v>22</v>
      </c>
      <c r="B139" s="2198">
        <v>0.5</v>
      </c>
      <c r="C139" s="2198">
        <v>0.5</v>
      </c>
      <c r="D139" s="2144">
        <v>0.3</v>
      </c>
      <c r="E139" s="2133">
        <f>ROUND((((C139+D139)+D139)*B139)/2*A139,2)</f>
        <v>6.05</v>
      </c>
      <c r="F139" s="2134">
        <f>(((C139+D139)+D139)*B139)/2*2+D139*A139+SQRT(B139^2+C139^2)*A139</f>
        <v>22.706349186104045</v>
      </c>
    </row>
    <row r="160" spans="1:6" ht="14.25" thickBot="1" x14ac:dyDescent="0.25">
      <c r="A160" s="2145"/>
      <c r="B160"/>
      <c r="C160"/>
      <c r="D160"/>
      <c r="E160"/>
      <c r="F160"/>
    </row>
    <row r="161" spans="1:6" ht="13.5" thickBot="1" x14ac:dyDescent="0.25">
      <c r="A161" s="3075" t="s">
        <v>2515</v>
      </c>
      <c r="B161" s="3076"/>
      <c r="C161" s="3076"/>
      <c r="D161" s="3076"/>
      <c r="E161" s="3077"/>
      <c r="F161" s="3100"/>
    </row>
    <row r="162" spans="1:6" s="2125" customFormat="1" x14ac:dyDescent="0.2">
      <c r="A162" s="2128" t="s">
        <v>2474</v>
      </c>
      <c r="B162" s="2129" t="s">
        <v>2475</v>
      </c>
      <c r="C162" s="2129" t="s">
        <v>2476</v>
      </c>
      <c r="D162" s="2129" t="s">
        <v>2506</v>
      </c>
      <c r="E162" s="3091" t="s">
        <v>2507</v>
      </c>
      <c r="F162" s="3100"/>
    </row>
    <row r="163" spans="1:6" s="2125" customFormat="1" ht="13.5" thickBot="1" x14ac:dyDescent="0.25">
      <c r="A163" s="2200" t="s">
        <v>2508</v>
      </c>
      <c r="B163" s="2198" t="s">
        <v>2509</v>
      </c>
      <c r="C163" s="2198" t="s">
        <v>2510</v>
      </c>
      <c r="D163" s="2198" t="s">
        <v>2511</v>
      </c>
      <c r="E163" s="3092"/>
      <c r="F163" s="3100"/>
    </row>
    <row r="164" spans="1:6" ht="13.5" thickBot="1" x14ac:dyDescent="0.25">
      <c r="A164" s="2200">
        <v>7</v>
      </c>
      <c r="B164" s="2198">
        <v>0.4</v>
      </c>
      <c r="C164" s="2198">
        <f>501.813-495.273</f>
        <v>6.5399999999999636</v>
      </c>
      <c r="D164" s="2133">
        <f>A164*B164*C164</f>
        <v>18.311999999999898</v>
      </c>
      <c r="E164" s="2146">
        <f>A164*C164*2+B164*C164</f>
        <v>94.175999999999476</v>
      </c>
      <c r="F164" s="3100"/>
    </row>
    <row r="165" spans="1:6" ht="13.5" thickBot="1" x14ac:dyDescent="0.25">
      <c r="A165" s="3107"/>
      <c r="B165" s="3107"/>
      <c r="C165" s="3107"/>
      <c r="D165" s="3107"/>
      <c r="E165" s="3107"/>
      <c r="F165" s="3107"/>
    </row>
    <row r="166" spans="1:6" ht="13.5" thickBot="1" x14ac:dyDescent="0.25">
      <c r="A166" s="3075" t="s">
        <v>2516</v>
      </c>
      <c r="B166" s="3076"/>
      <c r="C166" s="3076"/>
      <c r="D166" s="3076"/>
      <c r="E166" s="3077"/>
      <c r="F166" s="3100"/>
    </row>
    <row r="167" spans="1:6" s="2125" customFormat="1" x14ac:dyDescent="0.2">
      <c r="A167" s="2128" t="s">
        <v>2474</v>
      </c>
      <c r="B167" s="2129" t="s">
        <v>2475</v>
      </c>
      <c r="C167" s="2129" t="s">
        <v>2476</v>
      </c>
      <c r="D167" s="2129" t="s">
        <v>2506</v>
      </c>
      <c r="E167" s="3091" t="s">
        <v>2507</v>
      </c>
      <c r="F167" s="3100"/>
    </row>
    <row r="168" spans="1:6" s="2125" customFormat="1" ht="13.5" thickBot="1" x14ac:dyDescent="0.25">
      <c r="A168" s="2200" t="s">
        <v>2508</v>
      </c>
      <c r="B168" s="2198" t="s">
        <v>2509</v>
      </c>
      <c r="C168" s="2198" t="s">
        <v>2510</v>
      </c>
      <c r="D168" s="2198" t="s">
        <v>2511</v>
      </c>
      <c r="E168" s="3092"/>
      <c r="F168" s="3100"/>
    </row>
    <row r="169" spans="1:6" s="2125" customFormat="1" ht="13.5" thickBot="1" x14ac:dyDescent="0.25">
      <c r="A169" s="2200">
        <v>7</v>
      </c>
      <c r="B169" s="2198">
        <v>0.4</v>
      </c>
      <c r="C169" s="2198">
        <f>501.813-495.273</f>
        <v>6.5399999999999636</v>
      </c>
      <c r="D169" s="2133">
        <f>A169*B169*C169</f>
        <v>18.311999999999898</v>
      </c>
      <c r="E169" s="2133">
        <f>A169*C169*2+B169*C169</f>
        <v>94.175999999999476</v>
      </c>
      <c r="F169" s="3100"/>
    </row>
    <row r="170" spans="1:6" s="2125" customFormat="1" ht="13.5" thickBot="1" x14ac:dyDescent="0.25">
      <c r="A170" s="3101"/>
      <c r="B170" s="3101"/>
      <c r="C170" s="3101"/>
      <c r="D170" s="3101"/>
      <c r="E170" s="3101"/>
      <c r="F170" s="3101"/>
    </row>
    <row r="171" spans="1:6" s="2125" customFormat="1" ht="13.5" thickBot="1" x14ac:dyDescent="0.25">
      <c r="A171" s="3075" t="s">
        <v>2517</v>
      </c>
      <c r="B171" s="3076"/>
      <c r="C171" s="3076"/>
      <c r="D171" s="3076"/>
      <c r="E171" s="3077"/>
      <c r="F171" s="3102"/>
    </row>
    <row r="172" spans="1:6" s="2125" customFormat="1" x14ac:dyDescent="0.2">
      <c r="A172" s="2128" t="s">
        <v>2474</v>
      </c>
      <c r="B172" s="2129" t="s">
        <v>2475</v>
      </c>
      <c r="C172" s="2129" t="s">
        <v>2476</v>
      </c>
      <c r="D172" s="2129" t="s">
        <v>2506</v>
      </c>
      <c r="E172" s="3091" t="s">
        <v>2507</v>
      </c>
      <c r="F172" s="3102"/>
    </row>
    <row r="173" spans="1:6" s="2125" customFormat="1" ht="13.5" thickBot="1" x14ac:dyDescent="0.25">
      <c r="A173" s="2200" t="s">
        <v>2508</v>
      </c>
      <c r="B173" s="2198" t="s">
        <v>2509</v>
      </c>
      <c r="C173" s="2198" t="s">
        <v>2510</v>
      </c>
      <c r="D173" s="2198" t="s">
        <v>2511</v>
      </c>
      <c r="E173" s="3092"/>
      <c r="F173" s="3102"/>
    </row>
    <row r="174" spans="1:6" s="2125" customFormat="1" ht="13.5" thickBot="1" x14ac:dyDescent="0.25">
      <c r="A174" s="2200">
        <v>22</v>
      </c>
      <c r="B174" s="2198">
        <v>0.4</v>
      </c>
      <c r="C174" s="2198">
        <f>501.813-495.273-0.25-0.3-0.02-0.6-0.05-0.02</f>
        <v>5.2999999999999652</v>
      </c>
      <c r="D174" s="2133">
        <f>A174*B174*C174</f>
        <v>46.639999999999695</v>
      </c>
      <c r="E174" s="2133">
        <f>A174*C174+A174*(C174-C179-D179)</f>
        <v>215.59999999999846</v>
      </c>
      <c r="F174" s="3102"/>
    </row>
    <row r="175" spans="1:6" ht="13.5" thickBot="1" x14ac:dyDescent="0.25">
      <c r="A175" s="3094"/>
      <c r="B175" s="3094"/>
      <c r="C175" s="3094"/>
      <c r="D175" s="3094"/>
      <c r="E175" s="3094"/>
      <c r="F175" s="3094"/>
    </row>
    <row r="176" spans="1:6" ht="13.5" thickBot="1" x14ac:dyDescent="0.25">
      <c r="A176" s="3075" t="s">
        <v>2518</v>
      </c>
      <c r="B176" s="3076"/>
      <c r="C176" s="3076"/>
      <c r="D176" s="3076"/>
      <c r="E176" s="3076"/>
      <c r="F176" s="3077"/>
    </row>
    <row r="177" spans="1:6" s="2125" customFormat="1" x14ac:dyDescent="0.2">
      <c r="A177" s="2128" t="s">
        <v>2477</v>
      </c>
      <c r="B177" s="2129" t="s">
        <v>2479</v>
      </c>
      <c r="C177" s="2129" t="s">
        <v>2487</v>
      </c>
      <c r="D177" s="2129" t="s">
        <v>2488</v>
      </c>
      <c r="E177" s="2129" t="s">
        <v>2506</v>
      </c>
      <c r="F177" s="3091" t="s">
        <v>2507</v>
      </c>
    </row>
    <row r="178" spans="1:6" s="2125" customFormat="1" ht="13.5" thickBot="1" x14ac:dyDescent="0.25">
      <c r="A178" s="2200" t="s">
        <v>2508</v>
      </c>
      <c r="B178" s="2198" t="s">
        <v>2509</v>
      </c>
      <c r="C178" s="2198" t="s">
        <v>2510</v>
      </c>
      <c r="D178" s="2198" t="s">
        <v>2510</v>
      </c>
      <c r="E178" s="2198" t="s">
        <v>2511</v>
      </c>
      <c r="F178" s="3092"/>
    </row>
    <row r="179" spans="1:6" s="2125" customFormat="1" ht="13.5" thickBot="1" x14ac:dyDescent="0.25">
      <c r="A179" s="2200">
        <v>22</v>
      </c>
      <c r="B179" s="2198">
        <v>0.5</v>
      </c>
      <c r="C179" s="2198">
        <v>0.5</v>
      </c>
      <c r="D179" s="2198">
        <v>0.3</v>
      </c>
      <c r="E179" s="2133">
        <f>ROUND((((C179+D179)+D179)*B179)/2*A179,2)</f>
        <v>6.05</v>
      </c>
      <c r="F179" s="2133">
        <f>(((C179+D179)+D179)*B179)/2*2+D179*A179+SQRT(B179^2+C179^2)*A179</f>
        <v>22.706349186104045</v>
      </c>
    </row>
    <row r="180" spans="1:6" ht="13.5" thickBot="1" x14ac:dyDescent="0.25">
      <c r="A180" s="3095"/>
      <c r="B180" s="3095"/>
      <c r="C180" s="3095"/>
      <c r="D180" s="3095"/>
      <c r="E180" s="3095"/>
      <c r="F180" s="3095"/>
    </row>
    <row r="181" spans="1:6" ht="13.5" thickBot="1" x14ac:dyDescent="0.25">
      <c r="A181" s="3096"/>
      <c r="B181" s="3097"/>
      <c r="C181" s="3098" t="s">
        <v>2519</v>
      </c>
      <c r="D181" s="3099"/>
      <c r="E181" s="3100"/>
      <c r="F181" s="3096"/>
    </row>
    <row r="182" spans="1:6" x14ac:dyDescent="0.2">
      <c r="A182" s="3096"/>
      <c r="B182" s="3097"/>
      <c r="C182" s="2129" t="s">
        <v>2506</v>
      </c>
      <c r="D182" s="3091" t="s">
        <v>2507</v>
      </c>
      <c r="E182" s="3100"/>
      <c r="F182" s="3096"/>
    </row>
    <row r="183" spans="1:6" ht="13.5" thickBot="1" x14ac:dyDescent="0.25">
      <c r="A183" s="3096"/>
      <c r="B183" s="3097"/>
      <c r="C183" s="2198" t="s">
        <v>2511</v>
      </c>
      <c r="D183" s="3092"/>
      <c r="E183" s="3100"/>
      <c r="F183" s="3096"/>
    </row>
    <row r="184" spans="1:6" ht="13.5" thickBot="1" x14ac:dyDescent="0.25">
      <c r="A184" s="3096"/>
      <c r="B184" s="3097"/>
      <c r="C184" s="2133">
        <f>ROUND(D124+D129+D134+E139+D164+D169+D174+E179,2)</f>
        <v>178.63</v>
      </c>
      <c r="D184" s="2133">
        <f>ROUND(E124+E129+E134+F139+E164+E169+E174+F179,2)</f>
        <v>853.32</v>
      </c>
      <c r="E184" s="3100"/>
      <c r="F184" s="3096"/>
    </row>
    <row r="186" spans="1:6" x14ac:dyDescent="0.2">
      <c r="A186" s="2142" t="s">
        <v>2520</v>
      </c>
    </row>
    <row r="205" spans="1:7" ht="19.5" thickBot="1" x14ac:dyDescent="0.25">
      <c r="A205" s="2147"/>
      <c r="B205"/>
      <c r="C205"/>
      <c r="D205"/>
      <c r="E205"/>
      <c r="F205"/>
      <c r="G205"/>
    </row>
    <row r="206" spans="1:7" x14ac:dyDescent="0.2">
      <c r="A206" s="2199" t="s">
        <v>2474</v>
      </c>
      <c r="B206" s="2196" t="s">
        <v>2475</v>
      </c>
      <c r="C206" s="2196" t="s">
        <v>2476</v>
      </c>
      <c r="D206" s="2148" t="s">
        <v>2477</v>
      </c>
      <c r="E206" s="2196" t="s">
        <v>2478</v>
      </c>
      <c r="F206" s="2196" t="s">
        <v>2479</v>
      </c>
      <c r="G206" s="2196" t="s">
        <v>2486</v>
      </c>
    </row>
    <row r="207" spans="1:7" ht="15" thickBot="1" x14ac:dyDescent="0.25">
      <c r="A207" s="2200" t="s">
        <v>2521</v>
      </c>
      <c r="B207" s="2198" t="s">
        <v>2522</v>
      </c>
      <c r="C207" s="2198" t="s">
        <v>2523</v>
      </c>
      <c r="D207" s="2144" t="s">
        <v>2524</v>
      </c>
      <c r="E207" s="2198" t="s">
        <v>2525</v>
      </c>
      <c r="F207" s="2130" t="s">
        <v>2481</v>
      </c>
      <c r="G207" s="2130" t="s">
        <v>2481</v>
      </c>
    </row>
    <row r="208" spans="1:7" ht="13.5" thickBot="1" x14ac:dyDescent="0.25">
      <c r="A208" s="2131">
        <v>4</v>
      </c>
      <c r="B208" s="2132">
        <v>4</v>
      </c>
      <c r="C208" s="2132">
        <v>0.05</v>
      </c>
      <c r="D208" s="2149">
        <v>1</v>
      </c>
      <c r="E208" s="2150">
        <f>ROUND(496.517-492.872-0.05,1)</f>
        <v>3.6</v>
      </c>
      <c r="F208" s="2132">
        <v>0.5</v>
      </c>
      <c r="G208" s="2132">
        <v>0.5</v>
      </c>
    </row>
    <row r="209" spans="1:7" x14ac:dyDescent="0.2">
      <c r="A209" s="2151"/>
      <c r="B209" s="2151"/>
      <c r="C209" s="2151"/>
      <c r="D209" s="2152"/>
      <c r="E209" s="2151"/>
      <c r="F209" s="2151"/>
      <c r="G209" s="2151"/>
    </row>
    <row r="210" spans="1:7" ht="13.5" thickBot="1" x14ac:dyDescent="0.25">
      <c r="A210" s="2151"/>
      <c r="B210" s="2151"/>
      <c r="C210" s="2151"/>
      <c r="D210" s="2152"/>
      <c r="E210" s="2151"/>
      <c r="F210" s="2151"/>
      <c r="G210" s="2151"/>
    </row>
    <row r="211" spans="1:7" ht="51.75" thickBot="1" x14ac:dyDescent="0.25">
      <c r="A211" s="2153" t="s">
        <v>2526</v>
      </c>
      <c r="B211" s="2153" t="s">
        <v>2527</v>
      </c>
      <c r="C211" s="2153" t="s">
        <v>2528</v>
      </c>
      <c r="D211" s="2154" t="s">
        <v>2507</v>
      </c>
      <c r="E211" s="2155" t="s">
        <v>2529</v>
      </c>
      <c r="F211" s="2155" t="s">
        <v>2596</v>
      </c>
      <c r="G211" s="2155" t="s">
        <v>2599</v>
      </c>
    </row>
    <row r="212" spans="1:7" ht="13.5" thickBot="1" x14ac:dyDescent="0.25">
      <c r="A212" s="2156">
        <v>3</v>
      </c>
      <c r="B212" s="2157">
        <f>ROUND(A208*B208*D208*A212,2)</f>
        <v>48</v>
      </c>
      <c r="C212" s="2157">
        <f>ROUND(A208*B208*C208*A212,2)</f>
        <v>2.4</v>
      </c>
      <c r="D212" s="2158">
        <f>ROUND((((A208*2)+(B208*2))*+D208)*A212,2)</f>
        <v>48</v>
      </c>
      <c r="E212" s="2157">
        <f>ROUND(((A208+F208*2)*(B208+G208*2))*E208*A212,2)</f>
        <v>270</v>
      </c>
      <c r="F212" s="2157">
        <f>A208*B208*A212</f>
        <v>48</v>
      </c>
      <c r="G212" s="2157">
        <f>E212*5%</f>
        <v>13.5</v>
      </c>
    </row>
    <row r="213" spans="1:7" ht="16.5" customHeight="1" x14ac:dyDescent="0.2">
      <c r="A213" s="2142"/>
      <c r="B213"/>
      <c r="C213"/>
      <c r="D213"/>
      <c r="E213"/>
      <c r="F213"/>
      <c r="G213"/>
    </row>
    <row r="214" spans="1:7" x14ac:dyDescent="0.2">
      <c r="A214" s="2142" t="s">
        <v>2530</v>
      </c>
      <c r="B214"/>
      <c r="C214"/>
      <c r="D214"/>
      <c r="E214"/>
      <c r="F214"/>
      <c r="G214"/>
    </row>
    <row r="233" spans="1:9" ht="13.5" thickBot="1" x14ac:dyDescent="0.25"/>
    <row r="234" spans="1:9" x14ac:dyDescent="0.2">
      <c r="A234" s="2199" t="s">
        <v>2474</v>
      </c>
      <c r="B234" s="2196" t="s">
        <v>2475</v>
      </c>
      <c r="C234" s="2196" t="s">
        <v>2476</v>
      </c>
      <c r="D234" s="2148" t="s">
        <v>2477</v>
      </c>
      <c r="E234" s="2196" t="s">
        <v>2478</v>
      </c>
      <c r="F234" s="2196" t="s">
        <v>2479</v>
      </c>
      <c r="G234" s="2196" t="s">
        <v>2486</v>
      </c>
    </row>
    <row r="235" spans="1:9" ht="15" thickBot="1" x14ac:dyDescent="0.25">
      <c r="A235" s="2200" t="s">
        <v>2521</v>
      </c>
      <c r="B235" s="2198" t="s">
        <v>2522</v>
      </c>
      <c r="C235" s="2198" t="s">
        <v>2523</v>
      </c>
      <c r="D235" s="2144" t="s">
        <v>2524</v>
      </c>
      <c r="E235" s="2198" t="s">
        <v>2525</v>
      </c>
      <c r="F235" s="2130" t="s">
        <v>2481</v>
      </c>
      <c r="G235" s="2130" t="s">
        <v>2481</v>
      </c>
    </row>
    <row r="236" spans="1:9" ht="13.5" thickBot="1" x14ac:dyDescent="0.25">
      <c r="A236" s="2131">
        <v>4</v>
      </c>
      <c r="B236" s="2132">
        <v>4</v>
      </c>
      <c r="C236" s="2132">
        <v>0.05</v>
      </c>
      <c r="D236" s="2149">
        <v>1</v>
      </c>
      <c r="E236" s="2132">
        <f>ROUND(496.517-492.872-0.05,1)</f>
        <v>3.6</v>
      </c>
      <c r="F236" s="2132">
        <v>0.5</v>
      </c>
      <c r="G236" s="2132">
        <v>0.5</v>
      </c>
      <c r="I236" s="21">
        <f>7.39/2</f>
        <v>3.6949999999999998</v>
      </c>
    </row>
    <row r="237" spans="1:9" x14ac:dyDescent="0.2">
      <c r="A237" s="2151"/>
      <c r="B237" s="2151"/>
      <c r="C237" s="2151"/>
      <c r="D237" s="2152"/>
      <c r="E237" s="2151"/>
      <c r="F237" s="2151"/>
      <c r="G237" s="2151"/>
    </row>
    <row r="238" spans="1:9" ht="13.5" thickBot="1" x14ac:dyDescent="0.25"/>
    <row r="239" spans="1:9" ht="51.75" thickBot="1" x14ac:dyDescent="0.25">
      <c r="A239" s="2153" t="s">
        <v>2526</v>
      </c>
      <c r="B239" s="2153" t="s">
        <v>2531</v>
      </c>
      <c r="C239" s="2153" t="s">
        <v>2528</v>
      </c>
      <c r="D239" s="2154" t="s">
        <v>2507</v>
      </c>
      <c r="E239" s="2155" t="s">
        <v>2529</v>
      </c>
      <c r="F239" s="2155" t="s">
        <v>2596</v>
      </c>
      <c r="G239" s="2155" t="s">
        <v>2599</v>
      </c>
    </row>
    <row r="240" spans="1:9" ht="13.5" thickBot="1" x14ac:dyDescent="0.25">
      <c r="A240" s="2156">
        <v>3</v>
      </c>
      <c r="B240" s="2157">
        <f>ROUND(A236*B236*D236*A240,2)</f>
        <v>48</v>
      </c>
      <c r="C240" s="2157">
        <f>ROUND(A236*B236*C236*A240,2)</f>
        <v>2.4</v>
      </c>
      <c r="D240" s="2158">
        <f>ROUND((((A236*2)+(B236*2))*+D236)*A240,2)</f>
        <v>48</v>
      </c>
      <c r="E240" s="2157">
        <f>ROUND(((A236+F236*2)*(B236+G236*2))*E236*A240,2)</f>
        <v>270</v>
      </c>
      <c r="F240" s="2157">
        <f>A236*B236*A240</f>
        <v>48</v>
      </c>
      <c r="G240" s="2157">
        <f>E240*5%</f>
        <v>13.5</v>
      </c>
    </row>
    <row r="241" spans="1:7" x14ac:dyDescent="0.2">
      <c r="A241" s="2142" t="s">
        <v>2532</v>
      </c>
      <c r="B241"/>
      <c r="C241"/>
      <c r="D241"/>
      <c r="E241"/>
      <c r="F241"/>
      <c r="G241"/>
    </row>
    <row r="242" spans="1:7" x14ac:dyDescent="0.2">
      <c r="A242" s="2142"/>
      <c r="B242"/>
      <c r="C242"/>
      <c r="D242"/>
      <c r="E242"/>
      <c r="F242"/>
      <c r="G242"/>
    </row>
    <row r="243" spans="1:7" x14ac:dyDescent="0.2">
      <c r="A243" s="2142"/>
      <c r="B243"/>
      <c r="C243"/>
      <c r="D243"/>
      <c r="E243"/>
      <c r="F243"/>
      <c r="G243"/>
    </row>
    <row r="244" spans="1:7" x14ac:dyDescent="0.2">
      <c r="A244" s="2142"/>
      <c r="B244"/>
      <c r="C244"/>
      <c r="D244"/>
      <c r="E244"/>
      <c r="F244"/>
      <c r="G244"/>
    </row>
    <row r="245" spans="1:7" x14ac:dyDescent="0.2">
      <c r="A245" s="2142"/>
      <c r="B245"/>
      <c r="C245"/>
      <c r="D245"/>
      <c r="E245"/>
      <c r="F245"/>
      <c r="G245"/>
    </row>
    <row r="246" spans="1:7" x14ac:dyDescent="0.2">
      <c r="A246" s="2142"/>
      <c r="B246"/>
      <c r="C246"/>
      <c r="D246"/>
      <c r="E246"/>
      <c r="F246"/>
      <c r="G246"/>
    </row>
    <row r="247" spans="1:7" x14ac:dyDescent="0.2">
      <c r="A247" s="2142"/>
      <c r="B247"/>
      <c r="C247"/>
      <c r="D247"/>
      <c r="E247"/>
      <c r="F247"/>
      <c r="G247"/>
    </row>
    <row r="248" spans="1:7" x14ac:dyDescent="0.2">
      <c r="A248" s="2142"/>
      <c r="B248"/>
      <c r="C248"/>
      <c r="D248"/>
      <c r="E248"/>
      <c r="F248"/>
      <c r="G248"/>
    </row>
    <row r="249" spans="1:7" x14ac:dyDescent="0.2">
      <c r="A249" s="2142"/>
      <c r="B249"/>
      <c r="C249"/>
      <c r="D249"/>
      <c r="E249"/>
      <c r="F249"/>
      <c r="G249"/>
    </row>
    <row r="250" spans="1:7" x14ac:dyDescent="0.2">
      <c r="A250" s="2142"/>
      <c r="B250"/>
      <c r="C250"/>
      <c r="D250"/>
      <c r="E250"/>
      <c r="F250"/>
      <c r="G250"/>
    </row>
    <row r="251" spans="1:7" x14ac:dyDescent="0.2">
      <c r="A251" s="2142"/>
      <c r="B251"/>
      <c r="C251"/>
      <c r="D251"/>
      <c r="E251"/>
      <c r="F251"/>
      <c r="G251"/>
    </row>
    <row r="252" spans="1:7" x14ac:dyDescent="0.2">
      <c r="A252" s="2142"/>
      <c r="B252"/>
      <c r="C252"/>
      <c r="D252"/>
      <c r="E252"/>
      <c r="F252"/>
      <c r="G252"/>
    </row>
    <row r="253" spans="1:7" x14ac:dyDescent="0.2">
      <c r="A253" s="2142"/>
      <c r="B253"/>
      <c r="C253"/>
      <c r="D253"/>
      <c r="E253"/>
      <c r="F253"/>
      <c r="G253"/>
    </row>
    <row r="254" spans="1:7" x14ac:dyDescent="0.2">
      <c r="A254" s="2142"/>
      <c r="B254"/>
      <c r="C254"/>
      <c r="D254"/>
      <c r="E254"/>
      <c r="F254"/>
      <c r="G254"/>
    </row>
    <row r="255" spans="1:7" x14ac:dyDescent="0.2">
      <c r="A255" s="2142"/>
      <c r="B255"/>
      <c r="C255"/>
      <c r="D255"/>
      <c r="E255"/>
      <c r="F255"/>
      <c r="G255"/>
    </row>
    <row r="256" spans="1:7" x14ac:dyDescent="0.2">
      <c r="A256" s="2142"/>
      <c r="B256"/>
      <c r="C256"/>
      <c r="D256"/>
      <c r="E256"/>
      <c r="F256"/>
      <c r="G256"/>
    </row>
    <row r="257" spans="1:7" x14ac:dyDescent="0.2">
      <c r="A257" s="2142"/>
      <c r="B257"/>
      <c r="C257"/>
      <c r="D257"/>
      <c r="E257"/>
      <c r="F257"/>
      <c r="G257"/>
    </row>
    <row r="258" spans="1:7" x14ac:dyDescent="0.2">
      <c r="A258" s="2142"/>
      <c r="B258"/>
      <c r="C258"/>
      <c r="D258"/>
      <c r="E258"/>
      <c r="F258"/>
      <c r="G258"/>
    </row>
    <row r="259" spans="1:7" x14ac:dyDescent="0.2">
      <c r="A259" s="2142"/>
      <c r="B259"/>
      <c r="C259"/>
      <c r="D259"/>
      <c r="E259"/>
      <c r="F259"/>
      <c r="G259"/>
    </row>
    <row r="260" spans="1:7" ht="13.5" thickBot="1" x14ac:dyDescent="0.25">
      <c r="A260" s="2159"/>
      <c r="B260"/>
      <c r="C260"/>
      <c r="D260"/>
      <c r="E260"/>
      <c r="F260"/>
      <c r="G260"/>
    </row>
    <row r="261" spans="1:7" s="2125" customFormat="1" x14ac:dyDescent="0.2">
      <c r="A261" s="2199" t="s">
        <v>2474</v>
      </c>
      <c r="B261" s="2196" t="s">
        <v>2475</v>
      </c>
      <c r="C261" s="2196" t="s">
        <v>2533</v>
      </c>
      <c r="D261" s="2196" t="s">
        <v>2506</v>
      </c>
      <c r="E261" s="3091" t="s">
        <v>2507</v>
      </c>
      <c r="F261" s="2140"/>
      <c r="G261" s="2140"/>
    </row>
    <row r="262" spans="1:7" s="2125" customFormat="1" ht="13.5" thickBot="1" x14ac:dyDescent="0.25">
      <c r="A262" s="2200" t="s">
        <v>2534</v>
      </c>
      <c r="B262" s="2198" t="s">
        <v>2510</v>
      </c>
      <c r="C262" s="2198" t="s">
        <v>2535</v>
      </c>
      <c r="D262" s="2198" t="s">
        <v>2511</v>
      </c>
      <c r="E262" s="3092"/>
      <c r="F262" s="2140"/>
      <c r="G262" s="2140"/>
    </row>
    <row r="263" spans="1:7" ht="13.5" thickBot="1" x14ac:dyDescent="0.25">
      <c r="A263" s="2131">
        <v>0.8</v>
      </c>
      <c r="B263" s="2160">
        <v>5.2</v>
      </c>
      <c r="C263" s="2132">
        <v>6</v>
      </c>
      <c r="D263" s="2134">
        <f>ROUND((PI()*A263^2)/4*B263*C263,2)</f>
        <v>15.68</v>
      </c>
      <c r="E263" s="2134">
        <f>ROUND(2*PI()*A263/2*B263*C263,2)</f>
        <v>78.41</v>
      </c>
      <c r="F263"/>
      <c r="G263"/>
    </row>
    <row r="264" spans="1:7" ht="15" x14ac:dyDescent="0.2">
      <c r="A264" s="2161"/>
      <c r="B264"/>
      <c r="C264"/>
      <c r="D264"/>
      <c r="E264"/>
      <c r="F264"/>
      <c r="G264"/>
    </row>
    <row r="265" spans="1:7" x14ac:dyDescent="0.2">
      <c r="A265" s="2162" t="s">
        <v>2536</v>
      </c>
      <c r="B265"/>
      <c r="C265"/>
      <c r="D265"/>
      <c r="E265"/>
      <c r="F265"/>
      <c r="G265"/>
    </row>
    <row r="266" spans="1:7" x14ac:dyDescent="0.2">
      <c r="A266" s="2142"/>
      <c r="B266"/>
      <c r="C266"/>
      <c r="D266"/>
      <c r="E266"/>
      <c r="F266"/>
      <c r="G266"/>
    </row>
    <row r="267" spans="1:7" x14ac:dyDescent="0.2">
      <c r="A267" s="2142"/>
      <c r="B267"/>
      <c r="C267"/>
      <c r="D267"/>
      <c r="E267"/>
      <c r="F267"/>
      <c r="G267"/>
    </row>
    <row r="268" spans="1:7" x14ac:dyDescent="0.2">
      <c r="A268" s="2142"/>
      <c r="B268"/>
      <c r="C268"/>
      <c r="D268"/>
      <c r="E268"/>
      <c r="F268"/>
      <c r="G268"/>
    </row>
    <row r="269" spans="1:7" x14ac:dyDescent="0.2">
      <c r="A269" s="2142"/>
      <c r="B269"/>
      <c r="C269"/>
      <c r="D269"/>
      <c r="E269"/>
      <c r="F269"/>
      <c r="G269"/>
    </row>
    <row r="270" spans="1:7" x14ac:dyDescent="0.2">
      <c r="A270" s="2142"/>
      <c r="B270"/>
      <c r="C270"/>
      <c r="D270"/>
      <c r="E270"/>
      <c r="F270"/>
      <c r="G270"/>
    </row>
    <row r="271" spans="1:7" x14ac:dyDescent="0.2">
      <c r="A271" s="2142"/>
      <c r="B271"/>
      <c r="C271"/>
      <c r="D271"/>
      <c r="E271"/>
      <c r="F271"/>
      <c r="G271"/>
    </row>
    <row r="272" spans="1:7" x14ac:dyDescent="0.2">
      <c r="A272" s="2142"/>
      <c r="B272"/>
      <c r="C272"/>
      <c r="D272"/>
      <c r="E272"/>
      <c r="F272"/>
      <c r="G272"/>
    </row>
    <row r="273" spans="1:7" x14ac:dyDescent="0.2">
      <c r="A273" s="2142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ht="18" thickBot="1" x14ac:dyDescent="0.25">
      <c r="A276" s="2163"/>
      <c r="B276"/>
      <c r="C276"/>
      <c r="D276"/>
      <c r="E276"/>
      <c r="F276"/>
      <c r="G276"/>
    </row>
    <row r="277" spans="1:7" x14ac:dyDescent="0.2">
      <c r="A277" s="2199" t="s">
        <v>2474</v>
      </c>
      <c r="B277" s="2196" t="s">
        <v>2475</v>
      </c>
      <c r="C277" s="2196" t="s">
        <v>2476</v>
      </c>
      <c r="D277" s="2148" t="s">
        <v>2477</v>
      </c>
      <c r="E277" s="2196" t="s">
        <v>2478</v>
      </c>
      <c r="F277" s="2196" t="s">
        <v>2479</v>
      </c>
      <c r="G277" s="2196" t="s">
        <v>2533</v>
      </c>
    </row>
    <row r="278" spans="1:7" ht="15" thickBot="1" x14ac:dyDescent="0.25">
      <c r="A278" s="2200" t="s">
        <v>2537</v>
      </c>
      <c r="B278" s="2198" t="s">
        <v>2521</v>
      </c>
      <c r="C278" s="2198" t="s">
        <v>2538</v>
      </c>
      <c r="D278" s="2144" t="s">
        <v>2523</v>
      </c>
      <c r="E278" s="2198" t="s">
        <v>2524</v>
      </c>
      <c r="F278" s="2198" t="s">
        <v>2509</v>
      </c>
      <c r="G278" s="2198" t="s">
        <v>2539</v>
      </c>
    </row>
    <row r="279" spans="1:7" ht="13.5" thickBot="1" x14ac:dyDescent="0.25">
      <c r="A279" s="2131">
        <v>15.8</v>
      </c>
      <c r="B279" s="2132">
        <v>3.1</v>
      </c>
      <c r="C279" s="2132">
        <v>3.1</v>
      </c>
      <c r="D279" s="2149">
        <v>1</v>
      </c>
      <c r="E279" s="2132">
        <v>0.5</v>
      </c>
      <c r="F279" s="2132">
        <v>1.2</v>
      </c>
      <c r="G279" s="2132">
        <v>2</v>
      </c>
    </row>
    <row r="280" spans="1:7" ht="13.5" thickBot="1" x14ac:dyDescent="0.25"/>
    <row r="281" spans="1:7" x14ac:dyDescent="0.2">
      <c r="A281" s="2196" t="s">
        <v>2506</v>
      </c>
      <c r="B281" s="3091" t="s">
        <v>2507</v>
      </c>
    </row>
    <row r="282" spans="1:7" ht="13.5" thickBot="1" x14ac:dyDescent="0.25">
      <c r="A282" s="2198" t="s">
        <v>2511</v>
      </c>
      <c r="B282" s="3092"/>
    </row>
    <row r="283" spans="1:7" ht="13.5" thickBot="1" x14ac:dyDescent="0.25">
      <c r="A283" s="2134">
        <f>ROUND((A279*F279*(D279+E279)+((D279+E279)+E279)*C279/2*F279+((D279+E279)+E279)*B279/2*F279)*G279,2)</f>
        <v>71.760000000000005</v>
      </c>
      <c r="B283" s="2134">
        <f>ROUND((E279*2+SQRT(B279^2+D279^2)+A279+SQRT(C279^2+D279^2))*F279*G279+(((A279+B279+C279)+A279)*D279/2+(A279+B279+C279)*E279)*2*G279,2)</f>
        <v>175.56</v>
      </c>
    </row>
    <row r="285" spans="1:7" x14ac:dyDescent="0.2">
      <c r="A285" s="2162" t="s">
        <v>2540</v>
      </c>
    </row>
    <row r="286" spans="1:7" ht="15.75" x14ac:dyDescent="0.2">
      <c r="A286" s="2164"/>
    </row>
    <row r="287" spans="1:7" x14ac:dyDescent="0.2">
      <c r="A287" s="2142" t="s">
        <v>2541</v>
      </c>
    </row>
    <row r="297" spans="1:6" ht="13.5" thickBot="1" x14ac:dyDescent="0.25"/>
    <row r="298" spans="1:6" x14ac:dyDescent="0.2">
      <c r="A298" s="2199" t="s">
        <v>2474</v>
      </c>
      <c r="B298" s="2196" t="s">
        <v>2475</v>
      </c>
      <c r="C298" s="2196" t="s">
        <v>2476</v>
      </c>
      <c r="D298" s="2196" t="s">
        <v>2542</v>
      </c>
      <c r="E298" s="2196" t="s">
        <v>2506</v>
      </c>
      <c r="F298" s="3091" t="s">
        <v>2507</v>
      </c>
    </row>
    <row r="299" spans="1:6" ht="13.5" thickBot="1" x14ac:dyDescent="0.25">
      <c r="A299" s="2200" t="s">
        <v>2508</v>
      </c>
      <c r="B299" s="2198" t="s">
        <v>2509</v>
      </c>
      <c r="C299" s="2198" t="s">
        <v>2510</v>
      </c>
      <c r="D299" s="2198" t="s">
        <v>2543</v>
      </c>
      <c r="E299" s="2198" t="s">
        <v>2511</v>
      </c>
      <c r="F299" s="3092"/>
    </row>
    <row r="300" spans="1:6" ht="13.5" thickBot="1" x14ac:dyDescent="0.25">
      <c r="A300" s="2131">
        <v>22</v>
      </c>
      <c r="B300" s="2132">
        <v>0.3</v>
      </c>
      <c r="C300" s="2132">
        <v>0.02</v>
      </c>
      <c r="D300" s="2132">
        <v>6</v>
      </c>
      <c r="E300" s="2133">
        <f>ROUND(A300*B300*C300*D300,2)</f>
        <v>0.79</v>
      </c>
      <c r="F300" s="2133">
        <f>ROUND((A300*2+B300*2)*C300*D300,2)</f>
        <v>5.35</v>
      </c>
    </row>
    <row r="302" spans="1:6" x14ac:dyDescent="0.2">
      <c r="A302" s="21" t="s">
        <v>2544</v>
      </c>
    </row>
    <row r="313" spans="1:6" ht="13.5" thickBot="1" x14ac:dyDescent="0.25">
      <c r="A313" s="2165"/>
      <c r="B313"/>
      <c r="C313"/>
      <c r="D313"/>
      <c r="E313"/>
      <c r="F313"/>
    </row>
    <row r="314" spans="1:6" x14ac:dyDescent="0.2">
      <c r="A314" s="2199" t="s">
        <v>2474</v>
      </c>
      <c r="B314" s="2196" t="s">
        <v>2475</v>
      </c>
      <c r="C314" s="2196" t="s">
        <v>2476</v>
      </c>
      <c r="D314" s="2196" t="s">
        <v>2542</v>
      </c>
      <c r="E314" s="2196" t="s">
        <v>2506</v>
      </c>
      <c r="F314" s="3091" t="s">
        <v>2507</v>
      </c>
    </row>
    <row r="315" spans="1:6" ht="13.5" thickBot="1" x14ac:dyDescent="0.25">
      <c r="A315" s="2200" t="s">
        <v>2508</v>
      </c>
      <c r="B315" s="2198" t="s">
        <v>2509</v>
      </c>
      <c r="C315" s="2198" t="s">
        <v>2510</v>
      </c>
      <c r="D315" s="2198" t="s">
        <v>2543</v>
      </c>
      <c r="E315" s="2198" t="s">
        <v>2511</v>
      </c>
      <c r="F315" s="3092"/>
    </row>
    <row r="316" spans="1:6" ht="13.5" thickBot="1" x14ac:dyDescent="0.25">
      <c r="A316" s="2131">
        <v>22</v>
      </c>
      <c r="B316" s="2132">
        <v>0.15</v>
      </c>
      <c r="C316" s="2132">
        <v>0.02</v>
      </c>
      <c r="D316" s="2132">
        <v>2</v>
      </c>
      <c r="E316" s="2133">
        <f>ROUND(A316*B316*C316*D316,2)</f>
        <v>0.13</v>
      </c>
      <c r="F316" s="2133">
        <f>ROUND((A316*2+B316*2)*C316*D316,2)</f>
        <v>1.77</v>
      </c>
    </row>
    <row r="317" spans="1:6" ht="13.5" thickBot="1" x14ac:dyDescent="0.25"/>
    <row r="318" spans="1:6" ht="26.25" customHeight="1" thickBot="1" x14ac:dyDescent="0.25">
      <c r="A318" s="3089" t="s">
        <v>2545</v>
      </c>
      <c r="B318" s="3090"/>
    </row>
    <row r="319" spans="1:6" x14ac:dyDescent="0.2">
      <c r="A319" s="2196" t="s">
        <v>2506</v>
      </c>
      <c r="B319" s="3091" t="s">
        <v>2507</v>
      </c>
    </row>
    <row r="320" spans="1:6" ht="13.5" thickBot="1" x14ac:dyDescent="0.25">
      <c r="A320" s="2198" t="s">
        <v>2511</v>
      </c>
      <c r="B320" s="3092"/>
    </row>
    <row r="321" spans="1:6" ht="13.5" thickBot="1" x14ac:dyDescent="0.25">
      <c r="A321" s="2134">
        <f>ROUND(E300+E316,2)</f>
        <v>0.92</v>
      </c>
      <c r="B321" s="2134">
        <f>ROUND(F300+F316,2)</f>
        <v>7.12</v>
      </c>
    </row>
    <row r="323" spans="1:6" x14ac:dyDescent="0.2">
      <c r="A323" s="2166" t="s">
        <v>2546</v>
      </c>
    </row>
    <row r="335" spans="1:6" ht="13.5" thickBot="1" x14ac:dyDescent="0.25"/>
    <row r="336" spans="1:6" x14ac:dyDescent="0.2">
      <c r="A336" s="2199" t="s">
        <v>2474</v>
      </c>
      <c r="B336" s="2196" t="s">
        <v>2475</v>
      </c>
      <c r="C336" s="2196" t="s">
        <v>2476</v>
      </c>
      <c r="D336" s="2148" t="s">
        <v>2477</v>
      </c>
      <c r="E336" s="2196" t="s">
        <v>2478</v>
      </c>
      <c r="F336" s="2196" t="s">
        <v>2479</v>
      </c>
    </row>
    <row r="337" spans="1:6" ht="15" thickBot="1" x14ac:dyDescent="0.25">
      <c r="A337" s="2200" t="s">
        <v>2547</v>
      </c>
      <c r="B337" s="2198" t="s">
        <v>2548</v>
      </c>
      <c r="C337" s="2198" t="s">
        <v>2549</v>
      </c>
      <c r="D337" s="2144" t="s">
        <v>2523</v>
      </c>
      <c r="E337" s="2198" t="s">
        <v>2524</v>
      </c>
      <c r="F337" s="2198" t="s">
        <v>2508</v>
      </c>
    </row>
    <row r="338" spans="1:6" ht="13.5" thickBot="1" x14ac:dyDescent="0.25">
      <c r="A338" s="2200">
        <v>0.4</v>
      </c>
      <c r="B338" s="2198">
        <v>0.2</v>
      </c>
      <c r="C338" s="2198">
        <v>0.4</v>
      </c>
      <c r="D338" s="2144">
        <v>1.02</v>
      </c>
      <c r="E338" s="2198">
        <v>0.05</v>
      </c>
      <c r="F338" s="2198">
        <v>9.1999999999999993</v>
      </c>
    </row>
    <row r="339" spans="1:6" ht="13.5" thickBot="1" x14ac:dyDescent="0.25"/>
    <row r="340" spans="1:6" x14ac:dyDescent="0.2">
      <c r="A340" s="2196" t="s">
        <v>2550</v>
      </c>
      <c r="B340" s="2196" t="s">
        <v>2506</v>
      </c>
      <c r="C340" s="3091" t="s">
        <v>2507</v>
      </c>
    </row>
    <row r="341" spans="1:6" ht="13.5" thickBot="1" x14ac:dyDescent="0.25">
      <c r="A341" s="2198" t="s">
        <v>2539</v>
      </c>
      <c r="B341" s="2198" t="s">
        <v>2511</v>
      </c>
      <c r="C341" s="3092"/>
    </row>
    <row r="342" spans="1:6" ht="13.5" thickBot="1" x14ac:dyDescent="0.25">
      <c r="A342" s="2134">
        <v>44</v>
      </c>
      <c r="B342" s="2144">
        <v>102.82</v>
      </c>
      <c r="C342" s="2144">
        <v>1293.43</v>
      </c>
    </row>
    <row r="344" spans="1:6" x14ac:dyDescent="0.2">
      <c r="A344" s="2166" t="s">
        <v>2551</v>
      </c>
    </row>
    <row r="356" spans="1:6" ht="13.5" thickBot="1" x14ac:dyDescent="0.25"/>
    <row r="357" spans="1:6" x14ac:dyDescent="0.2">
      <c r="A357" s="2199" t="s">
        <v>2474</v>
      </c>
      <c r="B357" s="2196" t="s">
        <v>2475</v>
      </c>
      <c r="C357" s="2196" t="s">
        <v>2476</v>
      </c>
      <c r="D357" s="2148" t="s">
        <v>2477</v>
      </c>
      <c r="E357" s="2196" t="s">
        <v>2478</v>
      </c>
      <c r="F357" s="2196" t="s">
        <v>2479</v>
      </c>
    </row>
    <row r="358" spans="1:6" ht="15" thickBot="1" x14ac:dyDescent="0.25">
      <c r="A358" s="2200" t="s">
        <v>2547</v>
      </c>
      <c r="B358" s="2198" t="s">
        <v>2548</v>
      </c>
      <c r="C358" s="2198" t="s">
        <v>2549</v>
      </c>
      <c r="D358" s="2144" t="s">
        <v>2523</v>
      </c>
      <c r="E358" s="2198" t="s">
        <v>2524</v>
      </c>
      <c r="F358" s="2198" t="s">
        <v>2508</v>
      </c>
    </row>
    <row r="359" spans="1:6" ht="13.5" thickBot="1" x14ac:dyDescent="0.25">
      <c r="A359" s="2200">
        <v>0.4</v>
      </c>
      <c r="B359" s="2198">
        <v>0.2</v>
      </c>
      <c r="C359" s="2198">
        <v>0.4</v>
      </c>
      <c r="D359" s="2144">
        <v>1.02</v>
      </c>
      <c r="E359" s="2198">
        <v>0.05</v>
      </c>
      <c r="F359" s="2198">
        <v>19.2</v>
      </c>
    </row>
    <row r="361" spans="1:6" ht="13.5" thickBot="1" x14ac:dyDescent="0.25"/>
    <row r="362" spans="1:6" x14ac:dyDescent="0.2">
      <c r="A362" s="2196" t="s">
        <v>2550</v>
      </c>
      <c r="B362" s="2196" t="s">
        <v>2506</v>
      </c>
      <c r="C362" s="3091" t="s">
        <v>2507</v>
      </c>
    </row>
    <row r="363" spans="1:6" ht="13.5" thickBot="1" x14ac:dyDescent="0.25">
      <c r="A363" s="2198" t="s">
        <v>2539</v>
      </c>
      <c r="B363" s="2198" t="s">
        <v>2511</v>
      </c>
      <c r="C363" s="3092"/>
    </row>
    <row r="364" spans="1:6" ht="13.5" thickBot="1" x14ac:dyDescent="0.25">
      <c r="A364" s="2134">
        <v>22</v>
      </c>
      <c r="B364" s="2144">
        <v>107.29</v>
      </c>
      <c r="C364" s="2144">
        <v>1337.52</v>
      </c>
    </row>
    <row r="366" spans="1:6" x14ac:dyDescent="0.2">
      <c r="A366" s="2138" t="s">
        <v>2552</v>
      </c>
    </row>
    <row r="389" spans="1:7" ht="13.5" thickBot="1" x14ac:dyDescent="0.25"/>
    <row r="390" spans="1:7" x14ac:dyDescent="0.2">
      <c r="A390" s="2199" t="s">
        <v>2474</v>
      </c>
      <c r="B390" s="2196" t="s">
        <v>2475</v>
      </c>
      <c r="C390" s="2196" t="s">
        <v>2476</v>
      </c>
      <c r="D390" s="2196" t="s">
        <v>2477</v>
      </c>
      <c r="E390" s="2196" t="s">
        <v>2478</v>
      </c>
      <c r="F390" s="2196" t="s">
        <v>2479</v>
      </c>
      <c r="G390" s="2196" t="s">
        <v>2486</v>
      </c>
    </row>
    <row r="391" spans="1:7" ht="15" thickBot="1" x14ac:dyDescent="0.25">
      <c r="A391" s="2200" t="s">
        <v>2508</v>
      </c>
      <c r="B391" s="2198" t="s">
        <v>2547</v>
      </c>
      <c r="C391" s="2198" t="s">
        <v>2548</v>
      </c>
      <c r="D391" s="2198" t="s">
        <v>2549</v>
      </c>
      <c r="E391" s="2198" t="s">
        <v>2553</v>
      </c>
      <c r="F391" s="2198" t="s">
        <v>2523</v>
      </c>
      <c r="G391" s="2198" t="s">
        <v>2524</v>
      </c>
    </row>
    <row r="392" spans="1:7" ht="13.5" thickBot="1" x14ac:dyDescent="0.25">
      <c r="A392" s="2131">
        <v>40</v>
      </c>
      <c r="B392" s="2132">
        <v>5.65</v>
      </c>
      <c r="C392" s="2132">
        <v>7</v>
      </c>
      <c r="D392" s="2132">
        <v>7</v>
      </c>
      <c r="E392" s="2132">
        <v>2.35</v>
      </c>
      <c r="F392" s="2132">
        <v>0.15</v>
      </c>
      <c r="G392" s="2132">
        <v>0.05</v>
      </c>
    </row>
    <row r="393" spans="1:7" ht="13.5" thickBot="1" x14ac:dyDescent="0.25"/>
    <row r="394" spans="1:7" x14ac:dyDescent="0.2">
      <c r="A394" s="2196" t="s">
        <v>2487</v>
      </c>
      <c r="B394" s="2196" t="s">
        <v>2506</v>
      </c>
      <c r="C394" s="3091" t="s">
        <v>2507</v>
      </c>
      <c r="D394" s="2196" t="s">
        <v>2506</v>
      </c>
    </row>
    <row r="395" spans="1:7" ht="13.5" thickBot="1" x14ac:dyDescent="0.25">
      <c r="A395" s="2198" t="s">
        <v>804</v>
      </c>
      <c r="B395" s="2198" t="s">
        <v>2511</v>
      </c>
      <c r="C395" s="3092"/>
      <c r="D395" s="2198" t="s">
        <v>1893</v>
      </c>
    </row>
    <row r="396" spans="1:7" ht="13.5" thickBot="1" x14ac:dyDescent="0.25">
      <c r="A396" s="2149">
        <v>0.05</v>
      </c>
      <c r="B396" s="2134">
        <f>ROUND((B392+C392+D392+E392)*F392*A392+(C392+D392)*G392/2*A392,2)</f>
        <v>146</v>
      </c>
      <c r="C396" s="2134">
        <f>ROUND((B392+C392+D392+E392)*F392*2+A392*F392*2+(C392+D392)*G392/2*2,2)</f>
        <v>19.3</v>
      </c>
      <c r="D396" s="2134">
        <f>ROUND((B392+C392+D392+E392)*A392*A396,2)</f>
        <v>44</v>
      </c>
    </row>
    <row r="398" spans="1:7" x14ac:dyDescent="0.2">
      <c r="A398" s="2142" t="s">
        <v>2554</v>
      </c>
    </row>
    <row r="410" spans="1:6" ht="13.5" thickBot="1" x14ac:dyDescent="0.25"/>
    <row r="411" spans="1:6" x14ac:dyDescent="0.2">
      <c r="A411" s="2199" t="s">
        <v>2474</v>
      </c>
      <c r="B411" s="2196" t="s">
        <v>2475</v>
      </c>
      <c r="C411" s="2196" t="s">
        <v>2476</v>
      </c>
      <c r="D411" s="2148" t="s">
        <v>2477</v>
      </c>
      <c r="E411" s="2196" t="s">
        <v>2478</v>
      </c>
      <c r="F411" s="2196" t="s">
        <v>2479</v>
      </c>
    </row>
    <row r="412" spans="1:6" ht="15" thickBot="1" x14ac:dyDescent="0.25">
      <c r="A412" s="2200" t="s">
        <v>2508</v>
      </c>
      <c r="B412" s="2198" t="s">
        <v>2547</v>
      </c>
      <c r="C412" s="2198" t="s">
        <v>2548</v>
      </c>
      <c r="D412" s="2144" t="s">
        <v>2523</v>
      </c>
      <c r="E412" s="2198" t="s">
        <v>2524</v>
      </c>
      <c r="F412" s="2198" t="s">
        <v>2525</v>
      </c>
    </row>
    <row r="413" spans="1:6" ht="13.5" thickBot="1" x14ac:dyDescent="0.25">
      <c r="A413" s="2131">
        <v>22</v>
      </c>
      <c r="B413" s="2132">
        <v>0.4</v>
      </c>
      <c r="C413" s="2132">
        <v>0.3</v>
      </c>
      <c r="D413" s="2149">
        <v>0.3</v>
      </c>
      <c r="E413" s="2132">
        <v>0.3</v>
      </c>
      <c r="F413" s="2132">
        <f>0.57+0.05</f>
        <v>0.62</v>
      </c>
    </row>
    <row r="414" spans="1:6" ht="13.5" thickBot="1" x14ac:dyDescent="0.25"/>
    <row r="415" spans="1:6" ht="38.25" x14ac:dyDescent="0.2">
      <c r="A415" s="2196" t="s">
        <v>2555</v>
      </c>
      <c r="B415" s="2196" t="s">
        <v>2506</v>
      </c>
      <c r="C415" s="3091" t="s">
        <v>2507</v>
      </c>
    </row>
    <row r="416" spans="1:6" ht="26.25" thickBot="1" x14ac:dyDescent="0.25">
      <c r="A416" s="2198" t="s">
        <v>2556</v>
      </c>
      <c r="B416" s="2198" t="s">
        <v>2511</v>
      </c>
      <c r="C416" s="3092"/>
    </row>
    <row r="417" spans="1:6" ht="13.5" thickBot="1" x14ac:dyDescent="0.25">
      <c r="A417" s="2149">
        <v>2</v>
      </c>
      <c r="B417" s="2134">
        <f>ROUND((B413*(D413+E413+F413)*A413+((D413+E413)+E413)*C413/2*A413)*A417,2)</f>
        <v>27.41</v>
      </c>
      <c r="C417" s="2134">
        <f>ROUND(((F413+E413+SQRT(D413^2+C413^2)+B413+(D413+E413+F413))*A413+(((D413+E413)+E413)*C413/2+B413*(D413+E413+F413))*2)*A417,2)</f>
        <v>132.91999999999999</v>
      </c>
    </row>
    <row r="419" spans="1:6" x14ac:dyDescent="0.2">
      <c r="A419" s="2162" t="s">
        <v>2557</v>
      </c>
    </row>
    <row r="431" spans="1:6" ht="13.5" thickBot="1" x14ac:dyDescent="0.25"/>
    <row r="432" spans="1:6" x14ac:dyDescent="0.2">
      <c r="A432" s="2199" t="s">
        <v>2474</v>
      </c>
      <c r="B432" s="2196" t="s">
        <v>2475</v>
      </c>
      <c r="C432" s="2196" t="s">
        <v>2476</v>
      </c>
      <c r="D432" s="2167" t="s">
        <v>2558</v>
      </c>
      <c r="E432" s="2196" t="s">
        <v>2506</v>
      </c>
      <c r="F432" s="3091" t="s">
        <v>2507</v>
      </c>
    </row>
    <row r="433" spans="1:6" ht="13.5" thickBot="1" x14ac:dyDescent="0.25">
      <c r="A433" s="2200" t="s">
        <v>2508</v>
      </c>
      <c r="B433" s="2198" t="s">
        <v>2509</v>
      </c>
      <c r="C433" s="2198" t="s">
        <v>2510</v>
      </c>
      <c r="D433" s="2168" t="s">
        <v>2559</v>
      </c>
      <c r="E433" s="2198" t="s">
        <v>2511</v>
      </c>
      <c r="F433" s="3092"/>
    </row>
    <row r="434" spans="1:6" ht="13.5" thickBot="1" x14ac:dyDescent="0.25">
      <c r="A434" s="2131">
        <v>22</v>
      </c>
      <c r="B434" s="2132">
        <v>0.4</v>
      </c>
      <c r="C434" s="2132">
        <v>1.07</v>
      </c>
      <c r="D434" s="2132">
        <v>4</v>
      </c>
      <c r="E434" s="2134">
        <f>ROUND(A434*B434*C434*D434,2)</f>
        <v>37.659999999999997</v>
      </c>
      <c r="F434" s="2134">
        <f>ROUND((B434+C434*2)*A434*D434+B434*C434*2*D434,2)</f>
        <v>226.94</v>
      </c>
    </row>
    <row r="436" spans="1:6" ht="15" x14ac:dyDescent="0.25">
      <c r="A436" s="2169" t="s">
        <v>2560</v>
      </c>
    </row>
    <row r="452" spans="1:7" ht="13.5" thickBot="1" x14ac:dyDescent="0.25"/>
    <row r="453" spans="1:7" x14ac:dyDescent="0.2">
      <c r="A453" s="2199" t="s">
        <v>2474</v>
      </c>
      <c r="B453" s="2196" t="s">
        <v>2475</v>
      </c>
      <c r="C453" s="2196" t="s">
        <v>2476</v>
      </c>
      <c r="D453" s="2196" t="s">
        <v>2477</v>
      </c>
      <c r="E453" s="2196" t="s">
        <v>2478</v>
      </c>
      <c r="F453" s="2196" t="s">
        <v>2479</v>
      </c>
      <c r="G453" s="2196" t="s">
        <v>2487</v>
      </c>
    </row>
    <row r="454" spans="1:7" ht="15" thickBot="1" x14ac:dyDescent="0.25">
      <c r="A454" s="2200" t="s">
        <v>2547</v>
      </c>
      <c r="B454" s="2198" t="s">
        <v>2548</v>
      </c>
      <c r="C454" s="2198" t="s">
        <v>2549</v>
      </c>
      <c r="D454" s="2198" t="s">
        <v>2525</v>
      </c>
      <c r="E454" s="2198" t="s">
        <v>2524</v>
      </c>
      <c r="F454" s="2198" t="s">
        <v>2523</v>
      </c>
      <c r="G454" s="2198" t="s">
        <v>2508</v>
      </c>
    </row>
    <row r="455" spans="1:7" ht="13.5" thickBot="1" x14ac:dyDescent="0.25">
      <c r="A455" s="2131">
        <v>0.17499999999999999</v>
      </c>
      <c r="B455" s="2132">
        <v>0.05</v>
      </c>
      <c r="C455" s="2132">
        <v>0.17499999999999999</v>
      </c>
      <c r="D455" s="2132">
        <v>0.15</v>
      </c>
      <c r="E455" s="2132">
        <v>0.4</v>
      </c>
      <c r="F455" s="2132">
        <v>0.87</v>
      </c>
      <c r="G455" s="2132">
        <v>0.95</v>
      </c>
    </row>
    <row r="456" spans="1:7" ht="13.5" thickBot="1" x14ac:dyDescent="0.25"/>
    <row r="457" spans="1:7" x14ac:dyDescent="0.2">
      <c r="A457" s="2196" t="s">
        <v>2533</v>
      </c>
      <c r="B457" s="2196" t="s">
        <v>2506</v>
      </c>
      <c r="C457" s="3091" t="s">
        <v>2507</v>
      </c>
    </row>
    <row r="458" spans="1:7" ht="13.5" thickBot="1" x14ac:dyDescent="0.25">
      <c r="A458" s="2198" t="s">
        <v>2561</v>
      </c>
      <c r="B458" s="2198" t="s">
        <v>2511</v>
      </c>
      <c r="C458" s="3092"/>
    </row>
    <row r="459" spans="1:7" ht="13.5" thickBot="1" x14ac:dyDescent="0.25">
      <c r="A459" s="2149">
        <v>80</v>
      </c>
      <c r="B459" s="2134">
        <f>ROUND((A455*F455+(F455+E455)*B455/2+(E455+D455)*C455/2)*G455*A459,2)</f>
        <v>17.64</v>
      </c>
      <c r="C459" s="2134">
        <f>ROUND((F455+D455+SQRT(C455^2+(E455-D455)^2)+SQRT((F455-E455)^2+B455^2))*G455*A459+(A455*F455+(F455+E455)*B455/2+(E455+D455)*C455/2)*2*A459,2)</f>
        <v>173.77</v>
      </c>
    </row>
    <row r="461" spans="1:7" x14ac:dyDescent="0.2">
      <c r="A461" s="2162" t="s">
        <v>2562</v>
      </c>
    </row>
    <row r="473" spans="1:6" ht="13.5" thickBot="1" x14ac:dyDescent="0.25"/>
    <row r="474" spans="1:6" x14ac:dyDescent="0.2">
      <c r="A474" s="2199" t="s">
        <v>2474</v>
      </c>
      <c r="B474" s="2196" t="s">
        <v>2475</v>
      </c>
      <c r="C474" s="2196" t="s">
        <v>2476</v>
      </c>
      <c r="D474" s="2196" t="s">
        <v>2533</v>
      </c>
      <c r="E474" s="2196" t="s">
        <v>2506</v>
      </c>
      <c r="F474" s="3091" t="s">
        <v>2507</v>
      </c>
    </row>
    <row r="475" spans="1:6" ht="15" thickBot="1" x14ac:dyDescent="0.25">
      <c r="A475" s="2200" t="s">
        <v>2547</v>
      </c>
      <c r="B475" s="2198" t="s">
        <v>2523</v>
      </c>
      <c r="C475" s="2198" t="s">
        <v>2508</v>
      </c>
      <c r="D475" s="2198" t="s">
        <v>2561</v>
      </c>
      <c r="E475" s="2198" t="s">
        <v>2511</v>
      </c>
      <c r="F475" s="3092"/>
    </row>
    <row r="476" spans="1:6" ht="13.5" thickBot="1" x14ac:dyDescent="0.25">
      <c r="A476" s="2131">
        <v>0.15</v>
      </c>
      <c r="B476" s="2132">
        <v>0.2</v>
      </c>
      <c r="C476" s="2132">
        <v>0.95</v>
      </c>
      <c r="D476" s="2132">
        <v>40</v>
      </c>
      <c r="E476" s="2133">
        <f>ROUND(A476*B476*C476*D476,2)</f>
        <v>1.1399999999999999</v>
      </c>
      <c r="F476" s="2134">
        <f>ROUND((A476*B476*2+B476*C476*2)*D476,2)</f>
        <v>17.600000000000001</v>
      </c>
    </row>
    <row r="478" spans="1:6" x14ac:dyDescent="0.2">
      <c r="A478" s="2162" t="s">
        <v>2563</v>
      </c>
    </row>
    <row r="495" spans="1:7" ht="13.5" thickBot="1" x14ac:dyDescent="0.25"/>
    <row r="496" spans="1:7" x14ac:dyDescent="0.2">
      <c r="A496" s="2199" t="s">
        <v>2474</v>
      </c>
      <c r="B496" s="2196" t="s">
        <v>2475</v>
      </c>
      <c r="C496" s="2196" t="s">
        <v>2476</v>
      </c>
      <c r="D496" s="2196" t="s">
        <v>2477</v>
      </c>
      <c r="E496" s="2196" t="s">
        <v>2478</v>
      </c>
      <c r="F496" s="2196" t="s">
        <v>2479</v>
      </c>
      <c r="G496" s="2196" t="s">
        <v>2564</v>
      </c>
    </row>
    <row r="497" spans="1:10" ht="15" thickBot="1" x14ac:dyDescent="0.25">
      <c r="A497" s="2200" t="s">
        <v>2521</v>
      </c>
      <c r="B497" s="2198" t="s">
        <v>2522</v>
      </c>
      <c r="C497" s="2198" t="s">
        <v>2565</v>
      </c>
      <c r="D497" s="2198" t="s">
        <v>2566</v>
      </c>
      <c r="E497" s="2198" t="s">
        <v>2534</v>
      </c>
      <c r="F497" s="2198" t="s">
        <v>2510</v>
      </c>
      <c r="G497" s="2198" t="s">
        <v>578</v>
      </c>
    </row>
    <row r="498" spans="1:10" ht="13.5" thickBot="1" x14ac:dyDescent="0.25">
      <c r="A498" s="2131">
        <v>0.01</v>
      </c>
      <c r="B498" s="2132">
        <v>0.13</v>
      </c>
      <c r="C498" s="2132">
        <v>0.01</v>
      </c>
      <c r="D498" s="2132">
        <v>0.13</v>
      </c>
      <c r="E498" s="2132">
        <f>(2.54*2.5)/100</f>
        <v>6.3500000000000001E-2</v>
      </c>
      <c r="F498" s="2132">
        <v>1.05</v>
      </c>
      <c r="G498" s="2132">
        <v>3</v>
      </c>
    </row>
    <row r="499" spans="1:10" ht="13.5" thickBot="1" x14ac:dyDescent="0.25"/>
    <row r="500" spans="1:10" x14ac:dyDescent="0.2">
      <c r="A500" s="2196" t="s">
        <v>2533</v>
      </c>
      <c r="B500" s="2196" t="s">
        <v>2506</v>
      </c>
      <c r="C500" s="3091" t="s">
        <v>2507</v>
      </c>
    </row>
    <row r="501" spans="1:10" ht="13.5" thickBot="1" x14ac:dyDescent="0.25">
      <c r="A501" s="2198" t="s">
        <v>2567</v>
      </c>
      <c r="B501" s="2198" t="s">
        <v>2511</v>
      </c>
      <c r="C501" s="3092"/>
    </row>
    <row r="502" spans="1:10" ht="13.5" thickBot="1" x14ac:dyDescent="0.25">
      <c r="A502" s="2170">
        <v>44</v>
      </c>
      <c r="B502" s="2134">
        <f>ROUND((A498+B498+A498)*(C498+D498+C498)*F498*A502,2)</f>
        <v>1.04</v>
      </c>
      <c r="C502" s="2134">
        <f>ROUND(F498*((A498+B498+A498)*2+(C498+D498+C498)*2)*A502,2)</f>
        <v>27.72</v>
      </c>
      <c r="I502" s="21">
        <f>ROUND((A498+B498+A498)*(C498+D498+C498)*F498*A502-(PI()*E498^2)/4*(A498+B498+A498)*G498*A502,2)</f>
        <v>0.98</v>
      </c>
      <c r="J502" s="21">
        <f>ROUND(F498*(B498*2+D498*2+SQRT(A498^2+C498^2)*4)*A502-(PI()*E498^2)/4*G498*2*A502,2)</f>
        <v>25.8</v>
      </c>
    </row>
    <row r="504" spans="1:10" ht="15" x14ac:dyDescent="0.25">
      <c r="A504" s="2169" t="s">
        <v>2568</v>
      </c>
    </row>
    <row r="524" spans="1:7" ht="13.5" thickBot="1" x14ac:dyDescent="0.25"/>
    <row r="525" spans="1:7" x14ac:dyDescent="0.2">
      <c r="A525" s="2199" t="s">
        <v>2474</v>
      </c>
      <c r="B525" s="2196" t="s">
        <v>2475</v>
      </c>
      <c r="C525" s="2196" t="s">
        <v>2476</v>
      </c>
      <c r="D525" s="2196" t="s">
        <v>2477</v>
      </c>
      <c r="E525" s="2196" t="s">
        <v>2478</v>
      </c>
      <c r="F525" s="2196" t="s">
        <v>2479</v>
      </c>
      <c r="G525" s="2196" t="s">
        <v>2486</v>
      </c>
    </row>
    <row r="526" spans="1:7" ht="27.75" thickBot="1" x14ac:dyDescent="0.25">
      <c r="A526" s="2200" t="s">
        <v>2537</v>
      </c>
      <c r="B526" s="2198" t="s">
        <v>2569</v>
      </c>
      <c r="C526" s="2198" t="s">
        <v>2570</v>
      </c>
      <c r="D526" s="2198" t="s">
        <v>2509</v>
      </c>
      <c r="E526" s="2198" t="s">
        <v>2523</v>
      </c>
      <c r="F526" s="2198" t="s">
        <v>2524</v>
      </c>
      <c r="G526" s="2198" t="s">
        <v>2525</v>
      </c>
    </row>
    <row r="527" spans="1:7" ht="13.5" thickBot="1" x14ac:dyDescent="0.25">
      <c r="A527" s="2131">
        <v>0.3</v>
      </c>
      <c r="B527" s="2132">
        <v>0.3</v>
      </c>
      <c r="C527" s="2132">
        <v>3.4</v>
      </c>
      <c r="D527" s="2132">
        <v>22</v>
      </c>
      <c r="E527" s="2132">
        <v>0.25</v>
      </c>
      <c r="F527" s="2132">
        <v>0.3</v>
      </c>
      <c r="G527" s="2132">
        <v>0.05</v>
      </c>
    </row>
    <row r="528" spans="1:7" ht="13.5" thickBot="1" x14ac:dyDescent="0.25"/>
    <row r="529" spans="1:4" x14ac:dyDescent="0.2">
      <c r="A529" s="2196" t="s">
        <v>2533</v>
      </c>
      <c r="B529" s="2196" t="s">
        <v>2506</v>
      </c>
      <c r="C529" s="2196" t="s">
        <v>2506</v>
      </c>
      <c r="D529" s="3091" t="s">
        <v>2507</v>
      </c>
    </row>
    <row r="530" spans="1:4" ht="39" thickBot="1" x14ac:dyDescent="0.25">
      <c r="A530" s="2198" t="s">
        <v>2571</v>
      </c>
      <c r="B530" s="2198" t="s">
        <v>2572</v>
      </c>
      <c r="C530" s="2198" t="s">
        <v>2573</v>
      </c>
      <c r="D530" s="3092"/>
    </row>
    <row r="531" spans="1:4" ht="13.5" thickBot="1" x14ac:dyDescent="0.25">
      <c r="A531" s="2149">
        <v>2</v>
      </c>
      <c r="B531" s="2134">
        <f>ROUND((C527*E527*D527+A527*(E527+F527)*D527+(E527+F527+E527)*B527/2*D527)*A531,2)</f>
        <v>49.94</v>
      </c>
      <c r="C531" s="2133">
        <f>ROUND(((A527+B527+C527)*G527*D527)*2,2)</f>
        <v>8.8000000000000007</v>
      </c>
      <c r="D531" s="2134">
        <f>ROUND((E527*D527+((E527+F527)*A527+(E527+F527+E527)*B527/2+C527*E527)*2+(E527+F527)*D527)*A531,2)</f>
        <v>39.74</v>
      </c>
    </row>
    <row r="533" spans="1:4" x14ac:dyDescent="0.2">
      <c r="A533" s="2142" t="s">
        <v>2574</v>
      </c>
    </row>
    <row r="534" spans="1:4" ht="15.75" x14ac:dyDescent="0.2">
      <c r="A534" s="2164"/>
    </row>
    <row r="535" spans="1:4" x14ac:dyDescent="0.2">
      <c r="A535" s="2142" t="s">
        <v>2575</v>
      </c>
    </row>
    <row r="536" spans="1:4" x14ac:dyDescent="0.2">
      <c r="A536" s="2142"/>
    </row>
    <row r="567" spans="1:11" x14ac:dyDescent="0.2">
      <c r="A567" s="2142"/>
      <c r="B567"/>
      <c r="C567"/>
      <c r="D567"/>
      <c r="E567"/>
      <c r="F567"/>
      <c r="G567"/>
    </row>
    <row r="568" spans="1:11" ht="13.5" thickBot="1" x14ac:dyDescent="0.25">
      <c r="A568" s="2165"/>
      <c r="B568"/>
      <c r="C568"/>
      <c r="D568"/>
      <c r="E568"/>
      <c r="F568"/>
      <c r="G568"/>
    </row>
    <row r="569" spans="1:11" ht="13.5" thickBot="1" x14ac:dyDescent="0.25">
      <c r="A569" s="3075" t="s">
        <v>2576</v>
      </c>
      <c r="B569" s="3076"/>
      <c r="C569" s="3076"/>
      <c r="D569" s="3076"/>
      <c r="E569" s="3076"/>
      <c r="F569" s="3076"/>
      <c r="G569" s="3077"/>
    </row>
    <row r="570" spans="1:11" x14ac:dyDescent="0.2">
      <c r="A570" s="2128" t="s">
        <v>2474</v>
      </c>
      <c r="B570" s="2129" t="s">
        <v>2475</v>
      </c>
      <c r="C570" s="2129" t="s">
        <v>2476</v>
      </c>
      <c r="D570" s="2129" t="s">
        <v>2477</v>
      </c>
      <c r="E570" s="2129" t="s">
        <v>2478</v>
      </c>
      <c r="F570" s="2129" t="s">
        <v>2577</v>
      </c>
      <c r="G570" s="3073" t="s">
        <v>2578</v>
      </c>
    </row>
    <row r="571" spans="1:11" ht="15" thickBot="1" x14ac:dyDescent="0.25">
      <c r="A571" s="2171" t="s">
        <v>2579</v>
      </c>
      <c r="B571" s="2198" t="s">
        <v>2482</v>
      </c>
      <c r="C571" s="2172" t="s">
        <v>2579</v>
      </c>
      <c r="D571" s="2198" t="s">
        <v>2483</v>
      </c>
      <c r="E571" s="2172" t="s">
        <v>2579</v>
      </c>
      <c r="F571" s="2198" t="s">
        <v>2580</v>
      </c>
      <c r="G571" s="3074"/>
    </row>
    <row r="572" spans="1:11" ht="13.5" thickBot="1" x14ac:dyDescent="0.25">
      <c r="A572" s="2131">
        <v>1</v>
      </c>
      <c r="B572" s="2132">
        <v>0.4</v>
      </c>
      <c r="C572" s="2132">
        <v>1</v>
      </c>
      <c r="D572" s="2132">
        <v>7</v>
      </c>
      <c r="E572" s="2132">
        <v>1</v>
      </c>
      <c r="F572" s="2150">
        <f>C124</f>
        <v>6.5399999999999636</v>
      </c>
      <c r="G572" s="2134">
        <f>(A572+B572+C572)*(E572+D572)*F572</f>
        <v>125.5679999999993</v>
      </c>
      <c r="I572" s="21">
        <f>500.593-496.517</f>
        <v>4.0760000000000218</v>
      </c>
      <c r="J572" s="21">
        <f>500.593-495.273-0.02</f>
        <v>5.2999999999999936</v>
      </c>
      <c r="K572" s="21">
        <f>2.5572/2</f>
        <v>1.2786</v>
      </c>
    </row>
    <row r="573" spans="1:11" ht="13.5" thickBot="1" x14ac:dyDescent="0.25">
      <c r="A573" s="2142"/>
      <c r="B573"/>
      <c r="C573"/>
      <c r="D573"/>
      <c r="E573"/>
      <c r="F573"/>
      <c r="G573"/>
    </row>
    <row r="574" spans="1:11" ht="13.5" thickBot="1" x14ac:dyDescent="0.25">
      <c r="A574" s="3075" t="s">
        <v>2581</v>
      </c>
      <c r="B574" s="3076"/>
      <c r="C574" s="3076"/>
      <c r="D574" s="3076"/>
      <c r="E574" s="3076"/>
      <c r="F574" s="3076"/>
      <c r="G574" s="3077"/>
    </row>
    <row r="575" spans="1:11" x14ac:dyDescent="0.2">
      <c r="A575" s="2128" t="s">
        <v>2479</v>
      </c>
      <c r="B575" s="2129" t="s">
        <v>2486</v>
      </c>
      <c r="C575" s="2129" t="s">
        <v>2487</v>
      </c>
      <c r="D575" s="2129" t="s">
        <v>2488</v>
      </c>
      <c r="E575" s="2129" t="s">
        <v>2489</v>
      </c>
      <c r="F575" s="2129" t="s">
        <v>2577</v>
      </c>
      <c r="G575" s="3073" t="s">
        <v>2578</v>
      </c>
    </row>
    <row r="576" spans="1:11" ht="15" thickBot="1" x14ac:dyDescent="0.25">
      <c r="A576" s="2171" t="s">
        <v>2579</v>
      </c>
      <c r="B576" s="2198" t="s">
        <v>2482</v>
      </c>
      <c r="C576" s="2172" t="s">
        <v>2579</v>
      </c>
      <c r="D576" s="2198" t="s">
        <v>2483</v>
      </c>
      <c r="E576" s="2172" t="s">
        <v>2579</v>
      </c>
      <c r="F576" s="2198" t="s">
        <v>2580</v>
      </c>
      <c r="G576" s="3074"/>
      <c r="J576" s="21">
        <f>J572-K572</f>
        <v>4.0213999999999936</v>
      </c>
    </row>
    <row r="577" spans="1:7" ht="13.5" thickBot="1" x14ac:dyDescent="0.25">
      <c r="A577" s="2131">
        <v>1</v>
      </c>
      <c r="B577" s="2132">
        <v>0.4</v>
      </c>
      <c r="C577" s="2132">
        <v>1</v>
      </c>
      <c r="D577" s="2132">
        <v>7</v>
      </c>
      <c r="E577" s="2132">
        <v>1</v>
      </c>
      <c r="F577" s="2150">
        <f>C129</f>
        <v>6.5399999999999636</v>
      </c>
      <c r="G577" s="2134">
        <f>(A577+B577+C577)*(E577+D577)*F577</f>
        <v>125.5679999999993</v>
      </c>
    </row>
    <row r="578" spans="1:7" ht="13.5" thickBot="1" x14ac:dyDescent="0.25">
      <c r="A578" s="2142"/>
      <c r="B578"/>
      <c r="C578"/>
      <c r="D578"/>
      <c r="E578"/>
      <c r="F578"/>
      <c r="G578"/>
    </row>
    <row r="579" spans="1:7" ht="13.5" thickBot="1" x14ac:dyDescent="0.25">
      <c r="A579" s="3075" t="s">
        <v>2582</v>
      </c>
      <c r="B579" s="3076"/>
      <c r="C579" s="3076"/>
      <c r="D579" s="3076"/>
      <c r="E579" s="3076"/>
      <c r="F579" s="3077"/>
      <c r="G579"/>
    </row>
    <row r="580" spans="1:7" x14ac:dyDescent="0.2">
      <c r="A580" s="2128" t="s">
        <v>2491</v>
      </c>
      <c r="B580" s="2129" t="s">
        <v>2492</v>
      </c>
      <c r="C580" s="2129" t="s">
        <v>2493</v>
      </c>
      <c r="D580" s="2129" t="s">
        <v>2494</v>
      </c>
      <c r="E580" s="2173" t="s">
        <v>2583</v>
      </c>
      <c r="F580" s="3073" t="s">
        <v>2578</v>
      </c>
      <c r="G580"/>
    </row>
    <row r="581" spans="1:7" ht="13.5" thickBot="1" x14ac:dyDescent="0.25">
      <c r="A581" s="2171" t="s">
        <v>2579</v>
      </c>
      <c r="B581" s="2198" t="s">
        <v>2495</v>
      </c>
      <c r="C581" s="2172" t="s">
        <v>2579</v>
      </c>
      <c r="D581" s="2198" t="s">
        <v>2496</v>
      </c>
      <c r="E581" s="2198" t="s">
        <v>2580</v>
      </c>
      <c r="F581" s="3074"/>
      <c r="G581"/>
    </row>
    <row r="582" spans="1:7" ht="13.5" thickBot="1" x14ac:dyDescent="0.25">
      <c r="A582" s="2131">
        <v>1</v>
      </c>
      <c r="B582" s="2132">
        <v>0.4</v>
      </c>
      <c r="C582" s="2132">
        <v>1</v>
      </c>
      <c r="D582" s="2132">
        <v>22</v>
      </c>
      <c r="E582" s="2150">
        <f>C134</f>
        <v>5.2999999999999652</v>
      </c>
      <c r="F582" s="2134">
        <f>(C582+B582+A582)*D582*E582</f>
        <v>279.83999999999816</v>
      </c>
      <c r="G582"/>
    </row>
    <row r="614" spans="1:8" x14ac:dyDescent="0.2">
      <c r="A614" s="2174"/>
      <c r="B614"/>
      <c r="C614"/>
      <c r="D614"/>
      <c r="E614"/>
      <c r="F614"/>
      <c r="G614"/>
      <c r="H614"/>
    </row>
    <row r="615" spans="1:8" ht="15.75" thickBot="1" x14ac:dyDescent="0.25">
      <c r="A615" s="2175"/>
      <c r="B615"/>
      <c r="C615"/>
      <c r="D615"/>
      <c r="E615"/>
      <c r="F615"/>
      <c r="G615"/>
      <c r="H615"/>
    </row>
    <row r="616" spans="1:8" ht="13.5" customHeight="1" thickBot="1" x14ac:dyDescent="0.25">
      <c r="A616" s="3075" t="s">
        <v>2584</v>
      </c>
      <c r="B616" s="3076"/>
      <c r="C616" s="3076"/>
      <c r="D616" s="3076"/>
      <c r="E616" s="3076"/>
      <c r="F616" s="3076"/>
      <c r="G616" s="3077"/>
    </row>
    <row r="617" spans="1:8" ht="14.25" customHeight="1" x14ac:dyDescent="0.2">
      <c r="A617" s="2128" t="s">
        <v>2474</v>
      </c>
      <c r="B617" s="2129" t="s">
        <v>2475</v>
      </c>
      <c r="C617" s="2129" t="s">
        <v>2476</v>
      </c>
      <c r="D617" s="2129" t="s">
        <v>2477</v>
      </c>
      <c r="E617" s="2129" t="s">
        <v>2478</v>
      </c>
      <c r="F617" s="2129" t="s">
        <v>2577</v>
      </c>
      <c r="G617" s="3073" t="s">
        <v>2578</v>
      </c>
    </row>
    <row r="618" spans="1:8" ht="15" thickBot="1" x14ac:dyDescent="0.25">
      <c r="A618" s="2171" t="s">
        <v>2579</v>
      </c>
      <c r="B618" s="2198" t="s">
        <v>2482</v>
      </c>
      <c r="C618" s="2172" t="s">
        <v>2579</v>
      </c>
      <c r="D618" s="2198" t="s">
        <v>2483</v>
      </c>
      <c r="E618" s="2172" t="s">
        <v>2579</v>
      </c>
      <c r="F618" s="2198" t="s">
        <v>2580</v>
      </c>
      <c r="G618" s="3074"/>
    </row>
    <row r="619" spans="1:8" ht="13.5" thickBot="1" x14ac:dyDescent="0.25">
      <c r="A619" s="2131">
        <v>1</v>
      </c>
      <c r="B619" s="2132">
        <v>0.4</v>
      </c>
      <c r="C619" s="2132">
        <v>1</v>
      </c>
      <c r="D619" s="2132">
        <v>7</v>
      </c>
      <c r="E619" s="2176">
        <v>1</v>
      </c>
      <c r="F619" s="2150">
        <f>C164</f>
        <v>6.5399999999999636</v>
      </c>
      <c r="G619" s="2133">
        <f>(A619+B619+C619)*(E619+D619)*F619</f>
        <v>125.5679999999993</v>
      </c>
      <c r="H619" s="2177"/>
    </row>
    <row r="620" spans="1:8" ht="13.5" thickBot="1" x14ac:dyDescent="0.25">
      <c r="A620" s="3093"/>
      <c r="B620" s="3093"/>
      <c r="C620" s="3093"/>
      <c r="D620" s="3093"/>
      <c r="E620" s="3093"/>
      <c r="F620" s="3093"/>
      <c r="G620" s="3093"/>
      <c r="H620" s="3079"/>
    </row>
    <row r="621" spans="1:8" ht="13.5" customHeight="1" thickBot="1" x14ac:dyDescent="0.25">
      <c r="A621" s="3075" t="s">
        <v>2585</v>
      </c>
      <c r="B621" s="3076"/>
      <c r="C621" s="3076"/>
      <c r="D621" s="3076"/>
      <c r="E621" s="3076"/>
      <c r="F621" s="3076"/>
      <c r="G621" s="3077"/>
      <c r="H621" s="2177"/>
    </row>
    <row r="622" spans="1:8" ht="14.25" customHeight="1" x14ac:dyDescent="0.2">
      <c r="A622" s="2128" t="s">
        <v>2479</v>
      </c>
      <c r="B622" s="2129" t="s">
        <v>2486</v>
      </c>
      <c r="C622" s="2129" t="s">
        <v>2487</v>
      </c>
      <c r="D622" s="2129" t="s">
        <v>2488</v>
      </c>
      <c r="E622" s="2178" t="s">
        <v>2489</v>
      </c>
      <c r="F622" s="2199" t="s">
        <v>2577</v>
      </c>
      <c r="G622" s="3073" t="s">
        <v>2578</v>
      </c>
      <c r="H622" s="2177"/>
    </row>
    <row r="623" spans="1:8" ht="15" thickBot="1" x14ac:dyDescent="0.25">
      <c r="A623" s="2171" t="s">
        <v>2579</v>
      </c>
      <c r="B623" s="2198" t="s">
        <v>2482</v>
      </c>
      <c r="C623" s="2172" t="s">
        <v>2579</v>
      </c>
      <c r="D623" s="2198" t="s">
        <v>2483</v>
      </c>
      <c r="E623" s="2179" t="s">
        <v>2579</v>
      </c>
      <c r="F623" s="2200" t="s">
        <v>2580</v>
      </c>
      <c r="G623" s="3074"/>
      <c r="H623" s="2177"/>
    </row>
    <row r="624" spans="1:8" ht="13.5" thickBot="1" x14ac:dyDescent="0.25">
      <c r="A624" s="2131">
        <v>1</v>
      </c>
      <c r="B624" s="2132">
        <v>0.4</v>
      </c>
      <c r="C624" s="2132">
        <v>1</v>
      </c>
      <c r="D624" s="2132">
        <v>7</v>
      </c>
      <c r="E624" s="2180">
        <v>1</v>
      </c>
      <c r="F624" s="2181">
        <f>C169</f>
        <v>6.5399999999999636</v>
      </c>
      <c r="G624" s="2133">
        <v>90.24</v>
      </c>
      <c r="H624" s="2177"/>
    </row>
    <row r="625" spans="1:8" ht="13.5" thickBot="1" x14ac:dyDescent="0.25">
      <c r="A625" s="3078"/>
      <c r="B625" s="3078"/>
      <c r="C625" s="3078"/>
      <c r="D625" s="3078"/>
      <c r="E625" s="3078"/>
      <c r="F625" s="3078"/>
      <c r="G625" s="3078"/>
      <c r="H625" s="3079"/>
    </row>
    <row r="626" spans="1:8" ht="13.5" customHeight="1" thickBot="1" x14ac:dyDescent="0.25">
      <c r="A626" s="3075" t="s">
        <v>2586</v>
      </c>
      <c r="B626" s="3076"/>
      <c r="C626" s="3076"/>
      <c r="D626" s="3076"/>
      <c r="E626" s="3076"/>
      <c r="F626" s="3077"/>
      <c r="G626" s="2182"/>
      <c r="H626" s="3079"/>
    </row>
    <row r="627" spans="1:8" x14ac:dyDescent="0.2">
      <c r="A627" s="2128" t="s">
        <v>2491</v>
      </c>
      <c r="B627" s="2129" t="s">
        <v>2492</v>
      </c>
      <c r="C627" s="2129" t="s">
        <v>2493</v>
      </c>
      <c r="D627" s="2129" t="s">
        <v>2494</v>
      </c>
      <c r="E627" s="2129" t="s">
        <v>2583</v>
      </c>
      <c r="F627" s="3080" t="s">
        <v>2578</v>
      </c>
      <c r="G627" s="2182"/>
      <c r="H627" s="3079"/>
    </row>
    <row r="628" spans="1:8" ht="13.5" thickBot="1" x14ac:dyDescent="0.25">
      <c r="A628" s="2171" t="s">
        <v>2579</v>
      </c>
      <c r="B628" s="2198" t="s">
        <v>2495</v>
      </c>
      <c r="C628" s="2172" t="s">
        <v>2579</v>
      </c>
      <c r="D628" s="2198" t="s">
        <v>2496</v>
      </c>
      <c r="E628" s="2197" t="s">
        <v>2580</v>
      </c>
      <c r="F628" s="3081"/>
      <c r="G628" s="2182"/>
      <c r="H628" s="3079"/>
    </row>
    <row r="629" spans="1:8" ht="13.5" thickBot="1" x14ac:dyDescent="0.25">
      <c r="A629" s="2131">
        <v>1</v>
      </c>
      <c r="B629" s="2132">
        <v>0.4</v>
      </c>
      <c r="C629" s="2132">
        <v>1</v>
      </c>
      <c r="D629" s="2132">
        <v>22</v>
      </c>
      <c r="E629" s="2183">
        <f>C174</f>
        <v>5.2999999999999652</v>
      </c>
      <c r="F629" s="2133">
        <f>(C629+B629+A629)*D629*E629</f>
        <v>279.83999999999816</v>
      </c>
      <c r="G629" s="2182"/>
      <c r="H629" s="3079"/>
    </row>
    <row r="630" spans="1:8" ht="13.5" thickBot="1" x14ac:dyDescent="0.25">
      <c r="A630" s="3079"/>
      <c r="B630" s="3079"/>
      <c r="C630" s="3079"/>
      <c r="D630" s="3079"/>
      <c r="E630" s="3079"/>
      <c r="F630" s="3079"/>
      <c r="G630" s="3079"/>
      <c r="H630" s="3079"/>
    </row>
    <row r="631" spans="1:8" ht="13.5" thickBot="1" x14ac:dyDescent="0.25">
      <c r="A631" s="3079"/>
      <c r="B631" s="3082"/>
      <c r="C631" s="3083" t="s">
        <v>2587</v>
      </c>
      <c r="D631" s="3084"/>
      <c r="E631" s="3085"/>
      <c r="F631" s="2184"/>
      <c r="G631" s="2185"/>
      <c r="H631" s="2185"/>
    </row>
    <row r="632" spans="1:8" ht="13.5" thickBot="1" x14ac:dyDescent="0.25">
      <c r="A632" s="3079"/>
      <c r="B632" s="3082"/>
      <c r="C632" s="3083" t="s">
        <v>2578</v>
      </c>
      <c r="D632" s="3084"/>
      <c r="E632" s="3085"/>
      <c r="F632" s="2184"/>
      <c r="G632" s="2185"/>
      <c r="H632" s="2185"/>
    </row>
    <row r="633" spans="1:8" ht="13.5" thickBot="1" x14ac:dyDescent="0.25">
      <c r="A633" s="3079"/>
      <c r="B633" s="3082"/>
      <c r="C633" s="3086">
        <f>ROUND(G572+G577+F582+G619+G624+F629,2)</f>
        <v>1026.6199999999999</v>
      </c>
      <c r="D633" s="3087"/>
      <c r="E633" s="3088"/>
      <c r="F633" s="2184"/>
      <c r="G633" s="2185"/>
      <c r="H633" s="2185"/>
    </row>
    <row r="635" spans="1:8" x14ac:dyDescent="0.2">
      <c r="A635" s="2142" t="s">
        <v>2588</v>
      </c>
    </row>
    <row r="636" spans="1:8" x14ac:dyDescent="0.2">
      <c r="A636" s="2142"/>
    </row>
    <row r="656" spans="1:7" ht="13.5" thickBot="1" x14ac:dyDescent="0.25">
      <c r="A656" s="2186"/>
      <c r="B656"/>
      <c r="C656"/>
      <c r="D656"/>
      <c r="E656"/>
      <c r="F656"/>
      <c r="G656"/>
    </row>
    <row r="657" spans="1:7" x14ac:dyDescent="0.2">
      <c r="A657" s="2199" t="s">
        <v>2474</v>
      </c>
      <c r="B657" s="2196" t="s">
        <v>2475</v>
      </c>
      <c r="C657" s="2196" t="s">
        <v>2476</v>
      </c>
      <c r="D657" s="2196" t="s">
        <v>2477</v>
      </c>
      <c r="E657" s="2196" t="s">
        <v>2478</v>
      </c>
      <c r="F657" s="2167" t="s">
        <v>2533</v>
      </c>
      <c r="G657" s="3073" t="s">
        <v>2578</v>
      </c>
    </row>
    <row r="658" spans="1:7" ht="13.5" thickBot="1" x14ac:dyDescent="0.25">
      <c r="A658" s="2171" t="s">
        <v>2579</v>
      </c>
      <c r="B658" s="2198" t="s">
        <v>2589</v>
      </c>
      <c r="C658" s="2172" t="s">
        <v>2579</v>
      </c>
      <c r="D658" s="2198" t="s">
        <v>2590</v>
      </c>
      <c r="E658" s="2198" t="s">
        <v>2580</v>
      </c>
      <c r="F658" s="2168" t="s">
        <v>2535</v>
      </c>
      <c r="G658" s="3074"/>
    </row>
    <row r="659" spans="1:7" ht="13.5" thickBot="1" x14ac:dyDescent="0.25">
      <c r="A659" s="2131">
        <v>2</v>
      </c>
      <c r="B659" s="2132">
        <v>0.8</v>
      </c>
      <c r="C659" s="2132">
        <v>2</v>
      </c>
      <c r="D659" s="2132">
        <v>0.8</v>
      </c>
      <c r="E659" s="2150">
        <f>ROUND(500.593-493.872-0.02,1)</f>
        <v>6.7</v>
      </c>
      <c r="F659" s="2132">
        <v>6</v>
      </c>
      <c r="G659" s="2134">
        <f>ROUND((C659+C659+D659)*(A659+A659+B659)*E659*F659,2)</f>
        <v>926.21</v>
      </c>
    </row>
    <row r="660" spans="1:7" ht="15" x14ac:dyDescent="0.2">
      <c r="A660" s="2161"/>
      <c r="B660"/>
      <c r="C660"/>
      <c r="D660"/>
      <c r="E660"/>
      <c r="F660"/>
      <c r="G660"/>
    </row>
    <row r="661" spans="1:7" x14ac:dyDescent="0.2">
      <c r="A661" s="2162" t="s">
        <v>2591</v>
      </c>
      <c r="B661"/>
      <c r="C661"/>
      <c r="D661"/>
      <c r="E661"/>
      <c r="F661"/>
      <c r="G661"/>
    </row>
    <row r="662" spans="1:7" ht="13.5" thickBot="1" x14ac:dyDescent="0.25">
      <c r="A662" s="2142"/>
      <c r="B662"/>
      <c r="C662"/>
      <c r="D662"/>
      <c r="E662"/>
      <c r="F662"/>
      <c r="G662"/>
    </row>
    <row r="663" spans="1:7" x14ac:dyDescent="0.2">
      <c r="A663" s="2199" t="s">
        <v>2474</v>
      </c>
      <c r="B663" s="2196" t="s">
        <v>2475</v>
      </c>
      <c r="C663" s="2196" t="s">
        <v>2533</v>
      </c>
      <c r="D663" s="2196" t="s">
        <v>2477</v>
      </c>
      <c r="E663"/>
      <c r="F663"/>
      <c r="G663"/>
    </row>
    <row r="664" spans="1:7" ht="13.5" thickBot="1" x14ac:dyDescent="0.25">
      <c r="A664" s="2171" t="s">
        <v>2592</v>
      </c>
      <c r="B664" s="2198" t="s">
        <v>2593</v>
      </c>
      <c r="C664" s="2172" t="s">
        <v>2594</v>
      </c>
      <c r="D664" s="2198" t="s">
        <v>2590</v>
      </c>
      <c r="E664"/>
      <c r="F664"/>
      <c r="G664"/>
    </row>
    <row r="665" spans="1:7" ht="13.5" thickBot="1" x14ac:dyDescent="0.25">
      <c r="A665" s="2200">
        <v>0.15</v>
      </c>
      <c r="B665" s="2198">
        <v>40</v>
      </c>
      <c r="C665" s="2198">
        <v>2</v>
      </c>
      <c r="D665" s="2198">
        <v>12</v>
      </c>
      <c r="E665"/>
      <c r="F665"/>
      <c r="G665"/>
    </row>
    <row r="666" spans="1:7" x14ac:dyDescent="0.2">
      <c r="A666" s="2142"/>
      <c r="B666"/>
      <c r="C666"/>
      <c r="D666"/>
      <c r="E666"/>
      <c r="F666"/>
      <c r="G666"/>
    </row>
    <row r="667" spans="1:7" x14ac:dyDescent="0.2">
      <c r="A667" s="2138" t="s">
        <v>2595</v>
      </c>
    </row>
    <row r="668" spans="1:7" ht="13.5" thickBot="1" x14ac:dyDescent="0.25"/>
    <row r="669" spans="1:7" x14ac:dyDescent="0.2">
      <c r="A669" s="2199" t="s">
        <v>2474</v>
      </c>
      <c r="B669" s="2196" t="s">
        <v>2475</v>
      </c>
      <c r="C669" s="2196" t="s">
        <v>2533</v>
      </c>
      <c r="D669" s="2196" t="s">
        <v>2477</v>
      </c>
    </row>
    <row r="670" spans="1:7" ht="13.5" thickBot="1" x14ac:dyDescent="0.25">
      <c r="A670" s="2171" t="s">
        <v>2592</v>
      </c>
      <c r="B670" s="2198" t="s">
        <v>2593</v>
      </c>
      <c r="C670" s="2172" t="s">
        <v>2594</v>
      </c>
      <c r="D670" s="2198" t="s">
        <v>2590</v>
      </c>
    </row>
    <row r="671" spans="1:7" ht="13.5" thickBot="1" x14ac:dyDescent="0.25">
      <c r="A671" s="2200">
        <v>0.1</v>
      </c>
      <c r="B671" s="2198">
        <v>40</v>
      </c>
      <c r="C671" s="2198">
        <v>2</v>
      </c>
      <c r="D671" s="2198">
        <v>8</v>
      </c>
    </row>
    <row r="673" spans="1:1" x14ac:dyDescent="0.2">
      <c r="A673" s="2142"/>
    </row>
    <row r="674" spans="1:1" x14ac:dyDescent="0.2">
      <c r="A674" s="2142"/>
    </row>
    <row r="675" spans="1:1" ht="18" x14ac:dyDescent="0.2">
      <c r="A675" s="2187"/>
    </row>
    <row r="676" spans="1:1" x14ac:dyDescent="0.2">
      <c r="A676" s="2142"/>
    </row>
    <row r="677" spans="1:1" x14ac:dyDescent="0.2">
      <c r="A677" s="2142"/>
    </row>
    <row r="678" spans="1:1" ht="15.75" x14ac:dyDescent="0.2">
      <c r="A678" s="2164"/>
    </row>
    <row r="679" spans="1:1" x14ac:dyDescent="0.2">
      <c r="A679" s="2142"/>
    </row>
  </sheetData>
  <mergeCells count="87">
    <mergeCell ref="F47:F48"/>
    <mergeCell ref="A79:G79"/>
    <mergeCell ref="G80:G81"/>
    <mergeCell ref="A83:G83"/>
    <mergeCell ref="A36:G36"/>
    <mergeCell ref="G37:G38"/>
    <mergeCell ref="A41:G41"/>
    <mergeCell ref="G42:G43"/>
    <mergeCell ref="A46:F46"/>
    <mergeCell ref="A84:G84"/>
    <mergeCell ref="G85:G86"/>
    <mergeCell ref="G89:G92"/>
    <mergeCell ref="F90:F91"/>
    <mergeCell ref="A93:G93"/>
    <mergeCell ref="A88:G88"/>
    <mergeCell ref="E95:F95"/>
    <mergeCell ref="E96:F96"/>
    <mergeCell ref="E97:F97"/>
    <mergeCell ref="A89:F89"/>
    <mergeCell ref="A165:F165"/>
    <mergeCell ref="A121:E121"/>
    <mergeCell ref="E122:E123"/>
    <mergeCell ref="A126:E126"/>
    <mergeCell ref="E127:E128"/>
    <mergeCell ref="A131:E131"/>
    <mergeCell ref="A94:B97"/>
    <mergeCell ref="C94:D94"/>
    <mergeCell ref="C95:D95"/>
    <mergeCell ref="C96:D96"/>
    <mergeCell ref="C97:D97"/>
    <mergeCell ref="E132:E133"/>
    <mergeCell ref="A136:F136"/>
    <mergeCell ref="F137:F138"/>
    <mergeCell ref="A161:E161"/>
    <mergeCell ref="F161:F164"/>
    <mergeCell ref="E162:E163"/>
    <mergeCell ref="A166:E166"/>
    <mergeCell ref="F166:F169"/>
    <mergeCell ref="E167:E168"/>
    <mergeCell ref="A170:F170"/>
    <mergeCell ref="A171:E171"/>
    <mergeCell ref="F171:F174"/>
    <mergeCell ref="E172:E173"/>
    <mergeCell ref="B319:B320"/>
    <mergeCell ref="C340:C341"/>
    <mergeCell ref="C362:C363"/>
    <mergeCell ref="C394:C395"/>
    <mergeCell ref="A175:F175"/>
    <mergeCell ref="A176:F176"/>
    <mergeCell ref="F177:F178"/>
    <mergeCell ref="A180:F180"/>
    <mergeCell ref="A181:B184"/>
    <mergeCell ref="C181:D181"/>
    <mergeCell ref="E181:F184"/>
    <mergeCell ref="D182:D183"/>
    <mergeCell ref="E261:E262"/>
    <mergeCell ref="B281:B282"/>
    <mergeCell ref="F298:F299"/>
    <mergeCell ref="F314:F315"/>
    <mergeCell ref="A318:B318"/>
    <mergeCell ref="C415:C416"/>
    <mergeCell ref="F432:F433"/>
    <mergeCell ref="A620:H620"/>
    <mergeCell ref="F474:F475"/>
    <mergeCell ref="C500:C501"/>
    <mergeCell ref="D529:D530"/>
    <mergeCell ref="A569:G569"/>
    <mergeCell ref="G570:G571"/>
    <mergeCell ref="A574:G574"/>
    <mergeCell ref="G575:G576"/>
    <mergeCell ref="C457:C458"/>
    <mergeCell ref="A579:F579"/>
    <mergeCell ref="F580:F581"/>
    <mergeCell ref="A616:G616"/>
    <mergeCell ref="G617:G618"/>
    <mergeCell ref="G657:G658"/>
    <mergeCell ref="A621:G621"/>
    <mergeCell ref="G622:G623"/>
    <mergeCell ref="A625:H625"/>
    <mergeCell ref="A626:F626"/>
    <mergeCell ref="H626:H629"/>
    <mergeCell ref="F627:F628"/>
    <mergeCell ref="A630:H630"/>
    <mergeCell ref="A631:B633"/>
    <mergeCell ref="C631:E631"/>
    <mergeCell ref="C632:E632"/>
    <mergeCell ref="C633:E633"/>
  </mergeCells>
  <pageMargins left="0.511811024" right="0.511811024" top="0.78740157499999996" bottom="0.78740157499999996" header="0.31496062000000002" footer="0.31496062000000002"/>
  <pageSetup paperSize="9" scale="88" orientation="portrait" r:id="rId1"/>
  <rowBreaks count="14" manualBreakCount="14">
    <brk id="50" max="16383" man="1"/>
    <brk id="98" max="16383" man="1"/>
    <brk id="139" max="16383" man="1"/>
    <brk id="185" max="16383" man="1"/>
    <brk id="240" max="16383" man="1"/>
    <brk id="284" max="16383" man="1"/>
    <brk id="322" max="16383" man="1"/>
    <brk id="365" max="6" man="1"/>
    <brk id="418" max="16383" man="1"/>
    <brk id="460" max="16383" man="1"/>
    <brk id="503" max="16383" man="1"/>
    <brk id="532" max="16383" man="1"/>
    <brk id="582" max="16383" man="1"/>
    <brk id="634" max="16383" man="1"/>
  </row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40">
    <pageSetUpPr fitToPage="1"/>
  </sheetPr>
  <dimension ref="A1:R74"/>
  <sheetViews>
    <sheetView showZeros="0" workbookViewId="0">
      <pane xSplit="5" ySplit="1" topLeftCell="F65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2" sqref="F2"/>
    </sheetView>
  </sheetViews>
  <sheetFormatPr defaultColWidth="9" defaultRowHeight="18.75" x14ac:dyDescent="0.15"/>
  <cols>
    <col min="1" max="1" width="9.75" style="5" customWidth="1"/>
    <col min="2" max="2" width="12.375" style="5" customWidth="1"/>
    <col min="3" max="3" width="33.75" style="5" customWidth="1"/>
    <col min="4" max="4" width="4.125" style="982" hidden="1" customWidth="1"/>
    <col min="5" max="5" width="19.625" style="5" hidden="1" customWidth="1"/>
    <col min="6" max="9" width="12.625" style="5" customWidth="1"/>
    <col min="10" max="10" width="17.125" style="5" customWidth="1"/>
    <col min="11" max="16384" width="9" style="5"/>
  </cols>
  <sheetData>
    <row r="1" spans="1:10" s="10" customFormat="1" ht="60" customHeight="1" thickTop="1" thickBot="1" x14ac:dyDescent="0.2">
      <c r="A1" s="2595" t="s">
        <v>1932</v>
      </c>
      <c r="B1" s="2967" t="s">
        <v>1</v>
      </c>
      <c r="C1" s="2969"/>
      <c r="D1" s="1591"/>
      <c r="E1" s="1592" t="s">
        <v>587</v>
      </c>
      <c r="F1" s="212" t="s">
        <v>752</v>
      </c>
      <c r="G1" s="212" t="s">
        <v>751</v>
      </c>
      <c r="H1" s="212"/>
      <c r="I1" s="214" t="s">
        <v>0</v>
      </c>
      <c r="J1" s="1593" t="s">
        <v>695</v>
      </c>
    </row>
    <row r="2" spans="1:10" s="10" customFormat="1" ht="20.25" thickTop="1" thickBot="1" x14ac:dyDescent="0.2">
      <c r="A2" s="2707"/>
      <c r="B2" s="2616" t="s">
        <v>1914</v>
      </c>
      <c r="C2" s="3113"/>
      <c r="D2" s="1380"/>
      <c r="E2" s="450"/>
      <c r="F2" s="218"/>
      <c r="G2" s="218"/>
      <c r="H2" s="218"/>
      <c r="I2" s="415">
        <f>ROUND(SUM(F2:H2),2)</f>
        <v>0</v>
      </c>
      <c r="J2" s="1322">
        <f t="shared" ref="J2:J25" si="0">SUM(F2:I2)</f>
        <v>0</v>
      </c>
    </row>
    <row r="3" spans="1:10" s="10" customFormat="1" x14ac:dyDescent="0.15">
      <c r="A3" s="2596"/>
      <c r="B3" s="2810" t="s">
        <v>163</v>
      </c>
      <c r="C3" s="556" t="s">
        <v>161</v>
      </c>
      <c r="D3" s="1380"/>
      <c r="E3" s="450"/>
      <c r="F3" s="218"/>
      <c r="G3" s="218"/>
      <c r="H3" s="218"/>
      <c r="I3" s="1607">
        <f>COUNTA(F3:H3)</f>
        <v>0</v>
      </c>
      <c r="J3" s="1017">
        <f t="shared" si="0"/>
        <v>0</v>
      </c>
    </row>
    <row r="4" spans="1:10" s="10" customFormat="1" ht="19.5" thickBot="1" x14ac:dyDescent="0.2">
      <c r="A4" s="2596"/>
      <c r="B4" s="2811"/>
      <c r="C4" s="670" t="s">
        <v>162</v>
      </c>
      <c r="D4" s="1377"/>
      <c r="E4" s="1594"/>
      <c r="F4" s="1303"/>
      <c r="G4" s="1303"/>
      <c r="H4" s="1303"/>
      <c r="I4" s="1608">
        <f>COUNTA(F4:H4)</f>
        <v>0</v>
      </c>
      <c r="J4" s="1017">
        <f t="shared" si="0"/>
        <v>0</v>
      </c>
    </row>
    <row r="5" spans="1:10" ht="19.5" thickBot="1" x14ac:dyDescent="0.2">
      <c r="A5" s="2596"/>
      <c r="B5" s="2618" t="s">
        <v>658</v>
      </c>
      <c r="C5" s="2973"/>
      <c r="D5" s="1377"/>
      <c r="E5" s="1594"/>
      <c r="F5" s="1303"/>
      <c r="G5" s="1303"/>
      <c r="H5" s="1303"/>
      <c r="I5" s="429"/>
      <c r="J5" s="1322">
        <f t="shared" si="0"/>
        <v>0</v>
      </c>
    </row>
    <row r="6" spans="1:10" x14ac:dyDescent="0.15">
      <c r="A6" s="2596"/>
      <c r="B6" s="2810" t="s">
        <v>1912</v>
      </c>
      <c r="C6" s="542" t="s">
        <v>1915</v>
      </c>
      <c r="D6" s="1380"/>
      <c r="E6" s="450" t="s">
        <v>2049</v>
      </c>
      <c r="F6" s="218"/>
      <c r="G6" s="218"/>
      <c r="H6" s="218"/>
      <c r="I6" s="430"/>
      <c r="J6" s="1322">
        <f t="shared" si="0"/>
        <v>0</v>
      </c>
    </row>
    <row r="7" spans="1:10" x14ac:dyDescent="0.15">
      <c r="A7" s="2596"/>
      <c r="B7" s="2599"/>
      <c r="C7" s="543" t="s">
        <v>760</v>
      </c>
      <c r="E7" s="1595"/>
      <c r="F7" s="8">
        <f t="shared" ref="F7:G7" si="1">F6+F2</f>
        <v>0</v>
      </c>
      <c r="G7" s="8">
        <f t="shared" si="1"/>
        <v>0</v>
      </c>
      <c r="H7" s="8"/>
      <c r="I7" s="12"/>
      <c r="J7" s="1322">
        <f t="shared" si="0"/>
        <v>0</v>
      </c>
    </row>
    <row r="8" spans="1:10" x14ac:dyDescent="0.15">
      <c r="A8" s="2596"/>
      <c r="B8" s="2599"/>
      <c r="C8" s="543" t="s">
        <v>16</v>
      </c>
      <c r="E8" s="1595"/>
      <c r="F8" s="8">
        <f t="shared" ref="F8:G8" si="2">F14+F21+F32</f>
        <v>0</v>
      </c>
      <c r="G8" s="8">
        <f t="shared" si="2"/>
        <v>0</v>
      </c>
      <c r="H8" s="8"/>
      <c r="I8" s="12"/>
      <c r="J8" s="1322">
        <f t="shared" si="0"/>
        <v>0</v>
      </c>
    </row>
    <row r="9" spans="1:10" x14ac:dyDescent="0.15">
      <c r="A9" s="2596"/>
      <c r="B9" s="2599"/>
      <c r="C9" s="543" t="s">
        <v>58</v>
      </c>
      <c r="E9" s="1595"/>
      <c r="F9" s="8">
        <f t="shared" ref="F9:G9" si="3">F5</f>
        <v>0</v>
      </c>
      <c r="G9" s="8">
        <f t="shared" si="3"/>
        <v>0</v>
      </c>
      <c r="H9" s="8"/>
      <c r="I9" s="12"/>
      <c r="J9" s="1322">
        <f t="shared" si="0"/>
        <v>0</v>
      </c>
    </row>
    <row r="10" spans="1:10" x14ac:dyDescent="0.15">
      <c r="A10" s="2596"/>
      <c r="B10" s="2599"/>
      <c r="C10" s="543" t="s">
        <v>29</v>
      </c>
      <c r="E10" s="1595"/>
      <c r="F10" s="8">
        <f t="shared" ref="F10:G10" si="4">F7*F9</f>
        <v>0</v>
      </c>
      <c r="G10" s="8">
        <f t="shared" si="4"/>
        <v>0</v>
      </c>
      <c r="H10" s="8"/>
      <c r="I10" s="12">
        <f>ROUND(SUM(F10:H10),2)</f>
        <v>0</v>
      </c>
      <c r="J10" s="1322">
        <f t="shared" si="0"/>
        <v>0</v>
      </c>
    </row>
    <row r="11" spans="1:10" ht="19.5" thickBot="1" x14ac:dyDescent="0.2">
      <c r="A11" s="2596"/>
      <c r="B11" s="2599"/>
      <c r="C11" s="543" t="s">
        <v>1913</v>
      </c>
      <c r="E11" s="1595"/>
      <c r="F11" s="8">
        <f t="shared" ref="F11:G11" si="5">F10*F8</f>
        <v>0</v>
      </c>
      <c r="G11" s="8">
        <f t="shared" si="5"/>
        <v>0</v>
      </c>
      <c r="H11" s="8"/>
      <c r="I11" s="425">
        <f>ROUND(SUM(F11:H11),2)</f>
        <v>0</v>
      </c>
      <c r="J11" s="1322">
        <f t="shared" si="0"/>
        <v>0</v>
      </c>
    </row>
    <row r="12" spans="1:10" ht="19.5" thickBot="1" x14ac:dyDescent="0.2">
      <c r="A12" s="2596"/>
      <c r="B12" s="2797" t="s">
        <v>659</v>
      </c>
      <c r="C12" s="2799"/>
      <c r="D12" s="1288"/>
      <c r="E12" s="1596"/>
      <c r="F12" s="243">
        <f t="shared" ref="F12:G12" si="6">F10</f>
        <v>0</v>
      </c>
      <c r="G12" s="243">
        <f t="shared" si="6"/>
        <v>0</v>
      </c>
      <c r="H12" s="243"/>
      <c r="I12" s="1285">
        <f>ROUND(SUM(F12:H12),2)</f>
        <v>0</v>
      </c>
      <c r="J12" s="1322">
        <f t="shared" si="0"/>
        <v>0</v>
      </c>
    </row>
    <row r="13" spans="1:10" x14ac:dyDescent="0.15">
      <c r="A13" s="2596"/>
      <c r="B13" s="2810" t="s">
        <v>23</v>
      </c>
      <c r="C13" s="542" t="s">
        <v>3</v>
      </c>
      <c r="D13" s="1380"/>
      <c r="E13" s="1597" t="s">
        <v>1916</v>
      </c>
      <c r="F13" s="8">
        <f t="shared" ref="F13:G13" si="7">F7</f>
        <v>0</v>
      </c>
      <c r="G13" s="8">
        <f t="shared" si="7"/>
        <v>0</v>
      </c>
      <c r="H13" s="8"/>
      <c r="I13" s="430"/>
      <c r="J13" s="1322">
        <f t="shared" si="0"/>
        <v>0</v>
      </c>
    </row>
    <row r="14" spans="1:10" x14ac:dyDescent="0.15">
      <c r="A14" s="2596"/>
      <c r="B14" s="2599"/>
      <c r="C14" s="543" t="s">
        <v>16</v>
      </c>
      <c r="E14" s="1595"/>
      <c r="F14" s="162"/>
      <c r="G14" s="162"/>
      <c r="H14" s="162"/>
      <c r="I14" s="12"/>
      <c r="J14" s="1322">
        <f t="shared" si="0"/>
        <v>0</v>
      </c>
    </row>
    <row r="15" spans="1:10" x14ac:dyDescent="0.15">
      <c r="A15" s="2596"/>
      <c r="B15" s="2599"/>
      <c r="C15" s="543" t="s">
        <v>58</v>
      </c>
      <c r="E15" s="1595"/>
      <c r="F15" s="8">
        <f t="shared" ref="F15:G15" si="8">F5</f>
        <v>0</v>
      </c>
      <c r="G15" s="8">
        <f t="shared" si="8"/>
        <v>0</v>
      </c>
      <c r="H15" s="8"/>
      <c r="I15" s="12"/>
      <c r="J15" s="1322">
        <f t="shared" si="0"/>
        <v>0</v>
      </c>
    </row>
    <row r="16" spans="1:10" x14ac:dyDescent="0.15">
      <c r="A16" s="2596"/>
      <c r="B16" s="2599"/>
      <c r="C16" s="543" t="s">
        <v>29</v>
      </c>
      <c r="E16" s="1595"/>
      <c r="F16" s="8">
        <f t="shared" ref="F16:G16" si="9">F13*F15</f>
        <v>0</v>
      </c>
      <c r="G16" s="8">
        <f t="shared" si="9"/>
        <v>0</v>
      </c>
      <c r="H16" s="8"/>
      <c r="I16" s="12">
        <f>ROUND(SUM(F16:H16),2)</f>
        <v>0</v>
      </c>
      <c r="J16" s="1322">
        <f t="shared" si="0"/>
        <v>0</v>
      </c>
    </row>
    <row r="17" spans="1:18" x14ac:dyDescent="0.15">
      <c r="A17" s="2596"/>
      <c r="B17" s="2599"/>
      <c r="C17" s="543" t="s">
        <v>1922</v>
      </c>
      <c r="E17" s="1595"/>
      <c r="F17" s="8">
        <f t="shared" ref="F17:G17" si="10">F16*F14</f>
        <v>0</v>
      </c>
      <c r="G17" s="8">
        <f t="shared" si="10"/>
        <v>0</v>
      </c>
      <c r="H17" s="8"/>
      <c r="I17" s="425">
        <f>ROUND(SUM(F17:H17),2)</f>
        <v>0</v>
      </c>
      <c r="J17" s="1322">
        <f t="shared" si="0"/>
        <v>0</v>
      </c>
    </row>
    <row r="18" spans="1:18" ht="22.5" x14ac:dyDescent="0.15">
      <c r="A18" s="2596"/>
      <c r="B18" s="2599"/>
      <c r="C18" s="543" t="s">
        <v>906</v>
      </c>
      <c r="E18" s="1595"/>
      <c r="F18" s="8">
        <f t="shared" ref="F18:G18" si="11">F17*0.1</f>
        <v>0</v>
      </c>
      <c r="G18" s="8">
        <f t="shared" si="11"/>
        <v>0</v>
      </c>
      <c r="H18" s="8"/>
      <c r="I18" s="12">
        <f>ROUND(SUM(F18:H18),2)</f>
        <v>0</v>
      </c>
      <c r="J18" s="1322">
        <f t="shared" si="0"/>
        <v>0</v>
      </c>
    </row>
    <row r="19" spans="1:18" ht="19.5" thickBot="1" x14ac:dyDescent="0.2">
      <c r="A19" s="2596"/>
      <c r="B19" s="2811"/>
      <c r="C19" s="546" t="s">
        <v>907</v>
      </c>
      <c r="D19" s="1377"/>
      <c r="E19" s="1595"/>
      <c r="F19" s="8">
        <f t="shared" ref="F19:G19" si="12">F17*1.3</f>
        <v>0</v>
      </c>
      <c r="G19" s="8">
        <f t="shared" si="12"/>
        <v>0</v>
      </c>
      <c r="H19" s="8"/>
      <c r="I19" s="12">
        <f>ROUND(SUM(F19:H19),2)</f>
        <v>0</v>
      </c>
      <c r="J19" s="1322">
        <f t="shared" si="0"/>
        <v>0</v>
      </c>
    </row>
    <row r="20" spans="1:18" x14ac:dyDescent="0.15">
      <c r="A20" s="2596"/>
      <c r="B20" s="2911" t="s">
        <v>905</v>
      </c>
      <c r="C20" s="543" t="s">
        <v>760</v>
      </c>
      <c r="D20" s="1380"/>
      <c r="E20" s="450"/>
      <c r="F20" s="216">
        <f t="shared" ref="F20:G20" si="13">F7</f>
        <v>0</v>
      </c>
      <c r="G20" s="216">
        <f t="shared" si="13"/>
        <v>0</v>
      </c>
      <c r="H20" s="216"/>
      <c r="I20" s="430"/>
      <c r="J20" s="1322">
        <f t="shared" si="0"/>
        <v>0</v>
      </c>
    </row>
    <row r="21" spans="1:18" x14ac:dyDescent="0.15">
      <c r="A21" s="2596"/>
      <c r="B21" s="2916"/>
      <c r="C21" s="543" t="s">
        <v>16</v>
      </c>
      <c r="E21" s="1595"/>
      <c r="F21" s="162"/>
      <c r="G21" s="162"/>
      <c r="H21" s="162"/>
      <c r="I21" s="12"/>
      <c r="J21" s="1322">
        <f t="shared" si="0"/>
        <v>0</v>
      </c>
    </row>
    <row r="22" spans="1:18" x14ac:dyDescent="0.15">
      <c r="A22" s="2596"/>
      <c r="B22" s="2916"/>
      <c r="C22" s="543" t="s">
        <v>58</v>
      </c>
      <c r="E22" s="1595"/>
      <c r="F22" s="8">
        <f t="shared" ref="F22:G22" si="14">F5</f>
        <v>0</v>
      </c>
      <c r="G22" s="8">
        <f t="shared" si="14"/>
        <v>0</v>
      </c>
      <c r="H22" s="8"/>
      <c r="I22" s="12"/>
      <c r="J22" s="1322">
        <f t="shared" si="0"/>
        <v>0</v>
      </c>
    </row>
    <row r="23" spans="1:18" x14ac:dyDescent="0.15">
      <c r="A23" s="2596"/>
      <c r="B23" s="2912"/>
      <c r="C23" s="543" t="s">
        <v>29</v>
      </c>
      <c r="E23" s="1595"/>
      <c r="F23" s="8">
        <f t="shared" ref="F23:G24" si="15">F22*F20</f>
        <v>0</v>
      </c>
      <c r="G23" s="8">
        <f t="shared" si="15"/>
        <v>0</v>
      </c>
      <c r="H23" s="8"/>
      <c r="I23" s="12">
        <f>ROUND(SUM(F23:H23),2)</f>
        <v>0</v>
      </c>
      <c r="J23" s="1322">
        <f t="shared" si="0"/>
        <v>0</v>
      </c>
    </row>
    <row r="24" spans="1:18" x14ac:dyDescent="0.15">
      <c r="A24" s="2596"/>
      <c r="B24" s="2912"/>
      <c r="C24" s="557" t="s">
        <v>300</v>
      </c>
      <c r="E24" s="1595"/>
      <c r="F24" s="8">
        <f t="shared" si="15"/>
        <v>0</v>
      </c>
      <c r="G24" s="8">
        <f t="shared" si="15"/>
        <v>0</v>
      </c>
      <c r="H24" s="8"/>
      <c r="I24" s="425">
        <f>ROUND(SUM(F24:H24),2)</f>
        <v>0</v>
      </c>
      <c r="J24" s="1322">
        <f t="shared" si="0"/>
        <v>0</v>
      </c>
    </row>
    <row r="25" spans="1:18" x14ac:dyDescent="0.15">
      <c r="A25" s="2596"/>
      <c r="B25" s="2912"/>
      <c r="C25" s="1598" t="s">
        <v>1274</v>
      </c>
      <c r="E25" s="1595"/>
      <c r="F25" s="8">
        <f t="shared" ref="F25:G25" si="16">F24*88</f>
        <v>0</v>
      </c>
      <c r="G25" s="8">
        <f t="shared" si="16"/>
        <v>0</v>
      </c>
      <c r="H25" s="8"/>
      <c r="I25" s="425">
        <f>ROUND(SUM(F25:H25),2)</f>
        <v>0</v>
      </c>
      <c r="J25" s="1322">
        <f t="shared" si="0"/>
        <v>0</v>
      </c>
    </row>
    <row r="26" spans="1:18" x14ac:dyDescent="0.15">
      <c r="A26" s="2596"/>
      <c r="B26" s="2912"/>
      <c r="C26" s="543" t="s">
        <v>1910</v>
      </c>
      <c r="E26" s="1595"/>
      <c r="F26" s="1599"/>
      <c r="G26" s="1599"/>
      <c r="H26" s="1599"/>
      <c r="I26" s="12"/>
      <c r="J26" s="1017">
        <f>J25</f>
        <v>0</v>
      </c>
    </row>
    <row r="27" spans="1:18" x14ac:dyDescent="0.15">
      <c r="A27" s="2596"/>
      <c r="B27" s="2912"/>
      <c r="C27" s="1598" t="s">
        <v>1305</v>
      </c>
      <c r="E27" s="1595"/>
      <c r="F27" s="8">
        <f>IF(F26="BC",F24*1.375,0)</f>
        <v>0</v>
      </c>
      <c r="G27" s="8">
        <f t="shared" ref="G27" si="17">IF(G26="BC",G24*1.375,0)</f>
        <v>0</v>
      </c>
      <c r="H27" s="8"/>
      <c r="I27" s="425">
        <f>ROUND(SUM(F27:H27),2)</f>
        <v>0</v>
      </c>
      <c r="J27" s="1322">
        <f t="shared" ref="J27:J57" si="18">SUM(F27:I27)</f>
        <v>0</v>
      </c>
    </row>
    <row r="28" spans="1:18" ht="19.5" thickBot="1" x14ac:dyDescent="0.2">
      <c r="A28" s="2596"/>
      <c r="B28" s="2951"/>
      <c r="C28" s="546" t="s">
        <v>1059</v>
      </c>
      <c r="E28" s="1595"/>
      <c r="F28" s="8">
        <f>IF(F26="BG",F24*1.4667,0)</f>
        <v>0</v>
      </c>
      <c r="G28" s="8">
        <f t="shared" ref="G28" si="19">IF(G26="BG",G24*1.4667,0)</f>
        <v>0</v>
      </c>
      <c r="H28" s="8"/>
      <c r="I28" s="416">
        <f>ROUND(SUM(F28:H28),2)</f>
        <v>0</v>
      </c>
      <c r="J28" s="1322">
        <f t="shared" si="18"/>
        <v>0</v>
      </c>
    </row>
    <row r="29" spans="1:18" x14ac:dyDescent="0.15">
      <c r="A29" s="2596"/>
      <c r="B29" s="2918" t="s">
        <v>517</v>
      </c>
      <c r="C29" s="543" t="s">
        <v>29</v>
      </c>
      <c r="D29" s="1380"/>
      <c r="E29" s="450"/>
      <c r="F29" s="216">
        <f t="shared" ref="F29:G29" si="20">F23</f>
        <v>0</v>
      </c>
      <c r="G29" s="216">
        <f t="shared" si="20"/>
        <v>0</v>
      </c>
      <c r="H29" s="216"/>
      <c r="I29" s="415">
        <f>ROUND(SUM(F29:H29),2)</f>
        <v>0</v>
      </c>
      <c r="J29" s="1322">
        <f t="shared" si="18"/>
        <v>0</v>
      </c>
    </row>
    <row r="30" spans="1:18" ht="19.5" thickBot="1" x14ac:dyDescent="0.2">
      <c r="A30" s="2596"/>
      <c r="B30" s="2921"/>
      <c r="C30" s="546" t="s">
        <v>1403</v>
      </c>
      <c r="D30" s="1377"/>
      <c r="E30" s="1594"/>
      <c r="F30" s="1139">
        <f t="shared" ref="F30:G30" si="21">F29*0.0005</f>
        <v>0</v>
      </c>
      <c r="G30" s="1139">
        <f t="shared" si="21"/>
        <v>0</v>
      </c>
      <c r="H30" s="1139"/>
      <c r="I30" s="416">
        <f>ROUND(SUM(F30:H30),2)</f>
        <v>0</v>
      </c>
      <c r="J30" s="1322">
        <f t="shared" si="18"/>
        <v>0</v>
      </c>
    </row>
    <row r="31" spans="1:18" x14ac:dyDescent="0.15">
      <c r="A31" s="2596"/>
      <c r="B31" s="2911" t="s">
        <v>750</v>
      </c>
      <c r="C31" s="543" t="s">
        <v>760</v>
      </c>
      <c r="D31" s="1380"/>
      <c r="E31" s="450"/>
      <c r="F31" s="216">
        <f>F7</f>
        <v>0</v>
      </c>
      <c r="G31" s="216">
        <f t="shared" ref="G31" si="22">G7</f>
        <v>0</v>
      </c>
      <c r="H31" s="216"/>
      <c r="I31" s="430"/>
      <c r="J31" s="1322">
        <f t="shared" si="18"/>
        <v>0</v>
      </c>
      <c r="K31" s="2716" t="s">
        <v>1196</v>
      </c>
      <c r="L31" s="2718"/>
      <c r="M31" s="2716" t="s">
        <v>1197</v>
      </c>
      <c r="N31" s="2718"/>
      <c r="O31" s="2716" t="s">
        <v>1198</v>
      </c>
      <c r="P31" s="2718"/>
      <c r="Q31" s="2714" t="s">
        <v>1199</v>
      </c>
      <c r="R31" s="1237" t="s">
        <v>1186</v>
      </c>
    </row>
    <row r="32" spans="1:18" x14ac:dyDescent="0.15">
      <c r="A32" s="2596"/>
      <c r="B32" s="2916"/>
      <c r="C32" s="543" t="s">
        <v>16</v>
      </c>
      <c r="E32" s="1595"/>
      <c r="F32" s="162"/>
      <c r="G32" s="162"/>
      <c r="H32" s="162"/>
      <c r="I32" s="12"/>
      <c r="J32" s="1322">
        <f t="shared" si="18"/>
        <v>0</v>
      </c>
      <c r="K32" s="1024" t="s">
        <v>1182</v>
      </c>
      <c r="L32" s="1024" t="s">
        <v>1184</v>
      </c>
      <c r="M32" s="1024" t="s">
        <v>1182</v>
      </c>
      <c r="N32" s="1024" t="s">
        <v>1184</v>
      </c>
      <c r="O32" s="1024" t="s">
        <v>1182</v>
      </c>
      <c r="P32" s="1024" t="s">
        <v>1184</v>
      </c>
      <c r="Q32" s="2715"/>
      <c r="R32" s="1033" t="s">
        <v>1435</v>
      </c>
    </row>
    <row r="33" spans="1:18" x14ac:dyDescent="0.15">
      <c r="A33" s="2596"/>
      <c r="B33" s="2916"/>
      <c r="C33" s="543" t="s">
        <v>58</v>
      </c>
      <c r="E33" s="1595"/>
      <c r="F33" s="8">
        <f t="shared" ref="F33:G33" si="23">F5</f>
        <v>0</v>
      </c>
      <c r="G33" s="8">
        <f t="shared" si="23"/>
        <v>0</v>
      </c>
      <c r="H33" s="8"/>
      <c r="I33" s="12"/>
      <c r="J33" s="1322">
        <f t="shared" si="18"/>
        <v>0</v>
      </c>
      <c r="K33" s="1025">
        <v>94963</v>
      </c>
      <c r="L33" s="1025">
        <v>94965</v>
      </c>
      <c r="M33" s="1025">
        <v>94963</v>
      </c>
      <c r="N33" s="1025">
        <v>94965</v>
      </c>
      <c r="O33" s="1025">
        <v>94963</v>
      </c>
      <c r="P33" s="1025">
        <v>94965</v>
      </c>
      <c r="Q33" s="2715"/>
      <c r="R33" s="1025">
        <v>96542</v>
      </c>
    </row>
    <row r="34" spans="1:18" x14ac:dyDescent="0.15">
      <c r="A34" s="2596"/>
      <c r="B34" s="2912"/>
      <c r="C34" s="543" t="s">
        <v>29</v>
      </c>
      <c r="E34" s="1595"/>
      <c r="F34" s="8">
        <f t="shared" ref="F34:G35" si="24">F33*F31</f>
        <v>0</v>
      </c>
      <c r="G34" s="8">
        <f t="shared" si="24"/>
        <v>0</v>
      </c>
      <c r="H34" s="8"/>
      <c r="I34" s="425">
        <f>ROUND(SUM(F34:H34),2)</f>
        <v>0</v>
      </c>
      <c r="J34" s="1322">
        <f t="shared" si="18"/>
        <v>0</v>
      </c>
      <c r="K34" s="1026">
        <v>273.06</v>
      </c>
      <c r="L34" s="1026">
        <v>362.66</v>
      </c>
      <c r="M34" s="1027">
        <v>0.80500000000000005</v>
      </c>
      <c r="N34" s="1027">
        <v>0.72299999999999998</v>
      </c>
      <c r="O34" s="1027">
        <v>0.57899999999999996</v>
      </c>
      <c r="P34" s="1027">
        <v>0.59299999999999997</v>
      </c>
      <c r="Q34" s="2719"/>
      <c r="R34" s="1036">
        <v>0.1356</v>
      </c>
    </row>
    <row r="35" spans="1:18" ht="19.5" thickBot="1" x14ac:dyDescent="0.2">
      <c r="A35" s="2596"/>
      <c r="B35" s="2951"/>
      <c r="C35" s="670" t="s">
        <v>300</v>
      </c>
      <c r="D35" s="1377"/>
      <c r="E35" s="1594"/>
      <c r="F35" s="215">
        <f t="shared" si="24"/>
        <v>0</v>
      </c>
      <c r="G35" s="215">
        <f t="shared" si="24"/>
        <v>0</v>
      </c>
      <c r="H35" s="215"/>
      <c r="I35" s="12">
        <f>ROUND(SUM(F35:H35),2)</f>
        <v>0</v>
      </c>
      <c r="J35" s="1322">
        <f t="shared" si="18"/>
        <v>0</v>
      </c>
      <c r="K35" s="1234"/>
      <c r="L35" s="1235"/>
      <c r="M35" s="1234"/>
      <c r="N35" s="1235"/>
      <c r="O35" s="1234"/>
      <c r="P35" s="1235"/>
      <c r="Q35" s="1235"/>
      <c r="R35" s="1050"/>
    </row>
    <row r="36" spans="1:18" x14ac:dyDescent="0.15">
      <c r="A36" s="2596"/>
      <c r="B36" s="2616" t="s">
        <v>1355</v>
      </c>
      <c r="C36" s="550" t="s">
        <v>1405</v>
      </c>
      <c r="E36" s="1595"/>
      <c r="F36" s="8">
        <f t="shared" ref="F36:G36" si="25">F24*1.25</f>
        <v>0</v>
      </c>
      <c r="G36" s="8">
        <f t="shared" si="25"/>
        <v>0</v>
      </c>
      <c r="H36" s="8"/>
      <c r="I36" s="415">
        <f>ROUND(SUM(F36:H36),2)</f>
        <v>0</v>
      </c>
      <c r="J36" s="1322">
        <f t="shared" si="18"/>
        <v>0</v>
      </c>
      <c r="K36" s="1234"/>
      <c r="L36" s="1234"/>
      <c r="M36" s="1234"/>
      <c r="N36" s="1234"/>
      <c r="O36" s="1234"/>
      <c r="P36" s="1234"/>
      <c r="Q36" s="1234"/>
      <c r="R36" s="1234"/>
    </row>
    <row r="37" spans="1:18" ht="19.5" thickBot="1" x14ac:dyDescent="0.2">
      <c r="A37" s="2596"/>
      <c r="B37" s="2618"/>
      <c r="C37" s="566" t="s">
        <v>1372</v>
      </c>
      <c r="E37" s="1595"/>
      <c r="F37" s="8">
        <f t="shared" ref="F37:G37" si="26">F28</f>
        <v>0</v>
      </c>
      <c r="G37" s="8">
        <f t="shared" si="26"/>
        <v>0</v>
      </c>
      <c r="H37" s="8"/>
      <c r="I37" s="416">
        <f>ROUND(SUM(F37:H37),2)</f>
        <v>0</v>
      </c>
      <c r="J37" s="1322">
        <f t="shared" si="18"/>
        <v>0</v>
      </c>
      <c r="K37" s="1234"/>
      <c r="L37" s="1234"/>
      <c r="M37" s="1234"/>
      <c r="N37" s="1234"/>
      <c r="O37" s="1234"/>
      <c r="P37" s="1234"/>
      <c r="Q37" s="1234"/>
      <c r="R37" s="1234"/>
    </row>
    <row r="38" spans="1:18" x14ac:dyDescent="0.15">
      <c r="A38" s="2596"/>
      <c r="B38" s="2810" t="s">
        <v>950</v>
      </c>
      <c r="C38" s="543" t="s">
        <v>1920</v>
      </c>
      <c r="D38" s="1068"/>
      <c r="E38" s="1601"/>
      <c r="F38" s="1602"/>
      <c r="G38" s="1602"/>
      <c r="H38" s="1602"/>
      <c r="I38" s="1603">
        <f>ROUND(SUM(F38:H38),2)</f>
        <v>0</v>
      </c>
      <c r="J38" s="1322">
        <f t="shared" si="18"/>
        <v>0</v>
      </c>
    </row>
    <row r="39" spans="1:18" x14ac:dyDescent="0.15">
      <c r="A39" s="2596"/>
      <c r="B39" s="2599"/>
      <c r="C39" s="543" t="s">
        <v>1917</v>
      </c>
      <c r="D39" s="1064"/>
      <c r="E39" s="1604"/>
      <c r="F39" s="1605"/>
      <c r="G39" s="1605"/>
      <c r="H39" s="1605"/>
      <c r="I39" s="12"/>
      <c r="J39" s="1322">
        <f t="shared" si="18"/>
        <v>0</v>
      </c>
    </row>
    <row r="40" spans="1:18" x14ac:dyDescent="0.15">
      <c r="A40" s="2596"/>
      <c r="B40" s="2599"/>
      <c r="C40" s="669" t="s">
        <v>1918</v>
      </c>
      <c r="D40" s="1063"/>
      <c r="E40" s="1606"/>
      <c r="F40" s="1073">
        <f t="shared" ref="F40:G40" si="27">F38*F39</f>
        <v>0</v>
      </c>
      <c r="G40" s="1073">
        <f t="shared" si="27"/>
        <v>0</v>
      </c>
      <c r="H40" s="1073"/>
      <c r="I40" s="1282">
        <f>ROUND(SUM(F40:H40),2)</f>
        <v>0</v>
      </c>
      <c r="J40" s="1322">
        <f t="shared" si="18"/>
        <v>0</v>
      </c>
    </row>
    <row r="41" spans="1:18" x14ac:dyDescent="0.15">
      <c r="A41" s="2596"/>
      <c r="B41" s="2599"/>
      <c r="C41" s="669" t="s">
        <v>1928</v>
      </c>
      <c r="D41" s="1064"/>
      <c r="E41" s="1604"/>
      <c r="F41" s="162"/>
      <c r="G41" s="162"/>
      <c r="H41" s="162"/>
      <c r="I41" s="12"/>
      <c r="J41" s="1322">
        <f t="shared" si="18"/>
        <v>0</v>
      </c>
    </row>
    <row r="42" spans="1:18" x14ac:dyDescent="0.15">
      <c r="A42" s="2596"/>
      <c r="B42" s="2599"/>
      <c r="C42" s="669" t="s">
        <v>1927</v>
      </c>
      <c r="D42" s="1063"/>
      <c r="E42" s="1606"/>
      <c r="F42" s="1073">
        <f>F41*F38</f>
        <v>0</v>
      </c>
      <c r="G42" s="1073">
        <f t="shared" ref="G42" si="28">G41*G38</f>
        <v>0</v>
      </c>
      <c r="H42" s="1073"/>
      <c r="I42" s="1282">
        <f>ROUND(SUM(F42:H42),2)</f>
        <v>0</v>
      </c>
      <c r="J42" s="1322">
        <f t="shared" si="18"/>
        <v>0</v>
      </c>
    </row>
    <row r="43" spans="1:18" x14ac:dyDescent="0.15">
      <c r="A43" s="2596"/>
      <c r="B43" s="2599"/>
      <c r="C43" s="669" t="s">
        <v>1919</v>
      </c>
      <c r="D43" s="1062"/>
      <c r="E43" s="1595"/>
      <c r="F43" s="162"/>
      <c r="G43" s="162"/>
      <c r="H43" s="162"/>
      <c r="I43" s="12"/>
      <c r="J43" s="1322">
        <f t="shared" si="18"/>
        <v>0</v>
      </c>
    </row>
    <row r="44" spans="1:18" x14ac:dyDescent="0.15">
      <c r="A44" s="2596"/>
      <c r="B44" s="2599"/>
      <c r="C44" s="669" t="s">
        <v>1921</v>
      </c>
      <c r="D44" s="1063"/>
      <c r="E44" s="1606"/>
      <c r="F44" s="1073">
        <f>F43*F38</f>
        <v>0</v>
      </c>
      <c r="G44" s="1073">
        <f t="shared" ref="G44" si="29">G43*G38</f>
        <v>0</v>
      </c>
      <c r="H44" s="1073"/>
      <c r="I44" s="1282">
        <f t="shared" ref="I44:I59" si="30">ROUND(SUM(F44:H44),2)</f>
        <v>0</v>
      </c>
      <c r="J44" s="1322">
        <f t="shared" si="18"/>
        <v>0</v>
      </c>
    </row>
    <row r="45" spans="1:18" ht="19.5" thickBot="1" x14ac:dyDescent="0.2">
      <c r="A45" s="2596"/>
      <c r="B45" s="2811"/>
      <c r="C45" s="547" t="s">
        <v>951</v>
      </c>
      <c r="D45" s="983"/>
      <c r="E45" s="1594"/>
      <c r="F45" s="1303"/>
      <c r="G45" s="1303"/>
      <c r="H45" s="1303"/>
      <c r="I45" s="416">
        <f t="shared" si="30"/>
        <v>0</v>
      </c>
      <c r="J45" s="1322">
        <f t="shared" si="18"/>
        <v>0</v>
      </c>
    </row>
    <row r="46" spans="1:18" x14ac:dyDescent="0.15">
      <c r="A46" s="2596"/>
      <c r="B46" s="2616" t="s">
        <v>1933</v>
      </c>
      <c r="C46" s="807" t="s">
        <v>1925</v>
      </c>
      <c r="D46" s="1062"/>
      <c r="E46" s="1595"/>
      <c r="F46" s="8">
        <f t="shared" ref="F46:G46" si="31">F11*2.4</f>
        <v>0</v>
      </c>
      <c r="G46" s="8">
        <f t="shared" si="31"/>
        <v>0</v>
      </c>
      <c r="H46" s="8"/>
      <c r="I46" s="425">
        <f t="shared" si="30"/>
        <v>0</v>
      </c>
      <c r="J46" s="1322">
        <f t="shared" si="18"/>
        <v>0</v>
      </c>
    </row>
    <row r="47" spans="1:18" x14ac:dyDescent="0.15">
      <c r="A47" s="2596"/>
      <c r="B47" s="2617"/>
      <c r="C47" s="549" t="s">
        <v>7</v>
      </c>
      <c r="D47" s="1062"/>
      <c r="E47" s="1595"/>
      <c r="F47" s="8">
        <f t="shared" ref="F47:G47" si="32">F17*1.25</f>
        <v>0</v>
      </c>
      <c r="G47" s="8">
        <f t="shared" si="32"/>
        <v>0</v>
      </c>
      <c r="H47" s="8"/>
      <c r="I47" s="425">
        <f t="shared" si="30"/>
        <v>0</v>
      </c>
      <c r="J47" s="1322">
        <f t="shared" si="18"/>
        <v>0</v>
      </c>
    </row>
    <row r="48" spans="1:18" x14ac:dyDescent="0.15">
      <c r="A48" s="2596"/>
      <c r="B48" s="2617"/>
      <c r="C48" s="567" t="s">
        <v>1405</v>
      </c>
      <c r="D48" s="1062"/>
      <c r="E48" s="1595"/>
      <c r="F48" s="8">
        <f t="shared" ref="F48:G48" si="33">F36</f>
        <v>0</v>
      </c>
      <c r="G48" s="8">
        <f t="shared" si="33"/>
        <v>0</v>
      </c>
      <c r="H48" s="8"/>
      <c r="I48" s="425">
        <f t="shared" si="30"/>
        <v>0</v>
      </c>
      <c r="J48" s="1322">
        <f t="shared" si="18"/>
        <v>0</v>
      </c>
    </row>
    <row r="49" spans="1:10" x14ac:dyDescent="0.15">
      <c r="A49" s="2596"/>
      <c r="B49" s="2617"/>
      <c r="C49" s="567" t="s">
        <v>2012</v>
      </c>
      <c r="D49" s="1062"/>
      <c r="E49" s="1595"/>
      <c r="F49" s="8">
        <f t="shared" ref="F49:G49" si="34">F40*1.25</f>
        <v>0</v>
      </c>
      <c r="G49" s="8">
        <f t="shared" si="34"/>
        <v>0</v>
      </c>
      <c r="H49" s="8"/>
      <c r="I49" s="425">
        <f t="shared" si="30"/>
        <v>0</v>
      </c>
      <c r="J49" s="1322">
        <f t="shared" si="18"/>
        <v>0</v>
      </c>
    </row>
    <row r="50" spans="1:10" x14ac:dyDescent="0.15">
      <c r="A50" s="2596"/>
      <c r="B50" s="2617"/>
      <c r="C50" s="559" t="s">
        <v>1815</v>
      </c>
      <c r="D50" s="1062"/>
      <c r="E50" s="1595"/>
      <c r="F50" s="8">
        <f t="shared" ref="F50:G50" si="35">F18+F19</f>
        <v>0</v>
      </c>
      <c r="G50" s="8">
        <f t="shared" si="35"/>
        <v>0</v>
      </c>
      <c r="H50" s="8"/>
      <c r="I50" s="425">
        <f t="shared" si="30"/>
        <v>0</v>
      </c>
      <c r="J50" s="1322">
        <f t="shared" si="18"/>
        <v>0</v>
      </c>
    </row>
    <row r="51" spans="1:10" x14ac:dyDescent="0.15">
      <c r="A51" s="2596"/>
      <c r="B51" s="2617"/>
      <c r="C51" s="559" t="s">
        <v>1766</v>
      </c>
      <c r="D51" s="1062"/>
      <c r="E51" s="1595"/>
      <c r="F51" s="8">
        <f t="shared" ref="F51:G52" si="36">F27</f>
        <v>0</v>
      </c>
      <c r="G51" s="8">
        <f t="shared" si="36"/>
        <v>0</v>
      </c>
      <c r="H51" s="8"/>
      <c r="I51" s="425">
        <f t="shared" si="30"/>
        <v>0</v>
      </c>
      <c r="J51" s="1322">
        <f t="shared" si="18"/>
        <v>0</v>
      </c>
    </row>
    <row r="52" spans="1:10" x14ac:dyDescent="0.15">
      <c r="A52" s="2596"/>
      <c r="B52" s="2617"/>
      <c r="C52" s="567" t="s">
        <v>1372</v>
      </c>
      <c r="D52" s="1062"/>
      <c r="E52" s="1595"/>
      <c r="F52" s="8">
        <f t="shared" si="36"/>
        <v>0</v>
      </c>
      <c r="G52" s="8">
        <f t="shared" si="36"/>
        <v>0</v>
      </c>
      <c r="H52" s="8"/>
      <c r="I52" s="425">
        <f t="shared" si="30"/>
        <v>0</v>
      </c>
      <c r="J52" s="1322">
        <f t="shared" si="18"/>
        <v>0</v>
      </c>
    </row>
    <row r="53" spans="1:10" x14ac:dyDescent="0.15">
      <c r="A53" s="2596"/>
      <c r="B53" s="2617"/>
      <c r="C53" s="567" t="s">
        <v>1929</v>
      </c>
      <c r="D53" s="1062"/>
      <c r="E53" s="1595"/>
      <c r="F53" s="8">
        <f t="shared" ref="F53:G53" si="37">F42*1.13</f>
        <v>0</v>
      </c>
      <c r="G53" s="8">
        <f t="shared" si="37"/>
        <v>0</v>
      </c>
      <c r="H53" s="8"/>
      <c r="I53" s="425">
        <f t="shared" si="30"/>
        <v>0</v>
      </c>
      <c r="J53" s="1322">
        <f t="shared" si="18"/>
        <v>0</v>
      </c>
    </row>
    <row r="54" spans="1:10" x14ac:dyDescent="0.15">
      <c r="A54" s="2596"/>
      <c r="B54" s="2617"/>
      <c r="C54" s="559" t="s">
        <v>1923</v>
      </c>
      <c r="D54" s="1062"/>
      <c r="E54" s="1595"/>
      <c r="F54" s="8">
        <f t="shared" ref="F54:G54" si="38">F25/1000</f>
        <v>0</v>
      </c>
      <c r="G54" s="8">
        <f t="shared" si="38"/>
        <v>0</v>
      </c>
      <c r="H54" s="8"/>
      <c r="I54" s="425">
        <f t="shared" si="30"/>
        <v>0</v>
      </c>
      <c r="J54" s="1322">
        <f t="shared" si="18"/>
        <v>0</v>
      </c>
    </row>
    <row r="55" spans="1:10" x14ac:dyDescent="0.15">
      <c r="A55" s="2596"/>
      <c r="B55" s="2617"/>
      <c r="C55" s="559" t="s">
        <v>1924</v>
      </c>
      <c r="D55" s="1062"/>
      <c r="E55" s="1595"/>
      <c r="F55" s="8"/>
      <c r="G55" s="8"/>
      <c r="H55" s="8"/>
      <c r="I55" s="425">
        <f t="shared" si="30"/>
        <v>0</v>
      </c>
      <c r="J55" s="1322">
        <f t="shared" si="18"/>
        <v>0</v>
      </c>
    </row>
    <row r="56" spans="1:10" x14ac:dyDescent="0.15">
      <c r="A56" s="2596"/>
      <c r="B56" s="2617"/>
      <c r="C56" s="559" t="s">
        <v>1840</v>
      </c>
      <c r="D56" s="1062"/>
      <c r="E56" s="1595"/>
      <c r="F56" s="8"/>
      <c r="G56" s="8"/>
      <c r="H56" s="8"/>
      <c r="I56" s="425">
        <f t="shared" si="30"/>
        <v>0</v>
      </c>
      <c r="J56" s="1322">
        <f t="shared" si="18"/>
        <v>0</v>
      </c>
    </row>
    <row r="57" spans="1:10" x14ac:dyDescent="0.15">
      <c r="A57" s="2596"/>
      <c r="B57" s="2617"/>
      <c r="C57" s="559" t="s">
        <v>1605</v>
      </c>
      <c r="D57" s="1062"/>
      <c r="E57" s="1595"/>
      <c r="F57" s="8"/>
      <c r="G57" s="8"/>
      <c r="H57" s="8"/>
      <c r="I57" s="425">
        <f t="shared" si="30"/>
        <v>0</v>
      </c>
      <c r="J57" s="1322">
        <f t="shared" si="18"/>
        <v>0</v>
      </c>
    </row>
    <row r="58" spans="1:10" x14ac:dyDescent="0.15">
      <c r="A58" s="2596"/>
      <c r="B58" s="2617"/>
      <c r="C58" s="567" t="s">
        <v>1404</v>
      </c>
      <c r="D58" s="1062"/>
      <c r="E58" s="1595"/>
      <c r="F58" s="8">
        <f t="shared" ref="F58:G58" si="39">F30</f>
        <v>0</v>
      </c>
      <c r="G58" s="8">
        <f t="shared" si="39"/>
        <v>0</v>
      </c>
      <c r="H58" s="8"/>
      <c r="I58" s="425">
        <f t="shared" si="30"/>
        <v>0</v>
      </c>
      <c r="J58" s="1322">
        <f t="shared" ref="J58" si="40">SUM(F58:I58)</f>
        <v>0</v>
      </c>
    </row>
    <row r="59" spans="1:10" ht="19.5" thickBot="1" x14ac:dyDescent="0.2">
      <c r="A59" s="2596"/>
      <c r="B59" s="2618"/>
      <c r="C59" s="567" t="s">
        <v>1208</v>
      </c>
      <c r="D59" s="983"/>
      <c r="E59" s="1594"/>
      <c r="F59" s="215"/>
      <c r="G59" s="215"/>
      <c r="H59" s="215"/>
      <c r="I59" s="416">
        <f t="shared" si="30"/>
        <v>0</v>
      </c>
      <c r="J59" s="1322">
        <f>SUM(F59:I59)</f>
        <v>0</v>
      </c>
    </row>
    <row r="60" spans="1:10" x14ac:dyDescent="0.15">
      <c r="A60" s="2596"/>
      <c r="B60" s="2616" t="s">
        <v>1370</v>
      </c>
      <c r="C60" s="807" t="s">
        <v>1925</v>
      </c>
      <c r="D60" s="1062"/>
      <c r="E60" s="1595"/>
      <c r="F60" s="8"/>
      <c r="G60" s="8"/>
      <c r="H60" s="8"/>
      <c r="I60" s="425"/>
      <c r="J60" s="1322"/>
    </row>
    <row r="61" spans="1:10" x14ac:dyDescent="0.15">
      <c r="A61" s="2596"/>
      <c r="B61" s="2617"/>
      <c r="C61" s="549" t="s">
        <v>7</v>
      </c>
      <c r="D61" s="1062"/>
      <c r="E61" s="1595"/>
      <c r="F61" s="8"/>
      <c r="G61" s="8"/>
      <c r="H61" s="8"/>
      <c r="I61" s="425"/>
      <c r="J61" s="1322"/>
    </row>
    <row r="62" spans="1:10" x14ac:dyDescent="0.15">
      <c r="A62" s="2596"/>
      <c r="B62" s="2617"/>
      <c r="C62" s="567" t="s">
        <v>2012</v>
      </c>
      <c r="D62" s="1062"/>
      <c r="E62" s="1595"/>
      <c r="F62" s="8"/>
      <c r="G62" s="8"/>
      <c r="H62" s="8"/>
      <c r="I62" s="425"/>
      <c r="J62" s="1322"/>
    </row>
    <row r="63" spans="1:10" x14ac:dyDescent="0.15">
      <c r="A63" s="2596"/>
      <c r="B63" s="2617"/>
      <c r="C63" s="559" t="s">
        <v>1815</v>
      </c>
      <c r="D63" s="1062"/>
      <c r="E63" s="1595"/>
      <c r="F63" s="8"/>
      <c r="G63" s="8"/>
      <c r="H63" s="8"/>
      <c r="I63" s="425"/>
      <c r="J63" s="1322"/>
    </row>
    <row r="64" spans="1:10" x14ac:dyDescent="0.15">
      <c r="A64" s="2596"/>
      <c r="B64" s="2617"/>
      <c r="C64" s="559" t="s">
        <v>1766</v>
      </c>
      <c r="D64" s="1062"/>
      <c r="E64" s="1595"/>
      <c r="F64" s="8"/>
      <c r="G64" s="8"/>
      <c r="H64" s="8"/>
      <c r="I64" s="425"/>
      <c r="J64" s="1322"/>
    </row>
    <row r="65" spans="1:10" x14ac:dyDescent="0.15">
      <c r="A65" s="2596"/>
      <c r="B65" s="2617"/>
      <c r="C65" s="567" t="s">
        <v>1372</v>
      </c>
      <c r="D65" s="1062"/>
      <c r="E65" s="1595"/>
      <c r="F65" s="8"/>
      <c r="G65" s="8"/>
      <c r="H65" s="8"/>
      <c r="I65" s="425"/>
      <c r="J65" s="1322"/>
    </row>
    <row r="66" spans="1:10" x14ac:dyDescent="0.15">
      <c r="A66" s="2596"/>
      <c r="B66" s="2617"/>
      <c r="C66" s="567" t="s">
        <v>1929</v>
      </c>
      <c r="D66" s="1062"/>
      <c r="E66" s="1595"/>
      <c r="F66" s="8"/>
      <c r="G66" s="8"/>
      <c r="H66" s="8"/>
      <c r="I66" s="425"/>
      <c r="J66" s="1322"/>
    </row>
    <row r="67" spans="1:10" x14ac:dyDescent="0.15">
      <c r="A67" s="2596"/>
      <c r="B67" s="2617"/>
      <c r="C67" s="559" t="s">
        <v>1923</v>
      </c>
      <c r="D67" s="1062"/>
      <c r="E67" s="1595"/>
      <c r="F67" s="8"/>
      <c r="G67" s="8"/>
      <c r="H67" s="8"/>
      <c r="I67" s="425"/>
      <c r="J67" s="1322"/>
    </row>
    <row r="68" spans="1:10" x14ac:dyDescent="0.15">
      <c r="A68" s="2596"/>
      <c r="B68" s="2617"/>
      <c r="C68" s="559" t="s">
        <v>1924</v>
      </c>
      <c r="D68" s="1062"/>
      <c r="E68" s="1595"/>
      <c r="F68" s="8"/>
      <c r="G68" s="8"/>
      <c r="H68" s="8"/>
      <c r="I68" s="425"/>
      <c r="J68" s="1322"/>
    </row>
    <row r="69" spans="1:10" x14ac:dyDescent="0.15">
      <c r="A69" s="2596"/>
      <c r="B69" s="2617"/>
      <c r="C69" s="559" t="s">
        <v>1840</v>
      </c>
      <c r="D69" s="1062"/>
      <c r="E69" s="1595"/>
      <c r="F69" s="8"/>
      <c r="G69" s="8"/>
      <c r="H69" s="8"/>
      <c r="I69" s="425"/>
      <c r="J69" s="1322"/>
    </row>
    <row r="70" spans="1:10" x14ac:dyDescent="0.15">
      <c r="A70" s="2596"/>
      <c r="B70" s="2617"/>
      <c r="C70" s="559" t="s">
        <v>1605</v>
      </c>
      <c r="D70" s="1062"/>
      <c r="E70" s="1595"/>
      <c r="F70" s="8"/>
      <c r="G70" s="8"/>
      <c r="H70" s="8"/>
      <c r="I70" s="425"/>
      <c r="J70" s="1322"/>
    </row>
    <row r="71" spans="1:10" x14ac:dyDescent="0.15">
      <c r="A71" s="2596"/>
      <c r="B71" s="2617"/>
      <c r="C71" s="567" t="s">
        <v>1404</v>
      </c>
      <c r="D71" s="1062"/>
      <c r="E71" s="1595"/>
      <c r="F71" s="8"/>
      <c r="G71" s="8"/>
      <c r="H71" s="8"/>
      <c r="I71" s="425"/>
      <c r="J71" s="1322"/>
    </row>
    <row r="72" spans="1:10" ht="19.5" thickBot="1" x14ac:dyDescent="0.2">
      <c r="A72" s="2596"/>
      <c r="B72" s="2617"/>
      <c r="C72" s="568" t="s">
        <v>1208</v>
      </c>
      <c r="D72" s="1062"/>
      <c r="E72" s="1595"/>
      <c r="F72" s="8"/>
      <c r="G72" s="8"/>
      <c r="H72" s="8"/>
      <c r="I72" s="425"/>
      <c r="J72" s="1322"/>
    </row>
    <row r="73" spans="1:10" s="9" customFormat="1" ht="50.1" customHeight="1" thickBot="1" x14ac:dyDescent="0.2">
      <c r="A73" s="2742"/>
      <c r="B73" s="2803" t="s">
        <v>12</v>
      </c>
      <c r="C73" s="2804"/>
      <c r="D73" s="1397"/>
      <c r="E73" s="2067"/>
      <c r="F73" s="1884"/>
      <c r="G73" s="1884"/>
      <c r="H73" s="1884"/>
      <c r="I73" s="1340"/>
      <c r="J73" s="1600">
        <v>1</v>
      </c>
    </row>
    <row r="74" spans="1:10" ht="19.5" thickTop="1" x14ac:dyDescent="0.15"/>
  </sheetData>
  <autoFilter ref="J1:J74" xr:uid="{00000000-0009-0000-0000-000020000000}"/>
  <mergeCells count="20">
    <mergeCell ref="Q31:Q34"/>
    <mergeCell ref="A1:A73"/>
    <mergeCell ref="B1:C1"/>
    <mergeCell ref="B3:B4"/>
    <mergeCell ref="B2:C2"/>
    <mergeCell ref="B5:C5"/>
    <mergeCell ref="B6:B11"/>
    <mergeCell ref="B12:C12"/>
    <mergeCell ref="B20:B28"/>
    <mergeCell ref="B73:C73"/>
    <mergeCell ref="B31:B35"/>
    <mergeCell ref="B13:B19"/>
    <mergeCell ref="B38:B45"/>
    <mergeCell ref="B46:B59"/>
    <mergeCell ref="B60:B72"/>
    <mergeCell ref="B36:B37"/>
    <mergeCell ref="B29:B30"/>
    <mergeCell ref="K31:L31"/>
    <mergeCell ref="M31:N31"/>
    <mergeCell ref="O31:P31"/>
  </mergeCells>
  <conditionalFormatting sqref="F13:H13">
    <cfRule type="expression" dxfId="23" priority="2">
      <formula>F$13&gt;F$7</formula>
    </cfRule>
  </conditionalFormatting>
  <printOptions horizontalCentered="1"/>
  <pageMargins left="0.39370078740157483" right="0.39370078740157483" top="0.49" bottom="0.91" header="0.31496062992125984" footer="0.23622047244094491"/>
  <pageSetup paperSize="9" scale="54" fitToWidth="11" orientation="portrait" r:id="rId1"/>
  <headerFooter>
    <oddFooter>&amp;L&amp;"Arial,Normal"&amp;8&amp;F&amp;C&amp;"Arial,Normal"&amp;8&amp;P / &amp;N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41">
    <tabColor theme="9" tint="0.59999389629810485"/>
  </sheetPr>
  <dimension ref="A1:BJ85"/>
  <sheetViews>
    <sheetView showZeros="0" workbookViewId="0">
      <selection activeCell="C18" sqref="B6:I30"/>
    </sheetView>
  </sheetViews>
  <sheetFormatPr defaultColWidth="9" defaultRowHeight="12.75" x14ac:dyDescent="0.2"/>
  <cols>
    <col min="1" max="1" width="10.75" style="289" customWidth="1"/>
    <col min="2" max="2" width="24.5" style="289" customWidth="1"/>
    <col min="3" max="3" width="9" style="289"/>
    <col min="4" max="4" width="12.25" style="289" customWidth="1"/>
    <col min="5" max="6" width="9" style="289"/>
    <col min="7" max="7" width="9.875" style="289" customWidth="1"/>
    <col min="8" max="8" width="11.75" style="289" customWidth="1"/>
    <col min="9" max="9" width="9" style="289"/>
    <col min="10" max="10" width="2.625" style="289" customWidth="1"/>
    <col min="11" max="11" width="9" style="289"/>
    <col min="12" max="12" width="13.125" style="289" customWidth="1"/>
    <col min="13" max="16384" width="9" style="289"/>
  </cols>
  <sheetData>
    <row r="1" spans="1:12" ht="37.5" customHeight="1" x14ac:dyDescent="0.2">
      <c r="A1" s="3121" t="s">
        <v>418</v>
      </c>
      <c r="B1" s="3123" t="s">
        <v>417</v>
      </c>
      <c r="C1" s="3125" t="s">
        <v>416</v>
      </c>
      <c r="D1" s="3114" t="s">
        <v>415</v>
      </c>
      <c r="E1" s="311" t="s">
        <v>414</v>
      </c>
      <c r="F1" s="311"/>
      <c r="G1" s="3116" t="s">
        <v>413</v>
      </c>
      <c r="H1" s="3116" t="s">
        <v>412</v>
      </c>
      <c r="I1" s="311" t="s">
        <v>411</v>
      </c>
      <c r="J1" s="310"/>
      <c r="K1" s="310"/>
      <c r="L1" s="309"/>
    </row>
    <row r="2" spans="1:12" ht="37.5" customHeight="1" thickBot="1" x14ac:dyDescent="0.25">
      <c r="A2" s="3122"/>
      <c r="B2" s="3124"/>
      <c r="C2" s="3126"/>
      <c r="D2" s="3115"/>
      <c r="E2" s="308" t="s">
        <v>52</v>
      </c>
      <c r="F2" s="308" t="s">
        <v>410</v>
      </c>
      <c r="G2" s="3117"/>
      <c r="H2" s="3117"/>
      <c r="I2" s="3118" t="s">
        <v>409</v>
      </c>
      <c r="J2" s="3119"/>
      <c r="K2" s="3120"/>
      <c r="L2" s="307" t="s">
        <v>408</v>
      </c>
    </row>
    <row r="3" spans="1:12" ht="28.5" customHeight="1" x14ac:dyDescent="0.2">
      <c r="A3" s="305" t="s">
        <v>368</v>
      </c>
      <c r="B3" s="306" t="s">
        <v>407</v>
      </c>
      <c r="C3" s="305" t="s">
        <v>402</v>
      </c>
      <c r="D3" s="305" t="s">
        <v>401</v>
      </c>
      <c r="E3" s="305" t="s">
        <v>400</v>
      </c>
      <c r="F3" s="305" t="s">
        <v>406</v>
      </c>
      <c r="G3" s="304">
        <v>10</v>
      </c>
      <c r="H3" s="303">
        <v>1.5</v>
      </c>
      <c r="I3" s="300" t="s">
        <v>405</v>
      </c>
      <c r="J3" s="302"/>
      <c r="K3" s="301"/>
      <c r="L3" s="312" t="s">
        <v>404</v>
      </c>
    </row>
    <row r="4" spans="1:12" ht="28.5" customHeight="1" x14ac:dyDescent="0.2">
      <c r="A4" s="297" t="s">
        <v>367</v>
      </c>
      <c r="B4" s="298" t="s">
        <v>403</v>
      </c>
      <c r="C4" s="297" t="s">
        <v>402</v>
      </c>
      <c r="D4" s="297" t="s">
        <v>401</v>
      </c>
      <c r="E4" s="297" t="s">
        <v>400</v>
      </c>
      <c r="F4" s="297" t="s">
        <v>399</v>
      </c>
      <c r="G4" s="296">
        <v>10</v>
      </c>
      <c r="H4" s="295">
        <v>1.5</v>
      </c>
      <c r="I4" s="293" t="s">
        <v>398</v>
      </c>
      <c r="J4" s="292"/>
      <c r="K4" s="294" t="s">
        <v>391</v>
      </c>
      <c r="L4" s="858" t="s">
        <v>397</v>
      </c>
    </row>
    <row r="5" spans="1:12" ht="28.5" customHeight="1" x14ac:dyDescent="0.2">
      <c r="A5" s="299" t="s">
        <v>226</v>
      </c>
      <c r="B5" s="298" t="s">
        <v>396</v>
      </c>
      <c r="C5" s="297" t="s">
        <v>395</v>
      </c>
      <c r="D5" s="297" t="s">
        <v>394</v>
      </c>
      <c r="E5" s="297" t="s">
        <v>393</v>
      </c>
      <c r="F5" s="297" t="s">
        <v>392</v>
      </c>
      <c r="G5" s="296">
        <v>10</v>
      </c>
      <c r="H5" s="295">
        <v>1.5</v>
      </c>
      <c r="I5" s="293" t="s">
        <v>391</v>
      </c>
      <c r="J5" s="292" t="s">
        <v>374</v>
      </c>
      <c r="K5" s="294" t="s">
        <v>390</v>
      </c>
      <c r="L5" s="858" t="s">
        <v>389</v>
      </c>
    </row>
    <row r="6" spans="1:12" ht="28.5" customHeight="1" x14ac:dyDescent="0.2">
      <c r="A6" s="299" t="s">
        <v>227</v>
      </c>
      <c r="B6" s="298" t="s">
        <v>388</v>
      </c>
      <c r="C6" s="297" t="s">
        <v>387</v>
      </c>
      <c r="D6" s="297" t="s">
        <v>386</v>
      </c>
      <c r="E6" s="297" t="s">
        <v>385</v>
      </c>
      <c r="F6" s="297" t="s">
        <v>384</v>
      </c>
      <c r="G6" s="296">
        <v>10</v>
      </c>
      <c r="H6" s="295">
        <v>2.2999999999999998</v>
      </c>
      <c r="I6" s="293" t="s">
        <v>383</v>
      </c>
      <c r="J6" s="292" t="s">
        <v>374</v>
      </c>
      <c r="K6" s="294" t="s">
        <v>382</v>
      </c>
      <c r="L6" s="858" t="s">
        <v>381</v>
      </c>
    </row>
    <row r="7" spans="1:12" ht="28.5" customHeight="1" x14ac:dyDescent="0.2">
      <c r="A7" s="299" t="s">
        <v>228</v>
      </c>
      <c r="B7" s="298" t="s">
        <v>380</v>
      </c>
      <c r="C7" s="297" t="s">
        <v>379</v>
      </c>
      <c r="D7" s="297" t="s">
        <v>378</v>
      </c>
      <c r="E7" s="297" t="s">
        <v>377</v>
      </c>
      <c r="F7" s="297" t="s">
        <v>376</v>
      </c>
      <c r="G7" s="296">
        <v>10</v>
      </c>
      <c r="H7" s="295">
        <v>5.9</v>
      </c>
      <c r="I7" s="293" t="s">
        <v>375</v>
      </c>
      <c r="J7" s="292" t="s">
        <v>374</v>
      </c>
      <c r="K7" s="294" t="s">
        <v>373</v>
      </c>
      <c r="L7" s="858" t="s">
        <v>372</v>
      </c>
    </row>
    <row r="8" spans="1:12" x14ac:dyDescent="0.2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</row>
    <row r="9" spans="1:12" x14ac:dyDescent="0.2">
      <c r="A9" s="166"/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</row>
    <row r="10" spans="1:12" x14ac:dyDescent="0.2">
      <c r="A10" s="166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</row>
    <row r="11" spans="1:12" x14ac:dyDescent="0.2">
      <c r="A11" s="291" t="s">
        <v>371</v>
      </c>
      <c r="B11" s="291" t="s">
        <v>370</v>
      </c>
      <c r="C11" s="890" t="s">
        <v>370</v>
      </c>
      <c r="D11" s="291"/>
      <c r="E11" s="167"/>
      <c r="G11" s="291"/>
      <c r="H11" s="291"/>
      <c r="K11" s="291" t="s">
        <v>369</v>
      </c>
      <c r="L11" s="291" t="s">
        <v>369</v>
      </c>
    </row>
    <row r="12" spans="1:12" x14ac:dyDescent="0.2">
      <c r="A12" s="292" t="s">
        <v>368</v>
      </c>
      <c r="B12" s="291">
        <v>1</v>
      </c>
      <c r="C12" s="291"/>
      <c r="D12" s="290"/>
      <c r="E12" s="173"/>
      <c r="G12" s="291"/>
      <c r="H12" s="291"/>
      <c r="I12" s="290">
        <f>(B12+B12*1.5)/2*H3*365*G3</f>
        <v>6843.75</v>
      </c>
      <c r="K12" s="290">
        <f>(C12+C12*1.5)/2*H3*365*G3</f>
        <v>0</v>
      </c>
      <c r="L12" s="891">
        <f>INT(+(I12+K12)/2)</f>
        <v>3421</v>
      </c>
    </row>
    <row r="13" spans="1:12" x14ac:dyDescent="0.2">
      <c r="A13" s="292" t="s">
        <v>367</v>
      </c>
      <c r="B13" s="291">
        <v>4</v>
      </c>
      <c r="C13" s="291"/>
      <c r="E13" s="173"/>
      <c r="G13" s="291"/>
      <c r="H13" s="291"/>
      <c r="I13" s="290">
        <f>(B13+B13*1.5)/2*H4*365*G4</f>
        <v>27375</v>
      </c>
      <c r="K13" s="290">
        <f>(C13+C13*1.5)/2*H4*365*G4</f>
        <v>0</v>
      </c>
      <c r="L13" s="891">
        <f>INT(+(I13+K13)/2)</f>
        <v>13687</v>
      </c>
    </row>
    <row r="14" spans="1:12" x14ac:dyDescent="0.2">
      <c r="A14" s="292" t="s">
        <v>226</v>
      </c>
      <c r="B14" s="291">
        <v>4</v>
      </c>
      <c r="C14" s="291">
        <v>20</v>
      </c>
      <c r="D14" s="290"/>
      <c r="E14" s="173"/>
      <c r="G14" s="291"/>
      <c r="H14" s="291"/>
      <c r="I14" s="290">
        <f>(B14+B14*1.5)/2*H5*365*G5</f>
        <v>27375</v>
      </c>
      <c r="K14" s="290">
        <f>(C14+C14*1.5)/2*H5*365*G5</f>
        <v>136875</v>
      </c>
      <c r="L14" s="891">
        <f>INT(+(I14+K14)/2)</f>
        <v>82125</v>
      </c>
    </row>
    <row r="15" spans="1:12" x14ac:dyDescent="0.2">
      <c r="A15" s="292" t="s">
        <v>227</v>
      </c>
      <c r="B15" s="291">
        <v>21</v>
      </c>
      <c r="C15" s="291">
        <v>1000</v>
      </c>
      <c r="D15" s="290"/>
      <c r="E15" s="166"/>
      <c r="G15" s="291"/>
      <c r="H15" s="291"/>
      <c r="I15" s="290">
        <f>(B15+B15*1.5)/2*H6*365*G6</f>
        <v>220368.74999999997</v>
      </c>
      <c r="K15" s="290">
        <f>(C15+C15*1.5)/2*H6*365*G6</f>
        <v>10493750</v>
      </c>
      <c r="L15" s="891">
        <f>INT(+(I15+K15)/2)</f>
        <v>5357059</v>
      </c>
    </row>
    <row r="16" spans="1:12" x14ac:dyDescent="0.2">
      <c r="A16" s="292" t="s">
        <v>228</v>
      </c>
      <c r="B16" s="291">
        <v>1001</v>
      </c>
      <c r="C16" s="291">
        <v>2000</v>
      </c>
      <c r="D16" s="290"/>
      <c r="E16" s="166"/>
      <c r="G16" s="291"/>
      <c r="H16" s="291"/>
      <c r="I16" s="290">
        <f>(B16+B16*1.5)/2*H7*365*G7</f>
        <v>26945668.75</v>
      </c>
      <c r="K16" s="290">
        <f>(C16+C16*1.5)/2*H7*365*G7</f>
        <v>53837500</v>
      </c>
      <c r="L16" s="891">
        <f>INT(+(I16+K16)/2)</f>
        <v>40391584</v>
      </c>
    </row>
    <row r="31" spans="1:26" s="860" customFormat="1" x14ac:dyDescent="0.2">
      <c r="A31" s="859" t="s">
        <v>921</v>
      </c>
      <c r="B31" s="172"/>
      <c r="C31" s="172"/>
      <c r="G31" s="199"/>
      <c r="H31" s="199"/>
      <c r="I31" s="199"/>
      <c r="J31" s="199"/>
      <c r="K31" s="167"/>
      <c r="L31" s="167"/>
      <c r="M31" s="167"/>
      <c r="N31" s="167"/>
      <c r="O31" s="167"/>
      <c r="P31" s="167"/>
      <c r="Q31" s="167"/>
      <c r="R31" s="167"/>
      <c r="S31" s="167"/>
      <c r="T31" s="173"/>
      <c r="U31" s="173"/>
      <c r="V31" s="166"/>
      <c r="W31" s="166"/>
      <c r="X31" s="166"/>
      <c r="Y31" s="166"/>
      <c r="Z31" s="166"/>
    </row>
    <row r="32" spans="1:26" s="860" customFormat="1" x14ac:dyDescent="0.2">
      <c r="A32" s="859" t="s">
        <v>922</v>
      </c>
      <c r="B32" s="172"/>
      <c r="C32" s="172"/>
      <c r="G32" s="199"/>
      <c r="H32" s="199"/>
      <c r="I32" s="199"/>
      <c r="J32" s="199"/>
      <c r="K32" s="167"/>
      <c r="L32" s="167"/>
      <c r="M32" s="167"/>
      <c r="N32" s="167"/>
      <c r="O32" s="167"/>
      <c r="P32" s="167"/>
      <c r="Q32" s="167"/>
      <c r="R32" s="167"/>
      <c r="S32" s="167"/>
      <c r="T32" s="173"/>
      <c r="U32" s="173"/>
      <c r="V32" s="166"/>
      <c r="W32" s="166"/>
      <c r="X32" s="166"/>
      <c r="Y32" s="166"/>
      <c r="Z32" s="166"/>
    </row>
    <row r="33" spans="1:62" s="860" customFormat="1" x14ac:dyDescent="0.2">
      <c r="A33" s="859" t="s">
        <v>923</v>
      </c>
      <c r="B33" s="172"/>
      <c r="C33" s="172"/>
      <c r="D33" s="171"/>
      <c r="E33" s="199"/>
      <c r="F33" s="199"/>
      <c r="G33" s="199"/>
      <c r="H33" s="199"/>
      <c r="I33" s="199"/>
      <c r="J33" s="199"/>
      <c r="K33" s="167"/>
      <c r="L33" s="167"/>
      <c r="M33" s="167"/>
      <c r="N33" s="167"/>
      <c r="O33" s="167"/>
      <c r="P33" s="167"/>
      <c r="Q33" s="167"/>
      <c r="R33" s="167"/>
      <c r="S33" s="167"/>
      <c r="T33" s="173"/>
      <c r="U33" s="173"/>
      <c r="V33" s="166"/>
      <c r="W33" s="166"/>
      <c r="X33" s="166"/>
      <c r="Y33" s="166"/>
      <c r="Z33" s="166"/>
    </row>
    <row r="34" spans="1:62" s="172" customFormat="1" x14ac:dyDescent="0.15"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</row>
    <row r="35" spans="1:62" s="172" customFormat="1" x14ac:dyDescent="0.15">
      <c r="A35" s="861" t="s">
        <v>924</v>
      </c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</row>
    <row r="36" spans="1:62" s="172" customFormat="1" x14ac:dyDescent="0.15">
      <c r="A36" s="861" t="s">
        <v>925</v>
      </c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</row>
    <row r="37" spans="1:62" s="172" customFormat="1" x14ac:dyDescent="0.15">
      <c r="A37" s="861" t="s">
        <v>926</v>
      </c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</row>
    <row r="38" spans="1:62" s="172" customFormat="1" x14ac:dyDescent="0.15">
      <c r="A38" s="862" t="s">
        <v>927</v>
      </c>
      <c r="M38" s="203"/>
      <c r="N38" s="86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</row>
    <row r="39" spans="1:62" s="172" customFormat="1" x14ac:dyDescent="0.2">
      <c r="A39" s="864" t="s">
        <v>928</v>
      </c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</row>
    <row r="40" spans="1:62" s="172" customFormat="1" x14ac:dyDescent="0.2">
      <c r="A40" s="864" t="s">
        <v>929</v>
      </c>
    </row>
    <row r="41" spans="1:62" s="172" customFormat="1" x14ac:dyDescent="0.2">
      <c r="A41" s="864" t="s">
        <v>930</v>
      </c>
    </row>
    <row r="42" spans="1:62" s="172" customFormat="1" x14ac:dyDescent="0.2">
      <c r="A42" s="864" t="s">
        <v>931</v>
      </c>
    </row>
    <row r="43" spans="1:62" s="172" customFormat="1" x14ac:dyDescent="0.2">
      <c r="A43" s="864" t="s">
        <v>932</v>
      </c>
      <c r="B43" s="173"/>
      <c r="C43" s="173"/>
    </row>
    <row r="44" spans="1:62" s="172" customFormat="1" x14ac:dyDescent="0.2">
      <c r="A44" s="864" t="s">
        <v>933</v>
      </c>
      <c r="B44" s="166"/>
      <c r="C44" s="166"/>
    </row>
    <row r="45" spans="1:62" s="172" customFormat="1" x14ac:dyDescent="0.2">
      <c r="A45" s="864" t="s">
        <v>934</v>
      </c>
      <c r="B45" s="166"/>
      <c r="C45" s="166"/>
    </row>
    <row r="46" spans="1:62" s="173" customFormat="1" x14ac:dyDescent="0.2">
      <c r="A46" s="861" t="s">
        <v>935</v>
      </c>
      <c r="B46" s="166"/>
      <c r="C46" s="166"/>
    </row>
    <row r="47" spans="1:62" s="166" customFormat="1" x14ac:dyDescent="0.2"/>
    <row r="48" spans="1:62" s="166" customFormat="1" x14ac:dyDescent="0.2"/>
    <row r="49" spans="1:26" s="166" customFormat="1" x14ac:dyDescent="0.2"/>
    <row r="50" spans="1:26" s="166" customFormat="1" x14ac:dyDescent="0.2">
      <c r="A50" s="861"/>
    </row>
    <row r="51" spans="1:26" s="166" customFormat="1" x14ac:dyDescent="0.2"/>
    <row r="52" spans="1:26" s="166" customFormat="1" ht="18" x14ac:dyDescent="0.2">
      <c r="A52" s="859" t="s">
        <v>936</v>
      </c>
    </row>
    <row r="53" spans="1:26" s="166" customFormat="1" x14ac:dyDescent="0.2">
      <c r="A53" s="861" t="s">
        <v>924</v>
      </c>
    </row>
    <row r="54" spans="1:26" s="166" customFormat="1" x14ac:dyDescent="0.2">
      <c r="A54" s="862" t="s">
        <v>937</v>
      </c>
    </row>
    <row r="55" spans="1:26" s="166" customFormat="1" x14ac:dyDescent="0.2">
      <c r="A55" s="862" t="s">
        <v>938</v>
      </c>
    </row>
    <row r="56" spans="1:26" s="166" customFormat="1" x14ac:dyDescent="0.2">
      <c r="A56" s="862" t="s">
        <v>939</v>
      </c>
    </row>
    <row r="57" spans="1:26" s="860" customFormat="1" x14ac:dyDescent="0.2">
      <c r="A57" s="167"/>
      <c r="B57" s="167"/>
      <c r="C57" s="171"/>
      <c r="D57" s="171"/>
      <c r="E57" s="199"/>
      <c r="F57" s="199"/>
      <c r="G57" s="199"/>
      <c r="H57" s="199"/>
      <c r="I57" s="199"/>
      <c r="J57" s="199"/>
      <c r="K57" s="167"/>
      <c r="L57" s="167"/>
      <c r="M57" s="167"/>
      <c r="N57" s="167"/>
      <c r="O57" s="167"/>
      <c r="P57" s="167"/>
      <c r="Q57" s="167"/>
      <c r="R57" s="167"/>
      <c r="S57" s="167"/>
      <c r="T57" s="173"/>
      <c r="U57" s="173"/>
      <c r="V57" s="166"/>
      <c r="W57" s="166"/>
      <c r="X57" s="166"/>
      <c r="Y57" s="166"/>
      <c r="Z57" s="166"/>
    </row>
    <row r="58" spans="1:26" s="860" customFormat="1" x14ac:dyDescent="0.2">
      <c r="A58" s="167"/>
      <c r="B58" s="167"/>
      <c r="C58" s="171"/>
      <c r="D58" s="171"/>
      <c r="E58" s="199"/>
      <c r="F58" s="199"/>
      <c r="G58" s="199"/>
      <c r="H58" s="199"/>
      <c r="I58" s="199"/>
      <c r="J58" s="199"/>
      <c r="K58" s="167"/>
      <c r="L58" s="167"/>
      <c r="M58" s="167"/>
      <c r="N58" s="167"/>
      <c r="O58" s="167"/>
      <c r="P58" s="167"/>
      <c r="Q58" s="167"/>
      <c r="R58" s="167"/>
      <c r="S58" s="167"/>
      <c r="T58" s="173"/>
      <c r="U58" s="173"/>
      <c r="V58" s="166"/>
      <c r="W58" s="166"/>
      <c r="X58" s="166"/>
      <c r="Y58" s="166"/>
      <c r="Z58" s="166"/>
    </row>
    <row r="59" spans="1:26" s="860" customFormat="1" x14ac:dyDescent="0.2">
      <c r="A59" s="167"/>
      <c r="B59" s="167"/>
      <c r="C59" s="171"/>
      <c r="D59" s="171"/>
      <c r="E59" s="199"/>
      <c r="F59" s="199"/>
      <c r="G59" s="199"/>
      <c r="H59" s="199"/>
      <c r="I59" s="199"/>
      <c r="J59" s="199"/>
      <c r="K59" s="167"/>
      <c r="L59" s="167"/>
      <c r="M59" s="167"/>
      <c r="N59" s="167"/>
      <c r="O59" s="167"/>
      <c r="P59" s="167"/>
      <c r="Q59" s="167"/>
      <c r="R59" s="167"/>
      <c r="S59" s="167"/>
      <c r="T59" s="173"/>
      <c r="U59" s="173"/>
      <c r="V59" s="166"/>
      <c r="W59" s="166"/>
      <c r="X59" s="166"/>
      <c r="Y59" s="166"/>
      <c r="Z59" s="166"/>
    </row>
    <row r="60" spans="1:26" s="860" customFormat="1" x14ac:dyDescent="0.2">
      <c r="A60" s="167"/>
      <c r="B60" s="167"/>
      <c r="C60" s="171"/>
      <c r="D60" s="171"/>
      <c r="E60" s="199"/>
      <c r="F60" s="199"/>
      <c r="G60" s="199"/>
      <c r="H60" s="199"/>
      <c r="I60" s="199"/>
      <c r="J60" s="199"/>
      <c r="K60" s="167"/>
      <c r="L60" s="167"/>
      <c r="M60" s="167"/>
      <c r="N60" s="167"/>
      <c r="O60" s="167"/>
      <c r="P60" s="167"/>
      <c r="Q60" s="167"/>
      <c r="R60" s="167"/>
      <c r="S60" s="167"/>
      <c r="T60" s="173"/>
      <c r="U60" s="173"/>
      <c r="V60" s="166"/>
      <c r="W60" s="166"/>
      <c r="X60" s="166"/>
      <c r="Y60" s="166"/>
      <c r="Z60" s="166"/>
    </row>
    <row r="61" spans="1:26" s="860" customFormat="1" x14ac:dyDescent="0.2">
      <c r="A61" s="167"/>
      <c r="B61" s="167"/>
      <c r="C61" s="171"/>
      <c r="D61" s="171"/>
      <c r="E61" s="199"/>
      <c r="F61" s="199"/>
      <c r="G61" s="199"/>
      <c r="H61" s="199"/>
      <c r="I61" s="199"/>
      <c r="J61" s="199"/>
      <c r="K61" s="167"/>
      <c r="L61" s="167"/>
      <c r="M61" s="167"/>
      <c r="N61" s="167"/>
      <c r="O61" s="167"/>
      <c r="P61" s="167"/>
      <c r="Q61" s="167"/>
      <c r="R61" s="167"/>
      <c r="S61" s="167"/>
      <c r="T61" s="173"/>
      <c r="U61" s="173"/>
      <c r="V61" s="166"/>
      <c r="W61" s="166"/>
      <c r="X61" s="166"/>
      <c r="Y61" s="166"/>
      <c r="Z61" s="166"/>
    </row>
    <row r="62" spans="1:26" s="860" customFormat="1" x14ac:dyDescent="0.2">
      <c r="A62" s="167"/>
      <c r="B62" s="167"/>
      <c r="C62" s="171"/>
      <c r="D62" s="171"/>
      <c r="E62" s="199"/>
      <c r="F62" s="199"/>
      <c r="G62" s="199"/>
      <c r="H62" s="199"/>
      <c r="I62" s="199"/>
      <c r="J62" s="199"/>
      <c r="K62" s="167"/>
      <c r="L62" s="167"/>
      <c r="M62" s="167"/>
      <c r="N62" s="167"/>
      <c r="O62" s="167"/>
      <c r="P62" s="167"/>
      <c r="Q62" s="167"/>
      <c r="R62" s="167"/>
      <c r="S62" s="167"/>
      <c r="T62" s="173"/>
      <c r="U62" s="173"/>
      <c r="V62" s="166"/>
      <c r="W62" s="166"/>
      <c r="X62" s="166"/>
      <c r="Y62" s="166"/>
      <c r="Z62" s="166"/>
    </row>
    <row r="63" spans="1:26" s="860" customFormat="1" x14ac:dyDescent="0.2">
      <c r="A63" s="167"/>
      <c r="B63" s="167"/>
      <c r="C63" s="171"/>
      <c r="D63" s="171"/>
      <c r="E63" s="199"/>
      <c r="F63" s="199"/>
      <c r="G63" s="199"/>
      <c r="H63" s="199"/>
      <c r="I63" s="199"/>
      <c r="J63" s="199"/>
      <c r="K63" s="167"/>
      <c r="L63" s="167"/>
      <c r="M63" s="167"/>
      <c r="N63" s="167"/>
      <c r="O63" s="167"/>
      <c r="P63" s="167"/>
      <c r="Q63" s="167"/>
      <c r="R63" s="167"/>
      <c r="S63" s="167"/>
      <c r="T63" s="173"/>
      <c r="U63" s="173"/>
      <c r="V63" s="166"/>
      <c r="W63" s="166"/>
      <c r="X63" s="166"/>
      <c r="Y63" s="166"/>
      <c r="Z63" s="166"/>
    </row>
    <row r="64" spans="1:26" s="860" customFormat="1" x14ac:dyDescent="0.2">
      <c r="A64" s="167"/>
      <c r="B64" s="167"/>
      <c r="C64" s="171"/>
      <c r="D64" s="171"/>
      <c r="E64" s="199"/>
      <c r="F64" s="199"/>
      <c r="G64" s="199"/>
      <c r="H64" s="199"/>
      <c r="I64" s="199"/>
      <c r="J64" s="199"/>
      <c r="K64" s="167"/>
      <c r="L64" s="167"/>
      <c r="M64" s="167"/>
      <c r="N64" s="167"/>
      <c r="O64" s="167"/>
      <c r="P64" s="167"/>
      <c r="Q64" s="167"/>
      <c r="R64" s="167"/>
      <c r="S64" s="167"/>
      <c r="T64" s="173"/>
      <c r="U64" s="173"/>
      <c r="V64" s="166"/>
      <c r="W64" s="166"/>
      <c r="X64" s="166"/>
      <c r="Y64" s="166"/>
      <c r="Z64" s="166"/>
    </row>
    <row r="65" spans="1:26" s="860" customFormat="1" x14ac:dyDescent="0.2">
      <c r="A65" s="167"/>
      <c r="B65" s="167"/>
      <c r="C65" s="171"/>
      <c r="D65" s="171"/>
      <c r="E65" s="199"/>
      <c r="F65" s="199"/>
      <c r="G65" s="199"/>
      <c r="H65" s="199"/>
      <c r="I65" s="199"/>
      <c r="J65" s="199"/>
      <c r="K65" s="167"/>
      <c r="L65" s="167"/>
      <c r="M65" s="167"/>
      <c r="N65" s="167"/>
      <c r="O65" s="167"/>
      <c r="P65" s="167"/>
      <c r="Q65" s="167"/>
      <c r="R65" s="167"/>
      <c r="S65" s="167"/>
      <c r="T65" s="173"/>
      <c r="U65" s="173"/>
      <c r="V65" s="166"/>
      <c r="W65" s="166"/>
      <c r="X65" s="166"/>
      <c r="Y65" s="166"/>
      <c r="Z65" s="166"/>
    </row>
    <row r="66" spans="1:26" s="860" customFormat="1" x14ac:dyDescent="0.2">
      <c r="A66" s="167"/>
      <c r="B66" s="167"/>
      <c r="C66" s="171"/>
      <c r="D66" s="171"/>
      <c r="E66" s="199"/>
      <c r="F66" s="199"/>
      <c r="G66" s="199"/>
      <c r="H66" s="199"/>
      <c r="I66" s="199"/>
      <c r="J66" s="199"/>
      <c r="K66" s="167"/>
      <c r="L66" s="167"/>
      <c r="M66" s="167"/>
      <c r="N66" s="167"/>
      <c r="O66" s="167"/>
      <c r="P66" s="167"/>
      <c r="Q66" s="167"/>
      <c r="R66" s="167"/>
      <c r="S66" s="167"/>
      <c r="T66" s="173"/>
      <c r="U66" s="173"/>
      <c r="V66" s="166"/>
      <c r="W66" s="166"/>
      <c r="X66" s="166"/>
      <c r="Y66" s="166"/>
      <c r="Z66" s="166"/>
    </row>
    <row r="67" spans="1:26" s="860" customFormat="1" x14ac:dyDescent="0.2">
      <c r="A67" s="167"/>
      <c r="B67" s="167"/>
      <c r="C67" s="171"/>
      <c r="D67" s="171"/>
      <c r="E67" s="199"/>
      <c r="F67" s="199"/>
      <c r="G67" s="199"/>
      <c r="H67" s="199"/>
      <c r="I67" s="199"/>
      <c r="J67" s="199"/>
      <c r="K67" s="167"/>
      <c r="L67" s="167"/>
      <c r="M67" s="167"/>
      <c r="N67" s="167"/>
      <c r="O67" s="167"/>
      <c r="P67" s="167"/>
      <c r="Q67" s="167"/>
      <c r="R67" s="167"/>
      <c r="S67" s="167"/>
      <c r="T67" s="173"/>
      <c r="U67" s="173"/>
      <c r="V67" s="166"/>
      <c r="W67" s="166"/>
      <c r="X67" s="166"/>
      <c r="Y67" s="166"/>
      <c r="Z67" s="166"/>
    </row>
    <row r="68" spans="1:26" s="860" customFormat="1" x14ac:dyDescent="0.2">
      <c r="A68" s="167"/>
      <c r="B68" s="167"/>
      <c r="C68" s="171"/>
      <c r="D68" s="171"/>
      <c r="E68" s="199"/>
      <c r="F68" s="199"/>
      <c r="G68" s="199"/>
      <c r="H68" s="199"/>
      <c r="I68" s="199"/>
      <c r="J68" s="199"/>
      <c r="K68" s="167"/>
      <c r="L68" s="167"/>
      <c r="M68" s="167"/>
      <c r="N68" s="167"/>
      <c r="O68" s="167"/>
      <c r="P68" s="167"/>
      <c r="Q68" s="167"/>
      <c r="R68" s="167"/>
      <c r="S68" s="167"/>
      <c r="T68" s="173"/>
      <c r="U68" s="173"/>
      <c r="V68" s="166"/>
      <c r="W68" s="166"/>
      <c r="X68" s="166"/>
      <c r="Y68" s="166"/>
      <c r="Z68" s="166"/>
    </row>
    <row r="69" spans="1:26" s="860" customFormat="1" x14ac:dyDescent="0.2">
      <c r="A69" s="167"/>
      <c r="B69" s="167"/>
      <c r="C69" s="171"/>
      <c r="D69" s="171"/>
      <c r="E69" s="199"/>
      <c r="F69" s="199"/>
      <c r="G69" s="199"/>
      <c r="H69" s="199"/>
      <c r="I69" s="199"/>
      <c r="J69" s="199"/>
      <c r="K69" s="167"/>
      <c r="L69" s="167"/>
      <c r="M69" s="167"/>
      <c r="N69" s="167"/>
      <c r="O69" s="167"/>
      <c r="P69" s="167"/>
      <c r="Q69" s="167"/>
      <c r="R69" s="167"/>
      <c r="S69" s="167"/>
      <c r="T69" s="173"/>
      <c r="U69" s="173"/>
      <c r="V69" s="166"/>
      <c r="W69" s="166"/>
      <c r="X69" s="166"/>
      <c r="Y69" s="166"/>
      <c r="Z69" s="166"/>
    </row>
    <row r="70" spans="1:26" s="860" customFormat="1" x14ac:dyDescent="0.2">
      <c r="A70" s="167"/>
      <c r="B70" s="167"/>
      <c r="C70" s="171"/>
      <c r="D70" s="171"/>
      <c r="E70" s="199"/>
      <c r="F70" s="199"/>
      <c r="G70" s="199"/>
      <c r="H70" s="199"/>
      <c r="I70" s="199"/>
      <c r="J70" s="199"/>
      <c r="K70" s="167"/>
      <c r="L70" s="167"/>
      <c r="M70" s="167"/>
      <c r="N70" s="167"/>
      <c r="O70" s="167"/>
      <c r="P70" s="167"/>
      <c r="Q70" s="167"/>
      <c r="R70" s="167"/>
      <c r="S70" s="167"/>
      <c r="T70" s="173"/>
      <c r="U70" s="173"/>
      <c r="V70" s="166"/>
      <c r="W70" s="166"/>
      <c r="X70" s="166"/>
      <c r="Y70" s="166"/>
      <c r="Z70" s="166"/>
    </row>
    <row r="71" spans="1:26" s="860" customFormat="1" x14ac:dyDescent="0.2">
      <c r="A71" s="167"/>
      <c r="B71" s="167"/>
      <c r="C71" s="171"/>
      <c r="D71" s="171"/>
      <c r="E71" s="199"/>
      <c r="F71" s="199"/>
      <c r="G71" s="199"/>
      <c r="H71" s="199"/>
      <c r="I71" s="199"/>
      <c r="J71" s="199"/>
      <c r="K71" s="167"/>
      <c r="L71" s="167"/>
      <c r="M71" s="167"/>
      <c r="N71" s="167"/>
      <c r="O71" s="167"/>
      <c r="P71" s="167"/>
      <c r="Q71" s="167"/>
      <c r="R71" s="167"/>
      <c r="S71" s="167"/>
      <c r="T71" s="173"/>
      <c r="U71" s="173"/>
      <c r="V71" s="166"/>
      <c r="W71" s="166"/>
      <c r="X71" s="166"/>
      <c r="Y71" s="166"/>
      <c r="Z71" s="166"/>
    </row>
    <row r="72" spans="1:26" s="860" customFormat="1" x14ac:dyDescent="0.2">
      <c r="A72" s="167"/>
      <c r="B72" s="167"/>
      <c r="C72" s="171"/>
      <c r="D72" s="171"/>
      <c r="E72" s="199"/>
      <c r="F72" s="199"/>
      <c r="G72" s="199"/>
      <c r="H72" s="199"/>
      <c r="I72" s="199"/>
      <c r="J72" s="199"/>
      <c r="K72" s="167"/>
      <c r="L72" s="167"/>
      <c r="M72" s="167"/>
      <c r="N72" s="167"/>
      <c r="O72" s="167"/>
      <c r="P72" s="167"/>
      <c r="Q72" s="167"/>
      <c r="R72" s="167"/>
      <c r="S72" s="167"/>
      <c r="T72" s="173"/>
      <c r="U72" s="173"/>
      <c r="V72" s="166"/>
      <c r="W72" s="166"/>
      <c r="X72" s="166"/>
      <c r="Y72" s="166"/>
      <c r="Z72" s="166"/>
    </row>
    <row r="73" spans="1:26" s="860" customFormat="1" x14ac:dyDescent="0.2">
      <c r="A73" s="167"/>
      <c r="B73" s="167"/>
      <c r="C73" s="171"/>
      <c r="D73" s="171"/>
      <c r="E73" s="199"/>
      <c r="F73" s="199"/>
      <c r="G73" s="199"/>
      <c r="H73" s="199"/>
      <c r="I73" s="199"/>
      <c r="J73" s="199"/>
      <c r="K73" s="167"/>
      <c r="L73" s="167"/>
      <c r="M73" s="167"/>
      <c r="N73" s="167"/>
      <c r="O73" s="167"/>
      <c r="P73" s="167"/>
      <c r="Q73" s="167"/>
      <c r="R73" s="167"/>
      <c r="S73" s="167"/>
      <c r="T73" s="173"/>
      <c r="U73" s="173"/>
      <c r="V73" s="166"/>
      <c r="W73" s="166"/>
      <c r="X73" s="166"/>
      <c r="Y73" s="166"/>
      <c r="Z73" s="166"/>
    </row>
    <row r="74" spans="1:26" s="860" customFormat="1" x14ac:dyDescent="0.2">
      <c r="A74" s="167"/>
      <c r="B74" s="167"/>
      <c r="C74" s="171"/>
      <c r="D74" s="171"/>
      <c r="E74" s="199"/>
      <c r="F74" s="199"/>
      <c r="G74" s="199"/>
      <c r="H74" s="199"/>
      <c r="I74" s="199"/>
      <c r="J74" s="199"/>
      <c r="K74" s="167"/>
      <c r="L74" s="167"/>
      <c r="M74" s="167"/>
      <c r="N74" s="167"/>
      <c r="O74" s="167"/>
      <c r="P74" s="167"/>
      <c r="Q74" s="167"/>
      <c r="R74" s="167"/>
      <c r="S74" s="167"/>
      <c r="T74" s="173"/>
      <c r="U74" s="173"/>
      <c r="V74" s="166"/>
      <c r="W74" s="166"/>
      <c r="X74" s="166"/>
      <c r="Y74" s="166"/>
      <c r="Z74" s="166"/>
    </row>
    <row r="75" spans="1:26" s="860" customFormat="1" x14ac:dyDescent="0.2">
      <c r="A75" s="167"/>
      <c r="B75" s="167"/>
      <c r="C75" s="171"/>
      <c r="D75" s="171"/>
      <c r="E75" s="199"/>
      <c r="F75" s="199"/>
      <c r="G75" s="199"/>
      <c r="H75" s="199"/>
      <c r="I75" s="199"/>
      <c r="J75" s="199"/>
      <c r="K75" s="167"/>
      <c r="L75" s="167"/>
      <c r="M75" s="167"/>
      <c r="N75" s="167"/>
      <c r="O75" s="167"/>
      <c r="P75" s="167"/>
      <c r="Q75" s="167"/>
      <c r="R75" s="167"/>
      <c r="S75" s="167"/>
      <c r="T75" s="173"/>
      <c r="U75" s="173"/>
      <c r="V75" s="166"/>
      <c r="W75" s="166"/>
      <c r="X75" s="166"/>
      <c r="Y75" s="166"/>
      <c r="Z75" s="166"/>
    </row>
    <row r="76" spans="1:26" s="860" customFormat="1" x14ac:dyDescent="0.2">
      <c r="A76" s="167"/>
      <c r="B76" s="167"/>
      <c r="C76" s="171"/>
      <c r="D76" s="171"/>
      <c r="E76" s="199"/>
      <c r="F76" s="199"/>
      <c r="G76" s="199"/>
      <c r="H76" s="199"/>
      <c r="I76" s="199"/>
      <c r="J76" s="199"/>
      <c r="K76" s="167"/>
      <c r="L76" s="167"/>
      <c r="M76" s="167"/>
      <c r="N76" s="167"/>
      <c r="O76" s="167"/>
      <c r="P76" s="167"/>
      <c r="Q76" s="167"/>
      <c r="R76" s="167"/>
      <c r="S76" s="167"/>
      <c r="T76" s="173"/>
      <c r="U76" s="173"/>
      <c r="V76" s="166"/>
      <c r="W76" s="166"/>
      <c r="X76" s="166"/>
      <c r="Y76" s="166"/>
      <c r="Z76" s="166"/>
    </row>
    <row r="77" spans="1:26" s="860" customFormat="1" x14ac:dyDescent="0.2">
      <c r="A77" s="167"/>
      <c r="B77" s="167"/>
      <c r="C77" s="171"/>
      <c r="D77" s="171"/>
      <c r="E77" s="199"/>
      <c r="F77" s="199"/>
      <c r="G77" s="199"/>
      <c r="H77" s="199"/>
      <c r="I77" s="199"/>
      <c r="J77" s="199"/>
      <c r="K77" s="167"/>
      <c r="L77" s="167"/>
      <c r="M77" s="167"/>
      <c r="N77" s="167"/>
      <c r="O77" s="167"/>
      <c r="P77" s="167"/>
      <c r="Q77" s="167"/>
      <c r="R77" s="167"/>
      <c r="S77" s="167"/>
      <c r="T77" s="173"/>
      <c r="U77" s="173"/>
      <c r="V77" s="166"/>
      <c r="W77" s="166"/>
      <c r="X77" s="166"/>
      <c r="Y77" s="166"/>
      <c r="Z77" s="166"/>
    </row>
    <row r="78" spans="1:26" s="860" customFormat="1" x14ac:dyDescent="0.2">
      <c r="A78" s="167"/>
      <c r="B78" s="167"/>
      <c r="C78" s="171"/>
      <c r="D78" s="171"/>
      <c r="E78" s="199"/>
      <c r="F78" s="199"/>
      <c r="G78" s="199"/>
      <c r="H78" s="199"/>
      <c r="I78" s="199"/>
      <c r="J78" s="199"/>
      <c r="K78" s="167"/>
      <c r="L78" s="167"/>
      <c r="M78" s="167"/>
      <c r="N78" s="167"/>
      <c r="O78" s="167"/>
      <c r="P78" s="167"/>
      <c r="Q78" s="167"/>
      <c r="R78" s="167"/>
      <c r="S78" s="167"/>
      <c r="T78" s="173"/>
      <c r="U78" s="173"/>
      <c r="V78" s="166"/>
      <c r="W78" s="166"/>
      <c r="X78" s="166"/>
      <c r="Y78" s="166"/>
      <c r="Z78" s="166"/>
    </row>
    <row r="79" spans="1:26" s="860" customFormat="1" x14ac:dyDescent="0.2">
      <c r="A79" s="167"/>
      <c r="B79" s="167"/>
      <c r="C79" s="171"/>
      <c r="D79" s="171"/>
      <c r="E79" s="199"/>
      <c r="F79" s="199"/>
      <c r="G79" s="199"/>
      <c r="H79" s="199"/>
      <c r="I79" s="199"/>
      <c r="J79" s="199"/>
      <c r="K79" s="167"/>
      <c r="L79" s="167"/>
      <c r="M79" s="167"/>
      <c r="N79" s="167"/>
      <c r="O79" s="167"/>
      <c r="P79" s="167"/>
      <c r="Q79" s="167"/>
      <c r="R79" s="167"/>
      <c r="S79" s="167"/>
      <c r="T79" s="173"/>
      <c r="U79" s="173"/>
      <c r="V79" s="166"/>
      <c r="W79" s="166"/>
      <c r="X79" s="166"/>
      <c r="Y79" s="166"/>
      <c r="Z79" s="166"/>
    </row>
    <row r="80" spans="1:26" s="860" customFormat="1" x14ac:dyDescent="0.2">
      <c r="A80" s="167"/>
      <c r="B80" s="167"/>
      <c r="C80" s="171"/>
      <c r="D80" s="171"/>
      <c r="E80" s="199"/>
      <c r="F80" s="199"/>
      <c r="G80" s="199"/>
      <c r="H80" s="199"/>
      <c r="I80" s="199"/>
      <c r="J80" s="199"/>
      <c r="K80" s="167"/>
      <c r="L80" s="167"/>
      <c r="M80" s="167"/>
      <c r="N80" s="167"/>
      <c r="O80" s="167"/>
      <c r="P80" s="167"/>
      <c r="Q80" s="167"/>
      <c r="R80" s="167"/>
      <c r="S80" s="167"/>
      <c r="T80" s="173"/>
      <c r="U80" s="173"/>
      <c r="V80" s="166"/>
      <c r="W80" s="166"/>
      <c r="X80" s="166"/>
      <c r="Y80" s="166"/>
      <c r="Z80" s="166"/>
    </row>
    <row r="81" spans="1:26" s="860" customFormat="1" x14ac:dyDescent="0.2">
      <c r="A81" s="167"/>
      <c r="B81" s="167"/>
      <c r="C81" s="171"/>
      <c r="D81" s="171"/>
      <c r="E81" s="199"/>
      <c r="F81" s="199"/>
      <c r="G81" s="199"/>
      <c r="H81" s="199"/>
      <c r="I81" s="199"/>
      <c r="J81" s="199"/>
      <c r="K81" s="167"/>
      <c r="L81" s="167"/>
      <c r="M81" s="167"/>
      <c r="N81" s="167"/>
      <c r="O81" s="167"/>
      <c r="P81" s="167"/>
      <c r="Q81" s="167"/>
      <c r="R81" s="167"/>
      <c r="S81" s="167"/>
      <c r="T81" s="173"/>
      <c r="U81" s="173"/>
      <c r="V81" s="166"/>
      <c r="W81" s="166"/>
      <c r="X81" s="166"/>
      <c r="Y81" s="166"/>
      <c r="Z81" s="166"/>
    </row>
    <row r="82" spans="1:26" s="860" customFormat="1" x14ac:dyDescent="0.2">
      <c r="A82" s="167"/>
      <c r="B82" s="167"/>
      <c r="C82" s="171"/>
      <c r="D82" s="171"/>
      <c r="E82" s="199"/>
      <c r="F82" s="199"/>
      <c r="G82" s="199"/>
      <c r="H82" s="199"/>
      <c r="I82" s="199"/>
      <c r="J82" s="199"/>
      <c r="K82" s="167"/>
      <c r="L82" s="167"/>
      <c r="M82" s="167"/>
      <c r="N82" s="167"/>
      <c r="O82" s="167"/>
      <c r="P82" s="167"/>
      <c r="Q82" s="167"/>
      <c r="R82" s="167"/>
      <c r="S82" s="167"/>
      <c r="T82" s="173"/>
      <c r="U82" s="173"/>
      <c r="V82" s="166"/>
      <c r="W82" s="166"/>
      <c r="X82" s="166"/>
      <c r="Y82" s="166"/>
      <c r="Z82" s="166"/>
    </row>
    <row r="83" spans="1:26" s="860" customFormat="1" x14ac:dyDescent="0.2">
      <c r="A83" s="167"/>
      <c r="B83" s="167"/>
      <c r="C83" s="171"/>
      <c r="D83" s="171"/>
      <c r="E83" s="199"/>
      <c r="F83" s="199"/>
      <c r="G83" s="199"/>
      <c r="H83" s="199"/>
      <c r="I83" s="199"/>
      <c r="J83" s="199"/>
      <c r="K83" s="167"/>
      <c r="L83" s="167"/>
      <c r="M83" s="167"/>
      <c r="N83" s="167"/>
      <c r="O83" s="167"/>
      <c r="P83" s="167"/>
      <c r="Q83" s="167"/>
      <c r="R83" s="167"/>
      <c r="S83" s="167"/>
      <c r="T83" s="173"/>
      <c r="U83" s="173"/>
      <c r="V83" s="166"/>
      <c r="W83" s="166"/>
      <c r="X83" s="166"/>
      <c r="Y83" s="166"/>
      <c r="Z83" s="166"/>
    </row>
    <row r="84" spans="1:26" s="860" customFormat="1" x14ac:dyDescent="0.2">
      <c r="A84" s="167"/>
      <c r="B84" s="167"/>
      <c r="C84" s="171"/>
      <c r="D84" s="171"/>
      <c r="E84" s="199"/>
      <c r="F84" s="199"/>
      <c r="G84" s="199"/>
      <c r="H84" s="199"/>
      <c r="I84" s="199"/>
      <c r="J84" s="199"/>
      <c r="K84" s="167"/>
      <c r="L84" s="167"/>
      <c r="M84" s="167"/>
      <c r="N84" s="167"/>
      <c r="O84" s="167"/>
      <c r="P84" s="167"/>
      <c r="Q84" s="167"/>
      <c r="R84" s="167"/>
      <c r="S84" s="167"/>
      <c r="T84" s="173"/>
      <c r="U84" s="173"/>
      <c r="V84" s="166"/>
      <c r="W84" s="166"/>
      <c r="X84" s="166"/>
      <c r="Y84" s="166"/>
      <c r="Z84" s="166"/>
    </row>
    <row r="85" spans="1:26" s="860" customFormat="1" x14ac:dyDescent="0.2">
      <c r="A85" s="167"/>
      <c r="B85" s="167"/>
      <c r="C85" s="171"/>
      <c r="D85" s="171"/>
      <c r="E85" s="199"/>
      <c r="F85" s="199"/>
      <c r="G85" s="199"/>
      <c r="H85" s="199"/>
      <c r="I85" s="199"/>
      <c r="J85" s="199"/>
      <c r="K85" s="167"/>
      <c r="L85" s="167"/>
      <c r="M85" s="167"/>
      <c r="N85" s="167"/>
      <c r="O85" s="167"/>
      <c r="P85" s="167"/>
      <c r="Q85" s="167"/>
      <c r="R85" s="167"/>
      <c r="S85" s="167"/>
      <c r="T85" s="173"/>
      <c r="U85" s="173"/>
      <c r="V85" s="166"/>
      <c r="W85" s="166"/>
      <c r="X85" s="166"/>
      <c r="Y85" s="166"/>
      <c r="Z85" s="166"/>
    </row>
  </sheetData>
  <mergeCells count="7">
    <mergeCell ref="D1:D2"/>
    <mergeCell ref="H1:H2"/>
    <mergeCell ref="I2:K2"/>
    <mergeCell ref="A1:A2"/>
    <mergeCell ref="B1:B2"/>
    <mergeCell ref="C1:C2"/>
    <mergeCell ref="G1:G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42">
    <tabColor theme="9" tint="0.59999389629810485"/>
    <pageSetUpPr fitToPage="1"/>
  </sheetPr>
  <dimension ref="A1:I62"/>
  <sheetViews>
    <sheetView showZeros="0" workbookViewId="0">
      <selection activeCell="C18" sqref="B6:I30"/>
    </sheetView>
  </sheetViews>
  <sheetFormatPr defaultColWidth="9" defaultRowHeight="12" x14ac:dyDescent="0.15"/>
  <cols>
    <col min="1" max="3" width="9.875" style="860" customWidth="1"/>
    <col min="4" max="4" width="11.25" style="860" customWidth="1"/>
    <col min="5" max="5" width="14" style="860" customWidth="1"/>
    <col min="6" max="6" width="11.75" style="887" customWidth="1"/>
    <col min="7" max="7" width="9.875" style="885" customWidth="1"/>
    <col min="8" max="8" width="9" style="886"/>
    <col min="9" max="9" width="30.375" style="860" bestFit="1" customWidth="1"/>
    <col min="10" max="16384" width="9" style="860"/>
  </cols>
  <sheetData>
    <row r="1" spans="1:9" ht="21.95" customHeight="1" x14ac:dyDescent="0.15">
      <c r="A1" s="3143" t="s">
        <v>957</v>
      </c>
      <c r="B1" s="3144"/>
      <c r="C1" s="3144"/>
      <c r="D1" s="3144"/>
      <c r="E1" s="3144"/>
      <c r="F1" s="3144"/>
      <c r="G1" s="3144"/>
      <c r="H1" s="3144"/>
      <c r="I1" s="3145"/>
    </row>
    <row r="2" spans="1:9" ht="35.1" customHeight="1" x14ac:dyDescent="0.15">
      <c r="A2" s="908" t="s">
        <v>958</v>
      </c>
      <c r="B2" s="3146" t="s">
        <v>959</v>
      </c>
      <c r="C2" s="3146"/>
      <c r="D2" s="909" t="s">
        <v>960</v>
      </c>
      <c r="E2" s="909" t="s">
        <v>961</v>
      </c>
      <c r="F2" s="910" t="s">
        <v>962</v>
      </c>
      <c r="G2" s="911" t="s">
        <v>963</v>
      </c>
      <c r="H2" s="912" t="s">
        <v>964</v>
      </c>
      <c r="I2" s="909" t="s">
        <v>965</v>
      </c>
    </row>
    <row r="3" spans="1:9" ht="14.25" x14ac:dyDescent="0.15">
      <c r="A3" s="3127" t="s">
        <v>966</v>
      </c>
      <c r="B3" s="3128"/>
      <c r="C3" s="3129"/>
      <c r="D3" s="3130"/>
      <c r="E3" s="3130"/>
      <c r="F3" s="3130"/>
      <c r="G3" s="3130"/>
      <c r="H3" s="3130"/>
      <c r="I3" s="3131"/>
    </row>
    <row r="4" spans="1:9" ht="12.75" x14ac:dyDescent="0.15">
      <c r="A4" s="3132" t="s">
        <v>1011</v>
      </c>
      <c r="B4" s="913">
        <v>0</v>
      </c>
      <c r="C4" s="913">
        <v>0.1</v>
      </c>
      <c r="D4" s="3134">
        <v>1.3</v>
      </c>
      <c r="E4" s="3136" t="s">
        <v>967</v>
      </c>
      <c r="F4" s="3137">
        <v>1753</v>
      </c>
      <c r="G4" s="3139">
        <v>17.7</v>
      </c>
      <c r="H4" s="3141">
        <v>16.8</v>
      </c>
      <c r="I4" s="908" t="s">
        <v>968</v>
      </c>
    </row>
    <row r="5" spans="1:9" ht="12.75" x14ac:dyDescent="0.15">
      <c r="A5" s="3133"/>
      <c r="B5" s="913">
        <v>0.1</v>
      </c>
      <c r="C5" s="913">
        <v>2</v>
      </c>
      <c r="D5" s="3135"/>
      <c r="E5" s="2546"/>
      <c r="F5" s="3138"/>
      <c r="G5" s="3140"/>
      <c r="H5" s="3142"/>
      <c r="I5" s="908" t="s">
        <v>969</v>
      </c>
    </row>
    <row r="6" spans="1:9" ht="14.25" x14ac:dyDescent="0.15">
      <c r="A6" s="3127" t="s">
        <v>970</v>
      </c>
      <c r="B6" s="3128"/>
      <c r="C6" s="3129"/>
      <c r="D6" s="3130"/>
      <c r="E6" s="3130"/>
      <c r="F6" s="3130"/>
      <c r="G6" s="3130"/>
      <c r="H6" s="3130"/>
      <c r="I6" s="3131"/>
    </row>
    <row r="7" spans="1:9" ht="15" customHeight="1" x14ac:dyDescent="0.15">
      <c r="A7" s="3132" t="s">
        <v>1012</v>
      </c>
      <c r="B7" s="913">
        <v>0</v>
      </c>
      <c r="C7" s="913">
        <v>0.1</v>
      </c>
      <c r="D7" s="3134">
        <v>0.9</v>
      </c>
      <c r="E7" s="3136" t="s">
        <v>967</v>
      </c>
      <c r="F7" s="3137">
        <v>1762</v>
      </c>
      <c r="G7" s="3139">
        <v>16.5</v>
      </c>
      <c r="H7" s="3141">
        <v>18.2</v>
      </c>
      <c r="I7" s="908" t="s">
        <v>968</v>
      </c>
    </row>
    <row r="8" spans="1:9" ht="12.75" x14ac:dyDescent="0.15">
      <c r="A8" s="3133"/>
      <c r="B8" s="913">
        <v>0.1</v>
      </c>
      <c r="C8" s="913">
        <v>2</v>
      </c>
      <c r="D8" s="3135"/>
      <c r="E8" s="2546"/>
      <c r="F8" s="3138"/>
      <c r="G8" s="3140"/>
      <c r="H8" s="3142"/>
      <c r="I8" s="908" t="s">
        <v>969</v>
      </c>
    </row>
    <row r="9" spans="1:9" ht="14.25" x14ac:dyDescent="0.15">
      <c r="A9" s="3127" t="s">
        <v>971</v>
      </c>
      <c r="B9" s="3128"/>
      <c r="C9" s="3129"/>
      <c r="D9" s="3130"/>
      <c r="E9" s="3130"/>
      <c r="F9" s="3130"/>
      <c r="G9" s="3130"/>
      <c r="H9" s="3130"/>
      <c r="I9" s="3131"/>
    </row>
    <row r="10" spans="1:9" ht="12.75" x14ac:dyDescent="0.15">
      <c r="A10" s="3132" t="s">
        <v>1013</v>
      </c>
      <c r="B10" s="913">
        <v>0</v>
      </c>
      <c r="C10" s="913">
        <v>0.1</v>
      </c>
      <c r="D10" s="3134">
        <v>0.6</v>
      </c>
      <c r="E10" s="3136" t="s">
        <v>967</v>
      </c>
      <c r="F10" s="3137">
        <v>1600</v>
      </c>
      <c r="G10" s="3139">
        <v>19.7</v>
      </c>
      <c r="H10" s="3141">
        <v>12.6</v>
      </c>
      <c r="I10" s="908" t="s">
        <v>968</v>
      </c>
    </row>
    <row r="11" spans="1:9" ht="12.75" x14ac:dyDescent="0.15">
      <c r="A11" s="3133"/>
      <c r="B11" s="913">
        <v>0.1</v>
      </c>
      <c r="C11" s="913">
        <v>2</v>
      </c>
      <c r="D11" s="3135"/>
      <c r="E11" s="2546"/>
      <c r="F11" s="3138"/>
      <c r="G11" s="3140"/>
      <c r="H11" s="3142"/>
      <c r="I11" s="908" t="s">
        <v>969</v>
      </c>
    </row>
    <row r="12" spans="1:9" ht="14.25" x14ac:dyDescent="0.15">
      <c r="A12" s="3127" t="s">
        <v>972</v>
      </c>
      <c r="B12" s="3128"/>
      <c r="C12" s="3129"/>
      <c r="D12" s="3130"/>
      <c r="E12" s="3130"/>
      <c r="F12" s="3130"/>
      <c r="G12" s="3130"/>
      <c r="H12" s="3130"/>
      <c r="I12" s="3131"/>
    </row>
    <row r="13" spans="1:9" ht="12.75" x14ac:dyDescent="0.15">
      <c r="A13" s="3132" t="s">
        <v>1014</v>
      </c>
      <c r="B13" s="913">
        <v>0</v>
      </c>
      <c r="C13" s="913">
        <v>0.1</v>
      </c>
      <c r="D13" s="3134">
        <v>1.2</v>
      </c>
      <c r="E13" s="3136" t="s">
        <v>967</v>
      </c>
      <c r="F13" s="3137">
        <v>1600</v>
      </c>
      <c r="G13" s="3139">
        <v>20.5</v>
      </c>
      <c r="H13" s="3141">
        <v>11.9</v>
      </c>
      <c r="I13" s="908" t="s">
        <v>968</v>
      </c>
    </row>
    <row r="14" spans="1:9" ht="12.75" x14ac:dyDescent="0.15">
      <c r="A14" s="3133"/>
      <c r="B14" s="913">
        <v>0.1</v>
      </c>
      <c r="C14" s="913">
        <v>2</v>
      </c>
      <c r="D14" s="3135"/>
      <c r="E14" s="2546"/>
      <c r="F14" s="3138"/>
      <c r="G14" s="3140"/>
      <c r="H14" s="3142"/>
      <c r="I14" s="908" t="s">
        <v>969</v>
      </c>
    </row>
    <row r="15" spans="1:9" ht="14.25" x14ac:dyDescent="0.15">
      <c r="A15" s="3127" t="s">
        <v>973</v>
      </c>
      <c r="B15" s="3128"/>
      <c r="C15" s="3129"/>
      <c r="D15" s="3130"/>
      <c r="E15" s="3130"/>
      <c r="F15" s="3130"/>
      <c r="G15" s="3130"/>
      <c r="H15" s="3130"/>
      <c r="I15" s="3131"/>
    </row>
    <row r="16" spans="1:9" ht="12.75" x14ac:dyDescent="0.15">
      <c r="A16" s="3132" t="s">
        <v>1015</v>
      </c>
      <c r="B16" s="913">
        <v>0</v>
      </c>
      <c r="C16" s="913">
        <v>0.1</v>
      </c>
      <c r="D16" s="914">
        <v>1.6</v>
      </c>
      <c r="E16" s="3136" t="s">
        <v>967</v>
      </c>
      <c r="F16" s="3137">
        <v>1610</v>
      </c>
      <c r="G16" s="3139">
        <v>22</v>
      </c>
      <c r="H16" s="3141">
        <v>13.6</v>
      </c>
      <c r="I16" s="908" t="s">
        <v>968</v>
      </c>
    </row>
    <row r="17" spans="1:9" ht="12.75" x14ac:dyDescent="0.15">
      <c r="A17" s="3133"/>
      <c r="B17" s="913">
        <v>0.1</v>
      </c>
      <c r="C17" s="913">
        <v>2</v>
      </c>
      <c r="D17" s="915"/>
      <c r="E17" s="2546"/>
      <c r="F17" s="3138"/>
      <c r="G17" s="3140"/>
      <c r="H17" s="3142"/>
      <c r="I17" s="908" t="s">
        <v>969</v>
      </c>
    </row>
    <row r="18" spans="1:9" ht="14.25" x14ac:dyDescent="0.15">
      <c r="A18" s="3127" t="s">
        <v>974</v>
      </c>
      <c r="B18" s="3128"/>
      <c r="C18" s="3129"/>
      <c r="D18" s="3130"/>
      <c r="E18" s="3130"/>
      <c r="F18" s="3130"/>
      <c r="G18" s="3130"/>
      <c r="H18" s="3130"/>
      <c r="I18" s="3131"/>
    </row>
    <row r="19" spans="1:9" ht="12.75" x14ac:dyDescent="0.15">
      <c r="A19" s="3132" t="s">
        <v>1016</v>
      </c>
      <c r="B19" s="913">
        <v>0</v>
      </c>
      <c r="C19" s="913">
        <v>0.1</v>
      </c>
      <c r="D19" s="3147">
        <v>1.1299999999999999</v>
      </c>
      <c r="E19" s="3147" t="s">
        <v>602</v>
      </c>
      <c r="F19" s="3148" t="s">
        <v>602</v>
      </c>
      <c r="G19" s="3149" t="s">
        <v>602</v>
      </c>
      <c r="H19" s="3150" t="s">
        <v>602</v>
      </c>
      <c r="I19" s="908" t="s">
        <v>968</v>
      </c>
    </row>
    <row r="20" spans="1:9" ht="12.75" x14ac:dyDescent="0.15">
      <c r="A20" s="3133"/>
      <c r="B20" s="913">
        <v>0.1</v>
      </c>
      <c r="C20" s="913">
        <v>2</v>
      </c>
      <c r="D20" s="3147"/>
      <c r="E20" s="3147"/>
      <c r="F20" s="3148"/>
      <c r="G20" s="3149"/>
      <c r="H20" s="3150"/>
      <c r="I20" s="908" t="s">
        <v>969</v>
      </c>
    </row>
    <row r="21" spans="1:9" ht="14.25" x14ac:dyDescent="0.15">
      <c r="A21" s="3127" t="s">
        <v>974</v>
      </c>
      <c r="B21" s="3128"/>
      <c r="C21" s="3129"/>
      <c r="D21" s="3130"/>
      <c r="E21" s="3130"/>
      <c r="F21" s="3130"/>
      <c r="G21" s="3130"/>
      <c r="H21" s="3130"/>
      <c r="I21" s="3131"/>
    </row>
    <row r="22" spans="1:9" ht="12.75" x14ac:dyDescent="0.15">
      <c r="A22" s="3132" t="s">
        <v>1017</v>
      </c>
      <c r="B22" s="913">
        <v>0</v>
      </c>
      <c r="C22" s="913">
        <v>0.1</v>
      </c>
      <c r="D22" s="3151">
        <v>1.1000000000000001</v>
      </c>
      <c r="E22" s="3147" t="s">
        <v>967</v>
      </c>
      <c r="F22" s="3148">
        <v>1558</v>
      </c>
      <c r="G22" s="3149">
        <v>26.1</v>
      </c>
      <c r="H22" s="3150">
        <v>15.4</v>
      </c>
      <c r="I22" s="908" t="s">
        <v>968</v>
      </c>
    </row>
    <row r="23" spans="1:9" ht="12.75" x14ac:dyDescent="0.15">
      <c r="A23" s="3133"/>
      <c r="B23" s="913">
        <v>0.1</v>
      </c>
      <c r="C23" s="913">
        <v>2</v>
      </c>
      <c r="D23" s="3151"/>
      <c r="E23" s="3147"/>
      <c r="F23" s="3148"/>
      <c r="G23" s="3149"/>
      <c r="H23" s="3150"/>
      <c r="I23" s="908" t="s">
        <v>969</v>
      </c>
    </row>
    <row r="24" spans="1:9" ht="14.25" x14ac:dyDescent="0.15">
      <c r="A24" s="3127" t="s">
        <v>974</v>
      </c>
      <c r="B24" s="3128"/>
      <c r="C24" s="3129"/>
      <c r="D24" s="3130"/>
      <c r="E24" s="3130"/>
      <c r="F24" s="3130"/>
      <c r="G24" s="3130"/>
      <c r="H24" s="3130"/>
      <c r="I24" s="3131"/>
    </row>
    <row r="25" spans="1:9" ht="12.75" x14ac:dyDescent="0.15">
      <c r="A25" s="3132" t="s">
        <v>1018</v>
      </c>
      <c r="B25" s="913">
        <v>0</v>
      </c>
      <c r="C25" s="913">
        <v>0.1</v>
      </c>
      <c r="D25" s="3147">
        <v>1.1499999999999999</v>
      </c>
      <c r="E25" s="3147" t="s">
        <v>602</v>
      </c>
      <c r="F25" s="3148" t="s">
        <v>602</v>
      </c>
      <c r="G25" s="3149" t="s">
        <v>602</v>
      </c>
      <c r="H25" s="3150" t="s">
        <v>602</v>
      </c>
      <c r="I25" s="908" t="s">
        <v>968</v>
      </c>
    </row>
    <row r="26" spans="1:9" ht="12.75" x14ac:dyDescent="0.15">
      <c r="A26" s="3133"/>
      <c r="B26" s="913">
        <v>0.1</v>
      </c>
      <c r="C26" s="913">
        <v>2</v>
      </c>
      <c r="D26" s="3147"/>
      <c r="E26" s="3147"/>
      <c r="F26" s="3148"/>
      <c r="G26" s="3149"/>
      <c r="H26" s="3150"/>
      <c r="I26" s="908" t="s">
        <v>969</v>
      </c>
    </row>
    <row r="27" spans="1:9" ht="14.25" x14ac:dyDescent="0.15">
      <c r="A27" s="3127" t="s">
        <v>975</v>
      </c>
      <c r="B27" s="3128"/>
      <c r="C27" s="3129"/>
      <c r="D27" s="3130"/>
      <c r="E27" s="3130"/>
      <c r="F27" s="3130"/>
      <c r="G27" s="3130"/>
      <c r="H27" s="3130"/>
      <c r="I27" s="3131"/>
    </row>
    <row r="28" spans="1:9" ht="12.75" x14ac:dyDescent="0.15">
      <c r="A28" s="3132" t="s">
        <v>1019</v>
      </c>
      <c r="B28" s="913">
        <v>0</v>
      </c>
      <c r="C28" s="913">
        <v>0.1</v>
      </c>
      <c r="D28" s="3151">
        <v>1.2</v>
      </c>
      <c r="E28" s="3147" t="s">
        <v>967</v>
      </c>
      <c r="F28" s="3148">
        <v>1590</v>
      </c>
      <c r="G28" s="3149">
        <v>25.8</v>
      </c>
      <c r="H28" s="3150">
        <v>16.100000000000001</v>
      </c>
      <c r="I28" s="908" t="s">
        <v>968</v>
      </c>
    </row>
    <row r="29" spans="1:9" ht="12.75" x14ac:dyDescent="0.15">
      <c r="A29" s="3133"/>
      <c r="B29" s="913">
        <v>0.1</v>
      </c>
      <c r="C29" s="913">
        <v>2</v>
      </c>
      <c r="D29" s="3151"/>
      <c r="E29" s="3147"/>
      <c r="F29" s="3148"/>
      <c r="G29" s="3149"/>
      <c r="H29" s="3150"/>
      <c r="I29" s="908" t="s">
        <v>969</v>
      </c>
    </row>
    <row r="30" spans="1:9" ht="14.25" x14ac:dyDescent="0.15">
      <c r="A30" s="3127" t="s">
        <v>976</v>
      </c>
      <c r="B30" s="3128"/>
      <c r="C30" s="3129"/>
      <c r="D30" s="3130"/>
      <c r="E30" s="3130"/>
      <c r="F30" s="3130"/>
      <c r="G30" s="3130"/>
      <c r="H30" s="3130"/>
      <c r="I30" s="3131"/>
    </row>
    <row r="31" spans="1:9" ht="12.75" x14ac:dyDescent="0.15">
      <c r="A31" s="3132" t="s">
        <v>1020</v>
      </c>
      <c r="B31" s="913">
        <v>0</v>
      </c>
      <c r="C31" s="913">
        <v>0.1</v>
      </c>
      <c r="D31" s="3147">
        <v>1.22</v>
      </c>
      <c r="E31" s="3147" t="s">
        <v>602</v>
      </c>
      <c r="F31" s="3148" t="s">
        <v>602</v>
      </c>
      <c r="G31" s="3149" t="s">
        <v>602</v>
      </c>
      <c r="H31" s="3150" t="s">
        <v>602</v>
      </c>
      <c r="I31" s="908" t="s">
        <v>968</v>
      </c>
    </row>
    <row r="32" spans="1:9" ht="12.75" x14ac:dyDescent="0.15">
      <c r="A32" s="3133"/>
      <c r="B32" s="913">
        <v>0.1</v>
      </c>
      <c r="C32" s="913">
        <v>2</v>
      </c>
      <c r="D32" s="3147"/>
      <c r="E32" s="3147"/>
      <c r="F32" s="3148"/>
      <c r="G32" s="3149"/>
      <c r="H32" s="3150"/>
      <c r="I32" s="908" t="s">
        <v>969</v>
      </c>
    </row>
    <row r="33" spans="1:9" ht="14.25" x14ac:dyDescent="0.15">
      <c r="A33" s="3127" t="s">
        <v>976</v>
      </c>
      <c r="B33" s="3128"/>
      <c r="C33" s="3129"/>
      <c r="D33" s="3130"/>
      <c r="E33" s="3130"/>
      <c r="F33" s="3130"/>
      <c r="G33" s="3130"/>
      <c r="H33" s="3130"/>
      <c r="I33" s="3131"/>
    </row>
    <row r="34" spans="1:9" ht="12.75" x14ac:dyDescent="0.15">
      <c r="A34" s="3132" t="s">
        <v>1021</v>
      </c>
      <c r="B34" s="913">
        <v>0</v>
      </c>
      <c r="C34" s="913">
        <v>0.1</v>
      </c>
      <c r="D34" s="3147">
        <v>1.1299999999999999</v>
      </c>
      <c r="E34" s="3147" t="s">
        <v>967</v>
      </c>
      <c r="F34" s="3148">
        <v>1537</v>
      </c>
      <c r="G34" s="3149">
        <v>24.9</v>
      </c>
      <c r="H34" s="3150">
        <v>14.8</v>
      </c>
      <c r="I34" s="908" t="s">
        <v>968</v>
      </c>
    </row>
    <row r="35" spans="1:9" ht="12.75" x14ac:dyDescent="0.15">
      <c r="A35" s="3133"/>
      <c r="B35" s="913">
        <v>0.1</v>
      </c>
      <c r="C35" s="913">
        <v>2</v>
      </c>
      <c r="D35" s="3147"/>
      <c r="E35" s="3147"/>
      <c r="F35" s="3148"/>
      <c r="G35" s="3149"/>
      <c r="H35" s="3150"/>
      <c r="I35" s="908" t="s">
        <v>969</v>
      </c>
    </row>
    <row r="36" spans="1:9" ht="14.25" x14ac:dyDescent="0.15">
      <c r="A36" s="3127" t="s">
        <v>976</v>
      </c>
      <c r="B36" s="3128"/>
      <c r="C36" s="3129"/>
      <c r="D36" s="3130"/>
      <c r="E36" s="3130"/>
      <c r="F36" s="3130"/>
      <c r="G36" s="3130"/>
      <c r="H36" s="3130"/>
      <c r="I36" s="3131"/>
    </row>
    <row r="37" spans="1:9" ht="12.75" x14ac:dyDescent="0.15">
      <c r="A37" s="3132" t="s">
        <v>1022</v>
      </c>
      <c r="B37" s="913">
        <v>0</v>
      </c>
      <c r="C37" s="913">
        <v>0.1</v>
      </c>
      <c r="D37" s="3147">
        <v>1.07</v>
      </c>
      <c r="E37" s="3147" t="s">
        <v>602</v>
      </c>
      <c r="F37" s="3148" t="s">
        <v>602</v>
      </c>
      <c r="G37" s="3149" t="s">
        <v>602</v>
      </c>
      <c r="H37" s="3150" t="s">
        <v>602</v>
      </c>
      <c r="I37" s="908" t="s">
        <v>968</v>
      </c>
    </row>
    <row r="38" spans="1:9" ht="12.75" x14ac:dyDescent="0.15">
      <c r="A38" s="3133"/>
      <c r="B38" s="913">
        <v>0.1</v>
      </c>
      <c r="C38" s="913">
        <v>2</v>
      </c>
      <c r="D38" s="3147"/>
      <c r="E38" s="3147"/>
      <c r="F38" s="3148"/>
      <c r="G38" s="3149"/>
      <c r="H38" s="3150"/>
      <c r="I38" s="908" t="s">
        <v>969</v>
      </c>
    </row>
    <row r="39" spans="1:9" ht="14.25" x14ac:dyDescent="0.15">
      <c r="A39" s="3127" t="s">
        <v>976</v>
      </c>
      <c r="B39" s="3128"/>
      <c r="C39" s="3129"/>
      <c r="D39" s="3130"/>
      <c r="E39" s="3130"/>
      <c r="F39" s="3130"/>
      <c r="G39" s="3130"/>
      <c r="H39" s="3130"/>
      <c r="I39" s="3131"/>
    </row>
    <row r="40" spans="1:9" ht="12.75" x14ac:dyDescent="0.15">
      <c r="A40" s="3132" t="s">
        <v>1023</v>
      </c>
      <c r="B40" s="913">
        <v>0</v>
      </c>
      <c r="C40" s="913">
        <v>0.1</v>
      </c>
      <c r="D40" s="3151">
        <v>1.1000000000000001</v>
      </c>
      <c r="E40" s="3147" t="s">
        <v>967</v>
      </c>
      <c r="F40" s="3148">
        <v>1605</v>
      </c>
      <c r="G40" s="3149">
        <v>24.9</v>
      </c>
      <c r="H40" s="3150">
        <v>17.2</v>
      </c>
      <c r="I40" s="908" t="s">
        <v>968</v>
      </c>
    </row>
    <row r="41" spans="1:9" ht="12.75" x14ac:dyDescent="0.15">
      <c r="A41" s="3133"/>
      <c r="B41" s="913">
        <v>0.1</v>
      </c>
      <c r="C41" s="913">
        <v>2</v>
      </c>
      <c r="D41" s="3151"/>
      <c r="E41" s="3147"/>
      <c r="F41" s="3148"/>
      <c r="G41" s="3149"/>
      <c r="H41" s="3150"/>
      <c r="I41" s="908" t="s">
        <v>969</v>
      </c>
    </row>
    <row r="42" spans="1:9" ht="14.25" x14ac:dyDescent="0.15">
      <c r="A42" s="3127" t="s">
        <v>976</v>
      </c>
      <c r="B42" s="3128"/>
      <c r="C42" s="3129"/>
      <c r="D42" s="3130"/>
      <c r="E42" s="3130"/>
      <c r="F42" s="3130"/>
      <c r="G42" s="3130"/>
      <c r="H42" s="3130"/>
      <c r="I42" s="3131"/>
    </row>
    <row r="43" spans="1:9" ht="12.75" x14ac:dyDescent="0.15">
      <c r="A43" s="3132" t="s">
        <v>1024</v>
      </c>
      <c r="B43" s="913">
        <v>0</v>
      </c>
      <c r="C43" s="913">
        <v>0.1</v>
      </c>
      <c r="D43" s="3151">
        <v>1</v>
      </c>
      <c r="E43" s="3147" t="s">
        <v>602</v>
      </c>
      <c r="F43" s="3148" t="s">
        <v>602</v>
      </c>
      <c r="G43" s="3149" t="s">
        <v>602</v>
      </c>
      <c r="H43" s="3150" t="s">
        <v>602</v>
      </c>
      <c r="I43" s="908" t="s">
        <v>968</v>
      </c>
    </row>
    <row r="44" spans="1:9" ht="12.75" x14ac:dyDescent="0.15">
      <c r="A44" s="3133"/>
      <c r="B44" s="913">
        <v>0.1</v>
      </c>
      <c r="C44" s="913">
        <v>2</v>
      </c>
      <c r="D44" s="3151"/>
      <c r="E44" s="3147"/>
      <c r="F44" s="3148"/>
      <c r="G44" s="3149"/>
      <c r="H44" s="3150"/>
      <c r="I44" s="908" t="s">
        <v>969</v>
      </c>
    </row>
    <row r="45" spans="1:9" ht="14.25" x14ac:dyDescent="0.15">
      <c r="A45" s="3127" t="s">
        <v>977</v>
      </c>
      <c r="B45" s="3128"/>
      <c r="C45" s="3129"/>
      <c r="D45" s="3130"/>
      <c r="E45" s="3130"/>
      <c r="F45" s="3130"/>
      <c r="G45" s="3130"/>
      <c r="H45" s="3130"/>
      <c r="I45" s="3131"/>
    </row>
    <row r="46" spans="1:9" ht="12.75" x14ac:dyDescent="0.15">
      <c r="A46" s="3132" t="s">
        <v>1025</v>
      </c>
      <c r="B46" s="913">
        <v>0</v>
      </c>
      <c r="C46" s="913">
        <v>0.1</v>
      </c>
      <c r="D46" s="3147">
        <v>1.05</v>
      </c>
      <c r="E46" s="3147" t="s">
        <v>967</v>
      </c>
      <c r="F46" s="3148">
        <v>1586</v>
      </c>
      <c r="G46" s="3149">
        <v>27.3</v>
      </c>
      <c r="H46" s="3150">
        <v>15.3</v>
      </c>
      <c r="I46" s="908" t="s">
        <v>968</v>
      </c>
    </row>
    <row r="47" spans="1:9" ht="12.75" x14ac:dyDescent="0.15">
      <c r="A47" s="3133"/>
      <c r="B47" s="913">
        <v>0.1</v>
      </c>
      <c r="C47" s="913">
        <v>2</v>
      </c>
      <c r="D47" s="3147"/>
      <c r="E47" s="3147"/>
      <c r="F47" s="3148"/>
      <c r="G47" s="3149"/>
      <c r="H47" s="3150"/>
      <c r="I47" s="908" t="s">
        <v>969</v>
      </c>
    </row>
    <row r="48" spans="1:9" ht="14.25" x14ac:dyDescent="0.15">
      <c r="A48" s="3127" t="s">
        <v>978</v>
      </c>
      <c r="B48" s="3128"/>
      <c r="C48" s="3129"/>
      <c r="D48" s="3130"/>
      <c r="E48" s="3130"/>
      <c r="F48" s="3130"/>
      <c r="G48" s="3130"/>
      <c r="H48" s="3130"/>
      <c r="I48" s="3131"/>
    </row>
    <row r="49" spans="1:9" ht="12.75" x14ac:dyDescent="0.15">
      <c r="A49" s="3132" t="s">
        <v>1026</v>
      </c>
      <c r="B49" s="913">
        <v>0</v>
      </c>
      <c r="C49" s="913">
        <v>0.1</v>
      </c>
      <c r="D49" s="3147">
        <v>1.8</v>
      </c>
      <c r="E49" s="3147" t="s">
        <v>967</v>
      </c>
      <c r="F49" s="3148">
        <v>1690</v>
      </c>
      <c r="G49" s="3149">
        <v>22.7</v>
      </c>
      <c r="H49" s="3150">
        <v>11.5</v>
      </c>
      <c r="I49" s="908" t="s">
        <v>968</v>
      </c>
    </row>
    <row r="50" spans="1:9" ht="12.75" x14ac:dyDescent="0.15">
      <c r="A50" s="3133"/>
      <c r="B50" s="913">
        <v>0.1</v>
      </c>
      <c r="C50" s="913">
        <v>2</v>
      </c>
      <c r="D50" s="3147"/>
      <c r="E50" s="3147"/>
      <c r="F50" s="3148"/>
      <c r="G50" s="3149"/>
      <c r="H50" s="3150"/>
      <c r="I50" s="908" t="s">
        <v>969</v>
      </c>
    </row>
    <row r="51" spans="1:9" ht="14.25" x14ac:dyDescent="0.15">
      <c r="A51" s="3127" t="s">
        <v>979</v>
      </c>
      <c r="B51" s="3128"/>
      <c r="C51" s="3129"/>
      <c r="D51" s="3130"/>
      <c r="E51" s="3130"/>
      <c r="F51" s="3130"/>
      <c r="G51" s="3130"/>
      <c r="H51" s="3130"/>
      <c r="I51" s="3131"/>
    </row>
    <row r="52" spans="1:9" ht="12.75" x14ac:dyDescent="0.15">
      <c r="A52" s="3132" t="s">
        <v>1027</v>
      </c>
      <c r="B52" s="913">
        <v>0</v>
      </c>
      <c r="C52" s="913">
        <v>0.1</v>
      </c>
      <c r="D52" s="3147">
        <v>1.8</v>
      </c>
      <c r="E52" s="3147" t="s">
        <v>967</v>
      </c>
      <c r="F52" s="3148">
        <v>1702</v>
      </c>
      <c r="G52" s="3149">
        <v>24.8</v>
      </c>
      <c r="H52" s="3150">
        <v>12.8</v>
      </c>
      <c r="I52" s="908" t="s">
        <v>968</v>
      </c>
    </row>
    <row r="53" spans="1:9" ht="12.75" x14ac:dyDescent="0.15">
      <c r="A53" s="3133"/>
      <c r="B53" s="913">
        <v>0.1</v>
      </c>
      <c r="C53" s="913">
        <v>2</v>
      </c>
      <c r="D53" s="3147"/>
      <c r="E53" s="3147"/>
      <c r="F53" s="3148"/>
      <c r="G53" s="3149"/>
      <c r="H53" s="3150"/>
      <c r="I53" s="908" t="s">
        <v>969</v>
      </c>
    </row>
    <row r="54" spans="1:9" ht="14.25" x14ac:dyDescent="0.15">
      <c r="A54" s="3127" t="s">
        <v>980</v>
      </c>
      <c r="B54" s="3128"/>
      <c r="C54" s="3129"/>
      <c r="D54" s="3130"/>
      <c r="E54" s="3130"/>
      <c r="F54" s="3130"/>
      <c r="G54" s="3130"/>
      <c r="H54" s="3130"/>
      <c r="I54" s="3131"/>
    </row>
    <row r="55" spans="1:9" ht="12.75" x14ac:dyDescent="0.15">
      <c r="A55" s="3132" t="s">
        <v>1028</v>
      </c>
      <c r="B55" s="913">
        <v>0</v>
      </c>
      <c r="C55" s="913">
        <v>0.1</v>
      </c>
      <c r="D55" s="3147">
        <v>1.8</v>
      </c>
      <c r="E55" s="3147" t="s">
        <v>967</v>
      </c>
      <c r="F55" s="3148">
        <v>1695</v>
      </c>
      <c r="G55" s="3149">
        <v>23.5</v>
      </c>
      <c r="H55" s="3150">
        <v>11.9</v>
      </c>
      <c r="I55" s="908" t="s">
        <v>968</v>
      </c>
    </row>
    <row r="56" spans="1:9" ht="12.75" x14ac:dyDescent="0.15">
      <c r="A56" s="3133"/>
      <c r="B56" s="913">
        <v>0.1</v>
      </c>
      <c r="C56" s="913">
        <v>2</v>
      </c>
      <c r="D56" s="3147"/>
      <c r="E56" s="3147"/>
      <c r="F56" s="3148"/>
      <c r="G56" s="3149"/>
      <c r="H56" s="3150"/>
      <c r="I56" s="908" t="s">
        <v>969</v>
      </c>
    </row>
    <row r="57" spans="1:9" ht="14.25" x14ac:dyDescent="0.15">
      <c r="A57" s="3127" t="s">
        <v>981</v>
      </c>
      <c r="B57" s="3128"/>
      <c r="C57" s="3129"/>
      <c r="D57" s="3130"/>
      <c r="E57" s="3130"/>
      <c r="F57" s="3130"/>
      <c r="G57" s="3130"/>
      <c r="H57" s="3130"/>
      <c r="I57" s="3131"/>
    </row>
    <row r="58" spans="1:9" ht="12.75" x14ac:dyDescent="0.15">
      <c r="A58" s="3132" t="s">
        <v>1029</v>
      </c>
      <c r="B58" s="913">
        <v>0</v>
      </c>
      <c r="C58" s="913">
        <v>0.1</v>
      </c>
      <c r="D58" s="3147">
        <v>1.8</v>
      </c>
      <c r="E58" s="3147" t="s">
        <v>967</v>
      </c>
      <c r="F58" s="3148">
        <v>1702</v>
      </c>
      <c r="G58" s="3149">
        <v>24.8</v>
      </c>
      <c r="H58" s="3150">
        <v>12.8</v>
      </c>
      <c r="I58" s="908" t="s">
        <v>968</v>
      </c>
    </row>
    <row r="59" spans="1:9" ht="12.75" x14ac:dyDescent="0.15">
      <c r="A59" s="3133"/>
      <c r="B59" s="913">
        <v>0.1</v>
      </c>
      <c r="C59" s="913">
        <v>2</v>
      </c>
      <c r="D59" s="3147"/>
      <c r="E59" s="3147"/>
      <c r="F59" s="3148"/>
      <c r="G59" s="3149"/>
      <c r="H59" s="3150"/>
      <c r="I59" s="908" t="s">
        <v>969</v>
      </c>
    </row>
    <row r="60" spans="1:9" ht="14.25" x14ac:dyDescent="0.15">
      <c r="A60" s="3127" t="s">
        <v>982</v>
      </c>
      <c r="B60" s="3128"/>
      <c r="C60" s="3129"/>
      <c r="D60" s="3130"/>
      <c r="E60" s="3130"/>
      <c r="F60" s="3130"/>
      <c r="G60" s="3130"/>
      <c r="H60" s="3130"/>
      <c r="I60" s="3131"/>
    </row>
    <row r="61" spans="1:9" ht="12.75" x14ac:dyDescent="0.15">
      <c r="A61" s="3132" t="s">
        <v>1030</v>
      </c>
      <c r="B61" s="913">
        <v>0</v>
      </c>
      <c r="C61" s="913">
        <v>0.1</v>
      </c>
      <c r="D61" s="3147">
        <v>1.05</v>
      </c>
      <c r="E61" s="3147" t="s">
        <v>967</v>
      </c>
      <c r="F61" s="3148">
        <v>1702</v>
      </c>
      <c r="G61" s="3149">
        <v>24.8</v>
      </c>
      <c r="H61" s="3150">
        <v>12.8</v>
      </c>
      <c r="I61" s="908" t="s">
        <v>968</v>
      </c>
    </row>
    <row r="62" spans="1:9" ht="12.75" x14ac:dyDescent="0.15">
      <c r="A62" s="3133"/>
      <c r="B62" s="913">
        <v>0.1</v>
      </c>
      <c r="C62" s="913">
        <v>2</v>
      </c>
      <c r="D62" s="3147"/>
      <c r="E62" s="3147"/>
      <c r="F62" s="3148"/>
      <c r="G62" s="3149"/>
      <c r="H62" s="3150"/>
      <c r="I62" s="908" t="s">
        <v>969</v>
      </c>
    </row>
  </sheetData>
  <mergeCells count="161">
    <mergeCell ref="A60:C60"/>
    <mergeCell ref="D60:I60"/>
    <mergeCell ref="A61:A62"/>
    <mergeCell ref="D61:D62"/>
    <mergeCell ref="E61:E62"/>
    <mergeCell ref="F61:F62"/>
    <mergeCell ref="G61:G62"/>
    <mergeCell ref="H61:H62"/>
    <mergeCell ref="A57:C57"/>
    <mergeCell ref="D57:I57"/>
    <mergeCell ref="A58:A59"/>
    <mergeCell ref="D58:D59"/>
    <mergeCell ref="E58:E59"/>
    <mergeCell ref="F58:F59"/>
    <mergeCell ref="G58:G59"/>
    <mergeCell ref="H58:H59"/>
    <mergeCell ref="A54:C54"/>
    <mergeCell ref="D54:I54"/>
    <mergeCell ref="A55:A56"/>
    <mergeCell ref="D55:D56"/>
    <mergeCell ref="E55:E56"/>
    <mergeCell ref="F55:F56"/>
    <mergeCell ref="G55:G56"/>
    <mergeCell ref="H55:H56"/>
    <mergeCell ref="A51:C51"/>
    <mergeCell ref="D51:I51"/>
    <mergeCell ref="A52:A53"/>
    <mergeCell ref="D52:D53"/>
    <mergeCell ref="E52:E53"/>
    <mergeCell ref="F52:F53"/>
    <mergeCell ref="G52:G53"/>
    <mergeCell ref="H52:H53"/>
    <mergeCell ref="A48:C48"/>
    <mergeCell ref="D48:I48"/>
    <mergeCell ref="A49:A50"/>
    <mergeCell ref="D49:D50"/>
    <mergeCell ref="E49:E50"/>
    <mergeCell ref="F49:F50"/>
    <mergeCell ref="G49:G50"/>
    <mergeCell ref="H49:H50"/>
    <mergeCell ref="A45:C45"/>
    <mergeCell ref="D45:I45"/>
    <mergeCell ref="A46:A47"/>
    <mergeCell ref="D46:D47"/>
    <mergeCell ref="E46:E47"/>
    <mergeCell ref="F46:F47"/>
    <mergeCell ref="G46:G47"/>
    <mergeCell ref="H46:H47"/>
    <mergeCell ref="A42:C42"/>
    <mergeCell ref="D42:I42"/>
    <mergeCell ref="A43:A44"/>
    <mergeCell ref="D43:D44"/>
    <mergeCell ref="E43:E44"/>
    <mergeCell ref="F43:F44"/>
    <mergeCell ref="G43:G44"/>
    <mergeCell ref="H43:H44"/>
    <mergeCell ref="A39:C39"/>
    <mergeCell ref="D39:I39"/>
    <mergeCell ref="A40:A41"/>
    <mergeCell ref="D40:D41"/>
    <mergeCell ref="E40:E41"/>
    <mergeCell ref="F40:F41"/>
    <mergeCell ref="G40:G41"/>
    <mergeCell ref="H40:H41"/>
    <mergeCell ref="A36:C36"/>
    <mergeCell ref="D36:I36"/>
    <mergeCell ref="A37:A38"/>
    <mergeCell ref="D37:D38"/>
    <mergeCell ref="E37:E38"/>
    <mergeCell ref="F37:F38"/>
    <mergeCell ref="G37:G38"/>
    <mergeCell ref="H37:H38"/>
    <mergeCell ref="A33:C33"/>
    <mergeCell ref="D33:I33"/>
    <mergeCell ref="A34:A35"/>
    <mergeCell ref="D34:D35"/>
    <mergeCell ref="E34:E35"/>
    <mergeCell ref="F34:F35"/>
    <mergeCell ref="G34:G35"/>
    <mergeCell ref="H34:H35"/>
    <mergeCell ref="A30:C30"/>
    <mergeCell ref="D30:I30"/>
    <mergeCell ref="A31:A32"/>
    <mergeCell ref="D31:D32"/>
    <mergeCell ref="E31:E32"/>
    <mergeCell ref="F31:F32"/>
    <mergeCell ref="G31:G32"/>
    <mergeCell ref="H31:H32"/>
    <mergeCell ref="A27:C27"/>
    <mergeCell ref="D27:I27"/>
    <mergeCell ref="A28:A29"/>
    <mergeCell ref="D28:D29"/>
    <mergeCell ref="E28:E29"/>
    <mergeCell ref="F28:F29"/>
    <mergeCell ref="G28:G29"/>
    <mergeCell ref="H28:H29"/>
    <mergeCell ref="A24:C24"/>
    <mergeCell ref="D24:I24"/>
    <mergeCell ref="A25:A26"/>
    <mergeCell ref="D25:D26"/>
    <mergeCell ref="E25:E26"/>
    <mergeCell ref="F25:F26"/>
    <mergeCell ref="G25:G26"/>
    <mergeCell ref="H25:H26"/>
    <mergeCell ref="A21:C21"/>
    <mergeCell ref="D21:I21"/>
    <mergeCell ref="A22:A23"/>
    <mergeCell ref="D22:D23"/>
    <mergeCell ref="E22:E23"/>
    <mergeCell ref="F22:F23"/>
    <mergeCell ref="G22:G23"/>
    <mergeCell ref="H22:H23"/>
    <mergeCell ref="A18:C18"/>
    <mergeCell ref="D18:I18"/>
    <mergeCell ref="A19:A20"/>
    <mergeCell ref="D19:D20"/>
    <mergeCell ref="E19:E20"/>
    <mergeCell ref="F19:F20"/>
    <mergeCell ref="G19:G20"/>
    <mergeCell ref="H19:H20"/>
    <mergeCell ref="A15:C15"/>
    <mergeCell ref="D15:I15"/>
    <mergeCell ref="A16:A17"/>
    <mergeCell ref="E16:E17"/>
    <mergeCell ref="F16:F17"/>
    <mergeCell ref="G16:G17"/>
    <mergeCell ref="H16:H17"/>
    <mergeCell ref="A12:C12"/>
    <mergeCell ref="D12:I12"/>
    <mergeCell ref="A13:A14"/>
    <mergeCell ref="D13:D14"/>
    <mergeCell ref="E13:E14"/>
    <mergeCell ref="F13:F14"/>
    <mergeCell ref="G13:G14"/>
    <mergeCell ref="H13:H14"/>
    <mergeCell ref="A9:C9"/>
    <mergeCell ref="D9:I9"/>
    <mergeCell ref="A10:A11"/>
    <mergeCell ref="D10:D11"/>
    <mergeCell ref="E10:E11"/>
    <mergeCell ref="F10:F11"/>
    <mergeCell ref="G10:G11"/>
    <mergeCell ref="H10:H11"/>
    <mergeCell ref="A6:C6"/>
    <mergeCell ref="D6:I6"/>
    <mergeCell ref="A7:A8"/>
    <mergeCell ref="D7:D8"/>
    <mergeCell ref="E7:E8"/>
    <mergeCell ref="F7:F8"/>
    <mergeCell ref="G7:G8"/>
    <mergeCell ref="H7:H8"/>
    <mergeCell ref="A1:I1"/>
    <mergeCell ref="B2:C2"/>
    <mergeCell ref="A3:C3"/>
    <mergeCell ref="D3:I3"/>
    <mergeCell ref="A4:A5"/>
    <mergeCell ref="D4:D5"/>
    <mergeCell ref="E4:E5"/>
    <mergeCell ref="F4:F5"/>
    <mergeCell ref="G4:G5"/>
    <mergeCell ref="H4:H5"/>
  </mergeCells>
  <pageMargins left="0.51181102362204722" right="0.51181102362204722" top="0.78740157480314965" bottom="0.78740157480314965" header="0.31496062992125984" footer="0.31496062992125984"/>
  <pageSetup paperSize="9" scale="81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43">
    <tabColor theme="9" tint="0.59999389629810485"/>
    <pageSetUpPr fitToPage="1"/>
  </sheetPr>
  <dimension ref="A1:AK77"/>
  <sheetViews>
    <sheetView showGridLines="0" showZeros="0" view="pageBreakPreview" topLeftCell="A54" zoomScale="60" zoomScaleNormal="100" workbookViewId="0">
      <selection activeCell="C18" sqref="B6:I30"/>
    </sheetView>
  </sheetViews>
  <sheetFormatPr defaultColWidth="9" defaultRowHeight="12.75" x14ac:dyDescent="0.15"/>
  <cols>
    <col min="1" max="1" width="10.625" style="5" customWidth="1"/>
    <col min="2" max="2" width="16.625" style="198" customWidth="1"/>
    <col min="3" max="3" width="14.125" style="198" customWidth="1"/>
    <col min="4" max="4" width="9.25" style="198" customWidth="1"/>
    <col min="5" max="5" width="13.375" style="198" hidden="1" customWidth="1"/>
    <col min="6" max="6" width="16.875" style="198" customWidth="1"/>
    <col min="7" max="8" width="16.875" style="198" hidden="1" customWidth="1"/>
    <col min="9" max="12" width="16.875" style="198" customWidth="1"/>
    <col min="13" max="21" width="16.875" style="198" hidden="1" customWidth="1"/>
    <col min="22" max="16384" width="9" style="198"/>
  </cols>
  <sheetData>
    <row r="1" spans="1:37" ht="96" customHeight="1" thickBot="1" x14ac:dyDescent="0.3">
      <c r="A1" s="3157" t="s">
        <v>223</v>
      </c>
      <c r="B1" s="3160" t="s">
        <v>348</v>
      </c>
      <c r="C1" s="3161"/>
      <c r="D1" s="3162"/>
      <c r="E1" s="604" t="s">
        <v>2081</v>
      </c>
      <c r="F1" s="605" t="s">
        <v>2096</v>
      </c>
      <c r="G1" s="605" t="s">
        <v>2082</v>
      </c>
      <c r="H1" s="605" t="s">
        <v>2083</v>
      </c>
      <c r="I1" s="605" t="s">
        <v>2084</v>
      </c>
      <c r="J1" s="605" t="s">
        <v>2098</v>
      </c>
      <c r="K1" s="605" t="s">
        <v>2085</v>
      </c>
      <c r="L1" s="605" t="s">
        <v>2086</v>
      </c>
      <c r="M1" s="605" t="s">
        <v>2087</v>
      </c>
      <c r="N1" s="605" t="s">
        <v>2088</v>
      </c>
      <c r="O1" s="605" t="s">
        <v>2089</v>
      </c>
      <c r="P1" s="605" t="s">
        <v>2090</v>
      </c>
      <c r="Q1" s="605" t="s">
        <v>2091</v>
      </c>
      <c r="R1" s="605" t="s">
        <v>2092</v>
      </c>
      <c r="S1" s="605" t="s">
        <v>2093</v>
      </c>
      <c r="T1" s="605" t="s">
        <v>2094</v>
      </c>
      <c r="U1" s="606" t="s">
        <v>2095</v>
      </c>
      <c r="V1" s="881"/>
      <c r="W1" s="245" t="s">
        <v>368</v>
      </c>
      <c r="X1" s="245" t="s">
        <v>367</v>
      </c>
      <c r="Y1" s="245" t="s">
        <v>226</v>
      </c>
      <c r="Z1" s="245" t="s">
        <v>227</v>
      </c>
      <c r="AA1" s="245" t="s">
        <v>228</v>
      </c>
      <c r="AB1" s="167"/>
      <c r="AC1" s="167"/>
      <c r="AD1" s="167"/>
      <c r="AE1" s="173"/>
      <c r="AF1" s="173"/>
      <c r="AG1" s="166"/>
      <c r="AH1" s="166"/>
      <c r="AI1" s="166"/>
      <c r="AJ1" s="166"/>
      <c r="AK1" s="166"/>
    </row>
    <row r="2" spans="1:37" ht="24.95" customHeight="1" x14ac:dyDescent="0.15">
      <c r="A2" s="3158"/>
      <c r="B2" s="3163" t="s">
        <v>224</v>
      </c>
      <c r="C2" s="3165" t="s">
        <v>225</v>
      </c>
      <c r="D2" s="3166"/>
      <c r="E2" s="607" t="s">
        <v>367</v>
      </c>
      <c r="F2" s="608" t="s">
        <v>227</v>
      </c>
      <c r="G2" s="608" t="s">
        <v>367</v>
      </c>
      <c r="H2" s="1796" t="s">
        <v>226</v>
      </c>
      <c r="I2" s="608" t="s">
        <v>227</v>
      </c>
      <c r="J2" s="608" t="s">
        <v>227</v>
      </c>
      <c r="K2" s="1796" t="s">
        <v>227</v>
      </c>
      <c r="L2" s="1796" t="s">
        <v>227</v>
      </c>
      <c r="M2" s="1796" t="s">
        <v>368</v>
      </c>
      <c r="N2" s="1796" t="s">
        <v>368</v>
      </c>
      <c r="O2" s="1796" t="s">
        <v>368</v>
      </c>
      <c r="P2" s="1796" t="s">
        <v>368</v>
      </c>
      <c r="Q2" s="1796" t="s">
        <v>368</v>
      </c>
      <c r="R2" s="1796" t="s">
        <v>226</v>
      </c>
      <c r="S2" s="1796" t="s">
        <v>227</v>
      </c>
      <c r="T2" s="1796" t="s">
        <v>367</v>
      </c>
      <c r="U2" s="1797" t="s">
        <v>367</v>
      </c>
      <c r="V2" s="174"/>
      <c r="W2" s="246">
        <v>1000</v>
      </c>
      <c r="X2" s="246">
        <v>100000</v>
      </c>
      <c r="Y2" s="246">
        <v>400000</v>
      </c>
      <c r="Z2" s="246">
        <v>2000000</v>
      </c>
      <c r="AA2" s="246">
        <v>50000000</v>
      </c>
      <c r="AB2" s="167"/>
      <c r="AC2" s="167"/>
      <c r="AD2" s="167"/>
      <c r="AE2" s="199"/>
      <c r="AF2" s="199"/>
    </row>
    <row r="3" spans="1:37" ht="42" customHeight="1" thickBot="1" x14ac:dyDescent="0.25">
      <c r="A3" s="3158"/>
      <c r="B3" s="3164"/>
      <c r="C3" s="3155" t="s">
        <v>229</v>
      </c>
      <c r="D3" s="3156"/>
      <c r="E3" s="609" t="str">
        <f>IF(E2=$W$1,$W$3,IF(E2=$X$1,$X$3,IF(E2=$Y$1,$Y$3,IF(E2=$Z$1,$Z$3,IF(E2=$AA$1,$AA$3,"erro")))))</f>
        <v>Local</v>
      </c>
      <c r="F3" s="610" t="str">
        <f t="shared" ref="F3" si="0">IF(F2=$W$1,$W$3,IF(F2=$X$1,$X$3,IF(F2=$Y$1,$Y$3,IF(F2=$Z$1,$Z$3,IF(F2=$AA$1,$AA$3,"erro")))))</f>
        <v>Arterial</v>
      </c>
      <c r="G3" s="610" t="str">
        <f t="shared" ref="G3" si="1">IF(G2=$W$1,$W$3,IF(G2=$X$1,$X$3,IF(G2=$Y$1,$Y$3,IF(G2=$Z$1,$Z$3,IF(G2=$AA$1,$AA$3,"erro")))))</f>
        <v>Local</v>
      </c>
      <c r="H3" s="610" t="str">
        <f t="shared" ref="H3" si="2">IF(H2=$W$1,$W$3,IF(H2=$X$1,$X$3,IF(H2=$Y$1,$Y$3,IF(H2=$Z$1,$Z$3,IF(H2=$AA$1,$AA$3,"erro")))))</f>
        <v>Coletora</v>
      </c>
      <c r="I3" s="610" t="str">
        <f t="shared" ref="I3" si="3">IF(I2=$W$1,$W$3,IF(I2=$X$1,$X$3,IF(I2=$Y$1,$Y$3,IF(I2=$Z$1,$Z$3,IF(I2=$AA$1,$AA$3,"erro")))))</f>
        <v>Arterial</v>
      </c>
      <c r="J3" s="610" t="str">
        <f t="shared" ref="J3" si="4">IF(J2=$W$1,$W$3,IF(J2=$X$1,$X$3,IF(J2=$Y$1,$Y$3,IF(J2=$Z$1,$Z$3,IF(J2=$AA$1,$AA$3,"erro")))))</f>
        <v>Arterial</v>
      </c>
      <c r="K3" s="610" t="str">
        <f t="shared" ref="K3" si="5">IF(K2=$W$1,$W$3,IF(K2=$X$1,$X$3,IF(K2=$Y$1,$Y$3,IF(K2=$Z$1,$Z$3,IF(K2=$AA$1,$AA$3,"erro")))))</f>
        <v>Arterial</v>
      </c>
      <c r="L3" s="610" t="str">
        <f t="shared" ref="L3" si="6">IF(L2=$W$1,$W$3,IF(L2=$X$1,$X$3,IF(L2=$Y$1,$Y$3,IF(L2=$Z$1,$Z$3,IF(L2=$AA$1,$AA$3,"erro")))))</f>
        <v>Arterial</v>
      </c>
      <c r="M3" s="610" t="str">
        <f t="shared" ref="M3" si="7">IF(M2=$W$1,$W$3,IF(M2=$X$1,$X$3,IF(M2=$Y$1,$Y$3,IF(M2=$Z$1,$Z$3,IF(M2=$AA$1,$AA$3,"erro")))))</f>
        <v>Interna</v>
      </c>
      <c r="N3" s="610" t="str">
        <f t="shared" ref="N3" si="8">IF(N2=$W$1,$W$3,IF(N2=$X$1,$X$3,IF(N2=$Y$1,$Y$3,IF(N2=$Z$1,$Z$3,IF(N2=$AA$1,$AA$3,"erro")))))</f>
        <v>Interna</v>
      </c>
      <c r="O3" s="610" t="str">
        <f t="shared" ref="O3" si="9">IF(O2=$W$1,$W$3,IF(O2=$X$1,$X$3,IF(O2=$Y$1,$Y$3,IF(O2=$Z$1,$Z$3,IF(O2=$AA$1,$AA$3,"erro")))))</f>
        <v>Interna</v>
      </c>
      <c r="P3" s="610" t="str">
        <f t="shared" ref="P3" si="10">IF(P2=$W$1,$W$3,IF(P2=$X$1,$X$3,IF(P2=$Y$1,$Y$3,IF(P2=$Z$1,$Z$3,IF(P2=$AA$1,$AA$3,"erro")))))</f>
        <v>Interna</v>
      </c>
      <c r="Q3" s="610" t="str">
        <f t="shared" ref="Q3" si="11">IF(Q2=$W$1,$W$3,IF(Q2=$X$1,$X$3,IF(Q2=$Y$1,$Y$3,IF(Q2=$Z$1,$Z$3,IF(Q2=$AA$1,$AA$3,"erro")))))</f>
        <v>Interna</v>
      </c>
      <c r="R3" s="610" t="str">
        <f t="shared" ref="R3" si="12">IF(R2=$W$1,$W$3,IF(R2=$X$1,$X$3,IF(R2=$Y$1,$Y$3,IF(R2=$Z$1,$Z$3,IF(R2=$AA$1,$AA$3,"erro")))))</f>
        <v>Coletora</v>
      </c>
      <c r="S3" s="610" t="str">
        <f t="shared" ref="S3" si="13">IF(S2=$W$1,$W$3,IF(S2=$X$1,$X$3,IF(S2=$Y$1,$Y$3,IF(S2=$Z$1,$Z$3,IF(S2=$AA$1,$AA$3,"erro")))))</f>
        <v>Arterial</v>
      </c>
      <c r="T3" s="610" t="str">
        <f t="shared" ref="T3" si="14">IF(T2=$W$1,$W$3,IF(T2=$X$1,$X$3,IF(T2=$Y$1,$Y$3,IF(T2=$Z$1,$Z$3,IF(T2=$AA$1,$AA$3,"erro")))))</f>
        <v>Local</v>
      </c>
      <c r="U3" s="611" t="str">
        <f>IF(U2=$W$1,$W$3,IF(U2=$X$1,$X$3,IF(U2=$Y$1,$Y$3,IF(U2=$Z$1,$Z$3,IF(U2=$AA$1,$AA$3,"erro")))))</f>
        <v>Local</v>
      </c>
      <c r="V3" s="642"/>
      <c r="W3" s="248" t="s">
        <v>718</v>
      </c>
      <c r="X3" s="248" t="s">
        <v>264</v>
      </c>
      <c r="Y3" s="248" t="s">
        <v>265</v>
      </c>
      <c r="Z3" s="248" t="s">
        <v>266</v>
      </c>
      <c r="AA3" s="247" t="s">
        <v>719</v>
      </c>
      <c r="AB3" s="167"/>
      <c r="AC3" s="167"/>
      <c r="AD3" s="167"/>
      <c r="AE3" s="166"/>
      <c r="AF3" s="166"/>
    </row>
    <row r="4" spans="1:37" ht="24.95" customHeight="1" thickBot="1" x14ac:dyDescent="0.25">
      <c r="A4" s="3158"/>
      <c r="B4" s="3152" t="s">
        <v>230</v>
      </c>
      <c r="C4" s="3153"/>
      <c r="D4" s="3154"/>
      <c r="E4" s="612">
        <f>IF(E2=$W$1,$W$4,IF(E2=$X$1,$X$4,IF(E2=$Y$1,$Y$4,IF(E2=$Z$1,$Z$4,IF(E2=$AA$1,$AA$4,"erro")))))</f>
        <v>10</v>
      </c>
      <c r="F4" s="613">
        <f>IF(F2=$W$1,$W$4,IF(F2=$X$1,$X$4,IF(F2=$Y$1,$Y$4,IF(F2=$Z$1,$Z$4,IF(F2=$AA$1,$AA$4,"erro")))))</f>
        <v>12</v>
      </c>
      <c r="G4" s="613">
        <f>IF(G2=$W$1,$W$4,IF(G2=$X$1,$X$4,IF(G2=$Y$1,$Y$4,IF(G2=$Z$1,$Z$4,IF(G2=$AA$1,$AA$4,"erro")))))</f>
        <v>10</v>
      </c>
      <c r="H4" s="613">
        <f t="shared" ref="H4:T4" si="15">IF(H2=$W$1,$W$4,IF(H2=$X$1,$X$4,IF(H2=$Y$1,$Y$4,IF(H2=$Z$1,$Z$4,IF(H2=$AA$1,$AA$4,"erro")))))</f>
        <v>10</v>
      </c>
      <c r="I4" s="613">
        <f t="shared" si="15"/>
        <v>12</v>
      </c>
      <c r="J4" s="613">
        <f t="shared" si="15"/>
        <v>12</v>
      </c>
      <c r="K4" s="613">
        <f t="shared" si="15"/>
        <v>12</v>
      </c>
      <c r="L4" s="613">
        <f t="shared" si="15"/>
        <v>12</v>
      </c>
      <c r="M4" s="613">
        <f t="shared" si="15"/>
        <v>10</v>
      </c>
      <c r="N4" s="613">
        <f t="shared" si="15"/>
        <v>10</v>
      </c>
      <c r="O4" s="613">
        <f t="shared" si="15"/>
        <v>10</v>
      </c>
      <c r="P4" s="613">
        <f t="shared" si="15"/>
        <v>10</v>
      </c>
      <c r="Q4" s="613">
        <f t="shared" si="15"/>
        <v>10</v>
      </c>
      <c r="R4" s="613">
        <f t="shared" si="15"/>
        <v>10</v>
      </c>
      <c r="S4" s="613">
        <f t="shared" si="15"/>
        <v>12</v>
      </c>
      <c r="T4" s="613">
        <f t="shared" si="15"/>
        <v>10</v>
      </c>
      <c r="U4" s="614">
        <f>IF(U2=$W$1,$W$4,IF(U2=$X$1,$X$4,IF(U2=$Y$1,$Y$4,IF(U2=$Z$1,$Z$4,IF(U2=$AA$1,$AA$4,"erro")))))</f>
        <v>10</v>
      </c>
      <c r="V4" s="645"/>
      <c r="W4" s="643">
        <v>10</v>
      </c>
      <c r="X4" s="643">
        <v>10</v>
      </c>
      <c r="Y4" s="643">
        <v>10</v>
      </c>
      <c r="Z4" s="643">
        <v>12</v>
      </c>
      <c r="AA4" s="644">
        <v>12</v>
      </c>
      <c r="AB4" s="167"/>
      <c r="AC4" s="167"/>
      <c r="AD4" s="167"/>
      <c r="AE4" s="173"/>
      <c r="AF4" s="173"/>
    </row>
    <row r="5" spans="1:37" ht="24.95" customHeight="1" x14ac:dyDescent="0.2">
      <c r="A5" s="3158"/>
      <c r="B5" s="3152" t="s">
        <v>231</v>
      </c>
      <c r="C5" s="3167"/>
      <c r="D5" s="3156"/>
      <c r="E5" s="609">
        <f>IF(E2=$W$1,$W$2,IF(E2=$X$1,$X$2,IF(E2=$Y$1,$Y$2,IF(E2=$Z$1,$Z$2,IF(E2=$AA$1,$AA$2,"erro")))))</f>
        <v>100000</v>
      </c>
      <c r="F5" s="610">
        <f>IF(F2=$W$1,$W$2,IF(F2=$X$1,$X$2,IF(F2=$Y$1,$Y$2,IF(F2=$Z$1,$Z$2,IF(F2=$AA$1,$AA$2,"erro")))))</f>
        <v>2000000</v>
      </c>
      <c r="G5" s="610">
        <f>IF(G2=$W$1,$W$2,IF(G2=$X$1,$X$2,IF(G2=$Y$1,$Y$2,IF(G2=$Z$1,$Z$2,IF(G2=$AA$1,$AA$2,"erro")))))</f>
        <v>100000</v>
      </c>
      <c r="H5" s="610">
        <f t="shared" ref="H5:T5" si="16">IF(H2=$W$1,$W$2,IF(H2=$X$1,$X$2,IF(H2=$Y$1,$Y$2,IF(H2=$Z$1,$Z$2,IF(H2=$AA$1,$AA$2,"erro")))))</f>
        <v>400000</v>
      </c>
      <c r="I5" s="610">
        <f t="shared" si="16"/>
        <v>2000000</v>
      </c>
      <c r="J5" s="610">
        <f t="shared" si="16"/>
        <v>2000000</v>
      </c>
      <c r="K5" s="610">
        <f t="shared" si="16"/>
        <v>2000000</v>
      </c>
      <c r="L5" s="610">
        <f t="shared" si="16"/>
        <v>2000000</v>
      </c>
      <c r="M5" s="610">
        <f t="shared" si="16"/>
        <v>1000</v>
      </c>
      <c r="N5" s="610">
        <f t="shared" si="16"/>
        <v>1000</v>
      </c>
      <c r="O5" s="610">
        <f t="shared" si="16"/>
        <v>1000</v>
      </c>
      <c r="P5" s="610">
        <f t="shared" si="16"/>
        <v>1000</v>
      </c>
      <c r="Q5" s="610">
        <f t="shared" si="16"/>
        <v>1000</v>
      </c>
      <c r="R5" s="610">
        <f t="shared" si="16"/>
        <v>400000</v>
      </c>
      <c r="S5" s="610">
        <f t="shared" si="16"/>
        <v>2000000</v>
      </c>
      <c r="T5" s="610">
        <f t="shared" si="16"/>
        <v>100000</v>
      </c>
      <c r="U5" s="611">
        <f>IF(U2=$W$1,$W$2,IF(U2=$X$1,$X$2,IF(U2=$Y$1,$Y$2,IF(U2=$Z$1,$Z$2,IF(U2=$AA$1,$AA$2,"erro")))))</f>
        <v>100000</v>
      </c>
      <c r="V5" s="646"/>
      <c r="W5" s="170"/>
      <c r="X5" s="170"/>
      <c r="Y5" s="170"/>
      <c r="Z5" s="170"/>
      <c r="AA5" s="170"/>
      <c r="AB5" s="167"/>
      <c r="AC5" s="167"/>
      <c r="AD5" s="167"/>
      <c r="AE5" s="173"/>
      <c r="AF5" s="173"/>
    </row>
    <row r="6" spans="1:37" ht="24.95" customHeight="1" x14ac:dyDescent="0.2">
      <c r="A6" s="3158"/>
      <c r="B6" s="3152" t="s">
        <v>232</v>
      </c>
      <c r="C6" s="3155" t="s">
        <v>233</v>
      </c>
      <c r="D6" s="3156"/>
      <c r="E6" s="612">
        <v>13.3</v>
      </c>
      <c r="F6" s="613"/>
      <c r="G6" s="613"/>
      <c r="H6" s="613"/>
      <c r="I6" s="613"/>
      <c r="J6" s="613"/>
      <c r="K6" s="613"/>
      <c r="L6" s="1798">
        <f>$E6</f>
        <v>13.3</v>
      </c>
      <c r="M6" s="1798">
        <f t="shared" ref="M6:Q6" si="17">$E6</f>
        <v>13.3</v>
      </c>
      <c r="N6" s="1798">
        <f t="shared" si="17"/>
        <v>13.3</v>
      </c>
      <c r="O6" s="1798">
        <f t="shared" si="17"/>
        <v>13.3</v>
      </c>
      <c r="P6" s="1798">
        <f t="shared" si="17"/>
        <v>13.3</v>
      </c>
      <c r="Q6" s="1798">
        <f t="shared" si="17"/>
        <v>13.3</v>
      </c>
      <c r="R6" s="613"/>
      <c r="S6" s="613"/>
      <c r="T6" s="613"/>
      <c r="U6" s="614"/>
      <c r="V6" s="200"/>
      <c r="W6" s="170"/>
      <c r="X6" s="170"/>
      <c r="Y6" s="170"/>
      <c r="Z6" s="167"/>
      <c r="AA6" s="167"/>
      <c r="AB6" s="246">
        <v>1710</v>
      </c>
      <c r="AC6" s="167"/>
      <c r="AD6" s="167"/>
      <c r="AE6" s="173"/>
      <c r="AF6" s="173"/>
    </row>
    <row r="7" spans="1:37" ht="24.95" customHeight="1" x14ac:dyDescent="0.2">
      <c r="A7" s="3158"/>
      <c r="B7" s="3168"/>
      <c r="C7" s="3155" t="s">
        <v>234</v>
      </c>
      <c r="D7" s="3156"/>
      <c r="E7" s="612">
        <v>20.6</v>
      </c>
      <c r="F7" s="613"/>
      <c r="G7" s="613"/>
      <c r="H7" s="613"/>
      <c r="I7" s="613"/>
      <c r="J7" s="1798">
        <f t="shared" ref="J7:L9" si="18">$E7</f>
        <v>20.6</v>
      </c>
      <c r="K7" s="1798">
        <f t="shared" si="18"/>
        <v>20.6</v>
      </c>
      <c r="L7" s="1798">
        <f t="shared" si="18"/>
        <v>20.6</v>
      </c>
      <c r="M7" s="613"/>
      <c r="N7" s="613"/>
      <c r="O7" s="613"/>
      <c r="P7" s="613"/>
      <c r="Q7" s="613"/>
      <c r="R7" s="613"/>
      <c r="S7" s="613"/>
      <c r="T7" s="613"/>
      <c r="U7" s="614"/>
      <c r="V7" s="200"/>
      <c r="W7" s="170"/>
      <c r="X7" s="170"/>
      <c r="Y7" s="170"/>
      <c r="Z7" s="167"/>
      <c r="AA7" s="167"/>
      <c r="AB7" s="246">
        <v>6843</v>
      </c>
      <c r="AC7" s="167"/>
      <c r="AD7" s="167"/>
      <c r="AE7" s="173"/>
      <c r="AF7" s="173"/>
    </row>
    <row r="8" spans="1:37" ht="24.95" customHeight="1" x14ac:dyDescent="0.2">
      <c r="A8" s="3158"/>
      <c r="B8" s="3168"/>
      <c r="C8" s="3155" t="s">
        <v>2060</v>
      </c>
      <c r="D8" s="3156"/>
      <c r="E8" s="612">
        <v>14.7</v>
      </c>
      <c r="F8" s="613"/>
      <c r="G8" s="613"/>
      <c r="H8" s="613"/>
      <c r="I8" s="613"/>
      <c r="J8" s="613"/>
      <c r="K8" s="1798">
        <f t="shared" si="18"/>
        <v>14.7</v>
      </c>
      <c r="L8" s="613"/>
      <c r="M8" s="613"/>
      <c r="N8" s="613"/>
      <c r="O8" s="613"/>
      <c r="P8" s="613"/>
      <c r="Q8" s="613"/>
      <c r="R8" s="613"/>
      <c r="S8" s="613"/>
      <c r="T8" s="613"/>
      <c r="U8" s="614"/>
      <c r="V8" s="200"/>
      <c r="W8" s="170"/>
      <c r="X8" s="170"/>
      <c r="Y8" s="170"/>
      <c r="Z8" s="167"/>
      <c r="AA8" s="167"/>
      <c r="AB8" s="246">
        <v>82125</v>
      </c>
      <c r="AC8" s="167"/>
      <c r="AD8" s="167"/>
      <c r="AE8" s="173"/>
      <c r="AF8" s="173"/>
    </row>
    <row r="9" spans="1:37" ht="24.95" customHeight="1" x14ac:dyDescent="0.2">
      <c r="A9" s="3158"/>
      <c r="B9" s="3168"/>
      <c r="C9" s="3155" t="s">
        <v>2061</v>
      </c>
      <c r="D9" s="3156"/>
      <c r="E9" s="612">
        <v>13.6</v>
      </c>
      <c r="F9" s="613"/>
      <c r="G9" s="613"/>
      <c r="H9" s="613"/>
      <c r="I9" s="613"/>
      <c r="J9" s="613"/>
      <c r="K9" s="1798">
        <f t="shared" si="18"/>
        <v>13.6</v>
      </c>
      <c r="L9" s="613"/>
      <c r="M9" s="613"/>
      <c r="N9" s="613"/>
      <c r="O9" s="613"/>
      <c r="P9" s="613"/>
      <c r="Q9" s="613"/>
      <c r="R9" s="613"/>
      <c r="S9" s="613"/>
      <c r="T9" s="613"/>
      <c r="U9" s="614"/>
      <c r="V9" s="200"/>
      <c r="W9" s="170"/>
      <c r="X9" s="170"/>
      <c r="Y9" s="170"/>
      <c r="Z9" s="167"/>
      <c r="AA9" s="167"/>
      <c r="AB9" s="246">
        <v>5357059</v>
      </c>
      <c r="AC9" s="167"/>
      <c r="AD9" s="167"/>
      <c r="AE9" s="173"/>
      <c r="AF9" s="173"/>
    </row>
    <row r="10" spans="1:37" ht="24.95" customHeight="1" x14ac:dyDescent="0.2">
      <c r="A10" s="3158"/>
      <c r="B10" s="3168"/>
      <c r="C10" s="3155" t="s">
        <v>2062</v>
      </c>
      <c r="D10" s="3156"/>
      <c r="E10" s="612">
        <v>12.8</v>
      </c>
      <c r="F10" s="613"/>
      <c r="G10" s="613"/>
      <c r="H10" s="613"/>
      <c r="I10" s="613"/>
      <c r="J10" s="1798">
        <f t="shared" ref="J10:J12" si="19">$E10</f>
        <v>12.8</v>
      </c>
      <c r="K10" s="613"/>
      <c r="L10" s="613"/>
      <c r="M10" s="613"/>
      <c r="N10" s="613"/>
      <c r="O10" s="613"/>
      <c r="P10" s="613"/>
      <c r="Q10" s="613"/>
      <c r="R10" s="613"/>
      <c r="S10" s="613"/>
      <c r="T10" s="613"/>
      <c r="U10" s="614"/>
      <c r="V10" s="200"/>
      <c r="W10" s="170"/>
      <c r="X10" s="170"/>
      <c r="Y10" s="170"/>
      <c r="Z10" s="167"/>
      <c r="AA10" s="167"/>
      <c r="AB10" s="246">
        <v>40391584</v>
      </c>
      <c r="AC10" s="167"/>
      <c r="AD10" s="167"/>
      <c r="AE10" s="173"/>
      <c r="AF10" s="173"/>
      <c r="AG10" s="166"/>
      <c r="AH10" s="166"/>
      <c r="AI10" s="166"/>
      <c r="AJ10" s="166"/>
      <c r="AK10" s="166"/>
    </row>
    <row r="11" spans="1:37" ht="24.95" customHeight="1" x14ac:dyDescent="0.2">
      <c r="A11" s="3158"/>
      <c r="B11" s="3168"/>
      <c r="C11" s="3155" t="s">
        <v>2063</v>
      </c>
      <c r="D11" s="3156"/>
      <c r="E11" s="612">
        <v>12.2</v>
      </c>
      <c r="F11" s="613"/>
      <c r="G11" s="613"/>
      <c r="H11" s="613"/>
      <c r="I11" s="613"/>
      <c r="J11" s="1798">
        <f t="shared" si="19"/>
        <v>12.2</v>
      </c>
      <c r="K11" s="613"/>
      <c r="L11" s="613"/>
      <c r="M11" s="613"/>
      <c r="N11" s="613"/>
      <c r="O11" s="613"/>
      <c r="P11" s="613"/>
      <c r="Q11" s="613"/>
      <c r="R11" s="613"/>
      <c r="S11" s="613"/>
      <c r="T11" s="613"/>
      <c r="U11" s="614"/>
      <c r="V11" s="200"/>
      <c r="W11" s="170"/>
      <c r="X11" s="170"/>
      <c r="Y11" s="170"/>
      <c r="Z11" s="167"/>
      <c r="AA11" s="167"/>
      <c r="AB11" s="167"/>
      <c r="AC11" s="167"/>
      <c r="AD11" s="167"/>
      <c r="AE11" s="173"/>
      <c r="AF11" s="173"/>
      <c r="AG11" s="166"/>
      <c r="AH11" s="166"/>
      <c r="AI11" s="166"/>
      <c r="AJ11" s="166"/>
      <c r="AK11" s="166"/>
    </row>
    <row r="12" spans="1:37" ht="24.95" customHeight="1" x14ac:dyDescent="0.2">
      <c r="A12" s="3158"/>
      <c r="B12" s="3168"/>
      <c r="C12" s="3155" t="s">
        <v>2064</v>
      </c>
      <c r="D12" s="3156"/>
      <c r="E12" s="612">
        <v>14</v>
      </c>
      <c r="F12" s="1798">
        <f>$E12</f>
        <v>14</v>
      </c>
      <c r="G12" s="613"/>
      <c r="H12" s="613"/>
      <c r="I12" s="613"/>
      <c r="J12" s="1798">
        <f t="shared" si="19"/>
        <v>14</v>
      </c>
      <c r="K12" s="613"/>
      <c r="L12" s="613"/>
      <c r="M12" s="613"/>
      <c r="N12" s="613"/>
      <c r="O12" s="613"/>
      <c r="P12" s="613"/>
      <c r="Q12" s="613"/>
      <c r="R12" s="613"/>
      <c r="S12" s="613"/>
      <c r="T12" s="613"/>
      <c r="U12" s="614"/>
      <c r="V12" s="200"/>
      <c r="AB12" s="167"/>
      <c r="AC12" s="167"/>
      <c r="AD12" s="168"/>
      <c r="AE12" s="173"/>
      <c r="AF12" s="173"/>
      <c r="AG12" s="166"/>
      <c r="AH12" s="166"/>
      <c r="AI12" s="166"/>
      <c r="AJ12" s="166"/>
      <c r="AK12" s="166"/>
    </row>
    <row r="13" spans="1:37" ht="24.95" customHeight="1" x14ac:dyDescent="0.2">
      <c r="A13" s="3158"/>
      <c r="B13" s="3168"/>
      <c r="C13" s="3155" t="s">
        <v>2065</v>
      </c>
      <c r="D13" s="3156"/>
      <c r="E13" s="612">
        <v>18.5</v>
      </c>
      <c r="F13" s="613"/>
      <c r="G13" s="613"/>
      <c r="H13" s="613"/>
      <c r="I13" s="1798">
        <f t="shared" ref="I13:I18" si="20">$E13</f>
        <v>18.5</v>
      </c>
      <c r="J13" s="613"/>
      <c r="K13" s="613"/>
      <c r="L13" s="613"/>
      <c r="M13" s="613"/>
      <c r="N13" s="613"/>
      <c r="O13" s="613"/>
      <c r="P13" s="613"/>
      <c r="Q13" s="613"/>
      <c r="R13" s="613"/>
      <c r="S13" s="613"/>
      <c r="T13" s="613"/>
      <c r="U13" s="614"/>
      <c r="V13" s="200"/>
      <c r="AB13" s="167"/>
      <c r="AC13" s="167"/>
      <c r="AD13" s="168"/>
      <c r="AE13" s="173"/>
      <c r="AF13" s="173"/>
      <c r="AG13" s="166"/>
      <c r="AH13" s="166"/>
      <c r="AI13" s="166"/>
      <c r="AJ13" s="166"/>
      <c r="AK13" s="166"/>
    </row>
    <row r="14" spans="1:37" ht="24.95" customHeight="1" x14ac:dyDescent="0.2">
      <c r="A14" s="3158"/>
      <c r="B14" s="3168"/>
      <c r="C14" s="3155" t="s">
        <v>2066</v>
      </c>
      <c r="D14" s="3156"/>
      <c r="E14" s="612"/>
      <c r="F14" s="613"/>
      <c r="G14" s="613"/>
      <c r="H14" s="613"/>
      <c r="I14" s="613"/>
      <c r="J14" s="613"/>
      <c r="K14" s="613"/>
      <c r="L14" s="613"/>
      <c r="M14" s="613"/>
      <c r="N14" s="613"/>
      <c r="O14" s="613"/>
      <c r="P14" s="613"/>
      <c r="Q14" s="613"/>
      <c r="R14" s="613"/>
      <c r="S14" s="613"/>
      <c r="T14" s="613"/>
      <c r="U14" s="614"/>
      <c r="V14" s="200"/>
      <c r="Y14" s="170"/>
      <c r="Z14" s="170"/>
      <c r="AA14" s="168"/>
      <c r="AB14" s="167"/>
      <c r="AC14" s="167"/>
      <c r="AD14" s="168"/>
      <c r="AE14" s="173"/>
      <c r="AF14" s="173"/>
      <c r="AG14" s="166"/>
      <c r="AH14" s="166"/>
      <c r="AI14" s="166"/>
      <c r="AJ14" s="166"/>
      <c r="AK14" s="166"/>
    </row>
    <row r="15" spans="1:37" ht="24.95" customHeight="1" x14ac:dyDescent="0.2">
      <c r="A15" s="3158"/>
      <c r="B15" s="3168"/>
      <c r="C15" s="3155" t="s">
        <v>2066</v>
      </c>
      <c r="D15" s="3156"/>
      <c r="E15" s="612">
        <v>24.2</v>
      </c>
      <c r="F15" s="613"/>
      <c r="G15" s="613"/>
      <c r="H15" s="613"/>
      <c r="I15" s="1798">
        <f t="shared" si="20"/>
        <v>24.2</v>
      </c>
      <c r="J15" s="613"/>
      <c r="K15" s="613"/>
      <c r="L15" s="613"/>
      <c r="M15" s="613"/>
      <c r="N15" s="613"/>
      <c r="O15" s="613"/>
      <c r="P15" s="613"/>
      <c r="Q15" s="613"/>
      <c r="R15" s="613"/>
      <c r="S15" s="613"/>
      <c r="T15" s="613"/>
      <c r="U15" s="614"/>
      <c r="V15" s="200"/>
      <c r="W15" s="170"/>
      <c r="X15" s="170"/>
      <c r="Y15" s="170"/>
      <c r="Z15" s="170"/>
      <c r="AA15" s="168"/>
      <c r="AB15" s="167"/>
      <c r="AC15" s="167"/>
      <c r="AD15" s="168"/>
      <c r="AE15" s="173"/>
      <c r="AF15" s="173"/>
      <c r="AG15" s="166"/>
      <c r="AH15" s="166"/>
      <c r="AI15" s="166"/>
      <c r="AJ15" s="166"/>
      <c r="AK15" s="166"/>
    </row>
    <row r="16" spans="1:37" ht="24.95" customHeight="1" x14ac:dyDescent="0.2">
      <c r="A16" s="3158"/>
      <c r="B16" s="3168"/>
      <c r="C16" s="3155" t="s">
        <v>2067</v>
      </c>
      <c r="D16" s="3156"/>
      <c r="E16" s="612">
        <v>21.2</v>
      </c>
      <c r="F16" s="613"/>
      <c r="G16" s="613"/>
      <c r="H16" s="613"/>
      <c r="I16" s="1798">
        <f t="shared" si="20"/>
        <v>21.2</v>
      </c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4"/>
      <c r="V16" s="200"/>
      <c r="W16" s="170"/>
      <c r="X16" s="170"/>
      <c r="Y16" s="170"/>
      <c r="Z16" s="170"/>
      <c r="AA16" s="168"/>
      <c r="AB16" s="167"/>
      <c r="AC16" s="167"/>
      <c r="AD16" s="168"/>
      <c r="AE16" s="173"/>
      <c r="AF16" s="173"/>
      <c r="AG16" s="166"/>
      <c r="AH16" s="166"/>
      <c r="AI16" s="166"/>
      <c r="AJ16" s="166"/>
      <c r="AK16" s="166"/>
    </row>
    <row r="17" spans="1:37" ht="24.95" customHeight="1" x14ac:dyDescent="0.2">
      <c r="A17" s="3158"/>
      <c r="B17" s="3168"/>
      <c r="C17" s="3155" t="s">
        <v>2068</v>
      </c>
      <c r="D17" s="3156"/>
      <c r="E17" s="612">
        <v>23.3</v>
      </c>
      <c r="F17" s="613"/>
      <c r="G17" s="1798">
        <f t="shared" ref="G17:H17" si="21">$E17</f>
        <v>23.3</v>
      </c>
      <c r="H17" s="1798">
        <f t="shared" si="21"/>
        <v>23.3</v>
      </c>
      <c r="I17" s="1798">
        <f t="shared" si="20"/>
        <v>23.3</v>
      </c>
      <c r="J17" s="613"/>
      <c r="K17" s="613"/>
      <c r="L17" s="613"/>
      <c r="M17" s="613"/>
      <c r="N17" s="613"/>
      <c r="O17" s="613"/>
      <c r="P17" s="613"/>
      <c r="Q17" s="613"/>
      <c r="R17" s="613"/>
      <c r="S17" s="613"/>
      <c r="T17" s="613"/>
      <c r="U17" s="614"/>
      <c r="V17" s="200"/>
      <c r="W17" s="170"/>
      <c r="X17" s="170"/>
      <c r="Y17" s="170"/>
      <c r="Z17" s="170"/>
      <c r="AA17" s="168"/>
      <c r="AB17" s="167"/>
      <c r="AC17" s="167"/>
      <c r="AD17" s="168"/>
      <c r="AE17" s="173"/>
      <c r="AF17" s="173"/>
      <c r="AG17" s="166"/>
      <c r="AH17" s="166"/>
      <c r="AI17" s="166"/>
      <c r="AJ17" s="166"/>
      <c r="AK17" s="166"/>
    </row>
    <row r="18" spans="1:37" ht="24.95" customHeight="1" x14ac:dyDescent="0.2">
      <c r="A18" s="3158"/>
      <c r="B18" s="3168"/>
      <c r="C18" s="3155" t="s">
        <v>2069</v>
      </c>
      <c r="D18" s="3156"/>
      <c r="E18" s="612">
        <v>23.2</v>
      </c>
      <c r="F18" s="1798">
        <f t="shared" ref="F18:F25" si="22">$E18</f>
        <v>23.2</v>
      </c>
      <c r="G18" s="613"/>
      <c r="H18" s="613"/>
      <c r="I18" s="1798">
        <f t="shared" si="20"/>
        <v>23.2</v>
      </c>
      <c r="J18" s="613"/>
      <c r="K18" s="613"/>
      <c r="L18" s="613"/>
      <c r="M18" s="613"/>
      <c r="N18" s="613"/>
      <c r="O18" s="613"/>
      <c r="P18" s="613"/>
      <c r="Q18" s="613"/>
      <c r="R18" s="613"/>
      <c r="S18" s="613"/>
      <c r="T18" s="613"/>
      <c r="U18" s="614"/>
      <c r="V18" s="200"/>
      <c r="W18" s="170"/>
      <c r="X18" s="170"/>
      <c r="Y18" s="170"/>
      <c r="Z18" s="170"/>
      <c r="AA18" s="168"/>
      <c r="AB18" s="167"/>
      <c r="AC18" s="167"/>
      <c r="AD18" s="168"/>
      <c r="AE18" s="173"/>
      <c r="AF18" s="173"/>
      <c r="AG18" s="166"/>
      <c r="AH18" s="166"/>
      <c r="AI18" s="166"/>
      <c r="AJ18" s="166"/>
      <c r="AK18" s="166"/>
    </row>
    <row r="19" spans="1:37" ht="24.95" customHeight="1" x14ac:dyDescent="0.2">
      <c r="A19" s="3158"/>
      <c r="B19" s="3169"/>
      <c r="C19" s="3155" t="s">
        <v>2070</v>
      </c>
      <c r="D19" s="3156"/>
      <c r="E19" s="612">
        <v>13.6</v>
      </c>
      <c r="F19" s="1798">
        <f t="shared" si="22"/>
        <v>13.6</v>
      </c>
      <c r="G19" s="613"/>
      <c r="H19" s="613"/>
      <c r="I19" s="613"/>
      <c r="J19" s="613"/>
      <c r="K19" s="613"/>
      <c r="L19" s="613"/>
      <c r="M19" s="613"/>
      <c r="N19" s="613"/>
      <c r="O19" s="613"/>
      <c r="P19" s="613"/>
      <c r="Q19" s="613"/>
      <c r="R19" s="613"/>
      <c r="S19" s="613"/>
      <c r="T19" s="613"/>
      <c r="U19" s="614"/>
      <c r="V19" s="200"/>
      <c r="W19" s="170"/>
      <c r="X19" s="170"/>
      <c r="Y19" s="170"/>
      <c r="Z19" s="170"/>
      <c r="AA19" s="168"/>
      <c r="AB19" s="167"/>
      <c r="AC19" s="167"/>
      <c r="AD19" s="168"/>
      <c r="AE19" s="173"/>
      <c r="AF19" s="173"/>
      <c r="AG19" s="166"/>
      <c r="AH19" s="166"/>
      <c r="AI19" s="166"/>
      <c r="AJ19" s="166"/>
      <c r="AK19" s="166"/>
    </row>
    <row r="20" spans="1:37" ht="24.95" customHeight="1" x14ac:dyDescent="0.2">
      <c r="A20" s="3158"/>
      <c r="B20" s="3169"/>
      <c r="C20" s="3155" t="s">
        <v>2071</v>
      </c>
      <c r="D20" s="3156"/>
      <c r="E20" s="612">
        <v>19.5</v>
      </c>
      <c r="F20" s="1798">
        <f t="shared" si="22"/>
        <v>19.5</v>
      </c>
      <c r="G20" s="613"/>
      <c r="H20" s="613"/>
      <c r="I20" s="613"/>
      <c r="J20" s="613"/>
      <c r="K20" s="613"/>
      <c r="L20" s="613"/>
      <c r="M20" s="613"/>
      <c r="N20" s="613"/>
      <c r="O20" s="613"/>
      <c r="P20" s="613"/>
      <c r="Q20" s="613"/>
      <c r="R20" s="613"/>
      <c r="S20" s="613"/>
      <c r="T20" s="613"/>
      <c r="U20" s="614"/>
      <c r="V20" s="200"/>
      <c r="W20" s="170"/>
      <c r="X20" s="170"/>
      <c r="Y20" s="170"/>
      <c r="Z20" s="170"/>
      <c r="AA20" s="168"/>
      <c r="AB20" s="167"/>
      <c r="AC20" s="167"/>
      <c r="AD20" s="168"/>
      <c r="AE20" s="173"/>
      <c r="AF20" s="173"/>
      <c r="AG20" s="166"/>
      <c r="AH20" s="166"/>
      <c r="AI20" s="166"/>
      <c r="AJ20" s="166"/>
      <c r="AK20" s="166"/>
    </row>
    <row r="21" spans="1:37" ht="24.95" customHeight="1" x14ac:dyDescent="0.2">
      <c r="A21" s="3158"/>
      <c r="B21" s="3169"/>
      <c r="C21" s="3155" t="s">
        <v>2072</v>
      </c>
      <c r="D21" s="3156"/>
      <c r="E21" s="612">
        <v>22.1</v>
      </c>
      <c r="F21" s="1798">
        <f t="shared" si="22"/>
        <v>22.1</v>
      </c>
      <c r="G21" s="613"/>
      <c r="H21" s="613"/>
      <c r="I21" s="613"/>
      <c r="J21" s="613"/>
      <c r="K21" s="613"/>
      <c r="L21" s="613"/>
      <c r="M21" s="613"/>
      <c r="N21" s="613"/>
      <c r="O21" s="613"/>
      <c r="P21" s="613"/>
      <c r="Q21" s="613"/>
      <c r="R21" s="613"/>
      <c r="S21" s="613"/>
      <c r="T21" s="613"/>
      <c r="U21" s="614"/>
      <c r="V21" s="200"/>
      <c r="W21" s="170"/>
      <c r="X21" s="170"/>
      <c r="Y21" s="170"/>
      <c r="Z21" s="170"/>
      <c r="AA21" s="168"/>
      <c r="AB21" s="167"/>
      <c r="AC21" s="167"/>
      <c r="AD21" s="168"/>
      <c r="AE21" s="173"/>
      <c r="AF21" s="173"/>
      <c r="AG21" s="166"/>
      <c r="AH21" s="166"/>
      <c r="AI21" s="166"/>
      <c r="AJ21" s="166"/>
      <c r="AK21" s="166"/>
    </row>
    <row r="22" spans="1:37" ht="24.95" customHeight="1" x14ac:dyDescent="0.2">
      <c r="A22" s="3158"/>
      <c r="B22" s="3168"/>
      <c r="C22" s="3155" t="s">
        <v>2073</v>
      </c>
      <c r="D22" s="3156"/>
      <c r="E22" s="612">
        <v>24.9</v>
      </c>
      <c r="F22" s="1798">
        <f t="shared" si="22"/>
        <v>24.9</v>
      </c>
      <c r="G22" s="613"/>
      <c r="H22" s="613"/>
      <c r="I22" s="613"/>
      <c r="J22" s="613"/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4"/>
      <c r="V22" s="200"/>
      <c r="W22" s="170"/>
      <c r="X22" s="170"/>
      <c r="Y22" s="170"/>
      <c r="Z22" s="170"/>
      <c r="AA22" s="168"/>
      <c r="AB22" s="167"/>
      <c r="AC22" s="167"/>
      <c r="AD22" s="168"/>
      <c r="AE22" s="173"/>
      <c r="AF22" s="173"/>
      <c r="AG22" s="166"/>
      <c r="AH22" s="166"/>
      <c r="AI22" s="166"/>
      <c r="AJ22" s="166"/>
      <c r="AK22" s="166"/>
    </row>
    <row r="23" spans="1:37" ht="24.95" customHeight="1" x14ac:dyDescent="0.2">
      <c r="A23" s="3158"/>
      <c r="B23" s="3169"/>
      <c r="C23" s="3155" t="s">
        <v>2074</v>
      </c>
      <c r="D23" s="3156"/>
      <c r="E23" s="612">
        <v>16.2</v>
      </c>
      <c r="F23" s="1798">
        <f t="shared" si="22"/>
        <v>16.2</v>
      </c>
      <c r="G23" s="613"/>
      <c r="H23" s="613"/>
      <c r="I23" s="613"/>
      <c r="J23" s="613"/>
      <c r="K23" s="613"/>
      <c r="L23" s="613"/>
      <c r="M23" s="613"/>
      <c r="N23" s="613"/>
      <c r="O23" s="613"/>
      <c r="P23" s="613"/>
      <c r="Q23" s="613"/>
      <c r="R23" s="613"/>
      <c r="S23" s="613"/>
      <c r="T23" s="613"/>
      <c r="U23" s="614"/>
      <c r="V23" s="200"/>
      <c r="W23" s="170"/>
      <c r="X23" s="170"/>
      <c r="Y23" s="170"/>
      <c r="Z23" s="170"/>
      <c r="AA23" s="168"/>
      <c r="AB23" s="167"/>
      <c r="AC23" s="167"/>
      <c r="AD23" s="168"/>
      <c r="AE23" s="173"/>
      <c r="AF23" s="173"/>
      <c r="AG23" s="166"/>
      <c r="AH23" s="166"/>
      <c r="AI23" s="166"/>
      <c r="AJ23" s="166"/>
      <c r="AK23" s="166"/>
    </row>
    <row r="24" spans="1:37" ht="24.95" customHeight="1" x14ac:dyDescent="0.2">
      <c r="A24" s="3158"/>
      <c r="B24" s="3169"/>
      <c r="C24" s="3155" t="s">
        <v>2075</v>
      </c>
      <c r="D24" s="3156"/>
      <c r="E24" s="612">
        <v>19.600000000000001</v>
      </c>
      <c r="F24" s="1798">
        <f t="shared" si="22"/>
        <v>19.600000000000001</v>
      </c>
      <c r="G24" s="613"/>
      <c r="H24" s="613"/>
      <c r="I24" s="613"/>
      <c r="J24" s="613"/>
      <c r="K24" s="613"/>
      <c r="L24" s="613"/>
      <c r="M24" s="613"/>
      <c r="N24" s="613"/>
      <c r="O24" s="613"/>
      <c r="P24" s="613"/>
      <c r="Q24" s="613"/>
      <c r="R24" s="1798">
        <f>$E24</f>
        <v>19.600000000000001</v>
      </c>
      <c r="S24" s="613"/>
      <c r="T24" s="613"/>
      <c r="U24" s="614"/>
      <c r="V24" s="200"/>
      <c r="W24" s="170"/>
      <c r="X24" s="170"/>
      <c r="Y24" s="170"/>
      <c r="Z24" s="170"/>
      <c r="AA24" s="168"/>
      <c r="AB24" s="167"/>
      <c r="AC24" s="167"/>
      <c r="AD24" s="168"/>
      <c r="AE24" s="173"/>
      <c r="AF24" s="173"/>
      <c r="AG24" s="166"/>
      <c r="AH24" s="166"/>
      <c r="AI24" s="166"/>
      <c r="AJ24" s="166"/>
      <c r="AK24" s="166"/>
    </row>
    <row r="25" spans="1:37" ht="24.95" customHeight="1" x14ac:dyDescent="0.2">
      <c r="A25" s="3158"/>
      <c r="B25" s="3169"/>
      <c r="C25" s="3155" t="s">
        <v>2076</v>
      </c>
      <c r="D25" s="3156"/>
      <c r="E25" s="612">
        <v>19.2</v>
      </c>
      <c r="F25" s="1798">
        <f t="shared" si="22"/>
        <v>19.2</v>
      </c>
      <c r="G25" s="613"/>
      <c r="H25" s="613"/>
      <c r="I25" s="613"/>
      <c r="J25" s="613"/>
      <c r="K25" s="613"/>
      <c r="L25" s="613"/>
      <c r="M25" s="613"/>
      <c r="N25" s="613"/>
      <c r="O25" s="613"/>
      <c r="P25" s="613"/>
      <c r="Q25" s="613"/>
      <c r="R25" s="613"/>
      <c r="S25" s="613"/>
      <c r="T25" s="613"/>
      <c r="U25" s="614"/>
      <c r="V25" s="200"/>
      <c r="W25" s="170"/>
      <c r="X25" s="170"/>
      <c r="Y25" s="170"/>
      <c r="Z25" s="170"/>
      <c r="AA25" s="168"/>
      <c r="AB25" s="167"/>
      <c r="AC25" s="167"/>
      <c r="AD25" s="168"/>
      <c r="AE25" s="173"/>
      <c r="AF25" s="173"/>
      <c r="AG25" s="166"/>
      <c r="AH25" s="166"/>
      <c r="AI25" s="166"/>
      <c r="AJ25" s="166"/>
      <c r="AK25" s="166"/>
    </row>
    <row r="26" spans="1:37" ht="24.95" hidden="1" customHeight="1" x14ac:dyDescent="0.2">
      <c r="A26" s="3158"/>
      <c r="B26" s="3169"/>
      <c r="C26" s="3155" t="s">
        <v>2077</v>
      </c>
      <c r="D26" s="3156"/>
      <c r="E26" s="612">
        <v>18.399999999999999</v>
      </c>
      <c r="F26" s="613"/>
      <c r="G26" s="613"/>
      <c r="H26" s="613"/>
      <c r="I26" s="613"/>
      <c r="J26" s="613"/>
      <c r="K26" s="613"/>
      <c r="L26" s="613"/>
      <c r="M26" s="613"/>
      <c r="N26" s="613"/>
      <c r="O26" s="613"/>
      <c r="P26" s="613"/>
      <c r="Q26" s="613"/>
      <c r="R26" s="1798">
        <f>$E26</f>
        <v>18.399999999999999</v>
      </c>
      <c r="S26" s="613"/>
      <c r="T26" s="1798">
        <f>$E26</f>
        <v>18.399999999999999</v>
      </c>
      <c r="U26" s="614"/>
      <c r="V26" s="200"/>
      <c r="W26" s="170"/>
      <c r="X26" s="170"/>
      <c r="Y26" s="170"/>
      <c r="Z26" s="170"/>
      <c r="AA26" s="168"/>
      <c r="AB26" s="167"/>
      <c r="AC26" s="167"/>
      <c r="AD26" s="168"/>
      <c r="AE26" s="173"/>
      <c r="AF26" s="173"/>
      <c r="AG26" s="166"/>
      <c r="AH26" s="166"/>
      <c r="AI26" s="166"/>
      <c r="AJ26" s="166"/>
      <c r="AK26" s="166"/>
    </row>
    <row r="27" spans="1:37" ht="24.95" hidden="1" customHeight="1" x14ac:dyDescent="0.2">
      <c r="A27" s="3158"/>
      <c r="B27" s="3169"/>
      <c r="C27" s="3155" t="s">
        <v>2078</v>
      </c>
      <c r="D27" s="3156"/>
      <c r="E27" s="612">
        <v>16.8</v>
      </c>
      <c r="F27" s="613"/>
      <c r="G27" s="613"/>
      <c r="H27" s="613"/>
      <c r="I27" s="613"/>
      <c r="J27" s="613"/>
      <c r="K27" s="613"/>
      <c r="L27" s="613"/>
      <c r="M27" s="613"/>
      <c r="N27" s="613"/>
      <c r="O27" s="613"/>
      <c r="P27" s="613"/>
      <c r="Q27" s="613"/>
      <c r="R27" s="613"/>
      <c r="S27" s="613"/>
      <c r="T27" s="613"/>
      <c r="U27" s="1799">
        <f>$E27</f>
        <v>16.8</v>
      </c>
      <c r="V27" s="200"/>
      <c r="W27" s="170"/>
      <c r="X27" s="170"/>
      <c r="Y27" s="170"/>
      <c r="Z27" s="170"/>
      <c r="AA27" s="168"/>
      <c r="AB27" s="167"/>
      <c r="AC27" s="167"/>
      <c r="AD27" s="168"/>
      <c r="AE27" s="173"/>
      <c r="AF27" s="173"/>
      <c r="AG27" s="166"/>
      <c r="AH27" s="166"/>
      <c r="AI27" s="166"/>
      <c r="AJ27" s="166"/>
      <c r="AK27" s="166"/>
    </row>
    <row r="28" spans="1:37" ht="24.95" hidden="1" customHeight="1" x14ac:dyDescent="0.2">
      <c r="A28" s="3158"/>
      <c r="B28" s="3169"/>
      <c r="C28" s="3155" t="s">
        <v>2079</v>
      </c>
      <c r="D28" s="3156"/>
      <c r="E28" s="612">
        <v>15.5</v>
      </c>
      <c r="F28" s="613"/>
      <c r="G28" s="613"/>
      <c r="H28" s="613"/>
      <c r="I28" s="613"/>
      <c r="J28" s="613"/>
      <c r="K28" s="613"/>
      <c r="L28" s="613"/>
      <c r="M28" s="613"/>
      <c r="N28" s="613"/>
      <c r="O28" s="613"/>
      <c r="P28" s="613"/>
      <c r="Q28" s="613"/>
      <c r="R28" s="613"/>
      <c r="S28" s="1798">
        <f t="shared" ref="S28:S29" si="23">$E28</f>
        <v>15.5</v>
      </c>
      <c r="T28" s="613"/>
      <c r="U28" s="614"/>
      <c r="V28" s="200"/>
      <c r="W28" s="170"/>
      <c r="X28" s="170"/>
      <c r="Y28" s="170"/>
      <c r="Z28" s="170"/>
      <c r="AA28" s="168"/>
      <c r="AB28" s="167"/>
      <c r="AC28" s="167"/>
      <c r="AD28" s="168"/>
      <c r="AE28" s="173"/>
      <c r="AF28" s="173"/>
      <c r="AG28" s="166"/>
      <c r="AH28" s="166"/>
      <c r="AI28" s="166"/>
      <c r="AJ28" s="166"/>
      <c r="AK28" s="166"/>
    </row>
    <row r="29" spans="1:37" ht="24.95" hidden="1" customHeight="1" x14ac:dyDescent="0.2">
      <c r="A29" s="3158"/>
      <c r="B29" s="3168"/>
      <c r="C29" s="3155" t="s">
        <v>2080</v>
      </c>
      <c r="D29" s="3156"/>
      <c r="E29" s="612">
        <v>18.2</v>
      </c>
      <c r="F29" s="613"/>
      <c r="G29" s="613"/>
      <c r="H29" s="613"/>
      <c r="I29" s="613"/>
      <c r="J29" s="613"/>
      <c r="K29" s="613"/>
      <c r="L29" s="613"/>
      <c r="M29" s="613"/>
      <c r="N29" s="613"/>
      <c r="O29" s="613"/>
      <c r="P29" s="613"/>
      <c r="Q29" s="613"/>
      <c r="R29" s="613"/>
      <c r="S29" s="1798">
        <f t="shared" si="23"/>
        <v>18.2</v>
      </c>
      <c r="T29" s="613"/>
      <c r="U29" s="1799">
        <f>$E29</f>
        <v>18.2</v>
      </c>
      <c r="V29" s="200"/>
      <c r="W29" s="170"/>
      <c r="X29" s="170"/>
      <c r="Y29" s="170"/>
      <c r="Z29" s="170"/>
      <c r="AA29" s="168"/>
      <c r="AB29" s="167"/>
      <c r="AC29" s="167"/>
      <c r="AD29" s="168"/>
      <c r="AE29" s="173"/>
      <c r="AF29" s="173"/>
      <c r="AG29" s="166"/>
      <c r="AH29" s="166"/>
      <c r="AI29" s="166"/>
      <c r="AJ29" s="166"/>
      <c r="AK29" s="166"/>
    </row>
    <row r="30" spans="1:37" ht="24.95" customHeight="1" x14ac:dyDescent="0.2">
      <c r="A30" s="3158"/>
      <c r="B30" s="3168"/>
      <c r="C30" s="3155" t="s">
        <v>235</v>
      </c>
      <c r="D30" s="3156"/>
      <c r="E30" s="615">
        <f>AVERAGE(E6:E29)</f>
        <v>18.069565217391304</v>
      </c>
      <c r="F30" s="616">
        <f t="shared" ref="F30:U30" si="24">AVERAGE(F6:F29)</f>
        <v>19.144444444444442</v>
      </c>
      <c r="G30" s="616">
        <f t="shared" si="24"/>
        <v>23.3</v>
      </c>
      <c r="H30" s="616">
        <f t="shared" si="24"/>
        <v>23.3</v>
      </c>
      <c r="I30" s="616">
        <f t="shared" si="24"/>
        <v>22.080000000000002</v>
      </c>
      <c r="J30" s="616">
        <f t="shared" si="24"/>
        <v>14.900000000000002</v>
      </c>
      <c r="K30" s="616">
        <f t="shared" si="24"/>
        <v>16.3</v>
      </c>
      <c r="L30" s="616">
        <f t="shared" si="24"/>
        <v>16.950000000000003</v>
      </c>
      <c r="M30" s="616">
        <f t="shared" si="24"/>
        <v>13.3</v>
      </c>
      <c r="N30" s="616">
        <f t="shared" si="24"/>
        <v>13.3</v>
      </c>
      <c r="O30" s="616">
        <f t="shared" si="24"/>
        <v>13.3</v>
      </c>
      <c r="P30" s="616">
        <f t="shared" si="24"/>
        <v>13.3</v>
      </c>
      <c r="Q30" s="616">
        <f t="shared" si="24"/>
        <v>13.3</v>
      </c>
      <c r="R30" s="616">
        <f t="shared" si="24"/>
        <v>19</v>
      </c>
      <c r="S30" s="616">
        <f t="shared" si="24"/>
        <v>16.850000000000001</v>
      </c>
      <c r="T30" s="616">
        <f t="shared" si="24"/>
        <v>18.399999999999999</v>
      </c>
      <c r="U30" s="617">
        <f t="shared" si="24"/>
        <v>17.5</v>
      </c>
      <c r="V30" s="200"/>
      <c r="W30" s="170"/>
      <c r="X30" s="170"/>
      <c r="Y30" s="170"/>
      <c r="Z30" s="170"/>
      <c r="AA30" s="170"/>
      <c r="AB30" s="170"/>
      <c r="AC30" s="167"/>
      <c r="AD30" s="168"/>
      <c r="AE30" s="173"/>
      <c r="AF30" s="173"/>
      <c r="AG30" s="166"/>
      <c r="AH30" s="166"/>
      <c r="AI30" s="166"/>
      <c r="AJ30" s="166"/>
      <c r="AK30" s="166"/>
    </row>
    <row r="31" spans="1:37" ht="24.95" hidden="1" customHeight="1" x14ac:dyDescent="0.2">
      <c r="A31" s="3158"/>
      <c r="B31" s="3152" t="s">
        <v>236</v>
      </c>
      <c r="C31" s="3153"/>
      <c r="D31" s="3154"/>
      <c r="E31" s="615">
        <f>_xlfn.STDEV.S(E6:E29)</f>
        <v>3.9363613542791627</v>
      </c>
      <c r="F31" s="1800"/>
      <c r="G31" s="1800"/>
      <c r="H31" s="1800"/>
      <c r="I31" s="1800"/>
      <c r="J31" s="1800"/>
      <c r="K31" s="1800"/>
      <c r="L31" s="1800"/>
      <c r="M31" s="1800"/>
      <c r="N31" s="1800"/>
      <c r="O31" s="1800"/>
      <c r="P31" s="1800"/>
      <c r="Q31" s="1800"/>
      <c r="R31" s="1800"/>
      <c r="S31" s="1800"/>
      <c r="T31" s="1800"/>
      <c r="U31" s="1801"/>
      <c r="V31" s="200"/>
      <c r="W31" s="170"/>
      <c r="X31" s="170"/>
      <c r="Y31" s="170"/>
      <c r="Z31" s="170"/>
      <c r="AA31" s="170"/>
      <c r="AB31" s="170"/>
      <c r="AC31" s="167"/>
      <c r="AD31" s="168"/>
      <c r="AE31" s="173"/>
      <c r="AF31" s="173"/>
      <c r="AG31" s="166"/>
      <c r="AH31" s="166"/>
      <c r="AI31" s="166"/>
      <c r="AJ31" s="166"/>
      <c r="AK31" s="166"/>
    </row>
    <row r="32" spans="1:37" ht="24.95" customHeight="1" x14ac:dyDescent="0.2">
      <c r="A32" s="3158"/>
      <c r="B32" s="3152" t="s">
        <v>237</v>
      </c>
      <c r="C32" s="3153"/>
      <c r="D32" s="3154"/>
      <c r="E32" s="633">
        <f t="shared" ref="E32:U32" si="25">E30-1.29*E31/COUNT(E6:E29)^0.5-0.68*E31</f>
        <v>14.334022871598753</v>
      </c>
      <c r="F32" s="634">
        <f t="shared" si="25"/>
        <v>19.144444444444442</v>
      </c>
      <c r="G32" s="634">
        <f t="shared" si="25"/>
        <v>23.3</v>
      </c>
      <c r="H32" s="634">
        <f t="shared" si="25"/>
        <v>23.3</v>
      </c>
      <c r="I32" s="634">
        <f t="shared" si="25"/>
        <v>22.080000000000002</v>
      </c>
      <c r="J32" s="634">
        <f t="shared" si="25"/>
        <v>14.900000000000002</v>
      </c>
      <c r="K32" s="634">
        <f t="shared" si="25"/>
        <v>16.3</v>
      </c>
      <c r="L32" s="634">
        <f t="shared" si="25"/>
        <v>16.950000000000003</v>
      </c>
      <c r="M32" s="634">
        <f t="shared" si="25"/>
        <v>13.3</v>
      </c>
      <c r="N32" s="634">
        <f t="shared" si="25"/>
        <v>13.3</v>
      </c>
      <c r="O32" s="634">
        <f t="shared" si="25"/>
        <v>13.3</v>
      </c>
      <c r="P32" s="634">
        <f t="shared" si="25"/>
        <v>13.3</v>
      </c>
      <c r="Q32" s="634">
        <f t="shared" si="25"/>
        <v>13.3</v>
      </c>
      <c r="R32" s="634">
        <f t="shared" si="25"/>
        <v>19</v>
      </c>
      <c r="S32" s="634">
        <f t="shared" si="25"/>
        <v>16.850000000000001</v>
      </c>
      <c r="T32" s="634">
        <f t="shared" si="25"/>
        <v>18.399999999999999</v>
      </c>
      <c r="U32" s="635">
        <f t="shared" si="25"/>
        <v>17.5</v>
      </c>
      <c r="V32" s="201"/>
      <c r="W32" s="170"/>
      <c r="X32" s="170"/>
      <c r="Y32" s="170"/>
      <c r="Z32" s="170"/>
      <c r="AA32" s="170"/>
      <c r="AB32" s="170"/>
      <c r="AC32" s="167"/>
      <c r="AD32" s="168"/>
      <c r="AE32" s="173"/>
      <c r="AF32" s="173"/>
      <c r="AG32" s="166"/>
      <c r="AH32" s="166"/>
      <c r="AI32" s="166"/>
      <c r="AJ32" s="166"/>
      <c r="AK32" s="166"/>
    </row>
    <row r="33" spans="1:37" ht="24.95" hidden="1" customHeight="1" x14ac:dyDescent="0.2">
      <c r="A33" s="3158"/>
      <c r="B33" s="3184" t="s">
        <v>238</v>
      </c>
      <c r="C33" s="3185"/>
      <c r="D33" s="3186"/>
      <c r="E33" s="653">
        <f>IF(E30&gt;20,20,E32)</f>
        <v>14.334022871598753</v>
      </c>
      <c r="F33" s="654">
        <f>IF(F30&gt;20,20,F32)</f>
        <v>19.144444444444442</v>
      </c>
      <c r="G33" s="654">
        <f>IF(G30&gt;20,20,G32)</f>
        <v>20</v>
      </c>
      <c r="H33" s="654">
        <f t="shared" ref="H33:T33" si="26">IF(H30&gt;20,20,H32)</f>
        <v>20</v>
      </c>
      <c r="I33" s="654">
        <f t="shared" si="26"/>
        <v>20</v>
      </c>
      <c r="J33" s="654">
        <f t="shared" si="26"/>
        <v>14.900000000000002</v>
      </c>
      <c r="K33" s="654">
        <f t="shared" si="26"/>
        <v>16.3</v>
      </c>
      <c r="L33" s="654">
        <f t="shared" si="26"/>
        <v>16.950000000000003</v>
      </c>
      <c r="M33" s="654">
        <f t="shared" si="26"/>
        <v>13.3</v>
      </c>
      <c r="N33" s="654">
        <f t="shared" si="26"/>
        <v>13.3</v>
      </c>
      <c r="O33" s="654">
        <f t="shared" si="26"/>
        <v>13.3</v>
      </c>
      <c r="P33" s="654">
        <f t="shared" si="26"/>
        <v>13.3</v>
      </c>
      <c r="Q33" s="654">
        <f t="shared" si="26"/>
        <v>13.3</v>
      </c>
      <c r="R33" s="654">
        <f t="shared" si="26"/>
        <v>19</v>
      </c>
      <c r="S33" s="654">
        <f t="shared" si="26"/>
        <v>16.850000000000001</v>
      </c>
      <c r="T33" s="654">
        <f t="shared" si="26"/>
        <v>18.399999999999999</v>
      </c>
      <c r="U33" s="655">
        <f>IF(U30&gt;20,20,U32)</f>
        <v>17.5</v>
      </c>
      <c r="V33" s="202"/>
      <c r="W33" s="170"/>
      <c r="X33" s="170"/>
      <c r="Y33" s="170"/>
      <c r="Z33" s="170"/>
      <c r="AA33" s="170"/>
      <c r="AB33" s="170"/>
      <c r="AC33" s="167"/>
      <c r="AD33" s="168"/>
      <c r="AE33" s="173"/>
      <c r="AF33" s="173"/>
      <c r="AG33" s="166"/>
      <c r="AH33" s="166"/>
      <c r="AI33" s="166"/>
      <c r="AJ33" s="166"/>
      <c r="AK33" s="166"/>
    </row>
    <row r="34" spans="1:37" ht="24.95" customHeight="1" x14ac:dyDescent="0.2">
      <c r="A34" s="3158"/>
      <c r="B34" s="3152" t="s">
        <v>239</v>
      </c>
      <c r="C34" s="3155" t="s">
        <v>240</v>
      </c>
      <c r="D34" s="3156"/>
      <c r="E34" s="882">
        <f>ROUND(77.67*((E5)^0.0482)*(20^(-0.598))*IF(E5&gt;9900000,1.2,1),0)</f>
        <v>23</v>
      </c>
      <c r="F34" s="883">
        <f t="shared" ref="F34:U34" si="27">ROUND(77.67*((F5)^0.0482)*(20^(-0.598))*IF(F5&gt;9900000,1.2,1),0)</f>
        <v>26</v>
      </c>
      <c r="G34" s="883">
        <f t="shared" si="27"/>
        <v>23</v>
      </c>
      <c r="H34" s="883">
        <f t="shared" si="27"/>
        <v>24</v>
      </c>
      <c r="I34" s="883">
        <f t="shared" si="27"/>
        <v>26</v>
      </c>
      <c r="J34" s="883">
        <f t="shared" si="27"/>
        <v>26</v>
      </c>
      <c r="K34" s="883">
        <f t="shared" si="27"/>
        <v>26</v>
      </c>
      <c r="L34" s="883">
        <f t="shared" si="27"/>
        <v>26</v>
      </c>
      <c r="M34" s="883">
        <f t="shared" si="27"/>
        <v>18</v>
      </c>
      <c r="N34" s="883">
        <f t="shared" si="27"/>
        <v>18</v>
      </c>
      <c r="O34" s="883">
        <f t="shared" si="27"/>
        <v>18</v>
      </c>
      <c r="P34" s="883">
        <f t="shared" si="27"/>
        <v>18</v>
      </c>
      <c r="Q34" s="883">
        <f t="shared" si="27"/>
        <v>18</v>
      </c>
      <c r="R34" s="883">
        <f t="shared" si="27"/>
        <v>24</v>
      </c>
      <c r="S34" s="883">
        <f t="shared" si="27"/>
        <v>26</v>
      </c>
      <c r="T34" s="883">
        <f t="shared" si="27"/>
        <v>23</v>
      </c>
      <c r="U34" s="884">
        <f t="shared" si="27"/>
        <v>23</v>
      </c>
      <c r="V34" s="200"/>
      <c r="W34" s="170"/>
      <c r="X34" s="170"/>
      <c r="Y34" s="170"/>
      <c r="Z34" s="170"/>
      <c r="AA34" s="170"/>
      <c r="AB34" s="170"/>
      <c r="AC34" s="167"/>
      <c r="AD34" s="168"/>
      <c r="AE34" s="173"/>
      <c r="AF34" s="173"/>
      <c r="AG34" s="166"/>
      <c r="AH34" s="166"/>
      <c r="AI34" s="166"/>
      <c r="AJ34" s="166"/>
      <c r="AK34" s="166"/>
    </row>
    <row r="35" spans="1:37" ht="24.95" customHeight="1" x14ac:dyDescent="0.2">
      <c r="A35" s="3158"/>
      <c r="B35" s="3168"/>
      <c r="C35" s="3155" t="s">
        <v>241</v>
      </c>
      <c r="D35" s="3156"/>
      <c r="E35" s="615">
        <f>ROUND(77.67*((E5)^0.0482)*(E50^(-0.598)),0)</f>
        <v>27</v>
      </c>
      <c r="F35" s="616">
        <f t="shared" ref="F35:U35" si="28">ROUND(77.67*((F5)^0.0482)*(F50^(-0.598)),0)</f>
        <v>27</v>
      </c>
      <c r="G35" s="616">
        <f t="shared" si="28"/>
        <v>23</v>
      </c>
      <c r="H35" s="616">
        <f t="shared" si="28"/>
        <v>24</v>
      </c>
      <c r="I35" s="616">
        <f t="shared" si="28"/>
        <v>26</v>
      </c>
      <c r="J35" s="616">
        <f t="shared" si="28"/>
        <v>31</v>
      </c>
      <c r="K35" s="616">
        <f t="shared" si="28"/>
        <v>29</v>
      </c>
      <c r="L35" s="616">
        <f t="shared" si="28"/>
        <v>29</v>
      </c>
      <c r="M35" s="616">
        <f t="shared" si="28"/>
        <v>23</v>
      </c>
      <c r="N35" s="616">
        <f t="shared" si="28"/>
        <v>23</v>
      </c>
      <c r="O35" s="616">
        <f t="shared" si="28"/>
        <v>23</v>
      </c>
      <c r="P35" s="616">
        <f t="shared" si="28"/>
        <v>23</v>
      </c>
      <c r="Q35" s="616">
        <f t="shared" si="28"/>
        <v>23</v>
      </c>
      <c r="R35" s="616">
        <f t="shared" si="28"/>
        <v>25</v>
      </c>
      <c r="S35" s="616">
        <f t="shared" si="28"/>
        <v>29</v>
      </c>
      <c r="T35" s="616">
        <f t="shared" si="28"/>
        <v>24</v>
      </c>
      <c r="U35" s="617">
        <f t="shared" si="28"/>
        <v>24</v>
      </c>
      <c r="V35" s="170"/>
      <c r="W35" s="170"/>
      <c r="X35" s="170"/>
      <c r="Y35" s="170"/>
      <c r="Z35" s="170"/>
      <c r="AA35" s="170"/>
      <c r="AB35" s="170"/>
      <c r="AC35" s="167"/>
      <c r="AD35" s="168"/>
      <c r="AE35" s="173"/>
      <c r="AF35" s="173"/>
      <c r="AG35" s="166"/>
      <c r="AH35" s="166"/>
      <c r="AI35" s="166"/>
      <c r="AJ35" s="166"/>
      <c r="AK35" s="166"/>
    </row>
    <row r="36" spans="1:37" ht="24.95" customHeight="1" x14ac:dyDescent="0.2">
      <c r="A36" s="3158"/>
      <c r="B36" s="3168"/>
      <c r="C36" s="3155" t="s">
        <v>242</v>
      </c>
      <c r="D36" s="3156"/>
      <c r="E36" s="650">
        <f>ROUND(77.67*((E5)^0.0482)*(E33^(-0.598)),0)</f>
        <v>28</v>
      </c>
      <c r="F36" s="651">
        <f t="shared" ref="F36:U36" si="29">ROUND(77.67*((F5)^0.0482)*(F33^(-0.598)),0)</f>
        <v>27</v>
      </c>
      <c r="G36" s="651">
        <f t="shared" si="29"/>
        <v>23</v>
      </c>
      <c r="H36" s="651">
        <f t="shared" si="29"/>
        <v>24</v>
      </c>
      <c r="I36" s="651">
        <f t="shared" si="29"/>
        <v>26</v>
      </c>
      <c r="J36" s="651">
        <f t="shared" si="29"/>
        <v>31</v>
      </c>
      <c r="K36" s="651">
        <f t="shared" si="29"/>
        <v>29</v>
      </c>
      <c r="L36" s="651">
        <f t="shared" si="29"/>
        <v>29</v>
      </c>
      <c r="M36" s="651">
        <f t="shared" si="29"/>
        <v>23</v>
      </c>
      <c r="N36" s="651">
        <f t="shared" si="29"/>
        <v>23</v>
      </c>
      <c r="O36" s="651">
        <f t="shared" si="29"/>
        <v>23</v>
      </c>
      <c r="P36" s="651">
        <f t="shared" si="29"/>
        <v>23</v>
      </c>
      <c r="Q36" s="651">
        <f t="shared" si="29"/>
        <v>23</v>
      </c>
      <c r="R36" s="651">
        <f t="shared" si="29"/>
        <v>25</v>
      </c>
      <c r="S36" s="651">
        <f t="shared" si="29"/>
        <v>29</v>
      </c>
      <c r="T36" s="651">
        <f t="shared" si="29"/>
        <v>24</v>
      </c>
      <c r="U36" s="652">
        <f t="shared" si="29"/>
        <v>24</v>
      </c>
      <c r="V36" s="170"/>
      <c r="W36" s="170"/>
      <c r="X36" s="170"/>
      <c r="Y36" s="170"/>
      <c r="Z36" s="170"/>
      <c r="AA36" s="170"/>
      <c r="AB36" s="170"/>
      <c r="AC36" s="167"/>
      <c r="AD36" s="169"/>
      <c r="AE36" s="173"/>
      <c r="AF36" s="173"/>
      <c r="AG36" s="166"/>
      <c r="AH36" s="166"/>
      <c r="AI36" s="166"/>
      <c r="AJ36" s="166"/>
      <c r="AK36" s="166"/>
    </row>
    <row r="37" spans="1:37" ht="24.95" customHeight="1" x14ac:dyDescent="0.2">
      <c r="A37" s="3158"/>
      <c r="B37" s="3152" t="s">
        <v>243</v>
      </c>
      <c r="C37" s="3155" t="s">
        <v>244</v>
      </c>
      <c r="D37" s="452" t="s">
        <v>225</v>
      </c>
      <c r="E37" s="612" t="s">
        <v>245</v>
      </c>
      <c r="F37" s="613" t="s">
        <v>245</v>
      </c>
      <c r="G37" s="613" t="s">
        <v>245</v>
      </c>
      <c r="H37" s="613" t="s">
        <v>245</v>
      </c>
      <c r="I37" s="613" t="s">
        <v>245</v>
      </c>
      <c r="J37" s="613" t="s">
        <v>245</v>
      </c>
      <c r="K37" s="613" t="s">
        <v>245</v>
      </c>
      <c r="L37" s="613" t="s">
        <v>245</v>
      </c>
      <c r="M37" s="613" t="s">
        <v>245</v>
      </c>
      <c r="N37" s="613" t="s">
        <v>245</v>
      </c>
      <c r="O37" s="613" t="s">
        <v>245</v>
      </c>
      <c r="P37" s="613" t="s">
        <v>245</v>
      </c>
      <c r="Q37" s="613" t="s">
        <v>245</v>
      </c>
      <c r="R37" s="613" t="s">
        <v>245</v>
      </c>
      <c r="S37" s="613" t="s">
        <v>245</v>
      </c>
      <c r="T37" s="613" t="s">
        <v>245</v>
      </c>
      <c r="U37" s="614" t="s">
        <v>245</v>
      </c>
      <c r="V37" s="170"/>
      <c r="W37" s="170"/>
      <c r="X37" s="170"/>
      <c r="Y37" s="170"/>
      <c r="Z37" s="170"/>
      <c r="AA37" s="170"/>
      <c r="AB37" s="170"/>
      <c r="AC37" s="167"/>
      <c r="AD37" s="169"/>
      <c r="AE37" s="173"/>
      <c r="AF37" s="173"/>
      <c r="AG37" s="166"/>
      <c r="AH37" s="166"/>
      <c r="AI37" s="166"/>
      <c r="AJ37" s="166"/>
      <c r="AK37" s="166"/>
    </row>
    <row r="38" spans="1:37" ht="24.95" customHeight="1" x14ac:dyDescent="0.2">
      <c r="A38" s="3158"/>
      <c r="B38" s="3168"/>
      <c r="C38" s="3167"/>
      <c r="D38" s="453" t="s">
        <v>246</v>
      </c>
      <c r="E38" s="612">
        <v>4</v>
      </c>
      <c r="F38" s="613">
        <v>4</v>
      </c>
      <c r="G38" s="613">
        <v>3</v>
      </c>
      <c r="H38" s="613">
        <v>3</v>
      </c>
      <c r="I38" s="613">
        <v>4</v>
      </c>
      <c r="J38" s="613">
        <v>4</v>
      </c>
      <c r="K38" s="613">
        <v>4</v>
      </c>
      <c r="L38" s="613">
        <v>4</v>
      </c>
      <c r="M38" s="613">
        <v>3</v>
      </c>
      <c r="N38" s="613">
        <v>3</v>
      </c>
      <c r="O38" s="613">
        <v>3</v>
      </c>
      <c r="P38" s="613">
        <v>3</v>
      </c>
      <c r="Q38" s="613">
        <v>3</v>
      </c>
      <c r="R38" s="613">
        <v>4</v>
      </c>
      <c r="S38" s="613">
        <v>4</v>
      </c>
      <c r="T38" s="613">
        <v>3</v>
      </c>
      <c r="U38" s="614">
        <v>3</v>
      </c>
      <c r="V38" s="170"/>
      <c r="W38" s="170"/>
      <c r="X38" s="170"/>
      <c r="Y38" s="170"/>
      <c r="Z38" s="170"/>
      <c r="AA38" s="170"/>
      <c r="AB38" s="170"/>
      <c r="AC38" s="167"/>
      <c r="AD38" s="169"/>
      <c r="AE38" s="173"/>
      <c r="AF38" s="173"/>
      <c r="AG38" s="166"/>
      <c r="AH38" s="166"/>
      <c r="AI38" s="166"/>
      <c r="AJ38" s="166"/>
      <c r="AK38" s="166"/>
    </row>
    <row r="39" spans="1:37" ht="24.95" customHeight="1" x14ac:dyDescent="0.2">
      <c r="A39" s="3158"/>
      <c r="B39" s="3168"/>
      <c r="C39" s="3167"/>
      <c r="D39" s="453" t="s">
        <v>247</v>
      </c>
      <c r="E39" s="621">
        <f>IF(E37="CBUQ",2,IF(E37="PMQ",1.7,IF(E37="PMF",1.4,1.2)))</f>
        <v>2</v>
      </c>
      <c r="F39" s="622">
        <f>IF(F37="CBUQ",2,IF(F37="PMQ",1.7,IF(F37="PMF",1.4,1.2)))</f>
        <v>2</v>
      </c>
      <c r="G39" s="622">
        <f t="shared" ref="G39:L39" si="30">IF(G37="CBUQ",2,IF(G37="PMQ",1.7,IF(G37="PMF",1.4,1.2)))</f>
        <v>2</v>
      </c>
      <c r="H39" s="622">
        <f t="shared" si="30"/>
        <v>2</v>
      </c>
      <c r="I39" s="622">
        <f t="shared" si="30"/>
        <v>2</v>
      </c>
      <c r="J39" s="622">
        <f t="shared" ref="J39" si="31">IF(J37="CBUQ",2,IF(J37="PMQ",1.7,IF(J37="PMF",1.4,1.2)))</f>
        <v>2</v>
      </c>
      <c r="K39" s="622">
        <f t="shared" si="30"/>
        <v>2</v>
      </c>
      <c r="L39" s="622">
        <f t="shared" si="30"/>
        <v>2</v>
      </c>
      <c r="M39" s="622">
        <f t="shared" ref="M39:S39" si="32">IF(M37="CBUQ",2,IF(M37="PMQ",1.7,IF(M37="PMF",1.4,1.2)))</f>
        <v>2</v>
      </c>
      <c r="N39" s="622">
        <f t="shared" si="32"/>
        <v>2</v>
      </c>
      <c r="O39" s="622">
        <f t="shared" si="32"/>
        <v>2</v>
      </c>
      <c r="P39" s="622">
        <f t="shared" si="32"/>
        <v>2</v>
      </c>
      <c r="Q39" s="622">
        <f t="shared" si="32"/>
        <v>2</v>
      </c>
      <c r="R39" s="622">
        <f t="shared" si="32"/>
        <v>2</v>
      </c>
      <c r="S39" s="622">
        <f t="shared" si="32"/>
        <v>2</v>
      </c>
      <c r="T39" s="622">
        <f t="shared" ref="T39:U39" si="33">IF(T37="CBUQ",2,IF(T37="PMQ",1.7,IF(T37="PMF",1.4,1.2)))</f>
        <v>2</v>
      </c>
      <c r="U39" s="623">
        <f t="shared" si="33"/>
        <v>2</v>
      </c>
      <c r="V39" s="170"/>
      <c r="W39" s="170"/>
      <c r="X39" s="170"/>
      <c r="Y39" s="170"/>
      <c r="Z39" s="170"/>
      <c r="AA39" s="170"/>
      <c r="AB39" s="170"/>
      <c r="AC39" s="167"/>
      <c r="AD39" s="169"/>
      <c r="AE39" s="173"/>
      <c r="AF39" s="173"/>
      <c r="AG39" s="166"/>
      <c r="AH39" s="166"/>
      <c r="AI39" s="166"/>
      <c r="AJ39" s="166"/>
      <c r="AK39" s="166"/>
    </row>
    <row r="40" spans="1:37" ht="24.95" customHeight="1" x14ac:dyDescent="0.2">
      <c r="A40" s="3158"/>
      <c r="B40" s="3168"/>
      <c r="C40" s="3173" t="s">
        <v>59</v>
      </c>
      <c r="D40" s="452" t="s">
        <v>225</v>
      </c>
      <c r="E40" s="624" t="s">
        <v>248</v>
      </c>
      <c r="F40" s="625" t="s">
        <v>248</v>
      </c>
      <c r="G40" s="625" t="s">
        <v>248</v>
      </c>
      <c r="H40" s="625" t="s">
        <v>248</v>
      </c>
      <c r="I40" s="625" t="s">
        <v>248</v>
      </c>
      <c r="J40" s="625" t="s">
        <v>248</v>
      </c>
      <c r="K40" s="625" t="s">
        <v>248</v>
      </c>
      <c r="L40" s="625" t="s">
        <v>248</v>
      </c>
      <c r="M40" s="625" t="s">
        <v>248</v>
      </c>
      <c r="N40" s="625" t="s">
        <v>248</v>
      </c>
      <c r="O40" s="625" t="s">
        <v>248</v>
      </c>
      <c r="P40" s="625" t="s">
        <v>248</v>
      </c>
      <c r="Q40" s="625" t="s">
        <v>248</v>
      </c>
      <c r="R40" s="625" t="s">
        <v>248</v>
      </c>
      <c r="S40" s="625" t="s">
        <v>248</v>
      </c>
      <c r="T40" s="625" t="s">
        <v>248</v>
      </c>
      <c r="U40" s="626" t="s">
        <v>248</v>
      </c>
      <c r="V40" s="170"/>
      <c r="W40" s="170"/>
      <c r="X40" s="170"/>
      <c r="Y40" s="170"/>
      <c r="Z40" s="170"/>
      <c r="AA40" s="170"/>
      <c r="AB40" s="170"/>
      <c r="AC40" s="167"/>
      <c r="AD40" s="168"/>
      <c r="AE40" s="173"/>
      <c r="AF40" s="173"/>
      <c r="AG40" s="166"/>
      <c r="AH40" s="166"/>
      <c r="AI40" s="166"/>
      <c r="AJ40" s="166"/>
      <c r="AK40" s="166"/>
    </row>
    <row r="41" spans="1:37" ht="24.95" customHeight="1" x14ac:dyDescent="0.2">
      <c r="A41" s="3158"/>
      <c r="B41" s="3168"/>
      <c r="C41" s="3167"/>
      <c r="D41" s="452" t="s">
        <v>249</v>
      </c>
      <c r="E41" s="627" t="str">
        <f>CONCATENATE("≥ ",IF(E5&gt;1000000,80,60))</f>
        <v>≥ 60</v>
      </c>
      <c r="F41" s="628" t="str">
        <f>CONCATENATE("≥ ",IF(F5&gt;1000000,80,60))</f>
        <v>≥ 80</v>
      </c>
      <c r="G41" s="628" t="str">
        <f>CONCATENATE("≥ ",IF(G5&gt;1000000,80,60))</f>
        <v>≥ 60</v>
      </c>
      <c r="H41" s="628" t="str">
        <f t="shared" ref="H41:L41" si="34">CONCATENATE("≥ ",IF(H5&gt;1000000,80,60))</f>
        <v>≥ 60</v>
      </c>
      <c r="I41" s="628" t="str">
        <f t="shared" si="34"/>
        <v>≥ 80</v>
      </c>
      <c r="J41" s="628" t="str">
        <f t="shared" ref="J41" si="35">CONCATENATE("≥ ",IF(J5&gt;1000000,80,60))</f>
        <v>≥ 80</v>
      </c>
      <c r="K41" s="628" t="str">
        <f t="shared" si="34"/>
        <v>≥ 80</v>
      </c>
      <c r="L41" s="628" t="str">
        <f t="shared" si="34"/>
        <v>≥ 80</v>
      </c>
      <c r="M41" s="628" t="str">
        <f>CONCATENATE("≥ ",IF(M5&gt;1000000,80,60))</f>
        <v>≥ 60</v>
      </c>
      <c r="N41" s="628" t="str">
        <f>CONCATENATE("≥ ",IF(N5&gt;1000000,80,60))</f>
        <v>≥ 60</v>
      </c>
      <c r="O41" s="628" t="str">
        <f>CONCATENATE("≥ ",IF(O5&gt;1000000,80,60))</f>
        <v>≥ 60</v>
      </c>
      <c r="P41" s="628" t="str">
        <f>CONCATENATE("≥ ",IF(P5&gt;1000000,80,60))</f>
        <v>≥ 60</v>
      </c>
      <c r="Q41" s="628" t="str">
        <f>CONCATENATE("≥ ",IF(Q5&gt;1000000,80,60))</f>
        <v>≥ 60</v>
      </c>
      <c r="R41" s="628" t="str">
        <f t="shared" ref="R41:U41" si="36">CONCATENATE("≥ ",IF(R5&gt;1000000,80,60))</f>
        <v>≥ 60</v>
      </c>
      <c r="S41" s="628" t="str">
        <f t="shared" si="36"/>
        <v>≥ 80</v>
      </c>
      <c r="T41" s="628" t="str">
        <f t="shared" si="36"/>
        <v>≥ 60</v>
      </c>
      <c r="U41" s="629" t="str">
        <f t="shared" si="36"/>
        <v>≥ 60</v>
      </c>
      <c r="V41" s="170"/>
      <c r="W41" s="170"/>
      <c r="X41" s="170"/>
      <c r="Y41" s="170"/>
      <c r="Z41" s="170"/>
      <c r="AA41" s="170"/>
      <c r="AB41" s="170"/>
      <c r="AC41" s="167"/>
      <c r="AD41" s="168"/>
      <c r="AE41" s="173"/>
      <c r="AF41" s="173"/>
      <c r="AG41" s="166"/>
      <c r="AH41" s="166"/>
      <c r="AI41" s="166"/>
      <c r="AJ41" s="166"/>
      <c r="AK41" s="166"/>
    </row>
    <row r="42" spans="1:37" ht="24.95" customHeight="1" x14ac:dyDescent="0.2">
      <c r="A42" s="3158"/>
      <c r="B42" s="3168"/>
      <c r="C42" s="3167"/>
      <c r="D42" s="453" t="s">
        <v>246</v>
      </c>
      <c r="E42" s="630">
        <v>20</v>
      </c>
      <c r="F42" s="631">
        <v>20</v>
      </c>
      <c r="G42" s="631">
        <v>18</v>
      </c>
      <c r="H42" s="631">
        <v>18</v>
      </c>
      <c r="I42" s="631">
        <v>20</v>
      </c>
      <c r="J42" s="631">
        <v>25</v>
      </c>
      <c r="K42" s="631">
        <v>25</v>
      </c>
      <c r="L42" s="631">
        <v>25</v>
      </c>
      <c r="M42" s="631">
        <v>18</v>
      </c>
      <c r="N42" s="631">
        <v>18</v>
      </c>
      <c r="O42" s="631">
        <v>18</v>
      </c>
      <c r="P42" s="631">
        <v>18</v>
      </c>
      <c r="Q42" s="631">
        <v>18</v>
      </c>
      <c r="R42" s="631">
        <v>20</v>
      </c>
      <c r="S42" s="631">
        <v>25</v>
      </c>
      <c r="T42" s="631">
        <v>20</v>
      </c>
      <c r="U42" s="632">
        <v>20</v>
      </c>
      <c r="V42" s="170"/>
      <c r="W42" s="170"/>
      <c r="X42" s="170"/>
      <c r="Y42" s="170"/>
      <c r="Z42" s="170"/>
      <c r="AA42" s="170"/>
      <c r="AB42" s="170"/>
      <c r="AC42" s="167"/>
      <c r="AD42" s="168"/>
      <c r="AE42" s="173"/>
      <c r="AF42" s="173"/>
      <c r="AG42" s="166"/>
      <c r="AH42" s="166"/>
      <c r="AI42" s="166"/>
      <c r="AJ42" s="166"/>
      <c r="AK42" s="166"/>
    </row>
    <row r="43" spans="1:37" ht="24.95" customHeight="1" x14ac:dyDescent="0.2">
      <c r="A43" s="3158"/>
      <c r="B43" s="3168"/>
      <c r="C43" s="3167"/>
      <c r="D43" s="453" t="s">
        <v>247</v>
      </c>
      <c r="E43" s="627">
        <v>1</v>
      </c>
      <c r="F43" s="628">
        <v>1</v>
      </c>
      <c r="G43" s="628">
        <v>1</v>
      </c>
      <c r="H43" s="628">
        <v>1</v>
      </c>
      <c r="I43" s="628">
        <v>1</v>
      </c>
      <c r="J43" s="628">
        <v>1</v>
      </c>
      <c r="K43" s="628">
        <v>1</v>
      </c>
      <c r="L43" s="628">
        <v>1</v>
      </c>
      <c r="M43" s="628">
        <v>1</v>
      </c>
      <c r="N43" s="628">
        <v>1</v>
      </c>
      <c r="O43" s="628">
        <v>1</v>
      </c>
      <c r="P43" s="628">
        <v>1</v>
      </c>
      <c r="Q43" s="628">
        <v>1</v>
      </c>
      <c r="R43" s="628">
        <v>1</v>
      </c>
      <c r="S43" s="628">
        <v>1</v>
      </c>
      <c r="T43" s="628">
        <v>1</v>
      </c>
      <c r="U43" s="629">
        <v>1</v>
      </c>
      <c r="V43" s="170"/>
      <c r="W43" s="170"/>
      <c r="X43" s="170"/>
      <c r="Y43" s="170"/>
      <c r="Z43" s="170"/>
      <c r="AA43" s="170"/>
      <c r="AB43" s="170"/>
      <c r="AC43" s="167"/>
      <c r="AD43" s="168"/>
      <c r="AE43" s="173"/>
      <c r="AF43" s="173"/>
      <c r="AG43" s="166"/>
      <c r="AH43" s="166"/>
      <c r="AI43" s="166"/>
      <c r="AJ43" s="166"/>
      <c r="AK43" s="166"/>
    </row>
    <row r="44" spans="1:37" ht="24.95" hidden="1" customHeight="1" x14ac:dyDescent="0.2">
      <c r="A44" s="3158"/>
      <c r="B44" s="3168"/>
      <c r="C44" s="3173" t="s">
        <v>250</v>
      </c>
      <c r="D44" s="452" t="s">
        <v>225</v>
      </c>
      <c r="E44" s="624" t="s">
        <v>251</v>
      </c>
      <c r="F44" s="625" t="s">
        <v>251</v>
      </c>
      <c r="G44" s="625" t="s">
        <v>251</v>
      </c>
      <c r="H44" s="625" t="s">
        <v>251</v>
      </c>
      <c r="I44" s="625" t="s">
        <v>251</v>
      </c>
      <c r="J44" s="625" t="s">
        <v>251</v>
      </c>
      <c r="K44" s="625" t="s">
        <v>251</v>
      </c>
      <c r="L44" s="625" t="s">
        <v>251</v>
      </c>
      <c r="M44" s="625" t="s">
        <v>251</v>
      </c>
      <c r="N44" s="625" t="s">
        <v>251</v>
      </c>
      <c r="O44" s="625" t="s">
        <v>251</v>
      </c>
      <c r="P44" s="625" t="s">
        <v>251</v>
      </c>
      <c r="Q44" s="625" t="s">
        <v>251</v>
      </c>
      <c r="R44" s="625" t="s">
        <v>251</v>
      </c>
      <c r="S44" s="625" t="s">
        <v>251</v>
      </c>
      <c r="T44" s="625" t="s">
        <v>251</v>
      </c>
      <c r="U44" s="626" t="s">
        <v>251</v>
      </c>
      <c r="V44" s="170"/>
      <c r="W44" s="170"/>
      <c r="X44" s="170"/>
      <c r="Y44" s="170"/>
      <c r="Z44" s="170"/>
      <c r="AA44" s="170"/>
      <c r="AB44" s="170"/>
      <c r="AC44" s="167"/>
      <c r="AD44" s="168"/>
      <c r="AE44" s="173"/>
      <c r="AF44" s="173"/>
      <c r="AG44" s="166"/>
      <c r="AH44" s="166"/>
      <c r="AI44" s="166"/>
      <c r="AJ44" s="166"/>
      <c r="AK44" s="166"/>
    </row>
    <row r="45" spans="1:37" ht="24.95" hidden="1" customHeight="1" x14ac:dyDescent="0.2">
      <c r="A45" s="3158"/>
      <c r="B45" s="3168"/>
      <c r="C45" s="3167"/>
      <c r="D45" s="3175" t="s">
        <v>249</v>
      </c>
      <c r="E45" s="627" t="s">
        <v>252</v>
      </c>
      <c r="F45" s="628" t="s">
        <v>252</v>
      </c>
      <c r="G45" s="628" t="s">
        <v>252</v>
      </c>
      <c r="H45" s="628" t="s">
        <v>252</v>
      </c>
      <c r="I45" s="628" t="s">
        <v>252</v>
      </c>
      <c r="J45" s="628" t="s">
        <v>252</v>
      </c>
      <c r="K45" s="628" t="s">
        <v>252</v>
      </c>
      <c r="L45" s="628" t="s">
        <v>252</v>
      </c>
      <c r="M45" s="628" t="s">
        <v>252</v>
      </c>
      <c r="N45" s="628" t="s">
        <v>252</v>
      </c>
      <c r="O45" s="628" t="s">
        <v>252</v>
      </c>
      <c r="P45" s="628" t="s">
        <v>252</v>
      </c>
      <c r="Q45" s="628" t="s">
        <v>252</v>
      </c>
      <c r="R45" s="628" t="s">
        <v>252</v>
      </c>
      <c r="S45" s="628" t="s">
        <v>252</v>
      </c>
      <c r="T45" s="628" t="s">
        <v>252</v>
      </c>
      <c r="U45" s="629" t="s">
        <v>252</v>
      </c>
      <c r="V45" s="170"/>
      <c r="W45" s="170"/>
      <c r="X45" s="170"/>
      <c r="Y45" s="170"/>
      <c r="Z45" s="170"/>
      <c r="AA45" s="170"/>
      <c r="AB45" s="170"/>
      <c r="AC45" s="167"/>
      <c r="AD45" s="168"/>
      <c r="AE45" s="173"/>
      <c r="AF45" s="173"/>
      <c r="AG45" s="166"/>
      <c r="AH45" s="166"/>
      <c r="AI45" s="166"/>
      <c r="AJ45" s="166"/>
      <c r="AK45" s="166"/>
    </row>
    <row r="46" spans="1:37" ht="24.95" hidden="1" customHeight="1" x14ac:dyDescent="0.2">
      <c r="A46" s="3158"/>
      <c r="B46" s="3168"/>
      <c r="C46" s="3167"/>
      <c r="D46" s="3156"/>
      <c r="E46" s="624">
        <v>15</v>
      </c>
      <c r="F46" s="625"/>
      <c r="G46" s="625"/>
      <c r="H46" s="625"/>
      <c r="I46" s="625"/>
      <c r="J46" s="625">
        <v>20</v>
      </c>
      <c r="K46" s="625"/>
      <c r="L46" s="625">
        <v>20</v>
      </c>
      <c r="M46" s="625">
        <v>20</v>
      </c>
      <c r="N46" s="625">
        <v>20</v>
      </c>
      <c r="O46" s="625">
        <v>20</v>
      </c>
      <c r="P46" s="625">
        <v>20</v>
      </c>
      <c r="Q46" s="625">
        <v>20</v>
      </c>
      <c r="R46" s="625"/>
      <c r="S46" s="625">
        <v>20</v>
      </c>
      <c r="T46" s="625">
        <v>20</v>
      </c>
      <c r="U46" s="626">
        <v>20</v>
      </c>
      <c r="V46" s="170"/>
      <c r="W46" s="170"/>
      <c r="X46" s="170"/>
      <c r="Y46" s="170"/>
      <c r="Z46" s="170"/>
      <c r="AA46" s="170"/>
      <c r="AB46" s="170"/>
      <c r="AC46" s="167"/>
      <c r="AD46" s="168"/>
      <c r="AE46" s="173"/>
      <c r="AF46" s="173"/>
      <c r="AG46" s="166"/>
      <c r="AH46" s="166"/>
      <c r="AI46" s="166"/>
      <c r="AJ46" s="166"/>
      <c r="AK46" s="166"/>
    </row>
    <row r="47" spans="1:37" ht="24.95" hidden="1" customHeight="1" x14ac:dyDescent="0.2">
      <c r="A47" s="3158"/>
      <c r="B47" s="3168"/>
      <c r="C47" s="3167"/>
      <c r="D47" s="453" t="s">
        <v>246</v>
      </c>
      <c r="E47" s="630">
        <v>15</v>
      </c>
      <c r="F47" s="631"/>
      <c r="G47" s="631"/>
      <c r="H47" s="631"/>
      <c r="I47" s="631"/>
      <c r="J47" s="631"/>
      <c r="K47" s="631"/>
      <c r="L47" s="631"/>
      <c r="M47" s="631"/>
      <c r="N47" s="631"/>
      <c r="O47" s="631"/>
      <c r="P47" s="631"/>
      <c r="Q47" s="631"/>
      <c r="R47" s="631"/>
      <c r="S47" s="631"/>
      <c r="T47" s="631"/>
      <c r="U47" s="632"/>
      <c r="V47" s="170"/>
      <c r="W47" s="170"/>
      <c r="X47" s="170"/>
      <c r="Y47" s="170"/>
      <c r="Z47" s="170"/>
      <c r="AA47" s="170"/>
      <c r="AB47" s="170"/>
      <c r="AC47" s="167"/>
      <c r="AD47" s="168"/>
      <c r="AE47" s="173"/>
      <c r="AF47" s="173"/>
      <c r="AG47" s="166"/>
      <c r="AH47" s="166"/>
      <c r="AI47" s="166"/>
      <c r="AJ47" s="166"/>
      <c r="AK47" s="166"/>
    </row>
    <row r="48" spans="1:37" ht="24.95" hidden="1" customHeight="1" x14ac:dyDescent="0.2">
      <c r="A48" s="3158"/>
      <c r="B48" s="3168"/>
      <c r="C48" s="3167"/>
      <c r="D48" s="453" t="s">
        <v>247</v>
      </c>
      <c r="E48" s="627">
        <v>1</v>
      </c>
      <c r="F48" s="628">
        <v>1</v>
      </c>
      <c r="G48" s="628">
        <v>1</v>
      </c>
      <c r="H48" s="628">
        <v>1</v>
      </c>
      <c r="I48" s="628">
        <v>1</v>
      </c>
      <c r="J48" s="628">
        <v>1</v>
      </c>
      <c r="K48" s="628">
        <v>1</v>
      </c>
      <c r="L48" s="628">
        <v>1</v>
      </c>
      <c r="M48" s="628">
        <v>1</v>
      </c>
      <c r="N48" s="628">
        <v>1</v>
      </c>
      <c r="O48" s="628">
        <v>1</v>
      </c>
      <c r="P48" s="628">
        <v>1</v>
      </c>
      <c r="Q48" s="628">
        <v>1</v>
      </c>
      <c r="R48" s="628">
        <v>1</v>
      </c>
      <c r="S48" s="628">
        <v>1</v>
      </c>
      <c r="T48" s="628">
        <v>1</v>
      </c>
      <c r="U48" s="629">
        <v>1</v>
      </c>
      <c r="V48" s="170"/>
      <c r="W48" s="170"/>
      <c r="X48" s="170"/>
      <c r="Y48" s="170"/>
      <c r="Z48" s="170"/>
      <c r="AA48" s="170"/>
      <c r="AB48" s="170"/>
      <c r="AC48" s="167"/>
      <c r="AD48" s="167"/>
      <c r="AE48" s="173"/>
      <c r="AF48" s="173"/>
      <c r="AG48" s="166"/>
      <c r="AH48" s="166"/>
      <c r="AI48" s="166"/>
      <c r="AJ48" s="166"/>
      <c r="AK48" s="166"/>
    </row>
    <row r="49" spans="1:37" ht="24.95" hidden="1" customHeight="1" x14ac:dyDescent="0.2">
      <c r="A49" s="3158"/>
      <c r="B49" s="3168"/>
      <c r="C49" s="3173" t="s">
        <v>253</v>
      </c>
      <c r="D49" s="3175" t="s">
        <v>249</v>
      </c>
      <c r="E49" s="627" t="str">
        <f>CONCATENATE("≥ ",INT(E30))</f>
        <v>≥ 18</v>
      </c>
      <c r="F49" s="628" t="str">
        <f>CONCATENATE("≥ ",INT(F30))</f>
        <v>≥ 19</v>
      </c>
      <c r="G49" s="628" t="str">
        <f t="shared" ref="G49:L49" si="37">CONCATENATE("≥ ",INT(G30))</f>
        <v>≥ 23</v>
      </c>
      <c r="H49" s="628" t="str">
        <f t="shared" si="37"/>
        <v>≥ 23</v>
      </c>
      <c r="I49" s="628" t="str">
        <f t="shared" si="37"/>
        <v>≥ 22</v>
      </c>
      <c r="J49" s="628" t="str">
        <f t="shared" si="37"/>
        <v>≥ 14</v>
      </c>
      <c r="K49" s="628" t="str">
        <f t="shared" si="37"/>
        <v>≥ 16</v>
      </c>
      <c r="L49" s="628" t="str">
        <f t="shared" si="37"/>
        <v>≥ 16</v>
      </c>
      <c r="M49" s="628" t="str">
        <f t="shared" ref="M49" si="38">CONCATENATE("≥ ",INT(M30))</f>
        <v>≥ 13</v>
      </c>
      <c r="N49" s="628" t="str">
        <f t="shared" ref="N49:O49" si="39">CONCATENATE("≥ ",INT(N30))</f>
        <v>≥ 13</v>
      </c>
      <c r="O49" s="628" t="str">
        <f t="shared" si="39"/>
        <v>≥ 13</v>
      </c>
      <c r="P49" s="628" t="str">
        <f t="shared" ref="P49:S49" si="40">CONCATENATE("≥ ",INT(P30))</f>
        <v>≥ 13</v>
      </c>
      <c r="Q49" s="628" t="str">
        <f t="shared" si="40"/>
        <v>≥ 13</v>
      </c>
      <c r="R49" s="628" t="str">
        <f t="shared" si="40"/>
        <v>≥ 19</v>
      </c>
      <c r="S49" s="628" t="str">
        <f t="shared" si="40"/>
        <v>≥ 16</v>
      </c>
      <c r="T49" s="628" t="str">
        <f t="shared" ref="T49:U49" si="41">CONCATENATE("≥ ",INT(T30))</f>
        <v>≥ 18</v>
      </c>
      <c r="U49" s="629" t="str">
        <f t="shared" si="41"/>
        <v>≥ 17</v>
      </c>
      <c r="V49" s="170"/>
      <c r="W49" s="170"/>
      <c r="X49" s="170"/>
      <c r="Y49" s="170"/>
      <c r="Z49" s="170"/>
      <c r="AA49" s="170"/>
      <c r="AB49" s="170"/>
      <c r="AC49" s="167"/>
      <c r="AD49" s="168"/>
      <c r="AE49" s="173"/>
      <c r="AF49" s="173"/>
      <c r="AG49" s="166"/>
      <c r="AH49" s="166"/>
      <c r="AI49" s="166"/>
      <c r="AJ49" s="166"/>
      <c r="AK49" s="166"/>
    </row>
    <row r="50" spans="1:37" ht="24.95" hidden="1" customHeight="1" x14ac:dyDescent="0.2">
      <c r="A50" s="3158"/>
      <c r="B50" s="3168"/>
      <c r="C50" s="3167"/>
      <c r="D50" s="3156"/>
      <c r="E50" s="624">
        <v>15</v>
      </c>
      <c r="F50" s="625">
        <f t="shared" ref="F50:U50" si="42">F33</f>
        <v>19.144444444444442</v>
      </c>
      <c r="G50" s="625">
        <f t="shared" si="42"/>
        <v>20</v>
      </c>
      <c r="H50" s="625">
        <f t="shared" si="42"/>
        <v>20</v>
      </c>
      <c r="I50" s="625">
        <f t="shared" si="42"/>
        <v>20</v>
      </c>
      <c r="J50" s="625">
        <f t="shared" si="42"/>
        <v>14.900000000000002</v>
      </c>
      <c r="K50" s="625">
        <f t="shared" si="42"/>
        <v>16.3</v>
      </c>
      <c r="L50" s="625">
        <f t="shared" si="42"/>
        <v>16.950000000000003</v>
      </c>
      <c r="M50" s="625">
        <f t="shared" si="42"/>
        <v>13.3</v>
      </c>
      <c r="N50" s="625">
        <f t="shared" si="42"/>
        <v>13.3</v>
      </c>
      <c r="O50" s="625">
        <f t="shared" si="42"/>
        <v>13.3</v>
      </c>
      <c r="P50" s="625">
        <f t="shared" si="42"/>
        <v>13.3</v>
      </c>
      <c r="Q50" s="625">
        <f t="shared" si="42"/>
        <v>13.3</v>
      </c>
      <c r="R50" s="625">
        <f t="shared" si="42"/>
        <v>19</v>
      </c>
      <c r="S50" s="625">
        <f t="shared" si="42"/>
        <v>16.850000000000001</v>
      </c>
      <c r="T50" s="625">
        <f t="shared" si="42"/>
        <v>18.399999999999999</v>
      </c>
      <c r="U50" s="626">
        <f t="shared" si="42"/>
        <v>17.5</v>
      </c>
      <c r="V50" s="170"/>
      <c r="W50" s="170"/>
      <c r="X50" s="170"/>
      <c r="Y50" s="170"/>
      <c r="Z50" s="170"/>
      <c r="AA50" s="170"/>
      <c r="AB50" s="170"/>
      <c r="AC50" s="167"/>
      <c r="AD50" s="168"/>
      <c r="AE50" s="173"/>
      <c r="AF50" s="173"/>
      <c r="AG50" s="166"/>
      <c r="AH50" s="166"/>
      <c r="AI50" s="166"/>
      <c r="AJ50" s="166"/>
      <c r="AK50" s="166"/>
    </row>
    <row r="51" spans="1:37" ht="24.95" hidden="1" customHeight="1" x14ac:dyDescent="0.2">
      <c r="A51" s="3158"/>
      <c r="B51" s="3169"/>
      <c r="C51" s="3174"/>
      <c r="D51" s="453" t="s">
        <v>90</v>
      </c>
      <c r="E51" s="624"/>
      <c r="F51" s="625"/>
      <c r="G51" s="625"/>
      <c r="H51" s="625"/>
      <c r="I51" s="625"/>
      <c r="J51" s="625"/>
      <c r="K51" s="625"/>
      <c r="L51" s="625"/>
      <c r="M51" s="625" t="s">
        <v>2097</v>
      </c>
      <c r="N51" s="625" t="s">
        <v>2097</v>
      </c>
      <c r="O51" s="625" t="s">
        <v>2097</v>
      </c>
      <c r="P51" s="625" t="s">
        <v>2097</v>
      </c>
      <c r="Q51" s="625" t="s">
        <v>2097</v>
      </c>
      <c r="R51" s="625"/>
      <c r="S51" s="625"/>
      <c r="T51" s="625" t="s">
        <v>2097</v>
      </c>
      <c r="U51" s="626" t="s">
        <v>2097</v>
      </c>
      <c r="V51" s="170"/>
      <c r="W51" s="170"/>
      <c r="X51" s="170"/>
      <c r="Y51" s="170"/>
      <c r="Z51" s="170"/>
      <c r="AA51" s="170"/>
      <c r="AB51" s="170"/>
      <c r="AC51" s="167"/>
      <c r="AD51" s="168"/>
      <c r="AE51" s="173"/>
      <c r="AF51" s="173"/>
      <c r="AG51" s="166"/>
      <c r="AH51" s="166"/>
      <c r="AI51" s="166"/>
      <c r="AJ51" s="166"/>
      <c r="AK51" s="166"/>
    </row>
    <row r="52" spans="1:37" ht="24.95" hidden="1" customHeight="1" x14ac:dyDescent="0.2">
      <c r="A52" s="3158"/>
      <c r="B52" s="3168"/>
      <c r="C52" s="3167"/>
      <c r="D52" s="453" t="s">
        <v>246</v>
      </c>
      <c r="E52" s="630"/>
      <c r="F52" s="631"/>
      <c r="G52" s="631"/>
      <c r="H52" s="631"/>
      <c r="I52" s="631"/>
      <c r="J52" s="631"/>
      <c r="K52" s="631"/>
      <c r="L52" s="631"/>
      <c r="M52" s="631"/>
      <c r="N52" s="631"/>
      <c r="O52" s="631"/>
      <c r="P52" s="631"/>
      <c r="Q52" s="631"/>
      <c r="R52" s="631"/>
      <c r="S52" s="631"/>
      <c r="T52" s="631"/>
      <c r="U52" s="632"/>
      <c r="V52" s="170"/>
      <c r="W52" s="170"/>
      <c r="X52" s="170"/>
      <c r="Y52" s="170"/>
      <c r="Z52" s="170"/>
      <c r="AA52" s="170"/>
      <c r="AB52" s="170"/>
      <c r="AC52" s="167"/>
      <c r="AD52" s="168"/>
      <c r="AE52" s="173"/>
      <c r="AF52" s="173"/>
      <c r="AG52" s="166"/>
      <c r="AH52" s="166"/>
      <c r="AI52" s="166"/>
      <c r="AJ52" s="166"/>
      <c r="AK52" s="166"/>
    </row>
    <row r="53" spans="1:37" ht="24.95" hidden="1" customHeight="1" x14ac:dyDescent="0.2">
      <c r="A53" s="3158"/>
      <c r="B53" s="3168"/>
      <c r="C53" s="3167"/>
      <c r="D53" s="453" t="s">
        <v>247</v>
      </c>
      <c r="E53" s="627">
        <v>1</v>
      </c>
      <c r="F53" s="628">
        <v>1</v>
      </c>
      <c r="G53" s="628">
        <v>1</v>
      </c>
      <c r="H53" s="628">
        <v>1</v>
      </c>
      <c r="I53" s="628">
        <v>1</v>
      </c>
      <c r="J53" s="628">
        <v>1</v>
      </c>
      <c r="K53" s="628">
        <v>1</v>
      </c>
      <c r="L53" s="628">
        <v>1</v>
      </c>
      <c r="M53" s="628">
        <v>1</v>
      </c>
      <c r="N53" s="628">
        <v>1</v>
      </c>
      <c r="O53" s="628">
        <v>1</v>
      </c>
      <c r="P53" s="628">
        <v>1</v>
      </c>
      <c r="Q53" s="628">
        <v>1</v>
      </c>
      <c r="R53" s="628">
        <v>1</v>
      </c>
      <c r="S53" s="628">
        <v>1</v>
      </c>
      <c r="T53" s="628">
        <v>1</v>
      </c>
      <c r="U53" s="629">
        <v>1</v>
      </c>
      <c r="V53" s="170"/>
      <c r="W53" s="170"/>
      <c r="X53" s="170"/>
      <c r="Y53" s="170"/>
      <c r="Z53" s="170"/>
      <c r="AA53" s="170"/>
      <c r="AB53" s="170"/>
      <c r="AC53" s="167"/>
      <c r="AD53" s="167"/>
      <c r="AE53" s="173"/>
      <c r="AF53" s="173"/>
      <c r="AG53" s="166"/>
      <c r="AH53" s="166"/>
      <c r="AI53" s="166"/>
      <c r="AJ53" s="166"/>
      <c r="AK53" s="166"/>
    </row>
    <row r="54" spans="1:37" ht="24.95" customHeight="1" x14ac:dyDescent="0.2">
      <c r="A54" s="3158"/>
      <c r="B54" s="3168"/>
      <c r="C54" s="3173" t="s">
        <v>254</v>
      </c>
      <c r="D54" s="452" t="s">
        <v>249</v>
      </c>
      <c r="E54" s="627">
        <f>E32</f>
        <v>14.334022871598753</v>
      </c>
      <c r="F54" s="628">
        <f>F32</f>
        <v>19.144444444444442</v>
      </c>
      <c r="G54" s="628">
        <f t="shared" ref="G54:L54" si="43">G32</f>
        <v>23.3</v>
      </c>
      <c r="H54" s="628">
        <f t="shared" si="43"/>
        <v>23.3</v>
      </c>
      <c r="I54" s="628">
        <f t="shared" si="43"/>
        <v>22.080000000000002</v>
      </c>
      <c r="J54" s="628">
        <f t="shared" si="43"/>
        <v>14.900000000000002</v>
      </c>
      <c r="K54" s="628">
        <f t="shared" si="43"/>
        <v>16.3</v>
      </c>
      <c r="L54" s="628">
        <f t="shared" si="43"/>
        <v>16.950000000000003</v>
      </c>
      <c r="M54" s="628">
        <f t="shared" ref="M54:S54" si="44">M32</f>
        <v>13.3</v>
      </c>
      <c r="N54" s="628">
        <f t="shared" si="44"/>
        <v>13.3</v>
      </c>
      <c r="O54" s="628">
        <f t="shared" si="44"/>
        <v>13.3</v>
      </c>
      <c r="P54" s="628">
        <f t="shared" si="44"/>
        <v>13.3</v>
      </c>
      <c r="Q54" s="628">
        <f t="shared" si="44"/>
        <v>13.3</v>
      </c>
      <c r="R54" s="628">
        <f t="shared" si="44"/>
        <v>19</v>
      </c>
      <c r="S54" s="628">
        <f t="shared" si="44"/>
        <v>16.850000000000001</v>
      </c>
      <c r="T54" s="628">
        <f t="shared" ref="T54:U54" si="45">T32</f>
        <v>18.399999999999999</v>
      </c>
      <c r="U54" s="629">
        <f t="shared" si="45"/>
        <v>17.5</v>
      </c>
      <c r="V54" s="170"/>
      <c r="W54" s="170"/>
      <c r="X54" s="170"/>
      <c r="Y54" s="170"/>
      <c r="Z54" s="170"/>
      <c r="AA54" s="170"/>
      <c r="AB54" s="170"/>
      <c r="AC54" s="167"/>
      <c r="AD54" s="167"/>
      <c r="AE54" s="173"/>
      <c r="AF54" s="173"/>
      <c r="AG54" s="166"/>
      <c r="AH54" s="166"/>
      <c r="AI54" s="166"/>
      <c r="AJ54" s="166"/>
      <c r="AK54" s="166"/>
    </row>
    <row r="55" spans="1:37" ht="24.95" customHeight="1" x14ac:dyDescent="0.2">
      <c r="A55" s="3158"/>
      <c r="B55" s="3168"/>
      <c r="C55" s="3167"/>
      <c r="D55" s="453" t="s">
        <v>246</v>
      </c>
      <c r="E55" s="630"/>
      <c r="F55" s="631">
        <v>20</v>
      </c>
      <c r="G55" s="631">
        <v>20</v>
      </c>
      <c r="H55" s="631">
        <v>20</v>
      </c>
      <c r="I55" s="631">
        <v>20</v>
      </c>
      <c r="J55" s="631">
        <v>20</v>
      </c>
      <c r="K55" s="631">
        <v>20</v>
      </c>
      <c r="L55" s="631">
        <v>20</v>
      </c>
      <c r="M55" s="631">
        <v>20</v>
      </c>
      <c r="N55" s="631">
        <v>20</v>
      </c>
      <c r="O55" s="631">
        <v>20</v>
      </c>
      <c r="P55" s="631">
        <v>20</v>
      </c>
      <c r="Q55" s="631">
        <v>20</v>
      </c>
      <c r="R55" s="631">
        <v>20</v>
      </c>
      <c r="S55" s="631">
        <v>20</v>
      </c>
      <c r="T55" s="631">
        <v>20</v>
      </c>
      <c r="U55" s="632">
        <v>20</v>
      </c>
      <c r="V55" s="170"/>
      <c r="W55" s="170"/>
      <c r="X55" s="170"/>
      <c r="Y55" s="170"/>
      <c r="Z55" s="170"/>
      <c r="AA55" s="170"/>
      <c r="AB55" s="170"/>
      <c r="AC55" s="167"/>
      <c r="AD55" s="167"/>
      <c r="AE55" s="173"/>
      <c r="AF55" s="173"/>
      <c r="AG55" s="166"/>
      <c r="AH55" s="166"/>
      <c r="AI55" s="166"/>
      <c r="AJ55" s="166"/>
      <c r="AK55" s="166"/>
    </row>
    <row r="56" spans="1:37" ht="24.95" customHeight="1" x14ac:dyDescent="0.2">
      <c r="A56" s="3158"/>
      <c r="B56" s="3168"/>
      <c r="C56" s="3167"/>
      <c r="D56" s="453" t="s">
        <v>247</v>
      </c>
      <c r="E56" s="647">
        <v>0.77</v>
      </c>
      <c r="F56" s="648">
        <v>0.77</v>
      </c>
      <c r="G56" s="648">
        <v>0.77</v>
      </c>
      <c r="H56" s="648">
        <v>0.77</v>
      </c>
      <c r="I56" s="648">
        <v>0.77</v>
      </c>
      <c r="J56" s="648">
        <v>0.77</v>
      </c>
      <c r="K56" s="648">
        <v>0.77</v>
      </c>
      <c r="L56" s="648">
        <v>0.77</v>
      </c>
      <c r="M56" s="648">
        <v>0.77</v>
      </c>
      <c r="N56" s="648">
        <v>0.77</v>
      </c>
      <c r="O56" s="648">
        <v>0.77</v>
      </c>
      <c r="P56" s="648">
        <v>0.77</v>
      </c>
      <c r="Q56" s="648">
        <v>0.77</v>
      </c>
      <c r="R56" s="648">
        <v>0.77</v>
      </c>
      <c r="S56" s="648">
        <v>0.77</v>
      </c>
      <c r="T56" s="648">
        <v>0.77</v>
      </c>
      <c r="U56" s="649">
        <v>0.77</v>
      </c>
      <c r="V56" s="170"/>
      <c r="W56" s="170"/>
      <c r="X56" s="170"/>
      <c r="Y56" s="170"/>
      <c r="Z56" s="170"/>
      <c r="AA56" s="170"/>
      <c r="AB56" s="170"/>
      <c r="AC56" s="167"/>
      <c r="AD56" s="167"/>
      <c r="AE56" s="173"/>
      <c r="AF56" s="173"/>
      <c r="AG56" s="166"/>
      <c r="AH56" s="166"/>
      <c r="AI56" s="166"/>
      <c r="AJ56" s="166"/>
      <c r="AK56" s="166"/>
    </row>
    <row r="57" spans="1:37" ht="24.95" customHeight="1" x14ac:dyDescent="0.2">
      <c r="A57" s="3158"/>
      <c r="B57" s="3152" t="s">
        <v>255</v>
      </c>
      <c r="C57" s="3182" t="s">
        <v>256</v>
      </c>
      <c r="D57" s="454" t="s">
        <v>257</v>
      </c>
      <c r="E57" s="656">
        <f>E38*E39+E42*E43</f>
        <v>28</v>
      </c>
      <c r="F57" s="657">
        <f>F38*F39+F42*F43</f>
        <v>28</v>
      </c>
      <c r="G57" s="657">
        <f t="shared" ref="G57:L57" si="46">G38*G39+G42*G43</f>
        <v>24</v>
      </c>
      <c r="H57" s="657">
        <f t="shared" si="46"/>
        <v>24</v>
      </c>
      <c r="I57" s="657">
        <f t="shared" si="46"/>
        <v>28</v>
      </c>
      <c r="J57" s="657">
        <f t="shared" si="46"/>
        <v>33</v>
      </c>
      <c r="K57" s="657">
        <f t="shared" si="46"/>
        <v>33</v>
      </c>
      <c r="L57" s="657">
        <f t="shared" si="46"/>
        <v>33</v>
      </c>
      <c r="M57" s="657">
        <f t="shared" ref="M57:T57" si="47">M38*M39+M42*M43</f>
        <v>24</v>
      </c>
      <c r="N57" s="657">
        <f t="shared" si="47"/>
        <v>24</v>
      </c>
      <c r="O57" s="657">
        <f t="shared" si="47"/>
        <v>24</v>
      </c>
      <c r="P57" s="657">
        <f t="shared" si="47"/>
        <v>24</v>
      </c>
      <c r="Q57" s="657">
        <f t="shared" si="47"/>
        <v>24</v>
      </c>
      <c r="R57" s="657">
        <f t="shared" si="47"/>
        <v>28</v>
      </c>
      <c r="S57" s="657">
        <f t="shared" si="47"/>
        <v>33</v>
      </c>
      <c r="T57" s="657">
        <f t="shared" si="47"/>
        <v>26</v>
      </c>
      <c r="U57" s="659">
        <f>U38*U39+U42*U43</f>
        <v>26</v>
      </c>
      <c r="V57" s="170"/>
      <c r="W57" s="660" t="s">
        <v>720</v>
      </c>
      <c r="X57" s="170"/>
      <c r="Y57" s="170"/>
      <c r="Z57" s="170"/>
      <c r="AA57" s="170"/>
      <c r="AB57" s="170"/>
      <c r="AC57" s="167"/>
      <c r="AD57" s="168"/>
      <c r="AE57" s="173"/>
      <c r="AF57" s="173"/>
      <c r="AG57" s="166"/>
      <c r="AH57" s="166"/>
      <c r="AI57" s="166"/>
      <c r="AJ57" s="166"/>
      <c r="AK57" s="166"/>
    </row>
    <row r="58" spans="1:37" ht="24.95" customHeight="1" x14ac:dyDescent="0.2">
      <c r="A58" s="3158"/>
      <c r="B58" s="3168"/>
      <c r="C58" s="3188"/>
      <c r="D58" s="454" t="s">
        <v>258</v>
      </c>
      <c r="E58" s="618" t="str">
        <f>IF(E57&gt;=E34,"SIM","NÃO")</f>
        <v>SIM</v>
      </c>
      <c r="F58" s="619" t="str">
        <f>IF(F57&gt;=F34,"SIM","NÃO")</f>
        <v>SIM</v>
      </c>
      <c r="G58" s="619" t="str">
        <f t="shared" ref="G58:T58" si="48">IF(G57&gt;=G34,"SIM","NÃO")</f>
        <v>SIM</v>
      </c>
      <c r="H58" s="619" t="str">
        <f t="shared" si="48"/>
        <v>SIM</v>
      </c>
      <c r="I58" s="619" t="str">
        <f t="shared" si="48"/>
        <v>SIM</v>
      </c>
      <c r="J58" s="619" t="str">
        <f t="shared" si="48"/>
        <v>SIM</v>
      </c>
      <c r="K58" s="619" t="str">
        <f t="shared" si="48"/>
        <v>SIM</v>
      </c>
      <c r="L58" s="619" t="str">
        <f t="shared" si="48"/>
        <v>SIM</v>
      </c>
      <c r="M58" s="619" t="str">
        <f t="shared" si="48"/>
        <v>SIM</v>
      </c>
      <c r="N58" s="619" t="str">
        <f t="shared" si="48"/>
        <v>SIM</v>
      </c>
      <c r="O58" s="619" t="str">
        <f t="shared" si="48"/>
        <v>SIM</v>
      </c>
      <c r="P58" s="619" t="str">
        <f t="shared" si="48"/>
        <v>SIM</v>
      </c>
      <c r="Q58" s="619" t="str">
        <f t="shared" si="48"/>
        <v>SIM</v>
      </c>
      <c r="R58" s="619" t="str">
        <f t="shared" si="48"/>
        <v>SIM</v>
      </c>
      <c r="S58" s="619" t="str">
        <f t="shared" si="48"/>
        <v>SIM</v>
      </c>
      <c r="T58" s="619" t="str">
        <f t="shared" si="48"/>
        <v>SIM</v>
      </c>
      <c r="U58" s="620" t="str">
        <f>IF(U57&gt;=U34,"SIM","NÃO")</f>
        <v>SIM</v>
      </c>
      <c r="V58" s="201"/>
      <c r="W58" s="170"/>
      <c r="X58" s="170"/>
      <c r="Y58" s="170"/>
      <c r="Z58" s="170"/>
      <c r="AA58" s="170"/>
      <c r="AB58" s="170"/>
      <c r="AC58" s="167"/>
      <c r="AD58" s="167"/>
      <c r="AE58" s="173"/>
      <c r="AF58" s="173"/>
      <c r="AG58" s="166"/>
      <c r="AH58" s="166"/>
      <c r="AI58" s="166"/>
      <c r="AJ58" s="166"/>
      <c r="AK58" s="166"/>
    </row>
    <row r="59" spans="1:37" ht="24.95" customHeight="1" x14ac:dyDescent="0.2">
      <c r="A59" s="3158"/>
      <c r="B59" s="3168"/>
      <c r="C59" s="3182" t="s">
        <v>259</v>
      </c>
      <c r="D59" s="454" t="s">
        <v>260</v>
      </c>
      <c r="E59" s="618">
        <f>E57+E47*E48</f>
        <v>43</v>
      </c>
      <c r="F59" s="619">
        <f>F57+F47*F48</f>
        <v>28</v>
      </c>
      <c r="G59" s="619">
        <f t="shared" ref="G59:L59" si="49">G57+G47*G48</f>
        <v>24</v>
      </c>
      <c r="H59" s="619">
        <f t="shared" si="49"/>
        <v>24</v>
      </c>
      <c r="I59" s="619">
        <f t="shared" si="49"/>
        <v>28</v>
      </c>
      <c r="J59" s="619">
        <f t="shared" si="49"/>
        <v>33</v>
      </c>
      <c r="K59" s="619">
        <f t="shared" si="49"/>
        <v>33</v>
      </c>
      <c r="L59" s="619">
        <f t="shared" si="49"/>
        <v>33</v>
      </c>
      <c r="M59" s="619">
        <f t="shared" ref="M59:T59" si="50">M57+M47*M48</f>
        <v>24</v>
      </c>
      <c r="N59" s="619">
        <f t="shared" si="50"/>
        <v>24</v>
      </c>
      <c r="O59" s="619">
        <f t="shared" si="50"/>
        <v>24</v>
      </c>
      <c r="P59" s="619">
        <f t="shared" si="50"/>
        <v>24</v>
      </c>
      <c r="Q59" s="619">
        <f t="shared" si="50"/>
        <v>24</v>
      </c>
      <c r="R59" s="619">
        <f t="shared" si="50"/>
        <v>28</v>
      </c>
      <c r="S59" s="619">
        <f t="shared" si="50"/>
        <v>33</v>
      </c>
      <c r="T59" s="619">
        <f t="shared" si="50"/>
        <v>26</v>
      </c>
      <c r="U59" s="620">
        <f>U57+U47*U48</f>
        <v>26</v>
      </c>
      <c r="V59" s="201"/>
      <c r="W59" s="170"/>
      <c r="X59" s="170"/>
      <c r="Y59" s="170"/>
      <c r="Z59" s="170"/>
      <c r="AA59" s="170"/>
      <c r="AB59" s="170"/>
      <c r="AC59" s="167"/>
      <c r="AD59" s="167"/>
      <c r="AE59" s="173"/>
      <c r="AF59" s="173"/>
      <c r="AG59" s="166"/>
      <c r="AH59" s="166"/>
      <c r="AI59" s="166"/>
      <c r="AJ59" s="166"/>
      <c r="AK59" s="166"/>
    </row>
    <row r="60" spans="1:37" ht="24.95" customHeight="1" thickBot="1" x14ac:dyDescent="0.25">
      <c r="A60" s="3158"/>
      <c r="B60" s="3168"/>
      <c r="C60" s="3188"/>
      <c r="D60" s="454" t="s">
        <v>258</v>
      </c>
      <c r="E60" s="618" t="str">
        <f>IF(E58="NÃO","NÃO",IF(E59&gt;=E35,"SIM","NÃO"))</f>
        <v>SIM</v>
      </c>
      <c r="F60" s="619" t="str">
        <f>IF(F58="NÃO","NÃO",IF(F59&gt;=F35,"SIM","NÃO"))</f>
        <v>SIM</v>
      </c>
      <c r="G60" s="619" t="str">
        <f t="shared" ref="G60:T60" si="51">IF(G58="NÃO","NÃO",IF(G59&gt;=G35,"SIM","NÃO"))</f>
        <v>SIM</v>
      </c>
      <c r="H60" s="619" t="str">
        <f t="shared" si="51"/>
        <v>SIM</v>
      </c>
      <c r="I60" s="619" t="str">
        <f t="shared" si="51"/>
        <v>SIM</v>
      </c>
      <c r="J60" s="619" t="str">
        <f t="shared" si="51"/>
        <v>SIM</v>
      </c>
      <c r="K60" s="619" t="str">
        <f t="shared" si="51"/>
        <v>SIM</v>
      </c>
      <c r="L60" s="619" t="str">
        <f t="shared" si="51"/>
        <v>SIM</v>
      </c>
      <c r="M60" s="619" t="str">
        <f t="shared" si="51"/>
        <v>SIM</v>
      </c>
      <c r="N60" s="619" t="str">
        <f t="shared" si="51"/>
        <v>SIM</v>
      </c>
      <c r="O60" s="619" t="str">
        <f t="shared" si="51"/>
        <v>SIM</v>
      </c>
      <c r="P60" s="619" t="str">
        <f t="shared" si="51"/>
        <v>SIM</v>
      </c>
      <c r="Q60" s="619" t="str">
        <f t="shared" si="51"/>
        <v>SIM</v>
      </c>
      <c r="R60" s="619" t="str">
        <f t="shared" si="51"/>
        <v>SIM</v>
      </c>
      <c r="S60" s="619" t="str">
        <f t="shared" si="51"/>
        <v>SIM</v>
      </c>
      <c r="T60" s="619" t="str">
        <f t="shared" si="51"/>
        <v>SIM</v>
      </c>
      <c r="U60" s="620" t="str">
        <f>IF(U58="NÃO","NÃO",IF(U59&gt;=U35,"SIM","NÃO"))</f>
        <v>SIM</v>
      </c>
      <c r="V60" s="201"/>
      <c r="W60" s="167"/>
      <c r="X60" s="167"/>
      <c r="Y60" s="167"/>
      <c r="Z60" s="167"/>
      <c r="AA60" s="167"/>
      <c r="AB60" s="167"/>
      <c r="AC60" s="167"/>
      <c r="AD60" s="167"/>
      <c r="AE60" s="173"/>
      <c r="AF60" s="173"/>
      <c r="AG60" s="166"/>
      <c r="AH60" s="166"/>
      <c r="AI60" s="166"/>
      <c r="AJ60" s="166"/>
      <c r="AK60" s="166"/>
    </row>
    <row r="61" spans="1:37" ht="24.95" customHeight="1" x14ac:dyDescent="0.2">
      <c r="A61" s="3158"/>
      <c r="B61" s="3168"/>
      <c r="C61" s="3182" t="s">
        <v>261</v>
      </c>
      <c r="D61" s="454" t="s">
        <v>260</v>
      </c>
      <c r="E61" s="636">
        <f>E59+E52*E53</f>
        <v>43</v>
      </c>
      <c r="F61" s="637">
        <f>F59+F52*F53</f>
        <v>28</v>
      </c>
      <c r="G61" s="637">
        <f t="shared" ref="G61:L61" si="52">G59+G52*G53</f>
        <v>24</v>
      </c>
      <c r="H61" s="637">
        <f t="shared" si="52"/>
        <v>24</v>
      </c>
      <c r="I61" s="637">
        <f t="shared" si="52"/>
        <v>28</v>
      </c>
      <c r="J61" s="637">
        <f t="shared" si="52"/>
        <v>33</v>
      </c>
      <c r="K61" s="637">
        <f t="shared" si="52"/>
        <v>33</v>
      </c>
      <c r="L61" s="637">
        <f t="shared" si="52"/>
        <v>33</v>
      </c>
      <c r="M61" s="637">
        <f t="shared" ref="M61:T61" si="53">M59+M52*M53</f>
        <v>24</v>
      </c>
      <c r="N61" s="637">
        <f t="shared" si="53"/>
        <v>24</v>
      </c>
      <c r="O61" s="637">
        <f t="shared" si="53"/>
        <v>24</v>
      </c>
      <c r="P61" s="637">
        <f t="shared" si="53"/>
        <v>24</v>
      </c>
      <c r="Q61" s="637">
        <f t="shared" si="53"/>
        <v>24</v>
      </c>
      <c r="R61" s="637">
        <f t="shared" si="53"/>
        <v>28</v>
      </c>
      <c r="S61" s="637">
        <f t="shared" si="53"/>
        <v>33</v>
      </c>
      <c r="T61" s="637">
        <f t="shared" si="53"/>
        <v>26</v>
      </c>
      <c r="U61" s="638">
        <f>U59+U52*U53</f>
        <v>26</v>
      </c>
      <c r="V61" s="658"/>
      <c r="W61" s="3176" t="s">
        <v>721</v>
      </c>
      <c r="X61" s="3177"/>
      <c r="Y61" s="3177"/>
      <c r="Z61" s="3177"/>
      <c r="AA61" s="3178"/>
      <c r="AB61" s="167"/>
      <c r="AC61" s="167"/>
      <c r="AD61" s="167"/>
      <c r="AE61" s="173"/>
      <c r="AF61" s="173"/>
      <c r="AG61" s="166"/>
      <c r="AH61" s="166"/>
      <c r="AI61" s="166"/>
      <c r="AJ61" s="166"/>
      <c r="AK61" s="166"/>
    </row>
    <row r="62" spans="1:37" ht="24.95" customHeight="1" thickBot="1" x14ac:dyDescent="0.25">
      <c r="A62" s="3158"/>
      <c r="B62" s="3168"/>
      <c r="C62" s="3188"/>
      <c r="D62" s="454" t="s">
        <v>258</v>
      </c>
      <c r="E62" s="618" t="str">
        <f>IF(E60="NÃO","NÃO",IF(E61&gt;=E36,"SIM","NÃO"))</f>
        <v>SIM</v>
      </c>
      <c r="F62" s="619" t="str">
        <f>IF(F60="NÃO","NÃO",IF(F61&gt;=F36,"SIM","NÃO"))</f>
        <v>SIM</v>
      </c>
      <c r="G62" s="619" t="str">
        <f t="shared" ref="G62:T62" si="54">IF(G60="NÃO","NÃO",IF(G61&gt;=G36,"SIM","NÃO"))</f>
        <v>SIM</v>
      </c>
      <c r="H62" s="619" t="str">
        <f t="shared" si="54"/>
        <v>SIM</v>
      </c>
      <c r="I62" s="619" t="str">
        <f t="shared" si="54"/>
        <v>SIM</v>
      </c>
      <c r="J62" s="619" t="str">
        <f t="shared" si="54"/>
        <v>SIM</v>
      </c>
      <c r="K62" s="619" t="str">
        <f t="shared" si="54"/>
        <v>SIM</v>
      </c>
      <c r="L62" s="619" t="str">
        <f t="shared" si="54"/>
        <v>SIM</v>
      </c>
      <c r="M62" s="619" t="str">
        <f t="shared" si="54"/>
        <v>SIM</v>
      </c>
      <c r="N62" s="619" t="str">
        <f t="shared" si="54"/>
        <v>SIM</v>
      </c>
      <c r="O62" s="619" t="str">
        <f t="shared" si="54"/>
        <v>SIM</v>
      </c>
      <c r="P62" s="619" t="str">
        <f t="shared" si="54"/>
        <v>SIM</v>
      </c>
      <c r="Q62" s="619" t="str">
        <f t="shared" si="54"/>
        <v>SIM</v>
      </c>
      <c r="R62" s="619" t="str">
        <f t="shared" si="54"/>
        <v>SIM</v>
      </c>
      <c r="S62" s="619" t="str">
        <f t="shared" si="54"/>
        <v>SIM</v>
      </c>
      <c r="T62" s="619" t="str">
        <f t="shared" si="54"/>
        <v>SIM</v>
      </c>
      <c r="U62" s="620" t="str">
        <f>IF(U60="NÃO","NÃO",IF(U61&gt;=U36,"SIM","NÃO"))</f>
        <v>SIM</v>
      </c>
      <c r="V62" s="201"/>
      <c r="W62" s="3179"/>
      <c r="X62" s="3180"/>
      <c r="Y62" s="3180"/>
      <c r="Z62" s="3180"/>
      <c r="AA62" s="3181"/>
      <c r="AB62" s="167"/>
      <c r="AC62" s="167"/>
      <c r="AD62" s="167"/>
      <c r="AE62" s="173"/>
      <c r="AF62" s="173"/>
      <c r="AG62" s="166"/>
      <c r="AH62" s="166"/>
      <c r="AI62" s="166"/>
      <c r="AJ62" s="166"/>
      <c r="AK62" s="166"/>
    </row>
    <row r="63" spans="1:37" ht="24.95" customHeight="1" x14ac:dyDescent="0.2">
      <c r="A63" s="3158"/>
      <c r="B63" s="3168"/>
      <c r="C63" s="3182" t="s">
        <v>262</v>
      </c>
      <c r="D63" s="454" t="s">
        <v>263</v>
      </c>
      <c r="E63" s="636">
        <f>E57+E55*E56</f>
        <v>28</v>
      </c>
      <c r="F63" s="637">
        <f>F57+F55*F56</f>
        <v>43.4</v>
      </c>
      <c r="G63" s="637">
        <f t="shared" ref="G63:L63" si="55">G57+G55*G56</f>
        <v>39.4</v>
      </c>
      <c r="H63" s="637">
        <f t="shared" si="55"/>
        <v>39.4</v>
      </c>
      <c r="I63" s="637">
        <f t="shared" si="55"/>
        <v>43.4</v>
      </c>
      <c r="J63" s="637">
        <f t="shared" si="55"/>
        <v>48.4</v>
      </c>
      <c r="K63" s="637">
        <f t="shared" si="55"/>
        <v>48.4</v>
      </c>
      <c r="L63" s="637">
        <f t="shared" si="55"/>
        <v>48.4</v>
      </c>
      <c r="M63" s="637">
        <f t="shared" ref="M63:T63" si="56">M57+M55*M56</f>
        <v>39.4</v>
      </c>
      <c r="N63" s="637">
        <f t="shared" si="56"/>
        <v>39.4</v>
      </c>
      <c r="O63" s="637">
        <f t="shared" si="56"/>
        <v>39.4</v>
      </c>
      <c r="P63" s="637">
        <f t="shared" si="56"/>
        <v>39.4</v>
      </c>
      <c r="Q63" s="637">
        <f t="shared" si="56"/>
        <v>39.4</v>
      </c>
      <c r="R63" s="637">
        <f t="shared" si="56"/>
        <v>43.4</v>
      </c>
      <c r="S63" s="637">
        <f t="shared" si="56"/>
        <v>48.4</v>
      </c>
      <c r="T63" s="637">
        <f t="shared" si="56"/>
        <v>41.4</v>
      </c>
      <c r="U63" s="638">
        <f>U57+U55*U56</f>
        <v>41.4</v>
      </c>
      <c r="V63" s="658"/>
      <c r="W63" s="167"/>
      <c r="X63" s="167"/>
      <c r="Y63" s="167"/>
      <c r="Z63" s="167"/>
      <c r="AA63" s="167"/>
      <c r="AB63" s="167"/>
      <c r="AC63" s="167"/>
      <c r="AD63" s="167"/>
      <c r="AE63" s="173"/>
      <c r="AF63" s="173"/>
      <c r="AG63" s="166"/>
      <c r="AH63" s="166"/>
      <c r="AI63" s="166"/>
      <c r="AJ63" s="166"/>
      <c r="AK63" s="166"/>
    </row>
    <row r="64" spans="1:37" ht="24.95" customHeight="1" x14ac:dyDescent="0.2">
      <c r="A64" s="3158"/>
      <c r="B64" s="3187"/>
      <c r="C64" s="3183"/>
      <c r="D64" s="455" t="s">
        <v>258</v>
      </c>
      <c r="E64" s="633" t="str">
        <f>IF(E62="NÃO","NÃO",IF(E63&gt;=E36,"SIM","NÃO"))</f>
        <v>SIM</v>
      </c>
      <c r="F64" s="634" t="str">
        <f>IF(F62="NÃO","NÃO",IF(F63&gt;=F36,"SIM","NÃO"))</f>
        <v>SIM</v>
      </c>
      <c r="G64" s="634" t="str">
        <f t="shared" ref="G64:T64" si="57">IF(G62="NÃO","NÃO",IF(G63&gt;=G36,"SIM","NÃO"))</f>
        <v>SIM</v>
      </c>
      <c r="H64" s="634" t="str">
        <f t="shared" si="57"/>
        <v>SIM</v>
      </c>
      <c r="I64" s="634" t="str">
        <f t="shared" si="57"/>
        <v>SIM</v>
      </c>
      <c r="J64" s="634" t="str">
        <f t="shared" si="57"/>
        <v>SIM</v>
      </c>
      <c r="K64" s="634" t="str">
        <f t="shared" si="57"/>
        <v>SIM</v>
      </c>
      <c r="L64" s="634" t="str">
        <f t="shared" si="57"/>
        <v>SIM</v>
      </c>
      <c r="M64" s="634" t="str">
        <f t="shared" si="57"/>
        <v>SIM</v>
      </c>
      <c r="N64" s="634" t="str">
        <f t="shared" si="57"/>
        <v>SIM</v>
      </c>
      <c r="O64" s="634" t="str">
        <f t="shared" si="57"/>
        <v>SIM</v>
      </c>
      <c r="P64" s="634" t="str">
        <f t="shared" si="57"/>
        <v>SIM</v>
      </c>
      <c r="Q64" s="634" t="str">
        <f t="shared" si="57"/>
        <v>SIM</v>
      </c>
      <c r="R64" s="634" t="str">
        <f t="shared" si="57"/>
        <v>SIM</v>
      </c>
      <c r="S64" s="634" t="str">
        <f t="shared" si="57"/>
        <v>SIM</v>
      </c>
      <c r="T64" s="634" t="str">
        <f t="shared" si="57"/>
        <v>SIM</v>
      </c>
      <c r="U64" s="635" t="str">
        <f>IF(U62="NÃO","NÃO",IF(U63&gt;=U36,"SIM","NÃO"))</f>
        <v>SIM</v>
      </c>
      <c r="V64" s="201"/>
      <c r="W64" s="167"/>
      <c r="X64" s="167"/>
      <c r="Y64" s="167"/>
      <c r="Z64" s="167"/>
      <c r="AA64" s="167"/>
      <c r="AB64" s="167"/>
      <c r="AC64" s="167"/>
      <c r="AD64" s="167"/>
      <c r="AE64" s="173"/>
      <c r="AF64" s="173"/>
      <c r="AG64" s="166"/>
      <c r="AH64" s="166"/>
      <c r="AI64" s="166"/>
      <c r="AJ64" s="166"/>
      <c r="AK64" s="166"/>
    </row>
    <row r="65" spans="1:37" ht="50.1" customHeight="1" thickBot="1" x14ac:dyDescent="0.25">
      <c r="A65" s="3159"/>
      <c r="B65" s="3170" t="s">
        <v>12</v>
      </c>
      <c r="C65" s="3171"/>
      <c r="D65" s="3172"/>
      <c r="E65" s="639"/>
      <c r="F65" s="640"/>
      <c r="G65" s="640"/>
      <c r="H65" s="640"/>
      <c r="I65" s="640"/>
      <c r="J65" s="640"/>
      <c r="K65" s="640"/>
      <c r="L65" s="640"/>
      <c r="M65" s="640"/>
      <c r="N65" s="640"/>
      <c r="O65" s="640"/>
      <c r="P65" s="640"/>
      <c r="Q65" s="640"/>
      <c r="R65" s="640"/>
      <c r="S65" s="640"/>
      <c r="T65" s="640"/>
      <c r="U65" s="641"/>
      <c r="V65" s="199"/>
      <c r="W65" s="167"/>
      <c r="X65" s="167"/>
      <c r="Y65" s="167"/>
      <c r="Z65" s="167"/>
      <c r="AA65" s="167"/>
      <c r="AB65" s="167"/>
      <c r="AC65" s="167"/>
      <c r="AD65" s="167"/>
      <c r="AE65" s="173"/>
      <c r="AF65" s="173"/>
      <c r="AG65" s="166"/>
      <c r="AH65" s="166"/>
      <c r="AI65" s="203"/>
      <c r="AJ65" s="203"/>
      <c r="AK65" s="203"/>
    </row>
    <row r="66" spans="1:37" ht="24.95" customHeight="1" x14ac:dyDescent="0.2">
      <c r="A66" s="167"/>
      <c r="B66" s="167"/>
      <c r="C66" s="167"/>
      <c r="D66" s="167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67"/>
      <c r="X66" s="167"/>
      <c r="Y66" s="167"/>
      <c r="Z66" s="167"/>
      <c r="AA66" s="167"/>
      <c r="AB66" s="167"/>
      <c r="AC66" s="167"/>
      <c r="AD66" s="167"/>
      <c r="AE66" s="173"/>
      <c r="AF66" s="173"/>
      <c r="AG66" s="166"/>
      <c r="AH66" s="166"/>
      <c r="AI66" s="203"/>
      <c r="AJ66" s="203"/>
      <c r="AK66" s="203"/>
    </row>
    <row r="67" spans="1:37" ht="24.95" customHeight="1" x14ac:dyDescent="0.2">
      <c r="A67" s="167"/>
      <c r="B67" s="167"/>
      <c r="C67" s="167"/>
      <c r="D67" s="167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67"/>
      <c r="X67" s="167"/>
      <c r="Y67" s="167"/>
      <c r="Z67" s="167"/>
      <c r="AA67" s="167"/>
      <c r="AB67" s="167"/>
      <c r="AC67" s="167"/>
      <c r="AD67" s="167"/>
      <c r="AE67" s="173"/>
      <c r="AF67" s="173"/>
      <c r="AG67" s="166"/>
      <c r="AH67" s="166"/>
      <c r="AI67" s="203"/>
      <c r="AJ67" s="203"/>
      <c r="AK67" s="203"/>
    </row>
    <row r="68" spans="1:37" x14ac:dyDescent="0.2">
      <c r="A68" s="167"/>
      <c r="B68" s="167"/>
      <c r="C68" s="204"/>
      <c r="D68" s="204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4"/>
      <c r="W68" s="167"/>
      <c r="X68" s="167"/>
      <c r="Y68" s="167"/>
      <c r="Z68" s="167"/>
      <c r="AA68" s="167"/>
      <c r="AB68" s="167"/>
      <c r="AC68" s="167"/>
      <c r="AD68" s="167"/>
      <c r="AE68" s="173"/>
      <c r="AF68" s="173"/>
      <c r="AG68" s="166"/>
      <c r="AH68" s="166"/>
      <c r="AI68" s="203"/>
      <c r="AJ68" s="203"/>
      <c r="AK68" s="203"/>
    </row>
    <row r="69" spans="1:37" x14ac:dyDescent="0.2">
      <c r="A69" s="167"/>
      <c r="B69" s="167"/>
      <c r="C69" s="171"/>
      <c r="D69" s="171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67"/>
      <c r="X69" s="167"/>
      <c r="Y69" s="167"/>
      <c r="Z69" s="167"/>
      <c r="AA69" s="167"/>
      <c r="AB69" s="167"/>
      <c r="AC69" s="167"/>
      <c r="AD69" s="167"/>
      <c r="AE69" s="173"/>
      <c r="AF69" s="173"/>
      <c r="AG69" s="166"/>
      <c r="AH69" s="166"/>
      <c r="AI69" s="203"/>
      <c r="AJ69" s="203"/>
      <c r="AK69" s="203"/>
    </row>
    <row r="70" spans="1:37" x14ac:dyDescent="0.2">
      <c r="A70" s="167"/>
      <c r="B70" s="167"/>
      <c r="C70" s="171"/>
      <c r="D70" s="171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67"/>
      <c r="X70" s="167"/>
      <c r="Y70" s="167"/>
      <c r="Z70" s="167"/>
      <c r="AA70" s="167"/>
      <c r="AB70" s="167"/>
      <c r="AC70" s="167"/>
      <c r="AD70" s="167"/>
      <c r="AE70" s="173"/>
      <c r="AF70" s="173"/>
      <c r="AG70" s="166"/>
      <c r="AH70" s="166"/>
      <c r="AI70" s="166"/>
      <c r="AJ70" s="166"/>
      <c r="AK70" s="166"/>
    </row>
    <row r="71" spans="1:37" x14ac:dyDescent="0.2">
      <c r="A71" s="167"/>
      <c r="B71" s="167"/>
      <c r="C71" s="171"/>
      <c r="D71" s="171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67"/>
      <c r="X71" s="167"/>
      <c r="Y71" s="167"/>
      <c r="Z71" s="167"/>
      <c r="AA71" s="167"/>
      <c r="AB71" s="167"/>
      <c r="AC71" s="167"/>
      <c r="AD71" s="167"/>
      <c r="AE71" s="173"/>
      <c r="AF71" s="173"/>
      <c r="AG71" s="166"/>
      <c r="AH71" s="166"/>
      <c r="AI71" s="166"/>
      <c r="AJ71" s="166"/>
      <c r="AK71" s="166"/>
    </row>
    <row r="72" spans="1:37" x14ac:dyDescent="0.2">
      <c r="B72" s="167"/>
      <c r="C72" s="171"/>
      <c r="D72" s="171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67"/>
      <c r="X72" s="167"/>
      <c r="Y72" s="167"/>
      <c r="Z72" s="167"/>
      <c r="AA72" s="167"/>
      <c r="AB72" s="167"/>
      <c r="AC72" s="167"/>
      <c r="AD72" s="167"/>
      <c r="AE72" s="173"/>
      <c r="AF72" s="173"/>
      <c r="AG72" s="166"/>
      <c r="AH72" s="166"/>
      <c r="AI72" s="166"/>
      <c r="AJ72" s="166"/>
      <c r="AK72" s="166"/>
    </row>
    <row r="73" spans="1:37" x14ac:dyDescent="0.2"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67"/>
      <c r="X73" s="167"/>
      <c r="Y73" s="167"/>
      <c r="Z73" s="167"/>
      <c r="AA73" s="167"/>
      <c r="AB73" s="167"/>
      <c r="AC73" s="167"/>
      <c r="AD73" s="167"/>
      <c r="AE73" s="173"/>
      <c r="AF73" s="173"/>
      <c r="AG73" s="166"/>
      <c r="AH73" s="166"/>
      <c r="AI73" s="166"/>
      <c r="AJ73" s="166"/>
      <c r="AK73" s="166"/>
    </row>
    <row r="74" spans="1:37" x14ac:dyDescent="0.2"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67"/>
      <c r="X74" s="167"/>
      <c r="Y74" s="167"/>
      <c r="Z74" s="167"/>
      <c r="AA74" s="167"/>
      <c r="AB74" s="167"/>
      <c r="AC74" s="167"/>
      <c r="AD74" s="167"/>
      <c r="AE74" s="173"/>
      <c r="AF74" s="173"/>
      <c r="AG74" s="166"/>
      <c r="AH74" s="166"/>
      <c r="AI74" s="166"/>
      <c r="AJ74" s="166"/>
      <c r="AK74" s="166"/>
    </row>
    <row r="75" spans="1:37" s="207" customFormat="1" x14ac:dyDescent="0.15"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67"/>
      <c r="X75" s="167"/>
      <c r="Y75" s="167"/>
      <c r="Z75" s="167"/>
      <c r="AA75" s="167"/>
      <c r="AB75" s="167"/>
      <c r="AC75" s="167"/>
      <c r="AD75" s="167"/>
      <c r="AE75" s="172"/>
      <c r="AF75" s="172"/>
      <c r="AG75" s="206"/>
      <c r="AH75" s="206"/>
      <c r="AI75" s="206"/>
      <c r="AJ75" s="206"/>
      <c r="AK75" s="206"/>
    </row>
    <row r="76" spans="1:37" x14ac:dyDescent="0.2">
      <c r="A76" s="167"/>
      <c r="B76" s="167"/>
      <c r="C76" s="171"/>
      <c r="D76" s="171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67"/>
      <c r="X76" s="167"/>
      <c r="Y76" s="167"/>
      <c r="Z76" s="167"/>
      <c r="AA76" s="167"/>
      <c r="AB76" s="167"/>
      <c r="AC76" s="167"/>
      <c r="AD76" s="167"/>
      <c r="AE76" s="173"/>
      <c r="AF76" s="173"/>
      <c r="AG76" s="166"/>
      <c r="AH76" s="166"/>
      <c r="AI76" s="166"/>
      <c r="AJ76" s="166"/>
      <c r="AK76" s="166"/>
    </row>
    <row r="77" spans="1:37" x14ac:dyDescent="0.15"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</row>
  </sheetData>
  <mergeCells count="55">
    <mergeCell ref="C24:D24"/>
    <mergeCell ref="C22:D22"/>
    <mergeCell ref="W61:AA62"/>
    <mergeCell ref="C63:C64"/>
    <mergeCell ref="C30:D30"/>
    <mergeCell ref="B33:D33"/>
    <mergeCell ref="B34:B36"/>
    <mergeCell ref="C34:D34"/>
    <mergeCell ref="C35:D35"/>
    <mergeCell ref="C36:D36"/>
    <mergeCell ref="B57:B64"/>
    <mergeCell ref="C57:C58"/>
    <mergeCell ref="C59:C60"/>
    <mergeCell ref="C61:C62"/>
    <mergeCell ref="B31:D31"/>
    <mergeCell ref="B37:B56"/>
    <mergeCell ref="C37:C39"/>
    <mergeCell ref="C49:C53"/>
    <mergeCell ref="D49:D50"/>
    <mergeCell ref="D45:D46"/>
    <mergeCell ref="C54:C56"/>
    <mergeCell ref="C40:C43"/>
    <mergeCell ref="C44:C48"/>
    <mergeCell ref="A1:A65"/>
    <mergeCell ref="B1:D1"/>
    <mergeCell ref="B2:B3"/>
    <mergeCell ref="C2:D2"/>
    <mergeCell ref="C3:D3"/>
    <mergeCell ref="B4:D4"/>
    <mergeCell ref="B5:D5"/>
    <mergeCell ref="B6:B30"/>
    <mergeCell ref="C6:D6"/>
    <mergeCell ref="C7:D7"/>
    <mergeCell ref="C8:D8"/>
    <mergeCell ref="C9:D9"/>
    <mergeCell ref="C29:D29"/>
    <mergeCell ref="B65:D65"/>
    <mergeCell ref="C14:D14"/>
    <mergeCell ref="C15:D15"/>
    <mergeCell ref="B32:D32"/>
    <mergeCell ref="C10:D10"/>
    <mergeCell ref="C11:D11"/>
    <mergeCell ref="C12:D12"/>
    <mergeCell ref="C13:D13"/>
    <mergeCell ref="C16:D16"/>
    <mergeCell ref="C17:D17"/>
    <mergeCell ref="C18:D18"/>
    <mergeCell ref="C25:D25"/>
    <mergeCell ref="C27:D27"/>
    <mergeCell ref="C28:D28"/>
    <mergeCell ref="C26:D26"/>
    <mergeCell ref="C19:D19"/>
    <mergeCell ref="C20:D20"/>
    <mergeCell ref="C21:D21"/>
    <mergeCell ref="C23:D23"/>
  </mergeCells>
  <conditionalFormatting sqref="E58:U58 E60:U60 E62:U62 E64:U64">
    <cfRule type="cellIs" dxfId="22" priority="1" operator="equal">
      <formula>"NÃO"</formula>
    </cfRule>
  </conditionalFormatting>
  <hyperlinks>
    <hyperlink ref="B1:D1" location="PAINEL!A1" display="VIAS" xr:uid="{00000000-0004-0000-2300-000000000000}"/>
  </hyperlinks>
  <printOptions horizontalCentered="1" gridLines="1"/>
  <pageMargins left="0.19685039370078741" right="0.39370078740157483" top="0.55118110236220474" bottom="0.55118110236220474" header="0.51181102362204722" footer="0.51181102362204722"/>
  <pageSetup paperSize="8" scale="55" orientation="landscape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44">
    <tabColor theme="5" tint="0.59999389629810485"/>
  </sheetPr>
  <dimension ref="A1:P53"/>
  <sheetViews>
    <sheetView showZeros="0" zoomScaleNormal="100" zoomScaleSheetLayoutView="100" workbookViewId="0">
      <selection activeCell="J52" sqref="J52"/>
    </sheetView>
  </sheetViews>
  <sheetFormatPr defaultColWidth="9" defaultRowHeight="12.75" x14ac:dyDescent="0.2"/>
  <cols>
    <col min="1" max="1" width="8.625" style="73" customWidth="1"/>
    <col min="2" max="3" width="10.625" style="73" customWidth="1"/>
    <col min="4" max="4" width="13.625" style="73" customWidth="1"/>
    <col min="5" max="5" width="10.625" style="71" customWidth="1"/>
    <col min="6" max="6" width="10.625" style="1771" customWidth="1"/>
    <col min="7" max="7" width="7.625" style="71" customWidth="1"/>
    <col min="8" max="10" width="7.625" style="74" customWidth="1"/>
    <col min="11" max="11" width="7.625" style="73" customWidth="1"/>
    <col min="12" max="12" width="14.625" style="69" customWidth="1"/>
    <col min="13" max="14" width="14.625" style="75" customWidth="1"/>
    <col min="15" max="16384" width="9" style="63"/>
  </cols>
  <sheetData>
    <row r="1" spans="1:16" ht="24.95" customHeight="1" x14ac:dyDescent="0.15">
      <c r="A1" s="484" t="str">
        <f>Orçamento_Não_Deson!B1</f>
        <v>PREFEITURA MUNICIPAL DE RIBAS DO RIO PARDO / MS</v>
      </c>
      <c r="B1" s="484"/>
      <c r="C1" s="484"/>
      <c r="D1" s="484"/>
      <c r="E1" s="484"/>
      <c r="F1" s="1766"/>
      <c r="G1" s="484"/>
      <c r="H1" s="484"/>
      <c r="I1" s="484"/>
      <c r="J1" s="484"/>
      <c r="K1" s="484"/>
      <c r="L1" s="195"/>
      <c r="M1" s="196" t="s">
        <v>115</v>
      </c>
      <c r="N1" s="197" t="str">
        <f>IF(N4+N3=N2,"OK","NÃO")</f>
        <v>NÃO</v>
      </c>
    </row>
    <row r="2" spans="1:16" s="64" customFormat="1" ht="24.95" customHeight="1" x14ac:dyDescent="0.15">
      <c r="A2" s="488" t="s">
        <v>30</v>
      </c>
      <c r="B2" s="487" t="str">
        <f>Orçamento_Não_Deson!C5</f>
        <v xml:space="preserve">INFRAESTRUTURA URBANA - PAVIMENTAÇÃO ASFÁLTICA E DRENAGEM DE ÁGUAS PLUVIAIS </v>
      </c>
      <c r="C2" s="485"/>
      <c r="D2" s="485"/>
      <c r="E2" s="485"/>
      <c r="F2" s="1767"/>
      <c r="G2" s="485"/>
      <c r="H2" s="485"/>
      <c r="I2" s="485"/>
      <c r="J2" s="485"/>
      <c r="K2" s="485"/>
      <c r="L2" s="192"/>
      <c r="M2" s="196" t="s">
        <v>116</v>
      </c>
      <c r="N2" s="70">
        <f>SUM(A9:A12)</f>
        <v>10</v>
      </c>
    </row>
    <row r="3" spans="1:16" s="64" customFormat="1" ht="24.95" customHeight="1" x14ac:dyDescent="0.15">
      <c r="A3" s="488" t="s">
        <v>220</v>
      </c>
      <c r="B3" s="487" t="str">
        <f>Orçamento_Não_Deson!C6</f>
        <v>PARQUE ESTORIL - ETAPAS 03 E 04</v>
      </c>
      <c r="C3" s="485"/>
      <c r="D3" s="485"/>
      <c r="E3" s="485"/>
      <c r="F3" s="1767"/>
      <c r="G3" s="485"/>
      <c r="H3" s="485"/>
      <c r="I3" s="485"/>
      <c r="J3" s="485"/>
      <c r="K3" s="485"/>
      <c r="L3" s="192"/>
      <c r="M3" s="196" t="s">
        <v>117</v>
      </c>
      <c r="N3" s="70">
        <f>SUM(L9:L12)</f>
        <v>4</v>
      </c>
    </row>
    <row r="4" spans="1:16" ht="24.95" customHeight="1" x14ac:dyDescent="0.15">
      <c r="A4" s="489" t="s">
        <v>222</v>
      </c>
      <c r="B4" s="747" t="str">
        <f>Orçamento_Não_Deson!J1</f>
        <v>Junho/2023</v>
      </c>
      <c r="C4" s="486"/>
      <c r="D4" s="486"/>
      <c r="E4" s="486"/>
      <c r="F4" s="1768"/>
      <c r="G4" s="486"/>
      <c r="H4" s="486"/>
      <c r="I4" s="486"/>
      <c r="J4" s="486"/>
      <c r="K4" s="486"/>
      <c r="L4" s="195"/>
      <c r="M4" s="196" t="s">
        <v>118</v>
      </c>
      <c r="N4" s="153">
        <f>SUM(I9:K12)</f>
        <v>5</v>
      </c>
    </row>
    <row r="5" spans="1:16" ht="24.95" customHeight="1" thickBot="1" x14ac:dyDescent="0.2">
      <c r="A5" s="193"/>
      <c r="B5" s="194"/>
      <c r="C5" s="194"/>
      <c r="D5" s="67"/>
      <c r="E5" s="67"/>
      <c r="F5" s="1769"/>
      <c r="G5" s="67"/>
      <c r="H5" s="67"/>
      <c r="I5" s="67"/>
      <c r="J5" s="67"/>
      <c r="K5" s="67"/>
      <c r="L5" s="195"/>
      <c r="M5" s="196" t="s">
        <v>119</v>
      </c>
      <c r="N5" s="70">
        <f>N2-N3-N4</f>
        <v>1</v>
      </c>
    </row>
    <row r="6" spans="1:16" s="60" customFormat="1" ht="30" customHeight="1" thickTop="1" x14ac:dyDescent="0.15">
      <c r="A6" s="3190" t="s">
        <v>144</v>
      </c>
      <c r="B6" s="3201" t="s">
        <v>2231</v>
      </c>
      <c r="C6" s="3202"/>
      <c r="D6" s="3203"/>
      <c r="E6" s="3193" t="s">
        <v>145</v>
      </c>
      <c r="F6" s="1770" t="s">
        <v>146</v>
      </c>
      <c r="G6" s="257"/>
      <c r="H6" s="258" t="s">
        <v>120</v>
      </c>
      <c r="I6" s="259"/>
      <c r="J6" s="258"/>
      <c r="K6" s="260"/>
      <c r="L6" s="3189" t="s">
        <v>147</v>
      </c>
      <c r="M6" s="72"/>
      <c r="N6" s="72"/>
    </row>
    <row r="7" spans="1:16" s="60" customFormat="1" ht="30" customHeight="1" x14ac:dyDescent="0.15">
      <c r="A7" s="3191"/>
      <c r="B7" s="3206" t="s">
        <v>2232</v>
      </c>
      <c r="C7" s="3206"/>
      <c r="D7" s="3204" t="s">
        <v>2671</v>
      </c>
      <c r="E7" s="3194"/>
      <c r="F7" s="3196" t="s">
        <v>148</v>
      </c>
      <c r="G7" s="3198" t="s">
        <v>149</v>
      </c>
      <c r="H7" s="3198" t="s">
        <v>76</v>
      </c>
      <c r="I7" s="261" t="s">
        <v>75</v>
      </c>
      <c r="J7" s="262"/>
      <c r="K7" s="263"/>
      <c r="L7" s="3189"/>
      <c r="M7" s="72"/>
      <c r="N7" s="72"/>
    </row>
    <row r="8" spans="1:16" s="60" customFormat="1" ht="30" customHeight="1" thickBot="1" x14ac:dyDescent="0.2">
      <c r="A8" s="3192"/>
      <c r="B8" s="1859" t="s">
        <v>75</v>
      </c>
      <c r="C8" s="1859" t="s">
        <v>143</v>
      </c>
      <c r="D8" s="3205"/>
      <c r="E8" s="3195"/>
      <c r="F8" s="3197"/>
      <c r="G8" s="3199"/>
      <c r="H8" s="3200"/>
      <c r="I8" s="264" t="s">
        <v>74</v>
      </c>
      <c r="J8" s="265" t="s">
        <v>73</v>
      </c>
      <c r="K8" s="266" t="s">
        <v>72</v>
      </c>
      <c r="L8" s="3189"/>
      <c r="M8" s="191"/>
      <c r="N8" s="72"/>
    </row>
    <row r="9" spans="1:16" ht="20.100000000000001" customHeight="1" thickTop="1" x14ac:dyDescent="0.2">
      <c r="A9" s="2112">
        <v>1</v>
      </c>
      <c r="B9" s="2068"/>
      <c r="C9" s="2069"/>
      <c r="D9" s="2070">
        <f>B9</f>
        <v>0</v>
      </c>
      <c r="E9" s="2071"/>
      <c r="F9" s="2237"/>
      <c r="G9" s="2072">
        <v>0.6</v>
      </c>
      <c r="H9" s="2073"/>
      <c r="I9" s="2073" cm="1">
        <f t="array" ref="I9">IF( A9="","", IFERROR( TRANSPOSE(_xlfn._xlws.FILTER($A:$A,$H:$H=A9)),{0}))</f>
        <v>0</v>
      </c>
      <c r="J9" s="2073"/>
      <c r="K9" s="2074"/>
      <c r="L9" s="490">
        <f>IF(C9&gt;0,A9,0)</f>
        <v>0</v>
      </c>
      <c r="M9" s="1292"/>
      <c r="N9" s="191"/>
      <c r="O9" s="191"/>
      <c r="P9" s="191"/>
    </row>
    <row r="10" spans="1:16" ht="20.100000000000001" customHeight="1" x14ac:dyDescent="0.2">
      <c r="A10" s="2113">
        <v>2</v>
      </c>
      <c r="B10" s="2068">
        <v>424.90800000000002</v>
      </c>
      <c r="C10" s="2068"/>
      <c r="D10" s="2070">
        <f>B10</f>
        <v>424.90800000000002</v>
      </c>
      <c r="E10" s="2071">
        <v>72.02</v>
      </c>
      <c r="F10" s="2237">
        <v>4.8426</v>
      </c>
      <c r="G10" s="2072">
        <v>0.6</v>
      </c>
      <c r="H10" s="2075">
        <v>3</v>
      </c>
      <c r="I10" s="2075" cm="1">
        <f t="array" ref="I10">IF( A10="","", IFERROR( TRANSPOSE(_xlfn._xlws.FILTER($A:$A,$H:$H=A10)),{0}))</f>
        <v>0</v>
      </c>
      <c r="J10" s="2075"/>
      <c r="K10" s="2076"/>
      <c r="L10" s="490">
        <f t="shared" ref="L10:L52" si="0">IF(C10&gt;0,A10,0)</f>
        <v>0</v>
      </c>
      <c r="M10" s="1292"/>
      <c r="N10" s="191"/>
      <c r="O10" s="191"/>
      <c r="P10" s="191"/>
    </row>
    <row r="11" spans="1:16" ht="20.100000000000001" customHeight="1" x14ac:dyDescent="0.2">
      <c r="A11" s="2113">
        <v>3</v>
      </c>
      <c r="B11" s="2068">
        <v>423.63200000000001</v>
      </c>
      <c r="C11" s="2068"/>
      <c r="D11" s="2070">
        <f>B11</f>
        <v>423.63200000000001</v>
      </c>
      <c r="E11" s="2071">
        <v>59.18</v>
      </c>
      <c r="F11" s="2237">
        <v>1.1248</v>
      </c>
      <c r="G11" s="2072">
        <v>0.6</v>
      </c>
      <c r="H11" s="2075">
        <v>4</v>
      </c>
      <c r="I11" s="2075" cm="1">
        <f t="array" ref="I11">IF( A11="","", IFERROR( TRANSPOSE(_xlfn._xlws.FILTER($A:$A,$H:$H=A11)),{0}))</f>
        <v>2</v>
      </c>
      <c r="J11" s="2075"/>
      <c r="K11" s="2076"/>
      <c r="L11" s="490">
        <f t="shared" si="0"/>
        <v>0</v>
      </c>
      <c r="M11" s="1292"/>
      <c r="N11" s="191"/>
      <c r="O11" s="191"/>
      <c r="P11" s="191"/>
    </row>
    <row r="12" spans="1:16" ht="20.100000000000001" customHeight="1" x14ac:dyDescent="0.2">
      <c r="A12" s="2113">
        <v>4</v>
      </c>
      <c r="B12" s="2068">
        <v>422.08</v>
      </c>
      <c r="C12" s="2068">
        <v>419.98099999999999</v>
      </c>
      <c r="D12" s="2070">
        <f>B12</f>
        <v>422.08</v>
      </c>
      <c r="E12" s="2071">
        <v>59.18</v>
      </c>
      <c r="F12" s="2237">
        <v>0.35549999999999998</v>
      </c>
      <c r="G12" s="2072">
        <v>0.6</v>
      </c>
      <c r="H12" s="2075"/>
      <c r="I12" s="2075" cm="1">
        <f t="array" ref="I12">IF( A12="","", IFERROR( TRANSPOSE(_xlfn._xlws.FILTER($A:$A,$H:$H=A12)),{0}))</f>
        <v>3</v>
      </c>
      <c r="J12" s="2075"/>
      <c r="K12" s="2076"/>
      <c r="L12" s="490">
        <f t="shared" si="0"/>
        <v>4</v>
      </c>
      <c r="M12" s="1292"/>
      <c r="N12" s="191"/>
      <c r="O12" s="191"/>
      <c r="P12" s="191"/>
    </row>
    <row r="13" spans="1:16" ht="20.100000000000001" customHeight="1" x14ac:dyDescent="0.2">
      <c r="A13" s="2113">
        <v>5</v>
      </c>
      <c r="B13" s="2068"/>
      <c r="C13" s="2068"/>
      <c r="D13" s="2070">
        <f t="shared" ref="D13:D26" si="1">B13</f>
        <v>0</v>
      </c>
      <c r="E13" s="2071"/>
      <c r="F13" s="2237"/>
      <c r="G13" s="2072">
        <v>0.6</v>
      </c>
      <c r="H13" s="2075"/>
      <c r="I13" s="2075" cm="1">
        <f t="array" ref="I13">IF( A13="","", IFERROR( TRANSPOSE(_xlfn._xlws.FILTER($A:$A,$H:$H=A13)),{0}))</f>
        <v>0</v>
      </c>
      <c r="J13" s="2075"/>
      <c r="K13" s="2076"/>
      <c r="L13" s="490">
        <f t="shared" si="0"/>
        <v>0</v>
      </c>
      <c r="M13" s="1292"/>
      <c r="N13" s="191"/>
      <c r="O13" s="191"/>
      <c r="P13" s="191"/>
    </row>
    <row r="14" spans="1:16" ht="20.100000000000001" customHeight="1" x14ac:dyDescent="0.2">
      <c r="A14" s="2113">
        <v>6</v>
      </c>
      <c r="B14" s="2068"/>
      <c r="C14" s="2068"/>
      <c r="D14" s="2070">
        <f t="shared" si="1"/>
        <v>0</v>
      </c>
      <c r="E14" s="2071"/>
      <c r="F14" s="2237"/>
      <c r="G14" s="2072">
        <v>0.6</v>
      </c>
      <c r="H14" s="2075"/>
      <c r="I14" s="2075" cm="1">
        <f t="array" ref="I14">IF( A14="","", IFERROR( TRANSPOSE(_xlfn._xlws.FILTER($A:$A,$H:$H=A14)),{0}))</f>
        <v>0</v>
      </c>
      <c r="J14" s="2075"/>
      <c r="K14" s="2076"/>
      <c r="L14" s="490">
        <f t="shared" si="0"/>
        <v>0</v>
      </c>
      <c r="M14" s="1292"/>
      <c r="N14" s="191"/>
      <c r="O14" s="191"/>
      <c r="P14" s="191"/>
    </row>
    <row r="15" spans="1:16" ht="20.100000000000001" customHeight="1" x14ac:dyDescent="0.2">
      <c r="A15" s="2113">
        <v>7</v>
      </c>
      <c r="B15" s="2068"/>
      <c r="C15" s="2068"/>
      <c r="D15" s="2070">
        <f t="shared" si="1"/>
        <v>0</v>
      </c>
      <c r="E15" s="2071"/>
      <c r="F15" s="2237"/>
      <c r="G15" s="2072">
        <v>0.6</v>
      </c>
      <c r="H15" s="2075"/>
      <c r="I15" s="2075" cm="1">
        <f t="array" ref="I15">IF( A15="","", IFERROR( TRANSPOSE(_xlfn._xlws.FILTER($A:$A,$H:$H=A15)),{0}))</f>
        <v>0</v>
      </c>
      <c r="J15" s="2075"/>
      <c r="K15" s="2076"/>
      <c r="L15" s="490">
        <f t="shared" si="0"/>
        <v>0</v>
      </c>
      <c r="M15" s="1292"/>
      <c r="N15" s="191"/>
      <c r="O15" s="191"/>
      <c r="P15" s="191"/>
    </row>
    <row r="16" spans="1:16" ht="20.100000000000001" customHeight="1" x14ac:dyDescent="0.2">
      <c r="A16" s="2113">
        <v>8</v>
      </c>
      <c r="B16" s="2068"/>
      <c r="C16" s="2068"/>
      <c r="D16" s="2070">
        <f t="shared" si="1"/>
        <v>0</v>
      </c>
      <c r="E16" s="2071"/>
      <c r="F16" s="2237"/>
      <c r="G16" s="2072">
        <v>0.6</v>
      </c>
      <c r="H16" s="2075"/>
      <c r="I16" s="2075" cm="1">
        <f t="array" ref="I16">IF( A16="","", IFERROR( TRANSPOSE(_xlfn._xlws.FILTER($A:$A,$H:$H=A16)),{0}))</f>
        <v>0</v>
      </c>
      <c r="J16" s="2075"/>
      <c r="K16" s="2076"/>
      <c r="L16" s="490">
        <f t="shared" si="0"/>
        <v>0</v>
      </c>
      <c r="M16" s="1292"/>
      <c r="N16" s="191"/>
      <c r="O16" s="191"/>
      <c r="P16" s="191"/>
    </row>
    <row r="17" spans="1:16" ht="20.100000000000001" customHeight="1" x14ac:dyDescent="0.2">
      <c r="A17" s="2113">
        <v>9</v>
      </c>
      <c r="B17" s="2068"/>
      <c r="C17" s="2068"/>
      <c r="D17" s="2070">
        <f t="shared" si="1"/>
        <v>0</v>
      </c>
      <c r="E17" s="2071"/>
      <c r="F17" s="2237"/>
      <c r="G17" s="2072">
        <v>0.6</v>
      </c>
      <c r="H17" s="2075"/>
      <c r="I17" s="2075" cm="1">
        <f t="array" ref="I17">IF( A17="","", IFERROR( TRANSPOSE(_xlfn._xlws.FILTER($A:$A,$H:$H=A17)),{0}))</f>
        <v>0</v>
      </c>
      <c r="J17" s="2075"/>
      <c r="K17" s="2076"/>
      <c r="L17" s="490">
        <f t="shared" si="0"/>
        <v>0</v>
      </c>
      <c r="M17" s="1292"/>
      <c r="N17" s="191"/>
      <c r="O17" s="191"/>
      <c r="P17" s="191"/>
    </row>
    <row r="18" spans="1:16" ht="20.100000000000001" customHeight="1" x14ac:dyDescent="0.2">
      <c r="A18" s="2113">
        <v>10</v>
      </c>
      <c r="B18" s="2068">
        <v>438.44200000000001</v>
      </c>
      <c r="C18" s="2068"/>
      <c r="D18" s="2070">
        <f t="shared" si="1"/>
        <v>438.44200000000001</v>
      </c>
      <c r="E18" s="2071">
        <v>66.88</v>
      </c>
      <c r="F18" s="2237">
        <v>2.2856999999999998</v>
      </c>
      <c r="G18" s="2072">
        <v>0.6</v>
      </c>
      <c r="H18" s="2075">
        <v>11</v>
      </c>
      <c r="I18" s="2075" cm="1">
        <f t="array" ref="I18">IF( A18="","", IFERROR( TRANSPOSE(_xlfn._xlws.FILTER($A:$A,$H:$H=A18)),{0}))</f>
        <v>0</v>
      </c>
      <c r="J18" s="2075"/>
      <c r="K18" s="2076"/>
      <c r="L18" s="490">
        <f t="shared" si="0"/>
        <v>0</v>
      </c>
      <c r="M18" s="1292"/>
      <c r="N18" s="191"/>
      <c r="O18" s="191"/>
      <c r="P18" s="191"/>
    </row>
    <row r="19" spans="1:16" ht="20.100000000000001" customHeight="1" x14ac:dyDescent="0.2">
      <c r="A19" s="2113">
        <v>11</v>
      </c>
      <c r="B19" s="2068">
        <v>437.23899999999998</v>
      </c>
      <c r="C19" s="2068"/>
      <c r="D19" s="2070">
        <f t="shared" si="1"/>
        <v>437.23899999999998</v>
      </c>
      <c r="E19" s="2071">
        <v>87.75</v>
      </c>
      <c r="F19" s="2237">
        <v>0.73270000000000002</v>
      </c>
      <c r="G19" s="2072">
        <v>0.6</v>
      </c>
      <c r="H19" s="2075">
        <v>12</v>
      </c>
      <c r="I19" s="2075" cm="1">
        <f t="array" ref="I19">IF( A19="","", IFERROR( TRANSPOSE(_xlfn._xlws.FILTER($A:$A,$H:$H=A19)),{0}))</f>
        <v>10</v>
      </c>
      <c r="J19" s="2075"/>
      <c r="K19" s="2076"/>
      <c r="L19" s="490">
        <f t="shared" si="0"/>
        <v>0</v>
      </c>
      <c r="M19" s="1292"/>
      <c r="N19" s="191"/>
      <c r="O19" s="191"/>
      <c r="P19" s="191"/>
    </row>
    <row r="20" spans="1:16" ht="20.100000000000001" customHeight="1" x14ac:dyDescent="0.2">
      <c r="A20" s="2113">
        <v>12</v>
      </c>
      <c r="B20" s="2068">
        <v>435.4</v>
      </c>
      <c r="C20" s="2068"/>
      <c r="D20" s="2070">
        <f t="shared" si="1"/>
        <v>435.4</v>
      </c>
      <c r="E20" s="2071">
        <v>89.12</v>
      </c>
      <c r="F20" s="2237">
        <v>0.66490000000000005</v>
      </c>
      <c r="G20" s="2072">
        <v>0.6</v>
      </c>
      <c r="H20" s="2075">
        <v>13</v>
      </c>
      <c r="I20" s="2075" cm="1">
        <f t="array" ref="I20">IF( A20="","", IFERROR( TRANSPOSE(_xlfn._xlws.FILTER($A:$A,$H:$H=A20)),{0}))</f>
        <v>11</v>
      </c>
      <c r="J20" s="2075"/>
      <c r="K20" s="2076"/>
      <c r="L20" s="490">
        <f t="shared" si="0"/>
        <v>0</v>
      </c>
      <c r="M20" s="1292"/>
      <c r="N20" s="191"/>
      <c r="O20" s="191"/>
      <c r="P20" s="191"/>
    </row>
    <row r="21" spans="1:16" ht="20.100000000000001" customHeight="1" x14ac:dyDescent="0.2">
      <c r="A21" s="2113">
        <v>13</v>
      </c>
      <c r="B21" s="2068">
        <v>434.54500000000002</v>
      </c>
      <c r="C21" s="2068"/>
      <c r="D21" s="2070">
        <f t="shared" si="1"/>
        <v>434.54500000000002</v>
      </c>
      <c r="E21" s="2071">
        <v>91.12</v>
      </c>
      <c r="F21" s="2237">
        <v>0.67559999999999998</v>
      </c>
      <c r="G21" s="2072">
        <v>0.6</v>
      </c>
      <c r="H21" s="2075">
        <v>14</v>
      </c>
      <c r="I21" s="2075" cm="1">
        <f t="array" ref="I21">IF( A21="","", IFERROR( TRANSPOSE(_xlfn._xlws.FILTER($A:$A,$H:$H=A21)),{0}))</f>
        <v>12</v>
      </c>
      <c r="J21" s="2075"/>
      <c r="K21" s="2076"/>
      <c r="L21" s="490">
        <f t="shared" si="0"/>
        <v>0</v>
      </c>
      <c r="M21" s="1292"/>
      <c r="N21" s="191"/>
      <c r="O21" s="191"/>
      <c r="P21" s="191"/>
    </row>
    <row r="22" spans="1:16" ht="20.100000000000001" customHeight="1" x14ac:dyDescent="0.2">
      <c r="A22" s="2113">
        <v>14</v>
      </c>
      <c r="B22" s="2068">
        <v>432.75400000000002</v>
      </c>
      <c r="C22" s="2068"/>
      <c r="D22" s="2070">
        <f t="shared" si="1"/>
        <v>432.75400000000002</v>
      </c>
      <c r="E22" s="2071">
        <v>87.12</v>
      </c>
      <c r="F22" s="2237">
        <v>0.81020000000000003</v>
      </c>
      <c r="G22" s="2072">
        <v>0.6</v>
      </c>
      <c r="H22" s="2075">
        <v>15</v>
      </c>
      <c r="I22" s="2075" cm="1">
        <f t="array" ref="I22">IF( A22="","", IFERROR( TRANSPOSE(_xlfn._xlws.FILTER($A:$A,$H:$H=A22)),{0}))</f>
        <v>13</v>
      </c>
      <c r="J22" s="2075"/>
      <c r="K22" s="2076"/>
      <c r="L22" s="490">
        <f t="shared" si="0"/>
        <v>0</v>
      </c>
      <c r="M22" s="1292"/>
      <c r="N22" s="191"/>
      <c r="O22" s="191"/>
      <c r="P22" s="191"/>
    </row>
    <row r="23" spans="1:16" ht="20.100000000000001" customHeight="1" x14ac:dyDescent="0.2">
      <c r="A23" s="2113">
        <v>15</v>
      </c>
      <c r="B23" s="2068">
        <v>430.19499999999999</v>
      </c>
      <c r="C23" s="2068"/>
      <c r="D23" s="2070">
        <f t="shared" si="1"/>
        <v>430.19499999999999</v>
      </c>
      <c r="E23" s="2071">
        <v>94.76</v>
      </c>
      <c r="F23" s="2237">
        <v>22.657699999999998</v>
      </c>
      <c r="G23" s="2072">
        <v>0.6</v>
      </c>
      <c r="H23" s="2075">
        <v>16</v>
      </c>
      <c r="I23" s="2075" cm="1">
        <f t="array" ref="I23">IF( A23="","", IFERROR( TRANSPOSE(_xlfn._xlws.FILTER($A:$A,$H:$H=A23)),{0}))</f>
        <v>14</v>
      </c>
      <c r="J23" s="2075"/>
      <c r="K23" s="2076"/>
      <c r="L23" s="490">
        <f t="shared" si="0"/>
        <v>0</v>
      </c>
      <c r="M23" s="1292"/>
      <c r="N23" s="191"/>
      <c r="O23" s="191"/>
      <c r="P23" s="191"/>
    </row>
    <row r="24" spans="1:16" ht="20.100000000000001" customHeight="1" x14ac:dyDescent="0.2">
      <c r="A24" s="2113">
        <v>16</v>
      </c>
      <c r="B24" s="2068">
        <v>427.411</v>
      </c>
      <c r="C24" s="2068"/>
      <c r="D24" s="2070">
        <f t="shared" si="1"/>
        <v>427.411</v>
      </c>
      <c r="E24" s="2071">
        <v>94.76</v>
      </c>
      <c r="F24" s="2237">
        <v>0.74160000000000004</v>
      </c>
      <c r="G24" s="2072">
        <v>0.6</v>
      </c>
      <c r="H24" s="2075">
        <v>17</v>
      </c>
      <c r="I24" s="2075" cm="1">
        <f t="array" ref="I24">IF( A24="","", IFERROR( TRANSPOSE(_xlfn._xlws.FILTER($A:$A,$H:$H=A24)),{0}))</f>
        <v>15</v>
      </c>
      <c r="J24" s="2075"/>
      <c r="K24" s="2076"/>
      <c r="L24" s="490">
        <f t="shared" si="0"/>
        <v>0</v>
      </c>
      <c r="M24" s="1292"/>
      <c r="N24" s="191"/>
      <c r="O24" s="191"/>
      <c r="P24" s="191"/>
    </row>
    <row r="25" spans="1:16" ht="20.100000000000001" customHeight="1" x14ac:dyDescent="0.2">
      <c r="A25" s="2113">
        <v>17</v>
      </c>
      <c r="B25" s="2068">
        <v>425.34899999999999</v>
      </c>
      <c r="C25" s="2068">
        <v>423.91300000000001</v>
      </c>
      <c r="D25" s="2070">
        <f t="shared" si="1"/>
        <v>425.34899999999999</v>
      </c>
      <c r="E25" s="2071">
        <v>54.76</v>
      </c>
      <c r="F25" s="2237">
        <v>0.86399999999999999</v>
      </c>
      <c r="G25" s="2072">
        <v>0.6</v>
      </c>
      <c r="H25" s="2075"/>
      <c r="I25" s="2075" cm="1">
        <f t="array" ref="I25">IF( A25="","", IFERROR( TRANSPOSE(_xlfn._xlws.FILTER($A:$A,$H:$H=A25)),{0}))</f>
        <v>16</v>
      </c>
      <c r="J25" s="2075"/>
      <c r="K25" s="2076"/>
      <c r="L25" s="490">
        <f t="shared" si="0"/>
        <v>17</v>
      </c>
      <c r="M25" s="1292"/>
      <c r="N25" s="191"/>
      <c r="O25" s="191"/>
      <c r="P25" s="191"/>
    </row>
    <row r="26" spans="1:16" ht="20.100000000000001" customHeight="1" x14ac:dyDescent="0.2">
      <c r="A26" s="2113">
        <v>18</v>
      </c>
      <c r="B26" s="2068"/>
      <c r="C26" s="2068"/>
      <c r="D26" s="2070">
        <f t="shared" si="1"/>
        <v>0</v>
      </c>
      <c r="E26" s="2071"/>
      <c r="F26" s="2237"/>
      <c r="G26" s="2072">
        <v>0.6</v>
      </c>
      <c r="H26" s="2075"/>
      <c r="I26" s="2075" cm="1">
        <f t="array" ref="I26">IF( A26="","", IFERROR( TRANSPOSE(_xlfn._xlws.FILTER($A:$A,$H:$H=A26)),{0}))</f>
        <v>0</v>
      </c>
      <c r="J26" s="2075"/>
      <c r="K26" s="2076"/>
      <c r="L26" s="490">
        <f t="shared" si="0"/>
        <v>0</v>
      </c>
      <c r="M26" s="1292"/>
      <c r="N26" s="191"/>
      <c r="O26" s="191"/>
      <c r="P26" s="191"/>
    </row>
    <row r="27" spans="1:16" ht="20.100000000000001" customHeight="1" x14ac:dyDescent="0.2">
      <c r="A27" s="2113">
        <v>19</v>
      </c>
      <c r="B27" s="2068"/>
      <c r="C27" s="2068"/>
      <c r="D27" s="2070"/>
      <c r="E27" s="2071"/>
      <c r="F27" s="2237"/>
      <c r="G27" s="2072">
        <v>0.6</v>
      </c>
      <c r="H27" s="2075"/>
      <c r="I27" s="2075" cm="1">
        <f t="array" ref="I27">IF( A27="","", IFERROR( TRANSPOSE(_xlfn._xlws.FILTER($A:$A,$H:$H=A27)),{0}))</f>
        <v>0</v>
      </c>
      <c r="J27" s="2075"/>
      <c r="K27" s="2076"/>
      <c r="L27" s="490">
        <f t="shared" si="0"/>
        <v>0</v>
      </c>
      <c r="M27" s="1292"/>
      <c r="N27" s="191"/>
      <c r="O27" s="191"/>
      <c r="P27" s="191"/>
    </row>
    <row r="28" spans="1:16" ht="20.100000000000001" customHeight="1" x14ac:dyDescent="0.2">
      <c r="A28" s="2113">
        <v>20</v>
      </c>
      <c r="B28" s="2068">
        <v>433.76799999999997</v>
      </c>
      <c r="C28" s="2068"/>
      <c r="D28" s="2070">
        <f t="shared" ref="D28:D47" si="2">B28</f>
        <v>433.76799999999997</v>
      </c>
      <c r="E28" s="2071">
        <v>72.03</v>
      </c>
      <c r="F28" s="2237">
        <v>9.6076999999999995</v>
      </c>
      <c r="G28" s="2072">
        <v>0.6</v>
      </c>
      <c r="H28" s="2075">
        <v>24</v>
      </c>
      <c r="I28" s="2075" cm="1">
        <f t="array" ref="I28">IF( A28="","", IFERROR( TRANSPOSE(_xlfn._xlws.FILTER($A:$A,$H:$H=A28)),{0}))</f>
        <v>0</v>
      </c>
      <c r="J28" s="2075"/>
      <c r="K28" s="2076"/>
      <c r="L28" s="490">
        <f t="shared" si="0"/>
        <v>0</v>
      </c>
      <c r="M28" s="1292"/>
      <c r="N28" s="191"/>
      <c r="O28" s="191"/>
      <c r="P28" s="191"/>
    </row>
    <row r="29" spans="1:16" ht="20.100000000000001" customHeight="1" x14ac:dyDescent="0.2">
      <c r="A29" s="2113">
        <v>21</v>
      </c>
      <c r="B29" s="2068">
        <v>437.322</v>
      </c>
      <c r="C29" s="2068"/>
      <c r="D29" s="2070">
        <f t="shared" si="2"/>
        <v>437.322</v>
      </c>
      <c r="E29" s="2071">
        <v>94.68</v>
      </c>
      <c r="F29" s="2237">
        <v>0.82540000000000002</v>
      </c>
      <c r="G29" s="2072">
        <v>0.6</v>
      </c>
      <c r="H29" s="2075">
        <v>22</v>
      </c>
      <c r="I29" s="2075" cm="1">
        <f t="array" ref="I29">IF( A29="","", IFERROR( TRANSPOSE(_xlfn._xlws.FILTER($A:$A,$H:$H=A29)),{0}))</f>
        <v>0</v>
      </c>
      <c r="J29" s="2075"/>
      <c r="K29" s="2076"/>
      <c r="L29" s="490">
        <f t="shared" si="0"/>
        <v>0</v>
      </c>
      <c r="M29" s="1292"/>
      <c r="N29" s="191"/>
      <c r="O29" s="191"/>
      <c r="P29" s="191"/>
    </row>
    <row r="30" spans="1:16" ht="20.100000000000001" customHeight="1" x14ac:dyDescent="0.2">
      <c r="A30" s="2113">
        <v>22</v>
      </c>
      <c r="B30" s="2068">
        <v>435.63499999999999</v>
      </c>
      <c r="C30" s="2068"/>
      <c r="D30" s="2070">
        <f t="shared" si="2"/>
        <v>435.63499999999999</v>
      </c>
      <c r="E30" s="2071">
        <v>94.68</v>
      </c>
      <c r="F30" s="2237">
        <v>0.49120000000000003</v>
      </c>
      <c r="G30" s="2072">
        <v>0.6</v>
      </c>
      <c r="H30" s="2075">
        <v>23</v>
      </c>
      <c r="I30" s="2075" cm="1">
        <f t="array" ref="I30">IF( A30="","", IFERROR( TRANSPOSE(_xlfn._xlws.FILTER($A:$A,$H:$H=A30)),{0}))</f>
        <v>21</v>
      </c>
      <c r="J30" s="2075"/>
      <c r="K30" s="2076"/>
      <c r="L30" s="490">
        <f t="shared" si="0"/>
        <v>0</v>
      </c>
      <c r="M30" s="1292"/>
      <c r="N30" s="191"/>
      <c r="O30" s="191"/>
      <c r="P30" s="191"/>
    </row>
    <row r="31" spans="1:16" ht="20.100000000000001" customHeight="1" x14ac:dyDescent="0.2">
      <c r="A31" s="2113">
        <v>23</v>
      </c>
      <c r="B31" s="2068">
        <v>434.22199999999998</v>
      </c>
      <c r="C31" s="2068"/>
      <c r="D31" s="2070">
        <f t="shared" si="2"/>
        <v>434.22199999999998</v>
      </c>
      <c r="E31" s="2071">
        <v>94.68</v>
      </c>
      <c r="F31" s="2237">
        <v>0.64070000000000005</v>
      </c>
      <c r="G31" s="2072">
        <v>0.6</v>
      </c>
      <c r="H31" s="2075">
        <v>24</v>
      </c>
      <c r="I31" s="2075" cm="1">
        <f t="array" ref="I31">IF( A31="","", IFERROR( TRANSPOSE(_xlfn._xlws.FILTER($A:$A,$H:$H=A31)),{0}))</f>
        <v>22</v>
      </c>
      <c r="J31" s="2075"/>
      <c r="K31" s="2076"/>
      <c r="L31" s="490">
        <f t="shared" si="0"/>
        <v>0</v>
      </c>
      <c r="M31" s="1292"/>
      <c r="N31" s="191"/>
      <c r="O31" s="191"/>
      <c r="P31" s="191"/>
    </row>
    <row r="32" spans="1:16" ht="20.100000000000001" customHeight="1" x14ac:dyDescent="0.2">
      <c r="A32" s="2113">
        <v>24</v>
      </c>
      <c r="B32" s="2068">
        <v>432.86</v>
      </c>
      <c r="C32" s="2068"/>
      <c r="D32" s="2070">
        <f t="shared" si="2"/>
        <v>432.86</v>
      </c>
      <c r="E32" s="2071">
        <v>72.12</v>
      </c>
      <c r="F32" s="2237">
        <v>0.80359999999999998</v>
      </c>
      <c r="G32" s="2072">
        <v>0.6</v>
      </c>
      <c r="H32" s="2075">
        <v>25</v>
      </c>
      <c r="I32" s="2075" cm="1">
        <f t="array" ref="I32:J32">IF( A32="","", IFERROR( TRANSPOSE(_xlfn._xlws.FILTER($A:$A,$H:$H=A32)),{0}))</f>
        <v>20</v>
      </c>
      <c r="J32" s="2075">
        <v>23</v>
      </c>
      <c r="K32" s="2076"/>
      <c r="L32" s="490">
        <f t="shared" si="0"/>
        <v>0</v>
      </c>
      <c r="M32" s="1292"/>
      <c r="N32" s="191"/>
      <c r="O32" s="191"/>
      <c r="P32" s="191"/>
    </row>
    <row r="33" spans="1:16" ht="20.100000000000001" customHeight="1" x14ac:dyDescent="0.2">
      <c r="A33" s="2113">
        <v>25</v>
      </c>
      <c r="B33" s="2068">
        <v>431.46699999999998</v>
      </c>
      <c r="C33" s="2068"/>
      <c r="D33" s="2070">
        <f t="shared" si="2"/>
        <v>431.46699999999998</v>
      </c>
      <c r="E33" s="2071">
        <v>72.05</v>
      </c>
      <c r="F33" s="2237">
        <v>1.3568</v>
      </c>
      <c r="G33" s="2072">
        <v>0.6</v>
      </c>
      <c r="H33" s="2075">
        <v>26</v>
      </c>
      <c r="I33" s="2075" cm="1">
        <f t="array" ref="I33">IF( A33="","", IFERROR( TRANSPOSE(_xlfn._xlws.FILTER($A:$A,$H:$H=A33)),{0}))</f>
        <v>24</v>
      </c>
      <c r="J33" s="2075"/>
      <c r="K33" s="2076"/>
      <c r="L33" s="490">
        <f t="shared" si="0"/>
        <v>0</v>
      </c>
      <c r="M33" s="1292"/>
      <c r="N33" s="191"/>
      <c r="O33" s="191"/>
      <c r="P33" s="191"/>
    </row>
    <row r="34" spans="1:16" ht="20.100000000000001" customHeight="1" x14ac:dyDescent="0.2">
      <c r="A34" s="2113">
        <v>26</v>
      </c>
      <c r="B34" s="2068">
        <v>429.36700000000002</v>
      </c>
      <c r="C34" s="2068"/>
      <c r="D34" s="2070">
        <f t="shared" si="2"/>
        <v>429.36700000000002</v>
      </c>
      <c r="E34" s="2071">
        <v>72.3</v>
      </c>
      <c r="F34" s="2237">
        <v>1.2887999999999999</v>
      </c>
      <c r="G34" s="2072">
        <v>0.6</v>
      </c>
      <c r="H34" s="2075">
        <v>27</v>
      </c>
      <c r="I34" s="2075" cm="1">
        <f t="array" ref="I34">IF( A34="","", IFERROR( TRANSPOSE(_xlfn._xlws.FILTER($A:$A,$H:$H=A34)),{0}))</f>
        <v>25</v>
      </c>
      <c r="J34" s="2075"/>
      <c r="K34" s="2076"/>
      <c r="L34" s="490">
        <f t="shared" si="0"/>
        <v>0</v>
      </c>
      <c r="M34" s="1292"/>
      <c r="N34" s="191"/>
      <c r="O34" s="191"/>
      <c r="P34" s="191"/>
    </row>
    <row r="35" spans="1:16" ht="20.100000000000001" customHeight="1" x14ac:dyDescent="0.2">
      <c r="A35" s="2113">
        <v>27</v>
      </c>
      <c r="B35" s="2068">
        <v>427.56700000000001</v>
      </c>
      <c r="C35" s="2068"/>
      <c r="D35" s="2070">
        <f t="shared" si="2"/>
        <v>427.56700000000001</v>
      </c>
      <c r="E35" s="2071">
        <v>84.78</v>
      </c>
      <c r="F35" s="2237">
        <v>1.3248</v>
      </c>
      <c r="G35" s="2072">
        <v>0.6</v>
      </c>
      <c r="H35" s="2075">
        <v>28</v>
      </c>
      <c r="I35" s="2075" cm="1">
        <f t="array" ref="I35">IF( A35="","", IFERROR( TRANSPOSE(_xlfn._xlws.FILTER($A:$A,$H:$H=A35)),{0}))</f>
        <v>26</v>
      </c>
      <c r="J35" s="2075"/>
      <c r="K35" s="2076"/>
      <c r="L35" s="490">
        <f t="shared" si="0"/>
        <v>0</v>
      </c>
      <c r="M35" s="1292"/>
      <c r="N35" s="191"/>
      <c r="O35" s="191"/>
      <c r="P35" s="191"/>
    </row>
    <row r="36" spans="1:16" ht="20.100000000000001" customHeight="1" x14ac:dyDescent="0.2">
      <c r="A36" s="2113">
        <v>28</v>
      </c>
      <c r="B36" s="2068">
        <v>426.125</v>
      </c>
      <c r="C36" s="2068"/>
      <c r="D36" s="2070">
        <f t="shared" si="2"/>
        <v>426.125</v>
      </c>
      <c r="E36" s="2071">
        <v>92.19</v>
      </c>
      <c r="F36" s="2237">
        <v>0.50760000000000005</v>
      </c>
      <c r="G36" s="2072">
        <v>0.6</v>
      </c>
      <c r="H36" s="2075">
        <v>29</v>
      </c>
      <c r="I36" s="2075" cm="1">
        <f t="array" ref="I36">IF( A36="","", IFERROR( TRANSPOSE(_xlfn._xlws.FILTER($A:$A,$H:$H=A36)),{0}))</f>
        <v>27</v>
      </c>
      <c r="J36" s="2075"/>
      <c r="K36" s="2076"/>
      <c r="L36" s="490">
        <f t="shared" si="0"/>
        <v>0</v>
      </c>
      <c r="M36" s="1292"/>
      <c r="N36" s="191"/>
      <c r="O36" s="191"/>
      <c r="P36" s="191"/>
    </row>
    <row r="37" spans="1:16" ht="20.100000000000001" customHeight="1" x14ac:dyDescent="0.2">
      <c r="A37" s="2113">
        <v>29</v>
      </c>
      <c r="B37" s="2068">
        <v>424.90800000000002</v>
      </c>
      <c r="C37" s="2068"/>
      <c r="D37" s="2070">
        <f t="shared" si="2"/>
        <v>424.90800000000002</v>
      </c>
      <c r="E37" s="2071">
        <v>92.19</v>
      </c>
      <c r="F37" s="2237">
        <v>0.65369999999999995</v>
      </c>
      <c r="G37" s="2072">
        <v>0.6</v>
      </c>
      <c r="H37" s="2075">
        <v>44</v>
      </c>
      <c r="I37" s="2075" cm="1">
        <f t="array" ref="I37">IF( A37="","", IFERROR( TRANSPOSE(_xlfn._xlws.FILTER($A:$A,$H:$H=A37)),{0}))</f>
        <v>28</v>
      </c>
      <c r="J37" s="2075"/>
      <c r="K37" s="2076"/>
      <c r="L37" s="490">
        <f t="shared" si="0"/>
        <v>0</v>
      </c>
      <c r="M37" s="1292"/>
      <c r="N37" s="191"/>
      <c r="O37" s="191"/>
      <c r="P37" s="191"/>
    </row>
    <row r="38" spans="1:16" ht="20.100000000000001" customHeight="1" x14ac:dyDescent="0.2">
      <c r="A38" s="2113">
        <v>30</v>
      </c>
      <c r="B38" s="2068"/>
      <c r="C38" s="2068"/>
      <c r="D38" s="2070">
        <f t="shared" si="2"/>
        <v>0</v>
      </c>
      <c r="E38" s="2071"/>
      <c r="F38" s="2237"/>
      <c r="G38" s="2072">
        <v>0.6</v>
      </c>
      <c r="H38" s="2075"/>
      <c r="I38" s="2075" cm="1">
        <f t="array" ref="I38">IF( A38="","", IFERROR( TRANSPOSE(_xlfn._xlws.FILTER($A:$A,$H:$H=A38)),{0}))</f>
        <v>0</v>
      </c>
      <c r="J38" s="2075"/>
      <c r="K38" s="2076"/>
      <c r="L38" s="490">
        <f t="shared" si="0"/>
        <v>0</v>
      </c>
      <c r="M38" s="1292"/>
      <c r="N38" s="191"/>
      <c r="O38" s="191"/>
      <c r="P38" s="191"/>
    </row>
    <row r="39" spans="1:16" ht="20.100000000000001" customHeight="1" x14ac:dyDescent="0.2">
      <c r="A39" s="2113">
        <v>31</v>
      </c>
      <c r="B39" s="2068"/>
      <c r="C39" s="2068"/>
      <c r="D39" s="2070">
        <f t="shared" si="2"/>
        <v>0</v>
      </c>
      <c r="E39" s="2071"/>
      <c r="F39" s="2237"/>
      <c r="G39" s="2072">
        <v>0.6</v>
      </c>
      <c r="H39" s="2075"/>
      <c r="I39" s="2075" cm="1">
        <f t="array" ref="I39">IF( A39="","", IFERROR( TRANSPOSE(_xlfn._xlws.FILTER($A:$A,$H:$H=A39)),{0}))</f>
        <v>0</v>
      </c>
      <c r="J39" s="2075"/>
      <c r="K39" s="2076"/>
      <c r="L39" s="490">
        <f t="shared" si="0"/>
        <v>0</v>
      </c>
      <c r="M39" s="1292"/>
      <c r="N39" s="191"/>
      <c r="O39" s="191"/>
      <c r="P39" s="191"/>
    </row>
    <row r="40" spans="1:16" ht="20.100000000000001" customHeight="1" x14ac:dyDescent="0.2">
      <c r="A40" s="2113">
        <v>32</v>
      </c>
      <c r="B40" s="2068"/>
      <c r="C40" s="2068"/>
      <c r="D40" s="2070">
        <f t="shared" si="2"/>
        <v>0</v>
      </c>
      <c r="E40" s="2071"/>
      <c r="F40" s="2237"/>
      <c r="G40" s="2072">
        <v>0.6</v>
      </c>
      <c r="H40" s="2075"/>
      <c r="I40" s="2075" cm="1">
        <f t="array" ref="I40">IF( A40="","", IFERROR( TRANSPOSE(_xlfn._xlws.FILTER($A:$A,$H:$H=A40)),{0}))</f>
        <v>0</v>
      </c>
      <c r="J40" s="2075"/>
      <c r="K40" s="2076"/>
      <c r="L40" s="490">
        <f t="shared" si="0"/>
        <v>0</v>
      </c>
      <c r="M40" s="1292"/>
      <c r="N40" s="191"/>
      <c r="O40" s="191"/>
      <c r="P40" s="191"/>
    </row>
    <row r="41" spans="1:16" ht="20.100000000000001" customHeight="1" x14ac:dyDescent="0.2">
      <c r="A41" s="2113">
        <v>33</v>
      </c>
      <c r="B41" s="2068"/>
      <c r="C41" s="2068"/>
      <c r="D41" s="2070">
        <f t="shared" si="2"/>
        <v>0</v>
      </c>
      <c r="E41" s="2071"/>
      <c r="F41" s="2237"/>
      <c r="G41" s="2072">
        <v>0.6</v>
      </c>
      <c r="H41" s="2075"/>
      <c r="I41" s="2075" cm="1">
        <f t="array" ref="I41">IF( A41="","", IFERROR( TRANSPOSE(_xlfn._xlws.FILTER($A:$A,$H:$H=A41)),{0}))</f>
        <v>0</v>
      </c>
      <c r="J41" s="2075"/>
      <c r="K41" s="2076"/>
      <c r="L41" s="490">
        <f t="shared" si="0"/>
        <v>0</v>
      </c>
      <c r="M41" s="1292"/>
      <c r="N41" s="191"/>
      <c r="O41" s="191"/>
      <c r="P41" s="191"/>
    </row>
    <row r="42" spans="1:16" ht="20.100000000000001" customHeight="1" x14ac:dyDescent="0.2">
      <c r="A42" s="2113">
        <v>34</v>
      </c>
      <c r="B42" s="2068"/>
      <c r="C42" s="2068"/>
      <c r="D42" s="2070">
        <f t="shared" si="2"/>
        <v>0</v>
      </c>
      <c r="E42" s="2071"/>
      <c r="F42" s="2237"/>
      <c r="G42" s="2072">
        <v>0.6</v>
      </c>
      <c r="H42" s="2075"/>
      <c r="I42" s="2075" cm="1">
        <f t="array" ref="I42">IF( A42="","", IFERROR( TRANSPOSE(_xlfn._xlws.FILTER($A:$A,$H:$H=A42)),{0}))</f>
        <v>0</v>
      </c>
      <c r="J42" s="2075"/>
      <c r="K42" s="2076"/>
      <c r="L42" s="490">
        <f t="shared" si="0"/>
        <v>0</v>
      </c>
      <c r="M42" s="1292"/>
      <c r="N42" s="191"/>
      <c r="O42" s="191"/>
      <c r="P42" s="191"/>
    </row>
    <row r="43" spans="1:16" ht="20.100000000000001" customHeight="1" x14ac:dyDescent="0.2">
      <c r="A43" s="2113">
        <v>35</v>
      </c>
      <c r="B43" s="2068"/>
      <c r="C43" s="2068"/>
      <c r="D43" s="2070">
        <f t="shared" si="2"/>
        <v>0</v>
      </c>
      <c r="E43" s="2071"/>
      <c r="F43" s="2237"/>
      <c r="G43" s="2072">
        <v>0.6</v>
      </c>
      <c r="H43" s="2075"/>
      <c r="I43" s="2075" cm="1">
        <f t="array" ref="I43">IF( A43="","", IFERROR( TRANSPOSE(_xlfn._xlws.FILTER($A:$A,$H:$H=A43)),{0}))</f>
        <v>0</v>
      </c>
      <c r="J43" s="2075"/>
      <c r="K43" s="2076"/>
      <c r="L43" s="490">
        <f t="shared" si="0"/>
        <v>0</v>
      </c>
      <c r="M43" s="1292"/>
      <c r="N43" s="191"/>
      <c r="O43" s="191"/>
      <c r="P43" s="191"/>
    </row>
    <row r="44" spans="1:16" ht="20.100000000000001" customHeight="1" x14ac:dyDescent="0.2">
      <c r="A44" s="2113">
        <v>36</v>
      </c>
      <c r="B44" s="2068"/>
      <c r="C44" s="2068"/>
      <c r="D44" s="2070">
        <f t="shared" si="2"/>
        <v>0</v>
      </c>
      <c r="E44" s="2071"/>
      <c r="F44" s="2237"/>
      <c r="G44" s="2072">
        <v>0.6</v>
      </c>
      <c r="H44" s="2075"/>
      <c r="I44" s="2075" cm="1">
        <f t="array" ref="I44">IF( A44="","", IFERROR( TRANSPOSE(_xlfn._xlws.FILTER($A:$A,$H:$H=A44)),{0}))</f>
        <v>0</v>
      </c>
      <c r="J44" s="2075"/>
      <c r="K44" s="2076"/>
      <c r="L44" s="490">
        <f t="shared" si="0"/>
        <v>0</v>
      </c>
      <c r="M44" s="1292"/>
      <c r="N44" s="191"/>
      <c r="O44" s="191"/>
      <c r="P44" s="191"/>
    </row>
    <row r="45" spans="1:16" ht="20.100000000000001" customHeight="1" x14ac:dyDescent="0.2">
      <c r="A45" s="2113">
        <v>37</v>
      </c>
      <c r="B45" s="2068"/>
      <c r="C45" s="2068"/>
      <c r="D45" s="2070">
        <f t="shared" si="2"/>
        <v>0</v>
      </c>
      <c r="E45" s="2071"/>
      <c r="F45" s="2237"/>
      <c r="G45" s="2072">
        <v>0.6</v>
      </c>
      <c r="H45" s="2075"/>
      <c r="I45" s="2075" cm="1">
        <f t="array" ref="I45">IF( A45="","", IFERROR( TRANSPOSE(_xlfn._xlws.FILTER($A:$A,$H:$H=A45)),{0}))</f>
        <v>0</v>
      </c>
      <c r="J45" s="2075"/>
      <c r="K45" s="2076"/>
      <c r="L45" s="490">
        <f t="shared" si="0"/>
        <v>0</v>
      </c>
      <c r="M45" s="1292"/>
      <c r="N45" s="191"/>
      <c r="O45" s="191"/>
      <c r="P45" s="191"/>
    </row>
    <row r="46" spans="1:16" ht="20.100000000000001" customHeight="1" x14ac:dyDescent="0.2">
      <c r="A46" s="2113">
        <v>38</v>
      </c>
      <c r="B46" s="2068"/>
      <c r="C46" s="2068"/>
      <c r="D46" s="2070">
        <f t="shared" si="2"/>
        <v>0</v>
      </c>
      <c r="E46" s="2071"/>
      <c r="F46" s="2237"/>
      <c r="G46" s="2072">
        <v>0.6</v>
      </c>
      <c r="H46" s="2075"/>
      <c r="I46" s="2075" cm="1">
        <f t="array" ref="I46">IF( A46="","", IFERROR( TRANSPOSE(_xlfn._xlws.FILTER($A:$A,$H:$H=A46)),{0}))</f>
        <v>0</v>
      </c>
      <c r="J46" s="2075"/>
      <c r="K46" s="2076"/>
      <c r="L46" s="490">
        <f t="shared" si="0"/>
        <v>0</v>
      </c>
      <c r="M46" s="1292"/>
      <c r="N46" s="191"/>
      <c r="O46" s="191"/>
      <c r="P46" s="191"/>
    </row>
    <row r="47" spans="1:16" ht="20.100000000000001" customHeight="1" x14ac:dyDescent="0.2">
      <c r="A47" s="2113">
        <v>39</v>
      </c>
      <c r="B47" s="2068"/>
      <c r="C47" s="2068"/>
      <c r="D47" s="2070">
        <f t="shared" si="2"/>
        <v>0</v>
      </c>
      <c r="E47" s="2071"/>
      <c r="F47" s="2237"/>
      <c r="G47" s="2072">
        <v>0.6</v>
      </c>
      <c r="H47" s="2075"/>
      <c r="I47" s="2075" cm="1">
        <f t="array" ref="I47">IF( A47="","", IFERROR( TRANSPOSE(_xlfn._xlws.FILTER($A:$A,$H:$H=A47)),{0}))</f>
        <v>0</v>
      </c>
      <c r="J47" s="2075"/>
      <c r="K47" s="2076"/>
      <c r="L47" s="490">
        <f t="shared" si="0"/>
        <v>0</v>
      </c>
      <c r="M47" s="1292"/>
      <c r="N47" s="191"/>
      <c r="O47" s="191"/>
      <c r="P47" s="191"/>
    </row>
    <row r="48" spans="1:16" ht="20.100000000000001" customHeight="1" x14ac:dyDescent="0.2">
      <c r="A48" s="2113">
        <v>40</v>
      </c>
      <c r="B48" s="2068">
        <v>429.08300000000003</v>
      </c>
      <c r="C48" s="2068"/>
      <c r="D48" s="2070"/>
      <c r="E48" s="2071">
        <v>72.22</v>
      </c>
      <c r="F48" s="2237">
        <v>5.0113000000000003</v>
      </c>
      <c r="G48" s="2072">
        <v>0.6</v>
      </c>
      <c r="H48" s="2075">
        <v>41</v>
      </c>
      <c r="I48" s="2075" cm="1">
        <f t="array" ref="I48">IF( A48="","", IFERROR( TRANSPOSE(_xlfn._xlws.FILTER($A:$A,$H:$H=A48)),{0}))</f>
        <v>0</v>
      </c>
      <c r="J48" s="2075"/>
      <c r="K48" s="2076"/>
      <c r="L48" s="490">
        <f t="shared" si="0"/>
        <v>0</v>
      </c>
      <c r="M48" s="1292"/>
      <c r="N48" s="191"/>
      <c r="O48" s="191"/>
      <c r="P48" s="191"/>
    </row>
    <row r="49" spans="1:16" ht="20.100000000000001" customHeight="1" x14ac:dyDescent="0.2">
      <c r="A49" s="2113">
        <v>41</v>
      </c>
      <c r="B49" s="2068">
        <v>428.34</v>
      </c>
      <c r="C49" s="2068"/>
      <c r="D49" s="2070">
        <f t="shared" ref="D49:D52" si="3">B49</f>
        <v>428.34</v>
      </c>
      <c r="E49" s="2071">
        <v>72.040000000000006</v>
      </c>
      <c r="F49" s="2237">
        <v>1.9184000000000001</v>
      </c>
      <c r="G49" s="2072">
        <v>0.6</v>
      </c>
      <c r="H49" s="2075">
        <v>42</v>
      </c>
      <c r="I49" s="2075" cm="1">
        <f t="array" ref="I49">IF( A49="","", IFERROR( TRANSPOSE(_xlfn._xlws.FILTER($A:$A,$H:$H=A49)),{0}))</f>
        <v>40</v>
      </c>
      <c r="J49" s="2075"/>
      <c r="K49" s="2076"/>
      <c r="L49" s="490">
        <f t="shared" si="0"/>
        <v>0</v>
      </c>
      <c r="M49" s="1292"/>
      <c r="N49" s="191"/>
      <c r="O49" s="191"/>
      <c r="P49" s="191"/>
    </row>
    <row r="50" spans="1:16" ht="20.100000000000001" customHeight="1" x14ac:dyDescent="0.2">
      <c r="A50" s="2113">
        <v>42</v>
      </c>
      <c r="B50" s="2068">
        <v>427.209</v>
      </c>
      <c r="C50" s="2068"/>
      <c r="D50" s="2070">
        <f t="shared" si="3"/>
        <v>427.209</v>
      </c>
      <c r="E50" s="2071">
        <v>72.02</v>
      </c>
      <c r="F50" s="2237">
        <v>1.9211</v>
      </c>
      <c r="G50" s="2072">
        <v>0.6</v>
      </c>
      <c r="H50" s="2075">
        <v>43</v>
      </c>
      <c r="I50" s="2075" cm="1">
        <f t="array" ref="I50">IF( A50="","", IFERROR( TRANSPOSE(_xlfn._xlws.FILTER($A:$A,$H:$H=A50)),{0}))</f>
        <v>41</v>
      </c>
      <c r="J50" s="2075"/>
      <c r="K50" s="2076"/>
      <c r="L50" s="490">
        <f t="shared" si="0"/>
        <v>0</v>
      </c>
      <c r="M50" s="1292"/>
      <c r="N50" s="191"/>
      <c r="O50" s="191"/>
      <c r="P50" s="191"/>
    </row>
    <row r="51" spans="1:16" ht="20.100000000000001" customHeight="1" x14ac:dyDescent="0.2">
      <c r="A51" s="2113">
        <v>43</v>
      </c>
      <c r="B51" s="2068">
        <v>425.77300000000002</v>
      </c>
      <c r="C51" s="2068"/>
      <c r="D51" s="2070">
        <f t="shared" si="3"/>
        <v>425.77300000000002</v>
      </c>
      <c r="E51" s="2071">
        <v>72.010000000000005</v>
      </c>
      <c r="F51" s="2237">
        <v>1.9198</v>
      </c>
      <c r="G51" s="2072">
        <v>0.6</v>
      </c>
      <c r="H51" s="2075">
        <v>44</v>
      </c>
      <c r="I51" s="2075" cm="1">
        <f t="array" ref="I51">IF( A51="","", IFERROR( TRANSPOSE(_xlfn._xlws.FILTER($A:$A,$H:$H=A51)),{0}))</f>
        <v>42</v>
      </c>
      <c r="J51" s="2075"/>
      <c r="K51" s="2076"/>
      <c r="L51" s="490">
        <f t="shared" si="0"/>
        <v>0</v>
      </c>
      <c r="M51" s="1292"/>
      <c r="N51" s="191"/>
      <c r="O51" s="191"/>
      <c r="P51" s="191"/>
    </row>
    <row r="52" spans="1:16" ht="20.100000000000001" customHeight="1" x14ac:dyDescent="0.2">
      <c r="A52" s="2113">
        <v>44</v>
      </c>
      <c r="B52" s="2068">
        <v>423.791</v>
      </c>
      <c r="C52" s="2068">
        <v>421.32799999999997</v>
      </c>
      <c r="D52" s="2070">
        <f t="shared" si="3"/>
        <v>423.791</v>
      </c>
      <c r="E52" s="2071">
        <v>72.23</v>
      </c>
      <c r="F52" s="2237">
        <v>0.75849999999999995</v>
      </c>
      <c r="G52" s="2072">
        <v>0.6</v>
      </c>
      <c r="H52" s="2075"/>
      <c r="I52" s="2075" cm="1">
        <f t="array" ref="I52:J52">IF( A52="","", IFERROR( TRANSPOSE(_xlfn._xlws.FILTER($A:$A,$H:$H=A52)),{0}))</f>
        <v>29</v>
      </c>
      <c r="J52" s="2075">
        <v>43</v>
      </c>
      <c r="K52" s="2076"/>
      <c r="L52" s="490">
        <f t="shared" si="0"/>
        <v>44</v>
      </c>
      <c r="M52" s="1292"/>
      <c r="N52" s="191"/>
      <c r="O52" s="191"/>
      <c r="P52" s="191"/>
    </row>
    <row r="53" spans="1:16" ht="20.100000000000001" customHeight="1" x14ac:dyDescent="0.2">
      <c r="A53" s="2113"/>
      <c r="B53" s="2068"/>
      <c r="C53" s="2068"/>
      <c r="D53" s="2070"/>
      <c r="E53" s="2071"/>
      <c r="F53" s="2237"/>
      <c r="G53" s="2072"/>
      <c r="H53" s="2075"/>
      <c r="I53" s="2075"/>
      <c r="J53" s="2075"/>
      <c r="K53" s="2076"/>
      <c r="L53" s="490"/>
      <c r="M53" s="1292"/>
      <c r="N53" s="191"/>
      <c r="O53" s="191"/>
      <c r="P53" s="191"/>
    </row>
  </sheetData>
  <sheetProtection formatCells="0" formatColumns="0" formatRows="0"/>
  <protectedRanges>
    <protectedRange sqref="B4:D4" name="data_1_1"/>
  </protectedRanges>
  <autoFilter ref="A5:K12" xr:uid="{00000000-0009-0000-0000-000024000000}"/>
  <mergeCells count="9">
    <mergeCell ref="L6:L8"/>
    <mergeCell ref="A6:A8"/>
    <mergeCell ref="E6:E8"/>
    <mergeCell ref="F7:F8"/>
    <mergeCell ref="G7:G8"/>
    <mergeCell ref="H7:H8"/>
    <mergeCell ref="B6:D6"/>
    <mergeCell ref="D7:D8"/>
    <mergeCell ref="B7:C7"/>
  </mergeCells>
  <dataValidations disablePrompts="1" count="2">
    <dataValidation allowBlank="1" showInputMessage="1" showErrorMessage="1" prompt="Limpar todas as linhas e colunas que não forem ser utilizadas" sqref="E6:K8 A6:A8 B6 B8:C8" xr:uid="{00000000-0002-0000-2400-000000000000}"/>
    <dataValidation allowBlank="1" showInputMessage="1" showErrorMessage="1" prompt="digitar_x000a_run-off" sqref="G9:G53" xr:uid="{2AE5FD25-E1A2-4144-9725-633A209B8C56}"/>
  </dataValidations>
  <hyperlinks>
    <hyperlink ref="A6:A8" location="PAINEL!A1" display="Trecho   No." xr:uid="{00000000-0004-0000-2400-000000000000}"/>
  </hyperlinks>
  <printOptions horizontalCentered="1"/>
  <pageMargins left="0.6692913385826772" right="0.23622047244094491" top="1.299212598425197" bottom="0.74803149606299213" header="0.31496062992125984" footer="0.31496062992125984"/>
  <pageSetup paperSize="9" scale="105" orientation="portrait" verticalDpi="300" r:id="rId1"/>
  <headerFooter alignWithMargins="0"/>
  <ignoredErrors>
    <ignoredError sqref="E2:K2 E3:K3 E4:K4 C4 C3 C2 A1:B4 L9 D10:D52 D9 J10:L21 I9:K9 J23:L30 J22:L22 J38:L51 J31:L32 J33:L33 J34:L34 J35:L35 J36:L36 J37:L37 J52:L52 I10:I52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rgb="FFFFC000"/>
  </sheetPr>
  <dimension ref="A3:D220"/>
  <sheetViews>
    <sheetView showZeros="0" topLeftCell="A76" zoomScaleNormal="100" workbookViewId="0">
      <selection activeCell="K120" sqref="K120:L120"/>
    </sheetView>
  </sheetViews>
  <sheetFormatPr defaultRowHeight="12.75" x14ac:dyDescent="0.2"/>
  <cols>
    <col min="1" max="1" width="16.375" style="901" bestFit="1" customWidth="1"/>
    <col min="2" max="2" width="18.375" bestFit="1" customWidth="1"/>
    <col min="3" max="3" width="15.625" bestFit="1" customWidth="1"/>
    <col min="4" max="4" width="23.875" bestFit="1" customWidth="1"/>
    <col min="5" max="6" width="16.5" bestFit="1" customWidth="1"/>
  </cols>
  <sheetData>
    <row r="3" spans="1:4" x14ac:dyDescent="0.2">
      <c r="A3" s="899" t="s">
        <v>656</v>
      </c>
      <c r="B3" t="s">
        <v>769</v>
      </c>
      <c r="C3" t="s">
        <v>765</v>
      </c>
      <c r="D3" t="s">
        <v>708</v>
      </c>
    </row>
    <row r="4" spans="1:4" x14ac:dyDescent="0.2">
      <c r="A4" s="1809" t="s">
        <v>2428</v>
      </c>
      <c r="B4">
        <v>1</v>
      </c>
      <c r="C4">
        <v>1857.01</v>
      </c>
      <c r="D4">
        <v>3564753.53</v>
      </c>
    </row>
    <row r="5" spans="1:4" x14ac:dyDescent="0.2">
      <c r="A5" s="900">
        <v>94991</v>
      </c>
      <c r="B5">
        <v>1</v>
      </c>
      <c r="C5">
        <v>1064.58</v>
      </c>
      <c r="D5">
        <v>992412.12</v>
      </c>
    </row>
    <row r="6" spans="1:4" x14ac:dyDescent="0.2">
      <c r="A6" s="900">
        <v>4721</v>
      </c>
      <c r="B6">
        <v>2</v>
      </c>
      <c r="C6">
        <v>8108.98</v>
      </c>
      <c r="D6">
        <v>906583.96</v>
      </c>
    </row>
    <row r="7" spans="1:4" x14ac:dyDescent="0.2">
      <c r="A7" s="1809">
        <v>93593</v>
      </c>
      <c r="B7">
        <v>4</v>
      </c>
      <c r="C7">
        <v>914645.16</v>
      </c>
      <c r="D7">
        <v>859766.43</v>
      </c>
    </row>
    <row r="8" spans="1:4" x14ac:dyDescent="0.2">
      <c r="A8" s="1809" t="s">
        <v>2688</v>
      </c>
      <c r="B8">
        <v>1</v>
      </c>
      <c r="C8">
        <v>13324.31</v>
      </c>
      <c r="D8">
        <v>842496.12</v>
      </c>
    </row>
    <row r="9" spans="1:4" x14ac:dyDescent="0.2">
      <c r="A9" s="1809" t="s">
        <v>535</v>
      </c>
      <c r="B9">
        <v>1</v>
      </c>
      <c r="C9">
        <v>1</v>
      </c>
      <c r="D9">
        <v>625998.32999999996</v>
      </c>
    </row>
    <row r="10" spans="1:4" x14ac:dyDescent="0.2">
      <c r="A10" s="1809" t="s">
        <v>2104</v>
      </c>
      <c r="B10">
        <v>2</v>
      </c>
      <c r="C10">
        <v>56810.76</v>
      </c>
      <c r="D10">
        <v>351658.59</v>
      </c>
    </row>
    <row r="11" spans="1:4" x14ac:dyDescent="0.2">
      <c r="A11" s="900">
        <v>7753</v>
      </c>
      <c r="B11">
        <v>1</v>
      </c>
      <c r="C11">
        <v>585.66999999999996</v>
      </c>
      <c r="D11">
        <v>325087.84000000003</v>
      </c>
    </row>
    <row r="12" spans="1:4" x14ac:dyDescent="0.2">
      <c r="A12" s="1809">
        <v>93599</v>
      </c>
      <c r="B12">
        <v>2</v>
      </c>
      <c r="C12">
        <v>518649.25</v>
      </c>
      <c r="D12">
        <v>321562.51999999996</v>
      </c>
    </row>
    <row r="13" spans="1:4" x14ac:dyDescent="0.2">
      <c r="A13" s="1809">
        <v>101767</v>
      </c>
      <c r="B13">
        <v>2</v>
      </c>
      <c r="C13">
        <v>9829.07</v>
      </c>
      <c r="D13">
        <v>310893.46999999997</v>
      </c>
    </row>
    <row r="14" spans="1:4" x14ac:dyDescent="0.2">
      <c r="A14" s="900">
        <v>6079</v>
      </c>
      <c r="B14">
        <v>3</v>
      </c>
      <c r="C14">
        <v>6817.6900000000005</v>
      </c>
      <c r="D14">
        <v>264799.06</v>
      </c>
    </row>
    <row r="15" spans="1:4" x14ac:dyDescent="0.2">
      <c r="A15" s="1809" t="s">
        <v>2737</v>
      </c>
      <c r="B15">
        <v>1</v>
      </c>
      <c r="C15">
        <v>9535.8700000000008</v>
      </c>
      <c r="D15">
        <v>252891.27</v>
      </c>
    </row>
    <row r="16" spans="1:4" x14ac:dyDescent="0.2">
      <c r="A16" s="900">
        <v>7750</v>
      </c>
      <c r="B16">
        <v>1</v>
      </c>
      <c r="C16">
        <v>504.57</v>
      </c>
      <c r="D16">
        <v>239024.9</v>
      </c>
    </row>
    <row r="17" spans="1:4" x14ac:dyDescent="0.2">
      <c r="A17" s="900" t="s">
        <v>1729</v>
      </c>
      <c r="B17">
        <v>1</v>
      </c>
      <c r="C17">
        <v>29</v>
      </c>
      <c r="D17">
        <v>234023.62</v>
      </c>
    </row>
    <row r="18" spans="1:4" x14ac:dyDescent="0.2">
      <c r="A18" s="900">
        <v>100576</v>
      </c>
      <c r="B18">
        <v>1</v>
      </c>
      <c r="C18">
        <v>63804.74</v>
      </c>
      <c r="D18">
        <v>181205.46</v>
      </c>
    </row>
    <row r="19" spans="1:4" x14ac:dyDescent="0.2">
      <c r="A19" s="900" t="s">
        <v>1777</v>
      </c>
      <c r="B19">
        <v>1</v>
      </c>
      <c r="C19">
        <v>56628.68</v>
      </c>
      <c r="D19">
        <v>168753.46</v>
      </c>
    </row>
    <row r="20" spans="1:4" x14ac:dyDescent="0.2">
      <c r="A20" s="900">
        <v>95876</v>
      </c>
      <c r="B20">
        <v>7</v>
      </c>
      <c r="C20">
        <v>71140.28</v>
      </c>
      <c r="D20">
        <v>165045.41999999998</v>
      </c>
    </row>
    <row r="21" spans="1:4" x14ac:dyDescent="0.2">
      <c r="A21" s="900" t="s">
        <v>1738</v>
      </c>
      <c r="B21">
        <v>1</v>
      </c>
      <c r="C21">
        <v>27</v>
      </c>
      <c r="D21">
        <v>154864.17000000001</v>
      </c>
    </row>
    <row r="22" spans="1:4" x14ac:dyDescent="0.2">
      <c r="A22" s="900">
        <v>7791</v>
      </c>
      <c r="B22">
        <v>1</v>
      </c>
      <c r="C22">
        <v>1034.6300000000001</v>
      </c>
      <c r="D22">
        <v>150642.12</v>
      </c>
    </row>
    <row r="23" spans="1:4" x14ac:dyDescent="0.2">
      <c r="A23" s="1809">
        <v>100953</v>
      </c>
      <c r="B23">
        <v>1</v>
      </c>
      <c r="C23">
        <v>124085</v>
      </c>
      <c r="D23">
        <v>146420.29999999999</v>
      </c>
    </row>
    <row r="24" spans="1:4" x14ac:dyDescent="0.2">
      <c r="A24" s="1809" t="s">
        <v>902</v>
      </c>
      <c r="B24">
        <v>1</v>
      </c>
      <c r="C24">
        <v>263</v>
      </c>
      <c r="D24">
        <v>137706.79999999999</v>
      </c>
    </row>
    <row r="25" spans="1:4" x14ac:dyDescent="0.2">
      <c r="A25" s="1809">
        <v>100939</v>
      </c>
      <c r="B25">
        <v>4</v>
      </c>
      <c r="C25">
        <v>19279.34</v>
      </c>
      <c r="D25">
        <v>136883.29999999999</v>
      </c>
    </row>
    <row r="26" spans="1:4" x14ac:dyDescent="0.2">
      <c r="A26" s="900">
        <v>92824</v>
      </c>
      <c r="B26">
        <v>1</v>
      </c>
      <c r="C26">
        <v>1034.6300000000001</v>
      </c>
      <c r="D26">
        <v>111326.18</v>
      </c>
    </row>
    <row r="27" spans="1:4" x14ac:dyDescent="0.2">
      <c r="A27" s="900">
        <v>92828</v>
      </c>
      <c r="B27">
        <v>1</v>
      </c>
      <c r="C27">
        <v>585.66999999999996</v>
      </c>
      <c r="D27">
        <v>109871.69</v>
      </c>
    </row>
    <row r="28" spans="1:4" x14ac:dyDescent="0.2">
      <c r="A28" s="1809" t="s">
        <v>2728</v>
      </c>
      <c r="B28">
        <v>1</v>
      </c>
      <c r="C28">
        <v>4064.81</v>
      </c>
      <c r="D28">
        <v>109302.74</v>
      </c>
    </row>
    <row r="29" spans="1:4" x14ac:dyDescent="0.2">
      <c r="A29" s="900" t="s">
        <v>1737</v>
      </c>
      <c r="B29">
        <v>1</v>
      </c>
      <c r="C29">
        <v>49</v>
      </c>
      <c r="D29">
        <v>102118.94</v>
      </c>
    </row>
    <row r="30" spans="1:4" x14ac:dyDescent="0.2">
      <c r="A30" s="1809">
        <v>100978</v>
      </c>
      <c r="B30">
        <v>2</v>
      </c>
      <c r="C30">
        <v>13514.97</v>
      </c>
      <c r="D30">
        <v>100551.37</v>
      </c>
    </row>
    <row r="31" spans="1:4" x14ac:dyDescent="0.2">
      <c r="A31" s="900">
        <v>92826</v>
      </c>
      <c r="B31">
        <v>1</v>
      </c>
      <c r="C31">
        <v>504.57</v>
      </c>
      <c r="D31">
        <v>72663.12</v>
      </c>
    </row>
    <row r="32" spans="1:4" x14ac:dyDescent="0.2">
      <c r="A32" s="1809" t="s">
        <v>1655</v>
      </c>
      <c r="B32">
        <v>1</v>
      </c>
      <c r="C32">
        <v>251.09</v>
      </c>
      <c r="D32">
        <v>72331.490000000005</v>
      </c>
    </row>
    <row r="33" spans="1:4" x14ac:dyDescent="0.2">
      <c r="A33" s="900">
        <v>7781</v>
      </c>
      <c r="B33">
        <v>1</v>
      </c>
      <c r="C33">
        <v>802</v>
      </c>
      <c r="D33">
        <v>65539.44</v>
      </c>
    </row>
    <row r="34" spans="1:4" x14ac:dyDescent="0.2">
      <c r="A34" s="900">
        <v>93362</v>
      </c>
      <c r="B34">
        <v>1</v>
      </c>
      <c r="C34">
        <v>3980.6</v>
      </c>
      <c r="D34">
        <v>61102.21</v>
      </c>
    </row>
    <row r="35" spans="1:4" x14ac:dyDescent="0.2">
      <c r="A35" s="900">
        <v>92821</v>
      </c>
      <c r="B35">
        <v>1</v>
      </c>
      <c r="C35">
        <v>802</v>
      </c>
      <c r="D35">
        <v>59492.36</v>
      </c>
    </row>
    <row r="36" spans="1:4" x14ac:dyDescent="0.2">
      <c r="A36" s="900">
        <v>98459</v>
      </c>
      <c r="B36">
        <v>1</v>
      </c>
      <c r="C36">
        <v>400</v>
      </c>
      <c r="D36">
        <v>58800</v>
      </c>
    </row>
    <row r="37" spans="1:4" x14ac:dyDescent="0.2">
      <c r="A37" s="1809">
        <v>101570</v>
      </c>
      <c r="B37">
        <v>1</v>
      </c>
      <c r="C37">
        <v>2139.73</v>
      </c>
      <c r="D37">
        <v>56895.42</v>
      </c>
    </row>
    <row r="38" spans="1:4" x14ac:dyDescent="0.2">
      <c r="A38" s="1809">
        <v>102278</v>
      </c>
      <c r="B38">
        <v>1</v>
      </c>
      <c r="C38">
        <v>4953.38</v>
      </c>
      <c r="D38">
        <v>53446.97</v>
      </c>
    </row>
    <row r="39" spans="1:4" x14ac:dyDescent="0.2">
      <c r="A39" s="1809" t="s">
        <v>2446</v>
      </c>
      <c r="B39">
        <v>1</v>
      </c>
      <c r="C39">
        <v>702</v>
      </c>
      <c r="D39">
        <v>52277.94</v>
      </c>
    </row>
    <row r="40" spans="1:4" x14ac:dyDescent="0.2">
      <c r="A40" s="900" t="s">
        <v>1796</v>
      </c>
      <c r="B40">
        <v>1</v>
      </c>
      <c r="C40">
        <v>7392.66</v>
      </c>
      <c r="D40">
        <v>49161.18</v>
      </c>
    </row>
    <row r="41" spans="1:4" x14ac:dyDescent="0.2">
      <c r="A41" s="900">
        <v>96385</v>
      </c>
      <c r="B41">
        <v>1</v>
      </c>
      <c r="C41">
        <v>3633.19</v>
      </c>
      <c r="D41">
        <v>47776.44</v>
      </c>
    </row>
    <row r="42" spans="1:4" x14ac:dyDescent="0.2">
      <c r="A42" s="900">
        <v>93358</v>
      </c>
      <c r="B42">
        <v>1</v>
      </c>
      <c r="C42">
        <v>494.43</v>
      </c>
      <c r="D42">
        <v>44686.58</v>
      </c>
    </row>
    <row r="43" spans="1:4" x14ac:dyDescent="0.2">
      <c r="A43" s="1809" t="s">
        <v>2405</v>
      </c>
      <c r="B43">
        <v>1</v>
      </c>
      <c r="C43">
        <v>47.93</v>
      </c>
      <c r="D43">
        <v>43862.66</v>
      </c>
    </row>
    <row r="44" spans="1:4" x14ac:dyDescent="0.2">
      <c r="A44" s="1809">
        <v>90102</v>
      </c>
      <c r="B44">
        <v>1</v>
      </c>
      <c r="C44">
        <v>3278.74</v>
      </c>
      <c r="D44">
        <v>43803.96</v>
      </c>
    </row>
    <row r="45" spans="1:4" x14ac:dyDescent="0.2">
      <c r="A45" s="1809" t="s">
        <v>2735</v>
      </c>
      <c r="B45">
        <v>1</v>
      </c>
      <c r="C45">
        <v>388.22</v>
      </c>
      <c r="D45">
        <v>40037.120000000003</v>
      </c>
    </row>
    <row r="46" spans="1:4" x14ac:dyDescent="0.2">
      <c r="A46" s="1809" t="s">
        <v>272</v>
      </c>
      <c r="B46">
        <v>1</v>
      </c>
      <c r="C46">
        <v>5</v>
      </c>
      <c r="D46">
        <v>38416.550000000003</v>
      </c>
    </row>
    <row r="47" spans="1:4" x14ac:dyDescent="0.2">
      <c r="A47" s="900" t="s">
        <v>1636</v>
      </c>
      <c r="B47">
        <v>1</v>
      </c>
      <c r="C47">
        <v>2949.66</v>
      </c>
      <c r="D47">
        <v>37106.720000000001</v>
      </c>
    </row>
    <row r="48" spans="1:4" x14ac:dyDescent="0.2">
      <c r="A48" s="1809">
        <v>93377</v>
      </c>
      <c r="B48">
        <v>1</v>
      </c>
      <c r="C48">
        <v>2884.36</v>
      </c>
      <c r="D48">
        <v>36631.370000000003</v>
      </c>
    </row>
    <row r="49" spans="1:4" x14ac:dyDescent="0.2">
      <c r="A49" s="1809">
        <v>98533</v>
      </c>
      <c r="B49">
        <v>1</v>
      </c>
      <c r="C49">
        <v>104</v>
      </c>
      <c r="D49">
        <v>36436.400000000001</v>
      </c>
    </row>
    <row r="50" spans="1:4" x14ac:dyDescent="0.2">
      <c r="A50" s="1809">
        <v>100979</v>
      </c>
      <c r="B50">
        <v>3</v>
      </c>
      <c r="C50">
        <v>4909.28</v>
      </c>
      <c r="D50">
        <v>35592.270000000004</v>
      </c>
    </row>
    <row r="51" spans="1:4" x14ac:dyDescent="0.2">
      <c r="A51" s="1809" t="s">
        <v>2708</v>
      </c>
      <c r="B51">
        <v>1</v>
      </c>
      <c r="C51">
        <v>1124.6500000000001</v>
      </c>
      <c r="D51">
        <v>34144.370000000003</v>
      </c>
    </row>
    <row r="52" spans="1:4" x14ac:dyDescent="0.2">
      <c r="A52" s="1809" t="s">
        <v>2397</v>
      </c>
      <c r="B52">
        <v>1</v>
      </c>
      <c r="C52">
        <v>288.58999999999997</v>
      </c>
      <c r="D52">
        <v>33848.720000000001</v>
      </c>
    </row>
    <row r="53" spans="1:4" x14ac:dyDescent="0.2">
      <c r="A53" s="1809" t="s">
        <v>2734</v>
      </c>
      <c r="B53">
        <v>1</v>
      </c>
      <c r="C53">
        <v>12</v>
      </c>
      <c r="D53">
        <v>28968</v>
      </c>
    </row>
    <row r="54" spans="1:4" x14ac:dyDescent="0.2">
      <c r="A54" s="900" t="s">
        <v>1749</v>
      </c>
      <c r="B54">
        <v>1</v>
      </c>
      <c r="C54">
        <v>29</v>
      </c>
      <c r="D54">
        <v>26939.84</v>
      </c>
    </row>
    <row r="55" spans="1:4" x14ac:dyDescent="0.2">
      <c r="A55" s="1809" t="s">
        <v>2736</v>
      </c>
      <c r="B55">
        <v>1</v>
      </c>
      <c r="C55">
        <v>390.6</v>
      </c>
      <c r="D55">
        <v>23697.7</v>
      </c>
    </row>
    <row r="56" spans="1:4" x14ac:dyDescent="0.2">
      <c r="A56" s="1809">
        <v>93375</v>
      </c>
      <c r="B56">
        <v>1</v>
      </c>
      <c r="C56">
        <v>996.2</v>
      </c>
      <c r="D56">
        <v>23201.49</v>
      </c>
    </row>
    <row r="57" spans="1:4" x14ac:dyDescent="0.2">
      <c r="A57" s="1809">
        <v>13521</v>
      </c>
      <c r="B57">
        <v>1</v>
      </c>
      <c r="C57">
        <v>202</v>
      </c>
      <c r="D57">
        <v>20113.14</v>
      </c>
    </row>
    <row r="58" spans="1:4" x14ac:dyDescent="0.2">
      <c r="A58" s="900">
        <v>10776</v>
      </c>
      <c r="B58">
        <v>1</v>
      </c>
      <c r="C58">
        <v>24</v>
      </c>
      <c r="D58">
        <v>19077.84</v>
      </c>
    </row>
    <row r="59" spans="1:4" x14ac:dyDescent="0.2">
      <c r="A59" s="1809" t="s">
        <v>1638</v>
      </c>
      <c r="B59">
        <v>1</v>
      </c>
      <c r="C59">
        <v>14.4</v>
      </c>
      <c r="D59">
        <v>17842.46</v>
      </c>
    </row>
    <row r="60" spans="1:4" x14ac:dyDescent="0.2">
      <c r="A60" s="1809" t="s">
        <v>1637</v>
      </c>
      <c r="B60">
        <v>1</v>
      </c>
      <c r="C60">
        <v>400</v>
      </c>
      <c r="D60">
        <v>17092</v>
      </c>
    </row>
    <row r="61" spans="1:4" x14ac:dyDescent="0.2">
      <c r="A61" s="1809">
        <v>90100</v>
      </c>
      <c r="B61">
        <v>1</v>
      </c>
      <c r="C61">
        <v>1141.33</v>
      </c>
      <c r="D61">
        <v>16937.330000000002</v>
      </c>
    </row>
    <row r="62" spans="1:4" x14ac:dyDescent="0.2">
      <c r="A62" s="1809" t="s">
        <v>984</v>
      </c>
      <c r="B62">
        <v>1</v>
      </c>
      <c r="C62">
        <v>52</v>
      </c>
      <c r="D62">
        <v>16347.24</v>
      </c>
    </row>
    <row r="63" spans="1:4" x14ac:dyDescent="0.2">
      <c r="A63" s="900" t="s">
        <v>1663</v>
      </c>
      <c r="B63">
        <v>1</v>
      </c>
      <c r="C63">
        <v>3859.97</v>
      </c>
      <c r="D63">
        <v>15362.68</v>
      </c>
    </row>
    <row r="64" spans="1:4" x14ac:dyDescent="0.2">
      <c r="A64" s="900">
        <v>97636</v>
      </c>
      <c r="B64">
        <v>1</v>
      </c>
      <c r="C64">
        <v>712.25</v>
      </c>
      <c r="D64">
        <v>15227.9</v>
      </c>
    </row>
    <row r="65" spans="1:4" x14ac:dyDescent="0.2">
      <c r="A65" s="1809" t="s">
        <v>2414</v>
      </c>
      <c r="B65">
        <v>1</v>
      </c>
      <c r="C65">
        <v>2500</v>
      </c>
      <c r="D65">
        <v>15225</v>
      </c>
    </row>
    <row r="66" spans="1:4" x14ac:dyDescent="0.2">
      <c r="A66" s="1809">
        <v>101616</v>
      </c>
      <c r="B66">
        <v>1</v>
      </c>
      <c r="C66">
        <v>2173.7399999999998</v>
      </c>
      <c r="D66">
        <v>14455.37</v>
      </c>
    </row>
    <row r="67" spans="1:4" x14ac:dyDescent="0.2">
      <c r="A67" s="900">
        <v>10777</v>
      </c>
      <c r="B67">
        <v>1</v>
      </c>
      <c r="C67">
        <v>12</v>
      </c>
      <c r="D67">
        <v>13863.36</v>
      </c>
    </row>
    <row r="68" spans="1:4" x14ac:dyDescent="0.2">
      <c r="A68" s="900">
        <v>10775</v>
      </c>
      <c r="B68">
        <v>1</v>
      </c>
      <c r="C68">
        <v>12</v>
      </c>
      <c r="D68">
        <v>12210</v>
      </c>
    </row>
    <row r="69" spans="1:4" x14ac:dyDescent="0.2">
      <c r="A69" s="900">
        <v>98051</v>
      </c>
      <c r="B69">
        <v>1</v>
      </c>
      <c r="C69">
        <v>10.84</v>
      </c>
      <c r="D69">
        <v>12175.81</v>
      </c>
    </row>
    <row r="70" spans="1:4" x14ac:dyDescent="0.2">
      <c r="A70" s="900">
        <v>97084</v>
      </c>
      <c r="B70">
        <v>1</v>
      </c>
      <c r="C70">
        <v>15489.17</v>
      </c>
      <c r="D70">
        <v>11152.2</v>
      </c>
    </row>
    <row r="71" spans="1:4" x14ac:dyDescent="0.2">
      <c r="A71" s="900" t="s">
        <v>188</v>
      </c>
      <c r="B71">
        <v>1</v>
      </c>
      <c r="C71">
        <v>62</v>
      </c>
      <c r="D71">
        <v>10212.02</v>
      </c>
    </row>
    <row r="72" spans="1:4" x14ac:dyDescent="0.2">
      <c r="A72" s="1809">
        <v>98526</v>
      </c>
      <c r="B72">
        <v>1</v>
      </c>
      <c r="C72">
        <v>104</v>
      </c>
      <c r="D72">
        <v>9607.52</v>
      </c>
    </row>
    <row r="73" spans="1:4" x14ac:dyDescent="0.2">
      <c r="A73" s="1809" t="s">
        <v>983</v>
      </c>
      <c r="B73">
        <v>1</v>
      </c>
      <c r="C73">
        <v>26</v>
      </c>
      <c r="D73">
        <v>9588.2800000000007</v>
      </c>
    </row>
    <row r="74" spans="1:4" x14ac:dyDescent="0.2">
      <c r="A74" s="1809" t="s">
        <v>2726</v>
      </c>
      <c r="B74">
        <v>1</v>
      </c>
      <c r="C74">
        <v>4.63</v>
      </c>
      <c r="D74">
        <v>8475.58</v>
      </c>
    </row>
    <row r="75" spans="1:4" x14ac:dyDescent="0.2">
      <c r="A75" s="1809">
        <v>102333</v>
      </c>
      <c r="B75">
        <v>2</v>
      </c>
      <c r="C75">
        <v>10516.32</v>
      </c>
      <c r="D75">
        <v>8202.7200000000012</v>
      </c>
    </row>
    <row r="76" spans="1:4" x14ac:dyDescent="0.2">
      <c r="A76" s="1809" t="s">
        <v>2738</v>
      </c>
      <c r="B76">
        <v>1</v>
      </c>
      <c r="C76">
        <v>346.7</v>
      </c>
      <c r="D76">
        <v>7908.22</v>
      </c>
    </row>
    <row r="77" spans="1:4" x14ac:dyDescent="0.2">
      <c r="A77" s="900">
        <v>13244</v>
      </c>
      <c r="B77">
        <v>1</v>
      </c>
      <c r="C77">
        <v>126</v>
      </c>
      <c r="D77">
        <v>7892.64</v>
      </c>
    </row>
    <row r="78" spans="1:4" x14ac:dyDescent="0.2">
      <c r="A78" s="1809">
        <v>98529</v>
      </c>
      <c r="B78">
        <v>1</v>
      </c>
      <c r="C78">
        <v>104</v>
      </c>
      <c r="D78">
        <v>7636.72</v>
      </c>
    </row>
    <row r="79" spans="1:4" x14ac:dyDescent="0.2">
      <c r="A79" s="1809">
        <v>101617</v>
      </c>
      <c r="B79">
        <v>1</v>
      </c>
      <c r="C79">
        <v>1978.65</v>
      </c>
      <c r="D79">
        <v>6489.97</v>
      </c>
    </row>
    <row r="80" spans="1:4" x14ac:dyDescent="0.2">
      <c r="A80" s="900">
        <v>93585</v>
      </c>
      <c r="B80">
        <v>1</v>
      </c>
      <c r="C80">
        <v>4</v>
      </c>
      <c r="D80">
        <v>6295.16</v>
      </c>
    </row>
    <row r="81" spans="1:4" x14ac:dyDescent="0.2">
      <c r="A81" s="1809">
        <v>101573</v>
      </c>
      <c r="B81">
        <v>1</v>
      </c>
      <c r="C81">
        <v>201.43</v>
      </c>
      <c r="D81">
        <v>6097.28</v>
      </c>
    </row>
    <row r="82" spans="1:4" x14ac:dyDescent="0.2">
      <c r="A82" s="900" t="s">
        <v>1652</v>
      </c>
      <c r="B82">
        <v>1</v>
      </c>
      <c r="C82">
        <v>1463.44</v>
      </c>
      <c r="D82">
        <v>5941.56</v>
      </c>
    </row>
    <row r="83" spans="1:4" x14ac:dyDescent="0.2">
      <c r="A83" s="900">
        <v>93364</v>
      </c>
      <c r="B83">
        <v>1</v>
      </c>
      <c r="C83">
        <v>433.52</v>
      </c>
      <c r="D83">
        <v>5696.45</v>
      </c>
    </row>
    <row r="84" spans="1:4" x14ac:dyDescent="0.2">
      <c r="A84" s="900">
        <v>90087</v>
      </c>
      <c r="B84">
        <v>1</v>
      </c>
      <c r="C84">
        <v>515.21</v>
      </c>
      <c r="D84">
        <v>5327.27</v>
      </c>
    </row>
    <row r="85" spans="1:4" x14ac:dyDescent="0.2">
      <c r="A85" s="900">
        <v>98525</v>
      </c>
      <c r="B85">
        <v>1</v>
      </c>
      <c r="C85">
        <v>10000</v>
      </c>
      <c r="D85">
        <v>4100</v>
      </c>
    </row>
    <row r="86" spans="1:4" x14ac:dyDescent="0.2">
      <c r="A86" s="900">
        <v>94962</v>
      </c>
      <c r="B86">
        <v>1</v>
      </c>
      <c r="C86">
        <v>8.42</v>
      </c>
      <c r="D86">
        <v>3870.5</v>
      </c>
    </row>
    <row r="87" spans="1:4" x14ac:dyDescent="0.2">
      <c r="A87" s="1809" t="s">
        <v>438</v>
      </c>
      <c r="B87">
        <v>1</v>
      </c>
      <c r="C87">
        <v>107</v>
      </c>
      <c r="D87">
        <v>3671.17</v>
      </c>
    </row>
    <row r="88" spans="1:4" x14ac:dyDescent="0.2">
      <c r="A88" s="900" t="s">
        <v>1651</v>
      </c>
      <c r="B88">
        <v>1</v>
      </c>
      <c r="C88">
        <v>8</v>
      </c>
      <c r="D88">
        <v>3442.8</v>
      </c>
    </row>
    <row r="89" spans="1:4" x14ac:dyDescent="0.2">
      <c r="A89" s="1809">
        <v>100983</v>
      </c>
      <c r="B89">
        <v>1</v>
      </c>
      <c r="C89">
        <v>345.12</v>
      </c>
      <c r="D89">
        <v>3389.07</v>
      </c>
    </row>
    <row r="90" spans="1:4" x14ac:dyDescent="0.2">
      <c r="A90" s="1809">
        <v>98534</v>
      </c>
      <c r="B90">
        <v>1</v>
      </c>
      <c r="C90">
        <v>3</v>
      </c>
      <c r="D90">
        <v>2695.77</v>
      </c>
    </row>
    <row r="91" spans="1:4" x14ac:dyDescent="0.2">
      <c r="A91" s="900">
        <v>100575</v>
      </c>
      <c r="B91">
        <v>2</v>
      </c>
      <c r="C91">
        <v>17681.3</v>
      </c>
      <c r="D91">
        <v>2298.56</v>
      </c>
    </row>
    <row r="92" spans="1:4" x14ac:dyDescent="0.2">
      <c r="A92" s="1809" t="s">
        <v>1677</v>
      </c>
      <c r="B92">
        <v>1</v>
      </c>
      <c r="C92">
        <v>24.93</v>
      </c>
      <c r="D92">
        <v>2226.2399999999998</v>
      </c>
    </row>
    <row r="93" spans="1:4" x14ac:dyDescent="0.2">
      <c r="A93" s="1809" t="s">
        <v>281</v>
      </c>
      <c r="B93">
        <v>1</v>
      </c>
      <c r="C93">
        <v>0.96</v>
      </c>
      <c r="D93">
        <v>1913.02</v>
      </c>
    </row>
    <row r="94" spans="1:4" x14ac:dyDescent="0.2">
      <c r="A94" s="900" t="s">
        <v>275</v>
      </c>
      <c r="B94">
        <v>1</v>
      </c>
      <c r="C94">
        <v>53</v>
      </c>
      <c r="D94">
        <v>1802.53</v>
      </c>
    </row>
    <row r="95" spans="1:4" x14ac:dyDescent="0.2">
      <c r="A95" s="1809" t="s">
        <v>2829</v>
      </c>
      <c r="B95">
        <v>1</v>
      </c>
      <c r="C95">
        <v>0.84</v>
      </c>
      <c r="D95">
        <v>1565.32</v>
      </c>
    </row>
    <row r="96" spans="1:4" x14ac:dyDescent="0.2">
      <c r="A96" s="1809">
        <v>100948</v>
      </c>
      <c r="B96">
        <v>1</v>
      </c>
      <c r="C96">
        <v>1347</v>
      </c>
      <c r="D96">
        <v>1266.18</v>
      </c>
    </row>
    <row r="97" spans="1:4" x14ac:dyDescent="0.2">
      <c r="A97" s="1809">
        <v>100947</v>
      </c>
      <c r="B97">
        <v>1</v>
      </c>
      <c r="C97">
        <v>428</v>
      </c>
      <c r="D97">
        <v>1010.08</v>
      </c>
    </row>
    <row r="98" spans="1:4" x14ac:dyDescent="0.2">
      <c r="A98" s="1809">
        <v>98527</v>
      </c>
      <c r="B98">
        <v>1</v>
      </c>
      <c r="C98">
        <v>3</v>
      </c>
      <c r="D98">
        <v>596.73</v>
      </c>
    </row>
    <row r="99" spans="1:4" x14ac:dyDescent="0.2">
      <c r="A99" s="1809">
        <v>98530</v>
      </c>
      <c r="B99">
        <v>1</v>
      </c>
      <c r="C99">
        <v>3</v>
      </c>
      <c r="D99">
        <v>392.43</v>
      </c>
    </row>
    <row r="100" spans="1:4" x14ac:dyDescent="0.2">
      <c r="A100" s="900">
        <v>90105</v>
      </c>
      <c r="B100">
        <v>1</v>
      </c>
      <c r="C100">
        <v>32.78</v>
      </c>
      <c r="D100">
        <v>315.99</v>
      </c>
    </row>
    <row r="101" spans="1:4" x14ac:dyDescent="0.2">
      <c r="A101" s="900">
        <v>95875</v>
      </c>
      <c r="B101">
        <v>1</v>
      </c>
      <c r="C101">
        <v>54.64</v>
      </c>
      <c r="D101">
        <v>143.69999999999999</v>
      </c>
    </row>
    <row r="102" spans="1:4" x14ac:dyDescent="0.2">
      <c r="A102" s="900" t="s">
        <v>446</v>
      </c>
      <c r="B102">
        <v>121</v>
      </c>
      <c r="C102">
        <v>2013329.1399999994</v>
      </c>
      <c r="D102">
        <v>13400657.839999998</v>
      </c>
    </row>
    <row r="103" spans="1:4" x14ac:dyDescent="0.2">
      <c r="A103"/>
    </row>
    <row r="104" spans="1:4" x14ac:dyDescent="0.2">
      <c r="A104"/>
    </row>
    <row r="105" spans="1:4" x14ac:dyDescent="0.2">
      <c r="A105"/>
    </row>
    <row r="106" spans="1:4" x14ac:dyDescent="0.2">
      <c r="A106"/>
    </row>
    <row r="107" spans="1:4" x14ac:dyDescent="0.2">
      <c r="A107"/>
    </row>
    <row r="108" spans="1:4" x14ac:dyDescent="0.2">
      <c r="A108"/>
    </row>
    <row r="109" spans="1:4" x14ac:dyDescent="0.2">
      <c r="A109"/>
    </row>
    <row r="110" spans="1:4" x14ac:dyDescent="0.2">
      <c r="A110"/>
    </row>
    <row r="111" spans="1:4" x14ac:dyDescent="0.2">
      <c r="A111"/>
    </row>
    <row r="112" spans="1:4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45">
    <tabColor theme="5" tint="0.59999389629810485"/>
    <pageSetUpPr fitToPage="1"/>
  </sheetPr>
  <dimension ref="A1:EJ54"/>
  <sheetViews>
    <sheetView showGridLines="0" showZeros="0" zoomScale="85" zoomScaleNormal="85" workbookViewId="0">
      <pane ySplit="10" topLeftCell="A11" activePane="bottomLeft" state="frozen"/>
      <selection pane="bottomLeft" activeCell="X12" sqref="X12"/>
    </sheetView>
  </sheetViews>
  <sheetFormatPr defaultColWidth="9" defaultRowHeight="12.75" x14ac:dyDescent="0.2"/>
  <cols>
    <col min="1" max="1" width="11.375" style="22" bestFit="1" customWidth="1"/>
    <col min="2" max="2" width="9.625" style="30" customWidth="1"/>
    <col min="3" max="3" width="7.625" style="30" hidden="1" customWidth="1"/>
    <col min="4" max="4" width="9.625" style="30" customWidth="1"/>
    <col min="5" max="5" width="7.125" style="20" customWidth="1"/>
    <col min="6" max="7" width="9.625" style="29" customWidth="1"/>
    <col min="8" max="8" width="7.625" style="20" bestFit="1" customWidth="1"/>
    <col min="9" max="9" width="6.625" style="28" hidden="1" customWidth="1"/>
    <col min="10" max="12" width="6.625" style="27" hidden="1" customWidth="1"/>
    <col min="13" max="13" width="6.625" style="26" hidden="1" customWidth="1"/>
    <col min="14" max="14" width="7.625" style="25" customWidth="1"/>
    <col min="15" max="16" width="7.625" style="23" customWidth="1"/>
    <col min="17" max="19" width="8.625" style="25" customWidth="1"/>
    <col min="20" max="20" width="9.375" style="25" customWidth="1"/>
    <col min="21" max="23" width="8.625" style="25" customWidth="1"/>
    <col min="24" max="27" width="8.625" style="23" customWidth="1"/>
    <col min="28" max="28" width="6.625" style="23" hidden="1" customWidth="1"/>
    <col min="29" max="30" width="8.625" style="23" customWidth="1"/>
    <col min="31" max="31" width="6.125" style="24" hidden="1" customWidth="1"/>
    <col min="32" max="32" width="6.125" style="23" hidden="1" customWidth="1"/>
    <col min="33" max="33" width="6.75" style="23" hidden="1" customWidth="1"/>
    <col min="34" max="34" width="8.25" style="23" hidden="1" customWidth="1"/>
    <col min="35" max="37" width="8.625" style="23" customWidth="1"/>
    <col min="38" max="38" width="10.625" style="23" customWidth="1"/>
    <col min="39" max="39" width="3.75" style="86" hidden="1" customWidth="1"/>
    <col min="40" max="43" width="4.875" style="87" hidden="1" customWidth="1"/>
    <col min="44" max="46" width="11.125" style="88" hidden="1" customWidth="1"/>
    <col min="47" max="49" width="4.25" style="88" hidden="1" customWidth="1"/>
    <col min="50" max="50" width="6.375" style="93" hidden="1" customWidth="1"/>
    <col min="51" max="51" width="6.875" style="93" hidden="1" customWidth="1"/>
    <col min="52" max="52" width="5.125" style="93" hidden="1" customWidth="1"/>
    <col min="53" max="53" width="9.625" style="93" hidden="1" customWidth="1"/>
    <col min="54" max="54" width="5.125" style="93" hidden="1" customWidth="1"/>
    <col min="55" max="55" width="6.875" style="93" hidden="1" customWidth="1"/>
    <col min="56" max="56" width="5.125" style="93" hidden="1" customWidth="1"/>
    <col min="57" max="62" width="8.5" style="93" hidden="1" customWidth="1"/>
    <col min="63" max="68" width="8.5" style="21" hidden="1" customWidth="1"/>
    <col min="69" max="69" width="10.125" style="21" hidden="1" customWidth="1"/>
    <col min="70" max="70" width="8.5" style="1875" hidden="1" customWidth="1"/>
    <col min="71" max="71" width="8.5" style="21" hidden="1" customWidth="1"/>
    <col min="72" max="72" width="9.25" style="21" hidden="1" customWidth="1"/>
    <col min="73" max="73" width="9" style="21" hidden="1" customWidth="1"/>
    <col min="74" max="74" width="0" style="21" hidden="1" customWidth="1"/>
    <col min="75" max="80" width="9" style="21" hidden="1" customWidth="1"/>
    <col min="81" max="140" width="9" style="21"/>
    <col min="141" max="16384" width="9" style="20"/>
  </cols>
  <sheetData>
    <row r="1" spans="1:140" s="31" customFormat="1" ht="20.100000000000001" customHeight="1" thickTop="1" x14ac:dyDescent="0.15">
      <c r="A1" s="2084"/>
      <c r="B1" s="313" t="s">
        <v>30</v>
      </c>
      <c r="C1" s="343"/>
      <c r="D1" s="343" t="s">
        <v>2672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1438"/>
      <c r="U1" s="1441" t="s">
        <v>1715</v>
      </c>
      <c r="V1" s="1441" t="s">
        <v>1716</v>
      </c>
      <c r="W1" s="1775" t="s">
        <v>1717</v>
      </c>
      <c r="X1" s="1775" t="s">
        <v>1718</v>
      </c>
      <c r="Y1" s="1775" t="s">
        <v>1719</v>
      </c>
      <c r="Z1" s="1775" t="s">
        <v>1720</v>
      </c>
      <c r="AA1" s="1775" t="s">
        <v>1721</v>
      </c>
      <c r="AB1" s="1776"/>
      <c r="AC1" s="1777" t="s">
        <v>1722</v>
      </c>
      <c r="AD1" s="51"/>
      <c r="AE1" s="58"/>
      <c r="AF1" s="32"/>
      <c r="AG1" s="32"/>
      <c r="AH1" s="32"/>
      <c r="AI1" s="3246" t="s">
        <v>819</v>
      </c>
      <c r="AJ1" s="3247"/>
      <c r="AK1" s="3247"/>
      <c r="AL1" s="3248"/>
      <c r="AM1" s="76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8"/>
      <c r="AY1" s="78"/>
      <c r="AZ1" s="78"/>
      <c r="BB1" s="78"/>
      <c r="BC1" s="78"/>
      <c r="BD1" s="79"/>
      <c r="BE1" s="79"/>
      <c r="BF1" s="79"/>
      <c r="BG1" s="79"/>
      <c r="BH1" s="79"/>
      <c r="BI1" s="79"/>
      <c r="BJ1" s="79"/>
      <c r="BK1" s="35"/>
      <c r="BL1" s="35"/>
      <c r="BM1" s="35"/>
      <c r="BN1" s="35"/>
      <c r="BO1" s="35"/>
      <c r="BP1" s="35"/>
      <c r="BQ1" s="35"/>
      <c r="BR1" s="1872"/>
      <c r="BS1" s="35"/>
      <c r="BT1" s="35"/>
      <c r="BU1" s="35"/>
      <c r="BW1" s="1860" t="s">
        <v>2216</v>
      </c>
      <c r="BX1" s="1861">
        <v>0.6</v>
      </c>
      <c r="BY1" s="1861">
        <v>0.8</v>
      </c>
      <c r="BZ1" s="1861">
        <v>1</v>
      </c>
      <c r="CA1" s="1861">
        <v>1.2</v>
      </c>
      <c r="CB1" s="1861">
        <v>1.5</v>
      </c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</row>
    <row r="2" spans="1:140" s="31" customFormat="1" ht="20.100000000000001" customHeight="1" x14ac:dyDescent="0.15">
      <c r="B2" s="313" t="s">
        <v>220</v>
      </c>
      <c r="C2" s="343"/>
      <c r="D2" s="343" t="s">
        <v>2785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1439" t="s">
        <v>1723</v>
      </c>
      <c r="U2" s="2228" t="s">
        <v>2645</v>
      </c>
      <c r="V2" s="2226" t="s">
        <v>1633</v>
      </c>
      <c r="W2" s="2228" t="s">
        <v>2645</v>
      </c>
      <c r="X2" s="2226" t="s">
        <v>1633</v>
      </c>
      <c r="Y2" s="2228" t="s">
        <v>2645</v>
      </c>
      <c r="Z2" s="2226" t="s">
        <v>1633</v>
      </c>
      <c r="AA2" s="2226" t="s">
        <v>1633</v>
      </c>
      <c r="AB2" s="1774"/>
      <c r="AC2" s="1773" t="s">
        <v>1633</v>
      </c>
      <c r="AD2" s="51"/>
      <c r="AE2" s="57"/>
      <c r="AF2" s="32"/>
      <c r="AG2" s="32"/>
      <c r="AH2" s="32"/>
      <c r="AI2" s="56" t="s">
        <v>354</v>
      </c>
      <c r="AJ2" s="55"/>
      <c r="AK2" s="55"/>
      <c r="AL2" s="54"/>
      <c r="AM2" s="81"/>
      <c r="AN2" s="82"/>
      <c r="AO2" s="77"/>
      <c r="AP2" s="77"/>
      <c r="AQ2" s="77"/>
      <c r="AR2" s="77"/>
      <c r="AS2" s="77"/>
      <c r="AT2" s="77"/>
      <c r="AU2" s="77"/>
      <c r="AV2" s="77"/>
      <c r="AW2" s="77"/>
      <c r="AX2" s="78"/>
      <c r="AY2" s="78"/>
      <c r="AZ2" s="78"/>
      <c r="BA2" s="78"/>
      <c r="BC2" s="78"/>
      <c r="BD2" s="79"/>
      <c r="BE2" s="79"/>
      <c r="BF2" s="79"/>
      <c r="BG2" s="79"/>
      <c r="BH2" s="79"/>
      <c r="BI2" s="79"/>
      <c r="BJ2" s="79"/>
      <c r="BK2" s="35"/>
      <c r="BL2" s="35"/>
      <c r="BM2" s="35"/>
      <c r="BN2" s="35"/>
      <c r="BO2" s="35"/>
      <c r="BP2" s="35"/>
      <c r="BQ2" s="35"/>
      <c r="BR2" s="1872"/>
      <c r="BS2" s="35"/>
      <c r="BT2" s="35"/>
      <c r="BU2" s="35"/>
      <c r="BW2" s="1860" t="s">
        <v>2223</v>
      </c>
      <c r="BX2" s="1862">
        <v>1.1619999999999999</v>
      </c>
      <c r="BY2" s="1862">
        <v>1.4460000000000002</v>
      </c>
      <c r="BZ2" s="1862">
        <v>1.73</v>
      </c>
      <c r="CA2" s="1862">
        <v>2.0139999999999998</v>
      </c>
      <c r="CB2" s="1862">
        <v>2.4420000000000002</v>
      </c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</row>
    <row r="3" spans="1:140" s="31" customFormat="1" ht="20.100000000000001" customHeight="1" thickBot="1" x14ac:dyDescent="0.2">
      <c r="B3" s="313" t="s">
        <v>2673</v>
      </c>
      <c r="C3" s="343"/>
      <c r="D3" s="343" t="s">
        <v>2781</v>
      </c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1440" t="s">
        <v>896</v>
      </c>
      <c r="U3" s="2227" t="s">
        <v>1633</v>
      </c>
      <c r="V3" s="2227" t="s">
        <v>1633</v>
      </c>
      <c r="W3" s="2227" t="s">
        <v>1633</v>
      </c>
      <c r="X3" s="2227" t="s">
        <v>1633</v>
      </c>
      <c r="Y3" s="2227" t="s">
        <v>1633</v>
      </c>
      <c r="Z3" s="2227" t="s">
        <v>1633</v>
      </c>
      <c r="AA3" s="2227" t="s">
        <v>1633</v>
      </c>
      <c r="AB3" s="1774"/>
      <c r="AC3" s="1772" t="s">
        <v>1633</v>
      </c>
      <c r="AD3" s="51"/>
      <c r="AE3" s="42"/>
      <c r="AF3" s="53"/>
      <c r="AG3" s="53"/>
      <c r="AH3" s="53"/>
      <c r="AI3" s="249" t="s">
        <v>107</v>
      </c>
      <c r="AJ3" s="250">
        <v>1146.93</v>
      </c>
      <c r="AK3" s="251" t="s">
        <v>106</v>
      </c>
      <c r="AL3" s="252">
        <v>12</v>
      </c>
      <c r="AM3" s="76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8"/>
      <c r="AY3" s="78"/>
      <c r="AZ3" s="78"/>
      <c r="BA3" s="78"/>
      <c r="BB3" s="78"/>
      <c r="BD3" s="79"/>
      <c r="BE3" s="79"/>
      <c r="BF3" s="79"/>
      <c r="BG3" s="79"/>
      <c r="BH3" s="79"/>
      <c r="BI3" s="79"/>
      <c r="BJ3" s="79"/>
      <c r="BK3" s="35"/>
      <c r="BL3" s="35"/>
      <c r="BM3" s="35"/>
      <c r="BN3" s="35"/>
      <c r="BO3" s="35"/>
      <c r="BP3" s="35"/>
      <c r="BQ3" s="35"/>
      <c r="BR3" s="1872"/>
      <c r="BS3" s="35"/>
      <c r="BT3" s="35"/>
      <c r="BU3" s="35"/>
      <c r="BW3" s="1860" t="s">
        <v>2217</v>
      </c>
      <c r="BX3" s="1862">
        <v>0.252</v>
      </c>
      <c r="BY3" s="1862">
        <v>0.33600000000000002</v>
      </c>
      <c r="BZ3" s="1862">
        <v>0.42</v>
      </c>
      <c r="CA3" s="1862">
        <v>0.504</v>
      </c>
      <c r="CB3" s="1862">
        <v>0.63200000000000001</v>
      </c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</row>
    <row r="4" spans="1:140" s="31" customFormat="1" ht="20.100000000000001" customHeight="1" thickTop="1" x14ac:dyDescent="0.15">
      <c r="A4" s="52"/>
      <c r="B4" s="313" t="s">
        <v>774</v>
      </c>
      <c r="C4" s="715"/>
      <c r="D4" s="3214" t="s">
        <v>2847</v>
      </c>
      <c r="E4" s="3214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51"/>
      <c r="S4" s="51"/>
      <c r="T4" s="51"/>
      <c r="U4" s="51"/>
      <c r="V4" s="51"/>
      <c r="AB4" s="32"/>
      <c r="AC4" s="32"/>
      <c r="AD4" s="32"/>
      <c r="AE4" s="50"/>
      <c r="AF4" s="33"/>
      <c r="AG4" s="33"/>
      <c r="AH4" s="33"/>
      <c r="AI4" s="249" t="s">
        <v>105</v>
      </c>
      <c r="AJ4" s="250">
        <v>0.18</v>
      </c>
      <c r="AK4" s="251" t="s">
        <v>104</v>
      </c>
      <c r="AL4" s="253">
        <v>0.79</v>
      </c>
      <c r="AM4" s="83"/>
      <c r="AN4" s="84"/>
      <c r="AO4" s="84"/>
      <c r="AP4" s="77"/>
      <c r="AQ4" s="77"/>
      <c r="AR4" s="77"/>
      <c r="AS4" s="77"/>
      <c r="AT4" s="77"/>
      <c r="AU4" s="77"/>
      <c r="AV4" s="77"/>
      <c r="AW4" s="77"/>
      <c r="AX4" s="78"/>
      <c r="AY4" s="78"/>
      <c r="AZ4" s="78"/>
      <c r="BA4" s="78"/>
      <c r="BB4" s="78"/>
      <c r="BC4" s="78"/>
      <c r="BD4" s="79"/>
      <c r="BE4" s="79"/>
      <c r="BF4" s="79"/>
      <c r="BG4" s="79"/>
      <c r="BH4" s="79"/>
      <c r="BI4" s="79"/>
      <c r="BJ4" s="79"/>
      <c r="BK4" s="35"/>
      <c r="BL4" s="35"/>
      <c r="BM4" s="35"/>
      <c r="BN4" s="35"/>
      <c r="BO4" s="35"/>
      <c r="BP4" s="35"/>
      <c r="BQ4" s="35"/>
      <c r="BR4" s="1872"/>
      <c r="BS4" s="35"/>
      <c r="BT4" s="35"/>
      <c r="BU4" s="35"/>
      <c r="BW4" s="1860" t="s">
        <v>2218</v>
      </c>
      <c r="BX4" s="1862">
        <v>0.19</v>
      </c>
      <c r="BY4" s="1862">
        <v>0.19</v>
      </c>
      <c r="BZ4" s="1862">
        <v>0.19</v>
      </c>
      <c r="CA4" s="1862">
        <v>0.19</v>
      </c>
      <c r="CB4" s="1862">
        <v>0.19</v>
      </c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</row>
    <row r="5" spans="1:140" s="31" customFormat="1" ht="20.100000000000001" customHeight="1" thickBot="1" x14ac:dyDescent="0.2">
      <c r="A5" s="41"/>
      <c r="B5" s="49"/>
      <c r="C5" s="49"/>
      <c r="D5" s="46"/>
      <c r="E5" s="46"/>
      <c r="F5" s="46"/>
      <c r="G5" s="46"/>
      <c r="H5" s="46"/>
      <c r="I5" s="46"/>
      <c r="J5" s="46"/>
      <c r="K5" s="46"/>
      <c r="L5" s="46"/>
      <c r="M5" s="48"/>
      <c r="N5" s="47"/>
      <c r="O5" s="46"/>
      <c r="P5" s="45"/>
      <c r="Q5" s="43"/>
      <c r="R5" s="43"/>
      <c r="S5" s="44"/>
      <c r="T5" s="43"/>
      <c r="U5" s="43"/>
      <c r="V5" s="43"/>
      <c r="AB5" s="33"/>
      <c r="AC5" s="33"/>
      <c r="AD5" s="33"/>
      <c r="AE5" s="42"/>
      <c r="AF5" s="33"/>
      <c r="AG5" s="33"/>
      <c r="AH5" s="33"/>
      <c r="AI5" s="254" t="s">
        <v>103</v>
      </c>
      <c r="AJ5" s="255">
        <v>5</v>
      </c>
      <c r="AK5" s="2236" t="s">
        <v>2759</v>
      </c>
      <c r="AL5" s="256"/>
      <c r="AM5" s="83"/>
      <c r="AN5" s="85"/>
      <c r="AO5" s="84"/>
      <c r="AP5" s="77"/>
      <c r="AQ5" s="77"/>
      <c r="AR5" s="77"/>
      <c r="AS5" s="77"/>
      <c r="AT5" s="77"/>
      <c r="AU5" s="77"/>
      <c r="AV5" s="77"/>
      <c r="AW5" s="77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35"/>
      <c r="BL5" s="35"/>
      <c r="BM5" s="35"/>
      <c r="BN5" s="35"/>
      <c r="BO5" s="35"/>
      <c r="BP5" s="35"/>
      <c r="BQ5" s="35"/>
      <c r="BR5" s="1872"/>
      <c r="BS5" s="35"/>
      <c r="BT5" s="35"/>
      <c r="BU5" s="35"/>
      <c r="BW5" s="1860" t="s">
        <v>2219</v>
      </c>
      <c r="BX5" s="1862">
        <v>0.12</v>
      </c>
      <c r="BY5" s="1862">
        <v>0.12</v>
      </c>
      <c r="BZ5" s="1862">
        <v>0.12</v>
      </c>
      <c r="CA5" s="1862">
        <v>0.12</v>
      </c>
      <c r="CB5" s="1862">
        <v>0.12</v>
      </c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</row>
    <row r="6" spans="1:140" s="31" customFormat="1" ht="20.100000000000001" customHeight="1" thickTop="1" x14ac:dyDescent="0.15">
      <c r="A6" s="36" t="s">
        <v>102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262">
        <v>1795362.19</v>
      </c>
      <c r="X6" s="3262"/>
      <c r="AB6" s="39"/>
      <c r="AC6" s="40"/>
      <c r="AD6" s="39"/>
      <c r="AE6" s="39"/>
      <c r="AF6" s="39"/>
      <c r="AG6" s="39"/>
      <c r="AH6" s="39"/>
      <c r="AJ6" s="38"/>
      <c r="AK6" s="38"/>
      <c r="AL6" s="37" t="s">
        <v>901</v>
      </c>
      <c r="AM6" s="83"/>
      <c r="AN6" s="84"/>
      <c r="AO6" s="84"/>
      <c r="AP6" s="77"/>
      <c r="AQ6" s="77"/>
      <c r="AR6" s="77"/>
      <c r="AS6" s="77"/>
      <c r="AT6" s="77"/>
      <c r="AU6" s="77"/>
      <c r="AV6" s="77"/>
      <c r="AW6" s="77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35"/>
      <c r="BL6" s="35"/>
      <c r="BM6" s="35"/>
      <c r="BN6" s="35"/>
      <c r="BO6" s="35"/>
      <c r="BP6" s="35"/>
      <c r="BQ6" s="35"/>
      <c r="BR6" s="1872"/>
      <c r="BS6" s="35"/>
      <c r="BT6" s="35"/>
      <c r="BU6" s="35"/>
      <c r="BW6" s="1860" t="s">
        <v>2220</v>
      </c>
      <c r="BX6" s="1862">
        <v>0.6</v>
      </c>
      <c r="BY6" s="1862">
        <v>0.8</v>
      </c>
      <c r="BZ6" s="1862">
        <v>1</v>
      </c>
      <c r="CA6" s="1862">
        <v>1.2</v>
      </c>
      <c r="CB6" s="1862">
        <v>1.5</v>
      </c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</row>
    <row r="7" spans="1:140" ht="20.100000000000001" customHeight="1" thickBot="1" x14ac:dyDescent="0.25">
      <c r="A7" s="750" t="s">
        <v>854</v>
      </c>
      <c r="B7" s="751" t="s">
        <v>855</v>
      </c>
      <c r="C7" s="750" t="s">
        <v>856</v>
      </c>
      <c r="D7" s="751" t="s">
        <v>857</v>
      </c>
      <c r="E7" s="750" t="s">
        <v>858</v>
      </c>
      <c r="F7" s="751" t="s">
        <v>859</v>
      </c>
      <c r="G7" s="750" t="s">
        <v>860</v>
      </c>
      <c r="H7" s="751" t="s">
        <v>861</v>
      </c>
      <c r="I7" s="750" t="s">
        <v>862</v>
      </c>
      <c r="J7" s="751" t="s">
        <v>863</v>
      </c>
      <c r="K7" s="750" t="s">
        <v>864</v>
      </c>
      <c r="L7" s="751" t="s">
        <v>865</v>
      </c>
      <c r="M7" s="750" t="s">
        <v>866</v>
      </c>
      <c r="N7" s="751" t="s">
        <v>867</v>
      </c>
      <c r="O7" s="750" t="s">
        <v>868</v>
      </c>
      <c r="P7" s="751" t="s">
        <v>869</v>
      </c>
      <c r="Q7" s="750" t="s">
        <v>870</v>
      </c>
      <c r="R7" s="751" t="s">
        <v>871</v>
      </c>
      <c r="S7" s="750" t="s">
        <v>872</v>
      </c>
      <c r="T7" s="751" t="s">
        <v>873</v>
      </c>
      <c r="U7" s="750" t="s">
        <v>874</v>
      </c>
      <c r="V7" s="751" t="s">
        <v>875</v>
      </c>
      <c r="W7" s="750" t="s">
        <v>876</v>
      </c>
      <c r="X7" s="751" t="s">
        <v>877</v>
      </c>
      <c r="Y7" s="750" t="s">
        <v>878</v>
      </c>
      <c r="Z7" s="751" t="s">
        <v>879</v>
      </c>
      <c r="AA7" s="750" t="s">
        <v>880</v>
      </c>
      <c r="AB7" s="751" t="s">
        <v>881</v>
      </c>
      <c r="AC7" s="750" t="s">
        <v>882</v>
      </c>
      <c r="AD7" s="751" t="s">
        <v>883</v>
      </c>
      <c r="AE7" s="750" t="s">
        <v>884</v>
      </c>
      <c r="AF7" s="751" t="s">
        <v>885</v>
      </c>
      <c r="AG7" s="750" t="s">
        <v>886</v>
      </c>
      <c r="AH7" s="751" t="s">
        <v>887</v>
      </c>
      <c r="AI7" s="750" t="s">
        <v>888</v>
      </c>
      <c r="AJ7" s="751" t="s">
        <v>889</v>
      </c>
      <c r="AK7" s="750" t="s">
        <v>890</v>
      </c>
      <c r="AL7" s="751" t="s">
        <v>891</v>
      </c>
      <c r="AM7" s="751" t="s">
        <v>1142</v>
      </c>
      <c r="AN7" s="750" t="s">
        <v>1143</v>
      </c>
      <c r="AO7" s="751" t="s">
        <v>1144</v>
      </c>
      <c r="AP7" s="751" t="s">
        <v>1145</v>
      </c>
      <c r="AQ7" s="750" t="s">
        <v>1146</v>
      </c>
      <c r="AR7" s="751" t="s">
        <v>1147</v>
      </c>
      <c r="AS7" s="751" t="s">
        <v>1148</v>
      </c>
      <c r="AT7" s="1866" t="s">
        <v>1149</v>
      </c>
      <c r="AU7" s="751" t="s">
        <v>1150</v>
      </c>
      <c r="AV7" s="751" t="s">
        <v>1151</v>
      </c>
      <c r="AW7" s="1866" t="s">
        <v>1152</v>
      </c>
      <c r="AX7" s="751" t="s">
        <v>1153</v>
      </c>
      <c r="AY7" s="751" t="s">
        <v>1154</v>
      </c>
      <c r="AZ7" s="1866" t="s">
        <v>1155</v>
      </c>
      <c r="BA7" s="751" t="s">
        <v>1156</v>
      </c>
      <c r="BB7" s="751" t="s">
        <v>1157</v>
      </c>
      <c r="BC7" s="1866" t="s">
        <v>1158</v>
      </c>
      <c r="BD7" s="751" t="s">
        <v>1159</v>
      </c>
      <c r="BE7" s="751" t="s">
        <v>1160</v>
      </c>
      <c r="BF7" s="751" t="s">
        <v>1161</v>
      </c>
      <c r="BG7" s="751" t="s">
        <v>1162</v>
      </c>
      <c r="BH7" s="751" t="s">
        <v>1163</v>
      </c>
      <c r="BI7" s="751" t="s">
        <v>1164</v>
      </c>
      <c r="BJ7" s="751" t="s">
        <v>1165</v>
      </c>
      <c r="BK7" s="751" t="s">
        <v>1166</v>
      </c>
      <c r="BL7" s="751" t="s">
        <v>1167</v>
      </c>
      <c r="BM7" s="751" t="s">
        <v>1168</v>
      </c>
      <c r="BN7" s="751" t="s">
        <v>1169</v>
      </c>
      <c r="BO7" s="751" t="s">
        <v>1170</v>
      </c>
      <c r="BP7" s="751" t="s">
        <v>1171</v>
      </c>
      <c r="BQ7" s="751" t="s">
        <v>1172</v>
      </c>
      <c r="BR7" s="1873" t="s">
        <v>2226</v>
      </c>
      <c r="BS7" s="751" t="s">
        <v>2241</v>
      </c>
      <c r="BT7" s="751" t="s">
        <v>2242</v>
      </c>
      <c r="BV7" s="20"/>
      <c r="BW7" s="1860" t="s">
        <v>2221</v>
      </c>
      <c r="BX7" s="1862">
        <v>0.2</v>
      </c>
      <c r="BY7" s="1862">
        <v>0.2</v>
      </c>
      <c r="BZ7" s="1862">
        <v>0.2</v>
      </c>
      <c r="CA7" s="1862">
        <v>0.2</v>
      </c>
      <c r="CB7" s="1862">
        <v>0.2</v>
      </c>
    </row>
    <row r="8" spans="1:140" s="31" customFormat="1" ht="25.5" customHeight="1" thickTop="1" x14ac:dyDescent="0.15">
      <c r="A8" s="3207" t="s">
        <v>1</v>
      </c>
      <c r="B8" s="3215" t="s">
        <v>101</v>
      </c>
      <c r="C8" s="3216"/>
      <c r="D8" s="3216"/>
      <c r="E8" s="3216"/>
      <c r="F8" s="3216"/>
      <c r="G8" s="3216"/>
      <c r="H8" s="3217"/>
      <c r="I8" s="273" t="s">
        <v>100</v>
      </c>
      <c r="J8" s="273"/>
      <c r="K8" s="273"/>
      <c r="L8" s="273"/>
      <c r="M8" s="274"/>
      <c r="N8" s="3210" t="s">
        <v>178</v>
      </c>
      <c r="O8" s="3243" t="s">
        <v>99</v>
      </c>
      <c r="P8" s="3245"/>
      <c r="Q8" s="3210" t="s">
        <v>177</v>
      </c>
      <c r="R8" s="3210" t="s">
        <v>176</v>
      </c>
      <c r="S8" s="3210" t="s">
        <v>175</v>
      </c>
      <c r="T8" s="3210" t="s">
        <v>181</v>
      </c>
      <c r="U8" s="3210" t="s">
        <v>182</v>
      </c>
      <c r="V8" s="3210" t="s">
        <v>355</v>
      </c>
      <c r="W8" s="3210" t="s">
        <v>356</v>
      </c>
      <c r="X8" s="3243" t="s">
        <v>98</v>
      </c>
      <c r="Y8" s="3244"/>
      <c r="Z8" s="3245"/>
      <c r="AA8" s="3243" t="s">
        <v>97</v>
      </c>
      <c r="AB8" s="3244"/>
      <c r="AC8" s="3244"/>
      <c r="AD8" s="3244"/>
      <c r="AE8" s="3244"/>
      <c r="AF8" s="3244"/>
      <c r="AG8" s="3244"/>
      <c r="AH8" s="3245"/>
      <c r="AI8" s="3256" t="s">
        <v>183</v>
      </c>
      <c r="AJ8" s="3257"/>
      <c r="AK8" s="3210" t="s">
        <v>357</v>
      </c>
      <c r="AL8" s="3251" t="s">
        <v>185</v>
      </c>
      <c r="AM8" s="83"/>
      <c r="AN8" s="89" t="s">
        <v>120</v>
      </c>
      <c r="AO8" s="89"/>
      <c r="AP8" s="89"/>
      <c r="AQ8" s="89"/>
      <c r="AR8" s="1867" t="s">
        <v>121</v>
      </c>
      <c r="AS8" s="1867"/>
      <c r="AT8" s="1867"/>
      <c r="AU8" s="1867" t="s">
        <v>96</v>
      </c>
      <c r="AV8" s="1867"/>
      <c r="AW8" s="1867"/>
      <c r="AX8" s="1867" t="s">
        <v>122</v>
      </c>
      <c r="AY8" s="1867"/>
      <c r="AZ8" s="1867"/>
      <c r="BA8" s="1867" t="s">
        <v>92</v>
      </c>
      <c r="BB8" s="3224" t="s">
        <v>123</v>
      </c>
      <c r="BC8" s="3224"/>
      <c r="BD8" s="3225"/>
      <c r="BE8" s="3226" t="s">
        <v>1126</v>
      </c>
      <c r="BF8" s="3227"/>
      <c r="BG8" s="3227"/>
      <c r="BH8" s="3227"/>
      <c r="BI8" s="3227"/>
      <c r="BJ8" s="3227"/>
      <c r="BK8" s="3227"/>
      <c r="BL8" s="3227"/>
      <c r="BM8" s="3227"/>
      <c r="BN8" s="3227"/>
      <c r="BO8" s="3227"/>
      <c r="BP8" s="3227"/>
      <c r="BQ8" s="3227"/>
      <c r="BR8" s="3227"/>
      <c r="BS8" s="3227"/>
      <c r="BT8" s="3228"/>
      <c r="BU8" s="35"/>
      <c r="BW8" s="1860" t="s">
        <v>2222</v>
      </c>
      <c r="BX8" s="1863">
        <v>1.3619999999999999</v>
      </c>
      <c r="BY8" s="1863">
        <v>1.6460000000000001</v>
      </c>
      <c r="BZ8" s="1863">
        <v>1.93</v>
      </c>
      <c r="CA8" s="1863">
        <v>2.214</v>
      </c>
      <c r="CB8" s="1863">
        <v>2.6420000000000003</v>
      </c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</row>
    <row r="9" spans="1:140" s="31" customFormat="1" ht="25.5" customHeight="1" x14ac:dyDescent="0.15">
      <c r="A9" s="3208"/>
      <c r="B9" s="3218" t="s">
        <v>75</v>
      </c>
      <c r="C9" s="3219"/>
      <c r="D9" s="3219"/>
      <c r="E9" s="3220"/>
      <c r="F9" s="3221" t="s">
        <v>76</v>
      </c>
      <c r="G9" s="3222"/>
      <c r="H9" s="3223"/>
      <c r="I9" s="275" t="s">
        <v>95</v>
      </c>
      <c r="J9" s="276" t="s">
        <v>94</v>
      </c>
      <c r="K9" s="276"/>
      <c r="L9" s="276"/>
      <c r="M9" s="277" t="s">
        <v>93</v>
      </c>
      <c r="N9" s="3211"/>
      <c r="O9" s="3213" t="s">
        <v>179</v>
      </c>
      <c r="P9" s="3213" t="s">
        <v>180</v>
      </c>
      <c r="Q9" s="3211"/>
      <c r="R9" s="3263"/>
      <c r="S9" s="3263"/>
      <c r="T9" s="3211"/>
      <c r="U9" s="3211"/>
      <c r="V9" s="3211"/>
      <c r="W9" s="3211"/>
      <c r="X9" s="3213" t="s">
        <v>184</v>
      </c>
      <c r="Y9" s="3254" t="s">
        <v>91</v>
      </c>
      <c r="Z9" s="3255"/>
      <c r="AA9" s="3249" t="s">
        <v>90</v>
      </c>
      <c r="AB9" s="3260" t="s">
        <v>900</v>
      </c>
      <c r="AC9" s="3249" t="s">
        <v>41</v>
      </c>
      <c r="AD9" s="3249" t="s">
        <v>89</v>
      </c>
      <c r="AE9" s="329" t="s">
        <v>88</v>
      </c>
      <c r="AF9" s="278"/>
      <c r="AG9" s="278"/>
      <c r="AH9" s="278"/>
      <c r="AI9" s="3258"/>
      <c r="AJ9" s="3259"/>
      <c r="AK9" s="3211"/>
      <c r="AL9" s="3252"/>
      <c r="AM9" s="83"/>
      <c r="AN9" s="90" t="s">
        <v>124</v>
      </c>
      <c r="AO9" s="91" t="s">
        <v>75</v>
      </c>
      <c r="AP9" s="91"/>
      <c r="AQ9" s="91"/>
      <c r="AR9" s="1868" t="s">
        <v>125</v>
      </c>
      <c r="AS9" s="1868"/>
      <c r="AT9" s="1868"/>
      <c r="AU9" s="1868" t="s">
        <v>126</v>
      </c>
      <c r="AV9" s="1868"/>
      <c r="AW9" s="1868"/>
      <c r="AX9" s="165" t="s">
        <v>127</v>
      </c>
      <c r="AY9" s="165" t="s">
        <v>128</v>
      </c>
      <c r="AZ9" s="165" t="s">
        <v>129</v>
      </c>
      <c r="BA9" s="1868" t="s">
        <v>87</v>
      </c>
      <c r="BB9" s="165" t="s">
        <v>130</v>
      </c>
      <c r="BC9" s="165" t="s">
        <v>131</v>
      </c>
      <c r="BD9" s="1869" t="s">
        <v>132</v>
      </c>
      <c r="BE9" s="3229" t="s">
        <v>1127</v>
      </c>
      <c r="BF9" s="3230"/>
      <c r="BG9" s="3231"/>
      <c r="BH9" s="3231"/>
      <c r="BI9" s="3238" t="s">
        <v>1133</v>
      </c>
      <c r="BJ9" s="3239"/>
      <c r="BK9" s="3239"/>
      <c r="BL9" s="3239"/>
      <c r="BM9" s="3240"/>
      <c r="BN9" s="3231" t="s">
        <v>1136</v>
      </c>
      <c r="BO9" s="3231"/>
      <c r="BP9" s="3231"/>
      <c r="BQ9" s="3232" t="s">
        <v>1137</v>
      </c>
      <c r="BR9" s="3234" t="s">
        <v>1139</v>
      </c>
      <c r="BS9" s="3241" t="s">
        <v>2228</v>
      </c>
      <c r="BT9" s="3236" t="s">
        <v>1140</v>
      </c>
      <c r="BU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</row>
    <row r="10" spans="1:140" s="34" customFormat="1" ht="39" customHeight="1" thickBot="1" x14ac:dyDescent="0.2">
      <c r="A10" s="3209"/>
      <c r="B10" s="279" t="s">
        <v>85</v>
      </c>
      <c r="C10" s="280" t="s">
        <v>86</v>
      </c>
      <c r="D10" s="279" t="s">
        <v>84</v>
      </c>
      <c r="E10" s="281" t="s">
        <v>83</v>
      </c>
      <c r="F10" s="282" t="s">
        <v>85</v>
      </c>
      <c r="G10" s="282" t="s">
        <v>84</v>
      </c>
      <c r="H10" s="283" t="s">
        <v>83</v>
      </c>
      <c r="I10" s="284" t="s">
        <v>82</v>
      </c>
      <c r="J10" s="284" t="s">
        <v>74</v>
      </c>
      <c r="K10" s="284" t="s">
        <v>73</v>
      </c>
      <c r="L10" s="284" t="s">
        <v>72</v>
      </c>
      <c r="M10" s="285" t="s">
        <v>81</v>
      </c>
      <c r="N10" s="3212"/>
      <c r="O10" s="3212"/>
      <c r="P10" s="3212"/>
      <c r="Q10" s="3212"/>
      <c r="R10" s="3264"/>
      <c r="S10" s="3264"/>
      <c r="T10" s="3212"/>
      <c r="U10" s="3212"/>
      <c r="V10" s="3212"/>
      <c r="W10" s="3212"/>
      <c r="X10" s="3212"/>
      <c r="Y10" s="286" t="s">
        <v>80</v>
      </c>
      <c r="Z10" s="287" t="s">
        <v>358</v>
      </c>
      <c r="AA10" s="3250"/>
      <c r="AB10" s="3261"/>
      <c r="AC10" s="3250"/>
      <c r="AD10" s="3250"/>
      <c r="AE10" s="286" t="s">
        <v>59</v>
      </c>
      <c r="AF10" s="287" t="s">
        <v>621</v>
      </c>
      <c r="AG10" s="288" t="s">
        <v>79</v>
      </c>
      <c r="AH10" s="288" t="s">
        <v>78</v>
      </c>
      <c r="AI10" s="287" t="s">
        <v>359</v>
      </c>
      <c r="AJ10" s="286" t="s">
        <v>77</v>
      </c>
      <c r="AK10" s="3212"/>
      <c r="AL10" s="3253"/>
      <c r="AM10" s="83"/>
      <c r="AN10" s="90"/>
      <c r="AO10" s="90" t="s">
        <v>74</v>
      </c>
      <c r="AP10" s="90" t="s">
        <v>73</v>
      </c>
      <c r="AQ10" s="90" t="s">
        <v>72</v>
      </c>
      <c r="AR10" s="1870" t="s">
        <v>74</v>
      </c>
      <c r="AS10" s="1870" t="s">
        <v>73</v>
      </c>
      <c r="AT10" s="1870" t="s">
        <v>72</v>
      </c>
      <c r="AU10" s="1870" t="s">
        <v>74</v>
      </c>
      <c r="AV10" s="1870" t="s">
        <v>73</v>
      </c>
      <c r="AW10" s="1870" t="s">
        <v>72</v>
      </c>
      <c r="AX10" s="92" t="s">
        <v>133</v>
      </c>
      <c r="AY10" s="92" t="s">
        <v>134</v>
      </c>
      <c r="AZ10" s="92" t="s">
        <v>135</v>
      </c>
      <c r="BA10" s="1870" t="s">
        <v>136</v>
      </c>
      <c r="BB10" s="92" t="s">
        <v>133</v>
      </c>
      <c r="BC10" s="92" t="s">
        <v>134</v>
      </c>
      <c r="BD10" s="1871" t="s">
        <v>135</v>
      </c>
      <c r="BE10" s="965" t="s">
        <v>2229</v>
      </c>
      <c r="BF10" s="1865" t="s">
        <v>2230</v>
      </c>
      <c r="BG10" s="966" t="s">
        <v>1132</v>
      </c>
      <c r="BH10" s="966" t="s">
        <v>1128</v>
      </c>
      <c r="BI10" s="966" t="s">
        <v>2225</v>
      </c>
      <c r="BJ10" s="966" t="s">
        <v>2224</v>
      </c>
      <c r="BK10" s="966" t="s">
        <v>1130</v>
      </c>
      <c r="BL10" s="966" t="s">
        <v>1131</v>
      </c>
      <c r="BM10" s="966" t="s">
        <v>1129</v>
      </c>
      <c r="BN10" s="966" t="s">
        <v>1134</v>
      </c>
      <c r="BO10" s="966" t="s">
        <v>1135</v>
      </c>
      <c r="BP10" s="966" t="s">
        <v>1141</v>
      </c>
      <c r="BQ10" s="3233"/>
      <c r="BR10" s="3235"/>
      <c r="BS10" s="3242"/>
      <c r="BT10" s="3237"/>
      <c r="BU10" s="963" t="s">
        <v>2227</v>
      </c>
    </row>
    <row r="11" spans="1:140" s="31" customFormat="1" ht="24.95" hidden="1" customHeight="1" thickTop="1" x14ac:dyDescent="0.15">
      <c r="A11" s="922"/>
      <c r="B11" s="143"/>
      <c r="C11" s="142"/>
      <c r="D11" s="143"/>
      <c r="E11" s="144"/>
      <c r="F11" s="141"/>
      <c r="G11" s="140"/>
      <c r="H11" s="144"/>
      <c r="I11" s="139"/>
      <c r="J11" s="138"/>
      <c r="K11" s="138"/>
      <c r="L11" s="138"/>
      <c r="M11" s="137"/>
      <c r="N11" s="136"/>
      <c r="O11" s="145"/>
      <c r="P11" s="136"/>
      <c r="Q11" s="33"/>
      <c r="R11" s="146"/>
      <c r="S11" s="146"/>
      <c r="T11" s="146"/>
      <c r="U11" s="146"/>
      <c r="V11" s="146"/>
      <c r="W11" s="33"/>
      <c r="X11" s="146"/>
      <c r="Y11" s="146"/>
      <c r="Z11" s="146"/>
      <c r="AA11" s="146"/>
      <c r="AB11" s="147"/>
      <c r="AC11" s="148"/>
      <c r="AD11" s="146"/>
      <c r="AE11" s="146"/>
      <c r="AF11" s="32"/>
      <c r="AG11" s="149"/>
      <c r="AH11" s="150"/>
      <c r="AI11" s="146"/>
      <c r="AJ11" s="146"/>
      <c r="AK11" s="146"/>
      <c r="AL11" s="146"/>
      <c r="AM11" s="151"/>
      <c r="AN11" s="152"/>
      <c r="AO11" s="153"/>
      <c r="AP11" s="154"/>
      <c r="AQ11" s="152"/>
      <c r="AR11" s="165"/>
      <c r="AS11" s="165"/>
      <c r="AT11" s="165"/>
      <c r="AU11" s="165"/>
      <c r="AV11" s="165"/>
      <c r="AW11" s="165"/>
      <c r="AX11" s="155"/>
      <c r="AY11" s="155"/>
      <c r="AZ11" s="155"/>
      <c r="BA11" s="155"/>
      <c r="BB11" s="155"/>
      <c r="BC11" s="155"/>
      <c r="BD11" s="155"/>
      <c r="BE11" s="964"/>
      <c r="BF11" s="964"/>
      <c r="BG11" s="964"/>
      <c r="BH11" s="964"/>
      <c r="BI11" s="964"/>
      <c r="BJ11" s="964"/>
      <c r="BK11" s="964"/>
      <c r="BL11" s="964"/>
      <c r="BM11" s="964"/>
      <c r="BN11" s="964"/>
      <c r="BO11" s="964"/>
      <c r="BP11" s="964"/>
      <c r="BQ11" s="964"/>
      <c r="BR11" s="1874"/>
      <c r="BS11" s="964"/>
      <c r="BT11" s="964"/>
      <c r="BU11" s="47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</row>
    <row r="12" spans="1:140" s="31" customFormat="1" ht="24.95" customHeight="1" thickTop="1" x14ac:dyDescent="0.15">
      <c r="A12" s="922">
        <v>2</v>
      </c>
      <c r="B12" s="143">
        <v>424.90800000000002</v>
      </c>
      <c r="C12" s="142"/>
      <c r="D12" s="143">
        <v>422.80799999999999</v>
      </c>
      <c r="E12" s="144">
        <v>2.1000000000000227</v>
      </c>
      <c r="F12" s="141">
        <v>423.63200000000001</v>
      </c>
      <c r="G12" s="140">
        <v>421.51164</v>
      </c>
      <c r="H12" s="144">
        <v>2.1203600000000051</v>
      </c>
      <c r="I12" s="139">
        <v>423.21601310537159</v>
      </c>
      <c r="J12" s="138" t="s">
        <v>2848</v>
      </c>
      <c r="K12" s="138" t="s">
        <v>2848</v>
      </c>
      <c r="L12" s="138" t="s">
        <v>2848</v>
      </c>
      <c r="M12" s="137" t="s">
        <v>2848</v>
      </c>
      <c r="N12" s="136">
        <v>72.02</v>
      </c>
      <c r="O12" s="145">
        <v>4.8426</v>
      </c>
      <c r="P12" s="136">
        <v>0.6</v>
      </c>
      <c r="Q12" s="33">
        <v>4.8426</v>
      </c>
      <c r="R12" s="146">
        <v>0.75518961584504019</v>
      </c>
      <c r="S12" s="146">
        <v>15</v>
      </c>
      <c r="T12" s="146">
        <v>113.38983928195596</v>
      </c>
      <c r="U12" s="146">
        <v>0.49366847418077825</v>
      </c>
      <c r="V12" s="146">
        <v>568.69103551208843</v>
      </c>
      <c r="W12" s="33">
        <v>568.69103551208843</v>
      </c>
      <c r="X12" s="146">
        <v>1.7717300749791869</v>
      </c>
      <c r="Y12" s="146">
        <v>1.8</v>
      </c>
      <c r="Z12" s="146">
        <v>1.0754185933675935</v>
      </c>
      <c r="AA12" s="146" t="s">
        <v>72</v>
      </c>
      <c r="AB12" s="147">
        <v>1.4999999999999999E-2</v>
      </c>
      <c r="AC12" s="148">
        <v>1</v>
      </c>
      <c r="AD12" s="146">
        <v>0.6</v>
      </c>
      <c r="AE12" s="146"/>
      <c r="AF12" s="32"/>
      <c r="AG12" s="149"/>
      <c r="AH12" s="150" t="e">
        <v>#DIV/0!</v>
      </c>
      <c r="AI12" s="146">
        <v>0.40801310537161378</v>
      </c>
      <c r="AJ12" s="146">
        <v>0.49517322921381479</v>
      </c>
      <c r="AK12" s="146">
        <v>2.7774793444268253</v>
      </c>
      <c r="AL12" s="146">
        <v>15.432166430235339</v>
      </c>
      <c r="AM12" s="151">
        <v>2</v>
      </c>
      <c r="AN12" s="152">
        <v>3</v>
      </c>
      <c r="AO12" s="153">
        <v>0</v>
      </c>
      <c r="AP12" s="154">
        <v>0</v>
      </c>
      <c r="AQ12" s="152">
        <v>0</v>
      </c>
      <c r="AR12" s="165">
        <v>10000</v>
      </c>
      <c r="AS12" s="165">
        <v>10000</v>
      </c>
      <c r="AT12" s="165">
        <v>10000</v>
      </c>
      <c r="AU12" s="165">
        <v>15</v>
      </c>
      <c r="AV12" s="165">
        <v>0</v>
      </c>
      <c r="AW12" s="165">
        <v>0</v>
      </c>
      <c r="AX12" s="155">
        <v>0.34941172512776025</v>
      </c>
      <c r="AY12" s="155">
        <v>0.40801310537161378</v>
      </c>
      <c r="AZ12" s="155">
        <v>0.25700912613943794</v>
      </c>
      <c r="BA12" s="155">
        <v>568.75213997060587</v>
      </c>
      <c r="BB12" s="155">
        <v>0.48842435144279839</v>
      </c>
      <c r="BC12" s="155">
        <v>0.49517322921381479</v>
      </c>
      <c r="BD12" s="155">
        <v>0.6015034196972181</v>
      </c>
      <c r="BE12" s="964">
        <v>424.90800000000002</v>
      </c>
      <c r="BF12" s="964">
        <v>424.90800000000002</v>
      </c>
      <c r="BG12" s="964">
        <v>422.80799999999999</v>
      </c>
      <c r="BH12" s="964">
        <v>2.1000000000000227</v>
      </c>
      <c r="BI12" s="964">
        <v>422.23764</v>
      </c>
      <c r="BJ12" s="964">
        <v>423.53399999999999</v>
      </c>
      <c r="BK12" s="964">
        <v>0</v>
      </c>
      <c r="BL12" s="964">
        <v>0</v>
      </c>
      <c r="BM12" s="964">
        <v>0</v>
      </c>
      <c r="BN12" s="964">
        <v>0.91599999999999904</v>
      </c>
      <c r="BO12" s="964">
        <v>1.5</v>
      </c>
      <c r="BP12" s="964">
        <v>1.5</v>
      </c>
      <c r="BQ12" s="964">
        <v>0</v>
      </c>
      <c r="BR12" s="1874">
        <v>0</v>
      </c>
      <c r="BS12" s="964">
        <v>0.32</v>
      </c>
      <c r="BT12" s="964">
        <v>0.28000000000002273</v>
      </c>
      <c r="BU12" s="47" t="s">
        <v>2849</v>
      </c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</row>
    <row r="13" spans="1:140" s="31" customFormat="1" ht="24.95" customHeight="1" x14ac:dyDescent="0.15">
      <c r="A13" s="922">
        <v>3</v>
      </c>
      <c r="B13" s="143">
        <v>423.63200000000001</v>
      </c>
      <c r="C13" s="142"/>
      <c r="D13" s="143">
        <v>421.51164</v>
      </c>
      <c r="E13" s="144">
        <v>2.1203600000000051</v>
      </c>
      <c r="F13" s="141">
        <v>422.08</v>
      </c>
      <c r="G13" s="140">
        <v>419.97296</v>
      </c>
      <c r="H13" s="144">
        <v>2.1070399999999836</v>
      </c>
      <c r="I13" s="139">
        <v>421.9246189201379</v>
      </c>
      <c r="J13" s="138">
        <v>421.91965310537159</v>
      </c>
      <c r="K13" s="138" t="s">
        <v>2848</v>
      </c>
      <c r="L13" s="138" t="s">
        <v>2848</v>
      </c>
      <c r="M13" s="137" t="s">
        <v>2848</v>
      </c>
      <c r="N13" s="136">
        <v>59.18</v>
      </c>
      <c r="O13" s="145">
        <v>1.1248</v>
      </c>
      <c r="P13" s="136">
        <v>0.6</v>
      </c>
      <c r="Q13" s="33">
        <v>5.9673999999999996</v>
      </c>
      <c r="R13" s="146">
        <v>0.7276294080643898</v>
      </c>
      <c r="S13" s="146">
        <v>15.432166430235339</v>
      </c>
      <c r="T13" s="146">
        <v>111.97627828482392</v>
      </c>
      <c r="U13" s="146">
        <v>0.49628510024730743</v>
      </c>
      <c r="V13" s="146">
        <v>126.34994524577951</v>
      </c>
      <c r="W13" s="33">
        <v>695.04098075786794</v>
      </c>
      <c r="X13" s="146">
        <v>2.6225076039202788</v>
      </c>
      <c r="Y13" s="146">
        <v>2.6</v>
      </c>
      <c r="Z13" s="146">
        <v>1.6063700573220236</v>
      </c>
      <c r="AA13" s="146" t="s">
        <v>72</v>
      </c>
      <c r="AB13" s="147">
        <v>1.4999999999999999E-2</v>
      </c>
      <c r="AC13" s="148">
        <v>1</v>
      </c>
      <c r="AD13" s="146">
        <v>0.6</v>
      </c>
      <c r="AE13" s="146"/>
      <c r="AF13" s="32"/>
      <c r="AG13" s="149"/>
      <c r="AH13" s="150" t="e">
        <v>#DIV/0!</v>
      </c>
      <c r="AI13" s="146">
        <v>0.41297892013789311</v>
      </c>
      <c r="AJ13" s="146">
        <v>0.64032104808209267</v>
      </c>
      <c r="AK13" s="146">
        <v>3.3492600642019217</v>
      </c>
      <c r="AL13" s="146">
        <v>15.726659337452553</v>
      </c>
      <c r="AM13" s="151">
        <v>3</v>
      </c>
      <c r="AN13" s="152">
        <v>4</v>
      </c>
      <c r="AO13" s="153">
        <v>2</v>
      </c>
      <c r="AP13" s="154">
        <v>0</v>
      </c>
      <c r="AQ13" s="152">
        <v>0</v>
      </c>
      <c r="AR13" s="165">
        <v>421.51164</v>
      </c>
      <c r="AS13" s="165">
        <v>10000</v>
      </c>
      <c r="AT13" s="165">
        <v>10000</v>
      </c>
      <c r="AU13" s="165">
        <v>15.432166430235339</v>
      </c>
      <c r="AV13" s="165">
        <v>0</v>
      </c>
      <c r="AW13" s="165">
        <v>0</v>
      </c>
      <c r="AX13" s="155">
        <v>0.35224770610575484</v>
      </c>
      <c r="AY13" s="155">
        <v>0.41297892013789311</v>
      </c>
      <c r="AZ13" s="155">
        <v>0.26838272135218671</v>
      </c>
      <c r="BA13" s="155">
        <v>576.44654460540596</v>
      </c>
      <c r="BB13" s="155">
        <v>0.5411238270812897</v>
      </c>
      <c r="BC13" s="155">
        <v>0.54917353871831265</v>
      </c>
      <c r="BD13" s="155">
        <v>0.64032104808209267</v>
      </c>
      <c r="BE13" s="964">
        <v>423.63200000000001</v>
      </c>
      <c r="BF13" s="964">
        <v>423.63200000000001</v>
      </c>
      <c r="BG13" s="964">
        <v>421.51164</v>
      </c>
      <c r="BH13" s="964">
        <v>2.1203600000000051</v>
      </c>
      <c r="BI13" s="964">
        <v>420.69896</v>
      </c>
      <c r="BJ13" s="964">
        <v>422.23764</v>
      </c>
      <c r="BK13" s="964">
        <v>422.23764</v>
      </c>
      <c r="BL13" s="964">
        <v>0</v>
      </c>
      <c r="BM13" s="964">
        <v>0</v>
      </c>
      <c r="BN13" s="964">
        <v>0.91599999999999904</v>
      </c>
      <c r="BO13" s="964">
        <v>1.5</v>
      </c>
      <c r="BP13" s="964">
        <v>1.5</v>
      </c>
      <c r="BQ13" s="964">
        <v>0</v>
      </c>
      <c r="BR13" s="1874">
        <v>0</v>
      </c>
      <c r="BS13" s="964">
        <v>0.32</v>
      </c>
      <c r="BT13" s="964">
        <v>0.30036000000000512</v>
      </c>
      <c r="BU13" s="47" t="s">
        <v>2849</v>
      </c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</row>
    <row r="14" spans="1:140" s="31" customFormat="1" ht="24.95" customHeight="1" x14ac:dyDescent="0.15">
      <c r="A14" s="922">
        <v>4</v>
      </c>
      <c r="B14" s="143">
        <v>422.08</v>
      </c>
      <c r="C14" s="142"/>
      <c r="D14" s="143">
        <v>419.97296</v>
      </c>
      <c r="E14" s="144">
        <v>2.1070399999999836</v>
      </c>
      <c r="F14" s="141">
        <v>419.98099999999999</v>
      </c>
      <c r="G14" s="140">
        <v>418.43428</v>
      </c>
      <c r="H14" s="144">
        <v>1.5467199999999934</v>
      </c>
      <c r="I14" s="139">
        <v>420.40283446939463</v>
      </c>
      <c r="J14" s="138">
        <v>420.3859389201379</v>
      </c>
      <c r="K14" s="138" t="s">
        <v>2848</v>
      </c>
      <c r="L14" s="138" t="s">
        <v>2848</v>
      </c>
      <c r="M14" s="137" t="s">
        <v>2848</v>
      </c>
      <c r="N14" s="136">
        <v>59.18</v>
      </c>
      <c r="O14" s="145">
        <v>0.35549999999999998</v>
      </c>
      <c r="P14" s="136">
        <v>0.6</v>
      </c>
      <c r="Q14" s="33">
        <v>6.3228999999999997</v>
      </c>
      <c r="R14" s="146">
        <v>0.72017310120044131</v>
      </c>
      <c r="S14" s="146">
        <v>15.726659337452553</v>
      </c>
      <c r="T14" s="146">
        <v>111.03565317358178</v>
      </c>
      <c r="U14" s="146">
        <v>0.49801975621861688</v>
      </c>
      <c r="V14" s="146">
        <v>39.329440278841503</v>
      </c>
      <c r="W14" s="33">
        <v>734.37042103670944</v>
      </c>
      <c r="X14" s="146">
        <v>3.5468063534977854</v>
      </c>
      <c r="Y14" s="146">
        <v>2.6</v>
      </c>
      <c r="Z14" s="146">
        <v>1.7933090008119057</v>
      </c>
      <c r="AA14" s="146" t="s">
        <v>72</v>
      </c>
      <c r="AB14" s="147">
        <v>1.4999999999999999E-2</v>
      </c>
      <c r="AC14" s="148">
        <v>1</v>
      </c>
      <c r="AD14" s="146">
        <v>0.6</v>
      </c>
      <c r="AE14" s="146"/>
      <c r="AF14" s="32"/>
      <c r="AG14" s="149"/>
      <c r="AH14" s="150" t="e">
        <v>#DIV/0!</v>
      </c>
      <c r="AI14" s="146">
        <v>0.42987446939463014</v>
      </c>
      <c r="AJ14" s="146">
        <v>0.6514017076662415</v>
      </c>
      <c r="AK14" s="146">
        <v>3.3874919742141256</v>
      </c>
      <c r="AL14" s="146">
        <v>16.01782853898613</v>
      </c>
      <c r="AM14" s="151">
        <v>4</v>
      </c>
      <c r="AN14" s="152">
        <v>0</v>
      </c>
      <c r="AO14" s="153">
        <v>3</v>
      </c>
      <c r="AP14" s="154">
        <v>0</v>
      </c>
      <c r="AQ14" s="152">
        <v>0</v>
      </c>
      <c r="AR14" s="165">
        <v>419.97296</v>
      </c>
      <c r="AS14" s="165">
        <v>10000</v>
      </c>
      <c r="AT14" s="165">
        <v>10000</v>
      </c>
      <c r="AU14" s="165">
        <v>15.726659337452553</v>
      </c>
      <c r="AV14" s="165">
        <v>0</v>
      </c>
      <c r="AW14" s="165">
        <v>0</v>
      </c>
      <c r="AX14" s="155">
        <v>0.36171812405251536</v>
      </c>
      <c r="AY14" s="155">
        <v>0.42987446939463014</v>
      </c>
      <c r="AZ14" s="155">
        <v>0.30918164280427718</v>
      </c>
      <c r="BA14" s="155">
        <v>602.19119388063746</v>
      </c>
      <c r="BB14" s="155">
        <v>0.55655081162600928</v>
      </c>
      <c r="BC14" s="155">
        <v>0.56499170385542818</v>
      </c>
      <c r="BD14" s="155">
        <v>0.6514017076662415</v>
      </c>
      <c r="BE14" s="964">
        <v>422.08</v>
      </c>
      <c r="BF14" s="964">
        <v>422.08</v>
      </c>
      <c r="BG14" s="964">
        <v>419.97296</v>
      </c>
      <c r="BH14" s="964">
        <v>2.1070399999999836</v>
      </c>
      <c r="BI14" s="964">
        <v>419.16028</v>
      </c>
      <c r="BJ14" s="964">
        <v>420.69896</v>
      </c>
      <c r="BK14" s="964">
        <v>420.69896</v>
      </c>
      <c r="BL14" s="964">
        <v>0</v>
      </c>
      <c r="BM14" s="964">
        <v>0</v>
      </c>
      <c r="BN14" s="964">
        <v>0.91599999999999904</v>
      </c>
      <c r="BO14" s="964">
        <v>1.5</v>
      </c>
      <c r="BP14" s="964">
        <v>1.5</v>
      </c>
      <c r="BQ14" s="964">
        <v>0</v>
      </c>
      <c r="BR14" s="1874">
        <v>0</v>
      </c>
      <c r="BS14" s="964">
        <v>0.32</v>
      </c>
      <c r="BT14" s="964">
        <v>0.28703999999998359</v>
      </c>
      <c r="BU14" s="47" t="s">
        <v>2849</v>
      </c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</row>
    <row r="15" spans="1:140" s="31" customFormat="1" ht="24.95" hidden="1" customHeight="1" x14ac:dyDescent="0.15">
      <c r="A15" s="922"/>
      <c r="B15" s="143"/>
      <c r="C15" s="142"/>
      <c r="D15" s="143"/>
      <c r="E15" s="144"/>
      <c r="F15" s="141"/>
      <c r="G15" s="140"/>
      <c r="H15" s="144"/>
      <c r="I15" s="139"/>
      <c r="J15" s="138"/>
      <c r="K15" s="138"/>
      <c r="L15" s="138"/>
      <c r="M15" s="137"/>
      <c r="N15" s="136"/>
      <c r="O15" s="145"/>
      <c r="P15" s="136"/>
      <c r="Q15" s="33"/>
      <c r="R15" s="146"/>
      <c r="S15" s="146"/>
      <c r="T15" s="146"/>
      <c r="U15" s="146"/>
      <c r="V15" s="146"/>
      <c r="W15" s="33"/>
      <c r="X15" s="146"/>
      <c r="Y15" s="146"/>
      <c r="Z15" s="146"/>
      <c r="AA15" s="146"/>
      <c r="AB15" s="147"/>
      <c r="AC15" s="148"/>
      <c r="AD15" s="146"/>
      <c r="AE15" s="146"/>
      <c r="AF15" s="32"/>
      <c r="AG15" s="149"/>
      <c r="AH15" s="150"/>
      <c r="AI15" s="146"/>
      <c r="AJ15" s="146"/>
      <c r="AK15" s="146"/>
      <c r="AL15" s="146"/>
      <c r="AM15" s="151"/>
      <c r="AN15" s="152"/>
      <c r="AO15" s="153"/>
      <c r="AP15" s="154"/>
      <c r="AQ15" s="152"/>
      <c r="AR15" s="165"/>
      <c r="AS15" s="165"/>
      <c r="AT15" s="165"/>
      <c r="AU15" s="165"/>
      <c r="AV15" s="165"/>
      <c r="AW15" s="165"/>
      <c r="AX15" s="155"/>
      <c r="AY15" s="155"/>
      <c r="AZ15" s="155"/>
      <c r="BA15" s="155"/>
      <c r="BB15" s="155"/>
      <c r="BC15" s="155"/>
      <c r="BD15" s="155"/>
      <c r="BE15" s="964"/>
      <c r="BF15" s="964"/>
      <c r="BG15" s="964"/>
      <c r="BH15" s="964"/>
      <c r="BI15" s="964"/>
      <c r="BJ15" s="964"/>
      <c r="BK15" s="964"/>
      <c r="BL15" s="964"/>
      <c r="BM15" s="964"/>
      <c r="BN15" s="964"/>
      <c r="BO15" s="964"/>
      <c r="BP15" s="964"/>
      <c r="BQ15" s="964"/>
      <c r="BR15" s="1874"/>
      <c r="BS15" s="964"/>
      <c r="BT15" s="964"/>
      <c r="BU15" s="47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</row>
    <row r="16" spans="1:140" s="31" customFormat="1" ht="24.95" hidden="1" customHeight="1" x14ac:dyDescent="0.15">
      <c r="A16" s="922"/>
      <c r="B16" s="143"/>
      <c r="C16" s="142"/>
      <c r="D16" s="143"/>
      <c r="E16" s="144"/>
      <c r="F16" s="141"/>
      <c r="G16" s="140"/>
      <c r="H16" s="144"/>
      <c r="I16" s="139"/>
      <c r="J16" s="138"/>
      <c r="K16" s="138"/>
      <c r="L16" s="138"/>
      <c r="M16" s="137"/>
      <c r="N16" s="136"/>
      <c r="O16" s="145"/>
      <c r="P16" s="136"/>
      <c r="Q16" s="33"/>
      <c r="R16" s="146"/>
      <c r="S16" s="146"/>
      <c r="T16" s="146"/>
      <c r="U16" s="146"/>
      <c r="V16" s="146"/>
      <c r="W16" s="33"/>
      <c r="X16" s="146"/>
      <c r="Y16" s="146"/>
      <c r="Z16" s="146"/>
      <c r="AA16" s="146"/>
      <c r="AB16" s="147"/>
      <c r="AC16" s="148"/>
      <c r="AD16" s="146"/>
      <c r="AE16" s="146"/>
      <c r="AF16" s="32"/>
      <c r="AG16" s="149"/>
      <c r="AH16" s="150"/>
      <c r="AI16" s="146"/>
      <c r="AJ16" s="146"/>
      <c r="AK16" s="146"/>
      <c r="AL16" s="146"/>
      <c r="AM16" s="151"/>
      <c r="AN16" s="152"/>
      <c r="AO16" s="153"/>
      <c r="AP16" s="154"/>
      <c r="AQ16" s="152"/>
      <c r="AR16" s="165"/>
      <c r="AS16" s="165"/>
      <c r="AT16" s="165"/>
      <c r="AU16" s="165"/>
      <c r="AV16" s="165"/>
      <c r="AW16" s="165"/>
      <c r="AX16" s="155"/>
      <c r="AY16" s="155"/>
      <c r="AZ16" s="155"/>
      <c r="BA16" s="155"/>
      <c r="BB16" s="155"/>
      <c r="BC16" s="155"/>
      <c r="BD16" s="155"/>
      <c r="BE16" s="964"/>
      <c r="BF16" s="964"/>
      <c r="BG16" s="964"/>
      <c r="BH16" s="964"/>
      <c r="BI16" s="964"/>
      <c r="BJ16" s="964"/>
      <c r="BK16" s="964"/>
      <c r="BL16" s="964"/>
      <c r="BM16" s="964"/>
      <c r="BN16" s="964"/>
      <c r="BO16" s="964"/>
      <c r="BP16" s="964"/>
      <c r="BQ16" s="964"/>
      <c r="BR16" s="1874"/>
      <c r="BS16" s="964"/>
      <c r="BT16" s="964"/>
      <c r="BU16" s="47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</row>
    <row r="17" spans="1:140" s="31" customFormat="1" ht="24.95" hidden="1" customHeight="1" x14ac:dyDescent="0.15">
      <c r="A17" s="922"/>
      <c r="B17" s="143"/>
      <c r="C17" s="142"/>
      <c r="D17" s="143"/>
      <c r="E17" s="144"/>
      <c r="F17" s="141"/>
      <c r="G17" s="140"/>
      <c r="H17" s="144"/>
      <c r="I17" s="139"/>
      <c r="J17" s="138"/>
      <c r="K17" s="138"/>
      <c r="L17" s="138"/>
      <c r="M17" s="137"/>
      <c r="N17" s="136"/>
      <c r="O17" s="145"/>
      <c r="P17" s="136"/>
      <c r="Q17" s="33"/>
      <c r="R17" s="146"/>
      <c r="S17" s="146"/>
      <c r="T17" s="146"/>
      <c r="U17" s="146"/>
      <c r="V17" s="146"/>
      <c r="W17" s="33"/>
      <c r="X17" s="146"/>
      <c r="Y17" s="146"/>
      <c r="Z17" s="146"/>
      <c r="AA17" s="146"/>
      <c r="AB17" s="147"/>
      <c r="AC17" s="148"/>
      <c r="AD17" s="146"/>
      <c r="AE17" s="146"/>
      <c r="AF17" s="32"/>
      <c r="AG17" s="149"/>
      <c r="AH17" s="150"/>
      <c r="AI17" s="146"/>
      <c r="AJ17" s="146"/>
      <c r="AK17" s="146"/>
      <c r="AL17" s="146"/>
      <c r="AM17" s="151"/>
      <c r="AN17" s="152"/>
      <c r="AO17" s="153"/>
      <c r="AP17" s="154"/>
      <c r="AQ17" s="152"/>
      <c r="AR17" s="165"/>
      <c r="AS17" s="165"/>
      <c r="AT17" s="165"/>
      <c r="AU17" s="165"/>
      <c r="AV17" s="165"/>
      <c r="AW17" s="165"/>
      <c r="AX17" s="155"/>
      <c r="AY17" s="155"/>
      <c r="AZ17" s="155"/>
      <c r="BA17" s="155"/>
      <c r="BB17" s="155"/>
      <c r="BC17" s="155"/>
      <c r="BD17" s="155"/>
      <c r="BE17" s="964"/>
      <c r="BF17" s="964"/>
      <c r="BG17" s="964"/>
      <c r="BH17" s="964"/>
      <c r="BI17" s="964"/>
      <c r="BJ17" s="964"/>
      <c r="BK17" s="964"/>
      <c r="BL17" s="964"/>
      <c r="BM17" s="964"/>
      <c r="BN17" s="964"/>
      <c r="BO17" s="964"/>
      <c r="BP17" s="964"/>
      <c r="BQ17" s="964"/>
      <c r="BR17" s="1874"/>
      <c r="BS17" s="964"/>
      <c r="BT17" s="964"/>
      <c r="BU17" s="47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</row>
    <row r="18" spans="1:140" s="31" customFormat="1" ht="24.95" hidden="1" customHeight="1" x14ac:dyDescent="0.15">
      <c r="A18" s="922"/>
      <c r="B18" s="143"/>
      <c r="C18" s="142"/>
      <c r="D18" s="143"/>
      <c r="E18" s="144"/>
      <c r="F18" s="141"/>
      <c r="G18" s="140"/>
      <c r="H18" s="144"/>
      <c r="I18" s="139"/>
      <c r="J18" s="138"/>
      <c r="K18" s="138"/>
      <c r="L18" s="138"/>
      <c r="M18" s="137"/>
      <c r="N18" s="136"/>
      <c r="O18" s="145"/>
      <c r="P18" s="136"/>
      <c r="Q18" s="33"/>
      <c r="R18" s="146"/>
      <c r="S18" s="146"/>
      <c r="T18" s="146"/>
      <c r="U18" s="146"/>
      <c r="V18" s="146"/>
      <c r="W18" s="33"/>
      <c r="X18" s="146"/>
      <c r="Y18" s="146"/>
      <c r="Z18" s="146"/>
      <c r="AA18" s="146"/>
      <c r="AB18" s="147"/>
      <c r="AC18" s="148"/>
      <c r="AD18" s="146"/>
      <c r="AE18" s="146"/>
      <c r="AF18" s="32"/>
      <c r="AG18" s="149"/>
      <c r="AH18" s="150"/>
      <c r="AI18" s="146"/>
      <c r="AJ18" s="146"/>
      <c r="AK18" s="146"/>
      <c r="AL18" s="146"/>
      <c r="AM18" s="151"/>
      <c r="AN18" s="152"/>
      <c r="AO18" s="153"/>
      <c r="AP18" s="154"/>
      <c r="AQ18" s="152"/>
      <c r="AR18" s="165"/>
      <c r="AS18" s="165"/>
      <c r="AT18" s="165"/>
      <c r="AU18" s="165"/>
      <c r="AV18" s="165"/>
      <c r="AW18" s="165"/>
      <c r="AX18" s="155"/>
      <c r="AY18" s="155"/>
      <c r="AZ18" s="155"/>
      <c r="BA18" s="155"/>
      <c r="BB18" s="155"/>
      <c r="BC18" s="155"/>
      <c r="BD18" s="155"/>
      <c r="BE18" s="964"/>
      <c r="BF18" s="964"/>
      <c r="BG18" s="964"/>
      <c r="BH18" s="964"/>
      <c r="BI18" s="964"/>
      <c r="BJ18" s="964"/>
      <c r="BK18" s="964"/>
      <c r="BL18" s="964"/>
      <c r="BM18" s="964"/>
      <c r="BN18" s="964"/>
      <c r="BO18" s="964"/>
      <c r="BP18" s="964"/>
      <c r="BQ18" s="964"/>
      <c r="BR18" s="1874"/>
      <c r="BS18" s="964"/>
      <c r="BT18" s="964"/>
      <c r="BU18" s="47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</row>
    <row r="19" spans="1:140" s="31" customFormat="1" ht="9.9499999999999993" customHeight="1" x14ac:dyDescent="0.15">
      <c r="A19" s="2379"/>
      <c r="B19" s="2380"/>
      <c r="C19" s="2381"/>
      <c r="D19" s="2380"/>
      <c r="E19" s="2382"/>
      <c r="F19" s="2383"/>
      <c r="G19" s="2384"/>
      <c r="H19" s="2382"/>
      <c r="I19" s="2385"/>
      <c r="J19" s="2386"/>
      <c r="K19" s="2386"/>
      <c r="L19" s="2386"/>
      <c r="M19" s="2387"/>
      <c r="N19" s="2388"/>
      <c r="O19" s="2389"/>
      <c r="P19" s="2388"/>
      <c r="Q19" s="2390"/>
      <c r="R19" s="2391"/>
      <c r="S19" s="2391"/>
      <c r="T19" s="2391"/>
      <c r="U19" s="2391"/>
      <c r="V19" s="2391"/>
      <c r="W19" s="2390"/>
      <c r="X19" s="2391"/>
      <c r="Y19" s="2391"/>
      <c r="Z19" s="2391"/>
      <c r="AA19" s="2391"/>
      <c r="AB19" s="2392"/>
      <c r="AC19" s="2393"/>
      <c r="AD19" s="2391"/>
      <c r="AE19" s="2391"/>
      <c r="AF19" s="2394"/>
      <c r="AG19" s="2395"/>
      <c r="AH19" s="2396"/>
      <c r="AI19" s="2391"/>
      <c r="AJ19" s="2391"/>
      <c r="AK19" s="2391"/>
      <c r="AL19" s="2391"/>
      <c r="AM19" s="151"/>
      <c r="AN19" s="152"/>
      <c r="AO19" s="153"/>
      <c r="AP19" s="154"/>
      <c r="AQ19" s="152"/>
      <c r="AR19" s="165"/>
      <c r="AS19" s="165"/>
      <c r="AT19" s="165"/>
      <c r="AU19" s="165"/>
      <c r="AV19" s="165"/>
      <c r="AW19" s="165"/>
      <c r="AX19" s="155"/>
      <c r="AY19" s="155"/>
      <c r="AZ19" s="155"/>
      <c r="BA19" s="155"/>
      <c r="BB19" s="155"/>
      <c r="BC19" s="155"/>
      <c r="BD19" s="155"/>
      <c r="BE19" s="964"/>
      <c r="BF19" s="964"/>
      <c r="BG19" s="964"/>
      <c r="BH19" s="964"/>
      <c r="BI19" s="964"/>
      <c r="BJ19" s="964"/>
      <c r="BK19" s="964"/>
      <c r="BL19" s="964"/>
      <c r="BM19" s="964"/>
      <c r="BN19" s="964"/>
      <c r="BO19" s="964"/>
      <c r="BP19" s="964"/>
      <c r="BQ19" s="964"/>
      <c r="BR19" s="1874"/>
      <c r="BS19" s="964"/>
      <c r="BT19" s="964"/>
      <c r="BU19" s="47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</row>
    <row r="20" spans="1:140" s="31" customFormat="1" ht="24.95" customHeight="1" x14ac:dyDescent="0.15">
      <c r="A20" s="922">
        <v>10</v>
      </c>
      <c r="B20" s="143">
        <v>438.44200000000001</v>
      </c>
      <c r="C20" s="142"/>
      <c r="D20" s="143">
        <v>436.34199999999998</v>
      </c>
      <c r="E20" s="144">
        <v>2.1000000000000227</v>
      </c>
      <c r="F20" s="141">
        <v>437.23899999999998</v>
      </c>
      <c r="G20" s="140">
        <v>435.13815999999997</v>
      </c>
      <c r="H20" s="144">
        <v>2.1008400000000051</v>
      </c>
      <c r="I20" s="139">
        <v>436.61479796005074</v>
      </c>
      <c r="J20" s="138" t="s">
        <v>2848</v>
      </c>
      <c r="K20" s="138" t="s">
        <v>2848</v>
      </c>
      <c r="L20" s="138" t="s">
        <v>2848</v>
      </c>
      <c r="M20" s="137" t="s">
        <v>2848</v>
      </c>
      <c r="N20" s="136">
        <v>66.88</v>
      </c>
      <c r="O20" s="145">
        <v>2.2856999999999998</v>
      </c>
      <c r="P20" s="136">
        <v>0.6</v>
      </c>
      <c r="Q20" s="33">
        <v>2.2856999999999998</v>
      </c>
      <c r="R20" s="146">
        <v>0.86316650116564531</v>
      </c>
      <c r="S20" s="146">
        <v>15</v>
      </c>
      <c r="T20" s="146">
        <v>113.38983928195596</v>
      </c>
      <c r="U20" s="146">
        <v>0.49366847418077825</v>
      </c>
      <c r="V20" s="146">
        <v>306.80015925641214</v>
      </c>
      <c r="W20" s="33">
        <v>306.80015925641214</v>
      </c>
      <c r="X20" s="146">
        <v>1.7987440191388031</v>
      </c>
      <c r="Y20" s="146">
        <v>1.8</v>
      </c>
      <c r="Z20" s="146">
        <v>0.3129939461503547</v>
      </c>
      <c r="AA20" s="146" t="s">
        <v>72</v>
      </c>
      <c r="AB20" s="147">
        <v>1.4999999999999999E-2</v>
      </c>
      <c r="AC20" s="148">
        <v>1</v>
      </c>
      <c r="AD20" s="146">
        <v>0.6</v>
      </c>
      <c r="AE20" s="146"/>
      <c r="AF20" s="32"/>
      <c r="AG20" s="149"/>
      <c r="AH20" s="150" t="e">
        <v>#DIV/0!</v>
      </c>
      <c r="AI20" s="146">
        <v>0.27279796005077178</v>
      </c>
      <c r="AJ20" s="146">
        <v>0.36015149808610253</v>
      </c>
      <c r="AK20" s="146">
        <v>2.4529719225121158</v>
      </c>
      <c r="AL20" s="146">
        <v>15.454414767831963</v>
      </c>
      <c r="AM20" s="151">
        <v>10</v>
      </c>
      <c r="AN20" s="152">
        <v>11</v>
      </c>
      <c r="AO20" s="153">
        <v>0</v>
      </c>
      <c r="AP20" s="154">
        <v>0</v>
      </c>
      <c r="AQ20" s="152">
        <v>0</v>
      </c>
      <c r="AR20" s="165">
        <v>10000</v>
      </c>
      <c r="AS20" s="165">
        <v>10000</v>
      </c>
      <c r="AT20" s="165">
        <v>10000</v>
      </c>
      <c r="AU20" s="165">
        <v>15</v>
      </c>
      <c r="AV20" s="165">
        <v>0</v>
      </c>
      <c r="AW20" s="165">
        <v>0</v>
      </c>
      <c r="AX20" s="155">
        <v>0.25950841671446168</v>
      </c>
      <c r="AY20" s="155">
        <v>0.27279796005077178</v>
      </c>
      <c r="AZ20" s="155">
        <v>5.2585627893696529E-2</v>
      </c>
      <c r="BA20" s="155">
        <v>347.42454929054963</v>
      </c>
      <c r="BB20" s="155">
        <v>0.35638472796968723</v>
      </c>
      <c r="BC20" s="155">
        <v>0.36015149808610253</v>
      </c>
      <c r="BD20" s="155">
        <v>0.49624485476526142</v>
      </c>
      <c r="BE20" s="964">
        <v>438.44200000000001</v>
      </c>
      <c r="BF20" s="964">
        <v>438.44200000000001</v>
      </c>
      <c r="BG20" s="964">
        <v>436.34199999999998</v>
      </c>
      <c r="BH20" s="964">
        <v>2.1000000000000227</v>
      </c>
      <c r="BI20" s="964">
        <v>435.86415999999997</v>
      </c>
      <c r="BJ20" s="964">
        <v>437.06799999999998</v>
      </c>
      <c r="BK20" s="964">
        <v>0</v>
      </c>
      <c r="BL20" s="964">
        <v>0</v>
      </c>
      <c r="BM20" s="964">
        <v>0</v>
      </c>
      <c r="BN20" s="964">
        <v>0.91599999999999904</v>
      </c>
      <c r="BO20" s="964">
        <v>1.5</v>
      </c>
      <c r="BP20" s="964">
        <v>1.5</v>
      </c>
      <c r="BQ20" s="964">
        <v>0</v>
      </c>
      <c r="BR20" s="1874">
        <v>0</v>
      </c>
      <c r="BS20" s="964">
        <v>0.32</v>
      </c>
      <c r="BT20" s="964">
        <v>0.28000000000002273</v>
      </c>
      <c r="BU20" s="47" t="s">
        <v>2849</v>
      </c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</row>
    <row r="21" spans="1:140" s="31" customFormat="1" ht="24.95" customHeight="1" x14ac:dyDescent="0.15">
      <c r="A21" s="922">
        <v>11</v>
      </c>
      <c r="B21" s="143">
        <v>437.23899999999998</v>
      </c>
      <c r="C21" s="142"/>
      <c r="D21" s="143">
        <v>435.13815999999997</v>
      </c>
      <c r="E21" s="144">
        <v>2.1008400000000051</v>
      </c>
      <c r="F21" s="141">
        <v>435.4</v>
      </c>
      <c r="G21" s="140">
        <v>433.29540999999995</v>
      </c>
      <c r="H21" s="144">
        <v>2.1045900000000302</v>
      </c>
      <c r="I21" s="139">
        <v>435.44360789521789</v>
      </c>
      <c r="J21" s="138">
        <v>435.41095796005072</v>
      </c>
      <c r="K21" s="138" t="s">
        <v>2848</v>
      </c>
      <c r="L21" s="138" t="s">
        <v>2848</v>
      </c>
      <c r="M21" s="137" t="s">
        <v>2848</v>
      </c>
      <c r="N21" s="136">
        <v>87.75</v>
      </c>
      <c r="O21" s="145">
        <v>0.73270000000000002</v>
      </c>
      <c r="P21" s="136">
        <v>0.6</v>
      </c>
      <c r="Q21" s="33">
        <v>3.0183999999999997</v>
      </c>
      <c r="R21" s="146">
        <v>0.82148517628447393</v>
      </c>
      <c r="S21" s="146">
        <v>15.454414767831963</v>
      </c>
      <c r="T21" s="146">
        <v>111.90458549843001</v>
      </c>
      <c r="U21" s="146">
        <v>0.49641749250865136</v>
      </c>
      <c r="V21" s="146">
        <v>92.886612199602055</v>
      </c>
      <c r="W21" s="33">
        <v>399.68677145601418</v>
      </c>
      <c r="X21" s="146">
        <v>2.0957264957264941</v>
      </c>
      <c r="Y21" s="146">
        <v>2.1</v>
      </c>
      <c r="Z21" s="146">
        <v>0.53120765551294558</v>
      </c>
      <c r="AA21" s="146" t="s">
        <v>72</v>
      </c>
      <c r="AB21" s="147">
        <v>1.4999999999999999E-2</v>
      </c>
      <c r="AC21" s="148">
        <v>1</v>
      </c>
      <c r="AD21" s="146">
        <v>0.6</v>
      </c>
      <c r="AE21" s="146"/>
      <c r="AF21" s="32"/>
      <c r="AG21" s="149"/>
      <c r="AH21" s="150" t="e">
        <v>#DIV/0!</v>
      </c>
      <c r="AI21" s="146">
        <v>0.30544789521794069</v>
      </c>
      <c r="AJ21" s="146">
        <v>0.41280377788356454</v>
      </c>
      <c r="AK21" s="146">
        <v>2.7633168177829153</v>
      </c>
      <c r="AL21" s="146">
        <v>15.983670041996799</v>
      </c>
      <c r="AM21" s="151">
        <v>11</v>
      </c>
      <c r="AN21" s="152">
        <v>12</v>
      </c>
      <c r="AO21" s="153">
        <v>10</v>
      </c>
      <c r="AP21" s="154">
        <v>0</v>
      </c>
      <c r="AQ21" s="152">
        <v>0</v>
      </c>
      <c r="AR21" s="165">
        <v>435.13815999999997</v>
      </c>
      <c r="AS21" s="165">
        <v>10000</v>
      </c>
      <c r="AT21" s="165">
        <v>10000</v>
      </c>
      <c r="AU21" s="165">
        <v>15.454414767831963</v>
      </c>
      <c r="AV21" s="165">
        <v>0</v>
      </c>
      <c r="AW21" s="165">
        <v>0</v>
      </c>
      <c r="AX21" s="155">
        <v>0.28404151025485203</v>
      </c>
      <c r="AY21" s="155">
        <v>0.30544789521794069</v>
      </c>
      <c r="AZ21" s="155">
        <v>8.5144437671504383E-2</v>
      </c>
      <c r="BA21" s="155">
        <v>401.77840799052439</v>
      </c>
      <c r="BB21" s="155">
        <v>0.4079249123369601</v>
      </c>
      <c r="BC21" s="155">
        <v>0.41280377788356454</v>
      </c>
      <c r="BD21" s="155">
        <v>0.53888883544923305</v>
      </c>
      <c r="BE21" s="964">
        <v>437.23899999999998</v>
      </c>
      <c r="BF21" s="964">
        <v>437.23899999999998</v>
      </c>
      <c r="BG21" s="964">
        <v>435.13815999999997</v>
      </c>
      <c r="BH21" s="964">
        <v>2.1008400000000051</v>
      </c>
      <c r="BI21" s="964">
        <v>434.02140999999995</v>
      </c>
      <c r="BJ21" s="964">
        <v>435.86415999999997</v>
      </c>
      <c r="BK21" s="964">
        <v>435.86415999999997</v>
      </c>
      <c r="BL21" s="964">
        <v>0</v>
      </c>
      <c r="BM21" s="964">
        <v>0</v>
      </c>
      <c r="BN21" s="964">
        <v>0.91599999999999904</v>
      </c>
      <c r="BO21" s="964">
        <v>1.5</v>
      </c>
      <c r="BP21" s="964">
        <v>1.5</v>
      </c>
      <c r="BQ21" s="964">
        <v>0</v>
      </c>
      <c r="BR21" s="1874">
        <v>0</v>
      </c>
      <c r="BS21" s="964">
        <v>0.32</v>
      </c>
      <c r="BT21" s="964">
        <v>0.28084000000000514</v>
      </c>
      <c r="BU21" s="47" t="s">
        <v>2849</v>
      </c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</row>
    <row r="22" spans="1:140" s="31" customFormat="1" ht="24.95" customHeight="1" x14ac:dyDescent="0.15">
      <c r="A22" s="922">
        <v>12</v>
      </c>
      <c r="B22" s="143">
        <v>435.4</v>
      </c>
      <c r="C22" s="142">
        <v>0.1</v>
      </c>
      <c r="D22" s="143">
        <v>433.19540999999992</v>
      </c>
      <c r="E22" s="144">
        <v>2.2045900000000529</v>
      </c>
      <c r="F22" s="141">
        <v>434.54500000000002</v>
      </c>
      <c r="G22" s="140">
        <v>432.3042099999999</v>
      </c>
      <c r="H22" s="144">
        <v>2.2407900000001177</v>
      </c>
      <c r="I22" s="139">
        <v>433.6425230938313</v>
      </c>
      <c r="J22" s="138">
        <v>433.60085789521787</v>
      </c>
      <c r="K22" s="138" t="s">
        <v>2848</v>
      </c>
      <c r="L22" s="138" t="s">
        <v>2848</v>
      </c>
      <c r="M22" s="137" t="s">
        <v>2848</v>
      </c>
      <c r="N22" s="136">
        <v>89.12</v>
      </c>
      <c r="O22" s="145">
        <v>0.66490000000000005</v>
      </c>
      <c r="P22" s="136">
        <v>0.6</v>
      </c>
      <c r="Q22" s="33">
        <v>3.6833</v>
      </c>
      <c r="R22" s="146">
        <v>0.79288426170662629</v>
      </c>
      <c r="S22" s="146">
        <v>15.983670041996799</v>
      </c>
      <c r="T22" s="146">
        <v>110.22924252718354</v>
      </c>
      <c r="U22" s="146">
        <v>0.49950292673161872</v>
      </c>
      <c r="V22" s="146">
        <v>80.636790198595875</v>
      </c>
      <c r="W22" s="33">
        <v>480.32356165461005</v>
      </c>
      <c r="X22" s="146">
        <v>0.95938061041288303</v>
      </c>
      <c r="Y22" s="146">
        <v>1</v>
      </c>
      <c r="Z22" s="146">
        <v>0.76717167198809733</v>
      </c>
      <c r="AA22" s="146" t="s">
        <v>72</v>
      </c>
      <c r="AB22" s="147">
        <v>1.4999999999999999E-2</v>
      </c>
      <c r="AC22" s="148">
        <v>1</v>
      </c>
      <c r="AD22" s="146">
        <v>0.6</v>
      </c>
      <c r="AE22" s="146"/>
      <c r="AF22" s="32"/>
      <c r="AG22" s="149"/>
      <c r="AH22" s="150" t="e">
        <v>#DIV/0!</v>
      </c>
      <c r="AI22" s="146">
        <v>0.44711309383136949</v>
      </c>
      <c r="AJ22" s="146">
        <v>0.45385776050964344</v>
      </c>
      <c r="AK22" s="146">
        <v>2.1256843101981997</v>
      </c>
      <c r="AL22" s="146">
        <v>16.682425415128776</v>
      </c>
      <c r="AM22" s="151">
        <v>12</v>
      </c>
      <c r="AN22" s="152">
        <v>13</v>
      </c>
      <c r="AO22" s="153">
        <v>11</v>
      </c>
      <c r="AP22" s="154">
        <v>0</v>
      </c>
      <c r="AQ22" s="152">
        <v>0</v>
      </c>
      <c r="AR22" s="165">
        <v>433.29540999999995</v>
      </c>
      <c r="AS22" s="165">
        <v>10000</v>
      </c>
      <c r="AT22" s="165">
        <v>10000</v>
      </c>
      <c r="AU22" s="165">
        <v>15.983670041996799</v>
      </c>
      <c r="AV22" s="165">
        <v>0</v>
      </c>
      <c r="AW22" s="165">
        <v>0</v>
      </c>
      <c r="AX22" s="155">
        <v>0.37111376857021966</v>
      </c>
      <c r="AY22" s="155">
        <v>0.44711309383136949</v>
      </c>
      <c r="AZ22" s="155">
        <v>0.35433183107473443</v>
      </c>
      <c r="BA22" s="155">
        <v>627.67180869996912</v>
      </c>
      <c r="BB22" s="155">
        <v>0.44806528600150186</v>
      </c>
      <c r="BC22" s="155">
        <v>0.45385776050964344</v>
      </c>
      <c r="BD22" s="155">
        <v>0.57065975574818051</v>
      </c>
      <c r="BE22" s="964">
        <v>435.4</v>
      </c>
      <c r="BF22" s="964">
        <v>435.4</v>
      </c>
      <c r="BG22" s="964">
        <v>433.19540999999992</v>
      </c>
      <c r="BH22" s="964">
        <v>2.2045900000000529</v>
      </c>
      <c r="BI22" s="964">
        <v>433.0302099999999</v>
      </c>
      <c r="BJ22" s="964">
        <v>433.92140999999992</v>
      </c>
      <c r="BK22" s="964">
        <v>434.02140999999995</v>
      </c>
      <c r="BL22" s="964">
        <v>0</v>
      </c>
      <c r="BM22" s="964">
        <v>0</v>
      </c>
      <c r="BN22" s="964">
        <v>1.0160000000000218</v>
      </c>
      <c r="BO22" s="964">
        <v>1.5</v>
      </c>
      <c r="BP22" s="964">
        <v>1.5</v>
      </c>
      <c r="BQ22" s="964">
        <v>0</v>
      </c>
      <c r="BR22" s="1874">
        <v>0</v>
      </c>
      <c r="BS22" s="964">
        <v>0.32</v>
      </c>
      <c r="BT22" s="964">
        <v>0.38459000000005289</v>
      </c>
      <c r="BU22" s="47" t="s">
        <v>2849</v>
      </c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</row>
    <row r="23" spans="1:140" s="31" customFormat="1" ht="24.95" customHeight="1" x14ac:dyDescent="0.15">
      <c r="A23" s="922">
        <v>13</v>
      </c>
      <c r="B23" s="143">
        <v>434.54500000000002</v>
      </c>
      <c r="C23" s="142"/>
      <c r="D23" s="143">
        <v>432.3042099999999</v>
      </c>
      <c r="E23" s="144">
        <v>2.2407900000001177</v>
      </c>
      <c r="F23" s="141">
        <v>432.75400000000002</v>
      </c>
      <c r="G23" s="140">
        <v>430.48180999999988</v>
      </c>
      <c r="H23" s="144">
        <v>2.2721900000001369</v>
      </c>
      <c r="I23" s="139">
        <v>432.69236585733603</v>
      </c>
      <c r="J23" s="138">
        <v>432.75132309383127</v>
      </c>
      <c r="K23" s="138" t="s">
        <v>2848</v>
      </c>
      <c r="L23" s="138" t="s">
        <v>2848</v>
      </c>
      <c r="M23" s="137" t="s">
        <v>2848</v>
      </c>
      <c r="N23" s="136">
        <v>91.12</v>
      </c>
      <c r="O23" s="145">
        <v>0.67559999999999998</v>
      </c>
      <c r="P23" s="136">
        <v>0.6</v>
      </c>
      <c r="Q23" s="33">
        <v>4.3589000000000002</v>
      </c>
      <c r="R23" s="146">
        <v>0.76946861536351507</v>
      </c>
      <c r="S23" s="146">
        <v>16.682425415128776</v>
      </c>
      <c r="T23" s="146">
        <v>108.10230986565578</v>
      </c>
      <c r="U23" s="146">
        <v>0.50339818984692597</v>
      </c>
      <c r="V23" s="146">
        <v>78.588575431884209</v>
      </c>
      <c r="W23" s="33">
        <v>558.91213708649423</v>
      </c>
      <c r="X23" s="146">
        <v>1.965539947322209</v>
      </c>
      <c r="Y23" s="146">
        <v>2</v>
      </c>
      <c r="Z23" s="146">
        <v>1.0387519630083526</v>
      </c>
      <c r="AA23" s="146" t="s">
        <v>72</v>
      </c>
      <c r="AB23" s="147">
        <v>1.4999999999999999E-2</v>
      </c>
      <c r="AC23" s="148">
        <v>1</v>
      </c>
      <c r="AD23" s="146">
        <v>0.6</v>
      </c>
      <c r="AE23" s="146"/>
      <c r="AF23" s="32"/>
      <c r="AG23" s="149"/>
      <c r="AH23" s="150" t="e">
        <v>#DIV/0!</v>
      </c>
      <c r="AI23" s="146">
        <v>0.38815585733611568</v>
      </c>
      <c r="AJ23" s="146">
        <v>0.49076204121688743</v>
      </c>
      <c r="AK23" s="146">
        <v>2.8885275899700535</v>
      </c>
      <c r="AL23" s="146">
        <v>17.20818347675851</v>
      </c>
      <c r="AM23" s="151">
        <v>13</v>
      </c>
      <c r="AN23" s="152">
        <v>14</v>
      </c>
      <c r="AO23" s="153">
        <v>12</v>
      </c>
      <c r="AP23" s="154">
        <v>0</v>
      </c>
      <c r="AQ23" s="152">
        <v>0</v>
      </c>
      <c r="AR23" s="165">
        <v>432.3042099999999</v>
      </c>
      <c r="AS23" s="165">
        <v>10000</v>
      </c>
      <c r="AT23" s="165">
        <v>10000</v>
      </c>
      <c r="AU23" s="165">
        <v>16.682425415128776</v>
      </c>
      <c r="AV23" s="165">
        <v>0</v>
      </c>
      <c r="AW23" s="165">
        <v>0</v>
      </c>
      <c r="AX23" s="155">
        <v>0.33781512433509725</v>
      </c>
      <c r="AY23" s="155">
        <v>0.38815585733611568</v>
      </c>
      <c r="AZ23" s="155">
        <v>0.21467587098446858</v>
      </c>
      <c r="BA23" s="155">
        <v>537.48273671336005</v>
      </c>
      <c r="BB23" s="155">
        <v>0.48411694746626371</v>
      </c>
      <c r="BC23" s="155">
        <v>0.49076204121688743</v>
      </c>
      <c r="BD23" s="155">
        <v>0.59826020299351901</v>
      </c>
      <c r="BE23" s="964">
        <v>434.54500000000002</v>
      </c>
      <c r="BF23" s="964">
        <v>434.54500000000002</v>
      </c>
      <c r="BG23" s="964">
        <v>432.3042099999999</v>
      </c>
      <c r="BH23" s="964">
        <v>2.2407900000001177</v>
      </c>
      <c r="BI23" s="964">
        <v>431.20780999999988</v>
      </c>
      <c r="BJ23" s="964">
        <v>433.0302099999999</v>
      </c>
      <c r="BK23" s="964">
        <v>433.0302099999999</v>
      </c>
      <c r="BL23" s="964">
        <v>0</v>
      </c>
      <c r="BM23" s="964">
        <v>0</v>
      </c>
      <c r="BN23" s="964">
        <v>0.91599999999999904</v>
      </c>
      <c r="BO23" s="964">
        <v>1.5</v>
      </c>
      <c r="BP23" s="964">
        <v>1.5</v>
      </c>
      <c r="BQ23" s="964">
        <v>0</v>
      </c>
      <c r="BR23" s="1874">
        <v>0</v>
      </c>
      <c r="BS23" s="964">
        <v>0.32</v>
      </c>
      <c r="BT23" s="964">
        <v>0.42079000000011774</v>
      </c>
      <c r="BU23" s="47" t="s">
        <v>2849</v>
      </c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</row>
    <row r="24" spans="1:140" s="31" customFormat="1" ht="24.95" customHeight="1" x14ac:dyDescent="0.15">
      <c r="A24" s="922">
        <v>14</v>
      </c>
      <c r="B24" s="143">
        <v>432.75400000000002</v>
      </c>
      <c r="C24" s="142"/>
      <c r="D24" s="143">
        <v>430.48180999999988</v>
      </c>
      <c r="E24" s="144">
        <v>2.2721900000001369</v>
      </c>
      <c r="F24" s="141">
        <v>430.19499999999999</v>
      </c>
      <c r="G24" s="140">
        <v>427.95532999999989</v>
      </c>
      <c r="H24" s="144">
        <v>2.2396700000001033</v>
      </c>
      <c r="I24" s="139">
        <v>430.86041565852116</v>
      </c>
      <c r="J24" s="138">
        <v>430.86996585733601</v>
      </c>
      <c r="K24" s="138" t="s">
        <v>2848</v>
      </c>
      <c r="L24" s="138" t="s">
        <v>2848</v>
      </c>
      <c r="M24" s="137" t="s">
        <v>2848</v>
      </c>
      <c r="N24" s="136">
        <v>87.12</v>
      </c>
      <c r="O24" s="145">
        <v>0.81020000000000003</v>
      </c>
      <c r="P24" s="136">
        <v>0.6</v>
      </c>
      <c r="Q24" s="33">
        <v>5.1691000000000003</v>
      </c>
      <c r="R24" s="146">
        <v>0.74646962747678991</v>
      </c>
      <c r="S24" s="146">
        <v>17.20818347675851</v>
      </c>
      <c r="T24" s="146">
        <v>106.56213680010094</v>
      </c>
      <c r="U24" s="146">
        <v>0.50620478231638721</v>
      </c>
      <c r="V24" s="146">
        <v>90.628707477309078</v>
      </c>
      <c r="W24" s="33">
        <v>649.54084456380326</v>
      </c>
      <c r="X24" s="146">
        <v>2.9373278236914895</v>
      </c>
      <c r="Y24" s="146">
        <v>2.9</v>
      </c>
      <c r="Z24" s="146">
        <v>1.4029355088136648</v>
      </c>
      <c r="AA24" s="146" t="s">
        <v>72</v>
      </c>
      <c r="AB24" s="147">
        <v>1.4999999999999999E-2</v>
      </c>
      <c r="AC24" s="148">
        <v>1</v>
      </c>
      <c r="AD24" s="146">
        <v>0.6</v>
      </c>
      <c r="AE24" s="146"/>
      <c r="AF24" s="32"/>
      <c r="AG24" s="149"/>
      <c r="AH24" s="150" t="e">
        <v>#DIV/0!</v>
      </c>
      <c r="AI24" s="146">
        <v>0.37860565852127065</v>
      </c>
      <c r="AJ24" s="146">
        <v>0.62694951062548099</v>
      </c>
      <c r="AK24" s="146">
        <v>3.4551936512863577</v>
      </c>
      <c r="AL24" s="146">
        <v>17.628420414696684</v>
      </c>
      <c r="AM24" s="151">
        <v>14</v>
      </c>
      <c r="AN24" s="152">
        <v>15</v>
      </c>
      <c r="AO24" s="153">
        <v>13</v>
      </c>
      <c r="AP24" s="154">
        <v>0</v>
      </c>
      <c r="AQ24" s="152">
        <v>0</v>
      </c>
      <c r="AR24" s="165">
        <v>430.48180999999988</v>
      </c>
      <c r="AS24" s="165">
        <v>10000</v>
      </c>
      <c r="AT24" s="165">
        <v>10000</v>
      </c>
      <c r="AU24" s="165">
        <v>17.20818347675851</v>
      </c>
      <c r="AV24" s="165">
        <v>0</v>
      </c>
      <c r="AW24" s="165">
        <v>0</v>
      </c>
      <c r="AX24" s="155">
        <v>0.33208260776841664</v>
      </c>
      <c r="AY24" s="155">
        <v>0.37860565852127065</v>
      </c>
      <c r="AZ24" s="155">
        <v>0.19598206568847346</v>
      </c>
      <c r="BA24" s="155">
        <v>522.19363250931383</v>
      </c>
      <c r="BB24" s="155">
        <v>0.52273317353519033</v>
      </c>
      <c r="BC24" s="155">
        <v>0.53032256572781467</v>
      </c>
      <c r="BD24" s="155">
        <v>0.62694951062548099</v>
      </c>
      <c r="BE24" s="964">
        <v>432.75400000000002</v>
      </c>
      <c r="BF24" s="964">
        <v>432.75400000000002</v>
      </c>
      <c r="BG24" s="964">
        <v>430.48180999999988</v>
      </c>
      <c r="BH24" s="964">
        <v>2.2721900000001369</v>
      </c>
      <c r="BI24" s="964">
        <v>428.68132999999989</v>
      </c>
      <c r="BJ24" s="964">
        <v>431.20780999999988</v>
      </c>
      <c r="BK24" s="964">
        <v>431.20780999999988</v>
      </c>
      <c r="BL24" s="964">
        <v>0</v>
      </c>
      <c r="BM24" s="964">
        <v>0</v>
      </c>
      <c r="BN24" s="964">
        <v>0.91599999999999904</v>
      </c>
      <c r="BO24" s="964">
        <v>1.5</v>
      </c>
      <c r="BP24" s="964">
        <v>1.5</v>
      </c>
      <c r="BQ24" s="964">
        <v>0</v>
      </c>
      <c r="BR24" s="1874">
        <v>0</v>
      </c>
      <c r="BS24" s="964">
        <v>0.32</v>
      </c>
      <c r="BT24" s="964">
        <v>0.45219000000013693</v>
      </c>
      <c r="BU24" s="47" t="s">
        <v>2849</v>
      </c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</row>
    <row r="25" spans="1:140" s="31" customFormat="1" ht="24.95" customHeight="1" x14ac:dyDescent="0.15">
      <c r="A25" s="922">
        <v>15</v>
      </c>
      <c r="B25" s="143">
        <v>430.19499999999999</v>
      </c>
      <c r="C25" s="142">
        <v>0.2</v>
      </c>
      <c r="D25" s="143">
        <v>427.7553299999999</v>
      </c>
      <c r="E25" s="144">
        <v>2.4396700000000919</v>
      </c>
      <c r="F25" s="141">
        <v>427.411</v>
      </c>
      <c r="G25" s="140">
        <v>425.0072899999999</v>
      </c>
      <c r="H25" s="144">
        <v>2.4037100000001033</v>
      </c>
      <c r="I25" s="139">
        <v>428.38259034471832</v>
      </c>
      <c r="J25" s="138">
        <v>428.33393565852117</v>
      </c>
      <c r="K25" s="138" t="s">
        <v>2848</v>
      </c>
      <c r="L25" s="138" t="s">
        <v>2848</v>
      </c>
      <c r="M25" s="137" t="s">
        <v>2848</v>
      </c>
      <c r="N25" s="136">
        <v>94.76</v>
      </c>
      <c r="O25" s="145">
        <v>22.657699999999998</v>
      </c>
      <c r="P25" s="136">
        <v>0.6</v>
      </c>
      <c r="Q25" s="33">
        <v>27.826799999999999</v>
      </c>
      <c r="R25" s="146">
        <v>0.55320428900078888</v>
      </c>
      <c r="S25" s="146">
        <v>17.628420414696684</v>
      </c>
      <c r="T25" s="146">
        <v>105.36631693608484</v>
      </c>
      <c r="U25" s="146">
        <v>0.50837633667976079</v>
      </c>
      <c r="V25" s="146">
        <v>1865.1799103922692</v>
      </c>
      <c r="W25" s="33">
        <v>2514.7207549560726</v>
      </c>
      <c r="X25" s="146">
        <v>2.9379485014774076</v>
      </c>
      <c r="Y25" s="146">
        <v>2.9</v>
      </c>
      <c r="Z25" s="146">
        <v>1.3791483281934447</v>
      </c>
      <c r="AA25" s="146" t="s">
        <v>72</v>
      </c>
      <c r="AB25" s="147">
        <v>1.4999999999999999E-2</v>
      </c>
      <c r="AC25" s="148">
        <v>1</v>
      </c>
      <c r="AD25" s="146">
        <v>1</v>
      </c>
      <c r="AE25" s="146"/>
      <c r="AF25" s="32"/>
      <c r="AG25" s="149"/>
      <c r="AH25" s="150" t="e">
        <v>#DIV/0!</v>
      </c>
      <c r="AI25" s="146">
        <v>0.62726034471843595</v>
      </c>
      <c r="AJ25" s="146">
        <v>0.85397905436851407</v>
      </c>
      <c r="AK25" s="146">
        <v>4.8493207457512097</v>
      </c>
      <c r="AL25" s="146">
        <v>17.95410176599049</v>
      </c>
      <c r="AM25" s="151">
        <v>15</v>
      </c>
      <c r="AN25" s="152">
        <v>16</v>
      </c>
      <c r="AO25" s="153">
        <v>14</v>
      </c>
      <c r="AP25" s="154">
        <v>0</v>
      </c>
      <c r="AQ25" s="152">
        <v>0</v>
      </c>
      <c r="AR25" s="165">
        <v>427.95532999999989</v>
      </c>
      <c r="AS25" s="165">
        <v>10000</v>
      </c>
      <c r="AT25" s="165">
        <v>10000</v>
      </c>
      <c r="AU25" s="165">
        <v>17.628420414696684</v>
      </c>
      <c r="AV25" s="165">
        <v>0</v>
      </c>
      <c r="AW25" s="165">
        <v>0</v>
      </c>
      <c r="AX25" s="155">
        <v>0.55128856971951601</v>
      </c>
      <c r="AY25" s="155">
        <v>0.62726034471843595</v>
      </c>
      <c r="AZ25" s="155">
        <v>0.31953469367179316</v>
      </c>
      <c r="BA25" s="155">
        <v>518.57175196327762</v>
      </c>
      <c r="BB25" s="155">
        <v>0.90595020944002758</v>
      </c>
      <c r="BC25" s="155">
        <v>0.91951648395507568</v>
      </c>
      <c r="BD25" s="155">
        <v>0.85397905436851407</v>
      </c>
      <c r="BE25" s="964">
        <v>430.19499999999999</v>
      </c>
      <c r="BF25" s="964">
        <v>430.19499999999999</v>
      </c>
      <c r="BG25" s="964">
        <v>427.7553299999999</v>
      </c>
      <c r="BH25" s="964">
        <v>2.4396700000000919</v>
      </c>
      <c r="BI25" s="964">
        <v>426.21728999999988</v>
      </c>
      <c r="BJ25" s="964">
        <v>428.96532999999988</v>
      </c>
      <c r="BK25" s="964">
        <v>428.68132999999989</v>
      </c>
      <c r="BL25" s="964">
        <v>0</v>
      </c>
      <c r="BM25" s="964">
        <v>0</v>
      </c>
      <c r="BN25" s="964">
        <v>1.3999999999999795</v>
      </c>
      <c r="BO25" s="964">
        <v>1.5</v>
      </c>
      <c r="BP25" s="964">
        <v>1.5</v>
      </c>
      <c r="BQ25" s="964">
        <v>0</v>
      </c>
      <c r="BR25" s="1874">
        <v>0</v>
      </c>
      <c r="BS25" s="964">
        <v>0.32</v>
      </c>
      <c r="BT25" s="964">
        <v>0.61967000000009187</v>
      </c>
      <c r="BU25" s="47" t="s">
        <v>2849</v>
      </c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</row>
    <row r="26" spans="1:140" s="31" customFormat="1" ht="24.95" customHeight="1" x14ac:dyDescent="0.15">
      <c r="A26" s="922">
        <v>16</v>
      </c>
      <c r="B26" s="143">
        <v>427.411</v>
      </c>
      <c r="C26" s="142"/>
      <c r="D26" s="143">
        <v>425.0072899999999</v>
      </c>
      <c r="E26" s="144">
        <v>2.4037100000001033</v>
      </c>
      <c r="F26" s="141">
        <v>425.34899999999999</v>
      </c>
      <c r="G26" s="140">
        <v>422.92256999999989</v>
      </c>
      <c r="H26" s="144">
        <v>2.4264300000000958</v>
      </c>
      <c r="I26" s="139">
        <v>425.71126684248611</v>
      </c>
      <c r="J26" s="138">
        <v>425.63455034471832</v>
      </c>
      <c r="K26" s="138" t="s">
        <v>2848</v>
      </c>
      <c r="L26" s="138" t="s">
        <v>2848</v>
      </c>
      <c r="M26" s="137" t="s">
        <v>2848</v>
      </c>
      <c r="N26" s="136">
        <v>94.76</v>
      </c>
      <c r="O26" s="145">
        <v>0.74160000000000004</v>
      </c>
      <c r="P26" s="136">
        <v>0.6</v>
      </c>
      <c r="Q26" s="33">
        <v>28.568399999999997</v>
      </c>
      <c r="R26" s="146">
        <v>0.55062041142866525</v>
      </c>
      <c r="S26" s="146">
        <v>17.95410176599049</v>
      </c>
      <c r="T26" s="146">
        <v>104.4602439391703</v>
      </c>
      <c r="U26" s="146">
        <v>0.51001760446070543</v>
      </c>
      <c r="V26" s="146">
        <v>60.435270719969708</v>
      </c>
      <c r="W26" s="33">
        <v>2575.1560256760422</v>
      </c>
      <c r="X26" s="146">
        <v>2.1760236386661163</v>
      </c>
      <c r="Y26" s="146">
        <v>2.2000000000000002</v>
      </c>
      <c r="Z26" s="146">
        <v>1.4462339092172227</v>
      </c>
      <c r="AA26" s="146" t="s">
        <v>72</v>
      </c>
      <c r="AB26" s="147">
        <v>1.4999999999999999E-2</v>
      </c>
      <c r="AC26" s="148">
        <v>1</v>
      </c>
      <c r="AD26" s="146">
        <v>1</v>
      </c>
      <c r="AE26" s="146"/>
      <c r="AF26" s="32"/>
      <c r="AG26" s="149"/>
      <c r="AH26" s="150" t="e">
        <v>#DIV/0!</v>
      </c>
      <c r="AI26" s="146">
        <v>0.70397684248621051</v>
      </c>
      <c r="AJ26" s="146">
        <v>0.86032397253089399</v>
      </c>
      <c r="AK26" s="146">
        <v>4.3582617302813818</v>
      </c>
      <c r="AL26" s="146">
        <v>18.316478656382376</v>
      </c>
      <c r="AM26" s="151">
        <v>16</v>
      </c>
      <c r="AN26" s="152">
        <v>17</v>
      </c>
      <c r="AO26" s="153">
        <v>15</v>
      </c>
      <c r="AP26" s="154">
        <v>0</v>
      </c>
      <c r="AQ26" s="152">
        <v>0</v>
      </c>
      <c r="AR26" s="165">
        <v>425.0072899999999</v>
      </c>
      <c r="AS26" s="165">
        <v>10000</v>
      </c>
      <c r="AT26" s="165">
        <v>10000</v>
      </c>
      <c r="AU26" s="165">
        <v>17.95410176599049</v>
      </c>
      <c r="AV26" s="165">
        <v>0</v>
      </c>
      <c r="AW26" s="165">
        <v>0</v>
      </c>
      <c r="AX26" s="155">
        <v>0.59602473326292438</v>
      </c>
      <c r="AY26" s="155">
        <v>0.70397684248621051</v>
      </c>
      <c r="AZ26" s="155">
        <v>0.48439877163318429</v>
      </c>
      <c r="BA26" s="155">
        <v>590.86768648696614</v>
      </c>
      <c r="BB26" s="155">
        <v>0.9170047343543748</v>
      </c>
      <c r="BC26" s="155">
        <v>0.93085149147446045</v>
      </c>
      <c r="BD26" s="155">
        <v>0.86032397253089399</v>
      </c>
      <c r="BE26" s="964">
        <v>427.411</v>
      </c>
      <c r="BF26" s="964">
        <v>427.411</v>
      </c>
      <c r="BG26" s="964">
        <v>425.0072899999999</v>
      </c>
      <c r="BH26" s="964">
        <v>2.4037100000001033</v>
      </c>
      <c r="BI26" s="964">
        <v>424.13256999999987</v>
      </c>
      <c r="BJ26" s="964">
        <v>426.21728999999988</v>
      </c>
      <c r="BK26" s="964">
        <v>426.21728999999988</v>
      </c>
      <c r="BL26" s="964">
        <v>0</v>
      </c>
      <c r="BM26" s="964">
        <v>0</v>
      </c>
      <c r="BN26" s="964">
        <v>1.3999999999999795</v>
      </c>
      <c r="BO26" s="964">
        <v>1.5</v>
      </c>
      <c r="BP26" s="964">
        <v>1.5</v>
      </c>
      <c r="BQ26" s="964">
        <v>0</v>
      </c>
      <c r="BR26" s="1874">
        <v>0</v>
      </c>
      <c r="BS26" s="964">
        <v>0.32</v>
      </c>
      <c r="BT26" s="964">
        <v>0.5837100000001032</v>
      </c>
      <c r="BU26" s="47" t="s">
        <v>2849</v>
      </c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</row>
    <row r="27" spans="1:140" s="31" customFormat="1" ht="24.95" customHeight="1" x14ac:dyDescent="0.15">
      <c r="A27" s="922">
        <v>17</v>
      </c>
      <c r="B27" s="143">
        <v>425.34899999999999</v>
      </c>
      <c r="C27" s="142">
        <v>0.09</v>
      </c>
      <c r="D27" s="143">
        <v>422.83256999999992</v>
      </c>
      <c r="E27" s="144">
        <v>2.5164300000000708</v>
      </c>
      <c r="F27" s="141">
        <v>423.91300000000001</v>
      </c>
      <c r="G27" s="140">
        <v>422.01116999999994</v>
      </c>
      <c r="H27" s="144">
        <v>1.901830000000075</v>
      </c>
      <c r="I27" s="139">
        <v>423.66169381239087</v>
      </c>
      <c r="J27" s="138">
        <v>423.62654684248611</v>
      </c>
      <c r="K27" s="138" t="s">
        <v>2848</v>
      </c>
      <c r="L27" s="138" t="s">
        <v>2848</v>
      </c>
      <c r="M27" s="137" t="s">
        <v>2848</v>
      </c>
      <c r="N27" s="136">
        <v>54.76</v>
      </c>
      <c r="O27" s="145">
        <v>0.86399999999999999</v>
      </c>
      <c r="P27" s="136">
        <v>0.6</v>
      </c>
      <c r="Q27" s="33">
        <v>29.432399999999998</v>
      </c>
      <c r="R27" s="146">
        <v>0.54770793070107138</v>
      </c>
      <c r="S27" s="146">
        <v>18.316478656382376</v>
      </c>
      <c r="T27" s="146">
        <v>103.47258445238108</v>
      </c>
      <c r="U27" s="146">
        <v>0.51180283587751674</v>
      </c>
      <c r="V27" s="146">
        <v>69.618233296418609</v>
      </c>
      <c r="W27" s="33">
        <v>2644.7742589724608</v>
      </c>
      <c r="X27" s="146">
        <v>2.6223520818115023</v>
      </c>
      <c r="Y27" s="146">
        <v>1.5</v>
      </c>
      <c r="Z27" s="146">
        <v>1.5254875360453144</v>
      </c>
      <c r="AA27" s="146" t="s">
        <v>72</v>
      </c>
      <c r="AB27" s="147">
        <v>1.4999999999999999E-2</v>
      </c>
      <c r="AC27" s="148">
        <v>1</v>
      </c>
      <c r="AD27" s="146">
        <v>1</v>
      </c>
      <c r="AE27" s="146"/>
      <c r="AF27" s="32"/>
      <c r="AG27" s="149"/>
      <c r="AH27" s="150" t="e">
        <v>#DIV/0!</v>
      </c>
      <c r="AI27" s="146">
        <v>0.82912381239094146</v>
      </c>
      <c r="AJ27" s="146">
        <v>0.86750720055197017</v>
      </c>
      <c r="AK27" s="146">
        <v>3.7988513456155539</v>
      </c>
      <c r="AL27" s="146">
        <v>18.556726716554572</v>
      </c>
      <c r="AM27" s="151">
        <v>17</v>
      </c>
      <c r="AN27" s="152">
        <v>0</v>
      </c>
      <c r="AO27" s="153">
        <v>16</v>
      </c>
      <c r="AP27" s="154">
        <v>0</v>
      </c>
      <c r="AQ27" s="152">
        <v>0</v>
      </c>
      <c r="AR27" s="165">
        <v>422.92256999999989</v>
      </c>
      <c r="AS27" s="165">
        <v>10000</v>
      </c>
      <c r="AT27" s="165">
        <v>10000</v>
      </c>
      <c r="AU27" s="165">
        <v>18.316478656382376</v>
      </c>
      <c r="AV27" s="165">
        <v>0</v>
      </c>
      <c r="AW27" s="165">
        <v>0</v>
      </c>
      <c r="AX27" s="155">
        <v>0.66211610940970356</v>
      </c>
      <c r="AY27" s="155">
        <v>0.82912381239094146</v>
      </c>
      <c r="AZ27" s="155">
        <v>0.84864118402859345</v>
      </c>
      <c r="BA27" s="155">
        <v>696.20367272989722</v>
      </c>
      <c r="BB27" s="155">
        <v>0.92958277757329844</v>
      </c>
      <c r="BC27" s="155">
        <v>0.94375036438108129</v>
      </c>
      <c r="BD27" s="155">
        <v>0.86750720055197017</v>
      </c>
      <c r="BE27" s="964">
        <v>425.34899999999999</v>
      </c>
      <c r="BF27" s="964">
        <v>425.34899999999999</v>
      </c>
      <c r="BG27" s="964">
        <v>422.83256999999992</v>
      </c>
      <c r="BH27" s="964">
        <v>2.5164300000000708</v>
      </c>
      <c r="BI27" s="964">
        <v>423.22116999999992</v>
      </c>
      <c r="BJ27" s="964">
        <v>424.0425699999999</v>
      </c>
      <c r="BK27" s="964">
        <v>424.13256999999987</v>
      </c>
      <c r="BL27" s="964">
        <v>0</v>
      </c>
      <c r="BM27" s="964">
        <v>0</v>
      </c>
      <c r="BN27" s="964">
        <v>1.4899999999999545</v>
      </c>
      <c r="BO27" s="964">
        <v>1.5</v>
      </c>
      <c r="BP27" s="964">
        <v>1.5</v>
      </c>
      <c r="BQ27" s="964">
        <v>0</v>
      </c>
      <c r="BR27" s="1874">
        <v>0</v>
      </c>
      <c r="BS27" s="964">
        <v>0.32</v>
      </c>
      <c r="BT27" s="964">
        <v>0.69643000000007071</v>
      </c>
      <c r="BU27" s="47" t="s">
        <v>2849</v>
      </c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</row>
    <row r="28" spans="1:140" s="31" customFormat="1" ht="24.95" hidden="1" customHeight="1" x14ac:dyDescent="0.15">
      <c r="A28" s="922"/>
      <c r="B28" s="143"/>
      <c r="C28" s="142"/>
      <c r="D28" s="143"/>
      <c r="E28" s="144"/>
      <c r="F28" s="141"/>
      <c r="G28" s="140"/>
      <c r="H28" s="144"/>
      <c r="I28" s="139"/>
      <c r="J28" s="138"/>
      <c r="K28" s="138"/>
      <c r="L28" s="138"/>
      <c r="M28" s="137"/>
      <c r="N28" s="136"/>
      <c r="O28" s="145"/>
      <c r="P28" s="136"/>
      <c r="Q28" s="33"/>
      <c r="R28" s="146"/>
      <c r="S28" s="146"/>
      <c r="T28" s="146"/>
      <c r="U28" s="146"/>
      <c r="V28" s="146"/>
      <c r="W28" s="33"/>
      <c r="X28" s="146"/>
      <c r="Y28" s="146"/>
      <c r="Z28" s="146"/>
      <c r="AA28" s="146"/>
      <c r="AB28" s="147"/>
      <c r="AC28" s="148"/>
      <c r="AD28" s="146"/>
      <c r="AE28" s="146"/>
      <c r="AF28" s="32"/>
      <c r="AG28" s="149"/>
      <c r="AH28" s="150"/>
      <c r="AI28" s="146"/>
      <c r="AJ28" s="146"/>
      <c r="AK28" s="146"/>
      <c r="AL28" s="146"/>
      <c r="AM28" s="151"/>
      <c r="AN28" s="152"/>
      <c r="AO28" s="153"/>
      <c r="AP28" s="154"/>
      <c r="AQ28" s="152"/>
      <c r="AR28" s="165"/>
      <c r="AS28" s="165"/>
      <c r="AT28" s="165"/>
      <c r="AU28" s="165"/>
      <c r="AV28" s="165"/>
      <c r="AW28" s="165"/>
      <c r="AX28" s="155"/>
      <c r="AY28" s="155"/>
      <c r="AZ28" s="155"/>
      <c r="BA28" s="155"/>
      <c r="BB28" s="155"/>
      <c r="BC28" s="155"/>
      <c r="BD28" s="155"/>
      <c r="BE28" s="964"/>
      <c r="BF28" s="964"/>
      <c r="BG28" s="964"/>
      <c r="BH28" s="964"/>
      <c r="BI28" s="964"/>
      <c r="BJ28" s="964"/>
      <c r="BK28" s="964"/>
      <c r="BL28" s="964"/>
      <c r="BM28" s="964"/>
      <c r="BN28" s="964"/>
      <c r="BO28" s="964"/>
      <c r="BP28" s="964"/>
      <c r="BQ28" s="964"/>
      <c r="BR28" s="1874"/>
      <c r="BS28" s="964"/>
      <c r="BT28" s="964"/>
      <c r="BU28" s="47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</row>
    <row r="29" spans="1:140" s="31" customFormat="1" ht="9.9499999999999993" customHeight="1" x14ac:dyDescent="0.15">
      <c r="A29" s="2379"/>
      <c r="B29" s="2380"/>
      <c r="C29" s="2381"/>
      <c r="D29" s="2380"/>
      <c r="E29" s="2382"/>
      <c r="F29" s="2383"/>
      <c r="G29" s="2384"/>
      <c r="H29" s="2382"/>
      <c r="I29" s="2385"/>
      <c r="J29" s="2386"/>
      <c r="K29" s="2386"/>
      <c r="L29" s="2386"/>
      <c r="M29" s="2387"/>
      <c r="N29" s="2388"/>
      <c r="O29" s="2389"/>
      <c r="P29" s="2388"/>
      <c r="Q29" s="2390"/>
      <c r="R29" s="2391"/>
      <c r="S29" s="2391"/>
      <c r="T29" s="2391"/>
      <c r="U29" s="2391"/>
      <c r="V29" s="2391"/>
      <c r="W29" s="2390"/>
      <c r="X29" s="2391"/>
      <c r="Y29" s="2391"/>
      <c r="Z29" s="2391"/>
      <c r="AA29" s="2391"/>
      <c r="AB29" s="2392"/>
      <c r="AC29" s="2393"/>
      <c r="AD29" s="2391"/>
      <c r="AE29" s="2391"/>
      <c r="AF29" s="2394"/>
      <c r="AG29" s="2395"/>
      <c r="AH29" s="2396"/>
      <c r="AI29" s="2391"/>
      <c r="AJ29" s="2391"/>
      <c r="AK29" s="2391"/>
      <c r="AL29" s="2391"/>
      <c r="AM29" s="151"/>
      <c r="AN29" s="152"/>
      <c r="AO29" s="153"/>
      <c r="AP29" s="154"/>
      <c r="AQ29" s="152"/>
      <c r="AR29" s="165"/>
      <c r="AS29" s="165"/>
      <c r="AT29" s="165"/>
      <c r="AU29" s="165"/>
      <c r="AV29" s="165"/>
      <c r="AW29" s="165"/>
      <c r="AX29" s="155"/>
      <c r="AY29" s="155"/>
      <c r="AZ29" s="155"/>
      <c r="BA29" s="155"/>
      <c r="BB29" s="155"/>
      <c r="BC29" s="155"/>
      <c r="BD29" s="155"/>
      <c r="BE29" s="964"/>
      <c r="BF29" s="964"/>
      <c r="BG29" s="964"/>
      <c r="BH29" s="964"/>
      <c r="BI29" s="964"/>
      <c r="BJ29" s="964"/>
      <c r="BK29" s="964"/>
      <c r="BL29" s="964"/>
      <c r="BM29" s="964"/>
      <c r="BN29" s="964"/>
      <c r="BO29" s="964"/>
      <c r="BP29" s="964"/>
      <c r="BQ29" s="964"/>
      <c r="BR29" s="1874"/>
      <c r="BS29" s="964"/>
      <c r="BT29" s="964"/>
      <c r="BU29" s="47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</row>
    <row r="30" spans="1:140" s="31" customFormat="1" ht="24.95" customHeight="1" x14ac:dyDescent="0.15">
      <c r="A30" s="922">
        <v>20</v>
      </c>
      <c r="B30" s="143">
        <v>433.76799999999997</v>
      </c>
      <c r="C30" s="142"/>
      <c r="D30" s="143">
        <v>431.46799999999996</v>
      </c>
      <c r="E30" s="144">
        <v>2.3000000000000114</v>
      </c>
      <c r="F30" s="141">
        <v>432.86</v>
      </c>
      <c r="G30" s="140">
        <v>430.53160999999994</v>
      </c>
      <c r="H30" s="144">
        <v>2.3283900000000699</v>
      </c>
      <c r="I30" s="139">
        <v>431.99618654220689</v>
      </c>
      <c r="J30" s="138" t="s">
        <v>2848</v>
      </c>
      <c r="K30" s="138" t="s">
        <v>2848</v>
      </c>
      <c r="L30" s="138" t="s">
        <v>2848</v>
      </c>
      <c r="M30" s="137" t="s">
        <v>2848</v>
      </c>
      <c r="N30" s="136">
        <v>72.03</v>
      </c>
      <c r="O30" s="145">
        <v>9.6076999999999995</v>
      </c>
      <c r="P30" s="136">
        <v>0.6</v>
      </c>
      <c r="Q30" s="33">
        <v>9.6076999999999995</v>
      </c>
      <c r="R30" s="146">
        <v>0.6684881925926186</v>
      </c>
      <c r="S30" s="146">
        <v>15</v>
      </c>
      <c r="T30" s="146">
        <v>113.38983928195596</v>
      </c>
      <c r="U30" s="146">
        <v>0.49366847418077825</v>
      </c>
      <c r="V30" s="146">
        <v>998.74576234727158</v>
      </c>
      <c r="W30" s="33">
        <v>998.74576234727158</v>
      </c>
      <c r="X30" s="146">
        <v>1.2605858669998038</v>
      </c>
      <c r="Y30" s="146">
        <v>1.3</v>
      </c>
      <c r="Z30" s="146">
        <v>0.71514605434012324</v>
      </c>
      <c r="AA30" s="146" t="s">
        <v>72</v>
      </c>
      <c r="AB30" s="147">
        <v>1.4999999999999999E-2</v>
      </c>
      <c r="AC30" s="148">
        <v>1</v>
      </c>
      <c r="AD30" s="146">
        <v>0.8</v>
      </c>
      <c r="AE30" s="146"/>
      <c r="AF30" s="32"/>
      <c r="AG30" s="149"/>
      <c r="AH30" s="150" t="e">
        <v>#DIV/0!</v>
      </c>
      <c r="AI30" s="146">
        <v>0.52818654220691719</v>
      </c>
      <c r="AJ30" s="146">
        <v>0.60917277825170213</v>
      </c>
      <c r="AK30" s="146">
        <v>2.8365941912026496</v>
      </c>
      <c r="AL30" s="146">
        <v>15.423218803635432</v>
      </c>
      <c r="AM30" s="151">
        <v>20</v>
      </c>
      <c r="AN30" s="152">
        <v>24</v>
      </c>
      <c r="AO30" s="153">
        <v>0</v>
      </c>
      <c r="AP30" s="154">
        <v>0</v>
      </c>
      <c r="AQ30" s="152">
        <v>0</v>
      </c>
      <c r="AR30" s="165">
        <v>10000</v>
      </c>
      <c r="AS30" s="165">
        <v>10000</v>
      </c>
      <c r="AT30" s="165">
        <v>10000</v>
      </c>
      <c r="AU30" s="165">
        <v>15</v>
      </c>
      <c r="AV30" s="165">
        <v>0</v>
      </c>
      <c r="AW30" s="165">
        <v>0</v>
      </c>
      <c r="AX30" s="155">
        <v>0.45674849995205313</v>
      </c>
      <c r="AY30" s="155">
        <v>0.52818654220691719</v>
      </c>
      <c r="AZ30" s="155">
        <v>0.30812487552325529</v>
      </c>
      <c r="BA30" s="155">
        <v>550.14575525376051</v>
      </c>
      <c r="BB30" s="155">
        <v>0.60134061927811555</v>
      </c>
      <c r="BC30" s="155">
        <v>0.60917277825170213</v>
      </c>
      <c r="BD30" s="155">
        <v>0.67276250562670992</v>
      </c>
      <c r="BE30" s="964">
        <v>433.76799999999997</v>
      </c>
      <c r="BF30" s="964">
        <v>433.76799999999997</v>
      </c>
      <c r="BG30" s="964">
        <v>431.46799999999996</v>
      </c>
      <c r="BH30" s="964">
        <v>2.3000000000000114</v>
      </c>
      <c r="BI30" s="964">
        <v>431.49960999999996</v>
      </c>
      <c r="BJ30" s="964">
        <v>432.43599999999998</v>
      </c>
      <c r="BK30" s="964">
        <v>0</v>
      </c>
      <c r="BL30" s="964">
        <v>0</v>
      </c>
      <c r="BM30" s="964">
        <v>0</v>
      </c>
      <c r="BN30" s="964">
        <v>1.1580000000000177</v>
      </c>
      <c r="BO30" s="964">
        <v>1.5</v>
      </c>
      <c r="BP30" s="964">
        <v>1.5</v>
      </c>
      <c r="BQ30" s="964">
        <v>0</v>
      </c>
      <c r="BR30" s="1874">
        <v>0</v>
      </c>
      <c r="BS30" s="964">
        <v>0.32</v>
      </c>
      <c r="BT30" s="964">
        <v>0.48000000000001136</v>
      </c>
      <c r="BU30" s="47" t="s">
        <v>2849</v>
      </c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</row>
    <row r="31" spans="1:140" s="31" customFormat="1" ht="24.95" customHeight="1" x14ac:dyDescent="0.15">
      <c r="A31" s="922">
        <v>21</v>
      </c>
      <c r="B31" s="143">
        <v>437.322</v>
      </c>
      <c r="C31" s="142"/>
      <c r="D31" s="143">
        <v>435.22199999999998</v>
      </c>
      <c r="E31" s="144">
        <v>2.1000000000000227</v>
      </c>
      <c r="F31" s="141">
        <v>435.63499999999999</v>
      </c>
      <c r="G31" s="140">
        <v>433.51775999999995</v>
      </c>
      <c r="H31" s="144">
        <v>2.117240000000038</v>
      </c>
      <c r="I31" s="139">
        <v>435.40266512099765</v>
      </c>
      <c r="J31" s="138" t="s">
        <v>2848</v>
      </c>
      <c r="K31" s="138" t="s">
        <v>2848</v>
      </c>
      <c r="L31" s="138" t="s">
        <v>2848</v>
      </c>
      <c r="M31" s="137" t="s">
        <v>2848</v>
      </c>
      <c r="N31" s="136">
        <v>94.68</v>
      </c>
      <c r="O31" s="145">
        <v>0.82540000000000002</v>
      </c>
      <c r="P31" s="136">
        <v>0.6</v>
      </c>
      <c r="Q31" s="33">
        <v>0.82540000000000002</v>
      </c>
      <c r="R31" s="146">
        <v>1</v>
      </c>
      <c r="S31" s="146">
        <v>15</v>
      </c>
      <c r="T31" s="146">
        <v>113.38983928195596</v>
      </c>
      <c r="U31" s="146">
        <v>0.49366847418077825</v>
      </c>
      <c r="V31" s="146">
        <v>128.35306374583922</v>
      </c>
      <c r="W31" s="33">
        <v>128.35306374583922</v>
      </c>
      <c r="X31" s="146">
        <v>1.781791297000435</v>
      </c>
      <c r="Y31" s="146">
        <v>1.8</v>
      </c>
      <c r="Z31" s="146">
        <v>5.478192075934258E-2</v>
      </c>
      <c r="AA31" s="146" t="s">
        <v>72</v>
      </c>
      <c r="AB31" s="147">
        <v>1.4999999999999999E-2</v>
      </c>
      <c r="AC31" s="148">
        <v>1</v>
      </c>
      <c r="AD31" s="146">
        <v>0.6</v>
      </c>
      <c r="AE31" s="146"/>
      <c r="AF31" s="32"/>
      <c r="AG31" s="149"/>
      <c r="AH31" s="150" t="e">
        <v>#DIV/0!</v>
      </c>
      <c r="AI31" s="146">
        <v>0.18066512099765364</v>
      </c>
      <c r="AJ31" s="146">
        <v>0.22974348811702505</v>
      </c>
      <c r="AK31" s="146">
        <v>1.7899766651200395</v>
      </c>
      <c r="AL31" s="146">
        <v>15.88157573824806</v>
      </c>
      <c r="AM31" s="151">
        <v>21</v>
      </c>
      <c r="AN31" s="152">
        <v>22</v>
      </c>
      <c r="AO31" s="153">
        <v>0</v>
      </c>
      <c r="AP31" s="154">
        <v>0</v>
      </c>
      <c r="AQ31" s="152">
        <v>0</v>
      </c>
      <c r="AR31" s="165">
        <v>10000</v>
      </c>
      <c r="AS31" s="165">
        <v>10000</v>
      </c>
      <c r="AT31" s="165">
        <v>10000</v>
      </c>
      <c r="AU31" s="165">
        <v>15</v>
      </c>
      <c r="AV31" s="165">
        <v>0</v>
      </c>
      <c r="AW31" s="165">
        <v>0</v>
      </c>
      <c r="AX31" s="155">
        <v>0.17050568570028132</v>
      </c>
      <c r="AY31" s="155">
        <v>0.18066512099765364</v>
      </c>
      <c r="AZ31" s="155">
        <v>5.5959497748905383E-3</v>
      </c>
      <c r="BA31" s="155">
        <v>199.18488052411382</v>
      </c>
      <c r="BB31" s="155">
        <v>0.22837313124521388</v>
      </c>
      <c r="BC31" s="155">
        <v>0.22974348811702505</v>
      </c>
      <c r="BD31" s="155">
        <v>0.37821030454287397</v>
      </c>
      <c r="BE31" s="964">
        <v>437.322</v>
      </c>
      <c r="BF31" s="964">
        <v>437.322</v>
      </c>
      <c r="BG31" s="964">
        <v>435.22199999999998</v>
      </c>
      <c r="BH31" s="964">
        <v>2.1000000000000227</v>
      </c>
      <c r="BI31" s="964">
        <v>434.24375999999995</v>
      </c>
      <c r="BJ31" s="964">
        <v>435.94799999999998</v>
      </c>
      <c r="BK31" s="964">
        <v>0</v>
      </c>
      <c r="BL31" s="964">
        <v>0</v>
      </c>
      <c r="BM31" s="964">
        <v>0</v>
      </c>
      <c r="BN31" s="964">
        <v>0.91599999999999904</v>
      </c>
      <c r="BO31" s="964">
        <v>1.5</v>
      </c>
      <c r="BP31" s="964">
        <v>1.5</v>
      </c>
      <c r="BQ31" s="964">
        <v>0</v>
      </c>
      <c r="BR31" s="1874">
        <v>0</v>
      </c>
      <c r="BS31" s="964">
        <v>0.32</v>
      </c>
      <c r="BT31" s="964">
        <v>0.28000000000002273</v>
      </c>
      <c r="BU31" s="47" t="s">
        <v>2849</v>
      </c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</row>
    <row r="32" spans="1:140" s="31" customFormat="1" ht="24.95" customHeight="1" x14ac:dyDescent="0.15">
      <c r="A32" s="922">
        <v>22</v>
      </c>
      <c r="B32" s="143">
        <v>435.63499999999999</v>
      </c>
      <c r="C32" s="142"/>
      <c r="D32" s="143">
        <v>433.51775999999995</v>
      </c>
      <c r="E32" s="144">
        <v>2.117240000000038</v>
      </c>
      <c r="F32" s="141">
        <v>434.22199999999998</v>
      </c>
      <c r="G32" s="140">
        <v>432.09755999999993</v>
      </c>
      <c r="H32" s="144">
        <v>2.1244400000000496</v>
      </c>
      <c r="I32" s="139">
        <v>433.74528261524284</v>
      </c>
      <c r="J32" s="138">
        <v>433.69842512099763</v>
      </c>
      <c r="K32" s="138" t="s">
        <v>2848</v>
      </c>
      <c r="L32" s="138" t="s">
        <v>2848</v>
      </c>
      <c r="M32" s="137" t="s">
        <v>2848</v>
      </c>
      <c r="N32" s="136">
        <v>94.68</v>
      </c>
      <c r="O32" s="145">
        <v>0.49120000000000003</v>
      </c>
      <c r="P32" s="136">
        <v>0.6</v>
      </c>
      <c r="Q32" s="33">
        <v>1.3166</v>
      </c>
      <c r="R32" s="146">
        <v>0.9522198149592469</v>
      </c>
      <c r="S32" s="146">
        <v>15.88157573824806</v>
      </c>
      <c r="T32" s="146">
        <v>110.54798603534462</v>
      </c>
      <c r="U32" s="146">
        <v>0.4989171153748353</v>
      </c>
      <c r="V32" s="146">
        <v>71.664991185683661</v>
      </c>
      <c r="W32" s="33">
        <v>200.0180549315229</v>
      </c>
      <c r="X32" s="146">
        <v>1.4923954372623689</v>
      </c>
      <c r="Y32" s="146">
        <v>1.5</v>
      </c>
      <c r="Z32" s="146">
        <v>0.13303416116147609</v>
      </c>
      <c r="AA32" s="146" t="s">
        <v>72</v>
      </c>
      <c r="AB32" s="147">
        <v>1.4999999999999999E-2</v>
      </c>
      <c r="AC32" s="148">
        <v>1</v>
      </c>
      <c r="AD32" s="146">
        <v>0.6</v>
      </c>
      <c r="AE32" s="146"/>
      <c r="AF32" s="32"/>
      <c r="AG32" s="149"/>
      <c r="AH32" s="150" t="e">
        <v>#DIV/0!</v>
      </c>
      <c r="AI32" s="146">
        <v>0.22752261524286521</v>
      </c>
      <c r="AJ32" s="146">
        <v>0.2888271611473357</v>
      </c>
      <c r="AK32" s="146">
        <v>2.0345223589010093</v>
      </c>
      <c r="AL32" s="146">
        <v>16.657187759957367</v>
      </c>
      <c r="AM32" s="151">
        <v>22</v>
      </c>
      <c r="AN32" s="152">
        <v>23</v>
      </c>
      <c r="AO32" s="153">
        <v>21</v>
      </c>
      <c r="AP32" s="154">
        <v>0</v>
      </c>
      <c r="AQ32" s="152">
        <v>0</v>
      </c>
      <c r="AR32" s="165">
        <v>433.51775999999995</v>
      </c>
      <c r="AS32" s="165">
        <v>10000</v>
      </c>
      <c r="AT32" s="165">
        <v>10000</v>
      </c>
      <c r="AU32" s="165">
        <v>15.88157573824806</v>
      </c>
      <c r="AV32" s="165">
        <v>0</v>
      </c>
      <c r="AW32" s="165">
        <v>0</v>
      </c>
      <c r="AX32" s="155">
        <v>0.22064042869855585</v>
      </c>
      <c r="AY32" s="155">
        <v>0.22752261524286521</v>
      </c>
      <c r="AZ32" s="155">
        <v>2.2128816091857215E-2</v>
      </c>
      <c r="BA32" s="155">
        <v>273.08901556788072</v>
      </c>
      <c r="BB32" s="155">
        <v>0.28644284614483634</v>
      </c>
      <c r="BC32" s="155">
        <v>0.2888271611473357</v>
      </c>
      <c r="BD32" s="155">
        <v>0.43429657252163106</v>
      </c>
      <c r="BE32" s="964">
        <v>435.63499999999999</v>
      </c>
      <c r="BF32" s="964">
        <v>435.63499999999999</v>
      </c>
      <c r="BG32" s="964">
        <v>433.51775999999995</v>
      </c>
      <c r="BH32" s="964">
        <v>2.117240000000038</v>
      </c>
      <c r="BI32" s="964">
        <v>432.82355999999993</v>
      </c>
      <c r="BJ32" s="964">
        <v>434.24375999999995</v>
      </c>
      <c r="BK32" s="964">
        <v>434.24375999999995</v>
      </c>
      <c r="BL32" s="964">
        <v>0</v>
      </c>
      <c r="BM32" s="964">
        <v>0</v>
      </c>
      <c r="BN32" s="964">
        <v>0.91599999999999904</v>
      </c>
      <c r="BO32" s="964">
        <v>1.5</v>
      </c>
      <c r="BP32" s="964">
        <v>1.5</v>
      </c>
      <c r="BQ32" s="964">
        <v>0</v>
      </c>
      <c r="BR32" s="1874">
        <v>0</v>
      </c>
      <c r="BS32" s="964">
        <v>0.32</v>
      </c>
      <c r="BT32" s="964">
        <v>0.29724000000003797</v>
      </c>
      <c r="BU32" s="47" t="s">
        <v>2849</v>
      </c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</row>
    <row r="33" spans="1:140" s="31" customFormat="1" ht="24.95" customHeight="1" x14ac:dyDescent="0.15">
      <c r="A33" s="922">
        <v>23</v>
      </c>
      <c r="B33" s="143">
        <v>434.22199999999998</v>
      </c>
      <c r="C33" s="142"/>
      <c r="D33" s="143">
        <v>432.09755999999993</v>
      </c>
      <c r="E33" s="144">
        <v>2.1244400000000496</v>
      </c>
      <c r="F33" s="141">
        <v>432.86</v>
      </c>
      <c r="G33" s="140">
        <v>430.77203999999995</v>
      </c>
      <c r="H33" s="144">
        <v>2.0879600000000664</v>
      </c>
      <c r="I33" s="139">
        <v>432.37938924102673</v>
      </c>
      <c r="J33" s="138">
        <v>432.32508261524282</v>
      </c>
      <c r="K33" s="138" t="s">
        <v>2848</v>
      </c>
      <c r="L33" s="138" t="s">
        <v>2848</v>
      </c>
      <c r="M33" s="137" t="s">
        <v>2848</v>
      </c>
      <c r="N33" s="136">
        <v>94.68</v>
      </c>
      <c r="O33" s="145">
        <v>0.64070000000000005</v>
      </c>
      <c r="P33" s="136">
        <v>0.6</v>
      </c>
      <c r="Q33" s="33">
        <v>1.9573</v>
      </c>
      <c r="R33" s="146">
        <v>0.88732962924393244</v>
      </c>
      <c r="S33" s="146">
        <v>16.657187759957367</v>
      </c>
      <c r="T33" s="146">
        <v>108.17751324403375</v>
      </c>
      <c r="U33" s="146">
        <v>0.50326085677694588</v>
      </c>
      <c r="V33" s="146">
        <v>85.98092148891331</v>
      </c>
      <c r="W33" s="33">
        <v>285.99897642043618</v>
      </c>
      <c r="X33" s="146">
        <v>1.4385297845373535</v>
      </c>
      <c r="Y33" s="146">
        <v>1.4</v>
      </c>
      <c r="Z33" s="146">
        <v>0.27199049900165734</v>
      </c>
      <c r="AA33" s="146" t="s">
        <v>72</v>
      </c>
      <c r="AB33" s="147">
        <v>1.4999999999999999E-2</v>
      </c>
      <c r="AC33" s="148">
        <v>1</v>
      </c>
      <c r="AD33" s="146">
        <v>0.6</v>
      </c>
      <c r="AE33" s="146"/>
      <c r="AF33" s="32"/>
      <c r="AG33" s="149"/>
      <c r="AH33" s="150" t="e">
        <v>#DIV/0!</v>
      </c>
      <c r="AI33" s="146">
        <v>0.28182924102677531</v>
      </c>
      <c r="AJ33" s="146">
        <v>0.34734005293259917</v>
      </c>
      <c r="AK33" s="146">
        <v>2.1919681087831915</v>
      </c>
      <c r="AL33" s="146">
        <v>17.377088744682908</v>
      </c>
      <c r="AM33" s="151">
        <v>23</v>
      </c>
      <c r="AN33" s="152">
        <v>24</v>
      </c>
      <c r="AO33" s="153">
        <v>22</v>
      </c>
      <c r="AP33" s="154">
        <v>0</v>
      </c>
      <c r="AQ33" s="152">
        <v>0</v>
      </c>
      <c r="AR33" s="165">
        <v>432.09755999999993</v>
      </c>
      <c r="AS33" s="165">
        <v>10000</v>
      </c>
      <c r="AT33" s="165">
        <v>10000</v>
      </c>
      <c r="AU33" s="165">
        <v>16.657187759957367</v>
      </c>
      <c r="AV33" s="165">
        <v>0</v>
      </c>
      <c r="AW33" s="165">
        <v>0</v>
      </c>
      <c r="AX33" s="155">
        <v>0.26653764367915994</v>
      </c>
      <c r="AY33" s="155">
        <v>0.28182924102677531</v>
      </c>
      <c r="AZ33" s="155">
        <v>6.0635237662939455E-2</v>
      </c>
      <c r="BA33" s="155">
        <v>362.43301076532993</v>
      </c>
      <c r="BB33" s="155">
        <v>0.34383278053402233</v>
      </c>
      <c r="BC33" s="155">
        <v>0.34734005293259917</v>
      </c>
      <c r="BD33" s="155">
        <v>0.4855030252551511</v>
      </c>
      <c r="BE33" s="964">
        <v>434.22199999999998</v>
      </c>
      <c r="BF33" s="964">
        <v>434.22199999999998</v>
      </c>
      <c r="BG33" s="964">
        <v>432.09755999999993</v>
      </c>
      <c r="BH33" s="964">
        <v>2.1244400000000496</v>
      </c>
      <c r="BI33" s="964">
        <v>431.49803999999995</v>
      </c>
      <c r="BJ33" s="964">
        <v>432.82355999999993</v>
      </c>
      <c r="BK33" s="964">
        <v>432.82355999999993</v>
      </c>
      <c r="BL33" s="964">
        <v>0</v>
      </c>
      <c r="BM33" s="964">
        <v>0</v>
      </c>
      <c r="BN33" s="964">
        <v>0.91599999999999904</v>
      </c>
      <c r="BO33" s="964">
        <v>1.5</v>
      </c>
      <c r="BP33" s="964">
        <v>1.5</v>
      </c>
      <c r="BQ33" s="964">
        <v>0</v>
      </c>
      <c r="BR33" s="1874">
        <v>0</v>
      </c>
      <c r="BS33" s="964">
        <v>0.32</v>
      </c>
      <c r="BT33" s="964">
        <v>0.30444000000004962</v>
      </c>
      <c r="BU33" s="47" t="s">
        <v>2849</v>
      </c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</row>
    <row r="34" spans="1:140" s="31" customFormat="1" ht="24.95" customHeight="1" x14ac:dyDescent="0.15">
      <c r="A34" s="922">
        <v>24</v>
      </c>
      <c r="B34" s="143">
        <v>432.86</v>
      </c>
      <c r="C34" s="142"/>
      <c r="D34" s="143">
        <v>430.53160999999994</v>
      </c>
      <c r="E34" s="144">
        <v>2.3283900000000699</v>
      </c>
      <c r="F34" s="141">
        <v>431.46699999999998</v>
      </c>
      <c r="G34" s="140">
        <v>429.23344999999995</v>
      </c>
      <c r="H34" s="144">
        <v>2.2335500000000366</v>
      </c>
      <c r="I34" s="139">
        <v>431.1193369117513</v>
      </c>
      <c r="J34" s="138">
        <v>431.05979654220687</v>
      </c>
      <c r="K34" s="138">
        <v>431.05386924102675</v>
      </c>
      <c r="L34" s="138" t="s">
        <v>2848</v>
      </c>
      <c r="M34" s="137" t="s">
        <v>2848</v>
      </c>
      <c r="N34" s="136">
        <v>72.12</v>
      </c>
      <c r="O34" s="145">
        <v>0.80359999999999998</v>
      </c>
      <c r="P34" s="136">
        <v>0.6</v>
      </c>
      <c r="Q34" s="33">
        <v>12.368599999999999</v>
      </c>
      <c r="R34" s="146">
        <v>0.63909724152211633</v>
      </c>
      <c r="S34" s="146">
        <v>17.377088744682908</v>
      </c>
      <c r="T34" s="146">
        <v>106.07782263992441</v>
      </c>
      <c r="U34" s="146">
        <v>0.507085041655159</v>
      </c>
      <c r="V34" s="146">
        <v>76.744013690892388</v>
      </c>
      <c r="W34" s="33">
        <v>1361.4887524586002</v>
      </c>
      <c r="X34" s="146">
        <v>1.9315030504714767</v>
      </c>
      <c r="Y34" s="146">
        <v>1.8</v>
      </c>
      <c r="Z34" s="146">
        <v>1.3289632251847077</v>
      </c>
      <c r="AA34" s="146" t="s">
        <v>72</v>
      </c>
      <c r="AB34" s="147">
        <v>1.4999999999999999E-2</v>
      </c>
      <c r="AC34" s="148">
        <v>1</v>
      </c>
      <c r="AD34" s="146">
        <v>0.8</v>
      </c>
      <c r="AE34" s="146"/>
      <c r="AF34" s="32"/>
      <c r="AG34" s="149"/>
      <c r="AH34" s="150" t="e">
        <v>#DIV/0!</v>
      </c>
      <c r="AI34" s="146">
        <v>0.58772691175134617</v>
      </c>
      <c r="AJ34" s="146">
        <v>0.74097550844717619</v>
      </c>
      <c r="AK34" s="146">
        <v>3.4398612802624298</v>
      </c>
      <c r="AL34" s="146">
        <v>17.726521440384026</v>
      </c>
      <c r="AM34" s="151">
        <v>24</v>
      </c>
      <c r="AN34" s="152">
        <v>25</v>
      </c>
      <c r="AO34" s="153">
        <v>20</v>
      </c>
      <c r="AP34" s="154">
        <v>23</v>
      </c>
      <c r="AQ34" s="152">
        <v>0</v>
      </c>
      <c r="AR34" s="165">
        <v>430.53160999999994</v>
      </c>
      <c r="AS34" s="165">
        <v>430.77203999999995</v>
      </c>
      <c r="AT34" s="165">
        <v>10000</v>
      </c>
      <c r="AU34" s="165">
        <v>15.423218803635432</v>
      </c>
      <c r="AV34" s="165">
        <v>17.377088744682908</v>
      </c>
      <c r="AW34" s="165">
        <v>0</v>
      </c>
      <c r="AX34" s="155">
        <v>0.49031400021788735</v>
      </c>
      <c r="AY34" s="155">
        <v>0.58772691175134617</v>
      </c>
      <c r="AZ34" s="155">
        <v>0.44985263344373111</v>
      </c>
      <c r="BA34" s="155">
        <v>618.4337106623866</v>
      </c>
      <c r="BB34" s="155">
        <v>0.7044332989117793</v>
      </c>
      <c r="BC34" s="155">
        <v>0.71475883449532929</v>
      </c>
      <c r="BD34" s="155">
        <v>0.74097550844717619</v>
      </c>
      <c r="BE34" s="964">
        <v>432.86</v>
      </c>
      <c r="BF34" s="964">
        <v>432.86</v>
      </c>
      <c r="BG34" s="964">
        <v>430.53160999999994</v>
      </c>
      <c r="BH34" s="964">
        <v>2.3283900000000699</v>
      </c>
      <c r="BI34" s="964">
        <v>430.20144999999997</v>
      </c>
      <c r="BJ34" s="964">
        <v>431.49960999999996</v>
      </c>
      <c r="BK34" s="964">
        <v>431.49960999999996</v>
      </c>
      <c r="BL34" s="964">
        <v>431.49803999999995</v>
      </c>
      <c r="BM34" s="964">
        <v>0</v>
      </c>
      <c r="BN34" s="964">
        <v>1.1580000000000177</v>
      </c>
      <c r="BO34" s="964">
        <v>1.5</v>
      </c>
      <c r="BP34" s="964">
        <v>1.5</v>
      </c>
      <c r="BQ34" s="964">
        <v>0</v>
      </c>
      <c r="BR34" s="1874">
        <v>0</v>
      </c>
      <c r="BS34" s="964">
        <v>0.32</v>
      </c>
      <c r="BT34" s="964">
        <v>0.50839000000006984</v>
      </c>
      <c r="BU34" s="47" t="s">
        <v>2849</v>
      </c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</row>
    <row r="35" spans="1:140" s="31" customFormat="1" ht="24.95" customHeight="1" x14ac:dyDescent="0.15">
      <c r="A35" s="922">
        <v>25</v>
      </c>
      <c r="B35" s="143">
        <v>431.46699999999998</v>
      </c>
      <c r="C35" s="142"/>
      <c r="D35" s="143">
        <v>429.23344999999995</v>
      </c>
      <c r="E35" s="144">
        <v>2.2335500000000366</v>
      </c>
      <c r="F35" s="141">
        <v>429.36700000000002</v>
      </c>
      <c r="G35" s="140">
        <v>427.14399999999995</v>
      </c>
      <c r="H35" s="144">
        <v>2.22300000000007</v>
      </c>
      <c r="I35" s="139">
        <v>429.76069072543424</v>
      </c>
      <c r="J35" s="138">
        <v>429.82117691175131</v>
      </c>
      <c r="K35" s="138" t="s">
        <v>2848</v>
      </c>
      <c r="L35" s="138" t="s">
        <v>2848</v>
      </c>
      <c r="M35" s="137" t="s">
        <v>2848</v>
      </c>
      <c r="N35" s="136">
        <v>72.05</v>
      </c>
      <c r="O35" s="145">
        <v>1.3568</v>
      </c>
      <c r="P35" s="136">
        <v>0.6</v>
      </c>
      <c r="Q35" s="33">
        <v>13.725399999999999</v>
      </c>
      <c r="R35" s="146">
        <v>0.62736537847032903</v>
      </c>
      <c r="S35" s="146">
        <v>17.726521440384026</v>
      </c>
      <c r="T35" s="146">
        <v>105.09152181959995</v>
      </c>
      <c r="U35" s="146">
        <v>0.50887446810647374</v>
      </c>
      <c r="V35" s="146">
        <v>126.45819162849426</v>
      </c>
      <c r="W35" s="33">
        <v>1487.9469440870944</v>
      </c>
      <c r="X35" s="146">
        <v>2.9146426092990509</v>
      </c>
      <c r="Y35" s="146">
        <v>2.9</v>
      </c>
      <c r="Z35" s="146">
        <v>1.5873026422745204</v>
      </c>
      <c r="AA35" s="146" t="s">
        <v>72</v>
      </c>
      <c r="AB35" s="147">
        <v>1.4999999999999999E-2</v>
      </c>
      <c r="AC35" s="148">
        <v>1</v>
      </c>
      <c r="AD35" s="146">
        <v>0.8</v>
      </c>
      <c r="AE35" s="146"/>
      <c r="AF35" s="32"/>
      <c r="AG35" s="149"/>
      <c r="AH35" s="150" t="e">
        <v>#DIV/0!</v>
      </c>
      <c r="AI35" s="146">
        <v>0.52724072543431344</v>
      </c>
      <c r="AJ35" s="146">
        <v>0.7617758114124924</v>
      </c>
      <c r="AK35" s="146">
        <v>4.2346260208870863</v>
      </c>
      <c r="AL35" s="146">
        <v>18.010096265506782</v>
      </c>
      <c r="AM35" s="151">
        <v>25</v>
      </c>
      <c r="AN35" s="152">
        <v>26</v>
      </c>
      <c r="AO35" s="153">
        <v>24</v>
      </c>
      <c r="AP35" s="154">
        <v>0</v>
      </c>
      <c r="AQ35" s="152">
        <v>0</v>
      </c>
      <c r="AR35" s="165">
        <v>429.23344999999995</v>
      </c>
      <c r="AS35" s="165">
        <v>10000</v>
      </c>
      <c r="AT35" s="165">
        <v>10000</v>
      </c>
      <c r="AU35" s="165">
        <v>17.726521440384026</v>
      </c>
      <c r="AV35" s="165">
        <v>0</v>
      </c>
      <c r="AW35" s="165">
        <v>0</v>
      </c>
      <c r="AX35" s="155">
        <v>0.4561938469317528</v>
      </c>
      <c r="AY35" s="155">
        <v>0.52724072543431344</v>
      </c>
      <c r="AZ35" s="155">
        <v>0.30625711652695647</v>
      </c>
      <c r="BA35" s="155">
        <v>549.02536579819423</v>
      </c>
      <c r="BB35" s="155">
        <v>0.73712188633985309</v>
      </c>
      <c r="BC35" s="155">
        <v>0.74827208336074424</v>
      </c>
      <c r="BD35" s="155">
        <v>0.7617758114124924</v>
      </c>
      <c r="BE35" s="964">
        <v>431.46699999999998</v>
      </c>
      <c r="BF35" s="964">
        <v>431.46699999999998</v>
      </c>
      <c r="BG35" s="964">
        <v>429.23344999999995</v>
      </c>
      <c r="BH35" s="964">
        <v>2.2335500000000366</v>
      </c>
      <c r="BI35" s="964">
        <v>428.11199999999997</v>
      </c>
      <c r="BJ35" s="964">
        <v>430.20144999999997</v>
      </c>
      <c r="BK35" s="964">
        <v>430.20144999999997</v>
      </c>
      <c r="BL35" s="964">
        <v>0</v>
      </c>
      <c r="BM35" s="964">
        <v>0</v>
      </c>
      <c r="BN35" s="964">
        <v>1.1580000000000177</v>
      </c>
      <c r="BO35" s="964">
        <v>1.5</v>
      </c>
      <c r="BP35" s="964">
        <v>1.5</v>
      </c>
      <c r="BQ35" s="964">
        <v>0</v>
      </c>
      <c r="BR35" s="1874">
        <v>0</v>
      </c>
      <c r="BS35" s="964">
        <v>0.32</v>
      </c>
      <c r="BT35" s="964">
        <v>0.41355000000003656</v>
      </c>
      <c r="BU35" s="47" t="s">
        <v>2849</v>
      </c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</row>
    <row r="36" spans="1:140" s="31" customFormat="1" ht="24.95" customHeight="1" x14ac:dyDescent="0.15">
      <c r="A36" s="922">
        <v>26</v>
      </c>
      <c r="B36" s="143">
        <v>429.36700000000002</v>
      </c>
      <c r="C36" s="142"/>
      <c r="D36" s="143">
        <v>427.14399999999995</v>
      </c>
      <c r="E36" s="144">
        <v>2.22300000000007</v>
      </c>
      <c r="F36" s="141">
        <v>427.56700000000001</v>
      </c>
      <c r="G36" s="140">
        <v>425.33649999999994</v>
      </c>
      <c r="H36" s="144">
        <v>2.2305000000000632</v>
      </c>
      <c r="I36" s="139">
        <v>427.73201935152167</v>
      </c>
      <c r="J36" s="138">
        <v>427.67124072543425</v>
      </c>
      <c r="K36" s="138" t="s">
        <v>2848</v>
      </c>
      <c r="L36" s="138" t="s">
        <v>2848</v>
      </c>
      <c r="M36" s="137" t="s">
        <v>2848</v>
      </c>
      <c r="N36" s="136">
        <v>72.3</v>
      </c>
      <c r="O36" s="145">
        <v>1.2887999999999999</v>
      </c>
      <c r="P36" s="136">
        <v>0.6</v>
      </c>
      <c r="Q36" s="33">
        <v>15.014199999999999</v>
      </c>
      <c r="R36" s="146">
        <v>0.61742272330699366</v>
      </c>
      <c r="S36" s="146">
        <v>18.010096265506782</v>
      </c>
      <c r="T36" s="146">
        <v>104.30623666076464</v>
      </c>
      <c r="U36" s="146">
        <v>0.51029623553181891</v>
      </c>
      <c r="V36" s="146">
        <v>117.66113104009742</v>
      </c>
      <c r="W36" s="33">
        <v>1605.6080751271918</v>
      </c>
      <c r="X36" s="146">
        <v>2.4896265560166131</v>
      </c>
      <c r="Y36" s="146">
        <v>2.5</v>
      </c>
      <c r="Z36" s="146">
        <v>1.8482637041090866</v>
      </c>
      <c r="AA36" s="146" t="s">
        <v>72</v>
      </c>
      <c r="AB36" s="147">
        <v>1.4999999999999999E-2</v>
      </c>
      <c r="AC36" s="148">
        <v>1</v>
      </c>
      <c r="AD36" s="146">
        <v>0.8</v>
      </c>
      <c r="AE36" s="146"/>
      <c r="AF36" s="32"/>
      <c r="AG36" s="149"/>
      <c r="AH36" s="150" t="e">
        <v>#DIV/0!</v>
      </c>
      <c r="AI36" s="146">
        <v>0.5880193515217329</v>
      </c>
      <c r="AJ36" s="146">
        <v>0.7800627098252958</v>
      </c>
      <c r="AK36" s="146">
        <v>4.0545237066587712</v>
      </c>
      <c r="AL36" s="146">
        <v>18.307295169047787</v>
      </c>
      <c r="AM36" s="151">
        <v>26</v>
      </c>
      <c r="AN36" s="152">
        <v>27</v>
      </c>
      <c r="AO36" s="153">
        <v>25</v>
      </c>
      <c r="AP36" s="154">
        <v>0</v>
      </c>
      <c r="AQ36" s="152">
        <v>0</v>
      </c>
      <c r="AR36" s="165">
        <v>427.14399999999995</v>
      </c>
      <c r="AS36" s="165">
        <v>10000</v>
      </c>
      <c r="AT36" s="165">
        <v>10000</v>
      </c>
      <c r="AU36" s="165">
        <v>18.010096265506782</v>
      </c>
      <c r="AV36" s="165">
        <v>0</v>
      </c>
      <c r="AW36" s="165">
        <v>0</v>
      </c>
      <c r="AX36" s="155">
        <v>0.49047277970709158</v>
      </c>
      <c r="AY36" s="155">
        <v>0.5880193515217329</v>
      </c>
      <c r="AZ36" s="155">
        <v>0.45070424558199185</v>
      </c>
      <c r="BA36" s="155">
        <v>618.75643081481542</v>
      </c>
      <c r="BB36" s="155">
        <v>0.76633562044569847</v>
      </c>
      <c r="BC36" s="155">
        <v>0.77823564767746556</v>
      </c>
      <c r="BD36" s="155">
        <v>0.7800627098252958</v>
      </c>
      <c r="BE36" s="964">
        <v>429.36700000000002</v>
      </c>
      <c r="BF36" s="964">
        <v>429.36700000000002</v>
      </c>
      <c r="BG36" s="964">
        <v>427.14399999999995</v>
      </c>
      <c r="BH36" s="964">
        <v>2.22300000000007</v>
      </c>
      <c r="BI36" s="964">
        <v>426.30449999999996</v>
      </c>
      <c r="BJ36" s="964">
        <v>428.11199999999997</v>
      </c>
      <c r="BK36" s="964">
        <v>428.11199999999997</v>
      </c>
      <c r="BL36" s="964">
        <v>0</v>
      </c>
      <c r="BM36" s="964">
        <v>0</v>
      </c>
      <c r="BN36" s="964">
        <v>1.1580000000000177</v>
      </c>
      <c r="BO36" s="964">
        <v>1.5</v>
      </c>
      <c r="BP36" s="964">
        <v>1.5</v>
      </c>
      <c r="BQ36" s="964">
        <v>0</v>
      </c>
      <c r="BR36" s="1874">
        <v>0</v>
      </c>
      <c r="BS36" s="964">
        <v>0.32</v>
      </c>
      <c r="BT36" s="964">
        <v>0.40300000000007002</v>
      </c>
      <c r="BU36" s="47" t="s">
        <v>2849</v>
      </c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</row>
    <row r="37" spans="1:140" s="31" customFormat="1" ht="24.95" customHeight="1" x14ac:dyDescent="0.15">
      <c r="A37" s="922">
        <v>27</v>
      </c>
      <c r="B37" s="143">
        <v>427.56700000000001</v>
      </c>
      <c r="C37" s="142">
        <v>0.2</v>
      </c>
      <c r="D37" s="143">
        <v>425.13649999999996</v>
      </c>
      <c r="E37" s="144">
        <v>2.4305000000000518</v>
      </c>
      <c r="F37" s="141">
        <v>426.125</v>
      </c>
      <c r="G37" s="140">
        <v>423.61045999999993</v>
      </c>
      <c r="H37" s="144">
        <v>2.5145400000000677</v>
      </c>
      <c r="I37" s="139">
        <v>425.70711797849498</v>
      </c>
      <c r="J37" s="138">
        <v>425.92451935152167</v>
      </c>
      <c r="K37" s="138" t="s">
        <v>2848</v>
      </c>
      <c r="L37" s="138" t="s">
        <v>2848</v>
      </c>
      <c r="M37" s="137" t="s">
        <v>2848</v>
      </c>
      <c r="N37" s="136">
        <v>84.78</v>
      </c>
      <c r="O37" s="145">
        <v>1.3248</v>
      </c>
      <c r="P37" s="136">
        <v>0.6</v>
      </c>
      <c r="Q37" s="33">
        <v>16.338999999999999</v>
      </c>
      <c r="R37" s="146">
        <v>0.6081992298162745</v>
      </c>
      <c r="S37" s="146">
        <v>18.307295169047787</v>
      </c>
      <c r="T37" s="146">
        <v>103.49735291350343</v>
      </c>
      <c r="U37" s="146">
        <v>0.5117581129855856</v>
      </c>
      <c r="V37" s="146">
        <v>118.55569076299443</v>
      </c>
      <c r="W37" s="33">
        <v>1724.1637658901861</v>
      </c>
      <c r="X37" s="146">
        <v>1.700872847369671</v>
      </c>
      <c r="Y37" s="146">
        <v>1.8</v>
      </c>
      <c r="Z37" s="146">
        <v>0.64831858698849343</v>
      </c>
      <c r="AA37" s="146" t="s">
        <v>72</v>
      </c>
      <c r="AB37" s="147">
        <v>1.4999999999999999E-2</v>
      </c>
      <c r="AC37" s="148">
        <v>1</v>
      </c>
      <c r="AD37" s="146">
        <v>1</v>
      </c>
      <c r="AE37" s="146"/>
      <c r="AF37" s="32"/>
      <c r="AG37" s="149"/>
      <c r="AH37" s="150" t="e">
        <v>#DIV/0!</v>
      </c>
      <c r="AI37" s="146">
        <v>0.57061797849503093</v>
      </c>
      <c r="AJ37" s="146">
        <v>0.75682889403157982</v>
      </c>
      <c r="AK37" s="146">
        <v>3.7232398233659736</v>
      </c>
      <c r="AL37" s="146">
        <v>18.686803357355299</v>
      </c>
      <c r="AM37" s="151">
        <v>27</v>
      </c>
      <c r="AN37" s="152">
        <v>28</v>
      </c>
      <c r="AO37" s="153">
        <v>26</v>
      </c>
      <c r="AP37" s="154">
        <v>0</v>
      </c>
      <c r="AQ37" s="152">
        <v>0</v>
      </c>
      <c r="AR37" s="165">
        <v>425.33649999999994</v>
      </c>
      <c r="AS37" s="165">
        <v>10000</v>
      </c>
      <c r="AT37" s="165">
        <v>10000</v>
      </c>
      <c r="AU37" s="165">
        <v>18.307295169047787</v>
      </c>
      <c r="AV37" s="165">
        <v>0</v>
      </c>
      <c r="AW37" s="165">
        <v>0</v>
      </c>
      <c r="AX37" s="155">
        <v>0.5155740001170156</v>
      </c>
      <c r="AY37" s="155">
        <v>0.57061797849503093</v>
      </c>
      <c r="AZ37" s="155">
        <v>0.22349018115280034</v>
      </c>
      <c r="BA37" s="155">
        <v>463.08157617724066</v>
      </c>
      <c r="BB37" s="155">
        <v>0.74712772561308005</v>
      </c>
      <c r="BC37" s="155">
        <v>0.75682889403157982</v>
      </c>
      <c r="BD37" s="155">
        <v>0.75919979387469538</v>
      </c>
      <c r="BE37" s="964">
        <v>427.56700000000001</v>
      </c>
      <c r="BF37" s="964">
        <v>427.56700000000001</v>
      </c>
      <c r="BG37" s="964">
        <v>425.13649999999996</v>
      </c>
      <c r="BH37" s="964">
        <v>2.4305000000000518</v>
      </c>
      <c r="BI37" s="964">
        <v>424.82045999999991</v>
      </c>
      <c r="BJ37" s="964">
        <v>426.34649999999993</v>
      </c>
      <c r="BK37" s="964">
        <v>426.30449999999996</v>
      </c>
      <c r="BL37" s="964">
        <v>0</v>
      </c>
      <c r="BM37" s="964">
        <v>0</v>
      </c>
      <c r="BN37" s="964">
        <v>1.3999999999999795</v>
      </c>
      <c r="BO37" s="964">
        <v>1.5</v>
      </c>
      <c r="BP37" s="964">
        <v>1.5</v>
      </c>
      <c r="BQ37" s="964">
        <v>0</v>
      </c>
      <c r="BR37" s="1874">
        <v>0</v>
      </c>
      <c r="BS37" s="964">
        <v>0.32</v>
      </c>
      <c r="BT37" s="964">
        <v>0.61050000000005178</v>
      </c>
      <c r="BU37" s="47" t="s">
        <v>2849</v>
      </c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</row>
    <row r="38" spans="1:140" s="31" customFormat="1" ht="24.95" customHeight="1" x14ac:dyDescent="0.15">
      <c r="A38" s="922">
        <v>28</v>
      </c>
      <c r="B38" s="143">
        <v>426.125</v>
      </c>
      <c r="C38" s="142"/>
      <c r="D38" s="143">
        <v>423.61045999999993</v>
      </c>
      <c r="E38" s="144">
        <v>2.5145400000000677</v>
      </c>
      <c r="F38" s="141">
        <v>424.90800000000002</v>
      </c>
      <c r="G38" s="140">
        <v>422.50417999999991</v>
      </c>
      <c r="H38" s="144">
        <v>2.4038200000001098</v>
      </c>
      <c r="I38" s="139">
        <v>424.27858897035856</v>
      </c>
      <c r="J38" s="138">
        <v>424.18107797849495</v>
      </c>
      <c r="K38" s="138" t="s">
        <v>2848</v>
      </c>
      <c r="L38" s="138" t="s">
        <v>2848</v>
      </c>
      <c r="M38" s="137" t="s">
        <v>2848</v>
      </c>
      <c r="N38" s="136">
        <v>92.19</v>
      </c>
      <c r="O38" s="145">
        <v>0.50760000000000005</v>
      </c>
      <c r="P38" s="136">
        <v>0.6</v>
      </c>
      <c r="Q38" s="33">
        <v>16.846599999999999</v>
      </c>
      <c r="R38" s="146">
        <v>0.60489614528537317</v>
      </c>
      <c r="S38" s="146">
        <v>18.686803357355299</v>
      </c>
      <c r="T38" s="146">
        <v>102.48485939893901</v>
      </c>
      <c r="U38" s="146">
        <v>0.51358441463070792</v>
      </c>
      <c r="V38" s="146">
        <v>44.895851976914891</v>
      </c>
      <c r="W38" s="33">
        <v>1769.059617867101</v>
      </c>
      <c r="X38" s="146">
        <v>1.3200997939038774</v>
      </c>
      <c r="Y38" s="146">
        <v>1.2</v>
      </c>
      <c r="Z38" s="146">
        <v>0.68252157286384518</v>
      </c>
      <c r="AA38" s="146" t="s">
        <v>72</v>
      </c>
      <c r="AB38" s="147">
        <v>1.4999999999999999E-2</v>
      </c>
      <c r="AC38" s="148">
        <v>1</v>
      </c>
      <c r="AD38" s="146">
        <v>1</v>
      </c>
      <c r="AE38" s="146"/>
      <c r="AF38" s="32"/>
      <c r="AG38" s="149"/>
      <c r="AH38" s="150" t="e">
        <v>#DIV/0!</v>
      </c>
      <c r="AI38" s="146">
        <v>0.66812897035864971</v>
      </c>
      <c r="AJ38" s="146">
        <v>0.76693258199491632</v>
      </c>
      <c r="AK38" s="146">
        <v>3.1726112937648674</v>
      </c>
      <c r="AL38" s="146">
        <v>19.171104728601023</v>
      </c>
      <c r="AM38" s="151">
        <v>28</v>
      </c>
      <c r="AN38" s="152">
        <v>29</v>
      </c>
      <c r="AO38" s="153">
        <v>27</v>
      </c>
      <c r="AP38" s="154">
        <v>0</v>
      </c>
      <c r="AQ38" s="152">
        <v>0</v>
      </c>
      <c r="AR38" s="165">
        <v>423.61045999999993</v>
      </c>
      <c r="AS38" s="165">
        <v>10000</v>
      </c>
      <c r="AT38" s="165">
        <v>10000</v>
      </c>
      <c r="AU38" s="165">
        <v>18.686803357355299</v>
      </c>
      <c r="AV38" s="165">
        <v>0</v>
      </c>
      <c r="AW38" s="165">
        <v>0</v>
      </c>
      <c r="AX38" s="155">
        <v>0.57558574280307706</v>
      </c>
      <c r="AY38" s="155">
        <v>0.66812897035864971</v>
      </c>
      <c r="AZ38" s="155">
        <v>0.40201128445391704</v>
      </c>
      <c r="BA38" s="155">
        <v>557.60364383239562</v>
      </c>
      <c r="BB38" s="155">
        <v>0.75700070690806842</v>
      </c>
      <c r="BC38" s="155">
        <v>0.76693258199491632</v>
      </c>
      <c r="BD38" s="155">
        <v>0.76530735351397261</v>
      </c>
      <c r="BE38" s="964">
        <v>426.125</v>
      </c>
      <c r="BF38" s="964">
        <v>426.125</v>
      </c>
      <c r="BG38" s="964">
        <v>423.61045999999993</v>
      </c>
      <c r="BH38" s="964">
        <v>2.5145400000000677</v>
      </c>
      <c r="BI38" s="964">
        <v>423.71417999999989</v>
      </c>
      <c r="BJ38" s="964">
        <v>424.82045999999991</v>
      </c>
      <c r="BK38" s="964">
        <v>424.82045999999991</v>
      </c>
      <c r="BL38" s="964">
        <v>0</v>
      </c>
      <c r="BM38" s="964">
        <v>0</v>
      </c>
      <c r="BN38" s="964">
        <v>1.3999999999999795</v>
      </c>
      <c r="BO38" s="964">
        <v>1.5</v>
      </c>
      <c r="BP38" s="964">
        <v>1.5</v>
      </c>
      <c r="BQ38" s="964">
        <v>0</v>
      </c>
      <c r="BR38" s="1874">
        <v>0</v>
      </c>
      <c r="BS38" s="964">
        <v>0.32</v>
      </c>
      <c r="BT38" s="964">
        <v>0.69454000000006766</v>
      </c>
      <c r="BU38" s="47" t="s">
        <v>2849</v>
      </c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</row>
    <row r="39" spans="1:140" s="31" customFormat="1" ht="24.95" customHeight="1" x14ac:dyDescent="0.15">
      <c r="A39" s="922">
        <v>29</v>
      </c>
      <c r="B39" s="143">
        <v>424.90800000000002</v>
      </c>
      <c r="C39" s="142"/>
      <c r="D39" s="143">
        <v>422.50417999999991</v>
      </c>
      <c r="E39" s="144">
        <v>2.4038200000001098</v>
      </c>
      <c r="F39" s="141">
        <v>423.791</v>
      </c>
      <c r="G39" s="140">
        <v>420.84475999999989</v>
      </c>
      <c r="H39" s="144">
        <v>2.9462400000001026</v>
      </c>
      <c r="I39" s="139">
        <v>423.09724681976496</v>
      </c>
      <c r="J39" s="138">
        <v>423.17230897035853</v>
      </c>
      <c r="K39" s="138" t="s">
        <v>2848</v>
      </c>
      <c r="L39" s="138" t="s">
        <v>2848</v>
      </c>
      <c r="M39" s="137" t="s">
        <v>2848</v>
      </c>
      <c r="N39" s="136">
        <v>92.19</v>
      </c>
      <c r="O39" s="145">
        <v>0.65369999999999995</v>
      </c>
      <c r="P39" s="136">
        <v>0.6</v>
      </c>
      <c r="Q39" s="33">
        <v>17.500299999999999</v>
      </c>
      <c r="R39" s="146">
        <v>0.60081103699224581</v>
      </c>
      <c r="S39" s="146">
        <v>19.171104728601023</v>
      </c>
      <c r="T39" s="146">
        <v>101.22488217515811</v>
      </c>
      <c r="U39" s="146">
        <v>0.51585193925255957</v>
      </c>
      <c r="V39" s="146">
        <v>56.971935764556484</v>
      </c>
      <c r="W39" s="33">
        <v>1826.0315536316575</v>
      </c>
      <c r="X39" s="146">
        <v>1.21162815923638</v>
      </c>
      <c r="Y39" s="146">
        <v>1.8</v>
      </c>
      <c r="Z39" s="146">
        <v>0.72719017166629019</v>
      </c>
      <c r="AA39" s="146" t="s">
        <v>72</v>
      </c>
      <c r="AB39" s="147">
        <v>1.4999999999999999E-2</v>
      </c>
      <c r="AC39" s="148">
        <v>1</v>
      </c>
      <c r="AD39" s="146">
        <v>1</v>
      </c>
      <c r="AE39" s="146"/>
      <c r="AF39" s="32"/>
      <c r="AG39" s="149"/>
      <c r="AH39" s="150" t="e">
        <v>#DIV/0!</v>
      </c>
      <c r="AI39" s="146">
        <v>0.59306681976506348</v>
      </c>
      <c r="AJ39" s="146">
        <v>0.77957691333003754</v>
      </c>
      <c r="AK39" s="146">
        <v>3.763262401701394</v>
      </c>
      <c r="AL39" s="146">
        <v>19.579394089264618</v>
      </c>
      <c r="AM39" s="151">
        <v>29</v>
      </c>
      <c r="AN39" s="152">
        <v>44</v>
      </c>
      <c r="AO39" s="153">
        <v>28</v>
      </c>
      <c r="AP39" s="154">
        <v>0</v>
      </c>
      <c r="AQ39" s="152">
        <v>0</v>
      </c>
      <c r="AR39" s="165">
        <v>422.50417999999991</v>
      </c>
      <c r="AS39" s="165">
        <v>10000</v>
      </c>
      <c r="AT39" s="165">
        <v>10000</v>
      </c>
      <c r="AU39" s="165">
        <v>19.171104728601023</v>
      </c>
      <c r="AV39" s="165">
        <v>0</v>
      </c>
      <c r="AW39" s="165">
        <v>0</v>
      </c>
      <c r="AX39" s="155">
        <v>0.53003818038843986</v>
      </c>
      <c r="AY39" s="155">
        <v>0.59306681976506348</v>
      </c>
      <c r="AZ39" s="155">
        <v>0.25903167296210933</v>
      </c>
      <c r="BA39" s="155">
        <v>485.22567887004038</v>
      </c>
      <c r="BB39" s="155">
        <v>0.76935447390897937</v>
      </c>
      <c r="BC39" s="155">
        <v>0.77957691333003754</v>
      </c>
      <c r="BD39" s="155">
        <v>0.77290601816437654</v>
      </c>
      <c r="BE39" s="964">
        <v>424.90800000000002</v>
      </c>
      <c r="BF39" s="964">
        <v>424.90800000000002</v>
      </c>
      <c r="BG39" s="964">
        <v>422.50417999999991</v>
      </c>
      <c r="BH39" s="964">
        <v>2.4038200000001098</v>
      </c>
      <c r="BI39" s="964">
        <v>422.05475999999987</v>
      </c>
      <c r="BJ39" s="964">
        <v>423.71417999999989</v>
      </c>
      <c r="BK39" s="964">
        <v>423.71417999999989</v>
      </c>
      <c r="BL39" s="964">
        <v>0</v>
      </c>
      <c r="BM39" s="964">
        <v>0</v>
      </c>
      <c r="BN39" s="964">
        <v>1.3999999999999795</v>
      </c>
      <c r="BO39" s="964">
        <v>1.5</v>
      </c>
      <c r="BP39" s="964">
        <v>1.5</v>
      </c>
      <c r="BQ39" s="964">
        <v>0</v>
      </c>
      <c r="BR39" s="1874">
        <v>0</v>
      </c>
      <c r="BS39" s="964">
        <v>0.32</v>
      </c>
      <c r="BT39" s="964">
        <v>0.5838200000001097</v>
      </c>
      <c r="BU39" s="47" t="s">
        <v>2849</v>
      </c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</row>
    <row r="40" spans="1:140" s="31" customFormat="1" ht="24.95" hidden="1" customHeight="1" x14ac:dyDescent="0.15">
      <c r="A40" s="922"/>
      <c r="B40" s="143"/>
      <c r="C40" s="142"/>
      <c r="D40" s="143"/>
      <c r="E40" s="144"/>
      <c r="F40" s="141"/>
      <c r="G40" s="140"/>
      <c r="H40" s="144"/>
      <c r="I40" s="139"/>
      <c r="J40" s="138"/>
      <c r="K40" s="138"/>
      <c r="L40" s="138"/>
      <c r="M40" s="137"/>
      <c r="N40" s="136"/>
      <c r="O40" s="145"/>
      <c r="P40" s="136"/>
      <c r="Q40" s="33"/>
      <c r="R40" s="146"/>
      <c r="S40" s="146"/>
      <c r="T40" s="146"/>
      <c r="U40" s="146"/>
      <c r="V40" s="146"/>
      <c r="W40" s="33"/>
      <c r="X40" s="146"/>
      <c r="Y40" s="146"/>
      <c r="Z40" s="146"/>
      <c r="AA40" s="146"/>
      <c r="AB40" s="147"/>
      <c r="AC40" s="148"/>
      <c r="AD40" s="146"/>
      <c r="AE40" s="146"/>
      <c r="AF40" s="32"/>
      <c r="AG40" s="149"/>
      <c r="AH40" s="150"/>
      <c r="AI40" s="146"/>
      <c r="AJ40" s="146"/>
      <c r="AK40" s="146"/>
      <c r="AL40" s="146"/>
      <c r="AM40" s="151"/>
      <c r="AN40" s="152"/>
      <c r="AO40" s="153"/>
      <c r="AP40" s="154"/>
      <c r="AQ40" s="152"/>
      <c r="AR40" s="165"/>
      <c r="AS40" s="165"/>
      <c r="AT40" s="165"/>
      <c r="AU40" s="165"/>
      <c r="AV40" s="165"/>
      <c r="AW40" s="165"/>
      <c r="AX40" s="155"/>
      <c r="AY40" s="155"/>
      <c r="AZ40" s="155"/>
      <c r="BA40" s="155"/>
      <c r="BB40" s="155"/>
      <c r="BC40" s="155"/>
      <c r="BD40" s="155"/>
      <c r="BE40" s="964"/>
      <c r="BF40" s="964"/>
      <c r="BG40" s="964"/>
      <c r="BH40" s="964"/>
      <c r="BI40" s="964"/>
      <c r="BJ40" s="964"/>
      <c r="BK40" s="964"/>
      <c r="BL40" s="964"/>
      <c r="BM40" s="964"/>
      <c r="BN40" s="964"/>
      <c r="BO40" s="964"/>
      <c r="BP40" s="964"/>
      <c r="BQ40" s="964"/>
      <c r="BR40" s="1874"/>
      <c r="BS40" s="964"/>
      <c r="BT40" s="964"/>
      <c r="BU40" s="47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</row>
    <row r="41" spans="1:140" s="31" customFormat="1" ht="24.95" hidden="1" customHeight="1" x14ac:dyDescent="0.15">
      <c r="A41" s="922"/>
      <c r="B41" s="143"/>
      <c r="C41" s="142"/>
      <c r="D41" s="143"/>
      <c r="E41" s="144"/>
      <c r="F41" s="141"/>
      <c r="G41" s="140"/>
      <c r="H41" s="144"/>
      <c r="I41" s="139"/>
      <c r="J41" s="138"/>
      <c r="K41" s="138"/>
      <c r="L41" s="138"/>
      <c r="M41" s="137"/>
      <c r="N41" s="136"/>
      <c r="O41" s="145"/>
      <c r="P41" s="136"/>
      <c r="Q41" s="33"/>
      <c r="R41" s="146"/>
      <c r="S41" s="146"/>
      <c r="T41" s="146"/>
      <c r="U41" s="146"/>
      <c r="V41" s="146"/>
      <c r="W41" s="33"/>
      <c r="X41" s="146"/>
      <c r="Y41" s="146"/>
      <c r="Z41" s="146"/>
      <c r="AA41" s="146"/>
      <c r="AB41" s="147"/>
      <c r="AC41" s="148"/>
      <c r="AD41" s="146"/>
      <c r="AE41" s="146"/>
      <c r="AF41" s="32"/>
      <c r="AG41" s="149"/>
      <c r="AH41" s="150"/>
      <c r="AI41" s="146"/>
      <c r="AJ41" s="146"/>
      <c r="AK41" s="146"/>
      <c r="AL41" s="146"/>
      <c r="AM41" s="151"/>
      <c r="AN41" s="152"/>
      <c r="AO41" s="153"/>
      <c r="AP41" s="154"/>
      <c r="AQ41" s="152"/>
      <c r="AR41" s="165"/>
      <c r="AS41" s="165"/>
      <c r="AT41" s="165"/>
      <c r="AU41" s="165"/>
      <c r="AV41" s="165"/>
      <c r="AW41" s="165"/>
      <c r="AX41" s="155"/>
      <c r="AY41" s="155"/>
      <c r="AZ41" s="155"/>
      <c r="BA41" s="155"/>
      <c r="BB41" s="155"/>
      <c r="BC41" s="155"/>
      <c r="BD41" s="155"/>
      <c r="BE41" s="964"/>
      <c r="BF41" s="964"/>
      <c r="BG41" s="964"/>
      <c r="BH41" s="964"/>
      <c r="BI41" s="964"/>
      <c r="BJ41" s="964"/>
      <c r="BK41" s="964"/>
      <c r="BL41" s="964"/>
      <c r="BM41" s="964"/>
      <c r="BN41" s="964"/>
      <c r="BO41" s="964"/>
      <c r="BP41" s="964"/>
      <c r="BQ41" s="964"/>
      <c r="BR41" s="1874"/>
      <c r="BS41" s="964"/>
      <c r="BT41" s="964"/>
      <c r="BU41" s="47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</row>
    <row r="42" spans="1:140" s="31" customFormat="1" ht="24.95" hidden="1" customHeight="1" x14ac:dyDescent="0.15">
      <c r="A42" s="922"/>
      <c r="B42" s="143"/>
      <c r="C42" s="142"/>
      <c r="D42" s="143"/>
      <c r="E42" s="144"/>
      <c r="F42" s="141"/>
      <c r="G42" s="140"/>
      <c r="H42" s="144"/>
      <c r="I42" s="139"/>
      <c r="J42" s="138"/>
      <c r="K42" s="138"/>
      <c r="L42" s="138"/>
      <c r="M42" s="137"/>
      <c r="N42" s="136"/>
      <c r="O42" s="145"/>
      <c r="P42" s="136"/>
      <c r="Q42" s="33"/>
      <c r="R42" s="146"/>
      <c r="S42" s="146"/>
      <c r="T42" s="146"/>
      <c r="U42" s="146"/>
      <c r="V42" s="146"/>
      <c r="W42" s="33"/>
      <c r="X42" s="146"/>
      <c r="Y42" s="146"/>
      <c r="Z42" s="146"/>
      <c r="AA42" s="146"/>
      <c r="AB42" s="147"/>
      <c r="AC42" s="148"/>
      <c r="AD42" s="146"/>
      <c r="AE42" s="146"/>
      <c r="AF42" s="32"/>
      <c r="AG42" s="149"/>
      <c r="AH42" s="150"/>
      <c r="AI42" s="146"/>
      <c r="AJ42" s="146"/>
      <c r="AK42" s="146"/>
      <c r="AL42" s="146"/>
      <c r="AM42" s="151"/>
      <c r="AN42" s="152"/>
      <c r="AO42" s="153"/>
      <c r="AP42" s="154"/>
      <c r="AQ42" s="152"/>
      <c r="AR42" s="165"/>
      <c r="AS42" s="165"/>
      <c r="AT42" s="165"/>
      <c r="AU42" s="165"/>
      <c r="AV42" s="165"/>
      <c r="AW42" s="165"/>
      <c r="AX42" s="155"/>
      <c r="AY42" s="155"/>
      <c r="AZ42" s="155"/>
      <c r="BA42" s="155"/>
      <c r="BB42" s="155"/>
      <c r="BC42" s="155"/>
      <c r="BD42" s="155"/>
      <c r="BE42" s="964"/>
      <c r="BF42" s="964"/>
      <c r="BG42" s="964"/>
      <c r="BH42" s="964"/>
      <c r="BI42" s="964"/>
      <c r="BJ42" s="964"/>
      <c r="BK42" s="964"/>
      <c r="BL42" s="964"/>
      <c r="BM42" s="964"/>
      <c r="BN42" s="964"/>
      <c r="BO42" s="964"/>
      <c r="BP42" s="964"/>
      <c r="BQ42" s="964"/>
      <c r="BR42" s="1874"/>
      <c r="BS42" s="964"/>
      <c r="BT42" s="964"/>
      <c r="BU42" s="47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</row>
    <row r="43" spans="1:140" s="31" customFormat="1" ht="24.95" hidden="1" customHeight="1" x14ac:dyDescent="0.15">
      <c r="A43" s="922"/>
      <c r="B43" s="143"/>
      <c r="C43" s="142"/>
      <c r="D43" s="143"/>
      <c r="E43" s="144"/>
      <c r="F43" s="141"/>
      <c r="G43" s="140"/>
      <c r="H43" s="144"/>
      <c r="I43" s="139"/>
      <c r="J43" s="138"/>
      <c r="K43" s="138"/>
      <c r="L43" s="138"/>
      <c r="M43" s="137"/>
      <c r="N43" s="136"/>
      <c r="O43" s="145"/>
      <c r="P43" s="136"/>
      <c r="Q43" s="33"/>
      <c r="R43" s="146"/>
      <c r="S43" s="146"/>
      <c r="T43" s="146"/>
      <c r="U43" s="146"/>
      <c r="V43" s="146"/>
      <c r="W43" s="33"/>
      <c r="X43" s="146"/>
      <c r="Y43" s="146"/>
      <c r="Z43" s="146"/>
      <c r="AA43" s="146"/>
      <c r="AB43" s="147"/>
      <c r="AC43" s="148"/>
      <c r="AD43" s="146"/>
      <c r="AE43" s="146"/>
      <c r="AF43" s="32"/>
      <c r="AG43" s="149"/>
      <c r="AH43" s="150"/>
      <c r="AI43" s="146"/>
      <c r="AJ43" s="146"/>
      <c r="AK43" s="146"/>
      <c r="AL43" s="146"/>
      <c r="AM43" s="151"/>
      <c r="AN43" s="152"/>
      <c r="AO43" s="153"/>
      <c r="AP43" s="154"/>
      <c r="AQ43" s="152"/>
      <c r="AR43" s="165"/>
      <c r="AS43" s="165"/>
      <c r="AT43" s="165"/>
      <c r="AU43" s="165"/>
      <c r="AV43" s="165"/>
      <c r="AW43" s="165"/>
      <c r="AX43" s="155"/>
      <c r="AY43" s="155"/>
      <c r="AZ43" s="155"/>
      <c r="BA43" s="155"/>
      <c r="BB43" s="155"/>
      <c r="BC43" s="155"/>
      <c r="BD43" s="155"/>
      <c r="BE43" s="964"/>
      <c r="BF43" s="964"/>
      <c r="BG43" s="964"/>
      <c r="BH43" s="964"/>
      <c r="BI43" s="964"/>
      <c r="BJ43" s="964"/>
      <c r="BK43" s="964"/>
      <c r="BL43" s="964"/>
      <c r="BM43" s="964"/>
      <c r="BN43" s="964"/>
      <c r="BO43" s="964"/>
      <c r="BP43" s="964"/>
      <c r="BQ43" s="964"/>
      <c r="BR43" s="1874"/>
      <c r="BS43" s="964"/>
      <c r="BT43" s="964"/>
      <c r="BU43" s="47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</row>
    <row r="44" spans="1:140" s="31" customFormat="1" ht="24.95" hidden="1" customHeight="1" x14ac:dyDescent="0.15">
      <c r="A44" s="922"/>
      <c r="B44" s="143"/>
      <c r="C44" s="142"/>
      <c r="D44" s="143"/>
      <c r="E44" s="144"/>
      <c r="F44" s="141"/>
      <c r="G44" s="140"/>
      <c r="H44" s="144"/>
      <c r="I44" s="139"/>
      <c r="J44" s="138"/>
      <c r="K44" s="138"/>
      <c r="L44" s="138"/>
      <c r="M44" s="137"/>
      <c r="N44" s="136"/>
      <c r="O44" s="145"/>
      <c r="P44" s="136"/>
      <c r="Q44" s="33"/>
      <c r="R44" s="146"/>
      <c r="S44" s="146"/>
      <c r="T44" s="146"/>
      <c r="U44" s="146"/>
      <c r="V44" s="146"/>
      <c r="W44" s="33"/>
      <c r="X44" s="146"/>
      <c r="Y44" s="146"/>
      <c r="Z44" s="146"/>
      <c r="AA44" s="146"/>
      <c r="AB44" s="147"/>
      <c r="AC44" s="148"/>
      <c r="AD44" s="146"/>
      <c r="AE44" s="146"/>
      <c r="AF44" s="32"/>
      <c r="AG44" s="149"/>
      <c r="AH44" s="150"/>
      <c r="AI44" s="146"/>
      <c r="AJ44" s="146"/>
      <c r="AK44" s="146"/>
      <c r="AL44" s="146"/>
      <c r="AM44" s="151"/>
      <c r="AN44" s="152"/>
      <c r="AO44" s="153"/>
      <c r="AP44" s="154"/>
      <c r="AQ44" s="152"/>
      <c r="AR44" s="165"/>
      <c r="AS44" s="165"/>
      <c r="AT44" s="165"/>
      <c r="AU44" s="165"/>
      <c r="AV44" s="165"/>
      <c r="AW44" s="165"/>
      <c r="AX44" s="155"/>
      <c r="AY44" s="155"/>
      <c r="AZ44" s="155"/>
      <c r="BA44" s="155"/>
      <c r="BB44" s="155"/>
      <c r="BC44" s="155"/>
      <c r="BD44" s="155"/>
      <c r="BE44" s="964"/>
      <c r="BF44" s="964"/>
      <c r="BG44" s="964"/>
      <c r="BH44" s="964"/>
      <c r="BI44" s="964"/>
      <c r="BJ44" s="964"/>
      <c r="BK44" s="964"/>
      <c r="BL44" s="964"/>
      <c r="BM44" s="964"/>
      <c r="BN44" s="964"/>
      <c r="BO44" s="964"/>
      <c r="BP44" s="964"/>
      <c r="BQ44" s="964"/>
      <c r="BR44" s="1874"/>
      <c r="BS44" s="964"/>
      <c r="BT44" s="964"/>
      <c r="BU44" s="47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</row>
    <row r="45" spans="1:140" s="31" customFormat="1" ht="24.95" hidden="1" customHeight="1" x14ac:dyDescent="0.15">
      <c r="A45" s="922"/>
      <c r="B45" s="143"/>
      <c r="C45" s="142"/>
      <c r="D45" s="143"/>
      <c r="E45" s="144"/>
      <c r="F45" s="141"/>
      <c r="G45" s="140"/>
      <c r="H45" s="144"/>
      <c r="I45" s="139"/>
      <c r="J45" s="138"/>
      <c r="K45" s="138"/>
      <c r="L45" s="138"/>
      <c r="M45" s="137"/>
      <c r="N45" s="136"/>
      <c r="O45" s="145"/>
      <c r="P45" s="136"/>
      <c r="Q45" s="33"/>
      <c r="R45" s="146"/>
      <c r="S45" s="146"/>
      <c r="T45" s="146"/>
      <c r="U45" s="146"/>
      <c r="V45" s="146"/>
      <c r="W45" s="33"/>
      <c r="X45" s="146"/>
      <c r="Y45" s="146"/>
      <c r="Z45" s="146"/>
      <c r="AA45" s="146"/>
      <c r="AB45" s="147"/>
      <c r="AC45" s="148"/>
      <c r="AD45" s="146"/>
      <c r="AE45" s="146"/>
      <c r="AF45" s="32"/>
      <c r="AG45" s="149"/>
      <c r="AH45" s="150"/>
      <c r="AI45" s="146"/>
      <c r="AJ45" s="146"/>
      <c r="AK45" s="146"/>
      <c r="AL45" s="146"/>
      <c r="AM45" s="151"/>
      <c r="AN45" s="152"/>
      <c r="AO45" s="153"/>
      <c r="AP45" s="154"/>
      <c r="AQ45" s="152"/>
      <c r="AR45" s="165"/>
      <c r="AS45" s="165"/>
      <c r="AT45" s="165"/>
      <c r="AU45" s="165"/>
      <c r="AV45" s="165"/>
      <c r="AW45" s="165"/>
      <c r="AX45" s="155"/>
      <c r="AY45" s="155"/>
      <c r="AZ45" s="155"/>
      <c r="BA45" s="155"/>
      <c r="BB45" s="155"/>
      <c r="BC45" s="155"/>
      <c r="BD45" s="155"/>
      <c r="BE45" s="964"/>
      <c r="BF45" s="964"/>
      <c r="BG45" s="964"/>
      <c r="BH45" s="964"/>
      <c r="BI45" s="964"/>
      <c r="BJ45" s="964"/>
      <c r="BK45" s="964"/>
      <c r="BL45" s="964"/>
      <c r="BM45" s="964"/>
      <c r="BN45" s="964"/>
      <c r="BO45" s="964"/>
      <c r="BP45" s="964"/>
      <c r="BQ45" s="964"/>
      <c r="BR45" s="1874"/>
      <c r="BS45" s="964"/>
      <c r="BT45" s="964"/>
      <c r="BU45" s="47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</row>
    <row r="46" spans="1:140" s="31" customFormat="1" ht="24.95" hidden="1" customHeight="1" x14ac:dyDescent="0.15">
      <c r="A46" s="922"/>
      <c r="B46" s="143"/>
      <c r="C46" s="142"/>
      <c r="D46" s="143"/>
      <c r="E46" s="144"/>
      <c r="F46" s="141"/>
      <c r="G46" s="140"/>
      <c r="H46" s="144"/>
      <c r="I46" s="139"/>
      <c r="J46" s="138"/>
      <c r="K46" s="138"/>
      <c r="L46" s="138"/>
      <c r="M46" s="137"/>
      <c r="N46" s="136"/>
      <c r="O46" s="145"/>
      <c r="P46" s="136"/>
      <c r="Q46" s="33"/>
      <c r="R46" s="146"/>
      <c r="S46" s="146"/>
      <c r="T46" s="146"/>
      <c r="U46" s="146"/>
      <c r="V46" s="146"/>
      <c r="W46" s="33"/>
      <c r="X46" s="146"/>
      <c r="Y46" s="146"/>
      <c r="Z46" s="146"/>
      <c r="AA46" s="146"/>
      <c r="AB46" s="147"/>
      <c r="AC46" s="148"/>
      <c r="AD46" s="146"/>
      <c r="AE46" s="146"/>
      <c r="AF46" s="32"/>
      <c r="AG46" s="149"/>
      <c r="AH46" s="150"/>
      <c r="AI46" s="146"/>
      <c r="AJ46" s="146"/>
      <c r="AK46" s="146"/>
      <c r="AL46" s="146"/>
      <c r="AM46" s="151"/>
      <c r="AN46" s="152"/>
      <c r="AO46" s="153"/>
      <c r="AP46" s="154"/>
      <c r="AQ46" s="152"/>
      <c r="AR46" s="165"/>
      <c r="AS46" s="165"/>
      <c r="AT46" s="165"/>
      <c r="AU46" s="165"/>
      <c r="AV46" s="165"/>
      <c r="AW46" s="165"/>
      <c r="AX46" s="155"/>
      <c r="AY46" s="155"/>
      <c r="AZ46" s="155"/>
      <c r="BA46" s="155"/>
      <c r="BB46" s="155"/>
      <c r="BC46" s="155"/>
      <c r="BD46" s="155"/>
      <c r="BE46" s="964"/>
      <c r="BF46" s="964"/>
      <c r="BG46" s="964"/>
      <c r="BH46" s="964"/>
      <c r="BI46" s="964"/>
      <c r="BJ46" s="964"/>
      <c r="BK46" s="964"/>
      <c r="BL46" s="964"/>
      <c r="BM46" s="964"/>
      <c r="BN46" s="964"/>
      <c r="BO46" s="964"/>
      <c r="BP46" s="964"/>
      <c r="BQ46" s="964"/>
      <c r="BR46" s="1874"/>
      <c r="BS46" s="964"/>
      <c r="BT46" s="964"/>
      <c r="BU46" s="47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</row>
    <row r="47" spans="1:140" s="31" customFormat="1" ht="24.95" hidden="1" customHeight="1" x14ac:dyDescent="0.15">
      <c r="A47" s="922"/>
      <c r="B47" s="143"/>
      <c r="C47" s="142"/>
      <c r="D47" s="143"/>
      <c r="E47" s="144"/>
      <c r="F47" s="141"/>
      <c r="G47" s="140"/>
      <c r="H47" s="144"/>
      <c r="I47" s="139"/>
      <c r="J47" s="138"/>
      <c r="K47" s="138"/>
      <c r="L47" s="138"/>
      <c r="M47" s="137"/>
      <c r="N47" s="136"/>
      <c r="O47" s="145"/>
      <c r="P47" s="136"/>
      <c r="Q47" s="33"/>
      <c r="R47" s="146"/>
      <c r="S47" s="146"/>
      <c r="T47" s="146"/>
      <c r="U47" s="146"/>
      <c r="V47" s="146"/>
      <c r="W47" s="33"/>
      <c r="X47" s="146"/>
      <c r="Y47" s="146"/>
      <c r="Z47" s="146"/>
      <c r="AA47" s="146"/>
      <c r="AB47" s="147"/>
      <c r="AC47" s="148"/>
      <c r="AD47" s="146"/>
      <c r="AE47" s="146"/>
      <c r="AF47" s="32"/>
      <c r="AG47" s="149"/>
      <c r="AH47" s="150"/>
      <c r="AI47" s="146"/>
      <c r="AJ47" s="146"/>
      <c r="AK47" s="146"/>
      <c r="AL47" s="146"/>
      <c r="AM47" s="151"/>
      <c r="AN47" s="152"/>
      <c r="AO47" s="153"/>
      <c r="AP47" s="154"/>
      <c r="AQ47" s="152"/>
      <c r="AR47" s="165"/>
      <c r="AS47" s="165"/>
      <c r="AT47" s="165"/>
      <c r="AU47" s="165"/>
      <c r="AV47" s="165"/>
      <c r="AW47" s="165"/>
      <c r="AX47" s="155"/>
      <c r="AY47" s="155"/>
      <c r="AZ47" s="155"/>
      <c r="BA47" s="155"/>
      <c r="BB47" s="155"/>
      <c r="BC47" s="155"/>
      <c r="BD47" s="155"/>
      <c r="BE47" s="964"/>
      <c r="BF47" s="964"/>
      <c r="BG47" s="964"/>
      <c r="BH47" s="964"/>
      <c r="BI47" s="964"/>
      <c r="BJ47" s="964"/>
      <c r="BK47" s="964"/>
      <c r="BL47" s="964"/>
      <c r="BM47" s="964"/>
      <c r="BN47" s="964"/>
      <c r="BO47" s="964"/>
      <c r="BP47" s="964"/>
      <c r="BQ47" s="964"/>
      <c r="BR47" s="1874"/>
      <c r="BS47" s="964"/>
      <c r="BT47" s="964"/>
      <c r="BU47" s="47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</row>
    <row r="48" spans="1:140" s="31" customFormat="1" ht="24.95" hidden="1" customHeight="1" x14ac:dyDescent="0.15">
      <c r="A48" s="922"/>
      <c r="B48" s="143"/>
      <c r="C48" s="142"/>
      <c r="D48" s="143"/>
      <c r="E48" s="144"/>
      <c r="F48" s="141"/>
      <c r="G48" s="140"/>
      <c r="H48" s="144"/>
      <c r="I48" s="139"/>
      <c r="J48" s="138"/>
      <c r="K48" s="138"/>
      <c r="L48" s="138"/>
      <c r="M48" s="137"/>
      <c r="N48" s="136"/>
      <c r="O48" s="145"/>
      <c r="P48" s="136"/>
      <c r="Q48" s="33"/>
      <c r="R48" s="146"/>
      <c r="S48" s="146"/>
      <c r="T48" s="146"/>
      <c r="U48" s="146"/>
      <c r="V48" s="146"/>
      <c r="W48" s="33"/>
      <c r="X48" s="146"/>
      <c r="Y48" s="146"/>
      <c r="Z48" s="146"/>
      <c r="AA48" s="146"/>
      <c r="AB48" s="147"/>
      <c r="AC48" s="148"/>
      <c r="AD48" s="146"/>
      <c r="AE48" s="146"/>
      <c r="AF48" s="32"/>
      <c r="AG48" s="149"/>
      <c r="AH48" s="150"/>
      <c r="AI48" s="146"/>
      <c r="AJ48" s="146"/>
      <c r="AK48" s="146"/>
      <c r="AL48" s="146"/>
      <c r="AM48" s="151"/>
      <c r="AN48" s="152"/>
      <c r="AO48" s="153"/>
      <c r="AP48" s="154"/>
      <c r="AQ48" s="152"/>
      <c r="AR48" s="165"/>
      <c r="AS48" s="165"/>
      <c r="AT48" s="165"/>
      <c r="AU48" s="165"/>
      <c r="AV48" s="165"/>
      <c r="AW48" s="165"/>
      <c r="AX48" s="155"/>
      <c r="AY48" s="155"/>
      <c r="AZ48" s="155"/>
      <c r="BA48" s="155"/>
      <c r="BB48" s="155"/>
      <c r="BC48" s="155"/>
      <c r="BD48" s="155"/>
      <c r="BE48" s="964"/>
      <c r="BF48" s="964"/>
      <c r="BG48" s="964"/>
      <c r="BH48" s="964"/>
      <c r="BI48" s="964"/>
      <c r="BJ48" s="964"/>
      <c r="BK48" s="964"/>
      <c r="BL48" s="964"/>
      <c r="BM48" s="964"/>
      <c r="BN48" s="964"/>
      <c r="BO48" s="964"/>
      <c r="BP48" s="964"/>
      <c r="BQ48" s="964"/>
      <c r="BR48" s="1874"/>
      <c r="BS48" s="964"/>
      <c r="BT48" s="964"/>
      <c r="BU48" s="47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</row>
    <row r="49" spans="1:140" s="31" customFormat="1" ht="9.9499999999999993" customHeight="1" x14ac:dyDescent="0.15">
      <c r="A49" s="2379"/>
      <c r="B49" s="2380"/>
      <c r="C49" s="2381"/>
      <c r="D49" s="2380"/>
      <c r="E49" s="2382"/>
      <c r="F49" s="2383"/>
      <c r="G49" s="2384"/>
      <c r="H49" s="2382"/>
      <c r="I49" s="2385"/>
      <c r="J49" s="2386"/>
      <c r="K49" s="2386"/>
      <c r="L49" s="2386"/>
      <c r="M49" s="2387"/>
      <c r="N49" s="2388"/>
      <c r="O49" s="2389"/>
      <c r="P49" s="2388"/>
      <c r="Q49" s="2390"/>
      <c r="R49" s="2391"/>
      <c r="S49" s="2391"/>
      <c r="T49" s="2391"/>
      <c r="U49" s="2391"/>
      <c r="V49" s="2391"/>
      <c r="W49" s="2390"/>
      <c r="X49" s="2391"/>
      <c r="Y49" s="2391"/>
      <c r="Z49" s="2391"/>
      <c r="AA49" s="2391"/>
      <c r="AB49" s="2392"/>
      <c r="AC49" s="2393"/>
      <c r="AD49" s="2391"/>
      <c r="AE49" s="2391"/>
      <c r="AF49" s="2394"/>
      <c r="AG49" s="2395"/>
      <c r="AH49" s="2396"/>
      <c r="AI49" s="2391"/>
      <c r="AJ49" s="2391"/>
      <c r="AK49" s="2391"/>
      <c r="AL49" s="2391"/>
      <c r="AM49" s="151"/>
      <c r="AN49" s="152"/>
      <c r="AO49" s="153"/>
      <c r="AP49" s="154"/>
      <c r="AQ49" s="152"/>
      <c r="AR49" s="165"/>
      <c r="AS49" s="165"/>
      <c r="AT49" s="165"/>
      <c r="AU49" s="165"/>
      <c r="AV49" s="165"/>
      <c r="AW49" s="165"/>
      <c r="AX49" s="155"/>
      <c r="AY49" s="155"/>
      <c r="AZ49" s="155"/>
      <c r="BA49" s="155"/>
      <c r="BB49" s="155"/>
      <c r="BC49" s="155"/>
      <c r="BD49" s="155"/>
      <c r="BE49" s="964"/>
      <c r="BF49" s="964"/>
      <c r="BG49" s="964"/>
      <c r="BH49" s="964"/>
      <c r="BI49" s="964"/>
      <c r="BJ49" s="964"/>
      <c r="BK49" s="964"/>
      <c r="BL49" s="964"/>
      <c r="BM49" s="964"/>
      <c r="BN49" s="964"/>
      <c r="BO49" s="964"/>
      <c r="BP49" s="964"/>
      <c r="BQ49" s="964"/>
      <c r="BR49" s="1874"/>
      <c r="BS49" s="964"/>
      <c r="BT49" s="964"/>
      <c r="BU49" s="47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</row>
    <row r="50" spans="1:140" s="31" customFormat="1" ht="24.95" customHeight="1" x14ac:dyDescent="0.15">
      <c r="A50" s="922">
        <v>40</v>
      </c>
      <c r="B50" s="143">
        <v>429.08300000000003</v>
      </c>
      <c r="C50" s="142"/>
      <c r="D50" s="143">
        <v>426.983</v>
      </c>
      <c r="E50" s="144">
        <v>2.1000000000000227</v>
      </c>
      <c r="F50" s="141">
        <v>428.34</v>
      </c>
      <c r="G50" s="140">
        <v>426.18858</v>
      </c>
      <c r="H50" s="144">
        <v>2.1514199999999732</v>
      </c>
      <c r="I50" s="139">
        <v>427.50325183488769</v>
      </c>
      <c r="J50" s="138" t="s">
        <v>2848</v>
      </c>
      <c r="K50" s="138" t="s">
        <v>2848</v>
      </c>
      <c r="L50" s="138" t="s">
        <v>2848</v>
      </c>
      <c r="M50" s="137" t="s">
        <v>2848</v>
      </c>
      <c r="N50" s="136">
        <v>72.22</v>
      </c>
      <c r="O50" s="145">
        <v>5.0113000000000003</v>
      </c>
      <c r="P50" s="136">
        <v>0.6</v>
      </c>
      <c r="Q50" s="33">
        <v>5.0113000000000003</v>
      </c>
      <c r="R50" s="146">
        <v>0.75060046369125744</v>
      </c>
      <c r="S50" s="146">
        <v>15</v>
      </c>
      <c r="T50" s="146">
        <v>113.38983928195596</v>
      </c>
      <c r="U50" s="146">
        <v>0.49366847418077825</v>
      </c>
      <c r="V50" s="146">
        <v>584.92610726999442</v>
      </c>
      <c r="W50" s="33">
        <v>584.92610726999442</v>
      </c>
      <c r="X50" s="146">
        <v>1.028800886181185</v>
      </c>
      <c r="Y50" s="146">
        <v>1.1000000000000001</v>
      </c>
      <c r="Z50" s="146">
        <v>1.1376974584504729</v>
      </c>
      <c r="AA50" s="146" t="s">
        <v>72</v>
      </c>
      <c r="AB50" s="147">
        <v>1.4999999999999999E-2</v>
      </c>
      <c r="AC50" s="148">
        <v>1</v>
      </c>
      <c r="AD50" s="146">
        <v>0.6</v>
      </c>
      <c r="AE50" s="146"/>
      <c r="AF50" s="32"/>
      <c r="AG50" s="149"/>
      <c r="AH50" s="150" t="e">
        <v>#DIV/0!</v>
      </c>
      <c r="AI50" s="146">
        <v>0.52025183488768578</v>
      </c>
      <c r="AJ50" s="146">
        <v>0.50241643832747307</v>
      </c>
      <c r="AK50" s="146">
        <v>2.2459600381299767</v>
      </c>
      <c r="AL50" s="146">
        <v>15.535925237418232</v>
      </c>
      <c r="AM50" s="151">
        <v>40</v>
      </c>
      <c r="AN50" s="152">
        <v>41</v>
      </c>
      <c r="AO50" s="153">
        <v>0</v>
      </c>
      <c r="AP50" s="154">
        <v>0</v>
      </c>
      <c r="AQ50" s="152">
        <v>0</v>
      </c>
      <c r="AR50" s="165">
        <v>10000</v>
      </c>
      <c r="AS50" s="165">
        <v>10000</v>
      </c>
      <c r="AT50" s="165">
        <v>10000</v>
      </c>
      <c r="AU50" s="165">
        <v>15</v>
      </c>
      <c r="AV50" s="165">
        <v>0</v>
      </c>
      <c r="AW50" s="165">
        <v>0</v>
      </c>
      <c r="AX50" s="155">
        <v>0.39881802597604693</v>
      </c>
      <c r="AY50" s="155">
        <v>0.50071483820554485</v>
      </c>
      <c r="AZ50" s="155">
        <v>0.52025183488768578</v>
      </c>
      <c r="BA50" s="155">
        <v>723.42994302315458</v>
      </c>
      <c r="BB50" s="155">
        <v>0.49549630897995828</v>
      </c>
      <c r="BC50" s="155">
        <v>0.50241643832747307</v>
      </c>
      <c r="BD50" s="155">
        <v>0.60680411309503557</v>
      </c>
      <c r="BE50" s="964">
        <v>429.08300000000003</v>
      </c>
      <c r="BF50" s="964">
        <v>0</v>
      </c>
      <c r="BG50" s="964">
        <v>426.983</v>
      </c>
      <c r="BH50" s="964">
        <v>-426.983</v>
      </c>
      <c r="BI50" s="964">
        <v>0</v>
      </c>
      <c r="BJ50" s="964">
        <v>0</v>
      </c>
      <c r="BK50" s="964">
        <v>0</v>
      </c>
      <c r="BL50" s="964">
        <v>0</v>
      </c>
      <c r="BM50" s="964">
        <v>0</v>
      </c>
      <c r="BN50" s="964">
        <v>0</v>
      </c>
      <c r="BO50" s="964">
        <v>1.5</v>
      </c>
      <c r="BP50" s="964">
        <v>1.5</v>
      </c>
      <c r="BQ50" s="964">
        <v>0</v>
      </c>
      <c r="BR50" s="1874">
        <v>0</v>
      </c>
      <c r="BS50" s="964">
        <v>0.32</v>
      </c>
      <c r="BT50" s="964">
        <v>0</v>
      </c>
      <c r="BU50" s="47" t="s">
        <v>2645</v>
      </c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</row>
    <row r="51" spans="1:140" s="31" customFormat="1" ht="24.95" customHeight="1" x14ac:dyDescent="0.15">
      <c r="A51" s="922">
        <v>41</v>
      </c>
      <c r="B51" s="143">
        <v>428.34</v>
      </c>
      <c r="C51" s="142"/>
      <c r="D51" s="143">
        <v>426.18858</v>
      </c>
      <c r="E51" s="144">
        <v>2.1514199999999732</v>
      </c>
      <c r="F51" s="141">
        <v>427.209</v>
      </c>
      <c r="G51" s="140">
        <v>425.03593999999998</v>
      </c>
      <c r="H51" s="144">
        <v>2.1730600000000209</v>
      </c>
      <c r="I51" s="139">
        <v>426.61043992344241</v>
      </c>
      <c r="J51" s="138">
        <v>426.70883183488769</v>
      </c>
      <c r="K51" s="138" t="s">
        <v>2848</v>
      </c>
      <c r="L51" s="138" t="s">
        <v>2848</v>
      </c>
      <c r="M51" s="137" t="s">
        <v>2848</v>
      </c>
      <c r="N51" s="136">
        <v>72.040000000000006</v>
      </c>
      <c r="O51" s="145">
        <v>1.9184000000000001</v>
      </c>
      <c r="P51" s="136">
        <v>0.6</v>
      </c>
      <c r="Q51" s="33">
        <v>6.9297000000000004</v>
      </c>
      <c r="R51" s="146">
        <v>0.70852116951405986</v>
      </c>
      <c r="S51" s="146">
        <v>15.535925237418232</v>
      </c>
      <c r="T51" s="146">
        <v>111.64281311848057</v>
      </c>
      <c r="U51" s="146">
        <v>0.49690064320014282</v>
      </c>
      <c r="V51" s="146">
        <v>209.47131928289357</v>
      </c>
      <c r="W51" s="33">
        <v>794.39742655288796</v>
      </c>
      <c r="X51" s="146">
        <v>1.5699611327040139</v>
      </c>
      <c r="Y51" s="146">
        <v>1.6</v>
      </c>
      <c r="Z51" s="146">
        <v>0.45243949065477701</v>
      </c>
      <c r="AA51" s="146" t="s">
        <v>72</v>
      </c>
      <c r="AB51" s="147">
        <v>1.4999999999999999E-2</v>
      </c>
      <c r="AC51" s="148">
        <v>1</v>
      </c>
      <c r="AD51" s="146">
        <v>0.8</v>
      </c>
      <c r="AE51" s="146"/>
      <c r="AF51" s="32"/>
      <c r="AG51" s="149"/>
      <c r="AH51" s="150" t="e">
        <v>#DIV/0!</v>
      </c>
      <c r="AI51" s="146">
        <v>0.4218599234423836</v>
      </c>
      <c r="AJ51" s="146">
        <v>0.54131641295582633</v>
      </c>
      <c r="AK51" s="146">
        <v>2.9552745423003843</v>
      </c>
      <c r="AL51" s="146">
        <v>15.942204467818284</v>
      </c>
      <c r="AM51" s="151">
        <v>41</v>
      </c>
      <c r="AN51" s="152">
        <v>42</v>
      </c>
      <c r="AO51" s="153">
        <v>40</v>
      </c>
      <c r="AP51" s="154">
        <v>0</v>
      </c>
      <c r="AQ51" s="152">
        <v>0</v>
      </c>
      <c r="AR51" s="165">
        <v>426.18858</v>
      </c>
      <c r="AS51" s="165">
        <v>10000</v>
      </c>
      <c r="AT51" s="165">
        <v>10000</v>
      </c>
      <c r="AU51" s="165">
        <v>15.535925237418232</v>
      </c>
      <c r="AV51" s="165">
        <v>0</v>
      </c>
      <c r="AW51" s="165">
        <v>0</v>
      </c>
      <c r="AX51" s="155">
        <v>0.3890679972932457</v>
      </c>
      <c r="AY51" s="155">
        <v>0.4218599234423836</v>
      </c>
      <c r="AZ51" s="155">
        <v>0.13099308582505564</v>
      </c>
      <c r="BA51" s="155">
        <v>420.01037846815478</v>
      </c>
      <c r="BB51" s="155">
        <v>0.5349931443337913</v>
      </c>
      <c r="BC51" s="155">
        <v>0.54131641295582633</v>
      </c>
      <c r="BD51" s="155">
        <v>0.62643131931474483</v>
      </c>
      <c r="BE51" s="964">
        <v>428.34</v>
      </c>
      <c r="BF51" s="964">
        <v>428.34</v>
      </c>
      <c r="BG51" s="964">
        <v>426.18858</v>
      </c>
      <c r="BH51" s="964">
        <v>2.1514199999999732</v>
      </c>
      <c r="BI51" s="964">
        <v>426.00394</v>
      </c>
      <c r="BJ51" s="964">
        <v>427.15658000000002</v>
      </c>
      <c r="BK51" s="964">
        <v>0</v>
      </c>
      <c r="BL51" s="964">
        <v>0</v>
      </c>
      <c r="BM51" s="964">
        <v>0</v>
      </c>
      <c r="BN51" s="964">
        <v>1.1580000000000177</v>
      </c>
      <c r="BO51" s="964">
        <v>1.5</v>
      </c>
      <c r="BP51" s="964">
        <v>1.5</v>
      </c>
      <c r="BQ51" s="964">
        <v>0</v>
      </c>
      <c r="BR51" s="1874">
        <v>0</v>
      </c>
      <c r="BS51" s="964">
        <v>0.32</v>
      </c>
      <c r="BT51" s="964">
        <v>0.33141999999997324</v>
      </c>
      <c r="BU51" s="47" t="s">
        <v>2849</v>
      </c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</row>
    <row r="52" spans="1:140" s="31" customFormat="1" ht="24.95" customHeight="1" x14ac:dyDescent="0.15">
      <c r="A52" s="922">
        <v>42</v>
      </c>
      <c r="B52" s="143">
        <v>427.209</v>
      </c>
      <c r="C52" s="142"/>
      <c r="D52" s="143">
        <v>425.03593999999998</v>
      </c>
      <c r="E52" s="144">
        <v>2.1730600000000209</v>
      </c>
      <c r="F52" s="141">
        <v>425.77300000000002</v>
      </c>
      <c r="G52" s="140">
        <v>423.59553999999997</v>
      </c>
      <c r="H52" s="144">
        <v>2.1774600000000532</v>
      </c>
      <c r="I52" s="139">
        <v>425.48985132563593</v>
      </c>
      <c r="J52" s="138">
        <v>425.45779992344239</v>
      </c>
      <c r="K52" s="138" t="s">
        <v>2848</v>
      </c>
      <c r="L52" s="138" t="s">
        <v>2848</v>
      </c>
      <c r="M52" s="137" t="s">
        <v>2848</v>
      </c>
      <c r="N52" s="136">
        <v>72.02</v>
      </c>
      <c r="O52" s="145">
        <v>1.9211</v>
      </c>
      <c r="P52" s="136">
        <v>0.6</v>
      </c>
      <c r="Q52" s="33">
        <v>8.8507999999999996</v>
      </c>
      <c r="R52" s="146">
        <v>0.67832388584361814</v>
      </c>
      <c r="S52" s="146">
        <v>15.942204467818284</v>
      </c>
      <c r="T52" s="146">
        <v>110.35844870996422</v>
      </c>
      <c r="U52" s="146">
        <v>0.49926552869525126</v>
      </c>
      <c r="V52" s="146">
        <v>199.46031118390246</v>
      </c>
      <c r="W52" s="33">
        <v>993.85773773679045</v>
      </c>
      <c r="X52" s="146">
        <v>1.9938905859483183</v>
      </c>
      <c r="Y52" s="146">
        <v>2</v>
      </c>
      <c r="Z52" s="146">
        <v>0.70816310131859861</v>
      </c>
      <c r="AA52" s="146" t="s">
        <v>72</v>
      </c>
      <c r="AB52" s="147">
        <v>1.4999999999999999E-2</v>
      </c>
      <c r="AC52" s="148">
        <v>1</v>
      </c>
      <c r="AD52" s="146">
        <v>0.8</v>
      </c>
      <c r="AE52" s="146"/>
      <c r="AF52" s="32"/>
      <c r="AG52" s="149"/>
      <c r="AH52" s="150" t="e">
        <v>#DIV/0!</v>
      </c>
      <c r="AI52" s="146">
        <v>0.45391132563597003</v>
      </c>
      <c r="AJ52" s="146">
        <v>0.60763285217668572</v>
      </c>
      <c r="AK52" s="146">
        <v>3.3767295136872812</v>
      </c>
      <c r="AL52" s="146">
        <v>16.297676627630874</v>
      </c>
      <c r="AM52" s="151">
        <v>42</v>
      </c>
      <c r="AN52" s="152">
        <v>43</v>
      </c>
      <c r="AO52" s="153">
        <v>41</v>
      </c>
      <c r="AP52" s="154">
        <v>0</v>
      </c>
      <c r="AQ52" s="152">
        <v>0</v>
      </c>
      <c r="AR52" s="165">
        <v>425.03593999999998</v>
      </c>
      <c r="AS52" s="165">
        <v>10000</v>
      </c>
      <c r="AT52" s="165">
        <v>10000</v>
      </c>
      <c r="AU52" s="165">
        <v>15.942204467818284</v>
      </c>
      <c r="AV52" s="165">
        <v>0</v>
      </c>
      <c r="AW52" s="165">
        <v>0</v>
      </c>
      <c r="AX52" s="155">
        <v>0.41073549800888343</v>
      </c>
      <c r="AY52" s="155">
        <v>0.45391132563597003</v>
      </c>
      <c r="AZ52" s="155">
        <v>0.17492115127107405</v>
      </c>
      <c r="BA52" s="155">
        <v>459.88365633645753</v>
      </c>
      <c r="BB52" s="155">
        <v>0.59983579498782913</v>
      </c>
      <c r="BC52" s="155">
        <v>0.60763285217668572</v>
      </c>
      <c r="BD52" s="155">
        <v>0.67173446586544372</v>
      </c>
      <c r="BE52" s="964">
        <v>427.209</v>
      </c>
      <c r="BF52" s="964">
        <v>427.209</v>
      </c>
      <c r="BG52" s="964">
        <v>425.03593999999998</v>
      </c>
      <c r="BH52" s="964">
        <v>2.1730600000000209</v>
      </c>
      <c r="BI52" s="964">
        <v>424.56353999999999</v>
      </c>
      <c r="BJ52" s="964">
        <v>426.00394</v>
      </c>
      <c r="BK52" s="964">
        <v>426.00394</v>
      </c>
      <c r="BL52" s="964">
        <v>0</v>
      </c>
      <c r="BM52" s="964">
        <v>0</v>
      </c>
      <c r="BN52" s="964">
        <v>1.1580000000000177</v>
      </c>
      <c r="BO52" s="964">
        <v>1.5</v>
      </c>
      <c r="BP52" s="964">
        <v>1.5</v>
      </c>
      <c r="BQ52" s="964">
        <v>0</v>
      </c>
      <c r="BR52" s="1874">
        <v>0</v>
      </c>
      <c r="BS52" s="964">
        <v>0.32</v>
      </c>
      <c r="BT52" s="964">
        <v>0.35306000000002086</v>
      </c>
      <c r="BU52" s="47" t="s">
        <v>2849</v>
      </c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</row>
    <row r="53" spans="1:140" s="31" customFormat="1" ht="24.95" customHeight="1" x14ac:dyDescent="0.15">
      <c r="A53" s="922">
        <v>43</v>
      </c>
      <c r="B53" s="143">
        <v>425.77300000000002</v>
      </c>
      <c r="C53" s="142"/>
      <c r="D53" s="143">
        <v>423.59553999999997</v>
      </c>
      <c r="E53" s="144">
        <v>2.1774600000000532</v>
      </c>
      <c r="F53" s="141">
        <v>423.791</v>
      </c>
      <c r="G53" s="140">
        <v>421.65126999999995</v>
      </c>
      <c r="H53" s="144">
        <v>2.1397300000000428</v>
      </c>
      <c r="I53" s="139">
        <v>424.05739468330921</v>
      </c>
      <c r="J53" s="138">
        <v>424.04945132563591</v>
      </c>
      <c r="K53" s="138" t="s">
        <v>2848</v>
      </c>
      <c r="L53" s="138" t="s">
        <v>2848</v>
      </c>
      <c r="M53" s="137" t="s">
        <v>2848</v>
      </c>
      <c r="N53" s="136">
        <v>72.010000000000005</v>
      </c>
      <c r="O53" s="145">
        <v>1.9198</v>
      </c>
      <c r="P53" s="136">
        <v>0.6</v>
      </c>
      <c r="Q53" s="33">
        <v>10.7706</v>
      </c>
      <c r="R53" s="146">
        <v>0.65503016197763431</v>
      </c>
      <c r="S53" s="146">
        <v>16.297676627630874</v>
      </c>
      <c r="T53" s="146">
        <v>109.26181178048326</v>
      </c>
      <c r="U53" s="146">
        <v>0.50127759323993837</v>
      </c>
      <c r="V53" s="146">
        <v>191.33579143491028</v>
      </c>
      <c r="W53" s="33">
        <v>1185.1935291717007</v>
      </c>
      <c r="X53" s="146">
        <v>2.7523955006249512</v>
      </c>
      <c r="Y53" s="146">
        <v>2.7</v>
      </c>
      <c r="Z53" s="146">
        <v>1.0070786544761035</v>
      </c>
      <c r="AA53" s="146" t="s">
        <v>72</v>
      </c>
      <c r="AB53" s="147">
        <v>1.4999999999999999E-2</v>
      </c>
      <c r="AC53" s="148">
        <v>1</v>
      </c>
      <c r="AD53" s="146">
        <v>0.8</v>
      </c>
      <c r="AE53" s="146"/>
      <c r="AF53" s="32"/>
      <c r="AG53" s="149"/>
      <c r="AH53" s="150" t="e">
        <v>#DIV/0!</v>
      </c>
      <c r="AI53" s="146">
        <v>0.46185468330925217</v>
      </c>
      <c r="AJ53" s="146">
        <v>0.66541036999169745</v>
      </c>
      <c r="AK53" s="146">
        <v>3.9425860308746405</v>
      </c>
      <c r="AL53" s="146">
        <v>16.602087655638403</v>
      </c>
      <c r="AM53" s="151">
        <v>43</v>
      </c>
      <c r="AN53" s="152">
        <v>44</v>
      </c>
      <c r="AO53" s="153">
        <v>42</v>
      </c>
      <c r="AP53" s="154">
        <v>0</v>
      </c>
      <c r="AQ53" s="152">
        <v>0</v>
      </c>
      <c r="AR53" s="165">
        <v>423.59553999999997</v>
      </c>
      <c r="AS53" s="165">
        <v>10000</v>
      </c>
      <c r="AT53" s="165">
        <v>10000</v>
      </c>
      <c r="AU53" s="165">
        <v>16.297676627630874</v>
      </c>
      <c r="AV53" s="165">
        <v>0</v>
      </c>
      <c r="AW53" s="165">
        <v>0</v>
      </c>
      <c r="AX53" s="155">
        <v>0.41591822757966657</v>
      </c>
      <c r="AY53" s="155">
        <v>0.46185468330925217</v>
      </c>
      <c r="AZ53" s="155">
        <v>0.18704886357517553</v>
      </c>
      <c r="BA53" s="155">
        <v>469.70817499699712</v>
      </c>
      <c r="BB53" s="155">
        <v>0.65627079624862694</v>
      </c>
      <c r="BC53" s="155">
        <v>0.66541036999169745</v>
      </c>
      <c r="BD53" s="155">
        <v>0.70962970640139733</v>
      </c>
      <c r="BE53" s="964">
        <v>425.77300000000002</v>
      </c>
      <c r="BF53" s="964">
        <v>425.77300000000002</v>
      </c>
      <c r="BG53" s="964">
        <v>423.59553999999997</v>
      </c>
      <c r="BH53" s="964">
        <v>2.1774600000000532</v>
      </c>
      <c r="BI53" s="964">
        <v>422.61926999999997</v>
      </c>
      <c r="BJ53" s="964">
        <v>424.56353999999999</v>
      </c>
      <c r="BK53" s="964">
        <v>424.56353999999999</v>
      </c>
      <c r="BL53" s="964">
        <v>0</v>
      </c>
      <c r="BM53" s="964">
        <v>0</v>
      </c>
      <c r="BN53" s="964">
        <v>1.1580000000000177</v>
      </c>
      <c r="BO53" s="964">
        <v>1.5</v>
      </c>
      <c r="BP53" s="964">
        <v>1.5</v>
      </c>
      <c r="BQ53" s="964">
        <v>0</v>
      </c>
      <c r="BR53" s="1874">
        <v>0</v>
      </c>
      <c r="BS53" s="964">
        <v>0.32</v>
      </c>
      <c r="BT53" s="964">
        <v>0.35746000000005324</v>
      </c>
      <c r="BU53" s="47" t="s">
        <v>2849</v>
      </c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</row>
    <row r="54" spans="1:140" s="31" customFormat="1" ht="24.95" customHeight="1" x14ac:dyDescent="0.15">
      <c r="A54" s="922">
        <v>44</v>
      </c>
      <c r="B54" s="143">
        <v>423.791</v>
      </c>
      <c r="C54" s="142">
        <v>0.5</v>
      </c>
      <c r="D54" s="143">
        <v>420.34475999999989</v>
      </c>
      <c r="E54" s="144">
        <v>3.4462400000001026</v>
      </c>
      <c r="F54" s="141">
        <v>421.32799999999997</v>
      </c>
      <c r="G54" s="140">
        <v>418.39454999999987</v>
      </c>
      <c r="H54" s="144">
        <v>2.9334500000001071</v>
      </c>
      <c r="I54" s="139">
        <v>421.0880370386455</v>
      </c>
      <c r="J54" s="138">
        <v>421.43782681976495</v>
      </c>
      <c r="K54" s="138">
        <v>422.1131246833092</v>
      </c>
      <c r="L54" s="138" t="s">
        <v>2848</v>
      </c>
      <c r="M54" s="137" t="s">
        <v>2848</v>
      </c>
      <c r="N54" s="136">
        <v>72.23</v>
      </c>
      <c r="O54" s="145">
        <v>0.75849999999999995</v>
      </c>
      <c r="P54" s="136">
        <v>0.6</v>
      </c>
      <c r="Q54" s="33">
        <v>29.029399999999999</v>
      </c>
      <c r="R54" s="146">
        <v>0.5490537035956301</v>
      </c>
      <c r="S54" s="146">
        <v>19.579394089264618</v>
      </c>
      <c r="T54" s="146">
        <v>100.18957098700184</v>
      </c>
      <c r="U54" s="146">
        <v>0.5177111469053568</v>
      </c>
      <c r="V54" s="146">
        <v>60.008488078592869</v>
      </c>
      <c r="W54" s="33">
        <v>3071.2335708819514</v>
      </c>
      <c r="X54" s="146">
        <v>3.4099404679496361</v>
      </c>
      <c r="Y54" s="146">
        <v>2.7</v>
      </c>
      <c r="Z54" s="146">
        <v>2.0571082101010423</v>
      </c>
      <c r="AA54" s="146" t="s">
        <v>72</v>
      </c>
      <c r="AB54" s="147">
        <v>1.4999999999999999E-2</v>
      </c>
      <c r="AC54" s="148">
        <v>1</v>
      </c>
      <c r="AD54" s="146">
        <v>1</v>
      </c>
      <c r="AE54" s="146"/>
      <c r="AF54" s="32"/>
      <c r="AG54" s="149"/>
      <c r="AH54" s="150" t="e">
        <v>#DIV/0!</v>
      </c>
      <c r="AI54" s="146">
        <v>0.74327703864562755</v>
      </c>
      <c r="AJ54" s="146">
        <v>0.9088871700114225</v>
      </c>
      <c r="AK54" s="146">
        <v>4.9060932687392178</v>
      </c>
      <c r="AL54" s="146">
        <v>19.824769231438118</v>
      </c>
      <c r="AM54" s="151">
        <v>44</v>
      </c>
      <c r="AN54" s="152">
        <v>0</v>
      </c>
      <c r="AO54" s="153">
        <v>29</v>
      </c>
      <c r="AP54" s="154">
        <v>43</v>
      </c>
      <c r="AQ54" s="152">
        <v>0</v>
      </c>
      <c r="AR54" s="165">
        <v>420.84475999999989</v>
      </c>
      <c r="AS54" s="165">
        <v>421.65126999999995</v>
      </c>
      <c r="AT54" s="165">
        <v>10000</v>
      </c>
      <c r="AU54" s="165">
        <v>19.579394089264618</v>
      </c>
      <c r="AV54" s="165">
        <v>16.602087655638403</v>
      </c>
      <c r="AW54" s="165">
        <v>0</v>
      </c>
      <c r="AX54" s="155">
        <v>0.61759953871760465</v>
      </c>
      <c r="AY54" s="155">
        <v>0.74327703864562755</v>
      </c>
      <c r="AZ54" s="155">
        <v>0.5856243795575341</v>
      </c>
      <c r="BA54" s="155">
        <v>626.00391037229633</v>
      </c>
      <c r="BB54" s="155">
        <v>1.0033324920754196</v>
      </c>
      <c r="BC54" s="155">
        <v>1.0194162358740619</v>
      </c>
      <c r="BD54" s="155">
        <v>0.9088871700114225</v>
      </c>
      <c r="BE54" s="964">
        <v>423.791</v>
      </c>
      <c r="BF54" s="964">
        <v>423.791</v>
      </c>
      <c r="BG54" s="964">
        <v>420.34475999999989</v>
      </c>
      <c r="BH54" s="964">
        <v>3.4462400000001026</v>
      </c>
      <c r="BI54" s="964">
        <v>419.60454999999985</v>
      </c>
      <c r="BJ54" s="964">
        <v>421.55475999999987</v>
      </c>
      <c r="BK54" s="964">
        <v>422.05475999999987</v>
      </c>
      <c r="BL54" s="964">
        <v>422.61926999999997</v>
      </c>
      <c r="BM54" s="964">
        <v>0</v>
      </c>
      <c r="BN54" s="964">
        <v>2.4645100000000775</v>
      </c>
      <c r="BO54" s="964">
        <v>1.5</v>
      </c>
      <c r="BP54" s="964">
        <v>2.4645100000000775</v>
      </c>
      <c r="BQ54" s="964">
        <v>0.96451000000007747</v>
      </c>
      <c r="BR54" s="1874">
        <v>0</v>
      </c>
      <c r="BS54" s="964">
        <v>0.32</v>
      </c>
      <c r="BT54" s="964">
        <v>0.66173000000002502</v>
      </c>
      <c r="BU54" s="47" t="s">
        <v>2849</v>
      </c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</row>
  </sheetData>
  <mergeCells count="38">
    <mergeCell ref="T8:T10"/>
    <mergeCell ref="S8:S10"/>
    <mergeCell ref="R8:R10"/>
    <mergeCell ref="Q8:Q10"/>
    <mergeCell ref="O8:P8"/>
    <mergeCell ref="AA8:AH8"/>
    <mergeCell ref="AI1:AL1"/>
    <mergeCell ref="U8:U10"/>
    <mergeCell ref="V8:V10"/>
    <mergeCell ref="W8:W10"/>
    <mergeCell ref="AC9:AC10"/>
    <mergeCell ref="AD9:AD10"/>
    <mergeCell ref="AK8:AK10"/>
    <mergeCell ref="X8:Z8"/>
    <mergeCell ref="AL8:AL10"/>
    <mergeCell ref="Y9:Z9"/>
    <mergeCell ref="AI8:AJ9"/>
    <mergeCell ref="AB9:AB10"/>
    <mergeCell ref="AA9:AA10"/>
    <mergeCell ref="X9:X10"/>
    <mergeCell ref="W6:X6"/>
    <mergeCell ref="BB8:BD8"/>
    <mergeCell ref="BE8:BT8"/>
    <mergeCell ref="BE9:BH9"/>
    <mergeCell ref="BN9:BP9"/>
    <mergeCell ref="BQ9:BQ10"/>
    <mergeCell ref="BR9:BR10"/>
    <mergeCell ref="BT9:BT10"/>
    <mergeCell ref="BI9:BM9"/>
    <mergeCell ref="BS9:BS10"/>
    <mergeCell ref="A8:A10"/>
    <mergeCell ref="N8:N10"/>
    <mergeCell ref="O9:O10"/>
    <mergeCell ref="P9:P10"/>
    <mergeCell ref="D4:E4"/>
    <mergeCell ref="B8:H8"/>
    <mergeCell ref="B9:E9"/>
    <mergeCell ref="F9:H9"/>
  </mergeCells>
  <phoneticPr fontId="140" type="noConversion"/>
  <conditionalFormatting sqref="B11:B18 B50:B54">
    <cfRule type="expression" dxfId="21" priority="553">
      <formula>BU11="NÃO"</formula>
    </cfRule>
  </conditionalFormatting>
  <conditionalFormatting sqref="B20:B28 B30:B48">
    <cfRule type="expression" dxfId="20" priority="3">
      <formula>BU20="NÃO"</formula>
    </cfRule>
  </conditionalFormatting>
  <conditionalFormatting sqref="C11:C18 C50:C54">
    <cfRule type="cellIs" dxfId="19" priority="212" stopIfTrue="1" operator="lessThan">
      <formula>M11&lt;0</formula>
    </cfRule>
  </conditionalFormatting>
  <conditionalFormatting sqref="C20:C28 C30:C48">
    <cfRule type="cellIs" dxfId="18" priority="1" stopIfTrue="1" operator="lessThan">
      <formula>M20&lt;0</formula>
    </cfRule>
  </conditionalFormatting>
  <conditionalFormatting sqref="E11:E18 E50:E54">
    <cfRule type="expression" dxfId="17" priority="734">
      <formula>$E11&lt;$AD11+$AF11+1.3</formula>
    </cfRule>
  </conditionalFormatting>
  <conditionalFormatting sqref="E20:E28 E30:E48">
    <cfRule type="expression" dxfId="16" priority="5">
      <formula>$E20&lt;$AD20+$AF20+1.3</formula>
    </cfRule>
  </conditionalFormatting>
  <conditionalFormatting sqref="F11:F18 F50:F54">
    <cfRule type="cellIs" dxfId="15" priority="945" stopIfTrue="1" operator="equal">
      <formula>"tampa"</formula>
    </cfRule>
  </conditionalFormatting>
  <conditionalFormatting sqref="F20:F28 F30:F48">
    <cfRule type="cellIs" dxfId="14" priority="10" stopIfTrue="1" operator="equal">
      <formula>"tampa"</formula>
    </cfRule>
  </conditionalFormatting>
  <conditionalFormatting sqref="H11:H18 H50:H54">
    <cfRule type="expression" dxfId="13" priority="732">
      <formula>$H11&lt;$AD11+$AF11+1.3</formula>
    </cfRule>
  </conditionalFormatting>
  <conditionalFormatting sqref="H20:H28 H30:H48">
    <cfRule type="expression" dxfId="12" priority="4">
      <formula>$H20&lt;$AD20+$AF20+1.3</formula>
    </cfRule>
  </conditionalFormatting>
  <conditionalFormatting sqref="O11:O18 O50:O54">
    <cfRule type="cellIs" dxfId="11" priority="939" operator="greaterThan">
      <formula>5.99</formula>
    </cfRule>
  </conditionalFormatting>
  <conditionalFormatting sqref="O20:O28 O30:O48">
    <cfRule type="cellIs" dxfId="10" priority="6" operator="greaterThan">
      <formula>5.99</formula>
    </cfRule>
  </conditionalFormatting>
  <conditionalFormatting sqref="Y11:Y18 Y50:Y54">
    <cfRule type="cellIs" dxfId="9" priority="312" stopIfTrue="1" operator="lessThan">
      <formula>0.4</formula>
    </cfRule>
  </conditionalFormatting>
  <conditionalFormatting sqref="Y20:Y28 Y30:Y48">
    <cfRule type="cellIs" dxfId="8" priority="2" stopIfTrue="1" operator="lessThan">
      <formula>0.4</formula>
    </cfRule>
  </conditionalFormatting>
  <conditionalFormatting sqref="AK11:AK18 AK20:AK28 AK30:AK48 AK50:AK54">
    <cfRule type="cellIs" dxfId="7" priority="942" stopIfTrue="1" operator="lessThan">
      <formula>1</formula>
    </cfRule>
    <cfRule type="cellIs" dxfId="6" priority="943" stopIfTrue="1" operator="greaterThan">
      <formula>8.01</formula>
    </cfRule>
  </conditionalFormatting>
  <conditionalFormatting sqref="AK20:AK28 AK30:AK48 AK11:AK18 AK50:AK54">
    <cfRule type="cellIs" dxfId="5" priority="941" stopIfTrue="1" operator="between">
      <formula>5</formula>
      <formula>8</formula>
    </cfRule>
  </conditionalFormatting>
  <conditionalFormatting sqref="AK27:AK28 AK30">
    <cfRule type="cellIs" dxfId="4" priority="7" stopIfTrue="1" operator="between">
      <formula>5</formula>
      <formula>8</formula>
    </cfRule>
    <cfRule type="cellIs" dxfId="3" priority="8" stopIfTrue="1" operator="lessThan">
      <formula>1</formula>
    </cfRule>
    <cfRule type="cellIs" dxfId="2" priority="9" stopIfTrue="1" operator="greaterThan">
      <formula>8.01</formula>
    </cfRule>
  </conditionalFormatting>
  <conditionalFormatting sqref="BP11:BP54">
    <cfRule type="expression" dxfId="1" priority="731">
      <formula>$AF11&gt;0</formula>
    </cfRule>
  </conditionalFormatting>
  <conditionalFormatting sqref="BU11:BU54">
    <cfRule type="expression" dxfId="0" priority="175">
      <formula>BU11="NÃO"</formula>
    </cfRule>
  </conditionalFormatting>
  <dataValidations count="2">
    <dataValidation allowBlank="1" showInputMessage="1" showErrorMessage="1" prompt="Se está rosa A&gt;6_x000a_Usar Área x Descarga" sqref="O11:O54" xr:uid="{00000000-0002-0000-2500-000000000000}"/>
    <dataValidation allowBlank="1" showInputMessage="1" showErrorMessage="1" prompt="Se está_x000a_verde_x000a_Verificar N.A._x000a_coluna &quot;M&quot;" sqref="C11:C54" xr:uid="{20DEFC73-1400-42C0-BA92-BB574AA4529A}"/>
  </dataValidations>
  <hyperlinks>
    <hyperlink ref="A8:A10" location="PAINEL!A1" display="TRECHO" xr:uid="{00000000-0004-0000-2500-000000000000}"/>
  </hyperlinks>
  <printOptions horizontalCentered="1"/>
  <pageMargins left="0.39370078740157483" right="0.39370078740157483" top="0.39370078740157483" bottom="0.59055118110236227" header="0.31496062992125984" footer="0.23622047244094491"/>
  <pageSetup paperSize="9" scale="59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A1602-CFA1-4E7E-8FFE-CEE3513FFBAE}">
  <dimension ref="A1:BA87"/>
  <sheetViews>
    <sheetView showGridLines="0" showZeros="0" zoomScaleNormal="100" workbookViewId="0"/>
  </sheetViews>
  <sheetFormatPr defaultColWidth="10" defaultRowHeight="15" customHeight="1" x14ac:dyDescent="0.2"/>
  <cols>
    <col min="1" max="1" width="6.75" style="718" customWidth="1"/>
    <col min="2" max="2" width="11.875" style="718" customWidth="1"/>
    <col min="3" max="12" width="10.5" style="718" customWidth="1"/>
    <col min="13" max="15" width="10" style="718"/>
    <col min="16" max="16" width="10.375" style="718" customWidth="1"/>
    <col min="17" max="17" width="11.875" style="718" customWidth="1"/>
    <col min="18" max="251" width="10" style="718"/>
    <col min="252" max="252" width="6.75" style="718" customWidth="1"/>
    <col min="253" max="263" width="10.5" style="718" customWidth="1"/>
    <col min="264" max="267" width="10" style="718"/>
    <col min="268" max="268" width="10.75" style="718" bestFit="1" customWidth="1"/>
    <col min="269" max="507" width="10" style="718"/>
    <col min="508" max="508" width="6.75" style="718" customWidth="1"/>
    <col min="509" max="519" width="10.5" style="718" customWidth="1"/>
    <col min="520" max="523" width="10" style="718"/>
    <col min="524" max="524" width="10.75" style="718" bestFit="1" customWidth="1"/>
    <col min="525" max="763" width="10" style="718"/>
    <col min="764" max="764" width="6.75" style="718" customWidth="1"/>
    <col min="765" max="775" width="10.5" style="718" customWidth="1"/>
    <col min="776" max="779" width="10" style="718"/>
    <col min="780" max="780" width="10.75" style="718" bestFit="1" customWidth="1"/>
    <col min="781" max="1019" width="10" style="718"/>
    <col min="1020" max="1020" width="6.75" style="718" customWidth="1"/>
    <col min="1021" max="1031" width="10.5" style="718" customWidth="1"/>
    <col min="1032" max="1035" width="10" style="718"/>
    <col min="1036" max="1036" width="10.75" style="718" bestFit="1" customWidth="1"/>
    <col min="1037" max="1275" width="10" style="718"/>
    <col min="1276" max="1276" width="6.75" style="718" customWidth="1"/>
    <col min="1277" max="1287" width="10.5" style="718" customWidth="1"/>
    <col min="1288" max="1291" width="10" style="718"/>
    <col min="1292" max="1292" width="10.75" style="718" bestFit="1" customWidth="1"/>
    <col min="1293" max="1531" width="10" style="718"/>
    <col min="1532" max="1532" width="6.75" style="718" customWidth="1"/>
    <col min="1533" max="1543" width="10.5" style="718" customWidth="1"/>
    <col min="1544" max="1547" width="10" style="718"/>
    <col min="1548" max="1548" width="10.75" style="718" bestFit="1" customWidth="1"/>
    <col min="1549" max="1787" width="10" style="718"/>
    <col min="1788" max="1788" width="6.75" style="718" customWidth="1"/>
    <col min="1789" max="1799" width="10.5" style="718" customWidth="1"/>
    <col min="1800" max="1803" width="10" style="718"/>
    <col min="1804" max="1804" width="10.75" style="718" bestFit="1" customWidth="1"/>
    <col min="1805" max="2043" width="10" style="718"/>
    <col min="2044" max="2044" width="6.75" style="718" customWidth="1"/>
    <col min="2045" max="2055" width="10.5" style="718" customWidth="1"/>
    <col min="2056" max="2059" width="10" style="718"/>
    <col min="2060" max="2060" width="10.75" style="718" bestFit="1" customWidth="1"/>
    <col min="2061" max="2299" width="10" style="718"/>
    <col min="2300" max="2300" width="6.75" style="718" customWidth="1"/>
    <col min="2301" max="2311" width="10.5" style="718" customWidth="1"/>
    <col min="2312" max="2315" width="10" style="718"/>
    <col min="2316" max="2316" width="10.75" style="718" bestFit="1" customWidth="1"/>
    <col min="2317" max="2555" width="10" style="718"/>
    <col min="2556" max="2556" width="6.75" style="718" customWidth="1"/>
    <col min="2557" max="2567" width="10.5" style="718" customWidth="1"/>
    <col min="2568" max="2571" width="10" style="718"/>
    <col min="2572" max="2572" width="10.75" style="718" bestFit="1" customWidth="1"/>
    <col min="2573" max="2811" width="10" style="718"/>
    <col min="2812" max="2812" width="6.75" style="718" customWidth="1"/>
    <col min="2813" max="2823" width="10.5" style="718" customWidth="1"/>
    <col min="2824" max="2827" width="10" style="718"/>
    <col min="2828" max="2828" width="10.75" style="718" bestFit="1" customWidth="1"/>
    <col min="2829" max="3067" width="10" style="718"/>
    <col min="3068" max="3068" width="6.75" style="718" customWidth="1"/>
    <col min="3069" max="3079" width="10.5" style="718" customWidth="1"/>
    <col min="3080" max="3083" width="10" style="718"/>
    <col min="3084" max="3084" width="10.75" style="718" bestFit="1" customWidth="1"/>
    <col min="3085" max="3323" width="10" style="718"/>
    <col min="3324" max="3324" width="6.75" style="718" customWidth="1"/>
    <col min="3325" max="3335" width="10.5" style="718" customWidth="1"/>
    <col min="3336" max="3339" width="10" style="718"/>
    <col min="3340" max="3340" width="10.75" style="718" bestFit="1" customWidth="1"/>
    <col min="3341" max="3579" width="10" style="718"/>
    <col min="3580" max="3580" width="6.75" style="718" customWidth="1"/>
    <col min="3581" max="3591" width="10.5" style="718" customWidth="1"/>
    <col min="3592" max="3595" width="10" style="718"/>
    <col min="3596" max="3596" width="10.75" style="718" bestFit="1" customWidth="1"/>
    <col min="3597" max="3835" width="10" style="718"/>
    <col min="3836" max="3836" width="6.75" style="718" customWidth="1"/>
    <col min="3837" max="3847" width="10.5" style="718" customWidth="1"/>
    <col min="3848" max="3851" width="10" style="718"/>
    <col min="3852" max="3852" width="10.75" style="718" bestFit="1" customWidth="1"/>
    <col min="3853" max="4091" width="10" style="718"/>
    <col min="4092" max="4092" width="6.75" style="718" customWidth="1"/>
    <col min="4093" max="4103" width="10.5" style="718" customWidth="1"/>
    <col min="4104" max="4107" width="10" style="718"/>
    <col min="4108" max="4108" width="10.75" style="718" bestFit="1" customWidth="1"/>
    <col min="4109" max="4347" width="10" style="718"/>
    <col min="4348" max="4348" width="6.75" style="718" customWidth="1"/>
    <col min="4349" max="4359" width="10.5" style="718" customWidth="1"/>
    <col min="4360" max="4363" width="10" style="718"/>
    <col min="4364" max="4364" width="10.75" style="718" bestFit="1" customWidth="1"/>
    <col min="4365" max="4603" width="10" style="718"/>
    <col min="4604" max="4604" width="6.75" style="718" customWidth="1"/>
    <col min="4605" max="4615" width="10.5" style="718" customWidth="1"/>
    <col min="4616" max="4619" width="10" style="718"/>
    <col min="4620" max="4620" width="10.75" style="718" bestFit="1" customWidth="1"/>
    <col min="4621" max="4859" width="10" style="718"/>
    <col min="4860" max="4860" width="6.75" style="718" customWidth="1"/>
    <col min="4861" max="4871" width="10.5" style="718" customWidth="1"/>
    <col min="4872" max="4875" width="10" style="718"/>
    <col min="4876" max="4876" width="10.75" style="718" bestFit="1" customWidth="1"/>
    <col min="4877" max="5115" width="10" style="718"/>
    <col min="5116" max="5116" width="6.75" style="718" customWidth="1"/>
    <col min="5117" max="5127" width="10.5" style="718" customWidth="1"/>
    <col min="5128" max="5131" width="10" style="718"/>
    <col min="5132" max="5132" width="10.75" style="718" bestFit="1" customWidth="1"/>
    <col min="5133" max="5371" width="10" style="718"/>
    <col min="5372" max="5372" width="6.75" style="718" customWidth="1"/>
    <col min="5373" max="5383" width="10.5" style="718" customWidth="1"/>
    <col min="5384" max="5387" width="10" style="718"/>
    <col min="5388" max="5388" width="10.75" style="718" bestFit="1" customWidth="1"/>
    <col min="5389" max="5627" width="10" style="718"/>
    <col min="5628" max="5628" width="6.75" style="718" customWidth="1"/>
    <col min="5629" max="5639" width="10.5" style="718" customWidth="1"/>
    <col min="5640" max="5643" width="10" style="718"/>
    <col min="5644" max="5644" width="10.75" style="718" bestFit="1" customWidth="1"/>
    <col min="5645" max="5883" width="10" style="718"/>
    <col min="5884" max="5884" width="6.75" style="718" customWidth="1"/>
    <col min="5885" max="5895" width="10.5" style="718" customWidth="1"/>
    <col min="5896" max="5899" width="10" style="718"/>
    <col min="5900" max="5900" width="10.75" style="718" bestFit="1" customWidth="1"/>
    <col min="5901" max="6139" width="10" style="718"/>
    <col min="6140" max="6140" width="6.75" style="718" customWidth="1"/>
    <col min="6141" max="6151" width="10.5" style="718" customWidth="1"/>
    <col min="6152" max="6155" width="10" style="718"/>
    <col min="6156" max="6156" width="10.75" style="718" bestFit="1" customWidth="1"/>
    <col min="6157" max="6395" width="10" style="718"/>
    <col min="6396" max="6396" width="6.75" style="718" customWidth="1"/>
    <col min="6397" max="6407" width="10.5" style="718" customWidth="1"/>
    <col min="6408" max="6411" width="10" style="718"/>
    <col min="6412" max="6412" width="10.75" style="718" bestFit="1" customWidth="1"/>
    <col min="6413" max="6651" width="10" style="718"/>
    <col min="6652" max="6652" width="6.75" style="718" customWidth="1"/>
    <col min="6653" max="6663" width="10.5" style="718" customWidth="1"/>
    <col min="6664" max="6667" width="10" style="718"/>
    <col min="6668" max="6668" width="10.75" style="718" bestFit="1" customWidth="1"/>
    <col min="6669" max="6907" width="10" style="718"/>
    <col min="6908" max="6908" width="6.75" style="718" customWidth="1"/>
    <col min="6909" max="6919" width="10.5" style="718" customWidth="1"/>
    <col min="6920" max="6923" width="10" style="718"/>
    <col min="6924" max="6924" width="10.75" style="718" bestFit="1" customWidth="1"/>
    <col min="6925" max="7163" width="10" style="718"/>
    <col min="7164" max="7164" width="6.75" style="718" customWidth="1"/>
    <col min="7165" max="7175" width="10.5" style="718" customWidth="1"/>
    <col min="7176" max="7179" width="10" style="718"/>
    <col min="7180" max="7180" width="10.75" style="718" bestFit="1" customWidth="1"/>
    <col min="7181" max="7419" width="10" style="718"/>
    <col min="7420" max="7420" width="6.75" style="718" customWidth="1"/>
    <col min="7421" max="7431" width="10.5" style="718" customWidth="1"/>
    <col min="7432" max="7435" width="10" style="718"/>
    <col min="7436" max="7436" width="10.75" style="718" bestFit="1" customWidth="1"/>
    <col min="7437" max="7675" width="10" style="718"/>
    <col min="7676" max="7676" width="6.75" style="718" customWidth="1"/>
    <col min="7677" max="7687" width="10.5" style="718" customWidth="1"/>
    <col min="7688" max="7691" width="10" style="718"/>
    <col min="7692" max="7692" width="10.75" style="718" bestFit="1" customWidth="1"/>
    <col min="7693" max="7931" width="10" style="718"/>
    <col min="7932" max="7932" width="6.75" style="718" customWidth="1"/>
    <col min="7933" max="7943" width="10.5" style="718" customWidth="1"/>
    <col min="7944" max="7947" width="10" style="718"/>
    <col min="7948" max="7948" width="10.75" style="718" bestFit="1" customWidth="1"/>
    <col min="7949" max="8187" width="10" style="718"/>
    <col min="8188" max="8188" width="6.75" style="718" customWidth="1"/>
    <col min="8189" max="8199" width="10.5" style="718" customWidth="1"/>
    <col min="8200" max="8203" width="10" style="718"/>
    <col min="8204" max="8204" width="10.75" style="718" bestFit="1" customWidth="1"/>
    <col min="8205" max="8443" width="10" style="718"/>
    <col min="8444" max="8444" width="6.75" style="718" customWidth="1"/>
    <col min="8445" max="8455" width="10.5" style="718" customWidth="1"/>
    <col min="8456" max="8459" width="10" style="718"/>
    <col min="8460" max="8460" width="10.75" style="718" bestFit="1" customWidth="1"/>
    <col min="8461" max="8699" width="10" style="718"/>
    <col min="8700" max="8700" width="6.75" style="718" customWidth="1"/>
    <col min="8701" max="8711" width="10.5" style="718" customWidth="1"/>
    <col min="8712" max="8715" width="10" style="718"/>
    <col min="8716" max="8716" width="10.75" style="718" bestFit="1" customWidth="1"/>
    <col min="8717" max="8955" width="10" style="718"/>
    <col min="8956" max="8956" width="6.75" style="718" customWidth="1"/>
    <col min="8957" max="8967" width="10.5" style="718" customWidth="1"/>
    <col min="8968" max="8971" width="10" style="718"/>
    <col min="8972" max="8972" width="10.75" style="718" bestFit="1" customWidth="1"/>
    <col min="8973" max="9211" width="10" style="718"/>
    <col min="9212" max="9212" width="6.75" style="718" customWidth="1"/>
    <col min="9213" max="9223" width="10.5" style="718" customWidth="1"/>
    <col min="9224" max="9227" width="10" style="718"/>
    <col min="9228" max="9228" width="10.75" style="718" bestFit="1" customWidth="1"/>
    <col min="9229" max="9467" width="10" style="718"/>
    <col min="9468" max="9468" width="6.75" style="718" customWidth="1"/>
    <col min="9469" max="9479" width="10.5" style="718" customWidth="1"/>
    <col min="9480" max="9483" width="10" style="718"/>
    <col min="9484" max="9484" width="10.75" style="718" bestFit="1" customWidth="1"/>
    <col min="9485" max="9723" width="10" style="718"/>
    <col min="9724" max="9724" width="6.75" style="718" customWidth="1"/>
    <col min="9725" max="9735" width="10.5" style="718" customWidth="1"/>
    <col min="9736" max="9739" width="10" style="718"/>
    <col min="9740" max="9740" width="10.75" style="718" bestFit="1" customWidth="1"/>
    <col min="9741" max="9979" width="10" style="718"/>
    <col min="9980" max="9980" width="6.75" style="718" customWidth="1"/>
    <col min="9981" max="9991" width="10.5" style="718" customWidth="1"/>
    <col min="9992" max="9995" width="10" style="718"/>
    <col min="9996" max="9996" width="10.75" style="718" bestFit="1" customWidth="1"/>
    <col min="9997" max="10235" width="10" style="718"/>
    <col min="10236" max="10236" width="6.75" style="718" customWidth="1"/>
    <col min="10237" max="10247" width="10.5" style="718" customWidth="1"/>
    <col min="10248" max="10251" width="10" style="718"/>
    <col min="10252" max="10252" width="10.75" style="718" bestFit="1" customWidth="1"/>
    <col min="10253" max="10491" width="10" style="718"/>
    <col min="10492" max="10492" width="6.75" style="718" customWidth="1"/>
    <col min="10493" max="10503" width="10.5" style="718" customWidth="1"/>
    <col min="10504" max="10507" width="10" style="718"/>
    <col min="10508" max="10508" width="10.75" style="718" bestFit="1" customWidth="1"/>
    <col min="10509" max="10747" width="10" style="718"/>
    <col min="10748" max="10748" width="6.75" style="718" customWidth="1"/>
    <col min="10749" max="10759" width="10.5" style="718" customWidth="1"/>
    <col min="10760" max="10763" width="10" style="718"/>
    <col min="10764" max="10764" width="10.75" style="718" bestFit="1" customWidth="1"/>
    <col min="10765" max="11003" width="10" style="718"/>
    <col min="11004" max="11004" width="6.75" style="718" customWidth="1"/>
    <col min="11005" max="11015" width="10.5" style="718" customWidth="1"/>
    <col min="11016" max="11019" width="10" style="718"/>
    <col min="11020" max="11020" width="10.75" style="718" bestFit="1" customWidth="1"/>
    <col min="11021" max="11259" width="10" style="718"/>
    <col min="11260" max="11260" width="6.75" style="718" customWidth="1"/>
    <col min="11261" max="11271" width="10.5" style="718" customWidth="1"/>
    <col min="11272" max="11275" width="10" style="718"/>
    <col min="11276" max="11276" width="10.75" style="718" bestFit="1" customWidth="1"/>
    <col min="11277" max="11515" width="10" style="718"/>
    <col min="11516" max="11516" width="6.75" style="718" customWidth="1"/>
    <col min="11517" max="11527" width="10.5" style="718" customWidth="1"/>
    <col min="11528" max="11531" width="10" style="718"/>
    <col min="11532" max="11532" width="10.75" style="718" bestFit="1" customWidth="1"/>
    <col min="11533" max="11771" width="10" style="718"/>
    <col min="11772" max="11772" width="6.75" style="718" customWidth="1"/>
    <col min="11773" max="11783" width="10.5" style="718" customWidth="1"/>
    <col min="11784" max="11787" width="10" style="718"/>
    <col min="11788" max="11788" width="10.75" style="718" bestFit="1" customWidth="1"/>
    <col min="11789" max="12027" width="10" style="718"/>
    <col min="12028" max="12028" width="6.75" style="718" customWidth="1"/>
    <col min="12029" max="12039" width="10.5" style="718" customWidth="1"/>
    <col min="12040" max="12043" width="10" style="718"/>
    <col min="12044" max="12044" width="10.75" style="718" bestFit="1" customWidth="1"/>
    <col min="12045" max="12283" width="10" style="718"/>
    <col min="12284" max="12284" width="6.75" style="718" customWidth="1"/>
    <col min="12285" max="12295" width="10.5" style="718" customWidth="1"/>
    <col min="12296" max="12299" width="10" style="718"/>
    <col min="12300" max="12300" width="10.75" style="718" bestFit="1" customWidth="1"/>
    <col min="12301" max="12539" width="10" style="718"/>
    <col min="12540" max="12540" width="6.75" style="718" customWidth="1"/>
    <col min="12541" max="12551" width="10.5" style="718" customWidth="1"/>
    <col min="12552" max="12555" width="10" style="718"/>
    <col min="12556" max="12556" width="10.75" style="718" bestFit="1" customWidth="1"/>
    <col min="12557" max="12795" width="10" style="718"/>
    <col min="12796" max="12796" width="6.75" style="718" customWidth="1"/>
    <col min="12797" max="12807" width="10.5" style="718" customWidth="1"/>
    <col min="12808" max="12811" width="10" style="718"/>
    <col min="12812" max="12812" width="10.75" style="718" bestFit="1" customWidth="1"/>
    <col min="12813" max="13051" width="10" style="718"/>
    <col min="13052" max="13052" width="6.75" style="718" customWidth="1"/>
    <col min="13053" max="13063" width="10.5" style="718" customWidth="1"/>
    <col min="13064" max="13067" width="10" style="718"/>
    <col min="13068" max="13068" width="10.75" style="718" bestFit="1" customWidth="1"/>
    <col min="13069" max="13307" width="10" style="718"/>
    <col min="13308" max="13308" width="6.75" style="718" customWidth="1"/>
    <col min="13309" max="13319" width="10.5" style="718" customWidth="1"/>
    <col min="13320" max="13323" width="10" style="718"/>
    <col min="13324" max="13324" width="10.75" style="718" bestFit="1" customWidth="1"/>
    <col min="13325" max="13563" width="10" style="718"/>
    <col min="13564" max="13564" width="6.75" style="718" customWidth="1"/>
    <col min="13565" max="13575" width="10.5" style="718" customWidth="1"/>
    <col min="13576" max="13579" width="10" style="718"/>
    <col min="13580" max="13580" width="10.75" style="718" bestFit="1" customWidth="1"/>
    <col min="13581" max="13819" width="10" style="718"/>
    <col min="13820" max="13820" width="6.75" style="718" customWidth="1"/>
    <col min="13821" max="13831" width="10.5" style="718" customWidth="1"/>
    <col min="13832" max="13835" width="10" style="718"/>
    <col min="13836" max="13836" width="10.75" style="718" bestFit="1" customWidth="1"/>
    <col min="13837" max="14075" width="10" style="718"/>
    <col min="14076" max="14076" width="6.75" style="718" customWidth="1"/>
    <col min="14077" max="14087" width="10.5" style="718" customWidth="1"/>
    <col min="14088" max="14091" width="10" style="718"/>
    <col min="14092" max="14092" width="10.75" style="718" bestFit="1" customWidth="1"/>
    <col min="14093" max="14331" width="10" style="718"/>
    <col min="14332" max="14332" width="6.75" style="718" customWidth="1"/>
    <col min="14333" max="14343" width="10.5" style="718" customWidth="1"/>
    <col min="14344" max="14347" width="10" style="718"/>
    <col min="14348" max="14348" width="10.75" style="718" bestFit="1" customWidth="1"/>
    <col min="14349" max="14587" width="10" style="718"/>
    <col min="14588" max="14588" width="6.75" style="718" customWidth="1"/>
    <col min="14589" max="14599" width="10.5" style="718" customWidth="1"/>
    <col min="14600" max="14603" width="10" style="718"/>
    <col min="14604" max="14604" width="10.75" style="718" bestFit="1" customWidth="1"/>
    <col min="14605" max="14843" width="10" style="718"/>
    <col min="14844" max="14844" width="6.75" style="718" customWidth="1"/>
    <col min="14845" max="14855" width="10.5" style="718" customWidth="1"/>
    <col min="14856" max="14859" width="10" style="718"/>
    <col min="14860" max="14860" width="10.75" style="718" bestFit="1" customWidth="1"/>
    <col min="14861" max="15099" width="10" style="718"/>
    <col min="15100" max="15100" width="6.75" style="718" customWidth="1"/>
    <col min="15101" max="15111" width="10.5" style="718" customWidth="1"/>
    <col min="15112" max="15115" width="10" style="718"/>
    <col min="15116" max="15116" width="10.75" style="718" bestFit="1" customWidth="1"/>
    <col min="15117" max="15355" width="10" style="718"/>
    <col min="15356" max="15356" width="6.75" style="718" customWidth="1"/>
    <col min="15357" max="15367" width="10.5" style="718" customWidth="1"/>
    <col min="15368" max="15371" width="10" style="718"/>
    <col min="15372" max="15372" width="10.75" style="718" bestFit="1" customWidth="1"/>
    <col min="15373" max="15611" width="10" style="718"/>
    <col min="15612" max="15612" width="6.75" style="718" customWidth="1"/>
    <col min="15613" max="15623" width="10.5" style="718" customWidth="1"/>
    <col min="15624" max="15627" width="10" style="718"/>
    <col min="15628" max="15628" width="10.75" style="718" bestFit="1" customWidth="1"/>
    <col min="15629" max="15867" width="10" style="718"/>
    <col min="15868" max="15868" width="6.75" style="718" customWidth="1"/>
    <col min="15869" max="15879" width="10.5" style="718" customWidth="1"/>
    <col min="15880" max="15883" width="10" style="718"/>
    <col min="15884" max="15884" width="10.75" style="718" bestFit="1" customWidth="1"/>
    <col min="15885" max="16123" width="10" style="718"/>
    <col min="16124" max="16124" width="6.75" style="718" customWidth="1"/>
    <col min="16125" max="16135" width="10.5" style="718" customWidth="1"/>
    <col min="16136" max="16139" width="10" style="718"/>
    <col min="16140" max="16140" width="10.75" style="718" bestFit="1" customWidth="1"/>
    <col min="16141" max="16384" width="10" style="718"/>
  </cols>
  <sheetData>
    <row r="1" spans="1:34" ht="15" customHeight="1" x14ac:dyDescent="0.2">
      <c r="A1" s="80" t="s">
        <v>903</v>
      </c>
    </row>
    <row r="2" spans="1:34" s="717" customFormat="1" ht="15" customHeight="1" x14ac:dyDescent="0.2">
      <c r="A2" s="793" t="s">
        <v>2</v>
      </c>
      <c r="B2" s="793" t="str">
        <f>Orçamento_Deson!C6</f>
        <v>PARQUE ESTORIL - ETAPAS 03 E 04</v>
      </c>
      <c r="N2" s="718"/>
      <c r="O2" s="718"/>
      <c r="P2" s="718"/>
      <c r="Q2" s="718"/>
      <c r="R2" s="718"/>
      <c r="S2" s="718"/>
      <c r="T2" s="718"/>
      <c r="U2" s="718"/>
      <c r="V2" s="3"/>
      <c r="W2" s="3"/>
      <c r="X2" s="3"/>
      <c r="Y2" s="3"/>
      <c r="Z2" s="3"/>
      <c r="AA2" s="3"/>
      <c r="AB2" s="3"/>
      <c r="AC2" s="3"/>
      <c r="AD2" s="719"/>
    </row>
    <row r="3" spans="1:34" s="717" customFormat="1" ht="15" customHeight="1" x14ac:dyDescent="0.2">
      <c r="A3" s="793" t="s">
        <v>773</v>
      </c>
      <c r="B3" s="793" t="s">
        <v>836</v>
      </c>
      <c r="E3" s="720"/>
      <c r="F3" s="716"/>
      <c r="N3" s="718"/>
      <c r="O3" s="718"/>
      <c r="P3" s="718"/>
      <c r="Q3" s="718"/>
      <c r="R3" s="718"/>
      <c r="S3" s="718"/>
      <c r="T3" s="718"/>
      <c r="U3" s="718"/>
      <c r="V3" s="3"/>
      <c r="W3" s="3"/>
      <c r="X3" s="3"/>
      <c r="Y3" s="3"/>
      <c r="Z3" s="3"/>
      <c r="AA3" s="3"/>
      <c r="AB3" s="3"/>
      <c r="AC3" s="3"/>
      <c r="AD3" s="721"/>
    </row>
    <row r="4" spans="1:34" s="717" customFormat="1" ht="15" customHeight="1" x14ac:dyDescent="0.2">
      <c r="A4" s="793" t="s">
        <v>774</v>
      </c>
      <c r="B4" s="2193" t="str">
        <f>Dren_Dados!B4</f>
        <v>Junho/2023</v>
      </c>
      <c r="E4" s="720"/>
      <c r="F4" s="716"/>
      <c r="N4" s="718"/>
      <c r="O4" s="718"/>
      <c r="P4" s="718"/>
      <c r="Q4" s="718"/>
      <c r="R4" s="718"/>
      <c r="S4" s="718"/>
      <c r="T4" s="718"/>
      <c r="U4" s="718"/>
      <c r="V4" s="3"/>
      <c r="W4" s="3"/>
      <c r="X4" s="3"/>
      <c r="Y4" s="3"/>
      <c r="Z4" s="3"/>
      <c r="AA4" s="3"/>
      <c r="AB4" s="3"/>
      <c r="AC4" s="3"/>
      <c r="AD4" s="722"/>
    </row>
    <row r="5" spans="1:34" s="717" customFormat="1" ht="15" customHeight="1" x14ac:dyDescent="0.2">
      <c r="O5" s="718"/>
      <c r="P5" s="718"/>
      <c r="Q5" s="718"/>
      <c r="R5" s="718"/>
      <c r="S5" s="718"/>
      <c r="T5" s="718"/>
      <c r="U5" s="718"/>
      <c r="V5" s="3"/>
      <c r="W5" s="3"/>
      <c r="X5" s="3"/>
      <c r="Y5" s="3"/>
      <c r="Z5" s="3"/>
      <c r="AA5" s="3"/>
      <c r="AB5" s="3"/>
      <c r="AC5" s="3"/>
      <c r="AD5" s="722"/>
    </row>
    <row r="6" spans="1:34" s="717" customFormat="1" ht="15" customHeight="1" x14ac:dyDescent="0.2">
      <c r="A6" s="748" t="s">
        <v>775</v>
      </c>
      <c r="B6" s="748" t="s">
        <v>776</v>
      </c>
      <c r="C6" s="748"/>
      <c r="D6" s="749"/>
      <c r="E6" s="749"/>
      <c r="F6" s="749"/>
      <c r="G6" s="749"/>
      <c r="H6" s="749"/>
      <c r="I6" s="749"/>
      <c r="J6" s="749"/>
      <c r="K6" s="749"/>
      <c r="L6" s="749"/>
      <c r="O6" s="718"/>
      <c r="P6" s="718"/>
      <c r="Q6" s="718"/>
      <c r="R6" s="718"/>
      <c r="S6"/>
      <c r="T6"/>
      <c r="U6" s="718"/>
      <c r="V6" s="3"/>
      <c r="W6" s="3"/>
      <c r="X6" s="3"/>
      <c r="Y6" s="3"/>
      <c r="Z6" s="3"/>
      <c r="AA6" s="3"/>
      <c r="AB6" s="3"/>
      <c r="AC6" s="3"/>
      <c r="AD6" s="724"/>
    </row>
    <row r="7" spans="1:34" s="717" customFormat="1" ht="15" customHeight="1" thickBot="1" x14ac:dyDescent="0.25">
      <c r="O7" s="718"/>
      <c r="P7" s="718"/>
      <c r="Q7" s="718"/>
      <c r="R7" s="718"/>
      <c r="S7" s="727"/>
      <c r="T7" s="727"/>
      <c r="U7" s="718"/>
      <c r="V7" s="3"/>
      <c r="W7" s="3"/>
      <c r="X7" s="3"/>
      <c r="Y7" s="3"/>
      <c r="Z7" s="3"/>
      <c r="AA7" s="3"/>
      <c r="AB7" s="3"/>
      <c r="AC7" s="3"/>
      <c r="AD7" s="728"/>
      <c r="AE7" s="3"/>
      <c r="AF7" s="3"/>
      <c r="AG7" s="3"/>
      <c r="AH7" s="3"/>
    </row>
    <row r="8" spans="1:34" s="717" customFormat="1" ht="15" customHeight="1" thickTop="1" x14ac:dyDescent="0.2">
      <c r="B8" s="3265" t="s">
        <v>819</v>
      </c>
      <c r="C8" s="3266"/>
      <c r="D8" s="3266"/>
      <c r="E8" s="3267"/>
      <c r="F8" s="768" t="s">
        <v>107</v>
      </c>
      <c r="G8" s="769">
        <f>Dren_Dim!AJ3</f>
        <v>1146.93</v>
      </c>
      <c r="H8" s="768" t="s">
        <v>106</v>
      </c>
      <c r="I8" s="770">
        <f>Dren_Dim!AL3</f>
        <v>12</v>
      </c>
      <c r="O8" s="718"/>
      <c r="P8" s="718"/>
      <c r="Q8" s="718"/>
      <c r="R8" s="718"/>
      <c r="S8" s="727"/>
      <c r="T8" s="727"/>
      <c r="U8" s="718"/>
      <c r="V8" s="3"/>
      <c r="W8" s="3"/>
      <c r="X8" s="3"/>
      <c r="Y8" s="3"/>
      <c r="Z8" s="3"/>
      <c r="AA8" s="3"/>
      <c r="AB8" s="3"/>
      <c r="AC8" s="3"/>
      <c r="AD8" s="728"/>
      <c r="AE8" s="3"/>
      <c r="AF8" s="3"/>
      <c r="AG8" s="3"/>
      <c r="AH8" s="3"/>
    </row>
    <row r="9" spans="1:34" s="717" customFormat="1" ht="15" customHeight="1" x14ac:dyDescent="0.2">
      <c r="B9" s="3268" t="s">
        <v>354</v>
      </c>
      <c r="C9" s="3269"/>
      <c r="D9" s="3269"/>
      <c r="E9" s="3270"/>
      <c r="F9" s="771" t="s">
        <v>105</v>
      </c>
      <c r="G9" s="772">
        <f>Dren_Dim!AJ4</f>
        <v>0.18</v>
      </c>
      <c r="H9" s="771" t="s">
        <v>104</v>
      </c>
      <c r="I9" s="772">
        <f>Dren_Dim!AL4</f>
        <v>0.79</v>
      </c>
      <c r="O9" s="718"/>
      <c r="P9" s="718"/>
      <c r="Q9" s="718"/>
      <c r="R9" s="718"/>
      <c r="S9" s="727"/>
      <c r="T9" s="727"/>
      <c r="U9" s="718"/>
      <c r="V9" s="3"/>
      <c r="W9" s="3"/>
      <c r="X9" s="3"/>
      <c r="Y9" s="3"/>
      <c r="Z9" s="3"/>
      <c r="AA9" s="3"/>
      <c r="AB9" s="3"/>
      <c r="AC9" s="3"/>
      <c r="AD9" s="728"/>
      <c r="AE9" s="3"/>
      <c r="AF9" s="3"/>
      <c r="AG9" s="3"/>
      <c r="AH9" s="3"/>
    </row>
    <row r="10" spans="1:34" s="717" customFormat="1" ht="15" customHeight="1" thickBot="1" x14ac:dyDescent="0.25">
      <c r="B10" s="3271"/>
      <c r="C10" s="3272"/>
      <c r="D10" s="3272"/>
      <c r="E10" s="3273"/>
      <c r="F10" s="771" t="s">
        <v>103</v>
      </c>
      <c r="G10" s="773">
        <f>Dren_Dim!AJ5</f>
        <v>5</v>
      </c>
      <c r="H10" s="774" t="s">
        <v>820</v>
      </c>
      <c r="I10" s="2224">
        <f>Dren_Dim!AL5</f>
        <v>0</v>
      </c>
      <c r="O10" s="718"/>
      <c r="P10" s="718"/>
      <c r="Q10" s="718"/>
      <c r="R10" s="718"/>
      <c r="S10" s="727"/>
      <c r="T10" s="727"/>
      <c r="U10" s="718"/>
      <c r="V10" s="3"/>
      <c r="W10" s="3"/>
      <c r="X10" s="3"/>
      <c r="Y10" s="3"/>
      <c r="Z10" s="3"/>
      <c r="AA10" s="3"/>
      <c r="AB10" s="3"/>
      <c r="AC10" s="3"/>
      <c r="AD10" s="728"/>
      <c r="AE10" s="3"/>
      <c r="AF10" s="3"/>
      <c r="AG10" s="3"/>
      <c r="AH10" s="3"/>
    </row>
    <row r="11" spans="1:34" s="717" customFormat="1" ht="15" customHeight="1" thickTop="1" x14ac:dyDescent="0.2">
      <c r="O11" s="718"/>
      <c r="P11" s="718"/>
      <c r="Q11" s="718"/>
      <c r="R11" s="718"/>
      <c r="S11" s="727"/>
      <c r="T11" s="727"/>
      <c r="U11" s="718"/>
      <c r="V11" s="3"/>
      <c r="W11" s="3"/>
      <c r="X11" s="3"/>
      <c r="Y11" s="3"/>
      <c r="Z11" s="3"/>
      <c r="AA11" s="3"/>
      <c r="AB11" s="3"/>
      <c r="AC11" s="3"/>
      <c r="AD11" s="728"/>
      <c r="AE11" s="3"/>
      <c r="AF11" s="3"/>
      <c r="AG11" s="3"/>
      <c r="AH11" s="3"/>
    </row>
    <row r="12" spans="1:34" s="717" customFormat="1" ht="15" customHeight="1" thickBot="1" x14ac:dyDescent="0.25">
      <c r="A12" s="717" t="s">
        <v>777</v>
      </c>
      <c r="B12" s="717" t="s">
        <v>825</v>
      </c>
      <c r="O12" s="718"/>
      <c r="P12" s="718"/>
      <c r="Q12" s="718"/>
      <c r="R12" s="718"/>
      <c r="S12" s="727"/>
      <c r="T12" s="727"/>
      <c r="U12" s="718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s="717" customFormat="1" ht="13.5" customHeight="1" thickTop="1" x14ac:dyDescent="0.2">
      <c r="A13" s="729"/>
      <c r="B13" s="3274" t="s">
        <v>821</v>
      </c>
      <c r="C13" s="3277" t="s">
        <v>823</v>
      </c>
      <c r="D13" s="3277" t="s">
        <v>811</v>
      </c>
      <c r="E13" s="3277" t="s">
        <v>824</v>
      </c>
      <c r="F13" s="3277" t="s">
        <v>2640</v>
      </c>
      <c r="G13" s="3277" t="s">
        <v>2643</v>
      </c>
      <c r="H13" s="3277" t="s">
        <v>2642</v>
      </c>
      <c r="I13" s="3277" t="s">
        <v>2641</v>
      </c>
      <c r="J13" s="3277" t="s">
        <v>2678</v>
      </c>
      <c r="K13" s="3283" t="s">
        <v>2679</v>
      </c>
      <c r="O13" s="718"/>
      <c r="P13" s="718"/>
      <c r="Q13" s="718"/>
      <c r="R13" s="718"/>
      <c r="S13" s="38"/>
      <c r="T13" s="38"/>
      <c r="U13" s="718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s="717" customFormat="1" ht="12.75" x14ac:dyDescent="0.2">
      <c r="B14" s="3275"/>
      <c r="C14" s="3278"/>
      <c r="D14" s="3278"/>
      <c r="E14" s="3278"/>
      <c r="F14" s="3278"/>
      <c r="G14" s="3278"/>
      <c r="H14" s="3278"/>
      <c r="I14" s="3278"/>
      <c r="J14" s="3278"/>
      <c r="K14" s="3284"/>
      <c r="O14" s="718"/>
      <c r="P14" s="718"/>
      <c r="Q14" s="718"/>
      <c r="R14" s="718"/>
      <c r="S14" s="37"/>
      <c r="T14" s="730"/>
      <c r="U14" s="718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s="717" customFormat="1" ht="13.5" thickBot="1" x14ac:dyDescent="0.25">
      <c r="A15" s="729"/>
      <c r="B15" s="3276"/>
      <c r="C15" s="3279"/>
      <c r="D15" s="3279"/>
      <c r="E15" s="3279"/>
      <c r="F15" s="3279"/>
      <c r="G15" s="3279"/>
      <c r="H15" s="3279"/>
      <c r="I15" s="3279"/>
      <c r="J15" s="3279"/>
      <c r="K15" s="3285"/>
      <c r="M15" s="724"/>
      <c r="O15" s="718"/>
      <c r="P15" s="718"/>
      <c r="Q15" s="718"/>
      <c r="R15" s="718"/>
      <c r="S15" s="37"/>
      <c r="T15" s="731"/>
      <c r="U15" s="718"/>
    </row>
    <row r="16" spans="1:34" s="717" customFormat="1" ht="15" customHeight="1" thickTop="1" x14ac:dyDescent="0.2">
      <c r="B16" s="762">
        <v>15</v>
      </c>
      <c r="C16" s="758">
        <f>IF(B16=0,0,VLOOKUP(B16,Dren_Dim!A:W,17,"falso"))</f>
        <v>27.826799999999999</v>
      </c>
      <c r="D16" s="758">
        <f>IF(B16=0,0,VLOOKUP(B16,Dren_Dim!A:W,23,"falso")/1000)</f>
        <v>2.5147207549560724</v>
      </c>
      <c r="E16" s="756">
        <f>IF(B16=0,0,VLOOKUP(B16,Dren_Dim!A:AL,38,"falso"))</f>
        <v>17.95410176599049</v>
      </c>
      <c r="F16" s="756">
        <f t="shared" ref="F16:F22" si="0">IF(B16=0,0,+$E$23-E16)</f>
        <v>0</v>
      </c>
      <c r="G16" s="756">
        <f>IF(B16=0,0,VLOOKUP(B16,Dren_Dim!A:AL,6,"falso"))</f>
        <v>427.411</v>
      </c>
      <c r="H16" s="756">
        <f>IF(B16=0,"",VLOOKUP(B16,Dren_Dim!A:AL,7,"falso"))</f>
        <v>425.0072899999999</v>
      </c>
      <c r="I16" s="756">
        <f>IF(B16=0,0,VLOOKUP(B16,Dren_Dim!A:AL,8,"falso"))</f>
        <v>2.4037100000001033</v>
      </c>
      <c r="J16" s="758">
        <f>IF(B16=0,0,VLOOKUP(B16,Dren_Dim!A:AL,35,0))</f>
        <v>0.62726034471843595</v>
      </c>
      <c r="K16" s="756">
        <f>IF(B16=0,0,J16+H16)</f>
        <v>425.63455034471832</v>
      </c>
      <c r="M16" s="728"/>
      <c r="O16" s="718"/>
      <c r="P16" s="718"/>
      <c r="Q16" s="718"/>
      <c r="R16" s="718"/>
      <c r="S16" s="733"/>
      <c r="T16" s="734"/>
      <c r="U16" s="718"/>
    </row>
    <row r="17" spans="1:34" s="717" customFormat="1" ht="15" customHeight="1" x14ac:dyDescent="0.2">
      <c r="A17" s="723"/>
      <c r="B17" s="757"/>
      <c r="C17" s="758">
        <f>IF(B17=0,0,VLOOKUP(B17,Dren_Dim!A:W,17,"falso"))</f>
        <v>0</v>
      </c>
      <c r="D17" s="758">
        <f>IF(B17=0,0,VLOOKUP(B17,Dren_Dim!A:W,23,"falso")/1000)</f>
        <v>0</v>
      </c>
      <c r="E17" s="756">
        <f>IF(B17=0,0,VLOOKUP(B17,Dren_Dim!A:AL,38,"falso"))</f>
        <v>0</v>
      </c>
      <c r="F17" s="756">
        <f t="shared" si="0"/>
        <v>0</v>
      </c>
      <c r="G17" s="756">
        <f>IF(B17=0,0,VLOOKUP(B17,Dren_Dim!A:AL,6,"falso"))</f>
        <v>0</v>
      </c>
      <c r="H17" s="756" t="str">
        <f>IF(B17=0,"",VLOOKUP(B17,Dren_Dim!A:AL,7,"falso"))</f>
        <v/>
      </c>
      <c r="I17" s="756">
        <f>IF(B17=0,0,VLOOKUP(B17,Dren_Dim!A:AL,8,"falso"))</f>
        <v>0</v>
      </c>
      <c r="J17" s="758">
        <f>IF(B17=0,0,VLOOKUP(B17,Dren_Dim!A:AL,35,0))</f>
        <v>0</v>
      </c>
      <c r="K17" s="756">
        <f t="shared" ref="K17:K22" si="1">IF(B17=0,0,J17+H17)</f>
        <v>0</v>
      </c>
      <c r="O17" s="718"/>
      <c r="P17" s="718"/>
      <c r="Q17" s="718"/>
      <c r="R17" s="718"/>
      <c r="S17" s="718"/>
      <c r="T17" s="718"/>
      <c r="U17" s="718"/>
    </row>
    <row r="18" spans="1:34" s="717" customFormat="1" ht="15" customHeight="1" x14ac:dyDescent="0.2">
      <c r="A18" s="723"/>
      <c r="B18" s="757"/>
      <c r="C18" s="758">
        <f>IF(B18=0,0,VLOOKUP(B18,Dren_Dim!A:W,17,"falso"))</f>
        <v>0</v>
      </c>
      <c r="D18" s="758">
        <f>IF(B18=0,0,VLOOKUP(B18,Dren_Dim!A:W,23,"falso")/1000)</f>
        <v>0</v>
      </c>
      <c r="E18" s="756">
        <f>IF(B18=0,0,VLOOKUP(B18,Dren_Dim!A:AL,38,"falso"))</f>
        <v>0</v>
      </c>
      <c r="F18" s="756">
        <f t="shared" si="0"/>
        <v>0</v>
      </c>
      <c r="G18" s="756">
        <f>IF(B18=0,0,VLOOKUP(B18,Dren_Dim!A:AL,6,"falso"))</f>
        <v>0</v>
      </c>
      <c r="H18" s="756" t="str">
        <f>IF(B18=0,"",VLOOKUP(B18,Dren_Dim!A:AL,7,"falso"))</f>
        <v/>
      </c>
      <c r="I18" s="756">
        <f>IF(B18=0,0,VLOOKUP(B18,Dren_Dim!A:AL,8,"falso"))</f>
        <v>0</v>
      </c>
      <c r="J18" s="758">
        <f>IF(B18=0,0,VLOOKUP(B18,Dren_Dim!A:AL,35,0))</f>
        <v>0</v>
      </c>
      <c r="K18" s="756">
        <f t="shared" si="1"/>
        <v>0</v>
      </c>
      <c r="O18" s="718"/>
      <c r="P18" s="718"/>
      <c r="Q18" s="718"/>
      <c r="R18" s="718"/>
      <c r="S18" s="718"/>
      <c r="T18" s="718"/>
      <c r="U18" s="718"/>
    </row>
    <row r="19" spans="1:34" s="717" customFormat="1" ht="15" customHeight="1" x14ac:dyDescent="0.2">
      <c r="A19" s="723"/>
      <c r="B19" s="757"/>
      <c r="C19" s="758">
        <f>IF(B19=0,0,VLOOKUP(B19,Dren_Dim!A:W,17,"falso"))</f>
        <v>0</v>
      </c>
      <c r="D19" s="758">
        <f>IF(B19=0,0,VLOOKUP(B19,Dren_Dim!A:W,23,"falso")/1000)</f>
        <v>0</v>
      </c>
      <c r="E19" s="756">
        <f>IF(B19=0,0,VLOOKUP(B19,Dren_Dim!A:AL,38,"falso"))</f>
        <v>0</v>
      </c>
      <c r="F19" s="756">
        <f t="shared" si="0"/>
        <v>0</v>
      </c>
      <c r="G19" s="756">
        <f>IF(B19=0,0,VLOOKUP(B19,Dren_Dim!A:AL,6,"falso"))</f>
        <v>0</v>
      </c>
      <c r="H19" s="756" t="str">
        <f>IF(B19=0,"",VLOOKUP(B19,Dren_Dim!A:AL,7,"falso"))</f>
        <v/>
      </c>
      <c r="I19" s="756">
        <f>IF(B19=0,0,VLOOKUP(B19,Dren_Dim!A:AL,8,"falso"))</f>
        <v>0</v>
      </c>
      <c r="J19" s="758">
        <f>IF(B19=0,0,VLOOKUP(B19,Dren_Dim!A:AL,35,0))</f>
        <v>0</v>
      </c>
      <c r="K19" s="756">
        <f t="shared" si="1"/>
        <v>0</v>
      </c>
      <c r="O19" s="718"/>
      <c r="P19" s="718"/>
      <c r="Q19" s="718"/>
      <c r="R19" s="718"/>
      <c r="S19" s="718"/>
      <c r="T19" s="718"/>
      <c r="U19" s="718"/>
    </row>
    <row r="20" spans="1:34" s="717" customFormat="1" ht="15" customHeight="1" x14ac:dyDescent="0.2">
      <c r="A20" s="723"/>
      <c r="B20" s="757"/>
      <c r="C20" s="758">
        <f>IF(B20=0,0,VLOOKUP(B20,Dren_Dim!A:W,17,"falso"))</f>
        <v>0</v>
      </c>
      <c r="D20" s="758">
        <f>IF(B20=0,0,VLOOKUP(B20,Dren_Dim!A:W,23,"falso")/1000)</f>
        <v>0</v>
      </c>
      <c r="E20" s="756">
        <f>IF(B20=0,0,VLOOKUP(B20,Dren_Dim!A:AL,38,"falso"))</f>
        <v>0</v>
      </c>
      <c r="F20" s="756">
        <f t="shared" si="0"/>
        <v>0</v>
      </c>
      <c r="G20" s="756">
        <f>IF(B20=0,0,VLOOKUP(B20,Dren_Dim!A:AL,6,"falso"))</f>
        <v>0</v>
      </c>
      <c r="H20" s="756" t="str">
        <f>IF(B20=0,"",VLOOKUP(B20,Dren_Dim!A:AL,7,"falso"))</f>
        <v/>
      </c>
      <c r="I20" s="756">
        <f>IF(B20=0,0,VLOOKUP(B20,Dren_Dim!A:AL,8,"falso"))</f>
        <v>0</v>
      </c>
      <c r="J20" s="758">
        <f>IF(B20=0,0,VLOOKUP(B20,Dren_Dim!A:AL,35,0))</f>
        <v>0</v>
      </c>
      <c r="K20" s="756">
        <f t="shared" si="1"/>
        <v>0</v>
      </c>
      <c r="L20" s="2218"/>
      <c r="O20" s="718"/>
      <c r="P20" s="718"/>
      <c r="Q20" s="718"/>
      <c r="R20" s="718"/>
      <c r="S20" s="718"/>
      <c r="T20" s="718"/>
      <c r="U20" s="718"/>
    </row>
    <row r="21" spans="1:34" s="717" customFormat="1" ht="15" customHeight="1" x14ac:dyDescent="0.2">
      <c r="A21" s="723"/>
      <c r="B21" s="757"/>
      <c r="C21" s="758">
        <f>IF(B21=0,0,VLOOKUP(B21,Dren_Dim!A:W,17,"falso"))</f>
        <v>0</v>
      </c>
      <c r="D21" s="758">
        <f>IF(B21=0,0,VLOOKUP(B21,Dren_Dim!A:W,23,"falso")/1000)</f>
        <v>0</v>
      </c>
      <c r="E21" s="756">
        <f>IF(B21=0,0,VLOOKUP(B21,Dren_Dim!A:AL,38,"falso"))</f>
        <v>0</v>
      </c>
      <c r="F21" s="756">
        <f t="shared" si="0"/>
        <v>0</v>
      </c>
      <c r="G21" s="756">
        <f>IF(B21=0,0,VLOOKUP(B21,Dren_Dim!A:AL,6,"falso"))</f>
        <v>0</v>
      </c>
      <c r="H21" s="756" t="str">
        <f>IF(B21=0,"",VLOOKUP(B21,Dren_Dim!A:AL,7,"falso"))</f>
        <v/>
      </c>
      <c r="I21" s="756">
        <f>IF(B21=0,0,VLOOKUP(B21,Dren_Dim!A:AL,8,"falso"))</f>
        <v>0</v>
      </c>
      <c r="J21" s="758">
        <f>IF(B21=0,0,VLOOKUP(B21,Dren_Dim!A:AL,35,0))</f>
        <v>0</v>
      </c>
      <c r="K21" s="756">
        <f t="shared" si="1"/>
        <v>0</v>
      </c>
      <c r="O21" s="718"/>
      <c r="P21" s="718"/>
      <c r="Q21" s="718"/>
      <c r="R21" s="718"/>
      <c r="S21" s="718"/>
      <c r="T21" s="718"/>
      <c r="U21" s="718"/>
    </row>
    <row r="22" spans="1:34" s="717" customFormat="1" ht="15" customHeight="1" x14ac:dyDescent="0.2">
      <c r="A22" s="723"/>
      <c r="B22" s="757"/>
      <c r="C22" s="758">
        <f>IF(B22=0,0,VLOOKUP(B22,Dren_Dim!A:W,17,"falso"))</f>
        <v>0</v>
      </c>
      <c r="D22" s="758">
        <f>IF(B22=0,0,VLOOKUP(B22,Dren_Dim!A:W,23,"falso")/1000)</f>
        <v>0</v>
      </c>
      <c r="E22" s="756">
        <f>IF(B22=0,0,VLOOKUP(B22,Dren_Dim!A:AL,38,"falso"))</f>
        <v>0</v>
      </c>
      <c r="F22" s="756">
        <f t="shared" si="0"/>
        <v>0</v>
      </c>
      <c r="G22" s="756">
        <f>IF(B22=0,0,VLOOKUP(B22,Dren_Dim!A:AL,6,"falso"))</f>
        <v>0</v>
      </c>
      <c r="H22" s="756" t="str">
        <f>IF(B22=0,"",VLOOKUP(B22,Dren_Dim!A:AL,7,"falso"))</f>
        <v/>
      </c>
      <c r="I22" s="756">
        <f>IF(B22=0,0,VLOOKUP(B22,Dren_Dim!A:AL,8,"falso"))</f>
        <v>0</v>
      </c>
      <c r="J22" s="758">
        <f>IF(B22=0,0,VLOOKUP(B22,Dren_Dim!A:AL,35,0))</f>
        <v>0</v>
      </c>
      <c r="K22" s="756">
        <f t="shared" si="1"/>
        <v>0</v>
      </c>
      <c r="O22" s="718"/>
      <c r="P22" s="718"/>
      <c r="Q22" s="718"/>
      <c r="R22" s="718"/>
      <c r="S22" s="718"/>
      <c r="T22" s="718"/>
      <c r="U22" s="718"/>
    </row>
    <row r="23" spans="1:34" s="717" customFormat="1" ht="15" customHeight="1" x14ac:dyDescent="0.2">
      <c r="A23" s="723"/>
      <c r="B23" s="757" t="s">
        <v>822</v>
      </c>
      <c r="C23" s="758">
        <f>SUM(C16:C22)</f>
        <v>27.826799999999999</v>
      </c>
      <c r="D23" s="758">
        <f>SUM(D16:D22)</f>
        <v>2.5147207549560724</v>
      </c>
      <c r="E23" s="756">
        <f>MAX(E16:E22)</f>
        <v>17.95410176599049</v>
      </c>
      <c r="F23" s="756"/>
      <c r="G23" s="756"/>
      <c r="H23" s="756">
        <f>MIN(H16:H22)</f>
        <v>425.0072899999999</v>
      </c>
      <c r="I23" s="3286" t="s">
        <v>2680</v>
      </c>
      <c r="J23" s="3286"/>
      <c r="K23" s="3286"/>
      <c r="L23" s="3286"/>
      <c r="O23" s="718"/>
      <c r="P23" s="718"/>
      <c r="Q23" s="718"/>
      <c r="R23" s="718"/>
      <c r="S23" s="718"/>
      <c r="T23" s="718"/>
      <c r="U23" s="718"/>
    </row>
    <row r="24" spans="1:34" s="717" customFormat="1" ht="15" customHeight="1" x14ac:dyDescent="0.2">
      <c r="A24" s="723"/>
      <c r="B24" s="2286"/>
      <c r="C24" s="2286"/>
      <c r="D24" s="2286"/>
      <c r="E24" s="2286"/>
      <c r="F24" s="2286"/>
      <c r="G24" s="2287"/>
      <c r="H24" s="757" t="s">
        <v>2681</v>
      </c>
      <c r="I24" s="756" t="s">
        <v>2682</v>
      </c>
      <c r="J24" s="756" t="s">
        <v>2683</v>
      </c>
      <c r="K24" s="756" t="s">
        <v>79</v>
      </c>
      <c r="L24" s="757" t="s">
        <v>795</v>
      </c>
      <c r="O24" s="718"/>
      <c r="P24" s="718"/>
      <c r="Q24" s="718"/>
      <c r="R24" s="718"/>
      <c r="S24" s="718"/>
      <c r="T24" s="718"/>
      <c r="U24" s="718"/>
    </row>
    <row r="25" spans="1:34" s="717" customFormat="1" ht="15" customHeight="1" x14ac:dyDescent="0.2">
      <c r="A25" s="723"/>
      <c r="E25" s="2286"/>
      <c r="F25" s="2286"/>
      <c r="G25" s="2287"/>
      <c r="H25" s="756"/>
      <c r="I25" s="756"/>
      <c r="J25" s="756"/>
      <c r="K25" s="756"/>
      <c r="L25" s="2324"/>
      <c r="N25" s="718"/>
      <c r="O25" s="735"/>
      <c r="P25" s="718"/>
      <c r="Q25" s="718"/>
      <c r="R25" s="718"/>
      <c r="S25" s="718"/>
      <c r="T25" s="718"/>
      <c r="U25" s="718"/>
    </row>
    <row r="26" spans="1:34" s="717" customFormat="1" ht="15" customHeight="1" x14ac:dyDescent="0.2">
      <c r="A26" s="723"/>
      <c r="B26" s="757" t="s">
        <v>2639</v>
      </c>
      <c r="C26" s="758">
        <f>C23</f>
        <v>27.826799999999999</v>
      </c>
      <c r="D26" s="758">
        <f>$D23*+(100-L26)/100</f>
        <v>1.5088324529737007E-3</v>
      </c>
      <c r="E26" s="758">
        <f>E23*(1+LOG(1/(+(100-L26)/100)))</f>
        <v>75.799502091231474</v>
      </c>
      <c r="F26" s="758"/>
      <c r="G26" s="2287" t="s">
        <v>2684</v>
      </c>
      <c r="H26" s="2295">
        <v>571.16999999999996</v>
      </c>
      <c r="I26" s="758" t="e">
        <f>_xlfn.XLOOKUP(L26,C38:L38,C37:L37)</f>
        <v>#N/A</v>
      </c>
      <c r="J26" s="758" t="e">
        <f>_xlfn.XLOOKUP(L26,C38:L38,C42:L42)</f>
        <v>#N/A</v>
      </c>
      <c r="K26" s="758" t="e">
        <f>H26+J26</f>
        <v>#N/A</v>
      </c>
      <c r="L26" s="2324">
        <v>99.94</v>
      </c>
      <c r="N26" s="718"/>
      <c r="O26" s="735"/>
      <c r="P26" s="718"/>
      <c r="Q26" s="718"/>
      <c r="R26" s="718"/>
      <c r="S26" s="718"/>
      <c r="T26" s="718"/>
      <c r="U26" s="718"/>
    </row>
    <row r="27" spans="1:34" s="717" customFormat="1" ht="15" customHeight="1" x14ac:dyDescent="0.2">
      <c r="A27" s="723"/>
      <c r="B27" s="723"/>
      <c r="C27" s="723"/>
      <c r="D27" s="723"/>
      <c r="E27" s="723"/>
      <c r="F27" s="723"/>
      <c r="G27" s="2288"/>
      <c r="I27" s="2290"/>
      <c r="N27" s="718"/>
      <c r="O27" s="735"/>
      <c r="P27" s="718"/>
      <c r="Q27" s="718"/>
      <c r="R27" s="718"/>
      <c r="S27" s="718"/>
      <c r="T27" s="718"/>
      <c r="U27" s="718"/>
    </row>
    <row r="28" spans="1:34" s="717" customFormat="1" ht="15" customHeight="1" x14ac:dyDescent="0.2">
      <c r="A28" s="723"/>
      <c r="B28" s="723"/>
      <c r="C28" s="723"/>
      <c r="D28" s="723"/>
      <c r="E28" s="723"/>
      <c r="F28" s="723"/>
      <c r="G28" s="723"/>
      <c r="H28" s="3287"/>
      <c r="I28" s="3287"/>
      <c r="J28" s="2325"/>
      <c r="N28" s="718"/>
      <c r="O28" s="735"/>
      <c r="P28" s="718"/>
      <c r="Q28" s="718"/>
      <c r="R28" s="718"/>
      <c r="S28" s="718"/>
      <c r="T28" s="718"/>
      <c r="U28" s="718"/>
    </row>
    <row r="29" spans="1:34" s="717" customFormat="1" ht="15" customHeight="1" x14ac:dyDescent="0.2">
      <c r="A29" s="748" t="s">
        <v>778</v>
      </c>
      <c r="B29" s="748" t="s">
        <v>779</v>
      </c>
      <c r="C29" s="748"/>
      <c r="D29" s="749"/>
      <c r="E29" s="749"/>
      <c r="F29" s="749"/>
      <c r="G29" s="749"/>
      <c r="H29" s="749"/>
      <c r="I29" s="749"/>
      <c r="J29" s="749"/>
      <c r="K29" s="749"/>
      <c r="L29" s="749"/>
      <c r="O29" s="723"/>
      <c r="P29" s="723"/>
      <c r="Q29" s="723"/>
      <c r="R29"/>
      <c r="S29"/>
      <c r="T29"/>
      <c r="U29" s="718"/>
      <c r="V29" s="3"/>
      <c r="W29" s="3"/>
      <c r="X29" s="3"/>
      <c r="Y29" s="3"/>
      <c r="Z29" s="3"/>
      <c r="AA29" s="3"/>
      <c r="AB29" s="3"/>
      <c r="AC29" s="3"/>
      <c r="AD29" s="724"/>
    </row>
    <row r="30" spans="1:34" s="717" customFormat="1" ht="15" customHeight="1" x14ac:dyDescent="0.2">
      <c r="O30" s="723"/>
      <c r="P30" s="726"/>
      <c r="Q30" s="726"/>
      <c r="R30" s="727"/>
      <c r="S30" s="727"/>
      <c r="T30" s="727"/>
      <c r="U30" s="718"/>
      <c r="V30" s="3"/>
      <c r="W30" s="3"/>
      <c r="X30" s="3"/>
      <c r="Y30" s="3"/>
      <c r="Z30" s="3"/>
      <c r="AA30" s="3"/>
      <c r="AB30" s="3"/>
      <c r="AC30" s="3"/>
      <c r="AD30" s="728"/>
      <c r="AE30" s="3"/>
      <c r="AF30" s="3"/>
      <c r="AG30" s="3"/>
      <c r="AH30" s="3"/>
    </row>
    <row r="31" spans="1:34" s="717" customFormat="1" ht="15" customHeight="1" x14ac:dyDescent="0.2">
      <c r="A31" s="717" t="s">
        <v>780</v>
      </c>
      <c r="B31" s="717" t="s">
        <v>781</v>
      </c>
      <c r="D31" s="736" t="s">
        <v>782</v>
      </c>
      <c r="F31" s="725" t="s">
        <v>853</v>
      </c>
      <c r="J31" s="725"/>
      <c r="K31" s="737"/>
      <c r="N31" s="718"/>
      <c r="O31" s="718"/>
      <c r="P31" s="718"/>
      <c r="Q31" s="718"/>
      <c r="R31" s="718"/>
      <c r="S31" s="718"/>
      <c r="T31" s="718"/>
      <c r="U31" s="718"/>
    </row>
    <row r="32" spans="1:34" s="717" customFormat="1" ht="15" customHeight="1" x14ac:dyDescent="0.2">
      <c r="D32" s="736"/>
      <c r="F32" s="725"/>
      <c r="J32" s="3288"/>
      <c r="K32" s="3288"/>
      <c r="L32" s="3288"/>
      <c r="N32" s="718"/>
      <c r="O32" s="718"/>
      <c r="P32" s="718"/>
      <c r="Q32" s="718"/>
      <c r="R32" s="718"/>
      <c r="S32" s="718"/>
      <c r="T32" s="718"/>
      <c r="U32" s="718"/>
    </row>
    <row r="33" spans="1:21" s="717" customFormat="1" ht="15" customHeight="1" x14ac:dyDescent="0.2">
      <c r="A33" s="717" t="s">
        <v>783</v>
      </c>
      <c r="B33" s="717" t="s">
        <v>852</v>
      </c>
      <c r="E33" s="725" t="s">
        <v>827</v>
      </c>
      <c r="F33" s="753">
        <v>35</v>
      </c>
      <c r="G33" s="725" t="s">
        <v>826</v>
      </c>
      <c r="H33" s="753">
        <v>35</v>
      </c>
      <c r="I33" s="725" t="s">
        <v>828</v>
      </c>
      <c r="J33" s="754">
        <f>H33*F33</f>
        <v>1225</v>
      </c>
      <c r="K33" s="737"/>
      <c r="L33" s="2326"/>
      <c r="N33" s="718"/>
      <c r="O33" s="718"/>
      <c r="P33" s="718"/>
      <c r="Q33" s="718"/>
      <c r="R33" s="718"/>
      <c r="S33" s="718"/>
      <c r="T33" s="718"/>
      <c r="U33" s="718"/>
    </row>
    <row r="34" spans="1:21" s="717" customFormat="1" ht="15" customHeight="1" x14ac:dyDescent="0.2">
      <c r="E34" s="736"/>
      <c r="J34" s="725"/>
      <c r="K34" s="737"/>
      <c r="N34" s="718"/>
      <c r="O34" s="718"/>
      <c r="P34" s="718"/>
      <c r="Q34" s="718"/>
      <c r="R34" s="718"/>
      <c r="S34" s="718"/>
      <c r="T34" s="718"/>
      <c r="U34" s="718"/>
    </row>
    <row r="35" spans="1:21" ht="15" customHeight="1" thickBot="1" x14ac:dyDescent="0.25">
      <c r="A35" s="717" t="s">
        <v>783</v>
      </c>
      <c r="B35" s="717" t="s">
        <v>2685</v>
      </c>
      <c r="C35" s="738"/>
    </row>
    <row r="36" spans="1:21" s="717" customFormat="1" ht="15" customHeight="1" thickTop="1" thickBot="1" x14ac:dyDescent="0.25">
      <c r="B36" s="765" t="s">
        <v>835</v>
      </c>
      <c r="C36" s="766" t="s">
        <v>785</v>
      </c>
      <c r="D36" s="766" t="s">
        <v>786</v>
      </c>
      <c r="E36" s="766" t="s">
        <v>787</v>
      </c>
      <c r="F36" s="766" t="s">
        <v>788</v>
      </c>
      <c r="G36" s="766" t="s">
        <v>789</v>
      </c>
      <c r="H36" s="766" t="s">
        <v>368</v>
      </c>
      <c r="I36" s="766" t="s">
        <v>790</v>
      </c>
      <c r="J36" s="766" t="s">
        <v>791</v>
      </c>
      <c r="K36" s="766" t="s">
        <v>792</v>
      </c>
      <c r="L36" s="767" t="s">
        <v>793</v>
      </c>
      <c r="N36" s="718"/>
      <c r="O36" s="718"/>
      <c r="P36" s="718"/>
      <c r="Q36" s="718"/>
      <c r="R36" s="718"/>
      <c r="S36" s="718"/>
      <c r="T36" s="718"/>
      <c r="U36" s="718"/>
    </row>
    <row r="37" spans="1:21" ht="15" customHeight="1" thickTop="1" x14ac:dyDescent="0.2">
      <c r="B37" s="2338" t="s">
        <v>794</v>
      </c>
      <c r="C37" s="764">
        <f>D23</f>
        <v>2.5147207549560724</v>
      </c>
      <c r="D37" s="764">
        <f t="shared" ref="D37:L37" si="2">$C37*D39</f>
        <v>2.2632486794604652</v>
      </c>
      <c r="E37" s="764">
        <f t="shared" si="2"/>
        <v>2.0885509974039889</v>
      </c>
      <c r="F37" s="764">
        <f t="shared" si="2"/>
        <v>1.7603045284692505</v>
      </c>
      <c r="G37" s="764">
        <f t="shared" si="2"/>
        <v>1.5088324529736434</v>
      </c>
      <c r="H37" s="764">
        <f t="shared" si="2"/>
        <v>1.2573603774780362</v>
      </c>
      <c r="I37" s="764">
        <f t="shared" si="2"/>
        <v>1.005888301982429</v>
      </c>
      <c r="J37" s="764">
        <f t="shared" si="2"/>
        <v>0.75441622648682172</v>
      </c>
      <c r="K37" s="764">
        <f t="shared" si="2"/>
        <v>0.50294415099121448</v>
      </c>
      <c r="L37" s="2341">
        <f t="shared" si="2"/>
        <v>0.55136545160063999</v>
      </c>
    </row>
    <row r="38" spans="1:21" ht="15" customHeight="1" x14ac:dyDescent="0.2">
      <c r="B38" s="2339" t="s">
        <v>795</v>
      </c>
      <c r="C38" s="760">
        <v>0</v>
      </c>
      <c r="D38" s="760">
        <v>10</v>
      </c>
      <c r="E38" s="760">
        <v>16.947001241079278</v>
      </c>
      <c r="F38" s="760">
        <v>30</v>
      </c>
      <c r="G38" s="760">
        <v>40</v>
      </c>
      <c r="H38" s="760">
        <v>50</v>
      </c>
      <c r="I38" s="760">
        <v>60</v>
      </c>
      <c r="J38" s="760">
        <v>70</v>
      </c>
      <c r="K38" s="760">
        <v>80</v>
      </c>
      <c r="L38" s="2342">
        <v>78.074485983622807</v>
      </c>
    </row>
    <row r="39" spans="1:21" ht="15" customHeight="1" x14ac:dyDescent="0.2">
      <c r="B39" s="2339" t="s">
        <v>796</v>
      </c>
      <c r="C39" s="760">
        <f t="shared" ref="C39:L39" si="3">(100-C38)/100</f>
        <v>1</v>
      </c>
      <c r="D39" s="760">
        <f t="shared" si="3"/>
        <v>0.9</v>
      </c>
      <c r="E39" s="760">
        <f t="shared" si="3"/>
        <v>0.83052998758920726</v>
      </c>
      <c r="F39" s="760">
        <f t="shared" si="3"/>
        <v>0.7</v>
      </c>
      <c r="G39" s="760">
        <f t="shared" si="3"/>
        <v>0.6</v>
      </c>
      <c r="H39" s="760">
        <f t="shared" si="3"/>
        <v>0.5</v>
      </c>
      <c r="I39" s="760">
        <f t="shared" si="3"/>
        <v>0.4</v>
      </c>
      <c r="J39" s="760">
        <f t="shared" si="3"/>
        <v>0.3</v>
      </c>
      <c r="K39" s="760">
        <f t="shared" si="3"/>
        <v>0.2</v>
      </c>
      <c r="L39" s="2342">
        <f t="shared" si="3"/>
        <v>0.21925514016377193</v>
      </c>
    </row>
    <row r="40" spans="1:21" ht="15" customHeight="1" x14ac:dyDescent="0.2">
      <c r="B40" s="2339" t="s">
        <v>797</v>
      </c>
      <c r="C40" s="760">
        <f t="shared" ref="C40:L40" si="4">LOG(1/C39)</f>
        <v>0</v>
      </c>
      <c r="D40" s="760">
        <f t="shared" si="4"/>
        <v>4.5757490560675143E-2</v>
      </c>
      <c r="E40" s="760">
        <f t="shared" si="4"/>
        <v>8.0644682045338686E-2</v>
      </c>
      <c r="F40" s="760">
        <f t="shared" si="4"/>
        <v>0.15490195998574319</v>
      </c>
      <c r="G40" s="760">
        <f t="shared" si="4"/>
        <v>0.22184874961635639</v>
      </c>
      <c r="H40" s="760">
        <f t="shared" si="4"/>
        <v>0.3010299956639812</v>
      </c>
      <c r="I40" s="760">
        <f t="shared" si="4"/>
        <v>0.3979400086720376</v>
      </c>
      <c r="J40" s="760">
        <f t="shared" si="4"/>
        <v>0.52287874528033762</v>
      </c>
      <c r="K40" s="760">
        <f t="shared" si="4"/>
        <v>0.69897000433601886</v>
      </c>
      <c r="L40" s="2342">
        <f t="shared" si="4"/>
        <v>0.65905021634917504</v>
      </c>
    </row>
    <row r="41" spans="1:21" ht="15" customHeight="1" x14ac:dyDescent="0.2">
      <c r="B41" s="2339" t="s">
        <v>798</v>
      </c>
      <c r="C41" s="760">
        <f t="shared" ref="C41:L41" si="5">$C37*$E$23*60*C40</f>
        <v>0</v>
      </c>
      <c r="D41" s="760">
        <f t="shared" si="5"/>
        <v>123.95581292164808</v>
      </c>
      <c r="E41" s="760">
        <f t="shared" si="5"/>
        <v>218.46427761335474</v>
      </c>
      <c r="F41" s="760">
        <f t="shared" si="5"/>
        <v>419.6252490666763</v>
      </c>
      <c r="G41" s="760">
        <f t="shared" si="5"/>
        <v>600.98230404226229</v>
      </c>
      <c r="H41" s="760">
        <f t="shared" si="5"/>
        <v>815.48217284445457</v>
      </c>
      <c r="I41" s="760">
        <f t="shared" si="5"/>
        <v>1078.0087951628764</v>
      </c>
      <c r="J41" s="760">
        <f t="shared" si="5"/>
        <v>1416.464476886717</v>
      </c>
      <c r="K41" s="760">
        <f t="shared" si="5"/>
        <v>1893.490968007331</v>
      </c>
      <c r="L41" s="2342">
        <f t="shared" si="5"/>
        <v>1785.3493345624736</v>
      </c>
    </row>
    <row r="42" spans="1:21" ht="15" customHeight="1" x14ac:dyDescent="0.2">
      <c r="B42" s="2339" t="s">
        <v>829</v>
      </c>
      <c r="C42" s="760">
        <f t="shared" ref="C42:L42" si="6">C41/$J$33</f>
        <v>0</v>
      </c>
      <c r="D42" s="760">
        <f t="shared" si="6"/>
        <v>0.10118841871154945</v>
      </c>
      <c r="E42" s="760">
        <f t="shared" si="6"/>
        <v>0.1783381858068202</v>
      </c>
      <c r="F42" s="760">
        <f t="shared" si="6"/>
        <v>0.34255122372789903</v>
      </c>
      <c r="G42" s="760">
        <f t="shared" si="6"/>
        <v>0.49059779921817331</v>
      </c>
      <c r="H42" s="760">
        <f t="shared" si="6"/>
        <v>0.66569973293424867</v>
      </c>
      <c r="I42" s="760">
        <f t="shared" si="6"/>
        <v>0.88000717972479703</v>
      </c>
      <c r="J42" s="760">
        <f t="shared" si="6"/>
        <v>1.156297532152422</v>
      </c>
      <c r="K42" s="760">
        <f t="shared" si="6"/>
        <v>1.5457069126590457</v>
      </c>
      <c r="L42" s="2342">
        <f t="shared" si="6"/>
        <v>1.4574280282142642</v>
      </c>
    </row>
    <row r="43" spans="1:21" ht="29.25" customHeight="1" x14ac:dyDescent="0.2">
      <c r="B43" s="2340" t="s">
        <v>799</v>
      </c>
      <c r="C43" s="760">
        <f t="shared" ref="C43:L43" si="7">C41/$D$23/60</f>
        <v>0</v>
      </c>
      <c r="D43" s="760">
        <f t="shared" si="7"/>
        <v>0.82153464208271076</v>
      </c>
      <c r="E43" s="760">
        <f t="shared" si="7"/>
        <v>1.4479028283279569</v>
      </c>
      <c r="F43" s="760">
        <f t="shared" si="7"/>
        <v>2.78112555333542</v>
      </c>
      <c r="G43" s="760">
        <f t="shared" si="7"/>
        <v>3.983095027269806</v>
      </c>
      <c r="H43" s="760">
        <f t="shared" si="7"/>
        <v>5.4047231767667947</v>
      </c>
      <c r="I43" s="760">
        <f t="shared" si="7"/>
        <v>7.1446554124569008</v>
      </c>
      <c r="J43" s="760">
        <f t="shared" si="7"/>
        <v>9.3878182040366003</v>
      </c>
      <c r="K43" s="760">
        <f t="shared" si="7"/>
        <v>12.549378589223696</v>
      </c>
      <c r="L43" s="2342">
        <f t="shared" si="7"/>
        <v>11.83265465323114</v>
      </c>
    </row>
    <row r="44" spans="1:21" ht="12.75" x14ac:dyDescent="0.2">
      <c r="B44" s="2291"/>
      <c r="C44" s="2289"/>
      <c r="D44" s="2289"/>
      <c r="E44" s="2289"/>
      <c r="F44" s="2289"/>
      <c r="G44" s="2289"/>
      <c r="H44" s="2289"/>
      <c r="I44" s="2289"/>
      <c r="J44" s="2289"/>
      <c r="K44" s="2289"/>
      <c r="L44" s="2289"/>
      <c r="P44" s="718">
        <v>572.07799999999997</v>
      </c>
      <c r="Q44" s="718">
        <v>573.18200000000002</v>
      </c>
    </row>
    <row r="45" spans="1:21" ht="15" hidden="1" customHeight="1" x14ac:dyDescent="0.2">
      <c r="A45" s="717" t="s">
        <v>2686</v>
      </c>
      <c r="B45" s="717" t="s">
        <v>2687</v>
      </c>
      <c r="C45" s="738"/>
    </row>
    <row r="46" spans="1:21" s="717" customFormat="1" ht="15" hidden="1" customHeight="1" thickBot="1" x14ac:dyDescent="0.25">
      <c r="B46" s="765" t="s">
        <v>835</v>
      </c>
      <c r="C46" s="766" t="s">
        <v>785</v>
      </c>
      <c r="D46" s="766" t="s">
        <v>786</v>
      </c>
      <c r="E46" s="766" t="s">
        <v>787</v>
      </c>
      <c r="F46" s="766" t="s">
        <v>788</v>
      </c>
      <c r="G46" s="766" t="s">
        <v>789</v>
      </c>
      <c r="H46" s="766" t="s">
        <v>368</v>
      </c>
      <c r="I46" s="766" t="s">
        <v>790</v>
      </c>
      <c r="J46" s="766" t="s">
        <v>791</v>
      </c>
      <c r="K46" s="766" t="s">
        <v>792</v>
      </c>
      <c r="L46" s="767" t="s">
        <v>793</v>
      </c>
      <c r="N46" s="718"/>
      <c r="O46" s="718"/>
      <c r="P46" s="718"/>
      <c r="Q46" s="718"/>
      <c r="R46" s="718"/>
      <c r="S46" s="718"/>
      <c r="T46" s="718"/>
      <c r="U46" s="718"/>
    </row>
    <row r="47" spans="1:21" ht="15" hidden="1" customHeight="1" thickTop="1" thickBot="1" x14ac:dyDescent="0.25">
      <c r="B47" s="763" t="s">
        <v>794</v>
      </c>
      <c r="C47" s="764" t="e">
        <f>I26</f>
        <v>#N/A</v>
      </c>
      <c r="D47" s="764" t="e">
        <f t="shared" ref="D47:L47" si="8">$C47*D49</f>
        <v>#N/A</v>
      </c>
      <c r="E47" s="764" t="e">
        <f t="shared" si="8"/>
        <v>#N/A</v>
      </c>
      <c r="F47" s="764" t="e">
        <f t="shared" si="8"/>
        <v>#N/A</v>
      </c>
      <c r="G47" s="2327" t="e">
        <f t="shared" si="8"/>
        <v>#N/A</v>
      </c>
      <c r="H47" s="764" t="e">
        <f t="shared" si="8"/>
        <v>#N/A</v>
      </c>
      <c r="I47" s="764" t="e">
        <f t="shared" si="8"/>
        <v>#N/A</v>
      </c>
      <c r="J47" s="764" t="e">
        <f t="shared" si="8"/>
        <v>#N/A</v>
      </c>
      <c r="K47" s="764" t="e">
        <f t="shared" si="8"/>
        <v>#N/A</v>
      </c>
      <c r="L47" s="764" t="e">
        <f t="shared" si="8"/>
        <v>#N/A</v>
      </c>
    </row>
    <row r="48" spans="1:21" ht="15" hidden="1" customHeight="1" thickTop="1" x14ac:dyDescent="0.2">
      <c r="B48" s="759" t="s">
        <v>795</v>
      </c>
      <c r="C48" s="760">
        <v>0</v>
      </c>
      <c r="D48" s="760">
        <v>10</v>
      </c>
      <c r="E48" s="760">
        <v>20</v>
      </c>
      <c r="F48" s="760">
        <v>30</v>
      </c>
      <c r="G48" s="2328">
        <v>40</v>
      </c>
      <c r="H48" s="760">
        <v>50</v>
      </c>
      <c r="I48" s="760">
        <v>60</v>
      </c>
      <c r="J48" s="760">
        <v>70</v>
      </c>
      <c r="K48" s="760">
        <v>80</v>
      </c>
      <c r="L48" s="760">
        <v>90</v>
      </c>
    </row>
    <row r="49" spans="1:53" ht="15" hidden="1" customHeight="1" x14ac:dyDescent="0.2">
      <c r="B49" s="759" t="s">
        <v>796</v>
      </c>
      <c r="C49" s="760">
        <f t="shared" ref="C49:L49" si="9">(100-C48)/100</f>
        <v>1</v>
      </c>
      <c r="D49" s="760">
        <f t="shared" si="9"/>
        <v>0.9</v>
      </c>
      <c r="E49" s="760">
        <f t="shared" si="9"/>
        <v>0.8</v>
      </c>
      <c r="F49" s="760">
        <f t="shared" si="9"/>
        <v>0.7</v>
      </c>
      <c r="G49" s="2328">
        <f t="shared" si="9"/>
        <v>0.6</v>
      </c>
      <c r="H49" s="760">
        <f t="shared" si="9"/>
        <v>0.5</v>
      </c>
      <c r="I49" s="760">
        <f t="shared" si="9"/>
        <v>0.4</v>
      </c>
      <c r="J49" s="760">
        <f t="shared" si="9"/>
        <v>0.3</v>
      </c>
      <c r="K49" s="760">
        <f t="shared" si="9"/>
        <v>0.2</v>
      </c>
      <c r="L49" s="760">
        <f t="shared" si="9"/>
        <v>0.1</v>
      </c>
    </row>
    <row r="50" spans="1:53" ht="15" hidden="1" customHeight="1" x14ac:dyDescent="0.2">
      <c r="B50" s="759" t="s">
        <v>797</v>
      </c>
      <c r="C50" s="760">
        <f t="shared" ref="C50:L50" si="10">LOG(1/C49)</f>
        <v>0</v>
      </c>
      <c r="D50" s="760">
        <f t="shared" si="10"/>
        <v>4.5757490560675143E-2</v>
      </c>
      <c r="E50" s="760">
        <f t="shared" si="10"/>
        <v>9.691001300805642E-2</v>
      </c>
      <c r="F50" s="760">
        <f t="shared" si="10"/>
        <v>0.15490195998574319</v>
      </c>
      <c r="G50" s="2328">
        <f t="shared" si="10"/>
        <v>0.22184874961635639</v>
      </c>
      <c r="H50" s="760">
        <f t="shared" si="10"/>
        <v>0.3010299956639812</v>
      </c>
      <c r="I50" s="760">
        <f t="shared" si="10"/>
        <v>0.3979400086720376</v>
      </c>
      <c r="J50" s="760">
        <f t="shared" si="10"/>
        <v>0.52287874528033762</v>
      </c>
      <c r="K50" s="760">
        <f t="shared" si="10"/>
        <v>0.69897000433601886</v>
      </c>
      <c r="L50" s="760">
        <f t="shared" si="10"/>
        <v>1</v>
      </c>
    </row>
    <row r="51" spans="1:53" ht="15" hidden="1" customHeight="1" x14ac:dyDescent="0.2">
      <c r="B51" s="759" t="s">
        <v>798</v>
      </c>
      <c r="C51" s="760" t="e">
        <f t="shared" ref="C51:L51" si="11">$C47*$E$23*60*C50</f>
        <v>#N/A</v>
      </c>
      <c r="D51" s="760" t="e">
        <f t="shared" si="11"/>
        <v>#N/A</v>
      </c>
      <c r="E51" s="760" t="e">
        <f t="shared" si="11"/>
        <v>#N/A</v>
      </c>
      <c r="F51" s="760" t="e">
        <f t="shared" si="11"/>
        <v>#N/A</v>
      </c>
      <c r="G51" s="2328" t="e">
        <f t="shared" si="11"/>
        <v>#N/A</v>
      </c>
      <c r="H51" s="760" t="e">
        <f t="shared" si="11"/>
        <v>#N/A</v>
      </c>
      <c r="I51" s="760" t="e">
        <f t="shared" si="11"/>
        <v>#N/A</v>
      </c>
      <c r="J51" s="760" t="e">
        <f t="shared" si="11"/>
        <v>#N/A</v>
      </c>
      <c r="K51" s="760" t="e">
        <f t="shared" si="11"/>
        <v>#N/A</v>
      </c>
      <c r="L51" s="760" t="e">
        <f t="shared" si="11"/>
        <v>#N/A</v>
      </c>
    </row>
    <row r="52" spans="1:53" ht="15" hidden="1" customHeight="1" x14ac:dyDescent="0.2">
      <c r="B52" s="759" t="s">
        <v>829</v>
      </c>
      <c r="C52" s="760" t="e">
        <f t="shared" ref="C52:L52" si="12">C51/$J$33</f>
        <v>#N/A</v>
      </c>
      <c r="D52" s="760" t="e">
        <f t="shared" si="12"/>
        <v>#N/A</v>
      </c>
      <c r="E52" s="760" t="e">
        <f t="shared" si="12"/>
        <v>#N/A</v>
      </c>
      <c r="F52" s="760" t="e">
        <f t="shared" si="12"/>
        <v>#N/A</v>
      </c>
      <c r="G52" s="2328" t="e">
        <f t="shared" si="12"/>
        <v>#N/A</v>
      </c>
      <c r="H52" s="760" t="e">
        <f t="shared" si="12"/>
        <v>#N/A</v>
      </c>
      <c r="I52" s="760" t="e">
        <f t="shared" si="12"/>
        <v>#N/A</v>
      </c>
      <c r="J52" s="760" t="e">
        <f t="shared" si="12"/>
        <v>#N/A</v>
      </c>
      <c r="K52" s="760" t="e">
        <f t="shared" si="12"/>
        <v>#N/A</v>
      </c>
      <c r="L52" s="760" t="e">
        <f t="shared" si="12"/>
        <v>#N/A</v>
      </c>
    </row>
    <row r="53" spans="1:53" ht="29.25" hidden="1" customHeight="1" x14ac:dyDescent="0.2">
      <c r="B53" s="761" t="s">
        <v>799</v>
      </c>
      <c r="C53" s="760" t="e">
        <f t="shared" ref="C53:L53" si="13">C51/$D$23/60</f>
        <v>#N/A</v>
      </c>
      <c r="D53" s="760" t="e">
        <f t="shared" si="13"/>
        <v>#N/A</v>
      </c>
      <c r="E53" s="760" t="e">
        <f t="shared" si="13"/>
        <v>#N/A</v>
      </c>
      <c r="F53" s="760" t="e">
        <f t="shared" si="13"/>
        <v>#N/A</v>
      </c>
      <c r="G53" s="2328" t="e">
        <f t="shared" si="13"/>
        <v>#N/A</v>
      </c>
      <c r="H53" s="760" t="e">
        <f t="shared" si="13"/>
        <v>#N/A</v>
      </c>
      <c r="I53" s="760" t="e">
        <f t="shared" si="13"/>
        <v>#N/A</v>
      </c>
      <c r="J53" s="760" t="e">
        <f t="shared" si="13"/>
        <v>#N/A</v>
      </c>
      <c r="K53" s="760" t="e">
        <f t="shared" si="13"/>
        <v>#N/A</v>
      </c>
      <c r="L53" s="760" t="e">
        <f t="shared" si="13"/>
        <v>#N/A</v>
      </c>
    </row>
    <row r="54" spans="1:53" ht="15" customHeight="1" x14ac:dyDescent="0.2">
      <c r="F54" s="718" t="s">
        <v>800</v>
      </c>
      <c r="N54" s="732"/>
      <c r="O54" s="732"/>
      <c r="P54" s="718">
        <f>+P44-1.9</f>
        <v>570.178</v>
      </c>
      <c r="Q54" s="718">
        <f>+Q44-2.5</f>
        <v>570.68200000000002</v>
      </c>
    </row>
    <row r="55" spans="1:53" s="717" customFormat="1" ht="15" customHeight="1" x14ac:dyDescent="0.2">
      <c r="A55" s="748" t="s">
        <v>801</v>
      </c>
      <c r="B55" s="748" t="s">
        <v>802</v>
      </c>
      <c r="C55" s="748"/>
      <c r="D55" s="749"/>
      <c r="E55" s="749"/>
      <c r="F55" s="749"/>
      <c r="G55" s="749"/>
      <c r="H55" s="749"/>
      <c r="I55" s="749"/>
      <c r="J55" s="749"/>
      <c r="K55" s="749"/>
      <c r="L55" s="749"/>
      <c r="O55" s="723"/>
      <c r="P55" s="723"/>
      <c r="Q55" s="723"/>
      <c r="R55"/>
      <c r="S55"/>
      <c r="T55"/>
      <c r="U55" s="718"/>
      <c r="V55" s="3"/>
      <c r="W55" s="3"/>
      <c r="X55" s="3"/>
      <c r="Y55" s="3"/>
      <c r="Z55" s="3"/>
      <c r="AA55" s="3"/>
      <c r="AB55" s="3"/>
      <c r="AC55" s="3"/>
      <c r="AD55" s="724"/>
    </row>
    <row r="56" spans="1:53" s="740" customFormat="1" ht="15" customHeight="1" thickBot="1" x14ac:dyDescent="0.25">
      <c r="D56" s="718"/>
      <c r="E56" s="718"/>
      <c r="F56" s="718"/>
      <c r="G56" s="718"/>
      <c r="H56" s="718"/>
      <c r="I56" s="718"/>
      <c r="J56" s="718"/>
      <c r="K56" s="726"/>
      <c r="L56" s="718"/>
      <c r="M56" s="718"/>
      <c r="N56" s="718"/>
      <c r="O56" s="718"/>
      <c r="P56" s="718"/>
      <c r="Q56" s="718"/>
      <c r="R56" s="718"/>
    </row>
    <row r="57" spans="1:53" s="740" customFormat="1" ht="15" customHeight="1" thickTop="1" x14ac:dyDescent="0.2">
      <c r="B57" s="775" t="s">
        <v>803</v>
      </c>
      <c r="C57" s="2211"/>
      <c r="D57" s="2211"/>
      <c r="E57" s="2211"/>
      <c r="F57" s="2329"/>
      <c r="G57" s="2211"/>
      <c r="H57" s="2330"/>
      <c r="I57" s="718"/>
      <c r="J57" s="718"/>
      <c r="K57" s="718"/>
      <c r="L57" s="786" t="s">
        <v>840</v>
      </c>
      <c r="M57" s="718"/>
      <c r="N57" s="718"/>
      <c r="O57" s="718"/>
      <c r="P57" s="718"/>
      <c r="Q57" s="718"/>
      <c r="R57" s="718"/>
    </row>
    <row r="58" spans="1:53" ht="29.25" customHeight="1" thickBot="1" x14ac:dyDescent="0.25">
      <c r="B58" s="787" t="s">
        <v>843</v>
      </c>
      <c r="C58" s="777" t="s">
        <v>805</v>
      </c>
      <c r="D58" s="777" t="s">
        <v>806</v>
      </c>
      <c r="E58" s="777" t="s">
        <v>807</v>
      </c>
      <c r="F58" s="777" t="s">
        <v>808</v>
      </c>
      <c r="G58" s="778" t="s">
        <v>809</v>
      </c>
      <c r="H58" s="779" t="s">
        <v>810</v>
      </c>
      <c r="K58" s="785" t="s">
        <v>847</v>
      </c>
      <c r="AP58" s="740"/>
      <c r="AQ58" s="740"/>
      <c r="AR58" s="740"/>
      <c r="AS58" s="740"/>
      <c r="AT58" s="740"/>
      <c r="AU58" s="740"/>
      <c r="AV58" s="740"/>
      <c r="AW58" s="740"/>
      <c r="AX58" s="740"/>
      <c r="AY58" s="740"/>
      <c r="AZ58" s="740"/>
      <c r="BA58" s="740"/>
    </row>
    <row r="59" spans="1:53" ht="15" customHeight="1" thickTop="1" x14ac:dyDescent="0.2">
      <c r="B59" s="2203"/>
      <c r="C59" s="2209"/>
      <c r="D59" s="2209"/>
      <c r="E59" s="2209"/>
      <c r="F59" s="2209"/>
      <c r="G59" s="2203">
        <f>SUM(C59:F59)</f>
        <v>0</v>
      </c>
      <c r="H59" s="2203">
        <f>1.71*G59*B59^1.5</f>
        <v>0</v>
      </c>
      <c r="J59" s="732"/>
      <c r="AP59" s="740"/>
      <c r="AQ59" s="740"/>
      <c r="AR59" s="740"/>
      <c r="AS59" s="740"/>
      <c r="AT59" s="740"/>
      <c r="AU59" s="740"/>
      <c r="AV59" s="740"/>
      <c r="AW59" s="740"/>
      <c r="AX59" s="740"/>
      <c r="AY59" s="740"/>
      <c r="AZ59" s="740"/>
      <c r="BA59" s="740"/>
    </row>
    <row r="60" spans="1:53" ht="15" customHeight="1" x14ac:dyDescent="0.2">
      <c r="A60" s="739"/>
      <c r="B60" s="742"/>
      <c r="C60" s="742"/>
      <c r="D60" s="742"/>
      <c r="E60" s="742"/>
      <c r="F60" s="742"/>
      <c r="AP60" s="740"/>
      <c r="AQ60" s="740"/>
      <c r="AR60" s="740"/>
      <c r="AS60" s="740"/>
      <c r="AT60" s="740"/>
      <c r="AU60" s="740"/>
      <c r="AV60" s="740"/>
      <c r="AW60" s="740"/>
      <c r="AX60" s="740"/>
      <c r="AY60" s="740"/>
      <c r="AZ60" s="740"/>
      <c r="BA60" s="740"/>
    </row>
    <row r="61" spans="1:53" ht="15" customHeight="1" thickBot="1" x14ac:dyDescent="0.25">
      <c r="A61" s="739"/>
      <c r="B61" s="742"/>
      <c r="C61" s="742"/>
      <c r="D61" s="742"/>
      <c r="E61" s="742"/>
      <c r="F61" s="742"/>
      <c r="AP61" s="740"/>
      <c r="AQ61" s="740"/>
      <c r="AR61" s="740"/>
      <c r="AS61" s="740"/>
      <c r="AT61" s="740"/>
      <c r="AU61" s="740"/>
      <c r="AV61" s="740"/>
      <c r="AW61" s="740"/>
      <c r="AX61" s="740"/>
      <c r="AY61" s="740"/>
      <c r="AZ61" s="740"/>
      <c r="BA61" s="740"/>
    </row>
    <row r="62" spans="1:53" ht="15" customHeight="1" thickTop="1" x14ac:dyDescent="0.2">
      <c r="A62" s="739"/>
      <c r="B62" s="775" t="s">
        <v>842</v>
      </c>
      <c r="C62" s="2211"/>
      <c r="D62" s="2211"/>
      <c r="E62" s="2211"/>
      <c r="F62" s="2329"/>
      <c r="G62" s="2211"/>
      <c r="H62" s="2330"/>
      <c r="L62" s="786" t="s">
        <v>840</v>
      </c>
      <c r="AP62" s="740"/>
      <c r="AQ62" s="740"/>
      <c r="AR62" s="740"/>
      <c r="AS62" s="740"/>
      <c r="AT62" s="740"/>
      <c r="AU62" s="740"/>
      <c r="AV62" s="740"/>
      <c r="AW62" s="740"/>
      <c r="AX62" s="740"/>
      <c r="AY62" s="740"/>
      <c r="AZ62" s="740"/>
      <c r="BA62" s="740"/>
    </row>
    <row r="63" spans="1:53" ht="29.25" customHeight="1" thickBot="1" x14ac:dyDescent="0.25">
      <c r="A63" s="739"/>
      <c r="B63" s="787" t="s">
        <v>843</v>
      </c>
      <c r="C63" s="777" t="s">
        <v>805</v>
      </c>
      <c r="D63" s="777" t="s">
        <v>806</v>
      </c>
      <c r="E63" s="777" t="s">
        <v>807</v>
      </c>
      <c r="F63" s="777" t="s">
        <v>808</v>
      </c>
      <c r="G63" s="778" t="s">
        <v>809</v>
      </c>
      <c r="H63" s="779" t="s">
        <v>810</v>
      </c>
      <c r="K63" s="785" t="s">
        <v>841</v>
      </c>
      <c r="O63" s="755"/>
      <c r="AP63" s="740"/>
      <c r="AQ63" s="740"/>
      <c r="AR63" s="740"/>
      <c r="AS63" s="740"/>
      <c r="AT63" s="740"/>
      <c r="AU63" s="740"/>
      <c r="AV63" s="740"/>
      <c r="AW63" s="740"/>
      <c r="AX63" s="740"/>
      <c r="AY63" s="740"/>
      <c r="AZ63" s="740"/>
      <c r="BA63" s="740"/>
    </row>
    <row r="64" spans="1:53" ht="15" customHeight="1" thickTop="1" x14ac:dyDescent="0.2">
      <c r="A64" s="739"/>
      <c r="B64" s="2203"/>
      <c r="C64" s="2209"/>
      <c r="D64" s="2209"/>
      <c r="E64" s="2209"/>
      <c r="F64" s="2209"/>
      <c r="G64" s="2203">
        <f>SUM(C64:F64)</f>
        <v>0</v>
      </c>
      <c r="H64" s="788">
        <f>1.55*G64*B64^1.42</f>
        <v>0</v>
      </c>
      <c r="AP64" s="740"/>
      <c r="AQ64" s="740"/>
      <c r="AR64" s="740"/>
      <c r="AS64" s="740"/>
      <c r="AT64" s="740"/>
      <c r="AU64" s="740"/>
      <c r="AV64" s="740"/>
      <c r="AW64" s="740"/>
      <c r="AX64" s="740"/>
      <c r="AY64" s="740"/>
      <c r="AZ64" s="740"/>
      <c r="BA64" s="740"/>
    </row>
    <row r="65" spans="1:53" ht="15" customHeight="1" x14ac:dyDescent="0.2">
      <c r="A65" s="739"/>
      <c r="B65" s="742"/>
      <c r="C65" s="742"/>
      <c r="D65" s="742"/>
      <c r="E65" s="742"/>
      <c r="F65" s="742"/>
      <c r="AP65" s="740"/>
      <c r="AQ65" s="740"/>
      <c r="AR65" s="740"/>
      <c r="AS65" s="740"/>
      <c r="AT65" s="740"/>
      <c r="AU65" s="740"/>
      <c r="AV65" s="740"/>
      <c r="AW65" s="740"/>
      <c r="AX65" s="740"/>
      <c r="AY65" s="740"/>
      <c r="AZ65" s="740"/>
      <c r="BA65" s="740"/>
    </row>
    <row r="66" spans="1:53" ht="15" customHeight="1" thickBot="1" x14ac:dyDescent="0.25">
      <c r="A66" s="739"/>
      <c r="B66" s="742"/>
      <c r="C66" s="742"/>
      <c r="D66" s="742"/>
      <c r="E66" s="742"/>
      <c r="F66" s="742"/>
      <c r="AP66" s="740"/>
      <c r="AQ66" s="740"/>
      <c r="AR66" s="740"/>
      <c r="AS66" s="740"/>
      <c r="AT66" s="740"/>
      <c r="AU66" s="740"/>
      <c r="AV66" s="740"/>
      <c r="AW66" s="740"/>
      <c r="AX66" s="740"/>
      <c r="AY66" s="740"/>
      <c r="AZ66" s="740"/>
      <c r="BA66" s="740"/>
    </row>
    <row r="67" spans="1:53" ht="15" customHeight="1" thickTop="1" x14ac:dyDescent="0.2">
      <c r="A67" s="739"/>
      <c r="B67" s="3289" t="s">
        <v>830</v>
      </c>
      <c r="C67" s="3290"/>
      <c r="D67" s="3290"/>
      <c r="E67" s="3290"/>
      <c r="F67" s="3290"/>
      <c r="G67" s="3290"/>
      <c r="H67" s="3291"/>
      <c r="I67" s="3"/>
      <c r="L67" s="786" t="s">
        <v>844</v>
      </c>
      <c r="AP67" s="740"/>
      <c r="AQ67" s="740"/>
      <c r="AR67" s="740"/>
      <c r="AS67" s="740"/>
      <c r="AT67" s="740"/>
      <c r="AU67" s="740"/>
      <c r="AV67" s="740"/>
      <c r="AW67" s="740"/>
      <c r="AX67" s="740"/>
      <c r="AY67" s="740"/>
      <c r="AZ67" s="740"/>
      <c r="BA67" s="740"/>
    </row>
    <row r="68" spans="1:53" ht="38.25" customHeight="1" thickBot="1" x14ac:dyDescent="0.25">
      <c r="A68" s="739"/>
      <c r="B68" s="787" t="s">
        <v>843</v>
      </c>
      <c r="C68" s="777" t="s">
        <v>818</v>
      </c>
      <c r="D68" s="777" t="s">
        <v>804</v>
      </c>
      <c r="E68" s="780" t="s">
        <v>846</v>
      </c>
      <c r="F68" s="780" t="s">
        <v>837</v>
      </c>
      <c r="G68" s="780" t="s">
        <v>838</v>
      </c>
      <c r="H68" s="784" t="s">
        <v>839</v>
      </c>
      <c r="K68" s="785" t="s">
        <v>845</v>
      </c>
      <c r="AP68" s="740"/>
      <c r="AQ68" s="740"/>
      <c r="AR68" s="740"/>
      <c r="AS68" s="740"/>
      <c r="AT68" s="740"/>
      <c r="AU68" s="740"/>
      <c r="AV68" s="740"/>
      <c r="AW68" s="740"/>
      <c r="AX68" s="740"/>
      <c r="AY68" s="740"/>
      <c r="AZ68" s="740"/>
      <c r="BA68" s="740"/>
    </row>
    <row r="69" spans="1:53" ht="15" customHeight="1" thickTop="1" x14ac:dyDescent="0.2">
      <c r="A69" s="739"/>
      <c r="B69" s="2203" t="e">
        <f>I26</f>
        <v>#N/A</v>
      </c>
      <c r="C69" s="2203">
        <v>1</v>
      </c>
      <c r="D69" s="2203">
        <v>1.1270870440513192</v>
      </c>
      <c r="E69" s="2209" t="e">
        <f>B69-D69/2</f>
        <v>#N/A</v>
      </c>
      <c r="F69" s="2208">
        <v>1</v>
      </c>
      <c r="G69" s="2203" t="e">
        <f>(2.791*C69*D69*E69^0.5)*F69</f>
        <v>#N/A</v>
      </c>
      <c r="H69" s="2207" t="e">
        <f>G69</f>
        <v>#N/A</v>
      </c>
      <c r="M69" s="2225">
        <f>D26</f>
        <v>1.5088324529737007E-3</v>
      </c>
      <c r="AP69" s="740"/>
      <c r="AQ69" s="740"/>
      <c r="AR69" s="740"/>
      <c r="AS69" s="740"/>
      <c r="AT69" s="740"/>
      <c r="AU69" s="740"/>
      <c r="AV69" s="740"/>
      <c r="AW69" s="740"/>
      <c r="AX69" s="740"/>
      <c r="AY69" s="740"/>
      <c r="AZ69" s="740"/>
      <c r="BA69" s="740"/>
    </row>
    <row r="70" spans="1:53" ht="15" customHeight="1" x14ac:dyDescent="0.2">
      <c r="A70" s="739"/>
      <c r="B70" s="781"/>
      <c r="C70" s="781"/>
      <c r="D70" s="781"/>
      <c r="E70" s="782"/>
      <c r="F70" s="783"/>
      <c r="G70" s="781"/>
      <c r="H70" s="758"/>
      <c r="L70" s="732"/>
      <c r="AP70" s="740"/>
      <c r="AQ70" s="740"/>
      <c r="AR70" s="740"/>
      <c r="AS70" s="740"/>
      <c r="AT70" s="740"/>
      <c r="AU70" s="740"/>
      <c r="AV70" s="740"/>
      <c r="AW70" s="740"/>
      <c r="AX70" s="740"/>
      <c r="AY70" s="740"/>
      <c r="AZ70" s="740"/>
      <c r="BA70" s="740"/>
    </row>
    <row r="71" spans="1:53" ht="15" customHeight="1" x14ac:dyDescent="0.2">
      <c r="A71" s="739"/>
      <c r="B71" s="781"/>
      <c r="C71" s="781"/>
      <c r="D71" s="781"/>
      <c r="E71" s="782"/>
      <c r="F71" s="783"/>
      <c r="G71" s="781"/>
      <c r="H71" s="758"/>
      <c r="AP71" s="740"/>
      <c r="AQ71" s="740"/>
      <c r="AR71" s="740"/>
      <c r="AS71" s="740"/>
      <c r="AT71" s="740"/>
      <c r="AU71" s="740"/>
      <c r="AV71" s="740"/>
      <c r="AW71" s="740"/>
      <c r="AX71" s="740"/>
      <c r="AY71" s="740"/>
      <c r="AZ71" s="740"/>
      <c r="BA71" s="740"/>
    </row>
    <row r="72" spans="1:53" ht="15" customHeight="1" x14ac:dyDescent="0.2">
      <c r="A72" s="739"/>
      <c r="B72" s="781"/>
      <c r="C72" s="781"/>
      <c r="D72" s="781"/>
      <c r="E72" s="782"/>
      <c r="F72" s="783"/>
      <c r="G72" s="781"/>
      <c r="H72" s="758"/>
      <c r="AP72" s="740"/>
      <c r="AQ72" s="740"/>
      <c r="AR72" s="740"/>
      <c r="AS72" s="740"/>
      <c r="AT72" s="740"/>
      <c r="AU72" s="740"/>
      <c r="AV72" s="740"/>
      <c r="AW72" s="740"/>
      <c r="AX72" s="740"/>
      <c r="AY72" s="740"/>
      <c r="AZ72" s="740"/>
      <c r="BA72" s="740"/>
    </row>
    <row r="73" spans="1:53" ht="15" customHeight="1" x14ac:dyDescent="0.2">
      <c r="A73" s="739"/>
      <c r="B73" s="781"/>
      <c r="C73" s="781"/>
      <c r="D73" s="781"/>
      <c r="E73" s="782"/>
      <c r="F73" s="783"/>
      <c r="G73" s="781"/>
      <c r="H73" s="758"/>
      <c r="K73" s="741"/>
      <c r="AP73" s="740"/>
      <c r="AQ73" s="740"/>
      <c r="AR73" s="740"/>
      <c r="AS73" s="740"/>
      <c r="AT73" s="740"/>
      <c r="AU73" s="740"/>
      <c r="AV73" s="740"/>
      <c r="AW73" s="740"/>
      <c r="AX73" s="740"/>
      <c r="AY73" s="740"/>
      <c r="AZ73" s="740"/>
      <c r="BA73" s="740"/>
    </row>
    <row r="74" spans="1:53" ht="15" customHeight="1" x14ac:dyDescent="0.2">
      <c r="A74" s="739"/>
      <c r="B74" s="742"/>
      <c r="C74" s="742"/>
      <c r="D74" s="743"/>
      <c r="E74" s="744"/>
      <c r="F74" s="743"/>
      <c r="G74" s="742"/>
      <c r="H74" s="742"/>
      <c r="I74" s="745"/>
      <c r="AP74" s="740"/>
      <c r="AQ74" s="740"/>
      <c r="AR74" s="740"/>
      <c r="AS74" s="740"/>
      <c r="AT74" s="740"/>
      <c r="AU74" s="740"/>
      <c r="AV74" s="740"/>
      <c r="AW74" s="740"/>
      <c r="AX74" s="740"/>
      <c r="AY74" s="740"/>
      <c r="AZ74" s="740"/>
      <c r="BA74" s="740"/>
    </row>
    <row r="75" spans="1:53" ht="15" customHeight="1" x14ac:dyDescent="0.2">
      <c r="A75" s="739"/>
      <c r="B75" s="742"/>
      <c r="C75" s="742"/>
      <c r="D75" s="743"/>
      <c r="E75" s="744"/>
      <c r="F75" s="743"/>
      <c r="G75" s="742"/>
      <c r="H75" s="742"/>
      <c r="I75" s="745"/>
      <c r="AP75" s="740"/>
      <c r="AQ75" s="740"/>
      <c r="AR75" s="740"/>
      <c r="AS75" s="740"/>
      <c r="AT75" s="740"/>
      <c r="AU75" s="740"/>
      <c r="AV75" s="740"/>
      <c r="AW75" s="740"/>
      <c r="AX75" s="740"/>
      <c r="AY75" s="740"/>
      <c r="AZ75" s="740"/>
      <c r="BA75" s="740"/>
    </row>
    <row r="76" spans="1:53" s="717" customFormat="1" ht="15" customHeight="1" x14ac:dyDescent="0.2">
      <c r="A76" s="748" t="s">
        <v>831</v>
      </c>
      <c r="B76" s="748" t="s">
        <v>832</v>
      </c>
      <c r="C76" s="748"/>
      <c r="D76" s="749"/>
      <c r="E76" s="749"/>
      <c r="F76" s="749"/>
      <c r="G76" s="749"/>
      <c r="H76" s="749"/>
      <c r="I76" s="749"/>
      <c r="J76" s="749"/>
      <c r="K76" s="749"/>
      <c r="L76" s="749"/>
      <c r="O76" s="723"/>
      <c r="P76" s="723"/>
      <c r="Q76" s="723"/>
      <c r="R76"/>
      <c r="S76"/>
      <c r="T76"/>
      <c r="U76" s="718"/>
      <c r="V76" s="3"/>
      <c r="W76" s="3"/>
      <c r="X76" s="3"/>
      <c r="Y76" s="3"/>
      <c r="Z76" s="3"/>
      <c r="AA76" s="3"/>
      <c r="AB76" s="3"/>
      <c r="AC76" s="3"/>
      <c r="AD76" s="724"/>
    </row>
    <row r="77" spans="1:53" s="740" customFormat="1" ht="15" customHeight="1" x14ac:dyDescent="0.2">
      <c r="H77" s="718"/>
      <c r="I77" s="718"/>
      <c r="J77" s="718"/>
      <c r="K77" s="718"/>
      <c r="L77" s="718"/>
      <c r="M77" s="718"/>
    </row>
    <row r="78" spans="1:53" s="740" customFormat="1" ht="15" customHeight="1" thickBot="1" x14ac:dyDescent="0.25">
      <c r="B78" s="792" t="s">
        <v>848</v>
      </c>
      <c r="F78" s="752" t="s">
        <v>849</v>
      </c>
      <c r="H78" s="792" t="s">
        <v>848</v>
      </c>
      <c r="I78" s="718"/>
      <c r="J78" s="718"/>
      <c r="K78" s="718"/>
      <c r="L78" s="752" t="s">
        <v>845</v>
      </c>
      <c r="M78" s="718"/>
    </row>
    <row r="79" spans="1:53" s="3" customFormat="1" ht="15" customHeight="1" thickTop="1" x14ac:dyDescent="0.2">
      <c r="B79" s="789" t="s">
        <v>812</v>
      </c>
      <c r="C79" s="2331"/>
      <c r="D79" s="2331"/>
      <c r="E79" s="2331"/>
      <c r="F79" s="2292"/>
      <c r="G79" s="3280" t="s">
        <v>833</v>
      </c>
      <c r="H79" s="3281"/>
      <c r="I79" s="3281"/>
      <c r="J79" s="3281"/>
      <c r="K79" s="3281"/>
      <c r="L79" s="3282"/>
      <c r="AP79" s="740"/>
      <c r="AQ79" s="740"/>
      <c r="AR79" s="740"/>
      <c r="AS79" s="740"/>
      <c r="AT79" s="740"/>
      <c r="AU79" s="740"/>
      <c r="AV79" s="740"/>
      <c r="AW79" s="740"/>
      <c r="AX79" s="740"/>
      <c r="AY79" s="740"/>
      <c r="AZ79" s="740"/>
      <c r="BA79" s="740"/>
    </row>
    <row r="80" spans="1:53" s="3" customFormat="1" ht="29.25" customHeight="1" thickBot="1" x14ac:dyDescent="0.25">
      <c r="B80" s="776" t="s">
        <v>813</v>
      </c>
      <c r="C80" s="777" t="s">
        <v>814</v>
      </c>
      <c r="D80" s="780" t="s">
        <v>846</v>
      </c>
      <c r="E80" s="778" t="s">
        <v>815</v>
      </c>
      <c r="F80" s="779" t="s">
        <v>810</v>
      </c>
      <c r="G80" s="776" t="s">
        <v>813</v>
      </c>
      <c r="H80" s="777" t="s">
        <v>818</v>
      </c>
      <c r="I80" s="777" t="s">
        <v>804</v>
      </c>
      <c r="J80" s="780" t="s">
        <v>846</v>
      </c>
      <c r="K80" s="791" t="s">
        <v>815</v>
      </c>
      <c r="L80" s="779" t="s">
        <v>810</v>
      </c>
      <c r="AP80" s="740"/>
      <c r="AQ80" s="740"/>
      <c r="AR80" s="740"/>
      <c r="AS80" s="740"/>
      <c r="AT80" s="740"/>
      <c r="AU80" s="740"/>
      <c r="AV80" s="740"/>
      <c r="AW80" s="740"/>
      <c r="AX80" s="740"/>
      <c r="AY80" s="740"/>
      <c r="AZ80" s="740"/>
      <c r="BA80" s="740"/>
    </row>
    <row r="81" spans="2:13" s="740" customFormat="1" ht="15" customHeight="1" thickTop="1" x14ac:dyDescent="0.2">
      <c r="B81" s="2204">
        <v>1</v>
      </c>
      <c r="C81" s="2203">
        <v>1.5</v>
      </c>
      <c r="D81" s="2203">
        <v>1.2214189870885843</v>
      </c>
      <c r="E81" s="2203">
        <f>2.79*D81^0.5</f>
        <v>3.08344734629866</v>
      </c>
      <c r="F81" s="2201">
        <f>IF(D81=0,+B81*C81^2.5*1.533,2.192*C81^2*D81^0.5*B81)</f>
        <v>5.4507391799085996</v>
      </c>
      <c r="G81" s="790">
        <v>1</v>
      </c>
      <c r="H81" s="788">
        <v>1.5</v>
      </c>
      <c r="I81" s="788">
        <v>1.5</v>
      </c>
      <c r="J81" s="788">
        <v>0.75323311010636329</v>
      </c>
      <c r="K81" s="788">
        <f>2.79*J81^0.5</f>
        <v>2.4214131932363263</v>
      </c>
      <c r="L81" s="788">
        <f>IF(J81=0,+G81*H81*I81^1.5*1.705,2.791*H81*I81*J81^0.5*G81)</f>
        <v>5.450132437356924</v>
      </c>
      <c r="M81" s="718"/>
    </row>
    <row r="84" spans="2:13" ht="15" customHeight="1" thickBot="1" x14ac:dyDescent="0.25">
      <c r="B84" s="792" t="s">
        <v>848</v>
      </c>
      <c r="F84" s="752" t="s">
        <v>851</v>
      </c>
      <c r="H84" s="792" t="s">
        <v>848</v>
      </c>
      <c r="I84" s="740"/>
      <c r="J84" s="740"/>
      <c r="K84" s="740"/>
      <c r="L84" s="752" t="s">
        <v>850</v>
      </c>
      <c r="M84" s="740"/>
    </row>
    <row r="85" spans="2:13" ht="15" customHeight="1" thickTop="1" x14ac:dyDescent="0.2">
      <c r="B85" s="789" t="s">
        <v>816</v>
      </c>
      <c r="C85" s="2331"/>
      <c r="D85" s="2331"/>
      <c r="E85" s="2331"/>
      <c r="F85" s="2292"/>
      <c r="G85" s="3280" t="s">
        <v>834</v>
      </c>
      <c r="H85" s="3281"/>
      <c r="I85" s="3281"/>
      <c r="J85" s="3281"/>
      <c r="K85" s="3281"/>
      <c r="L85" s="3282"/>
      <c r="M85" s="3"/>
    </row>
    <row r="86" spans="2:13" ht="29.25" customHeight="1" thickBot="1" x14ac:dyDescent="0.25">
      <c r="B86" s="776" t="s">
        <v>813</v>
      </c>
      <c r="C86" s="777" t="s">
        <v>814</v>
      </c>
      <c r="D86" s="778" t="s">
        <v>817</v>
      </c>
      <c r="E86" s="778" t="s">
        <v>815</v>
      </c>
      <c r="F86" s="779" t="s">
        <v>810</v>
      </c>
      <c r="G86" s="776" t="s">
        <v>813</v>
      </c>
      <c r="H86" s="777" t="s">
        <v>818</v>
      </c>
      <c r="I86" s="777" t="s">
        <v>804</v>
      </c>
      <c r="J86" s="791" t="s">
        <v>817</v>
      </c>
      <c r="K86" s="791" t="s">
        <v>815</v>
      </c>
      <c r="L86" s="779" t="s">
        <v>810</v>
      </c>
      <c r="M86" s="3"/>
    </row>
    <row r="87" spans="2:13" ht="15" customHeight="1" thickTop="1" x14ac:dyDescent="0.2">
      <c r="B87" s="2204">
        <f>B81</f>
        <v>1</v>
      </c>
      <c r="C87" s="2203">
        <f>C81</f>
        <v>1.5</v>
      </c>
      <c r="D87" s="2203">
        <f>0.739/C87^(0.333333333333333)</f>
        <v>0.64557596344012502</v>
      </c>
      <c r="E87" s="2203">
        <f>2.56*C87^0.5</f>
        <v>3.1353468707624677</v>
      </c>
      <c r="F87" s="2203">
        <f>B87*1.533*C87^2.5</f>
        <v>4.2244512476474387</v>
      </c>
      <c r="G87" s="2202">
        <f>G81</f>
        <v>1</v>
      </c>
      <c r="H87" s="2201">
        <f>H81</f>
        <v>1.5</v>
      </c>
      <c r="I87" s="2201">
        <f>I81</f>
        <v>1.5</v>
      </c>
      <c r="J87" s="2201">
        <f>IF(H87=0,0,0.0585/I87^0.333333333333333*(3+4*I87/H87)^(1.33333333333333))</f>
        <v>0.68431516812266135</v>
      </c>
      <c r="K87" s="2201">
        <f>2.56*I87^0.5</f>
        <v>3.1353468707624677</v>
      </c>
      <c r="L87" s="2201">
        <f>G87*H87*I87^1.5*1.705</f>
        <v>4.6984275128759831</v>
      </c>
      <c r="M87" s="746"/>
    </row>
  </sheetData>
  <mergeCells count="18">
    <mergeCell ref="G79:L79"/>
    <mergeCell ref="G85:L85"/>
    <mergeCell ref="K13:K15"/>
    <mergeCell ref="I23:L23"/>
    <mergeCell ref="H28:I28"/>
    <mergeCell ref="J32:L32"/>
    <mergeCell ref="B67:H67"/>
    <mergeCell ref="F13:F15"/>
    <mergeCell ref="G13:G15"/>
    <mergeCell ref="H13:H15"/>
    <mergeCell ref="I13:I15"/>
    <mergeCell ref="J13:J15"/>
    <mergeCell ref="B8:E8"/>
    <mergeCell ref="B9:E10"/>
    <mergeCell ref="B13:B15"/>
    <mergeCell ref="C13:C15"/>
    <mergeCell ref="D13:D15"/>
    <mergeCell ref="E13:E15"/>
  </mergeCells>
  <dataValidations disablePrompts="1" count="2">
    <dataValidation allowBlank="1" showInputMessage="1" showErrorMessage="1" prompt="contribuição_x000a_extra" sqref="WVI1048572:WVI1048573 WLM1048572:WLM1048573 WBQ1048572:WBQ1048573 VRU1048572:VRU1048573 VHY1048572:VHY1048573 UYC1048572:UYC1048573 UOG1048572:UOG1048573 UEK1048572:UEK1048573 TUO1048572:TUO1048573 TKS1048572:TKS1048573 TAW1048572:TAW1048573 SRA1048572:SRA1048573 SHE1048572:SHE1048573 RXI1048572:RXI1048573 RNM1048572:RNM1048573 RDQ1048572:RDQ1048573 QTU1048572:QTU1048573 QJY1048572:QJY1048573 QAC1048572:QAC1048573 PQG1048572:PQG1048573 PGK1048572:PGK1048573 OWO1048572:OWO1048573 OMS1048572:OMS1048573 OCW1048572:OCW1048573 NTA1048572:NTA1048573 NJE1048572:NJE1048573 MZI1048572:MZI1048573 MPM1048572:MPM1048573 MFQ1048572:MFQ1048573 LVU1048572:LVU1048573 LLY1048572:LLY1048573 LCC1048572:LCC1048573 KSG1048572:KSG1048573 KIK1048572:KIK1048573 JYO1048572:JYO1048573 JOS1048572:JOS1048573 JEW1048572:JEW1048573 IVA1048572:IVA1048573 ILE1048572:ILE1048573 IBI1048572:IBI1048573 HRM1048572:HRM1048573 HHQ1048572:HHQ1048573 GXU1048572:GXU1048573 GNY1048572:GNY1048573 GEC1048572:GEC1048573 FUG1048572:FUG1048573 FKK1048572:FKK1048573 FAO1048572:FAO1048573 EQS1048572:EQS1048573 EGW1048572:EGW1048573 DXA1048572:DXA1048573 DNE1048572:DNE1048573 DDI1048572:DDI1048573 CTM1048572:CTM1048573 CJQ1048572:CJQ1048573 BZU1048572:BZU1048573 BPY1048572:BPY1048573 BGC1048572:BGC1048573 AWG1048572:AWG1048573 AMK1048572:AMK1048573 ACO1048572:ACO1048573 SS1048572:SS1048573 IW1048572:IW1048573 WVI983036:WVI983037 WLM983036:WLM983037 WBQ983036:WBQ983037 VRU983036:VRU983037 VHY983036:VHY983037 UYC983036:UYC983037 UOG983036:UOG983037 UEK983036:UEK983037 TUO983036:TUO983037 TKS983036:TKS983037 TAW983036:TAW983037 SRA983036:SRA983037 SHE983036:SHE983037 RXI983036:RXI983037 RNM983036:RNM983037 RDQ983036:RDQ983037 QTU983036:QTU983037 QJY983036:QJY983037 QAC983036:QAC983037 PQG983036:PQG983037 PGK983036:PGK983037 OWO983036:OWO983037 OMS983036:OMS983037 OCW983036:OCW983037 NTA983036:NTA983037 NJE983036:NJE983037 MZI983036:MZI983037 MPM983036:MPM983037 MFQ983036:MFQ983037 LVU983036:LVU983037 LLY983036:LLY983037 LCC983036:LCC983037 KSG983036:KSG983037 KIK983036:KIK983037 JYO983036:JYO983037 JOS983036:JOS983037 JEW983036:JEW983037 IVA983036:IVA983037 ILE983036:ILE983037 IBI983036:IBI983037 HRM983036:HRM983037 HHQ983036:HHQ983037 GXU983036:GXU983037 GNY983036:GNY983037 GEC983036:GEC983037 FUG983036:FUG983037 FKK983036:FKK983037 FAO983036:FAO983037 EQS983036:EQS983037 EGW983036:EGW983037 DXA983036:DXA983037 DNE983036:DNE983037 DDI983036:DDI983037 CTM983036:CTM983037 CJQ983036:CJQ983037 BZU983036:BZU983037 BPY983036:BPY983037 BGC983036:BGC983037 AWG983036:AWG983037 AMK983036:AMK983037 ACO983036:ACO983037 SS983036:SS983037 IW983036:IW983037 WVI917500:WVI917501 WLM917500:WLM917501 WBQ917500:WBQ917501 VRU917500:VRU917501 VHY917500:VHY917501 UYC917500:UYC917501 UOG917500:UOG917501 UEK917500:UEK917501 TUO917500:TUO917501 TKS917500:TKS917501 TAW917500:TAW917501 SRA917500:SRA917501 SHE917500:SHE917501 RXI917500:RXI917501 RNM917500:RNM917501 RDQ917500:RDQ917501 QTU917500:QTU917501 QJY917500:QJY917501 QAC917500:QAC917501 PQG917500:PQG917501 PGK917500:PGK917501 OWO917500:OWO917501 OMS917500:OMS917501 OCW917500:OCW917501 NTA917500:NTA917501 NJE917500:NJE917501 MZI917500:MZI917501 MPM917500:MPM917501 MFQ917500:MFQ917501 LVU917500:LVU917501 LLY917500:LLY917501 LCC917500:LCC917501 KSG917500:KSG917501 KIK917500:KIK917501 JYO917500:JYO917501 JOS917500:JOS917501 JEW917500:JEW917501 IVA917500:IVA917501 ILE917500:ILE917501 IBI917500:IBI917501 HRM917500:HRM917501 HHQ917500:HHQ917501 GXU917500:GXU917501 GNY917500:GNY917501 GEC917500:GEC917501 FUG917500:FUG917501 FKK917500:FKK917501 FAO917500:FAO917501 EQS917500:EQS917501 EGW917500:EGW917501 DXA917500:DXA917501 DNE917500:DNE917501 DDI917500:DDI917501 CTM917500:CTM917501 CJQ917500:CJQ917501 BZU917500:BZU917501 BPY917500:BPY917501 BGC917500:BGC917501 AWG917500:AWG917501 AMK917500:AMK917501 ACO917500:ACO917501 SS917500:SS917501 IW917500:IW917501 WVI851964:WVI851965 WLM851964:WLM851965 WBQ851964:WBQ851965 VRU851964:VRU851965 VHY851964:VHY851965 UYC851964:UYC851965 UOG851964:UOG851965 UEK851964:UEK851965 TUO851964:TUO851965 TKS851964:TKS851965 TAW851964:TAW851965 SRA851964:SRA851965 SHE851964:SHE851965 RXI851964:RXI851965 RNM851964:RNM851965 RDQ851964:RDQ851965 QTU851964:QTU851965 QJY851964:QJY851965 QAC851964:QAC851965 PQG851964:PQG851965 PGK851964:PGK851965 OWO851964:OWO851965 OMS851964:OMS851965 OCW851964:OCW851965 NTA851964:NTA851965 NJE851964:NJE851965 MZI851964:MZI851965 MPM851964:MPM851965 MFQ851964:MFQ851965 LVU851964:LVU851965 LLY851964:LLY851965 LCC851964:LCC851965 KSG851964:KSG851965 KIK851964:KIK851965 JYO851964:JYO851965 JOS851964:JOS851965 JEW851964:JEW851965 IVA851964:IVA851965 ILE851964:ILE851965 IBI851964:IBI851965 HRM851964:HRM851965 HHQ851964:HHQ851965 GXU851964:GXU851965 GNY851964:GNY851965 GEC851964:GEC851965 FUG851964:FUG851965 FKK851964:FKK851965 FAO851964:FAO851965 EQS851964:EQS851965 EGW851964:EGW851965 DXA851964:DXA851965 DNE851964:DNE851965 DDI851964:DDI851965 CTM851964:CTM851965 CJQ851964:CJQ851965 BZU851964:BZU851965 BPY851964:BPY851965 BGC851964:BGC851965 AWG851964:AWG851965 AMK851964:AMK851965 ACO851964:ACO851965 SS851964:SS851965 IW851964:IW851965 WVI786428:WVI786429 WLM786428:WLM786429 WBQ786428:WBQ786429 VRU786428:VRU786429 VHY786428:VHY786429 UYC786428:UYC786429 UOG786428:UOG786429 UEK786428:UEK786429 TUO786428:TUO786429 TKS786428:TKS786429 TAW786428:TAW786429 SRA786428:SRA786429 SHE786428:SHE786429 RXI786428:RXI786429 RNM786428:RNM786429 RDQ786428:RDQ786429 QTU786428:QTU786429 QJY786428:QJY786429 QAC786428:QAC786429 PQG786428:PQG786429 PGK786428:PGK786429 OWO786428:OWO786429 OMS786428:OMS786429 OCW786428:OCW786429 NTA786428:NTA786429 NJE786428:NJE786429 MZI786428:MZI786429 MPM786428:MPM786429 MFQ786428:MFQ786429 LVU786428:LVU786429 LLY786428:LLY786429 LCC786428:LCC786429 KSG786428:KSG786429 KIK786428:KIK786429 JYO786428:JYO786429 JOS786428:JOS786429 JEW786428:JEW786429 IVA786428:IVA786429 ILE786428:ILE786429 IBI786428:IBI786429 HRM786428:HRM786429 HHQ786428:HHQ786429 GXU786428:GXU786429 GNY786428:GNY786429 GEC786428:GEC786429 FUG786428:FUG786429 FKK786428:FKK786429 FAO786428:FAO786429 EQS786428:EQS786429 EGW786428:EGW786429 DXA786428:DXA786429 DNE786428:DNE786429 DDI786428:DDI786429 CTM786428:CTM786429 CJQ786428:CJQ786429 BZU786428:BZU786429 BPY786428:BPY786429 BGC786428:BGC786429 AWG786428:AWG786429 AMK786428:AMK786429 ACO786428:ACO786429 SS786428:SS786429 IW786428:IW786429 WVI720892:WVI720893 WLM720892:WLM720893 WBQ720892:WBQ720893 VRU720892:VRU720893 VHY720892:VHY720893 UYC720892:UYC720893 UOG720892:UOG720893 UEK720892:UEK720893 TUO720892:TUO720893 TKS720892:TKS720893 TAW720892:TAW720893 SRA720892:SRA720893 SHE720892:SHE720893 RXI720892:RXI720893 RNM720892:RNM720893 RDQ720892:RDQ720893 QTU720892:QTU720893 QJY720892:QJY720893 QAC720892:QAC720893 PQG720892:PQG720893 PGK720892:PGK720893 OWO720892:OWO720893 OMS720892:OMS720893 OCW720892:OCW720893 NTA720892:NTA720893 NJE720892:NJE720893 MZI720892:MZI720893 MPM720892:MPM720893 MFQ720892:MFQ720893 LVU720892:LVU720893 LLY720892:LLY720893 LCC720892:LCC720893 KSG720892:KSG720893 KIK720892:KIK720893 JYO720892:JYO720893 JOS720892:JOS720893 JEW720892:JEW720893 IVA720892:IVA720893 ILE720892:ILE720893 IBI720892:IBI720893 HRM720892:HRM720893 HHQ720892:HHQ720893 GXU720892:GXU720893 GNY720892:GNY720893 GEC720892:GEC720893 FUG720892:FUG720893 FKK720892:FKK720893 FAO720892:FAO720893 EQS720892:EQS720893 EGW720892:EGW720893 DXA720892:DXA720893 DNE720892:DNE720893 DDI720892:DDI720893 CTM720892:CTM720893 CJQ720892:CJQ720893 BZU720892:BZU720893 BPY720892:BPY720893 BGC720892:BGC720893 AWG720892:AWG720893 AMK720892:AMK720893 ACO720892:ACO720893 SS720892:SS720893 IW720892:IW720893 WVI655356:WVI655357 WLM655356:WLM655357 WBQ655356:WBQ655357 VRU655356:VRU655357 VHY655356:VHY655357 UYC655356:UYC655357 UOG655356:UOG655357 UEK655356:UEK655357 TUO655356:TUO655357 TKS655356:TKS655357 TAW655356:TAW655357 SRA655356:SRA655357 SHE655356:SHE655357 RXI655356:RXI655357 RNM655356:RNM655357 RDQ655356:RDQ655357 QTU655356:QTU655357 QJY655356:QJY655357 QAC655356:QAC655357 PQG655356:PQG655357 PGK655356:PGK655357 OWO655356:OWO655357 OMS655356:OMS655357 OCW655356:OCW655357 NTA655356:NTA655357 NJE655356:NJE655357 MZI655356:MZI655357 MPM655356:MPM655357 MFQ655356:MFQ655357 LVU655356:LVU655357 LLY655356:LLY655357 LCC655356:LCC655357 KSG655356:KSG655357 KIK655356:KIK655357 JYO655356:JYO655357 JOS655356:JOS655357 JEW655356:JEW655357 IVA655356:IVA655357 ILE655356:ILE655357 IBI655356:IBI655357 HRM655356:HRM655357 HHQ655356:HHQ655357 GXU655356:GXU655357 GNY655356:GNY655357 GEC655356:GEC655357 FUG655356:FUG655357 FKK655356:FKK655357 FAO655356:FAO655357 EQS655356:EQS655357 EGW655356:EGW655357 DXA655356:DXA655357 DNE655356:DNE655357 DDI655356:DDI655357 CTM655356:CTM655357 CJQ655356:CJQ655357 BZU655356:BZU655357 BPY655356:BPY655357 BGC655356:BGC655357 AWG655356:AWG655357 AMK655356:AMK655357 ACO655356:ACO655357 SS655356:SS655357 IW655356:IW655357 WVI589820:WVI589821 WLM589820:WLM589821 WBQ589820:WBQ589821 VRU589820:VRU589821 VHY589820:VHY589821 UYC589820:UYC589821 UOG589820:UOG589821 UEK589820:UEK589821 TUO589820:TUO589821 TKS589820:TKS589821 TAW589820:TAW589821 SRA589820:SRA589821 SHE589820:SHE589821 RXI589820:RXI589821 RNM589820:RNM589821 RDQ589820:RDQ589821 QTU589820:QTU589821 QJY589820:QJY589821 QAC589820:QAC589821 PQG589820:PQG589821 PGK589820:PGK589821 OWO589820:OWO589821 OMS589820:OMS589821 OCW589820:OCW589821 NTA589820:NTA589821 NJE589820:NJE589821 MZI589820:MZI589821 MPM589820:MPM589821 MFQ589820:MFQ589821 LVU589820:LVU589821 LLY589820:LLY589821 LCC589820:LCC589821 KSG589820:KSG589821 KIK589820:KIK589821 JYO589820:JYO589821 JOS589820:JOS589821 JEW589820:JEW589821 IVA589820:IVA589821 ILE589820:ILE589821 IBI589820:IBI589821 HRM589820:HRM589821 HHQ589820:HHQ589821 GXU589820:GXU589821 GNY589820:GNY589821 GEC589820:GEC589821 FUG589820:FUG589821 FKK589820:FKK589821 FAO589820:FAO589821 EQS589820:EQS589821 EGW589820:EGW589821 DXA589820:DXA589821 DNE589820:DNE589821 DDI589820:DDI589821 CTM589820:CTM589821 CJQ589820:CJQ589821 BZU589820:BZU589821 BPY589820:BPY589821 BGC589820:BGC589821 AWG589820:AWG589821 AMK589820:AMK589821 ACO589820:ACO589821 SS589820:SS589821 IW589820:IW589821 WVI524284:WVI524285 WLM524284:WLM524285 WBQ524284:WBQ524285 VRU524284:VRU524285 VHY524284:VHY524285 UYC524284:UYC524285 UOG524284:UOG524285 UEK524284:UEK524285 TUO524284:TUO524285 TKS524284:TKS524285 TAW524284:TAW524285 SRA524284:SRA524285 SHE524284:SHE524285 RXI524284:RXI524285 RNM524284:RNM524285 RDQ524284:RDQ524285 QTU524284:QTU524285 QJY524284:QJY524285 QAC524284:QAC524285 PQG524284:PQG524285 PGK524284:PGK524285 OWO524284:OWO524285 OMS524284:OMS524285 OCW524284:OCW524285 NTA524284:NTA524285 NJE524284:NJE524285 MZI524284:MZI524285 MPM524284:MPM524285 MFQ524284:MFQ524285 LVU524284:LVU524285 LLY524284:LLY524285 LCC524284:LCC524285 KSG524284:KSG524285 KIK524284:KIK524285 JYO524284:JYO524285 JOS524284:JOS524285 JEW524284:JEW524285 IVA524284:IVA524285 ILE524284:ILE524285 IBI524284:IBI524285 HRM524284:HRM524285 HHQ524284:HHQ524285 GXU524284:GXU524285 GNY524284:GNY524285 GEC524284:GEC524285 FUG524284:FUG524285 FKK524284:FKK524285 FAO524284:FAO524285 EQS524284:EQS524285 EGW524284:EGW524285 DXA524284:DXA524285 DNE524284:DNE524285 DDI524284:DDI524285 CTM524284:CTM524285 CJQ524284:CJQ524285 BZU524284:BZU524285 BPY524284:BPY524285 BGC524284:BGC524285 AWG524284:AWG524285 AMK524284:AMK524285 ACO524284:ACO524285 SS524284:SS524285 IW524284:IW524285 WVI458748:WVI458749 WLM458748:WLM458749 WBQ458748:WBQ458749 VRU458748:VRU458749 VHY458748:VHY458749 UYC458748:UYC458749 UOG458748:UOG458749 UEK458748:UEK458749 TUO458748:TUO458749 TKS458748:TKS458749 TAW458748:TAW458749 SRA458748:SRA458749 SHE458748:SHE458749 RXI458748:RXI458749 RNM458748:RNM458749 RDQ458748:RDQ458749 QTU458748:QTU458749 QJY458748:QJY458749 QAC458748:QAC458749 PQG458748:PQG458749 PGK458748:PGK458749 OWO458748:OWO458749 OMS458748:OMS458749 OCW458748:OCW458749 NTA458748:NTA458749 NJE458748:NJE458749 MZI458748:MZI458749 MPM458748:MPM458749 MFQ458748:MFQ458749 LVU458748:LVU458749 LLY458748:LLY458749 LCC458748:LCC458749 KSG458748:KSG458749 KIK458748:KIK458749 JYO458748:JYO458749 JOS458748:JOS458749 JEW458748:JEW458749 IVA458748:IVA458749 ILE458748:ILE458749 IBI458748:IBI458749 HRM458748:HRM458749 HHQ458748:HHQ458749 GXU458748:GXU458749 GNY458748:GNY458749 GEC458748:GEC458749 FUG458748:FUG458749 FKK458748:FKK458749 FAO458748:FAO458749 EQS458748:EQS458749 EGW458748:EGW458749 DXA458748:DXA458749 DNE458748:DNE458749 DDI458748:DDI458749 CTM458748:CTM458749 CJQ458748:CJQ458749 BZU458748:BZU458749 BPY458748:BPY458749 BGC458748:BGC458749 AWG458748:AWG458749 AMK458748:AMK458749 ACO458748:ACO458749 SS458748:SS458749 IW458748:IW458749 WVI393212:WVI393213 WLM393212:WLM393213 WBQ393212:WBQ393213 VRU393212:VRU393213 VHY393212:VHY393213 UYC393212:UYC393213 UOG393212:UOG393213 UEK393212:UEK393213 TUO393212:TUO393213 TKS393212:TKS393213 TAW393212:TAW393213 SRA393212:SRA393213 SHE393212:SHE393213 RXI393212:RXI393213 RNM393212:RNM393213 RDQ393212:RDQ393213 QTU393212:QTU393213 QJY393212:QJY393213 QAC393212:QAC393213 PQG393212:PQG393213 PGK393212:PGK393213 OWO393212:OWO393213 OMS393212:OMS393213 OCW393212:OCW393213 NTA393212:NTA393213 NJE393212:NJE393213 MZI393212:MZI393213 MPM393212:MPM393213 MFQ393212:MFQ393213 LVU393212:LVU393213 LLY393212:LLY393213 LCC393212:LCC393213 KSG393212:KSG393213 KIK393212:KIK393213 JYO393212:JYO393213 JOS393212:JOS393213 JEW393212:JEW393213 IVA393212:IVA393213 ILE393212:ILE393213 IBI393212:IBI393213 HRM393212:HRM393213 HHQ393212:HHQ393213 GXU393212:GXU393213 GNY393212:GNY393213 GEC393212:GEC393213 FUG393212:FUG393213 FKK393212:FKK393213 FAO393212:FAO393213 EQS393212:EQS393213 EGW393212:EGW393213 DXA393212:DXA393213 DNE393212:DNE393213 DDI393212:DDI393213 CTM393212:CTM393213 CJQ393212:CJQ393213 BZU393212:BZU393213 BPY393212:BPY393213 BGC393212:BGC393213 AWG393212:AWG393213 AMK393212:AMK393213 ACO393212:ACO393213 SS393212:SS393213 IW393212:IW393213 WVI327676:WVI327677 WLM327676:WLM327677 WBQ327676:WBQ327677 VRU327676:VRU327677 VHY327676:VHY327677 UYC327676:UYC327677 UOG327676:UOG327677 UEK327676:UEK327677 TUO327676:TUO327677 TKS327676:TKS327677 TAW327676:TAW327677 SRA327676:SRA327677 SHE327676:SHE327677 RXI327676:RXI327677 RNM327676:RNM327677 RDQ327676:RDQ327677 QTU327676:QTU327677 QJY327676:QJY327677 QAC327676:QAC327677 PQG327676:PQG327677 PGK327676:PGK327677 OWO327676:OWO327677 OMS327676:OMS327677 OCW327676:OCW327677 NTA327676:NTA327677 NJE327676:NJE327677 MZI327676:MZI327677 MPM327676:MPM327677 MFQ327676:MFQ327677 LVU327676:LVU327677 LLY327676:LLY327677 LCC327676:LCC327677 KSG327676:KSG327677 KIK327676:KIK327677 JYO327676:JYO327677 JOS327676:JOS327677 JEW327676:JEW327677 IVA327676:IVA327677 ILE327676:ILE327677 IBI327676:IBI327677 HRM327676:HRM327677 HHQ327676:HHQ327677 GXU327676:GXU327677 GNY327676:GNY327677 GEC327676:GEC327677 FUG327676:FUG327677 FKK327676:FKK327677 FAO327676:FAO327677 EQS327676:EQS327677 EGW327676:EGW327677 DXA327676:DXA327677 DNE327676:DNE327677 DDI327676:DDI327677 CTM327676:CTM327677 CJQ327676:CJQ327677 BZU327676:BZU327677 BPY327676:BPY327677 BGC327676:BGC327677 AWG327676:AWG327677 AMK327676:AMK327677 ACO327676:ACO327677 SS327676:SS327677 IW327676:IW327677 WVI262140:WVI262141 WLM262140:WLM262141 WBQ262140:WBQ262141 VRU262140:VRU262141 VHY262140:VHY262141 UYC262140:UYC262141 UOG262140:UOG262141 UEK262140:UEK262141 TUO262140:TUO262141 TKS262140:TKS262141 TAW262140:TAW262141 SRA262140:SRA262141 SHE262140:SHE262141 RXI262140:RXI262141 RNM262140:RNM262141 RDQ262140:RDQ262141 QTU262140:QTU262141 QJY262140:QJY262141 QAC262140:QAC262141 PQG262140:PQG262141 PGK262140:PGK262141 OWO262140:OWO262141 OMS262140:OMS262141 OCW262140:OCW262141 NTA262140:NTA262141 NJE262140:NJE262141 MZI262140:MZI262141 MPM262140:MPM262141 MFQ262140:MFQ262141 LVU262140:LVU262141 LLY262140:LLY262141 LCC262140:LCC262141 KSG262140:KSG262141 KIK262140:KIK262141 JYO262140:JYO262141 JOS262140:JOS262141 JEW262140:JEW262141 IVA262140:IVA262141 ILE262140:ILE262141 IBI262140:IBI262141 HRM262140:HRM262141 HHQ262140:HHQ262141 GXU262140:GXU262141 GNY262140:GNY262141 GEC262140:GEC262141 FUG262140:FUG262141 FKK262140:FKK262141 FAO262140:FAO262141 EQS262140:EQS262141 EGW262140:EGW262141 DXA262140:DXA262141 DNE262140:DNE262141 DDI262140:DDI262141 CTM262140:CTM262141 CJQ262140:CJQ262141 BZU262140:BZU262141 BPY262140:BPY262141 BGC262140:BGC262141 AWG262140:AWG262141 AMK262140:AMK262141 ACO262140:ACO262141 SS262140:SS262141 IW262140:IW262141 WVI196604:WVI196605 WLM196604:WLM196605 WBQ196604:WBQ196605 VRU196604:VRU196605 VHY196604:VHY196605 UYC196604:UYC196605 UOG196604:UOG196605 UEK196604:UEK196605 TUO196604:TUO196605 TKS196604:TKS196605 TAW196604:TAW196605 SRA196604:SRA196605 SHE196604:SHE196605 RXI196604:RXI196605 RNM196604:RNM196605 RDQ196604:RDQ196605 QTU196604:QTU196605 QJY196604:QJY196605 QAC196604:QAC196605 PQG196604:PQG196605 PGK196604:PGK196605 OWO196604:OWO196605 OMS196604:OMS196605 OCW196604:OCW196605 NTA196604:NTA196605 NJE196604:NJE196605 MZI196604:MZI196605 MPM196604:MPM196605 MFQ196604:MFQ196605 LVU196604:LVU196605 LLY196604:LLY196605 LCC196604:LCC196605 KSG196604:KSG196605 KIK196604:KIK196605 JYO196604:JYO196605 JOS196604:JOS196605 JEW196604:JEW196605 IVA196604:IVA196605 ILE196604:ILE196605 IBI196604:IBI196605 HRM196604:HRM196605 HHQ196604:HHQ196605 GXU196604:GXU196605 GNY196604:GNY196605 GEC196604:GEC196605 FUG196604:FUG196605 FKK196604:FKK196605 FAO196604:FAO196605 EQS196604:EQS196605 EGW196604:EGW196605 DXA196604:DXA196605 DNE196604:DNE196605 DDI196604:DDI196605 CTM196604:CTM196605 CJQ196604:CJQ196605 BZU196604:BZU196605 BPY196604:BPY196605 BGC196604:BGC196605 AWG196604:AWG196605 AMK196604:AMK196605 ACO196604:ACO196605 SS196604:SS196605 IW196604:IW196605 WVI131068:WVI131069 WLM131068:WLM131069 WBQ131068:WBQ131069 VRU131068:VRU131069 VHY131068:VHY131069 UYC131068:UYC131069 UOG131068:UOG131069 UEK131068:UEK131069 TUO131068:TUO131069 TKS131068:TKS131069 TAW131068:TAW131069 SRA131068:SRA131069 SHE131068:SHE131069 RXI131068:RXI131069 RNM131068:RNM131069 RDQ131068:RDQ131069 QTU131068:QTU131069 QJY131068:QJY131069 QAC131068:QAC131069 PQG131068:PQG131069 PGK131068:PGK131069 OWO131068:OWO131069 OMS131068:OMS131069 OCW131068:OCW131069 NTA131068:NTA131069 NJE131068:NJE131069 MZI131068:MZI131069 MPM131068:MPM131069 MFQ131068:MFQ131069 LVU131068:LVU131069 LLY131068:LLY131069 LCC131068:LCC131069 KSG131068:KSG131069 KIK131068:KIK131069 JYO131068:JYO131069 JOS131068:JOS131069 JEW131068:JEW131069 IVA131068:IVA131069 ILE131068:ILE131069 IBI131068:IBI131069 HRM131068:HRM131069 HHQ131068:HHQ131069 GXU131068:GXU131069 GNY131068:GNY131069 GEC131068:GEC131069 FUG131068:FUG131069 FKK131068:FKK131069 FAO131068:FAO131069 EQS131068:EQS131069 EGW131068:EGW131069 DXA131068:DXA131069 DNE131068:DNE131069 DDI131068:DDI131069 CTM131068:CTM131069 CJQ131068:CJQ131069 BZU131068:BZU131069 BPY131068:BPY131069 BGC131068:BGC131069 AWG131068:AWG131069 AMK131068:AMK131069 ACO131068:ACO131069 SS131068:SS131069 IW131068:IW131069 WVI65532:WVI65533 WLM65532:WLM65533 WBQ65532:WBQ65533 VRU65532:VRU65533 VHY65532:VHY65533 UYC65532:UYC65533 UOG65532:UOG65533 UEK65532:UEK65533 TUO65532:TUO65533 TKS65532:TKS65533 TAW65532:TAW65533 SRA65532:SRA65533 SHE65532:SHE65533 RXI65532:RXI65533 RNM65532:RNM65533 RDQ65532:RDQ65533 QTU65532:QTU65533 QJY65532:QJY65533 QAC65532:QAC65533 PQG65532:PQG65533 PGK65532:PGK65533 OWO65532:OWO65533 OMS65532:OMS65533 OCW65532:OCW65533 NTA65532:NTA65533 NJE65532:NJE65533 MZI65532:MZI65533 MPM65532:MPM65533 MFQ65532:MFQ65533 LVU65532:LVU65533 LLY65532:LLY65533 LCC65532:LCC65533 KSG65532:KSG65533 KIK65532:KIK65533 JYO65532:JYO65533 JOS65532:JOS65533 JEW65532:JEW65533 IVA65532:IVA65533 ILE65532:ILE65533 IBI65532:IBI65533 HRM65532:HRM65533 HHQ65532:HHQ65533 GXU65532:GXU65533 GNY65532:GNY65533 GEC65532:GEC65533 FUG65532:FUG65533 FKK65532:FKK65533 FAO65532:FAO65533 EQS65532:EQS65533 EGW65532:EGW65533 DXA65532:DXA65533 DNE65532:DNE65533 DDI65532:DDI65533 CTM65532:CTM65533 CJQ65532:CJQ65533 BZU65532:BZU65533 BPY65532:BPY65533 BGC65532:BGC65533 AWG65532:AWG65533 AMK65532:AMK65533 ACO65532:ACO65533 SS65532:SS65533 IW65532:IW65533 F131068:F131069 F196604:F196605 F262140:F262141 F327676:F327677 F393212:F393213 F458748:F458749 F524284:F524285 F589820:F589821 F655356:F655357 F720892:F720893 F786428:F786429 F851964:F851965 F917500:F917501 F983036:F983037 F1048572:F1048573 F65532:F65533" xr:uid="{C1DEF321-E820-44B8-BD15-A0A13CBDF7C5}"/>
    <dataValidation allowBlank="1" showInputMessage="1" showErrorMessage="1" prompt="saída sem_x000a_passar pela_x000a_obra de arte" sqref="WVJ1048572:WVJ1048573 WLN1048572:WLN1048573 WBR1048572:WBR1048573 VRV1048572:VRV1048573 VHZ1048572:VHZ1048573 UYD1048572:UYD1048573 UOH1048572:UOH1048573 UEL1048572:UEL1048573 TUP1048572:TUP1048573 TKT1048572:TKT1048573 TAX1048572:TAX1048573 SRB1048572:SRB1048573 SHF1048572:SHF1048573 RXJ1048572:RXJ1048573 RNN1048572:RNN1048573 RDR1048572:RDR1048573 QTV1048572:QTV1048573 QJZ1048572:QJZ1048573 QAD1048572:QAD1048573 PQH1048572:PQH1048573 PGL1048572:PGL1048573 OWP1048572:OWP1048573 OMT1048572:OMT1048573 OCX1048572:OCX1048573 NTB1048572:NTB1048573 NJF1048572:NJF1048573 MZJ1048572:MZJ1048573 MPN1048572:MPN1048573 MFR1048572:MFR1048573 LVV1048572:LVV1048573 LLZ1048572:LLZ1048573 LCD1048572:LCD1048573 KSH1048572:KSH1048573 KIL1048572:KIL1048573 JYP1048572:JYP1048573 JOT1048572:JOT1048573 JEX1048572:JEX1048573 IVB1048572:IVB1048573 ILF1048572:ILF1048573 IBJ1048572:IBJ1048573 HRN1048572:HRN1048573 HHR1048572:HHR1048573 GXV1048572:GXV1048573 GNZ1048572:GNZ1048573 GED1048572:GED1048573 FUH1048572:FUH1048573 FKL1048572:FKL1048573 FAP1048572:FAP1048573 EQT1048572:EQT1048573 EGX1048572:EGX1048573 DXB1048572:DXB1048573 DNF1048572:DNF1048573 DDJ1048572:DDJ1048573 CTN1048572:CTN1048573 CJR1048572:CJR1048573 BZV1048572:BZV1048573 BPZ1048572:BPZ1048573 BGD1048572:BGD1048573 AWH1048572:AWH1048573 AML1048572:AML1048573 ACP1048572:ACP1048573 ST1048572:ST1048573 IX1048572:IX1048573 WVJ983036:WVJ983037 WLN983036:WLN983037 WBR983036:WBR983037 VRV983036:VRV983037 VHZ983036:VHZ983037 UYD983036:UYD983037 UOH983036:UOH983037 UEL983036:UEL983037 TUP983036:TUP983037 TKT983036:TKT983037 TAX983036:TAX983037 SRB983036:SRB983037 SHF983036:SHF983037 RXJ983036:RXJ983037 RNN983036:RNN983037 RDR983036:RDR983037 QTV983036:QTV983037 QJZ983036:QJZ983037 QAD983036:QAD983037 PQH983036:PQH983037 PGL983036:PGL983037 OWP983036:OWP983037 OMT983036:OMT983037 OCX983036:OCX983037 NTB983036:NTB983037 NJF983036:NJF983037 MZJ983036:MZJ983037 MPN983036:MPN983037 MFR983036:MFR983037 LVV983036:LVV983037 LLZ983036:LLZ983037 LCD983036:LCD983037 KSH983036:KSH983037 KIL983036:KIL983037 JYP983036:JYP983037 JOT983036:JOT983037 JEX983036:JEX983037 IVB983036:IVB983037 ILF983036:ILF983037 IBJ983036:IBJ983037 HRN983036:HRN983037 HHR983036:HHR983037 GXV983036:GXV983037 GNZ983036:GNZ983037 GED983036:GED983037 FUH983036:FUH983037 FKL983036:FKL983037 FAP983036:FAP983037 EQT983036:EQT983037 EGX983036:EGX983037 DXB983036:DXB983037 DNF983036:DNF983037 DDJ983036:DDJ983037 CTN983036:CTN983037 CJR983036:CJR983037 BZV983036:BZV983037 BPZ983036:BPZ983037 BGD983036:BGD983037 AWH983036:AWH983037 AML983036:AML983037 ACP983036:ACP983037 ST983036:ST983037 IX983036:IX983037 WVJ917500:WVJ917501 WLN917500:WLN917501 WBR917500:WBR917501 VRV917500:VRV917501 VHZ917500:VHZ917501 UYD917500:UYD917501 UOH917500:UOH917501 UEL917500:UEL917501 TUP917500:TUP917501 TKT917500:TKT917501 TAX917500:TAX917501 SRB917500:SRB917501 SHF917500:SHF917501 RXJ917500:RXJ917501 RNN917500:RNN917501 RDR917500:RDR917501 QTV917500:QTV917501 QJZ917500:QJZ917501 QAD917500:QAD917501 PQH917500:PQH917501 PGL917500:PGL917501 OWP917500:OWP917501 OMT917500:OMT917501 OCX917500:OCX917501 NTB917500:NTB917501 NJF917500:NJF917501 MZJ917500:MZJ917501 MPN917500:MPN917501 MFR917500:MFR917501 LVV917500:LVV917501 LLZ917500:LLZ917501 LCD917500:LCD917501 KSH917500:KSH917501 KIL917500:KIL917501 JYP917500:JYP917501 JOT917500:JOT917501 JEX917500:JEX917501 IVB917500:IVB917501 ILF917500:ILF917501 IBJ917500:IBJ917501 HRN917500:HRN917501 HHR917500:HHR917501 GXV917500:GXV917501 GNZ917500:GNZ917501 GED917500:GED917501 FUH917500:FUH917501 FKL917500:FKL917501 FAP917500:FAP917501 EQT917500:EQT917501 EGX917500:EGX917501 DXB917500:DXB917501 DNF917500:DNF917501 DDJ917500:DDJ917501 CTN917500:CTN917501 CJR917500:CJR917501 BZV917500:BZV917501 BPZ917500:BPZ917501 BGD917500:BGD917501 AWH917500:AWH917501 AML917500:AML917501 ACP917500:ACP917501 ST917500:ST917501 IX917500:IX917501 WVJ851964:WVJ851965 WLN851964:WLN851965 WBR851964:WBR851965 VRV851964:VRV851965 VHZ851964:VHZ851965 UYD851964:UYD851965 UOH851964:UOH851965 UEL851964:UEL851965 TUP851964:TUP851965 TKT851964:TKT851965 TAX851964:TAX851965 SRB851964:SRB851965 SHF851964:SHF851965 RXJ851964:RXJ851965 RNN851964:RNN851965 RDR851964:RDR851965 QTV851964:QTV851965 QJZ851964:QJZ851965 QAD851964:QAD851965 PQH851964:PQH851965 PGL851964:PGL851965 OWP851964:OWP851965 OMT851964:OMT851965 OCX851964:OCX851965 NTB851964:NTB851965 NJF851964:NJF851965 MZJ851964:MZJ851965 MPN851964:MPN851965 MFR851964:MFR851965 LVV851964:LVV851965 LLZ851964:LLZ851965 LCD851964:LCD851965 KSH851964:KSH851965 KIL851964:KIL851965 JYP851964:JYP851965 JOT851964:JOT851965 JEX851964:JEX851965 IVB851964:IVB851965 ILF851964:ILF851965 IBJ851964:IBJ851965 HRN851964:HRN851965 HHR851964:HHR851965 GXV851964:GXV851965 GNZ851964:GNZ851965 GED851964:GED851965 FUH851964:FUH851965 FKL851964:FKL851965 FAP851964:FAP851965 EQT851964:EQT851965 EGX851964:EGX851965 DXB851964:DXB851965 DNF851964:DNF851965 DDJ851964:DDJ851965 CTN851964:CTN851965 CJR851964:CJR851965 BZV851964:BZV851965 BPZ851964:BPZ851965 BGD851964:BGD851965 AWH851964:AWH851965 AML851964:AML851965 ACP851964:ACP851965 ST851964:ST851965 IX851964:IX851965 WVJ786428:WVJ786429 WLN786428:WLN786429 WBR786428:WBR786429 VRV786428:VRV786429 VHZ786428:VHZ786429 UYD786428:UYD786429 UOH786428:UOH786429 UEL786428:UEL786429 TUP786428:TUP786429 TKT786428:TKT786429 TAX786428:TAX786429 SRB786428:SRB786429 SHF786428:SHF786429 RXJ786428:RXJ786429 RNN786428:RNN786429 RDR786428:RDR786429 QTV786428:QTV786429 QJZ786428:QJZ786429 QAD786428:QAD786429 PQH786428:PQH786429 PGL786428:PGL786429 OWP786428:OWP786429 OMT786428:OMT786429 OCX786428:OCX786429 NTB786428:NTB786429 NJF786428:NJF786429 MZJ786428:MZJ786429 MPN786428:MPN786429 MFR786428:MFR786429 LVV786428:LVV786429 LLZ786428:LLZ786429 LCD786428:LCD786429 KSH786428:KSH786429 KIL786428:KIL786429 JYP786428:JYP786429 JOT786428:JOT786429 JEX786428:JEX786429 IVB786428:IVB786429 ILF786428:ILF786429 IBJ786428:IBJ786429 HRN786428:HRN786429 HHR786428:HHR786429 GXV786428:GXV786429 GNZ786428:GNZ786429 GED786428:GED786429 FUH786428:FUH786429 FKL786428:FKL786429 FAP786428:FAP786429 EQT786428:EQT786429 EGX786428:EGX786429 DXB786428:DXB786429 DNF786428:DNF786429 DDJ786428:DDJ786429 CTN786428:CTN786429 CJR786428:CJR786429 BZV786428:BZV786429 BPZ786428:BPZ786429 BGD786428:BGD786429 AWH786428:AWH786429 AML786428:AML786429 ACP786428:ACP786429 ST786428:ST786429 IX786428:IX786429 WVJ720892:WVJ720893 WLN720892:WLN720893 WBR720892:WBR720893 VRV720892:VRV720893 VHZ720892:VHZ720893 UYD720892:UYD720893 UOH720892:UOH720893 UEL720892:UEL720893 TUP720892:TUP720893 TKT720892:TKT720893 TAX720892:TAX720893 SRB720892:SRB720893 SHF720892:SHF720893 RXJ720892:RXJ720893 RNN720892:RNN720893 RDR720892:RDR720893 QTV720892:QTV720893 QJZ720892:QJZ720893 QAD720892:QAD720893 PQH720892:PQH720893 PGL720892:PGL720893 OWP720892:OWP720893 OMT720892:OMT720893 OCX720892:OCX720893 NTB720892:NTB720893 NJF720892:NJF720893 MZJ720892:MZJ720893 MPN720892:MPN720893 MFR720892:MFR720893 LVV720892:LVV720893 LLZ720892:LLZ720893 LCD720892:LCD720893 KSH720892:KSH720893 KIL720892:KIL720893 JYP720892:JYP720893 JOT720892:JOT720893 JEX720892:JEX720893 IVB720892:IVB720893 ILF720892:ILF720893 IBJ720892:IBJ720893 HRN720892:HRN720893 HHR720892:HHR720893 GXV720892:GXV720893 GNZ720892:GNZ720893 GED720892:GED720893 FUH720892:FUH720893 FKL720892:FKL720893 FAP720892:FAP720893 EQT720892:EQT720893 EGX720892:EGX720893 DXB720892:DXB720893 DNF720892:DNF720893 DDJ720892:DDJ720893 CTN720892:CTN720893 CJR720892:CJR720893 BZV720892:BZV720893 BPZ720892:BPZ720893 BGD720892:BGD720893 AWH720892:AWH720893 AML720892:AML720893 ACP720892:ACP720893 ST720892:ST720893 IX720892:IX720893 WVJ655356:WVJ655357 WLN655356:WLN655357 WBR655356:WBR655357 VRV655356:VRV655357 VHZ655356:VHZ655357 UYD655356:UYD655357 UOH655356:UOH655357 UEL655356:UEL655357 TUP655356:TUP655357 TKT655356:TKT655357 TAX655356:TAX655357 SRB655356:SRB655357 SHF655356:SHF655357 RXJ655356:RXJ655357 RNN655356:RNN655357 RDR655356:RDR655357 QTV655356:QTV655357 QJZ655356:QJZ655357 QAD655356:QAD655357 PQH655356:PQH655357 PGL655356:PGL655357 OWP655356:OWP655357 OMT655356:OMT655357 OCX655356:OCX655357 NTB655356:NTB655357 NJF655356:NJF655357 MZJ655356:MZJ655357 MPN655356:MPN655357 MFR655356:MFR655357 LVV655356:LVV655357 LLZ655356:LLZ655357 LCD655356:LCD655357 KSH655356:KSH655357 KIL655356:KIL655357 JYP655356:JYP655357 JOT655356:JOT655357 JEX655356:JEX655357 IVB655356:IVB655357 ILF655356:ILF655357 IBJ655356:IBJ655357 HRN655356:HRN655357 HHR655356:HHR655357 GXV655356:GXV655357 GNZ655356:GNZ655357 GED655356:GED655357 FUH655356:FUH655357 FKL655356:FKL655357 FAP655356:FAP655357 EQT655356:EQT655357 EGX655356:EGX655357 DXB655356:DXB655357 DNF655356:DNF655357 DDJ655356:DDJ655357 CTN655356:CTN655357 CJR655356:CJR655357 BZV655356:BZV655357 BPZ655356:BPZ655357 BGD655356:BGD655357 AWH655356:AWH655357 AML655356:AML655357 ACP655356:ACP655357 ST655356:ST655357 IX655356:IX655357 WVJ589820:WVJ589821 WLN589820:WLN589821 WBR589820:WBR589821 VRV589820:VRV589821 VHZ589820:VHZ589821 UYD589820:UYD589821 UOH589820:UOH589821 UEL589820:UEL589821 TUP589820:TUP589821 TKT589820:TKT589821 TAX589820:TAX589821 SRB589820:SRB589821 SHF589820:SHF589821 RXJ589820:RXJ589821 RNN589820:RNN589821 RDR589820:RDR589821 QTV589820:QTV589821 QJZ589820:QJZ589821 QAD589820:QAD589821 PQH589820:PQH589821 PGL589820:PGL589821 OWP589820:OWP589821 OMT589820:OMT589821 OCX589820:OCX589821 NTB589820:NTB589821 NJF589820:NJF589821 MZJ589820:MZJ589821 MPN589820:MPN589821 MFR589820:MFR589821 LVV589820:LVV589821 LLZ589820:LLZ589821 LCD589820:LCD589821 KSH589820:KSH589821 KIL589820:KIL589821 JYP589820:JYP589821 JOT589820:JOT589821 JEX589820:JEX589821 IVB589820:IVB589821 ILF589820:ILF589821 IBJ589820:IBJ589821 HRN589820:HRN589821 HHR589820:HHR589821 GXV589820:GXV589821 GNZ589820:GNZ589821 GED589820:GED589821 FUH589820:FUH589821 FKL589820:FKL589821 FAP589820:FAP589821 EQT589820:EQT589821 EGX589820:EGX589821 DXB589820:DXB589821 DNF589820:DNF589821 DDJ589820:DDJ589821 CTN589820:CTN589821 CJR589820:CJR589821 BZV589820:BZV589821 BPZ589820:BPZ589821 BGD589820:BGD589821 AWH589820:AWH589821 AML589820:AML589821 ACP589820:ACP589821 ST589820:ST589821 IX589820:IX589821 WVJ524284:WVJ524285 WLN524284:WLN524285 WBR524284:WBR524285 VRV524284:VRV524285 VHZ524284:VHZ524285 UYD524284:UYD524285 UOH524284:UOH524285 UEL524284:UEL524285 TUP524284:TUP524285 TKT524284:TKT524285 TAX524284:TAX524285 SRB524284:SRB524285 SHF524284:SHF524285 RXJ524284:RXJ524285 RNN524284:RNN524285 RDR524284:RDR524285 QTV524284:QTV524285 QJZ524284:QJZ524285 QAD524284:QAD524285 PQH524284:PQH524285 PGL524284:PGL524285 OWP524284:OWP524285 OMT524284:OMT524285 OCX524284:OCX524285 NTB524284:NTB524285 NJF524284:NJF524285 MZJ524284:MZJ524285 MPN524284:MPN524285 MFR524284:MFR524285 LVV524284:LVV524285 LLZ524284:LLZ524285 LCD524284:LCD524285 KSH524284:KSH524285 KIL524284:KIL524285 JYP524284:JYP524285 JOT524284:JOT524285 JEX524284:JEX524285 IVB524284:IVB524285 ILF524284:ILF524285 IBJ524284:IBJ524285 HRN524284:HRN524285 HHR524284:HHR524285 GXV524284:GXV524285 GNZ524284:GNZ524285 GED524284:GED524285 FUH524284:FUH524285 FKL524284:FKL524285 FAP524284:FAP524285 EQT524284:EQT524285 EGX524284:EGX524285 DXB524284:DXB524285 DNF524284:DNF524285 DDJ524284:DDJ524285 CTN524284:CTN524285 CJR524284:CJR524285 BZV524284:BZV524285 BPZ524284:BPZ524285 BGD524284:BGD524285 AWH524284:AWH524285 AML524284:AML524285 ACP524284:ACP524285 ST524284:ST524285 IX524284:IX524285 WVJ458748:WVJ458749 WLN458748:WLN458749 WBR458748:WBR458749 VRV458748:VRV458749 VHZ458748:VHZ458749 UYD458748:UYD458749 UOH458748:UOH458749 UEL458748:UEL458749 TUP458748:TUP458749 TKT458748:TKT458749 TAX458748:TAX458749 SRB458748:SRB458749 SHF458748:SHF458749 RXJ458748:RXJ458749 RNN458748:RNN458749 RDR458748:RDR458749 QTV458748:QTV458749 QJZ458748:QJZ458749 QAD458748:QAD458749 PQH458748:PQH458749 PGL458748:PGL458749 OWP458748:OWP458749 OMT458748:OMT458749 OCX458748:OCX458749 NTB458748:NTB458749 NJF458748:NJF458749 MZJ458748:MZJ458749 MPN458748:MPN458749 MFR458748:MFR458749 LVV458748:LVV458749 LLZ458748:LLZ458749 LCD458748:LCD458749 KSH458748:KSH458749 KIL458748:KIL458749 JYP458748:JYP458749 JOT458748:JOT458749 JEX458748:JEX458749 IVB458748:IVB458749 ILF458748:ILF458749 IBJ458748:IBJ458749 HRN458748:HRN458749 HHR458748:HHR458749 GXV458748:GXV458749 GNZ458748:GNZ458749 GED458748:GED458749 FUH458748:FUH458749 FKL458748:FKL458749 FAP458748:FAP458749 EQT458748:EQT458749 EGX458748:EGX458749 DXB458748:DXB458749 DNF458748:DNF458749 DDJ458748:DDJ458749 CTN458748:CTN458749 CJR458748:CJR458749 BZV458748:BZV458749 BPZ458748:BPZ458749 BGD458748:BGD458749 AWH458748:AWH458749 AML458748:AML458749 ACP458748:ACP458749 ST458748:ST458749 IX458748:IX458749 WVJ393212:WVJ393213 WLN393212:WLN393213 WBR393212:WBR393213 VRV393212:VRV393213 VHZ393212:VHZ393213 UYD393212:UYD393213 UOH393212:UOH393213 UEL393212:UEL393213 TUP393212:TUP393213 TKT393212:TKT393213 TAX393212:TAX393213 SRB393212:SRB393213 SHF393212:SHF393213 RXJ393212:RXJ393213 RNN393212:RNN393213 RDR393212:RDR393213 QTV393212:QTV393213 QJZ393212:QJZ393213 QAD393212:QAD393213 PQH393212:PQH393213 PGL393212:PGL393213 OWP393212:OWP393213 OMT393212:OMT393213 OCX393212:OCX393213 NTB393212:NTB393213 NJF393212:NJF393213 MZJ393212:MZJ393213 MPN393212:MPN393213 MFR393212:MFR393213 LVV393212:LVV393213 LLZ393212:LLZ393213 LCD393212:LCD393213 KSH393212:KSH393213 KIL393212:KIL393213 JYP393212:JYP393213 JOT393212:JOT393213 JEX393212:JEX393213 IVB393212:IVB393213 ILF393212:ILF393213 IBJ393212:IBJ393213 HRN393212:HRN393213 HHR393212:HHR393213 GXV393212:GXV393213 GNZ393212:GNZ393213 GED393212:GED393213 FUH393212:FUH393213 FKL393212:FKL393213 FAP393212:FAP393213 EQT393212:EQT393213 EGX393212:EGX393213 DXB393212:DXB393213 DNF393212:DNF393213 DDJ393212:DDJ393213 CTN393212:CTN393213 CJR393212:CJR393213 BZV393212:BZV393213 BPZ393212:BPZ393213 BGD393212:BGD393213 AWH393212:AWH393213 AML393212:AML393213 ACP393212:ACP393213 ST393212:ST393213 IX393212:IX393213 WVJ327676:WVJ327677 WLN327676:WLN327677 WBR327676:WBR327677 VRV327676:VRV327677 VHZ327676:VHZ327677 UYD327676:UYD327677 UOH327676:UOH327677 UEL327676:UEL327677 TUP327676:TUP327677 TKT327676:TKT327677 TAX327676:TAX327677 SRB327676:SRB327677 SHF327676:SHF327677 RXJ327676:RXJ327677 RNN327676:RNN327677 RDR327676:RDR327677 QTV327676:QTV327677 QJZ327676:QJZ327677 QAD327676:QAD327677 PQH327676:PQH327677 PGL327676:PGL327677 OWP327676:OWP327677 OMT327676:OMT327677 OCX327676:OCX327677 NTB327676:NTB327677 NJF327676:NJF327677 MZJ327676:MZJ327677 MPN327676:MPN327677 MFR327676:MFR327677 LVV327676:LVV327677 LLZ327676:LLZ327677 LCD327676:LCD327677 KSH327676:KSH327677 KIL327676:KIL327677 JYP327676:JYP327677 JOT327676:JOT327677 JEX327676:JEX327677 IVB327676:IVB327677 ILF327676:ILF327677 IBJ327676:IBJ327677 HRN327676:HRN327677 HHR327676:HHR327677 GXV327676:GXV327677 GNZ327676:GNZ327677 GED327676:GED327677 FUH327676:FUH327677 FKL327676:FKL327677 FAP327676:FAP327677 EQT327676:EQT327677 EGX327676:EGX327677 DXB327676:DXB327677 DNF327676:DNF327677 DDJ327676:DDJ327677 CTN327676:CTN327677 CJR327676:CJR327677 BZV327676:BZV327677 BPZ327676:BPZ327677 BGD327676:BGD327677 AWH327676:AWH327677 AML327676:AML327677 ACP327676:ACP327677 ST327676:ST327677 IX327676:IX327677 WVJ262140:WVJ262141 WLN262140:WLN262141 WBR262140:WBR262141 VRV262140:VRV262141 VHZ262140:VHZ262141 UYD262140:UYD262141 UOH262140:UOH262141 UEL262140:UEL262141 TUP262140:TUP262141 TKT262140:TKT262141 TAX262140:TAX262141 SRB262140:SRB262141 SHF262140:SHF262141 RXJ262140:RXJ262141 RNN262140:RNN262141 RDR262140:RDR262141 QTV262140:QTV262141 QJZ262140:QJZ262141 QAD262140:QAD262141 PQH262140:PQH262141 PGL262140:PGL262141 OWP262140:OWP262141 OMT262140:OMT262141 OCX262140:OCX262141 NTB262140:NTB262141 NJF262140:NJF262141 MZJ262140:MZJ262141 MPN262140:MPN262141 MFR262140:MFR262141 LVV262140:LVV262141 LLZ262140:LLZ262141 LCD262140:LCD262141 KSH262140:KSH262141 KIL262140:KIL262141 JYP262140:JYP262141 JOT262140:JOT262141 JEX262140:JEX262141 IVB262140:IVB262141 ILF262140:ILF262141 IBJ262140:IBJ262141 HRN262140:HRN262141 HHR262140:HHR262141 GXV262140:GXV262141 GNZ262140:GNZ262141 GED262140:GED262141 FUH262140:FUH262141 FKL262140:FKL262141 FAP262140:FAP262141 EQT262140:EQT262141 EGX262140:EGX262141 DXB262140:DXB262141 DNF262140:DNF262141 DDJ262140:DDJ262141 CTN262140:CTN262141 CJR262140:CJR262141 BZV262140:BZV262141 BPZ262140:BPZ262141 BGD262140:BGD262141 AWH262140:AWH262141 AML262140:AML262141 ACP262140:ACP262141 ST262140:ST262141 IX262140:IX262141 WVJ196604:WVJ196605 WLN196604:WLN196605 WBR196604:WBR196605 VRV196604:VRV196605 VHZ196604:VHZ196605 UYD196604:UYD196605 UOH196604:UOH196605 UEL196604:UEL196605 TUP196604:TUP196605 TKT196604:TKT196605 TAX196604:TAX196605 SRB196604:SRB196605 SHF196604:SHF196605 RXJ196604:RXJ196605 RNN196604:RNN196605 RDR196604:RDR196605 QTV196604:QTV196605 QJZ196604:QJZ196605 QAD196604:QAD196605 PQH196604:PQH196605 PGL196604:PGL196605 OWP196604:OWP196605 OMT196604:OMT196605 OCX196604:OCX196605 NTB196604:NTB196605 NJF196604:NJF196605 MZJ196604:MZJ196605 MPN196604:MPN196605 MFR196604:MFR196605 LVV196604:LVV196605 LLZ196604:LLZ196605 LCD196604:LCD196605 KSH196604:KSH196605 KIL196604:KIL196605 JYP196604:JYP196605 JOT196604:JOT196605 JEX196604:JEX196605 IVB196604:IVB196605 ILF196604:ILF196605 IBJ196604:IBJ196605 HRN196604:HRN196605 HHR196604:HHR196605 GXV196604:GXV196605 GNZ196604:GNZ196605 GED196604:GED196605 FUH196604:FUH196605 FKL196604:FKL196605 FAP196604:FAP196605 EQT196604:EQT196605 EGX196604:EGX196605 DXB196604:DXB196605 DNF196604:DNF196605 DDJ196604:DDJ196605 CTN196604:CTN196605 CJR196604:CJR196605 BZV196604:BZV196605 BPZ196604:BPZ196605 BGD196604:BGD196605 AWH196604:AWH196605 AML196604:AML196605 ACP196604:ACP196605 ST196604:ST196605 IX196604:IX196605 WVJ131068:WVJ131069 WLN131068:WLN131069 WBR131068:WBR131069 VRV131068:VRV131069 VHZ131068:VHZ131069 UYD131068:UYD131069 UOH131068:UOH131069 UEL131068:UEL131069 TUP131068:TUP131069 TKT131068:TKT131069 TAX131068:TAX131069 SRB131068:SRB131069 SHF131068:SHF131069 RXJ131068:RXJ131069 RNN131068:RNN131069 RDR131068:RDR131069 QTV131068:QTV131069 QJZ131068:QJZ131069 QAD131068:QAD131069 PQH131068:PQH131069 PGL131068:PGL131069 OWP131068:OWP131069 OMT131068:OMT131069 OCX131068:OCX131069 NTB131068:NTB131069 NJF131068:NJF131069 MZJ131068:MZJ131069 MPN131068:MPN131069 MFR131068:MFR131069 LVV131068:LVV131069 LLZ131068:LLZ131069 LCD131068:LCD131069 KSH131068:KSH131069 KIL131068:KIL131069 JYP131068:JYP131069 JOT131068:JOT131069 JEX131068:JEX131069 IVB131068:IVB131069 ILF131068:ILF131069 IBJ131068:IBJ131069 HRN131068:HRN131069 HHR131068:HHR131069 GXV131068:GXV131069 GNZ131068:GNZ131069 GED131068:GED131069 FUH131068:FUH131069 FKL131068:FKL131069 FAP131068:FAP131069 EQT131068:EQT131069 EGX131068:EGX131069 DXB131068:DXB131069 DNF131068:DNF131069 DDJ131068:DDJ131069 CTN131068:CTN131069 CJR131068:CJR131069 BZV131068:BZV131069 BPZ131068:BPZ131069 BGD131068:BGD131069 AWH131068:AWH131069 AML131068:AML131069 ACP131068:ACP131069 ST131068:ST131069 IX131068:IX131069 WVJ65532:WVJ65533 WLN65532:WLN65533 WBR65532:WBR65533 VRV65532:VRV65533 VHZ65532:VHZ65533 UYD65532:UYD65533 UOH65532:UOH65533 UEL65532:UEL65533 TUP65532:TUP65533 TKT65532:TKT65533 TAX65532:TAX65533 SRB65532:SRB65533 SHF65532:SHF65533 RXJ65532:RXJ65533 RNN65532:RNN65533 RDR65532:RDR65533 QTV65532:QTV65533 QJZ65532:QJZ65533 QAD65532:QAD65533 PQH65532:PQH65533 PGL65532:PGL65533 OWP65532:OWP65533 OMT65532:OMT65533 OCX65532:OCX65533 NTB65532:NTB65533 NJF65532:NJF65533 MZJ65532:MZJ65533 MPN65532:MPN65533 MFR65532:MFR65533 LVV65532:LVV65533 LLZ65532:LLZ65533 LCD65532:LCD65533 KSH65532:KSH65533 KIL65532:KIL65533 JYP65532:JYP65533 JOT65532:JOT65533 JEX65532:JEX65533 IVB65532:IVB65533 ILF65532:ILF65533 IBJ65532:IBJ65533 HRN65532:HRN65533 HHR65532:HHR65533 GXV65532:GXV65533 GNZ65532:GNZ65533 GED65532:GED65533 FUH65532:FUH65533 FKL65532:FKL65533 FAP65532:FAP65533 EQT65532:EQT65533 EGX65532:EGX65533 DXB65532:DXB65533 DNF65532:DNF65533 DDJ65532:DDJ65533 CTN65532:CTN65533 CJR65532:CJR65533 BZV65532:BZV65533 BPZ65532:BPZ65533 BGD65532:BGD65533 AWH65532:AWH65533 AML65532:AML65533 ACP65532:ACP65533 ST65532:ST65533 IX65532:IX65533 G131068:G131069 G196604:G196605 G262140:G262141 G327676:G327677 G393212:G393213 G458748:G458749 G524284:G524285 G589820:G589821 G655356:G655357 G720892:G720893 G786428:G786429 G851964:G851965 G917500:G917501 G983036:G983037 G1048572:G1048573 G65532:G65533" xr:uid="{3A00A339-109E-4420-A61C-52F3113EC2C4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56C47-3F60-4385-9EEB-DCDD81CD9840}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A9A4-19B3-4B06-B805-F0508C4C3D22}">
  <dimension ref="A1:BA76"/>
  <sheetViews>
    <sheetView showZeros="0" workbookViewId="0">
      <selection activeCell="B13" sqref="B13"/>
    </sheetView>
  </sheetViews>
  <sheetFormatPr defaultColWidth="10" defaultRowHeight="15" customHeight="1" x14ac:dyDescent="0.2"/>
  <cols>
    <col min="1" max="1" width="6.75" style="718" customWidth="1"/>
    <col min="2" max="12" width="10.5" style="718" customWidth="1"/>
    <col min="13" max="15" width="10" style="718"/>
    <col min="16" max="16" width="10.375" style="718" customWidth="1"/>
    <col min="17" max="17" width="11.875" style="718" customWidth="1"/>
    <col min="18" max="251" width="10" style="718"/>
    <col min="252" max="252" width="6.75" style="718" customWidth="1"/>
    <col min="253" max="263" width="10.5" style="718" customWidth="1"/>
    <col min="264" max="267" width="10" style="718"/>
    <col min="268" max="268" width="10.75" style="718" bestFit="1" customWidth="1"/>
    <col min="269" max="507" width="10" style="718"/>
    <col min="508" max="508" width="6.75" style="718" customWidth="1"/>
    <col min="509" max="519" width="10.5" style="718" customWidth="1"/>
    <col min="520" max="523" width="10" style="718"/>
    <col min="524" max="524" width="10.75" style="718" bestFit="1" customWidth="1"/>
    <col min="525" max="763" width="10" style="718"/>
    <col min="764" max="764" width="6.75" style="718" customWidth="1"/>
    <col min="765" max="775" width="10.5" style="718" customWidth="1"/>
    <col min="776" max="779" width="10" style="718"/>
    <col min="780" max="780" width="10.75" style="718" bestFit="1" customWidth="1"/>
    <col min="781" max="1019" width="10" style="718"/>
    <col min="1020" max="1020" width="6.75" style="718" customWidth="1"/>
    <col min="1021" max="1031" width="10.5" style="718" customWidth="1"/>
    <col min="1032" max="1035" width="10" style="718"/>
    <col min="1036" max="1036" width="10.75" style="718" bestFit="1" customWidth="1"/>
    <col min="1037" max="1275" width="10" style="718"/>
    <col min="1276" max="1276" width="6.75" style="718" customWidth="1"/>
    <col min="1277" max="1287" width="10.5" style="718" customWidth="1"/>
    <col min="1288" max="1291" width="10" style="718"/>
    <col min="1292" max="1292" width="10.75" style="718" bestFit="1" customWidth="1"/>
    <col min="1293" max="1531" width="10" style="718"/>
    <col min="1532" max="1532" width="6.75" style="718" customWidth="1"/>
    <col min="1533" max="1543" width="10.5" style="718" customWidth="1"/>
    <col min="1544" max="1547" width="10" style="718"/>
    <col min="1548" max="1548" width="10.75" style="718" bestFit="1" customWidth="1"/>
    <col min="1549" max="1787" width="10" style="718"/>
    <col min="1788" max="1788" width="6.75" style="718" customWidth="1"/>
    <col min="1789" max="1799" width="10.5" style="718" customWidth="1"/>
    <col min="1800" max="1803" width="10" style="718"/>
    <col min="1804" max="1804" width="10.75" style="718" bestFit="1" customWidth="1"/>
    <col min="1805" max="2043" width="10" style="718"/>
    <col min="2044" max="2044" width="6.75" style="718" customWidth="1"/>
    <col min="2045" max="2055" width="10.5" style="718" customWidth="1"/>
    <col min="2056" max="2059" width="10" style="718"/>
    <col min="2060" max="2060" width="10.75" style="718" bestFit="1" customWidth="1"/>
    <col min="2061" max="2299" width="10" style="718"/>
    <col min="2300" max="2300" width="6.75" style="718" customWidth="1"/>
    <col min="2301" max="2311" width="10.5" style="718" customWidth="1"/>
    <col min="2312" max="2315" width="10" style="718"/>
    <col min="2316" max="2316" width="10.75" style="718" bestFit="1" customWidth="1"/>
    <col min="2317" max="2555" width="10" style="718"/>
    <col min="2556" max="2556" width="6.75" style="718" customWidth="1"/>
    <col min="2557" max="2567" width="10.5" style="718" customWidth="1"/>
    <col min="2568" max="2571" width="10" style="718"/>
    <col min="2572" max="2572" width="10.75" style="718" bestFit="1" customWidth="1"/>
    <col min="2573" max="2811" width="10" style="718"/>
    <col min="2812" max="2812" width="6.75" style="718" customWidth="1"/>
    <col min="2813" max="2823" width="10.5" style="718" customWidth="1"/>
    <col min="2824" max="2827" width="10" style="718"/>
    <col min="2828" max="2828" width="10.75" style="718" bestFit="1" customWidth="1"/>
    <col min="2829" max="3067" width="10" style="718"/>
    <col min="3068" max="3068" width="6.75" style="718" customWidth="1"/>
    <col min="3069" max="3079" width="10.5" style="718" customWidth="1"/>
    <col min="3080" max="3083" width="10" style="718"/>
    <col min="3084" max="3084" width="10.75" style="718" bestFit="1" customWidth="1"/>
    <col min="3085" max="3323" width="10" style="718"/>
    <col min="3324" max="3324" width="6.75" style="718" customWidth="1"/>
    <col min="3325" max="3335" width="10.5" style="718" customWidth="1"/>
    <col min="3336" max="3339" width="10" style="718"/>
    <col min="3340" max="3340" width="10.75" style="718" bestFit="1" customWidth="1"/>
    <col min="3341" max="3579" width="10" style="718"/>
    <col min="3580" max="3580" width="6.75" style="718" customWidth="1"/>
    <col min="3581" max="3591" width="10.5" style="718" customWidth="1"/>
    <col min="3592" max="3595" width="10" style="718"/>
    <col min="3596" max="3596" width="10.75" style="718" bestFit="1" customWidth="1"/>
    <col min="3597" max="3835" width="10" style="718"/>
    <col min="3836" max="3836" width="6.75" style="718" customWidth="1"/>
    <col min="3837" max="3847" width="10.5" style="718" customWidth="1"/>
    <col min="3848" max="3851" width="10" style="718"/>
    <col min="3852" max="3852" width="10.75" style="718" bestFit="1" customWidth="1"/>
    <col min="3853" max="4091" width="10" style="718"/>
    <col min="4092" max="4092" width="6.75" style="718" customWidth="1"/>
    <col min="4093" max="4103" width="10.5" style="718" customWidth="1"/>
    <col min="4104" max="4107" width="10" style="718"/>
    <col min="4108" max="4108" width="10.75" style="718" bestFit="1" customWidth="1"/>
    <col min="4109" max="4347" width="10" style="718"/>
    <col min="4348" max="4348" width="6.75" style="718" customWidth="1"/>
    <col min="4349" max="4359" width="10.5" style="718" customWidth="1"/>
    <col min="4360" max="4363" width="10" style="718"/>
    <col min="4364" max="4364" width="10.75" style="718" bestFit="1" customWidth="1"/>
    <col min="4365" max="4603" width="10" style="718"/>
    <col min="4604" max="4604" width="6.75" style="718" customWidth="1"/>
    <col min="4605" max="4615" width="10.5" style="718" customWidth="1"/>
    <col min="4616" max="4619" width="10" style="718"/>
    <col min="4620" max="4620" width="10.75" style="718" bestFit="1" customWidth="1"/>
    <col min="4621" max="4859" width="10" style="718"/>
    <col min="4860" max="4860" width="6.75" style="718" customWidth="1"/>
    <col min="4861" max="4871" width="10.5" style="718" customWidth="1"/>
    <col min="4872" max="4875" width="10" style="718"/>
    <col min="4876" max="4876" width="10.75" style="718" bestFit="1" customWidth="1"/>
    <col min="4877" max="5115" width="10" style="718"/>
    <col min="5116" max="5116" width="6.75" style="718" customWidth="1"/>
    <col min="5117" max="5127" width="10.5" style="718" customWidth="1"/>
    <col min="5128" max="5131" width="10" style="718"/>
    <col min="5132" max="5132" width="10.75" style="718" bestFit="1" customWidth="1"/>
    <col min="5133" max="5371" width="10" style="718"/>
    <col min="5372" max="5372" width="6.75" style="718" customWidth="1"/>
    <col min="5373" max="5383" width="10.5" style="718" customWidth="1"/>
    <col min="5384" max="5387" width="10" style="718"/>
    <col min="5388" max="5388" width="10.75" style="718" bestFit="1" customWidth="1"/>
    <col min="5389" max="5627" width="10" style="718"/>
    <col min="5628" max="5628" width="6.75" style="718" customWidth="1"/>
    <col min="5629" max="5639" width="10.5" style="718" customWidth="1"/>
    <col min="5640" max="5643" width="10" style="718"/>
    <col min="5644" max="5644" width="10.75" style="718" bestFit="1" customWidth="1"/>
    <col min="5645" max="5883" width="10" style="718"/>
    <col min="5884" max="5884" width="6.75" style="718" customWidth="1"/>
    <col min="5885" max="5895" width="10.5" style="718" customWidth="1"/>
    <col min="5896" max="5899" width="10" style="718"/>
    <col min="5900" max="5900" width="10.75" style="718" bestFit="1" customWidth="1"/>
    <col min="5901" max="6139" width="10" style="718"/>
    <col min="6140" max="6140" width="6.75" style="718" customWidth="1"/>
    <col min="6141" max="6151" width="10.5" style="718" customWidth="1"/>
    <col min="6152" max="6155" width="10" style="718"/>
    <col min="6156" max="6156" width="10.75" style="718" bestFit="1" customWidth="1"/>
    <col min="6157" max="6395" width="10" style="718"/>
    <col min="6396" max="6396" width="6.75" style="718" customWidth="1"/>
    <col min="6397" max="6407" width="10.5" style="718" customWidth="1"/>
    <col min="6408" max="6411" width="10" style="718"/>
    <col min="6412" max="6412" width="10.75" style="718" bestFit="1" customWidth="1"/>
    <col min="6413" max="6651" width="10" style="718"/>
    <col min="6652" max="6652" width="6.75" style="718" customWidth="1"/>
    <col min="6653" max="6663" width="10.5" style="718" customWidth="1"/>
    <col min="6664" max="6667" width="10" style="718"/>
    <col min="6668" max="6668" width="10.75" style="718" bestFit="1" customWidth="1"/>
    <col min="6669" max="6907" width="10" style="718"/>
    <col min="6908" max="6908" width="6.75" style="718" customWidth="1"/>
    <col min="6909" max="6919" width="10.5" style="718" customWidth="1"/>
    <col min="6920" max="6923" width="10" style="718"/>
    <col min="6924" max="6924" width="10.75" style="718" bestFit="1" customWidth="1"/>
    <col min="6925" max="7163" width="10" style="718"/>
    <col min="7164" max="7164" width="6.75" style="718" customWidth="1"/>
    <col min="7165" max="7175" width="10.5" style="718" customWidth="1"/>
    <col min="7176" max="7179" width="10" style="718"/>
    <col min="7180" max="7180" width="10.75" style="718" bestFit="1" customWidth="1"/>
    <col min="7181" max="7419" width="10" style="718"/>
    <col min="7420" max="7420" width="6.75" style="718" customWidth="1"/>
    <col min="7421" max="7431" width="10.5" style="718" customWidth="1"/>
    <col min="7432" max="7435" width="10" style="718"/>
    <col min="7436" max="7436" width="10.75" style="718" bestFit="1" customWidth="1"/>
    <col min="7437" max="7675" width="10" style="718"/>
    <col min="7676" max="7676" width="6.75" style="718" customWidth="1"/>
    <col min="7677" max="7687" width="10.5" style="718" customWidth="1"/>
    <col min="7688" max="7691" width="10" style="718"/>
    <col min="7692" max="7692" width="10.75" style="718" bestFit="1" customWidth="1"/>
    <col min="7693" max="7931" width="10" style="718"/>
    <col min="7932" max="7932" width="6.75" style="718" customWidth="1"/>
    <col min="7933" max="7943" width="10.5" style="718" customWidth="1"/>
    <col min="7944" max="7947" width="10" style="718"/>
    <col min="7948" max="7948" width="10.75" style="718" bestFit="1" customWidth="1"/>
    <col min="7949" max="8187" width="10" style="718"/>
    <col min="8188" max="8188" width="6.75" style="718" customWidth="1"/>
    <col min="8189" max="8199" width="10.5" style="718" customWidth="1"/>
    <col min="8200" max="8203" width="10" style="718"/>
    <col min="8204" max="8204" width="10.75" style="718" bestFit="1" customWidth="1"/>
    <col min="8205" max="8443" width="10" style="718"/>
    <col min="8444" max="8444" width="6.75" style="718" customWidth="1"/>
    <col min="8445" max="8455" width="10.5" style="718" customWidth="1"/>
    <col min="8456" max="8459" width="10" style="718"/>
    <col min="8460" max="8460" width="10.75" style="718" bestFit="1" customWidth="1"/>
    <col min="8461" max="8699" width="10" style="718"/>
    <col min="8700" max="8700" width="6.75" style="718" customWidth="1"/>
    <col min="8701" max="8711" width="10.5" style="718" customWidth="1"/>
    <col min="8712" max="8715" width="10" style="718"/>
    <col min="8716" max="8716" width="10.75" style="718" bestFit="1" customWidth="1"/>
    <col min="8717" max="8955" width="10" style="718"/>
    <col min="8956" max="8956" width="6.75" style="718" customWidth="1"/>
    <col min="8957" max="8967" width="10.5" style="718" customWidth="1"/>
    <col min="8968" max="8971" width="10" style="718"/>
    <col min="8972" max="8972" width="10.75" style="718" bestFit="1" customWidth="1"/>
    <col min="8973" max="9211" width="10" style="718"/>
    <col min="9212" max="9212" width="6.75" style="718" customWidth="1"/>
    <col min="9213" max="9223" width="10.5" style="718" customWidth="1"/>
    <col min="9224" max="9227" width="10" style="718"/>
    <col min="9228" max="9228" width="10.75" style="718" bestFit="1" customWidth="1"/>
    <col min="9229" max="9467" width="10" style="718"/>
    <col min="9468" max="9468" width="6.75" style="718" customWidth="1"/>
    <col min="9469" max="9479" width="10.5" style="718" customWidth="1"/>
    <col min="9480" max="9483" width="10" style="718"/>
    <col min="9484" max="9484" width="10.75" style="718" bestFit="1" customWidth="1"/>
    <col min="9485" max="9723" width="10" style="718"/>
    <col min="9724" max="9724" width="6.75" style="718" customWidth="1"/>
    <col min="9725" max="9735" width="10.5" style="718" customWidth="1"/>
    <col min="9736" max="9739" width="10" style="718"/>
    <col min="9740" max="9740" width="10.75" style="718" bestFit="1" customWidth="1"/>
    <col min="9741" max="9979" width="10" style="718"/>
    <col min="9980" max="9980" width="6.75" style="718" customWidth="1"/>
    <col min="9981" max="9991" width="10.5" style="718" customWidth="1"/>
    <col min="9992" max="9995" width="10" style="718"/>
    <col min="9996" max="9996" width="10.75" style="718" bestFit="1" customWidth="1"/>
    <col min="9997" max="10235" width="10" style="718"/>
    <col min="10236" max="10236" width="6.75" style="718" customWidth="1"/>
    <col min="10237" max="10247" width="10.5" style="718" customWidth="1"/>
    <col min="10248" max="10251" width="10" style="718"/>
    <col min="10252" max="10252" width="10.75" style="718" bestFit="1" customWidth="1"/>
    <col min="10253" max="10491" width="10" style="718"/>
    <col min="10492" max="10492" width="6.75" style="718" customWidth="1"/>
    <col min="10493" max="10503" width="10.5" style="718" customWidth="1"/>
    <col min="10504" max="10507" width="10" style="718"/>
    <col min="10508" max="10508" width="10.75" style="718" bestFit="1" customWidth="1"/>
    <col min="10509" max="10747" width="10" style="718"/>
    <col min="10748" max="10748" width="6.75" style="718" customWidth="1"/>
    <col min="10749" max="10759" width="10.5" style="718" customWidth="1"/>
    <col min="10760" max="10763" width="10" style="718"/>
    <col min="10764" max="10764" width="10.75" style="718" bestFit="1" customWidth="1"/>
    <col min="10765" max="11003" width="10" style="718"/>
    <col min="11004" max="11004" width="6.75" style="718" customWidth="1"/>
    <col min="11005" max="11015" width="10.5" style="718" customWidth="1"/>
    <col min="11016" max="11019" width="10" style="718"/>
    <col min="11020" max="11020" width="10.75" style="718" bestFit="1" customWidth="1"/>
    <col min="11021" max="11259" width="10" style="718"/>
    <col min="11260" max="11260" width="6.75" style="718" customWidth="1"/>
    <col min="11261" max="11271" width="10.5" style="718" customWidth="1"/>
    <col min="11272" max="11275" width="10" style="718"/>
    <col min="11276" max="11276" width="10.75" style="718" bestFit="1" customWidth="1"/>
    <col min="11277" max="11515" width="10" style="718"/>
    <col min="11516" max="11516" width="6.75" style="718" customWidth="1"/>
    <col min="11517" max="11527" width="10.5" style="718" customWidth="1"/>
    <col min="11528" max="11531" width="10" style="718"/>
    <col min="11532" max="11532" width="10.75" style="718" bestFit="1" customWidth="1"/>
    <col min="11533" max="11771" width="10" style="718"/>
    <col min="11772" max="11772" width="6.75" style="718" customWidth="1"/>
    <col min="11773" max="11783" width="10.5" style="718" customWidth="1"/>
    <col min="11784" max="11787" width="10" style="718"/>
    <col min="11788" max="11788" width="10.75" style="718" bestFit="1" customWidth="1"/>
    <col min="11789" max="12027" width="10" style="718"/>
    <col min="12028" max="12028" width="6.75" style="718" customWidth="1"/>
    <col min="12029" max="12039" width="10.5" style="718" customWidth="1"/>
    <col min="12040" max="12043" width="10" style="718"/>
    <col min="12044" max="12044" width="10.75" style="718" bestFit="1" customWidth="1"/>
    <col min="12045" max="12283" width="10" style="718"/>
    <col min="12284" max="12284" width="6.75" style="718" customWidth="1"/>
    <col min="12285" max="12295" width="10.5" style="718" customWidth="1"/>
    <col min="12296" max="12299" width="10" style="718"/>
    <col min="12300" max="12300" width="10.75" style="718" bestFit="1" customWidth="1"/>
    <col min="12301" max="12539" width="10" style="718"/>
    <col min="12540" max="12540" width="6.75" style="718" customWidth="1"/>
    <col min="12541" max="12551" width="10.5" style="718" customWidth="1"/>
    <col min="12552" max="12555" width="10" style="718"/>
    <col min="12556" max="12556" width="10.75" style="718" bestFit="1" customWidth="1"/>
    <col min="12557" max="12795" width="10" style="718"/>
    <col min="12796" max="12796" width="6.75" style="718" customWidth="1"/>
    <col min="12797" max="12807" width="10.5" style="718" customWidth="1"/>
    <col min="12808" max="12811" width="10" style="718"/>
    <col min="12812" max="12812" width="10.75" style="718" bestFit="1" customWidth="1"/>
    <col min="12813" max="13051" width="10" style="718"/>
    <col min="13052" max="13052" width="6.75" style="718" customWidth="1"/>
    <col min="13053" max="13063" width="10.5" style="718" customWidth="1"/>
    <col min="13064" max="13067" width="10" style="718"/>
    <col min="13068" max="13068" width="10.75" style="718" bestFit="1" customWidth="1"/>
    <col min="13069" max="13307" width="10" style="718"/>
    <col min="13308" max="13308" width="6.75" style="718" customWidth="1"/>
    <col min="13309" max="13319" width="10.5" style="718" customWidth="1"/>
    <col min="13320" max="13323" width="10" style="718"/>
    <col min="13324" max="13324" width="10.75" style="718" bestFit="1" customWidth="1"/>
    <col min="13325" max="13563" width="10" style="718"/>
    <col min="13564" max="13564" width="6.75" style="718" customWidth="1"/>
    <col min="13565" max="13575" width="10.5" style="718" customWidth="1"/>
    <col min="13576" max="13579" width="10" style="718"/>
    <col min="13580" max="13580" width="10.75" style="718" bestFit="1" customWidth="1"/>
    <col min="13581" max="13819" width="10" style="718"/>
    <col min="13820" max="13820" width="6.75" style="718" customWidth="1"/>
    <col min="13821" max="13831" width="10.5" style="718" customWidth="1"/>
    <col min="13832" max="13835" width="10" style="718"/>
    <col min="13836" max="13836" width="10.75" style="718" bestFit="1" customWidth="1"/>
    <col min="13837" max="14075" width="10" style="718"/>
    <col min="14076" max="14076" width="6.75" style="718" customWidth="1"/>
    <col min="14077" max="14087" width="10.5" style="718" customWidth="1"/>
    <col min="14088" max="14091" width="10" style="718"/>
    <col min="14092" max="14092" width="10.75" style="718" bestFit="1" customWidth="1"/>
    <col min="14093" max="14331" width="10" style="718"/>
    <col min="14332" max="14332" width="6.75" style="718" customWidth="1"/>
    <col min="14333" max="14343" width="10.5" style="718" customWidth="1"/>
    <col min="14344" max="14347" width="10" style="718"/>
    <col min="14348" max="14348" width="10.75" style="718" bestFit="1" customWidth="1"/>
    <col min="14349" max="14587" width="10" style="718"/>
    <col min="14588" max="14588" width="6.75" style="718" customWidth="1"/>
    <col min="14589" max="14599" width="10.5" style="718" customWidth="1"/>
    <col min="14600" max="14603" width="10" style="718"/>
    <col min="14604" max="14604" width="10.75" style="718" bestFit="1" customWidth="1"/>
    <col min="14605" max="14843" width="10" style="718"/>
    <col min="14844" max="14844" width="6.75" style="718" customWidth="1"/>
    <col min="14845" max="14855" width="10.5" style="718" customWidth="1"/>
    <col min="14856" max="14859" width="10" style="718"/>
    <col min="14860" max="14860" width="10.75" style="718" bestFit="1" customWidth="1"/>
    <col min="14861" max="15099" width="10" style="718"/>
    <col min="15100" max="15100" width="6.75" style="718" customWidth="1"/>
    <col min="15101" max="15111" width="10.5" style="718" customWidth="1"/>
    <col min="15112" max="15115" width="10" style="718"/>
    <col min="15116" max="15116" width="10.75" style="718" bestFit="1" customWidth="1"/>
    <col min="15117" max="15355" width="10" style="718"/>
    <col min="15356" max="15356" width="6.75" style="718" customWidth="1"/>
    <col min="15357" max="15367" width="10.5" style="718" customWidth="1"/>
    <col min="15368" max="15371" width="10" style="718"/>
    <col min="15372" max="15372" width="10.75" style="718" bestFit="1" customWidth="1"/>
    <col min="15373" max="15611" width="10" style="718"/>
    <col min="15612" max="15612" width="6.75" style="718" customWidth="1"/>
    <col min="15613" max="15623" width="10.5" style="718" customWidth="1"/>
    <col min="15624" max="15627" width="10" style="718"/>
    <col min="15628" max="15628" width="10.75" style="718" bestFit="1" customWidth="1"/>
    <col min="15629" max="15867" width="10" style="718"/>
    <col min="15868" max="15868" width="6.75" style="718" customWidth="1"/>
    <col min="15869" max="15879" width="10.5" style="718" customWidth="1"/>
    <col min="15880" max="15883" width="10" style="718"/>
    <col min="15884" max="15884" width="10.75" style="718" bestFit="1" customWidth="1"/>
    <col min="15885" max="16123" width="10" style="718"/>
    <col min="16124" max="16124" width="6.75" style="718" customWidth="1"/>
    <col min="16125" max="16135" width="10.5" style="718" customWidth="1"/>
    <col min="16136" max="16139" width="10" style="718"/>
    <col min="16140" max="16140" width="10.75" style="718" bestFit="1" customWidth="1"/>
    <col min="16141" max="16384" width="10" style="718"/>
  </cols>
  <sheetData>
    <row r="1" spans="1:34" ht="15" customHeight="1" x14ac:dyDescent="0.2">
      <c r="A1" s="80" t="s">
        <v>903</v>
      </c>
    </row>
    <row r="2" spans="1:34" s="717" customFormat="1" ht="15" customHeight="1" x14ac:dyDescent="0.2">
      <c r="A2" s="793" t="s">
        <v>2</v>
      </c>
      <c r="B2" s="793" t="str">
        <f>Orçamento_Deson!C6</f>
        <v>PARQUE ESTORIL - ETAPAS 03 E 04</v>
      </c>
      <c r="N2" s="718"/>
      <c r="O2" s="718"/>
      <c r="P2" s="718"/>
      <c r="Q2" s="718"/>
      <c r="R2" s="718"/>
      <c r="S2" s="718"/>
      <c r="T2" s="718"/>
      <c r="U2" s="718"/>
      <c r="V2" s="3"/>
      <c r="W2" s="3"/>
      <c r="X2" s="3"/>
      <c r="Y2" s="3"/>
      <c r="Z2" s="3"/>
      <c r="AA2" s="3"/>
      <c r="AB2" s="3"/>
      <c r="AC2" s="3"/>
      <c r="AD2" s="719"/>
    </row>
    <row r="3" spans="1:34" s="717" customFormat="1" ht="15" customHeight="1" x14ac:dyDescent="0.2">
      <c r="A3" s="793" t="s">
        <v>773</v>
      </c>
      <c r="B3" s="793" t="s">
        <v>836</v>
      </c>
      <c r="E3" s="720"/>
      <c r="F3" s="716"/>
      <c r="N3" s="718"/>
      <c r="O3" s="718"/>
      <c r="P3" s="718"/>
      <c r="Q3" s="718"/>
      <c r="R3" s="718"/>
      <c r="S3" s="718"/>
      <c r="T3" s="718"/>
      <c r="U3" s="718"/>
      <c r="V3" s="3"/>
      <c r="W3" s="3"/>
      <c r="X3" s="3"/>
      <c r="Y3" s="3"/>
      <c r="Z3" s="3"/>
      <c r="AA3" s="3"/>
      <c r="AB3" s="3"/>
      <c r="AC3" s="3"/>
      <c r="AD3" s="721"/>
    </row>
    <row r="4" spans="1:34" s="717" customFormat="1" ht="15" customHeight="1" x14ac:dyDescent="0.2">
      <c r="A4" s="793" t="s">
        <v>774</v>
      </c>
      <c r="B4" s="2193" t="str">
        <f>Dren_Dados!B4</f>
        <v>Junho/2023</v>
      </c>
      <c r="E4" s="720"/>
      <c r="F4" s="716"/>
      <c r="N4" s="718"/>
      <c r="O4" s="718"/>
      <c r="P4" s="718"/>
      <c r="Q4" s="718"/>
      <c r="R4" s="718"/>
      <c r="S4" s="718"/>
      <c r="T4" s="718"/>
      <c r="U4" s="718"/>
      <c r="V4" s="3"/>
      <c r="W4" s="3"/>
      <c r="X4" s="3"/>
      <c r="Y4" s="3"/>
      <c r="Z4" s="3"/>
      <c r="AA4" s="3"/>
      <c r="AB4" s="3"/>
      <c r="AC4" s="3"/>
      <c r="AD4" s="722"/>
    </row>
    <row r="5" spans="1:34" s="717" customFormat="1" ht="15" customHeight="1" x14ac:dyDescent="0.2">
      <c r="O5" s="718"/>
      <c r="P5" s="718"/>
      <c r="Q5" s="718"/>
      <c r="R5" s="718"/>
      <c r="S5" s="718"/>
      <c r="T5" s="718"/>
      <c r="U5" s="718"/>
      <c r="V5" s="3"/>
      <c r="W5" s="3"/>
      <c r="X5" s="3"/>
      <c r="Y5" s="3"/>
      <c r="Z5" s="3"/>
      <c r="AA5" s="3"/>
      <c r="AB5" s="3"/>
      <c r="AC5" s="3"/>
      <c r="AD5" s="722"/>
    </row>
    <row r="6" spans="1:34" s="717" customFormat="1" ht="15" customHeight="1" x14ac:dyDescent="0.2">
      <c r="A6" s="748" t="s">
        <v>775</v>
      </c>
      <c r="B6" s="748" t="s">
        <v>776</v>
      </c>
      <c r="C6" s="748"/>
      <c r="D6" s="749"/>
      <c r="E6" s="749"/>
      <c r="F6" s="749"/>
      <c r="G6" s="749"/>
      <c r="H6" s="749"/>
      <c r="I6" s="749"/>
      <c r="J6" s="749"/>
      <c r="K6" s="749"/>
      <c r="L6" s="749"/>
      <c r="O6" s="718"/>
      <c r="P6" s="718"/>
      <c r="Q6" s="718"/>
      <c r="R6" s="718"/>
      <c r="S6"/>
      <c r="T6"/>
      <c r="U6" s="718"/>
      <c r="V6" s="3"/>
      <c r="W6" s="3"/>
      <c r="X6" s="3"/>
      <c r="Y6" s="3"/>
      <c r="Z6" s="3"/>
      <c r="AA6" s="3"/>
      <c r="AB6" s="3"/>
      <c r="AC6" s="3"/>
      <c r="AD6" s="724"/>
    </row>
    <row r="7" spans="1:34" s="717" customFormat="1" ht="15" customHeight="1" x14ac:dyDescent="0.2">
      <c r="O7" s="718"/>
      <c r="P7" s="718"/>
      <c r="Q7" s="718"/>
      <c r="R7" s="718"/>
      <c r="S7" s="727"/>
      <c r="T7" s="727"/>
      <c r="U7" s="718"/>
      <c r="V7" s="3"/>
      <c r="W7" s="3"/>
      <c r="X7" s="3"/>
      <c r="Y7" s="3"/>
      <c r="Z7" s="3"/>
      <c r="AA7" s="3"/>
      <c r="AB7" s="3"/>
      <c r="AC7" s="3"/>
      <c r="AD7" s="728"/>
      <c r="AE7" s="3"/>
      <c r="AF7" s="3"/>
      <c r="AG7" s="3"/>
      <c r="AH7" s="3"/>
    </row>
    <row r="8" spans="1:34" s="717" customFormat="1" ht="15" customHeight="1" thickBot="1" x14ac:dyDescent="0.25">
      <c r="A8" s="717" t="s">
        <v>777</v>
      </c>
      <c r="B8" s="717" t="s">
        <v>825</v>
      </c>
      <c r="O8" s="718"/>
      <c r="P8" s="718"/>
      <c r="Q8" s="718"/>
      <c r="R8" s="718"/>
      <c r="S8" s="727"/>
      <c r="T8" s="727"/>
      <c r="U8" s="718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s="717" customFormat="1" ht="13.5" customHeight="1" thickTop="1" x14ac:dyDescent="0.2">
      <c r="A9" s="729"/>
      <c r="B9" s="3274" t="s">
        <v>821</v>
      </c>
      <c r="C9" s="3277" t="s">
        <v>823</v>
      </c>
      <c r="D9" s="3277" t="s">
        <v>811</v>
      </c>
      <c r="E9" s="3277" t="s">
        <v>824</v>
      </c>
      <c r="F9" s="3277" t="s">
        <v>2643</v>
      </c>
      <c r="G9" s="3277" t="s">
        <v>2642</v>
      </c>
      <c r="H9" s="3283" t="s">
        <v>2641</v>
      </c>
      <c r="I9" s="3265" t="s">
        <v>819</v>
      </c>
      <c r="J9" s="3266"/>
      <c r="K9" s="3266"/>
      <c r="L9" s="3267"/>
      <c r="O9" s="718"/>
      <c r="P9" s="718"/>
      <c r="Q9" s="718"/>
      <c r="R9" s="718"/>
      <c r="S9" s="38"/>
      <c r="T9" s="38"/>
      <c r="U9" s="718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s="717" customFormat="1" ht="12.75" x14ac:dyDescent="0.2">
      <c r="B10" s="3275"/>
      <c r="C10" s="3278"/>
      <c r="D10" s="3278"/>
      <c r="E10" s="3278"/>
      <c r="F10" s="3278"/>
      <c r="G10" s="3278"/>
      <c r="H10" s="3284"/>
      <c r="I10" s="3268" t="s">
        <v>354</v>
      </c>
      <c r="J10" s="3269"/>
      <c r="K10" s="3269"/>
      <c r="L10" s="3270"/>
      <c r="O10" s="718"/>
      <c r="P10" s="718"/>
      <c r="Q10" s="718"/>
      <c r="R10" s="718"/>
      <c r="S10" s="37"/>
      <c r="T10" s="730"/>
      <c r="U10" s="718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s="717" customFormat="1" ht="13.5" thickBot="1" x14ac:dyDescent="0.25">
      <c r="A11" s="729"/>
      <c r="B11" s="3276"/>
      <c r="C11" s="3279"/>
      <c r="D11" s="3279"/>
      <c r="E11" s="3279"/>
      <c r="F11" s="3279"/>
      <c r="G11" s="3279"/>
      <c r="H11" s="3285"/>
      <c r="I11" s="3294"/>
      <c r="J11" s="3295"/>
      <c r="K11" s="3295"/>
      <c r="L11" s="3296"/>
      <c r="M11" s="724"/>
      <c r="O11" s="718"/>
      <c r="P11" s="718"/>
      <c r="Q11" s="718"/>
      <c r="R11" s="718"/>
      <c r="S11" s="37"/>
      <c r="T11" s="731"/>
      <c r="U11" s="718"/>
    </row>
    <row r="12" spans="1:34" s="717" customFormat="1" ht="15" customHeight="1" thickTop="1" x14ac:dyDescent="0.2">
      <c r="B12" s="762">
        <v>60</v>
      </c>
      <c r="C12" s="758" t="e">
        <f>IF(B12=0,0,VLOOKUP(B12,Dren_Dim!A:W,17,"falso"))</f>
        <v>#N/A</v>
      </c>
      <c r="D12" s="758" t="e">
        <f>IF(B12=0,0,VLOOKUP(B12,Dren_Dim!A:W,23,"falso")/1000)</f>
        <v>#N/A</v>
      </c>
      <c r="E12" s="756" t="e">
        <f>IF(B12=0,0,VLOOKUP(B12,Dren_Dim!A:AL,38,"falso"))</f>
        <v>#N/A</v>
      </c>
      <c r="F12" s="756" t="e">
        <f>IF(B12=0,0,VLOOKUP(B12,Dren_Dim!A:AL,6,"falso"))</f>
        <v>#N/A</v>
      </c>
      <c r="G12" s="756" t="e">
        <f>IF(B12=0,0,VLOOKUP(B12,Dren_Dim!A:AL,7,"falso"))</f>
        <v>#N/A</v>
      </c>
      <c r="H12" s="756" t="e">
        <f>IF(B12=0,0,VLOOKUP(B12,Dren_Dim!A:AL,8,"falso"))</f>
        <v>#N/A</v>
      </c>
      <c r="I12" s="768" t="s">
        <v>107</v>
      </c>
      <c r="J12" s="769">
        <f>Dren_Dim!AJ3</f>
        <v>1146.93</v>
      </c>
      <c r="K12" s="768" t="s">
        <v>106</v>
      </c>
      <c r="L12" s="770">
        <f>Dren_Dim!AL3</f>
        <v>12</v>
      </c>
      <c r="M12" s="728"/>
      <c r="O12" s="718"/>
      <c r="P12" s="718"/>
      <c r="Q12" s="718"/>
      <c r="R12" s="718"/>
      <c r="S12" s="733"/>
      <c r="T12" s="734"/>
      <c r="U12" s="718"/>
    </row>
    <row r="13" spans="1:34" s="717" customFormat="1" ht="15" customHeight="1" x14ac:dyDescent="0.2">
      <c r="A13" s="723"/>
      <c r="B13" s="757">
        <v>63</v>
      </c>
      <c r="C13" s="758" t="e">
        <f>IF(B13=0,0,VLOOKUP(B13,Dren_Dim!A:W,17,"falso"))</f>
        <v>#N/A</v>
      </c>
      <c r="D13" s="758" t="e">
        <f>IF(B13=0,0,VLOOKUP(B13,Dren_Dim!A:W,23,"falso")/1000)</f>
        <v>#N/A</v>
      </c>
      <c r="E13" s="756" t="e">
        <f>IF(B13=0,0,VLOOKUP(B13,Dren_Dim!A:AL,38,"falso"))</f>
        <v>#N/A</v>
      </c>
      <c r="F13" s="756" t="e">
        <f>IF(B13=0,0,VLOOKUP(B13,Dren_Dim!A:AL,6,"falso"))</f>
        <v>#N/A</v>
      </c>
      <c r="G13" s="756" t="e">
        <f>IF(B13=0,0,VLOOKUP(B13,Dren_Dim!A:AL,7,"falso"))</f>
        <v>#N/A</v>
      </c>
      <c r="H13" s="756" t="e">
        <f>IF(B13=0,0,VLOOKUP(B13,Dren_Dim!A:AL,8,"falso"))</f>
        <v>#N/A</v>
      </c>
      <c r="I13" s="771" t="s">
        <v>105</v>
      </c>
      <c r="J13" s="772">
        <f>Dren_Dim!AJ4</f>
        <v>0.18</v>
      </c>
      <c r="K13" s="771" t="s">
        <v>104</v>
      </c>
      <c r="L13" s="772">
        <f>Dren_Dim!AL4</f>
        <v>0.79</v>
      </c>
      <c r="O13" s="718"/>
      <c r="P13" s="718"/>
      <c r="Q13" s="718"/>
      <c r="R13" s="718"/>
      <c r="S13" s="718"/>
      <c r="T13" s="718"/>
      <c r="U13" s="718"/>
    </row>
    <row r="14" spans="1:34" s="717" customFormat="1" ht="15" customHeight="1" x14ac:dyDescent="0.2">
      <c r="A14" s="723"/>
      <c r="B14" s="757"/>
      <c r="C14" s="758">
        <f>IF(B14=0,0,VLOOKUP(B14,Dren_Dim!A:W,17,"falso"))</f>
        <v>0</v>
      </c>
      <c r="D14" s="758">
        <f>IF(B14=0,0,VLOOKUP(B14,Dren_Dim!A:W,23,"falso")/1000)</f>
        <v>0</v>
      </c>
      <c r="E14" s="756">
        <f>IF(B14=0,0,VLOOKUP(B14,Dren_Dim!A:AL,38,"falso"))</f>
        <v>0</v>
      </c>
      <c r="F14" s="756">
        <f>IF(B14=0,0,VLOOKUP(B14,Dren_Dim!A:AL,6,"falso"))</f>
        <v>0</v>
      </c>
      <c r="G14" s="756">
        <f>IF(B14=0,0,VLOOKUP(B14,Dren_Dim!A:AL,7,"falso"))</f>
        <v>0</v>
      </c>
      <c r="H14" s="756">
        <f>IF(B14=0,0,VLOOKUP(B14,Dren_Dim!A:AL,8,"falso"))</f>
        <v>0</v>
      </c>
      <c r="I14" s="771" t="s">
        <v>103</v>
      </c>
      <c r="J14" s="773">
        <f>Dren_Dim!AJ5</f>
        <v>5</v>
      </c>
      <c r="K14" s="774" t="s">
        <v>820</v>
      </c>
      <c r="L14" s="2224">
        <f>Dren_Dim!AL5</f>
        <v>0</v>
      </c>
      <c r="O14" s="718"/>
      <c r="P14" s="718"/>
      <c r="Q14" s="718"/>
      <c r="R14" s="718"/>
      <c r="S14" s="718"/>
      <c r="T14" s="718"/>
      <c r="U14" s="718"/>
    </row>
    <row r="15" spans="1:34" s="717" customFormat="1" ht="15" customHeight="1" thickBot="1" x14ac:dyDescent="0.25">
      <c r="A15" s="723"/>
      <c r="B15" s="757"/>
      <c r="C15" s="758">
        <f>IF(B15=0,0,VLOOKUP(B15,Dren_Dim!A:W,17,"falso"))</f>
        <v>0</v>
      </c>
      <c r="D15" s="758">
        <f>IF(B15=0,0,VLOOKUP(B15,Dren_Dim!A:W,23,"falso")/1000)</f>
        <v>0</v>
      </c>
      <c r="E15" s="756">
        <f>IF(B15=0,0,VLOOKUP(B15,Dren_Dim!A:AL,38,"falso"))</f>
        <v>0</v>
      </c>
      <c r="F15" s="756">
        <f>IF(B15=0,0,VLOOKUP(B15,Dren_Dim!A:AL,6,"falso"))</f>
        <v>0</v>
      </c>
      <c r="G15" s="756">
        <f>IF(B15=0,0,VLOOKUP(B15,Dren_Dim!A:AL,7,"falso"))</f>
        <v>0</v>
      </c>
      <c r="H15" s="756">
        <f>IF(B15=0,0,VLOOKUP(B15,Dren_Dim!A:AL,8,"falso"))</f>
        <v>0</v>
      </c>
      <c r="I15" s="2219"/>
      <c r="J15" s="2223"/>
      <c r="K15" s="2222"/>
      <c r="L15" s="2218"/>
      <c r="O15" s="718"/>
      <c r="P15" s="718"/>
      <c r="Q15" s="718"/>
      <c r="R15" s="718"/>
      <c r="S15" s="718"/>
      <c r="T15" s="718"/>
      <c r="U15" s="718"/>
    </row>
    <row r="16" spans="1:34" s="717" customFormat="1" ht="15" customHeight="1" thickTop="1" thickBot="1" x14ac:dyDescent="0.25">
      <c r="A16" s="723"/>
      <c r="B16" s="757"/>
      <c r="C16" s="758">
        <f>IF(B16=0,0,VLOOKUP(B16,Dren_Dim!A:W,17,"falso"))</f>
        <v>0</v>
      </c>
      <c r="D16" s="758">
        <f>IF(B16=0,0,VLOOKUP(B16,Dren_Dim!A:W,23,"falso")/1000)</f>
        <v>0</v>
      </c>
      <c r="E16" s="756">
        <f>IF(B16=0,0,VLOOKUP(B16,Dren_Dim!A:AL,38,"falso"))</f>
        <v>0</v>
      </c>
      <c r="F16" s="756">
        <f>IF(B16=0,0,VLOOKUP(B16,Dren_Dim!A:AL,6,"falso"))</f>
        <v>0</v>
      </c>
      <c r="G16" s="756">
        <f>IF(B16=0,0,VLOOKUP(B16,Dren_Dim!A:AL,7,"falso"))</f>
        <v>0</v>
      </c>
      <c r="H16" s="756">
        <f>IF(B16=0,0,VLOOKUP(B16,Dren_Dim!A:AL,8,"falso"))</f>
        <v>0</v>
      </c>
      <c r="I16" s="2219"/>
      <c r="J16" s="765" t="s">
        <v>821</v>
      </c>
      <c r="K16" s="767" t="s">
        <v>2640</v>
      </c>
      <c r="L16" s="2218"/>
      <c r="O16" s="718"/>
      <c r="P16" s="718"/>
      <c r="Q16" s="718"/>
      <c r="R16" s="718"/>
      <c r="S16" s="718"/>
      <c r="T16" s="718"/>
      <c r="U16" s="718"/>
    </row>
    <row r="17" spans="1:34" s="717" customFormat="1" ht="15" customHeight="1" thickTop="1" x14ac:dyDescent="0.2">
      <c r="A17" s="723"/>
      <c r="B17" s="757"/>
      <c r="C17" s="758">
        <f>IF(B17=0,0,VLOOKUP(B17,Dren_Dim!A:W,17,"falso"))</f>
        <v>0</v>
      </c>
      <c r="D17" s="758">
        <f>IF(B17=0,0,VLOOKUP(B17,Dren_Dim!A:W,23,"falso")/1000)</f>
        <v>0</v>
      </c>
      <c r="E17" s="756">
        <f>IF(B17=0,0,VLOOKUP(B17,Dren_Dim!A:AL,38,"falso"))</f>
        <v>0</v>
      </c>
      <c r="F17" s="756">
        <f>IF(B17=0,0,VLOOKUP(B17,Dren_Dim!A:AL,6,"falso"))</f>
        <v>0</v>
      </c>
      <c r="G17" s="756">
        <f>IF(B17=0,0,VLOOKUP(B17,Dren_Dim!A:AL,7,"falso"))</f>
        <v>0</v>
      </c>
      <c r="H17" s="756">
        <f>IF(B17=0,0,VLOOKUP(B17,Dren_Dim!A:AL,8,"falso"))</f>
        <v>0</v>
      </c>
      <c r="I17" s="2219"/>
      <c r="J17" s="2221">
        <f t="shared" ref="J17:J23" si="0">B12</f>
        <v>60</v>
      </c>
      <c r="K17" s="2220" t="e">
        <f>IF(J17=0,0,+$E$25-E12)</f>
        <v>#N/A</v>
      </c>
      <c r="L17" s="2218"/>
      <c r="O17" s="718"/>
      <c r="P17" s="718"/>
      <c r="Q17" s="718"/>
      <c r="R17" s="718"/>
      <c r="S17" s="718"/>
      <c r="T17" s="718"/>
      <c r="U17" s="718"/>
    </row>
    <row r="18" spans="1:34" s="717" customFormat="1" ht="15" customHeight="1" x14ac:dyDescent="0.2">
      <c r="A18" s="723"/>
      <c r="B18" s="757"/>
      <c r="C18" s="758">
        <f>IF(B18=0,0,VLOOKUP(B18,Dren_Dim!A:W,17,"falso"))</f>
        <v>0</v>
      </c>
      <c r="D18" s="758">
        <f>IF(B18=0,0,VLOOKUP(B18,Dren_Dim!A:W,23,"falso")/1000)</f>
        <v>0</v>
      </c>
      <c r="E18" s="756">
        <f>IF(B18=0,0,VLOOKUP(B18,Dren_Dim!A:AL,38,"falso"))</f>
        <v>0</v>
      </c>
      <c r="F18" s="756">
        <f>IF(B18=0,0,VLOOKUP(B18,Dren_Dim!A:AL,6,"falso"))</f>
        <v>0</v>
      </c>
      <c r="G18" s="756">
        <f>IF(B18=0,0,VLOOKUP(B18,Dren_Dim!A:AL,7,"falso"))</f>
        <v>0</v>
      </c>
      <c r="H18" s="756">
        <f>IF(B18=0,0,VLOOKUP(B18,Dren_Dim!A:AL,8,"falso"))</f>
        <v>0</v>
      </c>
      <c r="I18" s="2219"/>
      <c r="J18" s="2217">
        <f t="shared" si="0"/>
        <v>63</v>
      </c>
      <c r="K18" s="2216" t="e">
        <f t="shared" ref="K18:K22" si="1">IF(J18=0,0,+$E$25-E13)</f>
        <v>#N/A</v>
      </c>
      <c r="L18" s="2218"/>
      <c r="O18" s="718"/>
      <c r="P18" s="718"/>
      <c r="Q18" s="718"/>
      <c r="R18" s="718"/>
      <c r="S18" s="718"/>
      <c r="T18" s="718"/>
      <c r="U18" s="718"/>
    </row>
    <row r="19" spans="1:34" s="717" customFormat="1" ht="15" customHeight="1" x14ac:dyDescent="0.2">
      <c r="A19" s="723"/>
      <c r="B19" s="757"/>
      <c r="C19" s="758">
        <f>IF(B19=0,0,VLOOKUP(B19,Dren_Dim!A:W,17,"falso"))</f>
        <v>0</v>
      </c>
      <c r="D19" s="758">
        <f>IF(B19=0,0,VLOOKUP(B19,Dren_Dim!A:W,23,"falso")/1000)</f>
        <v>0</v>
      </c>
      <c r="E19" s="756">
        <f>IF(B19=0,0,VLOOKUP(B19,Dren_Dim!A:AL,38,"falso"))</f>
        <v>0</v>
      </c>
      <c r="F19" s="756">
        <f>IF(B19=0,0,VLOOKUP(B19,Dren_Dim!A:AL,6,"falso"))</f>
        <v>0</v>
      </c>
      <c r="G19" s="756">
        <f>IF(B19=0,0,VLOOKUP(B19,Dren_Dim!A:AL,7,"falso"))</f>
        <v>0</v>
      </c>
      <c r="H19" s="756">
        <f>IF(B19=0,0,VLOOKUP(B19,Dren_Dim!A:AL,8,"falso"))</f>
        <v>0</v>
      </c>
      <c r="J19" s="2217">
        <f t="shared" si="0"/>
        <v>0</v>
      </c>
      <c r="K19" s="2216">
        <f t="shared" si="1"/>
        <v>0</v>
      </c>
      <c r="L19" s="2218"/>
      <c r="O19" s="718"/>
      <c r="P19" s="718"/>
      <c r="Q19" s="718"/>
      <c r="R19" s="718"/>
      <c r="S19" s="718"/>
      <c r="T19" s="718"/>
      <c r="U19" s="718"/>
    </row>
    <row r="20" spans="1:34" s="717" customFormat="1" ht="15" customHeight="1" x14ac:dyDescent="0.2">
      <c r="A20" s="723"/>
      <c r="B20" s="757"/>
      <c r="C20" s="758">
        <f>IF(B20=0,0,VLOOKUP(B20,Dren_Dim!A:W,17,"falso"))</f>
        <v>0</v>
      </c>
      <c r="D20" s="758">
        <f>IF(B20=0,0,VLOOKUP(B20,Dren_Dim!A:W,23,"falso")/1000)</f>
        <v>0</v>
      </c>
      <c r="E20" s="756">
        <f>IF(B20=0,0,VLOOKUP(B20,Dren_Dim!A:AL,38,"falso"))</f>
        <v>0</v>
      </c>
      <c r="F20" s="756">
        <f>IF(B20=0,0,VLOOKUP(B20,Dren_Dim!A:AL,6,"falso"))</f>
        <v>0</v>
      </c>
      <c r="G20" s="756">
        <f>IF(B20=0,0,VLOOKUP(B20,Dren_Dim!A:AL,7,"falso"))</f>
        <v>0</v>
      </c>
      <c r="H20" s="756">
        <f>IF(B20=0,0,VLOOKUP(B20,Dren_Dim!A:AL,8,"falso"))</f>
        <v>0</v>
      </c>
      <c r="J20" s="2217">
        <f t="shared" si="0"/>
        <v>0</v>
      </c>
      <c r="K20" s="2216">
        <f t="shared" si="1"/>
        <v>0</v>
      </c>
      <c r="L20" s="2218"/>
      <c r="O20" s="718"/>
      <c r="P20" s="718"/>
      <c r="Q20" s="718"/>
      <c r="R20" s="718"/>
      <c r="S20" s="718"/>
      <c r="T20" s="718"/>
      <c r="U20" s="718"/>
    </row>
    <row r="21" spans="1:34" s="717" customFormat="1" ht="15" customHeight="1" x14ac:dyDescent="0.2">
      <c r="A21" s="723"/>
      <c r="B21" s="757"/>
      <c r="C21" s="758">
        <f>IF(B21=0,0,VLOOKUP(B21,Dren_Dim!A:W,17,"falso"))</f>
        <v>0</v>
      </c>
      <c r="D21" s="758">
        <f>IF(B21=0,0,VLOOKUP(B21,Dren_Dim!A:W,23,"falso")/1000)</f>
        <v>0</v>
      </c>
      <c r="E21" s="756">
        <f>IF(B21=0,0,VLOOKUP(B21,Dren_Dim!A:AL,38,"falso"))</f>
        <v>0</v>
      </c>
      <c r="F21" s="756">
        <f>IF(B21=0,0,VLOOKUP(B21,Dren_Dim!A:AL,6,"falso"))</f>
        <v>0</v>
      </c>
      <c r="G21" s="756">
        <f>IF(B21=0,0,VLOOKUP(B21,Dren_Dim!A:AL,7,"falso"))</f>
        <v>0</v>
      </c>
      <c r="H21" s="756">
        <f>IF(B21=0,0,VLOOKUP(B21,Dren_Dim!A:AL,8,"falso"))</f>
        <v>0</v>
      </c>
      <c r="J21" s="2217">
        <f t="shared" si="0"/>
        <v>0</v>
      </c>
      <c r="K21" s="2216">
        <f t="shared" si="1"/>
        <v>0</v>
      </c>
      <c r="O21" s="718"/>
      <c r="P21" s="718"/>
      <c r="Q21" s="718"/>
      <c r="R21" s="718"/>
      <c r="S21" s="718"/>
      <c r="T21" s="718"/>
      <c r="U21" s="718"/>
    </row>
    <row r="22" spans="1:34" s="717" customFormat="1" ht="15" customHeight="1" x14ac:dyDescent="0.2">
      <c r="A22" s="723"/>
      <c r="B22" s="757"/>
      <c r="C22" s="758">
        <f>IF(B22=0,0,VLOOKUP(B22,Dren_Dim!A:W,17,"falso"))</f>
        <v>0</v>
      </c>
      <c r="D22" s="758">
        <f>IF(B22=0,0,VLOOKUP(B22,Dren_Dim!A:W,23,"falso")/1000)</f>
        <v>0</v>
      </c>
      <c r="E22" s="756">
        <f>IF(B22=0,0,VLOOKUP(B22,Dren_Dim!A:AL,38,"falso"))</f>
        <v>0</v>
      </c>
      <c r="F22" s="756">
        <f>IF(B22=0,0,VLOOKUP(B22,Dren_Dim!A:AL,6,"falso"))</f>
        <v>0</v>
      </c>
      <c r="G22" s="756">
        <f>IF(B22=0,0,VLOOKUP(B22,Dren_Dim!A:AL,7,"falso"))</f>
        <v>0</v>
      </c>
      <c r="H22" s="756">
        <f>IF(B22=0,0,VLOOKUP(B22,Dren_Dim!A:AL,8,"falso"))</f>
        <v>0</v>
      </c>
      <c r="J22" s="2217">
        <f t="shared" si="0"/>
        <v>0</v>
      </c>
      <c r="K22" s="2216">
        <f t="shared" si="1"/>
        <v>0</v>
      </c>
      <c r="O22" s="718"/>
      <c r="P22" s="718"/>
      <c r="Q22" s="718"/>
      <c r="R22" s="718"/>
      <c r="S22" s="718"/>
      <c r="T22" s="718"/>
      <c r="U22" s="718"/>
    </row>
    <row r="23" spans="1:34" s="717" customFormat="1" ht="15" customHeight="1" thickBot="1" x14ac:dyDescent="0.25">
      <c r="A23" s="723"/>
      <c r="B23" s="757"/>
      <c r="C23" s="758"/>
      <c r="D23" s="758"/>
      <c r="E23" s="756"/>
      <c r="F23" s="756"/>
      <c r="G23" s="756"/>
      <c r="H23" s="756"/>
      <c r="J23" s="2215">
        <f t="shared" si="0"/>
        <v>0</v>
      </c>
      <c r="K23" s="2214">
        <f>IF(J23=0,0,+$E$25-E18)</f>
        <v>0</v>
      </c>
      <c r="O23" s="718"/>
      <c r="P23" s="718"/>
      <c r="Q23" s="718"/>
      <c r="R23" s="718"/>
      <c r="S23" s="718"/>
      <c r="T23" s="718"/>
      <c r="U23" s="718"/>
    </row>
    <row r="24" spans="1:34" s="717" customFormat="1" ht="15" customHeight="1" thickTop="1" x14ac:dyDescent="0.2">
      <c r="A24" s="723"/>
      <c r="B24" s="757" t="s">
        <v>2644</v>
      </c>
      <c r="C24" s="758"/>
      <c r="D24" s="758"/>
      <c r="E24" s="756"/>
      <c r="F24" s="756"/>
      <c r="G24" s="756"/>
      <c r="H24" s="756"/>
      <c r="O24" s="718"/>
      <c r="P24" s="718"/>
      <c r="Q24" s="718"/>
      <c r="R24" s="718"/>
      <c r="S24" s="718"/>
      <c r="T24" s="718"/>
      <c r="U24" s="718"/>
    </row>
    <row r="25" spans="1:34" s="717" customFormat="1" ht="15" customHeight="1" x14ac:dyDescent="0.2">
      <c r="A25" s="723"/>
      <c r="B25" s="757" t="s">
        <v>822</v>
      </c>
      <c r="C25" s="758" t="e">
        <f>SUM(C12:C24)</f>
        <v>#N/A</v>
      </c>
      <c r="D25" s="758" t="e">
        <f>SUM(D12:D24)</f>
        <v>#N/A</v>
      </c>
      <c r="E25" s="756" t="e">
        <f>MAX(E12:E24)</f>
        <v>#N/A</v>
      </c>
      <c r="F25" s="756"/>
      <c r="G25" s="756" t="e">
        <f>MIN(G12:G24)</f>
        <v>#N/A</v>
      </c>
      <c r="H25" s="758" t="e">
        <f>MAX(H12:H24)</f>
        <v>#N/A</v>
      </c>
      <c r="I25" s="757" t="s">
        <v>795</v>
      </c>
      <c r="N25" s="718"/>
      <c r="O25" s="735"/>
      <c r="P25" s="718"/>
      <c r="Q25" s="718"/>
      <c r="R25" s="718"/>
      <c r="S25" s="718"/>
      <c r="T25" s="718"/>
      <c r="U25" s="718"/>
    </row>
    <row r="26" spans="1:34" s="717" customFormat="1" ht="15" customHeight="1" x14ac:dyDescent="0.2">
      <c r="A26" s="723"/>
      <c r="B26" s="757" t="s">
        <v>2639</v>
      </c>
      <c r="C26" s="758" t="e">
        <f>C25</f>
        <v>#N/A</v>
      </c>
      <c r="D26" s="758" t="e">
        <f>$D25*+(100-I26)/100</f>
        <v>#N/A</v>
      </c>
      <c r="E26" s="756" t="e">
        <f>E25*(1+LOG(1/(+(100-I26)/100)))</f>
        <v>#N/A</v>
      </c>
      <c r="F26" s="756"/>
      <c r="G26" s="756" t="e">
        <f>G25</f>
        <v>#N/A</v>
      </c>
      <c r="H26" s="758" t="e">
        <f>D25*E25*60*LOG(1/((100-I26)/100))/I32</f>
        <v>#N/A</v>
      </c>
      <c r="I26" s="2213">
        <v>24</v>
      </c>
      <c r="N26" s="718"/>
      <c r="O26" s="735"/>
      <c r="P26" s="718"/>
      <c r="Q26" s="718"/>
      <c r="R26" s="718"/>
      <c r="S26" s="718"/>
      <c r="T26" s="718"/>
      <c r="U26" s="718"/>
    </row>
    <row r="27" spans="1:34" s="717" customFormat="1" ht="15" customHeight="1" x14ac:dyDescent="0.2">
      <c r="A27" s="723"/>
      <c r="B27" s="723"/>
      <c r="C27" s="723"/>
      <c r="D27" s="723"/>
      <c r="E27" s="723"/>
      <c r="F27" s="723"/>
      <c r="G27" s="723"/>
      <c r="N27" s="718"/>
      <c r="O27" s="735"/>
      <c r="P27" s="718"/>
      <c r="Q27" s="718"/>
      <c r="R27" s="718"/>
      <c r="S27" s="718"/>
      <c r="T27" s="718"/>
      <c r="U27" s="718"/>
    </row>
    <row r="28" spans="1:34" s="717" customFormat="1" ht="15" customHeight="1" x14ac:dyDescent="0.2">
      <c r="A28" s="748" t="s">
        <v>778</v>
      </c>
      <c r="B28" s="748" t="s">
        <v>779</v>
      </c>
      <c r="C28" s="748"/>
      <c r="D28" s="749"/>
      <c r="E28" s="749"/>
      <c r="F28" s="749"/>
      <c r="G28" s="749"/>
      <c r="H28" s="749"/>
      <c r="I28" s="749"/>
      <c r="J28" s="749"/>
      <c r="K28" s="749"/>
      <c r="L28" s="749"/>
      <c r="O28" s="723"/>
      <c r="P28" s="723"/>
      <c r="Q28" s="723"/>
      <c r="R28"/>
      <c r="S28"/>
      <c r="T28"/>
      <c r="U28" s="718"/>
      <c r="V28" s="3"/>
      <c r="W28" s="3"/>
      <c r="X28" s="3"/>
      <c r="Y28" s="3"/>
      <c r="Z28" s="3"/>
      <c r="AA28" s="3"/>
      <c r="AB28" s="3"/>
      <c r="AC28" s="3"/>
      <c r="AD28" s="724"/>
    </row>
    <row r="29" spans="1:34" s="717" customFormat="1" ht="15" customHeight="1" x14ac:dyDescent="0.2">
      <c r="O29" s="723"/>
      <c r="P29" s="726"/>
      <c r="Q29" s="726"/>
      <c r="R29" s="727"/>
      <c r="S29" s="727"/>
      <c r="T29" s="727"/>
      <c r="U29" s="718"/>
      <c r="V29" s="3"/>
      <c r="W29" s="3"/>
      <c r="X29" s="3"/>
      <c r="Y29" s="3"/>
      <c r="Z29" s="3"/>
      <c r="AA29" s="3"/>
      <c r="AB29" s="3"/>
      <c r="AC29" s="3"/>
      <c r="AD29" s="728"/>
      <c r="AE29" s="3"/>
      <c r="AF29" s="3"/>
      <c r="AG29" s="3"/>
      <c r="AH29" s="3"/>
    </row>
    <row r="30" spans="1:34" s="717" customFormat="1" ht="15" customHeight="1" x14ac:dyDescent="0.2">
      <c r="A30" s="717" t="s">
        <v>780</v>
      </c>
      <c r="B30" s="717" t="s">
        <v>781</v>
      </c>
      <c r="D30" s="736" t="s">
        <v>782</v>
      </c>
      <c r="F30" s="725" t="s">
        <v>853</v>
      </c>
      <c r="J30" s="725"/>
      <c r="K30" s="737"/>
      <c r="N30" s="718"/>
      <c r="O30" s="718"/>
      <c r="P30" s="718"/>
      <c r="Q30" s="718"/>
      <c r="R30" s="718"/>
      <c r="S30" s="718"/>
      <c r="T30" s="718"/>
      <c r="U30" s="718"/>
    </row>
    <row r="31" spans="1:34" s="717" customFormat="1" ht="15" customHeight="1" x14ac:dyDescent="0.2">
      <c r="D31" s="736"/>
      <c r="F31" s="725"/>
      <c r="J31" s="725"/>
      <c r="K31" s="737"/>
      <c r="N31" s="718"/>
      <c r="O31" s="718"/>
      <c r="P31" s="718"/>
      <c r="Q31" s="718"/>
      <c r="R31" s="718"/>
      <c r="S31" s="718"/>
      <c r="T31" s="718"/>
      <c r="U31" s="718"/>
    </row>
    <row r="32" spans="1:34" s="717" customFormat="1" ht="15" customHeight="1" x14ac:dyDescent="0.2">
      <c r="A32" s="717" t="s">
        <v>783</v>
      </c>
      <c r="B32" s="717" t="s">
        <v>852</v>
      </c>
      <c r="D32" s="725" t="s">
        <v>827</v>
      </c>
      <c r="E32" s="753">
        <v>110</v>
      </c>
      <c r="F32" s="725" t="s">
        <v>826</v>
      </c>
      <c r="G32" s="753">
        <v>7</v>
      </c>
      <c r="H32" s="725" t="s">
        <v>828</v>
      </c>
      <c r="I32" s="754">
        <f>G32*E32</f>
        <v>770</v>
      </c>
      <c r="J32" s="725"/>
      <c r="K32" s="737"/>
      <c r="N32" s="718"/>
      <c r="O32" s="718"/>
      <c r="P32" s="718"/>
      <c r="Q32" s="718"/>
      <c r="R32" s="718"/>
      <c r="S32" s="718"/>
      <c r="T32" s="718"/>
      <c r="U32" s="718"/>
    </row>
    <row r="33" spans="1:53" s="717" customFormat="1" ht="15" customHeight="1" x14ac:dyDescent="0.2">
      <c r="E33" s="736"/>
      <c r="J33" s="725"/>
      <c r="K33" s="737"/>
      <c r="N33" s="718"/>
      <c r="O33" s="718"/>
      <c r="P33" s="718"/>
      <c r="Q33" s="718"/>
      <c r="R33" s="718"/>
      <c r="S33" s="718"/>
      <c r="T33" s="718"/>
      <c r="U33" s="718"/>
    </row>
    <row r="34" spans="1:53" ht="15" customHeight="1" thickBot="1" x14ac:dyDescent="0.25">
      <c r="A34" s="717" t="s">
        <v>783</v>
      </c>
      <c r="B34" s="717" t="s">
        <v>784</v>
      </c>
      <c r="C34" s="738"/>
    </row>
    <row r="35" spans="1:53" s="717" customFormat="1" ht="15" customHeight="1" thickTop="1" thickBot="1" x14ac:dyDescent="0.25">
      <c r="B35" s="765" t="s">
        <v>835</v>
      </c>
      <c r="C35" s="766" t="s">
        <v>785</v>
      </c>
      <c r="D35" s="766" t="s">
        <v>786</v>
      </c>
      <c r="E35" s="766" t="s">
        <v>787</v>
      </c>
      <c r="F35" s="766" t="s">
        <v>788</v>
      </c>
      <c r="G35" s="766" t="s">
        <v>789</v>
      </c>
      <c r="H35" s="766" t="s">
        <v>368</v>
      </c>
      <c r="I35" s="766" t="s">
        <v>790</v>
      </c>
      <c r="J35" s="766" t="s">
        <v>791</v>
      </c>
      <c r="K35" s="766" t="s">
        <v>792</v>
      </c>
      <c r="L35" s="767" t="s">
        <v>793</v>
      </c>
      <c r="N35" s="718"/>
      <c r="O35" s="718"/>
      <c r="P35" s="718"/>
      <c r="Q35" s="718"/>
      <c r="R35" s="718"/>
      <c r="S35" s="718"/>
      <c r="T35" s="718"/>
      <c r="U35" s="718"/>
    </row>
    <row r="36" spans="1:53" ht="15" customHeight="1" thickTop="1" x14ac:dyDescent="0.2">
      <c r="B36" s="763" t="s">
        <v>794</v>
      </c>
      <c r="C36" s="764" t="e">
        <f>D25</f>
        <v>#N/A</v>
      </c>
      <c r="D36" s="764" t="e">
        <f t="shared" ref="D36:L36" si="2">$C36*D38</f>
        <v>#N/A</v>
      </c>
      <c r="E36" s="764" t="e">
        <f t="shared" si="2"/>
        <v>#N/A</v>
      </c>
      <c r="F36" s="764" t="e">
        <f t="shared" si="2"/>
        <v>#N/A</v>
      </c>
      <c r="G36" s="764" t="e">
        <f t="shared" si="2"/>
        <v>#N/A</v>
      </c>
      <c r="H36" s="764" t="e">
        <f t="shared" si="2"/>
        <v>#N/A</v>
      </c>
      <c r="I36" s="764" t="e">
        <f t="shared" si="2"/>
        <v>#N/A</v>
      </c>
      <c r="J36" s="764" t="e">
        <f t="shared" si="2"/>
        <v>#N/A</v>
      </c>
      <c r="K36" s="764" t="e">
        <f t="shared" si="2"/>
        <v>#N/A</v>
      </c>
      <c r="L36" s="764" t="e">
        <f t="shared" si="2"/>
        <v>#N/A</v>
      </c>
    </row>
    <row r="37" spans="1:53" ht="15" customHeight="1" x14ac:dyDescent="0.2">
      <c r="B37" s="759" t="s">
        <v>795</v>
      </c>
      <c r="C37" s="760">
        <v>0</v>
      </c>
      <c r="D37" s="760">
        <v>10</v>
      </c>
      <c r="E37" s="760">
        <v>20</v>
      </c>
      <c r="F37" s="760">
        <v>30</v>
      </c>
      <c r="G37" s="760">
        <v>40</v>
      </c>
      <c r="H37" s="760">
        <v>50</v>
      </c>
      <c r="I37" s="760">
        <v>60</v>
      </c>
      <c r="J37" s="760">
        <v>70</v>
      </c>
      <c r="K37" s="760">
        <v>80</v>
      </c>
      <c r="L37" s="760">
        <v>90</v>
      </c>
    </row>
    <row r="38" spans="1:53" ht="15" customHeight="1" x14ac:dyDescent="0.2">
      <c r="B38" s="759" t="s">
        <v>796</v>
      </c>
      <c r="C38" s="760">
        <f t="shared" ref="C38:L38" si="3">(100-C37)/100</f>
        <v>1</v>
      </c>
      <c r="D38" s="760">
        <f t="shared" si="3"/>
        <v>0.9</v>
      </c>
      <c r="E38" s="760">
        <f t="shared" si="3"/>
        <v>0.8</v>
      </c>
      <c r="F38" s="760">
        <f t="shared" si="3"/>
        <v>0.7</v>
      </c>
      <c r="G38" s="760">
        <f t="shared" si="3"/>
        <v>0.6</v>
      </c>
      <c r="H38" s="760">
        <f t="shared" si="3"/>
        <v>0.5</v>
      </c>
      <c r="I38" s="760">
        <f t="shared" si="3"/>
        <v>0.4</v>
      </c>
      <c r="J38" s="760">
        <f t="shared" si="3"/>
        <v>0.3</v>
      </c>
      <c r="K38" s="760">
        <f t="shared" si="3"/>
        <v>0.2</v>
      </c>
      <c r="L38" s="760">
        <f t="shared" si="3"/>
        <v>0.1</v>
      </c>
    </row>
    <row r="39" spans="1:53" ht="15" customHeight="1" x14ac:dyDescent="0.2">
      <c r="B39" s="759" t="s">
        <v>797</v>
      </c>
      <c r="C39" s="760">
        <f t="shared" ref="C39:L39" si="4">LOG(1/C38)</f>
        <v>0</v>
      </c>
      <c r="D39" s="760">
        <f t="shared" si="4"/>
        <v>4.5757490560675143E-2</v>
      </c>
      <c r="E39" s="760">
        <f t="shared" si="4"/>
        <v>9.691001300805642E-2</v>
      </c>
      <c r="F39" s="760">
        <f t="shared" si="4"/>
        <v>0.15490195998574319</v>
      </c>
      <c r="G39" s="760">
        <f t="shared" si="4"/>
        <v>0.22184874961635639</v>
      </c>
      <c r="H39" s="760">
        <f t="shared" si="4"/>
        <v>0.3010299956639812</v>
      </c>
      <c r="I39" s="760">
        <f t="shared" si="4"/>
        <v>0.3979400086720376</v>
      </c>
      <c r="J39" s="760">
        <f t="shared" si="4"/>
        <v>0.52287874528033762</v>
      </c>
      <c r="K39" s="760">
        <f t="shared" si="4"/>
        <v>0.69897000433601886</v>
      </c>
      <c r="L39" s="760">
        <f t="shared" si="4"/>
        <v>1</v>
      </c>
    </row>
    <row r="40" spans="1:53" ht="15" customHeight="1" x14ac:dyDescent="0.2">
      <c r="B40" s="759" t="s">
        <v>798</v>
      </c>
      <c r="C40" s="760" t="e">
        <f t="shared" ref="C40:L40" si="5">$C36*$E$25*60*C39</f>
        <v>#N/A</v>
      </c>
      <c r="D40" s="760" t="e">
        <f t="shared" si="5"/>
        <v>#N/A</v>
      </c>
      <c r="E40" s="760" t="e">
        <f t="shared" si="5"/>
        <v>#N/A</v>
      </c>
      <c r="F40" s="760" t="e">
        <f t="shared" si="5"/>
        <v>#N/A</v>
      </c>
      <c r="G40" s="760" t="e">
        <f t="shared" si="5"/>
        <v>#N/A</v>
      </c>
      <c r="H40" s="760" t="e">
        <f t="shared" si="5"/>
        <v>#N/A</v>
      </c>
      <c r="I40" s="760" t="e">
        <f t="shared" si="5"/>
        <v>#N/A</v>
      </c>
      <c r="J40" s="760" t="e">
        <f t="shared" si="5"/>
        <v>#N/A</v>
      </c>
      <c r="K40" s="760" t="e">
        <f t="shared" si="5"/>
        <v>#N/A</v>
      </c>
      <c r="L40" s="760" t="e">
        <f t="shared" si="5"/>
        <v>#N/A</v>
      </c>
    </row>
    <row r="41" spans="1:53" ht="15" customHeight="1" x14ac:dyDescent="0.2">
      <c r="B41" s="759" t="s">
        <v>829</v>
      </c>
      <c r="C41" s="760" t="e">
        <f t="shared" ref="C41:L41" si="6">C40/$I$32</f>
        <v>#N/A</v>
      </c>
      <c r="D41" s="760" t="e">
        <f t="shared" si="6"/>
        <v>#N/A</v>
      </c>
      <c r="E41" s="760" t="e">
        <f t="shared" si="6"/>
        <v>#N/A</v>
      </c>
      <c r="F41" s="760" t="e">
        <f t="shared" si="6"/>
        <v>#N/A</v>
      </c>
      <c r="G41" s="760" t="e">
        <f t="shared" si="6"/>
        <v>#N/A</v>
      </c>
      <c r="H41" s="760" t="e">
        <f t="shared" si="6"/>
        <v>#N/A</v>
      </c>
      <c r="I41" s="760" t="e">
        <f t="shared" si="6"/>
        <v>#N/A</v>
      </c>
      <c r="J41" s="760" t="e">
        <f t="shared" si="6"/>
        <v>#N/A</v>
      </c>
      <c r="K41" s="760" t="e">
        <f t="shared" si="6"/>
        <v>#N/A</v>
      </c>
      <c r="L41" s="760" t="e">
        <f t="shared" si="6"/>
        <v>#N/A</v>
      </c>
    </row>
    <row r="42" spans="1:53" ht="29.25" customHeight="1" x14ac:dyDescent="0.2">
      <c r="B42" s="761" t="s">
        <v>799</v>
      </c>
      <c r="C42" s="760" t="e">
        <f t="shared" ref="C42:L42" si="7">C40/$D$25/60</f>
        <v>#N/A</v>
      </c>
      <c r="D42" s="760" t="e">
        <f t="shared" si="7"/>
        <v>#N/A</v>
      </c>
      <c r="E42" s="760" t="e">
        <f t="shared" si="7"/>
        <v>#N/A</v>
      </c>
      <c r="F42" s="760" t="e">
        <f t="shared" si="7"/>
        <v>#N/A</v>
      </c>
      <c r="G42" s="760" t="e">
        <f t="shared" si="7"/>
        <v>#N/A</v>
      </c>
      <c r="H42" s="760" t="e">
        <f t="shared" si="7"/>
        <v>#N/A</v>
      </c>
      <c r="I42" s="760" t="e">
        <f t="shared" si="7"/>
        <v>#N/A</v>
      </c>
      <c r="J42" s="760" t="e">
        <f t="shared" si="7"/>
        <v>#N/A</v>
      </c>
      <c r="K42" s="760" t="e">
        <f t="shared" si="7"/>
        <v>#N/A</v>
      </c>
      <c r="L42" s="760" t="e">
        <f t="shared" si="7"/>
        <v>#N/A</v>
      </c>
    </row>
    <row r="43" spans="1:53" ht="15" customHeight="1" x14ac:dyDescent="0.2">
      <c r="F43" s="718" t="s">
        <v>800</v>
      </c>
      <c r="N43" s="732"/>
      <c r="O43" s="732"/>
    </row>
    <row r="44" spans="1:53" s="717" customFormat="1" ht="15" customHeight="1" x14ac:dyDescent="0.2">
      <c r="A44" s="748" t="s">
        <v>801</v>
      </c>
      <c r="B44" s="748" t="s">
        <v>802</v>
      </c>
      <c r="C44" s="748"/>
      <c r="D44" s="749"/>
      <c r="E44" s="749"/>
      <c r="F44" s="749"/>
      <c r="G44" s="749"/>
      <c r="H44" s="749"/>
      <c r="I44" s="749"/>
      <c r="J44" s="749"/>
      <c r="K44" s="749"/>
      <c r="L44" s="749"/>
      <c r="O44" s="723"/>
      <c r="P44" s="723"/>
      <c r="Q44" s="723"/>
      <c r="R44"/>
      <c r="S44"/>
      <c r="T44"/>
      <c r="U44" s="718"/>
      <c r="V44" s="3"/>
      <c r="W44" s="3"/>
      <c r="X44" s="3"/>
      <c r="Y44" s="3"/>
      <c r="Z44" s="3"/>
      <c r="AA44" s="3"/>
      <c r="AB44" s="3"/>
      <c r="AC44" s="3"/>
      <c r="AD44" s="724"/>
    </row>
    <row r="45" spans="1:53" s="740" customFormat="1" ht="15" customHeight="1" thickBot="1" x14ac:dyDescent="0.25">
      <c r="D45" s="718"/>
      <c r="E45" s="718"/>
      <c r="F45" s="718"/>
      <c r="G45" s="718"/>
      <c r="H45" s="718"/>
      <c r="I45" s="718"/>
      <c r="J45" s="718"/>
      <c r="K45" s="726"/>
      <c r="L45" s="718"/>
      <c r="M45" s="718"/>
      <c r="N45" s="718"/>
      <c r="O45" s="718"/>
      <c r="P45" s="718"/>
      <c r="Q45" s="718"/>
      <c r="R45" s="718"/>
    </row>
    <row r="46" spans="1:53" s="740" customFormat="1" ht="15" customHeight="1" thickTop="1" x14ac:dyDescent="0.2">
      <c r="B46" s="775" t="s">
        <v>803</v>
      </c>
      <c r="C46" s="2211"/>
      <c r="D46" s="2211"/>
      <c r="E46" s="2211"/>
      <c r="F46" s="2212"/>
      <c r="G46" s="2211"/>
      <c r="H46" s="2210"/>
      <c r="I46" s="718"/>
      <c r="J46" s="718"/>
      <c r="K46" s="718"/>
      <c r="L46" s="786" t="s">
        <v>840</v>
      </c>
      <c r="M46" s="718"/>
      <c r="N46" s="718"/>
      <c r="O46" s="718"/>
      <c r="P46" s="718"/>
      <c r="Q46" s="718"/>
      <c r="R46" s="718"/>
    </row>
    <row r="47" spans="1:53" ht="29.25" customHeight="1" thickBot="1" x14ac:dyDescent="0.25">
      <c r="B47" s="787" t="s">
        <v>843</v>
      </c>
      <c r="C47" s="777" t="s">
        <v>805</v>
      </c>
      <c r="D47" s="777" t="s">
        <v>806</v>
      </c>
      <c r="E47" s="777" t="s">
        <v>807</v>
      </c>
      <c r="F47" s="777" t="s">
        <v>808</v>
      </c>
      <c r="G47" s="778" t="s">
        <v>809</v>
      </c>
      <c r="H47" s="779" t="s">
        <v>810</v>
      </c>
      <c r="K47" s="785" t="s">
        <v>847</v>
      </c>
      <c r="AP47" s="740"/>
      <c r="AQ47" s="740"/>
      <c r="AR47" s="740"/>
      <c r="AS47" s="740"/>
      <c r="AT47" s="740"/>
      <c r="AU47" s="740"/>
      <c r="AV47" s="740"/>
      <c r="AW47" s="740"/>
      <c r="AX47" s="740"/>
      <c r="AY47" s="740"/>
      <c r="AZ47" s="740"/>
      <c r="BA47" s="740"/>
    </row>
    <row r="48" spans="1:53" ht="15" customHeight="1" thickTop="1" x14ac:dyDescent="0.2">
      <c r="B48" s="2203"/>
      <c r="C48" s="2209"/>
      <c r="D48" s="2209"/>
      <c r="E48" s="2209"/>
      <c r="F48" s="2209"/>
      <c r="G48" s="2203">
        <f>SUM(C48:F48)</f>
        <v>0</v>
      </c>
      <c r="H48" s="2203">
        <f>1.71*G48*B48^1.5</f>
        <v>0</v>
      </c>
      <c r="J48" s="732"/>
      <c r="AP48" s="740"/>
      <c r="AQ48" s="740"/>
      <c r="AR48" s="740"/>
      <c r="AS48" s="740"/>
      <c r="AT48" s="740"/>
      <c r="AU48" s="740"/>
      <c r="AV48" s="740"/>
      <c r="AW48" s="740"/>
      <c r="AX48" s="740"/>
      <c r="AY48" s="740"/>
      <c r="AZ48" s="740"/>
      <c r="BA48" s="740"/>
    </row>
    <row r="49" spans="1:53" ht="15" customHeight="1" x14ac:dyDescent="0.2">
      <c r="A49" s="739"/>
      <c r="B49" s="742"/>
      <c r="C49" s="742"/>
      <c r="D49" s="742"/>
      <c r="E49" s="742"/>
      <c r="F49" s="742"/>
      <c r="AP49" s="740"/>
      <c r="AQ49" s="740"/>
      <c r="AR49" s="740"/>
      <c r="AS49" s="740"/>
      <c r="AT49" s="740"/>
      <c r="AU49" s="740"/>
      <c r="AV49" s="740"/>
      <c r="AW49" s="740"/>
      <c r="AX49" s="740"/>
      <c r="AY49" s="740"/>
      <c r="AZ49" s="740"/>
      <c r="BA49" s="740"/>
    </row>
    <row r="50" spans="1:53" ht="15" customHeight="1" thickBot="1" x14ac:dyDescent="0.25">
      <c r="A50" s="739"/>
      <c r="B50" s="742"/>
      <c r="C50" s="742"/>
      <c r="D50" s="742"/>
      <c r="E50" s="742"/>
      <c r="F50" s="742"/>
      <c r="AP50" s="740"/>
      <c r="AQ50" s="740"/>
      <c r="AR50" s="740"/>
      <c r="AS50" s="740"/>
      <c r="AT50" s="740"/>
      <c r="AU50" s="740"/>
      <c r="AV50" s="740"/>
      <c r="AW50" s="740"/>
      <c r="AX50" s="740"/>
      <c r="AY50" s="740"/>
      <c r="AZ50" s="740"/>
      <c r="BA50" s="740"/>
    </row>
    <row r="51" spans="1:53" ht="15" customHeight="1" thickTop="1" x14ac:dyDescent="0.2">
      <c r="A51" s="739"/>
      <c r="B51" s="775" t="s">
        <v>842</v>
      </c>
      <c r="C51" s="2211"/>
      <c r="D51" s="2211"/>
      <c r="E51" s="2211"/>
      <c r="F51" s="2212"/>
      <c r="G51" s="2211"/>
      <c r="H51" s="2210"/>
      <c r="L51" s="786" t="s">
        <v>840</v>
      </c>
      <c r="AP51" s="740"/>
      <c r="AQ51" s="740"/>
      <c r="AR51" s="740"/>
      <c r="AS51" s="740"/>
      <c r="AT51" s="740"/>
      <c r="AU51" s="740"/>
      <c r="AV51" s="740"/>
      <c r="AW51" s="740"/>
      <c r="AX51" s="740"/>
      <c r="AY51" s="740"/>
      <c r="AZ51" s="740"/>
      <c r="BA51" s="740"/>
    </row>
    <row r="52" spans="1:53" ht="29.25" customHeight="1" thickBot="1" x14ac:dyDescent="0.25">
      <c r="A52" s="739"/>
      <c r="B52" s="787" t="s">
        <v>843</v>
      </c>
      <c r="C52" s="777" t="s">
        <v>805</v>
      </c>
      <c r="D52" s="777" t="s">
        <v>806</v>
      </c>
      <c r="E52" s="777" t="s">
        <v>807</v>
      </c>
      <c r="F52" s="777" t="s">
        <v>808</v>
      </c>
      <c r="G52" s="778" t="s">
        <v>809</v>
      </c>
      <c r="H52" s="779" t="s">
        <v>810</v>
      </c>
      <c r="K52" s="785" t="s">
        <v>841</v>
      </c>
      <c r="O52" s="755"/>
      <c r="AP52" s="740"/>
      <c r="AQ52" s="740"/>
      <c r="AR52" s="740"/>
      <c r="AS52" s="740"/>
      <c r="AT52" s="740"/>
      <c r="AU52" s="740"/>
      <c r="AV52" s="740"/>
      <c r="AW52" s="740"/>
      <c r="AX52" s="740"/>
      <c r="AY52" s="740"/>
      <c r="AZ52" s="740"/>
      <c r="BA52" s="740"/>
    </row>
    <row r="53" spans="1:53" ht="15" customHeight="1" thickTop="1" x14ac:dyDescent="0.2">
      <c r="A53" s="739"/>
      <c r="B53" s="2203"/>
      <c r="C53" s="2209"/>
      <c r="D53" s="2209"/>
      <c r="E53" s="2209"/>
      <c r="F53" s="2209"/>
      <c r="G53" s="2203">
        <f>SUM(C53:F53)</f>
        <v>0</v>
      </c>
      <c r="H53" s="788">
        <f>1.55*G53*B53^1.42</f>
        <v>0</v>
      </c>
      <c r="AP53" s="740"/>
      <c r="AQ53" s="740"/>
      <c r="AR53" s="740"/>
      <c r="AS53" s="740"/>
      <c r="AT53" s="740"/>
      <c r="AU53" s="740"/>
      <c r="AV53" s="740"/>
      <c r="AW53" s="740"/>
      <c r="AX53" s="740"/>
      <c r="AY53" s="740"/>
      <c r="AZ53" s="740"/>
      <c r="BA53" s="740"/>
    </row>
    <row r="54" spans="1:53" ht="15" customHeight="1" x14ac:dyDescent="0.2">
      <c r="A54" s="739"/>
      <c r="B54" s="742"/>
      <c r="C54" s="742"/>
      <c r="D54" s="742"/>
      <c r="E54" s="742"/>
      <c r="F54" s="742"/>
      <c r="AP54" s="740"/>
      <c r="AQ54" s="740"/>
      <c r="AR54" s="740"/>
      <c r="AS54" s="740"/>
      <c r="AT54" s="740"/>
      <c r="AU54" s="740"/>
      <c r="AV54" s="740"/>
      <c r="AW54" s="740"/>
      <c r="AX54" s="740"/>
      <c r="AY54" s="740"/>
      <c r="AZ54" s="740"/>
      <c r="BA54" s="740"/>
    </row>
    <row r="55" spans="1:53" ht="15" customHeight="1" thickBot="1" x14ac:dyDescent="0.25">
      <c r="A55" s="739"/>
      <c r="B55" s="742"/>
      <c r="C55" s="742"/>
      <c r="D55" s="742"/>
      <c r="E55" s="742"/>
      <c r="F55" s="742"/>
      <c r="AP55" s="740"/>
      <c r="AQ55" s="740"/>
      <c r="AR55" s="740"/>
      <c r="AS55" s="740"/>
      <c r="AT55" s="740"/>
      <c r="AU55" s="740"/>
      <c r="AV55" s="740"/>
      <c r="AW55" s="740"/>
      <c r="AX55" s="740"/>
      <c r="AY55" s="740"/>
      <c r="AZ55" s="740"/>
      <c r="BA55" s="740"/>
    </row>
    <row r="56" spans="1:53" ht="15" customHeight="1" thickTop="1" x14ac:dyDescent="0.2">
      <c r="A56" s="739"/>
      <c r="B56" s="3289" t="s">
        <v>830</v>
      </c>
      <c r="C56" s="3290"/>
      <c r="D56" s="3290"/>
      <c r="E56" s="3290"/>
      <c r="F56" s="3290"/>
      <c r="G56" s="3290"/>
      <c r="H56" s="3292"/>
      <c r="I56" s="3"/>
      <c r="L56" s="786" t="s">
        <v>844</v>
      </c>
      <c r="AP56" s="740"/>
      <c r="AQ56" s="740"/>
      <c r="AR56" s="740"/>
      <c r="AS56" s="740"/>
      <c r="AT56" s="740"/>
      <c r="AU56" s="740"/>
      <c r="AV56" s="740"/>
      <c r="AW56" s="740"/>
      <c r="AX56" s="740"/>
      <c r="AY56" s="740"/>
      <c r="AZ56" s="740"/>
      <c r="BA56" s="740"/>
    </row>
    <row r="57" spans="1:53" ht="38.25" customHeight="1" thickBot="1" x14ac:dyDescent="0.25">
      <c r="A57" s="739"/>
      <c r="B57" s="787" t="s">
        <v>843</v>
      </c>
      <c r="C57" s="777" t="s">
        <v>818</v>
      </c>
      <c r="D57" s="777" t="s">
        <v>804</v>
      </c>
      <c r="E57" s="780" t="s">
        <v>846</v>
      </c>
      <c r="F57" s="780" t="s">
        <v>837</v>
      </c>
      <c r="G57" s="780" t="s">
        <v>838</v>
      </c>
      <c r="H57" s="784" t="s">
        <v>839</v>
      </c>
      <c r="K57" s="785" t="s">
        <v>845</v>
      </c>
      <c r="AP57" s="740"/>
      <c r="AQ57" s="740"/>
      <c r="AR57" s="740"/>
      <c r="AS57" s="740"/>
      <c r="AT57" s="740"/>
      <c r="AU57" s="740"/>
      <c r="AV57" s="740"/>
      <c r="AW57" s="740"/>
      <c r="AX57" s="740"/>
      <c r="AY57" s="740"/>
      <c r="AZ57" s="740"/>
      <c r="BA57" s="740"/>
    </row>
    <row r="58" spans="1:53" ht="15" customHeight="1" thickTop="1" x14ac:dyDescent="0.2">
      <c r="A58" s="739"/>
      <c r="B58" s="2203" t="e">
        <f>H26</f>
        <v>#N/A</v>
      </c>
      <c r="C58" s="2203">
        <v>1</v>
      </c>
      <c r="D58" s="2203">
        <v>1.1270870440513192</v>
      </c>
      <c r="E58" s="2209" t="e">
        <f>B58-D58/2</f>
        <v>#N/A</v>
      </c>
      <c r="F58" s="2208">
        <v>1</v>
      </c>
      <c r="G58" s="2203" t="e">
        <f>(2.791*C58*D58*E58^0.5)*F58</f>
        <v>#N/A</v>
      </c>
      <c r="H58" s="2207" t="e">
        <f>G58</f>
        <v>#N/A</v>
      </c>
      <c r="M58" s="2225" t="e">
        <f>D26</f>
        <v>#N/A</v>
      </c>
      <c r="AP58" s="740"/>
      <c r="AQ58" s="740"/>
      <c r="AR58" s="740"/>
      <c r="AS58" s="740"/>
      <c r="AT58" s="740"/>
      <c r="AU58" s="740"/>
      <c r="AV58" s="740"/>
      <c r="AW58" s="740"/>
      <c r="AX58" s="740"/>
      <c r="AY58" s="740"/>
      <c r="AZ58" s="740"/>
      <c r="BA58" s="740"/>
    </row>
    <row r="59" spans="1:53" ht="15" customHeight="1" x14ac:dyDescent="0.2">
      <c r="A59" s="739"/>
      <c r="B59" s="781"/>
      <c r="C59" s="781"/>
      <c r="D59" s="781"/>
      <c r="E59" s="782"/>
      <c r="F59" s="783"/>
      <c r="G59" s="781"/>
      <c r="H59" s="758"/>
      <c r="L59" s="732"/>
      <c r="AP59" s="740"/>
      <c r="AQ59" s="740"/>
      <c r="AR59" s="740"/>
      <c r="AS59" s="740"/>
      <c r="AT59" s="740"/>
      <c r="AU59" s="740"/>
      <c r="AV59" s="740"/>
      <c r="AW59" s="740"/>
      <c r="AX59" s="740"/>
      <c r="AY59" s="740"/>
      <c r="AZ59" s="740"/>
      <c r="BA59" s="740"/>
    </row>
    <row r="60" spans="1:53" ht="15" customHeight="1" x14ac:dyDescent="0.2">
      <c r="A60" s="739"/>
      <c r="B60" s="781"/>
      <c r="C60" s="781"/>
      <c r="D60" s="781"/>
      <c r="E60" s="782"/>
      <c r="F60" s="783"/>
      <c r="G60" s="781"/>
      <c r="H60" s="758"/>
      <c r="AP60" s="740"/>
      <c r="AQ60" s="740"/>
      <c r="AR60" s="740"/>
      <c r="AS60" s="740"/>
      <c r="AT60" s="740"/>
      <c r="AU60" s="740"/>
      <c r="AV60" s="740"/>
      <c r="AW60" s="740"/>
      <c r="AX60" s="740"/>
      <c r="AY60" s="740"/>
      <c r="AZ60" s="740"/>
      <c r="BA60" s="740"/>
    </row>
    <row r="61" spans="1:53" ht="15" customHeight="1" x14ac:dyDescent="0.2">
      <c r="A61" s="739"/>
      <c r="B61" s="781"/>
      <c r="C61" s="781"/>
      <c r="D61" s="781"/>
      <c r="E61" s="782"/>
      <c r="F61" s="783"/>
      <c r="G61" s="781"/>
      <c r="H61" s="758"/>
      <c r="AP61" s="740"/>
      <c r="AQ61" s="740"/>
      <c r="AR61" s="740"/>
      <c r="AS61" s="740"/>
      <c r="AT61" s="740"/>
      <c r="AU61" s="740"/>
      <c r="AV61" s="740"/>
      <c r="AW61" s="740"/>
      <c r="AX61" s="740"/>
      <c r="AY61" s="740"/>
      <c r="AZ61" s="740"/>
      <c r="BA61" s="740"/>
    </row>
    <row r="62" spans="1:53" ht="15" customHeight="1" x14ac:dyDescent="0.2">
      <c r="A62" s="739"/>
      <c r="B62" s="781"/>
      <c r="C62" s="781"/>
      <c r="D62" s="781"/>
      <c r="E62" s="782"/>
      <c r="F62" s="783"/>
      <c r="G62" s="781"/>
      <c r="H62" s="758"/>
      <c r="K62" s="741"/>
      <c r="AP62" s="740"/>
      <c r="AQ62" s="740"/>
      <c r="AR62" s="740"/>
      <c r="AS62" s="740"/>
      <c r="AT62" s="740"/>
      <c r="AU62" s="740"/>
      <c r="AV62" s="740"/>
      <c r="AW62" s="740"/>
      <c r="AX62" s="740"/>
      <c r="AY62" s="740"/>
      <c r="AZ62" s="740"/>
      <c r="BA62" s="740"/>
    </row>
    <row r="63" spans="1:53" ht="15" customHeight="1" x14ac:dyDescent="0.2">
      <c r="A63" s="739"/>
      <c r="B63" s="742"/>
      <c r="C63" s="742"/>
      <c r="D63" s="743"/>
      <c r="E63" s="744"/>
      <c r="F63" s="743"/>
      <c r="G63" s="742"/>
      <c r="H63" s="742"/>
      <c r="I63" s="745"/>
      <c r="AP63" s="740"/>
      <c r="AQ63" s="740"/>
      <c r="AR63" s="740"/>
      <c r="AS63" s="740"/>
      <c r="AT63" s="740"/>
      <c r="AU63" s="740"/>
      <c r="AV63" s="740"/>
      <c r="AW63" s="740"/>
      <c r="AX63" s="740"/>
      <c r="AY63" s="740"/>
      <c r="AZ63" s="740"/>
      <c r="BA63" s="740"/>
    </row>
    <row r="64" spans="1:53" ht="15" customHeight="1" x14ac:dyDescent="0.2">
      <c r="A64" s="739"/>
      <c r="B64" s="742"/>
      <c r="C64" s="742"/>
      <c r="D64" s="743"/>
      <c r="E64" s="744"/>
      <c r="F64" s="743"/>
      <c r="G64" s="742"/>
      <c r="H64" s="742"/>
      <c r="I64" s="745"/>
      <c r="AP64" s="740"/>
      <c r="AQ64" s="740"/>
      <c r="AR64" s="740"/>
      <c r="AS64" s="740"/>
      <c r="AT64" s="740"/>
      <c r="AU64" s="740"/>
      <c r="AV64" s="740"/>
      <c r="AW64" s="740"/>
      <c r="AX64" s="740"/>
      <c r="AY64" s="740"/>
      <c r="AZ64" s="740"/>
      <c r="BA64" s="740"/>
    </row>
    <row r="65" spans="1:53" s="717" customFormat="1" ht="15" customHeight="1" x14ac:dyDescent="0.2">
      <c r="A65" s="748" t="s">
        <v>831</v>
      </c>
      <c r="B65" s="748" t="s">
        <v>832</v>
      </c>
      <c r="C65" s="748"/>
      <c r="D65" s="749"/>
      <c r="E65" s="749"/>
      <c r="F65" s="749"/>
      <c r="G65" s="749"/>
      <c r="H65" s="749"/>
      <c r="I65" s="749"/>
      <c r="J65" s="749"/>
      <c r="K65" s="749"/>
      <c r="L65" s="749"/>
      <c r="O65" s="723"/>
      <c r="P65" s="723"/>
      <c r="Q65" s="723"/>
      <c r="R65"/>
      <c r="S65"/>
      <c r="T65"/>
      <c r="U65" s="718"/>
      <c r="V65" s="3"/>
      <c r="W65" s="3"/>
      <c r="X65" s="3"/>
      <c r="Y65" s="3"/>
      <c r="Z65" s="3"/>
      <c r="AA65" s="3"/>
      <c r="AB65" s="3"/>
      <c r="AC65" s="3"/>
      <c r="AD65" s="724"/>
    </row>
    <row r="66" spans="1:53" s="740" customFormat="1" ht="15" customHeight="1" x14ac:dyDescent="0.2">
      <c r="H66" s="718"/>
      <c r="I66" s="718"/>
      <c r="J66" s="718"/>
      <c r="K66" s="718"/>
      <c r="L66" s="718"/>
      <c r="M66" s="718"/>
    </row>
    <row r="67" spans="1:53" s="740" customFormat="1" ht="15" customHeight="1" thickBot="1" x14ac:dyDescent="0.25">
      <c r="B67" s="792" t="s">
        <v>848</v>
      </c>
      <c r="F67" s="752" t="s">
        <v>849</v>
      </c>
      <c r="H67" s="792" t="s">
        <v>848</v>
      </c>
      <c r="I67" s="718"/>
      <c r="J67" s="718"/>
      <c r="K67" s="718"/>
      <c r="L67" s="752" t="s">
        <v>845</v>
      </c>
      <c r="M67" s="718"/>
    </row>
    <row r="68" spans="1:53" s="3" customFormat="1" ht="15" customHeight="1" thickTop="1" x14ac:dyDescent="0.2">
      <c r="B68" s="789" t="s">
        <v>812</v>
      </c>
      <c r="C68" s="2206"/>
      <c r="D68" s="2206"/>
      <c r="E68" s="2206"/>
      <c r="F68" s="2205"/>
      <c r="G68" s="3280" t="s">
        <v>833</v>
      </c>
      <c r="H68" s="3281"/>
      <c r="I68" s="3281"/>
      <c r="J68" s="3281"/>
      <c r="K68" s="3281"/>
      <c r="L68" s="3293"/>
      <c r="AP68" s="740"/>
      <c r="AQ68" s="740"/>
      <c r="AR68" s="740"/>
      <c r="AS68" s="740"/>
      <c r="AT68" s="740"/>
      <c r="AU68" s="740"/>
      <c r="AV68" s="740"/>
      <c r="AW68" s="740"/>
      <c r="AX68" s="740"/>
      <c r="AY68" s="740"/>
      <c r="AZ68" s="740"/>
      <c r="BA68" s="740"/>
    </row>
    <row r="69" spans="1:53" s="3" customFormat="1" ht="29.25" customHeight="1" thickBot="1" x14ac:dyDescent="0.25">
      <c r="B69" s="776" t="s">
        <v>813</v>
      </c>
      <c r="C69" s="777" t="s">
        <v>814</v>
      </c>
      <c r="D69" s="780" t="s">
        <v>846</v>
      </c>
      <c r="E69" s="778" t="s">
        <v>815</v>
      </c>
      <c r="F69" s="779" t="s">
        <v>810</v>
      </c>
      <c r="G69" s="776" t="s">
        <v>813</v>
      </c>
      <c r="H69" s="777" t="s">
        <v>818</v>
      </c>
      <c r="I69" s="777" t="s">
        <v>804</v>
      </c>
      <c r="J69" s="780" t="s">
        <v>846</v>
      </c>
      <c r="K69" s="791" t="s">
        <v>815</v>
      </c>
      <c r="L69" s="779" t="s">
        <v>810</v>
      </c>
      <c r="AP69" s="740"/>
      <c r="AQ69" s="740"/>
      <c r="AR69" s="740"/>
      <c r="AS69" s="740"/>
      <c r="AT69" s="740"/>
      <c r="AU69" s="740"/>
      <c r="AV69" s="740"/>
      <c r="AW69" s="740"/>
      <c r="AX69" s="740"/>
      <c r="AY69" s="740"/>
      <c r="AZ69" s="740"/>
      <c r="BA69" s="740"/>
    </row>
    <row r="70" spans="1:53" s="740" customFormat="1" ht="15" customHeight="1" thickTop="1" x14ac:dyDescent="0.2">
      <c r="B70" s="2204">
        <v>1</v>
      </c>
      <c r="C70" s="2203">
        <v>1.5</v>
      </c>
      <c r="D70" s="2203">
        <v>1.2214189870885843</v>
      </c>
      <c r="E70" s="2203">
        <f>2.79*D70^0.5</f>
        <v>3.08344734629866</v>
      </c>
      <c r="F70" s="2201">
        <f>IF(D70=0,+B70*C70^2.5*1.533,2.192*C70^2*D70^0.5*B70)</f>
        <v>5.4507391799085996</v>
      </c>
      <c r="G70" s="790">
        <v>1</v>
      </c>
      <c r="H70" s="788">
        <v>1.5</v>
      </c>
      <c r="I70" s="788">
        <v>1.5</v>
      </c>
      <c r="J70" s="788">
        <v>0.75323311010636329</v>
      </c>
      <c r="K70" s="788">
        <f>2.79*J70^0.5</f>
        <v>2.4214131932363263</v>
      </c>
      <c r="L70" s="788">
        <f>IF(J70=0,+G70*H70*I70^1.5*1.705,2.791*H70*I70*J70^0.5*G70)</f>
        <v>5.450132437356924</v>
      </c>
      <c r="M70" s="718"/>
    </row>
    <row r="73" spans="1:53" ht="15" customHeight="1" thickBot="1" x14ac:dyDescent="0.25">
      <c r="B73" s="792" t="s">
        <v>848</v>
      </c>
      <c r="F73" s="752" t="s">
        <v>851</v>
      </c>
      <c r="H73" s="792" t="s">
        <v>848</v>
      </c>
      <c r="I73" s="740"/>
      <c r="J73" s="740"/>
      <c r="K73" s="740"/>
      <c r="L73" s="752" t="s">
        <v>850</v>
      </c>
      <c r="M73" s="740"/>
    </row>
    <row r="74" spans="1:53" ht="15" customHeight="1" thickTop="1" x14ac:dyDescent="0.2">
      <c r="B74" s="789" t="s">
        <v>816</v>
      </c>
      <c r="C74" s="2206"/>
      <c r="D74" s="2206"/>
      <c r="E74" s="2206"/>
      <c r="F74" s="2205"/>
      <c r="G74" s="3280" t="s">
        <v>834</v>
      </c>
      <c r="H74" s="3281"/>
      <c r="I74" s="3281"/>
      <c r="J74" s="3281"/>
      <c r="K74" s="3281"/>
      <c r="L74" s="3293"/>
      <c r="M74" s="3"/>
    </row>
    <row r="75" spans="1:53" ht="29.25" customHeight="1" thickBot="1" x14ac:dyDescent="0.25">
      <c r="B75" s="776" t="s">
        <v>813</v>
      </c>
      <c r="C75" s="777" t="s">
        <v>814</v>
      </c>
      <c r="D75" s="778" t="s">
        <v>817</v>
      </c>
      <c r="E75" s="778" t="s">
        <v>815</v>
      </c>
      <c r="F75" s="779" t="s">
        <v>810</v>
      </c>
      <c r="G75" s="776" t="s">
        <v>813</v>
      </c>
      <c r="H75" s="777" t="s">
        <v>818</v>
      </c>
      <c r="I75" s="777" t="s">
        <v>804</v>
      </c>
      <c r="J75" s="791" t="s">
        <v>817</v>
      </c>
      <c r="K75" s="791" t="s">
        <v>815</v>
      </c>
      <c r="L75" s="779" t="s">
        <v>810</v>
      </c>
      <c r="M75" s="3"/>
    </row>
    <row r="76" spans="1:53" ht="15" customHeight="1" thickTop="1" x14ac:dyDescent="0.2">
      <c r="B76" s="2204">
        <f>B70</f>
        <v>1</v>
      </c>
      <c r="C76" s="2203">
        <f>C70</f>
        <v>1.5</v>
      </c>
      <c r="D76" s="2203">
        <f>0.739/C76^(0.333333333333333)</f>
        <v>0.64557596344012502</v>
      </c>
      <c r="E76" s="2203">
        <f>2.56*C76^0.5</f>
        <v>3.1353468707624677</v>
      </c>
      <c r="F76" s="2203">
        <f>B76*1.533*C76^2.5</f>
        <v>4.2244512476474387</v>
      </c>
      <c r="G76" s="2202">
        <f>G70</f>
        <v>1</v>
      </c>
      <c r="H76" s="2201">
        <f>H70</f>
        <v>1.5</v>
      </c>
      <c r="I76" s="2201">
        <f>I70</f>
        <v>1.5</v>
      </c>
      <c r="J76" s="2201">
        <f>IF(H76=0,0,0.0585/I76^0.333333333333333*(3+4*I76/H76)^(1.33333333333333))</f>
        <v>0.68431516812266135</v>
      </c>
      <c r="K76" s="2201">
        <f>2.56*I76^0.5</f>
        <v>3.1353468707624677</v>
      </c>
      <c r="L76" s="2201">
        <f>G76*H76*I76^1.5*1.705</f>
        <v>4.6984275128759831</v>
      </c>
      <c r="M76" s="746"/>
    </row>
  </sheetData>
  <mergeCells count="12">
    <mergeCell ref="B56:H56"/>
    <mergeCell ref="G68:L68"/>
    <mergeCell ref="G74:L74"/>
    <mergeCell ref="B9:B11"/>
    <mergeCell ref="C9:C11"/>
    <mergeCell ref="D9:D11"/>
    <mergeCell ref="E9:E11"/>
    <mergeCell ref="I9:L9"/>
    <mergeCell ref="F9:F11"/>
    <mergeCell ref="G9:G11"/>
    <mergeCell ref="H9:H11"/>
    <mergeCell ref="I10:L11"/>
  </mergeCells>
  <dataValidations disablePrompts="1" count="2">
    <dataValidation allowBlank="1" showInputMessage="1" showErrorMessage="1" prompt="contribuição_x000a_extra" sqref="WVI1048561:WVI1048562 WLM1048561:WLM1048562 WBQ1048561:WBQ1048562 VRU1048561:VRU1048562 VHY1048561:VHY1048562 UYC1048561:UYC1048562 UOG1048561:UOG1048562 UEK1048561:UEK1048562 TUO1048561:TUO1048562 TKS1048561:TKS1048562 TAW1048561:TAW1048562 SRA1048561:SRA1048562 SHE1048561:SHE1048562 RXI1048561:RXI1048562 RNM1048561:RNM1048562 RDQ1048561:RDQ1048562 QTU1048561:QTU1048562 QJY1048561:QJY1048562 QAC1048561:QAC1048562 PQG1048561:PQG1048562 PGK1048561:PGK1048562 OWO1048561:OWO1048562 OMS1048561:OMS1048562 OCW1048561:OCW1048562 NTA1048561:NTA1048562 NJE1048561:NJE1048562 MZI1048561:MZI1048562 MPM1048561:MPM1048562 MFQ1048561:MFQ1048562 LVU1048561:LVU1048562 LLY1048561:LLY1048562 LCC1048561:LCC1048562 KSG1048561:KSG1048562 KIK1048561:KIK1048562 JYO1048561:JYO1048562 JOS1048561:JOS1048562 JEW1048561:JEW1048562 IVA1048561:IVA1048562 ILE1048561:ILE1048562 IBI1048561:IBI1048562 HRM1048561:HRM1048562 HHQ1048561:HHQ1048562 GXU1048561:GXU1048562 GNY1048561:GNY1048562 GEC1048561:GEC1048562 FUG1048561:FUG1048562 FKK1048561:FKK1048562 FAO1048561:FAO1048562 EQS1048561:EQS1048562 EGW1048561:EGW1048562 DXA1048561:DXA1048562 DNE1048561:DNE1048562 DDI1048561:DDI1048562 CTM1048561:CTM1048562 CJQ1048561:CJQ1048562 BZU1048561:BZU1048562 BPY1048561:BPY1048562 BGC1048561:BGC1048562 AWG1048561:AWG1048562 AMK1048561:AMK1048562 ACO1048561:ACO1048562 SS1048561:SS1048562 IW1048561:IW1048562 WVI983025:WVI983026 WLM983025:WLM983026 WBQ983025:WBQ983026 VRU983025:VRU983026 VHY983025:VHY983026 UYC983025:UYC983026 UOG983025:UOG983026 UEK983025:UEK983026 TUO983025:TUO983026 TKS983025:TKS983026 TAW983025:TAW983026 SRA983025:SRA983026 SHE983025:SHE983026 RXI983025:RXI983026 RNM983025:RNM983026 RDQ983025:RDQ983026 QTU983025:QTU983026 QJY983025:QJY983026 QAC983025:QAC983026 PQG983025:PQG983026 PGK983025:PGK983026 OWO983025:OWO983026 OMS983025:OMS983026 OCW983025:OCW983026 NTA983025:NTA983026 NJE983025:NJE983026 MZI983025:MZI983026 MPM983025:MPM983026 MFQ983025:MFQ983026 LVU983025:LVU983026 LLY983025:LLY983026 LCC983025:LCC983026 KSG983025:KSG983026 KIK983025:KIK983026 JYO983025:JYO983026 JOS983025:JOS983026 JEW983025:JEW983026 IVA983025:IVA983026 ILE983025:ILE983026 IBI983025:IBI983026 HRM983025:HRM983026 HHQ983025:HHQ983026 GXU983025:GXU983026 GNY983025:GNY983026 GEC983025:GEC983026 FUG983025:FUG983026 FKK983025:FKK983026 FAO983025:FAO983026 EQS983025:EQS983026 EGW983025:EGW983026 DXA983025:DXA983026 DNE983025:DNE983026 DDI983025:DDI983026 CTM983025:CTM983026 CJQ983025:CJQ983026 BZU983025:BZU983026 BPY983025:BPY983026 BGC983025:BGC983026 AWG983025:AWG983026 AMK983025:AMK983026 ACO983025:ACO983026 SS983025:SS983026 IW983025:IW983026 WVI917489:WVI917490 WLM917489:WLM917490 WBQ917489:WBQ917490 VRU917489:VRU917490 VHY917489:VHY917490 UYC917489:UYC917490 UOG917489:UOG917490 UEK917489:UEK917490 TUO917489:TUO917490 TKS917489:TKS917490 TAW917489:TAW917490 SRA917489:SRA917490 SHE917489:SHE917490 RXI917489:RXI917490 RNM917489:RNM917490 RDQ917489:RDQ917490 QTU917489:QTU917490 QJY917489:QJY917490 QAC917489:QAC917490 PQG917489:PQG917490 PGK917489:PGK917490 OWO917489:OWO917490 OMS917489:OMS917490 OCW917489:OCW917490 NTA917489:NTA917490 NJE917489:NJE917490 MZI917489:MZI917490 MPM917489:MPM917490 MFQ917489:MFQ917490 LVU917489:LVU917490 LLY917489:LLY917490 LCC917489:LCC917490 KSG917489:KSG917490 KIK917489:KIK917490 JYO917489:JYO917490 JOS917489:JOS917490 JEW917489:JEW917490 IVA917489:IVA917490 ILE917489:ILE917490 IBI917489:IBI917490 HRM917489:HRM917490 HHQ917489:HHQ917490 GXU917489:GXU917490 GNY917489:GNY917490 GEC917489:GEC917490 FUG917489:FUG917490 FKK917489:FKK917490 FAO917489:FAO917490 EQS917489:EQS917490 EGW917489:EGW917490 DXA917489:DXA917490 DNE917489:DNE917490 DDI917489:DDI917490 CTM917489:CTM917490 CJQ917489:CJQ917490 BZU917489:BZU917490 BPY917489:BPY917490 BGC917489:BGC917490 AWG917489:AWG917490 AMK917489:AMK917490 ACO917489:ACO917490 SS917489:SS917490 IW917489:IW917490 WVI851953:WVI851954 WLM851953:WLM851954 WBQ851953:WBQ851954 VRU851953:VRU851954 VHY851953:VHY851954 UYC851953:UYC851954 UOG851953:UOG851954 UEK851953:UEK851954 TUO851953:TUO851954 TKS851953:TKS851954 TAW851953:TAW851954 SRA851953:SRA851954 SHE851953:SHE851954 RXI851953:RXI851954 RNM851953:RNM851954 RDQ851953:RDQ851954 QTU851953:QTU851954 QJY851953:QJY851954 QAC851953:QAC851954 PQG851953:PQG851954 PGK851953:PGK851954 OWO851953:OWO851954 OMS851953:OMS851954 OCW851953:OCW851954 NTA851953:NTA851954 NJE851953:NJE851954 MZI851953:MZI851954 MPM851953:MPM851954 MFQ851953:MFQ851954 LVU851953:LVU851954 LLY851953:LLY851954 LCC851953:LCC851954 KSG851953:KSG851954 KIK851953:KIK851954 JYO851953:JYO851954 JOS851953:JOS851954 JEW851953:JEW851954 IVA851953:IVA851954 ILE851953:ILE851954 IBI851953:IBI851954 HRM851953:HRM851954 HHQ851953:HHQ851954 GXU851953:GXU851954 GNY851953:GNY851954 GEC851953:GEC851954 FUG851953:FUG851954 FKK851953:FKK851954 FAO851953:FAO851954 EQS851953:EQS851954 EGW851953:EGW851954 DXA851953:DXA851954 DNE851953:DNE851954 DDI851953:DDI851954 CTM851953:CTM851954 CJQ851953:CJQ851954 BZU851953:BZU851954 BPY851953:BPY851954 BGC851953:BGC851954 AWG851953:AWG851954 AMK851953:AMK851954 ACO851953:ACO851954 SS851953:SS851954 IW851953:IW851954 WVI786417:WVI786418 WLM786417:WLM786418 WBQ786417:WBQ786418 VRU786417:VRU786418 VHY786417:VHY786418 UYC786417:UYC786418 UOG786417:UOG786418 UEK786417:UEK786418 TUO786417:TUO786418 TKS786417:TKS786418 TAW786417:TAW786418 SRA786417:SRA786418 SHE786417:SHE786418 RXI786417:RXI786418 RNM786417:RNM786418 RDQ786417:RDQ786418 QTU786417:QTU786418 QJY786417:QJY786418 QAC786417:QAC786418 PQG786417:PQG786418 PGK786417:PGK786418 OWO786417:OWO786418 OMS786417:OMS786418 OCW786417:OCW786418 NTA786417:NTA786418 NJE786417:NJE786418 MZI786417:MZI786418 MPM786417:MPM786418 MFQ786417:MFQ786418 LVU786417:LVU786418 LLY786417:LLY786418 LCC786417:LCC786418 KSG786417:KSG786418 KIK786417:KIK786418 JYO786417:JYO786418 JOS786417:JOS786418 JEW786417:JEW786418 IVA786417:IVA786418 ILE786417:ILE786418 IBI786417:IBI786418 HRM786417:HRM786418 HHQ786417:HHQ786418 GXU786417:GXU786418 GNY786417:GNY786418 GEC786417:GEC786418 FUG786417:FUG786418 FKK786417:FKK786418 FAO786417:FAO786418 EQS786417:EQS786418 EGW786417:EGW786418 DXA786417:DXA786418 DNE786417:DNE786418 DDI786417:DDI786418 CTM786417:CTM786418 CJQ786417:CJQ786418 BZU786417:BZU786418 BPY786417:BPY786418 BGC786417:BGC786418 AWG786417:AWG786418 AMK786417:AMK786418 ACO786417:ACO786418 SS786417:SS786418 IW786417:IW786418 WVI720881:WVI720882 WLM720881:WLM720882 WBQ720881:WBQ720882 VRU720881:VRU720882 VHY720881:VHY720882 UYC720881:UYC720882 UOG720881:UOG720882 UEK720881:UEK720882 TUO720881:TUO720882 TKS720881:TKS720882 TAW720881:TAW720882 SRA720881:SRA720882 SHE720881:SHE720882 RXI720881:RXI720882 RNM720881:RNM720882 RDQ720881:RDQ720882 QTU720881:QTU720882 QJY720881:QJY720882 QAC720881:QAC720882 PQG720881:PQG720882 PGK720881:PGK720882 OWO720881:OWO720882 OMS720881:OMS720882 OCW720881:OCW720882 NTA720881:NTA720882 NJE720881:NJE720882 MZI720881:MZI720882 MPM720881:MPM720882 MFQ720881:MFQ720882 LVU720881:LVU720882 LLY720881:LLY720882 LCC720881:LCC720882 KSG720881:KSG720882 KIK720881:KIK720882 JYO720881:JYO720882 JOS720881:JOS720882 JEW720881:JEW720882 IVA720881:IVA720882 ILE720881:ILE720882 IBI720881:IBI720882 HRM720881:HRM720882 HHQ720881:HHQ720882 GXU720881:GXU720882 GNY720881:GNY720882 GEC720881:GEC720882 FUG720881:FUG720882 FKK720881:FKK720882 FAO720881:FAO720882 EQS720881:EQS720882 EGW720881:EGW720882 DXA720881:DXA720882 DNE720881:DNE720882 DDI720881:DDI720882 CTM720881:CTM720882 CJQ720881:CJQ720882 BZU720881:BZU720882 BPY720881:BPY720882 BGC720881:BGC720882 AWG720881:AWG720882 AMK720881:AMK720882 ACO720881:ACO720882 SS720881:SS720882 IW720881:IW720882 WVI655345:WVI655346 WLM655345:WLM655346 WBQ655345:WBQ655346 VRU655345:VRU655346 VHY655345:VHY655346 UYC655345:UYC655346 UOG655345:UOG655346 UEK655345:UEK655346 TUO655345:TUO655346 TKS655345:TKS655346 TAW655345:TAW655346 SRA655345:SRA655346 SHE655345:SHE655346 RXI655345:RXI655346 RNM655345:RNM655346 RDQ655345:RDQ655346 QTU655345:QTU655346 QJY655345:QJY655346 QAC655345:QAC655346 PQG655345:PQG655346 PGK655345:PGK655346 OWO655345:OWO655346 OMS655345:OMS655346 OCW655345:OCW655346 NTA655345:NTA655346 NJE655345:NJE655346 MZI655345:MZI655346 MPM655345:MPM655346 MFQ655345:MFQ655346 LVU655345:LVU655346 LLY655345:LLY655346 LCC655345:LCC655346 KSG655345:KSG655346 KIK655345:KIK655346 JYO655345:JYO655346 JOS655345:JOS655346 JEW655345:JEW655346 IVA655345:IVA655346 ILE655345:ILE655346 IBI655345:IBI655346 HRM655345:HRM655346 HHQ655345:HHQ655346 GXU655345:GXU655346 GNY655345:GNY655346 GEC655345:GEC655346 FUG655345:FUG655346 FKK655345:FKK655346 FAO655345:FAO655346 EQS655345:EQS655346 EGW655345:EGW655346 DXA655345:DXA655346 DNE655345:DNE655346 DDI655345:DDI655346 CTM655345:CTM655346 CJQ655345:CJQ655346 BZU655345:BZU655346 BPY655345:BPY655346 BGC655345:BGC655346 AWG655345:AWG655346 AMK655345:AMK655346 ACO655345:ACO655346 SS655345:SS655346 IW655345:IW655346 WVI589809:WVI589810 WLM589809:WLM589810 WBQ589809:WBQ589810 VRU589809:VRU589810 VHY589809:VHY589810 UYC589809:UYC589810 UOG589809:UOG589810 UEK589809:UEK589810 TUO589809:TUO589810 TKS589809:TKS589810 TAW589809:TAW589810 SRA589809:SRA589810 SHE589809:SHE589810 RXI589809:RXI589810 RNM589809:RNM589810 RDQ589809:RDQ589810 QTU589809:QTU589810 QJY589809:QJY589810 QAC589809:QAC589810 PQG589809:PQG589810 PGK589809:PGK589810 OWO589809:OWO589810 OMS589809:OMS589810 OCW589809:OCW589810 NTA589809:NTA589810 NJE589809:NJE589810 MZI589809:MZI589810 MPM589809:MPM589810 MFQ589809:MFQ589810 LVU589809:LVU589810 LLY589809:LLY589810 LCC589809:LCC589810 KSG589809:KSG589810 KIK589809:KIK589810 JYO589809:JYO589810 JOS589809:JOS589810 JEW589809:JEW589810 IVA589809:IVA589810 ILE589809:ILE589810 IBI589809:IBI589810 HRM589809:HRM589810 HHQ589809:HHQ589810 GXU589809:GXU589810 GNY589809:GNY589810 GEC589809:GEC589810 FUG589809:FUG589810 FKK589809:FKK589810 FAO589809:FAO589810 EQS589809:EQS589810 EGW589809:EGW589810 DXA589809:DXA589810 DNE589809:DNE589810 DDI589809:DDI589810 CTM589809:CTM589810 CJQ589809:CJQ589810 BZU589809:BZU589810 BPY589809:BPY589810 BGC589809:BGC589810 AWG589809:AWG589810 AMK589809:AMK589810 ACO589809:ACO589810 SS589809:SS589810 IW589809:IW589810 WVI524273:WVI524274 WLM524273:WLM524274 WBQ524273:WBQ524274 VRU524273:VRU524274 VHY524273:VHY524274 UYC524273:UYC524274 UOG524273:UOG524274 UEK524273:UEK524274 TUO524273:TUO524274 TKS524273:TKS524274 TAW524273:TAW524274 SRA524273:SRA524274 SHE524273:SHE524274 RXI524273:RXI524274 RNM524273:RNM524274 RDQ524273:RDQ524274 QTU524273:QTU524274 QJY524273:QJY524274 QAC524273:QAC524274 PQG524273:PQG524274 PGK524273:PGK524274 OWO524273:OWO524274 OMS524273:OMS524274 OCW524273:OCW524274 NTA524273:NTA524274 NJE524273:NJE524274 MZI524273:MZI524274 MPM524273:MPM524274 MFQ524273:MFQ524274 LVU524273:LVU524274 LLY524273:LLY524274 LCC524273:LCC524274 KSG524273:KSG524274 KIK524273:KIK524274 JYO524273:JYO524274 JOS524273:JOS524274 JEW524273:JEW524274 IVA524273:IVA524274 ILE524273:ILE524274 IBI524273:IBI524274 HRM524273:HRM524274 HHQ524273:HHQ524274 GXU524273:GXU524274 GNY524273:GNY524274 GEC524273:GEC524274 FUG524273:FUG524274 FKK524273:FKK524274 FAO524273:FAO524274 EQS524273:EQS524274 EGW524273:EGW524274 DXA524273:DXA524274 DNE524273:DNE524274 DDI524273:DDI524274 CTM524273:CTM524274 CJQ524273:CJQ524274 BZU524273:BZU524274 BPY524273:BPY524274 BGC524273:BGC524274 AWG524273:AWG524274 AMK524273:AMK524274 ACO524273:ACO524274 SS524273:SS524274 IW524273:IW524274 WVI458737:WVI458738 WLM458737:WLM458738 WBQ458737:WBQ458738 VRU458737:VRU458738 VHY458737:VHY458738 UYC458737:UYC458738 UOG458737:UOG458738 UEK458737:UEK458738 TUO458737:TUO458738 TKS458737:TKS458738 TAW458737:TAW458738 SRA458737:SRA458738 SHE458737:SHE458738 RXI458737:RXI458738 RNM458737:RNM458738 RDQ458737:RDQ458738 QTU458737:QTU458738 QJY458737:QJY458738 QAC458737:QAC458738 PQG458737:PQG458738 PGK458737:PGK458738 OWO458737:OWO458738 OMS458737:OMS458738 OCW458737:OCW458738 NTA458737:NTA458738 NJE458737:NJE458738 MZI458737:MZI458738 MPM458737:MPM458738 MFQ458737:MFQ458738 LVU458737:LVU458738 LLY458737:LLY458738 LCC458737:LCC458738 KSG458737:KSG458738 KIK458737:KIK458738 JYO458737:JYO458738 JOS458737:JOS458738 JEW458737:JEW458738 IVA458737:IVA458738 ILE458737:ILE458738 IBI458737:IBI458738 HRM458737:HRM458738 HHQ458737:HHQ458738 GXU458737:GXU458738 GNY458737:GNY458738 GEC458737:GEC458738 FUG458737:FUG458738 FKK458737:FKK458738 FAO458737:FAO458738 EQS458737:EQS458738 EGW458737:EGW458738 DXA458737:DXA458738 DNE458737:DNE458738 DDI458737:DDI458738 CTM458737:CTM458738 CJQ458737:CJQ458738 BZU458737:BZU458738 BPY458737:BPY458738 BGC458737:BGC458738 AWG458737:AWG458738 AMK458737:AMK458738 ACO458737:ACO458738 SS458737:SS458738 IW458737:IW458738 WVI393201:WVI393202 WLM393201:WLM393202 WBQ393201:WBQ393202 VRU393201:VRU393202 VHY393201:VHY393202 UYC393201:UYC393202 UOG393201:UOG393202 UEK393201:UEK393202 TUO393201:TUO393202 TKS393201:TKS393202 TAW393201:TAW393202 SRA393201:SRA393202 SHE393201:SHE393202 RXI393201:RXI393202 RNM393201:RNM393202 RDQ393201:RDQ393202 QTU393201:QTU393202 QJY393201:QJY393202 QAC393201:QAC393202 PQG393201:PQG393202 PGK393201:PGK393202 OWO393201:OWO393202 OMS393201:OMS393202 OCW393201:OCW393202 NTA393201:NTA393202 NJE393201:NJE393202 MZI393201:MZI393202 MPM393201:MPM393202 MFQ393201:MFQ393202 LVU393201:LVU393202 LLY393201:LLY393202 LCC393201:LCC393202 KSG393201:KSG393202 KIK393201:KIK393202 JYO393201:JYO393202 JOS393201:JOS393202 JEW393201:JEW393202 IVA393201:IVA393202 ILE393201:ILE393202 IBI393201:IBI393202 HRM393201:HRM393202 HHQ393201:HHQ393202 GXU393201:GXU393202 GNY393201:GNY393202 GEC393201:GEC393202 FUG393201:FUG393202 FKK393201:FKK393202 FAO393201:FAO393202 EQS393201:EQS393202 EGW393201:EGW393202 DXA393201:DXA393202 DNE393201:DNE393202 DDI393201:DDI393202 CTM393201:CTM393202 CJQ393201:CJQ393202 BZU393201:BZU393202 BPY393201:BPY393202 BGC393201:BGC393202 AWG393201:AWG393202 AMK393201:AMK393202 ACO393201:ACO393202 SS393201:SS393202 IW393201:IW393202 WVI327665:WVI327666 WLM327665:WLM327666 WBQ327665:WBQ327666 VRU327665:VRU327666 VHY327665:VHY327666 UYC327665:UYC327666 UOG327665:UOG327666 UEK327665:UEK327666 TUO327665:TUO327666 TKS327665:TKS327666 TAW327665:TAW327666 SRA327665:SRA327666 SHE327665:SHE327666 RXI327665:RXI327666 RNM327665:RNM327666 RDQ327665:RDQ327666 QTU327665:QTU327666 QJY327665:QJY327666 QAC327665:QAC327666 PQG327665:PQG327666 PGK327665:PGK327666 OWO327665:OWO327666 OMS327665:OMS327666 OCW327665:OCW327666 NTA327665:NTA327666 NJE327665:NJE327666 MZI327665:MZI327666 MPM327665:MPM327666 MFQ327665:MFQ327666 LVU327665:LVU327666 LLY327665:LLY327666 LCC327665:LCC327666 KSG327665:KSG327666 KIK327665:KIK327666 JYO327665:JYO327666 JOS327665:JOS327666 JEW327665:JEW327666 IVA327665:IVA327666 ILE327665:ILE327666 IBI327665:IBI327666 HRM327665:HRM327666 HHQ327665:HHQ327666 GXU327665:GXU327666 GNY327665:GNY327666 GEC327665:GEC327666 FUG327665:FUG327666 FKK327665:FKK327666 FAO327665:FAO327666 EQS327665:EQS327666 EGW327665:EGW327666 DXA327665:DXA327666 DNE327665:DNE327666 DDI327665:DDI327666 CTM327665:CTM327666 CJQ327665:CJQ327666 BZU327665:BZU327666 BPY327665:BPY327666 BGC327665:BGC327666 AWG327665:AWG327666 AMK327665:AMK327666 ACO327665:ACO327666 SS327665:SS327666 IW327665:IW327666 WVI262129:WVI262130 WLM262129:WLM262130 WBQ262129:WBQ262130 VRU262129:VRU262130 VHY262129:VHY262130 UYC262129:UYC262130 UOG262129:UOG262130 UEK262129:UEK262130 TUO262129:TUO262130 TKS262129:TKS262130 TAW262129:TAW262130 SRA262129:SRA262130 SHE262129:SHE262130 RXI262129:RXI262130 RNM262129:RNM262130 RDQ262129:RDQ262130 QTU262129:QTU262130 QJY262129:QJY262130 QAC262129:QAC262130 PQG262129:PQG262130 PGK262129:PGK262130 OWO262129:OWO262130 OMS262129:OMS262130 OCW262129:OCW262130 NTA262129:NTA262130 NJE262129:NJE262130 MZI262129:MZI262130 MPM262129:MPM262130 MFQ262129:MFQ262130 LVU262129:LVU262130 LLY262129:LLY262130 LCC262129:LCC262130 KSG262129:KSG262130 KIK262129:KIK262130 JYO262129:JYO262130 JOS262129:JOS262130 JEW262129:JEW262130 IVA262129:IVA262130 ILE262129:ILE262130 IBI262129:IBI262130 HRM262129:HRM262130 HHQ262129:HHQ262130 GXU262129:GXU262130 GNY262129:GNY262130 GEC262129:GEC262130 FUG262129:FUG262130 FKK262129:FKK262130 FAO262129:FAO262130 EQS262129:EQS262130 EGW262129:EGW262130 DXA262129:DXA262130 DNE262129:DNE262130 DDI262129:DDI262130 CTM262129:CTM262130 CJQ262129:CJQ262130 BZU262129:BZU262130 BPY262129:BPY262130 BGC262129:BGC262130 AWG262129:AWG262130 AMK262129:AMK262130 ACO262129:ACO262130 SS262129:SS262130 IW262129:IW262130 WVI196593:WVI196594 WLM196593:WLM196594 WBQ196593:WBQ196594 VRU196593:VRU196594 VHY196593:VHY196594 UYC196593:UYC196594 UOG196593:UOG196594 UEK196593:UEK196594 TUO196593:TUO196594 TKS196593:TKS196594 TAW196593:TAW196594 SRA196593:SRA196594 SHE196593:SHE196594 RXI196593:RXI196594 RNM196593:RNM196594 RDQ196593:RDQ196594 QTU196593:QTU196594 QJY196593:QJY196594 QAC196593:QAC196594 PQG196593:PQG196594 PGK196593:PGK196594 OWO196593:OWO196594 OMS196593:OMS196594 OCW196593:OCW196594 NTA196593:NTA196594 NJE196593:NJE196594 MZI196593:MZI196594 MPM196593:MPM196594 MFQ196593:MFQ196594 LVU196593:LVU196594 LLY196593:LLY196594 LCC196593:LCC196594 KSG196593:KSG196594 KIK196593:KIK196594 JYO196593:JYO196594 JOS196593:JOS196594 JEW196593:JEW196594 IVA196593:IVA196594 ILE196593:ILE196594 IBI196593:IBI196594 HRM196593:HRM196594 HHQ196593:HHQ196594 GXU196593:GXU196594 GNY196593:GNY196594 GEC196593:GEC196594 FUG196593:FUG196594 FKK196593:FKK196594 FAO196593:FAO196594 EQS196593:EQS196594 EGW196593:EGW196594 DXA196593:DXA196594 DNE196593:DNE196594 DDI196593:DDI196594 CTM196593:CTM196594 CJQ196593:CJQ196594 BZU196593:BZU196594 BPY196593:BPY196594 BGC196593:BGC196594 AWG196593:AWG196594 AMK196593:AMK196594 ACO196593:ACO196594 SS196593:SS196594 IW196593:IW196594 WVI131057:WVI131058 WLM131057:WLM131058 WBQ131057:WBQ131058 VRU131057:VRU131058 VHY131057:VHY131058 UYC131057:UYC131058 UOG131057:UOG131058 UEK131057:UEK131058 TUO131057:TUO131058 TKS131057:TKS131058 TAW131057:TAW131058 SRA131057:SRA131058 SHE131057:SHE131058 RXI131057:RXI131058 RNM131057:RNM131058 RDQ131057:RDQ131058 QTU131057:QTU131058 QJY131057:QJY131058 QAC131057:QAC131058 PQG131057:PQG131058 PGK131057:PGK131058 OWO131057:OWO131058 OMS131057:OMS131058 OCW131057:OCW131058 NTA131057:NTA131058 NJE131057:NJE131058 MZI131057:MZI131058 MPM131057:MPM131058 MFQ131057:MFQ131058 LVU131057:LVU131058 LLY131057:LLY131058 LCC131057:LCC131058 KSG131057:KSG131058 KIK131057:KIK131058 JYO131057:JYO131058 JOS131057:JOS131058 JEW131057:JEW131058 IVA131057:IVA131058 ILE131057:ILE131058 IBI131057:IBI131058 HRM131057:HRM131058 HHQ131057:HHQ131058 GXU131057:GXU131058 GNY131057:GNY131058 GEC131057:GEC131058 FUG131057:FUG131058 FKK131057:FKK131058 FAO131057:FAO131058 EQS131057:EQS131058 EGW131057:EGW131058 DXA131057:DXA131058 DNE131057:DNE131058 DDI131057:DDI131058 CTM131057:CTM131058 CJQ131057:CJQ131058 BZU131057:BZU131058 BPY131057:BPY131058 BGC131057:BGC131058 AWG131057:AWG131058 AMK131057:AMK131058 ACO131057:ACO131058 SS131057:SS131058 IW131057:IW131058 WVI65521:WVI65522 WLM65521:WLM65522 WBQ65521:WBQ65522 VRU65521:VRU65522 VHY65521:VHY65522 UYC65521:UYC65522 UOG65521:UOG65522 UEK65521:UEK65522 TUO65521:TUO65522 TKS65521:TKS65522 TAW65521:TAW65522 SRA65521:SRA65522 SHE65521:SHE65522 RXI65521:RXI65522 RNM65521:RNM65522 RDQ65521:RDQ65522 QTU65521:QTU65522 QJY65521:QJY65522 QAC65521:QAC65522 PQG65521:PQG65522 PGK65521:PGK65522 OWO65521:OWO65522 OMS65521:OMS65522 OCW65521:OCW65522 NTA65521:NTA65522 NJE65521:NJE65522 MZI65521:MZI65522 MPM65521:MPM65522 MFQ65521:MFQ65522 LVU65521:LVU65522 LLY65521:LLY65522 LCC65521:LCC65522 KSG65521:KSG65522 KIK65521:KIK65522 JYO65521:JYO65522 JOS65521:JOS65522 JEW65521:JEW65522 IVA65521:IVA65522 ILE65521:ILE65522 IBI65521:IBI65522 HRM65521:HRM65522 HHQ65521:HHQ65522 GXU65521:GXU65522 GNY65521:GNY65522 GEC65521:GEC65522 FUG65521:FUG65522 FKK65521:FKK65522 FAO65521:FAO65522 EQS65521:EQS65522 EGW65521:EGW65522 DXA65521:DXA65522 DNE65521:DNE65522 DDI65521:DDI65522 CTM65521:CTM65522 CJQ65521:CJQ65522 BZU65521:BZU65522 BPY65521:BPY65522 BGC65521:BGC65522 AWG65521:AWG65522 AMK65521:AMK65522 ACO65521:ACO65522 SS65521:SS65522 IW65521:IW65522 F131057:F131058 F196593:F196594 F262129:F262130 F327665:F327666 F393201:F393202 F458737:F458738 F524273:F524274 F589809:F589810 F655345:F655346 F720881:F720882 F786417:F786418 F851953:F851954 F917489:F917490 F983025:F983026 F1048561:F1048562 F65521:F65522" xr:uid="{AE7E5AAA-A45F-4512-A25B-98F0C9F1453E}"/>
    <dataValidation allowBlank="1" showInputMessage="1" showErrorMessage="1" prompt="saída sem_x000a_passar pela_x000a_obra de arte" sqref="WVJ1048561:WVJ1048562 WLN1048561:WLN1048562 WBR1048561:WBR1048562 VRV1048561:VRV1048562 VHZ1048561:VHZ1048562 UYD1048561:UYD1048562 UOH1048561:UOH1048562 UEL1048561:UEL1048562 TUP1048561:TUP1048562 TKT1048561:TKT1048562 TAX1048561:TAX1048562 SRB1048561:SRB1048562 SHF1048561:SHF1048562 RXJ1048561:RXJ1048562 RNN1048561:RNN1048562 RDR1048561:RDR1048562 QTV1048561:QTV1048562 QJZ1048561:QJZ1048562 QAD1048561:QAD1048562 PQH1048561:PQH1048562 PGL1048561:PGL1048562 OWP1048561:OWP1048562 OMT1048561:OMT1048562 OCX1048561:OCX1048562 NTB1048561:NTB1048562 NJF1048561:NJF1048562 MZJ1048561:MZJ1048562 MPN1048561:MPN1048562 MFR1048561:MFR1048562 LVV1048561:LVV1048562 LLZ1048561:LLZ1048562 LCD1048561:LCD1048562 KSH1048561:KSH1048562 KIL1048561:KIL1048562 JYP1048561:JYP1048562 JOT1048561:JOT1048562 JEX1048561:JEX1048562 IVB1048561:IVB1048562 ILF1048561:ILF1048562 IBJ1048561:IBJ1048562 HRN1048561:HRN1048562 HHR1048561:HHR1048562 GXV1048561:GXV1048562 GNZ1048561:GNZ1048562 GED1048561:GED1048562 FUH1048561:FUH1048562 FKL1048561:FKL1048562 FAP1048561:FAP1048562 EQT1048561:EQT1048562 EGX1048561:EGX1048562 DXB1048561:DXB1048562 DNF1048561:DNF1048562 DDJ1048561:DDJ1048562 CTN1048561:CTN1048562 CJR1048561:CJR1048562 BZV1048561:BZV1048562 BPZ1048561:BPZ1048562 BGD1048561:BGD1048562 AWH1048561:AWH1048562 AML1048561:AML1048562 ACP1048561:ACP1048562 ST1048561:ST1048562 IX1048561:IX1048562 WVJ983025:WVJ983026 WLN983025:WLN983026 WBR983025:WBR983026 VRV983025:VRV983026 VHZ983025:VHZ983026 UYD983025:UYD983026 UOH983025:UOH983026 UEL983025:UEL983026 TUP983025:TUP983026 TKT983025:TKT983026 TAX983025:TAX983026 SRB983025:SRB983026 SHF983025:SHF983026 RXJ983025:RXJ983026 RNN983025:RNN983026 RDR983025:RDR983026 QTV983025:QTV983026 QJZ983025:QJZ983026 QAD983025:QAD983026 PQH983025:PQH983026 PGL983025:PGL983026 OWP983025:OWP983026 OMT983025:OMT983026 OCX983025:OCX983026 NTB983025:NTB983026 NJF983025:NJF983026 MZJ983025:MZJ983026 MPN983025:MPN983026 MFR983025:MFR983026 LVV983025:LVV983026 LLZ983025:LLZ983026 LCD983025:LCD983026 KSH983025:KSH983026 KIL983025:KIL983026 JYP983025:JYP983026 JOT983025:JOT983026 JEX983025:JEX983026 IVB983025:IVB983026 ILF983025:ILF983026 IBJ983025:IBJ983026 HRN983025:HRN983026 HHR983025:HHR983026 GXV983025:GXV983026 GNZ983025:GNZ983026 GED983025:GED983026 FUH983025:FUH983026 FKL983025:FKL983026 FAP983025:FAP983026 EQT983025:EQT983026 EGX983025:EGX983026 DXB983025:DXB983026 DNF983025:DNF983026 DDJ983025:DDJ983026 CTN983025:CTN983026 CJR983025:CJR983026 BZV983025:BZV983026 BPZ983025:BPZ983026 BGD983025:BGD983026 AWH983025:AWH983026 AML983025:AML983026 ACP983025:ACP983026 ST983025:ST983026 IX983025:IX983026 WVJ917489:WVJ917490 WLN917489:WLN917490 WBR917489:WBR917490 VRV917489:VRV917490 VHZ917489:VHZ917490 UYD917489:UYD917490 UOH917489:UOH917490 UEL917489:UEL917490 TUP917489:TUP917490 TKT917489:TKT917490 TAX917489:TAX917490 SRB917489:SRB917490 SHF917489:SHF917490 RXJ917489:RXJ917490 RNN917489:RNN917490 RDR917489:RDR917490 QTV917489:QTV917490 QJZ917489:QJZ917490 QAD917489:QAD917490 PQH917489:PQH917490 PGL917489:PGL917490 OWP917489:OWP917490 OMT917489:OMT917490 OCX917489:OCX917490 NTB917489:NTB917490 NJF917489:NJF917490 MZJ917489:MZJ917490 MPN917489:MPN917490 MFR917489:MFR917490 LVV917489:LVV917490 LLZ917489:LLZ917490 LCD917489:LCD917490 KSH917489:KSH917490 KIL917489:KIL917490 JYP917489:JYP917490 JOT917489:JOT917490 JEX917489:JEX917490 IVB917489:IVB917490 ILF917489:ILF917490 IBJ917489:IBJ917490 HRN917489:HRN917490 HHR917489:HHR917490 GXV917489:GXV917490 GNZ917489:GNZ917490 GED917489:GED917490 FUH917489:FUH917490 FKL917489:FKL917490 FAP917489:FAP917490 EQT917489:EQT917490 EGX917489:EGX917490 DXB917489:DXB917490 DNF917489:DNF917490 DDJ917489:DDJ917490 CTN917489:CTN917490 CJR917489:CJR917490 BZV917489:BZV917490 BPZ917489:BPZ917490 BGD917489:BGD917490 AWH917489:AWH917490 AML917489:AML917490 ACP917489:ACP917490 ST917489:ST917490 IX917489:IX917490 WVJ851953:WVJ851954 WLN851953:WLN851954 WBR851953:WBR851954 VRV851953:VRV851954 VHZ851953:VHZ851954 UYD851953:UYD851954 UOH851953:UOH851954 UEL851953:UEL851954 TUP851953:TUP851954 TKT851953:TKT851954 TAX851953:TAX851954 SRB851953:SRB851954 SHF851953:SHF851954 RXJ851953:RXJ851954 RNN851953:RNN851954 RDR851953:RDR851954 QTV851953:QTV851954 QJZ851953:QJZ851954 QAD851953:QAD851954 PQH851953:PQH851954 PGL851953:PGL851954 OWP851953:OWP851954 OMT851953:OMT851954 OCX851953:OCX851954 NTB851953:NTB851954 NJF851953:NJF851954 MZJ851953:MZJ851954 MPN851953:MPN851954 MFR851953:MFR851954 LVV851953:LVV851954 LLZ851953:LLZ851954 LCD851953:LCD851954 KSH851953:KSH851954 KIL851953:KIL851954 JYP851953:JYP851954 JOT851953:JOT851954 JEX851953:JEX851954 IVB851953:IVB851954 ILF851953:ILF851954 IBJ851953:IBJ851954 HRN851953:HRN851954 HHR851953:HHR851954 GXV851953:GXV851954 GNZ851953:GNZ851954 GED851953:GED851954 FUH851953:FUH851954 FKL851953:FKL851954 FAP851953:FAP851954 EQT851953:EQT851954 EGX851953:EGX851954 DXB851953:DXB851954 DNF851953:DNF851954 DDJ851953:DDJ851954 CTN851953:CTN851954 CJR851953:CJR851954 BZV851953:BZV851954 BPZ851953:BPZ851954 BGD851953:BGD851954 AWH851953:AWH851954 AML851953:AML851954 ACP851953:ACP851954 ST851953:ST851954 IX851953:IX851954 WVJ786417:WVJ786418 WLN786417:WLN786418 WBR786417:WBR786418 VRV786417:VRV786418 VHZ786417:VHZ786418 UYD786417:UYD786418 UOH786417:UOH786418 UEL786417:UEL786418 TUP786417:TUP786418 TKT786417:TKT786418 TAX786417:TAX786418 SRB786417:SRB786418 SHF786417:SHF786418 RXJ786417:RXJ786418 RNN786417:RNN786418 RDR786417:RDR786418 QTV786417:QTV786418 QJZ786417:QJZ786418 QAD786417:QAD786418 PQH786417:PQH786418 PGL786417:PGL786418 OWP786417:OWP786418 OMT786417:OMT786418 OCX786417:OCX786418 NTB786417:NTB786418 NJF786417:NJF786418 MZJ786417:MZJ786418 MPN786417:MPN786418 MFR786417:MFR786418 LVV786417:LVV786418 LLZ786417:LLZ786418 LCD786417:LCD786418 KSH786417:KSH786418 KIL786417:KIL786418 JYP786417:JYP786418 JOT786417:JOT786418 JEX786417:JEX786418 IVB786417:IVB786418 ILF786417:ILF786418 IBJ786417:IBJ786418 HRN786417:HRN786418 HHR786417:HHR786418 GXV786417:GXV786418 GNZ786417:GNZ786418 GED786417:GED786418 FUH786417:FUH786418 FKL786417:FKL786418 FAP786417:FAP786418 EQT786417:EQT786418 EGX786417:EGX786418 DXB786417:DXB786418 DNF786417:DNF786418 DDJ786417:DDJ786418 CTN786417:CTN786418 CJR786417:CJR786418 BZV786417:BZV786418 BPZ786417:BPZ786418 BGD786417:BGD786418 AWH786417:AWH786418 AML786417:AML786418 ACP786417:ACP786418 ST786417:ST786418 IX786417:IX786418 WVJ720881:WVJ720882 WLN720881:WLN720882 WBR720881:WBR720882 VRV720881:VRV720882 VHZ720881:VHZ720882 UYD720881:UYD720882 UOH720881:UOH720882 UEL720881:UEL720882 TUP720881:TUP720882 TKT720881:TKT720882 TAX720881:TAX720882 SRB720881:SRB720882 SHF720881:SHF720882 RXJ720881:RXJ720882 RNN720881:RNN720882 RDR720881:RDR720882 QTV720881:QTV720882 QJZ720881:QJZ720882 QAD720881:QAD720882 PQH720881:PQH720882 PGL720881:PGL720882 OWP720881:OWP720882 OMT720881:OMT720882 OCX720881:OCX720882 NTB720881:NTB720882 NJF720881:NJF720882 MZJ720881:MZJ720882 MPN720881:MPN720882 MFR720881:MFR720882 LVV720881:LVV720882 LLZ720881:LLZ720882 LCD720881:LCD720882 KSH720881:KSH720882 KIL720881:KIL720882 JYP720881:JYP720882 JOT720881:JOT720882 JEX720881:JEX720882 IVB720881:IVB720882 ILF720881:ILF720882 IBJ720881:IBJ720882 HRN720881:HRN720882 HHR720881:HHR720882 GXV720881:GXV720882 GNZ720881:GNZ720882 GED720881:GED720882 FUH720881:FUH720882 FKL720881:FKL720882 FAP720881:FAP720882 EQT720881:EQT720882 EGX720881:EGX720882 DXB720881:DXB720882 DNF720881:DNF720882 DDJ720881:DDJ720882 CTN720881:CTN720882 CJR720881:CJR720882 BZV720881:BZV720882 BPZ720881:BPZ720882 BGD720881:BGD720882 AWH720881:AWH720882 AML720881:AML720882 ACP720881:ACP720882 ST720881:ST720882 IX720881:IX720882 WVJ655345:WVJ655346 WLN655345:WLN655346 WBR655345:WBR655346 VRV655345:VRV655346 VHZ655345:VHZ655346 UYD655345:UYD655346 UOH655345:UOH655346 UEL655345:UEL655346 TUP655345:TUP655346 TKT655345:TKT655346 TAX655345:TAX655346 SRB655345:SRB655346 SHF655345:SHF655346 RXJ655345:RXJ655346 RNN655345:RNN655346 RDR655345:RDR655346 QTV655345:QTV655346 QJZ655345:QJZ655346 QAD655345:QAD655346 PQH655345:PQH655346 PGL655345:PGL655346 OWP655345:OWP655346 OMT655345:OMT655346 OCX655345:OCX655346 NTB655345:NTB655346 NJF655345:NJF655346 MZJ655345:MZJ655346 MPN655345:MPN655346 MFR655345:MFR655346 LVV655345:LVV655346 LLZ655345:LLZ655346 LCD655345:LCD655346 KSH655345:KSH655346 KIL655345:KIL655346 JYP655345:JYP655346 JOT655345:JOT655346 JEX655345:JEX655346 IVB655345:IVB655346 ILF655345:ILF655346 IBJ655345:IBJ655346 HRN655345:HRN655346 HHR655345:HHR655346 GXV655345:GXV655346 GNZ655345:GNZ655346 GED655345:GED655346 FUH655345:FUH655346 FKL655345:FKL655346 FAP655345:FAP655346 EQT655345:EQT655346 EGX655345:EGX655346 DXB655345:DXB655346 DNF655345:DNF655346 DDJ655345:DDJ655346 CTN655345:CTN655346 CJR655345:CJR655346 BZV655345:BZV655346 BPZ655345:BPZ655346 BGD655345:BGD655346 AWH655345:AWH655346 AML655345:AML655346 ACP655345:ACP655346 ST655345:ST655346 IX655345:IX655346 WVJ589809:WVJ589810 WLN589809:WLN589810 WBR589809:WBR589810 VRV589809:VRV589810 VHZ589809:VHZ589810 UYD589809:UYD589810 UOH589809:UOH589810 UEL589809:UEL589810 TUP589809:TUP589810 TKT589809:TKT589810 TAX589809:TAX589810 SRB589809:SRB589810 SHF589809:SHF589810 RXJ589809:RXJ589810 RNN589809:RNN589810 RDR589809:RDR589810 QTV589809:QTV589810 QJZ589809:QJZ589810 QAD589809:QAD589810 PQH589809:PQH589810 PGL589809:PGL589810 OWP589809:OWP589810 OMT589809:OMT589810 OCX589809:OCX589810 NTB589809:NTB589810 NJF589809:NJF589810 MZJ589809:MZJ589810 MPN589809:MPN589810 MFR589809:MFR589810 LVV589809:LVV589810 LLZ589809:LLZ589810 LCD589809:LCD589810 KSH589809:KSH589810 KIL589809:KIL589810 JYP589809:JYP589810 JOT589809:JOT589810 JEX589809:JEX589810 IVB589809:IVB589810 ILF589809:ILF589810 IBJ589809:IBJ589810 HRN589809:HRN589810 HHR589809:HHR589810 GXV589809:GXV589810 GNZ589809:GNZ589810 GED589809:GED589810 FUH589809:FUH589810 FKL589809:FKL589810 FAP589809:FAP589810 EQT589809:EQT589810 EGX589809:EGX589810 DXB589809:DXB589810 DNF589809:DNF589810 DDJ589809:DDJ589810 CTN589809:CTN589810 CJR589809:CJR589810 BZV589809:BZV589810 BPZ589809:BPZ589810 BGD589809:BGD589810 AWH589809:AWH589810 AML589809:AML589810 ACP589809:ACP589810 ST589809:ST589810 IX589809:IX589810 WVJ524273:WVJ524274 WLN524273:WLN524274 WBR524273:WBR524274 VRV524273:VRV524274 VHZ524273:VHZ524274 UYD524273:UYD524274 UOH524273:UOH524274 UEL524273:UEL524274 TUP524273:TUP524274 TKT524273:TKT524274 TAX524273:TAX524274 SRB524273:SRB524274 SHF524273:SHF524274 RXJ524273:RXJ524274 RNN524273:RNN524274 RDR524273:RDR524274 QTV524273:QTV524274 QJZ524273:QJZ524274 QAD524273:QAD524274 PQH524273:PQH524274 PGL524273:PGL524274 OWP524273:OWP524274 OMT524273:OMT524274 OCX524273:OCX524274 NTB524273:NTB524274 NJF524273:NJF524274 MZJ524273:MZJ524274 MPN524273:MPN524274 MFR524273:MFR524274 LVV524273:LVV524274 LLZ524273:LLZ524274 LCD524273:LCD524274 KSH524273:KSH524274 KIL524273:KIL524274 JYP524273:JYP524274 JOT524273:JOT524274 JEX524273:JEX524274 IVB524273:IVB524274 ILF524273:ILF524274 IBJ524273:IBJ524274 HRN524273:HRN524274 HHR524273:HHR524274 GXV524273:GXV524274 GNZ524273:GNZ524274 GED524273:GED524274 FUH524273:FUH524274 FKL524273:FKL524274 FAP524273:FAP524274 EQT524273:EQT524274 EGX524273:EGX524274 DXB524273:DXB524274 DNF524273:DNF524274 DDJ524273:DDJ524274 CTN524273:CTN524274 CJR524273:CJR524274 BZV524273:BZV524274 BPZ524273:BPZ524274 BGD524273:BGD524274 AWH524273:AWH524274 AML524273:AML524274 ACP524273:ACP524274 ST524273:ST524274 IX524273:IX524274 WVJ458737:WVJ458738 WLN458737:WLN458738 WBR458737:WBR458738 VRV458737:VRV458738 VHZ458737:VHZ458738 UYD458737:UYD458738 UOH458737:UOH458738 UEL458737:UEL458738 TUP458737:TUP458738 TKT458737:TKT458738 TAX458737:TAX458738 SRB458737:SRB458738 SHF458737:SHF458738 RXJ458737:RXJ458738 RNN458737:RNN458738 RDR458737:RDR458738 QTV458737:QTV458738 QJZ458737:QJZ458738 QAD458737:QAD458738 PQH458737:PQH458738 PGL458737:PGL458738 OWP458737:OWP458738 OMT458737:OMT458738 OCX458737:OCX458738 NTB458737:NTB458738 NJF458737:NJF458738 MZJ458737:MZJ458738 MPN458737:MPN458738 MFR458737:MFR458738 LVV458737:LVV458738 LLZ458737:LLZ458738 LCD458737:LCD458738 KSH458737:KSH458738 KIL458737:KIL458738 JYP458737:JYP458738 JOT458737:JOT458738 JEX458737:JEX458738 IVB458737:IVB458738 ILF458737:ILF458738 IBJ458737:IBJ458738 HRN458737:HRN458738 HHR458737:HHR458738 GXV458737:GXV458738 GNZ458737:GNZ458738 GED458737:GED458738 FUH458737:FUH458738 FKL458737:FKL458738 FAP458737:FAP458738 EQT458737:EQT458738 EGX458737:EGX458738 DXB458737:DXB458738 DNF458737:DNF458738 DDJ458737:DDJ458738 CTN458737:CTN458738 CJR458737:CJR458738 BZV458737:BZV458738 BPZ458737:BPZ458738 BGD458737:BGD458738 AWH458737:AWH458738 AML458737:AML458738 ACP458737:ACP458738 ST458737:ST458738 IX458737:IX458738 WVJ393201:WVJ393202 WLN393201:WLN393202 WBR393201:WBR393202 VRV393201:VRV393202 VHZ393201:VHZ393202 UYD393201:UYD393202 UOH393201:UOH393202 UEL393201:UEL393202 TUP393201:TUP393202 TKT393201:TKT393202 TAX393201:TAX393202 SRB393201:SRB393202 SHF393201:SHF393202 RXJ393201:RXJ393202 RNN393201:RNN393202 RDR393201:RDR393202 QTV393201:QTV393202 QJZ393201:QJZ393202 QAD393201:QAD393202 PQH393201:PQH393202 PGL393201:PGL393202 OWP393201:OWP393202 OMT393201:OMT393202 OCX393201:OCX393202 NTB393201:NTB393202 NJF393201:NJF393202 MZJ393201:MZJ393202 MPN393201:MPN393202 MFR393201:MFR393202 LVV393201:LVV393202 LLZ393201:LLZ393202 LCD393201:LCD393202 KSH393201:KSH393202 KIL393201:KIL393202 JYP393201:JYP393202 JOT393201:JOT393202 JEX393201:JEX393202 IVB393201:IVB393202 ILF393201:ILF393202 IBJ393201:IBJ393202 HRN393201:HRN393202 HHR393201:HHR393202 GXV393201:GXV393202 GNZ393201:GNZ393202 GED393201:GED393202 FUH393201:FUH393202 FKL393201:FKL393202 FAP393201:FAP393202 EQT393201:EQT393202 EGX393201:EGX393202 DXB393201:DXB393202 DNF393201:DNF393202 DDJ393201:DDJ393202 CTN393201:CTN393202 CJR393201:CJR393202 BZV393201:BZV393202 BPZ393201:BPZ393202 BGD393201:BGD393202 AWH393201:AWH393202 AML393201:AML393202 ACP393201:ACP393202 ST393201:ST393202 IX393201:IX393202 WVJ327665:WVJ327666 WLN327665:WLN327666 WBR327665:WBR327666 VRV327665:VRV327666 VHZ327665:VHZ327666 UYD327665:UYD327666 UOH327665:UOH327666 UEL327665:UEL327666 TUP327665:TUP327666 TKT327665:TKT327666 TAX327665:TAX327666 SRB327665:SRB327666 SHF327665:SHF327666 RXJ327665:RXJ327666 RNN327665:RNN327666 RDR327665:RDR327666 QTV327665:QTV327666 QJZ327665:QJZ327666 QAD327665:QAD327666 PQH327665:PQH327666 PGL327665:PGL327666 OWP327665:OWP327666 OMT327665:OMT327666 OCX327665:OCX327666 NTB327665:NTB327666 NJF327665:NJF327666 MZJ327665:MZJ327666 MPN327665:MPN327666 MFR327665:MFR327666 LVV327665:LVV327666 LLZ327665:LLZ327666 LCD327665:LCD327666 KSH327665:KSH327666 KIL327665:KIL327666 JYP327665:JYP327666 JOT327665:JOT327666 JEX327665:JEX327666 IVB327665:IVB327666 ILF327665:ILF327666 IBJ327665:IBJ327666 HRN327665:HRN327666 HHR327665:HHR327666 GXV327665:GXV327666 GNZ327665:GNZ327666 GED327665:GED327666 FUH327665:FUH327666 FKL327665:FKL327666 FAP327665:FAP327666 EQT327665:EQT327666 EGX327665:EGX327666 DXB327665:DXB327666 DNF327665:DNF327666 DDJ327665:DDJ327666 CTN327665:CTN327666 CJR327665:CJR327666 BZV327665:BZV327666 BPZ327665:BPZ327666 BGD327665:BGD327666 AWH327665:AWH327666 AML327665:AML327666 ACP327665:ACP327666 ST327665:ST327666 IX327665:IX327666 WVJ262129:WVJ262130 WLN262129:WLN262130 WBR262129:WBR262130 VRV262129:VRV262130 VHZ262129:VHZ262130 UYD262129:UYD262130 UOH262129:UOH262130 UEL262129:UEL262130 TUP262129:TUP262130 TKT262129:TKT262130 TAX262129:TAX262130 SRB262129:SRB262130 SHF262129:SHF262130 RXJ262129:RXJ262130 RNN262129:RNN262130 RDR262129:RDR262130 QTV262129:QTV262130 QJZ262129:QJZ262130 QAD262129:QAD262130 PQH262129:PQH262130 PGL262129:PGL262130 OWP262129:OWP262130 OMT262129:OMT262130 OCX262129:OCX262130 NTB262129:NTB262130 NJF262129:NJF262130 MZJ262129:MZJ262130 MPN262129:MPN262130 MFR262129:MFR262130 LVV262129:LVV262130 LLZ262129:LLZ262130 LCD262129:LCD262130 KSH262129:KSH262130 KIL262129:KIL262130 JYP262129:JYP262130 JOT262129:JOT262130 JEX262129:JEX262130 IVB262129:IVB262130 ILF262129:ILF262130 IBJ262129:IBJ262130 HRN262129:HRN262130 HHR262129:HHR262130 GXV262129:GXV262130 GNZ262129:GNZ262130 GED262129:GED262130 FUH262129:FUH262130 FKL262129:FKL262130 FAP262129:FAP262130 EQT262129:EQT262130 EGX262129:EGX262130 DXB262129:DXB262130 DNF262129:DNF262130 DDJ262129:DDJ262130 CTN262129:CTN262130 CJR262129:CJR262130 BZV262129:BZV262130 BPZ262129:BPZ262130 BGD262129:BGD262130 AWH262129:AWH262130 AML262129:AML262130 ACP262129:ACP262130 ST262129:ST262130 IX262129:IX262130 WVJ196593:WVJ196594 WLN196593:WLN196594 WBR196593:WBR196594 VRV196593:VRV196594 VHZ196593:VHZ196594 UYD196593:UYD196594 UOH196593:UOH196594 UEL196593:UEL196594 TUP196593:TUP196594 TKT196593:TKT196594 TAX196593:TAX196594 SRB196593:SRB196594 SHF196593:SHF196594 RXJ196593:RXJ196594 RNN196593:RNN196594 RDR196593:RDR196594 QTV196593:QTV196594 QJZ196593:QJZ196594 QAD196593:QAD196594 PQH196593:PQH196594 PGL196593:PGL196594 OWP196593:OWP196594 OMT196593:OMT196594 OCX196593:OCX196594 NTB196593:NTB196594 NJF196593:NJF196594 MZJ196593:MZJ196594 MPN196593:MPN196594 MFR196593:MFR196594 LVV196593:LVV196594 LLZ196593:LLZ196594 LCD196593:LCD196594 KSH196593:KSH196594 KIL196593:KIL196594 JYP196593:JYP196594 JOT196593:JOT196594 JEX196593:JEX196594 IVB196593:IVB196594 ILF196593:ILF196594 IBJ196593:IBJ196594 HRN196593:HRN196594 HHR196593:HHR196594 GXV196593:GXV196594 GNZ196593:GNZ196594 GED196593:GED196594 FUH196593:FUH196594 FKL196593:FKL196594 FAP196593:FAP196594 EQT196593:EQT196594 EGX196593:EGX196594 DXB196593:DXB196594 DNF196593:DNF196594 DDJ196593:DDJ196594 CTN196593:CTN196594 CJR196593:CJR196594 BZV196593:BZV196594 BPZ196593:BPZ196594 BGD196593:BGD196594 AWH196593:AWH196594 AML196593:AML196594 ACP196593:ACP196594 ST196593:ST196594 IX196593:IX196594 WVJ131057:WVJ131058 WLN131057:WLN131058 WBR131057:WBR131058 VRV131057:VRV131058 VHZ131057:VHZ131058 UYD131057:UYD131058 UOH131057:UOH131058 UEL131057:UEL131058 TUP131057:TUP131058 TKT131057:TKT131058 TAX131057:TAX131058 SRB131057:SRB131058 SHF131057:SHF131058 RXJ131057:RXJ131058 RNN131057:RNN131058 RDR131057:RDR131058 QTV131057:QTV131058 QJZ131057:QJZ131058 QAD131057:QAD131058 PQH131057:PQH131058 PGL131057:PGL131058 OWP131057:OWP131058 OMT131057:OMT131058 OCX131057:OCX131058 NTB131057:NTB131058 NJF131057:NJF131058 MZJ131057:MZJ131058 MPN131057:MPN131058 MFR131057:MFR131058 LVV131057:LVV131058 LLZ131057:LLZ131058 LCD131057:LCD131058 KSH131057:KSH131058 KIL131057:KIL131058 JYP131057:JYP131058 JOT131057:JOT131058 JEX131057:JEX131058 IVB131057:IVB131058 ILF131057:ILF131058 IBJ131057:IBJ131058 HRN131057:HRN131058 HHR131057:HHR131058 GXV131057:GXV131058 GNZ131057:GNZ131058 GED131057:GED131058 FUH131057:FUH131058 FKL131057:FKL131058 FAP131057:FAP131058 EQT131057:EQT131058 EGX131057:EGX131058 DXB131057:DXB131058 DNF131057:DNF131058 DDJ131057:DDJ131058 CTN131057:CTN131058 CJR131057:CJR131058 BZV131057:BZV131058 BPZ131057:BPZ131058 BGD131057:BGD131058 AWH131057:AWH131058 AML131057:AML131058 ACP131057:ACP131058 ST131057:ST131058 IX131057:IX131058 WVJ65521:WVJ65522 WLN65521:WLN65522 WBR65521:WBR65522 VRV65521:VRV65522 VHZ65521:VHZ65522 UYD65521:UYD65522 UOH65521:UOH65522 UEL65521:UEL65522 TUP65521:TUP65522 TKT65521:TKT65522 TAX65521:TAX65522 SRB65521:SRB65522 SHF65521:SHF65522 RXJ65521:RXJ65522 RNN65521:RNN65522 RDR65521:RDR65522 QTV65521:QTV65522 QJZ65521:QJZ65522 QAD65521:QAD65522 PQH65521:PQH65522 PGL65521:PGL65522 OWP65521:OWP65522 OMT65521:OMT65522 OCX65521:OCX65522 NTB65521:NTB65522 NJF65521:NJF65522 MZJ65521:MZJ65522 MPN65521:MPN65522 MFR65521:MFR65522 LVV65521:LVV65522 LLZ65521:LLZ65522 LCD65521:LCD65522 KSH65521:KSH65522 KIL65521:KIL65522 JYP65521:JYP65522 JOT65521:JOT65522 JEX65521:JEX65522 IVB65521:IVB65522 ILF65521:ILF65522 IBJ65521:IBJ65522 HRN65521:HRN65522 HHR65521:HHR65522 GXV65521:GXV65522 GNZ65521:GNZ65522 GED65521:GED65522 FUH65521:FUH65522 FKL65521:FKL65522 FAP65521:FAP65522 EQT65521:EQT65522 EGX65521:EGX65522 DXB65521:DXB65522 DNF65521:DNF65522 DDJ65521:DDJ65522 CTN65521:CTN65522 CJR65521:CJR65522 BZV65521:BZV65522 BPZ65521:BPZ65522 BGD65521:BGD65522 AWH65521:AWH65522 AML65521:AML65522 ACP65521:ACP65522 ST65521:ST65522 IX65521:IX65522 G131057:G131058 G196593:G196594 G262129:G262130 G327665:G327666 G393201:G393202 G458737:G458738 G524273:G524274 G589809:G589810 G655345:G655346 G720881:G720882 G786417:G786418 G851953:G851954 G917489:G917490 G983025:G983026 G1048561:G1048562 G65521:G65522" xr:uid="{57B20B5C-4C88-4A0B-A675-B5976A9B8897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rgb="FFFFC000"/>
  </sheetPr>
  <dimension ref="A1:F122"/>
  <sheetViews>
    <sheetView showZeros="0" topLeftCell="A115" zoomScaleNormal="100" workbookViewId="0">
      <selection activeCell="K120" sqref="K120:L120"/>
    </sheetView>
  </sheetViews>
  <sheetFormatPr defaultRowHeight="12.75" x14ac:dyDescent="0.2"/>
  <cols>
    <col min="2" max="2" width="60.125" customWidth="1"/>
    <col min="3" max="3" width="4.375" bestFit="1" customWidth="1"/>
    <col min="4" max="4" width="9.875" bestFit="1" customWidth="1"/>
    <col min="5" max="6" width="12.5" customWidth="1"/>
  </cols>
  <sheetData>
    <row r="1" spans="1:6" ht="27" thickTop="1" thickBot="1" x14ac:dyDescent="0.25">
      <c r="A1" s="2022" t="s">
        <v>186</v>
      </c>
      <c r="B1" s="2023" t="s">
        <v>40</v>
      </c>
      <c r="C1" s="2023" t="s">
        <v>33</v>
      </c>
      <c r="D1" s="2024" t="s">
        <v>336</v>
      </c>
      <c r="E1" s="2025" t="s">
        <v>665</v>
      </c>
      <c r="F1" s="2025" t="s">
        <v>666</v>
      </c>
    </row>
    <row r="2" spans="1:6" ht="39" thickTop="1" x14ac:dyDescent="0.2">
      <c r="A2" s="2" t="s">
        <v>1651</v>
      </c>
      <c r="B2" s="315" t="s">
        <v>2675</v>
      </c>
      <c r="C2" s="2" t="s">
        <v>988</v>
      </c>
      <c r="D2" s="1613">
        <v>8</v>
      </c>
      <c r="E2" s="877">
        <v>430.35</v>
      </c>
      <c r="F2" s="1611">
        <v>3442.8</v>
      </c>
    </row>
    <row r="3" spans="1:6" ht="25.5" x14ac:dyDescent="0.2">
      <c r="A3" s="2">
        <v>10775</v>
      </c>
      <c r="B3" s="315" t="s">
        <v>2600</v>
      </c>
      <c r="C3" s="2" t="s">
        <v>2619</v>
      </c>
      <c r="D3" s="1613">
        <v>12</v>
      </c>
      <c r="E3" s="877">
        <v>1017.5</v>
      </c>
      <c r="F3" s="1611">
        <v>12210</v>
      </c>
    </row>
    <row r="4" spans="1:6" ht="25.5" x14ac:dyDescent="0.2">
      <c r="A4" s="2">
        <v>10776</v>
      </c>
      <c r="B4" s="315" t="s">
        <v>2601</v>
      </c>
      <c r="C4" s="2" t="s">
        <v>2619</v>
      </c>
      <c r="D4" s="1613">
        <v>24</v>
      </c>
      <c r="E4" s="877">
        <v>794.91</v>
      </c>
      <c r="F4" s="1611">
        <v>19077.84</v>
      </c>
    </row>
    <row r="5" spans="1:6" ht="25.5" x14ac:dyDescent="0.2">
      <c r="A5" s="2">
        <v>10777</v>
      </c>
      <c r="B5" s="315" t="s">
        <v>2602</v>
      </c>
      <c r="C5" s="2" t="s">
        <v>2619</v>
      </c>
      <c r="D5" s="1613">
        <v>12</v>
      </c>
      <c r="E5" s="877">
        <v>1155.28</v>
      </c>
      <c r="F5" s="1611">
        <v>13863.36</v>
      </c>
    </row>
    <row r="6" spans="1:6" ht="25.5" x14ac:dyDescent="0.2">
      <c r="A6" s="2">
        <v>93585</v>
      </c>
      <c r="B6" s="315" t="s">
        <v>2712</v>
      </c>
      <c r="C6" s="2" t="s">
        <v>988</v>
      </c>
      <c r="D6" s="1613">
        <v>4</v>
      </c>
      <c r="E6" s="877">
        <v>1573.79</v>
      </c>
      <c r="F6" s="1611">
        <v>6295.16</v>
      </c>
    </row>
    <row r="7" spans="1:6" ht="38.25" x14ac:dyDescent="0.2">
      <c r="A7" s="2" t="s">
        <v>2734</v>
      </c>
      <c r="B7" s="315" t="s">
        <v>2787</v>
      </c>
      <c r="C7" s="2" t="s">
        <v>2037</v>
      </c>
      <c r="D7" s="1613">
        <v>12</v>
      </c>
      <c r="E7" s="877">
        <v>2414</v>
      </c>
      <c r="F7" s="1611">
        <v>28968</v>
      </c>
    </row>
    <row r="8" spans="1:6" ht="25.5" x14ac:dyDescent="0.2">
      <c r="A8" s="2">
        <v>98459</v>
      </c>
      <c r="B8" s="315" t="s">
        <v>2713</v>
      </c>
      <c r="C8" s="2" t="s">
        <v>988</v>
      </c>
      <c r="D8" s="1613">
        <v>400</v>
      </c>
      <c r="E8" s="877">
        <v>147</v>
      </c>
      <c r="F8" s="1611">
        <v>58800</v>
      </c>
    </row>
    <row r="9" spans="1:6" ht="38.25" x14ac:dyDescent="0.2">
      <c r="A9" s="2">
        <v>98525</v>
      </c>
      <c r="B9" s="315" t="s">
        <v>2714</v>
      </c>
      <c r="C9" s="2" t="s">
        <v>988</v>
      </c>
      <c r="D9" s="1613">
        <v>10000</v>
      </c>
      <c r="E9" s="877">
        <v>0.41</v>
      </c>
      <c r="F9" s="1611">
        <v>4100</v>
      </c>
    </row>
    <row r="10" spans="1:6" ht="38.25" x14ac:dyDescent="0.2">
      <c r="A10" s="2" t="s">
        <v>2414</v>
      </c>
      <c r="B10" s="315" t="s">
        <v>2715</v>
      </c>
      <c r="C10" s="2" t="s">
        <v>988</v>
      </c>
      <c r="D10" s="1613">
        <v>2500</v>
      </c>
      <c r="E10" s="877">
        <v>6.09</v>
      </c>
      <c r="F10" s="1611">
        <v>15225</v>
      </c>
    </row>
    <row r="11" spans="1:6" ht="38.25" x14ac:dyDescent="0.2">
      <c r="A11" s="2" t="s">
        <v>1637</v>
      </c>
      <c r="B11" s="315" t="s">
        <v>2716</v>
      </c>
      <c r="C11" s="2" t="s">
        <v>956</v>
      </c>
      <c r="D11" s="1613">
        <v>400</v>
      </c>
      <c r="E11" s="877">
        <v>42.73</v>
      </c>
      <c r="F11" s="1611">
        <v>17092</v>
      </c>
    </row>
    <row r="12" spans="1:6" ht="38.25" x14ac:dyDescent="0.2">
      <c r="A12" s="2" t="s">
        <v>1638</v>
      </c>
      <c r="B12" s="315" t="s">
        <v>2717</v>
      </c>
      <c r="C12" s="2" t="s">
        <v>988</v>
      </c>
      <c r="D12" s="1613">
        <v>14.4</v>
      </c>
      <c r="E12" s="877">
        <v>1239.06</v>
      </c>
      <c r="F12" s="1611">
        <v>17842.46</v>
      </c>
    </row>
    <row r="13" spans="1:6" ht="63.75" x14ac:dyDescent="0.2">
      <c r="A13" s="2" t="s">
        <v>188</v>
      </c>
      <c r="B13" s="315" t="s">
        <v>2032</v>
      </c>
      <c r="C13" s="2" t="s">
        <v>988</v>
      </c>
      <c r="D13" s="1613">
        <v>62</v>
      </c>
      <c r="E13" s="877">
        <v>164.71</v>
      </c>
      <c r="F13" s="1611">
        <v>10212.02</v>
      </c>
    </row>
    <row r="14" spans="1:6" ht="25.5" x14ac:dyDescent="0.2">
      <c r="A14" s="2" t="s">
        <v>1652</v>
      </c>
      <c r="B14" s="315" t="s">
        <v>2033</v>
      </c>
      <c r="C14" s="2" t="s">
        <v>956</v>
      </c>
      <c r="D14" s="1613">
        <v>1463.44</v>
      </c>
      <c r="E14" s="877">
        <v>4.0599999999999996</v>
      </c>
      <c r="F14" s="1611">
        <v>5941.56</v>
      </c>
    </row>
    <row r="15" spans="1:6" ht="51" x14ac:dyDescent="0.2">
      <c r="A15" s="2" t="s">
        <v>1636</v>
      </c>
      <c r="B15" s="315" t="s">
        <v>2034</v>
      </c>
      <c r="C15" s="2" t="s">
        <v>956</v>
      </c>
      <c r="D15" s="1613">
        <v>2949.66</v>
      </c>
      <c r="E15" s="877">
        <v>12.58</v>
      </c>
      <c r="F15" s="1611">
        <v>37106.720000000001</v>
      </c>
    </row>
    <row r="16" spans="1:6" ht="25.5" x14ac:dyDescent="0.2">
      <c r="A16" s="2">
        <v>13244</v>
      </c>
      <c r="B16" s="315" t="s">
        <v>2603</v>
      </c>
      <c r="C16" s="2" t="s">
        <v>2620</v>
      </c>
      <c r="D16" s="1613">
        <v>126</v>
      </c>
      <c r="E16" s="877">
        <v>62.64</v>
      </c>
      <c r="F16" s="1611">
        <v>7892.64</v>
      </c>
    </row>
    <row r="17" spans="1:6" ht="25.5" x14ac:dyDescent="0.2">
      <c r="A17" s="2" t="s">
        <v>983</v>
      </c>
      <c r="B17" s="315" t="s">
        <v>2788</v>
      </c>
      <c r="C17" s="2" t="s">
        <v>525</v>
      </c>
      <c r="D17" s="1613">
        <v>26</v>
      </c>
      <c r="E17" s="877">
        <v>368.78</v>
      </c>
      <c r="F17" s="1611">
        <v>9588.2800000000007</v>
      </c>
    </row>
    <row r="18" spans="1:6" x14ac:dyDescent="0.2">
      <c r="A18" s="2" t="s">
        <v>984</v>
      </c>
      <c r="B18" s="315" t="s">
        <v>2789</v>
      </c>
      <c r="C18" s="2" t="s">
        <v>525</v>
      </c>
      <c r="D18" s="1613">
        <v>52</v>
      </c>
      <c r="E18" s="877">
        <v>314.37</v>
      </c>
      <c r="F18" s="1611">
        <v>16347.24</v>
      </c>
    </row>
    <row r="19" spans="1:6" x14ac:dyDescent="0.2">
      <c r="A19" s="2">
        <v>100575</v>
      </c>
      <c r="B19" s="315" t="s">
        <v>2790</v>
      </c>
      <c r="C19" s="2" t="s">
        <v>988</v>
      </c>
      <c r="D19" s="1613">
        <v>14153.09</v>
      </c>
      <c r="E19" s="877">
        <v>0.13</v>
      </c>
      <c r="F19" s="1611">
        <v>1839.9</v>
      </c>
    </row>
    <row r="20" spans="1:6" ht="38.25" x14ac:dyDescent="0.2">
      <c r="A20" s="2">
        <v>100979</v>
      </c>
      <c r="B20" s="315" t="s">
        <v>2791</v>
      </c>
      <c r="C20" s="2" t="s">
        <v>990</v>
      </c>
      <c r="D20" s="1613">
        <v>2000</v>
      </c>
      <c r="E20" s="877">
        <v>7.25</v>
      </c>
      <c r="F20" s="1611">
        <v>14500</v>
      </c>
    </row>
    <row r="21" spans="1:6" ht="25.5" x14ac:dyDescent="0.2">
      <c r="A21" s="2">
        <v>95876</v>
      </c>
      <c r="B21" s="315" t="s">
        <v>2792</v>
      </c>
      <c r="C21" s="2" t="s">
        <v>2621</v>
      </c>
      <c r="D21" s="1613">
        <v>8000</v>
      </c>
      <c r="E21" s="877">
        <v>2.3199999999999998</v>
      </c>
      <c r="F21" s="1611">
        <v>18560</v>
      </c>
    </row>
    <row r="22" spans="1:6" ht="25.5" x14ac:dyDescent="0.2">
      <c r="A22" s="2">
        <v>93593</v>
      </c>
      <c r="B22" s="315" t="s">
        <v>2793</v>
      </c>
      <c r="C22" s="2" t="s">
        <v>2621</v>
      </c>
      <c r="D22" s="1613">
        <v>14987.5</v>
      </c>
      <c r="E22" s="877">
        <v>0.94</v>
      </c>
      <c r="F22" s="1611">
        <v>14088.25</v>
      </c>
    </row>
    <row r="23" spans="1:6" ht="25.5" x14ac:dyDescent="0.2">
      <c r="A23" s="2" t="s">
        <v>1655</v>
      </c>
      <c r="B23" s="315" t="s">
        <v>2794</v>
      </c>
      <c r="C23" s="2" t="s">
        <v>990</v>
      </c>
      <c r="D23" s="1613">
        <v>251.09</v>
      </c>
      <c r="E23" s="877">
        <v>288.07</v>
      </c>
      <c r="F23" s="1611">
        <v>72331.490000000005</v>
      </c>
    </row>
    <row r="24" spans="1:6" ht="25.5" x14ac:dyDescent="0.2">
      <c r="A24" s="2">
        <v>97636</v>
      </c>
      <c r="B24" s="315" t="s">
        <v>2718</v>
      </c>
      <c r="C24" s="2" t="s">
        <v>988</v>
      </c>
      <c r="D24" s="1613">
        <v>712.25</v>
      </c>
      <c r="E24" s="877">
        <v>21.38</v>
      </c>
      <c r="F24" s="1611">
        <v>15227.9</v>
      </c>
    </row>
    <row r="25" spans="1:6" ht="25.5" x14ac:dyDescent="0.2">
      <c r="A25" s="2" t="s">
        <v>1663</v>
      </c>
      <c r="B25" s="315" t="s">
        <v>2035</v>
      </c>
      <c r="C25" s="2" t="s">
        <v>956</v>
      </c>
      <c r="D25" s="1613">
        <v>3859.97</v>
      </c>
      <c r="E25" s="877">
        <v>3.98</v>
      </c>
      <c r="F25" s="1611">
        <v>15362.68</v>
      </c>
    </row>
    <row r="26" spans="1:6" ht="25.5" x14ac:dyDescent="0.2">
      <c r="A26" s="2">
        <v>98526</v>
      </c>
      <c r="B26" s="315" t="s">
        <v>2719</v>
      </c>
      <c r="C26" s="2" t="s">
        <v>989</v>
      </c>
      <c r="D26" s="1613">
        <v>104</v>
      </c>
      <c r="E26" s="877">
        <v>92.38</v>
      </c>
      <c r="F26" s="1611">
        <v>9607.52</v>
      </c>
    </row>
    <row r="27" spans="1:6" ht="25.5" x14ac:dyDescent="0.2">
      <c r="A27" s="2">
        <v>98527</v>
      </c>
      <c r="B27" s="315" t="s">
        <v>2795</v>
      </c>
      <c r="C27" s="2" t="s">
        <v>989</v>
      </c>
      <c r="D27" s="1613">
        <v>3</v>
      </c>
      <c r="E27" s="877">
        <v>198.91</v>
      </c>
      <c r="F27" s="1611">
        <v>596.73</v>
      </c>
    </row>
    <row r="28" spans="1:6" ht="25.5" x14ac:dyDescent="0.2">
      <c r="A28" s="2">
        <v>98529</v>
      </c>
      <c r="B28" s="315" t="s">
        <v>2720</v>
      </c>
      <c r="C28" s="2" t="s">
        <v>989</v>
      </c>
      <c r="D28" s="1613">
        <v>104</v>
      </c>
      <c r="E28" s="877">
        <v>73.430000000000007</v>
      </c>
      <c r="F28" s="1611">
        <v>7636.72</v>
      </c>
    </row>
    <row r="29" spans="1:6" ht="25.5" x14ac:dyDescent="0.2">
      <c r="A29" s="2">
        <v>98530</v>
      </c>
      <c r="B29" s="315" t="s">
        <v>2796</v>
      </c>
      <c r="C29" s="2" t="s">
        <v>989</v>
      </c>
      <c r="D29" s="1613">
        <v>3</v>
      </c>
      <c r="E29" s="877">
        <v>130.81</v>
      </c>
      <c r="F29" s="1611">
        <v>392.43</v>
      </c>
    </row>
    <row r="30" spans="1:6" ht="25.5" x14ac:dyDescent="0.2">
      <c r="A30" s="2">
        <v>98533</v>
      </c>
      <c r="B30" s="315" t="s">
        <v>2721</v>
      </c>
      <c r="C30" s="2" t="s">
        <v>989</v>
      </c>
      <c r="D30" s="1613">
        <v>104</v>
      </c>
      <c r="E30" s="877">
        <v>350.35</v>
      </c>
      <c r="F30" s="1611">
        <v>36436.400000000001</v>
      </c>
    </row>
    <row r="31" spans="1:6" ht="25.5" x14ac:dyDescent="0.2">
      <c r="A31" s="2">
        <v>98534</v>
      </c>
      <c r="B31" s="315" t="s">
        <v>2797</v>
      </c>
      <c r="C31" s="2" t="s">
        <v>989</v>
      </c>
      <c r="D31" s="1613">
        <v>3</v>
      </c>
      <c r="E31" s="877">
        <v>898.59</v>
      </c>
      <c r="F31" s="1611">
        <v>2695.77</v>
      </c>
    </row>
    <row r="32" spans="1:6" ht="38.25" x14ac:dyDescent="0.2">
      <c r="A32" s="2">
        <v>100983</v>
      </c>
      <c r="B32" s="315" t="s">
        <v>2798</v>
      </c>
      <c r="C32" s="2" t="s">
        <v>990</v>
      </c>
      <c r="D32" s="1613">
        <v>345.12</v>
      </c>
      <c r="E32" s="877">
        <v>9.82</v>
      </c>
      <c r="F32" s="1611">
        <v>3389.07</v>
      </c>
    </row>
    <row r="33" spans="1:6" ht="25.5" x14ac:dyDescent="0.2">
      <c r="A33" s="2" t="s">
        <v>438</v>
      </c>
      <c r="B33" s="315" t="s">
        <v>2722</v>
      </c>
      <c r="C33" s="2" t="s">
        <v>2723</v>
      </c>
      <c r="D33" s="1613">
        <v>107</v>
      </c>
      <c r="E33" s="877">
        <v>34.31</v>
      </c>
      <c r="F33" s="1611">
        <v>3671.17</v>
      </c>
    </row>
    <row r="34" spans="1:6" ht="25.5" x14ac:dyDescent="0.2">
      <c r="A34" s="2">
        <v>95876</v>
      </c>
      <c r="B34" s="315" t="s">
        <v>2792</v>
      </c>
      <c r="C34" s="2" t="s">
        <v>2621</v>
      </c>
      <c r="D34" s="1613">
        <v>1380.48</v>
      </c>
      <c r="E34" s="877">
        <v>2.3199999999999998</v>
      </c>
      <c r="F34" s="1611">
        <v>3202.71</v>
      </c>
    </row>
    <row r="35" spans="1:6" ht="25.5" x14ac:dyDescent="0.2">
      <c r="A35" s="2">
        <v>100947</v>
      </c>
      <c r="B35" s="315" t="s">
        <v>2799</v>
      </c>
      <c r="C35" s="2" t="s">
        <v>2622</v>
      </c>
      <c r="D35" s="1613">
        <v>428</v>
      </c>
      <c r="E35" s="877">
        <v>2.36</v>
      </c>
      <c r="F35" s="1611">
        <v>1010.08</v>
      </c>
    </row>
    <row r="36" spans="1:6" x14ac:dyDescent="0.2">
      <c r="A36" s="2" t="s">
        <v>1677</v>
      </c>
      <c r="B36" s="315" t="s">
        <v>2800</v>
      </c>
      <c r="C36" s="2" t="s">
        <v>956</v>
      </c>
      <c r="D36" s="1613">
        <v>24.93</v>
      </c>
      <c r="E36" s="877">
        <v>89.3</v>
      </c>
      <c r="F36" s="1611">
        <v>2226.2399999999998</v>
      </c>
    </row>
    <row r="37" spans="1:6" ht="63.75" x14ac:dyDescent="0.2">
      <c r="A37" s="2">
        <v>90100</v>
      </c>
      <c r="B37" s="315" t="s">
        <v>2801</v>
      </c>
      <c r="C37" s="2" t="s">
        <v>990</v>
      </c>
      <c r="D37" s="1613">
        <v>1141.33</v>
      </c>
      <c r="E37" s="877">
        <v>14.84</v>
      </c>
      <c r="F37" s="1611">
        <v>16937.330000000002</v>
      </c>
    </row>
    <row r="38" spans="1:6" ht="63.75" x14ac:dyDescent="0.2">
      <c r="A38" s="2">
        <v>90102</v>
      </c>
      <c r="B38" s="315" t="s">
        <v>2802</v>
      </c>
      <c r="C38" s="2" t="s">
        <v>990</v>
      </c>
      <c r="D38" s="1613">
        <v>3278.74</v>
      </c>
      <c r="E38" s="877">
        <v>13.36</v>
      </c>
      <c r="F38" s="1611">
        <v>43803.96</v>
      </c>
    </row>
    <row r="39" spans="1:6" ht="63.75" x14ac:dyDescent="0.2">
      <c r="A39" s="2">
        <v>102278</v>
      </c>
      <c r="B39" s="315" t="s">
        <v>2803</v>
      </c>
      <c r="C39" s="2" t="s">
        <v>990</v>
      </c>
      <c r="D39" s="1613">
        <v>4953.38</v>
      </c>
      <c r="E39" s="877">
        <v>10.79</v>
      </c>
      <c r="F39" s="1611">
        <v>53446.97</v>
      </c>
    </row>
    <row r="40" spans="1:6" ht="63.75" x14ac:dyDescent="0.2">
      <c r="A40" s="2">
        <v>90087</v>
      </c>
      <c r="B40" s="315" t="s">
        <v>2804</v>
      </c>
      <c r="C40" s="2" t="s">
        <v>990</v>
      </c>
      <c r="D40" s="1613">
        <v>515.21</v>
      </c>
      <c r="E40" s="877">
        <v>10.34</v>
      </c>
      <c r="F40" s="1611">
        <v>5327.27</v>
      </c>
    </row>
    <row r="41" spans="1:6" ht="25.5" x14ac:dyDescent="0.2">
      <c r="A41" s="2">
        <v>93358</v>
      </c>
      <c r="B41" s="315" t="s">
        <v>2604</v>
      </c>
      <c r="C41" s="2" t="s">
        <v>990</v>
      </c>
      <c r="D41" s="1613">
        <v>494.43</v>
      </c>
      <c r="E41" s="877">
        <v>90.38</v>
      </c>
      <c r="F41" s="1611">
        <v>44686.58</v>
      </c>
    </row>
    <row r="42" spans="1:6" ht="25.5" x14ac:dyDescent="0.2">
      <c r="A42" s="2">
        <v>101570</v>
      </c>
      <c r="B42" s="315" t="s">
        <v>2676</v>
      </c>
      <c r="C42" s="2" t="s">
        <v>988</v>
      </c>
      <c r="D42" s="1613">
        <v>2139.73</v>
      </c>
      <c r="E42" s="877">
        <v>26.59</v>
      </c>
      <c r="F42" s="1611">
        <v>56895.42</v>
      </c>
    </row>
    <row r="43" spans="1:6" ht="25.5" x14ac:dyDescent="0.2">
      <c r="A43" s="2">
        <v>101573</v>
      </c>
      <c r="B43" s="315" t="s">
        <v>2677</v>
      </c>
      <c r="C43" s="2" t="s">
        <v>988</v>
      </c>
      <c r="D43" s="1613">
        <v>201.43</v>
      </c>
      <c r="E43" s="877">
        <v>30.27</v>
      </c>
      <c r="F43" s="1611">
        <v>6097.28</v>
      </c>
    </row>
    <row r="44" spans="1:6" ht="51" x14ac:dyDescent="0.2">
      <c r="A44" s="2" t="s">
        <v>2737</v>
      </c>
      <c r="B44" s="315" t="s">
        <v>2805</v>
      </c>
      <c r="C44" s="2" t="s">
        <v>988</v>
      </c>
      <c r="D44" s="1613">
        <v>9535.8700000000008</v>
      </c>
      <c r="E44" s="877">
        <v>26.52</v>
      </c>
      <c r="F44" s="1611">
        <v>252891.27</v>
      </c>
    </row>
    <row r="45" spans="1:6" ht="51" x14ac:dyDescent="0.2">
      <c r="A45" s="2" t="s">
        <v>2738</v>
      </c>
      <c r="B45" s="315" t="s">
        <v>2806</v>
      </c>
      <c r="C45" s="2" t="s">
        <v>988</v>
      </c>
      <c r="D45" s="1613">
        <v>346.7</v>
      </c>
      <c r="E45" s="877">
        <v>22.81</v>
      </c>
      <c r="F45" s="1611">
        <v>7908.22</v>
      </c>
    </row>
    <row r="46" spans="1:6" ht="25.5" x14ac:dyDescent="0.2">
      <c r="A46" s="2">
        <v>101616</v>
      </c>
      <c r="B46" s="315" t="s">
        <v>2605</v>
      </c>
      <c r="C46" s="2" t="s">
        <v>988</v>
      </c>
      <c r="D46" s="1613">
        <v>2173.7399999999998</v>
      </c>
      <c r="E46" s="877">
        <v>6.65</v>
      </c>
      <c r="F46" s="1611">
        <v>14455.37</v>
      </c>
    </row>
    <row r="47" spans="1:6" ht="25.5" x14ac:dyDescent="0.2">
      <c r="A47" s="2">
        <v>101617</v>
      </c>
      <c r="B47" s="315" t="s">
        <v>2807</v>
      </c>
      <c r="C47" s="2" t="s">
        <v>988</v>
      </c>
      <c r="D47" s="1613">
        <v>1978.65</v>
      </c>
      <c r="E47" s="877">
        <v>3.28</v>
      </c>
      <c r="F47" s="1611">
        <v>6489.97</v>
      </c>
    </row>
    <row r="48" spans="1:6" ht="51" x14ac:dyDescent="0.2">
      <c r="A48" s="2">
        <v>93375</v>
      </c>
      <c r="B48" s="315" t="s">
        <v>2808</v>
      </c>
      <c r="C48" s="2" t="s">
        <v>990</v>
      </c>
      <c r="D48" s="1613">
        <v>996.2</v>
      </c>
      <c r="E48" s="877">
        <v>23.29</v>
      </c>
      <c r="F48" s="1611">
        <v>23201.49</v>
      </c>
    </row>
    <row r="49" spans="1:6" ht="51" x14ac:dyDescent="0.2">
      <c r="A49" s="2">
        <v>93377</v>
      </c>
      <c r="B49" s="315" t="s">
        <v>2809</v>
      </c>
      <c r="C49" s="2" t="s">
        <v>990</v>
      </c>
      <c r="D49" s="1613">
        <v>2884.36</v>
      </c>
      <c r="E49" s="877">
        <v>12.7</v>
      </c>
      <c r="F49" s="1611">
        <v>36631.370000000003</v>
      </c>
    </row>
    <row r="50" spans="1:6" ht="51" x14ac:dyDescent="0.2">
      <c r="A50" s="2">
        <v>93362</v>
      </c>
      <c r="B50" s="315" t="s">
        <v>2810</v>
      </c>
      <c r="C50" s="2" t="s">
        <v>990</v>
      </c>
      <c r="D50" s="1613">
        <v>3980.6</v>
      </c>
      <c r="E50" s="877">
        <v>15.35</v>
      </c>
      <c r="F50" s="1611">
        <v>61102.21</v>
      </c>
    </row>
    <row r="51" spans="1:6" ht="51" x14ac:dyDescent="0.2">
      <c r="A51" s="2">
        <v>93364</v>
      </c>
      <c r="B51" s="315" t="s">
        <v>2811</v>
      </c>
      <c r="C51" s="2" t="s">
        <v>990</v>
      </c>
      <c r="D51" s="1613">
        <v>433.52</v>
      </c>
      <c r="E51" s="877">
        <v>13.14</v>
      </c>
      <c r="F51" s="1611">
        <v>5696.45</v>
      </c>
    </row>
    <row r="52" spans="1:6" ht="38.25" x14ac:dyDescent="0.2">
      <c r="A52" s="2">
        <v>100979</v>
      </c>
      <c r="B52" s="315" t="s">
        <v>2791</v>
      </c>
      <c r="C52" s="2" t="s">
        <v>990</v>
      </c>
      <c r="D52" s="1613">
        <v>270.95</v>
      </c>
      <c r="E52" s="877">
        <v>7.25</v>
      </c>
      <c r="F52" s="1611">
        <v>1964.38</v>
      </c>
    </row>
    <row r="53" spans="1:6" ht="25.5" x14ac:dyDescent="0.2">
      <c r="A53" s="2">
        <v>100939</v>
      </c>
      <c r="B53" s="315" t="s">
        <v>2606</v>
      </c>
      <c r="C53" s="2" t="s">
        <v>2621</v>
      </c>
      <c r="D53" s="1613">
        <v>487.71</v>
      </c>
      <c r="E53" s="877">
        <v>7.1</v>
      </c>
      <c r="F53" s="1611">
        <v>3462.74</v>
      </c>
    </row>
    <row r="54" spans="1:6" ht="25.5" x14ac:dyDescent="0.2">
      <c r="A54" s="2">
        <v>95876</v>
      </c>
      <c r="B54" s="315" t="s">
        <v>2792</v>
      </c>
      <c r="C54" s="2" t="s">
        <v>2621</v>
      </c>
      <c r="D54" s="1613">
        <v>7969.84</v>
      </c>
      <c r="E54" s="877">
        <v>2.3199999999999998</v>
      </c>
      <c r="F54" s="1611">
        <v>18490.02</v>
      </c>
    </row>
    <row r="55" spans="1:6" ht="25.5" x14ac:dyDescent="0.2">
      <c r="A55" s="2">
        <v>7781</v>
      </c>
      <c r="B55" s="315" t="s">
        <v>2607</v>
      </c>
      <c r="C55" s="2" t="s">
        <v>2623</v>
      </c>
      <c r="D55" s="1613">
        <v>802</v>
      </c>
      <c r="E55" s="877">
        <v>81.72</v>
      </c>
      <c r="F55" s="1611">
        <v>65539.44</v>
      </c>
    </row>
    <row r="56" spans="1:6" ht="25.5" x14ac:dyDescent="0.2">
      <c r="A56" s="2">
        <v>7791</v>
      </c>
      <c r="B56" s="315" t="s">
        <v>2608</v>
      </c>
      <c r="C56" s="2" t="s">
        <v>2623</v>
      </c>
      <c r="D56" s="1613">
        <v>1034.6300000000001</v>
      </c>
      <c r="E56" s="877">
        <v>145.6</v>
      </c>
      <c r="F56" s="1611">
        <v>150642.12</v>
      </c>
    </row>
    <row r="57" spans="1:6" ht="25.5" x14ac:dyDescent="0.2">
      <c r="A57" s="2">
        <v>7750</v>
      </c>
      <c r="B57" s="315" t="s">
        <v>2724</v>
      </c>
      <c r="C57" s="2" t="s">
        <v>2623</v>
      </c>
      <c r="D57" s="1613">
        <v>504.57</v>
      </c>
      <c r="E57" s="877">
        <v>473.72</v>
      </c>
      <c r="F57" s="1611">
        <v>239024.9</v>
      </c>
    </row>
    <row r="58" spans="1:6" ht="25.5" x14ac:dyDescent="0.2">
      <c r="A58" s="2">
        <v>7753</v>
      </c>
      <c r="B58" s="315" t="s">
        <v>2725</v>
      </c>
      <c r="C58" s="2" t="s">
        <v>2623</v>
      </c>
      <c r="D58" s="1613">
        <v>585.66999999999996</v>
      </c>
      <c r="E58" s="877">
        <v>555.07000000000005</v>
      </c>
      <c r="F58" s="1611">
        <v>325087.84000000003</v>
      </c>
    </row>
    <row r="59" spans="1:6" ht="51" x14ac:dyDescent="0.2">
      <c r="A59" s="2">
        <v>92821</v>
      </c>
      <c r="B59" s="315" t="s">
        <v>2812</v>
      </c>
      <c r="C59" s="2" t="s">
        <v>956</v>
      </c>
      <c r="D59" s="1613">
        <v>802</v>
      </c>
      <c r="E59" s="877">
        <v>74.180000000000007</v>
      </c>
      <c r="F59" s="1611">
        <v>59492.36</v>
      </c>
    </row>
    <row r="60" spans="1:6" ht="51" x14ac:dyDescent="0.2">
      <c r="A60" s="2">
        <v>92824</v>
      </c>
      <c r="B60" s="315" t="s">
        <v>2813</v>
      </c>
      <c r="C60" s="2" t="s">
        <v>956</v>
      </c>
      <c r="D60" s="1613">
        <v>1034.6300000000001</v>
      </c>
      <c r="E60" s="877">
        <v>107.6</v>
      </c>
      <c r="F60" s="1611">
        <v>111326.18</v>
      </c>
    </row>
    <row r="61" spans="1:6" ht="51" x14ac:dyDescent="0.2">
      <c r="A61" s="2">
        <v>92826</v>
      </c>
      <c r="B61" s="315" t="s">
        <v>2814</v>
      </c>
      <c r="C61" s="2" t="s">
        <v>956</v>
      </c>
      <c r="D61" s="1613">
        <v>504.57</v>
      </c>
      <c r="E61" s="877">
        <v>144.01</v>
      </c>
      <c r="F61" s="1611">
        <v>72663.12</v>
      </c>
    </row>
    <row r="62" spans="1:6" ht="51" x14ac:dyDescent="0.2">
      <c r="A62" s="2">
        <v>92828</v>
      </c>
      <c r="B62" s="315" t="s">
        <v>2815</v>
      </c>
      <c r="C62" s="2" t="s">
        <v>956</v>
      </c>
      <c r="D62" s="1613">
        <v>585.66999999999996</v>
      </c>
      <c r="E62" s="877">
        <v>187.6</v>
      </c>
      <c r="F62" s="1611">
        <v>109871.69</v>
      </c>
    </row>
    <row r="63" spans="1:6" ht="38.25" x14ac:dyDescent="0.2">
      <c r="A63" s="2" t="s">
        <v>1729</v>
      </c>
      <c r="B63" s="315" t="s">
        <v>2816</v>
      </c>
      <c r="C63" s="2" t="s">
        <v>989</v>
      </c>
      <c r="D63" s="1613">
        <v>29</v>
      </c>
      <c r="E63" s="877">
        <v>8069.78</v>
      </c>
      <c r="F63" s="1611">
        <v>234023.62</v>
      </c>
    </row>
    <row r="64" spans="1:6" ht="38.25" x14ac:dyDescent="0.2">
      <c r="A64" s="2" t="s">
        <v>281</v>
      </c>
      <c r="B64" s="315" t="s">
        <v>2817</v>
      </c>
      <c r="C64" s="2" t="s">
        <v>956</v>
      </c>
      <c r="D64" s="1613">
        <v>0.96</v>
      </c>
      <c r="E64" s="877">
        <v>1992.73</v>
      </c>
      <c r="F64" s="1611">
        <v>1913.02</v>
      </c>
    </row>
    <row r="65" spans="1:6" ht="25.5" x14ac:dyDescent="0.2">
      <c r="A65" s="2">
        <v>98051</v>
      </c>
      <c r="B65" s="315" t="s">
        <v>2818</v>
      </c>
      <c r="C65" s="2" t="s">
        <v>956</v>
      </c>
      <c r="D65" s="1613">
        <v>10.84</v>
      </c>
      <c r="E65" s="877">
        <v>1123.23</v>
      </c>
      <c r="F65" s="1611">
        <v>12175.81</v>
      </c>
    </row>
    <row r="66" spans="1:6" ht="38.25" x14ac:dyDescent="0.2">
      <c r="A66" s="2" t="s">
        <v>1749</v>
      </c>
      <c r="B66" s="315" t="s">
        <v>2819</v>
      </c>
      <c r="C66" s="2" t="s">
        <v>525</v>
      </c>
      <c r="D66" s="1613">
        <v>29</v>
      </c>
      <c r="E66" s="877">
        <v>928.96</v>
      </c>
      <c r="F66" s="1611">
        <v>26939.84</v>
      </c>
    </row>
    <row r="67" spans="1:6" ht="38.25" x14ac:dyDescent="0.2">
      <c r="A67" s="2" t="s">
        <v>272</v>
      </c>
      <c r="B67" s="315" t="s">
        <v>2820</v>
      </c>
      <c r="C67" s="2" t="s">
        <v>989</v>
      </c>
      <c r="D67" s="1613">
        <v>5</v>
      </c>
      <c r="E67" s="877">
        <v>7683.31</v>
      </c>
      <c r="F67" s="1611">
        <v>38416.550000000003</v>
      </c>
    </row>
    <row r="68" spans="1:6" ht="38.25" x14ac:dyDescent="0.2">
      <c r="A68" s="2" t="s">
        <v>1737</v>
      </c>
      <c r="B68" s="315" t="s">
        <v>2821</v>
      </c>
      <c r="C68" s="2" t="s">
        <v>989</v>
      </c>
      <c r="D68" s="1613">
        <v>49</v>
      </c>
      <c r="E68" s="877">
        <v>2084.06</v>
      </c>
      <c r="F68" s="1611">
        <v>102118.94</v>
      </c>
    </row>
    <row r="69" spans="1:6" ht="38.25" x14ac:dyDescent="0.2">
      <c r="A69" s="2" t="s">
        <v>1738</v>
      </c>
      <c r="B69" s="315" t="s">
        <v>2822</v>
      </c>
      <c r="C69" s="2" t="s">
        <v>989</v>
      </c>
      <c r="D69" s="1613">
        <v>27</v>
      </c>
      <c r="E69" s="877">
        <v>5735.71</v>
      </c>
      <c r="F69" s="1611">
        <v>154864.17000000001</v>
      </c>
    </row>
    <row r="70" spans="1:6" ht="25.5" x14ac:dyDescent="0.2">
      <c r="A70" s="2">
        <v>93593</v>
      </c>
      <c r="B70" s="315" t="s">
        <v>2793</v>
      </c>
      <c r="C70" s="2" t="s">
        <v>2621</v>
      </c>
      <c r="D70" s="1613">
        <v>15778.84</v>
      </c>
      <c r="E70" s="877">
        <v>0.94</v>
      </c>
      <c r="F70" s="1611">
        <v>14832.1</v>
      </c>
    </row>
    <row r="71" spans="1:6" ht="38.25" x14ac:dyDescent="0.2">
      <c r="A71" s="2">
        <v>100953</v>
      </c>
      <c r="B71" s="315" t="s">
        <v>2823</v>
      </c>
      <c r="C71" s="2" t="s">
        <v>2622</v>
      </c>
      <c r="D71" s="1613">
        <v>124085</v>
      </c>
      <c r="E71" s="877">
        <v>1.18</v>
      </c>
      <c r="F71" s="1611">
        <v>146420.29999999999</v>
      </c>
    </row>
    <row r="72" spans="1:6" ht="63.75" x14ac:dyDescent="0.2">
      <c r="A72" s="2">
        <v>90105</v>
      </c>
      <c r="B72" s="315" t="s">
        <v>2824</v>
      </c>
      <c r="C72" s="2" t="s">
        <v>990</v>
      </c>
      <c r="D72" s="1613">
        <v>32.78</v>
      </c>
      <c r="E72" s="877">
        <v>9.64</v>
      </c>
      <c r="F72" s="1611">
        <v>315.99</v>
      </c>
    </row>
    <row r="73" spans="1:6" x14ac:dyDescent="0.2">
      <c r="A73" s="2">
        <v>6079</v>
      </c>
      <c r="B73" s="315" t="s">
        <v>2825</v>
      </c>
      <c r="C73" s="2" t="s">
        <v>2624</v>
      </c>
      <c r="D73" s="1613">
        <v>13.66</v>
      </c>
      <c r="E73" s="877">
        <v>38.840000000000003</v>
      </c>
      <c r="F73" s="1611">
        <v>530.54999999999995</v>
      </c>
    </row>
    <row r="74" spans="1:6" x14ac:dyDescent="0.2">
      <c r="A74" s="2">
        <v>4721</v>
      </c>
      <c r="B74" s="315" t="s">
        <v>2826</v>
      </c>
      <c r="C74" s="2" t="s">
        <v>2624</v>
      </c>
      <c r="D74" s="1613">
        <v>22.53</v>
      </c>
      <c r="E74" s="877">
        <v>111.8</v>
      </c>
      <c r="F74" s="1611">
        <v>2518.85</v>
      </c>
    </row>
    <row r="75" spans="1:6" ht="38.25" x14ac:dyDescent="0.2">
      <c r="A75" s="2">
        <v>101767</v>
      </c>
      <c r="B75" s="315" t="s">
        <v>2827</v>
      </c>
      <c r="C75" s="2" t="s">
        <v>990</v>
      </c>
      <c r="D75" s="1613">
        <v>27.31</v>
      </c>
      <c r="E75" s="877">
        <v>31.63</v>
      </c>
      <c r="F75" s="1611">
        <v>863.81</v>
      </c>
    </row>
    <row r="76" spans="1:6" ht="25.5" x14ac:dyDescent="0.2">
      <c r="A76" s="2" t="s">
        <v>2104</v>
      </c>
      <c r="B76" s="315" t="s">
        <v>2828</v>
      </c>
      <c r="C76" s="2" t="s">
        <v>988</v>
      </c>
      <c r="D76" s="1613">
        <v>182.08</v>
      </c>
      <c r="E76" s="877">
        <v>6.19</v>
      </c>
      <c r="F76" s="1611">
        <v>1127.07</v>
      </c>
    </row>
    <row r="77" spans="1:6" ht="38.25" x14ac:dyDescent="0.2">
      <c r="A77" s="2" t="s">
        <v>2726</v>
      </c>
      <c r="B77" s="315" t="s">
        <v>2830</v>
      </c>
      <c r="C77" s="2" t="s">
        <v>990</v>
      </c>
      <c r="D77" s="1613">
        <v>4.63</v>
      </c>
      <c r="E77" s="877">
        <v>1830.58</v>
      </c>
      <c r="F77" s="1611">
        <v>8475.58</v>
      </c>
    </row>
    <row r="78" spans="1:6" ht="25.5" x14ac:dyDescent="0.2">
      <c r="A78" s="2" t="s">
        <v>2829</v>
      </c>
      <c r="B78" s="315" t="s">
        <v>2831</v>
      </c>
      <c r="C78" s="2" t="s">
        <v>990</v>
      </c>
      <c r="D78" s="1613">
        <v>0.84</v>
      </c>
      <c r="E78" s="877">
        <v>1863.48</v>
      </c>
      <c r="F78" s="1611">
        <v>1565.32</v>
      </c>
    </row>
    <row r="79" spans="1:6" ht="38.25" x14ac:dyDescent="0.2">
      <c r="A79" s="2">
        <v>100978</v>
      </c>
      <c r="B79" s="315" t="s">
        <v>2832</v>
      </c>
      <c r="C79" s="2" t="s">
        <v>990</v>
      </c>
      <c r="D79" s="1613">
        <v>37.549999999999997</v>
      </c>
      <c r="E79" s="877">
        <v>7.44</v>
      </c>
      <c r="F79" s="1611">
        <v>279.37</v>
      </c>
    </row>
    <row r="80" spans="1:6" ht="25.5" x14ac:dyDescent="0.2">
      <c r="A80" s="2">
        <v>95876</v>
      </c>
      <c r="B80" s="315" t="s">
        <v>2792</v>
      </c>
      <c r="C80" s="2" t="s">
        <v>2621</v>
      </c>
      <c r="D80" s="1613">
        <v>163.88</v>
      </c>
      <c r="E80" s="877">
        <v>2.3199999999999998</v>
      </c>
      <c r="F80" s="1611">
        <v>380.2</v>
      </c>
    </row>
    <row r="81" spans="1:6" ht="25.5" x14ac:dyDescent="0.2">
      <c r="A81" s="2">
        <v>95875</v>
      </c>
      <c r="B81" s="315" t="s">
        <v>2833</v>
      </c>
      <c r="C81" s="2" t="s">
        <v>2621</v>
      </c>
      <c r="D81" s="1613">
        <v>54.64</v>
      </c>
      <c r="E81" s="877">
        <v>2.63</v>
      </c>
      <c r="F81" s="1611">
        <v>143.69999999999999</v>
      </c>
    </row>
    <row r="82" spans="1:6" ht="25.5" x14ac:dyDescent="0.2">
      <c r="A82" s="2">
        <v>100939</v>
      </c>
      <c r="B82" s="315" t="s">
        <v>2606</v>
      </c>
      <c r="C82" s="2" t="s">
        <v>2621</v>
      </c>
      <c r="D82" s="1613">
        <v>37.549999999999997</v>
      </c>
      <c r="E82" s="877">
        <v>7.1</v>
      </c>
      <c r="F82" s="1611">
        <v>266.60000000000002</v>
      </c>
    </row>
    <row r="83" spans="1:6" ht="25.5" x14ac:dyDescent="0.2">
      <c r="A83" s="2">
        <v>93593</v>
      </c>
      <c r="B83" s="315" t="s">
        <v>2793</v>
      </c>
      <c r="C83" s="2" t="s">
        <v>2621</v>
      </c>
      <c r="D83" s="1613">
        <v>2455.77</v>
      </c>
      <c r="E83" s="877">
        <v>0.94</v>
      </c>
      <c r="F83" s="1611">
        <v>2308.42</v>
      </c>
    </row>
    <row r="84" spans="1:6" ht="25.5" x14ac:dyDescent="0.2">
      <c r="A84" s="2">
        <v>93599</v>
      </c>
      <c r="B84" s="315" t="s">
        <v>2834</v>
      </c>
      <c r="C84" s="2" t="s">
        <v>2622</v>
      </c>
      <c r="D84" s="1613">
        <v>1521.64</v>
      </c>
      <c r="E84" s="877">
        <v>0.62</v>
      </c>
      <c r="F84" s="1611">
        <v>943.41</v>
      </c>
    </row>
    <row r="85" spans="1:6" ht="38.25" x14ac:dyDescent="0.2">
      <c r="A85" s="2">
        <v>102333</v>
      </c>
      <c r="B85" s="315" t="s">
        <v>2835</v>
      </c>
      <c r="C85" s="2" t="s">
        <v>2622</v>
      </c>
      <c r="D85" s="1613">
        <v>23.98</v>
      </c>
      <c r="E85" s="877">
        <v>0.78</v>
      </c>
      <c r="F85" s="1611">
        <v>18.7</v>
      </c>
    </row>
    <row r="86" spans="1:6" x14ac:dyDescent="0.2">
      <c r="A86" s="2" t="s">
        <v>1796</v>
      </c>
      <c r="B86" s="315" t="s">
        <v>2036</v>
      </c>
      <c r="C86" s="2" t="s">
        <v>990</v>
      </c>
      <c r="D86" s="1613">
        <v>7392.66</v>
      </c>
      <c r="E86" s="877">
        <v>6.65</v>
      </c>
      <c r="F86" s="1611">
        <v>49161.18</v>
      </c>
    </row>
    <row r="87" spans="1:6" ht="25.5" x14ac:dyDescent="0.2">
      <c r="A87" s="2">
        <v>96385</v>
      </c>
      <c r="B87" s="315" t="s">
        <v>2727</v>
      </c>
      <c r="C87" s="2" t="s">
        <v>990</v>
      </c>
      <c r="D87" s="1613">
        <v>3633.19</v>
      </c>
      <c r="E87" s="877">
        <v>13.15</v>
      </c>
      <c r="F87" s="1611">
        <v>47776.44</v>
      </c>
    </row>
    <row r="88" spans="1:6" x14ac:dyDescent="0.2">
      <c r="A88" s="2">
        <v>6079</v>
      </c>
      <c r="B88" s="315" t="s">
        <v>2825</v>
      </c>
      <c r="C88" s="2" t="s">
        <v>2624</v>
      </c>
      <c r="D88" s="1613">
        <v>1903.15</v>
      </c>
      <c r="E88" s="877">
        <v>38.840000000000003</v>
      </c>
      <c r="F88" s="1611">
        <v>73918.34</v>
      </c>
    </row>
    <row r="89" spans="1:6" ht="38.25" x14ac:dyDescent="0.2">
      <c r="A89" s="2">
        <v>100979</v>
      </c>
      <c r="B89" s="315" t="s">
        <v>2791</v>
      </c>
      <c r="C89" s="2" t="s">
        <v>990</v>
      </c>
      <c r="D89" s="1613">
        <v>2638.33</v>
      </c>
      <c r="E89" s="877">
        <v>7.25</v>
      </c>
      <c r="F89" s="1611">
        <v>19127.89</v>
      </c>
    </row>
    <row r="90" spans="1:6" ht="25.5" x14ac:dyDescent="0.2">
      <c r="A90" s="2">
        <v>100939</v>
      </c>
      <c r="B90" s="315" t="s">
        <v>2606</v>
      </c>
      <c r="C90" s="2" t="s">
        <v>2621</v>
      </c>
      <c r="D90" s="1613">
        <v>5276.66</v>
      </c>
      <c r="E90" s="877">
        <v>7.1</v>
      </c>
      <c r="F90" s="1611">
        <v>37464.28</v>
      </c>
    </row>
    <row r="91" spans="1:6" ht="25.5" x14ac:dyDescent="0.2">
      <c r="A91" s="2">
        <v>95876</v>
      </c>
      <c r="B91" s="315" t="s">
        <v>2792</v>
      </c>
      <c r="C91" s="2" t="s">
        <v>2621</v>
      </c>
      <c r="D91" s="1613">
        <v>26409.96</v>
      </c>
      <c r="E91" s="877">
        <v>2.3199999999999998</v>
      </c>
      <c r="F91" s="1611">
        <v>61271.1</v>
      </c>
    </row>
    <row r="92" spans="1:6" ht="25.5" x14ac:dyDescent="0.2">
      <c r="A92" s="2">
        <v>95876</v>
      </c>
      <c r="B92" s="315" t="s">
        <v>2792</v>
      </c>
      <c r="C92" s="2" t="s">
        <v>2621</v>
      </c>
      <c r="D92" s="1613">
        <v>7612.6</v>
      </c>
      <c r="E92" s="877">
        <v>2.3199999999999998</v>
      </c>
      <c r="F92" s="1611">
        <v>17661.23</v>
      </c>
    </row>
    <row r="93" spans="1:6" ht="25.5" x14ac:dyDescent="0.2">
      <c r="A93" s="2">
        <v>100576</v>
      </c>
      <c r="B93" s="315" t="s">
        <v>2611</v>
      </c>
      <c r="C93" s="2" t="s">
        <v>988</v>
      </c>
      <c r="D93" s="1613">
        <v>63804.74</v>
      </c>
      <c r="E93" s="877">
        <v>2.84</v>
      </c>
      <c r="F93" s="1611">
        <v>181205.46</v>
      </c>
    </row>
    <row r="94" spans="1:6" ht="38.25" x14ac:dyDescent="0.2">
      <c r="A94" s="2">
        <v>101767</v>
      </c>
      <c r="B94" s="315" t="s">
        <v>2827</v>
      </c>
      <c r="C94" s="2" t="s">
        <v>990</v>
      </c>
      <c r="D94" s="1613">
        <v>9801.76</v>
      </c>
      <c r="E94" s="877">
        <v>31.63</v>
      </c>
      <c r="F94" s="1611">
        <v>310029.65999999997</v>
      </c>
    </row>
    <row r="95" spans="1:6" ht="25.5" x14ac:dyDescent="0.2">
      <c r="A95" s="2" t="s">
        <v>2104</v>
      </c>
      <c r="B95" s="315" t="s">
        <v>2828</v>
      </c>
      <c r="C95" s="2" t="s">
        <v>988</v>
      </c>
      <c r="D95" s="1613">
        <v>56628.68</v>
      </c>
      <c r="E95" s="877">
        <v>6.19</v>
      </c>
      <c r="F95" s="1611">
        <v>350531.52</v>
      </c>
    </row>
    <row r="96" spans="1:6" ht="25.5" x14ac:dyDescent="0.2">
      <c r="A96" s="2" t="s">
        <v>1777</v>
      </c>
      <c r="B96" s="315" t="s">
        <v>2836</v>
      </c>
      <c r="C96" s="2" t="s">
        <v>988</v>
      </c>
      <c r="D96" s="1613">
        <v>56628.68</v>
      </c>
      <c r="E96" s="877">
        <v>2.98</v>
      </c>
      <c r="F96" s="1611">
        <v>168753.46</v>
      </c>
    </row>
    <row r="97" spans="1:6" ht="38.25" x14ac:dyDescent="0.2">
      <c r="A97" s="2" t="s">
        <v>2428</v>
      </c>
      <c r="B97" s="315" t="s">
        <v>2610</v>
      </c>
      <c r="C97" s="2" t="s">
        <v>990</v>
      </c>
      <c r="D97" s="1613">
        <v>1857.01</v>
      </c>
      <c r="E97" s="877">
        <v>1919.62</v>
      </c>
      <c r="F97" s="1611">
        <v>3564753.53</v>
      </c>
    </row>
    <row r="98" spans="1:6" x14ac:dyDescent="0.2">
      <c r="A98" s="2">
        <v>6079</v>
      </c>
      <c r="B98" s="315" t="s">
        <v>2825</v>
      </c>
      <c r="C98" s="2" t="s">
        <v>2624</v>
      </c>
      <c r="D98" s="1613">
        <v>4900.88</v>
      </c>
      <c r="E98" s="877">
        <v>38.840000000000003</v>
      </c>
      <c r="F98" s="1611">
        <v>190350.17</v>
      </c>
    </row>
    <row r="99" spans="1:6" x14ac:dyDescent="0.2">
      <c r="A99" s="2">
        <v>4721</v>
      </c>
      <c r="B99" s="315" t="s">
        <v>2826</v>
      </c>
      <c r="C99" s="2" t="s">
        <v>2624</v>
      </c>
      <c r="D99" s="1613">
        <v>8086.45</v>
      </c>
      <c r="E99" s="877">
        <v>111.8</v>
      </c>
      <c r="F99" s="1611">
        <v>904065.11</v>
      </c>
    </row>
    <row r="100" spans="1:6" ht="38.25" x14ac:dyDescent="0.2">
      <c r="A100" s="2">
        <v>100978</v>
      </c>
      <c r="B100" s="315" t="s">
        <v>2832</v>
      </c>
      <c r="C100" s="2" t="s">
        <v>990</v>
      </c>
      <c r="D100" s="1613">
        <v>13477.42</v>
      </c>
      <c r="E100" s="877">
        <v>7.44</v>
      </c>
      <c r="F100" s="1611">
        <v>100272</v>
      </c>
    </row>
    <row r="101" spans="1:6" ht="25.5" x14ac:dyDescent="0.2">
      <c r="A101" s="2">
        <v>95876</v>
      </c>
      <c r="B101" s="315" t="s">
        <v>2792</v>
      </c>
      <c r="C101" s="2" t="s">
        <v>2621</v>
      </c>
      <c r="D101" s="1613">
        <v>19603.52</v>
      </c>
      <c r="E101" s="877">
        <v>2.3199999999999998</v>
      </c>
      <c r="F101" s="1611">
        <v>45480.160000000003</v>
      </c>
    </row>
    <row r="102" spans="1:6" ht="25.5" x14ac:dyDescent="0.2">
      <c r="A102" s="2">
        <v>100939</v>
      </c>
      <c r="B102" s="315" t="s">
        <v>2606</v>
      </c>
      <c r="C102" s="2" t="s">
        <v>2621</v>
      </c>
      <c r="D102" s="1613">
        <v>13477.42</v>
      </c>
      <c r="E102" s="877">
        <v>7.1</v>
      </c>
      <c r="F102" s="1611">
        <v>95689.68</v>
      </c>
    </row>
    <row r="103" spans="1:6" ht="25.5" x14ac:dyDescent="0.2">
      <c r="A103" s="2">
        <v>93593</v>
      </c>
      <c r="B103" s="315" t="s">
        <v>2793</v>
      </c>
      <c r="C103" s="2" t="s">
        <v>2621</v>
      </c>
      <c r="D103" s="1613">
        <v>881423.05</v>
      </c>
      <c r="E103" s="877">
        <v>0.94</v>
      </c>
      <c r="F103" s="1611">
        <v>828537.66</v>
      </c>
    </row>
    <row r="104" spans="1:6" ht="25.5" x14ac:dyDescent="0.2">
      <c r="A104" s="2">
        <v>93599</v>
      </c>
      <c r="B104" s="315" t="s">
        <v>2834</v>
      </c>
      <c r="C104" s="2" t="s">
        <v>2622</v>
      </c>
      <c r="D104" s="1613">
        <v>517127.61</v>
      </c>
      <c r="E104" s="877">
        <v>0.62</v>
      </c>
      <c r="F104" s="1611">
        <v>320619.11</v>
      </c>
    </row>
    <row r="105" spans="1:6" ht="38.25" x14ac:dyDescent="0.2">
      <c r="A105" s="2">
        <v>102333</v>
      </c>
      <c r="B105" s="315" t="s">
        <v>2835</v>
      </c>
      <c r="C105" s="2" t="s">
        <v>2622</v>
      </c>
      <c r="D105" s="1613">
        <v>10492.34</v>
      </c>
      <c r="E105" s="877">
        <v>0.78</v>
      </c>
      <c r="F105" s="1611">
        <v>8184.02</v>
      </c>
    </row>
    <row r="106" spans="1:6" ht="25.5" x14ac:dyDescent="0.2">
      <c r="A106" s="2" t="s">
        <v>2688</v>
      </c>
      <c r="B106" s="315" t="s">
        <v>2837</v>
      </c>
      <c r="C106" s="2" t="s">
        <v>956</v>
      </c>
      <c r="D106" s="1613">
        <v>13324.31</v>
      </c>
      <c r="E106" s="877">
        <v>63.23</v>
      </c>
      <c r="F106" s="1611">
        <v>842496.12</v>
      </c>
    </row>
    <row r="107" spans="1:6" ht="25.5" x14ac:dyDescent="0.2">
      <c r="A107" s="2" t="s">
        <v>2708</v>
      </c>
      <c r="B107" s="315" t="s">
        <v>2838</v>
      </c>
      <c r="C107" s="2" t="s">
        <v>956</v>
      </c>
      <c r="D107" s="1613">
        <v>1124.6500000000001</v>
      </c>
      <c r="E107" s="877">
        <v>30.36</v>
      </c>
      <c r="F107" s="1611">
        <v>34144.370000000003</v>
      </c>
    </row>
    <row r="108" spans="1:6" ht="25.5" x14ac:dyDescent="0.2">
      <c r="A108" s="2" t="s">
        <v>275</v>
      </c>
      <c r="B108" s="315" t="s">
        <v>2839</v>
      </c>
      <c r="C108" s="2" t="s">
        <v>956</v>
      </c>
      <c r="D108" s="1613">
        <v>53</v>
      </c>
      <c r="E108" s="877">
        <v>34.01</v>
      </c>
      <c r="F108" s="1611">
        <v>1802.53</v>
      </c>
    </row>
    <row r="109" spans="1:6" x14ac:dyDescent="0.2">
      <c r="A109" s="2">
        <v>100575</v>
      </c>
      <c r="B109" s="315" t="s">
        <v>2790</v>
      </c>
      <c r="C109" s="2" t="s">
        <v>988</v>
      </c>
      <c r="D109" s="1613">
        <v>3528.21</v>
      </c>
      <c r="E109" s="877">
        <v>0.13</v>
      </c>
      <c r="F109" s="1611">
        <v>458.66</v>
      </c>
    </row>
    <row r="110" spans="1:6" ht="25.5" x14ac:dyDescent="0.2">
      <c r="A110" s="2" t="s">
        <v>2728</v>
      </c>
      <c r="B110" s="315" t="s">
        <v>2729</v>
      </c>
      <c r="C110" s="2" t="s">
        <v>988</v>
      </c>
      <c r="D110" s="1613">
        <v>4064.81</v>
      </c>
      <c r="E110" s="877">
        <v>26.89</v>
      </c>
      <c r="F110" s="1611">
        <v>109302.74</v>
      </c>
    </row>
    <row r="111" spans="1:6" ht="25.5" x14ac:dyDescent="0.2">
      <c r="A111" s="2">
        <v>97084</v>
      </c>
      <c r="B111" s="315" t="s">
        <v>2840</v>
      </c>
      <c r="C111" s="2" t="s">
        <v>988</v>
      </c>
      <c r="D111" s="1613">
        <v>15489.17</v>
      </c>
      <c r="E111" s="877">
        <v>0.72</v>
      </c>
      <c r="F111" s="1611">
        <v>11152.2</v>
      </c>
    </row>
    <row r="112" spans="1:6" ht="25.5" x14ac:dyDescent="0.2">
      <c r="A112" s="2" t="s">
        <v>2446</v>
      </c>
      <c r="B112" s="315" t="s">
        <v>2612</v>
      </c>
      <c r="C112" s="2" t="s">
        <v>956</v>
      </c>
      <c r="D112" s="1613">
        <v>702</v>
      </c>
      <c r="E112" s="877">
        <v>74.47</v>
      </c>
      <c r="F112" s="1611">
        <v>52277.94</v>
      </c>
    </row>
    <row r="113" spans="1:6" ht="25.5" x14ac:dyDescent="0.2">
      <c r="A113" s="2">
        <v>94962</v>
      </c>
      <c r="B113" s="315" t="s">
        <v>2609</v>
      </c>
      <c r="C113" s="2" t="s">
        <v>990</v>
      </c>
      <c r="D113" s="1613">
        <v>8.42</v>
      </c>
      <c r="E113" s="877">
        <v>459.68</v>
      </c>
      <c r="F113" s="1611">
        <v>3870.5</v>
      </c>
    </row>
    <row r="114" spans="1:6" ht="25.5" x14ac:dyDescent="0.2">
      <c r="A114" s="2">
        <v>94991</v>
      </c>
      <c r="B114" s="315" t="s">
        <v>2613</v>
      </c>
      <c r="C114" s="2" t="s">
        <v>990</v>
      </c>
      <c r="D114" s="1613">
        <v>1064.58</v>
      </c>
      <c r="E114" s="877">
        <v>932.21</v>
      </c>
      <c r="F114" s="1611">
        <v>992412.12</v>
      </c>
    </row>
    <row r="115" spans="1:6" ht="25.5" x14ac:dyDescent="0.2">
      <c r="A115" s="2">
        <v>100948</v>
      </c>
      <c r="B115" s="315" t="s">
        <v>2841</v>
      </c>
      <c r="C115" s="2" t="s">
        <v>2622</v>
      </c>
      <c r="D115" s="1613">
        <v>1347</v>
      </c>
      <c r="E115" s="877">
        <v>0.94</v>
      </c>
      <c r="F115" s="1611">
        <v>1266.18</v>
      </c>
    </row>
    <row r="116" spans="1:6" ht="25.5" x14ac:dyDescent="0.2">
      <c r="A116" s="2" t="s">
        <v>2735</v>
      </c>
      <c r="B116" s="315" t="s">
        <v>2842</v>
      </c>
      <c r="C116" s="2" t="s">
        <v>988</v>
      </c>
      <c r="D116" s="1613">
        <v>388.22</v>
      </c>
      <c r="E116" s="877">
        <v>103.13</v>
      </c>
      <c r="F116" s="1611">
        <v>40037.120000000003</v>
      </c>
    </row>
    <row r="117" spans="1:6" ht="25.5" x14ac:dyDescent="0.2">
      <c r="A117" s="2" t="s">
        <v>2397</v>
      </c>
      <c r="B117" s="315" t="s">
        <v>2843</v>
      </c>
      <c r="C117" s="2" t="s">
        <v>988</v>
      </c>
      <c r="D117" s="1613">
        <v>288.58999999999997</v>
      </c>
      <c r="E117" s="877">
        <v>117.29</v>
      </c>
      <c r="F117" s="1611">
        <v>33848.720000000001</v>
      </c>
    </row>
    <row r="118" spans="1:6" ht="25.5" x14ac:dyDescent="0.2">
      <c r="A118" s="2" t="s">
        <v>2736</v>
      </c>
      <c r="B118" s="315" t="s">
        <v>2844</v>
      </c>
      <c r="C118" s="2" t="s">
        <v>988</v>
      </c>
      <c r="D118" s="1613">
        <v>390.6</v>
      </c>
      <c r="E118" s="877">
        <v>60.67</v>
      </c>
      <c r="F118" s="1611">
        <v>23697.7</v>
      </c>
    </row>
    <row r="119" spans="1:6" ht="51" x14ac:dyDescent="0.2">
      <c r="A119" s="2" t="s">
        <v>902</v>
      </c>
      <c r="B119" s="315" t="s">
        <v>2614</v>
      </c>
      <c r="C119" s="2" t="s">
        <v>525</v>
      </c>
      <c r="D119" s="1613">
        <v>263</v>
      </c>
      <c r="E119" s="877">
        <v>523.6</v>
      </c>
      <c r="F119" s="1611">
        <v>137706.79999999999</v>
      </c>
    </row>
    <row r="120" spans="1:6" ht="51" x14ac:dyDescent="0.2">
      <c r="A120" s="2" t="s">
        <v>2405</v>
      </c>
      <c r="B120" s="315" t="s">
        <v>2615</v>
      </c>
      <c r="C120" s="2" t="s">
        <v>988</v>
      </c>
      <c r="D120" s="1613">
        <v>47.93</v>
      </c>
      <c r="E120" s="877">
        <v>915.14</v>
      </c>
      <c r="F120" s="1611">
        <v>43862.66</v>
      </c>
    </row>
    <row r="121" spans="1:6" x14ac:dyDescent="0.2">
      <c r="A121" s="2">
        <v>13521</v>
      </c>
      <c r="B121" s="315" t="s">
        <v>2845</v>
      </c>
      <c r="C121" s="2" t="s">
        <v>2620</v>
      </c>
      <c r="D121" s="1613">
        <v>202</v>
      </c>
      <c r="E121" s="877">
        <v>99.57</v>
      </c>
      <c r="F121" s="1611">
        <v>20113.14</v>
      </c>
    </row>
    <row r="122" spans="1:6" ht="25.5" x14ac:dyDescent="0.2">
      <c r="A122" s="2" t="s">
        <v>535</v>
      </c>
      <c r="B122" s="315" t="s">
        <v>537</v>
      </c>
      <c r="C122" s="2" t="s">
        <v>536</v>
      </c>
      <c r="D122" s="1613">
        <v>1</v>
      </c>
      <c r="E122" s="877">
        <v>625998.32999999996</v>
      </c>
      <c r="F122" s="1611">
        <v>625998.32999999996</v>
      </c>
    </row>
  </sheetData>
  <sortState xmlns:xlrd2="http://schemas.microsoft.com/office/spreadsheetml/2017/richdata2" ref="A2:F122">
    <sortCondition descending="1" ref="F2:F122"/>
  </sortState>
  <conditionalFormatting sqref="D2:D122">
    <cfRule type="expression" dxfId="711" priority="375">
      <formula>D2=0</formula>
    </cfRule>
  </conditionalFormatting>
  <conditionalFormatting sqref="E2:E122">
    <cfRule type="cellIs" dxfId="710" priority="377" operator="equal">
      <formula>C2</formula>
    </cfRule>
  </conditionalFormatting>
  <pageMargins left="0.511811024" right="0.511811024" top="0.78740157499999996" bottom="0.78740157499999996" header="0.31496062000000002" footer="0.31496062000000002"/>
  <pageSetup paperSize="9" scale="8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 filterMode="1">
    <tabColor rgb="FF92D050"/>
  </sheetPr>
  <dimension ref="A1:Y1519"/>
  <sheetViews>
    <sheetView showZeros="0" zoomScaleNormal="100" zoomScaleSheetLayoutView="100" workbookViewId="0">
      <selection activeCell="C15" sqref="C15"/>
    </sheetView>
  </sheetViews>
  <sheetFormatPr defaultColWidth="9" defaultRowHeight="25.5" x14ac:dyDescent="0.15"/>
  <cols>
    <col min="1" max="1" width="7.625" style="845" customWidth="1"/>
    <col min="2" max="2" width="15.625" style="845" customWidth="1"/>
    <col min="3" max="3" width="13.625" style="845" customWidth="1"/>
    <col min="4" max="4" width="90.625" style="845" customWidth="1"/>
    <col min="5" max="5" width="5.375" style="845" customWidth="1"/>
    <col min="6" max="6" width="7.625" style="845" customWidth="1"/>
    <col min="7" max="7" width="14.75" style="847" hidden="1" customWidth="1"/>
    <col min="8" max="8" width="12.625" style="845" customWidth="1"/>
    <col min="9" max="9" width="14.375" style="845" customWidth="1"/>
    <col min="10" max="10" width="17.625" style="845" bestFit="1" customWidth="1"/>
    <col min="11" max="11" width="9.25" style="1617" customWidth="1"/>
    <col min="12" max="12" width="12.5" style="1575" hidden="1" customWidth="1"/>
    <col min="13" max="13" width="29" style="853" hidden="1" customWidth="1"/>
    <col min="14" max="14" width="14.25" style="853" hidden="1" customWidth="1"/>
    <col min="15" max="15" width="13.75" style="853" hidden="1" customWidth="1"/>
    <col min="16" max="16" width="8.75" style="853" hidden="1" customWidth="1"/>
    <col min="17" max="17" width="12.75" style="853" hidden="1" customWidth="1"/>
    <col min="18" max="18" width="3.25" style="853" bestFit="1" customWidth="1"/>
    <col min="19" max="19" width="12.75" style="853" customWidth="1"/>
    <col min="20" max="20" width="3.25" style="853" bestFit="1" customWidth="1"/>
    <col min="21" max="21" width="12.75" style="853" customWidth="1"/>
    <col min="22" max="22" width="3.25" style="853" bestFit="1" customWidth="1"/>
    <col min="23" max="23" width="12.75" style="853" customWidth="1"/>
    <col min="24" max="24" width="3.25" style="853" bestFit="1" customWidth="1"/>
    <col min="25" max="25" width="14.5" style="845" customWidth="1"/>
    <col min="26" max="26" width="12.625" style="845" customWidth="1"/>
    <col min="27" max="27" width="13.25" style="845" customWidth="1"/>
    <col min="28" max="31" width="9" style="845" customWidth="1"/>
    <col min="32" max="32" width="9" style="845"/>
    <col min="33" max="33" width="13.375" style="845" customWidth="1"/>
    <col min="34" max="16384" width="9" style="845"/>
  </cols>
  <sheetData>
    <row r="1" spans="1:21" s="813" customFormat="1" ht="24.95" customHeight="1" x14ac:dyDescent="0.15">
      <c r="A1" s="811"/>
      <c r="B1" s="854" t="s">
        <v>2779</v>
      </c>
      <c r="C1" s="811"/>
      <c r="D1" s="811"/>
      <c r="E1" s="811"/>
      <c r="F1" s="814"/>
      <c r="I1" s="1685" t="s">
        <v>114</v>
      </c>
      <c r="J1" s="1698" t="str">
        <f>[4]BOLETIM_SEL!$B$1</f>
        <v>Junho/2023</v>
      </c>
      <c r="K1" s="1615"/>
      <c r="L1" s="2490" t="s">
        <v>445</v>
      </c>
      <c r="M1" s="2490"/>
      <c r="N1" s="1423" t="s">
        <v>707</v>
      </c>
      <c r="O1" s="1423"/>
    </row>
    <row r="2" spans="1:21" s="813" customFormat="1" ht="24.95" customHeight="1" x14ac:dyDescent="0.15">
      <c r="A2" s="817"/>
      <c r="B2" s="460" t="s">
        <v>2780</v>
      </c>
      <c r="C2" s="817"/>
      <c r="D2" s="817"/>
      <c r="E2" s="817"/>
      <c r="F2" s="818"/>
      <c r="I2" s="1685" t="s">
        <v>420</v>
      </c>
      <c r="J2" s="48" t="str">
        <f>[4]BOLETIM_SEL!$D$2</f>
        <v>NÃO DESONERADA</v>
      </c>
      <c r="K2" s="1615"/>
      <c r="L2" s="1836" t="s">
        <v>446</v>
      </c>
      <c r="M2" s="867" t="str">
        <f ca="1">IF(J12=J967,"OK","ERRO")</f>
        <v>OK</v>
      </c>
      <c r="N2" s="848" t="s">
        <v>705</v>
      </c>
      <c r="O2" s="849" t="s">
        <v>706</v>
      </c>
    </row>
    <row r="3" spans="1:21" s="813" customFormat="1" ht="24.95" customHeight="1" x14ac:dyDescent="0.15">
      <c r="A3" s="819"/>
      <c r="B3" s="460"/>
      <c r="C3" s="819"/>
      <c r="D3" s="819"/>
      <c r="E3" s="818"/>
      <c r="F3" s="818"/>
      <c r="H3" s="1685"/>
      <c r="I3" s="1685" t="s">
        <v>270</v>
      </c>
      <c r="J3" s="1696">
        <f>[4]BOLETIM_SEL!$G$3</f>
        <v>1.1544000000000001</v>
      </c>
      <c r="K3" s="1615"/>
      <c r="L3" s="1573"/>
    </row>
    <row r="4" spans="1:21" s="813" customFormat="1" ht="24.95" customHeight="1" x14ac:dyDescent="0.15">
      <c r="B4" s="866"/>
      <c r="C4" s="875"/>
      <c r="E4" s="815"/>
      <c r="F4" s="820"/>
      <c r="I4" s="1685" t="s">
        <v>269</v>
      </c>
      <c r="J4" s="1696">
        <f>[4]BOLETIM_SEL!$G$4</f>
        <v>0.71260000000000001</v>
      </c>
      <c r="K4" s="1615"/>
      <c r="L4" s="1573"/>
    </row>
    <row r="5" spans="1:21" s="813" customFormat="1" ht="24.95" customHeight="1" x14ac:dyDescent="0.15">
      <c r="A5" s="822"/>
      <c r="B5" s="866" t="s">
        <v>30</v>
      </c>
      <c r="C5" s="875" t="s">
        <v>2672</v>
      </c>
      <c r="D5" s="895"/>
      <c r="E5" s="895"/>
      <c r="F5" s="895"/>
      <c r="I5" s="1685" t="s">
        <v>421</v>
      </c>
      <c r="J5" s="1697">
        <v>0.20699999999999999</v>
      </c>
      <c r="K5" s="1615"/>
      <c r="L5" s="1573"/>
    </row>
    <row r="6" spans="1:21" s="813" customFormat="1" ht="24.95" customHeight="1" x14ac:dyDescent="0.15">
      <c r="A6" s="822"/>
      <c r="B6" s="866" t="s">
        <v>220</v>
      </c>
      <c r="C6" s="875" t="s">
        <v>2785</v>
      </c>
      <c r="D6" s="822"/>
      <c r="E6" s="823"/>
      <c r="F6" s="823"/>
      <c r="I6" s="1685" t="s">
        <v>940</v>
      </c>
      <c r="J6" s="2110">
        <v>0.1527</v>
      </c>
      <c r="K6" s="1615"/>
      <c r="L6" s="1573"/>
    </row>
    <row r="7" spans="1:21" s="813" customFormat="1" ht="24.95" customHeight="1" x14ac:dyDescent="0.15">
      <c r="A7" s="822"/>
      <c r="B7" s="866" t="s">
        <v>2673</v>
      </c>
      <c r="C7" s="875" t="s">
        <v>2781</v>
      </c>
      <c r="D7" s="822"/>
      <c r="E7" s="824"/>
      <c r="F7" s="824"/>
      <c r="G7" s="820"/>
      <c r="K7" s="1616"/>
      <c r="L7" s="1573"/>
      <c r="Q7" s="2028"/>
    </row>
    <row r="8" spans="1:21" s="813" customFormat="1" ht="24.95" customHeight="1" x14ac:dyDescent="0.15">
      <c r="A8" s="825"/>
      <c r="B8" s="866" t="s">
        <v>999</v>
      </c>
      <c r="C8" s="875" t="s">
        <v>2786</v>
      </c>
      <c r="D8" s="822"/>
      <c r="E8" s="825"/>
      <c r="F8" s="825"/>
      <c r="G8" s="821"/>
      <c r="K8" s="815"/>
      <c r="L8" s="1687"/>
    </row>
    <row r="9" spans="1:21" s="813" customFormat="1" ht="24.95" customHeight="1" x14ac:dyDescent="0.15">
      <c r="A9" s="825"/>
      <c r="B9" s="866"/>
      <c r="C9" s="875"/>
      <c r="D9" s="822"/>
      <c r="E9" s="825"/>
      <c r="F9" s="825"/>
      <c r="G9" s="821"/>
      <c r="K9" s="815"/>
      <c r="L9" s="1687"/>
    </row>
    <row r="10" spans="1:21" s="813" customFormat="1" ht="24.95" customHeight="1" x14ac:dyDescent="0.15">
      <c r="A10" s="826"/>
      <c r="B10" s="826"/>
      <c r="C10" s="812"/>
      <c r="D10" s="2090" t="s">
        <v>2445</v>
      </c>
      <c r="E10" s="826"/>
      <c r="F10" s="826"/>
      <c r="G10" s="827"/>
      <c r="J10" s="2028"/>
      <c r="K10" s="815"/>
      <c r="L10" s="1573"/>
    </row>
    <row r="11" spans="1:21" s="813" customFormat="1" ht="24.95" customHeight="1" thickBot="1" x14ac:dyDescent="0.2">
      <c r="A11" s="825"/>
      <c r="C11" s="825"/>
      <c r="D11" s="825"/>
      <c r="E11" s="825"/>
      <c r="F11" s="825"/>
      <c r="G11" s="821"/>
      <c r="J11" s="2346"/>
      <c r="K11" s="815"/>
      <c r="L11" s="1687"/>
    </row>
    <row r="12" spans="1:21" s="833" customFormat="1" ht="30" customHeight="1" thickTop="1" thickBot="1" x14ac:dyDescent="0.2">
      <c r="A12" s="826"/>
      <c r="B12" s="1682" t="s">
        <v>31</v>
      </c>
      <c r="C12" s="2494" t="s">
        <v>38</v>
      </c>
      <c r="D12" s="2495"/>
      <c r="E12" s="2495"/>
      <c r="F12" s="2495"/>
      <c r="G12" s="2495"/>
      <c r="H12" s="666" t="s">
        <v>336</v>
      </c>
      <c r="I12" s="830" t="s">
        <v>33</v>
      </c>
      <c r="J12" s="2123">
        <f ca="1">SUM(J13:J32)</f>
        <v>13400657.84</v>
      </c>
      <c r="K12" s="1632">
        <f ca="1">SUM(K13:K32)</f>
        <v>0.99999999999999956</v>
      </c>
      <c r="L12" s="1683" t="s">
        <v>1965</v>
      </c>
      <c r="M12" s="1684" t="s">
        <v>200</v>
      </c>
      <c r="N12" s="205" t="s">
        <v>2031</v>
      </c>
      <c r="O12" s="1960"/>
      <c r="S12" s="2345">
        <f ca="1">+J12/H25</f>
        <v>236.64083005289899</v>
      </c>
      <c r="U12" s="842"/>
    </row>
    <row r="13" spans="1:21" s="3" customFormat="1" ht="24.95" customHeight="1" thickTop="1" x14ac:dyDescent="0.15">
      <c r="B13" s="1670">
        <f>A35</f>
        <v>1</v>
      </c>
      <c r="C13" s="1671" t="str">
        <f>D35</f>
        <v>SERVIÇOS PRELIMINARES</v>
      </c>
      <c r="E13" s="1675"/>
      <c r="F13" s="2020"/>
      <c r="G13" s="1670"/>
      <c r="H13" s="1672">
        <f>H36</f>
        <v>8</v>
      </c>
      <c r="I13" s="894" t="str">
        <f>F36</f>
        <v>M2</v>
      </c>
      <c r="J13" s="1673">
        <f ca="1">J35</f>
        <v>332993.23000000004</v>
      </c>
      <c r="K13" s="1674">
        <f ca="1">K35</f>
        <v>2.4849021143278437E-2</v>
      </c>
      <c r="L13" s="1679" t="str">
        <f ca="1">IF(SUBTOTAL(109,J36:J63)=J13,"OK","ERRO")</f>
        <v>OK</v>
      </c>
      <c r="M13" s="1680" t="str">
        <f t="shared" ref="M13:M32" ca="1" si="0">IF(K13=J13/J$967,"OK","ERRO")</f>
        <v>OK</v>
      </c>
      <c r="N13" s="1764">
        <f>S_Preliminares!N4</f>
        <v>12</v>
      </c>
      <c r="O13" s="205"/>
      <c r="S13" s="868"/>
    </row>
    <row r="14" spans="1:21" s="3" customFormat="1" ht="24.95" customHeight="1" x14ac:dyDescent="0.15">
      <c r="B14" s="1670">
        <f ca="1">A64</f>
        <v>2</v>
      </c>
      <c r="C14" s="1671" t="str">
        <f>D64</f>
        <v>REMOÇÕES, DEMOLIÇÕES E SUPRESSÕES</v>
      </c>
      <c r="E14" s="1675"/>
      <c r="F14" s="2020"/>
      <c r="G14" s="1677"/>
      <c r="H14" s="1677">
        <f>+H74</f>
        <v>3859.97</v>
      </c>
      <c r="I14" s="894" t="str">
        <f>+F74</f>
        <v>M</v>
      </c>
      <c r="J14" s="1673">
        <f ca="1">J64</f>
        <v>171560.66999999998</v>
      </c>
      <c r="K14" s="1674">
        <f ca="1">K64</f>
        <v>1.2802406572004522E-2</v>
      </c>
      <c r="L14" s="1679" t="str">
        <f ca="1">IF(SUBTOTAL(109,J65:J98)=J14,"OK","ERRO")</f>
        <v>OK</v>
      </c>
      <c r="M14" s="1680" t="str">
        <f t="shared" ca="1" si="0"/>
        <v>OK</v>
      </c>
      <c r="N14" s="1764">
        <f ca="1">ROUND(SUM(O65:O74)/240,0)</f>
        <v>3</v>
      </c>
      <c r="O14" s="1678"/>
      <c r="S14" s="2269"/>
    </row>
    <row r="15" spans="1:21" s="3" customFormat="1" ht="24.95" customHeight="1" x14ac:dyDescent="0.15">
      <c r="B15" s="1670">
        <f ca="1">A100</f>
        <v>3</v>
      </c>
      <c r="C15" s="1671" t="str">
        <f>D100</f>
        <v>MICRODRENAGEM - TERRAPLENAGEM</v>
      </c>
      <c r="E15" s="1675"/>
      <c r="F15" s="2020"/>
      <c r="G15" s="2496" t="s">
        <v>444</v>
      </c>
      <c r="H15" s="1677">
        <f ca="1">SUM(H104:H123)+H125</f>
        <v>9888.66</v>
      </c>
      <c r="I15" s="894" t="str">
        <f>F104</f>
        <v>M3</v>
      </c>
      <c r="J15" s="1673">
        <f ca="1">J100</f>
        <v>661714.53999999992</v>
      </c>
      <c r="K15" s="1674">
        <f ca="1">K100</f>
        <v>4.9379257936489465E-2</v>
      </c>
      <c r="L15" s="1681" t="str">
        <f ca="1">IF(SUBTOTAL(109,J101:J181)=J15,"OK","ERRO")</f>
        <v>OK</v>
      </c>
      <c r="M15" s="1680" t="str">
        <f t="shared" ca="1" si="0"/>
        <v>OK</v>
      </c>
      <c r="N15" s="1764">
        <f ca="1">ROUND(SUM(O104:O125)/240,0)</f>
        <v>3</v>
      </c>
      <c r="S15" s="868"/>
    </row>
    <row r="16" spans="1:21" s="3" customFormat="1" ht="24.95" customHeight="1" x14ac:dyDescent="0.15">
      <c r="B16" s="1670">
        <f ca="1">A183</f>
        <v>4</v>
      </c>
      <c r="C16" s="1671" t="str">
        <f>D183</f>
        <v>MICRODRENAGEM - GALERIAS</v>
      </c>
      <c r="E16" s="1675"/>
      <c r="F16" s="2020"/>
      <c r="G16" s="2496"/>
      <c r="H16" s="1672">
        <f ca="1">SUM(H196:H216)+SUM(H235:H241)</f>
        <v>2926.8700000000003</v>
      </c>
      <c r="I16" s="894" t="str">
        <f>F196</f>
        <v>M</v>
      </c>
      <c r="J16" s="1673">
        <f ca="1">J183</f>
        <v>1133647.6500000001</v>
      </c>
      <c r="K16" s="1674">
        <f ca="1">K183</f>
        <v>8.4596417842722843E-2</v>
      </c>
      <c r="L16" s="1679" t="str">
        <f ca="1">IF(SUBTOTAL(109,J184:J242)=J16,"OK","ERRO")</f>
        <v>OK</v>
      </c>
      <c r="M16" s="1680" t="str">
        <f t="shared" ca="1" si="0"/>
        <v>OK</v>
      </c>
      <c r="N16" s="1764">
        <f ca="1">ROUND(SUM(O196:O242)/240,0)</f>
        <v>5</v>
      </c>
      <c r="S16" s="868"/>
    </row>
    <row r="17" spans="2:21" s="3" customFormat="1" ht="24.95" customHeight="1" x14ac:dyDescent="0.15">
      <c r="B17" s="1670">
        <f ca="1">A244</f>
        <v>5</v>
      </c>
      <c r="C17" s="1671" t="str">
        <f>D244</f>
        <v>MICRODRENAGEM - DISPOSITIVOS AUXILIARES</v>
      </c>
      <c r="E17" s="1675"/>
      <c r="F17" s="2020"/>
      <c r="G17" s="2496"/>
      <c r="H17" s="1672">
        <f>SUM(H245:H251)+SUM(H261:H281)</f>
        <v>110</v>
      </c>
      <c r="I17" s="894" t="str">
        <f>+F245</f>
        <v>UN</v>
      </c>
      <c r="J17" s="1673">
        <f ca="1">J244</f>
        <v>731704.34999999986</v>
      </c>
      <c r="K17" s="1674">
        <f ca="1">K244</f>
        <v>5.4602121682109872E-2</v>
      </c>
      <c r="L17" s="1679" t="str">
        <f ca="1">IF(SUBTOTAL(109,J245:J292)=J17,"OK","ERRO")</f>
        <v>OK</v>
      </c>
      <c r="M17" s="1680" t="str">
        <f t="shared" ca="1" si="0"/>
        <v>OK</v>
      </c>
      <c r="N17" s="1764">
        <f ca="1">ROUND(SUM(O245:O271)/240,0)</f>
        <v>6</v>
      </c>
      <c r="S17" s="868"/>
    </row>
    <row r="18" spans="2:21" s="3" customFormat="1" ht="24.95" hidden="1" customHeight="1" x14ac:dyDescent="0.15">
      <c r="B18" s="1670">
        <f ca="1">A294</f>
        <v>5</v>
      </c>
      <c r="C18" s="1671" t="str">
        <f>D294</f>
        <v>MICRODRENAGEM - SERVIÇOS DE ESTRUTURAS</v>
      </c>
      <c r="E18" s="1675"/>
      <c r="F18" s="2020"/>
      <c r="G18" s="2496"/>
      <c r="H18" s="1677">
        <f>SUM(H299:H300)</f>
        <v>0</v>
      </c>
      <c r="I18" s="894" t="str">
        <f>F299</f>
        <v>M3</v>
      </c>
      <c r="J18" s="1673">
        <f>J294</f>
        <v>0</v>
      </c>
      <c r="K18" s="1674">
        <f ca="1">K294</f>
        <v>0</v>
      </c>
      <c r="L18" s="1681" t="str">
        <f>IF(SUBTOTAL(109,J295:J312)=J18,"OK","ERRO")</f>
        <v>OK</v>
      </c>
      <c r="M18" s="1680" t="str">
        <f t="shared" ca="1" si="0"/>
        <v>OK</v>
      </c>
      <c r="N18" s="1764"/>
    </row>
    <row r="19" spans="2:21" s="3" customFormat="1" ht="24.95" hidden="1" customHeight="1" x14ac:dyDescent="0.15">
      <c r="B19" s="1670">
        <f ca="1">A314</f>
        <v>5</v>
      </c>
      <c r="C19" s="1671" t="str">
        <f>D314</f>
        <v>MICRODRENAGEM - BACIA DE AMORTECIMENTO</v>
      </c>
      <c r="E19" s="1675"/>
      <c r="F19" s="2020"/>
      <c r="G19" s="2496"/>
      <c r="H19" s="1677">
        <f>SUM(H323:H324)</f>
        <v>0</v>
      </c>
      <c r="I19" s="894" t="str">
        <f>F323</f>
        <v>M3</v>
      </c>
      <c r="J19" s="1673">
        <f>J314</f>
        <v>0</v>
      </c>
      <c r="K19" s="1674">
        <f ca="1">K314</f>
        <v>0</v>
      </c>
      <c r="L19" s="1681" t="str">
        <f>IF(SUBTOTAL(109,J316:J411)=J19,"OK","ERRO")</f>
        <v>OK</v>
      </c>
      <c r="M19" s="1680" t="str">
        <f t="shared" ca="1" si="0"/>
        <v>OK</v>
      </c>
      <c r="N19" s="1764">
        <f>ROUND(O323/240,0)</f>
        <v>0</v>
      </c>
    </row>
    <row r="20" spans="2:21" s="3" customFormat="1" ht="24.95" hidden="1" customHeight="1" x14ac:dyDescent="0.15">
      <c r="B20" s="1670">
        <f ca="1">A413</f>
        <v>5</v>
      </c>
      <c r="C20" s="1671" t="str">
        <f>D413</f>
        <v>DRENAGEM DE LENÇOL FREÁTICO</v>
      </c>
      <c r="E20" s="1675"/>
      <c r="F20" s="2020"/>
      <c r="G20" s="2496"/>
      <c r="H20" s="1672">
        <f>Dre_Profunda!I3+Dre_Profunda!I15</f>
        <v>0</v>
      </c>
      <c r="I20" s="894" t="str">
        <f>F414</f>
        <v>M</v>
      </c>
      <c r="J20" s="1673">
        <f>J413</f>
        <v>0</v>
      </c>
      <c r="K20" s="1674">
        <f ca="1">K413</f>
        <v>0</v>
      </c>
      <c r="L20" s="1679" t="str">
        <f>IF(SUBTOTAL(109,J414:J446)=J20,"OK","ERRO")</f>
        <v>OK</v>
      </c>
      <c r="M20" s="1680" t="str">
        <f t="shared" ca="1" si="0"/>
        <v>OK</v>
      </c>
      <c r="N20" s="1764">
        <f>ROUND(O416/240,0)</f>
        <v>0</v>
      </c>
    </row>
    <row r="21" spans="2:21" s="3" customFormat="1" ht="24.95" customHeight="1" x14ac:dyDescent="0.15">
      <c r="B21" s="1670">
        <f ca="1">A448</f>
        <v>6</v>
      </c>
      <c r="C21" s="1671" t="str">
        <f>D448</f>
        <v>MICRODRENAGEM - RECOMPOSIÇÃO DO PAVIMENTO</v>
      </c>
      <c r="E21" s="1675"/>
      <c r="F21" s="2020"/>
      <c r="G21" s="2496"/>
      <c r="H21" s="1672">
        <f ca="1">H460</f>
        <v>182.08</v>
      </c>
      <c r="I21" s="894" t="str">
        <f>F460</f>
        <v>M2</v>
      </c>
      <c r="J21" s="1673">
        <f ca="1">J448</f>
        <v>19737.57</v>
      </c>
      <c r="K21" s="1674">
        <f ca="1">K448</f>
        <v>1.4728806776250019E-3</v>
      </c>
      <c r="L21" s="1679" t="str">
        <f ca="1">IF(SUBTOTAL(109,J449:J504)=J21,"OK","ERRO")</f>
        <v>OK</v>
      </c>
      <c r="M21" s="1680" t="str">
        <f t="shared" ca="1" si="0"/>
        <v>OK</v>
      </c>
      <c r="N21" s="1764">
        <f>ROUND(SUM(O414:O423)/240,0)</f>
        <v>0</v>
      </c>
    </row>
    <row r="22" spans="2:21" s="3" customFormat="1" ht="24.95" hidden="1" customHeight="1" x14ac:dyDescent="0.15">
      <c r="B22" s="1670">
        <f ca="1">A506</f>
        <v>6</v>
      </c>
      <c r="C22" s="1671" t="str">
        <f>D506</f>
        <v>RESTAURAÇÃO DO PAVIMENTO - RECUPERAÇÃO PRÉVIA DO PAVIMENTO</v>
      </c>
      <c r="E22" s="1675"/>
      <c r="F22" s="2020"/>
      <c r="G22" s="2496"/>
      <c r="H22" s="1677">
        <f>H532+H533</f>
        <v>0</v>
      </c>
      <c r="I22" s="894" t="str">
        <f>F532</f>
        <v>M2</v>
      </c>
      <c r="J22" s="1673">
        <f>J506</f>
        <v>0</v>
      </c>
      <c r="K22" s="1674">
        <f ca="1">K506</f>
        <v>0</v>
      </c>
      <c r="L22" s="1681" t="str">
        <f>IF(SUBTOTAL(109,J507:J580)=J22,"OK","ERRO")</f>
        <v>OK</v>
      </c>
      <c r="M22" s="1680" t="str">
        <f t="shared" ca="1" si="0"/>
        <v>OK</v>
      </c>
      <c r="N22" s="1764"/>
    </row>
    <row r="23" spans="2:21" s="3" customFormat="1" ht="24.95" hidden="1" customHeight="1" x14ac:dyDescent="0.15">
      <c r="B23" s="1670">
        <f ca="1">A582</f>
        <v>6</v>
      </c>
      <c r="C23" s="1671" t="str">
        <f>D582</f>
        <v>RESTAURAÇÃO DO PAVIMENTO - RECAPEAMENTO ASFÁLTICO</v>
      </c>
      <c r="E23" s="1675"/>
      <c r="F23" s="2020"/>
      <c r="G23" s="2496"/>
      <c r="H23" s="1672">
        <f>H587</f>
        <v>0</v>
      </c>
      <c r="I23" s="894" t="str">
        <f>F587</f>
        <v>M2</v>
      </c>
      <c r="J23" s="1673">
        <f>J582</f>
        <v>0</v>
      </c>
      <c r="K23" s="1674">
        <f ca="1">K582</f>
        <v>0</v>
      </c>
      <c r="L23" s="1679" t="str">
        <f>IF(SUBTOTAL(109,J583:J622)=J23,"OK","ERRO")</f>
        <v>OK</v>
      </c>
      <c r="M23" s="1680" t="str">
        <f t="shared" ca="1" si="0"/>
        <v>OK</v>
      </c>
      <c r="N23" s="1764"/>
    </row>
    <row r="24" spans="2:21" s="3" customFormat="1" ht="24.95" customHeight="1" x14ac:dyDescent="0.15">
      <c r="B24" s="1670">
        <f ca="1">A624</f>
        <v>7</v>
      </c>
      <c r="C24" s="1671" t="str">
        <f>D624</f>
        <v>IMPLANTAÇÃO ASFÁLTICA - TERRAPLENAGEM</v>
      </c>
      <c r="E24" s="1675"/>
      <c r="F24" s="2020"/>
      <c r="G24" s="2496"/>
      <c r="H24" s="1677">
        <f>H626+H627++H630</f>
        <v>11025.85</v>
      </c>
      <c r="I24" s="894" t="str">
        <f>F626</f>
        <v>M3</v>
      </c>
      <c r="J24" s="1673">
        <f>J624</f>
        <v>306380.45999999996</v>
      </c>
      <c r="K24" s="1674">
        <f ca="1">K624</f>
        <v>2.2863091025686535E-2</v>
      </c>
      <c r="L24" s="1681" t="str">
        <f>IF(SUBTOTAL(109,J625:J643)=J24,"OK","ERRO")</f>
        <v>OK</v>
      </c>
      <c r="M24" s="1680" t="str">
        <f t="shared" ca="1" si="0"/>
        <v>OK</v>
      </c>
      <c r="N24" s="1764">
        <f>ROUND(O626/240,0)</f>
        <v>1</v>
      </c>
    </row>
    <row r="25" spans="2:21" s="3" customFormat="1" ht="24.95" customHeight="1" x14ac:dyDescent="0.15">
      <c r="B25" s="1670">
        <f ca="1">A645</f>
        <v>8</v>
      </c>
      <c r="C25" s="1671" t="str">
        <f>D645</f>
        <v>IMPLANTAÇÃO ASFÁLTICA - PAVIMENTAÇÃO</v>
      </c>
      <c r="E25" s="1675"/>
      <c r="F25" s="2020"/>
      <c r="G25" s="2496"/>
      <c r="H25" s="1672">
        <f>H655</f>
        <v>56628.68</v>
      </c>
      <c r="I25" s="894" t="str">
        <f>F655</f>
        <v>M2</v>
      </c>
      <c r="J25" s="1673">
        <f>J645</f>
        <v>7068471.54</v>
      </c>
      <c r="K25" s="1674">
        <f ca="1">K645</f>
        <v>0.52747198118148486</v>
      </c>
      <c r="L25" s="1679" t="str">
        <f>IF(SUBTOTAL(109,J646:J717)=J25,"OK","ERRO")</f>
        <v>OK</v>
      </c>
      <c r="M25" s="1680" t="str">
        <f t="shared" ca="1" si="0"/>
        <v>OK</v>
      </c>
      <c r="N25" s="1764">
        <f>ROUND(O646/240,0)</f>
        <v>2</v>
      </c>
      <c r="Q25" s="868"/>
      <c r="S25" s="2269"/>
      <c r="U25" s="2269"/>
    </row>
    <row r="26" spans="2:21" s="3" customFormat="1" ht="24.95" customHeight="1" x14ac:dyDescent="0.15">
      <c r="B26" s="1670">
        <f ca="1">A719</f>
        <v>9</v>
      </c>
      <c r="C26" s="1671" t="str">
        <f>D719</f>
        <v>SERVIÇOS COMPLEMENTARES</v>
      </c>
      <c r="E26" s="1675"/>
      <c r="F26" s="2020"/>
      <c r="G26" s="2496"/>
      <c r="H26" s="1677">
        <f ca="1">SUM(H720:H726)</f>
        <v>14501.96</v>
      </c>
      <c r="I26" s="894" t="str">
        <f>F720</f>
        <v>M</v>
      </c>
      <c r="J26" s="1673">
        <f ca="1">J719</f>
        <v>988204.42</v>
      </c>
      <c r="K26" s="1674">
        <f ca="1">K719</f>
        <v>7.374297827754997E-2</v>
      </c>
      <c r="L26" s="1681" t="str">
        <f ca="1">IF(SUBTOTAL(109,J720:J750)=J26,"OK","ERRO")</f>
        <v>OK</v>
      </c>
      <c r="M26" s="1680" t="str">
        <f t="shared" ca="1" si="0"/>
        <v>OK</v>
      </c>
      <c r="N26" s="1764">
        <f ca="1">ROUND(SUM(O720:O726)/240,0)</f>
        <v>5</v>
      </c>
      <c r="O26" s="205"/>
      <c r="U26" s="2269"/>
    </row>
    <row r="27" spans="2:21" s="3" customFormat="1" ht="24.95" customHeight="1" x14ac:dyDescent="0.15">
      <c r="B27" s="1670">
        <f ca="1">A752</f>
        <v>10</v>
      </c>
      <c r="C27" s="1671" t="str">
        <f>D752</f>
        <v>PASSEIO COM ACESSIBILIDADE</v>
      </c>
      <c r="E27" s="1675"/>
      <c r="F27" s="2020"/>
      <c r="G27" s="2496"/>
      <c r="H27" s="1672">
        <f>H759</f>
        <v>15489.17</v>
      </c>
      <c r="I27" s="894" t="str">
        <f>F759</f>
        <v>M2</v>
      </c>
      <c r="J27" s="1673">
        <f>J752</f>
        <v>1060978.94</v>
      </c>
      <c r="K27" s="1674">
        <f ca="1">K752</f>
        <v>7.9173646000650341E-2</v>
      </c>
      <c r="L27" s="1681" t="str">
        <f>IF(SUBTOTAL(109,J753:J794)=J27,"OK","ERRO")</f>
        <v>OK</v>
      </c>
      <c r="M27" s="1680" t="str">
        <f t="shared" ca="1" si="0"/>
        <v>OK</v>
      </c>
      <c r="N27" s="1764">
        <f>ROUND(SUM(O759:O763)/240,0)</f>
        <v>1</v>
      </c>
      <c r="O27" s="1678"/>
      <c r="S27" s="868"/>
    </row>
    <row r="28" spans="2:21" s="3" customFormat="1" ht="24.95" hidden="1" customHeight="1" x14ac:dyDescent="0.15">
      <c r="B28" s="1670">
        <f ca="1">A796</f>
        <v>10</v>
      </c>
      <c r="C28" s="1671" t="str">
        <f>D796</f>
        <v>PARADA DE ÔNIBUS - PAVIMENTO RÍGIDO E PLATAFORMA</v>
      </c>
      <c r="E28" s="1675"/>
      <c r="F28" s="2020"/>
      <c r="G28" s="2497"/>
      <c r="H28" s="1672">
        <f>COUNTA(Ponto_Onibus!F2:H2)</f>
        <v>0</v>
      </c>
      <c r="I28" s="894" t="s">
        <v>525</v>
      </c>
      <c r="J28" s="1673">
        <f>J796</f>
        <v>0</v>
      </c>
      <c r="K28" s="1674">
        <f ca="1">K796</f>
        <v>0</v>
      </c>
      <c r="L28" s="1679" t="str">
        <f>IF(SUBTOTAL(109,J797:J831)=J28,"OK","ERRO")</f>
        <v>OK</v>
      </c>
      <c r="M28" s="1680" t="str">
        <f t="shared" ca="1" si="0"/>
        <v>OK</v>
      </c>
      <c r="N28" s="1764"/>
      <c r="O28" s="205"/>
    </row>
    <row r="29" spans="2:21" s="3" customFormat="1" ht="24.95" hidden="1" customHeight="1" x14ac:dyDescent="0.15">
      <c r="B29" s="1670">
        <f ca="1">A833</f>
        <v>10</v>
      </c>
      <c r="C29" s="1671" t="str">
        <f>D833</f>
        <v>IMPLANTAÇÃO / ADEQUAÇÃO GEOMÉTRICA DE CICLOVIA</v>
      </c>
      <c r="E29" s="1675"/>
      <c r="F29" s="2020"/>
      <c r="G29" s="205"/>
      <c r="H29" s="1677">
        <f>Ciclovia!J2</f>
        <v>0</v>
      </c>
      <c r="I29" s="894" t="s">
        <v>956</v>
      </c>
      <c r="J29" s="1673">
        <f>J833</f>
        <v>0</v>
      </c>
      <c r="K29" s="1674">
        <f ca="1">K833</f>
        <v>0</v>
      </c>
      <c r="L29" s="1681" t="str">
        <f>IF(SUBTOTAL(109,J834:J893)=J29,"OK","ERRO")</f>
        <v>OK</v>
      </c>
      <c r="M29" s="1680" t="str">
        <f t="shared" ca="1" si="0"/>
        <v>OK</v>
      </c>
      <c r="N29" s="1764">
        <f>ROUND(SUM(O835:O857)/240,0)</f>
        <v>0</v>
      </c>
      <c r="O29" s="205"/>
    </row>
    <row r="30" spans="2:21" s="3" customFormat="1" ht="24.95" customHeight="1" x14ac:dyDescent="0.15">
      <c r="B30" s="1670">
        <f ca="1">A895</f>
        <v>11</v>
      </c>
      <c r="C30" s="1671" t="str">
        <f>D895</f>
        <v>SINALIZAÇÃO VIÁRIA DEFINITIVA HORIZONTAL E VERTICAL E DISPOSITIVOS DE SEGURANÇA</v>
      </c>
      <c r="E30" s="1675"/>
      <c r="F30" s="2020"/>
      <c r="G30" s="205"/>
      <c r="H30" s="1677">
        <f>SUM(H896:H906)</f>
        <v>1067.4099999999999</v>
      </c>
      <c r="I30" s="894" t="str">
        <f>F896</f>
        <v>M2</v>
      </c>
      <c r="J30" s="1673">
        <f>J895</f>
        <v>299266.14</v>
      </c>
      <c r="K30" s="1674">
        <f ca="1">K895</f>
        <v>2.2332197685602569E-2</v>
      </c>
      <c r="L30" s="1679" t="str">
        <f>IF(SUBTOTAL(109,J896:J923)=J30,"OK","ERRO")</f>
        <v>OK</v>
      </c>
      <c r="M30" s="1680" t="str">
        <f t="shared" ca="1" si="0"/>
        <v>OK</v>
      </c>
      <c r="N30" s="1764"/>
      <c r="O30" s="205"/>
      <c r="U30" s="868"/>
    </row>
    <row r="31" spans="2:21" s="3" customFormat="1" ht="24.95" customHeight="1" x14ac:dyDescent="0.15">
      <c r="B31" s="1670">
        <f ca="1">A925</f>
        <v>12</v>
      </c>
      <c r="C31" s="1671" t="str">
        <f>D925</f>
        <v>ADMINISTRAÇÃO LOCAL</v>
      </c>
      <c r="E31" s="1675"/>
      <c r="F31" s="2020"/>
      <c r="G31" s="1670"/>
      <c r="H31" s="1672">
        <f>S_Preliminares!N4</f>
        <v>12</v>
      </c>
      <c r="I31" s="894" t="s">
        <v>1958</v>
      </c>
      <c r="J31" s="1673">
        <f>J925</f>
        <v>625998.32999999996</v>
      </c>
      <c r="K31" s="1674">
        <f ca="1">K925</f>
        <v>4.6713999974795251E-2</v>
      </c>
      <c r="L31" s="1679" t="str">
        <f>IF(SUBTOTAL(109,J926:J926)=J31,"OK","ERRO")</f>
        <v>OK</v>
      </c>
      <c r="M31" s="1680" t="str">
        <f t="shared" ca="1" si="0"/>
        <v>OK</v>
      </c>
      <c r="N31" s="1764"/>
      <c r="O31" s="1678"/>
    </row>
    <row r="32" spans="2:21" s="3" customFormat="1" ht="24.95" hidden="1" customHeight="1" x14ac:dyDescent="0.15">
      <c r="B32" s="1670">
        <f ca="1">A928</f>
        <v>12</v>
      </c>
      <c r="C32" s="1671" t="str">
        <f>D928</f>
        <v>SERVIÇOS DE ENGENHARIA</v>
      </c>
      <c r="E32" s="1675"/>
      <c r="F32" s="2020"/>
      <c r="G32" s="205"/>
      <c r="H32" s="1677">
        <f>H948+H955</f>
        <v>0</v>
      </c>
      <c r="I32" s="894" t="str">
        <f>F948</f>
        <v>m²</v>
      </c>
      <c r="J32" s="1673">
        <f>J928</f>
        <v>0</v>
      </c>
      <c r="K32" s="1674">
        <f ca="1">K928</f>
        <v>0</v>
      </c>
      <c r="L32" s="1681" t="str">
        <f>IF(SUBTOTAL(109,J929:J965)=J32,"OK","ERRO")</f>
        <v>OK</v>
      </c>
      <c r="M32" s="1680" t="str">
        <f t="shared" ca="1" si="0"/>
        <v>OK</v>
      </c>
      <c r="N32" s="1764"/>
      <c r="O32" s="205"/>
    </row>
    <row r="33" spans="1:25" s="833" customFormat="1" ht="24.95" customHeight="1" thickBot="1" x14ac:dyDescent="0.2">
      <c r="A33" s="892"/>
      <c r="C33" s="846"/>
      <c r="D33" s="822"/>
      <c r="E33" s="893"/>
      <c r="F33" s="893"/>
      <c r="G33" s="816"/>
      <c r="H33" s="907"/>
      <c r="I33" s="905"/>
      <c r="J33" s="906"/>
      <c r="K33" s="1618"/>
      <c r="L33" s="1681"/>
      <c r="M33" s="1680"/>
      <c r="N33" s="816"/>
      <c r="O33" s="816"/>
    </row>
    <row r="34" spans="1:25" s="833" customFormat="1" ht="50.1" customHeight="1" thickTop="1" thickBot="1" x14ac:dyDescent="0.2">
      <c r="A34" s="828" t="s">
        <v>31</v>
      </c>
      <c r="B34" s="829" t="s">
        <v>186</v>
      </c>
      <c r="C34" s="829" t="s">
        <v>187</v>
      </c>
      <c r="D34" s="830" t="s">
        <v>40</v>
      </c>
      <c r="E34" s="830" t="s">
        <v>32</v>
      </c>
      <c r="F34" s="830" t="s">
        <v>33</v>
      </c>
      <c r="G34" s="1813" t="s">
        <v>443</v>
      </c>
      <c r="H34" s="666" t="s">
        <v>336</v>
      </c>
      <c r="I34" s="831" t="s">
        <v>665</v>
      </c>
      <c r="J34" s="831" t="s">
        <v>666</v>
      </c>
      <c r="K34" s="832" t="s">
        <v>34</v>
      </c>
      <c r="L34" s="1631"/>
      <c r="M34" s="1588" t="s">
        <v>441</v>
      </c>
    </row>
    <row r="35" spans="1:25" s="833" customFormat="1" ht="24.95" customHeight="1" thickTop="1" x14ac:dyDescent="0.15">
      <c r="A35" s="2080">
        <v>1</v>
      </c>
      <c r="B35" s="1633"/>
      <c r="C35" s="1633"/>
      <c r="D35" s="1634" t="s">
        <v>35</v>
      </c>
      <c r="E35" s="1828"/>
      <c r="F35" s="1635"/>
      <c r="G35" s="1820" t="s">
        <v>644</v>
      </c>
      <c r="H35" s="1637"/>
      <c r="I35" s="1638" t="str">
        <f>CONCATENATE("SUB-TOTAL ",A35)</f>
        <v>SUB-TOTAL 1</v>
      </c>
      <c r="J35" s="1639">
        <f ca="1">SUM(J36:J62)</f>
        <v>332993.23000000004</v>
      </c>
      <c r="K35" s="2077">
        <f t="shared" ref="K35:K58" ca="1" si="1">J35/J$967</f>
        <v>2.4849021143278437E-2</v>
      </c>
      <c r="L35" s="1610">
        <f t="shared" ref="L35:L58" ca="1" si="2">J35/J$35</f>
        <v>1</v>
      </c>
      <c r="O35" s="813"/>
      <c r="P35" s="813"/>
      <c r="Q35" s="813"/>
      <c r="R35" s="813"/>
      <c r="S35" s="813"/>
      <c r="T35" s="813"/>
      <c r="U35" s="813"/>
      <c r="V35" s="813"/>
      <c r="W35" s="813"/>
      <c r="X35" s="813"/>
      <c r="Y35" s="813"/>
    </row>
    <row r="36" spans="1:25" s="813" customFormat="1" ht="39.950000000000003" customHeight="1" x14ac:dyDescent="0.15">
      <c r="A36" s="2081">
        <f t="shared" ref="A36:A58" si="3">IF(H36&gt;0,A35+0.01,A35)</f>
        <v>1.01</v>
      </c>
      <c r="B36" s="834" t="s">
        <v>1651</v>
      </c>
      <c r="C36" s="2" t="str">
        <f>VLOOKUP($B36,[4]BOLETIM_SEL!$A:$H,2,0)</f>
        <v>COMPOSIÇÃO</v>
      </c>
      <c r="D36" s="315" t="str">
        <f>VLOOKUP($B36,[4]BOLETIM_SEL!$A:$H,4,0)</f>
        <v>Placa de identificação de obra pública, inclusive pintura e adesivos, estrutura e suporte de madeira. Incluso fornecimento de material e instalação. Ref SINAPI, CÓD 74209/001, DB 01/2020</v>
      </c>
      <c r="E36" s="2"/>
      <c r="F36" s="2" t="str">
        <f>VLOOKUP($B36,[4]BOLETIM_SEL!$A:$H,6,0)</f>
        <v>M2</v>
      </c>
      <c r="G36" s="1407">
        <f>VLOOKUP($B36,[4]BOLETIM_SEL!$A:$H,7,0)</f>
        <v>356.55</v>
      </c>
      <c r="H36" s="1613">
        <f>S_Preliminares!N3</f>
        <v>8</v>
      </c>
      <c r="I36" s="877">
        <f t="shared" ref="I36:I47" si="4">TRUNC(G36*(1+$J$5),2)</f>
        <v>430.35</v>
      </c>
      <c r="J36" s="1612">
        <f>TRUNC(H36*I36,2)</f>
        <v>3442.8</v>
      </c>
      <c r="K36" s="2078">
        <f t="shared" ca="1" si="1"/>
        <v>2.569127606350405E-4</v>
      </c>
      <c r="L36" s="1574">
        <f t="shared" ca="1" si="2"/>
        <v>1.0338948932985814E-2</v>
      </c>
      <c r="M36" s="1445"/>
    </row>
    <row r="37" spans="1:25" s="813" customFormat="1" ht="39.950000000000003" hidden="1" customHeight="1" x14ac:dyDescent="0.15">
      <c r="A37" s="2081">
        <f t="shared" si="3"/>
        <v>1.01</v>
      </c>
      <c r="B37" s="834">
        <v>93207</v>
      </c>
      <c r="C37" s="2" t="str">
        <f>VLOOKUP($B37,[4]BOLETIM_SEL!$A:$H,2,0)</f>
        <v>SINAPI</v>
      </c>
      <c r="D37" s="315" t="str">
        <f>VLOOKUP($B37,[4]BOLETIM_SEL!$A:$H,4,0)</f>
        <v>Barracão de obra - Execução de escritório em canteiro de obra em chapa de madeira compensada, não incluso mobiliário e equipamentos. AF_02/2016</v>
      </c>
      <c r="E37" s="2"/>
      <c r="F37" s="2" t="str">
        <f>VLOOKUP($B37,[4]BOLETIM_SEL!$A:$H,6,0)</f>
        <v>M2</v>
      </c>
      <c r="G37" s="1407">
        <f>VLOOKUP($B37,[4]BOLETIM_SEL!$A:$H,7,0)</f>
        <v>1189.6199999999999</v>
      </c>
      <c r="H37" s="1613">
        <f>S_Preliminares!N5</f>
        <v>0</v>
      </c>
      <c r="I37" s="877">
        <f t="shared" si="4"/>
        <v>1435.87</v>
      </c>
      <c r="J37" s="1612">
        <f t="shared" ref="J37:J58" si="5">TRUNC(H37*I37,2)</f>
        <v>0</v>
      </c>
      <c r="K37" s="2078">
        <f t="shared" ca="1" si="1"/>
        <v>0</v>
      </c>
      <c r="L37" s="1574">
        <f t="shared" ca="1" si="2"/>
        <v>0</v>
      </c>
      <c r="M37" s="1445"/>
    </row>
    <row r="38" spans="1:25" s="813" customFormat="1" ht="39.950000000000003" hidden="1" customHeight="1" x14ac:dyDescent="0.15">
      <c r="A38" s="2081">
        <f t="shared" si="3"/>
        <v>1.01</v>
      </c>
      <c r="B38" s="834">
        <v>93584</v>
      </c>
      <c r="C38" s="2" t="str">
        <f>VLOOKUP($B38,[4]BOLETIM_SEL!$A:$H,2,0)</f>
        <v>SINAPI</v>
      </c>
      <c r="D38" s="315" t="str">
        <f>VLOOKUP($B38,[4]BOLETIM_SEL!$A:$H,4,0)</f>
        <v>Barracão de obra - Execução de depósito em canteiro de obra em chapa de madeira compensada, não incluso mobiliário. AF_04/2016</v>
      </c>
      <c r="E38" s="2"/>
      <c r="F38" s="2" t="str">
        <f>VLOOKUP($B38,[4]BOLETIM_SEL!$A:$H,6,0)</f>
        <v>M2</v>
      </c>
      <c r="G38" s="1407">
        <f>VLOOKUP($B38,[4]BOLETIM_SEL!$A:$H,7,0)</f>
        <v>940.47</v>
      </c>
      <c r="H38" s="1613">
        <f>S_Preliminares!N6</f>
        <v>0</v>
      </c>
      <c r="I38" s="877">
        <f t="shared" si="4"/>
        <v>1135.1400000000001</v>
      </c>
      <c r="J38" s="1612">
        <f t="shared" ref="J38:J44" si="6">TRUNC(H38*I38,2)</f>
        <v>0</v>
      </c>
      <c r="K38" s="2078">
        <f t="shared" ca="1" si="1"/>
        <v>0</v>
      </c>
      <c r="L38" s="1574">
        <f t="shared" ca="1" si="2"/>
        <v>0</v>
      </c>
      <c r="M38" s="1445"/>
    </row>
    <row r="39" spans="1:25" s="813" customFormat="1" ht="39.950000000000003" hidden="1" customHeight="1" x14ac:dyDescent="0.15">
      <c r="A39" s="2081">
        <f t="shared" si="3"/>
        <v>1.01</v>
      </c>
      <c r="B39" s="834">
        <v>93212</v>
      </c>
      <c r="C39" s="2" t="str">
        <f>VLOOKUP($B39,[4]BOLETIM_SEL!$A:$H,2,0)</f>
        <v>SINAPI</v>
      </c>
      <c r="D39" s="315" t="str">
        <f>VLOOKUP($B39,[4]BOLETIM_SEL!$A:$H,4,0)</f>
        <v>Barracão de obra - Execução de sanitário e vestiário em canteiro de obra em chapa de madeira compensada, não incluso mobiliário. AF_02/2016</v>
      </c>
      <c r="E39" s="2"/>
      <c r="F39" s="2" t="str">
        <f>VLOOKUP($B39,[4]BOLETIM_SEL!$A:$H,6,0)</f>
        <v>M2</v>
      </c>
      <c r="G39" s="1407">
        <f>VLOOKUP($B39,[4]BOLETIM_SEL!$A:$H,7,0)</f>
        <v>1024.81</v>
      </c>
      <c r="H39" s="1613">
        <f>S_Preliminares!N7</f>
        <v>0</v>
      </c>
      <c r="I39" s="877">
        <f t="shared" si="4"/>
        <v>1236.94</v>
      </c>
      <c r="J39" s="1612">
        <f t="shared" si="6"/>
        <v>0</v>
      </c>
      <c r="K39" s="2078">
        <f t="shared" ca="1" si="1"/>
        <v>0</v>
      </c>
      <c r="L39" s="1574">
        <f t="shared" ca="1" si="2"/>
        <v>0</v>
      </c>
      <c r="M39" s="1445"/>
    </row>
    <row r="40" spans="1:25" s="813" customFormat="1" ht="30" customHeight="1" x14ac:dyDescent="0.15">
      <c r="A40" s="2081">
        <f t="shared" ca="1" si="3"/>
        <v>1.02</v>
      </c>
      <c r="B40" s="834">
        <v>10775</v>
      </c>
      <c r="C40" s="2" t="str">
        <f>VLOOKUP($B40,[4]BOLETIM_SEL!$A:$H,2,0)</f>
        <v>SINAPI</v>
      </c>
      <c r="D40" s="315" t="str">
        <f>VLOOKUP($B40,[4]BOLETIM_SEL!$A:$H,4,0)</f>
        <v>Locação de container 2,30  x  6,00 m, alt. 2,50 m, com 1 sanitário, para escritório, completo, sem divisórias internas</v>
      </c>
      <c r="E40" s="2"/>
      <c r="F40" s="2" t="str">
        <f>VLOOKUP($B40,[4]BOLETIM_SEL!$A:$H,6,0)</f>
        <v xml:space="preserve">MES   </v>
      </c>
      <c r="G40" s="1407">
        <f>VLOOKUP($B40,[4]BOLETIM_SEL!$A:$H,7,0)</f>
        <v>843</v>
      </c>
      <c r="H40" s="1613">
        <f ca="1">S_Preliminares!N8</f>
        <v>12</v>
      </c>
      <c r="I40" s="877">
        <f t="shared" si="4"/>
        <v>1017.5</v>
      </c>
      <c r="J40" s="1612">
        <f t="shared" ca="1" si="6"/>
        <v>12210</v>
      </c>
      <c r="K40" s="2078">
        <f t="shared" ca="1" si="1"/>
        <v>9.11149299219776E-4</v>
      </c>
      <c r="L40" s="1574">
        <f t="shared" ca="1" si="2"/>
        <v>3.6667412127267568E-2</v>
      </c>
      <c r="M40" s="1445"/>
    </row>
    <row r="41" spans="1:25" s="813" customFormat="1" ht="30" customHeight="1" x14ac:dyDescent="0.15">
      <c r="A41" s="2081">
        <f t="shared" ca="1" si="3"/>
        <v>1.03</v>
      </c>
      <c r="B41" s="834">
        <v>10776</v>
      </c>
      <c r="C41" s="2" t="str">
        <f>VLOOKUP($B41,[4]BOLETIM_SEL!$A:$H,2,0)</f>
        <v>SINAPI</v>
      </c>
      <c r="D41" s="315" t="str">
        <f>VLOOKUP($B41,[4]BOLETIM_SEL!$A:$H,4,0)</f>
        <v>Locação de container 2,30  x  6,00 m, alt. 2,50 m, para escritório, sem divisórias internas e sem sanitário</v>
      </c>
      <c r="E41" s="2"/>
      <c r="F41" s="2" t="str">
        <f>VLOOKUP($B41,[4]BOLETIM_SEL!$A:$H,6,0)</f>
        <v xml:space="preserve">MES   </v>
      </c>
      <c r="G41" s="1407">
        <f>VLOOKUP($B41,[4]BOLETIM_SEL!$A:$H,7,0)</f>
        <v>658.59</v>
      </c>
      <c r="H41" s="1613">
        <f ca="1">S_Preliminares!N9</f>
        <v>24</v>
      </c>
      <c r="I41" s="877">
        <f t="shared" si="4"/>
        <v>794.91</v>
      </c>
      <c r="J41" s="1612">
        <f t="shared" ca="1" si="6"/>
        <v>19077.84</v>
      </c>
      <c r="K41" s="2078">
        <f t="shared" ca="1" si="1"/>
        <v>1.4236495124182646E-3</v>
      </c>
      <c r="L41" s="1574">
        <f t="shared" ca="1" si="2"/>
        <v>5.7291975575599535E-2</v>
      </c>
      <c r="M41" s="1445"/>
    </row>
    <row r="42" spans="1:25" s="813" customFormat="1" ht="30" customHeight="1" x14ac:dyDescent="0.15">
      <c r="A42" s="2081">
        <f t="shared" ca="1" si="3"/>
        <v>1.04</v>
      </c>
      <c r="B42" s="834">
        <v>10777</v>
      </c>
      <c r="C42" s="2" t="str">
        <f>VLOOKUP($B42,[4]BOLETIM_SEL!$A:$H,2,0)</f>
        <v>SINAPI</v>
      </c>
      <c r="D42" s="315" t="str">
        <f>VLOOKUP($B42,[4]BOLETIM_SEL!$A:$H,4,0)</f>
        <v>Locação de container 2,30 x 4,30 m, alt. 2,50 m, para sanitário, com 3 bacias, 4 chuveiros, 1 lavatório e 1 mictório</v>
      </c>
      <c r="E42" s="2"/>
      <c r="F42" s="2" t="str">
        <f>VLOOKUP($B42,[4]BOLETIM_SEL!$A:$H,6,0)</f>
        <v xml:space="preserve">MES   </v>
      </c>
      <c r="G42" s="1407">
        <f>VLOOKUP($B42,[4]BOLETIM_SEL!$A:$H,7,0)</f>
        <v>957.15</v>
      </c>
      <c r="H42" s="1613">
        <f ca="1">S_Preliminares!N10</f>
        <v>12</v>
      </c>
      <c r="I42" s="877">
        <f t="shared" si="4"/>
        <v>1155.28</v>
      </c>
      <c r="J42" s="1612">
        <f t="shared" ca="1" si="6"/>
        <v>13863.36</v>
      </c>
      <c r="K42" s="2078">
        <f t="shared" ca="1" si="1"/>
        <v>1.0345283168576146E-3</v>
      </c>
      <c r="L42" s="1574">
        <f t="shared" ca="1" si="2"/>
        <v>4.1632558115370692E-2</v>
      </c>
      <c r="M42" s="1445"/>
    </row>
    <row r="43" spans="1:25" s="813" customFormat="1" ht="30" customHeight="1" x14ac:dyDescent="0.15">
      <c r="A43" s="2081">
        <f t="shared" ca="1" si="3"/>
        <v>1.05</v>
      </c>
      <c r="B43" s="834">
        <v>93585</v>
      </c>
      <c r="C43" s="2" t="str">
        <f>VLOOKUP($B43,[4]BOLETIM_SEL!$A:$H,2,0)</f>
        <v>SINAPI</v>
      </c>
      <c r="D43" s="315" t="str">
        <f>VLOOKUP($B43,[4]BOLETIM_SEL!$A:$H,4,0)</f>
        <v>Execução de guarita em canteiro de obra em chapa de madeira compensada, não incluso mobiliário. AF_04/2016</v>
      </c>
      <c r="E43" s="2"/>
      <c r="F43" s="2" t="str">
        <f>VLOOKUP($B43,[4]BOLETIM_SEL!$A:$H,6,0)</f>
        <v>M2</v>
      </c>
      <c r="G43" s="1407">
        <f>VLOOKUP($B43,[4]BOLETIM_SEL!$A:$H,7,0)</f>
        <v>1303.8900000000001</v>
      </c>
      <c r="H43" s="1613">
        <f>S_Preliminares!N11</f>
        <v>4</v>
      </c>
      <c r="I43" s="877">
        <f t="shared" si="4"/>
        <v>1573.79</v>
      </c>
      <c r="J43" s="1612">
        <f t="shared" si="6"/>
        <v>6295.16</v>
      </c>
      <c r="K43" s="2078">
        <f t="shared" ca="1" si="1"/>
        <v>4.6976499774581203E-4</v>
      </c>
      <c r="L43" s="1574">
        <f t="shared" ca="1" si="2"/>
        <v>1.8904768724577369E-2</v>
      </c>
      <c r="M43" s="1445"/>
    </row>
    <row r="44" spans="1:25" s="813" customFormat="1" ht="39.950000000000003" customHeight="1" x14ac:dyDescent="0.15">
      <c r="A44" s="2081">
        <f t="shared" ca="1" si="3"/>
        <v>1.06</v>
      </c>
      <c r="B44" s="2" t="s">
        <v>2734</v>
      </c>
      <c r="C44" s="2" t="str">
        <f>VLOOKUP($B44,[4]BOLETIM_SEL!$A:$H,2,0)</f>
        <v>COMPOSIÇÃO</v>
      </c>
      <c r="D44" s="315" t="str">
        <f>VLOOKUP($B44,[4]BOLETIM_SEL!$A:$H,4,0)</f>
        <v>Aluguel de banheiro quimico, incluindo transporte de ida e volta, manutencao e higienizacao 3 vezes por semana. Modelo Luxo, dimensões 2,31 x 1,15 x 1,15m. Cidade: Campo Grande/MS</v>
      </c>
      <c r="E44" s="2"/>
      <c r="F44" s="2" t="str">
        <f>VLOOKUP($B44,[4]BOLETIM_SEL!$A:$H,6,0)</f>
        <v>UN.MÊS</v>
      </c>
      <c r="G44" s="1407">
        <f>VLOOKUP($B44,[4]BOLETIM_SEL!$A:$H,7,0)</f>
        <v>2000</v>
      </c>
      <c r="H44" s="1613">
        <f>S_Preliminares!N12</f>
        <v>12</v>
      </c>
      <c r="I44" s="877">
        <f t="shared" si="4"/>
        <v>2414</v>
      </c>
      <c r="J44" s="1612">
        <f t="shared" si="6"/>
        <v>28968</v>
      </c>
      <c r="K44" s="2078">
        <f t="shared" ca="1" si="1"/>
        <v>2.1616849221784171E-3</v>
      </c>
      <c r="L44" s="1574">
        <f t="shared" ca="1" si="2"/>
        <v>8.6992759582529638E-2</v>
      </c>
      <c r="M44" s="1445"/>
    </row>
    <row r="45" spans="1:25" s="813" customFormat="1" ht="30" customHeight="1" x14ac:dyDescent="0.15">
      <c r="A45" s="2081">
        <f t="shared" ca="1" si="3"/>
        <v>1.07</v>
      </c>
      <c r="B45" s="834">
        <v>98459</v>
      </c>
      <c r="C45" s="2" t="str">
        <f>VLOOKUP($B45,[4]BOLETIM_SEL!$A:$H,2,0)</f>
        <v>SINAPI</v>
      </c>
      <c r="D45" s="315" t="str">
        <f>VLOOKUP($B45,[4]BOLETIM_SEL!$A:$H,4,0)</f>
        <v>Tapume com telha metálica, sem pintura, trapezoidal espessura 0,5 mm, colunas, bases e parafusos</v>
      </c>
      <c r="E45" s="2"/>
      <c r="F45" s="2" t="str">
        <f>VLOOKUP($B45,[4]BOLETIM_SEL!$A:$H,6,0)</f>
        <v>M2</v>
      </c>
      <c r="G45" s="1407">
        <f>VLOOKUP($B45,[4]BOLETIM_SEL!$A:$H,7,0)</f>
        <v>121.79</v>
      </c>
      <c r="H45" s="1613">
        <f>S_Preliminares!N13</f>
        <v>400</v>
      </c>
      <c r="I45" s="877">
        <f t="shared" si="4"/>
        <v>147</v>
      </c>
      <c r="J45" s="1612">
        <f t="shared" si="5"/>
        <v>58800</v>
      </c>
      <c r="K45" s="2078">
        <f t="shared" ca="1" si="1"/>
        <v>4.3878442910829504E-3</v>
      </c>
      <c r="L45" s="1574">
        <f t="shared" ca="1" si="2"/>
        <v>0.17658016650969149</v>
      </c>
      <c r="M45" s="1445"/>
    </row>
    <row r="46" spans="1:25" s="813" customFormat="1" ht="39.950000000000003" customHeight="1" x14ac:dyDescent="0.15">
      <c r="A46" s="2081">
        <f t="shared" ca="1" si="3"/>
        <v>1.08</v>
      </c>
      <c r="B46" s="834">
        <v>98525</v>
      </c>
      <c r="C46" s="2" t="str">
        <f>VLOOKUP($B46,[4]BOLETIM_SEL!$A:$H,2,0)</f>
        <v>SINAPI</v>
      </c>
      <c r="D46" s="315" t="str">
        <f>VLOOKUP($B46,[4]BOLETIM_SEL!$A:$H,4,0)</f>
        <v>Limpeza mecanizada de camada vegetal, vegetação e pequenas árvores (diâmetro nominal de tronco menor que 0,20 m), com trator de esteiras. AF_05/2018</v>
      </c>
      <c r="E46" s="2"/>
      <c r="F46" s="2" t="str">
        <f>VLOOKUP($B46,[4]BOLETIM_SEL!$A:$H,6,0)</f>
        <v>M2</v>
      </c>
      <c r="G46" s="1407">
        <f>VLOOKUP($B46,[4]BOLETIM_SEL!$A:$H,7,0)</f>
        <v>0.34</v>
      </c>
      <c r="H46" s="1613">
        <f>S_Preliminares!N15</f>
        <v>10000</v>
      </c>
      <c r="I46" s="877">
        <f t="shared" si="4"/>
        <v>0.41</v>
      </c>
      <c r="J46" s="1612">
        <f t="shared" ref="J46:J51" si="7">TRUNC(H46*I46,2)</f>
        <v>4100</v>
      </c>
      <c r="K46" s="2078">
        <f t="shared" ca="1" si="1"/>
        <v>3.0595512914013772E-4</v>
      </c>
      <c r="L46" s="1574">
        <f t="shared" ca="1" si="2"/>
        <v>1.2312562630777808E-2</v>
      </c>
      <c r="M46" s="1445"/>
    </row>
    <row r="47" spans="1:25" s="813" customFormat="1" ht="39.950000000000003" customHeight="1" x14ac:dyDescent="0.15">
      <c r="A47" s="2081">
        <f t="shared" ca="1" si="3"/>
        <v>1.0900000000000001</v>
      </c>
      <c r="B47" s="2" t="s">
        <v>2414</v>
      </c>
      <c r="C47" s="2" t="str">
        <f>VLOOKUP($B47,[4]BOLETIM_SEL!$A:$H,2,0)</f>
        <v>COMPOSIÇÃO</v>
      </c>
      <c r="D47" s="315" t="str">
        <f>VLOOKUP($B47,[4]BOLETIM_SEL!$A:$H,4,0)</f>
        <v>Revestimento de pátio com pedra britada com espessura de 5 cm com regularização do terreno com motoniveladora. Exclusive transporte. (REF SINAPI COD 100575)</v>
      </c>
      <c r="E47" s="2"/>
      <c r="F47" s="2" t="str">
        <f>VLOOKUP($B47,[4]BOLETIM_SEL!$A:$H,6,0)</f>
        <v>M2</v>
      </c>
      <c r="G47" s="1407">
        <f>VLOOKUP($B47,[4]BOLETIM_SEL!$A:$H,7,0)</f>
        <v>5.05</v>
      </c>
      <c r="H47" s="1613">
        <f>S_Preliminares!N16</f>
        <v>2500</v>
      </c>
      <c r="I47" s="877">
        <f t="shared" si="4"/>
        <v>6.09</v>
      </c>
      <c r="J47" s="1612">
        <f t="shared" si="7"/>
        <v>15225</v>
      </c>
      <c r="K47" s="2078">
        <f t="shared" ca="1" si="1"/>
        <v>1.1361382539411212E-3</v>
      </c>
      <c r="L47" s="1574">
        <f t="shared" ca="1" si="2"/>
        <v>4.5721650256973688E-2</v>
      </c>
      <c r="M47" s="1445"/>
      <c r="O47" s="833"/>
      <c r="P47" s="833"/>
      <c r="Q47" s="833"/>
      <c r="R47" s="833"/>
      <c r="S47" s="833"/>
      <c r="T47" s="833"/>
      <c r="U47" s="833"/>
      <c r="V47" s="833"/>
      <c r="W47" s="833"/>
      <c r="X47" s="833"/>
    </row>
    <row r="48" spans="1:25" s="813" customFormat="1" ht="39.950000000000003" customHeight="1" x14ac:dyDescent="0.15">
      <c r="A48" s="2081">
        <f t="shared" ca="1" si="3"/>
        <v>1.1000000000000001</v>
      </c>
      <c r="B48" s="834" t="s">
        <v>1637</v>
      </c>
      <c r="C48" s="2" t="str">
        <f>VLOOKUP($B48,[4]BOLETIM_SEL!$A:$H,2,0)</f>
        <v>COMPOSIÇÃO</v>
      </c>
      <c r="D48" s="315" t="str">
        <f>VLOOKUP($B48,[4]BOLETIM_SEL!$A:$H,4,0)</f>
        <v>Cerca com mourões de madeira roliça Ø 11cm, espaçamento de 2,00m, altura livre de 1,50m, cravado 0,50m, com 5 fios de arame liso ovalado 15x17, conforme projeto</v>
      </c>
      <c r="E48" s="2"/>
      <c r="F48" s="2" t="str">
        <f>VLOOKUP($B48,[4]BOLETIM_SEL!$A:$H,6,0)</f>
        <v>M</v>
      </c>
      <c r="G48" s="1407">
        <f>VLOOKUP($B48,[4]BOLETIM_SEL!$A:$H,7,0)</f>
        <v>35.409999999999997</v>
      </c>
      <c r="H48" s="1613">
        <f>S_Preliminares!N13</f>
        <v>400</v>
      </c>
      <c r="I48" s="877">
        <f t="shared" ref="I48:I58" si="8">TRUNC(G48*(1+$J$5),2)</f>
        <v>42.73</v>
      </c>
      <c r="J48" s="1612">
        <f t="shared" si="7"/>
        <v>17092</v>
      </c>
      <c r="K48" s="2078">
        <f t="shared" ca="1" si="1"/>
        <v>1.2754597725032277E-3</v>
      </c>
      <c r="L48" s="1574">
        <f t="shared" ca="1" si="2"/>
        <v>5.1328370850062019E-2</v>
      </c>
      <c r="M48" s="1445"/>
      <c r="O48" s="833"/>
      <c r="P48" s="833"/>
      <c r="Q48" s="833"/>
      <c r="R48" s="833"/>
      <c r="S48" s="833"/>
      <c r="T48" s="833"/>
      <c r="U48" s="833"/>
      <c r="V48" s="833"/>
      <c r="W48" s="833"/>
      <c r="X48" s="833"/>
    </row>
    <row r="49" spans="1:24" s="813" customFormat="1" ht="39.950000000000003" customHeight="1" x14ac:dyDescent="0.15">
      <c r="A49" s="2081">
        <f t="shared" ca="1" si="3"/>
        <v>1.1100000000000001</v>
      </c>
      <c r="B49" s="834" t="s">
        <v>1638</v>
      </c>
      <c r="C49" s="2" t="str">
        <f>VLOOKUP($B49,[4]BOLETIM_SEL!$A:$H,2,0)</f>
        <v>COMPOSIÇÃO</v>
      </c>
      <c r="D49" s="315" t="str">
        <f>VLOOKUP($B49,[4]BOLETIM_SEL!$A:$H,4,0)</f>
        <v>Portão para veículos em tela arame galvanizado n.12 malha 2" e moldura em tubos de aco com duas folhas de abrir, incluso ferragens (REF. SINAPI COD. 74238/2 - Descontinuado)</v>
      </c>
      <c r="E49" s="2"/>
      <c r="F49" s="2" t="str">
        <f>VLOOKUP($B49,[4]BOLETIM_SEL!$A:$H,6,0)</f>
        <v>M2</v>
      </c>
      <c r="G49" s="1407">
        <f>VLOOKUP($B49,[4]BOLETIM_SEL!$A:$H,7,0)</f>
        <v>1026.57</v>
      </c>
      <c r="H49" s="1613">
        <f>S_Preliminares!N14</f>
        <v>14.4</v>
      </c>
      <c r="I49" s="877">
        <f t="shared" si="8"/>
        <v>1239.06</v>
      </c>
      <c r="J49" s="1612">
        <f t="shared" si="7"/>
        <v>17842.46</v>
      </c>
      <c r="K49" s="2078">
        <f t="shared" ca="1" si="1"/>
        <v>1.3314615008482296E-3</v>
      </c>
      <c r="L49" s="1574">
        <f t="shared" ca="1" si="2"/>
        <v>5.3582050301743366E-2</v>
      </c>
      <c r="M49" s="1445"/>
      <c r="O49" s="833"/>
      <c r="P49" s="833"/>
      <c r="Q49" s="833"/>
      <c r="R49" s="833"/>
      <c r="S49" s="833"/>
      <c r="T49" s="833"/>
      <c r="U49" s="833"/>
      <c r="V49" s="833"/>
      <c r="W49" s="833"/>
      <c r="X49" s="833"/>
    </row>
    <row r="50" spans="1:24" s="813" customFormat="1" ht="50.1" customHeight="1" x14ac:dyDescent="0.15">
      <c r="A50" s="2081">
        <f t="shared" ca="1" si="3"/>
        <v>1.1200000000000001</v>
      </c>
      <c r="B50" s="834" t="s">
        <v>188</v>
      </c>
      <c r="C50" s="2" t="str">
        <f>VLOOKUP($B50,[4]BOLETIM_SEL!$A:$H,2,0)</f>
        <v>COMPOSIÇÃO</v>
      </c>
      <c r="D50" s="315" t="str">
        <f>VLOOKUP($B50,[4]BOLETIM_SEL!$A:$H,4,0)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50" s="2"/>
      <c r="F50" s="2" t="str">
        <f>VLOOKUP($B50,[4]BOLETIM_SEL!$A:$H,6,0)</f>
        <v>M2</v>
      </c>
      <c r="G50" s="1407">
        <f>VLOOKUP($B50,[4]BOLETIM_SEL!$A:$H,7,0)</f>
        <v>136.47</v>
      </c>
      <c r="H50" s="1613">
        <f ca="1">S_Preliminares!N18</f>
        <v>62</v>
      </c>
      <c r="I50" s="877">
        <f t="shared" si="8"/>
        <v>164.71</v>
      </c>
      <c r="J50" s="1612">
        <f t="shared" ca="1" si="7"/>
        <v>10212.02</v>
      </c>
      <c r="K50" s="2078">
        <f t="shared" ca="1" si="1"/>
        <v>7.6205363362967548E-4</v>
      </c>
      <c r="L50" s="1574">
        <f t="shared" ca="1" si="2"/>
        <v>3.066735020408673E-2</v>
      </c>
      <c r="M50" s="1445"/>
      <c r="O50" s="833"/>
      <c r="P50" s="833"/>
      <c r="Q50" s="833"/>
      <c r="R50" s="833"/>
      <c r="S50" s="833"/>
      <c r="X50" s="816"/>
    </row>
    <row r="51" spans="1:24" s="813" customFormat="1" ht="30" customHeight="1" x14ac:dyDescent="0.15">
      <c r="A51" s="2081">
        <f t="shared" ca="1" si="3"/>
        <v>1.1300000000000001</v>
      </c>
      <c r="B51" s="834" t="s">
        <v>1652</v>
      </c>
      <c r="C51" s="2" t="str">
        <f>VLOOKUP($B51,[4]BOLETIM_SEL!$A:$H,2,0)</f>
        <v>COMPOSIÇÃO</v>
      </c>
      <c r="D51" s="315" t="str">
        <f>VLOOKUP($B51,[4]BOLETIM_SEL!$A:$H,4,0)</f>
        <v>Segurança de trânsito - sinalização de advertência de obra com elemento luminoso (balde vermelho)</v>
      </c>
      <c r="E51" s="2"/>
      <c r="F51" s="2" t="str">
        <f>VLOOKUP($B51,[4]BOLETIM_SEL!$A:$H,6,0)</f>
        <v>M</v>
      </c>
      <c r="G51" s="1407">
        <f>VLOOKUP($B51,[4]BOLETIM_SEL!$A:$H,7,0)</f>
        <v>3.37</v>
      </c>
      <c r="H51" s="1613">
        <f ca="1">S_Preliminares!N19</f>
        <v>1463.44</v>
      </c>
      <c r="I51" s="877">
        <f t="shared" si="8"/>
        <v>4.0599999999999996</v>
      </c>
      <c r="J51" s="1612">
        <f t="shared" ca="1" si="7"/>
        <v>5941.56</v>
      </c>
      <c r="K51" s="2078">
        <f t="shared" ca="1" si="1"/>
        <v>4.4337823343753094E-4</v>
      </c>
      <c r="L51" s="1574">
        <f t="shared" ca="1" si="2"/>
        <v>1.7842885274274193E-2</v>
      </c>
      <c r="M51" s="1445"/>
      <c r="O51" s="833"/>
      <c r="P51" s="833"/>
      <c r="Q51" s="833"/>
      <c r="R51" s="833"/>
      <c r="S51" s="833"/>
      <c r="X51" s="833"/>
    </row>
    <row r="52" spans="1:24" s="813" customFormat="1" ht="39.950000000000003" hidden="1" customHeight="1" x14ac:dyDescent="0.15">
      <c r="A52" s="2081">
        <f t="shared" ca="1" si="3"/>
        <v>1.1300000000000001</v>
      </c>
      <c r="B52" s="2">
        <v>98458</v>
      </c>
      <c r="C52" s="2" t="str">
        <f>VLOOKUP($B52,[4]BOLETIM_SEL!$A:$H,2,0)</f>
        <v>SINAPI</v>
      </c>
      <c r="D52" s="315" t="str">
        <f>VLOOKUP($B52,[4]BOLETIM_SEL!$A:$H,4,0)</f>
        <v>Segurança de trânsito - tapume baixo removível de proteção para valas com chapas compensadas (6 mm). Exclusive pintura de sinalização de advertência</v>
      </c>
      <c r="E52" s="2"/>
      <c r="F52" s="2" t="str">
        <f>VLOOKUP($B52,[4]BOLETIM_SEL!$A:$H,6,0)</f>
        <v>M2</v>
      </c>
      <c r="G52" s="1407">
        <f>VLOOKUP($B52,[4]BOLETIM_SEL!$A:$H,7,0)</f>
        <v>154.9</v>
      </c>
      <c r="H52" s="1613"/>
      <c r="I52" s="877">
        <f t="shared" si="8"/>
        <v>186.96</v>
      </c>
      <c r="J52" s="1612">
        <f t="shared" si="5"/>
        <v>0</v>
      </c>
      <c r="K52" s="2078">
        <f t="shared" ca="1" si="1"/>
        <v>0</v>
      </c>
      <c r="L52" s="1574">
        <f t="shared" ca="1" si="2"/>
        <v>0</v>
      </c>
      <c r="M52" s="1445"/>
      <c r="O52" s="833"/>
      <c r="P52" s="833"/>
      <c r="Q52" s="833"/>
      <c r="R52" s="833"/>
      <c r="S52" s="833"/>
      <c r="X52" s="833"/>
    </row>
    <row r="53" spans="1:24" s="813" customFormat="1" ht="50.1" customHeight="1" x14ac:dyDescent="0.15">
      <c r="A53" s="2081">
        <f t="shared" ca="1" si="3"/>
        <v>1.1400000000000001</v>
      </c>
      <c r="B53" s="2" t="s">
        <v>1636</v>
      </c>
      <c r="C53" s="2" t="str">
        <f>VLOOKUP($B53,[4]BOLETIM_SEL!$A:$H,2,0)</f>
        <v>COMPOSIÇÃO</v>
      </c>
      <c r="D53" s="315" t="str">
        <f>VLOOKUP($B53,[4]BOLETIM_SEL!$A:$H,4,0)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E53" s="2"/>
      <c r="F53" s="2" t="str">
        <f>VLOOKUP($B53,[4]BOLETIM_SEL!$A:$H,6,0)</f>
        <v>M</v>
      </c>
      <c r="G53" s="1407">
        <f>VLOOKUP($B53,[4]BOLETIM_SEL!$A:$H,7,0)</f>
        <v>10.43</v>
      </c>
      <c r="H53" s="1613">
        <f ca="1">S_Preliminares!N20</f>
        <v>2949.66</v>
      </c>
      <c r="I53" s="877">
        <f t="shared" si="8"/>
        <v>12.58</v>
      </c>
      <c r="J53" s="1612">
        <f ca="1">TRUNC(H53*I53,2)</f>
        <v>37106.720000000001</v>
      </c>
      <c r="K53" s="2078">
        <f t="shared" ca="1" si="1"/>
        <v>2.7690222706260809E-3</v>
      </c>
      <c r="L53" s="1574">
        <f t="shared" ca="1" si="2"/>
        <v>0.11143385707871598</v>
      </c>
      <c r="M53" s="1445"/>
      <c r="O53" s="833"/>
      <c r="X53" s="833"/>
    </row>
    <row r="54" spans="1:24" s="813" customFormat="1" ht="30" customHeight="1" x14ac:dyDescent="0.15">
      <c r="A54" s="2081">
        <f t="shared" ca="1" si="3"/>
        <v>1.1500000000000001</v>
      </c>
      <c r="B54" s="2">
        <v>13244</v>
      </c>
      <c r="C54" s="2" t="str">
        <f>VLOOKUP($B54,[4]BOLETIM_SEL!$A:$H,2,0)</f>
        <v>SINAPI</v>
      </c>
      <c r="D54" s="315" t="str">
        <f>VLOOKUP($B54,[4]BOLETIM_SEL!$A:$H,4,0)</f>
        <v>Segurança de trânsito - cone de sinalização em pvc rígido com faixa refletiva, h = 70 / 76 cm</v>
      </c>
      <c r="E54" s="2"/>
      <c r="F54" s="2" t="str">
        <f>VLOOKUP($B54,[4]BOLETIM_SEL!$A:$H,6,0)</f>
        <v xml:space="preserve">UN    </v>
      </c>
      <c r="G54" s="1407">
        <f>VLOOKUP($B54,[4]BOLETIM_SEL!$A:$H,7,0)</f>
        <v>51.9</v>
      </c>
      <c r="H54" s="1613">
        <f ca="1">S_Preliminares!N21</f>
        <v>126</v>
      </c>
      <c r="I54" s="877">
        <f t="shared" si="8"/>
        <v>62.64</v>
      </c>
      <c r="J54" s="1612">
        <f ca="1">TRUNC(H54*I54,2)</f>
        <v>7892.64</v>
      </c>
      <c r="K54" s="2078">
        <f t="shared" ca="1" si="1"/>
        <v>5.889740708430772E-4</v>
      </c>
      <c r="L54" s="1574">
        <f t="shared" ca="1" si="2"/>
        <v>2.3702103493215162E-2</v>
      </c>
      <c r="M54" s="1445"/>
      <c r="O54" s="833"/>
      <c r="X54" s="833"/>
    </row>
    <row r="55" spans="1:24" s="813" customFormat="1" ht="30" customHeight="1" x14ac:dyDescent="0.15">
      <c r="A55" s="2081">
        <f t="shared" ca="1" si="3"/>
        <v>1.1600000000000001</v>
      </c>
      <c r="B55" s="2" t="s">
        <v>983</v>
      </c>
      <c r="C55" s="2" t="str">
        <f>VLOOKUP($B55,[4]BOLETIM_SEL!$A:$H,2,0)</f>
        <v>COMPOSIÇÃO</v>
      </c>
      <c r="D55" s="315" t="str">
        <f>VLOOKUP($B55,[4]BOLETIM_SEL!$A:$H,4,0)</f>
        <v>Sondagem de investigação de interferências subterrâneas, incluindo escavações mecânica e manual e reaterro</v>
      </c>
      <c r="E55" s="2"/>
      <c r="F55" s="2" t="str">
        <f>VLOOKUP($B55,[4]BOLETIM_SEL!$A:$H,6,0)</f>
        <v xml:space="preserve">UN </v>
      </c>
      <c r="G55" s="1407">
        <f>VLOOKUP($B55,[4]BOLETIM_SEL!$A:$H,7,0)</f>
        <v>305.54000000000002</v>
      </c>
      <c r="H55" s="1613">
        <f ca="1">S_Preliminares!N22</f>
        <v>26</v>
      </c>
      <c r="I55" s="877">
        <f t="shared" si="8"/>
        <v>368.78</v>
      </c>
      <c r="J55" s="1612">
        <f ca="1">TRUNC(H55*I55,2)</f>
        <v>9588.2800000000007</v>
      </c>
      <c r="K55" s="2078">
        <f t="shared" ca="1" si="1"/>
        <v>7.1550815747117066E-4</v>
      </c>
      <c r="L55" s="1574">
        <f t="shared" ca="1" si="2"/>
        <v>2.8794219029618109E-2</v>
      </c>
      <c r="M55" s="1445"/>
      <c r="O55" s="833"/>
      <c r="X55" s="833"/>
    </row>
    <row r="56" spans="1:24" s="813" customFormat="1" ht="30" customHeight="1" x14ac:dyDescent="0.15">
      <c r="A56" s="2081">
        <f t="shared" ca="1" si="3"/>
        <v>1.1700000000000002</v>
      </c>
      <c r="B56" s="2" t="s">
        <v>984</v>
      </c>
      <c r="C56" s="2" t="str">
        <f>VLOOKUP($B56,[4]BOLETIM_SEL!$A:$H,2,0)</f>
        <v>COMPOSIÇÃO</v>
      </c>
      <c r="D56" s="315" t="str">
        <f>VLOOKUP($B56,[4]BOLETIM_SEL!$A:$H,4,0)</f>
        <v>Reparo em ramal de ligação predial de água</v>
      </c>
      <c r="E56" s="2"/>
      <c r="F56" s="2" t="str">
        <f>VLOOKUP($B56,[4]BOLETIM_SEL!$A:$H,6,0)</f>
        <v xml:space="preserve">UN </v>
      </c>
      <c r="G56" s="1407">
        <f>VLOOKUP($B56,[4]BOLETIM_SEL!$A:$H,7,0)</f>
        <v>260.45999999999998</v>
      </c>
      <c r="H56" s="1613">
        <f ca="1">S_Preliminares!N23</f>
        <v>52</v>
      </c>
      <c r="I56" s="877">
        <f t="shared" si="8"/>
        <v>314.37</v>
      </c>
      <c r="J56" s="1612">
        <f ca="1">TRUNC(H56*I56,2)</f>
        <v>16347.24</v>
      </c>
      <c r="K56" s="2078">
        <f t="shared" ca="1" si="1"/>
        <v>1.2198833964109329E-3</v>
      </c>
      <c r="L56" s="1574">
        <f t="shared" ca="1" si="2"/>
        <v>4.9091808863501514E-2</v>
      </c>
      <c r="M56" s="1445"/>
      <c r="O56" s="833"/>
      <c r="P56" s="833"/>
      <c r="Q56" s="833"/>
      <c r="R56" s="833"/>
      <c r="S56" s="833"/>
      <c r="T56" s="833"/>
      <c r="U56" s="833"/>
      <c r="V56" s="833"/>
      <c r="W56" s="833"/>
      <c r="X56" s="833"/>
    </row>
    <row r="57" spans="1:24" s="813" customFormat="1" ht="30" customHeight="1" x14ac:dyDescent="0.15">
      <c r="A57" s="2081">
        <f t="shared" ca="1" si="3"/>
        <v>1.1800000000000002</v>
      </c>
      <c r="B57" s="865">
        <v>100575</v>
      </c>
      <c r="C57" s="2" t="str">
        <f>VLOOKUP($B57,[4]BOLETIM_SEL!$A:$H,2,0)</f>
        <v>SINAPI</v>
      </c>
      <c r="D57" s="315" t="str">
        <f>VLOOKUP($B57,[4]BOLETIM_SEL!$A:$H,4,0)</f>
        <v>Regularização de superfícies com motoniveladora. AF_11/2019</v>
      </c>
      <c r="E57" s="2"/>
      <c r="F57" s="2" t="str">
        <f>VLOOKUP($B57,[4]BOLETIM_SEL!$A:$H,6,0)</f>
        <v>M2</v>
      </c>
      <c r="G57" s="1407">
        <f>VLOOKUP($B57,[4]BOLETIM_SEL!$A:$H,7,0)</f>
        <v>0.11</v>
      </c>
      <c r="H57" s="1613">
        <f ca="1">S_Preliminares!N24</f>
        <v>14153.09</v>
      </c>
      <c r="I57" s="877">
        <f t="shared" si="8"/>
        <v>0.13</v>
      </c>
      <c r="J57" s="1612">
        <f ca="1">TRUNC(H57*I57,2)</f>
        <v>1839.9</v>
      </c>
      <c r="K57" s="2078">
        <f t="shared" ca="1" si="1"/>
        <v>1.3729922978169255E-4</v>
      </c>
      <c r="L57" s="1574">
        <f t="shared" ca="1" si="2"/>
        <v>5.5253375571629485E-3</v>
      </c>
      <c r="M57" s="1445"/>
      <c r="O57" s="833"/>
      <c r="P57" s="833"/>
      <c r="Q57" s="833"/>
      <c r="R57" s="833"/>
      <c r="S57" s="833"/>
      <c r="T57" s="833"/>
      <c r="U57" s="833"/>
      <c r="V57" s="833"/>
      <c r="W57" s="833"/>
      <c r="X57" s="833"/>
    </row>
    <row r="58" spans="1:24" s="813" customFormat="1" ht="39.950000000000003" customHeight="1" x14ac:dyDescent="0.15">
      <c r="A58" s="2081">
        <f t="shared" ca="1" si="3"/>
        <v>1.1900000000000002</v>
      </c>
      <c r="B58" s="834">
        <f>IF(AND(M58="ESCAVADEIRA",H58&lt;=50),100978,IF(AND(M58="ESCAVADEIRA",H58&gt;50),100979,IF(AND(M58="CARREGADEIRA",H58&lt;=50),100974,100975)))</f>
        <v>100979</v>
      </c>
      <c r="C58" s="2" t="str">
        <f>VLOOKUP($B58,[4]BOLETIM_SEL!$A:$H,2,0)</f>
        <v>SINAPI</v>
      </c>
      <c r="D58" s="315" t="str">
        <f>VLOOKUP($B58,[4]BOLETIM_SEL!$A:$H,4,0)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58" s="2"/>
      <c r="F58" s="2" t="str">
        <f>VLOOKUP($B58,[4]BOLETIM_SEL!$A:$H,6,0)</f>
        <v>M3</v>
      </c>
      <c r="G58" s="1407">
        <f>VLOOKUP($B58,[4]BOLETIM_SEL!$A:$H,7,0)</f>
        <v>6.01</v>
      </c>
      <c r="H58" s="1613">
        <f>S_Preliminares!N25</f>
        <v>2000</v>
      </c>
      <c r="I58" s="877">
        <f t="shared" si="8"/>
        <v>7.25</v>
      </c>
      <c r="J58" s="1612">
        <f t="shared" si="5"/>
        <v>14500</v>
      </c>
      <c r="K58" s="2078">
        <f t="shared" ca="1" si="1"/>
        <v>1.0820364323248773E-3</v>
      </c>
      <c r="L58" s="1574">
        <f t="shared" ca="1" si="2"/>
        <v>4.3544428816165416E-2</v>
      </c>
      <c r="M58" s="1589" t="s">
        <v>2106</v>
      </c>
      <c r="O58" s="833"/>
      <c r="P58" s="833"/>
      <c r="Q58" s="833"/>
      <c r="R58" s="833"/>
      <c r="S58" s="833"/>
      <c r="T58" s="833"/>
      <c r="U58" s="833"/>
      <c r="V58" s="833"/>
      <c r="W58" s="833"/>
      <c r="X58" s="833"/>
    </row>
    <row r="59" spans="1:24" s="813" customFormat="1" ht="24.95" customHeight="1" x14ac:dyDescent="0.15">
      <c r="A59" s="2081"/>
      <c r="B59" s="834"/>
      <c r="C59" s="2"/>
      <c r="D59" s="1452" t="s">
        <v>1806</v>
      </c>
      <c r="E59" s="2"/>
      <c r="F59" s="2"/>
      <c r="G59" s="1407"/>
      <c r="H59" s="2"/>
      <c r="I59" s="2"/>
      <c r="J59" s="839" t="str">
        <f>IF(J60=0,"-","")</f>
        <v/>
      </c>
      <c r="K59" s="2078"/>
      <c r="L59" s="1574"/>
      <c r="M59" s="1445" t="s">
        <v>1953</v>
      </c>
      <c r="O59" s="833"/>
      <c r="P59" s="833"/>
      <c r="Q59" s="833"/>
      <c r="R59" s="833"/>
      <c r="S59" s="833"/>
      <c r="T59" s="833"/>
      <c r="U59" s="833"/>
      <c r="V59" s="833"/>
      <c r="W59" s="833"/>
      <c r="X59" s="833"/>
    </row>
    <row r="60" spans="1:24" s="813" customFormat="1" ht="39.950000000000003" customHeight="1" x14ac:dyDescent="0.15">
      <c r="A60" s="2081">
        <f ca="1">IF(H60&gt;0,A58+0.01,A58)</f>
        <v>1.2000000000000002</v>
      </c>
      <c r="B60" s="834">
        <f>IF(AND(M60&lt;=50,E60&lt;=30),95876,IF(AND(M60&lt;=50,E60&gt;30),93590,IF(AND(M60&gt;50,E60&lt;=30),95876,93593)))</f>
        <v>95876</v>
      </c>
      <c r="C60" s="2" t="str">
        <f>VLOOKUP($B60,[4]BOLETIM_SEL!$A:$H,2,0)</f>
        <v>SINAPI</v>
      </c>
      <c r="D60" s="315" t="str">
        <f>VLOOKUP($B60,[4]BOLETIM_SEL!$A:$H,4,0)</f>
        <v>Transporte com caminhão basculante de 14 m3, em via urbana pavimentada, DMT até 30,00 km (unidade: m3xkm). AF_07/2020</v>
      </c>
      <c r="E60" s="2">
        <f>Dados_DMT!$B$17</f>
        <v>4</v>
      </c>
      <c r="F60" s="2" t="str">
        <f>VLOOKUP($B60,[4]BOLETIM_SEL!$A:$H,6,0)</f>
        <v>M3XKM</v>
      </c>
      <c r="G60" s="1407">
        <f>VLOOKUP($B60,[4]BOLETIM_SEL!$A:$H,7,0)</f>
        <v>1.93</v>
      </c>
      <c r="H60" s="1613">
        <f>ROUND(H58*E60,2)</f>
        <v>8000</v>
      </c>
      <c r="I60" s="877">
        <f>TRUNC(G60*(1+$J$5),2)</f>
        <v>2.3199999999999998</v>
      </c>
      <c r="J60" s="1612">
        <f>TRUNC(H60*I60,2)</f>
        <v>18560</v>
      </c>
      <c r="K60" s="2078">
        <f ca="1">J60/J$967</f>
        <v>1.3850066333758429E-3</v>
      </c>
      <c r="L60" s="1574">
        <f ca="1">J60/J$35</f>
        <v>5.5736868884691732E-2</v>
      </c>
      <c r="M60" s="1453">
        <f>IF(H60=0,0,H60/E60)</f>
        <v>2000</v>
      </c>
      <c r="O60" s="1414"/>
      <c r="P60" s="833"/>
      <c r="Q60" s="833"/>
      <c r="R60" s="833"/>
      <c r="S60" s="833"/>
      <c r="T60" s="833"/>
      <c r="U60" s="833"/>
      <c r="V60" s="833"/>
      <c r="W60" s="833"/>
      <c r="X60" s="833"/>
    </row>
    <row r="61" spans="1:24" s="813" customFormat="1" ht="24.95" customHeight="1" x14ac:dyDescent="0.15">
      <c r="A61" s="2081"/>
      <c r="B61" s="834"/>
      <c r="C61" s="2"/>
      <c r="D61" s="1452" t="s">
        <v>2190</v>
      </c>
      <c r="E61" s="2"/>
      <c r="F61" s="2"/>
      <c r="G61" s="1407"/>
      <c r="H61" s="2"/>
      <c r="I61" s="2"/>
      <c r="J61" s="839" t="str">
        <f>IF(J62=0,"-","")</f>
        <v/>
      </c>
      <c r="K61" s="2078"/>
      <c r="L61" s="1574"/>
      <c r="M61" s="1445" t="s">
        <v>1953</v>
      </c>
      <c r="O61" s="833"/>
      <c r="P61" s="833"/>
      <c r="Q61" s="833"/>
      <c r="R61" s="833"/>
      <c r="S61" s="833"/>
      <c r="T61" s="833"/>
      <c r="U61" s="833"/>
      <c r="V61" s="833"/>
      <c r="W61" s="833"/>
      <c r="X61" s="833"/>
    </row>
    <row r="62" spans="1:24" s="813" customFormat="1" ht="39.950000000000003" customHeight="1" x14ac:dyDescent="0.15">
      <c r="A62" s="2081">
        <f ca="1">IF(H62&gt;0,A60+0.01,A60)</f>
        <v>1.2100000000000002</v>
      </c>
      <c r="B62" s="834">
        <f>IF(AND(M62&lt;=50,E62&lt;=30),95876,IF(AND(M62&lt;=50,E62&gt;30),93590,IF(AND(M62&gt;50,E62&lt;=30),95876,93593)))</f>
        <v>93593</v>
      </c>
      <c r="C62" s="2" t="str">
        <f>VLOOKUP($B62,[4]BOLETIM_SEL!$A:$H,2,0)</f>
        <v>SINAPI</v>
      </c>
      <c r="D62" s="315" t="str">
        <f>VLOOKUP($B62,[4]BOLETIM_SEL!$A:$H,4,0)</f>
        <v>Transporte com caminhão basculante de 14 m3, em via urbana pavimentada, adicional para DMT excedente a 30,00 km (unidade: m3xkm). AF_07/2020</v>
      </c>
      <c r="E62" s="2">
        <f>Dados_DMT!$B$34</f>
        <v>109</v>
      </c>
      <c r="F62" s="2" t="str">
        <f>VLOOKUP($B62,[4]BOLETIM_SEL!$A:$H,6,0)</f>
        <v>M3XKM</v>
      </c>
      <c r="G62" s="1407">
        <f>VLOOKUP($B62,[4]BOLETIM_SEL!$A:$H,7,0)</f>
        <v>0.78</v>
      </c>
      <c r="H62" s="1613">
        <f>ROUND(S_Preliminares!N17*1.1*E62,2)</f>
        <v>14987.5</v>
      </c>
      <c r="I62" s="877">
        <f>TRUNC(G62*(1+$J$5),2)</f>
        <v>0.94</v>
      </c>
      <c r="J62" s="1612">
        <f>TRUNC(H62*I62,2)</f>
        <v>14088.25</v>
      </c>
      <c r="K62" s="2078">
        <f ca="1">J62/J$967</f>
        <v>1.0513103288069623E-3</v>
      </c>
      <c r="L62" s="1574">
        <f ca="1">J62/J$35</f>
        <v>4.2307917190989135E-2</v>
      </c>
      <c r="M62" s="1453">
        <f>IF(H62=0,0,H62/E62)</f>
        <v>137.5</v>
      </c>
      <c r="O62" s="1414"/>
      <c r="P62" s="833"/>
      <c r="Q62" s="833"/>
      <c r="R62" s="833"/>
      <c r="S62" s="833"/>
      <c r="T62" s="833"/>
      <c r="U62" s="833"/>
      <c r="V62" s="833"/>
      <c r="W62" s="833"/>
      <c r="X62" s="833"/>
    </row>
    <row r="63" spans="1:24" s="813" customFormat="1" ht="24.95" customHeight="1" x14ac:dyDescent="0.15">
      <c r="A63" s="2081"/>
      <c r="B63" s="834"/>
      <c r="C63" s="834"/>
      <c r="D63" s="835"/>
      <c r="E63" s="2"/>
      <c r="F63" s="834"/>
      <c r="G63" s="1821"/>
      <c r="H63" s="1"/>
      <c r="I63" s="877"/>
      <c r="J63" s="839" t="str">
        <f ca="1">IF(J35=0,0,"")</f>
        <v/>
      </c>
      <c r="K63" s="2078"/>
      <c r="L63" s="1574"/>
      <c r="M63" s="1446"/>
      <c r="O63" s="833"/>
      <c r="P63" s="833"/>
      <c r="Q63" s="833"/>
      <c r="R63" s="833"/>
      <c r="S63" s="833"/>
      <c r="T63" s="833"/>
      <c r="U63" s="833"/>
      <c r="V63" s="833"/>
      <c r="W63" s="833"/>
      <c r="X63" s="833"/>
    </row>
    <row r="64" spans="1:24" s="833" customFormat="1" ht="24.95" customHeight="1" x14ac:dyDescent="0.15">
      <c r="A64" s="2082">
        <f ca="1">IF(J64&gt;0,INT(A60)+1,IF(J64=0,INT(A60),0))</f>
        <v>2</v>
      </c>
      <c r="B64" s="1633"/>
      <c r="C64" s="1633"/>
      <c r="D64" s="1634" t="s">
        <v>1653</v>
      </c>
      <c r="E64" s="1828"/>
      <c r="F64" s="1635"/>
      <c r="G64" s="1820" t="s">
        <v>1675</v>
      </c>
      <c r="H64" s="1637"/>
      <c r="I64" s="1640" t="str">
        <f ca="1">CONCATENATE("SUB-TOTAL ",A64)</f>
        <v>SUB-TOTAL 2</v>
      </c>
      <c r="J64" s="1639">
        <f ca="1">SUM(J65:J98)</f>
        <v>171560.66999999998</v>
      </c>
      <c r="K64" s="2079">
        <f t="shared" ref="K64:K90" ca="1" si="9">J64/J$967</f>
        <v>1.2802406572004522E-2</v>
      </c>
      <c r="L64" s="1610">
        <f t="shared" ref="L64:L90" ca="1" si="10">J64/$J$64</f>
        <v>1</v>
      </c>
      <c r="N64" s="1655" t="s">
        <v>1962</v>
      </c>
      <c r="O64" s="1655" t="s">
        <v>1988</v>
      </c>
    </row>
    <row r="65" spans="1:24" s="813" customFormat="1" ht="30" hidden="1" customHeight="1" x14ac:dyDescent="0.15">
      <c r="A65" s="2081">
        <f t="shared" ref="A65:A90" ca="1" si="11">IF(H65&gt;0,A64+0.01,A64)</f>
        <v>2</v>
      </c>
      <c r="B65" s="834" t="s">
        <v>1654</v>
      </c>
      <c r="C65" s="2" t="str">
        <f>VLOOKUP($B65,[4]BOLETIM_SEL!$A:$H,2,0)</f>
        <v>COMPOSIÇÃO</v>
      </c>
      <c r="D65" s="315" t="str">
        <f>VLOOKUP($B65,[4]BOLETIM_SEL!$A:$H,4,0)</f>
        <v>Demolição de concreto simples, de forma manual, sem reaproveitamento (REF. SICRO COD. 1600436)</v>
      </c>
      <c r="E65" s="2"/>
      <c r="F65" s="2" t="str">
        <f>VLOOKUP($B65,[4]BOLETIM_SEL!$A:$H,6,0)</f>
        <v>M3</v>
      </c>
      <c r="G65" s="1407">
        <f>VLOOKUP($B65,[4]BOLETIM_SEL!$A:$H,7,0)</f>
        <v>266.22000000000003</v>
      </c>
      <c r="H65" s="1613">
        <f>Demolicao!M5</f>
        <v>0</v>
      </c>
      <c r="I65" s="877">
        <f t="shared" ref="I65:I90" si="12">TRUNC(G65*(1+$J$5),2)</f>
        <v>321.32</v>
      </c>
      <c r="J65" s="1612">
        <f t="shared" ref="J65:J76" si="13">TRUNC(H65*I65,2)</f>
        <v>0</v>
      </c>
      <c r="K65" s="2078">
        <f t="shared" ca="1" si="9"/>
        <v>0</v>
      </c>
      <c r="L65" s="1574">
        <f t="shared" ca="1" si="10"/>
        <v>0</v>
      </c>
      <c r="M65" s="1446"/>
      <c r="N65" s="1654">
        <f>VLOOKUP($B65,[4]BOLETIM_SEL!$A:$H,3,0)</f>
        <v>0.08</v>
      </c>
      <c r="O65" s="1652">
        <f t="shared" ref="O65:O74" si="14">H65/N65</f>
        <v>0</v>
      </c>
      <c r="Q65" s="833"/>
      <c r="R65" s="833"/>
      <c r="S65" s="833"/>
      <c r="T65" s="833"/>
      <c r="U65" s="833"/>
      <c r="V65" s="833"/>
      <c r="W65" s="833"/>
      <c r="X65" s="833"/>
    </row>
    <row r="66" spans="1:24" s="813" customFormat="1" ht="30" customHeight="1" x14ac:dyDescent="0.15">
      <c r="A66" s="2081">
        <f t="shared" ca="1" si="11"/>
        <v>2.0099999999999998</v>
      </c>
      <c r="B66" s="834" t="s">
        <v>1655</v>
      </c>
      <c r="C66" s="2" t="str">
        <f>VLOOKUP($B66,[4]BOLETIM_SEL!$A:$H,2,0)</f>
        <v>COMPOSIÇÃO</v>
      </c>
      <c r="D66" s="315" t="str">
        <f>VLOOKUP($B66,[4]BOLETIM_SEL!$A:$H,4,0)</f>
        <v>Demolição de concreto simples, de forma mecanizada, sem reaproveitamento (REF. SICRO COD. 1600989, db 01-2023)</v>
      </c>
      <c r="E66" s="2"/>
      <c r="F66" s="2" t="str">
        <f>VLOOKUP($B66,[4]BOLETIM_SEL!$A:$H,6,0)</f>
        <v>M3</v>
      </c>
      <c r="G66" s="1407">
        <f>VLOOKUP($B66,[4]BOLETIM_SEL!$A:$H,7,0)</f>
        <v>238.67</v>
      </c>
      <c r="H66" s="1613">
        <f>Demolicao!M10</f>
        <v>251.09</v>
      </c>
      <c r="I66" s="877">
        <f t="shared" si="12"/>
        <v>288.07</v>
      </c>
      <c r="J66" s="1612">
        <f t="shared" si="13"/>
        <v>72331.490000000005</v>
      </c>
      <c r="K66" s="2078">
        <f t="shared" ca="1" si="9"/>
        <v>5.397607405816727E-3</v>
      </c>
      <c r="L66" s="1574">
        <f t="shared" ca="1" si="10"/>
        <v>0.42160881045754839</v>
      </c>
      <c r="M66" s="1446"/>
      <c r="N66" s="1654">
        <f>VLOOKUP($B66,[4]BOLETIM_SEL!$A:$H,3,0)</f>
        <v>0.6</v>
      </c>
      <c r="O66" s="1652">
        <f t="shared" si="14"/>
        <v>418.48333333333335</v>
      </c>
      <c r="Q66" s="833"/>
      <c r="R66" s="833"/>
      <c r="S66" s="833"/>
      <c r="T66" s="833"/>
      <c r="U66" s="833"/>
      <c r="V66" s="833"/>
      <c r="W66" s="833"/>
      <c r="X66" s="833"/>
    </row>
    <row r="67" spans="1:24" s="813" customFormat="1" ht="30" hidden="1" customHeight="1" x14ac:dyDescent="0.15">
      <c r="A67" s="2081">
        <f t="shared" ca="1" si="11"/>
        <v>2.0099999999999998</v>
      </c>
      <c r="B67" s="834" t="s">
        <v>1656</v>
      </c>
      <c r="C67" s="2" t="str">
        <f>VLOOKUP($B67,[4]BOLETIM_SEL!$A:$H,2,0)</f>
        <v>COMPOSIÇÃO</v>
      </c>
      <c r="D67" s="315" t="str">
        <f>VLOOKUP($B67,[4]BOLETIM_SEL!$A:$H,4,0)</f>
        <v>Demolição de concreto armado, de forma manual, sem reaproveitamento (REF. SICRO COD. 1600438)</v>
      </c>
      <c r="E67" s="2"/>
      <c r="F67" s="2" t="str">
        <f>VLOOKUP($B67,[4]BOLETIM_SEL!$A:$H,6,0)</f>
        <v>M3</v>
      </c>
      <c r="G67" s="1407">
        <f>VLOOKUP($B67,[4]BOLETIM_SEL!$A:$H,7,0)</f>
        <v>425.96</v>
      </c>
      <c r="H67" s="1613">
        <f>Demolicao!M15</f>
        <v>0</v>
      </c>
      <c r="I67" s="877">
        <f t="shared" si="12"/>
        <v>514.13</v>
      </c>
      <c r="J67" s="1612">
        <f t="shared" si="13"/>
        <v>0</v>
      </c>
      <c r="K67" s="2078">
        <f t="shared" ca="1" si="9"/>
        <v>0</v>
      </c>
      <c r="L67" s="1574">
        <f t="shared" ca="1" si="10"/>
        <v>0</v>
      </c>
      <c r="M67" s="1446"/>
      <c r="N67" s="1654">
        <f>VLOOKUP($B67,[4]BOLETIM_SEL!$A:$H,3,0)</f>
        <v>0.05</v>
      </c>
      <c r="O67" s="1652">
        <f t="shared" si="14"/>
        <v>0</v>
      </c>
      <c r="Q67" s="833"/>
      <c r="R67" s="833"/>
      <c r="S67" s="833"/>
      <c r="T67" s="833"/>
      <c r="U67" s="833"/>
      <c r="V67" s="833"/>
      <c r="W67" s="833"/>
      <c r="X67" s="833"/>
    </row>
    <row r="68" spans="1:24" s="813" customFormat="1" ht="30" hidden="1" customHeight="1" x14ac:dyDescent="0.15">
      <c r="A68" s="2081">
        <f t="shared" ca="1" si="11"/>
        <v>2.0099999999999998</v>
      </c>
      <c r="B68" s="834" t="s">
        <v>1657</v>
      </c>
      <c r="C68" s="2" t="str">
        <f>VLOOKUP($B68,[4]BOLETIM_SEL!$A:$H,2,0)</f>
        <v>COMPOSIÇÃO</v>
      </c>
      <c r="D68" s="315" t="str">
        <f>VLOOKUP($B68,[4]BOLETIM_SEL!$A:$H,4,0)</f>
        <v>Demolição de concreto armado, de forma mecanizada, sem reaproveitamento (REF. SICRO COD. 1619003)</v>
      </c>
      <c r="E68" s="2"/>
      <c r="F68" s="2" t="str">
        <f>VLOOKUP($B68,[4]BOLETIM_SEL!$A:$H,6,0)</f>
        <v>M3</v>
      </c>
      <c r="G68" s="1407">
        <f>VLOOKUP($B68,[4]BOLETIM_SEL!$A:$H,7,0)</f>
        <v>157.32</v>
      </c>
      <c r="H68" s="1613">
        <f>Demolicao!M20</f>
        <v>0</v>
      </c>
      <c r="I68" s="877">
        <f t="shared" si="12"/>
        <v>189.88</v>
      </c>
      <c r="J68" s="1612">
        <f t="shared" si="13"/>
        <v>0</v>
      </c>
      <c r="K68" s="2078">
        <f t="shared" ca="1" si="9"/>
        <v>0</v>
      </c>
      <c r="L68" s="1574">
        <f t="shared" ca="1" si="10"/>
        <v>0</v>
      </c>
      <c r="M68" s="1446"/>
      <c r="N68" s="1654">
        <f>VLOOKUP($B68,[4]BOLETIM_SEL!$A:$H,3,0)</f>
        <v>4.7699999999999996</v>
      </c>
      <c r="O68" s="1652">
        <f t="shared" si="14"/>
        <v>0</v>
      </c>
      <c r="Q68" s="833"/>
      <c r="R68" s="833"/>
      <c r="S68" s="833"/>
      <c r="T68" s="833"/>
      <c r="U68" s="833"/>
      <c r="V68" s="833"/>
      <c r="W68" s="833"/>
      <c r="X68" s="833"/>
    </row>
    <row r="69" spans="1:24" s="813" customFormat="1" ht="30" hidden="1" customHeight="1" x14ac:dyDescent="0.15">
      <c r="A69" s="2081">
        <f t="shared" ca="1" si="11"/>
        <v>2.0099999999999998</v>
      </c>
      <c r="B69" s="834">
        <v>97624</v>
      </c>
      <c r="C69" s="2" t="str">
        <f>VLOOKUP($B69,[4]BOLETIM_SEL!$A:$H,2,0)</f>
        <v>SINAPI</v>
      </c>
      <c r="D69" s="315" t="str">
        <f>VLOOKUP($B69,[4]BOLETIM_SEL!$A:$H,4,0)</f>
        <v>Demolição de alvenaria de tijolo maciço, de forma manual, sem reaproveitamento. AF_12/2017</v>
      </c>
      <c r="E69" s="2"/>
      <c r="F69" s="2" t="str">
        <f>VLOOKUP($B69,[4]BOLETIM_SEL!$A:$H,6,0)</f>
        <v>M3</v>
      </c>
      <c r="G69" s="1407">
        <f>VLOOKUP($B69,[4]BOLETIM_SEL!$A:$H,7,0)</f>
        <v>92.74</v>
      </c>
      <c r="H69" s="1613">
        <f>Demolicao!M25</f>
        <v>0</v>
      </c>
      <c r="I69" s="877">
        <f t="shared" si="12"/>
        <v>111.93</v>
      </c>
      <c r="J69" s="1612">
        <f t="shared" si="13"/>
        <v>0</v>
      </c>
      <c r="K69" s="2078">
        <f t="shared" ca="1" si="9"/>
        <v>0</v>
      </c>
      <c r="L69" s="1574">
        <f t="shared" ca="1" si="10"/>
        <v>0</v>
      </c>
      <c r="M69" s="1446"/>
      <c r="N69" s="1654">
        <f>VLOOKUP($B69,[4]BOLETIM_SEL!$A:$H,3,0)</f>
        <v>2.36</v>
      </c>
      <c r="O69" s="1652">
        <f t="shared" si="14"/>
        <v>0</v>
      </c>
      <c r="Q69" s="833"/>
      <c r="R69" s="833"/>
      <c r="S69" s="833"/>
      <c r="T69" s="833"/>
      <c r="U69" s="833"/>
      <c r="V69" s="833"/>
      <c r="W69" s="833"/>
      <c r="X69" s="833"/>
    </row>
    <row r="70" spans="1:24" s="813" customFormat="1" ht="30" hidden="1" customHeight="1" x14ac:dyDescent="0.15">
      <c r="A70" s="2081">
        <f t="shared" ca="1" si="11"/>
        <v>2.0099999999999998</v>
      </c>
      <c r="B70" s="834" t="s">
        <v>1660</v>
      </c>
      <c r="C70" s="2" t="str">
        <f>VLOOKUP($B70,[4]BOLETIM_SEL!$A:$H,2,0)</f>
        <v>COMPOSIÇÃO</v>
      </c>
      <c r="D70" s="315" t="str">
        <f>VLOOKUP($B70,[4]BOLETIM_SEL!$A:$H,4,0)</f>
        <v>Demolição de alvenaria de pedra, de forma manual, com reaproveitamento</v>
      </c>
      <c r="E70" s="2"/>
      <c r="F70" s="2" t="str">
        <f>VLOOKUP($B70,[4]BOLETIM_SEL!$A:$H,6,0)</f>
        <v>M3</v>
      </c>
      <c r="G70" s="1407">
        <f>VLOOKUP($B70,[4]BOLETIM_SEL!$A:$H,7,0)</f>
        <v>85.19</v>
      </c>
      <c r="H70" s="1613">
        <f>Demolicao!M30</f>
        <v>0</v>
      </c>
      <c r="I70" s="877">
        <f t="shared" si="12"/>
        <v>102.82</v>
      </c>
      <c r="J70" s="1612">
        <f t="shared" si="13"/>
        <v>0</v>
      </c>
      <c r="K70" s="2078">
        <f t="shared" ca="1" si="9"/>
        <v>0</v>
      </c>
      <c r="L70" s="1574">
        <f t="shared" ca="1" si="10"/>
        <v>0</v>
      </c>
      <c r="M70" s="1446"/>
      <c r="N70" s="1654">
        <f>VLOOKUP($B70,[4]BOLETIM_SEL!$A:$H,3,0)</f>
        <v>2.5</v>
      </c>
      <c r="O70" s="1652">
        <f t="shared" si="14"/>
        <v>0</v>
      </c>
      <c r="Q70" s="833"/>
      <c r="R70" s="833"/>
      <c r="S70" s="833"/>
      <c r="T70" s="833"/>
      <c r="U70" s="833"/>
      <c r="V70" s="833"/>
      <c r="W70" s="833"/>
      <c r="X70" s="833"/>
    </row>
    <row r="71" spans="1:24" s="813" customFormat="1" ht="30" hidden="1" customHeight="1" x14ac:dyDescent="0.15">
      <c r="A71" s="2081">
        <f t="shared" ca="1" si="11"/>
        <v>2.0099999999999998</v>
      </c>
      <c r="B71" s="834" t="s">
        <v>1658</v>
      </c>
      <c r="C71" s="2" t="str">
        <f>VLOOKUP($B71,[4]BOLETIM_SEL!$A:$H,2,0)</f>
        <v>COMPOSIÇÃO</v>
      </c>
      <c r="D71" s="315" t="str">
        <f>VLOOKUP($B71,[4]BOLETIM_SEL!$A:$H,4,0)</f>
        <v>Demolição de piso em ladrilho, de forma mecanizada, sem reaproveitamento (REF. SINAPI COD. 97634)</v>
      </c>
      <c r="E71" s="2"/>
      <c r="F71" s="2" t="str">
        <f>VLOOKUP($B71,[4]BOLETIM_SEL!$A:$H,6,0)</f>
        <v>M2</v>
      </c>
      <c r="G71" s="1407">
        <f>VLOOKUP($B71,[4]BOLETIM_SEL!$A:$H,7,0)</f>
        <v>11.79</v>
      </c>
      <c r="H71" s="1613">
        <f>Demolicao!M34</f>
        <v>0</v>
      </c>
      <c r="I71" s="877">
        <f t="shared" si="12"/>
        <v>14.23</v>
      </c>
      <c r="J71" s="1612">
        <f t="shared" si="13"/>
        <v>0</v>
      </c>
      <c r="K71" s="2078">
        <f t="shared" ca="1" si="9"/>
        <v>0</v>
      </c>
      <c r="L71" s="1574">
        <f t="shared" ca="1" si="10"/>
        <v>0</v>
      </c>
      <c r="M71" s="1446"/>
      <c r="N71" s="1661">
        <f>VLOOKUP($B71,[4]BOLETIM_SEL!$A:$H,3,0)</f>
        <v>7.15</v>
      </c>
      <c r="O71" s="1652">
        <f t="shared" si="14"/>
        <v>0</v>
      </c>
      <c r="Q71" s="833"/>
      <c r="R71" s="833"/>
      <c r="S71" s="833"/>
      <c r="T71" s="833"/>
      <c r="U71" s="833"/>
      <c r="V71" s="833"/>
      <c r="W71" s="833"/>
      <c r="X71" s="833"/>
    </row>
    <row r="72" spans="1:24" s="813" customFormat="1" ht="30" customHeight="1" x14ac:dyDescent="0.15">
      <c r="A72" s="2081">
        <f t="shared" ca="1" si="11"/>
        <v>2.0199999999999996</v>
      </c>
      <c r="B72" s="834">
        <v>97636</v>
      </c>
      <c r="C72" s="2" t="str">
        <f>VLOOKUP($B72,[4]BOLETIM_SEL!$A:$H,2,0)</f>
        <v>SINAPI</v>
      </c>
      <c r="D72" s="315" t="str">
        <f>VLOOKUP($B72,[4]BOLETIM_SEL!$A:$H,4,0)</f>
        <v>Demolição parcial de pavimento asfáltico, de forma mecanizada, sem reaproveitamento. AF_12/2017</v>
      </c>
      <c r="E72" s="2"/>
      <c r="F72" s="2" t="str">
        <f>VLOOKUP($B72,[4]BOLETIM_SEL!$A:$H,6,0)</f>
        <v>M2</v>
      </c>
      <c r="G72" s="1407">
        <f>VLOOKUP($B72,[4]BOLETIM_SEL!$A:$H,7,0)</f>
        <v>17.72</v>
      </c>
      <c r="H72" s="1613">
        <f ca="1">Demolicao!M40</f>
        <v>712.25</v>
      </c>
      <c r="I72" s="877">
        <f t="shared" si="12"/>
        <v>21.38</v>
      </c>
      <c r="J72" s="1612">
        <f ca="1">TRUNC(H72*I72,2)</f>
        <v>15227.9</v>
      </c>
      <c r="K72" s="2078">
        <f t="shared" ca="1" si="9"/>
        <v>1.1363546612275861E-3</v>
      </c>
      <c r="L72" s="1574">
        <f t="shared" ca="1" si="10"/>
        <v>8.8761019643954539E-2</v>
      </c>
      <c r="M72" s="1446"/>
      <c r="N72" s="1654">
        <f>VLOOKUP($B72,[4]BOLETIM_SEL!$A:$H,3,0)</f>
        <v>8.18</v>
      </c>
      <c r="O72" s="1652">
        <f t="shared" ca="1" si="14"/>
        <v>87.072127139364312</v>
      </c>
      <c r="Q72" s="833"/>
      <c r="R72" s="833"/>
      <c r="S72" s="833"/>
      <c r="T72" s="833"/>
      <c r="U72" s="833"/>
      <c r="V72" s="833"/>
      <c r="W72" s="833"/>
      <c r="X72" s="833"/>
    </row>
    <row r="73" spans="1:24" s="813" customFormat="1" ht="30" hidden="1" customHeight="1" x14ac:dyDescent="0.15">
      <c r="A73" s="2081">
        <f t="shared" ca="1" si="11"/>
        <v>2.0199999999999996</v>
      </c>
      <c r="B73" s="834" t="s">
        <v>1659</v>
      </c>
      <c r="C73" s="2" t="str">
        <f>VLOOKUP($B73,[4]BOLETIM_SEL!$A:$H,2,0)</f>
        <v>COMPOSIÇÃO</v>
      </c>
      <c r="D73" s="315" t="str">
        <f>VLOOKUP($B73,[4]BOLETIM_SEL!$A:$H,4,0)</f>
        <v>Remoção de piso em bloco de concreto, de forma mecanizada, sem reaproveitamento</v>
      </c>
      <c r="E73" s="2"/>
      <c r="F73" s="2" t="str">
        <f>VLOOKUP($B73,[4]BOLETIM_SEL!$A:$H,6,0)</f>
        <v>M2</v>
      </c>
      <c r="G73" s="1407">
        <f>VLOOKUP($B73,[4]BOLETIM_SEL!$A:$H,7,0)</f>
        <v>12.24</v>
      </c>
      <c r="H73" s="1613">
        <f>Demolicao!M46</f>
        <v>0</v>
      </c>
      <c r="I73" s="877">
        <f t="shared" si="12"/>
        <v>14.77</v>
      </c>
      <c r="J73" s="1612">
        <f t="shared" si="13"/>
        <v>0</v>
      </c>
      <c r="K73" s="2078">
        <f t="shared" ca="1" si="9"/>
        <v>0</v>
      </c>
      <c r="L73" s="1574">
        <f t="shared" ca="1" si="10"/>
        <v>0</v>
      </c>
      <c r="M73" s="1446"/>
      <c r="N73" s="1654">
        <f>VLOOKUP($B73,[4]BOLETIM_SEL!$A:$H,3,0)</f>
        <v>21.78</v>
      </c>
      <c r="O73" s="1652">
        <f t="shared" si="14"/>
        <v>0</v>
      </c>
      <c r="Q73" s="833"/>
      <c r="R73" s="833"/>
      <c r="S73" s="833"/>
      <c r="T73" s="833"/>
      <c r="U73" s="833"/>
      <c r="V73" s="833"/>
      <c r="W73" s="833"/>
      <c r="X73" s="833"/>
    </row>
    <row r="74" spans="1:24" s="813" customFormat="1" ht="30" customHeight="1" x14ac:dyDescent="0.15">
      <c r="A74" s="2081">
        <f t="shared" ca="1" si="11"/>
        <v>2.0299999999999994</v>
      </c>
      <c r="B74" s="834" t="s">
        <v>1663</v>
      </c>
      <c r="C74" s="2" t="str">
        <f>VLOOKUP($B74,[4]BOLETIM_SEL!$A:$H,2,0)</f>
        <v>COMPOSIÇÃO</v>
      </c>
      <c r="D74" s="315" t="str">
        <f>VLOOKUP($B74,[4]BOLETIM_SEL!$A:$H,4,0)</f>
        <v>Recorte mecânico de pavimento asfáltico ou piso de concreto, com serra de disco diamantado para piso/asfalto</v>
      </c>
      <c r="E74" s="2"/>
      <c r="F74" s="2" t="str">
        <f>VLOOKUP($B74,[4]BOLETIM_SEL!$A:$H,6,0)</f>
        <v>M</v>
      </c>
      <c r="G74" s="1407">
        <f>VLOOKUP($B74,[4]BOLETIM_SEL!$A:$H,7,0)</f>
        <v>3.3</v>
      </c>
      <c r="H74" s="1613">
        <f>Demolicao!M53+Demolicao!M54</f>
        <v>3859.97</v>
      </c>
      <c r="I74" s="877">
        <f t="shared" si="12"/>
        <v>3.98</v>
      </c>
      <c r="J74" s="1612">
        <f>TRUNC(H74*I74,2)</f>
        <v>15362.68</v>
      </c>
      <c r="K74" s="2078">
        <f t="shared" ca="1" si="9"/>
        <v>1.1464123764240515E-3</v>
      </c>
      <c r="L74" s="1574">
        <f t="shared" ca="1" si="10"/>
        <v>8.9546630938198146E-2</v>
      </c>
      <c r="M74" s="1446"/>
      <c r="N74" s="1654">
        <f>VLOOKUP($B74,[4]BOLETIM_SEL!$A:$H,3,0)</f>
        <v>12</v>
      </c>
      <c r="O74" s="1652">
        <f t="shared" si="14"/>
        <v>321.66416666666663</v>
      </c>
      <c r="Q74" s="833"/>
      <c r="R74" s="833"/>
      <c r="S74" s="833"/>
      <c r="T74" s="833"/>
      <c r="U74" s="833"/>
      <c r="V74" s="833"/>
      <c r="W74" s="833"/>
      <c r="X74" s="833"/>
    </row>
    <row r="75" spans="1:24" s="813" customFormat="1" ht="30" hidden="1" customHeight="1" x14ac:dyDescent="0.15">
      <c r="A75" s="2081">
        <f t="shared" ca="1" si="11"/>
        <v>2.0299999999999994</v>
      </c>
      <c r="B75" s="834" t="s">
        <v>1661</v>
      </c>
      <c r="C75" s="2" t="str">
        <f>VLOOKUP($B75,[4]BOLETIM_SEL!$A:$H,2,0)</f>
        <v>COMPOSIÇÃO</v>
      </c>
      <c r="D75" s="315" t="str">
        <f>VLOOKUP($B75,[4]BOLETIM_SEL!$A:$H,4,0)</f>
        <v>Demolição de boca de lobo, incluindo carga e bota-fora do entulho e reaterro da cava</v>
      </c>
      <c r="E75" s="2"/>
      <c r="F75" s="2" t="str">
        <f>VLOOKUP($B75,[4]BOLETIM_SEL!$A:$H,6,0)</f>
        <v xml:space="preserve">UN </v>
      </c>
      <c r="G75" s="1407">
        <f>VLOOKUP($B75,[4]BOLETIM_SEL!$A:$H,7,0)</f>
        <v>453.55</v>
      </c>
      <c r="H75" s="1613">
        <f>Demolicao!M55</f>
        <v>0</v>
      </c>
      <c r="I75" s="877">
        <f t="shared" si="12"/>
        <v>547.42999999999995</v>
      </c>
      <c r="J75" s="1612">
        <f t="shared" si="13"/>
        <v>0</v>
      </c>
      <c r="K75" s="2078">
        <f t="shared" ca="1" si="9"/>
        <v>0</v>
      </c>
      <c r="L75" s="1574">
        <f t="shared" ca="1" si="10"/>
        <v>0</v>
      </c>
      <c r="M75" s="1446"/>
      <c r="N75" s="833"/>
      <c r="O75" s="833"/>
      <c r="Q75" s="833"/>
      <c r="R75" s="833"/>
      <c r="S75" s="833"/>
      <c r="T75" s="833"/>
      <c r="U75" s="833"/>
      <c r="V75" s="833"/>
      <c r="W75" s="833"/>
      <c r="X75" s="833"/>
    </row>
    <row r="76" spans="1:24" s="813" customFormat="1" ht="30" hidden="1" customHeight="1" x14ac:dyDescent="0.15">
      <c r="A76" s="2081">
        <f t="shared" ca="1" si="11"/>
        <v>2.0299999999999994</v>
      </c>
      <c r="B76" s="834" t="s">
        <v>1662</v>
      </c>
      <c r="C76" s="2" t="str">
        <f>VLOOKUP($B76,[4]BOLETIM_SEL!$A:$H,2,0)</f>
        <v>COMPOSIÇÃO</v>
      </c>
      <c r="D76" s="315" t="str">
        <f>VLOOKUP($B76,[4]BOLETIM_SEL!$A:$H,4,0)</f>
        <v>Demolição de poço de visita, inclusive carga e bota-fora do entulho</v>
      </c>
      <c r="E76" s="2"/>
      <c r="F76" s="2" t="str">
        <f>VLOOKUP($B76,[4]BOLETIM_SEL!$A:$H,6,0)</f>
        <v xml:space="preserve">UN </v>
      </c>
      <c r="G76" s="1407">
        <f>VLOOKUP($B76,[4]BOLETIM_SEL!$A:$H,7,0)</f>
        <v>948.47</v>
      </c>
      <c r="H76" s="1613">
        <f>Demolicao!M56</f>
        <v>0</v>
      </c>
      <c r="I76" s="877">
        <f t="shared" si="12"/>
        <v>1144.8</v>
      </c>
      <c r="J76" s="1612">
        <f t="shared" si="13"/>
        <v>0</v>
      </c>
      <c r="K76" s="2078">
        <f t="shared" ca="1" si="9"/>
        <v>0</v>
      </c>
      <c r="L76" s="1574">
        <f t="shared" ca="1" si="10"/>
        <v>0</v>
      </c>
      <c r="M76" s="1446"/>
      <c r="N76" s="833"/>
      <c r="O76" s="833"/>
      <c r="Q76" s="833"/>
      <c r="R76" s="833"/>
      <c r="S76" s="833"/>
      <c r="T76" s="833"/>
      <c r="U76" s="833"/>
      <c r="V76" s="833"/>
      <c r="W76" s="833"/>
      <c r="X76" s="833"/>
    </row>
    <row r="77" spans="1:24" s="813" customFormat="1" ht="39.950000000000003" customHeight="1" x14ac:dyDescent="0.15">
      <c r="A77" s="2081">
        <f t="shared" ca="1" si="11"/>
        <v>2.0399999999999991</v>
      </c>
      <c r="B77" s="834">
        <v>98526</v>
      </c>
      <c r="C77" s="2" t="str">
        <f>VLOOKUP($B77,[4]BOLETIM_SEL!$A:$H,2,0)</f>
        <v>SINAPI</v>
      </c>
      <c r="D77" s="315" t="str">
        <f>VLOOKUP($B77,[4]BOLETIM_SEL!$A:$H,4,0)</f>
        <v>Remoção de raízes remanescentes de tronco de árvore com diâmetro maior ou igual a 0,20 m e menor que 0,40 m. AF_05/2018</v>
      </c>
      <c r="E77" s="2"/>
      <c r="F77" s="2" t="str">
        <f>VLOOKUP($B77,[4]BOLETIM_SEL!$A:$H,6,0)</f>
        <v>UN</v>
      </c>
      <c r="G77" s="1407">
        <f>VLOOKUP($B77,[4]BOLETIM_SEL!$A:$H,7,0)</f>
        <v>76.540000000000006</v>
      </c>
      <c r="H77" s="1613">
        <f>Demolicao!M57</f>
        <v>104</v>
      </c>
      <c r="I77" s="877">
        <f t="shared" si="12"/>
        <v>92.38</v>
      </c>
      <c r="J77" s="1612">
        <f t="shared" ref="J77:J86" si="15">TRUNC(H77*I77,2)</f>
        <v>9607.52</v>
      </c>
      <c r="K77" s="2078">
        <f t="shared" ca="1" si="9"/>
        <v>7.1694390788206244E-4</v>
      </c>
      <c r="L77" s="1574">
        <f t="shared" ca="1" si="10"/>
        <v>5.6000713916540434E-2</v>
      </c>
      <c r="M77" s="1446"/>
      <c r="N77" s="833"/>
      <c r="O77" s="833"/>
      <c r="Q77" s="833"/>
      <c r="R77" s="833"/>
      <c r="S77" s="833"/>
      <c r="T77" s="833"/>
      <c r="U77" s="833"/>
      <c r="V77" s="833"/>
      <c r="W77" s="833"/>
      <c r="X77" s="833"/>
    </row>
    <row r="78" spans="1:24" s="813" customFormat="1" ht="39.950000000000003" customHeight="1" x14ac:dyDescent="0.15">
      <c r="A78" s="2081">
        <f t="shared" ca="1" si="11"/>
        <v>2.0499999999999989</v>
      </c>
      <c r="B78" s="834">
        <v>98527</v>
      </c>
      <c r="C78" s="2" t="str">
        <f>VLOOKUP($B78,[4]BOLETIM_SEL!$A:$H,2,0)</f>
        <v>SINAPI</v>
      </c>
      <c r="D78" s="315" t="str">
        <f>VLOOKUP($B78,[4]BOLETIM_SEL!$A:$H,4,0)</f>
        <v>Remoção de raízes remanescentes de tronco de árvore com diâmetro maior ou igual a 0,40 m e menor que 0,60 m. AF_05/2018</v>
      </c>
      <c r="E78" s="2"/>
      <c r="F78" s="2" t="str">
        <f>VLOOKUP($B78,[4]BOLETIM_SEL!$A:$H,6,0)</f>
        <v>UN</v>
      </c>
      <c r="G78" s="1407">
        <f>VLOOKUP($B78,[4]BOLETIM_SEL!$A:$H,7,0)</f>
        <v>164.8</v>
      </c>
      <c r="H78" s="1613">
        <f>Demolicao!M58</f>
        <v>3</v>
      </c>
      <c r="I78" s="877">
        <f t="shared" si="12"/>
        <v>198.91</v>
      </c>
      <c r="J78" s="1612">
        <f t="shared" si="15"/>
        <v>596.73</v>
      </c>
      <c r="K78" s="2078">
        <f t="shared" ca="1" si="9"/>
        <v>4.4529903466291316E-5</v>
      </c>
      <c r="L78" s="1574">
        <f t="shared" ca="1" si="10"/>
        <v>3.4782447515505745E-3</v>
      </c>
      <c r="M78" s="1446"/>
      <c r="N78" s="833"/>
      <c r="O78" s="833"/>
      <c r="Q78" s="833"/>
      <c r="R78" s="833"/>
      <c r="S78" s="833"/>
      <c r="T78" s="833"/>
      <c r="U78" s="833"/>
      <c r="V78" s="833"/>
      <c r="W78" s="833"/>
      <c r="X78" s="833"/>
    </row>
    <row r="79" spans="1:24" s="813" customFormat="1" ht="30" hidden="1" customHeight="1" x14ac:dyDescent="0.15">
      <c r="A79" s="2081">
        <f t="shared" ca="1" si="11"/>
        <v>2.0499999999999989</v>
      </c>
      <c r="B79" s="834">
        <v>98528</v>
      </c>
      <c r="C79" s="2" t="str">
        <f>VLOOKUP($B79,[4]BOLETIM_SEL!$A:$H,2,0)</f>
        <v>SINAPI</v>
      </c>
      <c r="D79" s="315" t="str">
        <f>VLOOKUP($B79,[4]BOLETIM_SEL!$A:$H,4,0)</f>
        <v>Remoção de raízes remanescentes de tronco de árvore com diâmetro maior ou igual a 0,60 m. AF_05/2018</v>
      </c>
      <c r="E79" s="2"/>
      <c r="F79" s="2" t="str">
        <f>VLOOKUP($B79,[4]BOLETIM_SEL!$A:$H,6,0)</f>
        <v>UN</v>
      </c>
      <c r="G79" s="1407">
        <f>VLOOKUP($B79,[4]BOLETIM_SEL!$A:$H,7,0)</f>
        <v>241</v>
      </c>
      <c r="H79" s="1613">
        <f>Demolicao!M59</f>
        <v>0</v>
      </c>
      <c r="I79" s="877">
        <f t="shared" si="12"/>
        <v>290.88</v>
      </c>
      <c r="J79" s="1612">
        <f t="shared" si="15"/>
        <v>0</v>
      </c>
      <c r="K79" s="2078">
        <f t="shared" ca="1" si="9"/>
        <v>0</v>
      </c>
      <c r="L79" s="1574">
        <f t="shared" ca="1" si="10"/>
        <v>0</v>
      </c>
      <c r="M79" s="1446"/>
      <c r="N79" s="833"/>
      <c r="O79" s="833"/>
      <c r="Q79" s="833"/>
      <c r="R79" s="833"/>
      <c r="S79" s="833"/>
      <c r="T79" s="833"/>
      <c r="U79" s="833"/>
      <c r="V79" s="833"/>
      <c r="W79" s="833"/>
      <c r="X79" s="833"/>
    </row>
    <row r="80" spans="1:24" s="813" customFormat="1" ht="39.950000000000003" customHeight="1" x14ac:dyDescent="0.15">
      <c r="A80" s="2081">
        <f t="shared" ca="1" si="11"/>
        <v>2.0599999999999987</v>
      </c>
      <c r="B80" s="834">
        <v>98529</v>
      </c>
      <c r="C80" s="2" t="str">
        <f>VLOOKUP($B80,[4]BOLETIM_SEL!$A:$H,2,0)</f>
        <v>SINAPI</v>
      </c>
      <c r="D80" s="315" t="str">
        <f>VLOOKUP($B80,[4]BOLETIM_SEL!$A:$H,4,0)</f>
        <v>Corte raso e recorte de árvore com diâmetro nominal de tronco maior ou igual a 0,20 m e menor que 0,40 m. AF_05/2018</v>
      </c>
      <c r="E80" s="2"/>
      <c r="F80" s="2" t="str">
        <f>VLOOKUP($B80,[4]BOLETIM_SEL!$A:$H,6,0)</f>
        <v>UN</v>
      </c>
      <c r="G80" s="1407">
        <f>VLOOKUP($B80,[4]BOLETIM_SEL!$A:$H,7,0)</f>
        <v>60.84</v>
      </c>
      <c r="H80" s="1613">
        <f>Demolicao!M60</f>
        <v>104</v>
      </c>
      <c r="I80" s="877">
        <f t="shared" si="12"/>
        <v>73.430000000000007</v>
      </c>
      <c r="J80" s="1612">
        <f t="shared" si="15"/>
        <v>7636.72</v>
      </c>
      <c r="K80" s="2078">
        <f t="shared" ca="1" si="9"/>
        <v>5.6987650092855426E-4</v>
      </c>
      <c r="L80" s="1574">
        <f t="shared" ca="1" si="10"/>
        <v>4.4513232549161771E-2</v>
      </c>
      <c r="M80" s="1446"/>
      <c r="N80" s="833"/>
      <c r="O80" s="833"/>
      <c r="Q80" s="833"/>
      <c r="R80" s="833"/>
      <c r="S80" s="833"/>
      <c r="T80" s="833"/>
      <c r="U80" s="833"/>
      <c r="V80" s="833"/>
      <c r="W80" s="833"/>
      <c r="X80" s="833"/>
    </row>
    <row r="81" spans="1:24" s="813" customFormat="1" ht="39.950000000000003" customHeight="1" x14ac:dyDescent="0.15">
      <c r="A81" s="2081">
        <f t="shared" ca="1" si="11"/>
        <v>2.0699999999999985</v>
      </c>
      <c r="B81" s="834">
        <v>98530</v>
      </c>
      <c r="C81" s="2" t="str">
        <f>VLOOKUP($B81,[4]BOLETIM_SEL!$A:$H,2,0)</f>
        <v>SINAPI</v>
      </c>
      <c r="D81" s="315" t="str">
        <f>VLOOKUP($B81,[4]BOLETIM_SEL!$A:$H,4,0)</f>
        <v>Corte raso e recorte de árvore com diâmetro nominal de tronco maior ou igual a 0,40 m e menor que 0,60 m. AF_05/2018</v>
      </c>
      <c r="E81" s="2"/>
      <c r="F81" s="2" t="str">
        <f>VLOOKUP($B81,[4]BOLETIM_SEL!$A:$H,6,0)</f>
        <v>UN</v>
      </c>
      <c r="G81" s="1407">
        <f>VLOOKUP($B81,[4]BOLETIM_SEL!$A:$H,7,0)</f>
        <v>108.38</v>
      </c>
      <c r="H81" s="1613">
        <f>Demolicao!M61</f>
        <v>3</v>
      </c>
      <c r="I81" s="877">
        <f t="shared" si="12"/>
        <v>130.81</v>
      </c>
      <c r="J81" s="1612">
        <f t="shared" si="15"/>
        <v>392.43</v>
      </c>
      <c r="K81" s="2078">
        <f t="shared" ca="1" si="9"/>
        <v>2.9284383250844939E-5</v>
      </c>
      <c r="L81" s="1574">
        <f t="shared" ca="1" si="10"/>
        <v>2.2874123772074336E-3</v>
      </c>
      <c r="M81" s="1446"/>
      <c r="N81" s="833"/>
      <c r="O81" s="833"/>
      <c r="Q81" s="833"/>
      <c r="R81" s="833"/>
      <c r="S81" s="833"/>
      <c r="T81" s="833"/>
      <c r="U81" s="833"/>
      <c r="V81" s="833"/>
      <c r="W81" s="833"/>
      <c r="X81" s="833"/>
    </row>
    <row r="82" spans="1:24" s="813" customFormat="1" ht="30" hidden="1" customHeight="1" x14ac:dyDescent="0.15">
      <c r="A82" s="2081">
        <f t="shared" ca="1" si="11"/>
        <v>2.0699999999999985</v>
      </c>
      <c r="B82" s="834">
        <v>98531</v>
      </c>
      <c r="C82" s="2" t="str">
        <f>VLOOKUP($B82,[4]BOLETIM_SEL!$A:$H,2,0)</f>
        <v>SINAPI</v>
      </c>
      <c r="D82" s="315" t="str">
        <f>VLOOKUP($B82,[4]BOLETIM_SEL!$A:$H,4,0)</f>
        <v>Corte raso e recorte de árvore com diâmetro nominal de tronco maior ou igual a 0,60 m. AF_05/2018</v>
      </c>
      <c r="E82" s="2"/>
      <c r="F82" s="2" t="str">
        <f>VLOOKUP($B82,[4]BOLETIM_SEL!$A:$H,6,0)</f>
        <v>UN</v>
      </c>
      <c r="G82" s="1407">
        <f>VLOOKUP($B82,[4]BOLETIM_SEL!$A:$H,7,0)</f>
        <v>256.89999999999998</v>
      </c>
      <c r="H82" s="1613">
        <f>Demolicao!M62</f>
        <v>0</v>
      </c>
      <c r="I82" s="877">
        <f t="shared" si="12"/>
        <v>310.07</v>
      </c>
      <c r="J82" s="1612">
        <f t="shared" si="15"/>
        <v>0</v>
      </c>
      <c r="K82" s="2078">
        <f t="shared" ca="1" si="9"/>
        <v>0</v>
      </c>
      <c r="L82" s="1574">
        <f t="shared" ca="1" si="10"/>
        <v>0</v>
      </c>
      <c r="M82" s="1446"/>
      <c r="N82" s="833"/>
      <c r="O82" s="833"/>
      <c r="Q82" s="833"/>
      <c r="R82" s="833"/>
      <c r="S82" s="833"/>
      <c r="T82" s="833"/>
      <c r="U82" s="833"/>
      <c r="V82" s="833"/>
      <c r="W82" s="833"/>
      <c r="X82" s="833"/>
    </row>
    <row r="83" spans="1:24" s="813" customFormat="1" ht="30" hidden="1" customHeight="1" x14ac:dyDescent="0.15">
      <c r="A83" s="2081">
        <f t="shared" ca="1" si="11"/>
        <v>2.0699999999999985</v>
      </c>
      <c r="B83" s="834">
        <v>98532</v>
      </c>
      <c r="C83" s="2" t="str">
        <f>VLOOKUP($B83,[4]BOLETIM_SEL!$A:$H,2,0)</f>
        <v>SINAPI</v>
      </c>
      <c r="D83" s="315" t="str">
        <f>VLOOKUP($B83,[4]BOLETIM_SEL!$A:$H,4,0)</f>
        <v>Poda em altura de árvore com diâmetro nominal de tronco menor que 0,20 m. AF_05/2018</v>
      </c>
      <c r="E83" s="2"/>
      <c r="F83" s="2" t="str">
        <f>VLOOKUP($B83,[4]BOLETIM_SEL!$A:$H,6,0)</f>
        <v>UN</v>
      </c>
      <c r="G83" s="1407">
        <f>VLOOKUP($B83,[4]BOLETIM_SEL!$A:$H,7,0)</f>
        <v>106.25</v>
      </c>
      <c r="H83" s="1613">
        <f>Demolicao!M63</f>
        <v>0</v>
      </c>
      <c r="I83" s="877">
        <f t="shared" si="12"/>
        <v>128.24</v>
      </c>
      <c r="J83" s="1612">
        <f t="shared" si="15"/>
        <v>0</v>
      </c>
      <c r="K83" s="2078">
        <f t="shared" ca="1" si="9"/>
        <v>0</v>
      </c>
      <c r="L83" s="1574">
        <f t="shared" ca="1" si="10"/>
        <v>0</v>
      </c>
      <c r="M83" s="1446"/>
      <c r="N83" s="833"/>
      <c r="O83" s="833"/>
      <c r="Q83" s="833"/>
      <c r="R83" s="833"/>
      <c r="S83" s="833"/>
      <c r="T83" s="833"/>
      <c r="U83" s="833"/>
      <c r="V83" s="833"/>
      <c r="W83" s="833"/>
      <c r="X83" s="833"/>
    </row>
    <row r="84" spans="1:24" s="813" customFormat="1" ht="30" customHeight="1" x14ac:dyDescent="0.15">
      <c r="A84" s="2081">
        <f t="shared" ca="1" si="11"/>
        <v>2.0799999999999983</v>
      </c>
      <c r="B84" s="834">
        <v>98533</v>
      </c>
      <c r="C84" s="2" t="str">
        <f>VLOOKUP($B84,[4]BOLETIM_SEL!$A:$H,2,0)</f>
        <v>SINAPI</v>
      </c>
      <c r="D84" s="315" t="str">
        <f>VLOOKUP($B84,[4]BOLETIM_SEL!$A:$H,4,0)</f>
        <v>Poda em altura de árvore com diâmetro nominal de tronco maior ou igual a 0,20 m e menor que 0,40 m. AF_05/2018</v>
      </c>
      <c r="E84" s="2"/>
      <c r="F84" s="2" t="str">
        <f>VLOOKUP($B84,[4]BOLETIM_SEL!$A:$H,6,0)</f>
        <v>UN</v>
      </c>
      <c r="G84" s="1407">
        <f>VLOOKUP($B84,[4]BOLETIM_SEL!$A:$H,7,0)</f>
        <v>290.27</v>
      </c>
      <c r="H84" s="1613">
        <f>Demolicao!M64</f>
        <v>104</v>
      </c>
      <c r="I84" s="877">
        <f t="shared" si="12"/>
        <v>350.35</v>
      </c>
      <c r="J84" s="1612">
        <f t="shared" si="15"/>
        <v>36436.400000000001</v>
      </c>
      <c r="K84" s="2078">
        <f t="shared" ca="1" si="9"/>
        <v>2.7190008457077352E-3</v>
      </c>
      <c r="L84" s="1574">
        <f t="shared" ca="1" si="10"/>
        <v>0.21238201039900348</v>
      </c>
      <c r="M84" s="1446"/>
      <c r="N84" s="833"/>
      <c r="O84" s="833"/>
      <c r="Q84" s="833"/>
      <c r="R84" s="833"/>
      <c r="S84" s="833"/>
      <c r="T84" s="833"/>
      <c r="U84" s="833"/>
      <c r="V84" s="833"/>
      <c r="W84" s="833"/>
      <c r="X84" s="833"/>
    </row>
    <row r="85" spans="1:24" s="813" customFormat="1" ht="30" customHeight="1" x14ac:dyDescent="0.15">
      <c r="A85" s="2081">
        <f t="shared" ca="1" si="11"/>
        <v>2.0899999999999981</v>
      </c>
      <c r="B85" s="834">
        <v>98534</v>
      </c>
      <c r="C85" s="2" t="str">
        <f>VLOOKUP($B85,[4]BOLETIM_SEL!$A:$H,2,0)</f>
        <v>SINAPI</v>
      </c>
      <c r="D85" s="315" t="str">
        <f>VLOOKUP($B85,[4]BOLETIM_SEL!$A:$H,4,0)</f>
        <v>Poda em altura de árvore com diâmetro nominal de tronco maior ou igual a 0,40 m e menor que 0,60 m. AF_05/2018</v>
      </c>
      <c r="E85" s="2"/>
      <c r="F85" s="2" t="str">
        <f>VLOOKUP($B85,[4]BOLETIM_SEL!$A:$H,6,0)</f>
        <v>UN</v>
      </c>
      <c r="G85" s="1407">
        <f>VLOOKUP($B85,[4]BOLETIM_SEL!$A:$H,7,0)</f>
        <v>744.49</v>
      </c>
      <c r="H85" s="1613">
        <f>Demolicao!M65</f>
        <v>3</v>
      </c>
      <c r="I85" s="877">
        <f t="shared" si="12"/>
        <v>898.59</v>
      </c>
      <c r="J85" s="1612">
        <f t="shared" si="15"/>
        <v>2695.77</v>
      </c>
      <c r="K85" s="2078">
        <f t="shared" ca="1" si="9"/>
        <v>2.0116698987368513E-4</v>
      </c>
      <c r="L85" s="1574">
        <f t="shared" ca="1" si="10"/>
        <v>1.5713216787973609E-2</v>
      </c>
      <c r="M85" s="1446"/>
      <c r="N85" s="833"/>
      <c r="O85" s="833"/>
      <c r="Q85" s="833"/>
      <c r="R85" s="833"/>
      <c r="S85" s="833"/>
      <c r="T85" s="833"/>
      <c r="U85" s="833"/>
      <c r="V85" s="833"/>
      <c r="W85" s="833"/>
      <c r="X85" s="833"/>
    </row>
    <row r="86" spans="1:24" s="813" customFormat="1" ht="30" hidden="1" customHeight="1" x14ac:dyDescent="0.15">
      <c r="A86" s="2081">
        <f t="shared" ca="1" si="11"/>
        <v>2.0899999999999981</v>
      </c>
      <c r="B86" s="834">
        <v>98535</v>
      </c>
      <c r="C86" s="2" t="str">
        <f>VLOOKUP($B86,[4]BOLETIM_SEL!$A:$H,2,0)</f>
        <v>SINAPI</v>
      </c>
      <c r="D86" s="315" t="str">
        <f>VLOOKUP($B86,[4]BOLETIM_SEL!$A:$H,4,0)</f>
        <v>Poda em altura de árvore com diâmetro nominal de tronco maior ou igual a 0,60 m. AF_05/2018</v>
      </c>
      <c r="E86" s="2"/>
      <c r="F86" s="2" t="str">
        <f>VLOOKUP($B86,[4]BOLETIM_SEL!$A:$H,6,0)</f>
        <v>UN</v>
      </c>
      <c r="G86" s="1407">
        <f>VLOOKUP($B86,[4]BOLETIM_SEL!$A:$H,7,0)</f>
        <v>1176.8800000000001</v>
      </c>
      <c r="H86" s="1613">
        <f>Demolicao!M66</f>
        <v>0</v>
      </c>
      <c r="I86" s="877">
        <f t="shared" si="12"/>
        <v>1420.49</v>
      </c>
      <c r="J86" s="1612">
        <f t="shared" si="15"/>
        <v>0</v>
      </c>
      <c r="K86" s="2078">
        <f t="shared" ca="1" si="9"/>
        <v>0</v>
      </c>
      <c r="L86" s="1574">
        <f t="shared" ca="1" si="10"/>
        <v>0</v>
      </c>
      <c r="M86" s="1446"/>
      <c r="N86" s="833"/>
      <c r="O86" s="833"/>
      <c r="Q86" s="833"/>
      <c r="R86" s="833"/>
      <c r="S86" s="833"/>
      <c r="T86" s="833"/>
      <c r="U86" s="833"/>
      <c r="V86" s="833"/>
      <c r="W86" s="833"/>
      <c r="X86" s="833"/>
    </row>
    <row r="87" spans="1:24" s="813" customFormat="1" ht="30" hidden="1" customHeight="1" x14ac:dyDescent="0.15">
      <c r="A87" s="2081">
        <f t="shared" ca="1" si="11"/>
        <v>2.0899999999999981</v>
      </c>
      <c r="B87" s="834" t="s">
        <v>2417</v>
      </c>
      <c r="C87" s="2" t="str">
        <f>VLOOKUP($B87,[4]BOLETIM_SEL!$A:$H,2,0)</f>
        <v>COMPOSIÇÃO</v>
      </c>
      <c r="D87" s="315" t="str">
        <f>VLOOKUP($B87,[4]BOLETIM_SEL!$A:$H,4,0)</f>
        <v>Carga manual, manobra e descarga de entulho em caminhão basculante 6m3 (REF. SICRO COD. 72897)</v>
      </c>
      <c r="E87" s="1829"/>
      <c r="F87" s="2" t="str">
        <f>VLOOKUP($B87,[4]BOLETIM_SEL!$A:$H,6,0)</f>
        <v>M3</v>
      </c>
      <c r="G87" s="1407">
        <f>VLOOKUP($B87,[4]BOLETIM_SEL!$A:$H,7,0)</f>
        <v>26.66</v>
      </c>
      <c r="H87" s="1613">
        <f>Demolicao!M50</f>
        <v>0</v>
      </c>
      <c r="I87" s="877">
        <f t="shared" si="12"/>
        <v>32.17</v>
      </c>
      <c r="J87" s="1612">
        <f t="shared" ref="J87" si="16">TRUNC(H87*I87,2)</f>
        <v>0</v>
      </c>
      <c r="K87" s="2078">
        <f t="shared" ca="1" si="9"/>
        <v>0</v>
      </c>
      <c r="L87" s="1574">
        <f t="shared" ca="1" si="10"/>
        <v>0</v>
      </c>
      <c r="M87" s="1446"/>
      <c r="N87" s="833"/>
      <c r="O87" s="833"/>
      <c r="Q87" s="833"/>
      <c r="R87" s="833"/>
      <c r="S87" s="833"/>
      <c r="T87" s="833"/>
      <c r="U87" s="833"/>
      <c r="V87" s="833"/>
      <c r="W87" s="833"/>
      <c r="X87" s="833"/>
    </row>
    <row r="88" spans="1:24" s="813" customFormat="1" ht="39.950000000000003" customHeight="1" x14ac:dyDescent="0.15">
      <c r="A88" s="2081">
        <f t="shared" ca="1" si="11"/>
        <v>2.0999999999999979</v>
      </c>
      <c r="B88" s="2">
        <v>100983</v>
      </c>
      <c r="C88" s="2" t="str">
        <f>VLOOKUP($B88,[4]BOLETIM_SEL!$A:$H,2,0)</f>
        <v>SINAPI</v>
      </c>
      <c r="D88" s="315" t="str">
        <f>VLOOKUP($B88,[4]BOLETIM_SEL!$A:$H,4,0)</f>
        <v>Carga, manobra e descarga de entulho em caminhão basculante 14 m3 - carga com escavadeira hidráulica  (capacidade da caçamba: 0,80 m3 / potência: 111 HP) e descarga livre (unidade: m3). AF_07/2020</v>
      </c>
      <c r="E88" s="1829"/>
      <c r="F88" s="2" t="str">
        <f>VLOOKUP($B88,[4]BOLETIM_SEL!$A:$H,6,0)</f>
        <v>M3</v>
      </c>
      <c r="G88" s="1407">
        <f>VLOOKUP($B88,[4]BOLETIM_SEL!$A:$H,7,0)</f>
        <v>8.14</v>
      </c>
      <c r="H88" s="1613">
        <f ca="1">Demolicao!M52+IF(Demolicao!M72&lt;=50,Demolicao!M72,0)</f>
        <v>345.12</v>
      </c>
      <c r="I88" s="877">
        <f t="shared" si="12"/>
        <v>9.82</v>
      </c>
      <c r="J88" s="1612">
        <f ca="1">TRUNC(H88*I88,2)</f>
        <v>3389.07</v>
      </c>
      <c r="K88" s="2078">
        <f t="shared" ca="1" si="9"/>
        <v>2.5290325597926016E-4</v>
      </c>
      <c r="L88" s="1574">
        <f t="shared" ca="1" si="10"/>
        <v>1.9754352789599156E-2</v>
      </c>
      <c r="M88" s="1446"/>
      <c r="N88" s="833"/>
      <c r="O88" s="833"/>
      <c r="Q88" s="833"/>
      <c r="R88" s="833"/>
      <c r="S88" s="833"/>
      <c r="T88" s="833"/>
      <c r="U88" s="833"/>
      <c r="V88" s="833"/>
      <c r="W88" s="833"/>
      <c r="X88" s="833"/>
    </row>
    <row r="89" spans="1:24" s="813" customFormat="1" ht="39.950000000000003" hidden="1" customHeight="1" x14ac:dyDescent="0.15">
      <c r="A89" s="2081">
        <f t="shared" ca="1" si="11"/>
        <v>2.0999999999999979</v>
      </c>
      <c r="B89" s="2">
        <v>100983</v>
      </c>
      <c r="C89" s="2" t="str">
        <f>VLOOKUP($B89,[4]BOLETIM_SEL!$A:$H,2,0)</f>
        <v>SINAPI</v>
      </c>
      <c r="D89" s="315" t="str">
        <f>VLOOKUP($B89,[4]BOLETIM_SEL!$A:$H,4,0)</f>
        <v>Carga, manobra e descarga de entulho em caminhão basculante 14 m3 - carga com escavadeira hidráulica  (capacidade da caçamba: 0,80 m3 / potência: 111 HP) e descarga livre (unidade: m3). AF_07/2020</v>
      </c>
      <c r="E89" s="1829"/>
      <c r="F89" s="2" t="str">
        <f>VLOOKUP($B89,[4]BOLETIM_SEL!$A:$H,6,0)</f>
        <v>M3</v>
      </c>
      <c r="G89" s="1407">
        <f>VLOOKUP($B89,[4]BOLETIM_SEL!$A:$H,7,0)</f>
        <v>8.14</v>
      </c>
      <c r="H89" s="1613">
        <f>IF(Demolicao!M72&gt;50,Demolicao!M72,0)</f>
        <v>0</v>
      </c>
      <c r="I89" s="877">
        <f t="shared" si="12"/>
        <v>9.82</v>
      </c>
      <c r="J89" s="1612">
        <f>TRUNC(H89*I89,2)</f>
        <v>0</v>
      </c>
      <c r="K89" s="2078">
        <f t="shared" ca="1" si="9"/>
        <v>0</v>
      </c>
      <c r="L89" s="1574">
        <f t="shared" ca="1" si="10"/>
        <v>0</v>
      </c>
      <c r="M89" s="1446"/>
      <c r="N89" s="833"/>
      <c r="O89" s="833"/>
      <c r="Q89" s="833"/>
      <c r="R89" s="833"/>
      <c r="S89" s="833"/>
      <c r="T89" s="833"/>
      <c r="U89" s="833"/>
      <c r="V89" s="833"/>
      <c r="W89" s="833"/>
      <c r="X89" s="833"/>
    </row>
    <row r="90" spans="1:24" s="813" customFormat="1" ht="39.950000000000003" customHeight="1" x14ac:dyDescent="0.15">
      <c r="A90" s="2081">
        <f t="shared" ca="1" si="11"/>
        <v>2.1099999999999977</v>
      </c>
      <c r="B90" s="834" t="s">
        <v>438</v>
      </c>
      <c r="C90" s="2" t="str">
        <f>VLOOKUP($B90,[4]BOLETIM_SEL!$A:$H,2,0)</f>
        <v>COMPOSIÇÃO</v>
      </c>
      <c r="D90" s="315" t="str">
        <f>VLOOKUP($B90,[4]BOLETIM_SEL!$A:$H,4,0)</f>
        <v>Carga, manobra e descarga de materiais diversos em caminhão carroceria - carga e descaga manuais (REF. SICRO COD. 5915474)</v>
      </c>
      <c r="E90" s="2"/>
      <c r="F90" s="2" t="str">
        <f>VLOOKUP($B90,[4]BOLETIM_SEL!$A:$H,6,0)</f>
        <v>T</v>
      </c>
      <c r="G90" s="1407">
        <f>VLOOKUP($B90,[4]BOLETIM_SEL!$A:$H,7,0)</f>
        <v>28.43</v>
      </c>
      <c r="H90" s="1613">
        <f>Demolicao!M75</f>
        <v>107</v>
      </c>
      <c r="I90" s="877">
        <f t="shared" si="12"/>
        <v>34.31</v>
      </c>
      <c r="J90" s="1612">
        <f>TRUNC(H90*I90,2)</f>
        <v>3671.17</v>
      </c>
      <c r="K90" s="2078">
        <f t="shared" ca="1" si="9"/>
        <v>2.7395446132814618E-4</v>
      </c>
      <c r="L90" s="1574">
        <f t="shared" ca="1" si="10"/>
        <v>2.1398669053927104E-2</v>
      </c>
      <c r="M90" s="1446"/>
      <c r="N90" s="833"/>
      <c r="O90" s="833"/>
      <c r="Q90" s="833"/>
      <c r="R90" s="833"/>
      <c r="S90" s="833"/>
      <c r="T90" s="833"/>
      <c r="U90" s="833"/>
      <c r="V90" s="833"/>
      <c r="W90" s="833"/>
      <c r="X90" s="833"/>
    </row>
    <row r="91" spans="1:24" s="813" customFormat="1" ht="24.95" hidden="1" customHeight="1" x14ac:dyDescent="0.15">
      <c r="A91" s="2081"/>
      <c r="B91" s="834"/>
      <c r="C91" s="2"/>
      <c r="D91" s="1452" t="s">
        <v>1814</v>
      </c>
      <c r="E91" s="1445"/>
      <c r="F91" s="1445"/>
      <c r="G91" s="1822"/>
      <c r="H91" s="1445"/>
      <c r="I91" s="1445"/>
      <c r="J91" s="1561" t="str">
        <f>IF(J92=0,"-","")</f>
        <v>-</v>
      </c>
      <c r="K91" s="1943"/>
      <c r="L91" s="1574"/>
      <c r="M91" s="1445" t="s">
        <v>1674</v>
      </c>
      <c r="N91" s="833"/>
      <c r="O91" s="833"/>
      <c r="Q91" s="833"/>
      <c r="R91" s="833"/>
      <c r="S91" s="833"/>
      <c r="T91" s="833"/>
      <c r="U91" s="833"/>
      <c r="V91" s="833"/>
      <c r="W91" s="833"/>
      <c r="X91" s="833"/>
    </row>
    <row r="92" spans="1:24" s="813" customFormat="1" ht="30" hidden="1" customHeight="1" x14ac:dyDescent="0.15">
      <c r="A92" s="2081">
        <f ca="1">IF(H92&gt;0,A90+0.01,A90)</f>
        <v>2.1099999999999977</v>
      </c>
      <c r="B92" s="834">
        <v>100938</v>
      </c>
      <c r="C92" s="2" t="str">
        <f>VLOOKUP($B92,[4]BOLETIM_SEL!$A:$H,2,0)</f>
        <v>SINAPI</v>
      </c>
      <c r="D92" s="315" t="str">
        <f>VLOOKUP($B92,[4]BOLETIM_SEL!$A:$H,4,0)</f>
        <v>Transporte com caminhão basculante de 10 m3, em via interna (dentro do canteiro - unidade: m3xkm). AF_07/2020</v>
      </c>
      <c r="E92" s="2">
        <f>Dados_DMT!$B$15</f>
        <v>1</v>
      </c>
      <c r="F92" s="2" t="str">
        <f>VLOOKUP($B92,[4]BOLETIM_SEL!$A:$H,6,0)</f>
        <v>M3XKM</v>
      </c>
      <c r="G92" s="1407">
        <f>VLOOKUP($B92,[4]BOLETIM_SEL!$A:$H,7,0)</f>
        <v>6.57</v>
      </c>
      <c r="H92" s="1613">
        <f>ROUND(Demolicao!M71*E92,2)</f>
        <v>0</v>
      </c>
      <c r="I92" s="877">
        <f>TRUNC(G92*(1+$J$5),2)</f>
        <v>7.92</v>
      </c>
      <c r="J92" s="1612">
        <f>TRUNC(H92*I92,2)</f>
        <v>0</v>
      </c>
      <c r="K92" s="2078">
        <f ca="1">J92/J$967</f>
        <v>0</v>
      </c>
      <c r="L92" s="1574">
        <f ca="1">J92/$J$64</f>
        <v>0</v>
      </c>
      <c r="M92" s="1445"/>
      <c r="N92" s="833"/>
      <c r="O92" s="833"/>
      <c r="Q92" s="833"/>
      <c r="R92" s="833"/>
      <c r="S92" s="833"/>
      <c r="T92" s="833"/>
      <c r="U92" s="833"/>
      <c r="V92" s="833"/>
      <c r="W92" s="833"/>
      <c r="X92" s="833"/>
    </row>
    <row r="93" spans="1:24" s="813" customFormat="1" ht="24.95" customHeight="1" x14ac:dyDescent="0.15">
      <c r="A93" s="2081"/>
      <c r="B93" s="834"/>
      <c r="C93" s="2"/>
      <c r="D93" s="1452" t="s">
        <v>1854</v>
      </c>
      <c r="E93" s="1445"/>
      <c r="F93" s="1445"/>
      <c r="G93" s="1822"/>
      <c r="H93" s="1445"/>
      <c r="I93" s="1445"/>
      <c r="J93" s="1561" t="str">
        <f ca="1">IF(J94=0,"-","")</f>
        <v/>
      </c>
      <c r="K93" s="1943"/>
      <c r="L93" s="1574"/>
      <c r="M93" s="1445" t="s">
        <v>1953</v>
      </c>
      <c r="N93" s="833"/>
      <c r="O93" s="833"/>
      <c r="Q93" s="833"/>
      <c r="R93" s="833"/>
      <c r="S93" s="833"/>
      <c r="T93" s="833"/>
      <c r="U93" s="833"/>
      <c r="V93" s="833"/>
      <c r="W93" s="833"/>
      <c r="X93" s="833"/>
    </row>
    <row r="94" spans="1:24" s="813" customFormat="1" ht="39.950000000000003" customHeight="1" x14ac:dyDescent="0.15">
      <c r="A94" s="2081">
        <f ca="1">IF(H94&gt;0,A92+0.01,A92)</f>
        <v>2.1199999999999974</v>
      </c>
      <c r="B94" s="834">
        <f ca="1">IF(AND(M94&lt;=50,E94&lt;=30),95876,IF(AND(M94&lt;=50,E94&gt;30),93590,IF(AND(M94&gt;50,E94&lt;=30),95876,93593)))</f>
        <v>95876</v>
      </c>
      <c r="C94" s="2" t="str">
        <f ca="1">VLOOKUP($B94,[4]BOLETIM_SEL!$A:$H,2,0)</f>
        <v>SINAPI</v>
      </c>
      <c r="D94" s="315" t="str">
        <f ca="1">VLOOKUP($B94,[4]BOLETIM_SEL!$A:$H,4,0)</f>
        <v>Transporte com caminhão basculante de 14 m3, em via urbana pavimentada, DMT até 30,00 km (unidade: m3xkm). AF_07/2020</v>
      </c>
      <c r="E94" s="2">
        <f>Dados_DMT!$B$17</f>
        <v>4</v>
      </c>
      <c r="F94" s="2" t="str">
        <f ca="1">VLOOKUP($B94,[4]BOLETIM_SEL!$A:$H,6,0)</f>
        <v>M3XKM</v>
      </c>
      <c r="G94" s="1407">
        <f ca="1">VLOOKUP($B94,[4]BOLETIM_SEL!$A:$H,7,0)</f>
        <v>1.93</v>
      </c>
      <c r="H94" s="1613">
        <f ca="1">ROUND(Demolicao!M70*E94,2)</f>
        <v>1380.48</v>
      </c>
      <c r="I94" s="877">
        <f ca="1">TRUNC(G94*(1+$J$5),2)</f>
        <v>2.3199999999999998</v>
      </c>
      <c r="J94" s="1612">
        <f ca="1">TRUNC(H94*I94,2)</f>
        <v>3202.71</v>
      </c>
      <c r="K94" s="2078">
        <f ca="1">J94/J$967</f>
        <v>2.3899647601180742E-4</v>
      </c>
      <c r="L94" s="1574">
        <f ca="1">J94/$J$64</f>
        <v>1.8668089836674107E-2</v>
      </c>
      <c r="M94" s="1453">
        <f ca="1">IF(H94=0,0,H94/E94)</f>
        <v>345.12</v>
      </c>
      <c r="N94" s="833"/>
      <c r="O94" s="833"/>
      <c r="Q94" s="833"/>
      <c r="R94" s="833"/>
      <c r="S94" s="833"/>
      <c r="T94" s="833"/>
      <c r="U94" s="833"/>
      <c r="V94" s="833"/>
      <c r="W94" s="833"/>
      <c r="X94" s="833"/>
    </row>
    <row r="95" spans="1:24" s="813" customFormat="1" ht="24.95" hidden="1" customHeight="1" x14ac:dyDescent="0.15">
      <c r="A95" s="2081"/>
      <c r="B95" s="834"/>
      <c r="C95" s="2"/>
      <c r="D95" s="1452" t="s">
        <v>1851</v>
      </c>
      <c r="E95" s="1445"/>
      <c r="F95" s="1445"/>
      <c r="G95" s="1822"/>
      <c r="H95" s="1445"/>
      <c r="I95" s="1445"/>
      <c r="J95" s="1561" t="str">
        <f>IF(J96=0,"-","")</f>
        <v>-</v>
      </c>
      <c r="K95" s="1943"/>
      <c r="L95" s="1574"/>
      <c r="M95" s="1445" t="s">
        <v>1950</v>
      </c>
      <c r="N95" s="833"/>
      <c r="O95" s="833"/>
      <c r="Q95" s="833"/>
      <c r="R95" s="833"/>
      <c r="S95" s="833"/>
      <c r="T95" s="833"/>
      <c r="U95" s="833"/>
      <c r="V95" s="833"/>
      <c r="W95" s="833"/>
      <c r="X95" s="833"/>
    </row>
    <row r="96" spans="1:24" s="813" customFormat="1" ht="39.950000000000003" hidden="1" customHeight="1" x14ac:dyDescent="0.15">
      <c r="A96" s="2081">
        <f ca="1">IF(H96&gt;0,A94+0.01,A94)</f>
        <v>2.1199999999999974</v>
      </c>
      <c r="B96" s="834">
        <f>IF(AND(M96&lt;=50,E96&lt;=30),95875,IF(AND(M96&lt;=50,E96&gt;30),93590,IF(AND(M96&gt;50,E96&lt;=30),95876,93593)))</f>
        <v>95875</v>
      </c>
      <c r="C96" s="2" t="str">
        <f>VLOOKUP($B96,[4]BOLETIM_SEL!$A:$H,2,0)</f>
        <v>SINAPI</v>
      </c>
      <c r="D96" s="315" t="str">
        <f>VLOOKUP($B96,[4]BOLETIM_SEL!$A:$H,4,0)</f>
        <v>Transporte com caminhão basculante de 10 m3, em via urbana pavimentada, DMT até 30,00 km (unidade: m3xkm). AF_07/2020</v>
      </c>
      <c r="E96" s="2">
        <f>Dados_DMT!$B$19</f>
        <v>0</v>
      </c>
      <c r="F96" s="2" t="str">
        <f>VLOOKUP($B96,[4]BOLETIM_SEL!$A:$H,6,0)</f>
        <v>M3XKM</v>
      </c>
      <c r="G96" s="1407">
        <f>VLOOKUP($B96,[4]BOLETIM_SEL!$A:$H,7,0)</f>
        <v>2.1800000000000002</v>
      </c>
      <c r="H96" s="1613">
        <f>ROUND(Demolicao!M73*E96,2)</f>
        <v>0</v>
      </c>
      <c r="I96" s="877">
        <f>TRUNC(G96*(1+$J$5),2)</f>
        <v>2.63</v>
      </c>
      <c r="J96" s="1612">
        <f>TRUNC(H96*I96,2)</f>
        <v>0</v>
      </c>
      <c r="K96" s="2078">
        <f ca="1">J96/J$967</f>
        <v>0</v>
      </c>
      <c r="L96" s="1574">
        <f ca="1">J96/$J$64</f>
        <v>0</v>
      </c>
      <c r="M96" s="1453">
        <f>IF(H96=0,0,H96/E96)</f>
        <v>0</v>
      </c>
      <c r="N96" s="833"/>
      <c r="O96" s="833"/>
      <c r="Q96" s="833"/>
      <c r="R96" s="833"/>
      <c r="S96" s="833"/>
      <c r="T96" s="833"/>
      <c r="U96" s="833"/>
      <c r="V96" s="833"/>
      <c r="W96" s="833"/>
      <c r="X96" s="833"/>
    </row>
    <row r="97" spans="1:24" s="813" customFormat="1" ht="24.95" customHeight="1" x14ac:dyDescent="0.15">
      <c r="A97" s="2081"/>
      <c r="B97" s="834"/>
      <c r="C97" s="2"/>
      <c r="D97" s="1452" t="s">
        <v>1855</v>
      </c>
      <c r="E97" s="1445"/>
      <c r="F97" s="1445"/>
      <c r="G97" s="1822"/>
      <c r="H97" s="1445"/>
      <c r="I97" s="1445"/>
      <c r="J97" s="1561" t="str">
        <f>IF(J98=0,"-","")</f>
        <v/>
      </c>
      <c r="K97" s="1943"/>
      <c r="L97" s="1574"/>
      <c r="M97" s="1445" t="s">
        <v>1949</v>
      </c>
      <c r="N97" s="833"/>
      <c r="O97" s="833"/>
      <c r="Q97" s="833"/>
      <c r="R97" s="833"/>
      <c r="S97" s="833"/>
      <c r="T97" s="833"/>
      <c r="U97" s="833"/>
      <c r="V97" s="833"/>
      <c r="W97" s="833"/>
      <c r="X97" s="833"/>
    </row>
    <row r="98" spans="1:24" s="813" customFormat="1" ht="30" customHeight="1" x14ac:dyDescent="0.15">
      <c r="A98" s="2081">
        <f ca="1">IF(H98&gt;0,A96+0.01,A96)</f>
        <v>2.1299999999999972</v>
      </c>
      <c r="B98" s="834">
        <v>100947</v>
      </c>
      <c r="C98" s="2" t="str">
        <f>VLOOKUP($B98,[4]BOLETIM_SEL!$A:$H,2,0)</f>
        <v>SINAPI</v>
      </c>
      <c r="D98" s="315" t="str">
        <f>VLOOKUP($B98,[4]BOLETIM_SEL!$A:$H,4,0)</f>
        <v>Transporte com caminhão carroceria 9t, em via urbana pavimentada, DMT até 30,00 km (unidade: txkm). AF_07/2020</v>
      </c>
      <c r="E98" s="2">
        <f>Dados_DMT!$B$17</f>
        <v>4</v>
      </c>
      <c r="F98" s="2" t="str">
        <f>VLOOKUP($B98,[4]BOLETIM_SEL!$A:$H,6,0)</f>
        <v>TXKM</v>
      </c>
      <c r="G98" s="1407">
        <f>VLOOKUP($B98,[4]BOLETIM_SEL!$A:$H,7,0)</f>
        <v>1.96</v>
      </c>
      <c r="H98" s="1613">
        <f>ROUND(Demolicao!M75*E98,2)</f>
        <v>428</v>
      </c>
      <c r="I98" s="877">
        <f>TRUNC(G98*(1+$J$5),2)</f>
        <v>2.36</v>
      </c>
      <c r="J98" s="1612">
        <f>TRUNC(H98*I98,2)</f>
        <v>1010.08</v>
      </c>
      <c r="K98" s="2078">
        <f ca="1">J98/J$967</f>
        <v>7.5375404107773248E-5</v>
      </c>
      <c r="L98" s="1574">
        <f ca="1">J98/$J$64</f>
        <v>5.887596498661378E-3</v>
      </c>
      <c r="M98" s="4"/>
      <c r="N98" s="833"/>
      <c r="O98" s="833"/>
      <c r="Q98" s="833"/>
      <c r="R98" s="833"/>
      <c r="S98" s="833"/>
      <c r="T98" s="833"/>
      <c r="U98" s="833"/>
      <c r="V98" s="833"/>
      <c r="W98" s="833"/>
      <c r="X98" s="833"/>
    </row>
    <row r="99" spans="1:24" s="813" customFormat="1" ht="24.95" customHeight="1" x14ac:dyDescent="0.15">
      <c r="A99" s="2081"/>
      <c r="B99" s="834"/>
      <c r="C99" s="834"/>
      <c r="D99" s="835"/>
      <c r="E99" s="2"/>
      <c r="F99" s="834"/>
      <c r="G99" s="1821"/>
      <c r="H99" s="1"/>
      <c r="I99" s="877"/>
      <c r="J99" s="839" t="str">
        <f ca="1">IF(J64=0,0,"")</f>
        <v/>
      </c>
      <c r="K99" s="2078"/>
      <c r="L99" s="1574"/>
      <c r="M99" s="1446"/>
      <c r="N99" s="833"/>
      <c r="O99" s="833"/>
      <c r="Q99" s="833"/>
      <c r="R99" s="833"/>
      <c r="S99" s="833"/>
      <c r="T99" s="833"/>
      <c r="U99" s="833"/>
      <c r="V99" s="833"/>
      <c r="W99" s="833"/>
      <c r="X99" s="833"/>
    </row>
    <row r="100" spans="1:24" s="833" customFormat="1" ht="24.95" customHeight="1" x14ac:dyDescent="0.15">
      <c r="A100" s="2082">
        <f ca="1">IF(J100&gt;0,INT(A98)+1,IF(J100=0,INT(A98),0))</f>
        <v>3</v>
      </c>
      <c r="B100" s="1633"/>
      <c r="C100" s="1633"/>
      <c r="D100" s="1634" t="s">
        <v>744</v>
      </c>
      <c r="E100" s="1828"/>
      <c r="F100" s="1635"/>
      <c r="G100" s="1820" t="s">
        <v>645</v>
      </c>
      <c r="H100" s="1637"/>
      <c r="I100" s="1640" t="str">
        <f ca="1">CONCATENATE("SUB-TOTAL ",A100)</f>
        <v>SUB-TOTAL 3</v>
      </c>
      <c r="J100" s="1639">
        <f ca="1">SUM(J101:J181)</f>
        <v>661714.53999999992</v>
      </c>
      <c r="K100" s="2079">
        <f t="shared" ref="K100:K131" ca="1" si="17">J100/J$967</f>
        <v>4.9379257936489465E-2</v>
      </c>
      <c r="L100" s="1610">
        <f t="shared" ref="L100:L129" ca="1" si="18">J100/J$100</f>
        <v>1</v>
      </c>
    </row>
    <row r="101" spans="1:24" s="813" customFormat="1" ht="30" hidden="1" customHeight="1" x14ac:dyDescent="0.15">
      <c r="A101" s="2081">
        <f t="shared" ref="A101:A169" ca="1" si="19">IF(H101&gt;0,A100+0.01,A100)</f>
        <v>3</v>
      </c>
      <c r="B101" s="834" t="s">
        <v>694</v>
      </c>
      <c r="C101" s="2" t="str">
        <f>VLOOKUP($B101,[4]BOLETIM_SEL!$A:$H,2,0)</f>
        <v>COMPOSIÇÃO</v>
      </c>
      <c r="D101" s="315" t="str">
        <f>VLOOKUP($B101,[4]BOLETIM_SEL!$A:$H,4,0)</f>
        <v>Esgotamento de água com bomba submersa (REF. SICRO COD. 2003864)</v>
      </c>
      <c r="E101" s="1830"/>
      <c r="F101" s="2" t="str">
        <f>VLOOKUP($B101,[4]BOLETIM_SEL!$A:$H,6,0)</f>
        <v>H</v>
      </c>
      <c r="G101" s="1407">
        <f>VLOOKUP($B101,[4]BOLETIM_SEL!$A:$H,7,0)</f>
        <v>22.11</v>
      </c>
      <c r="H101" s="1613">
        <f>Dre_Terraplenagem!BM191</f>
        <v>0</v>
      </c>
      <c r="I101" s="877">
        <f t="shared" ref="I101:I129" si="20">TRUNC(G101*(1+$J$5),2)</f>
        <v>26.68</v>
      </c>
      <c r="J101" s="1612">
        <f t="shared" ref="J101:J113" si="21">TRUNC(H101*I101,2)</f>
        <v>0</v>
      </c>
      <c r="K101" s="2078">
        <f t="shared" ca="1" si="17"/>
        <v>0</v>
      </c>
      <c r="L101" s="1574">
        <f t="shared" ca="1" si="18"/>
        <v>0</v>
      </c>
      <c r="M101" s="1446"/>
      <c r="N101" s="833"/>
      <c r="O101" s="833"/>
      <c r="Q101" s="833"/>
      <c r="R101" s="833"/>
      <c r="S101" s="833"/>
      <c r="T101" s="833"/>
      <c r="U101" s="833"/>
      <c r="V101" s="833"/>
      <c r="W101" s="833"/>
      <c r="X101" s="833"/>
    </row>
    <row r="102" spans="1:24" s="813" customFormat="1" ht="30" customHeight="1" x14ac:dyDescent="0.15">
      <c r="A102" s="2081">
        <f t="shared" ca="1" si="19"/>
        <v>3.01</v>
      </c>
      <c r="B102" s="834" t="s">
        <v>1677</v>
      </c>
      <c r="C102" s="2" t="str">
        <f>VLOOKUP($B102,[4]BOLETIM_SEL!$A:$H,2,0)</f>
        <v>COMPOSIÇÃO</v>
      </c>
      <c r="D102" s="315" t="str">
        <f>VLOOKUP($B102,[4]BOLETIM_SEL!$A:$H,4,0)</f>
        <v>Arrancamento e remoção de canalização, Ø ≤ 60 cm. Exclusive bota-fora</v>
      </c>
      <c r="E102" s="1830"/>
      <c r="F102" s="2" t="str">
        <f>VLOOKUP($B102,[4]BOLETIM_SEL!$A:$H,6,0)</f>
        <v>M</v>
      </c>
      <c r="G102" s="1407">
        <f>VLOOKUP($B102,[4]BOLETIM_SEL!$A:$H,7,0)</f>
        <v>73.989999999999995</v>
      </c>
      <c r="H102" s="1613">
        <f>Dre_Ser_Prelim!BM35</f>
        <v>24.93</v>
      </c>
      <c r="I102" s="877">
        <f t="shared" si="20"/>
        <v>89.3</v>
      </c>
      <c r="J102" s="1612">
        <f t="shared" si="21"/>
        <v>2226.2399999999998</v>
      </c>
      <c r="K102" s="2078">
        <f t="shared" ca="1" si="17"/>
        <v>1.6612915773096099E-4</v>
      </c>
      <c r="L102" s="1574">
        <f t="shared" ca="1" si="18"/>
        <v>3.3643510387424765E-3</v>
      </c>
      <c r="M102" s="1446"/>
      <c r="N102" s="833"/>
      <c r="O102" s="833"/>
      <c r="Q102" s="833"/>
      <c r="R102" s="833"/>
      <c r="S102" s="833"/>
      <c r="T102" s="833"/>
      <c r="U102" s="833"/>
      <c r="V102" s="833"/>
      <c r="W102" s="833"/>
      <c r="X102" s="833"/>
    </row>
    <row r="103" spans="1:24" s="813" customFormat="1" ht="30" hidden="1" customHeight="1" x14ac:dyDescent="0.15">
      <c r="A103" s="2081">
        <f t="shared" ca="1" si="19"/>
        <v>3.01</v>
      </c>
      <c r="B103" s="834" t="s">
        <v>1678</v>
      </c>
      <c r="C103" s="2" t="str">
        <f>VLOOKUP($B103,[4]BOLETIM_SEL!$A:$H,2,0)</f>
        <v>COMPOSIÇÃO</v>
      </c>
      <c r="D103" s="315" t="str">
        <f>VLOOKUP($B103,[4]BOLETIM_SEL!$A:$H,4,0)</f>
        <v>Arrancamento e remoção de canalização, Ø &gt; 60 cm. Exclusive bota-fora</v>
      </c>
      <c r="E103" s="1830"/>
      <c r="F103" s="2" t="str">
        <f>VLOOKUP($B103,[4]BOLETIM_SEL!$A:$H,6,0)</f>
        <v>M</v>
      </c>
      <c r="G103" s="1407">
        <f>VLOOKUP($B103,[4]BOLETIM_SEL!$A:$H,7,0)</f>
        <v>124.88</v>
      </c>
      <c r="H103" s="1613">
        <f>Dre_Ser_Prelim!BM36</f>
        <v>0</v>
      </c>
      <c r="I103" s="877">
        <f t="shared" si="20"/>
        <v>150.72999999999999</v>
      </c>
      <c r="J103" s="1612">
        <f t="shared" si="21"/>
        <v>0</v>
      </c>
      <c r="K103" s="2078">
        <f t="shared" ca="1" si="17"/>
        <v>0</v>
      </c>
      <c r="L103" s="1574">
        <f t="shared" ca="1" si="18"/>
        <v>0</v>
      </c>
      <c r="M103" s="1446"/>
      <c r="N103" s="1655" t="s">
        <v>1962</v>
      </c>
      <c r="O103" s="1655" t="s">
        <v>1988</v>
      </c>
      <c r="Q103" s="833"/>
      <c r="R103" s="833"/>
      <c r="S103" s="833"/>
      <c r="T103" s="833"/>
      <c r="U103" s="833"/>
      <c r="V103" s="833"/>
      <c r="W103" s="833"/>
      <c r="X103" s="833"/>
    </row>
    <row r="104" spans="1:24" s="813" customFormat="1" ht="50.1" hidden="1" customHeight="1" x14ac:dyDescent="0.15">
      <c r="A104" s="2081">
        <f t="shared" ca="1" si="19"/>
        <v>3.01</v>
      </c>
      <c r="B104" s="834">
        <v>90099</v>
      </c>
      <c r="C104" s="2" t="str">
        <f>VLOOKUP($B104,[4]BOLETIM_SEL!$A:$H,2,0)</f>
        <v>SINAPI</v>
      </c>
      <c r="D104" s="315" t="str">
        <f>VLOOKUP($B104,[4]BOLETIM_SEL!$A:$H,4,0)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4" s="1830"/>
      <c r="F104" s="2" t="str">
        <f>VLOOKUP($B104,[4]BOLETIM_SEL!$A:$H,6,0)</f>
        <v>M3</v>
      </c>
      <c r="G104" s="1407">
        <f>VLOOKUP($B104,[4]BOLETIM_SEL!$A:$H,7,0)</f>
        <v>14.49</v>
      </c>
      <c r="H104" s="1613">
        <f ca="1">Dre_Terraplenagem!BM60</f>
        <v>0</v>
      </c>
      <c r="I104" s="877">
        <f t="shared" si="20"/>
        <v>17.48</v>
      </c>
      <c r="J104" s="1612">
        <f t="shared" ca="1" si="21"/>
        <v>0</v>
      </c>
      <c r="K104" s="2078">
        <f t="shared" ca="1" si="17"/>
        <v>0</v>
      </c>
      <c r="L104" s="1574">
        <f t="shared" ca="1" si="18"/>
        <v>0</v>
      </c>
      <c r="M104" s="2492" t="str">
        <f>VLOOKUP($B104,[4]BOLETIM_SEL!$A:$H,5,0)</f>
        <v>H &lt; 1,50
alta Interferência</v>
      </c>
      <c r="N104" s="1654">
        <f>VLOOKUP($B104,[4]BOLETIM_SEL!$A:$H,3,0)</f>
        <v>7.62</v>
      </c>
      <c r="O104" s="1652">
        <f t="shared" ref="O104:O123" ca="1" si="22">H104/N104</f>
        <v>0</v>
      </c>
      <c r="Q104" s="833"/>
      <c r="R104" s="833"/>
      <c r="S104" s="833"/>
      <c r="T104" s="833"/>
      <c r="U104" s="833"/>
      <c r="V104" s="833"/>
      <c r="W104" s="833"/>
      <c r="X104" s="833"/>
    </row>
    <row r="105" spans="1:24" s="813" customFormat="1" ht="50.1" customHeight="1" x14ac:dyDescent="0.15">
      <c r="A105" s="2081">
        <f t="shared" ca="1" si="19"/>
        <v>3.0199999999999996</v>
      </c>
      <c r="B105" s="834">
        <v>90100</v>
      </c>
      <c r="C105" s="2" t="str">
        <f>VLOOKUP($B105,[4]BOLETIM_SEL!$A:$H,2,0)</f>
        <v>SINAPI</v>
      </c>
      <c r="D105" s="315" t="str">
        <f>VLOOKUP($B105,[4]BOLETIM_SEL!$A:$H,4,0)</f>
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5" s="1830"/>
      <c r="F105" s="2" t="str">
        <f>VLOOKUP($B105,[4]BOLETIM_SEL!$A:$H,6,0)</f>
        <v>M3</v>
      </c>
      <c r="G105" s="1407">
        <f>VLOOKUP($B105,[4]BOLETIM_SEL!$A:$H,7,0)</f>
        <v>12.3</v>
      </c>
      <c r="H105" s="1613">
        <f ca="1">Dre_Terraplenagem!BM61</f>
        <v>1141.33</v>
      </c>
      <c r="I105" s="877">
        <f t="shared" si="20"/>
        <v>14.84</v>
      </c>
      <c r="J105" s="1612">
        <f t="shared" ca="1" si="21"/>
        <v>16937.330000000002</v>
      </c>
      <c r="K105" s="2078">
        <f t="shared" ca="1" si="17"/>
        <v>1.2639178018144218E-3</v>
      </c>
      <c r="L105" s="1574">
        <f t="shared" ca="1" si="18"/>
        <v>2.5596127901315276E-2</v>
      </c>
      <c r="M105" s="2492"/>
      <c r="N105" s="1654">
        <f>VLOOKUP($B105,[4]BOLETIM_SEL!$A:$H,3,0)</f>
        <v>8.9600000000000009</v>
      </c>
      <c r="O105" s="1652">
        <f t="shared" ca="1" si="22"/>
        <v>127.38058035714283</v>
      </c>
      <c r="Q105" s="833"/>
      <c r="R105" s="833"/>
      <c r="S105" s="833"/>
      <c r="T105" s="833"/>
      <c r="U105" s="833"/>
      <c r="V105" s="833"/>
      <c r="W105" s="833"/>
      <c r="X105" s="833"/>
    </row>
    <row r="106" spans="1:24" s="813" customFormat="1" ht="50.1" hidden="1" customHeight="1" x14ac:dyDescent="0.15">
      <c r="A106" s="2081">
        <f t="shared" ca="1" si="19"/>
        <v>3.0199999999999996</v>
      </c>
      <c r="B106" s="834">
        <v>90082</v>
      </c>
      <c r="C106" s="2" t="str">
        <f>VLOOKUP($B106,[4]BOLETIM_SEL!$A:$H,2,0)</f>
        <v>SINAPI</v>
      </c>
      <c r="D106" s="315" t="str">
        <f>VLOOKUP($B106,[4]BOLETIM_SEL!$A:$H,4,0)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</c>
      <c r="E106" s="1830"/>
      <c r="F106" s="2" t="str">
        <f>VLOOKUP($B106,[4]BOLETIM_SEL!$A:$H,6,0)</f>
        <v>M3</v>
      </c>
      <c r="G106" s="1407">
        <f>VLOOKUP($B106,[4]BOLETIM_SEL!$A:$H,7,0)</f>
        <v>10.31</v>
      </c>
      <c r="H106" s="1613">
        <f ca="1">Dre_Terraplenagem!BM62</f>
        <v>0</v>
      </c>
      <c r="I106" s="877">
        <f t="shared" si="20"/>
        <v>12.44</v>
      </c>
      <c r="J106" s="1612">
        <f t="shared" ca="1" si="21"/>
        <v>0</v>
      </c>
      <c r="K106" s="2078">
        <f t="shared" ca="1" si="17"/>
        <v>0</v>
      </c>
      <c r="L106" s="1574">
        <f t="shared" ca="1" si="18"/>
        <v>0</v>
      </c>
      <c r="M106" s="2492"/>
      <c r="N106" s="1654">
        <f>VLOOKUP($B106,[4]BOLETIM_SEL!$A:$H,3,0)</f>
        <v>13.46</v>
      </c>
      <c r="O106" s="1652">
        <f t="shared" ca="1" si="22"/>
        <v>0</v>
      </c>
      <c r="Q106" s="833"/>
      <c r="R106" s="833"/>
      <c r="S106" s="833"/>
      <c r="T106" s="833"/>
      <c r="U106" s="833"/>
      <c r="V106" s="833"/>
      <c r="W106" s="833"/>
      <c r="X106" s="833"/>
    </row>
    <row r="107" spans="1:24" s="813" customFormat="1" ht="50.1" hidden="1" customHeight="1" x14ac:dyDescent="0.15">
      <c r="A107" s="2081">
        <f t="shared" ca="1" si="19"/>
        <v>3.0199999999999996</v>
      </c>
      <c r="B107" s="834">
        <v>90101</v>
      </c>
      <c r="C107" s="2" t="str">
        <f>VLOOKUP($B107,[4]BOLETIM_SEL!$A:$H,2,0)</f>
        <v>SINAPI</v>
      </c>
      <c r="D107" s="315" t="str">
        <f>VLOOKUP($B107,[4]BOLETIM_SEL!$A:$H,4,0)</f>
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7" s="1830"/>
      <c r="F107" s="2" t="str">
        <f>VLOOKUP($B107,[4]BOLETIM_SEL!$A:$H,6,0)</f>
        <v>M3</v>
      </c>
      <c r="G107" s="1407">
        <f>VLOOKUP($B107,[4]BOLETIM_SEL!$A:$H,7,0)</f>
        <v>12.16</v>
      </c>
      <c r="H107" s="1613">
        <f ca="1">Dre_Terraplenagem!BM63</f>
        <v>0</v>
      </c>
      <c r="I107" s="877">
        <f t="shared" si="20"/>
        <v>14.67</v>
      </c>
      <c r="J107" s="1612">
        <f t="shared" ca="1" si="21"/>
        <v>0</v>
      </c>
      <c r="K107" s="2078">
        <f t="shared" ca="1" si="17"/>
        <v>0</v>
      </c>
      <c r="L107" s="1574">
        <f t="shared" ca="1" si="18"/>
        <v>0</v>
      </c>
      <c r="M107" s="2488" t="str">
        <f>VLOOKUP($B107,[4]BOLETIM_SEL!$A:$H,5,0)</f>
        <v>1,51 &lt; H &lt; 3,00
alta Interferência</v>
      </c>
      <c r="N107" s="1654">
        <f>VLOOKUP($B107,[4]BOLETIM_SEL!$A:$H,3,0)</f>
        <v>9.07</v>
      </c>
      <c r="O107" s="1652">
        <f t="shared" ca="1" si="22"/>
        <v>0</v>
      </c>
      <c r="Q107" s="833"/>
      <c r="R107" s="833"/>
      <c r="S107" s="833"/>
      <c r="T107" s="833"/>
      <c r="U107" s="833"/>
      <c r="V107" s="833"/>
      <c r="W107" s="833"/>
      <c r="X107" s="833"/>
    </row>
    <row r="108" spans="1:24" s="813" customFormat="1" ht="50.1" customHeight="1" x14ac:dyDescent="0.15">
      <c r="A108" s="2081">
        <f t="shared" ca="1" si="19"/>
        <v>3.0299999999999994</v>
      </c>
      <c r="B108" s="834">
        <v>90102</v>
      </c>
      <c r="C108" s="2" t="str">
        <f>VLOOKUP($B108,[4]BOLETIM_SEL!$A:$H,2,0)</f>
        <v>SINAPI</v>
      </c>
      <c r="D108" s="315" t="str">
        <f>VLOOKUP($B108,[4]BOLETIM_SEL!$A:$H,4,0)</f>
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8" s="1830"/>
      <c r="F108" s="2" t="str">
        <f>VLOOKUP($B108,[4]BOLETIM_SEL!$A:$H,6,0)</f>
        <v>M3</v>
      </c>
      <c r="G108" s="1407">
        <f>VLOOKUP($B108,[4]BOLETIM_SEL!$A:$H,7,0)</f>
        <v>11.07</v>
      </c>
      <c r="H108" s="1613">
        <f ca="1">Dre_Terraplenagem!BM64</f>
        <v>3278.74</v>
      </c>
      <c r="I108" s="877">
        <f t="shared" si="20"/>
        <v>13.36</v>
      </c>
      <c r="J108" s="1612">
        <f t="shared" ca="1" si="21"/>
        <v>43803.96</v>
      </c>
      <c r="K108" s="2078">
        <f t="shared" ca="1" si="17"/>
        <v>3.2687917655242504E-3</v>
      </c>
      <c r="L108" s="1574">
        <f t="shared" ca="1" si="18"/>
        <v>6.6197668861863013E-2</v>
      </c>
      <c r="M108" s="2488"/>
      <c r="N108" s="1654">
        <f>VLOOKUP($B108,[4]BOLETIM_SEL!$A:$H,3,0)</f>
        <v>9.9700000000000006</v>
      </c>
      <c r="O108" s="1652">
        <f t="shared" ca="1" si="22"/>
        <v>328.86058174523566</v>
      </c>
      <c r="Q108" s="833"/>
      <c r="R108" s="833"/>
      <c r="S108" s="833"/>
      <c r="T108" s="833"/>
      <c r="U108" s="833"/>
      <c r="V108" s="833"/>
      <c r="W108" s="833"/>
      <c r="X108" s="833"/>
    </row>
    <row r="109" spans="1:24" s="813" customFormat="1" ht="50.1" customHeight="1" x14ac:dyDescent="0.15">
      <c r="A109" s="2081">
        <f t="shared" ca="1" si="19"/>
        <v>3.0399999999999991</v>
      </c>
      <c r="B109" s="834">
        <v>102278</v>
      </c>
      <c r="C109" s="2" t="str">
        <f>VLOOKUP($B109,[4]BOLETIM_SEL!$A:$H,2,0)</f>
        <v>SINAPI</v>
      </c>
      <c r="D109" s="315" t="str">
        <f>VLOOKUP($B109,[4]BOLETIM_SEL!$A:$H,4,0)</f>
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</c>
      <c r="E109" s="1830"/>
      <c r="F109" s="2" t="str">
        <f>VLOOKUP($B109,[4]BOLETIM_SEL!$A:$H,6,0)</f>
        <v>M3</v>
      </c>
      <c r="G109" s="1407">
        <f>VLOOKUP($B109,[4]BOLETIM_SEL!$A:$H,7,0)</f>
        <v>8.94</v>
      </c>
      <c r="H109" s="1613">
        <f ca="1">Dre_Terraplenagem!BM65</f>
        <v>4953.38</v>
      </c>
      <c r="I109" s="877">
        <f t="shared" si="20"/>
        <v>10.79</v>
      </c>
      <c r="J109" s="1612">
        <f t="shared" ca="1" si="21"/>
        <v>53446.97</v>
      </c>
      <c r="K109" s="2078">
        <f t="shared" ca="1" si="17"/>
        <v>3.988384050853431E-3</v>
      </c>
      <c r="L109" s="1574">
        <f t="shared" ca="1" si="18"/>
        <v>8.0770433123624585E-2</v>
      </c>
      <c r="M109" s="2488"/>
      <c r="N109" s="1654">
        <v>14.75</v>
      </c>
      <c r="O109" s="1652">
        <f t="shared" ca="1" si="22"/>
        <v>335.82237288135593</v>
      </c>
      <c r="Q109" s="833"/>
      <c r="R109" s="833"/>
      <c r="S109" s="833"/>
      <c r="T109" s="833"/>
      <c r="U109" s="833"/>
      <c r="V109" s="833"/>
      <c r="W109" s="833"/>
      <c r="X109" s="833"/>
    </row>
    <row r="110" spans="1:24" s="813" customFormat="1" ht="50.1" hidden="1" customHeight="1" x14ac:dyDescent="0.15">
      <c r="A110" s="2081">
        <f t="shared" ca="1" si="19"/>
        <v>3.0399999999999991</v>
      </c>
      <c r="B110" s="834">
        <v>90086</v>
      </c>
      <c r="C110" s="2" t="str">
        <f>VLOOKUP($B110,[4]BOLETIM_SEL!$A:$H,2,0)</f>
        <v>SINAPI</v>
      </c>
      <c r="D110" s="315" t="str">
        <f>VLOOKUP($B110,[4]BOLETIM_SEL!$A:$H,4,0)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</c>
      <c r="E110" s="1830"/>
      <c r="F110" s="2" t="str">
        <f>VLOOKUP($B110,[4]BOLETIM_SEL!$A:$H,6,0)</f>
        <v>M3</v>
      </c>
      <c r="G110" s="1407">
        <f>VLOOKUP($B110,[4]BOLETIM_SEL!$A:$H,7,0)</f>
        <v>9.43</v>
      </c>
      <c r="H110" s="1613">
        <f ca="1">Dre_Terraplenagem!BM66</f>
        <v>0</v>
      </c>
      <c r="I110" s="877">
        <f t="shared" si="20"/>
        <v>11.38</v>
      </c>
      <c r="J110" s="1612">
        <f t="shared" ca="1" si="21"/>
        <v>0</v>
      </c>
      <c r="K110" s="2078">
        <f t="shared" ca="1" si="17"/>
        <v>0</v>
      </c>
      <c r="L110" s="1574">
        <f t="shared" ca="1" si="18"/>
        <v>0</v>
      </c>
      <c r="M110" s="2493" t="str">
        <f>VLOOKUP($B110,[4]BOLETIM_SEL!$A:$H,5,0)</f>
        <v>3,01 &lt; H &lt; 4,50
alta Interferência</v>
      </c>
      <c r="N110" s="1654">
        <f>VLOOKUP($B110,[4]BOLETIM_SEL!$A:$H,3,0)</f>
        <v>14.58</v>
      </c>
      <c r="O110" s="1652">
        <f t="shared" ca="1" si="22"/>
        <v>0</v>
      </c>
      <c r="Q110" s="833"/>
      <c r="R110" s="833"/>
      <c r="S110" s="833"/>
      <c r="T110" s="833"/>
      <c r="U110" s="833"/>
      <c r="V110" s="833"/>
      <c r="W110" s="833"/>
      <c r="X110" s="833"/>
    </row>
    <row r="111" spans="1:24" s="813" customFormat="1" ht="50.1" customHeight="1" x14ac:dyDescent="0.15">
      <c r="A111" s="2081">
        <f t="shared" ca="1" si="19"/>
        <v>3.0499999999999989</v>
      </c>
      <c r="B111" s="834">
        <v>90087</v>
      </c>
      <c r="C111" s="2" t="str">
        <f>VLOOKUP($B111,[4]BOLETIM_SEL!$A:$H,2,0)</f>
        <v>SINAPI</v>
      </c>
      <c r="D111" s="315" t="str">
        <f>VLOOKUP($B111,[4]BOLETIM_SEL!$A:$H,4,0)</f>
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1" s="1830"/>
      <c r="F111" s="2" t="str">
        <f>VLOOKUP($B111,[4]BOLETIM_SEL!$A:$H,6,0)</f>
        <v>M3</v>
      </c>
      <c r="G111" s="1407">
        <f>VLOOKUP($B111,[4]BOLETIM_SEL!$A:$H,7,0)</f>
        <v>8.57</v>
      </c>
      <c r="H111" s="1613">
        <f ca="1">Dre_Terraplenagem!BM67</f>
        <v>515.21</v>
      </c>
      <c r="I111" s="877">
        <f t="shared" si="20"/>
        <v>10.34</v>
      </c>
      <c r="J111" s="1612">
        <f t="shared" ca="1" si="21"/>
        <v>5327.27</v>
      </c>
      <c r="K111" s="2078">
        <f t="shared" ca="1" si="17"/>
        <v>3.9753794654009305E-4</v>
      </c>
      <c r="L111" s="1574">
        <f t="shared" ca="1" si="18"/>
        <v>8.0507071825866201E-3</v>
      </c>
      <c r="M111" s="2493"/>
      <c r="N111" s="1654">
        <f>VLOOKUP($B111,[4]BOLETIM_SEL!$A:$H,3,0)</f>
        <v>19.12</v>
      </c>
      <c r="O111" s="1652">
        <f t="shared" ca="1" si="22"/>
        <v>26.94612970711297</v>
      </c>
      <c r="Q111" s="833"/>
      <c r="R111" s="833"/>
      <c r="S111" s="833"/>
      <c r="T111" s="833"/>
      <c r="U111" s="833"/>
      <c r="V111" s="833"/>
      <c r="W111" s="833"/>
      <c r="X111" s="833"/>
    </row>
    <row r="112" spans="1:24" s="813" customFormat="1" ht="50.1" hidden="1" customHeight="1" x14ac:dyDescent="0.15">
      <c r="A112" s="2081">
        <f t="shared" ca="1" si="19"/>
        <v>3.0499999999999989</v>
      </c>
      <c r="B112" s="834">
        <v>102277</v>
      </c>
      <c r="C112" s="2" t="str">
        <f>VLOOKUP($B112,[4]BOLETIM_SEL!$A:$H,2,0)</f>
        <v>SINAPI</v>
      </c>
      <c r="D112" s="315" t="str">
        <f>VLOOKUP($B112,[4]BOLETIM_SEL!$A:$H,4,0)</f>
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</c>
      <c r="E112" s="1830"/>
      <c r="F112" s="2" t="str">
        <f>VLOOKUP($B112,[4]BOLETIM_SEL!$A:$H,6,0)</f>
        <v>M3</v>
      </c>
      <c r="G112" s="1407">
        <f>VLOOKUP($B112,[4]BOLETIM_SEL!$A:$H,7,0)</f>
        <v>9.15</v>
      </c>
      <c r="H112" s="1613">
        <f ca="1">Dre_Terraplenagem!BM68</f>
        <v>0</v>
      </c>
      <c r="I112" s="877">
        <f t="shared" si="20"/>
        <v>11.04</v>
      </c>
      <c r="J112" s="1612">
        <f t="shared" ca="1" si="21"/>
        <v>0</v>
      </c>
      <c r="K112" s="2078">
        <f t="shared" ca="1" si="17"/>
        <v>0</v>
      </c>
      <c r="L112" s="1574">
        <f t="shared" ca="1" si="18"/>
        <v>0</v>
      </c>
      <c r="M112" s="2491" t="str">
        <f>VLOOKUP($B112,[4]BOLETIM_SEL!$A:$H,5,0)</f>
        <v>H &gt; 4,51
alta Interferência</v>
      </c>
      <c r="N112" s="1654">
        <v>18.73</v>
      </c>
      <c r="O112" s="1652">
        <f t="shared" ca="1" si="22"/>
        <v>0</v>
      </c>
      <c r="Q112" s="833"/>
      <c r="R112" s="833"/>
      <c r="S112" s="833"/>
      <c r="T112" s="833"/>
      <c r="U112" s="833"/>
      <c r="V112" s="833"/>
      <c r="W112" s="833"/>
      <c r="X112" s="833"/>
    </row>
    <row r="113" spans="1:24" s="813" customFormat="1" ht="50.1" hidden="1" customHeight="1" x14ac:dyDescent="0.15">
      <c r="A113" s="2081">
        <f t="shared" ca="1" si="19"/>
        <v>3.0499999999999989</v>
      </c>
      <c r="B113" s="834">
        <v>90090</v>
      </c>
      <c r="C113" s="2" t="str">
        <f>VLOOKUP($B113,[4]BOLETIM_SEL!$A:$H,2,0)</f>
        <v>SINAPI</v>
      </c>
      <c r="D113" s="315" t="str">
        <f>VLOOKUP($B113,[4]BOLETIM_SEL!$A:$H,4,0)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3" s="1830"/>
      <c r="F113" s="2" t="str">
        <f>VLOOKUP($B113,[4]BOLETIM_SEL!$A:$H,6,0)</f>
        <v>M3</v>
      </c>
      <c r="G113" s="1407">
        <f>VLOOKUP($B113,[4]BOLETIM_SEL!$A:$H,7,0)</f>
        <v>8.3800000000000008</v>
      </c>
      <c r="H113" s="1613">
        <f ca="1">Dre_Terraplenagem!BM69</f>
        <v>0</v>
      </c>
      <c r="I113" s="877">
        <f t="shared" si="20"/>
        <v>10.11</v>
      </c>
      <c r="J113" s="1612">
        <f t="shared" ca="1" si="21"/>
        <v>0</v>
      </c>
      <c r="K113" s="2078">
        <f t="shared" ca="1" si="17"/>
        <v>0</v>
      </c>
      <c r="L113" s="1574">
        <f t="shared" ca="1" si="18"/>
        <v>0</v>
      </c>
      <c r="M113" s="2491"/>
      <c r="N113" s="1654">
        <f>VLOOKUP($B113,[4]BOLETIM_SEL!$A:$H,3,0)</f>
        <v>19.489999999999998</v>
      </c>
      <c r="O113" s="1652">
        <f t="shared" ca="1" si="22"/>
        <v>0</v>
      </c>
      <c r="Q113" s="833"/>
      <c r="R113" s="833"/>
      <c r="S113" s="833"/>
      <c r="T113" s="833"/>
      <c r="U113" s="833"/>
      <c r="V113" s="833"/>
      <c r="W113" s="833"/>
      <c r="X113" s="833"/>
    </row>
    <row r="114" spans="1:24" s="813" customFormat="1" ht="50.1" hidden="1" customHeight="1" x14ac:dyDescent="0.15">
      <c r="A114" s="2081">
        <f t="shared" ca="1" si="19"/>
        <v>3.0499999999999989</v>
      </c>
      <c r="B114" s="834">
        <v>90105</v>
      </c>
      <c r="C114" s="2" t="str">
        <f>VLOOKUP($B114,[4]BOLETIM_SEL!$A:$H,2,0)</f>
        <v>SINAPI</v>
      </c>
      <c r="D114" s="315" t="str">
        <f>VLOOKUP($B114,[4]BOLETIM_SEL!$A:$H,4,0)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114" s="2"/>
      <c r="F114" s="2" t="str">
        <f>VLOOKUP($B114,[4]BOLETIM_SEL!$A:$H,6,0)</f>
        <v>M3</v>
      </c>
      <c r="G114" s="1407">
        <f>VLOOKUP($B114,[4]BOLETIM_SEL!$A:$H,7,0)</f>
        <v>7.99</v>
      </c>
      <c r="H114" s="1613">
        <f>Dre_Terraplenagem!BM70</f>
        <v>0</v>
      </c>
      <c r="I114" s="877">
        <f t="shared" si="20"/>
        <v>9.64</v>
      </c>
      <c r="J114" s="1612">
        <f t="shared" ref="J114:J125" si="23">TRUNC(H114*I114,2)</f>
        <v>0</v>
      </c>
      <c r="K114" s="2078">
        <f t="shared" ca="1" si="17"/>
        <v>0</v>
      </c>
      <c r="L114" s="1574">
        <f t="shared" ca="1" si="18"/>
        <v>0</v>
      </c>
      <c r="M114" s="2492" t="str">
        <f>VLOOKUP($B114,[4]BOLETIM_SEL!$A:$H,5,0)</f>
        <v>H &lt; 1,50
baixa Interferência</v>
      </c>
      <c r="N114" s="1654">
        <f>VLOOKUP($B114,[4]BOLETIM_SEL!$A:$H,3,0)</f>
        <v>12.76</v>
      </c>
      <c r="O114" s="1652">
        <f t="shared" si="22"/>
        <v>0</v>
      </c>
      <c r="Q114" s="833"/>
      <c r="R114" s="833"/>
      <c r="S114" s="833"/>
      <c r="T114" s="833"/>
      <c r="U114" s="833"/>
      <c r="V114" s="833"/>
      <c r="W114" s="833"/>
      <c r="X114" s="833"/>
    </row>
    <row r="115" spans="1:24" s="813" customFormat="1" ht="50.1" hidden="1" customHeight="1" x14ac:dyDescent="0.15">
      <c r="A115" s="2081">
        <f t="shared" ca="1" si="19"/>
        <v>3.0499999999999989</v>
      </c>
      <c r="B115" s="834">
        <v>90106</v>
      </c>
      <c r="C115" s="2" t="str">
        <f>VLOOKUP($B115,[4]BOLETIM_SEL!$A:$H,2,0)</f>
        <v>SINAPI</v>
      </c>
      <c r="D115" s="315" t="str">
        <f>VLOOKUP($B115,[4]BOLETIM_SEL!$A:$H,4,0)</f>
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5" s="2"/>
      <c r="F115" s="2" t="str">
        <f>VLOOKUP($B115,[4]BOLETIM_SEL!$A:$H,6,0)</f>
        <v>M3</v>
      </c>
      <c r="G115" s="1407">
        <f>VLOOKUP($B115,[4]BOLETIM_SEL!$A:$H,7,0)</f>
        <v>6.8</v>
      </c>
      <c r="H115" s="1613">
        <f>Dre_Terraplenagem!BM71</f>
        <v>0</v>
      </c>
      <c r="I115" s="877">
        <f t="shared" si="20"/>
        <v>8.1999999999999993</v>
      </c>
      <c r="J115" s="1612">
        <f t="shared" si="23"/>
        <v>0</v>
      </c>
      <c r="K115" s="2078">
        <f t="shared" ca="1" si="17"/>
        <v>0</v>
      </c>
      <c r="L115" s="1574">
        <f t="shared" ca="1" si="18"/>
        <v>0</v>
      </c>
      <c r="M115" s="2492"/>
      <c r="N115" s="1654">
        <f>VLOOKUP($B115,[4]BOLETIM_SEL!$A:$H,3,0)</f>
        <v>14.99</v>
      </c>
      <c r="O115" s="1652">
        <f t="shared" si="22"/>
        <v>0</v>
      </c>
      <c r="Q115" s="833"/>
      <c r="R115" s="833"/>
      <c r="S115" s="833"/>
      <c r="T115" s="833"/>
      <c r="U115" s="833"/>
      <c r="V115" s="833"/>
      <c r="W115" s="833"/>
      <c r="X115" s="833"/>
    </row>
    <row r="116" spans="1:24" s="813" customFormat="1" ht="50.1" hidden="1" customHeight="1" x14ac:dyDescent="0.15">
      <c r="A116" s="2081">
        <f t="shared" ca="1" si="19"/>
        <v>3.0499999999999989</v>
      </c>
      <c r="B116" s="834">
        <v>90091</v>
      </c>
      <c r="C116" s="2" t="str">
        <f>VLOOKUP($B116,[4]BOLETIM_SEL!$A:$H,2,0)</f>
        <v>SINAPI</v>
      </c>
      <c r="D116" s="315" t="str">
        <f>VLOOKUP($B116,[4]BOLETIM_SEL!$A:$H,4,0)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</c>
      <c r="E116" s="2"/>
      <c r="F116" s="2" t="str">
        <f>VLOOKUP($B116,[4]BOLETIM_SEL!$A:$H,6,0)</f>
        <v>M3</v>
      </c>
      <c r="G116" s="1407">
        <f>VLOOKUP($B116,[4]BOLETIM_SEL!$A:$H,7,0)</f>
        <v>5.57</v>
      </c>
      <c r="H116" s="1613">
        <f>Dre_Terraplenagem!BM72+Dre_Terraplenagem!BM196</f>
        <v>0</v>
      </c>
      <c r="I116" s="877">
        <f t="shared" si="20"/>
        <v>6.72</v>
      </c>
      <c r="J116" s="1612">
        <f t="shared" si="23"/>
        <v>0</v>
      </c>
      <c r="K116" s="2078">
        <f t="shared" ca="1" si="17"/>
        <v>0</v>
      </c>
      <c r="L116" s="1574">
        <f t="shared" ca="1" si="18"/>
        <v>0</v>
      </c>
      <c r="M116" s="2492"/>
      <c r="N116" s="1654">
        <f>VLOOKUP($B116,[4]BOLETIM_SEL!$A:$H,3,0)</f>
        <v>22.52</v>
      </c>
      <c r="O116" s="1652">
        <f t="shared" si="22"/>
        <v>0</v>
      </c>
      <c r="Q116" s="833"/>
      <c r="R116" s="833"/>
      <c r="S116" s="833"/>
      <c r="T116" s="833"/>
      <c r="U116" s="833"/>
      <c r="V116" s="833"/>
      <c r="W116" s="833"/>
      <c r="X116" s="833"/>
    </row>
    <row r="117" spans="1:24" s="813" customFormat="1" ht="50.1" hidden="1" customHeight="1" x14ac:dyDescent="0.15">
      <c r="A117" s="2081">
        <f t="shared" ca="1" si="19"/>
        <v>3.0499999999999989</v>
      </c>
      <c r="B117" s="834">
        <v>90107</v>
      </c>
      <c r="C117" s="2" t="str">
        <f>VLOOKUP($B117,[4]BOLETIM_SEL!$A:$H,2,0)</f>
        <v>SINAPI</v>
      </c>
      <c r="D117" s="315" t="str">
        <f>VLOOKUP($B117,[4]BOLETIM_SEL!$A:$H,4,0)</f>
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</c>
      <c r="E117" s="2"/>
      <c r="F117" s="2" t="str">
        <f>VLOOKUP($B117,[4]BOLETIM_SEL!$A:$H,6,0)</f>
        <v>M3</v>
      </c>
      <c r="G117" s="1407">
        <f>VLOOKUP($B117,[4]BOLETIM_SEL!$A:$H,7,0)</f>
        <v>6.7</v>
      </c>
      <c r="H117" s="1613">
        <f>Dre_Terraplenagem!BM73</f>
        <v>0</v>
      </c>
      <c r="I117" s="877">
        <f t="shared" si="20"/>
        <v>8.08</v>
      </c>
      <c r="J117" s="1612">
        <f t="shared" si="23"/>
        <v>0</v>
      </c>
      <c r="K117" s="2078">
        <f t="shared" ca="1" si="17"/>
        <v>0</v>
      </c>
      <c r="L117" s="1574">
        <f t="shared" ca="1" si="18"/>
        <v>0</v>
      </c>
      <c r="M117" s="2488" t="str">
        <f>VLOOKUP($B117,[4]BOLETIM_SEL!$A:$H,5,0)</f>
        <v>1,51 &lt; H &lt; 3,00
baixa Interferência</v>
      </c>
      <c r="N117" s="1654">
        <f>VLOOKUP($B117,[4]BOLETIM_SEL!$A:$H,3,0)</f>
        <v>15.2</v>
      </c>
      <c r="O117" s="1652">
        <f t="shared" si="22"/>
        <v>0</v>
      </c>
      <c r="Q117" s="833"/>
      <c r="R117" s="833"/>
      <c r="S117" s="833"/>
      <c r="T117" s="833"/>
      <c r="U117" s="833"/>
      <c r="V117" s="833"/>
      <c r="W117" s="833"/>
      <c r="X117" s="833"/>
    </row>
    <row r="118" spans="1:24" s="813" customFormat="1" ht="50.1" hidden="1" customHeight="1" x14ac:dyDescent="0.15">
      <c r="A118" s="2081">
        <f t="shared" ca="1" si="19"/>
        <v>3.0499999999999989</v>
      </c>
      <c r="B118" s="834">
        <v>90108</v>
      </c>
      <c r="C118" s="2" t="str">
        <f>VLOOKUP($B118,[4]BOLETIM_SEL!$A:$H,2,0)</f>
        <v>SINAPI</v>
      </c>
      <c r="D118" s="315" t="str">
        <f>VLOOKUP($B118,[4]BOLETIM_SEL!$A:$H,4,0)</f>
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8" s="2"/>
      <c r="F118" s="2" t="str">
        <f>VLOOKUP($B118,[4]BOLETIM_SEL!$A:$H,6,0)</f>
        <v>M3</v>
      </c>
      <c r="G118" s="1407">
        <f>VLOOKUP($B118,[4]BOLETIM_SEL!$A:$H,7,0)</f>
        <v>6.1</v>
      </c>
      <c r="H118" s="1613">
        <f>Dre_Terraplenagem!BM74</f>
        <v>0</v>
      </c>
      <c r="I118" s="877">
        <f t="shared" si="20"/>
        <v>7.36</v>
      </c>
      <c r="J118" s="1612">
        <f t="shared" si="23"/>
        <v>0</v>
      </c>
      <c r="K118" s="2078">
        <f t="shared" ca="1" si="17"/>
        <v>0</v>
      </c>
      <c r="L118" s="1574">
        <f t="shared" ca="1" si="18"/>
        <v>0</v>
      </c>
      <c r="M118" s="2488"/>
      <c r="N118" s="1654">
        <f>VLOOKUP($B118,[4]BOLETIM_SEL!$A:$H,3,0)</f>
        <v>16.690000000000001</v>
      </c>
      <c r="O118" s="1652">
        <f t="shared" si="22"/>
        <v>0</v>
      </c>
      <c r="Q118" s="833"/>
      <c r="R118" s="833"/>
      <c r="S118" s="833"/>
      <c r="T118" s="833"/>
      <c r="U118" s="833"/>
      <c r="V118" s="833"/>
      <c r="W118" s="833"/>
      <c r="X118" s="833"/>
    </row>
    <row r="119" spans="1:24" s="813" customFormat="1" ht="50.1" hidden="1" customHeight="1" x14ac:dyDescent="0.15">
      <c r="A119" s="2081">
        <f t="shared" ca="1" si="19"/>
        <v>3.0499999999999989</v>
      </c>
      <c r="B119" s="840">
        <v>102281</v>
      </c>
      <c r="C119" s="2" t="str">
        <f>VLOOKUP($B119,[4]BOLETIM_SEL!$A:$H,2,0)</f>
        <v>SINAPI</v>
      </c>
      <c r="D119" s="315" t="str">
        <f>VLOOKUP($B119,[4]BOLETIM_SEL!$A:$H,4,0)</f>
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</c>
      <c r="E119" s="2"/>
      <c r="F119" s="2" t="str">
        <f>VLOOKUP($B119,[4]BOLETIM_SEL!$A:$H,6,0)</f>
        <v>M3</v>
      </c>
      <c r="G119" s="1407">
        <f>VLOOKUP($B119,[4]BOLETIM_SEL!$A:$H,7,0)</f>
        <v>4.93</v>
      </c>
      <c r="H119" s="1613">
        <f>Dre_Terraplenagem!BM75+Dre_Terraplenagem!BM197</f>
        <v>0</v>
      </c>
      <c r="I119" s="877">
        <f t="shared" si="20"/>
        <v>5.95</v>
      </c>
      <c r="J119" s="1612">
        <f t="shared" si="23"/>
        <v>0</v>
      </c>
      <c r="K119" s="2078">
        <f t="shared" ca="1" si="17"/>
        <v>0</v>
      </c>
      <c r="L119" s="1574">
        <f t="shared" ca="1" si="18"/>
        <v>0</v>
      </c>
      <c r="M119" s="2488"/>
      <c r="N119" s="1654">
        <v>24.69</v>
      </c>
      <c r="O119" s="1652">
        <f t="shared" si="22"/>
        <v>0</v>
      </c>
      <c r="Q119" s="833"/>
      <c r="R119" s="833"/>
      <c r="S119" s="833"/>
      <c r="T119" s="833"/>
      <c r="U119" s="833"/>
      <c r="V119" s="833"/>
      <c r="W119" s="833"/>
      <c r="X119" s="833"/>
    </row>
    <row r="120" spans="1:24" s="813" customFormat="1" ht="50.1" hidden="1" customHeight="1" x14ac:dyDescent="0.15">
      <c r="A120" s="2081">
        <f t="shared" ca="1" si="19"/>
        <v>3.0499999999999989</v>
      </c>
      <c r="B120" s="840">
        <v>90094</v>
      </c>
      <c r="C120" s="2" t="str">
        <f>VLOOKUP($B120,[4]BOLETIM_SEL!$A:$H,2,0)</f>
        <v>SINAPI</v>
      </c>
      <c r="D120" s="315" t="str">
        <f>VLOOKUP($B120,[4]BOLETIM_SEL!$A:$H,4,0)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</c>
      <c r="E120" s="2"/>
      <c r="F120" s="2" t="str">
        <f>VLOOKUP($B120,[4]BOLETIM_SEL!$A:$H,6,0)</f>
        <v>M3</v>
      </c>
      <c r="G120" s="1407">
        <f>VLOOKUP($B120,[4]BOLETIM_SEL!$A:$H,7,0)</f>
        <v>5.21</v>
      </c>
      <c r="H120" s="1613">
        <f>Dre_Terraplenagem!BM76</f>
        <v>0</v>
      </c>
      <c r="I120" s="877">
        <f t="shared" si="20"/>
        <v>6.28</v>
      </c>
      <c r="J120" s="1612">
        <f t="shared" si="23"/>
        <v>0</v>
      </c>
      <c r="K120" s="2078">
        <f t="shared" ca="1" si="17"/>
        <v>0</v>
      </c>
      <c r="L120" s="1574">
        <f t="shared" ca="1" si="18"/>
        <v>0</v>
      </c>
      <c r="M120" s="2493" t="str">
        <f>VLOOKUP($B120,[4]BOLETIM_SEL!$A:$H,5,0)</f>
        <v>3,01 &lt; H &lt; 4,50
baixa Interferência</v>
      </c>
      <c r="N120" s="1654">
        <f>VLOOKUP($B120,[4]BOLETIM_SEL!$A:$H,3,0)</f>
        <v>24.45</v>
      </c>
      <c r="O120" s="1652">
        <f t="shared" si="22"/>
        <v>0</v>
      </c>
      <c r="Q120" s="833"/>
      <c r="R120" s="833"/>
      <c r="S120" s="833"/>
      <c r="T120" s="833"/>
      <c r="U120" s="833"/>
      <c r="V120" s="833"/>
      <c r="W120" s="833"/>
      <c r="X120" s="833"/>
    </row>
    <row r="121" spans="1:24" s="813" customFormat="1" ht="50.1" hidden="1" customHeight="1" x14ac:dyDescent="0.15">
      <c r="A121" s="2081">
        <f t="shared" ca="1" si="19"/>
        <v>3.0499999999999989</v>
      </c>
      <c r="B121" s="2">
        <v>90095</v>
      </c>
      <c r="C121" s="2" t="str">
        <f>VLOOKUP($B121,[4]BOLETIM_SEL!$A:$H,2,0)</f>
        <v>SINAPI</v>
      </c>
      <c r="D121" s="315" t="str">
        <f>VLOOKUP($B121,[4]BOLETIM_SEL!$A:$H,4,0)</f>
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</c>
      <c r="E121" s="2"/>
      <c r="F121" s="2" t="str">
        <f>VLOOKUP($B121,[4]BOLETIM_SEL!$A:$H,6,0)</f>
        <v>M3</v>
      </c>
      <c r="G121" s="1407">
        <f>VLOOKUP($B121,[4]BOLETIM_SEL!$A:$H,7,0)</f>
        <v>4.71</v>
      </c>
      <c r="H121" s="1613">
        <f>Dre_Terraplenagem!BM77</f>
        <v>0</v>
      </c>
      <c r="I121" s="877">
        <f t="shared" si="20"/>
        <v>5.68</v>
      </c>
      <c r="J121" s="1612">
        <f t="shared" si="23"/>
        <v>0</v>
      </c>
      <c r="K121" s="2078">
        <f t="shared" ca="1" si="17"/>
        <v>0</v>
      </c>
      <c r="L121" s="1574">
        <f t="shared" ca="1" si="18"/>
        <v>0</v>
      </c>
      <c r="M121" s="2493"/>
      <c r="N121" s="1654">
        <f>VLOOKUP($B121,[4]BOLETIM_SEL!$A:$H,3,0)</f>
        <v>21.65</v>
      </c>
      <c r="O121" s="1652">
        <f t="shared" si="22"/>
        <v>0</v>
      </c>
      <c r="Q121" s="833"/>
      <c r="R121" s="833"/>
      <c r="S121" s="833"/>
      <c r="T121" s="833"/>
      <c r="U121" s="833"/>
      <c r="V121" s="833"/>
      <c r="W121" s="833"/>
      <c r="X121" s="833"/>
    </row>
    <row r="122" spans="1:24" s="813" customFormat="1" ht="50.1" hidden="1" customHeight="1" x14ac:dyDescent="0.15">
      <c r="A122" s="2081">
        <f t="shared" ca="1" si="19"/>
        <v>3.0499999999999989</v>
      </c>
      <c r="B122" s="834">
        <v>102280</v>
      </c>
      <c r="C122" s="2" t="str">
        <f>VLOOKUP($B122,[4]BOLETIM_SEL!$A:$H,2,0)</f>
        <v>SINAPI</v>
      </c>
      <c r="D122" s="315" t="str">
        <f>VLOOKUP($B122,[4]BOLETIM_SEL!$A:$H,4,0)</f>
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</c>
      <c r="E122" s="2"/>
      <c r="F122" s="2" t="str">
        <f>VLOOKUP($B122,[4]BOLETIM_SEL!$A:$H,6,0)</f>
        <v>M3</v>
      </c>
      <c r="G122" s="1407">
        <f>VLOOKUP($B122,[4]BOLETIM_SEL!$A:$H,7,0)</f>
        <v>5.05</v>
      </c>
      <c r="H122" s="1613">
        <f>Dre_Terraplenagem!BM78</f>
        <v>0</v>
      </c>
      <c r="I122" s="877">
        <f t="shared" si="20"/>
        <v>6.09</v>
      </c>
      <c r="J122" s="1612">
        <f t="shared" si="23"/>
        <v>0</v>
      </c>
      <c r="K122" s="2078">
        <f t="shared" ca="1" si="17"/>
        <v>0</v>
      </c>
      <c r="L122" s="1574">
        <f t="shared" ca="1" si="18"/>
        <v>0</v>
      </c>
      <c r="M122" s="2491" t="str">
        <f>VLOOKUP($B122,[4]BOLETIM_SEL!$A:$H,5,0)</f>
        <v>H &gt; 4,51
baixa Interferência</v>
      </c>
      <c r="N122" s="1654">
        <v>21.19</v>
      </c>
      <c r="O122" s="1652">
        <f t="shared" si="22"/>
        <v>0</v>
      </c>
      <c r="Q122" s="833"/>
      <c r="R122" s="833"/>
      <c r="S122" s="833"/>
      <c r="T122" s="833"/>
      <c r="U122" s="833"/>
      <c r="V122" s="833"/>
      <c r="W122" s="833"/>
      <c r="X122" s="833"/>
    </row>
    <row r="123" spans="1:24" s="813" customFormat="1" ht="50.1" hidden="1" customHeight="1" x14ac:dyDescent="0.15">
      <c r="A123" s="2081">
        <f t="shared" ca="1" si="19"/>
        <v>3.0499999999999989</v>
      </c>
      <c r="B123" s="834">
        <v>90098</v>
      </c>
      <c r="C123" s="2" t="str">
        <f>VLOOKUP($B123,[4]BOLETIM_SEL!$A:$H,2,0)</f>
        <v>SINAPI</v>
      </c>
      <c r="D123" s="315" t="str">
        <f>VLOOKUP($B123,[4]BOLETIM_SEL!$A:$H,4,0)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</c>
      <c r="E123" s="2"/>
      <c r="F123" s="2" t="str">
        <f>VLOOKUP($B123,[4]BOLETIM_SEL!$A:$H,6,0)</f>
        <v>M3</v>
      </c>
      <c r="G123" s="1407">
        <f>VLOOKUP($B123,[4]BOLETIM_SEL!$A:$H,7,0)</f>
        <v>4.62</v>
      </c>
      <c r="H123" s="1613">
        <f>Dre_Terraplenagem!BM79</f>
        <v>0</v>
      </c>
      <c r="I123" s="877">
        <f t="shared" si="20"/>
        <v>5.57</v>
      </c>
      <c r="J123" s="1612">
        <f t="shared" si="23"/>
        <v>0</v>
      </c>
      <c r="K123" s="2078">
        <f t="shared" ca="1" si="17"/>
        <v>0</v>
      </c>
      <c r="L123" s="1574">
        <f t="shared" ca="1" si="18"/>
        <v>0</v>
      </c>
      <c r="M123" s="2491"/>
      <c r="N123" s="1654">
        <f>VLOOKUP($B123,[4]BOLETIM_SEL!$A:$H,3,0)</f>
        <v>22.08</v>
      </c>
      <c r="O123" s="1652">
        <f t="shared" si="22"/>
        <v>0</v>
      </c>
      <c r="Q123" s="833"/>
      <c r="R123" s="833"/>
      <c r="S123" s="833"/>
      <c r="T123" s="833"/>
      <c r="U123" s="833"/>
      <c r="V123" s="833"/>
      <c r="W123" s="833"/>
      <c r="X123" s="833"/>
    </row>
    <row r="124" spans="1:24" s="813" customFormat="1" ht="30" customHeight="1" x14ac:dyDescent="0.15">
      <c r="A124" s="2081">
        <f t="shared" ca="1" si="19"/>
        <v>3.0599999999999987</v>
      </c>
      <c r="B124" s="855">
        <v>93358</v>
      </c>
      <c r="C124" s="2" t="str">
        <f>VLOOKUP($B124,[4]BOLETIM_SEL!$A:$H,2,0)</f>
        <v>SINAPI</v>
      </c>
      <c r="D124" s="315" t="str">
        <f>VLOOKUP($B124,[4]BOLETIM_SEL!$A:$H,4,0)</f>
        <v>Escavação manual de vala com profundidade menor ou igual a 1,30 m. AF_03/2016</v>
      </c>
      <c r="E124" s="1830"/>
      <c r="F124" s="2" t="str">
        <f>VLOOKUP($B124,[4]BOLETIM_SEL!$A:$H,6,0)</f>
        <v>M3</v>
      </c>
      <c r="G124" s="1407">
        <f>VLOOKUP($B124,[4]BOLETIM_SEL!$A:$H,7,0)</f>
        <v>74.88</v>
      </c>
      <c r="H124" s="1613">
        <f ca="1">Dre_Terraplenagem!BM81</f>
        <v>494.43</v>
      </c>
      <c r="I124" s="877">
        <f t="shared" si="20"/>
        <v>90.38</v>
      </c>
      <c r="J124" s="1612">
        <f ca="1">TRUNC(H124*I124,2)</f>
        <v>44686.58</v>
      </c>
      <c r="K124" s="2078">
        <f t="shared" ca="1" si="17"/>
        <v>3.334655696275877E-3</v>
      </c>
      <c r="L124" s="1574">
        <f t="shared" ca="1" si="18"/>
        <v>6.7531506863971899E-2</v>
      </c>
      <c r="M124" s="1445"/>
      <c r="N124" s="1654"/>
      <c r="O124" s="1652"/>
      <c r="Q124" s="833"/>
      <c r="R124" s="833"/>
      <c r="S124" s="833"/>
      <c r="T124" s="833"/>
      <c r="U124" s="833"/>
      <c r="V124" s="833"/>
      <c r="W124" s="833"/>
      <c r="X124" s="833"/>
    </row>
    <row r="125" spans="1:24" s="813" customFormat="1" ht="39.950000000000003" hidden="1" customHeight="1" x14ac:dyDescent="0.15">
      <c r="A125" s="2081">
        <f t="shared" ca="1" si="19"/>
        <v>3.0599999999999987</v>
      </c>
      <c r="B125" s="834" t="s">
        <v>1679</v>
      </c>
      <c r="C125" s="2" t="str">
        <f>VLOOKUP($B125,[4]BOLETIM_SEL!$A:$H,2,0)</f>
        <v>COMPOSIÇÃO</v>
      </c>
      <c r="D125" s="315" t="str">
        <f>VLOOKUP($B125,[4]BOLETIM_SEL!$A:$H,4,0)</f>
        <v>Escavação de vala em rocha - 3a categoria, com uso de explosivos e perfuração mecânica, em locais com alto nível de interferência. Inclusive carga</v>
      </c>
      <c r="E125" s="2"/>
      <c r="F125" s="2" t="str">
        <f>VLOOKUP($B125,[4]BOLETIM_SEL!$A:$H,6,0)</f>
        <v>M3</v>
      </c>
      <c r="G125" s="1407">
        <f>VLOOKUP($B125,[4]BOLETIM_SEL!$A:$H,7,0)</f>
        <v>463.69</v>
      </c>
      <c r="H125" s="1613">
        <f>Dre_Terraplenagem!BM59</f>
        <v>0</v>
      </c>
      <c r="I125" s="877">
        <f t="shared" si="20"/>
        <v>559.66999999999996</v>
      </c>
      <c r="J125" s="1612">
        <f t="shared" si="23"/>
        <v>0</v>
      </c>
      <c r="K125" s="2078">
        <f t="shared" ca="1" si="17"/>
        <v>0</v>
      </c>
      <c r="L125" s="1574">
        <f t="shared" ca="1" si="18"/>
        <v>0</v>
      </c>
      <c r="M125" s="1445"/>
      <c r="N125" s="1654">
        <f>VLOOKUP($B125,[4]BOLETIM_SEL!$A:$H,3,0)</f>
        <v>3</v>
      </c>
      <c r="O125" s="1652">
        <f>H125/N125</f>
        <v>0</v>
      </c>
      <c r="Q125" s="833"/>
      <c r="R125" s="833"/>
      <c r="S125" s="833"/>
      <c r="T125" s="833"/>
      <c r="U125" s="833"/>
      <c r="V125" s="833"/>
      <c r="W125" s="833"/>
      <c r="X125" s="833"/>
    </row>
    <row r="126" spans="1:24" s="813" customFormat="1" ht="39.950000000000003" customHeight="1" x14ac:dyDescent="0.15">
      <c r="A126" s="2081">
        <f t="shared" ca="1" si="19"/>
        <v>3.0699999999999985</v>
      </c>
      <c r="B126" s="2474">
        <v>101570</v>
      </c>
      <c r="C126" s="2" t="str">
        <f>VLOOKUP($B126,[4]BOLETIM_SEL!$A:$H,2,0)</f>
        <v>SINAPI</v>
      </c>
      <c r="D126" s="315" t="str">
        <f>VLOOKUP($B126,[4]BOLETIM_SEL!$A:$H,4,0)</f>
        <v>Escoramento de vala, tipo pontaleteamento, com profundidade de 0,00 a 1,50 m, largura menor que 1,50 m. AF_08/2020</v>
      </c>
      <c r="E126" s="2"/>
      <c r="F126" s="2" t="str">
        <f>VLOOKUP($B126,[4]BOLETIM_SEL!$A:$H,6,0)</f>
        <v>M2</v>
      </c>
      <c r="G126" s="1407">
        <f>VLOOKUP($B126,[4]BOLETIM_SEL!$A:$H,7,0)</f>
        <v>22.03</v>
      </c>
      <c r="H126" s="1613">
        <f ca="1">Dre_Terraplenagem!BM100</f>
        <v>2139.73</v>
      </c>
      <c r="I126" s="877">
        <f t="shared" si="20"/>
        <v>26.59</v>
      </c>
      <c r="J126" s="1612">
        <f t="shared" ref="J126:J141" ca="1" si="24">TRUNC(H126*I126,2)</f>
        <v>56895.42</v>
      </c>
      <c r="K126" s="2078">
        <f t="shared" ca="1" si="17"/>
        <v>4.2457184325810663E-3</v>
      </c>
      <c r="L126" s="1574">
        <f t="shared" ca="1" si="18"/>
        <v>8.5981819290233533E-2</v>
      </c>
      <c r="M126" s="2488" t="str">
        <f>VLOOKUP($B126,[4]BOLETIM_SEL!$A:$H,5,0)</f>
        <v>PONTALETEAMENTO</v>
      </c>
      <c r="N126" s="833"/>
      <c r="O126" s="842"/>
      <c r="Q126" s="833"/>
      <c r="R126" s="833"/>
      <c r="S126" s="833"/>
      <c r="T126" s="833"/>
      <c r="U126" s="833"/>
      <c r="V126" s="833"/>
      <c r="W126" s="833"/>
      <c r="X126" s="833"/>
    </row>
    <row r="127" spans="1:24" s="813" customFormat="1" ht="39.950000000000003" hidden="1" customHeight="1" x14ac:dyDescent="0.15">
      <c r="A127" s="2081">
        <f t="shared" ca="1" si="19"/>
        <v>3.0699999999999985</v>
      </c>
      <c r="B127" s="2474">
        <v>101571</v>
      </c>
      <c r="C127" s="2" t="str">
        <f>VLOOKUP($B127,[4]BOLETIM_SEL!$A:$H,2,0)</f>
        <v>SINAPI</v>
      </c>
      <c r="D127" s="315" t="str">
        <f>VLOOKUP($B127,[4]BOLETIM_SEL!$A:$H,4,0)</f>
        <v>Escoramento de vala, tipo pontaleteamento, com profundidade de 0,00 a 1,50 m, largura maior ou igual a 1,50 m e menor que 2,50 m. AF_08/2020</v>
      </c>
      <c r="E127" s="2"/>
      <c r="F127" s="2" t="str">
        <f>VLOOKUP($B127,[4]BOLETIM_SEL!$A:$H,6,0)</f>
        <v>M2</v>
      </c>
      <c r="G127" s="1407">
        <f>VLOOKUP($B127,[4]BOLETIM_SEL!$A:$H,7,0)</f>
        <v>29.65</v>
      </c>
      <c r="H127" s="1613">
        <f ca="1">Dre_Terraplenagem!BM101</f>
        <v>0</v>
      </c>
      <c r="I127" s="877">
        <f t="shared" si="20"/>
        <v>35.78</v>
      </c>
      <c r="J127" s="1612">
        <f t="shared" ca="1" si="24"/>
        <v>0</v>
      </c>
      <c r="K127" s="2078">
        <f t="shared" ca="1" si="17"/>
        <v>0</v>
      </c>
      <c r="L127" s="1574">
        <f t="shared" ca="1" si="18"/>
        <v>0</v>
      </c>
      <c r="M127" s="2488"/>
      <c r="N127" s="833"/>
      <c r="O127" s="833"/>
      <c r="Q127" s="833"/>
      <c r="R127" s="833"/>
      <c r="S127" s="833"/>
      <c r="T127" s="833"/>
      <c r="U127" s="833"/>
      <c r="V127" s="833"/>
      <c r="W127" s="833"/>
      <c r="X127" s="833"/>
    </row>
    <row r="128" spans="1:24" s="813" customFormat="1" ht="30" hidden="1" customHeight="1" x14ac:dyDescent="0.15">
      <c r="A128" s="2081">
        <f t="shared" ca="1" si="19"/>
        <v>3.0699999999999985</v>
      </c>
      <c r="B128" s="2474">
        <v>101572</v>
      </c>
      <c r="C128" s="2" t="str">
        <f>VLOOKUP($B128,[4]BOLETIM_SEL!$A:$H,2,0)</f>
        <v>SINAPI</v>
      </c>
      <c r="D128" s="315" t="str">
        <f>VLOOKUP($B128,[4]BOLETIM_SEL!$A:$H,4,0)</f>
        <v>Escoramento de vala, tipo pontaleteamento, com profundidade de 1,50 a 3,00 m, largura menor que 1,50 m. AF_08/2020</v>
      </c>
      <c r="E128" s="2"/>
      <c r="F128" s="2" t="str">
        <f>VLOOKUP($B128,[4]BOLETIM_SEL!$A:$H,6,0)</f>
        <v>M2</v>
      </c>
      <c r="G128" s="1407">
        <f>VLOOKUP($B128,[4]BOLETIM_SEL!$A:$H,7,0)</f>
        <v>17.47</v>
      </c>
      <c r="H128" s="1613">
        <f ca="1">Dre_Terraplenagem!BM102</f>
        <v>0</v>
      </c>
      <c r="I128" s="877">
        <f t="shared" si="20"/>
        <v>21.08</v>
      </c>
      <c r="J128" s="1612">
        <f t="shared" ca="1" si="24"/>
        <v>0</v>
      </c>
      <c r="K128" s="2078">
        <f t="shared" ca="1" si="17"/>
        <v>0</v>
      </c>
      <c r="L128" s="1574">
        <f t="shared" ca="1" si="18"/>
        <v>0</v>
      </c>
      <c r="M128" s="2488"/>
      <c r="N128" s="833"/>
      <c r="O128" s="833"/>
      <c r="Q128" s="833"/>
      <c r="R128" s="833"/>
      <c r="S128" s="833"/>
      <c r="T128" s="833"/>
      <c r="U128" s="833"/>
      <c r="V128" s="833"/>
      <c r="W128" s="833"/>
      <c r="X128" s="833"/>
    </row>
    <row r="129" spans="1:24" s="813" customFormat="1" ht="39.950000000000003" customHeight="1" x14ac:dyDescent="0.15">
      <c r="A129" s="2081">
        <f t="shared" ca="1" si="19"/>
        <v>3.0799999999999983</v>
      </c>
      <c r="B129" s="2474">
        <v>101573</v>
      </c>
      <c r="C129" s="2" t="str">
        <f>VLOOKUP($B129,[4]BOLETIM_SEL!$A:$H,2,0)</f>
        <v>SINAPI</v>
      </c>
      <c r="D129" s="315" t="str">
        <f>VLOOKUP($B129,[4]BOLETIM_SEL!$A:$H,4,0)</f>
        <v>Escoramento de vala, tipo pontaleteamento, com profundidade de 1,50 a 3,00 m, largura maior ou igual a 1,50 m e menor que 2,50 m. AF_08/2020</v>
      </c>
      <c r="E129" s="2"/>
      <c r="F129" s="2" t="str">
        <f>VLOOKUP($B129,[4]BOLETIM_SEL!$A:$H,6,0)</f>
        <v>M2</v>
      </c>
      <c r="G129" s="1407">
        <f>VLOOKUP($B129,[4]BOLETIM_SEL!$A:$H,7,0)</f>
        <v>25.08</v>
      </c>
      <c r="H129" s="1613">
        <f ca="1">Dre_Terraplenagem!BM103</f>
        <v>201.43</v>
      </c>
      <c r="I129" s="877">
        <f t="shared" si="20"/>
        <v>30.27</v>
      </c>
      <c r="J129" s="1612">
        <f t="shared" ca="1" si="24"/>
        <v>6097.28</v>
      </c>
      <c r="K129" s="2078">
        <f t="shared" ca="1" si="17"/>
        <v>4.5499855848867775E-4</v>
      </c>
      <c r="L129" s="1574">
        <f t="shared" ca="1" si="18"/>
        <v>9.2143660618368775E-3</v>
      </c>
      <c r="M129" s="2488"/>
      <c r="N129" s="833"/>
      <c r="O129" s="833"/>
      <c r="Q129" s="833"/>
      <c r="R129" s="833"/>
      <c r="S129" s="833"/>
      <c r="T129" s="833"/>
      <c r="U129" s="833"/>
      <c r="V129" s="833"/>
      <c r="W129" s="833"/>
      <c r="X129" s="833"/>
    </row>
    <row r="130" spans="1:24" s="813" customFormat="1" ht="30" hidden="1" customHeight="1" x14ac:dyDescent="0.15">
      <c r="A130" s="2081">
        <f t="shared" ca="1" si="19"/>
        <v>3.0799999999999983</v>
      </c>
      <c r="B130" s="2474">
        <v>101578</v>
      </c>
      <c r="C130" s="2" t="str">
        <f>VLOOKUP($B130,[4]BOLETIM_SEL!$A:$H,2,0)</f>
        <v>SINAPI</v>
      </c>
      <c r="D130" s="315" t="str">
        <f>VLOOKUP($B130,[4]BOLETIM_SEL!$A:$H,4,0)</f>
        <v>Escoramento de vala, tipo descontínuo, com profundidade de 1,50 m a 3,00 m, largura menor que 1,50 m. AF_08/2020</v>
      </c>
      <c r="E130" s="2"/>
      <c r="F130" s="2" t="str">
        <f>VLOOKUP($B130,[4]BOLETIM_SEL!$A:$H,6,0)</f>
        <v>M2</v>
      </c>
      <c r="G130" s="1407">
        <f>VLOOKUP($B130,[4]BOLETIM_SEL!$A:$H,7,0)</f>
        <v>34.17</v>
      </c>
      <c r="H130" s="1613">
        <f ca="1">Dre_Terraplenagem!BM107</f>
        <v>0</v>
      </c>
      <c r="I130" s="877">
        <f t="shared" ref="I130:I133" si="25">TRUNC(G130*(1+$J$5),2)</f>
        <v>41.24</v>
      </c>
      <c r="J130" s="1612">
        <f t="shared" ref="J130:J133" ca="1" si="26">TRUNC(H130*I130,2)</f>
        <v>0</v>
      </c>
      <c r="K130" s="2078">
        <f t="shared" ca="1" si="17"/>
        <v>0</v>
      </c>
      <c r="L130" s="1574">
        <f t="shared" ref="L130:L133" ca="1" si="27">J130/J$100</f>
        <v>0</v>
      </c>
      <c r="M130" s="2107"/>
      <c r="N130" s="833"/>
      <c r="O130" s="833"/>
      <c r="Q130" s="833"/>
      <c r="R130" s="833"/>
      <c r="S130" s="833"/>
      <c r="T130" s="833"/>
      <c r="U130" s="833"/>
      <c r="V130" s="833"/>
      <c r="W130" s="833"/>
      <c r="X130" s="833"/>
    </row>
    <row r="131" spans="1:24" s="813" customFormat="1" ht="39.950000000000003" hidden="1" customHeight="1" x14ac:dyDescent="0.15">
      <c r="A131" s="2081">
        <f t="shared" ca="1" si="19"/>
        <v>3.0799999999999983</v>
      </c>
      <c r="B131" s="2474">
        <v>101579</v>
      </c>
      <c r="C131" s="2" t="str">
        <f>VLOOKUP($B131,[4]BOLETIM_SEL!$A:$H,2,0)</f>
        <v>SINAPI</v>
      </c>
      <c r="D131" s="315" t="str">
        <f>VLOOKUP($B131,[4]BOLETIM_SEL!$A:$H,4,0)</f>
        <v>Escoramento de vala, tipo descontínuo, com profundidade de 1,50 a 3,00 m, largura maior ou igual a 1,50 m e menor que 2,50 m. AF_08/2020</v>
      </c>
      <c r="E131" s="2"/>
      <c r="F131" s="2" t="str">
        <f>VLOOKUP($B131,[4]BOLETIM_SEL!$A:$H,6,0)</f>
        <v>M2</v>
      </c>
      <c r="G131" s="1407">
        <f>VLOOKUP($B131,[4]BOLETIM_SEL!$A:$H,7,0)</f>
        <v>43.84</v>
      </c>
      <c r="H131" s="1613">
        <f ca="1">Dre_Terraplenagem!BM108</f>
        <v>0</v>
      </c>
      <c r="I131" s="877">
        <f t="shared" si="25"/>
        <v>52.91</v>
      </c>
      <c r="J131" s="1612">
        <f t="shared" ca="1" si="26"/>
        <v>0</v>
      </c>
      <c r="K131" s="2078">
        <f t="shared" ca="1" si="17"/>
        <v>0</v>
      </c>
      <c r="L131" s="1574">
        <f t="shared" ca="1" si="27"/>
        <v>0</v>
      </c>
      <c r="M131" s="2107"/>
      <c r="N131" s="833"/>
      <c r="O131" s="833"/>
      <c r="Q131" s="833"/>
      <c r="R131" s="833"/>
      <c r="S131" s="833"/>
      <c r="T131" s="833"/>
      <c r="U131" s="833"/>
      <c r="V131" s="833"/>
      <c r="W131" s="833"/>
      <c r="X131" s="833"/>
    </row>
    <row r="132" spans="1:24" s="813" customFormat="1" ht="30" hidden="1" customHeight="1" x14ac:dyDescent="0.15">
      <c r="A132" s="2081">
        <f t="shared" ca="1" si="19"/>
        <v>3.0799999999999983</v>
      </c>
      <c r="B132" s="2474">
        <v>101586</v>
      </c>
      <c r="C132" s="2" t="str">
        <f>VLOOKUP($B132,[4]BOLETIM_SEL!$A:$H,2,0)</f>
        <v>SINAPI</v>
      </c>
      <c r="D132" s="315" t="str">
        <f>VLOOKUP($B132,[4]BOLETIM_SEL!$A:$H,4,0)</f>
        <v>Escoramento de vala, tipo contínuo, com profundidade de 3,00 a 4,50 m, largura menor que 1,50 m. AF_08/2020</v>
      </c>
      <c r="E132" s="2"/>
      <c r="F132" s="2" t="str">
        <f>VLOOKUP($B132,[4]BOLETIM_SEL!$A:$H,6,0)</f>
        <v>M2</v>
      </c>
      <c r="G132" s="1407">
        <f>VLOOKUP($B132,[4]BOLETIM_SEL!$A:$H,7,0)</f>
        <v>49.46</v>
      </c>
      <c r="H132" s="1613">
        <f>Dre_Terraplenagem!BM111</f>
        <v>0</v>
      </c>
      <c r="I132" s="877">
        <f t="shared" si="25"/>
        <v>59.69</v>
      </c>
      <c r="J132" s="1612">
        <f t="shared" si="26"/>
        <v>0</v>
      </c>
      <c r="K132" s="2078">
        <f t="shared" ref="K132:K163" ca="1" si="28">J132/J$967</f>
        <v>0</v>
      </c>
      <c r="L132" s="1574">
        <f t="shared" ca="1" si="27"/>
        <v>0</v>
      </c>
      <c r="M132" s="2107"/>
      <c r="N132" s="833"/>
      <c r="O132" s="833"/>
      <c r="Q132" s="833"/>
      <c r="R132" s="833"/>
      <c r="S132" s="833"/>
      <c r="T132" s="833"/>
      <c r="U132" s="833"/>
      <c r="V132" s="833"/>
      <c r="W132" s="833"/>
      <c r="X132" s="833"/>
    </row>
    <row r="133" spans="1:24" s="813" customFormat="1" ht="39.950000000000003" hidden="1" customHeight="1" x14ac:dyDescent="0.15">
      <c r="A133" s="2081">
        <f t="shared" ca="1" si="19"/>
        <v>3.0799999999999983</v>
      </c>
      <c r="B133" s="2474">
        <v>101587</v>
      </c>
      <c r="C133" s="2" t="str">
        <f>VLOOKUP($B133,[4]BOLETIM_SEL!$A:$H,2,0)</f>
        <v>SINAPI</v>
      </c>
      <c r="D133" s="315" t="str">
        <f>VLOOKUP($B133,[4]BOLETIM_SEL!$A:$H,4,0)</f>
        <v>Escoramento de vala, tipo contínuo, com profundidade de 3,00 a 4,50 m, largura maior ou igual a 1,50 e menor que 2,50 m. AF_08/2020</v>
      </c>
      <c r="E133" s="2"/>
      <c r="F133" s="2" t="str">
        <f>VLOOKUP($B133,[4]BOLETIM_SEL!$A:$H,6,0)</f>
        <v>M2</v>
      </c>
      <c r="G133" s="1407">
        <f>VLOOKUP($B133,[4]BOLETIM_SEL!$A:$H,7,0)</f>
        <v>64.61</v>
      </c>
      <c r="H133" s="1613">
        <f ca="1">Dre_Terraplenagem!BM112</f>
        <v>0</v>
      </c>
      <c r="I133" s="877">
        <f t="shared" si="25"/>
        <v>77.98</v>
      </c>
      <c r="J133" s="1612">
        <f t="shared" ca="1" si="26"/>
        <v>0</v>
      </c>
      <c r="K133" s="2078">
        <f t="shared" ca="1" si="28"/>
        <v>0</v>
      </c>
      <c r="L133" s="1574">
        <f t="shared" ca="1" si="27"/>
        <v>0</v>
      </c>
      <c r="M133" s="2107"/>
      <c r="N133" s="833"/>
      <c r="O133" s="833"/>
      <c r="Q133" s="833"/>
      <c r="R133" s="833"/>
      <c r="S133" s="833"/>
      <c r="T133" s="833"/>
      <c r="U133" s="833"/>
      <c r="V133" s="833"/>
      <c r="W133" s="833"/>
      <c r="X133" s="833"/>
    </row>
    <row r="134" spans="1:24" s="813" customFormat="1" ht="50.1" customHeight="1" x14ac:dyDescent="0.15">
      <c r="A134" s="2081">
        <f t="shared" ca="1" si="19"/>
        <v>3.0899999999999981</v>
      </c>
      <c r="B134" s="2" t="s">
        <v>2737</v>
      </c>
      <c r="C134" s="2" t="str">
        <f>VLOOKUP($B134,[4]BOLETIM_SEL!$A:$H,2,0)</f>
        <v>COMPOSIÇÃO</v>
      </c>
      <c r="D134" s="315" t="str">
        <f>VLOOKUP($B134,[4]BOLETIM_SEL!$A:$H,4,0)</f>
        <v>Escoramento de vala, tipo blindado, com profundidade de 1,5 a 3,0 m, largura maior ou igual a 1,5 m e menor que 2,5 m. Altura do escoramento igual a 2,4 m.  Execução e fornecimento, inclui material. (REF. SINAPI COD. 03.ESCO.VALA.040/01)</v>
      </c>
      <c r="E134" s="2"/>
      <c r="F134" s="2" t="str">
        <f>VLOOKUP($B134,[4]BOLETIM_SEL!$A:$H,6,0)</f>
        <v>M2</v>
      </c>
      <c r="G134" s="1407">
        <f>VLOOKUP($B134,[4]BOLETIM_SEL!$A:$H,7,0)</f>
        <v>21.98</v>
      </c>
      <c r="H134" s="1613">
        <f ca="1">Dre_Terraplenagem!BM116</f>
        <v>9535.8700000000008</v>
      </c>
      <c r="I134" s="877">
        <f t="shared" ref="I134:I154" si="29">TRUNC(G134*(1+$J$5),2)</f>
        <v>26.52</v>
      </c>
      <c r="J134" s="1612">
        <f t="shared" ca="1" si="24"/>
        <v>252891.27</v>
      </c>
      <c r="K134" s="2078">
        <f t="shared" ca="1" si="28"/>
        <v>1.8871556383234983E-2</v>
      </c>
      <c r="L134" s="1574">
        <f t="shared" ref="L134:L153" ca="1" si="30">J134/J$100</f>
        <v>0.38217577930205376</v>
      </c>
      <c r="M134" s="1585">
        <f>VLOOKUP($B134,[4]BOLETIM_SEL!$A:$H,5,0)</f>
        <v>0</v>
      </c>
      <c r="N134" s="833"/>
      <c r="O134" s="833"/>
      <c r="Q134" s="833"/>
      <c r="R134" s="833"/>
      <c r="S134" s="833"/>
      <c r="T134" s="833"/>
      <c r="U134" s="833"/>
      <c r="V134" s="833"/>
      <c r="W134" s="833"/>
      <c r="X134" s="833"/>
    </row>
    <row r="135" spans="1:24" s="813" customFormat="1" ht="50.1" customHeight="1" x14ac:dyDescent="0.15">
      <c r="A135" s="2081">
        <f t="shared" ca="1" si="19"/>
        <v>3.0999999999999979</v>
      </c>
      <c r="B135" s="2" t="s">
        <v>2738</v>
      </c>
      <c r="C135" s="2" t="str">
        <f>VLOOKUP($B135,[4]BOLETIM_SEL!$A:$H,2,0)</f>
        <v>COMPOSIÇÃO</v>
      </c>
      <c r="D135" s="315" t="str">
        <f>VLOOKUP($B135,[4]BOLETIM_SEL!$A:$H,4,0)</f>
        <v>Escoramento de vala, tipo blindado, com profundidade de 3,0 a 4,5 m, largura maior ou igual a 1,5 m e menor que 2,5 m. Altura do escoramento igual a 2,4 m.  Execução e fornecimento, inclui material. (REF. SINAPI COD. 03.ESCO.VALA.042/01)</v>
      </c>
      <c r="E135" s="2"/>
      <c r="F135" s="2" t="str">
        <f>VLOOKUP($B135,[4]BOLETIM_SEL!$A:$H,6,0)</f>
        <v>M2</v>
      </c>
      <c r="G135" s="1407">
        <f>VLOOKUP($B135,[4]BOLETIM_SEL!$A:$H,7,0)</f>
        <v>18.899999999999999</v>
      </c>
      <c r="H135" s="1613">
        <f ca="1">Dre_Terraplenagem!BM117</f>
        <v>346.7</v>
      </c>
      <c r="I135" s="877">
        <f t="shared" si="29"/>
        <v>22.81</v>
      </c>
      <c r="J135" s="1612">
        <f t="shared" ca="1" si="24"/>
        <v>7908.22</v>
      </c>
      <c r="K135" s="2078">
        <f t="shared" ca="1" si="28"/>
        <v>5.9013670033380972E-4</v>
      </c>
      <c r="L135" s="1574">
        <f t="shared" ca="1" si="30"/>
        <v>1.1951105079238552E-2</v>
      </c>
      <c r="M135" s="1585">
        <f>VLOOKUP($B135,[4]BOLETIM_SEL!$A:$H,5,0)</f>
        <v>0</v>
      </c>
      <c r="N135" s="833"/>
      <c r="O135" s="833"/>
      <c r="Q135" s="833"/>
      <c r="R135" s="833"/>
      <c r="S135" s="833"/>
      <c r="T135" s="833"/>
      <c r="U135" s="833"/>
      <c r="V135" s="833"/>
      <c r="W135" s="833"/>
      <c r="X135" s="833"/>
    </row>
    <row r="136" spans="1:24" s="813" customFormat="1" ht="30" customHeight="1" x14ac:dyDescent="0.15">
      <c r="A136" s="2081">
        <f t="shared" ca="1" si="19"/>
        <v>3.1099999999999977</v>
      </c>
      <c r="B136" s="834">
        <v>101616</v>
      </c>
      <c r="C136" s="2" t="str">
        <f>VLOOKUP($B136,[4]BOLETIM_SEL!$A:$H,2,0)</f>
        <v>SINAPI</v>
      </c>
      <c r="D136" s="315" t="str">
        <f>VLOOKUP($B136,[4]BOLETIM_SEL!$A:$H,4,0)</f>
        <v>Preparo de fundo de vala com largura menor que 1,50 m (acerto do solo natural). AF_08/2020</v>
      </c>
      <c r="E136" s="2"/>
      <c r="F136" s="2" t="str">
        <f>VLOOKUP($B136,[4]BOLETIM_SEL!$A:$H,6,0)</f>
        <v>M2</v>
      </c>
      <c r="G136" s="1407">
        <f>VLOOKUP($B136,[4]BOLETIM_SEL!$A:$H,7,0)</f>
        <v>5.51</v>
      </c>
      <c r="H136" s="1613">
        <f ca="1">Dre_Terraplenagem!BM118</f>
        <v>2173.7399999999998</v>
      </c>
      <c r="I136" s="877">
        <f t="shared" si="29"/>
        <v>6.65</v>
      </c>
      <c r="J136" s="1612">
        <f t="shared" ca="1" si="24"/>
        <v>14455.37</v>
      </c>
      <c r="K136" s="2078">
        <f t="shared" ca="1" si="28"/>
        <v>1.0787059988093836E-3</v>
      </c>
      <c r="L136" s="1574">
        <f t="shared" ca="1" si="30"/>
        <v>2.1845326233877228E-2</v>
      </c>
      <c r="M136" s="2489" t="str">
        <f>VLOOKUP($B136,[4]BOLETIM_SEL!$A:$H,5,0)</f>
        <v>SOLO NATURAL</v>
      </c>
      <c r="N136" s="833"/>
      <c r="O136" s="833"/>
      <c r="Q136" s="833"/>
      <c r="R136" s="833"/>
      <c r="S136" s="833"/>
      <c r="T136" s="833"/>
      <c r="U136" s="833"/>
      <c r="V136" s="833"/>
      <c r="W136" s="833"/>
      <c r="X136" s="833"/>
    </row>
    <row r="137" spans="1:24" s="813" customFormat="1" ht="30" customHeight="1" x14ac:dyDescent="0.15">
      <c r="A137" s="2081">
        <f t="shared" ca="1" si="19"/>
        <v>3.1199999999999974</v>
      </c>
      <c r="B137" s="834">
        <v>101617</v>
      </c>
      <c r="C137" s="2" t="str">
        <f>VLOOKUP($B137,[4]BOLETIM_SEL!$A:$H,2,0)</f>
        <v>SINAPI</v>
      </c>
      <c r="D137" s="315" t="str">
        <f>VLOOKUP($B137,[4]BOLETIM_SEL!$A:$H,4,0)</f>
        <v>Preparo de fundo de vala com largura maior ou igual a 1,50 m e menor que 2,50 m (acerto do solo natural). AF_08/2020</v>
      </c>
      <c r="E137" s="2"/>
      <c r="F137" s="2" t="str">
        <f>VLOOKUP($B137,[4]BOLETIM_SEL!$A:$H,6,0)</f>
        <v>M2</v>
      </c>
      <c r="G137" s="1407">
        <f>VLOOKUP($B137,[4]BOLETIM_SEL!$A:$H,7,0)</f>
        <v>2.72</v>
      </c>
      <c r="H137" s="1613">
        <f ca="1">Dre_Terraplenagem!BM119</f>
        <v>1978.65</v>
      </c>
      <c r="I137" s="877">
        <f t="shared" si="29"/>
        <v>3.28</v>
      </c>
      <c r="J137" s="1612">
        <f t="shared" ca="1" si="24"/>
        <v>6489.97</v>
      </c>
      <c r="K137" s="2078">
        <f t="shared" ca="1" si="28"/>
        <v>4.8430234377210235E-4</v>
      </c>
      <c r="L137" s="1574">
        <f t="shared" ca="1" si="30"/>
        <v>9.80780927074687E-3</v>
      </c>
      <c r="M137" s="2489"/>
      <c r="N137" s="833"/>
      <c r="O137" s="833"/>
      <c r="Q137" s="833"/>
      <c r="R137" s="833"/>
      <c r="S137" s="833"/>
      <c r="T137" s="833"/>
      <c r="U137" s="833"/>
      <c r="V137" s="833"/>
      <c r="W137" s="833"/>
      <c r="X137" s="833"/>
    </row>
    <row r="138" spans="1:24" s="813" customFormat="1" ht="30" hidden="1" customHeight="1" x14ac:dyDescent="0.15">
      <c r="A138" s="2081">
        <f t="shared" ca="1" si="19"/>
        <v>3.1199999999999974</v>
      </c>
      <c r="B138" s="834">
        <v>101623</v>
      </c>
      <c r="C138" s="2" t="str">
        <f>VLOOKUP($B138,[4]BOLETIM_SEL!$A:$H,2,0)</f>
        <v>SINAPI</v>
      </c>
      <c r="D138" s="315" t="str">
        <f>VLOOKUP($B138,[4]BOLETIM_SEL!$A:$H,4,0)</f>
        <v>Preparo de fundo de vala com largura menor que 1,50 m, com camada de brita, lançamento mecanizado. AF_08/2020</v>
      </c>
      <c r="E138" s="2"/>
      <c r="F138" s="2" t="str">
        <f>VLOOKUP($B138,[4]BOLETIM_SEL!$A:$H,6,0)</f>
        <v>M3</v>
      </c>
      <c r="G138" s="1407">
        <f>VLOOKUP($B138,[4]BOLETIM_SEL!$A:$H,7,0)</f>
        <v>230.03</v>
      </c>
      <c r="H138" s="1613">
        <f>Dre_Terraplenagem!BM167+Dre_Terraplenagem!BM173</f>
        <v>0</v>
      </c>
      <c r="I138" s="877">
        <f t="shared" si="29"/>
        <v>277.64</v>
      </c>
      <c r="J138" s="1612">
        <f t="shared" si="24"/>
        <v>0</v>
      </c>
      <c r="K138" s="2078">
        <f t="shared" ca="1" si="28"/>
        <v>0</v>
      </c>
      <c r="L138" s="1574">
        <f t="shared" ca="1" si="30"/>
        <v>0</v>
      </c>
      <c r="M138" s="2491">
        <f>VLOOKUP($B138,[4]BOLETIM_SEL!$A:$H,5,0)</f>
        <v>0</v>
      </c>
      <c r="N138" s="833"/>
      <c r="O138" s="833"/>
      <c r="Q138" s="833"/>
      <c r="R138" s="833"/>
      <c r="S138" s="833"/>
      <c r="T138" s="833"/>
      <c r="U138" s="833"/>
      <c r="V138" s="833"/>
      <c r="W138" s="833"/>
      <c r="X138" s="833"/>
    </row>
    <row r="139" spans="1:24" s="813" customFormat="1" ht="39.950000000000003" hidden="1" customHeight="1" x14ac:dyDescent="0.15">
      <c r="A139" s="2081">
        <f t="shared" ca="1" si="19"/>
        <v>3.1199999999999974</v>
      </c>
      <c r="B139" s="834">
        <v>101624</v>
      </c>
      <c r="C139" s="2" t="str">
        <f>VLOOKUP($B139,[4]BOLETIM_SEL!$A:$H,2,0)</f>
        <v>SINAPI</v>
      </c>
      <c r="D139" s="315" t="str">
        <f>VLOOKUP($B139,[4]BOLETIM_SEL!$A:$H,4,0)</f>
        <v>Preparo de fundo de vala com largura maior ou igual a 1,50 m e menor que 2,50 m, com camada de brita, lançamento mecanizado. AF_08/2020</v>
      </c>
      <c r="E139" s="2"/>
      <c r="F139" s="2" t="str">
        <f>VLOOKUP($B139,[4]BOLETIM_SEL!$A:$H,6,0)</f>
        <v>M3</v>
      </c>
      <c r="G139" s="1407">
        <f>VLOOKUP($B139,[4]BOLETIM_SEL!$A:$H,7,0)</f>
        <v>188.79</v>
      </c>
      <c r="H139" s="1613">
        <f>Dre_Terraplenagem!BM168+Dre_Terraplenagem!BM174</f>
        <v>0</v>
      </c>
      <c r="I139" s="877">
        <f t="shared" si="29"/>
        <v>227.86</v>
      </c>
      <c r="J139" s="1612">
        <f t="shared" si="24"/>
        <v>0</v>
      </c>
      <c r="K139" s="2078">
        <f t="shared" ca="1" si="28"/>
        <v>0</v>
      </c>
      <c r="L139" s="1574">
        <f t="shared" ca="1" si="30"/>
        <v>0</v>
      </c>
      <c r="M139" s="2491"/>
      <c r="N139" s="833"/>
      <c r="O139" s="833"/>
      <c r="Q139" s="833"/>
      <c r="R139" s="833"/>
      <c r="S139" s="833"/>
      <c r="T139" s="833"/>
      <c r="U139" s="833"/>
      <c r="V139" s="833"/>
      <c r="W139" s="833"/>
      <c r="X139" s="833"/>
    </row>
    <row r="140" spans="1:24" s="813" customFormat="1" ht="30" hidden="1" customHeight="1" x14ac:dyDescent="0.15">
      <c r="A140" s="2081">
        <f t="shared" ca="1" si="19"/>
        <v>3.1199999999999974</v>
      </c>
      <c r="B140" s="834">
        <v>101622</v>
      </c>
      <c r="C140" s="2" t="str">
        <f>VLOOKUP($B140,[4]BOLETIM_SEL!$A:$H,2,0)</f>
        <v>SINAPI</v>
      </c>
      <c r="D140" s="315" t="str">
        <f>VLOOKUP($B140,[4]BOLETIM_SEL!$A:$H,4,0)</f>
        <v>Preparo de fundo de vala com largura menor que 1,50 m, com camada de areia, lançamento mecanizado. AF_08/2020</v>
      </c>
      <c r="E140" s="2"/>
      <c r="F140" s="2" t="str">
        <f>VLOOKUP($B140,[4]BOLETIM_SEL!$A:$H,6,0)</f>
        <v>M3</v>
      </c>
      <c r="G140" s="1407">
        <f>VLOOKUP($B140,[4]BOLETIM_SEL!$A:$H,7,0)</f>
        <v>186.42</v>
      </c>
      <c r="H140" s="1613">
        <f>Dre_Terraplenagem!BM157</f>
        <v>0</v>
      </c>
      <c r="I140" s="877">
        <f t="shared" si="29"/>
        <v>225</v>
      </c>
      <c r="J140" s="1612">
        <f t="shared" si="24"/>
        <v>0</v>
      </c>
      <c r="K140" s="2078">
        <f t="shared" ca="1" si="28"/>
        <v>0</v>
      </c>
      <c r="L140" s="1574">
        <f t="shared" ca="1" si="30"/>
        <v>0</v>
      </c>
      <c r="M140" s="2491"/>
      <c r="N140" s="833"/>
      <c r="O140" s="833"/>
      <c r="Q140" s="833"/>
      <c r="R140" s="833"/>
      <c r="S140" s="833"/>
      <c r="T140" s="833"/>
      <c r="U140" s="833"/>
      <c r="V140" s="833"/>
      <c r="W140" s="833"/>
      <c r="X140" s="833"/>
    </row>
    <row r="141" spans="1:24" s="813" customFormat="1" ht="39.950000000000003" hidden="1" customHeight="1" x14ac:dyDescent="0.15">
      <c r="A141" s="2081">
        <f t="shared" ca="1" si="19"/>
        <v>3.1199999999999974</v>
      </c>
      <c r="B141" s="834">
        <v>101625</v>
      </c>
      <c r="C141" s="2" t="str">
        <f>VLOOKUP($B141,[4]BOLETIM_SEL!$A:$H,2,0)</f>
        <v>SINAPI</v>
      </c>
      <c r="D141" s="315" t="str">
        <f>VLOOKUP($B141,[4]BOLETIM_SEL!$A:$H,4,0)</f>
        <v>Preparo de fundo de vala com largura maior ou igual a 1,50 m e menor que 2,50 m, com camada de areia, lançamento mecanizado. AF_08/2020</v>
      </c>
      <c r="E141" s="2"/>
      <c r="F141" s="2" t="str">
        <f>VLOOKUP($B141,[4]BOLETIM_SEL!$A:$H,6,0)</f>
        <v>M3</v>
      </c>
      <c r="G141" s="1407">
        <f>VLOOKUP($B141,[4]BOLETIM_SEL!$A:$H,7,0)</f>
        <v>150.36000000000001</v>
      </c>
      <c r="H141" s="1613">
        <f>Dre_Terraplenagem!BM158</f>
        <v>0</v>
      </c>
      <c r="I141" s="877">
        <f t="shared" si="29"/>
        <v>181.48</v>
      </c>
      <c r="J141" s="1612">
        <f t="shared" si="24"/>
        <v>0</v>
      </c>
      <c r="K141" s="2078">
        <f t="shared" ca="1" si="28"/>
        <v>0</v>
      </c>
      <c r="L141" s="1574">
        <f t="shared" ca="1" si="30"/>
        <v>0</v>
      </c>
      <c r="M141" s="2491"/>
      <c r="N141" s="833"/>
      <c r="O141" s="833"/>
      <c r="Q141" s="833"/>
      <c r="R141" s="833"/>
      <c r="S141" s="833"/>
      <c r="T141" s="833"/>
      <c r="U141" s="833"/>
      <c r="V141" s="833"/>
      <c r="W141" s="833"/>
      <c r="X141" s="833"/>
    </row>
    <row r="142" spans="1:24" s="813" customFormat="1" ht="30" hidden="1" customHeight="1" x14ac:dyDescent="0.15">
      <c r="A142" s="2081">
        <f t="shared" ca="1" si="19"/>
        <v>3.1199999999999974</v>
      </c>
      <c r="B142" s="834">
        <v>96616</v>
      </c>
      <c r="C142" s="2" t="str">
        <f>VLOOKUP($B142,[4]BOLETIM_SEL!$A:$H,2,0)</f>
        <v>SINAPI</v>
      </c>
      <c r="D142" s="315" t="str">
        <f>VLOOKUP($B142,[4]BOLETIM_SEL!$A:$H,4,0)</f>
        <v>Lastro de concreto magro, aplicado em blocos de coroamento ou sapatas. AF_08/2017</v>
      </c>
      <c r="E142" s="2"/>
      <c r="F142" s="2" t="str">
        <f>VLOOKUP($B142,[4]BOLETIM_SEL!$A:$H,6,0)</f>
        <v>M3</v>
      </c>
      <c r="G142" s="1407">
        <f>VLOOKUP($B142,[4]BOLETIM_SEL!$A:$H,7,0)</f>
        <v>606.11</v>
      </c>
      <c r="H142" s="1613">
        <f ca="1">Dre_Terraplenagem!BM163</f>
        <v>0</v>
      </c>
      <c r="I142" s="877">
        <f t="shared" ref="I142" si="31">TRUNC(G142*(1+$J$5),2)</f>
        <v>731.57</v>
      </c>
      <c r="J142" s="1612">
        <f t="shared" ref="J142" ca="1" si="32">TRUNC(H142*I142,2)</f>
        <v>0</v>
      </c>
      <c r="K142" s="2078">
        <f t="shared" ca="1" si="28"/>
        <v>0</v>
      </c>
      <c r="L142" s="1574">
        <f t="shared" ref="L142" ca="1" si="33">J142/J$100</f>
        <v>0</v>
      </c>
      <c r="M142" s="2029"/>
      <c r="N142" s="833"/>
      <c r="O142" s="833"/>
      <c r="Q142" s="833"/>
      <c r="R142" s="833"/>
      <c r="S142" s="833"/>
      <c r="T142" s="833"/>
      <c r="U142" s="833"/>
      <c r="V142" s="833"/>
      <c r="W142" s="833"/>
      <c r="X142" s="833"/>
    </row>
    <row r="143" spans="1:24" s="813" customFormat="1" ht="39.950000000000003" hidden="1" customHeight="1" x14ac:dyDescent="0.15">
      <c r="A143" s="2081">
        <f t="shared" ca="1" si="19"/>
        <v>3.1199999999999974</v>
      </c>
      <c r="B143" s="834" t="s">
        <v>1680</v>
      </c>
      <c r="C143" s="2" t="str">
        <f>VLOOKUP($B143,[4]BOLETIM_SEL!$A:$H,2,0)</f>
        <v>COMPOSIÇÃO</v>
      </c>
      <c r="D143" s="315" t="str">
        <f>VLOOKUP($B143,[4]BOLETIM_SEL!$A:$H,4,0)</f>
        <v>Lastro ou enrocamento de pedra-de-mão ou rachão lançado, fornecimento e apiloamento. Exclusive transporte, ref SINAPI 73697, data 01/2020 e SINAPI 92744.</v>
      </c>
      <c r="E143" s="2"/>
      <c r="F143" s="2" t="str">
        <f>VLOOKUP($B143,[4]BOLETIM_SEL!$A:$H,6,0)</f>
        <v>M3</v>
      </c>
      <c r="G143" s="1407">
        <f>VLOOKUP($B143,[4]BOLETIM_SEL!$A:$H,7,0)</f>
        <v>250.4</v>
      </c>
      <c r="H143" s="1613">
        <f>Dre_Terraplenagem!BM184</f>
        <v>0</v>
      </c>
      <c r="I143" s="877">
        <f t="shared" si="29"/>
        <v>302.23</v>
      </c>
      <c r="J143" s="1612">
        <f t="shared" ref="J143" si="34">TRUNC(H143*I143,2)</f>
        <v>0</v>
      </c>
      <c r="K143" s="2078">
        <f t="shared" ca="1" si="28"/>
        <v>0</v>
      </c>
      <c r="L143" s="1574">
        <f t="shared" ca="1" si="30"/>
        <v>0</v>
      </c>
      <c r="M143" s="1446"/>
      <c r="N143" s="833"/>
      <c r="O143" s="833"/>
      <c r="Q143" s="833"/>
      <c r="R143" s="833"/>
      <c r="S143" s="833"/>
      <c r="T143" s="833"/>
      <c r="U143" s="833"/>
      <c r="V143" s="833"/>
      <c r="W143" s="833"/>
      <c r="X143" s="833"/>
    </row>
    <row r="144" spans="1:24" s="813" customFormat="1" ht="50.1" hidden="1" customHeight="1" x14ac:dyDescent="0.15">
      <c r="A144" s="2081">
        <f t="shared" ca="1" si="19"/>
        <v>3.1199999999999974</v>
      </c>
      <c r="B144" s="834">
        <v>93374</v>
      </c>
      <c r="C144" s="2" t="str">
        <f>VLOOKUP($B144,[4]BOLETIM_SEL!$A:$H,2,0)</f>
        <v>SINAPI</v>
      </c>
      <c r="D144" s="315" t="str">
        <f>VLOOKUP($B144,[4]BOLETIM_SEL!$A:$H,4,0)</f>
        <v>Reaterro mecanizado de vala com retroescavadeira (capacidade da caçamba da retro: 0,26 m3 / potência: 88 HP), largura até 0,80 m, profundidade até 1,50 m, com solo (sem substituição) de 1a categoria em locais com alto nível de interferência. AF_04/2016</v>
      </c>
      <c r="E144" s="2"/>
      <c r="F144" s="2" t="str">
        <f>VLOOKUP($B144,[4]BOLETIM_SEL!$A:$H,6,0)</f>
        <v>M3</v>
      </c>
      <c r="G144" s="1407">
        <f>VLOOKUP($B144,[4]BOLETIM_SEL!$A:$H,7,0)</f>
        <v>25.01</v>
      </c>
      <c r="H144" s="1613">
        <f ca="1">Dre_Terraplenagem!BM134</f>
        <v>0</v>
      </c>
      <c r="I144" s="877">
        <f t="shared" si="29"/>
        <v>30.18</v>
      </c>
      <c r="J144" s="1612">
        <f t="shared" ref="J144:J153" ca="1" si="35">TRUNC(H144*I144,2)</f>
        <v>0</v>
      </c>
      <c r="K144" s="2078">
        <f t="shared" ca="1" si="28"/>
        <v>0</v>
      </c>
      <c r="L144" s="1574">
        <f t="shared" ca="1" si="30"/>
        <v>0</v>
      </c>
      <c r="M144" s="2492" t="str">
        <f>VLOOKUP($B144,[4]BOLETIM_SEL!$A:$H,5,0)</f>
        <v>H &lt; 1,50
alta Interferência</v>
      </c>
      <c r="N144" s="833"/>
      <c r="O144" s="833"/>
      <c r="Q144" s="833"/>
      <c r="R144" s="833"/>
      <c r="S144" s="833"/>
      <c r="T144" s="833"/>
      <c r="U144" s="833"/>
      <c r="V144" s="833"/>
      <c r="W144" s="833"/>
      <c r="X144" s="833"/>
    </row>
    <row r="145" spans="1:24" s="813" customFormat="1" ht="50.1" customHeight="1" x14ac:dyDescent="0.15">
      <c r="A145" s="2081">
        <f t="shared" ca="1" si="19"/>
        <v>3.1299999999999972</v>
      </c>
      <c r="B145" s="834">
        <v>93375</v>
      </c>
      <c r="C145" s="2" t="str">
        <f>VLOOKUP($B145,[4]BOLETIM_SEL!$A:$H,2,0)</f>
        <v>SINAPI</v>
      </c>
      <c r="D145" s="315" t="str">
        <f>VLOOKUP($B145,[4]BOLETIM_SEL!$A:$H,4,0)</f>
        <v>Reaterro mecanizado de vala com retroescavadeira (capacidade da caçamba da retro: 0,26 m3 / potência: 88 HP), largura de 0,80 a 1,50 m, profundidade até 1,50 m, com solo (sem substituição) de 1a categoria em locais com alto nível de interferência. AF_04/2016</v>
      </c>
      <c r="E145" s="2"/>
      <c r="F145" s="2" t="str">
        <f>VLOOKUP($B145,[4]BOLETIM_SEL!$A:$H,6,0)</f>
        <v>M3</v>
      </c>
      <c r="G145" s="1407">
        <f>VLOOKUP($B145,[4]BOLETIM_SEL!$A:$H,7,0)</f>
        <v>19.3</v>
      </c>
      <c r="H145" s="1613">
        <f ca="1">Dre_Terraplenagem!BM135</f>
        <v>996.2</v>
      </c>
      <c r="I145" s="877">
        <f t="shared" si="29"/>
        <v>23.29</v>
      </c>
      <c r="J145" s="1612">
        <f t="shared" ca="1" si="35"/>
        <v>23201.49</v>
      </c>
      <c r="K145" s="2078">
        <f t="shared" ca="1" si="28"/>
        <v>1.7313694802911254E-3</v>
      </c>
      <c r="L145" s="1574">
        <f t="shared" ca="1" si="30"/>
        <v>3.5062687303198753E-2</v>
      </c>
      <c r="M145" s="2492"/>
      <c r="N145" s="833"/>
      <c r="O145" s="833"/>
      <c r="Q145" s="833"/>
      <c r="R145" s="833"/>
      <c r="S145" s="833"/>
      <c r="T145" s="833"/>
      <c r="U145" s="833"/>
      <c r="V145" s="833"/>
      <c r="W145" s="833"/>
      <c r="X145" s="833"/>
    </row>
    <row r="146" spans="1:24" s="813" customFormat="1" ht="50.1" hidden="1" customHeight="1" x14ac:dyDescent="0.15">
      <c r="A146" s="2081">
        <f t="shared" ca="1" si="19"/>
        <v>3.1299999999999972</v>
      </c>
      <c r="B146" s="834">
        <v>93360</v>
      </c>
      <c r="C146" s="2" t="str">
        <f>VLOOKUP($B146,[4]BOLETIM_SEL!$A:$H,2,0)</f>
        <v>SINAPI</v>
      </c>
      <c r="D146" s="315" t="str">
        <f>VLOOKUP($B146,[4]BOLETIM_SEL!$A:$H,4,0)</f>
        <v>Reaterro mecanizado de vala com escavadeira hidráulica (capacidade da caçamba: 0,80 m3 / potência: 111 HP), largura de 1,50 a 2,50 m, profundidade até 1,50 m, com solo (sem substituição) de 1a categoria em locais com alto nível de interferência. AF_04/2016</v>
      </c>
      <c r="E146" s="2"/>
      <c r="F146" s="2" t="str">
        <f>VLOOKUP($B146,[4]BOLETIM_SEL!$A:$H,6,0)</f>
        <v>M3</v>
      </c>
      <c r="G146" s="1407">
        <f>VLOOKUP($B146,[4]BOLETIM_SEL!$A:$H,7,0)</f>
        <v>21.26</v>
      </c>
      <c r="H146" s="1613">
        <f ca="1">Dre_Terraplenagem!BM136</f>
        <v>0</v>
      </c>
      <c r="I146" s="877">
        <f t="shared" si="29"/>
        <v>25.66</v>
      </c>
      <c r="J146" s="1612">
        <f t="shared" ca="1" si="35"/>
        <v>0</v>
      </c>
      <c r="K146" s="2078">
        <f t="shared" ca="1" si="28"/>
        <v>0</v>
      </c>
      <c r="L146" s="1574">
        <f t="shared" ca="1" si="30"/>
        <v>0</v>
      </c>
      <c r="M146" s="2492"/>
      <c r="N146" s="833"/>
      <c r="O146" s="833"/>
      <c r="Q146" s="833"/>
      <c r="R146" s="833"/>
      <c r="S146" s="833"/>
      <c r="T146" s="833"/>
      <c r="U146" s="833"/>
      <c r="V146" s="833"/>
      <c r="W146" s="833"/>
      <c r="X146" s="833"/>
    </row>
    <row r="147" spans="1:24" s="813" customFormat="1" ht="50.1" hidden="1" customHeight="1" x14ac:dyDescent="0.15">
      <c r="A147" s="2081">
        <f t="shared" ca="1" si="19"/>
        <v>3.1299999999999972</v>
      </c>
      <c r="B147" s="834">
        <v>93376</v>
      </c>
      <c r="C147" s="2" t="str">
        <f>VLOOKUP($B147,[4]BOLETIM_SEL!$A:$H,2,0)</f>
        <v>SINAPI</v>
      </c>
      <c r="D147" s="315" t="str">
        <f>VLOOKUP($B147,[4]BOLETIM_SEL!$A:$H,4,0)</f>
        <v>Reaterro mecanizado de vala com retroescavadeira (capacidade da caçamba da retro: 0,26 m3 / potência: 88 HP), largura até 0,80 m, profundidade de 1,50 a 3,00 m, com solo (sem substituição) de 1a categoria em locais com alto nível de interferência. AF_04/2016</v>
      </c>
      <c r="E147" s="2"/>
      <c r="F147" s="2" t="str">
        <f>VLOOKUP($B147,[4]BOLETIM_SEL!$A:$H,6,0)</f>
        <v>M3</v>
      </c>
      <c r="G147" s="1407">
        <f>VLOOKUP($B147,[4]BOLETIM_SEL!$A:$H,7,0)</f>
        <v>15.78</v>
      </c>
      <c r="H147" s="1613">
        <f ca="1">Dre_Terraplenagem!BM137</f>
        <v>0</v>
      </c>
      <c r="I147" s="877">
        <f t="shared" si="29"/>
        <v>19.04</v>
      </c>
      <c r="J147" s="1612">
        <f t="shared" ca="1" si="35"/>
        <v>0</v>
      </c>
      <c r="K147" s="2078">
        <f t="shared" ca="1" si="28"/>
        <v>0</v>
      </c>
      <c r="L147" s="1574">
        <f t="shared" ca="1" si="30"/>
        <v>0</v>
      </c>
      <c r="M147" s="2488" t="str">
        <f>VLOOKUP($B147,[4]BOLETIM_SEL!$A:$H,5,0)</f>
        <v>1,51 &lt; H &lt; 3,00
alta Interferência</v>
      </c>
      <c r="N147" s="833"/>
      <c r="O147" s="833"/>
      <c r="Q147" s="833"/>
      <c r="R147" s="833"/>
      <c r="S147" s="833"/>
      <c r="T147" s="833"/>
      <c r="U147" s="833"/>
      <c r="V147" s="833"/>
      <c r="W147" s="833"/>
      <c r="X147" s="833"/>
    </row>
    <row r="148" spans="1:24" s="813" customFormat="1" ht="50.1" customHeight="1" x14ac:dyDescent="0.15">
      <c r="A148" s="2081">
        <f t="shared" ca="1" si="19"/>
        <v>3.139999999999997</v>
      </c>
      <c r="B148" s="834">
        <v>93377</v>
      </c>
      <c r="C148" s="2" t="str">
        <f>VLOOKUP($B148,[4]BOLETIM_SEL!$A:$H,2,0)</f>
        <v>SINAPI</v>
      </c>
      <c r="D148" s="315" t="str">
        <f>VLOOKUP($B148,[4]BOLETIM_SEL!$A:$H,4,0)</f>
        <v>Reaterro mecanizado de vala com retroescavadeira (capacidade da caçamba da retro: 0,26 m3 / potência: 88 HP), largura de 0,80 a 1,50 m, profundidade de 1,50 a 3,00 m, com solo (sem substituição) de 1a categoria em locais com alto nível de interferência. AF_04/2016</v>
      </c>
      <c r="E148" s="2"/>
      <c r="F148" s="2" t="str">
        <f>VLOOKUP($B148,[4]BOLETIM_SEL!$A:$H,6,0)</f>
        <v>M3</v>
      </c>
      <c r="G148" s="1407">
        <f>VLOOKUP($B148,[4]BOLETIM_SEL!$A:$H,7,0)</f>
        <v>10.53</v>
      </c>
      <c r="H148" s="1613">
        <f ca="1">Dre_Terraplenagem!BM138</f>
        <v>2884.36</v>
      </c>
      <c r="I148" s="877">
        <f t="shared" si="29"/>
        <v>12.7</v>
      </c>
      <c r="J148" s="1612">
        <f t="shared" ca="1" si="35"/>
        <v>36631.370000000003</v>
      </c>
      <c r="K148" s="2078">
        <f t="shared" ca="1" si="28"/>
        <v>2.7335501314463824E-3</v>
      </c>
      <c r="L148" s="1574">
        <f t="shared" ca="1" si="30"/>
        <v>5.5358266723291298E-2</v>
      </c>
      <c r="M148" s="2488"/>
      <c r="N148" s="833"/>
      <c r="O148" s="833"/>
      <c r="Q148" s="833"/>
      <c r="R148" s="833"/>
      <c r="S148" s="833"/>
      <c r="T148" s="833"/>
      <c r="U148" s="833"/>
      <c r="V148" s="833"/>
      <c r="W148" s="833"/>
      <c r="X148" s="833"/>
    </row>
    <row r="149" spans="1:24" s="813" customFormat="1" ht="50.1" customHeight="1" x14ac:dyDescent="0.15">
      <c r="A149" s="2081">
        <f t="shared" ca="1" si="19"/>
        <v>3.1499999999999968</v>
      </c>
      <c r="B149" s="834">
        <v>93362</v>
      </c>
      <c r="C149" s="2" t="str">
        <f>VLOOKUP($B149,[4]BOLETIM_SEL!$A:$H,2,0)</f>
        <v>SINAPI</v>
      </c>
      <c r="D149" s="315" t="str">
        <f>VLOOKUP($B149,[4]BOLETIM_SEL!$A:$H,4,0)</f>
        <v>Reaterro mecanizado de vala com escavadeira hidráulica (capacidade da caçamba: 0,80 m3 / potência: 111 HP), largura de 1,50 a 2,50 m, profundidade de 1,50 a 3,00 m, com solo (sem substituição) de 1a categoria em locais com alto nível de interferência. AF_04/2016</v>
      </c>
      <c r="E149" s="2"/>
      <c r="F149" s="2" t="str">
        <f>VLOOKUP($B149,[4]BOLETIM_SEL!$A:$H,6,0)</f>
        <v>M3</v>
      </c>
      <c r="G149" s="1407">
        <f>VLOOKUP($B149,[4]BOLETIM_SEL!$A:$H,7,0)</f>
        <v>12.72</v>
      </c>
      <c r="H149" s="1613">
        <f ca="1">Dre_Terraplenagem!BM139</f>
        <v>3980.6</v>
      </c>
      <c r="I149" s="877">
        <f t="shared" si="29"/>
        <v>15.35</v>
      </c>
      <c r="J149" s="1612">
        <f t="shared" ca="1" si="35"/>
        <v>61102.21</v>
      </c>
      <c r="K149" s="2078">
        <f t="shared" ca="1" si="28"/>
        <v>4.5596425734872716E-3</v>
      </c>
      <c r="L149" s="1574">
        <f t="shared" ca="1" si="30"/>
        <v>9.2339228332507253E-2</v>
      </c>
      <c r="M149" s="2488"/>
      <c r="N149" s="833"/>
      <c r="O149" s="833"/>
      <c r="Q149" s="833"/>
      <c r="R149" s="833"/>
      <c r="S149" s="833"/>
      <c r="T149" s="833"/>
      <c r="U149" s="833"/>
      <c r="V149" s="833"/>
      <c r="W149" s="833"/>
      <c r="X149" s="833"/>
    </row>
    <row r="150" spans="1:24" s="813" customFormat="1" ht="50.1" hidden="1" customHeight="1" x14ac:dyDescent="0.15">
      <c r="A150" s="2081">
        <f t="shared" ca="1" si="19"/>
        <v>3.1499999999999968</v>
      </c>
      <c r="B150" s="834">
        <v>93363</v>
      </c>
      <c r="C150" s="2" t="str">
        <f>VLOOKUP($B150,[4]BOLETIM_SEL!$A:$H,2,0)</f>
        <v>SINAPI</v>
      </c>
      <c r="D150" s="315" t="str">
        <f>VLOOKUP($B150,[4]BOLETIM_SEL!$A:$H,4,0)</f>
        <v>Reaterro mecanizado de vala com escavadeira hidráulica (capacidade da caçamba: 0,80 m3 / potência: 111 HP), largura até 1,50 m, profundidade de 3,00 a 4,50 m com solo (sem substituição) de 1a categoria em locais com alto nível de interferência. AF_04/2016</v>
      </c>
      <c r="E150" s="2"/>
      <c r="F150" s="2" t="str">
        <f>VLOOKUP($B150,[4]BOLETIM_SEL!$A:$H,6,0)</f>
        <v>M3</v>
      </c>
      <c r="G150" s="1407">
        <f>VLOOKUP($B150,[4]BOLETIM_SEL!$A:$H,7,0)</f>
        <v>13.8</v>
      </c>
      <c r="H150" s="1613">
        <f ca="1">Dre_Terraplenagem!BM140</f>
        <v>0</v>
      </c>
      <c r="I150" s="877">
        <f t="shared" si="29"/>
        <v>16.649999999999999</v>
      </c>
      <c r="J150" s="1612">
        <f t="shared" ca="1" si="35"/>
        <v>0</v>
      </c>
      <c r="K150" s="2078">
        <f t="shared" ca="1" si="28"/>
        <v>0</v>
      </c>
      <c r="L150" s="1574">
        <f t="shared" ca="1" si="30"/>
        <v>0</v>
      </c>
      <c r="M150" s="2493" t="str">
        <f>VLOOKUP($B150,[4]BOLETIM_SEL!$A:$H,5,0)</f>
        <v>3,01 &lt; H &lt; 4,50
alta Interferência</v>
      </c>
      <c r="N150" s="833"/>
      <c r="O150" s="833"/>
      <c r="Q150" s="833"/>
      <c r="R150" s="833"/>
      <c r="S150" s="833"/>
      <c r="T150" s="833"/>
      <c r="U150" s="833"/>
      <c r="V150" s="833"/>
      <c r="W150" s="833"/>
      <c r="X150" s="833"/>
    </row>
    <row r="151" spans="1:24" s="813" customFormat="1" ht="50.1" customHeight="1" x14ac:dyDescent="0.15">
      <c r="A151" s="2081">
        <f t="shared" ca="1" si="19"/>
        <v>3.1599999999999966</v>
      </c>
      <c r="B151" s="834">
        <v>93364</v>
      </c>
      <c r="C151" s="2" t="str">
        <f>VLOOKUP($B151,[4]BOLETIM_SEL!$A:$H,2,0)</f>
        <v>SINAPI</v>
      </c>
      <c r="D151" s="315" t="str">
        <f>VLOOKUP($B151,[4]BOLETIM_SEL!$A:$H,4,0)</f>
        <v>Reaterro mecanizado de vala com escavadeira hidráulica (capacidade da caçamba: 0,80 m3 / potência: 111 HP), largura de 1,50 a 2,50 m, profundidade de 3,00  a 4,50 m, com solo (sem substituição) de 1a categoria em locais com alto nível de interferência. AF_04/2016</v>
      </c>
      <c r="E151" s="2"/>
      <c r="F151" s="2" t="str">
        <f>VLOOKUP($B151,[4]BOLETIM_SEL!$A:$H,6,0)</f>
        <v>M3</v>
      </c>
      <c r="G151" s="1407">
        <f>VLOOKUP($B151,[4]BOLETIM_SEL!$A:$H,7,0)</f>
        <v>10.89</v>
      </c>
      <c r="H151" s="1613">
        <f ca="1">Dre_Terraplenagem!BM141</f>
        <v>433.52</v>
      </c>
      <c r="I151" s="877">
        <f t="shared" si="29"/>
        <v>13.14</v>
      </c>
      <c r="J151" s="1612">
        <f t="shared" ca="1" si="35"/>
        <v>5696.45</v>
      </c>
      <c r="K151" s="2078">
        <f t="shared" ca="1" si="28"/>
        <v>4.2508734033910671E-4</v>
      </c>
      <c r="L151" s="1574">
        <f t="shared" ca="1" si="30"/>
        <v>8.608621475961524E-3</v>
      </c>
      <c r="M151" s="2493"/>
      <c r="N151" s="833"/>
      <c r="O151" s="833"/>
      <c r="Q151" s="833"/>
      <c r="R151" s="833"/>
      <c r="S151" s="833"/>
      <c r="T151" s="833"/>
      <c r="U151" s="833"/>
      <c r="V151" s="833"/>
      <c r="W151" s="833"/>
      <c r="X151" s="833"/>
    </row>
    <row r="152" spans="1:24" s="813" customFormat="1" ht="50.1" hidden="1" customHeight="1" x14ac:dyDescent="0.15">
      <c r="A152" s="2081">
        <f t="shared" ca="1" si="19"/>
        <v>3.1599999999999966</v>
      </c>
      <c r="B152" s="834">
        <v>93365</v>
      </c>
      <c r="C152" s="2" t="str">
        <f>VLOOKUP($B152,[4]BOLETIM_SEL!$A:$H,2,0)</f>
        <v>SINAPI</v>
      </c>
      <c r="D152" s="315" t="str">
        <f>VLOOKUP($B152,[4]BOLETIM_SEL!$A:$H,4,0)</f>
        <v>Reaterro mecanizado de vala com escavadeira hidráulica (capacidade da caçamba: 0,80 m3 / potência: 111 HP), largura até 1,50 m, profundidade de 4,50 a 6,00 m, com solo (sem substituição) de 1a categoria em locais com alto nível de interferência. AF_04/2016</v>
      </c>
      <c r="E152" s="2"/>
      <c r="F152" s="2" t="str">
        <f>VLOOKUP($B152,[4]BOLETIM_SEL!$A:$H,6,0)</f>
        <v>M3</v>
      </c>
      <c r="G152" s="1407">
        <f>VLOOKUP($B152,[4]BOLETIM_SEL!$A:$H,7,0)</f>
        <v>12.13</v>
      </c>
      <c r="H152" s="1613">
        <f ca="1">Dre_Terraplenagem!BM142</f>
        <v>0</v>
      </c>
      <c r="I152" s="877">
        <f t="shared" si="29"/>
        <v>14.64</v>
      </c>
      <c r="J152" s="1612">
        <f t="shared" ca="1" si="35"/>
        <v>0</v>
      </c>
      <c r="K152" s="2078">
        <f t="shared" ca="1" si="28"/>
        <v>0</v>
      </c>
      <c r="L152" s="1574">
        <f t="shared" ca="1" si="30"/>
        <v>0</v>
      </c>
      <c r="M152" s="2491" t="str">
        <f>VLOOKUP($B152,[4]BOLETIM_SEL!$A:$H,5,0)</f>
        <v>H &gt; 4,51
alta Interferência</v>
      </c>
      <c r="N152" s="833"/>
      <c r="O152" s="833"/>
      <c r="Q152" s="833"/>
      <c r="R152" s="833"/>
      <c r="S152" s="833"/>
      <c r="T152" s="833"/>
      <c r="U152" s="833"/>
      <c r="V152" s="833"/>
      <c r="W152" s="833"/>
      <c r="X152" s="833"/>
    </row>
    <row r="153" spans="1:24" s="813" customFormat="1" ht="50.1" hidden="1" customHeight="1" x14ac:dyDescent="0.15">
      <c r="A153" s="2081">
        <f t="shared" ca="1" si="19"/>
        <v>3.1599999999999966</v>
      </c>
      <c r="B153" s="834">
        <v>93366</v>
      </c>
      <c r="C153" s="2" t="str">
        <f>VLOOKUP($B153,[4]BOLETIM_SEL!$A:$H,2,0)</f>
        <v>SINAPI</v>
      </c>
      <c r="D153" s="315" t="str">
        <f>VLOOKUP($B153,[4]BOLETIM_SEL!$A:$H,4,0)</f>
        <v>Reaterro mecanizado de vala com escavadeira hidráulica (capacidade da caçamba: 0,80 m3 / potência: 111 HP), largura de 1,50 a 2,50 m, profundidade de 4,50 a 6,00 m, com solo (sem substituição) de 1a categoria em locais com alto nível de interferência. AF_04/2016</v>
      </c>
      <c r="E153" s="2"/>
      <c r="F153" s="2" t="str">
        <f>VLOOKUP($B153,[4]BOLETIM_SEL!$A:$H,6,0)</f>
        <v>M3</v>
      </c>
      <c r="G153" s="1407">
        <f>VLOOKUP($B153,[4]BOLETIM_SEL!$A:$H,7,0)</f>
        <v>9.99</v>
      </c>
      <c r="H153" s="1613">
        <f ca="1">Dre_Terraplenagem!BM143</f>
        <v>0</v>
      </c>
      <c r="I153" s="877">
        <f t="shared" si="29"/>
        <v>12.05</v>
      </c>
      <c r="J153" s="1612">
        <f t="shared" ca="1" si="35"/>
        <v>0</v>
      </c>
      <c r="K153" s="2078">
        <f t="shared" ca="1" si="28"/>
        <v>0</v>
      </c>
      <c r="L153" s="1574">
        <f t="shared" ca="1" si="30"/>
        <v>0</v>
      </c>
      <c r="M153" s="2491"/>
      <c r="N153" s="833"/>
      <c r="O153" s="833"/>
      <c r="Q153" s="833"/>
      <c r="R153" s="833"/>
      <c r="S153" s="833"/>
      <c r="T153" s="833"/>
      <c r="U153" s="833"/>
      <c r="V153" s="833"/>
      <c r="W153" s="833"/>
      <c r="X153" s="833"/>
    </row>
    <row r="154" spans="1:24" s="813" customFormat="1" ht="50.1" hidden="1" customHeight="1" x14ac:dyDescent="0.15">
      <c r="A154" s="2081">
        <f t="shared" ca="1" si="19"/>
        <v>3.1599999999999966</v>
      </c>
      <c r="B154" s="834">
        <v>93378</v>
      </c>
      <c r="C154" s="2" t="str">
        <f>VLOOKUP($B154,[4]BOLETIM_SEL!$A:$H,2,0)</f>
        <v>SINAPI</v>
      </c>
      <c r="D154" s="315" t="str">
        <f>VLOOKUP($B154,[4]BOLETIM_SEL!$A:$H,4,0)</f>
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</c>
      <c r="E154" s="2"/>
      <c r="F154" s="2" t="str">
        <f>VLOOKUP($B154,[4]BOLETIM_SEL!$A:$H,6,0)</f>
        <v>M3</v>
      </c>
      <c r="G154" s="1407">
        <f>VLOOKUP($B154,[4]BOLETIM_SEL!$A:$H,7,0)</f>
        <v>23.45</v>
      </c>
      <c r="H154" s="1613">
        <f>Dre_Terraplenagem!BM144</f>
        <v>0</v>
      </c>
      <c r="I154" s="877">
        <f t="shared" si="29"/>
        <v>28.3</v>
      </c>
      <c r="J154" s="1612">
        <f t="shared" ref="J154:J164" si="36">TRUNC(H154*I154,2)</f>
        <v>0</v>
      </c>
      <c r="K154" s="2078">
        <f t="shared" ca="1" si="28"/>
        <v>0</v>
      </c>
      <c r="L154" s="1574">
        <f t="shared" ref="L154:L169" ca="1" si="37">J154/J$100</f>
        <v>0</v>
      </c>
      <c r="M154" s="2492" t="str">
        <f>VLOOKUP($B154,[4]BOLETIM_SEL!$A:$H,5,0)</f>
        <v>H &lt; 1,50
baixa Interferência</v>
      </c>
      <c r="N154" s="833"/>
      <c r="O154" s="833"/>
      <c r="Q154" s="833"/>
      <c r="R154" s="833"/>
      <c r="S154" s="833"/>
      <c r="T154" s="833"/>
      <c r="U154" s="833"/>
      <c r="V154" s="833"/>
      <c r="W154" s="833"/>
      <c r="X154" s="833"/>
    </row>
    <row r="155" spans="1:24" s="813" customFormat="1" ht="50.1" hidden="1" customHeight="1" x14ac:dyDescent="0.15">
      <c r="A155" s="2081">
        <f t="shared" ca="1" si="19"/>
        <v>3.1599999999999966</v>
      </c>
      <c r="B155" s="834">
        <v>93379</v>
      </c>
      <c r="C155" s="2" t="str">
        <f>VLOOKUP($B155,[4]BOLETIM_SEL!$A:$H,2,0)</f>
        <v>SINAPI</v>
      </c>
      <c r="D155" s="315" t="str">
        <f>VLOOKUP($B155,[4]BOLETIM_SEL!$A:$H,4,0)</f>
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</c>
      <c r="E155" s="2"/>
      <c r="F155" s="2" t="str">
        <f>VLOOKUP($B155,[4]BOLETIM_SEL!$A:$H,6,0)</f>
        <v>M3</v>
      </c>
      <c r="G155" s="1407">
        <f>VLOOKUP($B155,[4]BOLETIM_SEL!$A:$H,7,0)</f>
        <v>18.100000000000001</v>
      </c>
      <c r="H155" s="1613">
        <f>Dre_Terraplenagem!BM145</f>
        <v>0</v>
      </c>
      <c r="I155" s="877">
        <f t="shared" ref="I155:I165" si="38">TRUNC(G155*(1+$J$5),2)</f>
        <v>21.84</v>
      </c>
      <c r="J155" s="1612">
        <f t="shared" si="36"/>
        <v>0</v>
      </c>
      <c r="K155" s="2078">
        <f t="shared" ca="1" si="28"/>
        <v>0</v>
      </c>
      <c r="L155" s="1574">
        <f t="shared" ca="1" si="37"/>
        <v>0</v>
      </c>
      <c r="M155" s="2492"/>
      <c r="N155" s="833"/>
      <c r="O155" s="833"/>
      <c r="Q155" s="833"/>
      <c r="R155" s="833"/>
      <c r="S155" s="833"/>
      <c r="T155" s="833"/>
      <c r="U155" s="833"/>
      <c r="V155" s="833"/>
      <c r="W155" s="833"/>
      <c r="X155" s="833"/>
    </row>
    <row r="156" spans="1:24" s="813" customFormat="1" ht="50.1" hidden="1" customHeight="1" x14ac:dyDescent="0.15">
      <c r="A156" s="2081">
        <f t="shared" ca="1" si="19"/>
        <v>3.1599999999999966</v>
      </c>
      <c r="B156" s="834">
        <v>93367</v>
      </c>
      <c r="C156" s="2" t="str">
        <f>VLOOKUP($B156,[4]BOLETIM_SEL!$A:$H,2,0)</f>
        <v>SINAPI</v>
      </c>
      <c r="D156" s="315" t="str">
        <f>VLOOKUP($B156,[4]BOLETIM_SEL!$A:$H,4,0)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156" s="2"/>
      <c r="F156" s="2" t="str">
        <f>VLOOKUP($B156,[4]BOLETIM_SEL!$A:$H,6,0)</f>
        <v>M3</v>
      </c>
      <c r="G156" s="1407">
        <f>VLOOKUP($B156,[4]BOLETIM_SEL!$A:$H,7,0)</f>
        <v>19.89</v>
      </c>
      <c r="H156" s="1613">
        <f>Dre_Terraplenagem!BM146</f>
        <v>0</v>
      </c>
      <c r="I156" s="877">
        <f t="shared" si="38"/>
        <v>24</v>
      </c>
      <c r="J156" s="1612">
        <f t="shared" si="36"/>
        <v>0</v>
      </c>
      <c r="K156" s="2078">
        <f t="shared" ca="1" si="28"/>
        <v>0</v>
      </c>
      <c r="L156" s="1574">
        <f t="shared" ca="1" si="37"/>
        <v>0</v>
      </c>
      <c r="M156" s="2492"/>
      <c r="N156" s="833"/>
      <c r="O156" s="833"/>
      <c r="Q156" s="833"/>
      <c r="R156" s="833"/>
      <c r="S156" s="833"/>
      <c r="T156" s="833"/>
      <c r="U156" s="833"/>
      <c r="V156" s="833"/>
      <c r="W156" s="833"/>
      <c r="X156" s="833"/>
    </row>
    <row r="157" spans="1:24" s="813" customFormat="1" ht="50.1" hidden="1" customHeight="1" x14ac:dyDescent="0.15">
      <c r="A157" s="2081">
        <f t="shared" ca="1" si="19"/>
        <v>3.1599999999999966</v>
      </c>
      <c r="B157" s="834">
        <v>93380</v>
      </c>
      <c r="C157" s="2" t="str">
        <f>VLOOKUP($B157,[4]BOLETIM_SEL!$A:$H,2,0)</f>
        <v>SINAPI</v>
      </c>
      <c r="D157" s="315" t="str">
        <f>VLOOKUP($B157,[4]BOLETIM_SEL!$A:$H,4,0)</f>
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</c>
      <c r="E157" s="2"/>
      <c r="F157" s="2" t="str">
        <f>VLOOKUP($B157,[4]BOLETIM_SEL!$A:$H,6,0)</f>
        <v>M3</v>
      </c>
      <c r="G157" s="1407">
        <f>VLOOKUP($B157,[4]BOLETIM_SEL!$A:$H,7,0)</f>
        <v>14.84</v>
      </c>
      <c r="H157" s="1613">
        <f>Dre_Terraplenagem!BM147</f>
        <v>0</v>
      </c>
      <c r="I157" s="877">
        <f t="shared" si="38"/>
        <v>17.91</v>
      </c>
      <c r="J157" s="1612">
        <f t="shared" si="36"/>
        <v>0</v>
      </c>
      <c r="K157" s="2078">
        <f t="shared" ca="1" si="28"/>
        <v>0</v>
      </c>
      <c r="L157" s="1574">
        <f t="shared" ca="1" si="37"/>
        <v>0</v>
      </c>
      <c r="M157" s="2488" t="str">
        <f>VLOOKUP($B157,[4]BOLETIM_SEL!$A:$H,5,0)</f>
        <v>1,51 &lt; H &lt; 3,00
baixa Interferência</v>
      </c>
      <c r="N157" s="833"/>
      <c r="O157" s="833"/>
      <c r="Q157" s="833"/>
      <c r="R157" s="833"/>
      <c r="S157" s="833"/>
      <c r="T157" s="833"/>
      <c r="U157" s="833"/>
      <c r="V157" s="833"/>
      <c r="W157" s="833"/>
      <c r="X157" s="833"/>
    </row>
    <row r="158" spans="1:24" s="813" customFormat="1" ht="50.1" hidden="1" customHeight="1" x14ac:dyDescent="0.15">
      <c r="A158" s="2081">
        <f t="shared" ca="1" si="19"/>
        <v>3.1599999999999966</v>
      </c>
      <c r="B158" s="834">
        <v>93381</v>
      </c>
      <c r="C158" s="2" t="str">
        <f>VLOOKUP($B158,[4]BOLETIM_SEL!$A:$H,2,0)</f>
        <v>SINAPI</v>
      </c>
      <c r="D158" s="315" t="str">
        <f>VLOOKUP($B158,[4]BOLETIM_SEL!$A:$H,4,0)</f>
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</c>
      <c r="E158" s="2"/>
      <c r="F158" s="2" t="str">
        <f>VLOOKUP($B158,[4]BOLETIM_SEL!$A:$H,6,0)</f>
        <v>M3</v>
      </c>
      <c r="G158" s="1407">
        <f>VLOOKUP($B158,[4]BOLETIM_SEL!$A:$H,7,0)</f>
        <v>9.86</v>
      </c>
      <c r="H158" s="1613">
        <f>Dre_Terraplenagem!BM148</f>
        <v>0</v>
      </c>
      <c r="I158" s="877">
        <f t="shared" si="38"/>
        <v>11.9</v>
      </c>
      <c r="J158" s="1612">
        <f t="shared" si="36"/>
        <v>0</v>
      </c>
      <c r="K158" s="2078">
        <f t="shared" ca="1" si="28"/>
        <v>0</v>
      </c>
      <c r="L158" s="1574">
        <f t="shared" ca="1" si="37"/>
        <v>0</v>
      </c>
      <c r="M158" s="2488"/>
      <c r="N158" s="833"/>
      <c r="O158" s="833"/>
      <c r="Q158" s="833"/>
      <c r="R158" s="833"/>
      <c r="S158" s="833"/>
      <c r="T158" s="833"/>
      <c r="U158" s="833"/>
      <c r="V158" s="833"/>
      <c r="W158" s="833"/>
      <c r="X158" s="833"/>
    </row>
    <row r="159" spans="1:24" s="813" customFormat="1" ht="50.1" hidden="1" customHeight="1" x14ac:dyDescent="0.15">
      <c r="A159" s="2081">
        <f t="shared" ca="1" si="19"/>
        <v>3.1599999999999966</v>
      </c>
      <c r="B159" s="834">
        <v>93369</v>
      </c>
      <c r="C159" s="2" t="str">
        <f>VLOOKUP($B159,[4]BOLETIM_SEL!$A:$H,2,0)</f>
        <v>SINAPI</v>
      </c>
      <c r="D159" s="315" t="str">
        <f>VLOOKUP($B159,[4]BOLETIM_SEL!$A:$H,4,0)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159" s="2"/>
      <c r="F159" s="2" t="str">
        <f>VLOOKUP($B159,[4]BOLETIM_SEL!$A:$H,6,0)</f>
        <v>M3</v>
      </c>
      <c r="G159" s="1407">
        <f>VLOOKUP($B159,[4]BOLETIM_SEL!$A:$H,7,0)</f>
        <v>11.36</v>
      </c>
      <c r="H159" s="1613">
        <f>Dre_Terraplenagem!BM149</f>
        <v>0</v>
      </c>
      <c r="I159" s="877">
        <f t="shared" si="38"/>
        <v>13.71</v>
      </c>
      <c r="J159" s="1612">
        <f t="shared" si="36"/>
        <v>0</v>
      </c>
      <c r="K159" s="2078">
        <f t="shared" ca="1" si="28"/>
        <v>0</v>
      </c>
      <c r="L159" s="1574">
        <f t="shared" ca="1" si="37"/>
        <v>0</v>
      </c>
      <c r="M159" s="2488"/>
      <c r="N159" s="833"/>
      <c r="O159" s="833"/>
      <c r="Q159" s="833"/>
      <c r="R159" s="833"/>
      <c r="S159" s="833"/>
      <c r="T159" s="833"/>
      <c r="U159" s="833"/>
      <c r="V159" s="833"/>
      <c r="W159" s="833"/>
      <c r="X159" s="833"/>
    </row>
    <row r="160" spans="1:24" s="813" customFormat="1" ht="50.1" hidden="1" customHeight="1" x14ac:dyDescent="0.15">
      <c r="A160" s="2081">
        <f t="shared" ca="1" si="19"/>
        <v>3.1599999999999966</v>
      </c>
      <c r="B160" s="834">
        <v>93370</v>
      </c>
      <c r="C160" s="2" t="str">
        <f>VLOOKUP($B160,[4]BOLETIM_SEL!$A:$H,2,0)</f>
        <v>SINAPI</v>
      </c>
      <c r="D160" s="315" t="str">
        <f>VLOOKUP($B160,[4]BOLETIM_SEL!$A:$H,4,0)</f>
        <v>Reaterro mecanizado de vala com escavadeira hidráulica (capacidade da caçamba: 0,80 m3 / potência: 111 HP), largura até 1,50 m, profundidade de 3,00 a 4,50 m com solo (sem substituição) de 1a categoria em locais com baixo nível de interferência. AF_04/2016</v>
      </c>
      <c r="E160" s="2"/>
      <c r="F160" s="2" t="str">
        <f>VLOOKUP($B160,[4]BOLETIM_SEL!$A:$H,6,0)</f>
        <v>M3</v>
      </c>
      <c r="G160" s="1407">
        <f>VLOOKUP($B160,[4]BOLETIM_SEL!$A:$H,7,0)</f>
        <v>12.46</v>
      </c>
      <c r="H160" s="1613">
        <f>Dre_Terraplenagem!BM150</f>
        <v>0</v>
      </c>
      <c r="I160" s="877">
        <f t="shared" si="38"/>
        <v>15.03</v>
      </c>
      <c r="J160" s="1612">
        <f t="shared" si="36"/>
        <v>0</v>
      </c>
      <c r="K160" s="2078">
        <f t="shared" ca="1" si="28"/>
        <v>0</v>
      </c>
      <c r="L160" s="1574">
        <f t="shared" ca="1" si="37"/>
        <v>0</v>
      </c>
      <c r="M160" s="2493" t="str">
        <f>VLOOKUP($B160,[4]BOLETIM_SEL!$A:$H,5,0)</f>
        <v>3,01 &lt; H &lt; 4,50
baixa Interferência</v>
      </c>
      <c r="N160" s="833"/>
      <c r="O160" s="833"/>
      <c r="Q160" s="833"/>
      <c r="R160" s="833"/>
      <c r="S160" s="833"/>
      <c r="T160" s="833"/>
      <c r="U160" s="833"/>
      <c r="V160" s="833"/>
      <c r="W160" s="833"/>
      <c r="X160" s="833"/>
    </row>
    <row r="161" spans="1:24" s="813" customFormat="1" ht="50.1" hidden="1" customHeight="1" x14ac:dyDescent="0.15">
      <c r="A161" s="2081">
        <f t="shared" ca="1" si="19"/>
        <v>3.1599999999999966</v>
      </c>
      <c r="B161" s="834">
        <v>93371</v>
      </c>
      <c r="C161" s="2" t="str">
        <f>VLOOKUP($B161,[4]BOLETIM_SEL!$A:$H,2,0)</f>
        <v>SINAPI</v>
      </c>
      <c r="D161" s="315" t="str">
        <f>VLOOKUP($B161,[4]BOLETIM_SEL!$A:$H,4,0)</f>
        <v>Reaterro mecanizado de vala com escavadeira hidráulica (capacidade da caçamba: 0,80 m3 / potência: 111 HP), largura de 1,50 a 2,50 m, profundidade de 3,00  a 4,50 m, com solo (sem substituição) de 1a categoria em locais com baixo nível de interferência. AF_04/2016</v>
      </c>
      <c r="E161" s="2"/>
      <c r="F161" s="2" t="str">
        <f>VLOOKUP($B161,[4]BOLETIM_SEL!$A:$H,6,0)</f>
        <v>M3</v>
      </c>
      <c r="G161" s="1407">
        <f>VLOOKUP($B161,[4]BOLETIM_SEL!$A:$H,7,0)</f>
        <v>9.5299999999999994</v>
      </c>
      <c r="H161" s="1613">
        <f>Dre_Terraplenagem!BM151</f>
        <v>0</v>
      </c>
      <c r="I161" s="877">
        <f t="shared" si="38"/>
        <v>11.5</v>
      </c>
      <c r="J161" s="1612">
        <f t="shared" si="36"/>
        <v>0</v>
      </c>
      <c r="K161" s="2078">
        <f t="shared" ca="1" si="28"/>
        <v>0</v>
      </c>
      <c r="L161" s="1574">
        <f t="shared" ca="1" si="37"/>
        <v>0</v>
      </c>
      <c r="M161" s="2493"/>
      <c r="N161" s="833"/>
      <c r="O161" s="833"/>
      <c r="Q161" s="833"/>
      <c r="R161" s="833"/>
      <c r="S161" s="833"/>
      <c r="T161" s="833"/>
      <c r="U161" s="833"/>
      <c r="V161" s="833"/>
      <c r="W161" s="833"/>
      <c r="X161" s="833"/>
    </row>
    <row r="162" spans="1:24" s="813" customFormat="1" ht="50.1" hidden="1" customHeight="1" x14ac:dyDescent="0.15">
      <c r="A162" s="2081">
        <f t="shared" ca="1" si="19"/>
        <v>3.1599999999999966</v>
      </c>
      <c r="B162" s="834">
        <v>93372</v>
      </c>
      <c r="C162" s="2" t="str">
        <f>VLOOKUP($B162,[4]BOLETIM_SEL!$A:$H,2,0)</f>
        <v>SINAPI</v>
      </c>
      <c r="D162" s="315" t="str">
        <f>VLOOKUP($B162,[4]BOLETIM_SEL!$A:$H,4,0)</f>
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</c>
      <c r="E162" s="2"/>
      <c r="F162" s="2" t="str">
        <f>VLOOKUP($B162,[4]BOLETIM_SEL!$A:$H,6,0)</f>
        <v>M3</v>
      </c>
      <c r="G162" s="1407">
        <f>VLOOKUP($B162,[4]BOLETIM_SEL!$A:$H,7,0)</f>
        <v>10.85</v>
      </c>
      <c r="H162" s="1613">
        <f>Dre_Terraplenagem!BM152</f>
        <v>0</v>
      </c>
      <c r="I162" s="877">
        <f t="shared" si="38"/>
        <v>13.09</v>
      </c>
      <c r="J162" s="1612">
        <f t="shared" si="36"/>
        <v>0</v>
      </c>
      <c r="K162" s="2078">
        <f t="shared" ca="1" si="28"/>
        <v>0</v>
      </c>
      <c r="L162" s="1574">
        <f t="shared" ca="1" si="37"/>
        <v>0</v>
      </c>
      <c r="M162" s="2491" t="str">
        <f>VLOOKUP($B162,[4]BOLETIM_SEL!$A:$H,5,0)</f>
        <v>H &gt; 4,51
baixa Interferência</v>
      </c>
      <c r="N162" s="833"/>
      <c r="O162" s="833"/>
      <c r="Q162" s="833"/>
      <c r="R162" s="833"/>
      <c r="S162" s="833"/>
      <c r="T162" s="833"/>
      <c r="U162" s="833"/>
      <c r="V162" s="833"/>
      <c r="W162" s="833"/>
      <c r="X162" s="833"/>
    </row>
    <row r="163" spans="1:24" s="813" customFormat="1" ht="50.1" hidden="1" customHeight="1" x14ac:dyDescent="0.15">
      <c r="A163" s="2081">
        <f t="shared" ca="1" si="19"/>
        <v>3.1599999999999966</v>
      </c>
      <c r="B163" s="834">
        <v>93373</v>
      </c>
      <c r="C163" s="2" t="str">
        <f>VLOOKUP($B163,[4]BOLETIM_SEL!$A:$H,2,0)</f>
        <v>SINAPI</v>
      </c>
      <c r="D163" s="315" t="str">
        <f>VLOOKUP($B163,[4]BOLETIM_SEL!$A:$H,4,0)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163" s="2"/>
      <c r="F163" s="2" t="str">
        <f>VLOOKUP($B163,[4]BOLETIM_SEL!$A:$H,6,0)</f>
        <v>M3</v>
      </c>
      <c r="G163" s="1407">
        <f>VLOOKUP($B163,[4]BOLETIM_SEL!$A:$H,7,0)</f>
        <v>8.65</v>
      </c>
      <c r="H163" s="1613">
        <f>Dre_Terraplenagem!BM153</f>
        <v>0</v>
      </c>
      <c r="I163" s="877">
        <f t="shared" si="38"/>
        <v>10.44</v>
      </c>
      <c r="J163" s="1612">
        <f t="shared" si="36"/>
        <v>0</v>
      </c>
      <c r="K163" s="2078">
        <f t="shared" ca="1" si="28"/>
        <v>0</v>
      </c>
      <c r="L163" s="1574">
        <f t="shared" ca="1" si="37"/>
        <v>0</v>
      </c>
      <c r="M163" s="2491"/>
      <c r="N163" s="833"/>
      <c r="O163" s="833"/>
      <c r="Q163" s="833"/>
      <c r="R163" s="833"/>
      <c r="S163" s="833"/>
      <c r="T163" s="833"/>
      <c r="U163" s="833"/>
      <c r="V163" s="833"/>
      <c r="W163" s="833"/>
      <c r="X163" s="833"/>
    </row>
    <row r="164" spans="1:24" s="813" customFormat="1" ht="39.950000000000003" hidden="1" customHeight="1" x14ac:dyDescent="0.15">
      <c r="A164" s="2081">
        <f t="shared" ca="1" si="19"/>
        <v>3.1599999999999966</v>
      </c>
      <c r="B164" s="834">
        <v>94342</v>
      </c>
      <c r="C164" s="2" t="str">
        <f>VLOOKUP($B164,[4]BOLETIM_SEL!$A:$H,2,0)</f>
        <v>SINAPI</v>
      </c>
      <c r="D164" s="315" t="str">
        <f>VLOOKUP($B164,[4]BOLETIM_SEL!$A:$H,4,0)</f>
        <v>Aterro manual de valas com areia para aterro e compactação mecanizada (adensamento hidráulico e inclusive aquisição). AF_05/2016</v>
      </c>
      <c r="E164" s="2"/>
      <c r="F164" s="2" t="str">
        <f>VLOOKUP($B164,[4]BOLETIM_SEL!$A:$H,6,0)</f>
        <v>M3</v>
      </c>
      <c r="G164" s="1407">
        <f>VLOOKUP($B164,[4]BOLETIM_SEL!$A:$H,7,0)</f>
        <v>86.6</v>
      </c>
      <c r="H164" s="1613">
        <f>Dre_Terraplenagem!BM133</f>
        <v>0</v>
      </c>
      <c r="I164" s="877">
        <f t="shared" si="38"/>
        <v>104.52</v>
      </c>
      <c r="J164" s="1612">
        <f t="shared" si="36"/>
        <v>0</v>
      </c>
      <c r="K164" s="2078">
        <f t="shared" ref="K164:K169" ca="1" si="39">J164/J$967</f>
        <v>0</v>
      </c>
      <c r="L164" s="1574">
        <f t="shared" ca="1" si="37"/>
        <v>0</v>
      </c>
      <c r="M164" s="1445"/>
      <c r="N164" s="833"/>
      <c r="O164" s="833"/>
      <c r="Q164" s="833"/>
      <c r="R164" s="833"/>
      <c r="S164" s="833"/>
      <c r="T164" s="833"/>
      <c r="U164" s="833"/>
      <c r="V164" s="833"/>
      <c r="W164" s="833"/>
      <c r="X164" s="833"/>
    </row>
    <row r="165" spans="1:24" s="813" customFormat="1" ht="50.1" hidden="1" customHeight="1" x14ac:dyDescent="0.15">
      <c r="A165" s="2081">
        <f t="shared" ca="1" si="19"/>
        <v>3.1599999999999966</v>
      </c>
      <c r="B165" s="834">
        <v>101230</v>
      </c>
      <c r="C165" s="2" t="str">
        <f>VLOOKUP($B165,[4]BOLETIM_SEL!$A:$H,2,0)</f>
        <v>SINAPI</v>
      </c>
      <c r="D165" s="315" t="str">
        <f>VLOOKUP($B165,[4]BOLETIM_SEL!$A:$H,4,0)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165" s="2"/>
      <c r="F165" s="2" t="str">
        <f>VLOOKUP($B165,[4]BOLETIM_SEL!$A:$H,6,0)</f>
        <v>M3</v>
      </c>
      <c r="G165" s="1407">
        <f>VLOOKUP($B165,[4]BOLETIM_SEL!$A:$H,7,0)</f>
        <v>10.029999999999999</v>
      </c>
      <c r="H165" s="1613">
        <f ca="1">IF(H167=0,Dre_Terraplenagem!BM204,0)</f>
        <v>0</v>
      </c>
      <c r="I165" s="877">
        <f t="shared" si="38"/>
        <v>12.1</v>
      </c>
      <c r="J165" s="1612">
        <f ca="1">TRUNC(H165*I165,2)</f>
        <v>0</v>
      </c>
      <c r="K165" s="2078">
        <f t="shared" ca="1" si="39"/>
        <v>0</v>
      </c>
      <c r="L165" s="1574">
        <f t="shared" ca="1" si="37"/>
        <v>0</v>
      </c>
      <c r="M165" s="1445"/>
      <c r="N165" s="833"/>
      <c r="O165" s="833"/>
      <c r="Q165" s="833"/>
      <c r="R165" s="833"/>
      <c r="S165" s="833"/>
      <c r="T165" s="833"/>
      <c r="U165" s="833"/>
      <c r="V165" s="833"/>
      <c r="W165" s="833"/>
      <c r="X165" s="833"/>
    </row>
    <row r="166" spans="1:24" s="813" customFormat="1" ht="39.950000000000003" hidden="1" customHeight="1" x14ac:dyDescent="0.15">
      <c r="A166" s="2081">
        <f t="shared" ca="1" si="19"/>
        <v>3.1599999999999966</v>
      </c>
      <c r="B166" s="834">
        <v>368</v>
      </c>
      <c r="C166" s="2" t="str">
        <f>VLOOKUP($B166,[4]BOLETIM_SEL!$A:$H,2,0)</f>
        <v>COTAÇÃO - SINAPI</v>
      </c>
      <c r="D166" s="315" t="str">
        <f>VLOOKUP($B166,[4]BOLETIM_SEL!$A:$H,4,0)</f>
        <v>Areia para aterro - posto jazida/fornecedor (retirado na jazida, sem transporte)</v>
      </c>
      <c r="E166" s="2230" t="s">
        <v>2647</v>
      </c>
      <c r="F166" s="2" t="str">
        <f>VLOOKUP($B166,[4]BOLETIM_SEL!$A:$H,6,0)</f>
        <v xml:space="preserve">M3    </v>
      </c>
      <c r="G166" s="1407">
        <f>VLOOKUP($B166,[4]BOLETIM_SEL!$A:$H,7,0)</f>
        <v>45</v>
      </c>
      <c r="H166" s="1613">
        <f>ROUND(H164*1.25,2)</f>
        <v>0</v>
      </c>
      <c r="I166" s="2231">
        <f t="shared" ref="I166:I167" si="40">TRUNC(G166*(1+$J$6),2)</f>
        <v>51.87</v>
      </c>
      <c r="J166" s="1612">
        <f>TRUNC(H166*I166,2)</f>
        <v>0</v>
      </c>
      <c r="K166" s="2078">
        <f t="shared" ca="1" si="39"/>
        <v>0</v>
      </c>
      <c r="L166" s="1574">
        <f t="shared" ca="1" si="37"/>
        <v>0</v>
      </c>
      <c r="M166" s="1445"/>
      <c r="N166" s="833"/>
      <c r="O166" s="833"/>
      <c r="Q166" s="833"/>
      <c r="R166" s="833"/>
      <c r="S166" s="833"/>
      <c r="T166" s="833"/>
      <c r="U166" s="833"/>
      <c r="V166" s="833"/>
      <c r="W166" s="833"/>
      <c r="X166" s="833"/>
    </row>
    <row r="167" spans="1:24" s="813" customFormat="1" ht="39.950000000000003" hidden="1" customHeight="1" x14ac:dyDescent="0.15">
      <c r="A167" s="2081">
        <f t="shared" ca="1" si="19"/>
        <v>3.1599999999999966</v>
      </c>
      <c r="B167" s="834">
        <v>6079</v>
      </c>
      <c r="C167" s="2" t="str">
        <f>VLOOKUP($B167,[4]BOLETIM_SEL!$A:$H,2,0)</f>
        <v>COTAÇÃO - SINAPI</v>
      </c>
      <c r="D167" s="315" t="str">
        <f>VLOOKUP($B167,[4]BOLETIM_SEL!$A:$H,4,0)</f>
        <v>Argila, argila vermelha ou argila arenosa (retirada na jazida, sem transporte)</v>
      </c>
      <c r="E167" s="2230" t="s">
        <v>2647</v>
      </c>
      <c r="F167" s="2" t="str">
        <f>VLOOKUP($B167,[4]BOLETIM_SEL!$A:$H,6,0)</f>
        <v xml:space="preserve">M3    </v>
      </c>
      <c r="G167" s="1407">
        <f>VLOOKUP($B167,[4]BOLETIM_SEL!$A:$H,7,0)</f>
        <v>33.700000000000003</v>
      </c>
      <c r="H167" s="1613">
        <f>IF(M167="COMERCIAL",Dre_Terraplenagem!BM204,0)</f>
        <v>0</v>
      </c>
      <c r="I167" s="2231">
        <f t="shared" si="40"/>
        <v>38.840000000000003</v>
      </c>
      <c r="J167" s="1612">
        <f>TRUNC(H167*I167,2)</f>
        <v>0</v>
      </c>
      <c r="K167" s="2078">
        <f t="shared" ca="1" si="39"/>
        <v>0</v>
      </c>
      <c r="L167" s="1574">
        <f t="shared" ca="1" si="37"/>
        <v>0</v>
      </c>
      <c r="M167" s="1589" t="s">
        <v>1708</v>
      </c>
      <c r="N167" s="833"/>
      <c r="O167" s="833"/>
      <c r="Q167" s="833"/>
      <c r="R167" s="833"/>
      <c r="S167" s="833"/>
      <c r="T167" s="833"/>
      <c r="U167" s="833"/>
      <c r="V167" s="833"/>
      <c r="W167" s="833"/>
      <c r="X167" s="833"/>
    </row>
    <row r="168" spans="1:24" s="813" customFormat="1" ht="30" hidden="1" customHeight="1" x14ac:dyDescent="0.15">
      <c r="A168" s="2081">
        <f t="shared" ca="1" si="19"/>
        <v>3.1599999999999966</v>
      </c>
      <c r="B168" s="834" t="str">
        <f>IF(M168="ESMERALDA","SC/0082",98504)</f>
        <v>SC/0082</v>
      </c>
      <c r="C168" s="2" t="str">
        <f>VLOOKUP($B168,[4]BOLETIM_SEL!$A:$H,2,0)</f>
        <v>COMPOSIÇÃO</v>
      </c>
      <c r="D168" s="315" t="str">
        <f>VLOOKUP($B168,[4]BOLETIM_SEL!$A:$H,4,0)</f>
        <v>Grama em placas, tipo esmeralda, incluindo plantio, adubo, fertilizante, calcário, terra orgânica e irrigação</v>
      </c>
      <c r="E168" s="2"/>
      <c r="F168" s="2" t="str">
        <f>VLOOKUP($B168,[4]BOLETIM_SEL!$A:$H,6,0)</f>
        <v>M2</v>
      </c>
      <c r="G168" s="1407">
        <f>VLOOKUP($B168,[4]BOLETIM_SEL!$A:$H,7,0)</f>
        <v>22.28</v>
      </c>
      <c r="H168" s="1613">
        <f>Dre_Terraplenagem!BM188</f>
        <v>0</v>
      </c>
      <c r="I168" s="877">
        <f>TRUNC(G168*(1+$J$5),2)</f>
        <v>26.89</v>
      </c>
      <c r="J168" s="1612">
        <f>TRUNC(H168*I168,2)</f>
        <v>0</v>
      </c>
      <c r="K168" s="2078">
        <f t="shared" ca="1" si="39"/>
        <v>0</v>
      </c>
      <c r="L168" s="1574">
        <f t="shared" ca="1" si="37"/>
        <v>0</v>
      </c>
      <c r="M168" s="1589" t="s">
        <v>1826</v>
      </c>
      <c r="N168" s="833"/>
      <c r="O168" s="833"/>
      <c r="Q168" s="833"/>
      <c r="R168" s="833"/>
      <c r="S168" s="833"/>
      <c r="T168" s="833"/>
      <c r="U168" s="833"/>
      <c r="V168" s="833"/>
      <c r="W168" s="833"/>
      <c r="X168" s="833"/>
    </row>
    <row r="169" spans="1:24" s="813" customFormat="1" ht="39.950000000000003" customHeight="1" x14ac:dyDescent="0.15">
      <c r="A169" s="2081">
        <f t="shared" ca="1" si="19"/>
        <v>3.1699999999999964</v>
      </c>
      <c r="B169" s="834">
        <f>IF(M169="escavadeira",100979,100974)</f>
        <v>100979</v>
      </c>
      <c r="C169" s="2" t="str">
        <f>VLOOKUP($B169,[4]BOLETIM_SEL!$A:$H,2,0)</f>
        <v>SINAPI</v>
      </c>
      <c r="D169" s="315" t="str">
        <f>VLOOKUP($B169,[4]BOLETIM_SEL!$A:$H,4,0)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169" s="2"/>
      <c r="F169" s="2" t="str">
        <f>VLOOKUP($B169,[4]BOLETIM_SEL!$A:$H,6,0)</f>
        <v>M3</v>
      </c>
      <c r="G169" s="1407">
        <f>VLOOKUP($B169,[4]BOLETIM_SEL!$A:$H,7,0)</f>
        <v>6.01</v>
      </c>
      <c r="H169" s="1613">
        <f ca="1">Dre_Terraplenagem!BM200</f>
        <v>270.95</v>
      </c>
      <c r="I169" s="877">
        <f>TRUNC(G169*(1+$J$5),2)</f>
        <v>7.25</v>
      </c>
      <c r="J169" s="1612">
        <f ca="1">TRUNC(H169*I169,2)</f>
        <v>1964.38</v>
      </c>
      <c r="K169" s="2078">
        <f t="shared" ca="1" si="39"/>
        <v>1.4658832599519605E-4</v>
      </c>
      <c r="L169" s="1574">
        <f t="shared" ca="1" si="37"/>
        <v>2.9686214844243867E-3</v>
      </c>
      <c r="M169" s="1589" t="s">
        <v>2106</v>
      </c>
      <c r="N169" s="833"/>
      <c r="O169" s="833"/>
      <c r="Q169" s="833"/>
      <c r="R169" s="833"/>
      <c r="S169" s="833"/>
      <c r="T169" s="833"/>
      <c r="U169" s="833"/>
      <c r="V169" s="833"/>
      <c r="W169" s="833"/>
      <c r="X169" s="833"/>
    </row>
    <row r="170" spans="1:24" s="813" customFormat="1" ht="24.95" customHeight="1" x14ac:dyDescent="0.15">
      <c r="A170" s="2081"/>
      <c r="B170" s="834"/>
      <c r="C170" s="2"/>
      <c r="D170" s="1452" t="s">
        <v>1814</v>
      </c>
      <c r="E170" s="2"/>
      <c r="F170" s="2"/>
      <c r="G170" s="1407"/>
      <c r="H170" s="2"/>
      <c r="I170" s="2"/>
      <c r="J170" s="839" t="str">
        <f ca="1">IF(J171=0,"-","")</f>
        <v/>
      </c>
      <c r="K170" s="2078"/>
      <c r="L170" s="1574"/>
      <c r="M170" s="1445" t="s">
        <v>1674</v>
      </c>
      <c r="N170" s="833"/>
      <c r="O170" s="833"/>
      <c r="Q170" s="833"/>
      <c r="R170" s="833"/>
      <c r="S170" s="833"/>
      <c r="T170" s="833"/>
      <c r="U170" s="833"/>
      <c r="V170" s="833"/>
      <c r="W170" s="833"/>
      <c r="X170" s="833"/>
    </row>
    <row r="171" spans="1:24" s="813" customFormat="1" ht="30" customHeight="1" x14ac:dyDescent="0.15">
      <c r="A171" s="2081">
        <f ca="1">IF(H171&gt;0,A169+0.01,A169)</f>
        <v>3.1799999999999962</v>
      </c>
      <c r="B171" s="834">
        <v>100939</v>
      </c>
      <c r="C171" s="2" t="str">
        <f>VLOOKUP($B171,[4]BOLETIM_SEL!$A:$H,2,0)</f>
        <v>SINAPI</v>
      </c>
      <c r="D171" s="315" t="str">
        <f>VLOOKUP($B171,[4]BOLETIM_SEL!$A:$H,4,0)</f>
        <v>Transporte com caminhão basculante de 14 m3, em via interna (dentro do canteiro - unidade:m3xkm). AF_07/2020</v>
      </c>
      <c r="E171" s="2">
        <f>Dados_DMT!$B$15</f>
        <v>1</v>
      </c>
      <c r="F171" s="2" t="str">
        <f>VLOOKUP($B171,[4]BOLETIM_SEL!$A:$H,6,0)</f>
        <v>M3XKM</v>
      </c>
      <c r="G171" s="1407">
        <f>VLOOKUP($B171,[4]BOLETIM_SEL!$A:$H,7,0)</f>
        <v>5.89</v>
      </c>
      <c r="H171" s="1613">
        <f ca="1">ROUND(Dre_Terraplenagem!BM201*E171,2)</f>
        <v>487.71</v>
      </c>
      <c r="I171" s="877">
        <f>TRUNC(G171*(1+$J$5),2)</f>
        <v>7.1</v>
      </c>
      <c r="J171" s="1612">
        <f ca="1">TRUNC(H171*I171,2)</f>
        <v>3462.74</v>
      </c>
      <c r="K171" s="2078">
        <f ca="1">J171/J$967</f>
        <v>2.5840074728749278E-4</v>
      </c>
      <c r="L171" s="1574">
        <f ca="1">J171/J$100</f>
        <v>5.2329815814535375E-3</v>
      </c>
      <c r="M171" s="1445"/>
      <c r="N171" s="833"/>
      <c r="O171" s="833"/>
      <c r="Q171" s="833"/>
      <c r="R171" s="833"/>
      <c r="S171" s="833"/>
      <c r="T171" s="833"/>
      <c r="U171" s="833"/>
      <c r="V171" s="833"/>
      <c r="W171" s="833"/>
      <c r="X171" s="833"/>
    </row>
    <row r="172" spans="1:24" s="813" customFormat="1" ht="24.95" hidden="1" customHeight="1" x14ac:dyDescent="0.15">
      <c r="A172" s="2081"/>
      <c r="B172" s="834"/>
      <c r="C172" s="2"/>
      <c r="D172" s="1452" t="s">
        <v>1802</v>
      </c>
      <c r="E172" s="2"/>
      <c r="F172" s="2"/>
      <c r="G172" s="1407"/>
      <c r="H172" s="2"/>
      <c r="I172" s="2"/>
      <c r="J172" s="839" t="str">
        <f>IF(J173=0,"-","")</f>
        <v>-</v>
      </c>
      <c r="K172" s="2078"/>
      <c r="L172" s="1574"/>
      <c r="M172" s="1445" t="s">
        <v>1950</v>
      </c>
      <c r="N172" s="833"/>
      <c r="O172" s="833"/>
      <c r="Q172" s="833"/>
      <c r="R172" s="833"/>
      <c r="S172" s="833"/>
      <c r="T172" s="833"/>
      <c r="U172" s="833"/>
      <c r="V172" s="833"/>
      <c r="W172" s="833"/>
      <c r="X172" s="833"/>
    </row>
    <row r="173" spans="1:24" s="813" customFormat="1" ht="39.950000000000003" hidden="1" customHeight="1" x14ac:dyDescent="0.15">
      <c r="A173" s="2081">
        <f ca="1">IF(H173&gt;0,A171+0.01,A171)</f>
        <v>3.1799999999999962</v>
      </c>
      <c r="B173" s="834">
        <f>IF(AND(M173&lt;=50,E173&lt;=30),95875,IF(AND(M173&lt;=50,E173&gt;30),93590,IF(AND(M173&gt;50,E173&lt;=30),95876,93593)))</f>
        <v>95875</v>
      </c>
      <c r="C173" s="2" t="str">
        <f>VLOOKUP($B173,[4]BOLETIM_SEL!$A:$H,2,0)</f>
        <v>SINAPI</v>
      </c>
      <c r="D173" s="315" t="str">
        <f>VLOOKUP($B173,[4]BOLETIM_SEL!$A:$H,4,0)</f>
        <v>Transporte com caminhão basculante de 10 m3, em via urbana pavimentada, DMT até 30,00 km (unidade: m3xkm). AF_07/2020</v>
      </c>
      <c r="E173" s="2">
        <f>Dados_DMT!$B$16</f>
        <v>0</v>
      </c>
      <c r="F173" s="2" t="str">
        <f>VLOOKUP($B173,[4]BOLETIM_SEL!$A:$H,6,0)</f>
        <v>M3XKM</v>
      </c>
      <c r="G173" s="1407">
        <f>VLOOKUP($B173,[4]BOLETIM_SEL!$A:$H,7,0)</f>
        <v>2.1800000000000002</v>
      </c>
      <c r="H173" s="1613">
        <f>ROUND(Dre_Terraplenagem!BM202*E173,2)</f>
        <v>0</v>
      </c>
      <c r="I173" s="877">
        <f>TRUNC(G173*(1+$J$5),2)</f>
        <v>2.63</v>
      </c>
      <c r="J173" s="1612">
        <f>TRUNC(H173*I173,2)</f>
        <v>0</v>
      </c>
      <c r="K173" s="2078">
        <f ca="1">J173/J$967</f>
        <v>0</v>
      </c>
      <c r="L173" s="1574">
        <f ca="1">J173/J$100</f>
        <v>0</v>
      </c>
      <c r="M173" s="1453">
        <f>IF(H173=0,0,H173/E173)</f>
        <v>0</v>
      </c>
      <c r="N173" s="833"/>
      <c r="O173" s="833"/>
      <c r="Q173" s="833"/>
      <c r="R173" s="833"/>
      <c r="S173" s="833"/>
      <c r="T173" s="833"/>
      <c r="U173" s="833"/>
      <c r="V173" s="833"/>
      <c r="W173" s="833"/>
      <c r="X173" s="833"/>
    </row>
    <row r="174" spans="1:24" s="813" customFormat="1" ht="24.95" customHeight="1" x14ac:dyDescent="0.15">
      <c r="A174" s="2081"/>
      <c r="B174" s="2"/>
      <c r="C174" s="2"/>
      <c r="D174" s="1452" t="s">
        <v>1803</v>
      </c>
      <c r="E174" s="2"/>
      <c r="F174" s="2"/>
      <c r="G174" s="1407"/>
      <c r="H174" s="2"/>
      <c r="I174" s="2"/>
      <c r="J174" s="839" t="str">
        <f ca="1">IF(J175=0,"-","")</f>
        <v/>
      </c>
      <c r="K174" s="2078"/>
      <c r="L174" s="1574"/>
      <c r="M174" s="1445" t="s">
        <v>1951</v>
      </c>
      <c r="N174" s="833"/>
      <c r="O174" s="833"/>
      <c r="Q174" s="833"/>
      <c r="R174" s="833"/>
      <c r="S174" s="833"/>
      <c r="T174" s="833"/>
      <c r="U174" s="833"/>
      <c r="V174" s="833"/>
      <c r="W174" s="833"/>
      <c r="X174" s="833"/>
    </row>
    <row r="175" spans="1:24" s="813" customFormat="1" ht="39.950000000000003" customHeight="1" x14ac:dyDescent="0.15">
      <c r="A175" s="2081">
        <f ca="1">IF(H175&gt;0,A173+0.01,A173)</f>
        <v>3.1899999999999959</v>
      </c>
      <c r="B175" s="834">
        <f ca="1">IF(AND(M175&lt;=50,E175&lt;=30),95875,IF(AND(M175&lt;=50,E175&gt;30),93590,IF(AND(M175&gt;50,E175&lt;=30),95876,93593)))</f>
        <v>95876</v>
      </c>
      <c r="C175" s="2" t="str">
        <f ca="1">VLOOKUP($B175,[4]BOLETIM_SEL!$A:$H,2,0)</f>
        <v>SINAPI</v>
      </c>
      <c r="D175" s="315" t="str">
        <f ca="1">VLOOKUP($B175,[4]BOLETIM_SEL!$A:$H,4,0)</f>
        <v>Transporte com caminhão basculante de 14 m3, em via urbana pavimentada, DMT até 30,00 km (unidade: m3xkm). AF_07/2020</v>
      </c>
      <c r="E175" s="2">
        <f>Dados_DMT!$B$17</f>
        <v>4</v>
      </c>
      <c r="F175" s="2" t="str">
        <f ca="1">VLOOKUP($B175,[4]BOLETIM_SEL!$A:$H,6,0)</f>
        <v>M3XKM</v>
      </c>
      <c r="G175" s="1407">
        <f ca="1">VLOOKUP($B175,[4]BOLETIM_SEL!$A:$H,7,0)</f>
        <v>1.93</v>
      </c>
      <c r="H175" s="1613">
        <f ca="1">ROUND(Dre_Terraplenagem!BM203*E175,2)</f>
        <v>7969.84</v>
      </c>
      <c r="I175" s="877">
        <f ca="1">TRUNC(G175*(1+$J$5),2)</f>
        <v>2.3199999999999998</v>
      </c>
      <c r="J175" s="1612">
        <f ca="1">TRUNC(H175*I175,2)</f>
        <v>18490.02</v>
      </c>
      <c r="K175" s="2078">
        <f ca="1">J175/J$967</f>
        <v>1.3797845016838364E-3</v>
      </c>
      <c r="L175" s="1574">
        <f ca="1">J175/J$100</f>
        <v>2.7942592889072686E-2</v>
      </c>
      <c r="M175" s="1453">
        <f ca="1">IF(H175=0,0,H175/E175)</f>
        <v>1992.46</v>
      </c>
      <c r="N175" s="833"/>
      <c r="O175" s="833"/>
      <c r="Q175" s="833"/>
      <c r="R175" s="833"/>
      <c r="S175" s="833"/>
      <c r="T175" s="833"/>
      <c r="U175" s="833"/>
      <c r="V175" s="833"/>
      <c r="W175" s="833"/>
      <c r="X175" s="833"/>
    </row>
    <row r="176" spans="1:24" s="813" customFormat="1" ht="24.95" hidden="1" customHeight="1" x14ac:dyDescent="0.15">
      <c r="A176" s="2081"/>
      <c r="B176" s="2"/>
      <c r="C176" s="2"/>
      <c r="D176" s="1452" t="s">
        <v>1816</v>
      </c>
      <c r="E176" s="2"/>
      <c r="F176" s="2"/>
      <c r="G176" s="1407"/>
      <c r="H176" s="2"/>
      <c r="I176" s="2"/>
      <c r="J176" s="839" t="str">
        <f ca="1">IF(J177=0,"-","")</f>
        <v>-</v>
      </c>
      <c r="K176" s="2078"/>
      <c r="L176" s="1574"/>
      <c r="M176" s="1445"/>
      <c r="N176" s="833"/>
      <c r="O176" s="833"/>
      <c r="Q176" s="833"/>
      <c r="R176" s="833"/>
      <c r="S176" s="833"/>
      <c r="T176" s="833"/>
      <c r="U176" s="833"/>
      <c r="V176" s="833"/>
      <c r="W176" s="833"/>
      <c r="X176" s="833"/>
    </row>
    <row r="177" spans="1:24" s="813" customFormat="1" ht="39.950000000000003" hidden="1" customHeight="1" x14ac:dyDescent="0.15">
      <c r="A177" s="2081">
        <f ca="1">IF(H177&gt;0,A175+0.01,A175)</f>
        <v>3.1899999999999959</v>
      </c>
      <c r="B177" s="834">
        <f ca="1">IF(AND(M177&lt;=50,E177&lt;=30),95875,IF(AND(M177&lt;=50,E177&gt;30),93590,IF(AND(M177&gt;50,E177&lt;=30),95876,93593)))</f>
        <v>95875</v>
      </c>
      <c r="C177" s="2" t="str">
        <f ca="1">VLOOKUP($B177,[4]BOLETIM_SEL!$A:$H,2,0)</f>
        <v>SINAPI</v>
      </c>
      <c r="D177" s="315" t="str">
        <f ca="1">VLOOKUP($B177,[4]BOLETIM_SEL!$A:$H,4,0)</f>
        <v>Transporte com caminhão basculante de 10 m3, em via urbana pavimentada, DMT até 30,00 km (unidade: m3xkm). AF_07/2020</v>
      </c>
      <c r="E177" s="2">
        <f>Dados_DMT!$B$14</f>
        <v>4</v>
      </c>
      <c r="F177" s="2" t="str">
        <f ca="1">VLOOKUP($B177,[4]BOLETIM_SEL!$A:$H,6,0)</f>
        <v>M3XKM</v>
      </c>
      <c r="G177" s="1407">
        <f ca="1">VLOOKUP($B177,[4]BOLETIM_SEL!$A:$H,7,0)</f>
        <v>2.1800000000000002</v>
      </c>
      <c r="H177" s="1613">
        <f ca="1">ROUND(Dre_Terraplenagem!BM204*E177,2)</f>
        <v>0</v>
      </c>
      <c r="I177" s="877">
        <f ca="1">TRUNC(G177*(1+$J$5),2)</f>
        <v>2.63</v>
      </c>
      <c r="J177" s="1612">
        <f ca="1">TRUNC(H177*I177,2)</f>
        <v>0</v>
      </c>
      <c r="K177" s="2078">
        <f ca="1">J177/J$967</f>
        <v>0</v>
      </c>
      <c r="L177" s="1574">
        <f ca="1">J177/J$100</f>
        <v>0</v>
      </c>
      <c r="M177" s="1453">
        <f ca="1">IF(H177=0,0,H177/E177)</f>
        <v>0</v>
      </c>
      <c r="N177" s="833"/>
      <c r="O177" s="833"/>
      <c r="Q177" s="833"/>
      <c r="R177" s="833"/>
      <c r="S177" s="833"/>
      <c r="T177" s="833"/>
      <c r="U177" s="833"/>
      <c r="V177" s="833"/>
      <c r="W177" s="833"/>
      <c r="X177" s="833"/>
    </row>
    <row r="178" spans="1:24" s="813" customFormat="1" ht="24.95" hidden="1" customHeight="1" x14ac:dyDescent="0.15">
      <c r="A178" s="2081"/>
      <c r="B178" s="2"/>
      <c r="C178" s="2"/>
      <c r="D178" s="1452" t="s">
        <v>1813</v>
      </c>
      <c r="E178" s="2"/>
      <c r="F178" s="2"/>
      <c r="G178" s="1407"/>
      <c r="H178" s="2"/>
      <c r="I178" s="2"/>
      <c r="J178" s="839" t="str">
        <f>IF(J179=0,"-","")</f>
        <v>-</v>
      </c>
      <c r="K178" s="2078"/>
      <c r="L178" s="1574"/>
      <c r="M178" s="1445"/>
      <c r="N178" s="833"/>
      <c r="O178" s="833"/>
      <c r="Q178" s="833"/>
      <c r="R178" s="833"/>
      <c r="S178" s="833"/>
      <c r="T178" s="833"/>
      <c r="U178" s="833"/>
      <c r="V178" s="833"/>
      <c r="W178" s="833"/>
      <c r="X178" s="833"/>
    </row>
    <row r="179" spans="1:24" s="813" customFormat="1" ht="39.950000000000003" hidden="1" customHeight="1" x14ac:dyDescent="0.15">
      <c r="A179" s="2081">
        <f ca="1">IF(H179&gt;0,A177+0.01,A177)</f>
        <v>3.1899999999999959</v>
      </c>
      <c r="B179" s="834">
        <f>IF(AND(M179&lt;=50,E179&lt;=30),95875,IF(AND(M179&lt;=50,E179&gt;30),93590,IF(AND(M179&gt;50,E179&lt;=30),95876,93593)))</f>
        <v>95875</v>
      </c>
      <c r="C179" s="2" t="str">
        <f>VLOOKUP($B179,[4]BOLETIM_SEL!$A:$H,2,0)</f>
        <v>SINAPI</v>
      </c>
      <c r="D179" s="315" t="str">
        <f>VLOOKUP($B179,[4]BOLETIM_SEL!$A:$H,4,0)</f>
        <v>Transporte com caminhão basculante de 10 m3, em via urbana pavimentada, DMT até 30,00 km (unidade: m3xkm). AF_07/2020</v>
      </c>
      <c r="E179" s="2">
        <f>Dados_DMT!$B$21</f>
        <v>0</v>
      </c>
      <c r="F179" s="2" t="str">
        <f>VLOOKUP($B179,[4]BOLETIM_SEL!$A:$H,6,0)</f>
        <v>M3XKM</v>
      </c>
      <c r="G179" s="1407">
        <f>VLOOKUP($B179,[4]BOLETIM_SEL!$A:$H,7,0)</f>
        <v>2.1800000000000002</v>
      </c>
      <c r="H179" s="1613">
        <f>ROUND(Dre_Terraplenagem!BM209*E179,2)</f>
        <v>0</v>
      </c>
      <c r="I179" s="877">
        <f>TRUNC(G179*(1+$J$5),2)</f>
        <v>2.63</v>
      </c>
      <c r="J179" s="1612">
        <f>TRUNC(H179*I179,2)</f>
        <v>0</v>
      </c>
      <c r="K179" s="2078">
        <f ca="1">J179/J$967</f>
        <v>0</v>
      </c>
      <c r="L179" s="1574">
        <f ca="1">J179/J$100</f>
        <v>0</v>
      </c>
      <c r="M179" s="1453">
        <f>IF(H179=0,0,H179/E179)</f>
        <v>0</v>
      </c>
      <c r="N179" s="833"/>
      <c r="O179" s="833"/>
      <c r="Q179" s="833"/>
      <c r="R179" s="833"/>
      <c r="S179" s="833"/>
      <c r="T179" s="833"/>
      <c r="U179" s="833"/>
      <c r="V179" s="833"/>
      <c r="W179" s="833"/>
      <c r="X179" s="833"/>
    </row>
    <row r="180" spans="1:24" s="813" customFormat="1" ht="24.95" hidden="1" customHeight="1" x14ac:dyDescent="0.15">
      <c r="A180" s="2081"/>
      <c r="B180" s="2"/>
      <c r="C180" s="2"/>
      <c r="D180" s="1452" t="s">
        <v>2190</v>
      </c>
      <c r="E180" s="2"/>
      <c r="F180" s="2"/>
      <c r="G180" s="1407"/>
      <c r="H180" s="2"/>
      <c r="I180" s="2"/>
      <c r="J180" s="839" t="str">
        <f>IF(J181=0,"-","")</f>
        <v>-</v>
      </c>
      <c r="K180" s="2078"/>
      <c r="L180" s="1574"/>
      <c r="M180" s="1445"/>
      <c r="N180" s="833"/>
      <c r="O180" s="833"/>
      <c r="Q180" s="833"/>
      <c r="R180" s="833"/>
      <c r="S180" s="833"/>
      <c r="T180" s="833"/>
      <c r="U180" s="833"/>
      <c r="V180" s="833"/>
      <c r="W180" s="833"/>
      <c r="X180" s="833"/>
    </row>
    <row r="181" spans="1:24" s="813" customFormat="1" ht="39.950000000000003" hidden="1" customHeight="1" x14ac:dyDescent="0.15">
      <c r="A181" s="2081">
        <f ca="1">IF(H181&gt;0,A179+0.01,A179)</f>
        <v>3.1899999999999959</v>
      </c>
      <c r="B181" s="834">
        <f>IF(AND(M181&lt;=50,E181&lt;=30),95876,IF(AND(M181&lt;=50,E181&gt;30),93590,IF(AND(M181&gt;50,E181&lt;=30),95876,93593)))</f>
        <v>93590</v>
      </c>
      <c r="C181" s="2" t="str">
        <f>VLOOKUP($B181,[4]BOLETIM_SEL!$A:$H,2,0)</f>
        <v>SINAPI</v>
      </c>
      <c r="D181" s="315" t="str">
        <f>VLOOKUP($B181,[4]BOLETIM_SEL!$A:$H,4,0)</f>
        <v>Transporte com caminhão basculante de 10 m3, em via urbana pavimentada, adicional para DMT excedente a 30,00 km (unidade: m3xkm). AF_07/2020</v>
      </c>
      <c r="E181" s="2">
        <f>Dados_DMT!$B$34</f>
        <v>109</v>
      </c>
      <c r="F181" s="2" t="str">
        <f>VLOOKUP($B181,[4]BOLETIM_SEL!$A:$H,6,0)</f>
        <v>M3XKM</v>
      </c>
      <c r="G181" s="1407">
        <f>VLOOKUP($B181,[4]BOLETIM_SEL!$A:$H,7,0)</f>
        <v>0.85</v>
      </c>
      <c r="H181" s="1613">
        <f>ROUND(Dre_Terraplenagem!BM211*E181,2)</f>
        <v>0</v>
      </c>
      <c r="I181" s="877">
        <f>TRUNC(G181*(1+$J$5),2)</f>
        <v>1.02</v>
      </c>
      <c r="J181" s="1612">
        <f>TRUNC(H181*I181,2)</f>
        <v>0</v>
      </c>
      <c r="K181" s="2078">
        <f ca="1">J181/J$967</f>
        <v>0</v>
      </c>
      <c r="L181" s="1574">
        <f ca="1">J181/J$100</f>
        <v>0</v>
      </c>
      <c r="M181" s="1453">
        <f>IF(H181=0,0,H181/E181)</f>
        <v>0</v>
      </c>
      <c r="N181" s="833"/>
      <c r="O181" s="833"/>
      <c r="Q181" s="833"/>
      <c r="R181" s="833"/>
      <c r="S181" s="833"/>
      <c r="T181" s="833"/>
      <c r="U181" s="833"/>
      <c r="V181" s="833"/>
      <c r="W181" s="833"/>
      <c r="X181" s="833"/>
    </row>
    <row r="182" spans="1:24" s="813" customFormat="1" ht="24.95" customHeight="1" thickBot="1" x14ac:dyDescent="0.2">
      <c r="A182" s="2081"/>
      <c r="B182" s="834"/>
      <c r="C182" s="834"/>
      <c r="D182" s="835"/>
      <c r="E182" s="2"/>
      <c r="F182" s="834"/>
      <c r="G182" s="1821"/>
      <c r="H182" s="834"/>
      <c r="I182" s="877"/>
      <c r="J182" s="839" t="str">
        <f ca="1">IF(J100=0,0,"")</f>
        <v/>
      </c>
      <c r="K182" s="2078"/>
      <c r="L182" s="1574"/>
      <c r="M182" s="1447"/>
      <c r="N182" s="833"/>
      <c r="O182" s="833"/>
      <c r="Q182" s="833"/>
      <c r="R182" s="833"/>
      <c r="S182" s="833"/>
      <c r="T182" s="833"/>
      <c r="U182" s="833"/>
      <c r="V182" s="833"/>
      <c r="W182" s="833"/>
      <c r="X182" s="833"/>
    </row>
    <row r="183" spans="1:24" s="833" customFormat="1" ht="24.95" customHeight="1" thickTop="1" thickBot="1" x14ac:dyDescent="0.2">
      <c r="A183" s="2082">
        <f ca="1">IF(J183&gt;0,INT(A181)+1,IF(J183=0,INT(A181),0))</f>
        <v>4</v>
      </c>
      <c r="B183" s="1633"/>
      <c r="C183" s="1633"/>
      <c r="D183" s="1641" t="s">
        <v>2253</v>
      </c>
      <c r="E183" s="1828"/>
      <c r="F183" s="1635"/>
      <c r="G183" s="1823" t="s">
        <v>646</v>
      </c>
      <c r="H183" s="1635"/>
      <c r="I183" s="1640" t="str">
        <f ca="1">CONCATENATE("SUB-TOTAL ",A183)</f>
        <v>SUB-TOTAL 4</v>
      </c>
      <c r="J183" s="1639">
        <f ca="1">SUM(J184:J242)</f>
        <v>1133647.6500000001</v>
      </c>
      <c r="K183" s="2079">
        <f t="shared" ref="K183:K214" ca="1" si="41">J183/J$967</f>
        <v>8.4596417842722843E-2</v>
      </c>
      <c r="L183" s="1610">
        <f t="shared" ref="L183:L214" ca="1" si="42">J183/J$183</f>
        <v>1</v>
      </c>
      <c r="M183" s="1810" t="s">
        <v>912</v>
      </c>
      <c r="N183" s="1811" t="str">
        <f ca="1">IF(SUMPRODUCT(Dren_Quantificacao!D3:CG3,Dren_Quantificacao!D4:CG4)=SUM(H184:H195)+SUM(H208:H216)+SUM(H235:H241),"OK","Erro")</f>
        <v>OK</v>
      </c>
    </row>
    <row r="184" spans="1:24" s="813" customFormat="1" ht="39.950000000000003" customHeight="1" thickTop="1" x14ac:dyDescent="0.15">
      <c r="A184" s="2081">
        <f t="shared" ref="A184:A215" ca="1" si="43">IF(H184&gt;0,A183+0.01,A183)</f>
        <v>4.01</v>
      </c>
      <c r="B184" s="834">
        <v>7781</v>
      </c>
      <c r="C184" s="2" t="str">
        <f>VLOOKUP($B184,[4]BOLETIM_SEL!$A:$H,2,0)</f>
        <v>SINAPI</v>
      </c>
      <c r="D184" s="315" t="str">
        <f>VLOOKUP($B184,[4]BOLETIM_SEL!$A:$H,4,0)</f>
        <v>Aquisição de tubo de concreto simples para aguas pluviais, classe PS-1, com encaixe ponta e bolsa, diâmetro nominal de 0,40 m (180 kg/m) - Aquisição</v>
      </c>
      <c r="E184" s="2230" t="s">
        <v>2647</v>
      </c>
      <c r="F184" s="2" t="str">
        <f>VLOOKUP($B184,[4]BOLETIM_SEL!$A:$H,6,0)</f>
        <v xml:space="preserve">M     </v>
      </c>
      <c r="G184" s="1407">
        <f>VLOOKUP($B184,[4]BOLETIM_SEL!$A:$H,7,0)</f>
        <v>70.900000000000006</v>
      </c>
      <c r="H184" s="1611">
        <f>Dre_Disp_Estruturais!BM10+Dre_Disp_Estruturais!BM13</f>
        <v>802</v>
      </c>
      <c r="I184" s="2231">
        <f t="shared" ref="I184:I195" si="44">TRUNC(G184*(1+$J$6),2)</f>
        <v>81.72</v>
      </c>
      <c r="J184" s="1612">
        <f t="shared" ref="J184:J195" si="45">TRUNC(H184*I184,2)</f>
        <v>65539.44</v>
      </c>
      <c r="K184" s="2078">
        <f t="shared" ca="1" si="41"/>
        <v>4.8907628851151972E-3</v>
      </c>
      <c r="L184" s="1574">
        <f t="shared" ca="1" si="42"/>
        <v>5.7812883923854114E-2</v>
      </c>
      <c r="M184" s="1448"/>
      <c r="N184" s="1818">
        <f ca="1">SUMPRODUCT(Dren_Quantificacao!D3:BH3,Dren_Quantificacao!D4:BH4)</f>
        <v>2926.87</v>
      </c>
      <c r="O184" s="1819"/>
      <c r="Q184" s="833"/>
      <c r="R184" s="833"/>
      <c r="S184" s="833"/>
      <c r="T184" s="833"/>
      <c r="U184" s="833"/>
      <c r="V184" s="833"/>
      <c r="W184" s="833"/>
      <c r="X184" s="833"/>
    </row>
    <row r="185" spans="1:24" s="813" customFormat="1" ht="39.950000000000003" customHeight="1" x14ac:dyDescent="0.15">
      <c r="A185" s="2081">
        <f t="shared" ca="1" si="43"/>
        <v>4.0199999999999996</v>
      </c>
      <c r="B185" s="834">
        <v>7791</v>
      </c>
      <c r="C185" s="2" t="str">
        <f>VLOOKUP($B185,[4]BOLETIM_SEL!$A:$H,2,0)</f>
        <v>SINAPI</v>
      </c>
      <c r="D185" s="315" t="str">
        <f>VLOOKUP($B185,[4]BOLETIM_SEL!$A:$H,4,0)</f>
        <v>Aquisição de tubo de concreto simples para aguas pluviais, classe PS-1, com encaixe ponta e bolsa, diâmetro nominal de 0,60 m (347 kg/m) - Aquisição</v>
      </c>
      <c r="E185" s="2230" t="s">
        <v>2647</v>
      </c>
      <c r="F185" s="2" t="str">
        <f>VLOOKUP($B185,[4]BOLETIM_SEL!$A:$H,6,0)</f>
        <v xml:space="preserve">M     </v>
      </c>
      <c r="G185" s="1407">
        <f>VLOOKUP($B185,[4]BOLETIM_SEL!$A:$H,7,0)</f>
        <v>126.32</v>
      </c>
      <c r="H185" s="1611">
        <f ca="1">Dre_Disp_Estruturais!BM11+Dre_Disp_Estruturais!BM12+Dre_Disp_Estruturais!BM14+Dre_Disp_Estruturais!BM15</f>
        <v>1034.6300000000001</v>
      </c>
      <c r="I185" s="2231">
        <f t="shared" si="44"/>
        <v>145.6</v>
      </c>
      <c r="J185" s="1612">
        <f t="shared" ca="1" si="45"/>
        <v>150642.12</v>
      </c>
      <c r="K185" s="2078">
        <f t="shared" ca="1" si="41"/>
        <v>1.1241397385010761E-2</v>
      </c>
      <c r="L185" s="1574">
        <f t="shared" ca="1" si="42"/>
        <v>0.13288266420346742</v>
      </c>
      <c r="M185" s="1448"/>
      <c r="N185" s="1818">
        <f ca="1">SUM(H184:H195)</f>
        <v>2926.8700000000003</v>
      </c>
      <c r="O185" s="1819"/>
      <c r="Q185" s="833"/>
      <c r="R185" s="833"/>
      <c r="S185" s="833"/>
      <c r="T185" s="833"/>
      <c r="U185" s="833"/>
      <c r="V185" s="833"/>
      <c r="W185" s="833"/>
      <c r="X185" s="833"/>
    </row>
    <row r="186" spans="1:24" s="813" customFormat="1" ht="39.950000000000003" hidden="1" customHeight="1" x14ac:dyDescent="0.15">
      <c r="A186" s="2081">
        <f t="shared" ca="1" si="43"/>
        <v>4.0199999999999996</v>
      </c>
      <c r="B186" s="834">
        <v>7725</v>
      </c>
      <c r="C186" s="2" t="str">
        <f>VLOOKUP($B186,[4]BOLETIM_SEL!$A:$H,2,0)</f>
        <v>SINAPI</v>
      </c>
      <c r="D186" s="315" t="str">
        <f>VLOOKUP($B186,[4]BOLETIM_SEL!$A:$H,4,0)</f>
        <v>Aquisição de tubo de concreto armado para aguas pluviais, classe PA-1, com encaixe ponta e bolsa, diâmetro nominal de 0,60 m (360 kg/m) - Aquisição</v>
      </c>
      <c r="E186" s="2230" t="s">
        <v>2647</v>
      </c>
      <c r="F186" s="2" t="str">
        <f>VLOOKUP($B186,[4]BOLETIM_SEL!$A:$H,6,0)</f>
        <v xml:space="preserve">M     </v>
      </c>
      <c r="G186" s="1407">
        <f>VLOOKUP($B186,[4]BOLETIM_SEL!$A:$H,7,0)</f>
        <v>247</v>
      </c>
      <c r="H186" s="1611">
        <f ca="1">Dre_Disp_Estruturais!BM16+Dre_Disp_Estruturais!BM21</f>
        <v>0</v>
      </c>
      <c r="I186" s="2231">
        <f t="shared" si="44"/>
        <v>284.70999999999998</v>
      </c>
      <c r="J186" s="1612">
        <f t="shared" ca="1" si="45"/>
        <v>0</v>
      </c>
      <c r="K186" s="2078">
        <f t="shared" ca="1" si="41"/>
        <v>0</v>
      </c>
      <c r="L186" s="1574">
        <f t="shared" ca="1" si="42"/>
        <v>0</v>
      </c>
      <c r="M186" s="1448"/>
      <c r="N186" s="1818">
        <f ca="1">SUM(H208:H216)</f>
        <v>0</v>
      </c>
      <c r="O186" s="1818">
        <f ca="1">SUM(H217:H234)</f>
        <v>0</v>
      </c>
      <c r="Q186" s="833"/>
      <c r="R186" s="833"/>
      <c r="S186" s="833"/>
      <c r="T186" s="833"/>
      <c r="U186" s="833"/>
      <c r="V186" s="833"/>
      <c r="W186" s="833"/>
      <c r="X186" s="833"/>
    </row>
    <row r="187" spans="1:24" s="813" customFormat="1" ht="39.950000000000003" customHeight="1" x14ac:dyDescent="0.15">
      <c r="A187" s="2081">
        <f t="shared" ca="1" si="43"/>
        <v>4.0299999999999994</v>
      </c>
      <c r="B187" s="834">
        <v>7750</v>
      </c>
      <c r="C187" s="2" t="str">
        <f>VLOOKUP($B187,[4]BOLETIM_SEL!$A:$H,2,0)</f>
        <v>SINAPI</v>
      </c>
      <c r="D187" s="315" t="str">
        <f>VLOOKUP($B187,[4]BOLETIM_SEL!$A:$H,4,0)</f>
        <v>Tubo de concreto armado para aguas pluviais, classe PA-1, com encaixe ponta e bolsa, diâmetro nominal de 0,80 m (533,00 kg/m) - Aquisição</v>
      </c>
      <c r="E187" s="2230" t="s">
        <v>2647</v>
      </c>
      <c r="F187" s="2" t="str">
        <f>VLOOKUP($B187,[4]BOLETIM_SEL!$A:$H,6,0)</f>
        <v xml:space="preserve">M     </v>
      </c>
      <c r="G187" s="1407">
        <f>VLOOKUP($B187,[4]BOLETIM_SEL!$A:$H,7,0)</f>
        <v>410.97</v>
      </c>
      <c r="H187" s="1611">
        <f ca="1">Dre_Disp_Estruturais!BM17+Dre_Disp_Estruturais!BM22</f>
        <v>504.57</v>
      </c>
      <c r="I187" s="2231">
        <f t="shared" si="44"/>
        <v>473.72</v>
      </c>
      <c r="J187" s="1612">
        <f t="shared" ca="1" si="45"/>
        <v>239024.9</v>
      </c>
      <c r="K187" s="2078">
        <f t="shared" ca="1" si="41"/>
        <v>1.783680345053866E-2</v>
      </c>
      <c r="L187" s="1574">
        <f t="shared" ca="1" si="42"/>
        <v>0.21084584791403216</v>
      </c>
      <c r="M187" s="1448"/>
      <c r="N187" s="1818">
        <f ca="1">SUM(H235:H241)</f>
        <v>0</v>
      </c>
      <c r="O187" s="1819"/>
      <c r="Q187" s="833"/>
      <c r="R187" s="833"/>
      <c r="S187" s="833"/>
      <c r="T187" s="833"/>
      <c r="U187" s="833"/>
      <c r="V187" s="833"/>
      <c r="W187" s="833"/>
      <c r="X187" s="833"/>
    </row>
    <row r="188" spans="1:24" s="813" customFormat="1" ht="39.950000000000003" customHeight="1" x14ac:dyDescent="0.15">
      <c r="A188" s="2081">
        <f t="shared" ca="1" si="43"/>
        <v>4.0399999999999991</v>
      </c>
      <c r="B188" s="834">
        <v>7753</v>
      </c>
      <c r="C188" s="2" t="str">
        <f>VLOOKUP($B188,[4]BOLETIM_SEL!$A:$H,2,0)</f>
        <v>SINAPI</v>
      </c>
      <c r="D188" s="315" t="str">
        <f>VLOOKUP($B188,[4]BOLETIM_SEL!$A:$H,4,0)</f>
        <v>Tubo de concreto armado para aguas pluviais, classe PA-1, com encaixe ponta e bolsa, diâmetro nominal de 1,00 m (800,00 kg/m) - Aquisição</v>
      </c>
      <c r="E188" s="2230" t="s">
        <v>2647</v>
      </c>
      <c r="F188" s="2" t="str">
        <f>VLOOKUP($B188,[4]BOLETIM_SEL!$A:$H,6,0)</f>
        <v xml:space="preserve">M     </v>
      </c>
      <c r="G188" s="1407">
        <f>VLOOKUP($B188,[4]BOLETIM_SEL!$A:$H,7,0)</f>
        <v>481.54</v>
      </c>
      <c r="H188" s="1611">
        <f ca="1">Dre_Disp_Estruturais!BM18+Dre_Disp_Estruturais!BM23</f>
        <v>585.66999999999996</v>
      </c>
      <c r="I188" s="2231">
        <f t="shared" si="44"/>
        <v>555.07000000000005</v>
      </c>
      <c r="J188" s="1612">
        <f t="shared" ca="1" si="45"/>
        <v>325087.84000000003</v>
      </c>
      <c r="K188" s="2078">
        <f t="shared" ca="1" si="41"/>
        <v>2.4259095626606934E-2</v>
      </c>
      <c r="L188" s="1574">
        <f t="shared" ca="1" si="42"/>
        <v>0.28676268150866807</v>
      </c>
      <c r="M188" s="1448"/>
      <c r="N188" s="842"/>
      <c r="O188" s="833"/>
      <c r="Q188" s="833"/>
      <c r="R188" s="833"/>
      <c r="S188" s="833"/>
      <c r="T188" s="833"/>
      <c r="U188" s="833"/>
      <c r="V188" s="833"/>
      <c r="W188" s="833"/>
      <c r="X188" s="833"/>
    </row>
    <row r="189" spans="1:24" s="813" customFormat="1" ht="39.950000000000003" hidden="1" customHeight="1" x14ac:dyDescent="0.15">
      <c r="A189" s="2081">
        <f t="shared" ca="1" si="43"/>
        <v>4.0399999999999991</v>
      </c>
      <c r="B189" s="834">
        <v>7757</v>
      </c>
      <c r="C189" s="2" t="str">
        <f>VLOOKUP($B189,[4]BOLETIM_SEL!$A:$H,2,0)</f>
        <v>SINAPI</v>
      </c>
      <c r="D189" s="315" t="str">
        <f>VLOOKUP($B189,[4]BOLETIM_SEL!$A:$H,4,0)</f>
        <v>Tubo de concreto armado para aguas pluviais, classe PA-1, com encaixe ponta e bolsa, diâmetro nominal de 1,20 m (1.133,00 kg/m) - Aquisição</v>
      </c>
      <c r="E189" s="2230" t="s">
        <v>2647</v>
      </c>
      <c r="F189" s="2" t="str">
        <f>VLOOKUP($B189,[4]BOLETIM_SEL!$A:$H,6,0)</f>
        <v xml:space="preserve">M     </v>
      </c>
      <c r="G189" s="1407">
        <f>VLOOKUP($B189,[4]BOLETIM_SEL!$A:$H,7,0)</f>
        <v>719.2</v>
      </c>
      <c r="H189" s="1611">
        <f ca="1">Dre_Disp_Estruturais!BM19+Dre_Disp_Estruturais!BM24</f>
        <v>0</v>
      </c>
      <c r="I189" s="2231">
        <f t="shared" si="44"/>
        <v>829.02</v>
      </c>
      <c r="J189" s="1612">
        <f t="shared" ca="1" si="45"/>
        <v>0</v>
      </c>
      <c r="K189" s="2078">
        <f t="shared" ca="1" si="41"/>
        <v>0</v>
      </c>
      <c r="L189" s="1574">
        <f t="shared" ca="1" si="42"/>
        <v>0</v>
      </c>
      <c r="M189" s="1448"/>
      <c r="N189" s="1816"/>
      <c r="O189" s="833"/>
      <c r="Q189" s="833"/>
      <c r="R189" s="833"/>
      <c r="S189" s="833"/>
      <c r="T189" s="833"/>
      <c r="U189" s="833"/>
      <c r="V189" s="833"/>
      <c r="W189" s="833"/>
      <c r="X189" s="833"/>
    </row>
    <row r="190" spans="1:24" s="813" customFormat="1" ht="39.950000000000003" hidden="1" customHeight="1" x14ac:dyDescent="0.15">
      <c r="A190" s="2081">
        <f t="shared" ca="1" si="43"/>
        <v>4.0399999999999991</v>
      </c>
      <c r="B190" s="834">
        <v>7758</v>
      </c>
      <c r="C190" s="2" t="str">
        <f>VLOOKUP($B190,[4]BOLETIM_SEL!$A:$H,2,0)</f>
        <v>SINAPI</v>
      </c>
      <c r="D190" s="315" t="str">
        <f>VLOOKUP($B190,[4]BOLETIM_SEL!$A:$H,4,0)</f>
        <v>Tubo de concreto armado para aguas pluviais, classe PA-1, com encaixe ponta e bolsa, diâmetro nominal de 1,50 m (1.933,00 kg/m) - Aquisição</v>
      </c>
      <c r="E190" s="2230" t="s">
        <v>2647</v>
      </c>
      <c r="F190" s="2" t="str">
        <f>VLOOKUP($B190,[4]BOLETIM_SEL!$A:$H,6,0)</f>
        <v xml:space="preserve">M     </v>
      </c>
      <c r="G190" s="1407">
        <f>VLOOKUP($B190,[4]BOLETIM_SEL!$A:$H,7,0)</f>
        <v>1041.96</v>
      </c>
      <c r="H190" s="1611">
        <f ca="1">Dre_Disp_Estruturais!BM20+Dre_Disp_Estruturais!BM25</f>
        <v>0</v>
      </c>
      <c r="I190" s="2231">
        <f t="shared" si="44"/>
        <v>1201.06</v>
      </c>
      <c r="J190" s="1612">
        <f t="shared" ca="1" si="45"/>
        <v>0</v>
      </c>
      <c r="K190" s="2078">
        <f t="shared" ca="1" si="41"/>
        <v>0</v>
      </c>
      <c r="L190" s="1574">
        <f t="shared" ca="1" si="42"/>
        <v>0</v>
      </c>
      <c r="M190" s="1448"/>
      <c r="N190" s="833"/>
      <c r="O190" s="833"/>
      <c r="Q190" s="833"/>
      <c r="R190" s="833"/>
      <c r="S190" s="833"/>
      <c r="T190" s="833"/>
      <c r="U190" s="833"/>
      <c r="V190" s="833"/>
      <c r="W190" s="833"/>
      <c r="X190" s="833"/>
    </row>
    <row r="191" spans="1:24" s="813" customFormat="1" ht="39.950000000000003" hidden="1" customHeight="1" x14ac:dyDescent="0.15">
      <c r="A191" s="2081">
        <f t="shared" ca="1" si="43"/>
        <v>4.0399999999999991</v>
      </c>
      <c r="B191" s="834">
        <v>7762</v>
      </c>
      <c r="C191" s="2" t="str">
        <f>VLOOKUP($B191,[4]BOLETIM_SEL!$A:$H,2,0)</f>
        <v>SINAPI</v>
      </c>
      <c r="D191" s="315" t="str">
        <f>VLOOKUP($B191,[4]BOLETIM_SEL!$A:$H,4,0)</f>
        <v>Tubo de concreto armado para aguas pluviais, classe PA-2, com encaixe ponta e bolsa, diâmetro nominal de 0,60 m (373,00 kg/m) - Aquisição</v>
      </c>
      <c r="E191" s="2230" t="s">
        <v>2647</v>
      </c>
      <c r="F191" s="2" t="str">
        <f>VLOOKUP($B191,[4]BOLETIM_SEL!$A:$H,6,0)</f>
        <v xml:space="preserve">M     </v>
      </c>
      <c r="G191" s="1407">
        <f>VLOOKUP($B191,[4]BOLETIM_SEL!$A:$H,7,0)</f>
        <v>214.3</v>
      </c>
      <c r="H191" s="1611">
        <f ca="1">Dre_Disp_Estruturais!BM26+Dre_Disp_Estruturais!BM31</f>
        <v>0</v>
      </c>
      <c r="I191" s="2231">
        <f t="shared" si="44"/>
        <v>247.02</v>
      </c>
      <c r="J191" s="1612">
        <f t="shared" ca="1" si="45"/>
        <v>0</v>
      </c>
      <c r="K191" s="2078">
        <f t="shared" ca="1" si="41"/>
        <v>0</v>
      </c>
      <c r="L191" s="1574">
        <f t="shared" ca="1" si="42"/>
        <v>0</v>
      </c>
      <c r="M191" s="1448"/>
      <c r="N191" s="833"/>
      <c r="O191" s="833"/>
      <c r="Q191" s="833"/>
      <c r="R191" s="833"/>
      <c r="S191" s="833"/>
      <c r="T191" s="833"/>
      <c r="U191" s="833"/>
      <c r="V191" s="833"/>
      <c r="W191" s="833"/>
      <c r="X191" s="833"/>
    </row>
    <row r="192" spans="1:24" s="813" customFormat="1" ht="39.950000000000003" hidden="1" customHeight="1" x14ac:dyDescent="0.15">
      <c r="A192" s="2081">
        <f t="shared" ca="1" si="43"/>
        <v>4.0399999999999991</v>
      </c>
      <c r="B192" s="834">
        <v>7763</v>
      </c>
      <c r="C192" s="2" t="str">
        <f>VLOOKUP($B192,[4]BOLETIM_SEL!$A:$H,2,0)</f>
        <v>SINAPI</v>
      </c>
      <c r="D192" s="315" t="str">
        <f>VLOOKUP($B192,[4]BOLETIM_SEL!$A:$H,4,0)</f>
        <v>Tubo de concreto armado para aguas pluviais, classe PA-2, com encaixe ponta e bolsa, diâmetro nominal de 0,80 m (620,00 kg/m) - Aquisição</v>
      </c>
      <c r="E192" s="2230" t="s">
        <v>2647</v>
      </c>
      <c r="F192" s="2" t="str">
        <f>VLOOKUP($B192,[4]BOLETIM_SEL!$A:$H,6,0)</f>
        <v xml:space="preserve">M     </v>
      </c>
      <c r="G192" s="1407">
        <f>VLOOKUP($B192,[4]BOLETIM_SEL!$A:$H,7,0)</f>
        <v>399.55</v>
      </c>
      <c r="H192" s="1611">
        <f ca="1">Dre_Disp_Estruturais!BM27+Dre_Disp_Estruturais!BM32</f>
        <v>0</v>
      </c>
      <c r="I192" s="2231">
        <f t="shared" si="44"/>
        <v>460.56</v>
      </c>
      <c r="J192" s="1612">
        <f t="shared" ca="1" si="45"/>
        <v>0</v>
      </c>
      <c r="K192" s="2078">
        <f t="shared" ca="1" si="41"/>
        <v>0</v>
      </c>
      <c r="L192" s="1574">
        <f t="shared" ca="1" si="42"/>
        <v>0</v>
      </c>
      <c r="M192" s="1448"/>
      <c r="N192" s="833"/>
      <c r="O192" s="833"/>
      <c r="Q192" s="833"/>
      <c r="R192" s="833"/>
      <c r="S192" s="833"/>
      <c r="T192" s="833"/>
      <c r="U192" s="833"/>
      <c r="V192" s="833"/>
      <c r="W192" s="833"/>
      <c r="X192" s="833"/>
    </row>
    <row r="193" spans="1:24" s="813" customFormat="1" ht="39.950000000000003" hidden="1" customHeight="1" x14ac:dyDescent="0.15">
      <c r="A193" s="2081">
        <f t="shared" ca="1" si="43"/>
        <v>4.0399999999999991</v>
      </c>
      <c r="B193" s="834">
        <v>7765</v>
      </c>
      <c r="C193" s="2" t="str">
        <f>VLOOKUP($B193,[4]BOLETIM_SEL!$A:$H,2,0)</f>
        <v>SINAPI</v>
      </c>
      <c r="D193" s="315" t="str">
        <f>VLOOKUP($B193,[4]BOLETIM_SEL!$A:$H,4,0)</f>
        <v>Tubo de concreto armado para aguas pluviais, classe PA-2, com encaixe ponta e bolsa, diâmetro nominal de 1,00 m (900,00 kg/m) - Aquisição</v>
      </c>
      <c r="E193" s="2230" t="s">
        <v>2647</v>
      </c>
      <c r="F193" s="2" t="str">
        <f>VLOOKUP($B193,[4]BOLETIM_SEL!$A:$H,6,0)</f>
        <v xml:space="preserve">M     </v>
      </c>
      <c r="G193" s="1407">
        <f>VLOOKUP($B193,[4]BOLETIM_SEL!$A:$H,7,0)</f>
        <v>529.28</v>
      </c>
      <c r="H193" s="1611">
        <f ca="1">Dre_Disp_Estruturais!BM28+Dre_Disp_Estruturais!BM33</f>
        <v>0</v>
      </c>
      <c r="I193" s="2231">
        <f t="shared" si="44"/>
        <v>610.1</v>
      </c>
      <c r="J193" s="1612">
        <f t="shared" ca="1" si="45"/>
        <v>0</v>
      </c>
      <c r="K193" s="2078">
        <f t="shared" ca="1" si="41"/>
        <v>0</v>
      </c>
      <c r="L193" s="1574">
        <f t="shared" ca="1" si="42"/>
        <v>0</v>
      </c>
      <c r="M193" s="1448"/>
      <c r="N193" s="833"/>
      <c r="O193" s="833"/>
      <c r="Q193" s="833"/>
      <c r="R193" s="833"/>
      <c r="S193" s="833"/>
      <c r="T193" s="833"/>
      <c r="U193" s="833"/>
      <c r="V193" s="833"/>
      <c r="W193" s="833"/>
      <c r="X193" s="833"/>
    </row>
    <row r="194" spans="1:24" s="813" customFormat="1" ht="39.950000000000003" hidden="1" customHeight="1" x14ac:dyDescent="0.15">
      <c r="A194" s="2081">
        <f t="shared" ca="1" si="43"/>
        <v>4.0399999999999991</v>
      </c>
      <c r="B194" s="834">
        <v>7766</v>
      </c>
      <c r="C194" s="2" t="str">
        <f>VLOOKUP($B194,[4]BOLETIM_SEL!$A:$H,2,0)</f>
        <v>SINAPI</v>
      </c>
      <c r="D194" s="315" t="str">
        <f>VLOOKUP($B194,[4]BOLETIM_SEL!$A:$H,4,0)</f>
        <v>Tubo de concreto armado para aguas pluviais, classe PA-2, com encaixe ponta e bolsa, diâmetro nominal de 1,20 m (1.333,00 kg/m) - Aquisição</v>
      </c>
      <c r="E194" s="2230" t="s">
        <v>2647</v>
      </c>
      <c r="F194" s="2" t="str">
        <f>VLOOKUP($B194,[4]BOLETIM_SEL!$A:$H,6,0)</f>
        <v xml:space="preserve">M     </v>
      </c>
      <c r="G194" s="1407">
        <f>VLOOKUP($B194,[4]BOLETIM_SEL!$A:$H,7,0)</f>
        <v>776.28</v>
      </c>
      <c r="H194" s="1611">
        <f ca="1">Dre_Disp_Estruturais!BM29+Dre_Disp_Estruturais!BM34</f>
        <v>0</v>
      </c>
      <c r="I194" s="2231">
        <f t="shared" si="44"/>
        <v>894.81</v>
      </c>
      <c r="J194" s="1612">
        <f t="shared" ca="1" si="45"/>
        <v>0</v>
      </c>
      <c r="K194" s="2078">
        <f t="shared" ca="1" si="41"/>
        <v>0</v>
      </c>
      <c r="L194" s="1574">
        <f t="shared" ca="1" si="42"/>
        <v>0</v>
      </c>
      <c r="M194" s="1448"/>
      <c r="N194" s="833"/>
      <c r="O194" s="833"/>
      <c r="Q194" s="833"/>
      <c r="R194" s="833"/>
      <c r="S194" s="833"/>
      <c r="T194" s="833"/>
      <c r="U194" s="833"/>
      <c r="V194" s="833"/>
      <c r="W194" s="833"/>
      <c r="X194" s="833"/>
    </row>
    <row r="195" spans="1:24" s="813" customFormat="1" ht="39.950000000000003" hidden="1" customHeight="1" x14ac:dyDescent="0.15">
      <c r="A195" s="2081">
        <f t="shared" ca="1" si="43"/>
        <v>4.0399999999999991</v>
      </c>
      <c r="B195" s="834">
        <v>7767</v>
      </c>
      <c r="C195" s="2" t="str">
        <f>VLOOKUP($B195,[4]BOLETIM_SEL!$A:$H,2,0)</f>
        <v>SINAPI</v>
      </c>
      <c r="D195" s="315" t="str">
        <f>VLOOKUP($B195,[4]BOLETIM_SEL!$A:$H,4,0)</f>
        <v>Tubo de concreto armado para aguas pluviais, classe PA-2, com encaixe ponta e bolsa, diâmetro nominal de 1,50 m (2.253,00 kg/m) - Aquisição</v>
      </c>
      <c r="E195" s="2230" t="s">
        <v>2647</v>
      </c>
      <c r="F195" s="2" t="str">
        <f>VLOOKUP($B195,[4]BOLETIM_SEL!$A:$H,6,0)</f>
        <v xml:space="preserve">M     </v>
      </c>
      <c r="G195" s="1407">
        <f>VLOOKUP($B195,[4]BOLETIM_SEL!$A:$H,7,0)</f>
        <v>1114.6099999999999</v>
      </c>
      <c r="H195" s="1611">
        <f ca="1">Dre_Disp_Estruturais!BM30+Dre_Disp_Estruturais!BM35</f>
        <v>0</v>
      </c>
      <c r="I195" s="2231">
        <f t="shared" si="44"/>
        <v>1284.81</v>
      </c>
      <c r="J195" s="1612">
        <f t="shared" ca="1" si="45"/>
        <v>0</v>
      </c>
      <c r="K195" s="2078">
        <f t="shared" ca="1" si="41"/>
        <v>0</v>
      </c>
      <c r="L195" s="1574">
        <f t="shared" ca="1" si="42"/>
        <v>0</v>
      </c>
      <c r="M195" s="1448"/>
      <c r="N195" s="1655" t="s">
        <v>1962</v>
      </c>
      <c r="O195" s="1655" t="s">
        <v>1988</v>
      </c>
      <c r="Q195" s="833"/>
      <c r="R195" s="833"/>
      <c r="S195" s="833"/>
      <c r="T195" s="833"/>
      <c r="U195" s="833"/>
      <c r="V195" s="833"/>
      <c r="W195" s="833"/>
      <c r="X195" s="833"/>
    </row>
    <row r="196" spans="1:24" s="813" customFormat="1" ht="39.950000000000003" customHeight="1" x14ac:dyDescent="0.15">
      <c r="A196" s="2081">
        <f t="shared" ca="1" si="43"/>
        <v>4.0499999999999989</v>
      </c>
      <c r="B196" s="834">
        <v>92821</v>
      </c>
      <c r="C196" s="2" t="str">
        <f>VLOOKUP($B196,[4]BOLETIM_SEL!$A:$H,2,0)</f>
        <v>SINAPI</v>
      </c>
      <c r="D196" s="315" t="str">
        <f>VLOOKUP($B196,[4]BOLETIM_SEL!$A:$H,4,0)</f>
        <v>Assentamento de tubo de concreto para redes coletoras de águas pluviais, diâmetro nominal de 0,40 m, junta rígida em argamassa 1:3 cimento:areia, instalado em local com alto nível de interferências (não inclui fornecimento). AF_12/2015</v>
      </c>
      <c r="E196" s="2"/>
      <c r="F196" s="2" t="str">
        <f>VLOOKUP($B196,[4]BOLETIM_SEL!$A:$H,6,0)</f>
        <v>M</v>
      </c>
      <c r="G196" s="1407">
        <f>VLOOKUP($B196,[4]BOLETIM_SEL!$A:$H,7,0)</f>
        <v>61.46</v>
      </c>
      <c r="H196" s="1611">
        <f>Dre_Disp_Estruturais!BM10</f>
        <v>802</v>
      </c>
      <c r="I196" s="877">
        <f t="shared" ref="I196:I207" si="46">TRUNC(G196*(1+$J$5),2)</f>
        <v>74.180000000000007</v>
      </c>
      <c r="J196" s="1612">
        <f t="shared" ref="J196:J254" si="47">TRUNC(H196*I196,2)</f>
        <v>59492.36</v>
      </c>
      <c r="K196" s="2078">
        <f t="shared" ca="1" si="41"/>
        <v>4.4395104113784303E-3</v>
      </c>
      <c r="L196" s="1574">
        <f t="shared" ca="1" si="42"/>
        <v>5.2478704472240553E-2</v>
      </c>
      <c r="M196" s="1448"/>
      <c r="N196" s="1651">
        <v>4</v>
      </c>
      <c r="O196" s="1656">
        <f t="shared" ref="O196:O201" si="48">H196/N196</f>
        <v>200.5</v>
      </c>
      <c r="Q196" s="833"/>
      <c r="R196" s="833"/>
      <c r="S196" s="833"/>
      <c r="T196" s="833"/>
      <c r="U196" s="833"/>
      <c r="V196" s="833"/>
      <c r="W196" s="833"/>
      <c r="X196" s="833"/>
    </row>
    <row r="197" spans="1:24" s="813" customFormat="1" ht="39.950000000000003" customHeight="1" x14ac:dyDescent="0.15">
      <c r="A197" s="2081">
        <f t="shared" ca="1" si="43"/>
        <v>4.0599999999999987</v>
      </c>
      <c r="B197" s="834">
        <v>92824</v>
      </c>
      <c r="C197" s="2" t="str">
        <f>VLOOKUP($B197,[4]BOLETIM_SEL!$A:$H,2,0)</f>
        <v>SINAPI</v>
      </c>
      <c r="D197" s="315" t="str">
        <f>VLOOKUP($B197,[4]BOLETIM_SEL!$A:$H,4,0)</f>
        <v>Assentamento de tubo de concreto para redes coletoras de águas pluviais, diâmetro nominal de 0,60 m, junta rígida em argamassa 1:3 cimento:areia, instalado em local com alto nível de interferências (não inclui fornecimento). AF_12/2015</v>
      </c>
      <c r="E197" s="2"/>
      <c r="F197" s="2" t="str">
        <f>VLOOKUP($B197,[4]BOLETIM_SEL!$A:$H,6,0)</f>
        <v>M</v>
      </c>
      <c r="G197" s="1407">
        <f>VLOOKUP($B197,[4]BOLETIM_SEL!$A:$H,7,0)</f>
        <v>89.15</v>
      </c>
      <c r="H197" s="1611">
        <f ca="1">Dre_Disp_Estruturais!BM11+Dre_Disp_Estruturais!BM12+Dre_Disp_Estruturais!BM16+Dre_Disp_Estruturais!BM26</f>
        <v>1034.6300000000001</v>
      </c>
      <c r="I197" s="877">
        <f t="shared" si="46"/>
        <v>107.6</v>
      </c>
      <c r="J197" s="1612">
        <f ca="1">TRUNC(H197*I197,2)</f>
        <v>111326.18</v>
      </c>
      <c r="K197" s="2078">
        <f t="shared" ca="1" si="41"/>
        <v>8.3075160435556617E-3</v>
      </c>
      <c r="L197" s="1574">
        <f t="shared" ca="1" si="42"/>
        <v>9.8201747253655033E-2</v>
      </c>
      <c r="M197" s="1448"/>
      <c r="N197" s="1651">
        <v>3</v>
      </c>
      <c r="O197" s="1656">
        <f t="shared" ca="1" si="48"/>
        <v>344.87666666666672</v>
      </c>
      <c r="Q197" s="833"/>
      <c r="R197" s="833"/>
      <c r="S197" s="833"/>
      <c r="T197" s="833"/>
      <c r="U197" s="833"/>
      <c r="V197" s="833"/>
      <c r="W197" s="833"/>
      <c r="X197" s="833"/>
    </row>
    <row r="198" spans="1:24" s="813" customFormat="1" ht="39.950000000000003" customHeight="1" x14ac:dyDescent="0.15">
      <c r="A198" s="2081">
        <f t="shared" ca="1" si="43"/>
        <v>4.0699999999999985</v>
      </c>
      <c r="B198" s="834">
        <v>92826</v>
      </c>
      <c r="C198" s="2" t="str">
        <f>VLOOKUP($B198,[4]BOLETIM_SEL!$A:$H,2,0)</f>
        <v>SINAPI</v>
      </c>
      <c r="D198" s="315" t="str">
        <f>VLOOKUP($B198,[4]BOLETIM_SEL!$A:$H,4,0)</f>
        <v>Assentamento de tubo de concreto para redes coletoras de águas pluviais, diâmetro nominal de 0,80 m, junta rígida em argamassa 1:3 cimento:areia, instalado em local com alto nível de interferências (não inclui fornecimento). AF_12/2015</v>
      </c>
      <c r="E198" s="2"/>
      <c r="F198" s="2" t="str">
        <f>VLOOKUP($B198,[4]BOLETIM_SEL!$A:$H,6,0)</f>
        <v>M</v>
      </c>
      <c r="G198" s="1407">
        <f>VLOOKUP($B198,[4]BOLETIM_SEL!$A:$H,7,0)</f>
        <v>119.32</v>
      </c>
      <c r="H198" s="1611">
        <f ca="1">Dre_Disp_Estruturais!BM17+Dre_Disp_Estruturais!BM27</f>
        <v>504.57</v>
      </c>
      <c r="I198" s="877">
        <f t="shared" si="46"/>
        <v>144.01</v>
      </c>
      <c r="J198" s="1612">
        <f ca="1">TRUNC(H198*I198,2)</f>
        <v>72663.12</v>
      </c>
      <c r="K198" s="2078">
        <f t="shared" ca="1" si="41"/>
        <v>5.4223546983720294E-3</v>
      </c>
      <c r="L198" s="1574">
        <f t="shared" ca="1" si="42"/>
        <v>6.409674116997463E-2</v>
      </c>
      <c r="M198" s="1448"/>
      <c r="N198" s="1651">
        <v>2</v>
      </c>
      <c r="O198" s="1656">
        <f t="shared" ca="1" si="48"/>
        <v>252.285</v>
      </c>
      <c r="Q198" s="833"/>
      <c r="R198" s="833"/>
      <c r="S198" s="833"/>
      <c r="T198" s="833"/>
      <c r="U198" s="833"/>
      <c r="V198" s="833"/>
      <c r="W198" s="833"/>
      <c r="X198" s="833"/>
    </row>
    <row r="199" spans="1:24" s="813" customFormat="1" ht="39.950000000000003" customHeight="1" x14ac:dyDescent="0.15">
      <c r="A199" s="2081">
        <f t="shared" ca="1" si="43"/>
        <v>4.0799999999999983</v>
      </c>
      <c r="B199" s="834">
        <v>92828</v>
      </c>
      <c r="C199" s="2" t="str">
        <f>VLOOKUP($B199,[4]BOLETIM_SEL!$A:$H,2,0)</f>
        <v>SINAPI</v>
      </c>
      <c r="D199" s="315" t="str">
        <f>VLOOKUP($B199,[4]BOLETIM_SEL!$A:$H,4,0)</f>
        <v>Assentamento de tubo de concreto para redes coletoras de águas pluviais, diâmetro nominal de 1,00 m, junta rígida em argamassa 1:3 cimento:areia, instalado em local com alto nível de interferências (não inclui fornecimento). AF_12/2015</v>
      </c>
      <c r="E199" s="2"/>
      <c r="F199" s="2" t="str">
        <f>VLOOKUP($B199,[4]BOLETIM_SEL!$A:$H,6,0)</f>
        <v>M</v>
      </c>
      <c r="G199" s="1407">
        <f>VLOOKUP($B199,[4]BOLETIM_SEL!$A:$H,7,0)</f>
        <v>155.43</v>
      </c>
      <c r="H199" s="1611">
        <f ca="1">Dre_Disp_Estruturais!BM18+Dre_Disp_Estruturais!BM28</f>
        <v>585.66999999999996</v>
      </c>
      <c r="I199" s="877">
        <f t="shared" si="46"/>
        <v>187.6</v>
      </c>
      <c r="J199" s="1612">
        <f ca="1">TRUNC(H199*I199,2)</f>
        <v>109871.69</v>
      </c>
      <c r="K199" s="2078">
        <f t="shared" ca="1" si="41"/>
        <v>8.198977342145166E-3</v>
      </c>
      <c r="L199" s="1574">
        <f t="shared" ca="1" si="42"/>
        <v>9.6918729554107921E-2</v>
      </c>
      <c r="M199" s="1448"/>
      <c r="N199" s="1651">
        <v>1.5</v>
      </c>
      <c r="O199" s="1656">
        <f t="shared" ca="1" si="48"/>
        <v>390.44666666666666</v>
      </c>
      <c r="Q199" s="833"/>
      <c r="R199" s="833"/>
      <c r="S199" s="833"/>
      <c r="T199" s="833"/>
      <c r="U199" s="833"/>
      <c r="V199" s="833"/>
      <c r="W199" s="833"/>
      <c r="X199" s="833"/>
    </row>
    <row r="200" spans="1:24" s="813" customFormat="1" ht="39.950000000000003" hidden="1" customHeight="1" x14ac:dyDescent="0.15">
      <c r="A200" s="2081">
        <f t="shared" ca="1" si="43"/>
        <v>4.0799999999999983</v>
      </c>
      <c r="B200" s="834">
        <v>92830</v>
      </c>
      <c r="C200" s="2" t="str">
        <f>VLOOKUP($B200,[4]BOLETIM_SEL!$A:$H,2,0)</f>
        <v>SINAPI</v>
      </c>
      <c r="D200" s="315" t="str">
        <f>VLOOKUP($B200,[4]BOLETIM_SEL!$A:$H,4,0)</f>
        <v>Assentamento de tubo de concreto para redes coletoras de águas pluviais, diâmetro nominal de 1,20 m, junta rígida em argamassa 1:3 cimento:areia, instalado em local com alto nível de interferências (não inclui fornecimento). AF_12/2015</v>
      </c>
      <c r="E200" s="2"/>
      <c r="F200" s="2" t="str">
        <f>VLOOKUP($B200,[4]BOLETIM_SEL!$A:$H,6,0)</f>
        <v>M</v>
      </c>
      <c r="G200" s="1407">
        <f>VLOOKUP($B200,[4]BOLETIM_SEL!$A:$H,7,0)</f>
        <v>192.8</v>
      </c>
      <c r="H200" s="1611">
        <f ca="1">Dre_Disp_Estruturais!BM19+Dre_Disp_Estruturais!BM29</f>
        <v>0</v>
      </c>
      <c r="I200" s="877">
        <f t="shared" si="46"/>
        <v>232.7</v>
      </c>
      <c r="J200" s="1612">
        <f ca="1">TRUNC(H200*I200,2)</f>
        <v>0</v>
      </c>
      <c r="K200" s="2078">
        <f t="shared" ca="1" si="41"/>
        <v>0</v>
      </c>
      <c r="L200" s="1574">
        <f t="shared" ca="1" si="42"/>
        <v>0</v>
      </c>
      <c r="M200" s="1448"/>
      <c r="N200" s="1651">
        <v>1.3</v>
      </c>
      <c r="O200" s="1656">
        <f t="shared" ca="1" si="48"/>
        <v>0</v>
      </c>
      <c r="Q200" s="833"/>
      <c r="R200" s="833"/>
      <c r="S200" s="833"/>
      <c r="T200" s="833"/>
      <c r="U200" s="833"/>
      <c r="V200" s="833"/>
      <c r="W200" s="833"/>
      <c r="X200" s="833"/>
    </row>
    <row r="201" spans="1:24" s="813" customFormat="1" ht="39.950000000000003" hidden="1" customHeight="1" x14ac:dyDescent="0.15">
      <c r="A201" s="2081">
        <f t="shared" ca="1" si="43"/>
        <v>4.0799999999999983</v>
      </c>
      <c r="B201" s="834">
        <v>92832</v>
      </c>
      <c r="C201" s="2" t="str">
        <f>VLOOKUP($B201,[4]BOLETIM_SEL!$A:$H,2,0)</f>
        <v>SINAPI</v>
      </c>
      <c r="D201" s="315" t="str">
        <f>VLOOKUP($B201,[4]BOLETIM_SEL!$A:$H,4,0)</f>
        <v>Assentamento de tubo de concreto para redes coletoras de águas pluviais, diâmetro nominal de 1,50 m, junta rígida em argamassa 1:3 cimento:areia, instalado em local com alto nível de interferências (não inclui fornecimento). AF_12/2015</v>
      </c>
      <c r="E201" s="2"/>
      <c r="F201" s="2" t="str">
        <f>VLOOKUP($B201,[4]BOLETIM_SEL!$A:$H,6,0)</f>
        <v>M</v>
      </c>
      <c r="G201" s="1407">
        <f>VLOOKUP($B201,[4]BOLETIM_SEL!$A:$H,7,0)</f>
        <v>256.3</v>
      </c>
      <c r="H201" s="1611">
        <f ca="1">Dre_Disp_Estruturais!BM20+Dre_Disp_Estruturais!BM30</f>
        <v>0</v>
      </c>
      <c r="I201" s="877">
        <f t="shared" si="46"/>
        <v>309.35000000000002</v>
      </c>
      <c r="J201" s="1612">
        <f ca="1">TRUNC(H201*I201,2)</f>
        <v>0</v>
      </c>
      <c r="K201" s="2078">
        <f t="shared" ca="1" si="41"/>
        <v>0</v>
      </c>
      <c r="L201" s="1574">
        <f t="shared" ca="1" si="42"/>
        <v>0</v>
      </c>
      <c r="M201" s="1448"/>
      <c r="N201" s="1651">
        <v>1</v>
      </c>
      <c r="O201" s="1656">
        <f t="shared" ca="1" si="48"/>
        <v>0</v>
      </c>
      <c r="Q201" s="833"/>
      <c r="R201" s="833"/>
      <c r="S201" s="833"/>
      <c r="T201" s="833"/>
      <c r="U201" s="833"/>
      <c r="V201" s="833"/>
      <c r="W201" s="833"/>
      <c r="X201" s="833"/>
    </row>
    <row r="202" spans="1:24" s="813" customFormat="1" ht="39.950000000000003" hidden="1" customHeight="1" x14ac:dyDescent="0.15">
      <c r="A202" s="2081">
        <f t="shared" ca="1" si="43"/>
        <v>4.0799999999999983</v>
      </c>
      <c r="B202" s="834">
        <v>92809</v>
      </c>
      <c r="C202" s="2" t="str">
        <f>VLOOKUP($B202,[4]BOLETIM_SEL!$A:$H,2,0)</f>
        <v>SINAPI</v>
      </c>
      <c r="D202" s="315" t="str">
        <f>VLOOKUP($B202,[4]BOLETIM_SEL!$A:$H,4,0)</f>
        <v>Assentamento de tubo de concreto para redes coletoras de águas pluviais, diâmetro nominal de 0,40 m, junta rígida em argamassa 1:3 cimento:areia, instalado em local com baixo nível de interferências (não inclui fornecimento). AF_12/2015</v>
      </c>
      <c r="E202" s="2"/>
      <c r="F202" s="2" t="str">
        <f>VLOOKUP($B202,[4]BOLETIM_SEL!$A:$H,6,0)</f>
        <v>M</v>
      </c>
      <c r="G202" s="1407">
        <f>VLOOKUP($B202,[4]BOLETIM_SEL!$A:$H,7,0)</f>
        <v>51.54</v>
      </c>
      <c r="H202" s="1611">
        <f>Dre_Disp_Estruturais!BM13</f>
        <v>0</v>
      </c>
      <c r="I202" s="877">
        <f t="shared" si="46"/>
        <v>62.2</v>
      </c>
      <c r="J202" s="1612">
        <f t="shared" si="47"/>
        <v>0</v>
      </c>
      <c r="K202" s="2078">
        <f t="shared" ca="1" si="41"/>
        <v>0</v>
      </c>
      <c r="L202" s="1574">
        <f t="shared" ca="1" si="42"/>
        <v>0</v>
      </c>
      <c r="M202" s="1448"/>
      <c r="N202" s="1651"/>
      <c r="O202" s="1656"/>
      <c r="Q202" s="833"/>
      <c r="R202" s="833"/>
      <c r="S202" s="833"/>
      <c r="T202" s="833"/>
      <c r="U202" s="833"/>
      <c r="V202" s="833"/>
      <c r="W202" s="833"/>
      <c r="X202" s="833"/>
    </row>
    <row r="203" spans="1:24" s="813" customFormat="1" ht="39.950000000000003" hidden="1" customHeight="1" x14ac:dyDescent="0.15">
      <c r="A203" s="2081">
        <f t="shared" ca="1" si="43"/>
        <v>4.0799999999999983</v>
      </c>
      <c r="B203" s="834">
        <v>92811</v>
      </c>
      <c r="C203" s="2" t="str">
        <f>VLOOKUP($B203,[4]BOLETIM_SEL!$A:$H,2,0)</f>
        <v>SINAPI</v>
      </c>
      <c r="D203" s="315" t="str">
        <f>VLOOKUP($B203,[4]BOLETIM_SEL!$A:$H,4,0)</f>
        <v>Assentamento de tubo de concreto para redes coletoras de águas pluviais, diâmetro nominal de 0,60 m, junta rígida em argamassa 1:3 cimento:areia, instalado em local com baixo nível de interferências (não inclui fornecimento). AF_12/2015</v>
      </c>
      <c r="E203" s="2"/>
      <c r="F203" s="2" t="str">
        <f>VLOOKUP($B203,[4]BOLETIM_SEL!$A:$H,6,0)</f>
        <v>M</v>
      </c>
      <c r="G203" s="1407">
        <f>VLOOKUP($B203,[4]BOLETIM_SEL!$A:$H,7,0)</f>
        <v>74.78</v>
      </c>
      <c r="H203" s="1611">
        <f ca="1">Dre_Disp_Estruturais!BM14+Dre_Disp_Estruturais!BM15+Dre_Disp_Estruturais!BM21+Dre_Disp_Estruturais!BM31</f>
        <v>0</v>
      </c>
      <c r="I203" s="877">
        <f t="shared" si="46"/>
        <v>90.25</v>
      </c>
      <c r="J203" s="1612">
        <f ca="1">TRUNC(H203*I203,2)</f>
        <v>0</v>
      </c>
      <c r="K203" s="2078">
        <f t="shared" ca="1" si="41"/>
        <v>0</v>
      </c>
      <c r="L203" s="1574">
        <f t="shared" ca="1" si="42"/>
        <v>0</v>
      </c>
      <c r="M203" s="1448"/>
      <c r="N203" s="1651"/>
      <c r="O203" s="1656"/>
      <c r="Q203" s="833"/>
      <c r="R203" s="833"/>
      <c r="S203" s="833"/>
      <c r="T203" s="833"/>
      <c r="U203" s="833"/>
      <c r="V203" s="833"/>
      <c r="W203" s="833"/>
      <c r="X203" s="833"/>
    </row>
    <row r="204" spans="1:24" s="813" customFormat="1" ht="39.950000000000003" hidden="1" customHeight="1" x14ac:dyDescent="0.15">
      <c r="A204" s="2081">
        <f t="shared" ca="1" si="43"/>
        <v>4.0799999999999983</v>
      </c>
      <c r="B204" s="834">
        <v>92813</v>
      </c>
      <c r="C204" s="2" t="str">
        <f>VLOOKUP($B204,[4]BOLETIM_SEL!$A:$H,2,0)</f>
        <v>SINAPI</v>
      </c>
      <c r="D204" s="315" t="str">
        <f>VLOOKUP($B204,[4]BOLETIM_SEL!$A:$H,4,0)</f>
        <v>Assentamento de tubo de concreto para redes coletoras de águas pluviais, diâmetro nominal de 0,80 m, junta rígida em argamassa 1:3 cimento:areia, instalado em local com baixo nível de interferências (não inclui fornecimento). AF_12/2015</v>
      </c>
      <c r="E204" s="2"/>
      <c r="F204" s="2" t="str">
        <f>VLOOKUP($B204,[4]BOLETIM_SEL!$A:$H,6,0)</f>
        <v>M</v>
      </c>
      <c r="G204" s="1407">
        <f>VLOOKUP($B204,[4]BOLETIM_SEL!$A:$H,7,0)</f>
        <v>100.63</v>
      </c>
      <c r="H204" s="1611">
        <f ca="1">Dre_Disp_Estruturais!BM22+Dre_Disp_Estruturais!BM32</f>
        <v>0</v>
      </c>
      <c r="I204" s="877">
        <f t="shared" si="46"/>
        <v>121.46</v>
      </c>
      <c r="J204" s="1612">
        <f ca="1">TRUNC(H204*I204,2)</f>
        <v>0</v>
      </c>
      <c r="K204" s="2078">
        <f t="shared" ca="1" si="41"/>
        <v>0</v>
      </c>
      <c r="L204" s="1574">
        <f t="shared" ca="1" si="42"/>
        <v>0</v>
      </c>
      <c r="M204" s="1448"/>
      <c r="N204" s="1651">
        <f>VLOOKUP($B204,[4]BOLETIM_SEL!$A:$H,5,0)</f>
        <v>0</v>
      </c>
      <c r="O204" s="1656"/>
      <c r="Q204" s="833"/>
      <c r="R204" s="833"/>
      <c r="S204" s="833"/>
      <c r="T204" s="833"/>
      <c r="U204" s="833"/>
      <c r="V204" s="833"/>
      <c r="W204" s="833"/>
      <c r="X204" s="833"/>
    </row>
    <row r="205" spans="1:24" s="813" customFormat="1" ht="39.950000000000003" hidden="1" customHeight="1" x14ac:dyDescent="0.15">
      <c r="A205" s="2081">
        <f t="shared" ca="1" si="43"/>
        <v>4.0799999999999983</v>
      </c>
      <c r="B205" s="834">
        <v>92815</v>
      </c>
      <c r="C205" s="2" t="str">
        <f>VLOOKUP($B205,[4]BOLETIM_SEL!$A:$H,2,0)</f>
        <v>SINAPI</v>
      </c>
      <c r="D205" s="315" t="str">
        <f>VLOOKUP($B205,[4]BOLETIM_SEL!$A:$H,4,0)</f>
        <v>Assentamento de tubo de concreto para redes coletoras de águas pluviais, diâmetro nominal de 1,00 m, junta rígida em argamassa 1:3 cimento:areia, instalado em local com baixo nível de interferências (não inclui fornecimento). AF_12/2015</v>
      </c>
      <c r="E205" s="2"/>
      <c r="F205" s="2" t="str">
        <f>VLOOKUP($B205,[4]BOLETIM_SEL!$A:$H,6,0)</f>
        <v>M</v>
      </c>
      <c r="G205" s="1407">
        <f>VLOOKUP($B205,[4]BOLETIM_SEL!$A:$H,7,0)</f>
        <v>132.21</v>
      </c>
      <c r="H205" s="1611">
        <f ca="1">Dre_Disp_Estruturais!BM23+Dre_Disp_Estruturais!BM33</f>
        <v>0</v>
      </c>
      <c r="I205" s="877">
        <f t="shared" si="46"/>
        <v>159.57</v>
      </c>
      <c r="J205" s="1612">
        <f ca="1">TRUNC(H205*I205,2)</f>
        <v>0</v>
      </c>
      <c r="K205" s="2078">
        <f t="shared" ca="1" si="41"/>
        <v>0</v>
      </c>
      <c r="L205" s="1574">
        <f t="shared" ca="1" si="42"/>
        <v>0</v>
      </c>
      <c r="M205" s="1448"/>
      <c r="N205" s="1651">
        <f>VLOOKUP($B205,[4]BOLETIM_SEL!$A:$H,5,0)</f>
        <v>0</v>
      </c>
      <c r="O205" s="1656"/>
      <c r="Q205" s="833"/>
      <c r="R205" s="833"/>
      <c r="S205" s="833"/>
      <c r="T205" s="833"/>
      <c r="U205" s="833"/>
      <c r="V205" s="833"/>
      <c r="W205" s="833"/>
      <c r="X205" s="833"/>
    </row>
    <row r="206" spans="1:24" s="813" customFormat="1" ht="39.950000000000003" hidden="1" customHeight="1" x14ac:dyDescent="0.15">
      <c r="A206" s="2081">
        <f t="shared" ca="1" si="43"/>
        <v>4.0799999999999983</v>
      </c>
      <c r="B206" s="834">
        <v>92817</v>
      </c>
      <c r="C206" s="2" t="str">
        <f>VLOOKUP($B206,[4]BOLETIM_SEL!$A:$H,2,0)</f>
        <v>SINAPI</v>
      </c>
      <c r="D206" s="315" t="str">
        <f>VLOOKUP($B206,[4]BOLETIM_SEL!$A:$H,4,0)</f>
        <v>Assentamento de tubo de concreto para redes coletoras de águas pluviais, diâmetro nominal de 1,20 m, junta rígida em argamassa 1:3 cimento:areia, instalado em local com baixo nível de interferências (não inclui fornecimento). AF_12/2015</v>
      </c>
      <c r="E206" s="2"/>
      <c r="F206" s="2" t="str">
        <f>VLOOKUP($B206,[4]BOLETIM_SEL!$A:$H,6,0)</f>
        <v>M</v>
      </c>
      <c r="G206" s="1407">
        <f>VLOOKUP($B206,[4]BOLETIM_SEL!$A:$H,7,0)</f>
        <v>165.44</v>
      </c>
      <c r="H206" s="1611">
        <f ca="1">Dre_Disp_Estruturais!BM24+Dre_Disp_Estruturais!BM34</f>
        <v>0</v>
      </c>
      <c r="I206" s="877">
        <f t="shared" si="46"/>
        <v>199.68</v>
      </c>
      <c r="J206" s="1612">
        <f ca="1">TRUNC(H206*I206,2)</f>
        <v>0</v>
      </c>
      <c r="K206" s="2078">
        <f t="shared" ca="1" si="41"/>
        <v>0</v>
      </c>
      <c r="L206" s="1574">
        <f t="shared" ca="1" si="42"/>
        <v>0</v>
      </c>
      <c r="M206" s="1448"/>
      <c r="N206" s="1651">
        <f>VLOOKUP($B206,[4]BOLETIM_SEL!$A:$H,5,0)</f>
        <v>0</v>
      </c>
      <c r="O206" s="1656"/>
      <c r="Q206" s="833"/>
      <c r="R206" s="833"/>
      <c r="S206" s="833"/>
      <c r="T206" s="833"/>
      <c r="U206" s="833"/>
      <c r="V206" s="833"/>
      <c r="W206" s="833"/>
      <c r="X206" s="833"/>
    </row>
    <row r="207" spans="1:24" s="813" customFormat="1" ht="39.950000000000003" hidden="1" customHeight="1" x14ac:dyDescent="0.15">
      <c r="A207" s="2081">
        <f t="shared" ca="1" si="43"/>
        <v>4.0799999999999983</v>
      </c>
      <c r="B207" s="834">
        <v>92819</v>
      </c>
      <c r="C207" s="2" t="str">
        <f>VLOOKUP($B207,[4]BOLETIM_SEL!$A:$H,2,0)</f>
        <v>SINAPI</v>
      </c>
      <c r="D207" s="315" t="str">
        <f>VLOOKUP($B207,[4]BOLETIM_SEL!$A:$H,4,0)</f>
        <v>Assentamento de tubo de concreto para redes coletoras de águas pluviais, diâmetro nominal de 1,50 m, junta rígida em argamassa 1:3 cimento:areia, instalado em local com baixo nível de interferências (não inclui fornecimento). AF_12/2015</v>
      </c>
      <c r="E207" s="2"/>
      <c r="F207" s="2" t="str">
        <f>VLOOKUP($B207,[4]BOLETIM_SEL!$A:$H,6,0)</f>
        <v>M</v>
      </c>
      <c r="G207" s="1407">
        <f>VLOOKUP($B207,[4]BOLETIM_SEL!$A:$H,7,0)</f>
        <v>222.69</v>
      </c>
      <c r="H207" s="1611">
        <f ca="1">Dre_Disp_Estruturais!BM25+Dre_Disp_Estruturais!BM35</f>
        <v>0</v>
      </c>
      <c r="I207" s="877">
        <f t="shared" si="46"/>
        <v>268.77999999999997</v>
      </c>
      <c r="J207" s="1612">
        <f ca="1">TRUNC(H207*I207,2)</f>
        <v>0</v>
      </c>
      <c r="K207" s="2078">
        <f t="shared" ca="1" si="41"/>
        <v>0</v>
      </c>
      <c r="L207" s="1574">
        <f t="shared" ca="1" si="42"/>
        <v>0</v>
      </c>
      <c r="M207" s="1448"/>
      <c r="N207" s="1651">
        <f>VLOOKUP($B207,[4]BOLETIM_SEL!$A:$H,5,0)</f>
        <v>0</v>
      </c>
      <c r="O207" s="1656"/>
      <c r="Q207" s="833"/>
      <c r="R207" s="833"/>
      <c r="S207" s="833"/>
      <c r="T207" s="833"/>
      <c r="U207" s="833"/>
      <c r="V207" s="833"/>
      <c r="W207" s="833"/>
      <c r="X207" s="833"/>
    </row>
    <row r="208" spans="1:24" s="813" customFormat="1" ht="50.1" hidden="1" customHeight="1" x14ac:dyDescent="0.15">
      <c r="A208" s="2081">
        <f t="shared" ca="1" si="43"/>
        <v>4.0799999999999983</v>
      </c>
      <c r="B208" s="834" t="s">
        <v>1713</v>
      </c>
      <c r="C208" s="2" t="str">
        <f>VLOOKUP($B208,[4]BOLETIM_SEL!$A:$H,2,0)</f>
        <v>COTAÇÃO - SICRO</v>
      </c>
      <c r="D208" s="315" t="str">
        <f>VLOOKUP($B208,[4]BOLETIM_SEL!$A:$H,4,0)</f>
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</c>
      <c r="E208" s="2230" t="s">
        <v>2647</v>
      </c>
      <c r="F208" s="2" t="str">
        <f>VLOOKUP($B208,[4]BOLETIM_SEL!$A:$H,6,0)</f>
        <v>m</v>
      </c>
      <c r="G208" s="1407">
        <f>VLOOKUP($B208,[4]BOLETIM_SEL!$A:$H,7,0)</f>
        <v>205.90530000000001</v>
      </c>
      <c r="H208" s="1611">
        <f t="shared" ref="H208" si="49">H217+H226</f>
        <v>0</v>
      </c>
      <c r="I208" s="2231">
        <f t="shared" ref="I208:I216" si="50">TRUNC(G208*(1+$J$6),2)</f>
        <v>237.34</v>
      </c>
      <c r="J208" s="1612">
        <f t="shared" si="47"/>
        <v>0</v>
      </c>
      <c r="K208" s="2078">
        <f t="shared" ca="1" si="41"/>
        <v>0</v>
      </c>
      <c r="L208" s="1574">
        <f t="shared" ca="1" si="42"/>
        <v>0</v>
      </c>
      <c r="M208" s="1584" t="str">
        <f>VLOOKUP($B208,[4]BOLETIM_SEL!$A:$H,5,0)</f>
        <v>M0131</v>
      </c>
      <c r="N208" s="833"/>
      <c r="O208" s="833"/>
      <c r="Q208" s="833"/>
      <c r="R208" s="833"/>
      <c r="S208" s="833"/>
      <c r="T208" s="833"/>
      <c r="U208" s="833"/>
      <c r="V208" s="833"/>
      <c r="W208" s="833"/>
      <c r="X208" s="833"/>
    </row>
    <row r="209" spans="1:24" s="813" customFormat="1" ht="50.1" hidden="1" customHeight="1" x14ac:dyDescent="0.15">
      <c r="A209" s="2081">
        <f t="shared" ca="1" si="43"/>
        <v>4.0799999999999983</v>
      </c>
      <c r="B209" s="834" t="s">
        <v>1000</v>
      </c>
      <c r="C209" s="2" t="str">
        <f>VLOOKUP($B209,[4]BOLETIM_SEL!$A:$H,2,0)</f>
        <v>COTAÇÃO - SICRO</v>
      </c>
      <c r="D209" s="315" t="str">
        <f>VLOOKUP($B209,[4]BOLETIM_SEL!$A:$H,4,0)</f>
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</c>
      <c r="E209" s="2230" t="s">
        <v>2647</v>
      </c>
      <c r="F209" s="2" t="str">
        <f>VLOOKUP($B209,[4]BOLETIM_SEL!$A:$H,6,0)</f>
        <v>m</v>
      </c>
      <c r="G209" s="1407">
        <f>VLOOKUP($B209,[4]BOLETIM_SEL!$A:$H,7,0)</f>
        <v>338.03089999999997</v>
      </c>
      <c r="H209" s="1611">
        <f t="shared" ref="H209:H216" ca="1" si="51">H218+H227</f>
        <v>0</v>
      </c>
      <c r="I209" s="2231">
        <f t="shared" si="50"/>
        <v>389.64</v>
      </c>
      <c r="J209" s="1612">
        <f t="shared" ref="J209:J216" ca="1" si="52">TRUNC(H209*I209,2)</f>
        <v>0</v>
      </c>
      <c r="K209" s="2078">
        <f t="shared" ca="1" si="41"/>
        <v>0</v>
      </c>
      <c r="L209" s="1574">
        <f t="shared" ca="1" si="42"/>
        <v>0</v>
      </c>
      <c r="M209" s="1584" t="str">
        <f>VLOOKUP($B209,[4]BOLETIM_SEL!$A:$H,5,0)</f>
        <v>M0133</v>
      </c>
      <c r="N209" s="833"/>
      <c r="O209" s="833"/>
      <c r="Q209" s="833"/>
      <c r="R209" s="833"/>
      <c r="S209" s="833"/>
      <c r="T209" s="833"/>
      <c r="U209" s="833"/>
      <c r="V209" s="833"/>
      <c r="W209" s="833"/>
      <c r="X209" s="833"/>
    </row>
    <row r="210" spans="1:24" s="813" customFormat="1" ht="50.1" hidden="1" customHeight="1" x14ac:dyDescent="0.15">
      <c r="A210" s="2081">
        <f t="shared" ca="1" si="43"/>
        <v>4.0799999999999983</v>
      </c>
      <c r="B210" s="834" t="s">
        <v>1001</v>
      </c>
      <c r="C210" s="2" t="str">
        <f>VLOOKUP($B210,[4]BOLETIM_SEL!$A:$H,2,0)</f>
        <v>COTAÇÃO - SICRO</v>
      </c>
      <c r="D210" s="315" t="str">
        <f>VLOOKUP($B210,[4]BOLETIM_SEL!$A:$H,4,0)</f>
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</c>
      <c r="E210" s="2230" t="s">
        <v>2647</v>
      </c>
      <c r="F210" s="2" t="str">
        <f>VLOOKUP($B210,[4]BOLETIM_SEL!$A:$H,6,0)</f>
        <v>m</v>
      </c>
      <c r="G210" s="1407">
        <f>VLOOKUP($B210,[4]BOLETIM_SEL!$A:$H,7,0)</f>
        <v>493.61329999999998</v>
      </c>
      <c r="H210" s="1611">
        <f t="shared" ca="1" si="51"/>
        <v>0</v>
      </c>
      <c r="I210" s="2231">
        <f t="shared" si="50"/>
        <v>568.98</v>
      </c>
      <c r="J210" s="1612">
        <f t="shared" ca="1" si="52"/>
        <v>0</v>
      </c>
      <c r="K210" s="2078">
        <f t="shared" ca="1" si="41"/>
        <v>0</v>
      </c>
      <c r="L210" s="1574">
        <f t="shared" ca="1" si="42"/>
        <v>0</v>
      </c>
      <c r="M210" s="1584" t="str">
        <f>VLOOKUP($B210,[4]BOLETIM_SEL!$A:$H,5,0)</f>
        <v>M0134</v>
      </c>
      <c r="N210" s="833"/>
      <c r="O210" s="833"/>
      <c r="Q210" s="833"/>
      <c r="R210" s="833"/>
      <c r="S210" s="833"/>
      <c r="T210" s="833"/>
      <c r="U210" s="833"/>
      <c r="V210" s="833"/>
      <c r="W210" s="833"/>
      <c r="X210" s="833"/>
    </row>
    <row r="211" spans="1:24" s="813" customFormat="1" ht="50.1" hidden="1" customHeight="1" x14ac:dyDescent="0.15">
      <c r="A211" s="2081">
        <f t="shared" ca="1" si="43"/>
        <v>4.0799999999999983</v>
      </c>
      <c r="B211" s="834" t="s">
        <v>1002</v>
      </c>
      <c r="C211" s="2" t="str">
        <f>VLOOKUP($B211,[4]BOLETIM_SEL!$A:$H,2,0)</f>
        <v>COTAÇÃO - SICRO</v>
      </c>
      <c r="D211" s="315" t="str">
        <f>VLOOKUP($B211,[4]BOLETIM_SEL!$A:$H,4,0)</f>
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</c>
      <c r="E211" s="2230" t="s">
        <v>2647</v>
      </c>
      <c r="F211" s="2" t="str">
        <f>VLOOKUP($B211,[4]BOLETIM_SEL!$A:$H,6,0)</f>
        <v>m</v>
      </c>
      <c r="G211" s="1407">
        <f>VLOOKUP($B211,[4]BOLETIM_SEL!$A:$H,7,0)</f>
        <v>683.87049999999999</v>
      </c>
      <c r="H211" s="1611">
        <f t="shared" ca="1" si="51"/>
        <v>0</v>
      </c>
      <c r="I211" s="2231">
        <f t="shared" si="50"/>
        <v>788.29</v>
      </c>
      <c r="J211" s="1612">
        <f t="shared" ca="1" si="52"/>
        <v>0</v>
      </c>
      <c r="K211" s="2078">
        <f t="shared" ca="1" si="41"/>
        <v>0</v>
      </c>
      <c r="L211" s="1574">
        <f t="shared" ca="1" si="42"/>
        <v>0</v>
      </c>
      <c r="M211" s="1584" t="str">
        <f>VLOOKUP($B211,[4]BOLETIM_SEL!$A:$H,5,0)</f>
        <v>M0135</v>
      </c>
      <c r="N211" s="833"/>
      <c r="O211" s="833"/>
      <c r="Q211" s="833"/>
      <c r="R211" s="833"/>
      <c r="S211" s="833"/>
      <c r="T211" s="833"/>
      <c r="U211" s="833"/>
      <c r="V211" s="833"/>
      <c r="W211" s="833"/>
      <c r="X211" s="833"/>
    </row>
    <row r="212" spans="1:24" s="813" customFormat="1" ht="50.1" hidden="1" customHeight="1" x14ac:dyDescent="0.15">
      <c r="A212" s="2081">
        <f t="shared" ca="1" si="43"/>
        <v>4.0799999999999983</v>
      </c>
      <c r="B212" s="834" t="s">
        <v>1714</v>
      </c>
      <c r="C212" s="2" t="str">
        <f>VLOOKUP($B212,[4]BOLETIM_SEL!$A:$H,2,0)</f>
        <v>COTAÇÃO - SICRO</v>
      </c>
      <c r="D212" s="315" t="str">
        <f>VLOOKUP($B212,[4]BOLETIM_SEL!$A:$H,4,0)</f>
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</c>
      <c r="E212" s="2230" t="s">
        <v>2647</v>
      </c>
      <c r="F212" s="2" t="str">
        <f>VLOOKUP($B212,[4]BOLETIM_SEL!$A:$H,6,0)</f>
        <v>m</v>
      </c>
      <c r="G212" s="1407">
        <f>VLOOKUP($B212,[4]BOLETIM_SEL!$A:$H,7,0)</f>
        <v>721.16010000000006</v>
      </c>
      <c r="H212" s="1611">
        <f t="shared" ca="1" si="51"/>
        <v>0</v>
      </c>
      <c r="I212" s="2231">
        <f t="shared" si="50"/>
        <v>831.28</v>
      </c>
      <c r="J212" s="1612">
        <f t="shared" ca="1" si="52"/>
        <v>0</v>
      </c>
      <c r="K212" s="2078">
        <f t="shared" ca="1" si="41"/>
        <v>0</v>
      </c>
      <c r="L212" s="1574">
        <f t="shared" ca="1" si="42"/>
        <v>0</v>
      </c>
      <c r="M212" s="1584" t="str">
        <f>VLOOKUP($B212,[4]BOLETIM_SEL!$A:$H,5,0)</f>
        <v>M0136</v>
      </c>
      <c r="N212" s="833"/>
      <c r="O212" s="833"/>
      <c r="Q212" s="833"/>
      <c r="R212" s="833"/>
      <c r="S212" s="833"/>
      <c r="T212" s="833"/>
      <c r="U212" s="833"/>
      <c r="V212" s="833"/>
      <c r="W212" s="833"/>
      <c r="X212" s="833"/>
    </row>
    <row r="213" spans="1:24" s="813" customFormat="1" ht="50.1" hidden="1" customHeight="1" x14ac:dyDescent="0.15">
      <c r="A213" s="2081">
        <f t="shared" ca="1" si="43"/>
        <v>4.0799999999999983</v>
      </c>
      <c r="B213" s="834" t="s">
        <v>1003</v>
      </c>
      <c r="C213" s="2" t="str">
        <f>VLOOKUP($B213,[4]BOLETIM_SEL!$A:$H,2,0)</f>
        <v>COTAÇÃO - SICRO</v>
      </c>
      <c r="D213" s="315" t="str">
        <f>VLOOKUP($B213,[4]BOLETIM_SEL!$A:$H,4,0)</f>
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</c>
      <c r="E213" s="2230" t="s">
        <v>2647</v>
      </c>
      <c r="F213" s="2" t="str">
        <f>VLOOKUP($B213,[4]BOLETIM_SEL!$A:$H,6,0)</f>
        <v>m</v>
      </c>
      <c r="G213" s="1407">
        <f>VLOOKUP($B213,[4]BOLETIM_SEL!$A:$H,7,0)</f>
        <v>923.12440000000004</v>
      </c>
      <c r="H213" s="1611">
        <f t="shared" ca="1" si="51"/>
        <v>0</v>
      </c>
      <c r="I213" s="2231">
        <f t="shared" si="50"/>
        <v>1064.08</v>
      </c>
      <c r="J213" s="1612">
        <f t="shared" ca="1" si="52"/>
        <v>0</v>
      </c>
      <c r="K213" s="2078">
        <f t="shared" ca="1" si="41"/>
        <v>0</v>
      </c>
      <c r="L213" s="1574">
        <f t="shared" ca="1" si="42"/>
        <v>0</v>
      </c>
      <c r="M213" s="1584" t="str">
        <f>VLOOKUP($B213,[4]BOLETIM_SEL!$A:$H,5,0)</f>
        <v>M0137</v>
      </c>
      <c r="N213" s="833"/>
      <c r="O213" s="833"/>
      <c r="Q213" s="833"/>
      <c r="R213" s="833"/>
      <c r="S213" s="833"/>
      <c r="T213" s="833"/>
      <c r="U213" s="833"/>
      <c r="V213" s="833"/>
      <c r="W213" s="833"/>
      <c r="X213" s="833"/>
    </row>
    <row r="214" spans="1:24" s="813" customFormat="1" ht="50.1" hidden="1" customHeight="1" x14ac:dyDescent="0.15">
      <c r="A214" s="2081">
        <f t="shared" ca="1" si="43"/>
        <v>4.0799999999999983</v>
      </c>
      <c r="B214" s="834" t="s">
        <v>1004</v>
      </c>
      <c r="C214" s="2" t="str">
        <f>VLOOKUP($B214,[4]BOLETIM_SEL!$A:$H,2,0)</f>
        <v>COTAÇÃO - SICRO</v>
      </c>
      <c r="D214" s="315" t="str">
        <f>VLOOKUP($B214,[4]BOLETIM_SEL!$A:$H,4,0)</f>
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</c>
      <c r="E214" s="2230" t="s">
        <v>2647</v>
      </c>
      <c r="F214" s="2" t="str">
        <f>VLOOKUP($B214,[4]BOLETIM_SEL!$A:$H,6,0)</f>
        <v>m</v>
      </c>
      <c r="G214" s="1407">
        <f>VLOOKUP($B214,[4]BOLETIM_SEL!$A:$H,7,0)</f>
        <v>1285.0968</v>
      </c>
      <c r="H214" s="1611">
        <f t="shared" ca="1" si="51"/>
        <v>0</v>
      </c>
      <c r="I214" s="2231">
        <f t="shared" si="50"/>
        <v>1481.33</v>
      </c>
      <c r="J214" s="1612">
        <f t="shared" ca="1" si="52"/>
        <v>0</v>
      </c>
      <c r="K214" s="2078">
        <f t="shared" ca="1" si="41"/>
        <v>0</v>
      </c>
      <c r="L214" s="1574">
        <f t="shared" ca="1" si="42"/>
        <v>0</v>
      </c>
      <c r="M214" s="1584" t="str">
        <f>VLOOKUP($B214,[4]BOLETIM_SEL!$A:$H,5,0)</f>
        <v>M0139</v>
      </c>
      <c r="N214" s="833"/>
      <c r="O214" s="833"/>
      <c r="Q214" s="833"/>
      <c r="R214" s="833"/>
      <c r="S214" s="833"/>
      <c r="T214" s="833"/>
      <c r="U214" s="833"/>
      <c r="V214" s="833"/>
      <c r="W214" s="833"/>
      <c r="X214" s="833"/>
    </row>
    <row r="215" spans="1:24" s="813" customFormat="1" ht="50.1" hidden="1" customHeight="1" x14ac:dyDescent="0.15">
      <c r="A215" s="2081">
        <f t="shared" ca="1" si="43"/>
        <v>4.0799999999999983</v>
      </c>
      <c r="B215" s="834" t="s">
        <v>1005</v>
      </c>
      <c r="C215" s="2" t="str">
        <f>VLOOKUP($B215,[4]BOLETIM_SEL!$A:$H,2,0)</f>
        <v>COTAÇÃO - SICRO</v>
      </c>
      <c r="D215" s="315" t="str">
        <f>VLOOKUP($B215,[4]BOLETIM_SEL!$A:$H,4,0)</f>
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</c>
      <c r="E215" s="2230" t="s">
        <v>2647</v>
      </c>
      <c r="F215" s="2" t="str">
        <f>VLOOKUP($B215,[4]BOLETIM_SEL!$A:$H,6,0)</f>
        <v>m</v>
      </c>
      <c r="G215" s="1407">
        <f>VLOOKUP($B215,[4]BOLETIM_SEL!$A:$H,7,0)</f>
        <v>1705.635</v>
      </c>
      <c r="H215" s="1611">
        <f t="shared" ca="1" si="51"/>
        <v>0</v>
      </c>
      <c r="I215" s="2231">
        <f t="shared" si="50"/>
        <v>1966.08</v>
      </c>
      <c r="J215" s="1612">
        <f t="shared" ca="1" si="52"/>
        <v>0</v>
      </c>
      <c r="K215" s="2078">
        <f t="shared" ref="K215:K242" ca="1" si="53">J215/J$967</f>
        <v>0</v>
      </c>
      <c r="L215" s="1574">
        <f t="shared" ref="L215:L252" ca="1" si="54">J215/J$183</f>
        <v>0</v>
      </c>
      <c r="M215" s="1584" t="str">
        <f>VLOOKUP($B215,[4]BOLETIM_SEL!$A:$H,5,0)</f>
        <v>M0142</v>
      </c>
      <c r="N215" s="833"/>
      <c r="O215" s="833"/>
      <c r="Q215" s="833"/>
      <c r="R215" s="833"/>
      <c r="S215" s="833"/>
      <c r="T215" s="833"/>
      <c r="U215" s="833"/>
      <c r="V215" s="833"/>
      <c r="W215" s="833"/>
      <c r="X215" s="833"/>
    </row>
    <row r="216" spans="1:24" s="813" customFormat="1" ht="50.1" hidden="1" customHeight="1" x14ac:dyDescent="0.15">
      <c r="A216" s="2081">
        <f t="shared" ref="A216:A253" ca="1" si="55">IF(H216&gt;0,A215+0.01,A215)</f>
        <v>4.0799999999999983</v>
      </c>
      <c r="B216" s="834" t="s">
        <v>1006</v>
      </c>
      <c r="C216" s="2" t="str">
        <f>VLOOKUP($B216,[4]BOLETIM_SEL!$A:$H,2,0)</f>
        <v>COTAÇÃO - SICRO</v>
      </c>
      <c r="D216" s="315" t="str">
        <f>VLOOKUP($B216,[4]BOLETIM_SEL!$A:$H,4,0)</f>
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</c>
      <c r="E216" s="2230" t="s">
        <v>2647</v>
      </c>
      <c r="F216" s="2" t="str">
        <f>VLOOKUP($B216,[4]BOLETIM_SEL!$A:$H,6,0)</f>
        <v>m</v>
      </c>
      <c r="G216" s="1407">
        <f>VLOOKUP($B216,[4]BOLETIM_SEL!$A:$H,7,0)</f>
        <v>2204.8613999999998</v>
      </c>
      <c r="H216" s="1611">
        <f t="shared" ca="1" si="51"/>
        <v>0</v>
      </c>
      <c r="I216" s="2231">
        <f t="shared" si="50"/>
        <v>2541.54</v>
      </c>
      <c r="J216" s="1612">
        <f t="shared" ca="1" si="52"/>
        <v>0</v>
      </c>
      <c r="K216" s="2078">
        <f t="shared" ca="1" si="53"/>
        <v>0</v>
      </c>
      <c r="L216" s="1574">
        <f t="shared" ca="1" si="54"/>
        <v>0</v>
      </c>
      <c r="M216" s="1584" t="str">
        <f>VLOOKUP($B216,[4]BOLETIM_SEL!$A:$H,5,0)</f>
        <v>M0143</v>
      </c>
      <c r="N216" s="1655" t="s">
        <v>1962</v>
      </c>
      <c r="O216" s="1655" t="s">
        <v>1988</v>
      </c>
      <c r="Q216" s="833"/>
      <c r="R216" s="833"/>
      <c r="S216" s="833"/>
      <c r="T216" s="833"/>
      <c r="U216" s="833"/>
      <c r="V216" s="833"/>
      <c r="W216" s="833"/>
      <c r="X216" s="833"/>
    </row>
    <row r="217" spans="1:24" s="813" customFormat="1" ht="50.1" hidden="1" customHeight="1" x14ac:dyDescent="0.15">
      <c r="A217" s="2081">
        <f t="shared" ca="1" si="55"/>
        <v>4.0799999999999983</v>
      </c>
      <c r="B217" s="2" t="s">
        <v>2429</v>
      </c>
      <c r="C217" s="2" t="str">
        <f>VLOOKUP($B217,[4]BOLETIM_SEL!$A:$H,2,0)</f>
        <v>COMPOSIÇÃO</v>
      </c>
      <c r="D217" s="315" t="str">
        <f>VLOOKUP($B217,[4]BOLETIM_SEL!$A:$H,4,0)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17" s="2"/>
      <c r="F217" s="2" t="str">
        <f>VLOOKUP($B217,[4]BOLETIM_SEL!$A:$H,6,0)</f>
        <v>M</v>
      </c>
      <c r="G217" s="1407">
        <f>VLOOKUP($B217,[4]BOLETIM_SEL!$A:$H,7,0)</f>
        <v>3</v>
      </c>
      <c r="H217" s="1611">
        <f>Dre_Disp_Estruturais!BM36</f>
        <v>0</v>
      </c>
      <c r="I217" s="877">
        <f t="shared" ref="I217:I254" si="56">TRUNC(G217*(1+$J$5),2)</f>
        <v>3.62</v>
      </c>
      <c r="J217" s="1612">
        <f t="shared" si="47"/>
        <v>0</v>
      </c>
      <c r="K217" s="2078">
        <f t="shared" ca="1" si="53"/>
        <v>0</v>
      </c>
      <c r="L217" s="1574">
        <f t="shared" ca="1" si="54"/>
        <v>0</v>
      </c>
      <c r="M217" s="1448"/>
      <c r="N217" s="1651">
        <v>150</v>
      </c>
      <c r="O217" s="1656">
        <f t="shared" ref="O217:O242" si="57">H217/N217</f>
        <v>0</v>
      </c>
      <c r="Q217" s="833"/>
      <c r="R217" s="833"/>
      <c r="S217" s="833"/>
      <c r="T217" s="833"/>
      <c r="U217" s="833"/>
      <c r="V217" s="833"/>
      <c r="W217" s="833"/>
      <c r="X217" s="833"/>
    </row>
    <row r="218" spans="1:24" s="813" customFormat="1" ht="50.1" hidden="1" customHeight="1" x14ac:dyDescent="0.15">
      <c r="A218" s="2081">
        <f t="shared" ca="1" si="55"/>
        <v>4.0799999999999983</v>
      </c>
      <c r="B218" s="2" t="s">
        <v>1724</v>
      </c>
      <c r="C218" s="2" t="str">
        <f>VLOOKUP($B218,[4]BOLETIM_SEL!$A:$H,2,0)</f>
        <v>COMPOSIÇÃO</v>
      </c>
      <c r="D218" s="315" t="str">
        <f>VLOOKUP($B218,[4]BOLETIM_SEL!$A:$H,4,0)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18" s="2"/>
      <c r="F218" s="2" t="str">
        <f>VLOOKUP($B218,[4]BOLETIM_SEL!$A:$H,6,0)</f>
        <v>M</v>
      </c>
      <c r="G218" s="1407">
        <f>VLOOKUP($B218,[4]BOLETIM_SEL!$A:$H,7,0)</f>
        <v>5.15</v>
      </c>
      <c r="H218" s="1611">
        <f ca="1">Dre_Disp_Estruturais!BM37+Dre_Disp_Estruturais!BM38</f>
        <v>0</v>
      </c>
      <c r="I218" s="877">
        <f t="shared" si="56"/>
        <v>6.21</v>
      </c>
      <c r="J218" s="1612">
        <f t="shared" ref="J218:J225" ca="1" si="58">TRUNC(H218*I218,2)</f>
        <v>0</v>
      </c>
      <c r="K218" s="2078">
        <f t="shared" ca="1" si="53"/>
        <v>0</v>
      </c>
      <c r="L218" s="1574">
        <f t="shared" ca="1" si="54"/>
        <v>0</v>
      </c>
      <c r="M218" s="1448"/>
      <c r="N218" s="1651">
        <v>130</v>
      </c>
      <c r="O218" s="1656">
        <f t="shared" ca="1" si="57"/>
        <v>0</v>
      </c>
      <c r="Q218" s="833"/>
      <c r="R218" s="833"/>
      <c r="S218" s="833"/>
      <c r="T218" s="833"/>
      <c r="U218" s="833"/>
      <c r="V218" s="833"/>
      <c r="W218" s="833"/>
      <c r="X218" s="833"/>
    </row>
    <row r="219" spans="1:24" s="813" customFormat="1" ht="50.1" hidden="1" customHeight="1" x14ac:dyDescent="0.15">
      <c r="A219" s="2081">
        <f t="shared" ca="1" si="55"/>
        <v>4.0799999999999983</v>
      </c>
      <c r="B219" s="834">
        <v>90747</v>
      </c>
      <c r="C219" s="2" t="str">
        <f>VLOOKUP($B219,[4]BOLETIM_SEL!$A:$H,2,0)</f>
        <v>SINAPI</v>
      </c>
      <c r="D219" s="315" t="str">
        <f>VLOOKUP($B219,[4]BOLETIM_SEL!$A:$H,4,0)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19" s="2"/>
      <c r="F219" s="2" t="str">
        <f>VLOOKUP($B219,[4]BOLETIM_SEL!$A:$H,6,0)</f>
        <v>M</v>
      </c>
      <c r="G219" s="1407">
        <f>VLOOKUP($B219,[4]BOLETIM_SEL!$A:$H,7,0)</f>
        <v>16.579999999999998</v>
      </c>
      <c r="H219" s="1611">
        <f ca="1">Dre_Disp_Estruturais!BM39</f>
        <v>0</v>
      </c>
      <c r="I219" s="877">
        <f t="shared" si="56"/>
        <v>20.010000000000002</v>
      </c>
      <c r="J219" s="1612">
        <f t="shared" ca="1" si="58"/>
        <v>0</v>
      </c>
      <c r="K219" s="2078">
        <f t="shared" ca="1" si="53"/>
        <v>0</v>
      </c>
      <c r="L219" s="1574">
        <f t="shared" ca="1" si="54"/>
        <v>0</v>
      </c>
      <c r="M219" s="1448"/>
      <c r="N219" s="1651">
        <v>102</v>
      </c>
      <c r="O219" s="1656">
        <f t="shared" ca="1" si="57"/>
        <v>0</v>
      </c>
      <c r="Q219" s="833"/>
      <c r="R219" s="833"/>
      <c r="S219" s="833"/>
      <c r="T219" s="833"/>
      <c r="U219" s="833"/>
      <c r="V219" s="833"/>
      <c r="W219" s="833"/>
      <c r="X219" s="833"/>
    </row>
    <row r="220" spans="1:24" s="813" customFormat="1" ht="50.1" hidden="1" customHeight="1" x14ac:dyDescent="0.15">
      <c r="A220" s="2081">
        <f t="shared" ca="1" si="55"/>
        <v>4.0799999999999983</v>
      </c>
      <c r="B220" s="2" t="s">
        <v>1725</v>
      </c>
      <c r="C220" s="2" t="str">
        <f>VLOOKUP($B220,[4]BOLETIM_SEL!$A:$H,2,0)</f>
        <v>COMPOSIÇÃO</v>
      </c>
      <c r="D220" s="315" t="str">
        <f>VLOOKUP($B220,[4]BOLETIM_SEL!$A:$H,4,0)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20" s="2"/>
      <c r="F220" s="2" t="str">
        <f>VLOOKUP($B220,[4]BOLETIM_SEL!$A:$H,6,0)</f>
        <v>M</v>
      </c>
      <c r="G220" s="1407">
        <f>VLOOKUP($B220,[4]BOLETIM_SEL!$A:$H,7,0)</f>
        <v>27.3</v>
      </c>
      <c r="H220" s="1611">
        <f ca="1">Dre_Disp_Estruturais!BM40</f>
        <v>0</v>
      </c>
      <c r="I220" s="877">
        <f t="shared" si="56"/>
        <v>32.950000000000003</v>
      </c>
      <c r="J220" s="1612">
        <f t="shared" ca="1" si="58"/>
        <v>0</v>
      </c>
      <c r="K220" s="2078">
        <f t="shared" ca="1" si="53"/>
        <v>0</v>
      </c>
      <c r="L220" s="1574">
        <f t="shared" ca="1" si="54"/>
        <v>0</v>
      </c>
      <c r="M220" s="1448"/>
      <c r="N220" s="1651">
        <v>88</v>
      </c>
      <c r="O220" s="1656">
        <f t="shared" ca="1" si="57"/>
        <v>0</v>
      </c>
      <c r="Q220" s="833"/>
      <c r="R220" s="833"/>
      <c r="S220" s="833"/>
      <c r="T220" s="833"/>
      <c r="U220" s="833"/>
      <c r="V220" s="833"/>
      <c r="W220" s="833"/>
      <c r="X220" s="833"/>
    </row>
    <row r="221" spans="1:24" s="813" customFormat="1" ht="50.1" hidden="1" customHeight="1" x14ac:dyDescent="0.15">
      <c r="A221" s="2081">
        <f t="shared" ca="1" si="55"/>
        <v>4.0799999999999983</v>
      </c>
      <c r="B221" s="834">
        <v>94876</v>
      </c>
      <c r="C221" s="2" t="str">
        <f>VLOOKUP($B221,[4]BOLETIM_SEL!$A:$H,2,0)</f>
        <v>SINAPI</v>
      </c>
      <c r="D221" s="315" t="str">
        <f>VLOOKUP($B221,[4]BOLETIM_SEL!$A:$H,4,0)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21" s="2"/>
      <c r="F221" s="2" t="str">
        <f>VLOOKUP($B221,[4]BOLETIM_SEL!$A:$H,6,0)</f>
        <v>M</v>
      </c>
      <c r="G221" s="1407">
        <f>VLOOKUP($B221,[4]BOLETIM_SEL!$A:$H,7,0)</f>
        <v>28.25</v>
      </c>
      <c r="H221" s="1611">
        <f ca="1">Dre_Disp_Estruturais!BM41</f>
        <v>0</v>
      </c>
      <c r="I221" s="877">
        <f t="shared" si="56"/>
        <v>34.090000000000003</v>
      </c>
      <c r="J221" s="1612">
        <f t="shared" ca="1" si="58"/>
        <v>0</v>
      </c>
      <c r="K221" s="2078">
        <f t="shared" ca="1" si="53"/>
        <v>0</v>
      </c>
      <c r="L221" s="1574">
        <f t="shared" ca="1" si="54"/>
        <v>0</v>
      </c>
      <c r="M221" s="1448"/>
      <c r="N221" s="1651">
        <v>85</v>
      </c>
      <c r="O221" s="1656">
        <f t="shared" ca="1" si="57"/>
        <v>0</v>
      </c>
      <c r="Q221" s="833"/>
      <c r="R221" s="833"/>
      <c r="S221" s="833"/>
      <c r="T221" s="833"/>
      <c r="U221" s="833"/>
      <c r="V221" s="833"/>
      <c r="W221" s="833"/>
      <c r="X221" s="833"/>
    </row>
    <row r="222" spans="1:24" s="813" customFormat="1" ht="50.1" hidden="1" customHeight="1" x14ac:dyDescent="0.15">
      <c r="A222" s="2081">
        <f t="shared" ca="1" si="55"/>
        <v>4.0799999999999983</v>
      </c>
      <c r="B222" s="834">
        <v>94878</v>
      </c>
      <c r="C222" s="2" t="str">
        <f>VLOOKUP($B222,[4]BOLETIM_SEL!$A:$H,2,0)</f>
        <v>SINAPI</v>
      </c>
      <c r="D222" s="315" t="str">
        <f>VLOOKUP($B222,[4]BOLETIM_SEL!$A:$H,4,0)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22" s="2"/>
      <c r="F222" s="2" t="str">
        <f>VLOOKUP($B222,[4]BOLETIM_SEL!$A:$H,6,0)</f>
        <v>M</v>
      </c>
      <c r="G222" s="1407">
        <f>VLOOKUP($B222,[4]BOLETIM_SEL!$A:$H,7,0)</f>
        <v>32.61</v>
      </c>
      <c r="H222" s="1611">
        <f ca="1">Dre_Disp_Estruturais!BM42</f>
        <v>0</v>
      </c>
      <c r="I222" s="877">
        <f t="shared" si="56"/>
        <v>39.36</v>
      </c>
      <c r="J222" s="1612">
        <f t="shared" ca="1" si="58"/>
        <v>0</v>
      </c>
      <c r="K222" s="2078">
        <f t="shared" ca="1" si="53"/>
        <v>0</v>
      </c>
      <c r="L222" s="1574">
        <f t="shared" ca="1" si="54"/>
        <v>0</v>
      </c>
      <c r="M222" s="1448"/>
      <c r="N222" s="1651">
        <v>78</v>
      </c>
      <c r="O222" s="1656">
        <f t="shared" ca="1" si="57"/>
        <v>0</v>
      </c>
      <c r="Q222" s="833"/>
      <c r="R222" s="833"/>
      <c r="S222" s="833"/>
      <c r="T222" s="833"/>
      <c r="U222" s="833"/>
      <c r="V222" s="833"/>
      <c r="W222" s="833"/>
      <c r="X222" s="833"/>
    </row>
    <row r="223" spans="1:24" s="813" customFormat="1" ht="50.1" hidden="1" customHeight="1" x14ac:dyDescent="0.15">
      <c r="A223" s="2081">
        <f t="shared" ca="1" si="55"/>
        <v>4.0799999999999983</v>
      </c>
      <c r="B223" s="834">
        <v>94880</v>
      </c>
      <c r="C223" s="2" t="str">
        <f>VLOOKUP($B223,[4]BOLETIM_SEL!$A:$H,2,0)</f>
        <v>SINAPI</v>
      </c>
      <c r="D223" s="315" t="str">
        <f>VLOOKUP($B223,[4]BOLETIM_SEL!$A:$H,4,0)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23" s="2"/>
      <c r="F223" s="2" t="str">
        <f>VLOOKUP($B223,[4]BOLETIM_SEL!$A:$H,6,0)</f>
        <v>M</v>
      </c>
      <c r="G223" s="1407">
        <f>VLOOKUP($B223,[4]BOLETIM_SEL!$A:$H,7,0)</f>
        <v>42.36</v>
      </c>
      <c r="H223" s="1611">
        <f ca="1">Dre_Disp_Estruturais!BM43</f>
        <v>0</v>
      </c>
      <c r="I223" s="877">
        <f t="shared" si="56"/>
        <v>51.12</v>
      </c>
      <c r="J223" s="1612">
        <f t="shared" ca="1" si="58"/>
        <v>0</v>
      </c>
      <c r="K223" s="2078">
        <f t="shared" ca="1" si="53"/>
        <v>0</v>
      </c>
      <c r="L223" s="1574">
        <f t="shared" ca="1" si="54"/>
        <v>0</v>
      </c>
      <c r="M223" s="1448"/>
      <c r="N223" s="1651">
        <v>72</v>
      </c>
      <c r="O223" s="1656">
        <f t="shared" ca="1" si="57"/>
        <v>0</v>
      </c>
      <c r="Q223" s="833"/>
      <c r="R223" s="833"/>
      <c r="S223" s="833"/>
      <c r="T223" s="833"/>
      <c r="U223" s="833"/>
      <c r="V223" s="833"/>
      <c r="W223" s="833"/>
      <c r="X223" s="833"/>
    </row>
    <row r="224" spans="1:24" s="813" customFormat="1" ht="50.1" hidden="1" customHeight="1" x14ac:dyDescent="0.15">
      <c r="A224" s="2081">
        <f t="shared" ca="1" si="55"/>
        <v>4.0799999999999983</v>
      </c>
      <c r="B224" s="834">
        <v>94882</v>
      </c>
      <c r="C224" s="2" t="str">
        <f>VLOOKUP($B224,[4]BOLETIM_SEL!$A:$H,2,0)</f>
        <v>SINAPI</v>
      </c>
      <c r="D224" s="315" t="str">
        <f>VLOOKUP($B224,[4]BOLETIM_SEL!$A:$H,4,0)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24" s="2"/>
      <c r="F224" s="2" t="str">
        <f>VLOOKUP($B224,[4]BOLETIM_SEL!$A:$H,6,0)</f>
        <v>M</v>
      </c>
      <c r="G224" s="1407">
        <f>VLOOKUP($B224,[4]BOLETIM_SEL!$A:$H,7,0)</f>
        <v>49.08</v>
      </c>
      <c r="H224" s="1611">
        <f ca="1">Dre_Disp_Estruturais!BM44</f>
        <v>0</v>
      </c>
      <c r="I224" s="877">
        <f t="shared" si="56"/>
        <v>59.23</v>
      </c>
      <c r="J224" s="1612">
        <f t="shared" ca="1" si="58"/>
        <v>0</v>
      </c>
      <c r="K224" s="2078">
        <f t="shared" ca="1" si="53"/>
        <v>0</v>
      </c>
      <c r="L224" s="1574">
        <f t="shared" ca="1" si="54"/>
        <v>0</v>
      </c>
      <c r="M224" s="1448"/>
      <c r="N224" s="1651">
        <v>68</v>
      </c>
      <c r="O224" s="1656">
        <f t="shared" ca="1" si="57"/>
        <v>0</v>
      </c>
      <c r="Q224" s="833"/>
      <c r="R224" s="833"/>
      <c r="S224" s="833"/>
      <c r="T224" s="833"/>
      <c r="U224" s="833"/>
      <c r="V224" s="833"/>
      <c r="W224" s="833"/>
      <c r="X224" s="833"/>
    </row>
    <row r="225" spans="1:24" s="813" customFormat="1" ht="50.1" hidden="1" customHeight="1" x14ac:dyDescent="0.15">
      <c r="A225" s="2081">
        <f t="shared" ca="1" si="55"/>
        <v>4.0799999999999983</v>
      </c>
      <c r="B225" s="834">
        <v>94884</v>
      </c>
      <c r="C225" s="2" t="str">
        <f>VLOOKUP($B225,[4]BOLETIM_SEL!$A:$H,2,0)</f>
        <v>SINAPI</v>
      </c>
      <c r="D225" s="315" t="str">
        <f>VLOOKUP($B225,[4]BOLETIM_SEL!$A:$H,4,0)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25" s="2"/>
      <c r="F225" s="2" t="str">
        <f>VLOOKUP($B225,[4]BOLETIM_SEL!$A:$H,6,0)</f>
        <v>M</v>
      </c>
      <c r="G225" s="1407">
        <f>VLOOKUP($B225,[4]BOLETIM_SEL!$A:$H,7,0)</f>
        <v>62.71</v>
      </c>
      <c r="H225" s="1611">
        <f ca="1">Dre_Disp_Estruturais!BM45</f>
        <v>0</v>
      </c>
      <c r="I225" s="877">
        <f t="shared" si="56"/>
        <v>75.69</v>
      </c>
      <c r="J225" s="1612">
        <f t="shared" ca="1" si="58"/>
        <v>0</v>
      </c>
      <c r="K225" s="2078">
        <f t="shared" ca="1" si="53"/>
        <v>0</v>
      </c>
      <c r="L225" s="1574">
        <f t="shared" ca="1" si="54"/>
        <v>0</v>
      </c>
      <c r="M225" s="1448"/>
      <c r="N225" s="1651">
        <v>60</v>
      </c>
      <c r="O225" s="1656">
        <f t="shared" ca="1" si="57"/>
        <v>0</v>
      </c>
      <c r="Q225" s="833"/>
      <c r="R225" s="833"/>
      <c r="S225" s="833"/>
      <c r="T225" s="833"/>
      <c r="U225" s="833"/>
      <c r="V225" s="833"/>
      <c r="W225" s="833"/>
      <c r="X225" s="833"/>
    </row>
    <row r="226" spans="1:24" s="813" customFormat="1" ht="50.1" hidden="1" customHeight="1" x14ac:dyDescent="0.15">
      <c r="A226" s="2081">
        <f t="shared" ca="1" si="55"/>
        <v>4.0799999999999983</v>
      </c>
      <c r="B226" s="2" t="s">
        <v>2429</v>
      </c>
      <c r="C226" s="2" t="str">
        <f>VLOOKUP($B226,[4]BOLETIM_SEL!$A:$H,2,0)</f>
        <v>COMPOSIÇÃO</v>
      </c>
      <c r="D226" s="315" t="str">
        <f>VLOOKUP($B226,[4]BOLETIM_SEL!$A:$H,4,0)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26" s="2"/>
      <c r="F226" s="2" t="str">
        <f>VLOOKUP($B226,[4]BOLETIM_SEL!$A:$H,6,0)</f>
        <v>M</v>
      </c>
      <c r="G226" s="1407">
        <f>VLOOKUP($B226,[4]BOLETIM_SEL!$A:$H,7,0)</f>
        <v>3</v>
      </c>
      <c r="H226" s="1611">
        <f>Dre_Disp_Estruturais!BM46</f>
        <v>0</v>
      </c>
      <c r="I226" s="877">
        <f t="shared" si="56"/>
        <v>3.62</v>
      </c>
      <c r="J226" s="1612">
        <f t="shared" si="47"/>
        <v>0</v>
      </c>
      <c r="K226" s="2078">
        <f t="shared" ca="1" si="53"/>
        <v>0</v>
      </c>
      <c r="L226" s="1574">
        <f t="shared" ca="1" si="54"/>
        <v>0</v>
      </c>
      <c r="M226" s="1448"/>
      <c r="N226" s="1651">
        <v>150</v>
      </c>
      <c r="O226" s="1656">
        <f t="shared" si="57"/>
        <v>0</v>
      </c>
      <c r="Q226" s="833"/>
      <c r="R226" s="833"/>
      <c r="S226" s="833"/>
      <c r="T226" s="833"/>
      <c r="U226" s="833"/>
      <c r="V226" s="833"/>
      <c r="W226" s="833"/>
      <c r="X226" s="833"/>
    </row>
    <row r="227" spans="1:24" s="813" customFormat="1" ht="50.1" hidden="1" customHeight="1" x14ac:dyDescent="0.15">
      <c r="A227" s="2081">
        <f t="shared" ca="1" si="55"/>
        <v>4.0799999999999983</v>
      </c>
      <c r="B227" s="834" t="s">
        <v>1724</v>
      </c>
      <c r="C227" s="2" t="str">
        <f>VLOOKUP($B227,[4]BOLETIM_SEL!$A:$H,2,0)</f>
        <v>COMPOSIÇÃO</v>
      </c>
      <c r="D227" s="315" t="str">
        <f>VLOOKUP($B227,[4]BOLETIM_SEL!$A:$H,4,0)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27" s="2"/>
      <c r="F227" s="2" t="str">
        <f>VLOOKUP($B227,[4]BOLETIM_SEL!$A:$H,6,0)</f>
        <v>M</v>
      </c>
      <c r="G227" s="1407">
        <f>VLOOKUP($B227,[4]BOLETIM_SEL!$A:$H,7,0)</f>
        <v>5.15</v>
      </c>
      <c r="H227" s="1611">
        <f ca="1">Dre_Disp_Estruturais!BM47+Dre_Disp_Estruturais!BM48</f>
        <v>0</v>
      </c>
      <c r="I227" s="877">
        <f t="shared" si="56"/>
        <v>6.21</v>
      </c>
      <c r="J227" s="1612">
        <f t="shared" ref="J227:J241" ca="1" si="59">TRUNC(H227*I227,2)</f>
        <v>0</v>
      </c>
      <c r="K227" s="2078">
        <f t="shared" ca="1" si="53"/>
        <v>0</v>
      </c>
      <c r="L227" s="1574">
        <f t="shared" ca="1" si="54"/>
        <v>0</v>
      </c>
      <c r="M227" s="1448"/>
      <c r="N227" s="1651">
        <v>130</v>
      </c>
      <c r="O227" s="1656">
        <f t="shared" ca="1" si="57"/>
        <v>0</v>
      </c>
      <c r="Q227" s="833"/>
      <c r="R227" s="833"/>
      <c r="S227" s="833"/>
      <c r="T227" s="833"/>
      <c r="U227" s="833"/>
      <c r="V227" s="833"/>
      <c r="W227" s="833"/>
      <c r="X227" s="833"/>
    </row>
    <row r="228" spans="1:24" s="813" customFormat="1" ht="50.1" hidden="1" customHeight="1" x14ac:dyDescent="0.15">
      <c r="A228" s="2081">
        <f t="shared" ca="1" si="55"/>
        <v>4.0799999999999983</v>
      </c>
      <c r="B228" s="834">
        <v>90747</v>
      </c>
      <c r="C228" s="2" t="str">
        <f>VLOOKUP($B228,[4]BOLETIM_SEL!$A:$H,2,0)</f>
        <v>SINAPI</v>
      </c>
      <c r="D228" s="315" t="str">
        <f>VLOOKUP($B228,[4]BOLETIM_SEL!$A:$H,4,0)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28" s="2"/>
      <c r="F228" s="2" t="str">
        <f>VLOOKUP($B228,[4]BOLETIM_SEL!$A:$H,6,0)</f>
        <v>M</v>
      </c>
      <c r="G228" s="1407">
        <f>VLOOKUP($B228,[4]BOLETIM_SEL!$A:$H,7,0)</f>
        <v>16.579999999999998</v>
      </c>
      <c r="H228" s="1611">
        <f ca="1">Dre_Disp_Estruturais!BM49</f>
        <v>0</v>
      </c>
      <c r="I228" s="877">
        <f t="shared" si="56"/>
        <v>20.010000000000002</v>
      </c>
      <c r="J228" s="1612">
        <f t="shared" ca="1" si="59"/>
        <v>0</v>
      </c>
      <c r="K228" s="2078">
        <f t="shared" ca="1" si="53"/>
        <v>0</v>
      </c>
      <c r="L228" s="1574">
        <f t="shared" ca="1" si="54"/>
        <v>0</v>
      </c>
      <c r="M228" s="1448"/>
      <c r="N228" s="1651">
        <v>102</v>
      </c>
      <c r="O228" s="1656">
        <f t="shared" ca="1" si="57"/>
        <v>0</v>
      </c>
      <c r="Q228" s="833"/>
      <c r="R228" s="833"/>
      <c r="S228" s="833"/>
      <c r="T228" s="833"/>
      <c r="U228" s="833"/>
      <c r="V228" s="833"/>
      <c r="W228" s="833"/>
      <c r="X228" s="833"/>
    </row>
    <row r="229" spans="1:24" s="813" customFormat="1" ht="50.1" hidden="1" customHeight="1" x14ac:dyDescent="0.15">
      <c r="A229" s="2081">
        <f t="shared" ca="1" si="55"/>
        <v>4.0799999999999983</v>
      </c>
      <c r="B229" s="834">
        <v>94876</v>
      </c>
      <c r="C229" s="2" t="str">
        <f>VLOOKUP($B229,[4]BOLETIM_SEL!$A:$H,2,0)</f>
        <v>SINAPI</v>
      </c>
      <c r="D229" s="315" t="str">
        <f>VLOOKUP($B229,[4]BOLETIM_SEL!$A:$H,4,0)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29" s="2"/>
      <c r="F229" s="2" t="str">
        <f>VLOOKUP($B229,[4]BOLETIM_SEL!$A:$H,6,0)</f>
        <v>M</v>
      </c>
      <c r="G229" s="1407">
        <f>VLOOKUP($B229,[4]BOLETIM_SEL!$A:$H,7,0)</f>
        <v>28.25</v>
      </c>
      <c r="H229" s="1611">
        <f ca="1">Dre_Disp_Estruturais!BM50</f>
        <v>0</v>
      </c>
      <c r="I229" s="877">
        <f t="shared" si="56"/>
        <v>34.090000000000003</v>
      </c>
      <c r="J229" s="1612">
        <f t="shared" ca="1" si="59"/>
        <v>0</v>
      </c>
      <c r="K229" s="2078">
        <f t="shared" ca="1" si="53"/>
        <v>0</v>
      </c>
      <c r="L229" s="1574">
        <f t="shared" ca="1" si="54"/>
        <v>0</v>
      </c>
      <c r="M229" s="1448"/>
      <c r="N229" s="1651">
        <v>85</v>
      </c>
      <c r="O229" s="1656">
        <f t="shared" ca="1" si="57"/>
        <v>0</v>
      </c>
      <c r="Q229" s="833"/>
      <c r="R229" s="833"/>
      <c r="S229" s="833"/>
      <c r="T229" s="833"/>
      <c r="U229" s="833"/>
      <c r="V229" s="833"/>
      <c r="W229" s="833"/>
      <c r="X229" s="833"/>
    </row>
    <row r="230" spans="1:24" s="813" customFormat="1" ht="50.1" hidden="1" customHeight="1" x14ac:dyDescent="0.15">
      <c r="A230" s="2081">
        <f t="shared" ca="1" si="55"/>
        <v>4.0799999999999983</v>
      </c>
      <c r="B230" s="834" t="s">
        <v>1725</v>
      </c>
      <c r="C230" s="2" t="str">
        <f>VLOOKUP($B230,[4]BOLETIM_SEL!$A:$H,2,0)</f>
        <v>COMPOSIÇÃO</v>
      </c>
      <c r="D230" s="315" t="str">
        <f>VLOOKUP($B230,[4]BOLETIM_SEL!$A:$H,4,0)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30" s="2"/>
      <c r="F230" s="2" t="str">
        <f>VLOOKUP($B230,[4]BOLETIM_SEL!$A:$H,6,0)</f>
        <v>M</v>
      </c>
      <c r="G230" s="1407">
        <f>VLOOKUP($B230,[4]BOLETIM_SEL!$A:$H,7,0)</f>
        <v>27.3</v>
      </c>
      <c r="H230" s="1611">
        <f ca="1">Dre_Disp_Estruturais!BM51</f>
        <v>0</v>
      </c>
      <c r="I230" s="877">
        <f t="shared" si="56"/>
        <v>32.950000000000003</v>
      </c>
      <c r="J230" s="1612">
        <f t="shared" ca="1" si="59"/>
        <v>0</v>
      </c>
      <c r="K230" s="2078">
        <f t="shared" ca="1" si="53"/>
        <v>0</v>
      </c>
      <c r="L230" s="1574">
        <f t="shared" ca="1" si="54"/>
        <v>0</v>
      </c>
      <c r="M230" s="1448"/>
      <c r="N230" s="1651">
        <v>88</v>
      </c>
      <c r="O230" s="1656">
        <f t="shared" ca="1" si="57"/>
        <v>0</v>
      </c>
      <c r="Q230" s="833"/>
      <c r="R230" s="833"/>
      <c r="S230" s="833"/>
      <c r="T230" s="833"/>
      <c r="U230" s="833"/>
      <c r="V230" s="833"/>
      <c r="W230" s="833"/>
      <c r="X230" s="833"/>
    </row>
    <row r="231" spans="1:24" s="813" customFormat="1" ht="50.1" hidden="1" customHeight="1" x14ac:dyDescent="0.15">
      <c r="A231" s="2081">
        <f t="shared" ca="1" si="55"/>
        <v>4.0799999999999983</v>
      </c>
      <c r="B231" s="834">
        <v>94878</v>
      </c>
      <c r="C231" s="2" t="str">
        <f>VLOOKUP($B231,[4]BOLETIM_SEL!$A:$H,2,0)</f>
        <v>SINAPI</v>
      </c>
      <c r="D231" s="315" t="str">
        <f>VLOOKUP($B231,[4]BOLETIM_SEL!$A:$H,4,0)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31" s="2"/>
      <c r="F231" s="2" t="str">
        <f>VLOOKUP($B231,[4]BOLETIM_SEL!$A:$H,6,0)</f>
        <v>M</v>
      </c>
      <c r="G231" s="1407">
        <f>VLOOKUP($B231,[4]BOLETIM_SEL!$A:$H,7,0)</f>
        <v>32.61</v>
      </c>
      <c r="H231" s="1611">
        <f ca="1">Dre_Disp_Estruturais!BM52</f>
        <v>0</v>
      </c>
      <c r="I231" s="877">
        <f t="shared" si="56"/>
        <v>39.36</v>
      </c>
      <c r="J231" s="1612">
        <f t="shared" ca="1" si="59"/>
        <v>0</v>
      </c>
      <c r="K231" s="2078">
        <f t="shared" ca="1" si="53"/>
        <v>0</v>
      </c>
      <c r="L231" s="1574">
        <f t="shared" ca="1" si="54"/>
        <v>0</v>
      </c>
      <c r="M231" s="1448"/>
      <c r="N231" s="1651">
        <v>78</v>
      </c>
      <c r="O231" s="1656">
        <f t="shared" ca="1" si="57"/>
        <v>0</v>
      </c>
      <c r="Q231" s="833"/>
      <c r="R231" s="833"/>
      <c r="S231" s="833"/>
      <c r="T231" s="833"/>
      <c r="U231" s="833"/>
      <c r="V231" s="833"/>
      <c r="W231" s="833"/>
      <c r="X231" s="833"/>
    </row>
    <row r="232" spans="1:24" s="813" customFormat="1" ht="50.1" hidden="1" customHeight="1" x14ac:dyDescent="0.15">
      <c r="A232" s="2081">
        <f t="shared" ca="1" si="55"/>
        <v>4.0799999999999983</v>
      </c>
      <c r="B232" s="834">
        <v>94880</v>
      </c>
      <c r="C232" s="2" t="str">
        <f>VLOOKUP($B232,[4]BOLETIM_SEL!$A:$H,2,0)</f>
        <v>SINAPI</v>
      </c>
      <c r="D232" s="315" t="str">
        <f>VLOOKUP($B232,[4]BOLETIM_SEL!$A:$H,4,0)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32" s="2"/>
      <c r="F232" s="2" t="str">
        <f>VLOOKUP($B232,[4]BOLETIM_SEL!$A:$H,6,0)</f>
        <v>M</v>
      </c>
      <c r="G232" s="1407">
        <f>VLOOKUP($B232,[4]BOLETIM_SEL!$A:$H,7,0)</f>
        <v>42.36</v>
      </c>
      <c r="H232" s="1611">
        <f ca="1">Dre_Disp_Estruturais!BM53</f>
        <v>0</v>
      </c>
      <c r="I232" s="877">
        <f t="shared" si="56"/>
        <v>51.12</v>
      </c>
      <c r="J232" s="1612">
        <f t="shared" ca="1" si="59"/>
        <v>0</v>
      </c>
      <c r="K232" s="2078">
        <f t="shared" ca="1" si="53"/>
        <v>0</v>
      </c>
      <c r="L232" s="1574">
        <f t="shared" ca="1" si="54"/>
        <v>0</v>
      </c>
      <c r="M232" s="1448"/>
      <c r="N232" s="1651">
        <v>72</v>
      </c>
      <c r="O232" s="1656">
        <f t="shared" ca="1" si="57"/>
        <v>0</v>
      </c>
      <c r="Q232" s="833"/>
      <c r="R232" s="833"/>
      <c r="S232" s="833"/>
      <c r="T232" s="833"/>
      <c r="U232" s="833"/>
      <c r="V232" s="833"/>
      <c r="W232" s="833"/>
      <c r="X232" s="833"/>
    </row>
    <row r="233" spans="1:24" s="813" customFormat="1" ht="50.1" hidden="1" customHeight="1" x14ac:dyDescent="0.15">
      <c r="A233" s="2081">
        <f t="shared" ca="1" si="55"/>
        <v>4.0799999999999983</v>
      </c>
      <c r="B233" s="834">
        <v>94882</v>
      </c>
      <c r="C233" s="2" t="str">
        <f>VLOOKUP($B233,[4]BOLETIM_SEL!$A:$H,2,0)</f>
        <v>SINAPI</v>
      </c>
      <c r="D233" s="315" t="str">
        <f>VLOOKUP($B233,[4]BOLETIM_SEL!$A:$H,4,0)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33" s="2"/>
      <c r="F233" s="2" t="str">
        <f>VLOOKUP($B233,[4]BOLETIM_SEL!$A:$H,6,0)</f>
        <v>M</v>
      </c>
      <c r="G233" s="1407">
        <f>VLOOKUP($B233,[4]BOLETIM_SEL!$A:$H,7,0)</f>
        <v>49.08</v>
      </c>
      <c r="H233" s="1611">
        <f ca="1">Dre_Disp_Estruturais!BM54</f>
        <v>0</v>
      </c>
      <c r="I233" s="877">
        <f t="shared" si="56"/>
        <v>59.23</v>
      </c>
      <c r="J233" s="1612">
        <f t="shared" ca="1" si="59"/>
        <v>0</v>
      </c>
      <c r="K233" s="2078">
        <f t="shared" ca="1" si="53"/>
        <v>0</v>
      </c>
      <c r="L233" s="1574">
        <f t="shared" ca="1" si="54"/>
        <v>0</v>
      </c>
      <c r="M233" s="1448"/>
      <c r="N233" s="1651">
        <v>68</v>
      </c>
      <c r="O233" s="1656">
        <f t="shared" ca="1" si="57"/>
        <v>0</v>
      </c>
      <c r="Q233" s="833"/>
      <c r="R233" s="833"/>
      <c r="S233" s="833"/>
      <c r="T233" s="833"/>
      <c r="U233" s="833"/>
      <c r="V233" s="833"/>
      <c r="W233" s="833"/>
      <c r="X233" s="833"/>
    </row>
    <row r="234" spans="1:24" s="813" customFormat="1" ht="50.1" hidden="1" customHeight="1" x14ac:dyDescent="0.15">
      <c r="A234" s="2081">
        <f t="shared" ca="1" si="55"/>
        <v>4.0799999999999983</v>
      </c>
      <c r="B234" s="834">
        <v>94884</v>
      </c>
      <c r="C234" s="2" t="str">
        <f>VLOOKUP($B234,[4]BOLETIM_SEL!$A:$H,2,0)</f>
        <v>SINAPI</v>
      </c>
      <c r="D234" s="315" t="str">
        <f>VLOOKUP($B234,[4]BOLETIM_SEL!$A:$H,4,0)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34" s="2"/>
      <c r="F234" s="2" t="str">
        <f>VLOOKUP($B234,[4]BOLETIM_SEL!$A:$H,6,0)</f>
        <v>M</v>
      </c>
      <c r="G234" s="1407">
        <f>VLOOKUP($B234,[4]BOLETIM_SEL!$A:$H,7,0)</f>
        <v>62.71</v>
      </c>
      <c r="H234" s="1611">
        <f ca="1">Dre_Disp_Estruturais!BM55</f>
        <v>0</v>
      </c>
      <c r="I234" s="877">
        <f t="shared" si="56"/>
        <v>75.69</v>
      </c>
      <c r="J234" s="1612">
        <f t="shared" ca="1" si="59"/>
        <v>0</v>
      </c>
      <c r="K234" s="2078">
        <f t="shared" ca="1" si="53"/>
        <v>0</v>
      </c>
      <c r="L234" s="1574">
        <f t="shared" ca="1" si="54"/>
        <v>0</v>
      </c>
      <c r="M234" s="1448"/>
      <c r="N234" s="1651">
        <v>60</v>
      </c>
      <c r="O234" s="1656">
        <f t="shared" ca="1" si="57"/>
        <v>0</v>
      </c>
      <c r="Q234" s="833"/>
      <c r="R234" s="833"/>
      <c r="S234" s="833"/>
      <c r="T234" s="833"/>
      <c r="U234" s="833"/>
      <c r="V234" s="833"/>
      <c r="W234" s="833"/>
      <c r="X234" s="833"/>
    </row>
    <row r="235" spans="1:24" s="813" customFormat="1" ht="39.950000000000003" hidden="1" customHeight="1" x14ac:dyDescent="0.15">
      <c r="A235" s="2081">
        <f t="shared" ca="1" si="55"/>
        <v>4.0799999999999983</v>
      </c>
      <c r="B235" s="2" t="s">
        <v>2631</v>
      </c>
      <c r="C235" s="2" t="str">
        <f>VLOOKUP($B235,[4]BOLETIM_SEL!$A:$H,2,0)</f>
        <v>COMPOSIÇÃO</v>
      </c>
      <c r="D235" s="315" t="str">
        <f>VLOOKUP($B235,[4]BOLETIM_SEL!$A:$H,4,0)</f>
        <v>Galeria celular em aduela pré-moldada em concreto armado, 1,50m x 1,50m (2950kg/m), assentamento e rejuntamento. Exclusive aquisição e transporte.</v>
      </c>
      <c r="E235" s="2"/>
      <c r="F235" s="2" t="str">
        <f>VLOOKUP($B235,[4]BOLETIM_SEL!$A:$H,6,0)</f>
        <v>M</v>
      </c>
      <c r="G235" s="1407">
        <f>VLOOKUP($B235,[4]BOLETIM_SEL!$A:$H,7,0)</f>
        <v>110.24</v>
      </c>
      <c r="H235" s="1611">
        <f ca="1">Dre_Disp_Estruturais!BM56</f>
        <v>0</v>
      </c>
      <c r="I235" s="877">
        <f t="shared" si="56"/>
        <v>133.05000000000001</v>
      </c>
      <c r="J235" s="1612">
        <f t="shared" ca="1" si="59"/>
        <v>0</v>
      </c>
      <c r="K235" s="2078">
        <f t="shared" ca="1" si="53"/>
        <v>0</v>
      </c>
      <c r="L235" s="1574">
        <f t="shared" ca="1" si="54"/>
        <v>0</v>
      </c>
      <c r="M235" s="1448"/>
      <c r="N235" s="1651">
        <f>VLOOKUP($B235,[4]BOLETIM_SEL!$A:$H,5,0)</f>
        <v>3.32</v>
      </c>
      <c r="O235" s="1656">
        <f t="shared" ca="1" si="57"/>
        <v>0</v>
      </c>
      <c r="Q235" s="833"/>
      <c r="R235" s="833"/>
      <c r="S235" s="833"/>
      <c r="T235" s="833"/>
      <c r="U235" s="833"/>
      <c r="V235" s="833"/>
      <c r="W235" s="833"/>
      <c r="X235" s="833"/>
    </row>
    <row r="236" spans="1:24" s="813" customFormat="1" ht="39.950000000000003" hidden="1" customHeight="1" x14ac:dyDescent="0.15">
      <c r="A236" s="2081">
        <f t="shared" ca="1" si="55"/>
        <v>4.0799999999999983</v>
      </c>
      <c r="B236" s="2">
        <v>37476</v>
      </c>
      <c r="C236" s="2" t="str">
        <f>VLOOKUP($B236,[4]BOLETIM_SEL!$A:$H,2,0)</f>
        <v>SINAPI</v>
      </c>
      <c r="D236" s="315" t="str">
        <f>VLOOKUP($B236,[4]BOLETIM_SEL!$A:$H,4,0)</f>
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6" s="2"/>
      <c r="F236" s="2" t="str">
        <f>VLOOKUP($B236,[4]BOLETIM_SEL!$A:$H,6,0)</f>
        <v xml:space="preserve">UN    </v>
      </c>
      <c r="G236" s="1407">
        <f>VLOOKUP($B236,[4]BOLETIM_SEL!$A:$H,7,0)</f>
        <v>4109.74</v>
      </c>
      <c r="H236" s="1611">
        <f ca="1">H235</f>
        <v>0</v>
      </c>
      <c r="I236" s="877">
        <f t="shared" ref="I236" si="60">TRUNC(G236*(1+$J$5),2)</f>
        <v>4960.45</v>
      </c>
      <c r="J236" s="1612">
        <f t="shared" ref="J236" ca="1" si="61">TRUNC(H236*I236,2)</f>
        <v>0</v>
      </c>
      <c r="K236" s="2078">
        <f t="shared" ca="1" si="53"/>
        <v>0</v>
      </c>
      <c r="L236" s="1574">
        <f t="shared" ref="L236" ca="1" si="62">J236/J$183</f>
        <v>0</v>
      </c>
      <c r="M236" s="1448"/>
      <c r="N236" s="1651">
        <v>3.32</v>
      </c>
      <c r="O236" s="1656">
        <f t="shared" ca="1" si="57"/>
        <v>0</v>
      </c>
      <c r="Q236" s="833"/>
      <c r="R236" s="833"/>
      <c r="S236" s="833"/>
      <c r="T236" s="833"/>
      <c r="U236" s="833"/>
      <c r="V236" s="833"/>
      <c r="W236" s="833"/>
      <c r="X236" s="833"/>
    </row>
    <row r="237" spans="1:24" s="813" customFormat="1" ht="39.950000000000003" hidden="1" customHeight="1" x14ac:dyDescent="0.15">
      <c r="A237" s="2081">
        <f t="shared" ca="1" si="55"/>
        <v>4.0799999999999983</v>
      </c>
      <c r="B237" s="2" t="s">
        <v>2632</v>
      </c>
      <c r="C237" s="2" t="str">
        <f>VLOOKUP($B237,[4]BOLETIM_SEL!$A:$H,2,0)</f>
        <v>COMPOSIÇÃO</v>
      </c>
      <c r="D237" s="315" t="str">
        <f>VLOOKUP($B237,[4]BOLETIM_SEL!$A:$H,4,0)</f>
        <v>Galeria celular em aduela pré-moldada em concreto armado, 2,00m x 2,00m (4080kg/m), assentamento e rejuntamento. Exclusive aquisição e transporte.</v>
      </c>
      <c r="E237" s="2"/>
      <c r="F237" s="2" t="str">
        <f>VLOOKUP($B237,[4]BOLETIM_SEL!$A:$H,6,0)</f>
        <v>M</v>
      </c>
      <c r="G237" s="1407">
        <f>VLOOKUP($B237,[4]BOLETIM_SEL!$A:$H,7,0)</f>
        <v>146.46</v>
      </c>
      <c r="H237" s="1611">
        <f ca="1">Dre_Disp_Estruturais!BM57</f>
        <v>0</v>
      </c>
      <c r="I237" s="877">
        <f t="shared" si="56"/>
        <v>176.77</v>
      </c>
      <c r="J237" s="1612">
        <f t="shared" ca="1" si="59"/>
        <v>0</v>
      </c>
      <c r="K237" s="2078">
        <f t="shared" ca="1" si="53"/>
        <v>0</v>
      </c>
      <c r="L237" s="1574">
        <f t="shared" ca="1" si="54"/>
        <v>0</v>
      </c>
      <c r="M237" s="1448"/>
      <c r="N237" s="1651">
        <f>VLOOKUP($B237,[4]BOLETIM_SEL!$A:$H,5,0)</f>
        <v>2.85</v>
      </c>
      <c r="O237" s="1656">
        <f t="shared" ca="1" si="57"/>
        <v>0</v>
      </c>
      <c r="Q237" s="833"/>
      <c r="R237" s="833"/>
      <c r="S237" s="833"/>
      <c r="T237" s="833"/>
      <c r="U237" s="833"/>
      <c r="V237" s="833"/>
      <c r="W237" s="833"/>
      <c r="X237" s="833"/>
    </row>
    <row r="238" spans="1:24" s="813" customFormat="1" ht="39.950000000000003" hidden="1" customHeight="1" x14ac:dyDescent="0.15">
      <c r="A238" s="2081">
        <f t="shared" ca="1" si="55"/>
        <v>4.0799999999999983</v>
      </c>
      <c r="B238" s="2">
        <v>37478</v>
      </c>
      <c r="C238" s="2" t="str">
        <f>VLOOKUP($B238,[4]BOLETIM_SEL!$A:$H,2,0)</f>
        <v>SINAPI</v>
      </c>
      <c r="D238" s="315" t="str">
        <f>VLOOKUP($B238,[4]BOLETIM_SEL!$A:$H,4,0)</f>
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8" s="2"/>
      <c r="F238" s="2" t="str">
        <f>VLOOKUP($B238,[4]BOLETIM_SEL!$A:$H,6,0)</f>
        <v xml:space="preserve">UN    </v>
      </c>
      <c r="G238" s="1407">
        <f>VLOOKUP($B238,[4]BOLETIM_SEL!$A:$H,7,0)</f>
        <v>5147.5600000000004</v>
      </c>
      <c r="H238" s="1611">
        <f ca="1">H237</f>
        <v>0</v>
      </c>
      <c r="I238" s="877">
        <f t="shared" ref="I238" si="63">TRUNC(G238*(1+$J$5),2)</f>
        <v>6213.1</v>
      </c>
      <c r="J238" s="1612">
        <f t="shared" ref="J238" ca="1" si="64">TRUNC(H238*I238,2)</f>
        <v>0</v>
      </c>
      <c r="K238" s="2078">
        <f t="shared" ca="1" si="53"/>
        <v>0</v>
      </c>
      <c r="L238" s="1574">
        <f t="shared" ref="L238" ca="1" si="65">J238/J$183</f>
        <v>0</v>
      </c>
      <c r="M238" s="1448"/>
      <c r="N238" s="1651">
        <v>2.85</v>
      </c>
      <c r="O238" s="1656">
        <f t="shared" ca="1" si="57"/>
        <v>0</v>
      </c>
      <c r="Q238" s="833"/>
      <c r="R238" s="833"/>
      <c r="S238" s="833"/>
      <c r="T238" s="833"/>
      <c r="U238" s="833"/>
      <c r="V238" s="833"/>
      <c r="W238" s="833"/>
      <c r="X238" s="833"/>
    </row>
    <row r="239" spans="1:24" s="813" customFormat="1" ht="39.950000000000003" hidden="1" customHeight="1" x14ac:dyDescent="0.15">
      <c r="A239" s="2081">
        <f t="shared" ca="1" si="55"/>
        <v>4.0799999999999983</v>
      </c>
      <c r="B239" s="2" t="s">
        <v>2633</v>
      </c>
      <c r="C239" s="2" t="str">
        <f>VLOOKUP($B239,[4]BOLETIM_SEL!$A:$H,2,0)</f>
        <v>COMPOSIÇÃO</v>
      </c>
      <c r="D239" s="315" t="str">
        <f>VLOOKUP($B239,[4]BOLETIM_SEL!$A:$H,4,0)</f>
        <v>Galeria celular em aduela pré-moldada em concreto armado, 2,50m x 2,50m (5000kg/m), assentamento e rejuntamento. Exclusive aquisição e transporte.</v>
      </c>
      <c r="E239" s="2"/>
      <c r="F239" s="2" t="str">
        <f>VLOOKUP($B239,[4]BOLETIM_SEL!$A:$H,6,0)</f>
        <v>M</v>
      </c>
      <c r="G239" s="1407">
        <f>VLOOKUP($B239,[4]BOLETIM_SEL!$A:$H,7,0)</f>
        <v>218.73</v>
      </c>
      <c r="H239" s="1611">
        <f ca="1">Dre_Disp_Estruturais!BM58</f>
        <v>0</v>
      </c>
      <c r="I239" s="877">
        <f t="shared" si="56"/>
        <v>264</v>
      </c>
      <c r="J239" s="1612">
        <f t="shared" ca="1" si="59"/>
        <v>0</v>
      </c>
      <c r="K239" s="2078">
        <f t="shared" ca="1" si="53"/>
        <v>0</v>
      </c>
      <c r="L239" s="1574">
        <f t="shared" ca="1" si="54"/>
        <v>0</v>
      </c>
      <c r="M239" s="1448"/>
      <c r="N239" s="1651">
        <f>VLOOKUP($B239,[4]BOLETIM_SEL!$A:$H,5,0)</f>
        <v>2.4900000000000002</v>
      </c>
      <c r="O239" s="1656">
        <f t="shared" ca="1" si="57"/>
        <v>0</v>
      </c>
      <c r="Q239" s="833"/>
      <c r="R239" s="833"/>
      <c r="S239" s="833"/>
      <c r="T239" s="833"/>
      <c r="U239" s="833"/>
      <c r="V239" s="833"/>
      <c r="W239" s="833"/>
      <c r="X239" s="833"/>
    </row>
    <row r="240" spans="1:24" s="813" customFormat="1" ht="39.950000000000003" hidden="1" customHeight="1" x14ac:dyDescent="0.15">
      <c r="A240" s="2081">
        <f t="shared" ca="1" si="55"/>
        <v>4.0799999999999983</v>
      </c>
      <c r="B240" s="2">
        <v>37477</v>
      </c>
      <c r="C240" s="2" t="str">
        <f>VLOOKUP($B240,[4]BOLETIM_SEL!$A:$H,2,0)</f>
        <v>SINAPI</v>
      </c>
      <c r="D240" s="315" t="str">
        <f>VLOOKUP($B240,[4]BOLETIM_SEL!$A:$H,4,0)</f>
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0" s="2"/>
      <c r="F240" s="2" t="str">
        <f>VLOOKUP($B240,[4]BOLETIM_SEL!$A:$H,6,0)</f>
        <v xml:space="preserve">UN    </v>
      </c>
      <c r="G240" s="1407">
        <f>VLOOKUP($B240,[4]BOLETIM_SEL!$A:$H,7,0)</f>
        <v>6974.11</v>
      </c>
      <c r="H240" s="1611">
        <f ca="1">H239</f>
        <v>0</v>
      </c>
      <c r="I240" s="877">
        <f t="shared" ref="I240" si="66">TRUNC(G240*(1+$J$5),2)</f>
        <v>8417.75</v>
      </c>
      <c r="J240" s="1612">
        <f t="shared" ref="J240" ca="1" si="67">TRUNC(H240*I240,2)</f>
        <v>0</v>
      </c>
      <c r="K240" s="2078">
        <f t="shared" ca="1" si="53"/>
        <v>0</v>
      </c>
      <c r="L240" s="1574">
        <f t="shared" ref="L240" ca="1" si="68">J240/J$183</f>
        <v>0</v>
      </c>
      <c r="M240" s="1448"/>
      <c r="N240" s="1651">
        <v>2.4900000000000002</v>
      </c>
      <c r="O240" s="1656">
        <f t="shared" ca="1" si="57"/>
        <v>0</v>
      </c>
      <c r="Q240" s="833"/>
      <c r="R240" s="833"/>
      <c r="S240" s="833"/>
      <c r="T240" s="833"/>
      <c r="U240" s="833"/>
      <c r="V240" s="833"/>
      <c r="W240" s="833"/>
      <c r="X240" s="833"/>
    </row>
    <row r="241" spans="1:24" s="813" customFormat="1" ht="39.950000000000003" hidden="1" customHeight="1" x14ac:dyDescent="0.15">
      <c r="A241" s="2081">
        <f t="shared" ca="1" si="55"/>
        <v>4.0799999999999983</v>
      </c>
      <c r="B241" s="2" t="s">
        <v>2634</v>
      </c>
      <c r="C241" s="2" t="str">
        <f>VLOOKUP($B241,[4]BOLETIM_SEL!$A:$H,2,0)</f>
        <v>COMPOSIÇÃO</v>
      </c>
      <c r="D241" s="315" t="str">
        <f>VLOOKUP($B241,[4]BOLETIM_SEL!$A:$H,4,0)</f>
        <v>Galeria celular em aduela pré-moldada em concreto armado, 3,00m x 3,00m (6700kg/m), assentamento e rejuntamento. Exclusive aquisição e transporte.</v>
      </c>
      <c r="E241" s="2"/>
      <c r="F241" s="2" t="str">
        <f>VLOOKUP($B241,[4]BOLETIM_SEL!$A:$H,6,0)</f>
        <v>M</v>
      </c>
      <c r="G241" s="1407">
        <f>VLOOKUP($B241,[4]BOLETIM_SEL!$A:$H,7,0)</f>
        <v>292.88</v>
      </c>
      <c r="H241" s="1611">
        <f ca="1">Dre_Disp_Estruturais!BM59</f>
        <v>0</v>
      </c>
      <c r="I241" s="877">
        <f t="shared" si="56"/>
        <v>353.5</v>
      </c>
      <c r="J241" s="1612">
        <f t="shared" ca="1" si="59"/>
        <v>0</v>
      </c>
      <c r="K241" s="2078">
        <f t="shared" ca="1" si="53"/>
        <v>0</v>
      </c>
      <c r="L241" s="1574">
        <f t="shared" ca="1" si="54"/>
        <v>0</v>
      </c>
      <c r="M241" s="1448"/>
      <c r="N241" s="1651">
        <f>VLOOKUP($B241,[4]BOLETIM_SEL!$A:$H,5,0)</f>
        <v>1.99</v>
      </c>
      <c r="O241" s="1656">
        <f t="shared" ca="1" si="57"/>
        <v>0</v>
      </c>
      <c r="Q241" s="833"/>
      <c r="R241" s="833"/>
      <c r="S241" s="833"/>
      <c r="T241" s="833"/>
      <c r="U241" s="833"/>
      <c r="V241" s="833"/>
      <c r="W241" s="833"/>
      <c r="X241" s="833"/>
    </row>
    <row r="242" spans="1:24" s="813" customFormat="1" ht="39.950000000000003" hidden="1" customHeight="1" x14ac:dyDescent="0.15">
      <c r="A242" s="2081">
        <f t="shared" ca="1" si="55"/>
        <v>4.0799999999999983</v>
      </c>
      <c r="B242" s="2">
        <v>37479</v>
      </c>
      <c r="C242" s="2" t="str">
        <f>VLOOKUP($B242,[4]BOLETIM_SEL!$A:$H,2,0)</f>
        <v>SINAPI</v>
      </c>
      <c r="D242" s="315" t="str">
        <f>VLOOKUP($B242,[4]BOLETIM_SEL!$A:$H,4,0)</f>
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2" s="2"/>
      <c r="F242" s="2" t="str">
        <f>VLOOKUP($B242,[4]BOLETIM_SEL!$A:$H,6,0)</f>
        <v xml:space="preserve">UN    </v>
      </c>
      <c r="G242" s="1407">
        <f>VLOOKUP($B242,[4]BOLETIM_SEL!$A:$H,7,0)</f>
        <v>8271.3799999999992</v>
      </c>
      <c r="H242" s="1611">
        <f ca="1">H241</f>
        <v>0</v>
      </c>
      <c r="I242" s="877">
        <f t="shared" ref="I242" si="69">TRUNC(G242*(1+$J$5),2)</f>
        <v>9983.5499999999993</v>
      </c>
      <c r="J242" s="1612">
        <f t="shared" ref="J242" ca="1" si="70">TRUNC(H242*I242,2)</f>
        <v>0</v>
      </c>
      <c r="K242" s="2078">
        <f t="shared" ca="1" si="53"/>
        <v>0</v>
      </c>
      <c r="L242" s="1574">
        <f t="shared" ref="L242" ca="1" si="71">J242/J$183</f>
        <v>0</v>
      </c>
      <c r="M242" s="1448"/>
      <c r="N242" s="1651">
        <v>1.99</v>
      </c>
      <c r="O242" s="1656">
        <f t="shared" ca="1" si="57"/>
        <v>0</v>
      </c>
      <c r="Q242" s="833"/>
      <c r="R242" s="833"/>
      <c r="S242" s="833"/>
      <c r="T242" s="833"/>
      <c r="U242" s="833"/>
      <c r="V242" s="833"/>
      <c r="W242" s="833"/>
      <c r="X242" s="833"/>
    </row>
    <row r="243" spans="1:24" s="813" customFormat="1" ht="24.95" customHeight="1" x14ac:dyDescent="0.15">
      <c r="A243" s="2081"/>
      <c r="B243" s="834"/>
      <c r="C243" s="834"/>
      <c r="D243" s="835"/>
      <c r="E243" s="2"/>
      <c r="F243" s="834"/>
      <c r="G243" s="1821"/>
      <c r="H243" s="834"/>
      <c r="I243" s="877"/>
      <c r="J243" s="839" t="str">
        <f ca="1">IF(J183=0,0,"")</f>
        <v/>
      </c>
      <c r="K243" s="2078"/>
      <c r="L243" s="1574"/>
      <c r="M243" s="1447"/>
      <c r="N243" s="833"/>
      <c r="O243" s="833"/>
      <c r="Q243" s="833"/>
      <c r="R243" s="833"/>
      <c r="S243" s="833"/>
      <c r="T243" s="833"/>
      <c r="U243" s="833"/>
      <c r="V243" s="833"/>
      <c r="W243" s="833"/>
      <c r="X243" s="833"/>
    </row>
    <row r="244" spans="1:24" s="833" customFormat="1" ht="24.95" customHeight="1" x14ac:dyDescent="0.15">
      <c r="A244" s="2082">
        <f ca="1">IF(J244&gt;0,INT(A241)+1,IF(J244=0,INT(A241),0))</f>
        <v>5</v>
      </c>
      <c r="B244" s="1633"/>
      <c r="C244" s="1633"/>
      <c r="D244" s="1634" t="s">
        <v>745</v>
      </c>
      <c r="E244" s="1828"/>
      <c r="F244" s="1635"/>
      <c r="G244" s="1823" t="s">
        <v>646</v>
      </c>
      <c r="H244" s="1635"/>
      <c r="I244" s="1640" t="str">
        <f ca="1">CONCATENATE("SUB-TOTAL ",A244)</f>
        <v>SUB-TOTAL 5</v>
      </c>
      <c r="J244" s="1639">
        <f ca="1">SUM(J245:J292)</f>
        <v>731704.34999999986</v>
      </c>
      <c r="K244" s="2079">
        <f t="shared" ref="K244:K288" ca="1" si="72">J244/J$967</f>
        <v>5.4602121682109872E-2</v>
      </c>
      <c r="L244" s="1610">
        <f t="shared" ref="L244" ca="1" si="73">J244/J$183</f>
        <v>0.64544247941589239</v>
      </c>
      <c r="M244" s="1445"/>
      <c r="N244" s="1655" t="s">
        <v>1962</v>
      </c>
      <c r="O244" s="1655" t="s">
        <v>1988</v>
      </c>
    </row>
    <row r="245" spans="1:24" s="813" customFormat="1" ht="39.950000000000003" customHeight="1" x14ac:dyDescent="0.15">
      <c r="A245" s="2081">
        <f t="shared" ca="1" si="55"/>
        <v>5.01</v>
      </c>
      <c r="B245" s="834" t="s">
        <v>1729</v>
      </c>
      <c r="C245" s="2" t="str">
        <f>VLOOKUP($B245,[4]BOLETIM_SEL!$A:$H,2,0)</f>
        <v>COMPOSIÇÃO</v>
      </c>
      <c r="D245" s="315" t="str">
        <f>VLOOKUP($B245,[4]BOLETIM_SEL!$A:$H,4,0)</f>
        <v>PV-1 - Poço de Visita, com dimensões internas de 1,98m x 1,98m x 1,50m (bxbxh), em alvenaria de bloco de concreto estrutural FBK 14mpa, conforme projeto tipo. Exclusive pescoço e tampão</v>
      </c>
      <c r="E245" s="2"/>
      <c r="F245" s="2" t="str">
        <f>VLOOKUP($B245,[4]BOLETIM_SEL!$A:$H,6,0)</f>
        <v>UN</v>
      </c>
      <c r="G245" s="1407">
        <f>VLOOKUP($B245,[4]BOLETIM_SEL!$A:$H,7,0)</f>
        <v>6685.82</v>
      </c>
      <c r="H245" s="1611">
        <f>Dre_Disp_Estruturais!BM60</f>
        <v>29</v>
      </c>
      <c r="I245" s="877">
        <f t="shared" si="56"/>
        <v>8069.78</v>
      </c>
      <c r="J245" s="1612">
        <f t="shared" si="47"/>
        <v>234023.62</v>
      </c>
      <c r="K245" s="2078">
        <f t="shared" ca="1" si="72"/>
        <v>1.7463591921693295E-2</v>
      </c>
      <c r="L245" s="1574">
        <f t="shared" ca="1" si="54"/>
        <v>0.20643417732132199</v>
      </c>
      <c r="M245" s="1445"/>
      <c r="N245" s="1877"/>
      <c r="O245" s="1656">
        <f t="shared" ref="O245:O271" si="74">N245*H245</f>
        <v>0</v>
      </c>
      <c r="Q245" s="833"/>
      <c r="R245" s="833"/>
      <c r="S245" s="833"/>
      <c r="T245" s="833"/>
      <c r="U245" s="833"/>
      <c r="V245" s="833"/>
      <c r="W245" s="833"/>
      <c r="X245" s="833"/>
    </row>
    <row r="246" spans="1:24" s="813" customFormat="1" ht="39.950000000000003" hidden="1" customHeight="1" x14ac:dyDescent="0.15">
      <c r="A246" s="2081">
        <f t="shared" ca="1" si="55"/>
        <v>5.01</v>
      </c>
      <c r="B246" s="834" t="s">
        <v>1730</v>
      </c>
      <c r="C246" s="2" t="str">
        <f>VLOOKUP($B246,[4]BOLETIM_SEL!$A:$H,2,0)</f>
        <v>COMPOSIÇÃO</v>
      </c>
      <c r="D246" s="315" t="str">
        <f>VLOOKUP($B246,[4]BOLETIM_SEL!$A:$H,4,0)</f>
        <v>PV-2 - Poço de Visita, com dimensões internas de 1,98m x 2,68m x 2,00m (bxbxh), em alvenaria de bloco de concreto estrutural FBK 14mpa, conforme projeto tipo. Exclusive pescoço e tampão</v>
      </c>
      <c r="E246" s="2"/>
      <c r="F246" s="2" t="str">
        <f>VLOOKUP($B246,[4]BOLETIM_SEL!$A:$H,6,0)</f>
        <v>UN</v>
      </c>
      <c r="G246" s="1407">
        <f>VLOOKUP($B246,[4]BOLETIM_SEL!$A:$H,7,0)</f>
        <v>9028.94</v>
      </c>
      <c r="H246" s="1611">
        <f>Dre_Disp_Estruturais!BM61</f>
        <v>0</v>
      </c>
      <c r="I246" s="877">
        <f t="shared" si="56"/>
        <v>10897.93</v>
      </c>
      <c r="J246" s="1612">
        <f t="shared" si="47"/>
        <v>0</v>
      </c>
      <c r="K246" s="2078">
        <f t="shared" ca="1" si="72"/>
        <v>0</v>
      </c>
      <c r="L246" s="1574">
        <f t="shared" ca="1" si="54"/>
        <v>0</v>
      </c>
      <c r="M246" s="1445"/>
      <c r="N246" s="1877">
        <f>VLOOKUP($B246,[4]BOLETIM_SEL!$A:$H,3,0)</f>
        <v>0</v>
      </c>
      <c r="O246" s="1656">
        <f t="shared" si="74"/>
        <v>0</v>
      </c>
      <c r="Q246" s="833"/>
      <c r="R246" s="833"/>
      <c r="S246" s="833"/>
      <c r="T246" s="833"/>
      <c r="U246" s="833"/>
      <c r="V246" s="833"/>
      <c r="W246" s="833"/>
      <c r="X246" s="833"/>
    </row>
    <row r="247" spans="1:24" s="813" customFormat="1" ht="39.950000000000003" hidden="1" customHeight="1" x14ac:dyDescent="0.15">
      <c r="A247" s="2081">
        <f t="shared" ca="1" si="55"/>
        <v>5.01</v>
      </c>
      <c r="B247" s="834" t="s">
        <v>276</v>
      </c>
      <c r="C247" s="2" t="str">
        <f>VLOOKUP($B247,[4]BOLETIM_SEL!$A:$H,2,0)</f>
        <v>COMPOSIÇÃO</v>
      </c>
      <c r="D247" s="315" t="str">
        <f>VLOOKUP($B247,[4]BOLETIM_SEL!$A:$H,4,0)</f>
        <v>PV-3 - Poço de Visita, com dimensões internas de 1,98m x 3,48m x 2,00m (bxbxh), em alvenaria de bloco de concreto estrutural FBK 14mpa, conforme projeto tipo. Exclusive pescoço e tampão</v>
      </c>
      <c r="E247" s="2"/>
      <c r="F247" s="2" t="str">
        <f>VLOOKUP($B247,[4]BOLETIM_SEL!$A:$H,6,0)</f>
        <v>UN</v>
      </c>
      <c r="G247" s="1407">
        <f>VLOOKUP($B247,[4]BOLETIM_SEL!$A:$H,7,0)</f>
        <v>10832.93</v>
      </c>
      <c r="H247" s="1611">
        <f>Dre_Disp_Estruturais!BM62</f>
        <v>0</v>
      </c>
      <c r="I247" s="877">
        <f t="shared" si="56"/>
        <v>13075.34</v>
      </c>
      <c r="J247" s="1612">
        <f t="shared" si="47"/>
        <v>0</v>
      </c>
      <c r="K247" s="2078">
        <f t="shared" ca="1" si="72"/>
        <v>0</v>
      </c>
      <c r="L247" s="1574">
        <f t="shared" ca="1" si="54"/>
        <v>0</v>
      </c>
      <c r="M247" s="1445"/>
      <c r="N247" s="1877">
        <f>VLOOKUP($B247,[4]BOLETIM_SEL!$A:$H,3,0)</f>
        <v>0</v>
      </c>
      <c r="O247" s="1656">
        <f t="shared" si="74"/>
        <v>0</v>
      </c>
      <c r="Q247" s="833"/>
      <c r="R247" s="833"/>
      <c r="S247" s="833"/>
      <c r="T247" s="833"/>
      <c r="U247" s="833"/>
      <c r="V247" s="833"/>
      <c r="W247" s="833"/>
      <c r="X247" s="833"/>
    </row>
    <row r="248" spans="1:24" s="813" customFormat="1" ht="39.950000000000003" hidden="1" customHeight="1" x14ac:dyDescent="0.15">
      <c r="A248" s="2081">
        <f t="shared" ca="1" si="55"/>
        <v>5.01</v>
      </c>
      <c r="B248" s="834" t="s">
        <v>277</v>
      </c>
      <c r="C248" s="2" t="str">
        <f>VLOOKUP($B248,[4]BOLETIM_SEL!$A:$H,2,0)</f>
        <v>COMPOSIÇÃO</v>
      </c>
      <c r="D248" s="315" t="str">
        <f>VLOOKUP($B248,[4]BOLETIM_SEL!$A:$H,4,0)</f>
        <v>PV-4 - Poço de Visita, com dimensões internas de 1,98m x 4,98m x 2,00m (bxbxh), em alvenaria de bloco de concreto estrutural FBK 14mpa, conforme projeto tipo. Exclusive pescoço e tampão</v>
      </c>
      <c r="E248" s="2"/>
      <c r="F248" s="2" t="str">
        <f>VLOOKUP($B248,[4]BOLETIM_SEL!$A:$H,6,0)</f>
        <v>UN</v>
      </c>
      <c r="G248" s="1407">
        <f>VLOOKUP($B248,[4]BOLETIM_SEL!$A:$H,7,0)</f>
        <v>14215.41</v>
      </c>
      <c r="H248" s="1611">
        <f>Dre_Disp_Estruturais!BM63</f>
        <v>0</v>
      </c>
      <c r="I248" s="877">
        <f t="shared" si="56"/>
        <v>17157.990000000002</v>
      </c>
      <c r="J248" s="1612">
        <f t="shared" si="47"/>
        <v>0</v>
      </c>
      <c r="K248" s="2078">
        <f t="shared" ca="1" si="72"/>
        <v>0</v>
      </c>
      <c r="L248" s="1574">
        <f t="shared" ca="1" si="54"/>
        <v>0</v>
      </c>
      <c r="M248" s="1445"/>
      <c r="N248" s="1877">
        <f>VLOOKUP($B248,[4]BOLETIM_SEL!$A:$H,3,0)</f>
        <v>0</v>
      </c>
      <c r="O248" s="1656">
        <f t="shared" si="74"/>
        <v>0</v>
      </c>
      <c r="Q248" s="833"/>
      <c r="R248" s="833"/>
      <c r="S248" s="833"/>
      <c r="T248" s="833"/>
      <c r="U248" s="833"/>
      <c r="V248" s="833"/>
      <c r="W248" s="833"/>
      <c r="X248" s="833"/>
    </row>
    <row r="249" spans="1:24" s="813" customFormat="1" ht="39.950000000000003" hidden="1" customHeight="1" x14ac:dyDescent="0.15">
      <c r="A249" s="2081">
        <f t="shared" ca="1" si="55"/>
        <v>5.01</v>
      </c>
      <c r="B249" s="834" t="s">
        <v>278</v>
      </c>
      <c r="C249" s="2" t="str">
        <f>VLOOKUP($B249,[4]BOLETIM_SEL!$A:$H,2,0)</f>
        <v>COMPOSIÇÃO</v>
      </c>
      <c r="D249" s="315" t="str">
        <f>VLOOKUP($B249,[4]BOLETIM_SEL!$A:$H,4,0)</f>
        <v>PV-5 - Poço de Visita, com dimensões internas de 1,98m x 6,58m x 2,00m (bxbxh), em alvenaria de bloco de concreto estrutural FBK 14mpa, conforme projeto tipo. Exclusive pescoço e tampão</v>
      </c>
      <c r="E249" s="2"/>
      <c r="F249" s="2" t="str">
        <f>VLOOKUP($B249,[4]BOLETIM_SEL!$A:$H,6,0)</f>
        <v>UN</v>
      </c>
      <c r="G249" s="1407">
        <f>VLOOKUP($B249,[4]BOLETIM_SEL!$A:$H,7,0)</f>
        <v>17823.39</v>
      </c>
      <c r="H249" s="1611">
        <f>Dre_Disp_Estruturais!BM64</f>
        <v>0</v>
      </c>
      <c r="I249" s="877">
        <f t="shared" si="56"/>
        <v>21512.83</v>
      </c>
      <c r="J249" s="1612">
        <f t="shared" si="47"/>
        <v>0</v>
      </c>
      <c r="K249" s="2078">
        <f t="shared" ca="1" si="72"/>
        <v>0</v>
      </c>
      <c r="L249" s="1574">
        <f t="shared" ca="1" si="54"/>
        <v>0</v>
      </c>
      <c r="M249" s="1445"/>
      <c r="N249" s="1877">
        <f>VLOOKUP($B249,[4]BOLETIM_SEL!$A:$H,3,0)</f>
        <v>0</v>
      </c>
      <c r="O249" s="1656">
        <f t="shared" si="74"/>
        <v>0</v>
      </c>
      <c r="Q249" s="833"/>
      <c r="R249" s="833"/>
      <c r="S249" s="833"/>
      <c r="T249" s="833"/>
      <c r="U249" s="833"/>
      <c r="V249" s="833"/>
      <c r="W249" s="833"/>
      <c r="X249" s="833"/>
    </row>
    <row r="250" spans="1:24" s="813" customFormat="1" ht="39.950000000000003" hidden="1" customHeight="1" x14ac:dyDescent="0.15">
      <c r="A250" s="2081">
        <f t="shared" ca="1" si="55"/>
        <v>5.01</v>
      </c>
      <c r="B250" s="834" t="s">
        <v>279</v>
      </c>
      <c r="C250" s="2" t="str">
        <f>VLOOKUP($B250,[4]BOLETIM_SEL!$A:$H,2,0)</f>
        <v>COMPOSIÇÃO</v>
      </c>
      <c r="D250" s="315" t="str">
        <f>VLOOKUP($B250,[4]BOLETIM_SEL!$A:$H,4,0)</f>
        <v>PV-6 - Poço de Visita, com dimensões internas de 1,98m x 8,78m x 2,00m (bxbxh), em alvenaria de bloco de concreto estrutural FBK 14mpa, conforme projeto tipo. Exclusive pescoço e tampão</v>
      </c>
      <c r="E250" s="2"/>
      <c r="F250" s="2" t="str">
        <f>VLOOKUP($B250,[4]BOLETIM_SEL!$A:$H,6,0)</f>
        <v>UN</v>
      </c>
      <c r="G250" s="1407">
        <f>VLOOKUP($B250,[4]BOLETIM_SEL!$A:$H,7,0)</f>
        <v>22784.36</v>
      </c>
      <c r="H250" s="1611">
        <f>Dre_Disp_Estruturais!BM65</f>
        <v>0</v>
      </c>
      <c r="I250" s="877">
        <f t="shared" si="56"/>
        <v>27500.720000000001</v>
      </c>
      <c r="J250" s="1612">
        <f t="shared" si="47"/>
        <v>0</v>
      </c>
      <c r="K250" s="2078">
        <f t="shared" ca="1" si="72"/>
        <v>0</v>
      </c>
      <c r="L250" s="1574">
        <f t="shared" ca="1" si="54"/>
        <v>0</v>
      </c>
      <c r="M250" s="1445"/>
      <c r="N250" s="1877">
        <f>VLOOKUP($B250,[4]BOLETIM_SEL!$A:$H,3,0)</f>
        <v>0</v>
      </c>
      <c r="O250" s="1656">
        <f t="shared" si="74"/>
        <v>0</v>
      </c>
      <c r="Q250" s="833"/>
      <c r="R250" s="833"/>
      <c r="S250" s="833"/>
      <c r="T250" s="833"/>
      <c r="U250" s="833"/>
      <c r="V250" s="833"/>
      <c r="W250" s="833"/>
      <c r="X250" s="833"/>
    </row>
    <row r="251" spans="1:24" s="813" customFormat="1" ht="39.950000000000003" hidden="1" customHeight="1" x14ac:dyDescent="0.15">
      <c r="A251" s="2081">
        <f t="shared" ca="1" si="55"/>
        <v>5.01</v>
      </c>
      <c r="B251" s="834" t="s">
        <v>280</v>
      </c>
      <c r="C251" s="2" t="str">
        <f>VLOOKUP($B251,[4]BOLETIM_SEL!$A:$H,2,0)</f>
        <v>COMPOSIÇÃO</v>
      </c>
      <c r="D251" s="315" t="str">
        <f>VLOOKUP($B251,[4]BOLETIM_SEL!$A:$H,4,0)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251" s="2"/>
      <c r="F251" s="2" t="str">
        <f>VLOOKUP($B251,[4]BOLETIM_SEL!$A:$H,6,0)</f>
        <v>UN</v>
      </c>
      <c r="G251" s="1407">
        <f>VLOOKUP($B251,[4]BOLETIM_SEL!$A:$H,7,0)</f>
        <v>1780.19</v>
      </c>
      <c r="H251" s="1611">
        <f>Dre_Disp_Estruturais!BM66</f>
        <v>0</v>
      </c>
      <c r="I251" s="877">
        <f t="shared" si="56"/>
        <v>2148.6799999999998</v>
      </c>
      <c r="J251" s="1612">
        <f t="shared" si="47"/>
        <v>0</v>
      </c>
      <c r="K251" s="2078">
        <f t="shared" ca="1" si="72"/>
        <v>0</v>
      </c>
      <c r="L251" s="1574">
        <f t="shared" ca="1" si="54"/>
        <v>0</v>
      </c>
      <c r="M251" s="1445"/>
      <c r="N251" s="1651">
        <f>VLOOKUP($B251,[4]BOLETIM_SEL!$A:$H,3,0)</f>
        <v>0</v>
      </c>
      <c r="O251" s="1656">
        <f t="shared" si="74"/>
        <v>0</v>
      </c>
      <c r="Q251" s="833"/>
      <c r="R251" s="833"/>
      <c r="S251" s="833"/>
      <c r="T251" s="833"/>
      <c r="U251" s="833"/>
      <c r="V251" s="833"/>
      <c r="W251" s="833"/>
      <c r="X251" s="833"/>
    </row>
    <row r="252" spans="1:24" s="813" customFormat="1" ht="39.950000000000003" customHeight="1" x14ac:dyDescent="0.15">
      <c r="A252" s="2081">
        <f t="shared" ca="1" si="55"/>
        <v>5.0199999999999996</v>
      </c>
      <c r="B252" s="834" t="s">
        <v>281</v>
      </c>
      <c r="C252" s="2" t="str">
        <f>VLOOKUP($B252,[4]BOLETIM_SEL!$A:$H,2,0)</f>
        <v>COMPOSIÇÃO</v>
      </c>
      <c r="D252" s="315" t="str">
        <f>VLOOKUP($B252,[4]BOLETIM_SEL!$A:$H,4,0)</f>
        <v>APV-1 - Acréscimo para Poço de Visita, com dimensões internas de 1,98m x 1,98m, em alvenaria de bloco de concreto estrutural FBK 14mpa, conforme projeto tipo</v>
      </c>
      <c r="E252" s="2"/>
      <c r="F252" s="2" t="str">
        <f>VLOOKUP($B252,[4]BOLETIM_SEL!$A:$H,6,0)</f>
        <v>M</v>
      </c>
      <c r="G252" s="1407">
        <f>VLOOKUP($B252,[4]BOLETIM_SEL!$A:$H,7,0)</f>
        <v>1650.98</v>
      </c>
      <c r="H252" s="1611">
        <f ca="1">Dre_Disp_Estruturais!BM76</f>
        <v>0.96</v>
      </c>
      <c r="I252" s="877">
        <f t="shared" si="56"/>
        <v>1992.73</v>
      </c>
      <c r="J252" s="1612">
        <f ca="1">TRUNC(H252*I252,2)</f>
        <v>1913.02</v>
      </c>
      <c r="K252" s="2078">
        <f t="shared" ca="1" si="72"/>
        <v>1.4275567832869909E-4</v>
      </c>
      <c r="L252" s="1574">
        <f t="shared" ca="1" si="54"/>
        <v>1.6874908178039268E-3</v>
      </c>
      <c r="M252" s="1445"/>
      <c r="N252" s="1651">
        <f>VLOOKUP($B252,[4]BOLETIM_SEL!$A:$H,3,0)</f>
        <v>0</v>
      </c>
      <c r="O252" s="1656">
        <f t="shared" ca="1" si="74"/>
        <v>0</v>
      </c>
      <c r="Q252" s="833"/>
      <c r="R252" s="833"/>
      <c r="S252" s="833"/>
      <c r="T252" s="833"/>
      <c r="U252" s="833"/>
      <c r="V252" s="833"/>
      <c r="W252" s="833"/>
      <c r="X252" s="833"/>
    </row>
    <row r="253" spans="1:24" s="813" customFormat="1" ht="39.950000000000003" hidden="1" customHeight="1" x14ac:dyDescent="0.15">
      <c r="A253" s="2081">
        <f t="shared" ca="1" si="55"/>
        <v>5.0199999999999996</v>
      </c>
      <c r="B253" s="834" t="s">
        <v>1731</v>
      </c>
      <c r="C253" s="2" t="str">
        <f>VLOOKUP($B253,[4]BOLETIM_SEL!$A:$H,2,0)</f>
        <v>COMPOSIÇÃO</v>
      </c>
      <c r="D253" s="315" t="str">
        <f>VLOOKUP($B253,[4]BOLETIM_SEL!$A:$H,4,0)</f>
        <v>APV-2 - Acréscimo para Poço de Visita, com dimensões internas de 1,98m x 2,68m, em alvenaria de bloco de concreto estrutural FBK 14mpa, conforme projeto tipo</v>
      </c>
      <c r="E253" s="2"/>
      <c r="F253" s="2" t="str">
        <f>VLOOKUP($B253,[4]BOLETIM_SEL!$A:$H,6,0)</f>
        <v>M</v>
      </c>
      <c r="G253" s="1407">
        <f>VLOOKUP($B253,[4]BOLETIM_SEL!$A:$H,7,0)</f>
        <v>1909.1</v>
      </c>
      <c r="H253" s="1611">
        <f>Dre_Disp_Estruturais!BM77</f>
        <v>0</v>
      </c>
      <c r="I253" s="877">
        <f t="shared" si="56"/>
        <v>2304.2800000000002</v>
      </c>
      <c r="J253" s="1612">
        <f>TRUNC(H253*I253,2)</f>
        <v>0</v>
      </c>
      <c r="K253" s="2078">
        <f t="shared" ca="1" si="72"/>
        <v>0</v>
      </c>
      <c r="L253" s="1574">
        <f t="shared" ref="L253:L288" ca="1" si="75">J253/J$183</f>
        <v>0</v>
      </c>
      <c r="M253" s="1445"/>
      <c r="N253" s="1651">
        <f>VLOOKUP($B253,[4]BOLETIM_SEL!$A:$H,3,0)</f>
        <v>0</v>
      </c>
      <c r="O253" s="1656">
        <f t="shared" si="74"/>
        <v>0</v>
      </c>
      <c r="Q253" s="833"/>
      <c r="R253" s="833"/>
      <c r="S253" s="833"/>
      <c r="T253" s="833"/>
      <c r="U253" s="833"/>
      <c r="V253" s="833"/>
      <c r="W253" s="833"/>
      <c r="X253" s="833"/>
    </row>
    <row r="254" spans="1:24" s="813" customFormat="1" ht="39.950000000000003" hidden="1" customHeight="1" x14ac:dyDescent="0.15">
      <c r="A254" s="2081">
        <f t="shared" ref="A254:A288" ca="1" si="76">IF(H254&gt;0,A253+0.01,A253)</f>
        <v>5.0199999999999996</v>
      </c>
      <c r="B254" s="834" t="s">
        <v>1732</v>
      </c>
      <c r="C254" s="2" t="str">
        <f>VLOOKUP($B254,[4]BOLETIM_SEL!$A:$H,2,0)</f>
        <v>COMPOSIÇÃO</v>
      </c>
      <c r="D254" s="315" t="str">
        <f>VLOOKUP($B254,[4]BOLETIM_SEL!$A:$H,4,0)</f>
        <v>APV-3 - Acréscimo para Poço de Visita, com dimensões internas de 1,98m x 3,48m, em alvenaria de bloco de concreto estrutural FBK 14mpa, conforme projeto tipo</v>
      </c>
      <c r="E254" s="2"/>
      <c r="F254" s="2" t="str">
        <f>VLOOKUP($B254,[4]BOLETIM_SEL!$A:$H,6,0)</f>
        <v>M</v>
      </c>
      <c r="G254" s="1407">
        <f>VLOOKUP($B254,[4]BOLETIM_SEL!$A:$H,7,0)</f>
        <v>2204.09</v>
      </c>
      <c r="H254" s="1611">
        <f>Dre_Disp_Estruturais!BM78</f>
        <v>0</v>
      </c>
      <c r="I254" s="877">
        <f t="shared" si="56"/>
        <v>2660.33</v>
      </c>
      <c r="J254" s="1612">
        <f t="shared" si="47"/>
        <v>0</v>
      </c>
      <c r="K254" s="2078">
        <f t="shared" ca="1" si="72"/>
        <v>0</v>
      </c>
      <c r="L254" s="1574">
        <f t="shared" ca="1" si="75"/>
        <v>0</v>
      </c>
      <c r="M254" s="1445"/>
      <c r="N254" s="1651">
        <f>VLOOKUP($B254,[4]BOLETIM_SEL!$A:$H,3,0)</f>
        <v>0</v>
      </c>
      <c r="O254" s="1656">
        <f t="shared" si="74"/>
        <v>0</v>
      </c>
      <c r="Q254" s="833"/>
      <c r="R254" s="833"/>
      <c r="S254" s="833"/>
      <c r="T254" s="833"/>
      <c r="U254" s="833"/>
      <c r="V254" s="833"/>
      <c r="W254" s="833"/>
      <c r="X254" s="833"/>
    </row>
    <row r="255" spans="1:24" s="813" customFormat="1" ht="39.950000000000003" hidden="1" customHeight="1" x14ac:dyDescent="0.15">
      <c r="A255" s="2081">
        <f t="shared" ca="1" si="76"/>
        <v>5.0199999999999996</v>
      </c>
      <c r="B255" s="834" t="s">
        <v>1733</v>
      </c>
      <c r="C255" s="2" t="str">
        <f>VLOOKUP($B255,[4]BOLETIM_SEL!$A:$H,2,0)</f>
        <v>COMPOSIÇÃO</v>
      </c>
      <c r="D255" s="315" t="str">
        <f>VLOOKUP($B255,[4]BOLETIM_SEL!$A:$H,4,0)</f>
        <v>APV-4 - Acréscimo para Poço de Visita, com dimensões internas de 1,98m x 4,98m, em alvenaria de bloco de concreto estrutural FBK 14mpa, conforme projeto tipo</v>
      </c>
      <c r="E255" s="2"/>
      <c r="F255" s="2" t="str">
        <f>VLOOKUP($B255,[4]BOLETIM_SEL!$A:$H,6,0)</f>
        <v>M</v>
      </c>
      <c r="G255" s="1407">
        <f>VLOOKUP($B255,[4]BOLETIM_SEL!$A:$H,7,0)</f>
        <v>2757.19</v>
      </c>
      <c r="H255" s="1611">
        <f>Dre_Disp_Estruturais!BM79</f>
        <v>0</v>
      </c>
      <c r="I255" s="877">
        <f t="shared" ref="I255:I288" si="77">TRUNC(G255*(1+$J$5),2)</f>
        <v>3327.92</v>
      </c>
      <c r="J255" s="1612">
        <f t="shared" ref="J255:J312" si="78">TRUNC(H255*I255,2)</f>
        <v>0</v>
      </c>
      <c r="K255" s="2078">
        <f t="shared" ca="1" si="72"/>
        <v>0</v>
      </c>
      <c r="L255" s="1574">
        <f t="shared" ca="1" si="75"/>
        <v>0</v>
      </c>
      <c r="M255" s="1445"/>
      <c r="N255" s="1651">
        <f>VLOOKUP($B255,[4]BOLETIM_SEL!$A:$H,3,0)</f>
        <v>0</v>
      </c>
      <c r="O255" s="1656">
        <f t="shared" si="74"/>
        <v>0</v>
      </c>
      <c r="Q255" s="833"/>
      <c r="R255" s="833"/>
      <c r="S255" s="833"/>
      <c r="T255" s="833"/>
      <c r="U255" s="833"/>
      <c r="V255" s="833"/>
      <c r="W255" s="833"/>
      <c r="X255" s="833"/>
    </row>
    <row r="256" spans="1:24" s="813" customFormat="1" ht="39.950000000000003" hidden="1" customHeight="1" x14ac:dyDescent="0.15">
      <c r="A256" s="2081">
        <f t="shared" ca="1" si="76"/>
        <v>5.0199999999999996</v>
      </c>
      <c r="B256" s="834" t="s">
        <v>198</v>
      </c>
      <c r="C256" s="2" t="str">
        <f>VLOOKUP($B256,[4]BOLETIM_SEL!$A:$H,2,0)</f>
        <v>COMPOSIÇÃO</v>
      </c>
      <c r="D256" s="315" t="str">
        <f>VLOOKUP($B256,[4]BOLETIM_SEL!$A:$H,4,0)</f>
        <v>APV-5 - Acréscimo para Poço de Visita, com dimensões internas de 1,98m x 6,58m, em alvenaria de bloco de concreto estrutural FBK 14mpa, conforme projeto tipo</v>
      </c>
      <c r="E256" s="2"/>
      <c r="F256" s="2" t="str">
        <f>VLOOKUP($B256,[4]BOLETIM_SEL!$A:$H,6,0)</f>
        <v>M</v>
      </c>
      <c r="G256" s="1407">
        <f>VLOOKUP($B256,[4]BOLETIM_SEL!$A:$H,7,0)</f>
        <v>3347.17</v>
      </c>
      <c r="H256" s="1611">
        <f>Dre_Disp_Estruturais!BM80</f>
        <v>0</v>
      </c>
      <c r="I256" s="877">
        <f t="shared" si="77"/>
        <v>4040.03</v>
      </c>
      <c r="J256" s="1612">
        <f t="shared" si="78"/>
        <v>0</v>
      </c>
      <c r="K256" s="2078">
        <f t="shared" ca="1" si="72"/>
        <v>0</v>
      </c>
      <c r="L256" s="1574">
        <f t="shared" ca="1" si="75"/>
        <v>0</v>
      </c>
      <c r="M256" s="1445"/>
      <c r="N256" s="1651">
        <f>VLOOKUP($B256,[4]BOLETIM_SEL!$A:$H,3,0)</f>
        <v>0</v>
      </c>
      <c r="O256" s="1656">
        <f t="shared" si="74"/>
        <v>0</v>
      </c>
      <c r="Q256" s="833"/>
      <c r="R256" s="833"/>
      <c r="S256" s="833"/>
      <c r="T256" s="833"/>
      <c r="U256" s="833"/>
      <c r="V256" s="833"/>
      <c r="W256" s="833"/>
      <c r="X256" s="833"/>
    </row>
    <row r="257" spans="1:24" s="813" customFormat="1" ht="39.950000000000003" hidden="1" customHeight="1" x14ac:dyDescent="0.15">
      <c r="A257" s="2081">
        <f t="shared" ca="1" si="76"/>
        <v>5.0199999999999996</v>
      </c>
      <c r="B257" s="834" t="s">
        <v>1734</v>
      </c>
      <c r="C257" s="2" t="str">
        <f>VLOOKUP($B257,[4]BOLETIM_SEL!$A:$H,2,0)</f>
        <v>COMPOSIÇÃO</v>
      </c>
      <c r="D257" s="315" t="str">
        <f>VLOOKUP($B257,[4]BOLETIM_SEL!$A:$H,4,0)</f>
        <v>APV-6 - Acréscimo para Poço de Visita, com dimensões internas de 1,98m x 8,78m, em alvenaria de bloco de concreto estrutural FBK 14mpa, conforme projeto tipo</v>
      </c>
      <c r="E257" s="2"/>
      <c r="F257" s="2" t="str">
        <f>VLOOKUP($B257,[4]BOLETIM_SEL!$A:$H,6,0)</f>
        <v>M</v>
      </c>
      <c r="G257" s="1407">
        <f>VLOOKUP($B257,[4]BOLETIM_SEL!$A:$H,7,0)</f>
        <v>4158.38</v>
      </c>
      <c r="H257" s="1611">
        <f>Dre_Disp_Estruturais!BM81</f>
        <v>0</v>
      </c>
      <c r="I257" s="877">
        <f t="shared" si="77"/>
        <v>5019.16</v>
      </c>
      <c r="J257" s="1612">
        <f t="shared" si="78"/>
        <v>0</v>
      </c>
      <c r="K257" s="2078">
        <f t="shared" ca="1" si="72"/>
        <v>0</v>
      </c>
      <c r="L257" s="1574">
        <f t="shared" ca="1" si="75"/>
        <v>0</v>
      </c>
      <c r="M257" s="1445"/>
      <c r="N257" s="1651">
        <f>VLOOKUP($B257,[4]BOLETIM_SEL!$A:$H,3,0)</f>
        <v>0</v>
      </c>
      <c r="O257" s="1656">
        <f t="shared" si="74"/>
        <v>0</v>
      </c>
      <c r="Q257" s="833"/>
      <c r="R257" s="833"/>
      <c r="S257" s="833"/>
      <c r="T257" s="833"/>
      <c r="U257" s="833"/>
      <c r="V257" s="833"/>
      <c r="W257" s="833"/>
      <c r="X257" s="833"/>
    </row>
    <row r="258" spans="1:24" s="813" customFormat="1" ht="39.950000000000003" hidden="1" customHeight="1" x14ac:dyDescent="0.15">
      <c r="A258" s="2081">
        <f t="shared" ca="1" si="76"/>
        <v>5.0199999999999996</v>
      </c>
      <c r="B258" s="834" t="s">
        <v>271</v>
      </c>
      <c r="C258" s="2" t="str">
        <f>VLOOKUP($B258,[4]BOLETIM_SEL!$A:$H,2,0)</f>
        <v>COMPOSIÇÃO</v>
      </c>
      <c r="D258" s="315" t="str">
        <f>VLOOKUP($B258,[4]BOLETIM_SEL!$A:$H,4,0)</f>
        <v>Antecâmara para poço de visita, com dimensões internas de 1,98m x 1,00m x 1,50m (bxbxh), em alvenaria de bloco de concreto estrutural FBK 14mpa, conforme projeto tipo</v>
      </c>
      <c r="E258" s="2"/>
      <c r="F258" s="2" t="str">
        <f>VLOOKUP($B258,[4]BOLETIM_SEL!$A:$H,6,0)</f>
        <v>UN</v>
      </c>
      <c r="G258" s="1407">
        <f>VLOOKUP($B258,[4]BOLETIM_SEL!$A:$H,7,0)</f>
        <v>2657.49</v>
      </c>
      <c r="H258" s="1611">
        <f ca="1">Dre_Disp_Estruturais!BM82</f>
        <v>0</v>
      </c>
      <c r="I258" s="877">
        <f t="shared" si="77"/>
        <v>3207.59</v>
      </c>
      <c r="J258" s="1612">
        <f ca="1">TRUNC(H258*I258,2)</f>
        <v>0</v>
      </c>
      <c r="K258" s="2078">
        <f t="shared" ca="1" si="72"/>
        <v>0</v>
      </c>
      <c r="L258" s="1574">
        <f t="shared" ca="1" si="75"/>
        <v>0</v>
      </c>
      <c r="M258" s="1445"/>
      <c r="N258" s="1877">
        <f>VLOOKUP($B258,[4]BOLETIM_SEL!$A:$H,3,0)</f>
        <v>0</v>
      </c>
      <c r="O258" s="1656">
        <f t="shared" ca="1" si="74"/>
        <v>0</v>
      </c>
      <c r="Q258" s="833"/>
      <c r="R258" s="833"/>
      <c r="S258" s="833"/>
      <c r="T258" s="833"/>
      <c r="U258" s="833"/>
      <c r="V258" s="833"/>
      <c r="W258" s="833"/>
      <c r="X258" s="833"/>
    </row>
    <row r="259" spans="1:24" s="813" customFormat="1" ht="39.950000000000003" customHeight="1" x14ac:dyDescent="0.15">
      <c r="A259" s="2081">
        <f t="shared" ca="1" si="76"/>
        <v>5.0299999999999994</v>
      </c>
      <c r="B259" s="834">
        <v>98051</v>
      </c>
      <c r="C259" s="2" t="str">
        <f>VLOOKUP($B259,[4]BOLETIM_SEL!$A:$H,2,0)</f>
        <v>SINAPI</v>
      </c>
      <c r="D259" s="315" t="str">
        <f>VLOOKUP($B259,[4]BOLETIM_SEL!$A:$H,4,0)</f>
        <v>Chaminé circular para poço de visita para esgoto, em alvenaria com tijolos cerâmicos maciços, diâmetro interno = 0,6 m. af_12/2020</v>
      </c>
      <c r="E259" s="2"/>
      <c r="F259" s="2" t="str">
        <f>VLOOKUP($B259,[4]BOLETIM_SEL!$A:$H,6,0)</f>
        <v>M</v>
      </c>
      <c r="G259" s="1407">
        <f>VLOOKUP($B259,[4]BOLETIM_SEL!$A:$H,7,0)</f>
        <v>930.6</v>
      </c>
      <c r="H259" s="1611">
        <f ca="1">Dre_Disp_Estruturais!BM83</f>
        <v>10.84</v>
      </c>
      <c r="I259" s="877">
        <f t="shared" si="77"/>
        <v>1123.23</v>
      </c>
      <c r="J259" s="1612">
        <f ca="1">TRUNC(H259*I259,2)</f>
        <v>12175.81</v>
      </c>
      <c r="K259" s="2078">
        <f t="shared" ca="1" si="72"/>
        <v>9.085979319355561E-4</v>
      </c>
      <c r="L259" s="1574">
        <f t="shared" ca="1" si="75"/>
        <v>1.0740383045825568E-2</v>
      </c>
      <c r="M259" s="1445"/>
      <c r="N259" s="1651">
        <f>VLOOKUP($B259,[4]BOLETIM_SEL!$A:$H,3,0)</f>
        <v>0</v>
      </c>
      <c r="O259" s="1656">
        <f t="shared" ca="1" si="74"/>
        <v>0</v>
      </c>
      <c r="Q259" s="833"/>
      <c r="R259" s="833"/>
      <c r="S259" s="833"/>
      <c r="T259" s="833"/>
      <c r="U259" s="833"/>
      <c r="V259" s="833"/>
      <c r="W259" s="833"/>
      <c r="X259" s="833"/>
    </row>
    <row r="260" spans="1:24" s="813" customFormat="1" ht="39.950000000000003" customHeight="1" x14ac:dyDescent="0.15">
      <c r="A260" s="2081">
        <f t="shared" ca="1" si="76"/>
        <v>5.0399999999999991</v>
      </c>
      <c r="B260" s="834" t="s">
        <v>1749</v>
      </c>
      <c r="C260" s="2" t="str">
        <f>VLOOKUP($B260,[4]BOLETIM_SEL!$A:$H,2,0)</f>
        <v>COMPOSIÇÃO</v>
      </c>
      <c r="D260" s="315" t="str">
        <f>VLOOKUP($B260,[4]BOLETIM_SEL!$A:$H,4,0)</f>
        <v>Tampão F°F° articulado, classe D400, carga máxima 40 T, redondo tampa 600 mm para rede pluvial/esgoto. Incluindo fornecimento, assentamento e requadro em concreto FCK 20mpa, de 1,00m x 1,00m x 0,20m</v>
      </c>
      <c r="E260" s="2"/>
      <c r="F260" s="2" t="str">
        <f>VLOOKUP($B260,[4]BOLETIM_SEL!$A:$H,6,0)</f>
        <v xml:space="preserve">UN </v>
      </c>
      <c r="G260" s="1407">
        <f>VLOOKUP($B260,[4]BOLETIM_SEL!$A:$H,7,0)</f>
        <v>769.65</v>
      </c>
      <c r="H260" s="1611">
        <f ca="1">Dre_Disp_Estruturais!BM84</f>
        <v>29</v>
      </c>
      <c r="I260" s="877">
        <f t="shared" si="77"/>
        <v>928.96</v>
      </c>
      <c r="J260" s="1612">
        <f ca="1">TRUNC(H260*I260,2)</f>
        <v>26939.84</v>
      </c>
      <c r="K260" s="2078">
        <f t="shared" ca="1" si="72"/>
        <v>2.010337128345036E-3</v>
      </c>
      <c r="L260" s="1574">
        <f t="shared" ca="1" si="75"/>
        <v>2.3763856432816668E-2</v>
      </c>
      <c r="M260" s="1442"/>
      <c r="N260" s="1877">
        <f>VLOOKUP($B260,[4]BOLETIM_SEL!$A:$H,3,0)</f>
        <v>53</v>
      </c>
      <c r="O260" s="1656">
        <f t="shared" ca="1" si="74"/>
        <v>1537</v>
      </c>
      <c r="Q260" s="833"/>
      <c r="R260" s="833"/>
      <c r="S260" s="833"/>
      <c r="T260" s="833"/>
      <c r="U260" s="833"/>
      <c r="V260" s="833"/>
      <c r="W260" s="833"/>
      <c r="X260" s="833"/>
    </row>
    <row r="261" spans="1:24" s="813" customFormat="1" ht="39.950000000000003" customHeight="1" x14ac:dyDescent="0.15">
      <c r="A261" s="2081">
        <f t="shared" ca="1" si="76"/>
        <v>5.0499999999999989</v>
      </c>
      <c r="B261" s="834" t="s">
        <v>272</v>
      </c>
      <c r="C261" s="2" t="str">
        <f>VLOOKUP($B261,[4]BOLETIM_SEL!$A:$H,2,0)</f>
        <v>COMPOSIÇÃO</v>
      </c>
      <c r="D261" s="315" t="str">
        <f>VLOOKUP($B261,[4]BOLETIM_SEL!$A:$H,4,0)</f>
        <v>CP-1 - Caixa de Passagem, com dimensões internas de  1,92m x 1,92m x 1,60m (bxbxh), em alvenaria de bloco de concreto estrutural FBK 8 MPa, conforme projeto tipo</v>
      </c>
      <c r="E261" s="2"/>
      <c r="F261" s="2" t="str">
        <f>VLOOKUP($B261,[4]BOLETIM_SEL!$A:$H,6,0)</f>
        <v>UN</v>
      </c>
      <c r="G261" s="1407">
        <f>VLOOKUP($B261,[4]BOLETIM_SEL!$A:$H,7,0)</f>
        <v>6365.63</v>
      </c>
      <c r="H261" s="1611">
        <f>Dre_Disp_Estruturais!BM99</f>
        <v>5</v>
      </c>
      <c r="I261" s="877">
        <f t="shared" si="77"/>
        <v>7683.31</v>
      </c>
      <c r="J261" s="1612">
        <f t="shared" si="78"/>
        <v>38416.550000000003</v>
      </c>
      <c r="K261" s="2078">
        <f t="shared" ca="1" si="72"/>
        <v>2.8667659796020872E-3</v>
      </c>
      <c r="L261" s="1574">
        <f t="shared" ca="1" si="75"/>
        <v>3.3887557566938897E-2</v>
      </c>
      <c r="M261" s="1445"/>
      <c r="N261" s="1877">
        <f>VLOOKUP($B261,[4]BOLETIM_SEL!$A:$H,3,0)</f>
        <v>0</v>
      </c>
      <c r="O261" s="1656">
        <f t="shared" si="74"/>
        <v>0</v>
      </c>
      <c r="Q261" s="833"/>
      <c r="R261" s="833"/>
      <c r="S261" s="833"/>
      <c r="T261" s="833"/>
      <c r="U261" s="833"/>
      <c r="V261" s="833"/>
      <c r="W261" s="833"/>
      <c r="X261" s="833"/>
    </row>
    <row r="262" spans="1:24" s="813" customFormat="1" ht="39.950000000000003" hidden="1" customHeight="1" x14ac:dyDescent="0.15">
      <c r="A262" s="2081">
        <f t="shared" ca="1" si="76"/>
        <v>5.0499999999999989</v>
      </c>
      <c r="B262" s="834" t="s">
        <v>1735</v>
      </c>
      <c r="C262" s="2" t="str">
        <f>VLOOKUP($B262,[4]BOLETIM_SEL!$A:$H,2,0)</f>
        <v>COMPOSIÇÃO</v>
      </c>
      <c r="D262" s="315" t="str">
        <f>VLOOKUP($B262,[4]BOLETIM_SEL!$A:$H,4,0)</f>
        <v>CP-2 - Caixa de Passagem, com dimensões internas de  1,92m x 2,82m x 2,00m (bxbxh), em alvenaria de bloco de concreto estrutural FBK 8 MPa, conforme projeto tipo</v>
      </c>
      <c r="E262" s="2"/>
      <c r="F262" s="2" t="str">
        <f>VLOOKUP($B262,[4]BOLETIM_SEL!$A:$H,6,0)</f>
        <v>UN</v>
      </c>
      <c r="G262" s="1407">
        <f>VLOOKUP($B262,[4]BOLETIM_SEL!$A:$H,7,0)</f>
        <v>9108.2999999999993</v>
      </c>
      <c r="H262" s="1611">
        <f>Dre_Disp_Estruturais!BM100</f>
        <v>0</v>
      </c>
      <c r="I262" s="877">
        <f t="shared" si="77"/>
        <v>10993.71</v>
      </c>
      <c r="J262" s="1612">
        <f t="shared" si="78"/>
        <v>0</v>
      </c>
      <c r="K262" s="2078">
        <f t="shared" ca="1" si="72"/>
        <v>0</v>
      </c>
      <c r="L262" s="1574">
        <f t="shared" ca="1" si="75"/>
        <v>0</v>
      </c>
      <c r="M262" s="1445"/>
      <c r="N262" s="1877">
        <f>VLOOKUP($B262,[4]BOLETIM_SEL!$A:$H,3,0)</f>
        <v>0</v>
      </c>
      <c r="O262" s="1656">
        <f t="shared" si="74"/>
        <v>0</v>
      </c>
      <c r="Q262" s="833"/>
      <c r="R262" s="833"/>
      <c r="S262" s="833"/>
      <c r="T262" s="833"/>
      <c r="U262" s="833"/>
      <c r="V262" s="833"/>
      <c r="W262" s="833"/>
      <c r="X262" s="833"/>
    </row>
    <row r="263" spans="1:24" s="813" customFormat="1" ht="39.950000000000003" hidden="1" customHeight="1" x14ac:dyDescent="0.15">
      <c r="A263" s="2081">
        <f t="shared" ca="1" si="76"/>
        <v>5.0499999999999989</v>
      </c>
      <c r="B263" s="834" t="s">
        <v>282</v>
      </c>
      <c r="C263" s="2" t="str">
        <f>VLOOKUP($B263,[4]BOLETIM_SEL!$A:$H,2,0)</f>
        <v>COMPOSIÇÃO</v>
      </c>
      <c r="D263" s="315" t="str">
        <f>VLOOKUP($B263,[4]BOLETIM_SEL!$A:$H,4,0)</f>
        <v>CP-3 - Caixa de Passagem, com dimensões internas de 1,98m x 3,48m x 2,00m (bxbxh), em alvenaria de bloco de concreto estrutural FBK 14mpa, conforme projeto tipo</v>
      </c>
      <c r="E263" s="2"/>
      <c r="F263" s="2" t="str">
        <f>VLOOKUP($B263,[4]BOLETIM_SEL!$A:$H,6,0)</f>
        <v>UN</v>
      </c>
      <c r="G263" s="1407">
        <f>VLOOKUP($B263,[4]BOLETIM_SEL!$A:$H,7,0)</f>
        <v>10665.11</v>
      </c>
      <c r="H263" s="1611">
        <f>Dre_Disp_Estruturais!BM101</f>
        <v>0</v>
      </c>
      <c r="I263" s="877">
        <f t="shared" si="77"/>
        <v>12872.78</v>
      </c>
      <c r="J263" s="1612">
        <f t="shared" si="78"/>
        <v>0</v>
      </c>
      <c r="K263" s="2078">
        <f t="shared" ca="1" si="72"/>
        <v>0</v>
      </c>
      <c r="L263" s="1574">
        <f t="shared" ca="1" si="75"/>
        <v>0</v>
      </c>
      <c r="M263" s="1445"/>
      <c r="N263" s="1877">
        <f>VLOOKUP($B263,[4]BOLETIM_SEL!$A:$H,3,0)</f>
        <v>0</v>
      </c>
      <c r="O263" s="1656">
        <f t="shared" si="74"/>
        <v>0</v>
      </c>
      <c r="Q263" s="833"/>
      <c r="R263" s="833"/>
      <c r="S263" s="833"/>
      <c r="T263" s="833"/>
      <c r="U263" s="833"/>
      <c r="V263" s="833"/>
      <c r="W263" s="833"/>
      <c r="X263" s="833"/>
    </row>
    <row r="264" spans="1:24" s="813" customFormat="1" ht="39.950000000000003" hidden="1" customHeight="1" x14ac:dyDescent="0.15">
      <c r="A264" s="2081">
        <f t="shared" ca="1" si="76"/>
        <v>5.0499999999999989</v>
      </c>
      <c r="B264" s="834" t="s">
        <v>283</v>
      </c>
      <c r="C264" s="2" t="str">
        <f>VLOOKUP($B264,[4]BOLETIM_SEL!$A:$H,2,0)</f>
        <v>COMPOSIÇÃO</v>
      </c>
      <c r="D264" s="315" t="str">
        <f>VLOOKUP($B264,[4]BOLETIM_SEL!$A:$H,4,0)</f>
        <v>CC 1 - Caixa Coletora  2,32x2,32m, com dimensões internas de 2,32m x 2,32m x 1,50m (bxbxh), em alvenaria de bloco de concreto estrutural FBK 14mpa, inclusive grelha (0,60X0,6)m no centro, conforme projeto tipo. Exclusive pescoço.</v>
      </c>
      <c r="E264" s="2"/>
      <c r="F264" s="2" t="str">
        <f>VLOOKUP($B264,[4]BOLETIM_SEL!$A:$H,6,0)</f>
        <v>UN</v>
      </c>
      <c r="G264" s="1407">
        <f>VLOOKUP($B264,[4]BOLETIM_SEL!$A:$H,7,0)</f>
        <v>4867.82</v>
      </c>
      <c r="H264" s="1611">
        <f>Dre_Disp_Estruturais!BM102</f>
        <v>0</v>
      </c>
      <c r="I264" s="877">
        <f t="shared" si="77"/>
        <v>5875.45</v>
      </c>
      <c r="J264" s="1612">
        <f t="shared" si="78"/>
        <v>0</v>
      </c>
      <c r="K264" s="2078">
        <f t="shared" ca="1" si="72"/>
        <v>0</v>
      </c>
      <c r="L264" s="1574">
        <f t="shared" ca="1" si="75"/>
        <v>0</v>
      </c>
      <c r="M264" s="1445"/>
      <c r="N264" s="1877">
        <f>VLOOKUP($B264,[4]BOLETIM_SEL!$A:$H,3,0)</f>
        <v>0</v>
      </c>
      <c r="O264" s="1656">
        <f t="shared" si="74"/>
        <v>0</v>
      </c>
      <c r="Q264" s="833"/>
      <c r="R264" s="833"/>
      <c r="S264" s="833"/>
      <c r="T264" s="833"/>
      <c r="U264" s="833"/>
      <c r="V264" s="833"/>
      <c r="W264" s="833"/>
      <c r="X264" s="833"/>
    </row>
    <row r="265" spans="1:24" s="813" customFormat="1" ht="39.950000000000003" hidden="1" customHeight="1" x14ac:dyDescent="0.15">
      <c r="A265" s="2081">
        <f t="shared" ca="1" si="76"/>
        <v>5.0499999999999989</v>
      </c>
      <c r="B265" s="834" t="s">
        <v>189</v>
      </c>
      <c r="C265" s="2" t="str">
        <f>VLOOKUP($B265,[4]BOLETIM_SEL!$A:$H,2,0)</f>
        <v>CRIAR COMPOSIÇÃO</v>
      </c>
      <c r="D265" s="315" t="str">
        <f>VLOOKUP($B265,[4]BOLETIM_SEL!$A:$H,4,0)</f>
        <v>CC 2 - Caixa Coletora  1,70 x 1,70m, inclusive grelha, conforme projeto tipo</v>
      </c>
      <c r="E265" s="2"/>
      <c r="F265" s="2" t="str">
        <f>VLOOKUP($B265,[4]BOLETIM_SEL!$A:$H,6,0)</f>
        <v>-</v>
      </c>
      <c r="G265" s="1407"/>
      <c r="H265" s="1611">
        <f>Dre_Disp_Estruturais!BM103</f>
        <v>0</v>
      </c>
      <c r="I265" s="877">
        <f t="shared" si="77"/>
        <v>0</v>
      </c>
      <c r="J265" s="1612">
        <f t="shared" si="78"/>
        <v>0</v>
      </c>
      <c r="K265" s="2078">
        <f t="shared" ca="1" si="72"/>
        <v>0</v>
      </c>
      <c r="L265" s="1574">
        <f t="shared" ca="1" si="75"/>
        <v>0</v>
      </c>
      <c r="M265" s="1445"/>
      <c r="N265" s="1877">
        <f>VLOOKUP($B265,[4]BOLETIM_SEL!$A:$H,3,0)</f>
        <v>0</v>
      </c>
      <c r="O265" s="1656">
        <f t="shared" si="74"/>
        <v>0</v>
      </c>
      <c r="Q265" s="833"/>
      <c r="R265" s="833"/>
      <c r="S265" s="833"/>
      <c r="T265" s="833"/>
      <c r="U265" s="833"/>
      <c r="V265" s="833"/>
      <c r="W265" s="833"/>
      <c r="X265" s="833"/>
    </row>
    <row r="266" spans="1:24" s="813" customFormat="1" ht="39.950000000000003" hidden="1" customHeight="1" x14ac:dyDescent="0.15">
      <c r="A266" s="2081">
        <f t="shared" ca="1" si="76"/>
        <v>5.0499999999999989</v>
      </c>
      <c r="B266" s="834" t="s">
        <v>190</v>
      </c>
      <c r="C266" s="2" t="str">
        <f>VLOOKUP($B266,[4]BOLETIM_SEL!$A:$H,2,0)</f>
        <v>COMPOSIÇÃO</v>
      </c>
      <c r="D266" s="315" t="str">
        <f>VLOOKUP($B266,[4]BOLETIM_SEL!$A:$H,4,0)</f>
        <v xml:space="preserve">BLSP - Boca-de-lobo simples com caixa no passeio, em concreto simples FCK 20 mpa, incluindo forma, escavação, laje e tampão em F°F° para passeio 47 x 70cm, conforme projeto </v>
      </c>
      <c r="E266" s="2"/>
      <c r="F266" s="2" t="str">
        <f>VLOOKUP($B266,[4]BOLETIM_SEL!$A:$H,6,0)</f>
        <v>UN</v>
      </c>
      <c r="G266" s="1407">
        <f>VLOOKUP($B266,[4]BOLETIM_SEL!$A:$H,7,0)</f>
        <v>1464.52</v>
      </c>
      <c r="H266" s="1611">
        <f>Dre_Disp_Estruturais!BM104</f>
        <v>0</v>
      </c>
      <c r="I266" s="877">
        <f t="shared" si="77"/>
        <v>1767.67</v>
      </c>
      <c r="J266" s="1612">
        <f t="shared" si="78"/>
        <v>0</v>
      </c>
      <c r="K266" s="2078">
        <f t="shared" ca="1" si="72"/>
        <v>0</v>
      </c>
      <c r="L266" s="1574">
        <f t="shared" ca="1" si="75"/>
        <v>0</v>
      </c>
      <c r="M266" s="2499" t="str">
        <f>VLOOKUP($B266,[4]BOLETIM_SEL!$A:$H,5,0)</f>
        <v>BOCA DE LOBO
no passeio</v>
      </c>
      <c r="N266" s="1877">
        <f>VLOOKUP($B266,[4]BOLETIM_SEL!$A:$H,3,0)</f>
        <v>0</v>
      </c>
      <c r="O266" s="1656">
        <f t="shared" si="74"/>
        <v>0</v>
      </c>
      <c r="Q266" s="833"/>
      <c r="R266" s="833"/>
      <c r="S266" s="833"/>
      <c r="T266" s="833"/>
      <c r="U266" s="833"/>
      <c r="V266" s="833"/>
      <c r="W266" s="833"/>
      <c r="X266" s="833"/>
    </row>
    <row r="267" spans="1:24" s="813" customFormat="1" ht="39.950000000000003" hidden="1" customHeight="1" x14ac:dyDescent="0.15">
      <c r="A267" s="2081">
        <f t="shared" ca="1" si="76"/>
        <v>5.0499999999999989</v>
      </c>
      <c r="B267" s="834" t="s">
        <v>1736</v>
      </c>
      <c r="C267" s="2" t="str">
        <f>VLOOKUP($B267,[4]BOLETIM_SEL!$A:$H,2,0)</f>
        <v>COMPOSIÇÃO</v>
      </c>
      <c r="D267" s="315" t="str">
        <f>VLOOKUP($B267,[4]BOLETIM_SEL!$A:$H,4,0)</f>
        <v xml:space="preserve">BLDP - Boca-de-lobo dupla com caixa no passeio, em concreto simples FCK 20 mpa, incluindo forma, escavação, laje e tampão em F°F° para passeio 47 x 70cm, conforme projeto </v>
      </c>
      <c r="E267" s="2"/>
      <c r="F267" s="2" t="str">
        <f>VLOOKUP($B267,[4]BOLETIM_SEL!$A:$H,6,0)</f>
        <v>UN</v>
      </c>
      <c r="G267" s="1407">
        <f>VLOOKUP($B267,[4]BOLETIM_SEL!$A:$H,7,0)</f>
        <v>2463.37</v>
      </c>
      <c r="H267" s="1611">
        <f>Dre_Disp_Estruturais!BM105</f>
        <v>0</v>
      </c>
      <c r="I267" s="877">
        <f t="shared" si="77"/>
        <v>2973.28</v>
      </c>
      <c r="J267" s="1612">
        <f t="shared" si="78"/>
        <v>0</v>
      </c>
      <c r="K267" s="2078">
        <f t="shared" ca="1" si="72"/>
        <v>0</v>
      </c>
      <c r="L267" s="1574">
        <f t="shared" ca="1" si="75"/>
        <v>0</v>
      </c>
      <c r="M267" s="2499"/>
      <c r="N267" s="1877">
        <f>VLOOKUP($B267,[4]BOLETIM_SEL!$A:$H,3,0)</f>
        <v>0</v>
      </c>
      <c r="O267" s="1656">
        <f t="shared" si="74"/>
        <v>0</v>
      </c>
      <c r="Q267" s="833"/>
      <c r="R267" s="833"/>
      <c r="S267" s="833"/>
      <c r="T267" s="833"/>
      <c r="U267" s="833"/>
      <c r="V267" s="833"/>
      <c r="W267" s="833"/>
      <c r="X267" s="833"/>
    </row>
    <row r="268" spans="1:24" s="813" customFormat="1" ht="39.950000000000003" hidden="1" customHeight="1" x14ac:dyDescent="0.15">
      <c r="A268" s="2081">
        <f t="shared" ca="1" si="76"/>
        <v>5.0499999999999989</v>
      </c>
      <c r="B268" s="834" t="s">
        <v>191</v>
      </c>
      <c r="C268" s="2" t="str">
        <f>VLOOKUP($B268,[4]BOLETIM_SEL!$A:$H,2,0)</f>
        <v>COMPOSIÇÃO</v>
      </c>
      <c r="D268" s="315" t="str">
        <f>VLOOKUP($B268,[4]BOLETIM_SEL!$A:$H,4,0)</f>
        <v xml:space="preserve">BLTP - Boca-de-lobo tripla com caixa no passeio, em concreto simples FCK 20 mpa, incluindo forma, escavação, laje e tampão em F°F° para passeio 47 x 70cm, conforme projeto </v>
      </c>
      <c r="E268" s="2"/>
      <c r="F268" s="2" t="str">
        <f>VLOOKUP($B268,[4]BOLETIM_SEL!$A:$H,6,0)</f>
        <v>UN</v>
      </c>
      <c r="G268" s="1407">
        <f>VLOOKUP($B268,[4]BOLETIM_SEL!$A:$H,7,0)</f>
        <v>3461.57</v>
      </c>
      <c r="H268" s="1611">
        <f>Dre_Disp_Estruturais!BM106</f>
        <v>0</v>
      </c>
      <c r="I268" s="877">
        <f t="shared" si="77"/>
        <v>4178.1099999999997</v>
      </c>
      <c r="J268" s="1612">
        <f t="shared" si="78"/>
        <v>0</v>
      </c>
      <c r="K268" s="2078">
        <f t="shared" ca="1" si="72"/>
        <v>0</v>
      </c>
      <c r="L268" s="1574">
        <f t="shared" ca="1" si="75"/>
        <v>0</v>
      </c>
      <c r="M268" s="2499"/>
      <c r="N268" s="1877">
        <f>VLOOKUP($B268,[4]BOLETIM_SEL!$A:$H,3,0)</f>
        <v>0</v>
      </c>
      <c r="O268" s="1656">
        <f t="shared" si="74"/>
        <v>0</v>
      </c>
      <c r="Q268" s="833"/>
      <c r="R268" s="833"/>
      <c r="S268" s="833"/>
      <c r="T268" s="833"/>
      <c r="U268" s="833"/>
      <c r="V268" s="833"/>
      <c r="W268" s="833"/>
      <c r="X268" s="833"/>
    </row>
    <row r="269" spans="1:24" s="813" customFormat="1" ht="39.950000000000003" customHeight="1" x14ac:dyDescent="0.15">
      <c r="A269" s="2081">
        <f t="shared" ca="1" si="76"/>
        <v>5.0599999999999987</v>
      </c>
      <c r="B269" s="834" t="s">
        <v>1737</v>
      </c>
      <c r="C269" s="2" t="str">
        <f>VLOOKUP($B269,[4]BOLETIM_SEL!$A:$H,2,0)</f>
        <v>COMPOSIÇÃO</v>
      </c>
      <c r="D269" s="315" t="str">
        <f>VLOOKUP($B269,[4]BOLETIM_SEL!$A:$H,4,0)</f>
        <v xml:space="preserve">BLSC - Boca-de-lobo simples em concreto simples FCK 20 mpa, incluindo forma, escavação, sarjeta de contorno (chama) em concreto e grelha em F°F° tipo pesada, conforme projeto </v>
      </c>
      <c r="E269" s="2"/>
      <c r="F269" s="2" t="str">
        <f>VLOOKUP($B269,[4]BOLETIM_SEL!$A:$H,6,0)</f>
        <v>UN</v>
      </c>
      <c r="G269" s="1407">
        <f>VLOOKUP($B269,[4]BOLETIM_SEL!$A:$H,7,0)</f>
        <v>1726.65</v>
      </c>
      <c r="H269" s="1611">
        <f>Dre_Disp_Estruturais!BM107</f>
        <v>49</v>
      </c>
      <c r="I269" s="877">
        <f t="shared" si="77"/>
        <v>2084.06</v>
      </c>
      <c r="J269" s="1612">
        <f t="shared" si="78"/>
        <v>102118.94</v>
      </c>
      <c r="K269" s="2078">
        <f t="shared" ca="1" si="72"/>
        <v>7.6204423110619451E-3</v>
      </c>
      <c r="L269" s="1574">
        <f t="shared" ca="1" si="75"/>
        <v>9.0079964440450244E-2</v>
      </c>
      <c r="M269" s="2498" t="str">
        <f>VLOOKUP($B269,[4]BOLETIM_SEL!$A:$H,5,0)</f>
        <v>BOCA DE LOBO
em concreto</v>
      </c>
      <c r="N269" s="1877">
        <f>VLOOKUP($B269,[4]BOLETIM_SEL!$A:$H,3,0)</f>
        <v>0</v>
      </c>
      <c r="O269" s="1656">
        <f t="shared" si="74"/>
        <v>0</v>
      </c>
      <c r="Q269" s="833"/>
      <c r="R269" s="833"/>
      <c r="S269" s="833"/>
      <c r="T269" s="833"/>
      <c r="U269" s="833"/>
      <c r="V269" s="833"/>
      <c r="W269" s="833"/>
      <c r="X269" s="833"/>
    </row>
    <row r="270" spans="1:24" s="813" customFormat="1" ht="39.950000000000003" hidden="1" customHeight="1" x14ac:dyDescent="0.15">
      <c r="A270" s="2081">
        <f t="shared" ca="1" si="76"/>
        <v>5.0599999999999987</v>
      </c>
      <c r="B270" s="834" t="s">
        <v>192</v>
      </c>
      <c r="C270" s="2" t="str">
        <f>VLOOKUP($B270,[4]BOLETIM_SEL!$A:$H,2,0)</f>
        <v>COMPOSIÇÃO</v>
      </c>
      <c r="D270" s="315" t="str">
        <f>VLOOKUP($B270,[4]BOLETIM_SEL!$A:$H,4,0)</f>
        <v xml:space="preserve">BLDC - Boca-de-lobo dupla em concreto simples FCK 20 mpa, incluindo forma, escavação, sarjeta de contorno (chama) em concreto e grelhas em F°F° tipo pesada, conforme projeto </v>
      </c>
      <c r="E270" s="2"/>
      <c r="F270" s="2" t="str">
        <f>VLOOKUP($B270,[4]BOLETIM_SEL!$A:$H,6,0)</f>
        <v>UN</v>
      </c>
      <c r="G270" s="1407">
        <f>VLOOKUP($B270,[4]BOLETIM_SEL!$A:$H,7,0)</f>
        <v>3239.28</v>
      </c>
      <c r="H270" s="1611">
        <f>Dre_Disp_Estruturais!BM108</f>
        <v>0</v>
      </c>
      <c r="I270" s="877">
        <f t="shared" si="77"/>
        <v>3909.81</v>
      </c>
      <c r="J270" s="1612">
        <f t="shared" si="78"/>
        <v>0</v>
      </c>
      <c r="K270" s="2078">
        <f t="shared" ca="1" si="72"/>
        <v>0</v>
      </c>
      <c r="L270" s="1574">
        <f t="shared" ca="1" si="75"/>
        <v>0</v>
      </c>
      <c r="M270" s="2498"/>
      <c r="N270" s="1877">
        <f>VLOOKUP($B270,[4]BOLETIM_SEL!$A:$H,3,0)</f>
        <v>0</v>
      </c>
      <c r="O270" s="1656">
        <f t="shared" si="74"/>
        <v>0</v>
      </c>
      <c r="Q270" s="833"/>
      <c r="R270" s="833"/>
      <c r="S270" s="833"/>
      <c r="T270" s="833"/>
      <c r="U270" s="833"/>
      <c r="V270" s="833"/>
      <c r="W270" s="833"/>
      <c r="X270" s="833"/>
    </row>
    <row r="271" spans="1:24" s="813" customFormat="1" ht="39.950000000000003" customHeight="1" x14ac:dyDescent="0.15">
      <c r="A271" s="2081">
        <f t="shared" ca="1" si="76"/>
        <v>5.0699999999999985</v>
      </c>
      <c r="B271" s="834" t="s">
        <v>1738</v>
      </c>
      <c r="C271" s="2" t="str">
        <f>VLOOKUP($B271,[4]BOLETIM_SEL!$A:$H,2,0)</f>
        <v>COMPOSIÇÃO</v>
      </c>
      <c r="D271" s="315" t="str">
        <f>VLOOKUP($B271,[4]BOLETIM_SEL!$A:$H,4,0)</f>
        <v xml:space="preserve">BLTC - Boca-de-lobo tripla em concreto simples FCK 20 mpa, incluindo forma, escavação, sarjeta de contorno (chama) em concreto e grelhas em F°F° tipo pesada, conforme projeto </v>
      </c>
      <c r="E271" s="2"/>
      <c r="F271" s="2" t="str">
        <f>VLOOKUP($B271,[4]BOLETIM_SEL!$A:$H,6,0)</f>
        <v>UN</v>
      </c>
      <c r="G271" s="1407">
        <f>VLOOKUP($B271,[4]BOLETIM_SEL!$A:$H,7,0)</f>
        <v>4752.04</v>
      </c>
      <c r="H271" s="1611">
        <f>Dre_Disp_Estruturais!BM109</f>
        <v>27</v>
      </c>
      <c r="I271" s="877">
        <f t="shared" si="77"/>
        <v>5735.71</v>
      </c>
      <c r="J271" s="1612">
        <f t="shared" si="78"/>
        <v>154864.17000000001</v>
      </c>
      <c r="K271" s="2078">
        <f t="shared" ca="1" si="72"/>
        <v>1.1556460275982986E-2</v>
      </c>
      <c r="L271" s="1574">
        <f t="shared" ca="1" si="75"/>
        <v>0.13660696954649004</v>
      </c>
      <c r="M271" s="2498"/>
      <c r="N271" s="1877">
        <f>VLOOKUP($B271,[4]BOLETIM_SEL!$A:$H,3,0)</f>
        <v>0</v>
      </c>
      <c r="O271" s="1656">
        <f t="shared" si="74"/>
        <v>0</v>
      </c>
      <c r="Q271" s="833"/>
      <c r="R271" s="833"/>
      <c r="S271" s="833"/>
      <c r="T271" s="833"/>
      <c r="U271" s="833"/>
      <c r="V271" s="833"/>
      <c r="W271" s="833"/>
      <c r="X271" s="833"/>
    </row>
    <row r="272" spans="1:24" s="813" customFormat="1" ht="39.950000000000003" hidden="1" customHeight="1" x14ac:dyDescent="0.15">
      <c r="A272" s="2081">
        <f t="shared" ca="1" si="76"/>
        <v>5.0699999999999985</v>
      </c>
      <c r="B272" s="834" t="s">
        <v>1740</v>
      </c>
      <c r="C272" s="2" t="str">
        <f>VLOOKUP($B272,[4]BOLETIM_SEL!$A:$H,2,0)</f>
        <v>COMPOSIÇÃO</v>
      </c>
      <c r="D272" s="315" t="str">
        <f>VLOOKUP($B272,[4]BOLETIM_SEL!$A:$H,4,0)</f>
        <v>Boca-de-bueiro simples tubular - BBST  D = 0,40m, em concreto ciclópico com 30% de pedra-de-mão, conforme projeto tipo (0,66m³/un)</v>
      </c>
      <c r="E272" s="2"/>
      <c r="F272" s="2" t="str">
        <f>VLOOKUP($B272,[4]BOLETIM_SEL!$A:$H,6,0)</f>
        <v xml:space="preserve">UN </v>
      </c>
      <c r="G272" s="1407">
        <f>VLOOKUP($B272,[4]BOLETIM_SEL!$A:$H,7,0)</f>
        <v>1242.3699999999999</v>
      </c>
      <c r="H272" s="1611">
        <f>Dre_Disp_Estruturais!BM113</f>
        <v>0</v>
      </c>
      <c r="I272" s="877">
        <f t="shared" si="77"/>
        <v>1499.54</v>
      </c>
      <c r="J272" s="1612">
        <f t="shared" si="78"/>
        <v>0</v>
      </c>
      <c r="K272" s="2078">
        <f t="shared" ca="1" si="72"/>
        <v>0</v>
      </c>
      <c r="L272" s="1574">
        <f t="shared" ca="1" si="75"/>
        <v>0</v>
      </c>
      <c r="M272" s="1445"/>
      <c r="N272" s="833"/>
      <c r="O272" s="833"/>
      <c r="Q272" s="833"/>
      <c r="R272" s="833"/>
      <c r="S272" s="833"/>
      <c r="T272" s="833"/>
      <c r="U272" s="833"/>
      <c r="V272" s="833"/>
      <c r="W272" s="833"/>
      <c r="X272" s="833"/>
    </row>
    <row r="273" spans="1:24" s="813" customFormat="1" ht="39.950000000000003" hidden="1" customHeight="1" x14ac:dyDescent="0.15">
      <c r="A273" s="2081">
        <f t="shared" ca="1" si="76"/>
        <v>5.0699999999999985</v>
      </c>
      <c r="B273" s="834" t="s">
        <v>1741</v>
      </c>
      <c r="C273" s="2" t="str">
        <f>VLOOKUP($B273,[4]BOLETIM_SEL!$A:$H,2,0)</f>
        <v>COMPOSIÇÃO</v>
      </c>
      <c r="D273" s="315" t="str">
        <f>VLOOKUP($B273,[4]BOLETIM_SEL!$A:$H,4,0)</f>
        <v>Boca-de-bueiro simples tubular - BBST  D = 0,60m, em concreto ciclópico com 30% de pedra-de-mão, conforme projeto tipo (1,24m³/un)</v>
      </c>
      <c r="E273" s="2"/>
      <c r="F273" s="2" t="str">
        <f>VLOOKUP($B273,[4]BOLETIM_SEL!$A:$H,6,0)</f>
        <v xml:space="preserve">UN </v>
      </c>
      <c r="G273" s="1407">
        <f>VLOOKUP($B273,[4]BOLETIM_SEL!$A:$H,7,0)</f>
        <v>2006.37</v>
      </c>
      <c r="H273" s="1611">
        <f>Dre_Disp_Estruturais!BM114</f>
        <v>0</v>
      </c>
      <c r="I273" s="877">
        <f t="shared" si="77"/>
        <v>2421.6799999999998</v>
      </c>
      <c r="J273" s="1612">
        <f t="shared" si="78"/>
        <v>0</v>
      </c>
      <c r="K273" s="2078">
        <f t="shared" ca="1" si="72"/>
        <v>0</v>
      </c>
      <c r="L273" s="1574">
        <f t="shared" ca="1" si="75"/>
        <v>0</v>
      </c>
      <c r="M273" s="1445"/>
      <c r="N273" s="833"/>
      <c r="O273" s="833"/>
      <c r="Q273" s="833"/>
      <c r="R273" s="833"/>
      <c r="S273" s="833"/>
      <c r="T273" s="833"/>
      <c r="U273" s="833"/>
      <c r="V273" s="833"/>
      <c r="W273" s="833"/>
      <c r="X273" s="833"/>
    </row>
    <row r="274" spans="1:24" s="813" customFormat="1" ht="39.950000000000003" hidden="1" customHeight="1" x14ac:dyDescent="0.15">
      <c r="A274" s="2081">
        <f t="shared" ca="1" si="76"/>
        <v>5.0699999999999985</v>
      </c>
      <c r="B274" s="834" t="s">
        <v>1742</v>
      </c>
      <c r="C274" s="2" t="str">
        <f>VLOOKUP($B274,[4]BOLETIM_SEL!$A:$H,2,0)</f>
        <v>COMPOSIÇÃO</v>
      </c>
      <c r="D274" s="315" t="str">
        <f>VLOOKUP($B274,[4]BOLETIM_SEL!$A:$H,4,0)</f>
        <v>Boca-de-bueiro simples tubular - BBST  D = 0,80m, em concreto ciclópico com 30% de pedra-de-mão, conforme projeto tipo (2,23m³/un)</v>
      </c>
      <c r="E274" s="2"/>
      <c r="F274" s="2" t="str">
        <f>VLOOKUP($B274,[4]BOLETIM_SEL!$A:$H,6,0)</f>
        <v xml:space="preserve">UN </v>
      </c>
      <c r="G274" s="1407">
        <f>VLOOKUP($B274,[4]BOLETIM_SEL!$A:$H,7,0)</f>
        <v>3174.77</v>
      </c>
      <c r="H274" s="1611">
        <f>Dre_Disp_Estruturais!BM115</f>
        <v>0</v>
      </c>
      <c r="I274" s="877">
        <f t="shared" si="77"/>
        <v>3831.94</v>
      </c>
      <c r="J274" s="1612">
        <f t="shared" si="78"/>
        <v>0</v>
      </c>
      <c r="K274" s="2078">
        <f t="shared" ca="1" si="72"/>
        <v>0</v>
      </c>
      <c r="L274" s="1574">
        <f t="shared" ca="1" si="75"/>
        <v>0</v>
      </c>
      <c r="M274" s="1445"/>
      <c r="N274" s="833"/>
      <c r="O274" s="833"/>
      <c r="Q274" s="833"/>
      <c r="R274" s="833"/>
      <c r="S274" s="833"/>
      <c r="T274" s="833"/>
      <c r="U274" s="833"/>
      <c r="V274" s="833"/>
      <c r="W274" s="833"/>
      <c r="X274" s="833"/>
    </row>
    <row r="275" spans="1:24" s="813" customFormat="1" ht="39.950000000000003" hidden="1" customHeight="1" x14ac:dyDescent="0.15">
      <c r="A275" s="2081">
        <f t="shared" ca="1" si="76"/>
        <v>5.0699999999999985</v>
      </c>
      <c r="B275" s="834" t="s">
        <v>1743</v>
      </c>
      <c r="C275" s="2" t="str">
        <f>VLOOKUP($B275,[4]BOLETIM_SEL!$A:$H,2,0)</f>
        <v>COMPOSIÇÃO</v>
      </c>
      <c r="D275" s="315" t="str">
        <f>VLOOKUP($B275,[4]BOLETIM_SEL!$A:$H,4,0)</f>
        <v>Boca-de-bueiro simples tubular - BBST  D = 1,00m, em concreto ciclópico com 30% de pedra-de-mão, conforme projeto tipo (3,63m³/un)</v>
      </c>
      <c r="E275" s="2"/>
      <c r="F275" s="2" t="str">
        <f>VLOOKUP($B275,[4]BOLETIM_SEL!$A:$H,6,0)</f>
        <v xml:space="preserve">UN </v>
      </c>
      <c r="G275" s="1407">
        <f>VLOOKUP($B275,[4]BOLETIM_SEL!$A:$H,7,0)</f>
        <v>4679.3</v>
      </c>
      <c r="H275" s="1611">
        <f>Dre_Disp_Estruturais!BM116</f>
        <v>0</v>
      </c>
      <c r="I275" s="877">
        <f t="shared" si="77"/>
        <v>5647.91</v>
      </c>
      <c r="J275" s="1612">
        <f t="shared" si="78"/>
        <v>0</v>
      </c>
      <c r="K275" s="2078">
        <f t="shared" ca="1" si="72"/>
        <v>0</v>
      </c>
      <c r="L275" s="1574">
        <f t="shared" ca="1" si="75"/>
        <v>0</v>
      </c>
      <c r="M275" s="1445"/>
      <c r="N275" s="833"/>
      <c r="O275" s="833"/>
      <c r="Q275" s="833"/>
      <c r="R275" s="833"/>
      <c r="S275" s="833"/>
      <c r="T275" s="833"/>
      <c r="U275" s="833"/>
      <c r="V275" s="833"/>
      <c r="W275" s="833"/>
      <c r="X275" s="833"/>
    </row>
    <row r="276" spans="1:24" s="813" customFormat="1" ht="39.950000000000003" hidden="1" customHeight="1" x14ac:dyDescent="0.15">
      <c r="A276" s="2081">
        <f t="shared" ca="1" si="76"/>
        <v>5.0699999999999985</v>
      </c>
      <c r="B276" s="834" t="s">
        <v>1744</v>
      </c>
      <c r="C276" s="2" t="str">
        <f>VLOOKUP($B276,[4]BOLETIM_SEL!$A:$H,2,0)</f>
        <v>COMPOSIÇÃO</v>
      </c>
      <c r="D276" s="315" t="str">
        <f>VLOOKUP($B276,[4]BOLETIM_SEL!$A:$H,4,0)</f>
        <v>Boca-de-bueiro simples tubular - BBST  D = 1,20m, em concreto ciclópico com 30% de pedra-de-mão, conforme projeto tipo (5,40m³/un)</v>
      </c>
      <c r="E276" s="2"/>
      <c r="F276" s="2" t="str">
        <f>VLOOKUP($B276,[4]BOLETIM_SEL!$A:$H,6,0)</f>
        <v xml:space="preserve">UN </v>
      </c>
      <c r="G276" s="1407">
        <f>VLOOKUP($B276,[4]BOLETIM_SEL!$A:$H,7,0)</f>
        <v>6449.75</v>
      </c>
      <c r="H276" s="1611">
        <f>Dre_Disp_Estruturais!BM117</f>
        <v>0</v>
      </c>
      <c r="I276" s="877">
        <f t="shared" si="77"/>
        <v>7784.84</v>
      </c>
      <c r="J276" s="1612">
        <f t="shared" si="78"/>
        <v>0</v>
      </c>
      <c r="K276" s="2078">
        <f t="shared" ca="1" si="72"/>
        <v>0</v>
      </c>
      <c r="L276" s="1574">
        <f t="shared" ca="1" si="75"/>
        <v>0</v>
      </c>
      <c r="M276" s="1445"/>
      <c r="N276" s="833"/>
      <c r="O276" s="833"/>
      <c r="Q276" s="833"/>
      <c r="R276" s="833"/>
      <c r="S276" s="833"/>
      <c r="T276" s="833"/>
      <c r="U276" s="833"/>
      <c r="V276" s="833"/>
      <c r="W276" s="833"/>
      <c r="X276" s="833"/>
    </row>
    <row r="277" spans="1:24" s="813" customFormat="1" ht="39.950000000000003" hidden="1" customHeight="1" x14ac:dyDescent="0.15">
      <c r="A277" s="2081">
        <f t="shared" ca="1" si="76"/>
        <v>5.0699999999999985</v>
      </c>
      <c r="B277" s="834" t="s">
        <v>197</v>
      </c>
      <c r="C277" s="2" t="str">
        <f>VLOOKUP($B277,[4]BOLETIM_SEL!$A:$H,2,0)</f>
        <v>COMPOSIÇÃO</v>
      </c>
      <c r="D277" s="315" t="str">
        <f>VLOOKUP($B277,[4]BOLETIM_SEL!$A:$H,4,0)</f>
        <v>Boca-de-bueiro simples tubular - BBST  D = 1,50m, em concreto ciclópico com 30% de pedra-de-mão, conforme projeto tipo (8,95m³/un)</v>
      </c>
      <c r="E277" s="2"/>
      <c r="F277" s="2" t="str">
        <f>VLOOKUP($B277,[4]BOLETIM_SEL!$A:$H,6,0)</f>
        <v xml:space="preserve">UN </v>
      </c>
      <c r="G277" s="1407">
        <f>VLOOKUP($B277,[4]BOLETIM_SEL!$A:$H,7,0)</f>
        <v>9768.48</v>
      </c>
      <c r="H277" s="1611">
        <f>Dre_Disp_Estruturais!BM118</f>
        <v>0</v>
      </c>
      <c r="I277" s="877">
        <f t="shared" si="77"/>
        <v>11790.55</v>
      </c>
      <c r="J277" s="1612">
        <f t="shared" si="78"/>
        <v>0</v>
      </c>
      <c r="K277" s="2078">
        <f t="shared" ca="1" si="72"/>
        <v>0</v>
      </c>
      <c r="L277" s="1574">
        <f t="shared" ca="1" si="75"/>
        <v>0</v>
      </c>
      <c r="M277" s="1445"/>
      <c r="N277" s="833"/>
      <c r="O277" s="833"/>
      <c r="Q277" s="833"/>
      <c r="R277" s="833"/>
      <c r="S277" s="833"/>
      <c r="T277" s="833"/>
      <c r="U277" s="833"/>
      <c r="V277" s="833"/>
      <c r="W277" s="833"/>
      <c r="X277" s="833"/>
    </row>
    <row r="278" spans="1:24" s="813" customFormat="1" ht="39.950000000000003" hidden="1" customHeight="1" x14ac:dyDescent="0.15">
      <c r="A278" s="2081">
        <f t="shared" ca="1" si="76"/>
        <v>5.0699999999999985</v>
      </c>
      <c r="B278" s="834" t="s">
        <v>1745</v>
      </c>
      <c r="C278" s="2" t="str">
        <f>VLOOKUP($B278,[4]BOLETIM_SEL!$A:$H,2,0)</f>
        <v>COMPOSIÇÃO</v>
      </c>
      <c r="D278" s="315" t="str">
        <f>VLOOKUP($B278,[4]BOLETIM_SEL!$A:$H,4,0)</f>
        <v>Boca-de-bueiro simples celular - 1,50m x 1,50m, em concreto armado FCK 20 mpa, conforme projeto tipo (REF. SICRO COD. 0705225)</v>
      </c>
      <c r="E278" s="2"/>
      <c r="F278" s="2" t="str">
        <f>VLOOKUP($B278,[4]BOLETIM_SEL!$A:$H,6,0)</f>
        <v xml:space="preserve">UN </v>
      </c>
      <c r="G278" s="1407">
        <f>VLOOKUP($B278,[4]BOLETIM_SEL!$A:$H,7,0)</f>
        <v>19557.28</v>
      </c>
      <c r="H278" s="1611">
        <f>Dre_Disp_Estruturais!BM119</f>
        <v>0</v>
      </c>
      <c r="I278" s="877">
        <f t="shared" si="77"/>
        <v>23605.63</v>
      </c>
      <c r="J278" s="1612">
        <f t="shared" si="78"/>
        <v>0</v>
      </c>
      <c r="K278" s="2078">
        <f t="shared" ca="1" si="72"/>
        <v>0</v>
      </c>
      <c r="L278" s="1574">
        <f t="shared" ca="1" si="75"/>
        <v>0</v>
      </c>
      <c r="M278" s="1445"/>
      <c r="N278" s="833"/>
      <c r="O278" s="833"/>
      <c r="Q278" s="833"/>
      <c r="R278" s="833"/>
      <c r="S278" s="833"/>
      <c r="T278" s="833"/>
      <c r="U278" s="833"/>
      <c r="V278" s="833"/>
      <c r="W278" s="833"/>
      <c r="X278" s="833"/>
    </row>
    <row r="279" spans="1:24" s="813" customFormat="1" ht="39.950000000000003" hidden="1" customHeight="1" x14ac:dyDescent="0.15">
      <c r="A279" s="2081">
        <f t="shared" ca="1" si="76"/>
        <v>5.0699999999999985</v>
      </c>
      <c r="B279" s="834" t="s">
        <v>1746</v>
      </c>
      <c r="C279" s="2" t="str">
        <f>VLOOKUP($B279,[4]BOLETIM_SEL!$A:$H,2,0)</f>
        <v>COMPOSIÇÃO</v>
      </c>
      <c r="D279" s="315" t="str">
        <f>VLOOKUP($B279,[4]BOLETIM_SEL!$A:$H,4,0)</f>
        <v>Boca-de-bueiro simples celular - 2,00m x 2,00m, em concreto armado FCK 20 mpa, conforme projeto tipo (REF. SICRO COD. 0705233)</v>
      </c>
      <c r="E279" s="2"/>
      <c r="F279" s="2" t="str">
        <f>VLOOKUP($B279,[4]BOLETIM_SEL!$A:$H,6,0)</f>
        <v xml:space="preserve">UN </v>
      </c>
      <c r="G279" s="1407">
        <f>VLOOKUP($B279,[4]BOLETIM_SEL!$A:$H,7,0)</f>
        <v>29569.33</v>
      </c>
      <c r="H279" s="1611">
        <f>Dre_Disp_Estruturais!BM120</f>
        <v>0</v>
      </c>
      <c r="I279" s="877">
        <f t="shared" si="77"/>
        <v>35690.18</v>
      </c>
      <c r="J279" s="1612">
        <f t="shared" si="78"/>
        <v>0</v>
      </c>
      <c r="K279" s="2078">
        <f t="shared" ca="1" si="72"/>
        <v>0</v>
      </c>
      <c r="L279" s="1574">
        <f t="shared" ca="1" si="75"/>
        <v>0</v>
      </c>
      <c r="M279" s="1445"/>
      <c r="N279" s="833"/>
      <c r="O279" s="833"/>
      <c r="Q279" s="833"/>
      <c r="R279" s="833"/>
      <c r="S279" s="833"/>
      <c r="T279" s="833"/>
      <c r="U279" s="833"/>
      <c r="V279" s="833"/>
      <c r="W279" s="833"/>
      <c r="X279" s="833"/>
    </row>
    <row r="280" spans="1:24" s="813" customFormat="1" ht="39.950000000000003" hidden="1" customHeight="1" x14ac:dyDescent="0.15">
      <c r="A280" s="2081">
        <f t="shared" ca="1" si="76"/>
        <v>5.0699999999999985</v>
      </c>
      <c r="B280" s="834" t="s">
        <v>1747</v>
      </c>
      <c r="C280" s="2" t="str">
        <f>VLOOKUP($B280,[4]BOLETIM_SEL!$A:$H,2,0)</f>
        <v>COMPOSIÇÃO</v>
      </c>
      <c r="D280" s="315" t="str">
        <f>VLOOKUP($B280,[4]BOLETIM_SEL!$A:$H,4,0)</f>
        <v>Boca-de-bueiro simples celular - 2,50m x 2,50m, em concreto armado FCK 20 mpa, conforme projeto tipo (REF. SICRO COD. 0705238)</v>
      </c>
      <c r="E280" s="2"/>
      <c r="F280" s="2" t="str">
        <f>VLOOKUP($B280,[4]BOLETIM_SEL!$A:$H,6,0)</f>
        <v xml:space="preserve">UN </v>
      </c>
      <c r="G280" s="1407">
        <f>VLOOKUP($B280,[4]BOLETIM_SEL!$A:$H,7,0)</f>
        <v>39297.019999999997</v>
      </c>
      <c r="H280" s="1611">
        <f>Dre_Disp_Estruturais!BM121</f>
        <v>0</v>
      </c>
      <c r="I280" s="877">
        <f t="shared" si="77"/>
        <v>47431.5</v>
      </c>
      <c r="J280" s="1612">
        <f t="shared" si="78"/>
        <v>0</v>
      </c>
      <c r="K280" s="2078">
        <f t="shared" ca="1" si="72"/>
        <v>0</v>
      </c>
      <c r="L280" s="1574">
        <f t="shared" ca="1" si="75"/>
        <v>0</v>
      </c>
      <c r="M280" s="1445"/>
      <c r="N280" s="833"/>
      <c r="O280" s="833"/>
      <c r="Q280" s="833"/>
      <c r="R280" s="833"/>
      <c r="S280" s="833"/>
      <c r="T280" s="833"/>
      <c r="U280" s="833"/>
      <c r="V280" s="833"/>
      <c r="W280" s="833"/>
      <c r="X280" s="833"/>
    </row>
    <row r="281" spans="1:24" s="813" customFormat="1" ht="39.950000000000003" hidden="1" customHeight="1" x14ac:dyDescent="0.15">
      <c r="A281" s="2081">
        <f t="shared" ca="1" si="76"/>
        <v>5.0699999999999985</v>
      </c>
      <c r="B281" s="834" t="s">
        <v>1748</v>
      </c>
      <c r="C281" s="2" t="str">
        <f>VLOOKUP($B281,[4]BOLETIM_SEL!$A:$H,2,0)</f>
        <v>COMPOSIÇÃO</v>
      </c>
      <c r="D281" s="315" t="str">
        <f>VLOOKUP($B281,[4]BOLETIM_SEL!$A:$H,4,0)</f>
        <v>Boca-de-bueiro simples celular - 3,00m x 3,00m, em concreto armado FCK 20 mpa, conforme projeto tipo (REF. SICRO COD. 0705249)</v>
      </c>
      <c r="E281" s="2"/>
      <c r="F281" s="2" t="str">
        <f>VLOOKUP($B281,[4]BOLETIM_SEL!$A:$H,6,0)</f>
        <v xml:space="preserve">UN </v>
      </c>
      <c r="G281" s="1407">
        <f>VLOOKUP($B281,[4]BOLETIM_SEL!$A:$H,7,0)</f>
        <v>54327.82</v>
      </c>
      <c r="H281" s="1611">
        <f>Dre_Disp_Estruturais!BM122</f>
        <v>0</v>
      </c>
      <c r="I281" s="877">
        <f t="shared" si="77"/>
        <v>65573.67</v>
      </c>
      <c r="J281" s="1612">
        <f t="shared" si="78"/>
        <v>0</v>
      </c>
      <c r="K281" s="2078">
        <f t="shared" ca="1" si="72"/>
        <v>0</v>
      </c>
      <c r="L281" s="1574">
        <f t="shared" ca="1" si="75"/>
        <v>0</v>
      </c>
      <c r="M281" s="1445"/>
      <c r="N281" s="833"/>
      <c r="O281" s="833"/>
      <c r="Q281" s="833"/>
      <c r="R281" s="833"/>
      <c r="S281" s="833"/>
      <c r="T281" s="833"/>
      <c r="U281" s="833"/>
      <c r="V281" s="833"/>
      <c r="W281" s="833"/>
      <c r="X281" s="833"/>
    </row>
    <row r="282" spans="1:24" s="813" customFormat="1" ht="39.950000000000003" hidden="1" customHeight="1" x14ac:dyDescent="0.15">
      <c r="A282" s="2081">
        <f t="shared" ca="1" si="76"/>
        <v>5.0699999999999985</v>
      </c>
      <c r="B282" s="834" t="s">
        <v>193</v>
      </c>
      <c r="C282" s="2" t="str">
        <f>VLOOKUP($B282,[4]BOLETIM_SEL!$A:$H,2,0)</f>
        <v>COMPOSIÇÃO</v>
      </c>
      <c r="D282" s="315" t="str">
        <f>VLOOKUP($B282,[4]BOLETIM_SEL!$A:$H,4,0)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2" s="2"/>
      <c r="F282" s="2" t="str">
        <f>VLOOKUP($B282,[4]BOLETIM_SEL!$A:$H,6,0)</f>
        <v>UN</v>
      </c>
      <c r="G282" s="1407">
        <f>VLOOKUP($B282,[4]BOLETIM_SEL!$A:$H,7,0)</f>
        <v>977.58</v>
      </c>
      <c r="H282" s="1611">
        <f>Dre_Disp_Estruturais!BM110</f>
        <v>0</v>
      </c>
      <c r="I282" s="877">
        <f t="shared" si="77"/>
        <v>1179.93</v>
      </c>
      <c r="J282" s="1612">
        <f t="shared" si="78"/>
        <v>0</v>
      </c>
      <c r="K282" s="2078">
        <f t="shared" ca="1" si="72"/>
        <v>0</v>
      </c>
      <c r="L282" s="1574">
        <f t="shared" ca="1" si="75"/>
        <v>0</v>
      </c>
      <c r="M282" s="1445"/>
      <c r="N282" s="833"/>
      <c r="O282" s="833"/>
      <c r="Q282" s="833"/>
      <c r="R282" s="833"/>
      <c r="S282" s="833"/>
      <c r="T282" s="833"/>
      <c r="U282" s="833"/>
      <c r="V282" s="833"/>
      <c r="W282" s="833"/>
      <c r="X282" s="833"/>
    </row>
    <row r="283" spans="1:24" s="813" customFormat="1" ht="39.950000000000003" hidden="1" customHeight="1" x14ac:dyDescent="0.15">
      <c r="A283" s="2081">
        <f t="shared" ca="1" si="76"/>
        <v>5.0699999999999985</v>
      </c>
      <c r="B283" s="834" t="s">
        <v>1739</v>
      </c>
      <c r="C283" s="2" t="str">
        <f>VLOOKUP($B283,[4]BOLETIM_SEL!$A:$H,2,0)</f>
        <v>COMPOSIÇÃO</v>
      </c>
      <c r="D283" s="315" t="str">
        <f>VLOOKUP($B283,[4]BOLETIM_SEL!$A:$H,4,0)</f>
        <v>Reforma de boca de lobo dupla, incluindo demolições, reconstrução da sarjeta de contorno (chama) em concreto simples FCK 20mpa, duas guias chapéu pré-moldadas e duas grelhas articuladas em F°F° tipo pesada, conforme projeto tipo</v>
      </c>
      <c r="E283" s="2"/>
      <c r="F283" s="2" t="str">
        <f>VLOOKUP($B283,[4]BOLETIM_SEL!$A:$H,6,0)</f>
        <v>UN</v>
      </c>
      <c r="G283" s="1407">
        <f>VLOOKUP($B283,[4]BOLETIM_SEL!$A:$H,7,0)</f>
        <v>1828.33</v>
      </c>
      <c r="H283" s="1611">
        <f>Dre_Disp_Estruturais!BM111</f>
        <v>0</v>
      </c>
      <c r="I283" s="877">
        <f t="shared" si="77"/>
        <v>2206.79</v>
      </c>
      <c r="J283" s="1612">
        <f t="shared" si="78"/>
        <v>0</v>
      </c>
      <c r="K283" s="2078">
        <f t="shared" ca="1" si="72"/>
        <v>0</v>
      </c>
      <c r="L283" s="1574">
        <f t="shared" ca="1" si="75"/>
        <v>0</v>
      </c>
      <c r="M283" s="1445"/>
      <c r="N283" s="833"/>
      <c r="O283" s="833"/>
      <c r="Q283" s="833"/>
      <c r="R283" s="833"/>
      <c r="S283" s="833"/>
      <c r="T283" s="833"/>
      <c r="U283" s="833"/>
      <c r="V283" s="833"/>
      <c r="W283" s="833"/>
      <c r="X283" s="833"/>
    </row>
    <row r="284" spans="1:24" s="813" customFormat="1" ht="39.950000000000003" hidden="1" customHeight="1" x14ac:dyDescent="0.15">
      <c r="A284" s="2081">
        <f t="shared" ca="1" si="76"/>
        <v>5.0699999999999985</v>
      </c>
      <c r="B284" s="834" t="s">
        <v>194</v>
      </c>
      <c r="C284" s="2" t="str">
        <f>VLOOKUP($B284,[4]BOLETIM_SEL!$A:$H,2,0)</f>
        <v>COMPOSIÇÃO</v>
      </c>
      <c r="D284" s="315" t="str">
        <f>VLOOKUP($B284,[4]BOLETIM_SEL!$A:$H,4,0)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4" s="2"/>
      <c r="F284" s="2" t="str">
        <f>VLOOKUP($B284,[4]BOLETIM_SEL!$A:$H,6,0)</f>
        <v>UN</v>
      </c>
      <c r="G284" s="1407">
        <f>VLOOKUP($B284,[4]BOLETIM_SEL!$A:$H,7,0)</f>
        <v>2678.97</v>
      </c>
      <c r="H284" s="1611">
        <f>Dre_Disp_Estruturais!BM112</f>
        <v>0</v>
      </c>
      <c r="I284" s="877">
        <f t="shared" si="77"/>
        <v>3233.51</v>
      </c>
      <c r="J284" s="1612">
        <f t="shared" si="78"/>
        <v>0</v>
      </c>
      <c r="K284" s="2078">
        <f t="shared" ca="1" si="72"/>
        <v>0</v>
      </c>
      <c r="L284" s="1574">
        <f t="shared" ca="1" si="75"/>
        <v>0</v>
      </c>
      <c r="M284" s="1445"/>
      <c r="N284" s="833"/>
      <c r="O284" s="833"/>
      <c r="Q284" s="833"/>
      <c r="R284" s="833"/>
      <c r="S284" s="833"/>
      <c r="T284" s="833"/>
      <c r="U284" s="833"/>
      <c r="V284" s="833"/>
      <c r="W284" s="833"/>
      <c r="X284" s="833"/>
    </row>
    <row r="285" spans="1:24" s="813" customFormat="1" ht="39.950000000000003" hidden="1" customHeight="1" x14ac:dyDescent="0.15">
      <c r="A285" s="2081">
        <f t="shared" ca="1" si="76"/>
        <v>5.0699999999999985</v>
      </c>
      <c r="B285" s="834" t="s">
        <v>1752</v>
      </c>
      <c r="C285" s="2" t="str">
        <f>VLOOKUP($B285,[4]BOLETIM_SEL!$A:$H,2,0)</f>
        <v>COMPOSIÇÃO</v>
      </c>
      <c r="D285" s="315" t="str">
        <f>VLOOKUP($B285,[4]BOLETIM_SEL!$A:$H,4,0)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285" s="2"/>
      <c r="F285" s="2" t="str">
        <f>VLOOKUP($B285,[4]BOLETIM_SEL!$A:$H,6,0)</f>
        <v xml:space="preserve">UN </v>
      </c>
      <c r="G285" s="1407">
        <f>VLOOKUP($B285,[4]BOLETIM_SEL!$A:$H,7,0)</f>
        <v>949.28</v>
      </c>
      <c r="H285" s="1611">
        <f>Dre_Disp_Estruturais!BM95</f>
        <v>0</v>
      </c>
      <c r="I285" s="877">
        <f t="shared" si="77"/>
        <v>1145.78</v>
      </c>
      <c r="J285" s="1612">
        <f t="shared" si="78"/>
        <v>0</v>
      </c>
      <c r="K285" s="2078">
        <f t="shared" ca="1" si="72"/>
        <v>0</v>
      </c>
      <c r="L285" s="1574">
        <f t="shared" ca="1" si="75"/>
        <v>0</v>
      </c>
      <c r="M285" s="1445"/>
      <c r="N285" s="833"/>
      <c r="O285" s="833"/>
      <c r="Q285" s="833"/>
      <c r="R285" s="833"/>
      <c r="S285" s="833"/>
      <c r="T285" s="833"/>
      <c r="U285" s="833"/>
      <c r="V285" s="833"/>
      <c r="W285" s="833"/>
      <c r="X285" s="833"/>
    </row>
    <row r="286" spans="1:24" s="813" customFormat="1" ht="39.950000000000003" hidden="1" customHeight="1" x14ac:dyDescent="0.15">
      <c r="A286" s="2081">
        <f t="shared" ca="1" si="76"/>
        <v>5.0699999999999985</v>
      </c>
      <c r="B286" s="834" t="s">
        <v>1753</v>
      </c>
      <c r="C286" s="2" t="str">
        <f>VLOOKUP($B286,[4]BOLETIM_SEL!$A:$H,2,0)</f>
        <v>COMPOSIÇÃO</v>
      </c>
      <c r="D286" s="315" t="str">
        <f>VLOOKUP($B286,[4]BOLETIM_SEL!$A:$H,4,0)</f>
        <v>Remoção e reassentamento de quadro e grelha articulada em F°F° para boca de lobo, incluindo demolição e implantação da sarjeta de contorno (chama) em concreto FCK = 20 Mpa</v>
      </c>
      <c r="E286" s="2"/>
      <c r="F286" s="2" t="str">
        <f>VLOOKUP($B286,[4]BOLETIM_SEL!$A:$H,6,0)</f>
        <v xml:space="preserve">UN </v>
      </c>
      <c r="G286" s="1407">
        <f>VLOOKUP($B286,[4]BOLETIM_SEL!$A:$H,7,0)</f>
        <v>216.3</v>
      </c>
      <c r="H286" s="1611">
        <f>Dre_Disp_Estruturais!BM96</f>
        <v>0</v>
      </c>
      <c r="I286" s="877">
        <f t="shared" si="77"/>
        <v>261.07</v>
      </c>
      <c r="J286" s="1612">
        <f t="shared" si="78"/>
        <v>0</v>
      </c>
      <c r="K286" s="2078">
        <f t="shared" ca="1" si="72"/>
        <v>0</v>
      </c>
      <c r="L286" s="1574">
        <f t="shared" ca="1" si="75"/>
        <v>0</v>
      </c>
      <c r="M286" s="1445"/>
      <c r="N286" s="833"/>
      <c r="O286" s="833"/>
      <c r="Q286" s="833"/>
      <c r="R286" s="833"/>
      <c r="S286" s="833"/>
      <c r="T286" s="833"/>
      <c r="U286" s="833"/>
      <c r="V286" s="833"/>
      <c r="W286" s="833"/>
      <c r="X286" s="833"/>
    </row>
    <row r="287" spans="1:24" s="813" customFormat="1" ht="39.950000000000003" hidden="1" customHeight="1" x14ac:dyDescent="0.15">
      <c r="A287" s="2081">
        <f t="shared" ca="1" si="76"/>
        <v>5.0699999999999985</v>
      </c>
      <c r="B287" s="834" t="s">
        <v>1750</v>
      </c>
      <c r="C287" s="2" t="str">
        <f>VLOOKUP($B287,[4]BOLETIM_SEL!$A:$H,2,0)</f>
        <v>COMPOSIÇÃO</v>
      </c>
      <c r="D287" s="315" t="str">
        <f>VLOOKUP($B287,[4]BOLETIM_SEL!$A:$H,4,0)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287" s="2"/>
      <c r="F287" s="2" t="str">
        <f>VLOOKUP($B287,[4]BOLETIM_SEL!$A:$H,6,0)</f>
        <v xml:space="preserve">UN </v>
      </c>
      <c r="G287" s="1407">
        <f>VLOOKUP($B287,[4]BOLETIM_SEL!$A:$H,7,0)</f>
        <v>837.92</v>
      </c>
      <c r="H287" s="1611">
        <f>Dre_Disp_Estruturais!BM97</f>
        <v>0</v>
      </c>
      <c r="I287" s="877">
        <f t="shared" si="77"/>
        <v>1011.36</v>
      </c>
      <c r="J287" s="1612">
        <f t="shared" si="78"/>
        <v>0</v>
      </c>
      <c r="K287" s="2078">
        <f t="shared" ca="1" si="72"/>
        <v>0</v>
      </c>
      <c r="L287" s="1574">
        <f t="shared" ca="1" si="75"/>
        <v>0</v>
      </c>
      <c r="M287" s="1445"/>
      <c r="N287" s="833"/>
      <c r="O287" s="833"/>
      <c r="Q287" s="833"/>
      <c r="R287" s="833"/>
      <c r="S287" s="833"/>
      <c r="T287" s="833"/>
      <c r="U287" s="833"/>
      <c r="V287" s="833"/>
      <c r="W287" s="833"/>
      <c r="X287" s="833"/>
    </row>
    <row r="288" spans="1:24" s="813" customFormat="1" ht="39.950000000000003" hidden="1" customHeight="1" x14ac:dyDescent="0.15">
      <c r="A288" s="2081">
        <f t="shared" ca="1" si="76"/>
        <v>5.0699999999999985</v>
      </c>
      <c r="B288" s="834" t="s">
        <v>1751</v>
      </c>
      <c r="C288" s="2" t="str">
        <f>VLOOKUP($B288,[4]BOLETIM_SEL!$A:$H,2,0)</f>
        <v>COMPOSIÇÃO</v>
      </c>
      <c r="D288" s="315" t="str">
        <f>VLOOKUP($B288,[4]BOLETIM_SEL!$A:$H,4,0)</f>
        <v>Remoção e reassentamento de tampão em F°F° para PV, com  reaproveitamento, incluindo recorte, demolição e requadro em concreto simples FCK 20mpa, de 1,00m x 1,00m x 0,20m</v>
      </c>
      <c r="E288" s="2"/>
      <c r="F288" s="2" t="str">
        <f>VLOOKUP($B288,[4]BOLETIM_SEL!$A:$H,6,0)</f>
        <v xml:space="preserve">UN </v>
      </c>
      <c r="G288" s="1407">
        <f>VLOOKUP($B288,[4]BOLETIM_SEL!$A:$H,7,0)</f>
        <v>220.5</v>
      </c>
      <c r="H288" s="1611">
        <f>Dre_Disp_Estruturais!BM98</f>
        <v>0</v>
      </c>
      <c r="I288" s="877">
        <f t="shared" si="77"/>
        <v>266.14</v>
      </c>
      <c r="J288" s="1612">
        <f t="shared" si="78"/>
        <v>0</v>
      </c>
      <c r="K288" s="2078">
        <f t="shared" ca="1" si="72"/>
        <v>0</v>
      </c>
      <c r="L288" s="1574">
        <f t="shared" ca="1" si="75"/>
        <v>0</v>
      </c>
      <c r="M288" s="1445"/>
      <c r="N288" s="833"/>
      <c r="O288" s="833"/>
      <c r="Q288" s="833"/>
      <c r="R288" s="833"/>
      <c r="S288" s="833"/>
      <c r="T288" s="833"/>
      <c r="U288" s="833"/>
      <c r="V288" s="833"/>
      <c r="W288" s="833"/>
      <c r="X288" s="833"/>
    </row>
    <row r="289" spans="1:24" s="813" customFormat="1" ht="24.95" customHeight="1" x14ac:dyDescent="0.15">
      <c r="A289" s="2081"/>
      <c r="B289" s="2"/>
      <c r="C289" s="2"/>
      <c r="D289" s="1452" t="s">
        <v>2190</v>
      </c>
      <c r="E289" s="2"/>
      <c r="F289" s="2"/>
      <c r="G289" s="1407"/>
      <c r="H289" s="2"/>
      <c r="I289" s="2"/>
      <c r="J289" s="839" t="str">
        <f ca="1">IF(J290=0,"-","")</f>
        <v/>
      </c>
      <c r="K289" s="2078"/>
      <c r="L289" s="1574"/>
      <c r="M289" s="1445"/>
      <c r="N289" s="833"/>
      <c r="O289" s="833"/>
      <c r="Q289" s="833"/>
      <c r="R289" s="833"/>
      <c r="S289" s="833"/>
      <c r="T289" s="833"/>
      <c r="U289" s="833"/>
      <c r="V289" s="833"/>
      <c r="W289" s="833"/>
      <c r="X289" s="833"/>
    </row>
    <row r="290" spans="1:24" s="813" customFormat="1" ht="39.950000000000003" customHeight="1" x14ac:dyDescent="0.15">
      <c r="A290" s="2081">
        <f ca="1">IF(H290&gt;0,A288+0.01,A288)</f>
        <v>5.0799999999999983</v>
      </c>
      <c r="B290" s="834">
        <f ca="1">IF(AND(M290&lt;=50,E290&lt;=30),95876,IF(AND(M290&lt;=50,E290&gt;30),93593,IF(AND(M290&gt;50,E290&lt;=30),95876,93593)))</f>
        <v>93593</v>
      </c>
      <c r="C290" s="2" t="str">
        <f ca="1">VLOOKUP($B290,[4]BOLETIM_SEL!$A:$H,2,0)</f>
        <v>SINAPI</v>
      </c>
      <c r="D290" s="315" t="str">
        <f ca="1">VLOOKUP($B290,[4]BOLETIM_SEL!$A:$H,4,0)</f>
        <v>Transporte com caminhão basculante de 14 m3, em via urbana pavimentada, adicional para DMT excedente a 30,00 km (unidade: m3xkm). AF_07/2020</v>
      </c>
      <c r="E290" s="2">
        <f>Dados_DMT!$B$34</f>
        <v>109</v>
      </c>
      <c r="F290" s="2" t="str">
        <f ca="1">VLOOKUP($B290,[4]BOLETIM_SEL!$A:$H,6,0)</f>
        <v>M3XKM</v>
      </c>
      <c r="G290" s="1407">
        <f ca="1">VLOOKUP($B290,[4]BOLETIM_SEL!$A:$H,7,0)</f>
        <v>0.78</v>
      </c>
      <c r="H290" s="1611">
        <f ca="1">ROUND(Dre_Disp_Estruturais!BM154*E290,2)</f>
        <v>15778.84</v>
      </c>
      <c r="I290" s="877">
        <f ca="1">TRUNC(G290*(1+$J$5),2)</f>
        <v>0.94</v>
      </c>
      <c r="J290" s="1612">
        <f ca="1">TRUNC(H290*I290,2)</f>
        <v>14832.1</v>
      </c>
      <c r="K290" s="2078">
        <f ca="1">J290/J$967</f>
        <v>1.1068187977852284E-3</v>
      </c>
      <c r="L290" s="1574">
        <f ca="1">J290/J$100</f>
        <v>2.2414650281071355E-2</v>
      </c>
      <c r="M290" s="1453">
        <f ca="1">IF(H290=0,0,H290/E290)</f>
        <v>144.76</v>
      </c>
      <c r="N290" s="833"/>
      <c r="O290" s="833"/>
      <c r="Q290" s="833"/>
      <c r="R290" s="833"/>
      <c r="S290" s="833"/>
      <c r="T290" s="833"/>
      <c r="U290" s="833"/>
      <c r="V290" s="833"/>
      <c r="W290" s="833"/>
      <c r="X290" s="833"/>
    </row>
    <row r="291" spans="1:24" s="813" customFormat="1" ht="24.95" customHeight="1" x14ac:dyDescent="0.15">
      <c r="A291" s="2081"/>
      <c r="B291" s="834"/>
      <c r="C291" s="2"/>
      <c r="D291" s="1452" t="s">
        <v>1828</v>
      </c>
      <c r="E291" s="2"/>
      <c r="F291" s="2"/>
      <c r="G291" s="1821"/>
      <c r="H291" s="2"/>
      <c r="I291" s="2"/>
      <c r="J291" s="839" t="str">
        <f ca="1">IF(J292=0,"-","")</f>
        <v/>
      </c>
      <c r="K291" s="2078"/>
      <c r="L291" s="1574"/>
      <c r="M291" s="1445"/>
      <c r="N291" s="833"/>
      <c r="O291" s="833"/>
      <c r="Q291" s="833"/>
      <c r="R291" s="833"/>
      <c r="S291" s="833"/>
      <c r="T291" s="833"/>
      <c r="U291" s="833"/>
      <c r="V291" s="833"/>
      <c r="W291" s="833"/>
      <c r="X291" s="833"/>
    </row>
    <row r="292" spans="1:24" s="813" customFormat="1" ht="39.950000000000003" customHeight="1" x14ac:dyDescent="0.15">
      <c r="A292" s="2081">
        <f ca="1">IF(H292&gt;0,A290+0.01,A290)</f>
        <v>5.0899999999999981</v>
      </c>
      <c r="B292" s="2">
        <v>100953</v>
      </c>
      <c r="C292" s="2" t="str">
        <f>VLOOKUP($B292,[4]BOLETIM_SEL!$A:$H,2,0)</f>
        <v>SINAPI</v>
      </c>
      <c r="D292" s="315" t="str">
        <f>VLOOKUP($B292,[4]BOLETIM_SEL!$A:$H,4,0)</f>
        <v>Transporte com caminhão carroceria com guindauto (munck), momento máximo de carga 11,7 tm, em via urbana pavimentada, adicional para DMT excedente a 30,00 km (unidade: txkm). AF_07/2020</v>
      </c>
      <c r="E292" s="2">
        <f>Dados_DMT!$B$13</f>
        <v>100</v>
      </c>
      <c r="F292" s="2" t="str">
        <f>VLOOKUP($B292,[4]BOLETIM_SEL!$A:$H,6,0)</f>
        <v>TXKM</v>
      </c>
      <c r="G292" s="1407">
        <f>VLOOKUP($B292,[4]BOLETIM_SEL!$A:$H,7,0)</f>
        <v>0.98</v>
      </c>
      <c r="H292" s="1611">
        <f ca="1">ROUND(Dre_Disp_Estruturais!BM161*E292,2)</f>
        <v>124085</v>
      </c>
      <c r="I292" s="877">
        <f>TRUNC(G292*(1+$J$5),2)</f>
        <v>1.18</v>
      </c>
      <c r="J292" s="1612">
        <f ca="1">TRUNC(H292*I292,2)</f>
        <v>146420.29999999999</v>
      </c>
      <c r="K292" s="2078">
        <f ca="1">J292/J$967</f>
        <v>1.0926351657375049E-2</v>
      </c>
      <c r="L292" s="1574">
        <f ca="1">J292/J$183</f>
        <v>0.12915856174535356</v>
      </c>
      <c r="M292" s="1445"/>
      <c r="N292" s="833"/>
      <c r="O292" s="833"/>
      <c r="Q292" s="833"/>
      <c r="R292" s="833"/>
      <c r="S292" s="833"/>
      <c r="T292" s="833"/>
      <c r="U292" s="833"/>
      <c r="V292" s="833"/>
      <c r="W292" s="833"/>
      <c r="X292" s="833"/>
    </row>
    <row r="293" spans="1:24" s="813" customFormat="1" ht="24.95" customHeight="1" x14ac:dyDescent="0.15">
      <c r="A293" s="2081"/>
      <c r="B293" s="834"/>
      <c r="C293" s="834"/>
      <c r="D293" s="835"/>
      <c r="E293" s="2"/>
      <c r="F293" s="834"/>
      <c r="G293" s="1821"/>
      <c r="H293" s="1"/>
      <c r="I293" s="877"/>
      <c r="J293" s="839" t="str">
        <f ca="1">IF(J183=0,0,"")</f>
        <v/>
      </c>
      <c r="K293" s="2078"/>
      <c r="L293" s="1574"/>
      <c r="M293" s="1446"/>
      <c r="N293" s="833"/>
      <c r="O293" s="833"/>
      <c r="Q293" s="833"/>
      <c r="R293" s="833"/>
      <c r="S293" s="833"/>
      <c r="T293" s="833"/>
      <c r="U293" s="833"/>
      <c r="V293" s="833"/>
      <c r="W293" s="833"/>
      <c r="X293" s="833"/>
    </row>
    <row r="294" spans="1:24" s="833" customFormat="1" ht="24.95" hidden="1" customHeight="1" x14ac:dyDescent="0.15">
      <c r="A294" s="2082">
        <f ca="1">IF(J294&gt;0,INT(A292)+1,IF(J294=0,INT(A292),0))</f>
        <v>5</v>
      </c>
      <c r="B294" s="1633"/>
      <c r="C294" s="1633"/>
      <c r="D294" s="1634" t="s">
        <v>746</v>
      </c>
      <c r="E294" s="1828"/>
      <c r="F294" s="1635"/>
      <c r="G294" s="1820" t="s">
        <v>646</v>
      </c>
      <c r="H294" s="1637"/>
      <c r="I294" s="1640" t="str">
        <f ca="1">CONCATENATE("SUB-TOTAL ",A294)</f>
        <v>SUB-TOTAL 5</v>
      </c>
      <c r="J294" s="1639">
        <f>SUM(J295:J312)</f>
        <v>0</v>
      </c>
      <c r="K294" s="2079">
        <f t="shared" ref="K294:K312" ca="1" si="79">J294/J$967</f>
        <v>0</v>
      </c>
      <c r="L294" s="1610" t="e">
        <f>J294/$J$294</f>
        <v>#DIV/0!</v>
      </c>
    </row>
    <row r="295" spans="1:24" s="813" customFormat="1" ht="39.950000000000003" hidden="1" customHeight="1" x14ac:dyDescent="0.15">
      <c r="A295" s="2081">
        <f ca="1">IF(H295&gt;0,A294+0.01,A294)</f>
        <v>5</v>
      </c>
      <c r="B295" s="834">
        <v>94962</v>
      </c>
      <c r="C295" s="2" t="str">
        <f>VLOOKUP($B295,[4]BOLETIM_SEL!$A:$H,2,0)</f>
        <v>SINAPI</v>
      </c>
      <c r="D295" s="315" t="str">
        <f>VLOOKUP($B295,[4]BOLETIM_SEL!$A:$H,4,0)</f>
        <v>Concreto magro para lastro, traço 1:4,5:4,5 (cimento/ areia média/ brita 1) - preparo mecânico com betoneira 400 l. AF_07/2016</v>
      </c>
      <c r="E295" s="2"/>
      <c r="F295" s="2" t="str">
        <f>VLOOKUP($B295,[4]BOLETIM_SEL!$A:$H,6,0)</f>
        <v>M3</v>
      </c>
      <c r="G295" s="1407">
        <f>VLOOKUP($B295,[4]BOLETIM_SEL!$A:$H,7,0)</f>
        <v>380.85</v>
      </c>
      <c r="H295" s="1611">
        <f>Dre_Disp_Estruturais!BM129+Dre_Disp_Estruturais!BM134</f>
        <v>0</v>
      </c>
      <c r="I295" s="877">
        <f t="shared" ref="I295:I312" si="80">TRUNC(G295*(1+$J$5),2)</f>
        <v>459.68</v>
      </c>
      <c r="J295" s="1612">
        <f t="shared" si="78"/>
        <v>0</v>
      </c>
      <c r="K295" s="2078">
        <f t="shared" ca="1" si="79"/>
        <v>0</v>
      </c>
      <c r="L295" s="1574" t="e">
        <f t="shared" ref="L295:L312" si="81">J295/$J$294</f>
        <v>#DIV/0!</v>
      </c>
      <c r="M295" s="1445"/>
      <c r="N295" s="833"/>
      <c r="O295" s="833"/>
      <c r="Q295" s="833"/>
      <c r="R295" s="833"/>
      <c r="S295" s="833"/>
      <c r="T295" s="833"/>
      <c r="U295" s="833"/>
      <c r="V295" s="833"/>
      <c r="W295" s="833"/>
      <c r="X295" s="833"/>
    </row>
    <row r="296" spans="1:24" s="813" customFormat="1" ht="30" hidden="1" customHeight="1" x14ac:dyDescent="0.15">
      <c r="A296" s="2081">
        <f ca="1">IF(H296&gt;0,A295+0.01,A295)</f>
        <v>5</v>
      </c>
      <c r="B296" s="2">
        <v>103670</v>
      </c>
      <c r="C296" s="2" t="str">
        <f>VLOOKUP($B296,[4]BOLETIM_SEL!$A:$H,2,0)</f>
        <v>SINAPI</v>
      </c>
      <c r="D296" s="315" t="str">
        <f>VLOOKUP($B296,[4]BOLETIM_SEL!$A:$H,4,0)</f>
        <v>Lançamento com uso de baldes, adensamento e acabamento de concreto em estruturas. AF_12/2015</v>
      </c>
      <c r="E296" s="2"/>
      <c r="F296" s="2" t="str">
        <f>VLOOKUP($B296,[4]BOLETIM_SEL!$A:$H,6,0)</f>
        <v>M3</v>
      </c>
      <c r="G296" s="1407">
        <f>VLOOKUP($B296,[4]BOLETIM_SEL!$A:$H,7,0)</f>
        <v>257.33999999999997</v>
      </c>
      <c r="H296" s="1611">
        <f>Dre_Disp_Estruturais!BM129+Dre_Disp_Estruturais!BM134</f>
        <v>0</v>
      </c>
      <c r="I296" s="877">
        <f t="shared" si="80"/>
        <v>310.60000000000002</v>
      </c>
      <c r="J296" s="1612">
        <f t="shared" si="78"/>
        <v>0</v>
      </c>
      <c r="K296" s="2078">
        <f t="shared" ca="1" si="79"/>
        <v>0</v>
      </c>
      <c r="L296" s="1574" t="e">
        <f t="shared" si="81"/>
        <v>#DIV/0!</v>
      </c>
      <c r="M296" s="1445"/>
      <c r="N296" s="833"/>
      <c r="O296" s="833"/>
      <c r="Q296" s="833"/>
      <c r="R296" s="833"/>
      <c r="S296" s="833"/>
      <c r="T296" s="833"/>
      <c r="U296" s="833"/>
      <c r="V296" s="833"/>
      <c r="W296" s="833"/>
      <c r="X296" s="833"/>
    </row>
    <row r="297" spans="1:24" s="813" customFormat="1" ht="30" hidden="1" customHeight="1" x14ac:dyDescent="0.15">
      <c r="A297" s="2081">
        <f t="shared" ref="A297:A312" ca="1" si="82">IF(H297&gt;0,A296+0.01,A296)</f>
        <v>5</v>
      </c>
      <c r="B297" s="834">
        <v>94964</v>
      </c>
      <c r="C297" s="2" t="str">
        <f>VLOOKUP($B297,[4]BOLETIM_SEL!$A:$H,2,0)</f>
        <v>SINAPI</v>
      </c>
      <c r="D297" s="315" t="str">
        <f>VLOOKUP($B297,[4]BOLETIM_SEL!$A:$H,4,0)</f>
        <v>Concreto FCK = 20 MPA, traço 1:2,7:3 (cimento/ areia média/ brita 1) - preparo mecânico com betoneira 400 l. AF_07/2016</v>
      </c>
      <c r="E297" s="2"/>
      <c r="F297" s="2" t="str">
        <f>VLOOKUP($B297,[4]BOLETIM_SEL!$A:$H,6,0)</f>
        <v>M3</v>
      </c>
      <c r="G297" s="1407">
        <f>VLOOKUP($B297,[4]BOLETIM_SEL!$A:$H,7,0)</f>
        <v>471.67</v>
      </c>
      <c r="H297" s="1611"/>
      <c r="I297" s="877">
        <f t="shared" si="80"/>
        <v>569.29999999999995</v>
      </c>
      <c r="J297" s="1612">
        <f t="shared" si="78"/>
        <v>0</v>
      </c>
      <c r="K297" s="2078">
        <f t="shared" ca="1" si="79"/>
        <v>0</v>
      </c>
      <c r="L297" s="1574" t="e">
        <f t="shared" si="81"/>
        <v>#DIV/0!</v>
      </c>
      <c r="M297" s="1445"/>
      <c r="N297" s="833"/>
      <c r="O297" s="833"/>
      <c r="Q297" s="833"/>
      <c r="R297" s="833"/>
      <c r="S297" s="833"/>
      <c r="T297" s="833"/>
      <c r="U297" s="833"/>
      <c r="V297" s="833"/>
      <c r="W297" s="833"/>
      <c r="X297" s="833"/>
    </row>
    <row r="298" spans="1:24" s="813" customFormat="1" ht="39.950000000000003" hidden="1" customHeight="1" x14ac:dyDescent="0.15">
      <c r="A298" s="2081">
        <f t="shared" ca="1" si="82"/>
        <v>5</v>
      </c>
      <c r="B298" s="834">
        <v>34493</v>
      </c>
      <c r="C298" s="2" t="str">
        <f>VLOOKUP($B298,[4]BOLETIM_SEL!$A:$H,2,0)</f>
        <v>SINAPI</v>
      </c>
      <c r="D298" s="315" t="str">
        <f>VLOOKUP($B298,[4]BOLETIM_SEL!$A:$H,4,0)</f>
        <v>Concreto usinado bombeável, classe de resistência C25, com brita 0,00 e 1, slump = 100 +/- 20 mm, exclui serviço de bombeamento (NBR 8953)</v>
      </c>
      <c r="E298" s="2"/>
      <c r="F298" s="2" t="str">
        <f>VLOOKUP($B298,[4]BOLETIM_SEL!$A:$H,6,0)</f>
        <v xml:space="preserve">M3    </v>
      </c>
      <c r="G298" s="1407">
        <f>VLOOKUP($B298,[4]BOLETIM_SEL!$A:$H,7,0)</f>
        <v>560.36</v>
      </c>
      <c r="H298" s="1611">
        <f>Dre_Disp_Estruturais!BM130+Dre_Disp_Estruturais!BM135</f>
        <v>0</v>
      </c>
      <c r="I298" s="877">
        <f t="shared" si="80"/>
        <v>676.35</v>
      </c>
      <c r="J298" s="1612">
        <f t="shared" si="78"/>
        <v>0</v>
      </c>
      <c r="K298" s="2078">
        <f t="shared" ca="1" si="79"/>
        <v>0</v>
      </c>
      <c r="L298" s="1574" t="e">
        <f t="shared" si="81"/>
        <v>#DIV/0!</v>
      </c>
      <c r="M298" s="1445"/>
      <c r="N298" s="833"/>
      <c r="O298" s="833"/>
      <c r="Q298" s="833"/>
      <c r="R298" s="833"/>
      <c r="S298" s="833"/>
      <c r="T298" s="833"/>
      <c r="U298" s="833"/>
      <c r="V298" s="833"/>
      <c r="W298" s="833"/>
      <c r="X298" s="833"/>
    </row>
    <row r="299" spans="1:24" s="813" customFormat="1" ht="30" hidden="1" customHeight="1" x14ac:dyDescent="0.15">
      <c r="A299" s="2081">
        <f t="shared" ca="1" si="82"/>
        <v>5</v>
      </c>
      <c r="B299" s="834">
        <v>103673</v>
      </c>
      <c r="C299" s="2" t="str">
        <f>VLOOKUP($B299,[4]BOLETIM_SEL!$A:$H,2,0)</f>
        <v>SINAPI</v>
      </c>
      <c r="D299" s="315" t="str">
        <f>VLOOKUP($B299,[4]BOLETIM_SEL!$A:$H,4,0)</f>
        <v>Lançamento com uso de bomba, adensamento e acabamento de concreto em estruturas. AF_12/2015</v>
      </c>
      <c r="E299" s="2"/>
      <c r="F299" s="2" t="str">
        <f>VLOOKUP($B299,[4]BOLETIM_SEL!$A:$H,6,0)</f>
        <v>M3</v>
      </c>
      <c r="G299" s="1407">
        <f>VLOOKUP($B299,[4]BOLETIM_SEL!$A:$H,7,0)</f>
        <v>36.17</v>
      </c>
      <c r="H299" s="1611">
        <f>H298</f>
        <v>0</v>
      </c>
      <c r="I299" s="877">
        <f t="shared" si="80"/>
        <v>43.65</v>
      </c>
      <c r="J299" s="1612">
        <f t="shared" si="78"/>
        <v>0</v>
      </c>
      <c r="K299" s="2078">
        <f t="shared" ca="1" si="79"/>
        <v>0</v>
      </c>
      <c r="L299" s="1574" t="e">
        <f t="shared" si="81"/>
        <v>#DIV/0!</v>
      </c>
      <c r="M299" s="1445"/>
      <c r="N299" s="833"/>
      <c r="O299" s="833"/>
      <c r="Q299" s="833"/>
      <c r="R299" s="833"/>
      <c r="S299" s="833"/>
      <c r="T299" s="833"/>
      <c r="U299" s="833"/>
      <c r="V299" s="833"/>
      <c r="W299" s="833"/>
      <c r="X299" s="833"/>
    </row>
    <row r="300" spans="1:24" s="813" customFormat="1" ht="30" hidden="1" customHeight="1" x14ac:dyDescent="0.15">
      <c r="A300" s="2081">
        <f t="shared" ca="1" si="82"/>
        <v>5</v>
      </c>
      <c r="B300" s="834">
        <v>102487</v>
      </c>
      <c r="C300" s="2" t="str">
        <f>VLOOKUP($B300,[4]BOLETIM_SEL!$A:$H,2,0)</f>
        <v>SINAPI</v>
      </c>
      <c r="D300" s="315" t="str">
        <f>VLOOKUP($B300,[4]BOLETIM_SEL!$A:$H,4,0)</f>
        <v>Concreto ciclópico FCK = 15 MPA, 30% pedra de mão em volume real, inclusive lançamento</v>
      </c>
      <c r="E300" s="2"/>
      <c r="F300" s="2" t="str">
        <f>VLOOKUP($B300,[4]BOLETIM_SEL!$A:$H,6,0)</f>
        <v>M3</v>
      </c>
      <c r="G300" s="1407">
        <f>VLOOKUP($B300,[4]BOLETIM_SEL!$A:$H,7,0)</f>
        <v>548.4</v>
      </c>
      <c r="H300" s="1611">
        <f>Dre_Disp_Estruturais!BM147</f>
        <v>0</v>
      </c>
      <c r="I300" s="877">
        <f t="shared" si="80"/>
        <v>661.91</v>
      </c>
      <c r="J300" s="1612">
        <f t="shared" si="78"/>
        <v>0</v>
      </c>
      <c r="K300" s="2078">
        <f t="shared" ca="1" si="79"/>
        <v>0</v>
      </c>
      <c r="L300" s="1574" t="e">
        <f t="shared" si="81"/>
        <v>#DIV/0!</v>
      </c>
      <c r="M300" s="1445"/>
      <c r="N300" s="833"/>
      <c r="O300" s="833"/>
      <c r="Q300" s="833"/>
      <c r="R300" s="833"/>
      <c r="S300" s="833"/>
      <c r="T300" s="833"/>
      <c r="U300" s="833"/>
      <c r="V300" s="833"/>
      <c r="W300" s="833"/>
      <c r="X300" s="833"/>
    </row>
    <row r="301" spans="1:24" s="813" customFormat="1" ht="39.950000000000003" hidden="1" customHeight="1" x14ac:dyDescent="0.15">
      <c r="A301" s="2081">
        <f t="shared" ca="1" si="82"/>
        <v>5</v>
      </c>
      <c r="B301" s="834">
        <v>92415</v>
      </c>
      <c r="C301" s="2" t="str">
        <f>VLOOKUP($B301,[4]BOLETIM_SEL!$A:$H,2,0)</f>
        <v>SINAPI</v>
      </c>
      <c r="D301" s="315" t="str">
        <f>VLOOKUP($B301,[4]BOLETIM_SEL!$A:$H,4,0)</f>
        <v>Montagem e desmontagem de fôrma de pilares retangulares e estruturas similares, pé-direito simples, em chapa de madeira compensada resinada, 2 utilizações. AF_09/2020</v>
      </c>
      <c r="E301" s="2"/>
      <c r="F301" s="2" t="str">
        <f>VLOOKUP($B301,[4]BOLETIM_SEL!$A:$H,6,0)</f>
        <v>M2</v>
      </c>
      <c r="G301" s="1407">
        <f>VLOOKUP($B301,[4]BOLETIM_SEL!$A:$H,7,0)</f>
        <v>135.49</v>
      </c>
      <c r="H301" s="1611">
        <f>Dre_Disp_Estruturais!BM131+Dre_Disp_Estruturais!BM136</f>
        <v>0</v>
      </c>
      <c r="I301" s="877">
        <f t="shared" si="80"/>
        <v>163.53</v>
      </c>
      <c r="J301" s="1612">
        <f t="shared" si="78"/>
        <v>0</v>
      </c>
      <c r="K301" s="2078">
        <f t="shared" ca="1" si="79"/>
        <v>0</v>
      </c>
      <c r="L301" s="1574" t="e">
        <f t="shared" si="81"/>
        <v>#DIV/0!</v>
      </c>
      <c r="M301" s="1445"/>
      <c r="N301" s="833"/>
      <c r="O301" s="833"/>
      <c r="Q301" s="833"/>
      <c r="R301" s="833"/>
      <c r="S301" s="833"/>
      <c r="T301" s="833"/>
      <c r="U301" s="833"/>
      <c r="V301" s="833"/>
      <c r="W301" s="833"/>
      <c r="X301" s="833"/>
    </row>
    <row r="302" spans="1:24" s="813" customFormat="1" ht="39.950000000000003" hidden="1" customHeight="1" x14ac:dyDescent="0.15">
      <c r="A302" s="2081">
        <f t="shared" ca="1" si="82"/>
        <v>5</v>
      </c>
      <c r="B302" s="834">
        <v>92423</v>
      </c>
      <c r="C302" s="2" t="str">
        <f>VLOOKUP($B302,[4]BOLETIM_SEL!$A:$H,2,0)</f>
        <v>SINAPI</v>
      </c>
      <c r="D302" s="315" t="str">
        <f>VLOOKUP($B302,[4]BOLETIM_SEL!$A:$H,4,0)</f>
        <v>Montagem e desmontagem de fôrma de pilares retangulares e estruturas similares, pé-direito simples, em chapa de madeira compensada resinada, 6 utilizações. AF_09/2020</v>
      </c>
      <c r="E302" s="2"/>
      <c r="F302" s="2" t="str">
        <f>VLOOKUP($B302,[4]BOLETIM_SEL!$A:$H,6,0)</f>
        <v>M2</v>
      </c>
      <c r="G302" s="1407">
        <f>VLOOKUP($B302,[4]BOLETIM_SEL!$A:$H,7,0)</f>
        <v>68.790000000000006</v>
      </c>
      <c r="H302" s="1611"/>
      <c r="I302" s="877">
        <f t="shared" si="80"/>
        <v>83.02</v>
      </c>
      <c r="J302" s="1612">
        <f t="shared" si="78"/>
        <v>0</v>
      </c>
      <c r="K302" s="2078">
        <f t="shared" ca="1" si="79"/>
        <v>0</v>
      </c>
      <c r="L302" s="1574" t="e">
        <f t="shared" si="81"/>
        <v>#DIV/0!</v>
      </c>
      <c r="M302" s="1445"/>
      <c r="N302" s="833"/>
      <c r="O302" s="833"/>
      <c r="Q302" s="833"/>
      <c r="R302" s="833"/>
      <c r="S302" s="833"/>
      <c r="T302" s="833"/>
      <c r="U302" s="833"/>
      <c r="V302" s="833"/>
      <c r="W302" s="833"/>
      <c r="X302" s="833"/>
    </row>
    <row r="303" spans="1:24" s="813" customFormat="1" ht="39.950000000000003" hidden="1" customHeight="1" x14ac:dyDescent="0.15">
      <c r="A303" s="2081">
        <f t="shared" ca="1" si="82"/>
        <v>5</v>
      </c>
      <c r="B303" s="834">
        <v>92411</v>
      </c>
      <c r="C303" s="2" t="str">
        <f>VLOOKUP($B303,[4]BOLETIM_SEL!$A:$H,2,0)</f>
        <v>SINAPI</v>
      </c>
      <c r="D303" s="315" t="str">
        <f>VLOOKUP($B303,[4]BOLETIM_SEL!$A:$H,4,0)</f>
        <v>Montagem e desmontagem de fôrma de pilares retangulares e estruturas similares, pé-direito simples, em madeira serrada, 2 utilizações. AF_09/2020</v>
      </c>
      <c r="E303" s="2"/>
      <c r="F303" s="2" t="str">
        <f>VLOOKUP($B303,[4]BOLETIM_SEL!$A:$H,6,0)</f>
        <v>M2</v>
      </c>
      <c r="G303" s="1407">
        <f>VLOOKUP($B303,[4]BOLETIM_SEL!$A:$H,7,0)</f>
        <v>199.73</v>
      </c>
      <c r="H303" s="1611"/>
      <c r="I303" s="877">
        <f t="shared" si="80"/>
        <v>241.07</v>
      </c>
      <c r="J303" s="1612">
        <f t="shared" si="78"/>
        <v>0</v>
      </c>
      <c r="K303" s="2078">
        <f t="shared" ca="1" si="79"/>
        <v>0</v>
      </c>
      <c r="L303" s="1574" t="e">
        <f t="shared" si="81"/>
        <v>#DIV/0!</v>
      </c>
      <c r="M303" s="1445"/>
      <c r="N303" s="833"/>
      <c r="O303" s="833"/>
      <c r="Q303" s="833"/>
      <c r="R303" s="833"/>
      <c r="S303" s="833"/>
      <c r="T303" s="833"/>
      <c r="U303" s="833"/>
      <c r="V303" s="833"/>
      <c r="W303" s="833"/>
      <c r="X303" s="833"/>
    </row>
    <row r="304" spans="1:24" s="813" customFormat="1" ht="39.950000000000003" hidden="1" customHeight="1" x14ac:dyDescent="0.15">
      <c r="A304" s="2081">
        <f t="shared" ca="1" si="82"/>
        <v>5</v>
      </c>
      <c r="B304" s="834">
        <v>92413</v>
      </c>
      <c r="C304" s="2" t="str">
        <f>VLOOKUP($B304,[4]BOLETIM_SEL!$A:$H,2,0)</f>
        <v>SINAPI</v>
      </c>
      <c r="D304" s="315" t="str">
        <f>VLOOKUP($B304,[4]BOLETIM_SEL!$A:$H,4,0)</f>
        <v>Montagem e desmontagem de fôrma de pilares retangulares e estruturas similares, pé-direito simples, em madeira serrada, 4 utilizações. AF_09/2020</v>
      </c>
      <c r="E304" s="2"/>
      <c r="F304" s="2" t="str">
        <f>VLOOKUP($B304,[4]BOLETIM_SEL!$A:$H,6,0)</f>
        <v>M2</v>
      </c>
      <c r="G304" s="1407">
        <f>VLOOKUP($B304,[4]BOLETIM_SEL!$A:$H,7,0)</f>
        <v>122.05</v>
      </c>
      <c r="H304" s="1611"/>
      <c r="I304" s="877">
        <f t="shared" si="80"/>
        <v>147.31</v>
      </c>
      <c r="J304" s="1612">
        <f t="shared" si="78"/>
        <v>0</v>
      </c>
      <c r="K304" s="2078">
        <f t="shared" ca="1" si="79"/>
        <v>0</v>
      </c>
      <c r="L304" s="1574" t="e">
        <f t="shared" si="81"/>
        <v>#DIV/0!</v>
      </c>
      <c r="M304" s="1445"/>
      <c r="N304" s="833"/>
      <c r="O304" s="833"/>
      <c r="Q304" s="833"/>
      <c r="R304" s="833"/>
      <c r="S304" s="833"/>
      <c r="T304" s="833"/>
      <c r="U304" s="833"/>
      <c r="V304" s="833"/>
      <c r="W304" s="833"/>
      <c r="X304" s="833"/>
    </row>
    <row r="305" spans="1:24" s="813" customFormat="1" ht="30" hidden="1" customHeight="1" x14ac:dyDescent="0.15">
      <c r="A305" s="2081">
        <f t="shared" ca="1" si="82"/>
        <v>5</v>
      </c>
      <c r="B305" s="834">
        <v>96543</v>
      </c>
      <c r="C305" s="2" t="str">
        <f>VLOOKUP($B305,[4]BOLETIM_SEL!$A:$H,2,0)</f>
        <v>SINAPI</v>
      </c>
      <c r="D305" s="315" t="str">
        <f>VLOOKUP($B305,[4]BOLETIM_SEL!$A:$H,4,0)</f>
        <v>Armação de bloco, viga baldrame e sapata utilizando aço CA-60 de 5 mm - montagem. AF_06/2017</v>
      </c>
      <c r="E305" s="2"/>
      <c r="F305" s="2" t="str">
        <f>VLOOKUP($B305,[4]BOLETIM_SEL!$A:$H,6,0)</f>
        <v>KG</v>
      </c>
      <c r="G305" s="1407">
        <f>VLOOKUP($B305,[4]BOLETIM_SEL!$A:$H,7,0)</f>
        <v>17.829999999999998</v>
      </c>
      <c r="H305" s="1611">
        <f>Dre_Disp_Estruturais!BM138</f>
        <v>0</v>
      </c>
      <c r="I305" s="877">
        <f t="shared" si="80"/>
        <v>21.52</v>
      </c>
      <c r="J305" s="1612">
        <f t="shared" si="78"/>
        <v>0</v>
      </c>
      <c r="K305" s="2078">
        <f t="shared" ca="1" si="79"/>
        <v>0</v>
      </c>
      <c r="L305" s="1574" t="e">
        <f t="shared" si="81"/>
        <v>#DIV/0!</v>
      </c>
      <c r="M305" s="1445"/>
      <c r="N305" s="833"/>
      <c r="O305" s="833"/>
      <c r="Q305" s="833"/>
      <c r="R305" s="833"/>
      <c r="S305" s="833"/>
      <c r="T305" s="833"/>
      <c r="U305" s="833"/>
      <c r="V305" s="833"/>
      <c r="W305" s="833"/>
      <c r="X305" s="833"/>
    </row>
    <row r="306" spans="1:24" s="813" customFormat="1" ht="30" hidden="1" customHeight="1" x14ac:dyDescent="0.15">
      <c r="A306" s="2081">
        <f t="shared" ca="1" si="82"/>
        <v>5</v>
      </c>
      <c r="B306" s="834">
        <v>100342</v>
      </c>
      <c r="C306" s="2" t="str">
        <f>VLOOKUP($B306,[4]BOLETIM_SEL!$A:$H,2,0)</f>
        <v>SINAPI</v>
      </c>
      <c r="D306" s="315" t="str">
        <f>VLOOKUP($B306,[4]BOLETIM_SEL!$A:$H,4,0)</f>
        <v>Armação de cortina de contenção em concreto armado, com aço CA-50 de 6,3 mm - montagem. AF_07/2019</v>
      </c>
      <c r="E306" s="2"/>
      <c r="F306" s="2" t="str">
        <f>VLOOKUP($B306,[4]BOLETIM_SEL!$A:$H,6,0)</f>
        <v>KG</v>
      </c>
      <c r="G306" s="1407">
        <f>VLOOKUP($B306,[4]BOLETIM_SEL!$A:$H,7,0)</f>
        <v>15.07</v>
      </c>
      <c r="H306" s="1611">
        <f>Dre_Disp_Estruturais!BM132+Dre_Disp_Estruturais!BM139</f>
        <v>0</v>
      </c>
      <c r="I306" s="877">
        <f t="shared" si="80"/>
        <v>18.18</v>
      </c>
      <c r="J306" s="1612">
        <f t="shared" si="78"/>
        <v>0</v>
      </c>
      <c r="K306" s="2078">
        <f t="shared" ca="1" si="79"/>
        <v>0</v>
      </c>
      <c r="L306" s="1574" t="e">
        <f t="shared" si="81"/>
        <v>#DIV/0!</v>
      </c>
      <c r="M306" s="1445"/>
      <c r="N306" s="833"/>
      <c r="O306" s="833"/>
      <c r="Q306" s="833"/>
      <c r="R306" s="833"/>
      <c r="S306" s="833"/>
      <c r="T306" s="833"/>
      <c r="U306" s="833"/>
      <c r="V306" s="833"/>
      <c r="W306" s="833"/>
      <c r="X306" s="833"/>
    </row>
    <row r="307" spans="1:24" s="813" customFormat="1" ht="30" hidden="1" customHeight="1" x14ac:dyDescent="0.15">
      <c r="A307" s="2081">
        <f t="shared" ca="1" si="82"/>
        <v>5</v>
      </c>
      <c r="B307" s="834">
        <v>100343</v>
      </c>
      <c r="C307" s="2" t="str">
        <f>VLOOKUP($B307,[4]BOLETIM_SEL!$A:$H,2,0)</f>
        <v>SINAPI</v>
      </c>
      <c r="D307" s="315" t="str">
        <f>VLOOKUP($B307,[4]BOLETIM_SEL!$A:$H,4,0)</f>
        <v>Armação de cortina de contenção em concreto armado, com aço CA-50 de 8 mm - montagem. AF_07/2019</v>
      </c>
      <c r="E307" s="2"/>
      <c r="F307" s="2" t="str">
        <f>VLOOKUP($B307,[4]BOLETIM_SEL!$A:$H,6,0)</f>
        <v>KG</v>
      </c>
      <c r="G307" s="1407">
        <f>VLOOKUP($B307,[4]BOLETIM_SEL!$A:$H,7,0)</f>
        <v>14.36</v>
      </c>
      <c r="H307" s="1611">
        <f>Dre_Disp_Estruturais!BM140</f>
        <v>0</v>
      </c>
      <c r="I307" s="877">
        <f t="shared" si="80"/>
        <v>17.329999999999998</v>
      </c>
      <c r="J307" s="1612">
        <f t="shared" si="78"/>
        <v>0</v>
      </c>
      <c r="K307" s="2078">
        <f t="shared" ca="1" si="79"/>
        <v>0</v>
      </c>
      <c r="L307" s="1574" t="e">
        <f t="shared" si="81"/>
        <v>#DIV/0!</v>
      </c>
      <c r="M307" s="1445"/>
      <c r="N307" s="833"/>
      <c r="O307" s="833"/>
      <c r="Q307" s="833"/>
      <c r="R307" s="833"/>
      <c r="S307" s="833"/>
      <c r="T307" s="833"/>
      <c r="U307" s="833"/>
      <c r="V307" s="833"/>
      <c r="W307" s="833"/>
      <c r="X307" s="833"/>
    </row>
    <row r="308" spans="1:24" s="813" customFormat="1" ht="30" hidden="1" customHeight="1" x14ac:dyDescent="0.15">
      <c r="A308" s="2081">
        <f t="shared" ca="1" si="82"/>
        <v>5</v>
      </c>
      <c r="B308" s="834">
        <v>100344</v>
      </c>
      <c r="C308" s="2" t="str">
        <f>VLOOKUP($B308,[4]BOLETIM_SEL!$A:$H,2,0)</f>
        <v>SINAPI</v>
      </c>
      <c r="D308" s="315" t="str">
        <f>VLOOKUP($B308,[4]BOLETIM_SEL!$A:$H,4,0)</f>
        <v>Armação de cortina de contenção em concreto armado, com aço CA-50 de 10 mm - montagem. AF_07/2019</v>
      </c>
      <c r="E308" s="2"/>
      <c r="F308" s="2" t="str">
        <f>VLOOKUP($B308,[4]BOLETIM_SEL!$A:$H,6,0)</f>
        <v>KG</v>
      </c>
      <c r="G308" s="1407">
        <f>VLOOKUP($B308,[4]BOLETIM_SEL!$A:$H,7,0)</f>
        <v>12.95</v>
      </c>
      <c r="H308" s="1611">
        <f>Dre_Disp_Estruturais!BM141</f>
        <v>0</v>
      </c>
      <c r="I308" s="877">
        <f t="shared" si="80"/>
        <v>15.63</v>
      </c>
      <c r="J308" s="1612">
        <f t="shared" si="78"/>
        <v>0</v>
      </c>
      <c r="K308" s="2078">
        <f t="shared" ca="1" si="79"/>
        <v>0</v>
      </c>
      <c r="L308" s="1574" t="e">
        <f t="shared" si="81"/>
        <v>#DIV/0!</v>
      </c>
      <c r="M308" s="1445"/>
      <c r="N308" s="833"/>
      <c r="O308" s="833"/>
      <c r="Q308" s="833"/>
      <c r="R308" s="833"/>
      <c r="S308" s="833"/>
      <c r="T308" s="833"/>
      <c r="U308" s="833"/>
      <c r="V308" s="833"/>
      <c r="W308" s="833"/>
      <c r="X308" s="833"/>
    </row>
    <row r="309" spans="1:24" s="813" customFormat="1" ht="30" hidden="1" customHeight="1" x14ac:dyDescent="0.15">
      <c r="A309" s="2081">
        <f t="shared" ca="1" si="82"/>
        <v>5</v>
      </c>
      <c r="B309" s="834">
        <v>100345</v>
      </c>
      <c r="C309" s="2" t="str">
        <f>VLOOKUP($B309,[4]BOLETIM_SEL!$A:$H,2,0)</f>
        <v>SINAPI</v>
      </c>
      <c r="D309" s="315" t="str">
        <f>VLOOKUP($B309,[4]BOLETIM_SEL!$A:$H,4,0)</f>
        <v>Armação de cortina de contenção em concreto armado, com aço CA-50 de 12,5 mm - montagem. AF_07/2019</v>
      </c>
      <c r="E309" s="2"/>
      <c r="F309" s="2" t="str">
        <f>VLOOKUP($B309,[4]BOLETIM_SEL!$A:$H,6,0)</f>
        <v>KG</v>
      </c>
      <c r="G309" s="1407">
        <f>VLOOKUP($B309,[4]BOLETIM_SEL!$A:$H,7,0)</f>
        <v>10.99</v>
      </c>
      <c r="H309" s="1611">
        <f>Dre_Disp_Estruturais!BM142</f>
        <v>0</v>
      </c>
      <c r="I309" s="877">
        <f t="shared" si="80"/>
        <v>13.26</v>
      </c>
      <c r="J309" s="1612">
        <f t="shared" si="78"/>
        <v>0</v>
      </c>
      <c r="K309" s="2078">
        <f t="shared" ca="1" si="79"/>
        <v>0</v>
      </c>
      <c r="L309" s="1574" t="e">
        <f t="shared" si="81"/>
        <v>#DIV/0!</v>
      </c>
      <c r="M309" s="1445"/>
      <c r="N309" s="833"/>
      <c r="O309" s="833"/>
      <c r="Q309" s="833"/>
      <c r="R309" s="833"/>
      <c r="S309" s="833"/>
      <c r="T309" s="833"/>
      <c r="U309" s="833"/>
      <c r="V309" s="833"/>
      <c r="W309" s="833"/>
      <c r="X309" s="833"/>
    </row>
    <row r="310" spans="1:24" s="813" customFormat="1" ht="39.950000000000003" hidden="1" customHeight="1" x14ac:dyDescent="0.15">
      <c r="A310" s="2081">
        <f t="shared" ca="1" si="82"/>
        <v>5</v>
      </c>
      <c r="B310" s="834">
        <v>91593</v>
      </c>
      <c r="C310" s="2" t="str">
        <f>VLOOKUP($B310,[4]BOLETIM_SEL!$A:$H,2,0)</f>
        <v>SINAPI</v>
      </c>
      <c r="D310" s="315" t="str">
        <f>VLOOKUP($B310,[4]BOLETIM_SEL!$A:$H,4,0)</f>
        <v>Armação do sistema de paredes de concreto, executada em paredes de edificações de múltiplos pavimentos, tela Q-138. AF_06/2019</v>
      </c>
      <c r="E310" s="2"/>
      <c r="F310" s="2" t="str">
        <f>VLOOKUP($B310,[4]BOLETIM_SEL!$A:$H,6,0)</f>
        <v>KG</v>
      </c>
      <c r="G310" s="1407">
        <f>VLOOKUP($B310,[4]BOLETIM_SEL!$A:$H,7,0)</f>
        <v>10.81</v>
      </c>
      <c r="H310" s="1611">
        <f>Dre_Disp_Estruturais!BM137</f>
        <v>0</v>
      </c>
      <c r="I310" s="877">
        <f t="shared" si="80"/>
        <v>13.04</v>
      </c>
      <c r="J310" s="1612">
        <f t="shared" si="78"/>
        <v>0</v>
      </c>
      <c r="K310" s="2078">
        <f t="shared" ca="1" si="79"/>
        <v>0</v>
      </c>
      <c r="L310" s="1574" t="e">
        <f t="shared" si="81"/>
        <v>#DIV/0!</v>
      </c>
      <c r="M310" s="1445"/>
      <c r="N310" s="833"/>
      <c r="O310" s="833"/>
      <c r="Q310" s="833"/>
      <c r="R310" s="833"/>
      <c r="S310" s="833"/>
      <c r="T310" s="833"/>
      <c r="U310" s="833"/>
      <c r="V310" s="833"/>
      <c r="W310" s="833"/>
      <c r="X310" s="833"/>
    </row>
    <row r="311" spans="1:24" s="813" customFormat="1" ht="39.950000000000003" hidden="1" customHeight="1" x14ac:dyDescent="0.15">
      <c r="A311" s="2081">
        <f t="shared" ca="1" si="82"/>
        <v>5</v>
      </c>
      <c r="B311" s="834">
        <v>91594</v>
      </c>
      <c r="C311" s="2" t="str">
        <f>VLOOKUP($B311,[4]BOLETIM_SEL!$A:$H,2,0)</f>
        <v>SINAPI</v>
      </c>
      <c r="D311" s="315" t="str">
        <f>VLOOKUP($B311,[4]BOLETIM_SEL!$A:$H,4,0)</f>
        <v>Armação em tela soldada nervurada Q-92 (15x15cm) #4,2x4,2mm (1,48kg/m²), aço CA-60, para estrutura, fornecimento e aplicação</v>
      </c>
      <c r="E311" s="2"/>
      <c r="F311" s="2" t="str">
        <f>VLOOKUP($B311,[4]BOLETIM_SEL!$A:$H,6,0)</f>
        <v>KG</v>
      </c>
      <c r="G311" s="1407">
        <f>VLOOKUP($B311,[4]BOLETIM_SEL!$A:$H,7,0)</f>
        <v>11.2</v>
      </c>
      <c r="H311" s="1611"/>
      <c r="I311" s="877">
        <f t="shared" si="80"/>
        <v>13.51</v>
      </c>
      <c r="J311" s="1612">
        <f t="shared" si="78"/>
        <v>0</v>
      </c>
      <c r="K311" s="2078">
        <f t="shared" ca="1" si="79"/>
        <v>0</v>
      </c>
      <c r="L311" s="1574" t="e">
        <f t="shared" si="81"/>
        <v>#DIV/0!</v>
      </c>
      <c r="M311" s="1445"/>
      <c r="N311" s="833"/>
      <c r="O311" s="833"/>
      <c r="Q311" s="833"/>
      <c r="R311" s="833"/>
      <c r="S311" s="833"/>
      <c r="T311" s="833"/>
      <c r="U311" s="833"/>
      <c r="V311" s="833"/>
      <c r="W311" s="833"/>
      <c r="X311" s="833"/>
    </row>
    <row r="312" spans="1:24" s="813" customFormat="1" ht="39.950000000000003" hidden="1" customHeight="1" x14ac:dyDescent="0.15">
      <c r="A312" s="2081">
        <f t="shared" ca="1" si="82"/>
        <v>5</v>
      </c>
      <c r="B312" s="834">
        <v>101792</v>
      </c>
      <c r="C312" s="2" t="str">
        <f>VLOOKUP($B312,[4]BOLETIM_SEL!$A:$H,2,0)</f>
        <v>SINAPI</v>
      </c>
      <c r="D312" s="315" t="str">
        <f>VLOOKUP($B312,[4]BOLETIM_SEL!$A:$H,4,0)</f>
        <v>Escoramento de fôrmas de laje em madeira não aparelhada, pé-direito simples, incluso travamento, 4 utilizações. AF_09/2020</v>
      </c>
      <c r="E312" s="2"/>
      <c r="F312" s="2" t="str">
        <f>VLOOKUP($B312,[4]BOLETIM_SEL!$A:$H,6,0)</f>
        <v>M3</v>
      </c>
      <c r="G312" s="1407">
        <f>VLOOKUP($B312,[4]BOLETIM_SEL!$A:$H,7,0)</f>
        <v>15.78</v>
      </c>
      <c r="H312" s="1611">
        <f>Dre_Disp_Estruturais!BM133+Dre_Disp_Estruturais!BM143</f>
        <v>0</v>
      </c>
      <c r="I312" s="877">
        <f t="shared" si="80"/>
        <v>19.04</v>
      </c>
      <c r="J312" s="1612">
        <f t="shared" si="78"/>
        <v>0</v>
      </c>
      <c r="K312" s="2078">
        <f t="shared" ca="1" si="79"/>
        <v>0</v>
      </c>
      <c r="L312" s="1574" t="e">
        <f t="shared" si="81"/>
        <v>#DIV/0!</v>
      </c>
      <c r="M312" s="1445"/>
      <c r="N312" s="833"/>
      <c r="O312" s="833"/>
      <c r="Q312" s="833"/>
      <c r="R312" s="833"/>
      <c r="S312" s="833"/>
      <c r="T312" s="833"/>
      <c r="U312" s="833"/>
      <c r="V312" s="833"/>
      <c r="W312" s="833"/>
      <c r="X312" s="833"/>
    </row>
    <row r="313" spans="1:24" s="813" customFormat="1" ht="24.95" hidden="1" customHeight="1" x14ac:dyDescent="0.15">
      <c r="A313" s="2081"/>
      <c r="B313" s="834"/>
      <c r="C313" s="834"/>
      <c r="D313" s="835"/>
      <c r="E313" s="2"/>
      <c r="F313" s="834"/>
      <c r="G313" s="1821"/>
      <c r="H313" s="1"/>
      <c r="I313" s="877"/>
      <c r="J313" s="839">
        <f>IF(J294=0,0,"")</f>
        <v>0</v>
      </c>
      <c r="K313" s="2078"/>
      <c r="L313" s="1574"/>
      <c r="M313" s="1446"/>
      <c r="N313" s="833"/>
      <c r="O313" s="833"/>
      <c r="Q313" s="833"/>
      <c r="R313" s="833"/>
      <c r="S313" s="833"/>
      <c r="T313" s="833"/>
      <c r="U313" s="833"/>
      <c r="V313" s="833"/>
      <c r="W313" s="833"/>
      <c r="X313" s="833"/>
    </row>
    <row r="314" spans="1:24" s="833" customFormat="1" ht="24.95" hidden="1" customHeight="1" x14ac:dyDescent="0.15">
      <c r="A314" s="2082">
        <f ca="1">IF(J314&gt;0,INT(A312)+1,IF(J314=0,INT(A312),0))</f>
        <v>5</v>
      </c>
      <c r="B314" s="1633"/>
      <c r="C314" s="1633"/>
      <c r="D314" s="1641" t="s">
        <v>2107</v>
      </c>
      <c r="E314" s="1828"/>
      <c r="F314" s="1635"/>
      <c r="G314" s="1835" t="s">
        <v>2120</v>
      </c>
      <c r="H314" s="1637"/>
      <c r="I314" s="1640" t="str">
        <f ca="1">CONCATENATE("SUB-TOTAL ",A314)</f>
        <v>SUB-TOTAL 5</v>
      </c>
      <c r="J314" s="1639">
        <f>SUM(J315:J411)</f>
        <v>0</v>
      </c>
      <c r="K314" s="2079">
        <f ca="1">J314/J$967</f>
        <v>0</v>
      </c>
      <c r="L314" s="1574" t="e">
        <f>J314/$J$314</f>
        <v>#DIV/0!</v>
      </c>
    </row>
    <row r="315" spans="1:24" s="813" customFormat="1" ht="24.95" hidden="1" customHeight="1" x14ac:dyDescent="0.15">
      <c r="A315" s="2081"/>
      <c r="B315" s="834"/>
      <c r="C315" s="2"/>
      <c r="D315" s="1452" t="s">
        <v>35</v>
      </c>
      <c r="E315" s="2"/>
      <c r="F315" s="2"/>
      <c r="G315" s="1821"/>
      <c r="H315" s="2"/>
      <c r="I315" s="2"/>
      <c r="J315" s="839" t="str">
        <f>IF(J316=0,"-","")</f>
        <v>-</v>
      </c>
      <c r="K315" s="2078"/>
      <c r="L315" s="1574"/>
      <c r="M315" s="1445"/>
      <c r="N315" s="833"/>
      <c r="O315" s="833"/>
      <c r="Q315" s="833"/>
      <c r="R315" s="833"/>
      <c r="S315" s="833"/>
      <c r="T315" s="833"/>
      <c r="U315" s="833"/>
      <c r="V315" s="833"/>
      <c r="W315" s="833"/>
      <c r="X315" s="833"/>
    </row>
    <row r="316" spans="1:24" s="813" customFormat="1" ht="39.950000000000003" hidden="1" customHeight="1" x14ac:dyDescent="0.15">
      <c r="A316" s="2081">
        <f ca="1">IF(H316&gt;0,A314+0.01,A314)</f>
        <v>5</v>
      </c>
      <c r="B316" s="834">
        <v>98525</v>
      </c>
      <c r="C316" s="2" t="str">
        <f>VLOOKUP($B316,[4]BOLETIM_SEL!$A:$H,2,0)</f>
        <v>SINAPI</v>
      </c>
      <c r="D316" s="315" t="str">
        <f>VLOOKUP($B316,[4]BOLETIM_SEL!$A:$H,4,0)</f>
        <v>Limpeza mecanizada de camada vegetal, vegetação e pequenas árvores (diâmetro nominal de tronco menor que 0,20 m), com trator de esteiras. AF_05/2018</v>
      </c>
      <c r="E316" s="2"/>
      <c r="F316" s="2" t="str">
        <f>VLOOKUP($B316,[4]BOLETIM_SEL!$A:$H,6,0)</f>
        <v>M2</v>
      </c>
      <c r="G316" s="1407">
        <f>VLOOKUP($B316,[4]BOLETIM_SEL!$A:$H,7,0)</f>
        <v>0.34</v>
      </c>
      <c r="H316" s="1613">
        <f>+Bacia_Amortecimento!J5+Bacia_Amortecimento!J6</f>
        <v>0</v>
      </c>
      <c r="I316" s="877">
        <f t="shared" ref="I316" si="83">TRUNC(G316*(1+$J$5),2)</f>
        <v>0.41</v>
      </c>
      <c r="J316" s="1612">
        <f t="shared" ref="J316" si="84">TRUNC(H316*I316,2)</f>
        <v>0</v>
      </c>
      <c r="K316" s="2078">
        <f t="shared" ref="K316:K321" ca="1" si="85">J316/J$967</f>
        <v>0</v>
      </c>
      <c r="L316" s="1574" t="e">
        <f>J316/$J$314</f>
        <v>#DIV/0!</v>
      </c>
      <c r="M316" s="1445"/>
      <c r="N316" s="833"/>
      <c r="O316" s="833"/>
    </row>
    <row r="317" spans="1:24" s="813" customFormat="1" ht="39.950000000000003" hidden="1" customHeight="1" x14ac:dyDescent="0.15">
      <c r="A317" s="2081">
        <f t="shared" ref="A317:A342" ca="1" si="86">IF(H317&gt;0,A316+0.01,A316)</f>
        <v>5</v>
      </c>
      <c r="B317" s="2" t="s">
        <v>2414</v>
      </c>
      <c r="C317" s="2" t="str">
        <f>VLOOKUP($B317,[4]BOLETIM_SEL!$A:$H,2,0)</f>
        <v>COMPOSIÇÃO</v>
      </c>
      <c r="D317" s="315" t="str">
        <f>VLOOKUP($B317,[4]BOLETIM_SEL!$A:$H,4,0)</f>
        <v>Revestimento de pátio com pedra britada com espessura de 5 cm com regularização do terreno com motoniveladora. Exclusive transporte. (REF SINAPI COD 100575)</v>
      </c>
      <c r="E317" s="2"/>
      <c r="F317" s="2" t="str">
        <f>VLOOKUP($B317,[4]BOLETIM_SEL!$A:$H,6,0)</f>
        <v>M2</v>
      </c>
      <c r="G317" s="1407">
        <f>VLOOKUP($B317,[4]BOLETIM_SEL!$A:$H,7,0)</f>
        <v>5.05</v>
      </c>
      <c r="H317" s="1613">
        <f>+Bacia_Amortecimento!J12</f>
        <v>0</v>
      </c>
      <c r="I317" s="877">
        <f t="shared" ref="I317:I321" si="87">TRUNC(G317*(1+$J$5),2)</f>
        <v>6.09</v>
      </c>
      <c r="J317" s="1612">
        <f t="shared" ref="J317:J321" si="88">TRUNC(H317*I317,2)</f>
        <v>0</v>
      </c>
      <c r="K317" s="2078">
        <f t="shared" ca="1" si="85"/>
        <v>0</v>
      </c>
      <c r="L317" s="1574" t="e">
        <f t="shared" ref="L317:L321" si="89">J317/$J$314</f>
        <v>#DIV/0!</v>
      </c>
      <c r="M317" s="1445"/>
      <c r="N317" s="833"/>
      <c r="O317" s="833"/>
      <c r="P317" s="833"/>
      <c r="Q317" s="833"/>
      <c r="R317" s="833"/>
      <c r="S317" s="833"/>
      <c r="T317" s="833"/>
      <c r="U317" s="833"/>
      <c r="V317" s="833"/>
      <c r="W317" s="833"/>
      <c r="X317" s="833"/>
    </row>
    <row r="318" spans="1:24" s="813" customFormat="1" ht="50.1" hidden="1" customHeight="1" x14ac:dyDescent="0.15">
      <c r="A318" s="2081">
        <f t="shared" ca="1" si="86"/>
        <v>5</v>
      </c>
      <c r="B318" s="834" t="s">
        <v>188</v>
      </c>
      <c r="C318" s="2" t="str">
        <f>VLOOKUP($B318,[4]BOLETIM_SEL!$A:$H,2,0)</f>
        <v>COMPOSIÇÃO</v>
      </c>
      <c r="D318" s="315" t="str">
        <f>VLOOKUP($B318,[4]BOLETIM_SEL!$A:$H,4,0)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318" s="2"/>
      <c r="F318" s="2" t="str">
        <f>VLOOKUP($B318,[4]BOLETIM_SEL!$A:$H,6,0)</f>
        <v>M2</v>
      </c>
      <c r="G318" s="1407">
        <f>VLOOKUP($B318,[4]BOLETIM_SEL!$A:$H,7,0)</f>
        <v>136.47</v>
      </c>
      <c r="H318" s="1613">
        <f>+Bacia_Amortecimento!J14</f>
        <v>0</v>
      </c>
      <c r="I318" s="877">
        <f t="shared" si="87"/>
        <v>164.71</v>
      </c>
      <c r="J318" s="1612">
        <f t="shared" si="88"/>
        <v>0</v>
      </c>
      <c r="K318" s="2078">
        <f t="shared" ca="1" si="85"/>
        <v>0</v>
      </c>
      <c r="L318" s="1574" t="e">
        <f t="shared" si="89"/>
        <v>#DIV/0!</v>
      </c>
      <c r="M318" s="1445"/>
      <c r="N318" s="833"/>
      <c r="O318" s="833"/>
      <c r="P318" s="833"/>
      <c r="Q318" s="833"/>
      <c r="R318" s="833"/>
      <c r="S318" s="833"/>
      <c r="X318" s="816"/>
    </row>
    <row r="319" spans="1:24" s="813" customFormat="1" ht="50.1" hidden="1" customHeight="1" x14ac:dyDescent="0.15">
      <c r="A319" s="2081">
        <f t="shared" ca="1" si="86"/>
        <v>5</v>
      </c>
      <c r="B319" s="2" t="s">
        <v>1636</v>
      </c>
      <c r="C319" s="2" t="str">
        <f>VLOOKUP($B319,[4]BOLETIM_SEL!$A:$H,2,0)</f>
        <v>COMPOSIÇÃO</v>
      </c>
      <c r="D319" s="315" t="str">
        <f>VLOOKUP($B319,[4]BOLETIM_SEL!$A:$H,4,0)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E319" s="2"/>
      <c r="F319" s="2" t="str">
        <f>VLOOKUP($B319,[4]BOLETIM_SEL!$A:$H,6,0)</f>
        <v>M</v>
      </c>
      <c r="G319" s="1407">
        <f>VLOOKUP($B319,[4]BOLETIM_SEL!$A:$H,7,0)</f>
        <v>10.43</v>
      </c>
      <c r="H319" s="1613">
        <f>+Bacia_Amortecimento!J15</f>
        <v>0</v>
      </c>
      <c r="I319" s="877">
        <f t="shared" si="87"/>
        <v>12.58</v>
      </c>
      <c r="J319" s="1612">
        <f t="shared" si="88"/>
        <v>0</v>
      </c>
      <c r="K319" s="2078">
        <f t="shared" ca="1" si="85"/>
        <v>0</v>
      </c>
      <c r="L319" s="1574" t="e">
        <f t="shared" si="89"/>
        <v>#DIV/0!</v>
      </c>
      <c r="M319" s="1445"/>
      <c r="N319" s="833"/>
      <c r="O319" s="833"/>
      <c r="X319" s="833"/>
    </row>
    <row r="320" spans="1:24" s="813" customFormat="1" ht="30" hidden="1" customHeight="1" x14ac:dyDescent="0.15">
      <c r="A320" s="2081">
        <f t="shared" ca="1" si="86"/>
        <v>5</v>
      </c>
      <c r="B320" s="2">
        <v>13244</v>
      </c>
      <c r="C320" s="2" t="str">
        <f>VLOOKUP($B320,[4]BOLETIM_SEL!$A:$H,2,0)</f>
        <v>SINAPI</v>
      </c>
      <c r="D320" s="315" t="str">
        <f>VLOOKUP($B320,[4]BOLETIM_SEL!$A:$H,4,0)</f>
        <v>Segurança de trânsito - cone de sinalização em pvc rígido com faixa refletiva, h = 70 / 76 cm</v>
      </c>
      <c r="E320" s="2"/>
      <c r="F320" s="2" t="str">
        <f>VLOOKUP($B320,[4]BOLETIM_SEL!$A:$H,6,0)</f>
        <v xml:space="preserve">UN    </v>
      </c>
      <c r="G320" s="1407">
        <f>VLOOKUP($B320,[4]BOLETIM_SEL!$A:$H,7,0)</f>
        <v>51.9</v>
      </c>
      <c r="H320" s="1613">
        <f>+Bacia_Amortecimento!J16</f>
        <v>0</v>
      </c>
      <c r="I320" s="877">
        <f t="shared" si="87"/>
        <v>62.64</v>
      </c>
      <c r="J320" s="1612">
        <f t="shared" si="88"/>
        <v>0</v>
      </c>
      <c r="K320" s="2078">
        <f t="shared" ca="1" si="85"/>
        <v>0</v>
      </c>
      <c r="L320" s="1574" t="e">
        <f t="shared" si="89"/>
        <v>#DIV/0!</v>
      </c>
      <c r="M320" s="1445"/>
      <c r="N320" s="833"/>
      <c r="O320" s="833"/>
      <c r="X320" s="833"/>
    </row>
    <row r="321" spans="1:24" s="813" customFormat="1" ht="39.950000000000003" hidden="1" customHeight="1" x14ac:dyDescent="0.15">
      <c r="A321" s="2081">
        <f t="shared" ca="1" si="86"/>
        <v>5</v>
      </c>
      <c r="B321" s="834">
        <f>IF(AND(M321="ESCAVADEIRA",H321&lt;=50),100978,IF(AND(M321="ESCAVADEIRA",H321&gt;50),100979,IF(AND(M321="CARREGADEIRA",H321&lt;=50),100974,100975)))</f>
        <v>100978</v>
      </c>
      <c r="C321" s="2" t="str">
        <f>VLOOKUP($B321,[4]BOLETIM_SEL!$A:$H,2,0)</f>
        <v>SINAPI</v>
      </c>
      <c r="D321" s="315" t="str">
        <f>VLOOKUP($B321,[4]BOLETIM_SEL!$A:$H,4,0)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321" s="2"/>
      <c r="F321" s="2" t="str">
        <f>VLOOKUP($B321,[4]BOLETIM_SEL!$A:$H,6,0)</f>
        <v>M3</v>
      </c>
      <c r="G321" s="1407">
        <f>VLOOKUP($B321,[4]BOLETIM_SEL!$A:$H,7,0)</f>
        <v>6.17</v>
      </c>
      <c r="H321" s="1613">
        <f>+Bacia_Amortecimento!J7</f>
        <v>0</v>
      </c>
      <c r="I321" s="877">
        <f t="shared" si="87"/>
        <v>7.44</v>
      </c>
      <c r="J321" s="1612">
        <f t="shared" si="88"/>
        <v>0</v>
      </c>
      <c r="K321" s="2078">
        <f t="shared" ca="1" si="85"/>
        <v>0</v>
      </c>
      <c r="L321" s="1574" t="e">
        <f t="shared" si="89"/>
        <v>#DIV/0!</v>
      </c>
      <c r="M321" s="1589" t="s">
        <v>2106</v>
      </c>
      <c r="N321" s="833"/>
      <c r="O321" s="833"/>
      <c r="P321" s="833"/>
      <c r="Q321" s="833"/>
      <c r="R321" s="833"/>
      <c r="S321" s="833"/>
      <c r="T321" s="833"/>
      <c r="U321" s="833"/>
      <c r="V321" s="833"/>
      <c r="W321" s="833"/>
      <c r="X321" s="833"/>
    </row>
    <row r="322" spans="1:24" s="813" customFormat="1" ht="24.95" hidden="1" customHeight="1" x14ac:dyDescent="0.15">
      <c r="A322" s="2081"/>
      <c r="B322" s="834"/>
      <c r="C322" s="2"/>
      <c r="D322" s="1452" t="s">
        <v>2110</v>
      </c>
      <c r="E322" s="2"/>
      <c r="F322" s="2"/>
      <c r="G322" s="1821"/>
      <c r="H322" s="2"/>
      <c r="I322" s="2"/>
      <c r="J322" s="839" t="str">
        <f>IF(J323=0,"-","")</f>
        <v>-</v>
      </c>
      <c r="K322" s="2078"/>
      <c r="L322" s="1574"/>
      <c r="M322" s="1445"/>
      <c r="N322" s="1655" t="s">
        <v>1962</v>
      </c>
      <c r="O322" s="1655" t="s">
        <v>1988</v>
      </c>
      <c r="Q322" s="833"/>
      <c r="R322" s="833"/>
      <c r="S322" s="833"/>
      <c r="T322" s="833"/>
      <c r="U322" s="833"/>
      <c r="V322" s="833"/>
      <c r="W322" s="833"/>
      <c r="X322" s="833"/>
    </row>
    <row r="323" spans="1:24" s="813" customFormat="1" ht="50.1" hidden="1" customHeight="1" x14ac:dyDescent="0.15">
      <c r="A323" s="2081">
        <f ca="1">IF(H323&gt;0,A321+0.01,A321)</f>
        <v>5</v>
      </c>
      <c r="B323" s="834">
        <v>101266</v>
      </c>
      <c r="C323" s="2" t="str">
        <f>VLOOKUP($B323,[4]BOLETIM_SEL!$A:$H,2,0)</f>
        <v>SINAPI</v>
      </c>
      <c r="D323" s="315" t="str">
        <f>VLOOKUP($B323,[4]BOLETIM_SEL!$A:$H,4,0)</f>
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</c>
      <c r="E323" s="2"/>
      <c r="F323" s="2" t="str">
        <f>VLOOKUP($B323,[4]BOLETIM_SEL!$A:$H,6,0)</f>
        <v>M3</v>
      </c>
      <c r="G323" s="1407">
        <f>VLOOKUP($B323,[4]BOLETIM_SEL!$A:$H,7,0)</f>
        <v>10.119999999999999</v>
      </c>
      <c r="H323" s="1613">
        <f>Bacia_Amortecimento!J17</f>
        <v>0</v>
      </c>
      <c r="I323" s="877">
        <f t="shared" ref="I323:I342" si="90">TRUNC(G323*(1+$J$5),2)</f>
        <v>12.21</v>
      </c>
      <c r="J323" s="1612">
        <f t="shared" ref="J323:J342" si="91">TRUNC(H323*I323,2)</f>
        <v>0</v>
      </c>
      <c r="K323" s="2078">
        <f t="shared" ref="K323:K344" ca="1" si="92">J323/J$967</f>
        <v>0</v>
      </c>
      <c r="L323" s="1574" t="e">
        <f t="shared" ref="L323:L342" si="93">J323/$J$314</f>
        <v>#DIV/0!</v>
      </c>
      <c r="M323" s="1445"/>
      <c r="N323" s="1651">
        <f>VLOOKUP($B323,[4]BOLETIM_SEL!$A:$H,3,0)</f>
        <v>74.63</v>
      </c>
      <c r="O323" s="1656">
        <f>H323/N323</f>
        <v>0</v>
      </c>
      <c r="P323" s="4"/>
      <c r="X323" s="833"/>
    </row>
    <row r="324" spans="1:24" s="813" customFormat="1" ht="39.950000000000003" hidden="1" customHeight="1" x14ac:dyDescent="0.15">
      <c r="A324" s="2081">
        <f t="shared" ca="1" si="86"/>
        <v>5</v>
      </c>
      <c r="B324" s="2" t="s">
        <v>1679</v>
      </c>
      <c r="C324" s="2" t="str">
        <f>VLOOKUP($B324,[4]BOLETIM_SEL!$A:$H,2,0)</f>
        <v>COMPOSIÇÃO</v>
      </c>
      <c r="D324" s="315" t="str">
        <f>VLOOKUP($B324,[4]BOLETIM_SEL!$A:$H,4,0)</f>
        <v>Escavação de vala em rocha - 3a categoria, com uso de explosivos e perfuração mecânica, em locais com alto nível de interferência. Inclusive carga</v>
      </c>
      <c r="E324" s="2"/>
      <c r="F324" s="2" t="str">
        <f>VLOOKUP($B324,[4]BOLETIM_SEL!$A:$H,6,0)</f>
        <v>M3</v>
      </c>
      <c r="G324" s="1407">
        <f>VLOOKUP($B324,[4]BOLETIM_SEL!$A:$H,7,0)</f>
        <v>463.69</v>
      </c>
      <c r="H324" s="1613">
        <f>Bacia_Amortecimento!J18</f>
        <v>0</v>
      </c>
      <c r="I324" s="877">
        <f t="shared" si="90"/>
        <v>559.66999999999996</v>
      </c>
      <c r="J324" s="1612">
        <f t="shared" si="91"/>
        <v>0</v>
      </c>
      <c r="K324" s="2078">
        <f t="shared" ca="1" si="92"/>
        <v>0</v>
      </c>
      <c r="L324" s="1574" t="e">
        <f t="shared" si="93"/>
        <v>#DIV/0!</v>
      </c>
      <c r="M324" s="1445"/>
      <c r="N324" s="1651">
        <f>VLOOKUP($B324,[4]BOLETIM_SEL!$A:$H,3,0)</f>
        <v>3</v>
      </c>
      <c r="O324" s="1656">
        <f>H324/N324</f>
        <v>0</v>
      </c>
      <c r="P324" s="833"/>
      <c r="Q324" s="833"/>
      <c r="R324" s="833"/>
      <c r="S324" s="833"/>
      <c r="T324" s="833"/>
      <c r="U324" s="833"/>
      <c r="V324" s="833"/>
      <c r="W324" s="833"/>
      <c r="X324" s="833"/>
    </row>
    <row r="325" spans="1:24" s="813" customFormat="1" ht="39.950000000000003" hidden="1" customHeight="1" x14ac:dyDescent="0.15">
      <c r="A325" s="2081">
        <f t="shared" ca="1" si="86"/>
        <v>5</v>
      </c>
      <c r="B325" s="834" t="s">
        <v>2635</v>
      </c>
      <c r="C325" s="2" t="str">
        <f>VLOOKUP($B325,[4]BOLETIM_SEL!$A:$H,2,0)</f>
        <v>COMPOSIÇÃO</v>
      </c>
      <c r="D325" s="315" t="str">
        <f>VLOOKUP($B325,[4]BOLETIM_SEL!$A:$H,4,0)</f>
        <v>Escavação mecânica para acerto de taludes em material de 1a categoria,com escavadeira hidráulica (REF. SINAPI. COD. 83336)</v>
      </c>
      <c r="E325" s="2"/>
      <c r="F325" s="2" t="str">
        <f>VLOOKUP($B325,[4]BOLETIM_SEL!$A:$H,6,0)</f>
        <v>M3</v>
      </c>
      <c r="G325" s="1407">
        <f>VLOOKUP($B325,[4]BOLETIM_SEL!$A:$H,7,0)</f>
        <v>5.8</v>
      </c>
      <c r="H325" s="1613">
        <f>Bacia_Amortecimento!J19</f>
        <v>0</v>
      </c>
      <c r="I325" s="877">
        <f t="shared" si="90"/>
        <v>7</v>
      </c>
      <c r="J325" s="1612">
        <f t="shared" si="91"/>
        <v>0</v>
      </c>
      <c r="K325" s="2078">
        <f t="shared" ca="1" si="92"/>
        <v>0</v>
      </c>
      <c r="L325" s="1574" t="e">
        <f t="shared" si="93"/>
        <v>#DIV/0!</v>
      </c>
      <c r="M325" s="1445"/>
      <c r="O325" s="833"/>
      <c r="P325" s="833"/>
      <c r="Q325" s="833"/>
      <c r="R325" s="833"/>
      <c r="S325" s="833"/>
      <c r="T325" s="833"/>
      <c r="U325" s="833"/>
      <c r="V325" s="833"/>
      <c r="W325" s="833"/>
      <c r="X325" s="833"/>
    </row>
    <row r="326" spans="1:24" s="813" customFormat="1" ht="30" hidden="1" customHeight="1" x14ac:dyDescent="0.15">
      <c r="A326" s="2081">
        <f t="shared" ca="1" si="86"/>
        <v>5</v>
      </c>
      <c r="B326" s="834">
        <v>100575</v>
      </c>
      <c r="C326" s="2" t="str">
        <f>VLOOKUP($B326,[4]BOLETIM_SEL!$A:$H,2,0)</f>
        <v>SINAPI</v>
      </c>
      <c r="D326" s="315" t="str">
        <f>VLOOKUP($B326,[4]BOLETIM_SEL!$A:$H,4,0)</f>
        <v>Regularização de superfícies com motoniveladora. AF_11/2019</v>
      </c>
      <c r="E326" s="2"/>
      <c r="F326" s="2" t="str">
        <f>VLOOKUP($B326,[4]BOLETIM_SEL!$A:$H,6,0)</f>
        <v>M2</v>
      </c>
      <c r="G326" s="1407">
        <f>VLOOKUP($B326,[4]BOLETIM_SEL!$A:$H,7,0)</f>
        <v>0.11</v>
      </c>
      <c r="H326" s="1613">
        <f>Bacia_Amortecimento!G5</f>
        <v>0</v>
      </c>
      <c r="I326" s="877">
        <f t="shared" si="90"/>
        <v>0.13</v>
      </c>
      <c r="J326" s="1612">
        <f t="shared" si="91"/>
        <v>0</v>
      </c>
      <c r="K326" s="2078">
        <f t="shared" ca="1" si="92"/>
        <v>0</v>
      </c>
      <c r="L326" s="1574" t="e">
        <f t="shared" si="93"/>
        <v>#DIV/0!</v>
      </c>
      <c r="M326" s="1445"/>
      <c r="O326" s="833"/>
      <c r="P326" s="833"/>
      <c r="Q326" s="833"/>
      <c r="R326" s="833"/>
      <c r="S326" s="1816"/>
      <c r="T326" s="833"/>
      <c r="U326" s="833"/>
      <c r="V326" s="833"/>
      <c r="W326" s="833"/>
      <c r="X326" s="833"/>
    </row>
    <row r="327" spans="1:24" s="813" customFormat="1" ht="30" hidden="1" customHeight="1" x14ac:dyDescent="0.15">
      <c r="A327" s="2081">
        <f t="shared" ca="1" si="86"/>
        <v>5</v>
      </c>
      <c r="B327" s="834">
        <v>101617</v>
      </c>
      <c r="C327" s="2" t="str">
        <f>VLOOKUP($B327,[4]BOLETIM_SEL!$A:$H,2,0)</f>
        <v>SINAPI</v>
      </c>
      <c r="D327" s="315" t="str">
        <f>VLOOKUP($B327,[4]BOLETIM_SEL!$A:$H,4,0)</f>
        <v>Preparo de fundo de vala com largura maior ou igual a 1,50 m e menor que 2,50 m (acerto do solo natural). AF_08/2020</v>
      </c>
      <c r="E327" s="2"/>
      <c r="F327" s="2" t="str">
        <f>VLOOKUP($B327,[4]BOLETIM_SEL!$A:$H,6,0)</f>
        <v>M2</v>
      </c>
      <c r="G327" s="1407">
        <f>VLOOKUP($B327,[4]BOLETIM_SEL!$A:$H,7,0)</f>
        <v>2.72</v>
      </c>
      <c r="H327" s="1613">
        <f>Bacia_Amortecimento!J21</f>
        <v>0</v>
      </c>
      <c r="I327" s="877">
        <f t="shared" si="90"/>
        <v>3.28</v>
      </c>
      <c r="J327" s="1612">
        <f t="shared" si="91"/>
        <v>0</v>
      </c>
      <c r="K327" s="2078">
        <f t="shared" ca="1" si="92"/>
        <v>0</v>
      </c>
      <c r="L327" s="1574" t="e">
        <f t="shared" si="93"/>
        <v>#DIV/0!</v>
      </c>
      <c r="M327" s="1445"/>
      <c r="O327" s="833"/>
      <c r="P327" s="833"/>
      <c r="Q327" s="833"/>
      <c r="R327" s="833"/>
      <c r="S327" s="833"/>
      <c r="T327" s="833"/>
      <c r="U327" s="833"/>
      <c r="V327" s="833"/>
      <c r="W327" s="833"/>
      <c r="X327" s="833"/>
    </row>
    <row r="328" spans="1:24" s="813" customFormat="1" ht="39.950000000000003" hidden="1" customHeight="1" x14ac:dyDescent="0.15">
      <c r="A328" s="2081">
        <f t="shared" ca="1" si="86"/>
        <v>5</v>
      </c>
      <c r="B328" s="834">
        <v>101624</v>
      </c>
      <c r="C328" s="2" t="str">
        <f>VLOOKUP($B328,[4]BOLETIM_SEL!$A:$H,2,0)</f>
        <v>SINAPI</v>
      </c>
      <c r="D328" s="315" t="str">
        <f>VLOOKUP($B328,[4]BOLETIM_SEL!$A:$H,4,0)</f>
        <v>Preparo de fundo de vala com largura maior ou igual a 1,50 m e menor que 2,50 m, com camada de brita, lançamento mecanizado. AF_08/2020</v>
      </c>
      <c r="E328" s="2"/>
      <c r="F328" s="2" t="str">
        <f>VLOOKUP($B328,[4]BOLETIM_SEL!$A:$H,6,0)</f>
        <v>M3</v>
      </c>
      <c r="G328" s="1407">
        <f>VLOOKUP($B328,[4]BOLETIM_SEL!$A:$H,7,0)</f>
        <v>188.79</v>
      </c>
      <c r="H328" s="1613">
        <f>Bacia_Amortecimento!J23</f>
        <v>0</v>
      </c>
      <c r="I328" s="877">
        <f t="shared" si="90"/>
        <v>227.86</v>
      </c>
      <c r="J328" s="1612">
        <f t="shared" si="91"/>
        <v>0</v>
      </c>
      <c r="K328" s="2078">
        <f t="shared" ca="1" si="92"/>
        <v>0</v>
      </c>
      <c r="L328" s="1574" t="e">
        <f t="shared" si="93"/>
        <v>#DIV/0!</v>
      </c>
      <c r="M328" s="1445"/>
      <c r="O328" s="833"/>
      <c r="P328" s="833"/>
      <c r="Q328" s="833"/>
      <c r="R328" s="833"/>
      <c r="S328" s="833"/>
      <c r="T328" s="833"/>
      <c r="U328" s="833"/>
      <c r="V328" s="833"/>
      <c r="W328" s="833"/>
      <c r="X328" s="833"/>
    </row>
    <row r="329" spans="1:24" s="813" customFormat="1" ht="39.950000000000003" hidden="1" customHeight="1" x14ac:dyDescent="0.15">
      <c r="A329" s="2081">
        <f t="shared" ca="1" si="86"/>
        <v>5</v>
      </c>
      <c r="B329" s="834" t="s">
        <v>1680</v>
      </c>
      <c r="C329" s="2" t="str">
        <f>VLOOKUP($B329,[4]BOLETIM_SEL!$A:$H,2,0)</f>
        <v>COMPOSIÇÃO</v>
      </c>
      <c r="D329" s="315" t="str">
        <f>VLOOKUP($B329,[4]BOLETIM_SEL!$A:$H,4,0)</f>
        <v>Lastro ou enrocamento de pedra-de-mão ou rachão lançado, fornecimento e apiloamento. Exclusive transporte, ref SINAPI 73697, data 01/2020 e SINAPI 92744.</v>
      </c>
      <c r="E329" s="2"/>
      <c r="F329" s="2" t="str">
        <f>VLOOKUP($B329,[4]BOLETIM_SEL!$A:$H,6,0)</f>
        <v>M3</v>
      </c>
      <c r="G329" s="1407">
        <f>VLOOKUP($B329,[4]BOLETIM_SEL!$A:$H,7,0)</f>
        <v>250.4</v>
      </c>
      <c r="H329" s="1613">
        <f>Bacia_Amortecimento!J25</f>
        <v>0</v>
      </c>
      <c r="I329" s="877">
        <f t="shared" si="90"/>
        <v>302.23</v>
      </c>
      <c r="J329" s="1612">
        <f t="shared" si="91"/>
        <v>0</v>
      </c>
      <c r="K329" s="2078">
        <f t="shared" ca="1" si="92"/>
        <v>0</v>
      </c>
      <c r="L329" s="1574" t="e">
        <f t="shared" si="93"/>
        <v>#DIV/0!</v>
      </c>
      <c r="M329" s="1445"/>
      <c r="O329" s="833"/>
      <c r="P329" s="833"/>
      <c r="Q329" s="833"/>
      <c r="R329" s="833"/>
      <c r="S329" s="833"/>
      <c r="T329" s="833"/>
      <c r="U329" s="833"/>
      <c r="V329" s="833"/>
      <c r="W329" s="833"/>
      <c r="X329" s="833"/>
    </row>
    <row r="330" spans="1:24" s="813" customFormat="1" ht="50.1" hidden="1" customHeight="1" x14ac:dyDescent="0.15">
      <c r="A330" s="2081">
        <f t="shared" ca="1" si="86"/>
        <v>5</v>
      </c>
      <c r="B330" s="834">
        <v>93367</v>
      </c>
      <c r="C330" s="2" t="str">
        <f>VLOOKUP($B330,[4]BOLETIM_SEL!$A:$H,2,0)</f>
        <v>SINAPI</v>
      </c>
      <c r="D330" s="315" t="str">
        <f>VLOOKUP($B330,[4]BOLETIM_SEL!$A:$H,4,0)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330" s="2"/>
      <c r="F330" s="2" t="str">
        <f>VLOOKUP($B330,[4]BOLETIM_SEL!$A:$H,6,0)</f>
        <v>M3</v>
      </c>
      <c r="G330" s="1407">
        <f>VLOOKUP($B330,[4]BOLETIM_SEL!$A:$H,7,0)</f>
        <v>19.89</v>
      </c>
      <c r="H330" s="1613">
        <f>Bacia_Amortecimento!J84</f>
        <v>0</v>
      </c>
      <c r="I330" s="877">
        <f t="shared" si="90"/>
        <v>24</v>
      </c>
      <c r="J330" s="1612">
        <f t="shared" si="91"/>
        <v>0</v>
      </c>
      <c r="K330" s="2078">
        <f t="shared" ca="1" si="92"/>
        <v>0</v>
      </c>
      <c r="L330" s="1574" t="e">
        <f t="shared" si="93"/>
        <v>#DIV/0!</v>
      </c>
      <c r="M330" s="1445"/>
      <c r="O330" s="833"/>
      <c r="P330" s="833"/>
      <c r="Q330" s="833"/>
      <c r="R330" s="833"/>
      <c r="S330" s="833"/>
      <c r="T330" s="833"/>
      <c r="U330" s="833"/>
      <c r="V330" s="833"/>
      <c r="W330" s="833"/>
      <c r="X330" s="833"/>
    </row>
    <row r="331" spans="1:24" s="813" customFormat="1" ht="50.1" hidden="1" customHeight="1" x14ac:dyDescent="0.15">
      <c r="A331" s="2081">
        <f t="shared" ca="1" si="86"/>
        <v>5</v>
      </c>
      <c r="B331" s="834">
        <v>93369</v>
      </c>
      <c r="C331" s="2" t="str">
        <f>VLOOKUP($B331,[4]BOLETIM_SEL!$A:$H,2,0)</f>
        <v>SINAPI</v>
      </c>
      <c r="D331" s="315" t="str">
        <f>VLOOKUP($B331,[4]BOLETIM_SEL!$A:$H,4,0)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331" s="2"/>
      <c r="F331" s="2" t="str">
        <f>VLOOKUP($B331,[4]BOLETIM_SEL!$A:$H,6,0)</f>
        <v>M3</v>
      </c>
      <c r="G331" s="1407">
        <f>VLOOKUP($B331,[4]BOLETIM_SEL!$A:$H,7,0)</f>
        <v>11.36</v>
      </c>
      <c r="H331" s="1613">
        <f>Bacia_Amortecimento!J27</f>
        <v>0</v>
      </c>
      <c r="I331" s="877">
        <f t="shared" si="90"/>
        <v>13.71</v>
      </c>
      <c r="J331" s="1612">
        <f t="shared" si="91"/>
        <v>0</v>
      </c>
      <c r="K331" s="2078">
        <f t="shared" ca="1" si="92"/>
        <v>0</v>
      </c>
      <c r="L331" s="1574" t="e">
        <f t="shared" si="93"/>
        <v>#DIV/0!</v>
      </c>
      <c r="M331" s="1445"/>
      <c r="O331" s="833"/>
      <c r="P331" s="833"/>
      <c r="Q331" s="833"/>
      <c r="R331" s="833"/>
      <c r="S331" s="833"/>
      <c r="T331" s="833"/>
      <c r="U331" s="833"/>
      <c r="V331" s="833"/>
      <c r="W331" s="833"/>
      <c r="X331" s="833"/>
    </row>
    <row r="332" spans="1:24" s="813" customFormat="1" ht="50.1" hidden="1" customHeight="1" x14ac:dyDescent="0.15">
      <c r="A332" s="2081">
        <f t="shared" ca="1" si="86"/>
        <v>5</v>
      </c>
      <c r="B332" s="834">
        <v>93371</v>
      </c>
      <c r="C332" s="2" t="str">
        <f>VLOOKUP($B332,[4]BOLETIM_SEL!$A:$H,2,0)</f>
        <v>SINAPI</v>
      </c>
      <c r="D332" s="315" t="str">
        <f>VLOOKUP($B332,[4]BOLETIM_SEL!$A:$H,4,0)</f>
        <v>Reaterro mecanizado de vala com escavadeira hidráulica (capacidade da caçamba: 0,80 m3 / potência: 111 HP), largura de 1,50 a 2,50 m, profundidade de 3,00  a 4,50 m, com solo (sem substituição) de 1a categoria em locais com baixo nível de interferência. AF_04/2016</v>
      </c>
      <c r="E332" s="2"/>
      <c r="F332" s="2" t="str">
        <f>VLOOKUP($B332,[4]BOLETIM_SEL!$A:$H,6,0)</f>
        <v>M3</v>
      </c>
      <c r="G332" s="1407">
        <f>VLOOKUP($B332,[4]BOLETIM_SEL!$A:$H,7,0)</f>
        <v>9.5299999999999994</v>
      </c>
      <c r="H332" s="1613">
        <f>Bacia_Amortecimento!J28</f>
        <v>0</v>
      </c>
      <c r="I332" s="877">
        <f t="shared" si="90"/>
        <v>11.5</v>
      </c>
      <c r="J332" s="1612">
        <f t="shared" si="91"/>
        <v>0</v>
      </c>
      <c r="K332" s="2078">
        <f t="shared" ca="1" si="92"/>
        <v>0</v>
      </c>
      <c r="L332" s="1574" t="e">
        <f t="shared" si="93"/>
        <v>#DIV/0!</v>
      </c>
      <c r="M332" s="1445"/>
      <c r="O332" s="833"/>
      <c r="P332" s="833"/>
      <c r="Q332" s="833"/>
      <c r="R332" s="833"/>
      <c r="S332" s="833"/>
      <c r="T332" s="833"/>
      <c r="U332" s="833"/>
      <c r="V332" s="833"/>
      <c r="W332" s="833"/>
      <c r="X332" s="833"/>
    </row>
    <row r="333" spans="1:24" s="813" customFormat="1" ht="50.1" hidden="1" customHeight="1" x14ac:dyDescent="0.15">
      <c r="A333" s="2081">
        <f t="shared" ca="1" si="86"/>
        <v>5</v>
      </c>
      <c r="B333" s="834">
        <v>93373</v>
      </c>
      <c r="C333" s="2" t="str">
        <f>VLOOKUP($B333,[4]BOLETIM_SEL!$A:$H,2,0)</f>
        <v>SINAPI</v>
      </c>
      <c r="D333" s="315" t="str">
        <f>VLOOKUP($B333,[4]BOLETIM_SEL!$A:$H,4,0)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333" s="2"/>
      <c r="F333" s="2" t="str">
        <f>VLOOKUP($B333,[4]BOLETIM_SEL!$A:$H,6,0)</f>
        <v>M3</v>
      </c>
      <c r="G333" s="1407">
        <f>VLOOKUP($B333,[4]BOLETIM_SEL!$A:$H,7,0)</f>
        <v>8.65</v>
      </c>
      <c r="H333" s="1613">
        <f>Bacia_Amortecimento!J29</f>
        <v>0</v>
      </c>
      <c r="I333" s="877">
        <f t="shared" si="90"/>
        <v>10.44</v>
      </c>
      <c r="J333" s="1612">
        <f t="shared" si="91"/>
        <v>0</v>
      </c>
      <c r="K333" s="2078">
        <f t="shared" ca="1" si="92"/>
        <v>0</v>
      </c>
      <c r="L333" s="1574" t="e">
        <f t="shared" si="93"/>
        <v>#DIV/0!</v>
      </c>
      <c r="M333" s="1445"/>
      <c r="O333" s="833"/>
      <c r="P333" s="833"/>
      <c r="Q333" s="833"/>
      <c r="R333" s="833"/>
      <c r="S333" s="833"/>
      <c r="T333" s="833"/>
      <c r="U333" s="833"/>
      <c r="V333" s="833"/>
      <c r="W333" s="833"/>
      <c r="X333" s="833"/>
    </row>
    <row r="334" spans="1:24" s="813" customFormat="1" ht="39.950000000000003" hidden="1" customHeight="1" x14ac:dyDescent="0.15">
      <c r="A334" s="2081">
        <f t="shared" ca="1" si="86"/>
        <v>5</v>
      </c>
      <c r="B334" s="834">
        <f>IF(M334="arenoso",96386,96385)</f>
        <v>96385</v>
      </c>
      <c r="C334" s="2" t="str">
        <f>VLOOKUP($B334,[4]BOLETIM_SEL!$A:$H,2,0)</f>
        <v>SINAPI</v>
      </c>
      <c r="D334" s="315" t="str">
        <f>VLOOKUP($B334,[4]BOLETIM_SEL!$A:$H,4,0)</f>
        <v>Execução e compactação de aterro com solo predominantemente argiloso - exclusive solo, escavação, carga e transporte. AF_11/2019</v>
      </c>
      <c r="E334" s="2"/>
      <c r="F334" s="2" t="str">
        <f>VLOOKUP($B334,[4]BOLETIM_SEL!$A:$H,6,0)</f>
        <v>M3</v>
      </c>
      <c r="G334" s="1407">
        <f>VLOOKUP($B334,[4]BOLETIM_SEL!$A:$H,7,0)</f>
        <v>10.9</v>
      </c>
      <c r="H334" s="1613">
        <f>Bacia_Amortecimento!J30</f>
        <v>0</v>
      </c>
      <c r="I334" s="877">
        <f t="shared" si="90"/>
        <v>13.15</v>
      </c>
      <c r="J334" s="1612">
        <f t="shared" si="91"/>
        <v>0</v>
      </c>
      <c r="K334" s="2078">
        <f t="shared" ca="1" si="92"/>
        <v>0</v>
      </c>
      <c r="L334" s="1574" t="e">
        <f t="shared" si="93"/>
        <v>#DIV/0!</v>
      </c>
      <c r="M334" s="1589" t="s">
        <v>2048</v>
      </c>
      <c r="N334" s="833"/>
      <c r="O334" s="833"/>
      <c r="Q334" s="833"/>
      <c r="R334" s="833"/>
      <c r="S334" s="833"/>
      <c r="T334" s="833"/>
      <c r="U334" s="833"/>
      <c r="V334" s="833"/>
      <c r="W334" s="833"/>
      <c r="X334" s="833"/>
    </row>
    <row r="335" spans="1:24" s="813" customFormat="1" ht="50.1" hidden="1" customHeight="1" x14ac:dyDescent="0.15">
      <c r="A335" s="2081">
        <f t="shared" ca="1" si="86"/>
        <v>5</v>
      </c>
      <c r="B335" s="2">
        <v>101230</v>
      </c>
      <c r="C335" s="2" t="str">
        <f>VLOOKUP($B335,[4]BOLETIM_SEL!$A:$H,2,0)</f>
        <v>SINAPI</v>
      </c>
      <c r="D335" s="315" t="str">
        <f>VLOOKUP($B335,[4]BOLETIM_SEL!$A:$H,4,0)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335" s="2"/>
      <c r="F335" s="2" t="str">
        <f>VLOOKUP($B335,[4]BOLETIM_SEL!$A:$H,6,0)</f>
        <v>M3</v>
      </c>
      <c r="G335" s="1407">
        <f>VLOOKUP($B335,[4]BOLETIM_SEL!$A:$H,7,0)</f>
        <v>10.029999999999999</v>
      </c>
      <c r="H335" s="1613">
        <f>Bacia_Amortecimento!J33</f>
        <v>0</v>
      </c>
      <c r="I335" s="877">
        <f t="shared" ref="I335" si="94">TRUNC(G335*(1+$J$5),2)</f>
        <v>12.1</v>
      </c>
      <c r="J335" s="1612">
        <f t="shared" ref="J335" si="95">TRUNC(H335*I335,2)</f>
        <v>0</v>
      </c>
      <c r="K335" s="2078">
        <f t="shared" ca="1" si="92"/>
        <v>0</v>
      </c>
      <c r="L335" s="1574" t="e">
        <f t="shared" ref="L335" si="96">J335/$J$314</f>
        <v>#DIV/0!</v>
      </c>
      <c r="M335" s="1445"/>
      <c r="N335" s="833"/>
      <c r="O335" s="833"/>
      <c r="Q335" s="833"/>
      <c r="R335" s="833"/>
      <c r="S335" s="833"/>
      <c r="T335" s="833"/>
      <c r="U335" s="833"/>
      <c r="V335" s="833"/>
      <c r="W335" s="833"/>
      <c r="X335" s="833"/>
    </row>
    <row r="336" spans="1:24" s="813" customFormat="1" ht="39.950000000000003" hidden="1" customHeight="1" x14ac:dyDescent="0.15">
      <c r="A336" s="2081">
        <f t="shared" ca="1" si="86"/>
        <v>5</v>
      </c>
      <c r="B336" s="834">
        <v>6079</v>
      </c>
      <c r="C336" s="2" t="str">
        <f>VLOOKUP($B336,[4]BOLETIM_SEL!$A:$H,2,0)</f>
        <v>COTAÇÃO - SINAPI</v>
      </c>
      <c r="D336" s="315" t="str">
        <f>VLOOKUP($B336,[4]BOLETIM_SEL!$A:$H,4,0)</f>
        <v>Argila, argila vermelha ou argila arenosa (retirada na jazida, sem transporte)</v>
      </c>
      <c r="E336" s="2"/>
      <c r="F336" s="2" t="str">
        <f>VLOOKUP($B336,[4]BOLETIM_SEL!$A:$H,6,0)</f>
        <v xml:space="preserve">M3    </v>
      </c>
      <c r="G336" s="1407">
        <f>VLOOKUP($B336,[4]BOLETIM_SEL!$A:$H,7,0)</f>
        <v>33.700000000000003</v>
      </c>
      <c r="H336" s="1613">
        <f>IF(M336="COMERCIAL",H335,0)</f>
        <v>0</v>
      </c>
      <c r="I336" s="877">
        <f t="shared" ref="I336" si="97">TRUNC(G336*(1+$J$5),2)</f>
        <v>40.67</v>
      </c>
      <c r="J336" s="1612">
        <f t="shared" ref="J336" si="98">TRUNC(H336*I336,2)</f>
        <v>0</v>
      </c>
      <c r="K336" s="2078">
        <f t="shared" ca="1" si="92"/>
        <v>0</v>
      </c>
      <c r="L336" s="1574" t="e">
        <f t="shared" ref="L336" si="99">J336/$J$314</f>
        <v>#DIV/0!</v>
      </c>
      <c r="M336" s="1589" t="s">
        <v>1708</v>
      </c>
      <c r="N336" s="833"/>
      <c r="O336" s="833"/>
      <c r="Q336" s="833"/>
      <c r="R336" s="833"/>
      <c r="S336" s="833"/>
      <c r="T336" s="833"/>
      <c r="U336" s="833"/>
      <c r="V336" s="833"/>
      <c r="W336" s="833"/>
      <c r="X336" s="833"/>
    </row>
    <row r="337" spans="1:24" s="813" customFormat="1" ht="30" hidden="1" customHeight="1" x14ac:dyDescent="0.15">
      <c r="A337" s="2081">
        <f t="shared" ca="1" si="86"/>
        <v>5</v>
      </c>
      <c r="B337" s="834">
        <v>100574</v>
      </c>
      <c r="C337" s="2" t="str">
        <f>VLOOKUP($B337,[4]BOLETIM_SEL!$A:$H,2,0)</f>
        <v>SINAPI</v>
      </c>
      <c r="D337" s="315" t="str">
        <f>VLOOKUP($B337,[4]BOLETIM_SEL!$A:$H,4,0)</f>
        <v>Espalhamento de material com trator de esteiras. AF_11/2019</v>
      </c>
      <c r="E337" s="2"/>
      <c r="F337" s="2" t="str">
        <f>VLOOKUP($B337,[4]BOLETIM_SEL!$A:$H,6,0)</f>
        <v>M3</v>
      </c>
      <c r="G337" s="1407">
        <f>VLOOKUP($B337,[4]BOLETIM_SEL!$A:$H,7,0)</f>
        <v>1.21</v>
      </c>
      <c r="H337" s="1613">
        <f>+Bacia_Amortecimento!J37</f>
        <v>0</v>
      </c>
      <c r="I337" s="877">
        <f t="shared" si="90"/>
        <v>1.46</v>
      </c>
      <c r="J337" s="1612">
        <f t="shared" si="91"/>
        <v>0</v>
      </c>
      <c r="K337" s="2078">
        <f t="shared" ca="1" si="92"/>
        <v>0</v>
      </c>
      <c r="L337" s="1574" t="e">
        <f t="shared" si="93"/>
        <v>#DIV/0!</v>
      </c>
      <c r="M337" s="1445"/>
      <c r="O337" s="833"/>
      <c r="P337" s="833"/>
      <c r="Q337" s="833"/>
      <c r="R337" s="833"/>
      <c r="S337" s="833"/>
      <c r="T337" s="833"/>
      <c r="U337" s="833"/>
      <c r="V337" s="833"/>
      <c r="W337" s="833"/>
      <c r="X337" s="833"/>
    </row>
    <row r="338" spans="1:24" s="813" customFormat="1" ht="30" hidden="1" customHeight="1" x14ac:dyDescent="0.15">
      <c r="A338" s="2081">
        <f t="shared" ca="1" si="86"/>
        <v>5</v>
      </c>
      <c r="B338" s="1834">
        <v>93358</v>
      </c>
      <c r="C338" s="2" t="str">
        <f>VLOOKUP($B338,[4]BOLETIM_SEL!$A:$H,2,0)</f>
        <v>SINAPI</v>
      </c>
      <c r="D338" s="315" t="str">
        <f>VLOOKUP($B338,[4]BOLETIM_SEL!$A:$H,4,0)</f>
        <v>Escavação manual de vala com profundidade menor ou igual a 1,30 m. AF_03/2016</v>
      </c>
      <c r="E338" s="2"/>
      <c r="F338" s="2" t="str">
        <f>VLOOKUP($B338,[4]BOLETIM_SEL!$A:$H,6,0)</f>
        <v>M3</v>
      </c>
      <c r="G338" s="1407">
        <f>VLOOKUP($B338,[4]BOLETIM_SEL!$A:$H,7,0)</f>
        <v>74.88</v>
      </c>
      <c r="H338" s="1613">
        <f>Bacia_Amortecimento!J38</f>
        <v>0</v>
      </c>
      <c r="I338" s="877">
        <f t="shared" ref="I338:I339" si="100">TRUNC(G338*(1+$J$5),2)</f>
        <v>90.38</v>
      </c>
      <c r="J338" s="1612">
        <f t="shared" ref="J338:J339" si="101">TRUNC(H338*I338,2)</f>
        <v>0</v>
      </c>
      <c r="K338" s="2078">
        <f t="shared" ca="1" si="92"/>
        <v>0</v>
      </c>
      <c r="L338" s="1574" t="e">
        <f t="shared" ref="L338:L339" si="102">J338/$J$314</f>
        <v>#DIV/0!</v>
      </c>
      <c r="M338" s="1445"/>
      <c r="O338" s="833"/>
      <c r="P338" s="833"/>
      <c r="Q338" s="833"/>
      <c r="R338" s="833"/>
      <c r="S338" s="833"/>
      <c r="T338" s="833"/>
      <c r="U338" s="833"/>
      <c r="V338" s="833"/>
      <c r="W338" s="833"/>
      <c r="X338" s="833"/>
    </row>
    <row r="339" spans="1:24" s="813" customFormat="1" ht="50.1" hidden="1" customHeight="1" x14ac:dyDescent="0.15">
      <c r="A339" s="2081">
        <f t="shared" ref="A339:A340" ca="1" si="103">IF(H339&gt;0,A338+0.01,A338)</f>
        <v>5</v>
      </c>
      <c r="B339" s="1834">
        <v>90105</v>
      </c>
      <c r="C339" s="2" t="str">
        <f>VLOOKUP($B339,[4]BOLETIM_SEL!$A:$H,2,0)</f>
        <v>SINAPI</v>
      </c>
      <c r="D339" s="315" t="str">
        <f>VLOOKUP($B339,[4]BOLETIM_SEL!$A:$H,4,0)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339" s="2"/>
      <c r="F339" s="2" t="str">
        <f>VLOOKUP($B339,[4]BOLETIM_SEL!$A:$H,6,0)</f>
        <v>M3</v>
      </c>
      <c r="G339" s="1407">
        <f>VLOOKUP($B339,[4]BOLETIM_SEL!$A:$H,7,0)</f>
        <v>7.99</v>
      </c>
      <c r="H339" s="1613">
        <f>Bacia_Amortecimento!J39</f>
        <v>0</v>
      </c>
      <c r="I339" s="877">
        <f t="shared" si="100"/>
        <v>9.64</v>
      </c>
      <c r="J339" s="1612">
        <f t="shared" si="101"/>
        <v>0</v>
      </c>
      <c r="K339" s="2078">
        <f t="shared" ca="1" si="92"/>
        <v>0</v>
      </c>
      <c r="L339" s="1574" t="e">
        <f t="shared" si="102"/>
        <v>#DIV/0!</v>
      </c>
      <c r="M339" s="1445"/>
      <c r="O339" s="833"/>
      <c r="P339" s="833"/>
      <c r="Q339" s="833"/>
      <c r="R339" s="833"/>
      <c r="S339" s="833"/>
      <c r="T339" s="833"/>
      <c r="U339" s="833"/>
      <c r="V339" s="833"/>
      <c r="W339" s="833"/>
      <c r="X339" s="833"/>
    </row>
    <row r="340" spans="1:24" s="813" customFormat="1" ht="39.950000000000003" hidden="1" customHeight="1" x14ac:dyDescent="0.15">
      <c r="A340" s="2081">
        <f t="shared" ca="1" si="103"/>
        <v>5</v>
      </c>
      <c r="B340" s="834">
        <v>102712</v>
      </c>
      <c r="C340" s="2" t="str">
        <f>VLOOKUP($B340,[4]BOLETIM_SEL!$A:$H,2,0)</f>
        <v>SINAPI</v>
      </c>
      <c r="D340" s="315" t="str">
        <f>VLOOKUP($B340,[4]BOLETIM_SEL!$A:$H,4,0)</f>
        <v>Geotêxtil não tecido 100% poliéster, resistência a tração de 9 kn/m (RT - 9), instalado em dreno - fornecimento e instalação. AF_07/2021</v>
      </c>
      <c r="E340" s="2"/>
      <c r="F340" s="2" t="str">
        <f>VLOOKUP($B340,[4]BOLETIM_SEL!$A:$H,6,0)</f>
        <v>M2</v>
      </c>
      <c r="G340" s="1407">
        <f>VLOOKUP($B340,[4]BOLETIM_SEL!$A:$H,7,0)</f>
        <v>13.94</v>
      </c>
      <c r="H340" s="1613">
        <f>Bacia_Amortecimento!J40</f>
        <v>0</v>
      </c>
      <c r="I340" s="877">
        <f t="shared" si="90"/>
        <v>16.82</v>
      </c>
      <c r="J340" s="1612">
        <f t="shared" si="91"/>
        <v>0</v>
      </c>
      <c r="K340" s="2078">
        <f t="shared" ca="1" si="92"/>
        <v>0</v>
      </c>
      <c r="L340" s="1574" t="e">
        <f t="shared" si="93"/>
        <v>#DIV/0!</v>
      </c>
      <c r="M340" s="1445"/>
      <c r="N340" s="833"/>
      <c r="O340" s="833"/>
      <c r="Q340" s="833"/>
      <c r="R340" s="833"/>
      <c r="S340" s="833"/>
      <c r="T340" s="833"/>
      <c r="U340" s="833"/>
      <c r="V340" s="833"/>
      <c r="W340" s="833"/>
      <c r="X340" s="833"/>
    </row>
    <row r="341" spans="1:24" s="813" customFormat="1" ht="30" hidden="1" customHeight="1" x14ac:dyDescent="0.15">
      <c r="A341" s="2081">
        <f t="shared" ca="1" si="86"/>
        <v>5</v>
      </c>
      <c r="B341" s="834" t="s">
        <v>1844</v>
      </c>
      <c r="C341" s="2" t="str">
        <f>VLOOKUP($B341,[4]BOLETIM_SEL!$A:$H,2,0)</f>
        <v>COMPOSIÇÃO</v>
      </c>
      <c r="D341" s="315" t="str">
        <f>VLOOKUP($B341,[4]BOLETIM_SEL!$A:$H,4,0)</f>
        <v>Brita n. 2 para dreno, lançamento manual, em local com nível baixo de interferência. Fornecimento, exclusive transporte</v>
      </c>
      <c r="E341" s="2"/>
      <c r="F341" s="2" t="str">
        <f>VLOOKUP($B341,[4]BOLETIM_SEL!$A:$H,6,0)</f>
        <v>M3</v>
      </c>
      <c r="G341" s="1407">
        <f>VLOOKUP($B341,[4]BOLETIM_SEL!$A:$H,7,0)</f>
        <v>179.54</v>
      </c>
      <c r="H341" s="1613">
        <f>Bacia_Amortecimento!J41</f>
        <v>0</v>
      </c>
      <c r="I341" s="877">
        <f t="shared" si="90"/>
        <v>216.7</v>
      </c>
      <c r="J341" s="1612">
        <f t="shared" si="91"/>
        <v>0</v>
      </c>
      <c r="K341" s="2078">
        <f t="shared" ca="1" si="92"/>
        <v>0</v>
      </c>
      <c r="L341" s="1574" t="e">
        <f t="shared" si="93"/>
        <v>#DIV/0!</v>
      </c>
      <c r="M341" s="1445"/>
      <c r="N341" s="833"/>
      <c r="O341" s="833"/>
      <c r="Q341" s="833"/>
      <c r="R341" s="833"/>
      <c r="S341" s="833"/>
      <c r="T341" s="833"/>
      <c r="U341" s="833"/>
      <c r="V341" s="833"/>
      <c r="W341" s="833"/>
      <c r="X341" s="833"/>
    </row>
    <row r="342" spans="1:24" s="813" customFormat="1" ht="39.950000000000003" hidden="1" customHeight="1" x14ac:dyDescent="0.15">
      <c r="A342" s="2081">
        <f t="shared" ca="1" si="86"/>
        <v>5</v>
      </c>
      <c r="B342" s="834" t="s">
        <v>1955</v>
      </c>
      <c r="C342" s="2" t="str">
        <f>VLOOKUP($B342,[4]BOLETIM_SEL!$A:$H,2,0)</f>
        <v>COMPOSIÇÃO</v>
      </c>
      <c r="D342" s="315" t="str">
        <f>VLOOKUP($B342,[4]BOLETIM_SEL!$A:$H,4,0)</f>
        <v>Tubo dreno, corrugado, espiralado, flexível, perfurado, em polietileno de alta densidade (PEAD), DN 100 mm para drenagem – fornecimento e assentamento em vala</v>
      </c>
      <c r="E342" s="2"/>
      <c r="F342" s="2" t="str">
        <f>VLOOKUP($B342,[4]BOLETIM_SEL!$A:$H,6,0)</f>
        <v>M</v>
      </c>
      <c r="G342" s="1407">
        <f>VLOOKUP($B342,[4]BOLETIM_SEL!$A:$H,7,0)</f>
        <v>32.090000000000003</v>
      </c>
      <c r="H342" s="1613">
        <f>Bacia_Amortecimento!J42</f>
        <v>0</v>
      </c>
      <c r="I342" s="877">
        <f t="shared" si="90"/>
        <v>38.729999999999997</v>
      </c>
      <c r="J342" s="1612">
        <f t="shared" si="91"/>
        <v>0</v>
      </c>
      <c r="K342" s="2078">
        <f t="shared" ca="1" si="92"/>
        <v>0</v>
      </c>
      <c r="L342" s="1574" t="e">
        <f t="shared" si="93"/>
        <v>#DIV/0!</v>
      </c>
      <c r="M342" s="1445"/>
      <c r="N342" s="1653"/>
      <c r="O342" s="1652"/>
      <c r="Q342" s="833"/>
      <c r="R342" s="833"/>
      <c r="S342" s="833"/>
      <c r="T342" s="833"/>
      <c r="U342" s="833"/>
      <c r="V342" s="833"/>
      <c r="W342" s="833"/>
      <c r="X342" s="833"/>
    </row>
    <row r="343" spans="1:24" s="813" customFormat="1" ht="39.950000000000003" hidden="1" customHeight="1" x14ac:dyDescent="0.15">
      <c r="A343" s="2081">
        <f t="shared" ref="A343:A344" ca="1" si="104">IF(H343&gt;0,A342+0.01,A342)</f>
        <v>5</v>
      </c>
      <c r="B343" s="834" t="s">
        <v>2654</v>
      </c>
      <c r="C343" s="2" t="str">
        <f>VLOOKUP($B343,[4]BOLETIM_SEL!$A:$H,2,0)</f>
        <v>COMPOSIÇÃO</v>
      </c>
      <c r="D343" s="315" t="str">
        <f>VLOOKUP($B343,[4]BOLETIM_SEL!$A:$H,4,0)</f>
        <v>Meia cana em concreto simples, D = 0,60m (174kg/m), PB, Classe P-1, fornecimento, assentamento e rejuntamento, ref SINAPI 73882/005, data: 01/2020</v>
      </c>
      <c r="E343" s="2"/>
      <c r="F343" s="2" t="str">
        <f>VLOOKUP($B343,[4]BOLETIM_SEL!$A:$H,6,0)</f>
        <v>M</v>
      </c>
      <c r="G343" s="1407">
        <f>VLOOKUP($B343,[4]BOLETIM_SEL!$A:$H,7,0)</f>
        <v>123.42</v>
      </c>
      <c r="H343" s="1613">
        <f>+Bacia_Amortecimento!J43</f>
        <v>0</v>
      </c>
      <c r="I343" s="877">
        <f t="shared" ref="I343:I344" si="105">TRUNC(G343*(1+$J$5),2)</f>
        <v>148.96</v>
      </c>
      <c r="J343" s="1612">
        <f t="shared" ref="J343:J344" si="106">TRUNC(H343*I343,2)</f>
        <v>0</v>
      </c>
      <c r="K343" s="2078">
        <f t="shared" ca="1" si="92"/>
        <v>0</v>
      </c>
      <c r="L343" s="1574" t="e">
        <f t="shared" ref="L343:L344" si="107">J343/$J$314</f>
        <v>#DIV/0!</v>
      </c>
      <c r="M343" s="1445"/>
      <c r="N343" s="1653"/>
      <c r="O343" s="1652"/>
      <c r="Q343" s="833"/>
      <c r="R343" s="833"/>
      <c r="S343" s="833"/>
      <c r="T343" s="833"/>
      <c r="U343" s="833"/>
      <c r="V343" s="833"/>
      <c r="W343" s="833"/>
      <c r="X343" s="833"/>
    </row>
    <row r="344" spans="1:24" s="813" customFormat="1" ht="39.950000000000003" hidden="1" customHeight="1" x14ac:dyDescent="0.15">
      <c r="A344" s="2081">
        <f t="shared" ca="1" si="104"/>
        <v>5</v>
      </c>
      <c r="B344" s="834" t="s">
        <v>2655</v>
      </c>
      <c r="C344" s="2" t="str">
        <f>VLOOKUP($B344,[4]BOLETIM_SEL!$A:$H,2,0)</f>
        <v>COMPOSIÇÃO</v>
      </c>
      <c r="D344" s="315" t="str">
        <f>VLOOKUP($B344,[4]BOLETIM_SEL!$A:$H,4,0)</f>
        <v>Valeta de concreto com concreto moldado in loco, acabamento convencional, armado, com seção trapezoidal 1,00m x 0,30m (b x h), espessura 6cm, com junta seca de dilatação a cada 3m</v>
      </c>
      <c r="E344" s="2"/>
      <c r="F344" s="2" t="str">
        <f>VLOOKUP($B344,[4]BOLETIM_SEL!$A:$H,6,0)</f>
        <v>M</v>
      </c>
      <c r="G344" s="1407">
        <f>VLOOKUP($B344,[4]BOLETIM_SEL!$A:$H,7,0)</f>
        <v>130.52000000000001</v>
      </c>
      <c r="H344" s="1613">
        <f>+Bacia_Amortecimento!J44</f>
        <v>0</v>
      </c>
      <c r="I344" s="877">
        <f t="shared" si="105"/>
        <v>157.53</v>
      </c>
      <c r="J344" s="1612">
        <f t="shared" si="106"/>
        <v>0</v>
      </c>
      <c r="K344" s="2078">
        <f t="shared" ca="1" si="92"/>
        <v>0</v>
      </c>
      <c r="L344" s="1574" t="e">
        <f t="shared" si="107"/>
        <v>#DIV/0!</v>
      </c>
      <c r="M344" s="1445"/>
      <c r="N344" s="1653"/>
      <c r="O344" s="1652"/>
      <c r="Q344" s="833"/>
      <c r="R344" s="833"/>
      <c r="S344" s="833"/>
      <c r="T344" s="833"/>
      <c r="U344" s="833"/>
      <c r="V344" s="833"/>
      <c r="W344" s="833"/>
      <c r="X344" s="833"/>
    </row>
    <row r="345" spans="1:24" s="813" customFormat="1" ht="24.95" hidden="1" customHeight="1" x14ac:dyDescent="0.15">
      <c r="A345" s="2081"/>
      <c r="B345" s="834"/>
      <c r="C345" s="2"/>
      <c r="D345" s="1452" t="s">
        <v>2112</v>
      </c>
      <c r="E345" s="2"/>
      <c r="F345" s="2"/>
      <c r="G345" s="1821"/>
      <c r="H345" s="2"/>
      <c r="I345" s="2"/>
      <c r="J345" s="839" t="str">
        <f>IF(J346=0,"-","")</f>
        <v>-</v>
      </c>
      <c r="K345" s="2078"/>
      <c r="L345" s="1574"/>
      <c r="M345" s="1445"/>
      <c r="N345" s="833"/>
      <c r="O345" s="833"/>
      <c r="Q345" s="833"/>
      <c r="R345" s="833"/>
      <c r="S345" s="833"/>
      <c r="T345" s="833"/>
      <c r="U345" s="833"/>
      <c r="V345" s="833"/>
      <c r="W345" s="833"/>
      <c r="X345" s="833"/>
    </row>
    <row r="346" spans="1:24" s="813" customFormat="1" ht="39.950000000000003" hidden="1" customHeight="1" x14ac:dyDescent="0.15">
      <c r="A346" s="2081">
        <f ca="1">IF(H346&gt;0,A344+0.01,A344)</f>
        <v>5</v>
      </c>
      <c r="B346" s="834">
        <v>94962</v>
      </c>
      <c r="C346" s="2" t="str">
        <f>VLOOKUP($B346,[4]BOLETIM_SEL!$A:$H,2,0)</f>
        <v>SINAPI</v>
      </c>
      <c r="D346" s="315" t="str">
        <f>VLOOKUP($B346,[4]BOLETIM_SEL!$A:$H,4,0)</f>
        <v>Concreto magro para lastro, traço 1:4,5:4,5 (cimento/ areia média/ brita 1) - preparo mecânico com betoneira 400 l. AF_07/2016</v>
      </c>
      <c r="E346" s="2"/>
      <c r="F346" s="2" t="str">
        <f>VLOOKUP($B346,[4]BOLETIM_SEL!$A:$H,6,0)</f>
        <v>M3</v>
      </c>
      <c r="G346" s="1407">
        <f>VLOOKUP($B346,[4]BOLETIM_SEL!$A:$H,7,0)</f>
        <v>380.85</v>
      </c>
      <c r="H346" s="1613">
        <f>Bacia_Amortecimento!J45</f>
        <v>0</v>
      </c>
      <c r="I346" s="877">
        <f t="shared" ref="I346:I385" si="108">TRUNC(G346*(1+$J$5),2)</f>
        <v>459.68</v>
      </c>
      <c r="J346" s="1612">
        <f t="shared" ref="J346:J385" si="109">TRUNC(H346*I346,2)</f>
        <v>0</v>
      </c>
      <c r="K346" s="2078">
        <f t="shared" ref="K346:K385" ca="1" si="110">J346/J$967</f>
        <v>0</v>
      </c>
      <c r="L346" s="1574" t="e">
        <f t="shared" ref="L346:L385" si="111">J346/$J$314</f>
        <v>#DIV/0!</v>
      </c>
      <c r="M346" s="1445"/>
      <c r="N346" s="833"/>
      <c r="O346" s="833"/>
      <c r="Q346" s="833"/>
      <c r="R346" s="833"/>
      <c r="S346" s="833"/>
      <c r="T346" s="833"/>
      <c r="U346" s="833"/>
      <c r="V346" s="833"/>
      <c r="W346" s="833"/>
      <c r="X346" s="833"/>
    </row>
    <row r="347" spans="1:24" s="813" customFormat="1" ht="39.950000000000003" hidden="1" customHeight="1" x14ac:dyDescent="0.15">
      <c r="A347" s="2081">
        <f t="shared" ref="A347:A385" ca="1" si="112">IF(H347&gt;0,A346+0.01,A346)</f>
        <v>5</v>
      </c>
      <c r="B347" s="834">
        <f>IF(M347="usinado",34492,94964)</f>
        <v>94964</v>
      </c>
      <c r="C347" s="2" t="str">
        <f>VLOOKUP($B347,[4]BOLETIM_SEL!$A:$H,2,0)</f>
        <v>SINAPI</v>
      </c>
      <c r="D347" s="315" t="str">
        <f>VLOOKUP($B347,[4]BOLETIM_SEL!$A:$H,4,0)</f>
        <v>Concreto FCK = 20 MPA, traço 1:2,7:3 (cimento/ areia média/ brita 1) - preparo mecânico com betoneira 400 l. AF_07/2016</v>
      </c>
      <c r="E347" s="2"/>
      <c r="F347" s="2" t="str">
        <f>VLOOKUP($B347,[4]BOLETIM_SEL!$A:$H,6,0)</f>
        <v>M3</v>
      </c>
      <c r="G347" s="1407">
        <f>VLOOKUP($B347,[4]BOLETIM_SEL!$A:$H,7,0)</f>
        <v>471.67</v>
      </c>
      <c r="H347" s="1613">
        <f>Bacia_Amortecimento!J46</f>
        <v>0</v>
      </c>
      <c r="I347" s="877">
        <f t="shared" si="108"/>
        <v>569.29999999999995</v>
      </c>
      <c r="J347" s="1612">
        <f t="shared" si="109"/>
        <v>0</v>
      </c>
      <c r="K347" s="2078">
        <f t="shared" ca="1" si="110"/>
        <v>0</v>
      </c>
      <c r="L347" s="1574" t="e">
        <f t="shared" si="111"/>
        <v>#DIV/0!</v>
      </c>
      <c r="M347" s="1589" t="s">
        <v>2121</v>
      </c>
      <c r="N347" s="833"/>
      <c r="O347" s="833"/>
      <c r="Q347" s="833"/>
      <c r="R347" s="833"/>
      <c r="S347" s="833"/>
      <c r="T347" s="833"/>
      <c r="U347" s="833"/>
      <c r="V347" s="833"/>
      <c r="W347" s="833"/>
      <c r="X347" s="833"/>
    </row>
    <row r="348" spans="1:24" s="813" customFormat="1" ht="39.950000000000003" hidden="1" customHeight="1" x14ac:dyDescent="0.15">
      <c r="A348" s="2081">
        <f t="shared" ca="1" si="112"/>
        <v>5</v>
      </c>
      <c r="B348" s="834">
        <f>IF(M347="usinado",34493,94965)</f>
        <v>94965</v>
      </c>
      <c r="C348" s="2" t="str">
        <f>VLOOKUP($B348,[4]BOLETIM_SEL!$A:$H,2,0)</f>
        <v>SINAPI</v>
      </c>
      <c r="D348" s="315" t="str">
        <f>VLOOKUP($B348,[4]BOLETIM_SEL!$A:$H,4,0)</f>
        <v>Concreto FCK = 25 MPA, traço 1:2,3:2,7 (cimento/ areia média/ brita 1) - preparo mecânico com betoneira 400 l. AF_07/2016</v>
      </c>
      <c r="E348" s="2"/>
      <c r="F348" s="2" t="str">
        <f>VLOOKUP($B348,[4]BOLETIM_SEL!$A:$H,6,0)</f>
        <v>M3</v>
      </c>
      <c r="G348" s="1407">
        <f>VLOOKUP($B348,[4]BOLETIM_SEL!$A:$H,7,0)</f>
        <v>494</v>
      </c>
      <c r="H348" s="1613">
        <f>Bacia_Amortecimento!J47</f>
        <v>0</v>
      </c>
      <c r="I348" s="877">
        <f t="shared" si="108"/>
        <v>596.25</v>
      </c>
      <c r="J348" s="1612">
        <f t="shared" si="109"/>
        <v>0</v>
      </c>
      <c r="K348" s="2078">
        <f t="shared" ca="1" si="110"/>
        <v>0</v>
      </c>
      <c r="L348" s="1574" t="e">
        <f t="shared" si="111"/>
        <v>#DIV/0!</v>
      </c>
      <c r="M348" s="1589" t="s">
        <v>1857</v>
      </c>
      <c r="N348" s="833"/>
      <c r="O348" s="833"/>
      <c r="Q348" s="833"/>
      <c r="R348" s="833"/>
      <c r="S348" s="833"/>
      <c r="T348" s="833"/>
      <c r="U348" s="833"/>
      <c r="V348" s="833"/>
      <c r="W348" s="833"/>
      <c r="X348" s="833"/>
    </row>
    <row r="349" spans="1:24" s="813" customFormat="1" ht="39.950000000000003" hidden="1" customHeight="1" x14ac:dyDescent="0.15">
      <c r="A349" s="2081">
        <f t="shared" ca="1" si="112"/>
        <v>5</v>
      </c>
      <c r="B349" s="834">
        <f>IF(M347="usinado",34494,94966)</f>
        <v>94966</v>
      </c>
      <c r="C349" s="2" t="str">
        <f>VLOOKUP($B349,[4]BOLETIM_SEL!$A:$H,2,0)</f>
        <v>SINAPI</v>
      </c>
      <c r="D349" s="315" t="str">
        <f>VLOOKUP($B349,[4]BOLETIM_SEL!$A:$H,4,0)</f>
        <v>Concreto FCK = 30 MPA, traço 1:2,1:2,5 (cimento/ areia média/ brita 1) - preparo mecânico com betoneira 400 l. AF_07/2016</v>
      </c>
      <c r="E349" s="2"/>
      <c r="F349" s="2" t="str">
        <f>VLOOKUP($B349,[4]BOLETIM_SEL!$A:$H,6,0)</f>
        <v>M3</v>
      </c>
      <c r="G349" s="1407">
        <f>VLOOKUP($B349,[4]BOLETIM_SEL!$A:$H,7,0)</f>
        <v>512.80999999999995</v>
      </c>
      <c r="H349" s="1613">
        <f>Bacia_Amortecimento!J48</f>
        <v>0</v>
      </c>
      <c r="I349" s="877">
        <f t="shared" si="108"/>
        <v>618.96</v>
      </c>
      <c r="J349" s="1612">
        <f t="shared" si="109"/>
        <v>0</v>
      </c>
      <c r="K349" s="2078">
        <f t="shared" ca="1" si="110"/>
        <v>0</v>
      </c>
      <c r="L349" s="1574" t="e">
        <f t="shared" si="111"/>
        <v>#DIV/0!</v>
      </c>
      <c r="M349" s="1589" t="s">
        <v>1857</v>
      </c>
      <c r="N349" s="833"/>
      <c r="O349" s="833"/>
      <c r="Q349" s="833"/>
      <c r="R349" s="833"/>
      <c r="S349" s="833"/>
      <c r="T349" s="833"/>
      <c r="U349" s="833"/>
      <c r="V349" s="833"/>
      <c r="W349" s="833"/>
      <c r="X349" s="833"/>
    </row>
    <row r="350" spans="1:24" s="813" customFormat="1" ht="39.950000000000003" hidden="1" customHeight="1" x14ac:dyDescent="0.15">
      <c r="A350" s="2081">
        <f t="shared" ca="1" si="112"/>
        <v>5</v>
      </c>
      <c r="B350" s="834">
        <v>34495</v>
      </c>
      <c r="C350" s="2" t="str">
        <f>VLOOKUP($B350,[4]BOLETIM_SEL!$A:$H,2,0)</f>
        <v>SINAPI</v>
      </c>
      <c r="D350" s="315" t="str">
        <f>VLOOKUP($B350,[4]BOLETIM_SEL!$A:$H,4,0)</f>
        <v>Concreto usinado bombeável, classe de resistência C35, com brita 0,00 e 1, slump = 100 +/- 20 mm, exclui serviço de bombeamento (NBR 8953)</v>
      </c>
      <c r="E350" s="2"/>
      <c r="F350" s="2" t="str">
        <f>VLOOKUP($B350,[4]BOLETIM_SEL!$A:$H,6,0)</f>
        <v xml:space="preserve">M3    </v>
      </c>
      <c r="G350" s="1407">
        <f>VLOOKUP($B350,[4]BOLETIM_SEL!$A:$H,7,0)</f>
        <v>597.71</v>
      </c>
      <c r="H350" s="1613">
        <f>Bacia_Amortecimento!J49</f>
        <v>0</v>
      </c>
      <c r="I350" s="877">
        <f t="shared" si="108"/>
        <v>721.43</v>
      </c>
      <c r="J350" s="1612">
        <f t="shared" si="109"/>
        <v>0</v>
      </c>
      <c r="K350" s="2078">
        <f t="shared" ca="1" si="110"/>
        <v>0</v>
      </c>
      <c r="L350" s="1574" t="e">
        <f t="shared" si="111"/>
        <v>#DIV/0!</v>
      </c>
      <c r="M350" s="1445"/>
      <c r="N350" s="833"/>
      <c r="O350" s="833"/>
      <c r="Q350" s="833"/>
      <c r="R350" s="833"/>
      <c r="S350" s="833"/>
      <c r="T350" s="833"/>
      <c r="U350" s="833"/>
      <c r="V350" s="833"/>
      <c r="W350" s="833"/>
      <c r="X350" s="833"/>
    </row>
    <row r="351" spans="1:24" s="813" customFormat="1" ht="30" hidden="1" customHeight="1" x14ac:dyDescent="0.15">
      <c r="A351" s="2081">
        <f t="shared" ca="1" si="112"/>
        <v>5</v>
      </c>
      <c r="B351" s="834">
        <v>103670</v>
      </c>
      <c r="C351" s="2" t="str">
        <f>VLOOKUP($B351,[4]BOLETIM_SEL!$A:$H,2,0)</f>
        <v>SINAPI</v>
      </c>
      <c r="D351" s="315" t="str">
        <f>VLOOKUP($B351,[4]BOLETIM_SEL!$A:$H,4,0)</f>
        <v>Lançamento com uso de baldes, adensamento e acabamento de concreto em estruturas. AF_12/2015</v>
      </c>
      <c r="E351" s="2"/>
      <c r="F351" s="2" t="str">
        <f>VLOOKUP($B351,[4]BOLETIM_SEL!$A:$H,6,0)</f>
        <v>M3</v>
      </c>
      <c r="G351" s="1407">
        <f>VLOOKUP($B351,[4]BOLETIM_SEL!$A:$H,7,0)</f>
        <v>257.33999999999997</v>
      </c>
      <c r="H351" s="1613">
        <f>H346+IF(M347="usinado",0,H347)+IF(M348="usinado",0,H348)+IF(M349="usinado",0,H349)</f>
        <v>0</v>
      </c>
      <c r="I351" s="877">
        <f t="shared" si="108"/>
        <v>310.60000000000002</v>
      </c>
      <c r="J351" s="1612">
        <f t="shared" si="109"/>
        <v>0</v>
      </c>
      <c r="K351" s="2078">
        <f t="shared" ca="1" si="110"/>
        <v>0</v>
      </c>
      <c r="L351" s="1574" t="e">
        <f t="shared" si="111"/>
        <v>#DIV/0!</v>
      </c>
      <c r="M351" s="1445"/>
      <c r="N351" s="833"/>
      <c r="O351" s="833"/>
      <c r="Q351" s="833"/>
      <c r="R351" s="833"/>
      <c r="S351" s="833"/>
      <c r="T351" s="833"/>
      <c r="U351" s="833"/>
      <c r="V351" s="833"/>
      <c r="W351" s="833"/>
      <c r="X351" s="833"/>
    </row>
    <row r="352" spans="1:24" s="813" customFormat="1" ht="30" hidden="1" customHeight="1" x14ac:dyDescent="0.15">
      <c r="A352" s="2081">
        <f t="shared" ca="1" si="112"/>
        <v>5</v>
      </c>
      <c r="B352" s="1834">
        <v>103673</v>
      </c>
      <c r="C352" s="2" t="str">
        <f>VLOOKUP($B352,[4]BOLETIM_SEL!$A:$H,2,0)</f>
        <v>SINAPI</v>
      </c>
      <c r="D352" s="315" t="str">
        <f>VLOOKUP($B352,[4]BOLETIM_SEL!$A:$H,4,0)</f>
        <v>Lançamento com uso de bomba, adensamento e acabamento de concreto em estruturas. AF_12/2015</v>
      </c>
      <c r="E352" s="2"/>
      <c r="F352" s="2" t="str">
        <f>VLOOKUP($B352,[4]BOLETIM_SEL!$A:$H,6,0)</f>
        <v>M3</v>
      </c>
      <c r="G352" s="1407">
        <f>VLOOKUP($B352,[4]BOLETIM_SEL!$A:$H,7,0)</f>
        <v>36.17</v>
      </c>
      <c r="H352" s="1613">
        <f>H350+IF(M347="usinado",H347,0)+IF(M348="usinado",H348,0)+IF(M349="usinado",H349,0)</f>
        <v>0</v>
      </c>
      <c r="I352" s="877">
        <f t="shared" si="108"/>
        <v>43.65</v>
      </c>
      <c r="J352" s="1612">
        <f t="shared" si="109"/>
        <v>0</v>
      </c>
      <c r="K352" s="2078">
        <f t="shared" ca="1" si="110"/>
        <v>0</v>
      </c>
      <c r="L352" s="1574" t="e">
        <f t="shared" si="111"/>
        <v>#DIV/0!</v>
      </c>
      <c r="M352" s="1445"/>
      <c r="N352" s="833"/>
      <c r="O352" s="833"/>
      <c r="Q352" s="833"/>
      <c r="R352" s="833"/>
      <c r="S352" s="833"/>
      <c r="T352" s="833"/>
      <c r="U352" s="833"/>
      <c r="V352" s="833"/>
      <c r="W352" s="833"/>
      <c r="X352" s="833"/>
    </row>
    <row r="353" spans="1:24" s="813" customFormat="1" ht="30" hidden="1" customHeight="1" x14ac:dyDescent="0.15">
      <c r="A353" s="2081">
        <f t="shared" ca="1" si="112"/>
        <v>5</v>
      </c>
      <c r="B353" s="834">
        <v>102487</v>
      </c>
      <c r="C353" s="2" t="str">
        <f>VLOOKUP($B353,[4]BOLETIM_SEL!$A:$H,2,0)</f>
        <v>SINAPI</v>
      </c>
      <c r="D353" s="315" t="str">
        <f>VLOOKUP($B353,[4]BOLETIM_SEL!$A:$H,4,0)</f>
        <v>Concreto ciclópico FCK = 15 MPA, 30% pedra de mão em volume real, inclusive lançamento</v>
      </c>
      <c r="E353" s="2"/>
      <c r="F353" s="2" t="str">
        <f>VLOOKUP($B353,[4]BOLETIM_SEL!$A:$H,6,0)</f>
        <v>M3</v>
      </c>
      <c r="G353" s="1407">
        <f>VLOOKUP($B353,[4]BOLETIM_SEL!$A:$H,7,0)</f>
        <v>548.4</v>
      </c>
      <c r="H353" s="1613">
        <f>Bacia_Amortecimento!J50</f>
        <v>0</v>
      </c>
      <c r="I353" s="877">
        <f t="shared" si="108"/>
        <v>661.91</v>
      </c>
      <c r="J353" s="1612">
        <f t="shared" si="109"/>
        <v>0</v>
      </c>
      <c r="K353" s="2078">
        <f t="shared" ca="1" si="110"/>
        <v>0</v>
      </c>
      <c r="L353" s="1574" t="e">
        <f t="shared" si="111"/>
        <v>#DIV/0!</v>
      </c>
      <c r="M353" s="1445"/>
      <c r="N353" s="833"/>
      <c r="O353" s="833"/>
      <c r="Q353" s="833"/>
      <c r="R353" s="833"/>
      <c r="S353" s="833"/>
      <c r="T353" s="833"/>
      <c r="U353" s="833"/>
      <c r="V353" s="833"/>
      <c r="W353" s="833"/>
      <c r="X353" s="833"/>
    </row>
    <row r="354" spans="1:24" s="813" customFormat="1" ht="39.950000000000003" hidden="1" customHeight="1" x14ac:dyDescent="0.15">
      <c r="A354" s="2081">
        <f t="shared" ca="1" si="112"/>
        <v>5</v>
      </c>
      <c r="B354" s="834">
        <v>93959</v>
      </c>
      <c r="C354" s="2" t="str">
        <f>VLOOKUP($B354,[4]BOLETIM_SEL!$A:$H,2,0)</f>
        <v>SINAPI</v>
      </c>
      <c r="D354" s="315" t="str">
        <f>VLOOKUP($B354,[4]BOLETIM_SEL!$A:$H,4,0)</f>
        <v>Execução de grampo para solo grampeado com comprimento maior que 6 m e menor ou igual a 8 m, diâmetro nominal de 10 cm, perfuração com equipamento manual e armadura com diâmetro nominal de 20 mm. AF_05/2016</v>
      </c>
      <c r="E354" s="2"/>
      <c r="F354" s="2" t="str">
        <f>VLOOKUP($B354,[4]BOLETIM_SEL!$A:$H,6,0)</f>
        <v>M</v>
      </c>
      <c r="G354" s="1407">
        <f>VLOOKUP($B354,[4]BOLETIM_SEL!$A:$H,7,0)</f>
        <v>218.78</v>
      </c>
      <c r="H354" s="1613">
        <f>Bacia_Amortecimento!J65</f>
        <v>0</v>
      </c>
      <c r="I354" s="877">
        <f t="shared" ref="I354:I357" si="113">TRUNC(G354*(1+$J$5),2)</f>
        <v>264.06</v>
      </c>
      <c r="J354" s="1612">
        <f t="shared" ref="J354:J357" si="114">TRUNC(H354*I354,2)</f>
        <v>0</v>
      </c>
      <c r="K354" s="2078">
        <f t="shared" ca="1" si="110"/>
        <v>0</v>
      </c>
      <c r="L354" s="1574" t="e">
        <f t="shared" ref="L354:L357" si="115">J354/$J$314</f>
        <v>#DIV/0!</v>
      </c>
      <c r="M354" s="1445"/>
      <c r="N354" s="833"/>
      <c r="O354" s="833"/>
      <c r="Q354" s="833"/>
      <c r="R354" s="833"/>
      <c r="S354" s="833"/>
      <c r="T354" s="833"/>
      <c r="U354" s="833"/>
      <c r="V354" s="833"/>
      <c r="W354" s="833"/>
      <c r="X354" s="833"/>
    </row>
    <row r="355" spans="1:24" s="813" customFormat="1" ht="39.950000000000003" hidden="1" customHeight="1" x14ac:dyDescent="0.15">
      <c r="A355" s="2081">
        <f t="shared" ca="1" si="112"/>
        <v>5</v>
      </c>
      <c r="B355" s="834">
        <v>93960</v>
      </c>
      <c r="C355" s="2" t="str">
        <f>VLOOKUP($B355,[4]BOLETIM_SEL!$A:$H,2,0)</f>
        <v>SINAPI</v>
      </c>
      <c r="D355" s="315" t="str">
        <f>VLOOKUP($B355,[4]BOLETIM_SEL!$A:$H,4,0)</f>
        <v>Execução de grampo para solo grampeado com comprimento maior que 8 m e menor ou igual a 10 m, diâmetro nominal de 10 cm, perfuração com equipamento manual e armadura com diâmetro nominal de 20 mm. AF_05/2016</v>
      </c>
      <c r="E355" s="2"/>
      <c r="F355" s="2" t="str">
        <f>VLOOKUP($B355,[4]BOLETIM_SEL!$A:$H,6,0)</f>
        <v>M</v>
      </c>
      <c r="G355" s="1407">
        <f>VLOOKUP($B355,[4]BOLETIM_SEL!$A:$H,7,0)</f>
        <v>211.8</v>
      </c>
      <c r="H355" s="1613">
        <f>Bacia_Amortecimento!J66</f>
        <v>0</v>
      </c>
      <c r="I355" s="877">
        <f t="shared" ref="I355" si="116">TRUNC(G355*(1+$J$5),2)</f>
        <v>255.64</v>
      </c>
      <c r="J355" s="1612">
        <f t="shared" ref="J355" si="117">TRUNC(H355*I355,2)</f>
        <v>0</v>
      </c>
      <c r="K355" s="2078">
        <f t="shared" ca="1" si="110"/>
        <v>0</v>
      </c>
      <c r="L355" s="1574" t="e">
        <f t="shared" ref="L355" si="118">J355/$J$314</f>
        <v>#DIV/0!</v>
      </c>
      <c r="M355" s="1445"/>
      <c r="N355" s="833"/>
      <c r="O355" s="833"/>
      <c r="Q355" s="833"/>
      <c r="R355" s="833"/>
      <c r="S355" s="833"/>
      <c r="T355" s="833"/>
      <c r="U355" s="833"/>
      <c r="V355" s="833"/>
      <c r="W355" s="833"/>
      <c r="X355" s="833"/>
    </row>
    <row r="356" spans="1:24" s="813" customFormat="1" ht="39.950000000000003" hidden="1" customHeight="1" x14ac:dyDescent="0.15">
      <c r="A356" s="2081">
        <f t="shared" ca="1" si="112"/>
        <v>5</v>
      </c>
      <c r="B356" s="834">
        <v>91074</v>
      </c>
      <c r="C356" s="2" t="str">
        <f>VLOOKUP($B356,[4]BOLETIM_SEL!$A:$H,2,0)</f>
        <v>SINAPI</v>
      </c>
      <c r="D356" s="315" t="str">
        <f>VLOOKUP($B356,[4]BOLETIM_SEL!$A:$H,4,0)</f>
        <v>Execução de revestimento de concreto projetado com espessura de 10 cm, armado com tela, inclinação menor que 90°, aplicação contínua, utilizando equipamento de projeção com 3 m³/h de capacidade. AF_01/2016</v>
      </c>
      <c r="E356" s="2"/>
      <c r="F356" s="2" t="str">
        <f>VLOOKUP($B356,[4]BOLETIM_SEL!$A:$H,6,0)</f>
        <v>M2</v>
      </c>
      <c r="G356" s="1407">
        <f>VLOOKUP($B356,[4]BOLETIM_SEL!$A:$H,7,0)</f>
        <v>145.91</v>
      </c>
      <c r="H356" s="1613">
        <f>Bacia_Amortecimento!J67</f>
        <v>0</v>
      </c>
      <c r="I356" s="877">
        <f t="shared" si="113"/>
        <v>176.11</v>
      </c>
      <c r="J356" s="1612">
        <f t="shared" si="114"/>
        <v>0</v>
      </c>
      <c r="K356" s="2078">
        <f t="shared" ca="1" si="110"/>
        <v>0</v>
      </c>
      <c r="L356" s="1574" t="e">
        <f t="shared" si="115"/>
        <v>#DIV/0!</v>
      </c>
      <c r="M356" s="1445"/>
      <c r="N356" s="833"/>
      <c r="O356" s="833"/>
      <c r="Q356" s="833"/>
      <c r="R356" s="833"/>
      <c r="S356" s="833"/>
      <c r="T356" s="833"/>
      <c r="U356" s="833"/>
      <c r="V356" s="833"/>
      <c r="W356" s="833"/>
      <c r="X356" s="833"/>
    </row>
    <row r="357" spans="1:24" s="813" customFormat="1" ht="39.950000000000003" hidden="1" customHeight="1" x14ac:dyDescent="0.15">
      <c r="A357" s="2081">
        <f t="shared" ca="1" si="112"/>
        <v>5</v>
      </c>
      <c r="B357" s="834">
        <v>91099</v>
      </c>
      <c r="C357" s="2" t="str">
        <f>VLOOKUP($B357,[4]BOLETIM_SEL!$A:$H,2,0)</f>
        <v>SINAPI</v>
      </c>
      <c r="D357" s="315" t="str">
        <f>VLOOKUP($B357,[4]BOLETIM_SEL!$A:$H,4,0)</f>
        <v>Execução de revestimento de concreto projetado com espessura de 10 cm, armado com fibras de aço, inclinação menor que 90°, aplicação descontínua, utilizando equipamento de projeção com 3 m³/h de capacidade. AF_01/2016</v>
      </c>
      <c r="E357" s="2"/>
      <c r="F357" s="2" t="str">
        <f>VLOOKUP($B357,[4]BOLETIM_SEL!$A:$H,6,0)</f>
        <v>M2</v>
      </c>
      <c r="G357" s="1407">
        <f>VLOOKUP($B357,[4]BOLETIM_SEL!$A:$H,7,0)</f>
        <v>181.09</v>
      </c>
      <c r="H357" s="1613">
        <f>Bacia_Amortecimento!J68</f>
        <v>0</v>
      </c>
      <c r="I357" s="877">
        <f t="shared" si="113"/>
        <v>218.57</v>
      </c>
      <c r="J357" s="1612">
        <f t="shared" si="114"/>
        <v>0</v>
      </c>
      <c r="K357" s="2078">
        <f t="shared" ca="1" si="110"/>
        <v>0</v>
      </c>
      <c r="L357" s="1574" t="e">
        <f t="shared" si="115"/>
        <v>#DIV/0!</v>
      </c>
      <c r="M357" s="1445"/>
      <c r="N357" s="833"/>
      <c r="O357" s="833"/>
      <c r="Q357" s="833"/>
      <c r="R357" s="833"/>
      <c r="S357" s="833"/>
      <c r="T357" s="833"/>
      <c r="U357" s="833"/>
      <c r="V357" s="833"/>
      <c r="W357" s="833"/>
      <c r="X357" s="833"/>
    </row>
    <row r="358" spans="1:24" s="813" customFormat="1" ht="39.950000000000003" hidden="1" customHeight="1" x14ac:dyDescent="0.15">
      <c r="A358" s="2081">
        <f t="shared" ca="1" si="112"/>
        <v>5</v>
      </c>
      <c r="B358" s="834">
        <v>92415</v>
      </c>
      <c r="C358" s="2" t="str">
        <f>VLOOKUP($B358,[4]BOLETIM_SEL!$A:$H,2,0)</f>
        <v>SINAPI</v>
      </c>
      <c r="D358" s="315" t="str">
        <f>VLOOKUP($B358,[4]BOLETIM_SEL!$A:$H,4,0)</f>
        <v>Montagem e desmontagem de fôrma de pilares retangulares e estruturas similares, pé-direito simples, em chapa de madeira compensada resinada, 2 utilizações. AF_09/2020</v>
      </c>
      <c r="E358" s="2"/>
      <c r="F358" s="2" t="str">
        <f>VLOOKUP($B358,[4]BOLETIM_SEL!$A:$H,6,0)</f>
        <v>M2</v>
      </c>
      <c r="G358" s="1407">
        <f>VLOOKUP($B358,[4]BOLETIM_SEL!$A:$H,7,0)</f>
        <v>135.49</v>
      </c>
      <c r="H358" s="1613">
        <f>Bacia_Amortecimento!J51</f>
        <v>0</v>
      </c>
      <c r="I358" s="877">
        <f t="shared" si="108"/>
        <v>163.53</v>
      </c>
      <c r="J358" s="1612">
        <f t="shared" si="109"/>
        <v>0</v>
      </c>
      <c r="K358" s="2078">
        <f t="shared" ca="1" si="110"/>
        <v>0</v>
      </c>
      <c r="L358" s="1574" t="e">
        <f t="shared" si="111"/>
        <v>#DIV/0!</v>
      </c>
      <c r="M358" s="1445"/>
      <c r="N358" s="833"/>
      <c r="O358" s="833"/>
      <c r="Q358" s="833"/>
      <c r="R358" s="833"/>
      <c r="S358" s="833"/>
      <c r="T358" s="833"/>
      <c r="U358" s="833"/>
      <c r="V358" s="833"/>
      <c r="W358" s="833"/>
      <c r="X358" s="833"/>
    </row>
    <row r="359" spans="1:24" s="813" customFormat="1" ht="39.950000000000003" hidden="1" customHeight="1" x14ac:dyDescent="0.15">
      <c r="A359" s="2081">
        <f t="shared" ca="1" si="112"/>
        <v>5</v>
      </c>
      <c r="B359" s="834">
        <v>92423</v>
      </c>
      <c r="C359" s="2" t="str">
        <f>VLOOKUP($B359,[4]BOLETIM_SEL!$A:$H,2,0)</f>
        <v>SINAPI</v>
      </c>
      <c r="D359" s="315" t="str">
        <f>VLOOKUP($B359,[4]BOLETIM_SEL!$A:$H,4,0)</f>
        <v>Montagem e desmontagem de fôrma de pilares retangulares e estruturas similares, pé-direito simples, em chapa de madeira compensada resinada, 6 utilizações. AF_09/2020</v>
      </c>
      <c r="E359" s="2"/>
      <c r="F359" s="2" t="str">
        <f>VLOOKUP($B359,[4]BOLETIM_SEL!$A:$H,6,0)</f>
        <v>M2</v>
      </c>
      <c r="G359" s="1407">
        <f>VLOOKUP($B359,[4]BOLETIM_SEL!$A:$H,7,0)</f>
        <v>68.790000000000006</v>
      </c>
      <c r="H359" s="1613">
        <f>Bacia_Amortecimento!J52</f>
        <v>0</v>
      </c>
      <c r="I359" s="877">
        <f t="shared" si="108"/>
        <v>83.02</v>
      </c>
      <c r="J359" s="1612">
        <f t="shared" si="109"/>
        <v>0</v>
      </c>
      <c r="K359" s="2078">
        <f t="shared" ca="1" si="110"/>
        <v>0</v>
      </c>
      <c r="L359" s="1574" t="e">
        <f t="shared" si="111"/>
        <v>#DIV/0!</v>
      </c>
      <c r="M359" s="1445"/>
      <c r="N359" s="833"/>
      <c r="O359" s="833"/>
      <c r="Q359" s="833"/>
      <c r="R359" s="833"/>
      <c r="S359" s="833"/>
      <c r="T359" s="833"/>
      <c r="U359" s="833"/>
      <c r="V359" s="833"/>
      <c r="W359" s="833"/>
      <c r="X359" s="833"/>
    </row>
    <row r="360" spans="1:24" s="813" customFormat="1" ht="39.950000000000003" hidden="1" customHeight="1" x14ac:dyDescent="0.15">
      <c r="A360" s="2081">
        <f t="shared" ca="1" si="112"/>
        <v>5</v>
      </c>
      <c r="B360" s="834">
        <v>92413</v>
      </c>
      <c r="C360" s="2" t="str">
        <f>VLOOKUP($B360,[4]BOLETIM_SEL!$A:$H,2,0)</f>
        <v>SINAPI</v>
      </c>
      <c r="D360" s="315" t="str">
        <f>VLOOKUP($B360,[4]BOLETIM_SEL!$A:$H,4,0)</f>
        <v>Montagem e desmontagem de fôrma de pilares retangulares e estruturas similares, pé-direito simples, em madeira serrada, 4 utilizações. AF_09/2020</v>
      </c>
      <c r="E360" s="2"/>
      <c r="F360" s="2" t="str">
        <f>VLOOKUP($B360,[4]BOLETIM_SEL!$A:$H,6,0)</f>
        <v>M2</v>
      </c>
      <c r="G360" s="1407">
        <f>VLOOKUP($B360,[4]BOLETIM_SEL!$A:$H,7,0)</f>
        <v>122.05</v>
      </c>
      <c r="H360" s="1613">
        <f>Bacia_Amortecimento!J53</f>
        <v>0</v>
      </c>
      <c r="I360" s="877">
        <f t="shared" si="108"/>
        <v>147.31</v>
      </c>
      <c r="J360" s="1612">
        <f t="shared" si="109"/>
        <v>0</v>
      </c>
      <c r="K360" s="2078">
        <f t="shared" ca="1" si="110"/>
        <v>0</v>
      </c>
      <c r="L360" s="1574" t="e">
        <f t="shared" si="111"/>
        <v>#DIV/0!</v>
      </c>
      <c r="M360" s="1445"/>
      <c r="N360" s="833"/>
      <c r="O360" s="833"/>
      <c r="Q360" s="833"/>
      <c r="R360" s="833"/>
      <c r="S360" s="833"/>
      <c r="T360" s="833"/>
      <c r="U360" s="833"/>
      <c r="V360" s="833"/>
      <c r="W360" s="833"/>
      <c r="X360" s="833"/>
    </row>
    <row r="361" spans="1:24" s="813" customFormat="1" ht="39.950000000000003" hidden="1" customHeight="1" x14ac:dyDescent="0.15">
      <c r="A361" s="2081">
        <f t="shared" ca="1" si="112"/>
        <v>5</v>
      </c>
      <c r="B361" s="834">
        <v>101792</v>
      </c>
      <c r="C361" s="2" t="str">
        <f>VLOOKUP($B361,[4]BOLETIM_SEL!$A:$H,2,0)</f>
        <v>SINAPI</v>
      </c>
      <c r="D361" s="315" t="str">
        <f>VLOOKUP($B361,[4]BOLETIM_SEL!$A:$H,4,0)</f>
        <v>Escoramento de fôrmas de laje em madeira não aparelhada, pé-direito simples, incluso travamento, 4 utilizações. AF_09/2020</v>
      </c>
      <c r="E361" s="2"/>
      <c r="F361" s="2" t="str">
        <f>VLOOKUP($B361,[4]BOLETIM_SEL!$A:$H,6,0)</f>
        <v>M3</v>
      </c>
      <c r="G361" s="1407">
        <f>VLOOKUP($B361,[4]BOLETIM_SEL!$A:$H,7,0)</f>
        <v>15.78</v>
      </c>
      <c r="H361" s="1613">
        <f>Bacia_Amortecimento!J54</f>
        <v>0</v>
      </c>
      <c r="I361" s="877">
        <f t="shared" ref="I361" si="119">TRUNC(G361*(1+$J$5),2)</f>
        <v>19.04</v>
      </c>
      <c r="J361" s="1612">
        <f t="shared" ref="J361" si="120">TRUNC(H361*I361,2)</f>
        <v>0</v>
      </c>
      <c r="K361" s="2078">
        <f t="shared" ca="1" si="110"/>
        <v>0</v>
      </c>
      <c r="L361" s="1574" t="e">
        <f t="shared" ref="L361" si="121">J361/$J$314</f>
        <v>#DIV/0!</v>
      </c>
      <c r="M361" s="1445"/>
      <c r="N361" s="833"/>
      <c r="O361" s="833"/>
      <c r="Q361" s="833"/>
      <c r="R361" s="833"/>
      <c r="S361" s="833"/>
      <c r="T361" s="833"/>
      <c r="U361" s="833"/>
      <c r="V361" s="833"/>
      <c r="W361" s="833"/>
      <c r="X361" s="833"/>
    </row>
    <row r="362" spans="1:24" s="813" customFormat="1" ht="30" hidden="1" customHeight="1" x14ac:dyDescent="0.15">
      <c r="A362" s="2081">
        <f t="shared" ca="1" si="112"/>
        <v>5</v>
      </c>
      <c r="B362" s="834">
        <v>96543</v>
      </c>
      <c r="C362" s="2" t="str">
        <f>VLOOKUP($B362,[4]BOLETIM_SEL!$A:$H,2,0)</f>
        <v>SINAPI</v>
      </c>
      <c r="D362" s="315" t="str">
        <f>VLOOKUP($B362,[4]BOLETIM_SEL!$A:$H,4,0)</f>
        <v>Armação de bloco, viga baldrame e sapata utilizando aço CA-60 de 5 mm - montagem. AF_06/2017</v>
      </c>
      <c r="E362" s="2"/>
      <c r="F362" s="2" t="str">
        <f>VLOOKUP($B362,[4]BOLETIM_SEL!$A:$H,6,0)</f>
        <v>KG</v>
      </c>
      <c r="G362" s="1407">
        <f>VLOOKUP($B362,[4]BOLETIM_SEL!$A:$H,7,0)</f>
        <v>17.829999999999998</v>
      </c>
      <c r="H362" s="1613">
        <f>Bacia_Amortecimento!J55</f>
        <v>0</v>
      </c>
      <c r="I362" s="877">
        <f t="shared" si="108"/>
        <v>21.52</v>
      </c>
      <c r="J362" s="1612">
        <f t="shared" si="109"/>
        <v>0</v>
      </c>
      <c r="K362" s="2078">
        <f t="shared" ca="1" si="110"/>
        <v>0</v>
      </c>
      <c r="L362" s="1574" t="e">
        <f t="shared" si="111"/>
        <v>#DIV/0!</v>
      </c>
      <c r="M362" s="1445"/>
      <c r="N362" s="833"/>
      <c r="O362" s="833"/>
      <c r="Q362" s="833"/>
      <c r="R362" s="833"/>
      <c r="S362" s="833"/>
      <c r="T362" s="833"/>
      <c r="U362" s="833"/>
      <c r="V362" s="833"/>
      <c r="W362" s="833"/>
      <c r="X362" s="833"/>
    </row>
    <row r="363" spans="1:24" s="813" customFormat="1" ht="30" hidden="1" customHeight="1" x14ac:dyDescent="0.15">
      <c r="A363" s="2081">
        <f t="shared" ca="1" si="112"/>
        <v>5</v>
      </c>
      <c r="B363" s="834">
        <v>100342</v>
      </c>
      <c r="C363" s="2" t="str">
        <f>VLOOKUP($B363,[4]BOLETIM_SEL!$A:$H,2,0)</f>
        <v>SINAPI</v>
      </c>
      <c r="D363" s="315" t="str">
        <f>VLOOKUP($B363,[4]BOLETIM_SEL!$A:$H,4,0)</f>
        <v>Armação de cortina de contenção em concreto armado, com aço CA-50 de 6,3 mm - montagem. AF_07/2019</v>
      </c>
      <c r="E363" s="2"/>
      <c r="F363" s="2" t="str">
        <f>VLOOKUP($B363,[4]BOLETIM_SEL!$A:$H,6,0)</f>
        <v>KG</v>
      </c>
      <c r="G363" s="1407">
        <f>VLOOKUP($B363,[4]BOLETIM_SEL!$A:$H,7,0)</f>
        <v>15.07</v>
      </c>
      <c r="H363" s="1613">
        <f>Bacia_Amortecimento!J56</f>
        <v>0</v>
      </c>
      <c r="I363" s="877">
        <f t="shared" si="108"/>
        <v>18.18</v>
      </c>
      <c r="J363" s="1612">
        <f t="shared" si="109"/>
        <v>0</v>
      </c>
      <c r="K363" s="2078">
        <f t="shared" ca="1" si="110"/>
        <v>0</v>
      </c>
      <c r="L363" s="1574" t="e">
        <f t="shared" si="111"/>
        <v>#DIV/0!</v>
      </c>
      <c r="M363" s="1445"/>
      <c r="N363" s="833"/>
      <c r="O363" s="833"/>
      <c r="Q363" s="833"/>
      <c r="R363" s="833"/>
      <c r="S363" s="833"/>
      <c r="T363" s="833"/>
      <c r="U363" s="833"/>
      <c r="V363" s="833"/>
      <c r="W363" s="833"/>
      <c r="X363" s="833"/>
    </row>
    <row r="364" spans="1:24" s="813" customFormat="1" ht="30" hidden="1" customHeight="1" x14ac:dyDescent="0.15">
      <c r="A364" s="2081">
        <f t="shared" ca="1" si="112"/>
        <v>5</v>
      </c>
      <c r="B364" s="834">
        <v>100343</v>
      </c>
      <c r="C364" s="2" t="str">
        <f>VLOOKUP($B364,[4]BOLETIM_SEL!$A:$H,2,0)</f>
        <v>SINAPI</v>
      </c>
      <c r="D364" s="315" t="str">
        <f>VLOOKUP($B364,[4]BOLETIM_SEL!$A:$H,4,0)</f>
        <v>Armação de cortina de contenção em concreto armado, com aço CA-50 de 8 mm - montagem. AF_07/2019</v>
      </c>
      <c r="E364" s="2"/>
      <c r="F364" s="2" t="str">
        <f>VLOOKUP($B364,[4]BOLETIM_SEL!$A:$H,6,0)</f>
        <v>KG</v>
      </c>
      <c r="G364" s="1407">
        <f>VLOOKUP($B364,[4]BOLETIM_SEL!$A:$H,7,0)</f>
        <v>14.36</v>
      </c>
      <c r="H364" s="1613">
        <f>Bacia_Amortecimento!J57</f>
        <v>0</v>
      </c>
      <c r="I364" s="877">
        <f t="shared" si="108"/>
        <v>17.329999999999998</v>
      </c>
      <c r="J364" s="1612">
        <f t="shared" si="109"/>
        <v>0</v>
      </c>
      <c r="K364" s="2078">
        <f t="shared" ca="1" si="110"/>
        <v>0</v>
      </c>
      <c r="L364" s="1574" t="e">
        <f t="shared" si="111"/>
        <v>#DIV/0!</v>
      </c>
      <c r="M364" s="1445"/>
      <c r="N364" s="833"/>
      <c r="O364" s="833"/>
      <c r="Q364" s="833"/>
      <c r="R364" s="833"/>
      <c r="S364" s="833"/>
      <c r="T364" s="833"/>
      <c r="U364" s="833"/>
      <c r="V364" s="833"/>
      <c r="W364" s="833"/>
      <c r="X364" s="833"/>
    </row>
    <row r="365" spans="1:24" s="813" customFormat="1" ht="30" hidden="1" customHeight="1" x14ac:dyDescent="0.15">
      <c r="A365" s="2081">
        <f t="shared" ca="1" si="112"/>
        <v>5</v>
      </c>
      <c r="B365" s="834">
        <v>100344</v>
      </c>
      <c r="C365" s="2" t="str">
        <f>VLOOKUP($B365,[4]BOLETIM_SEL!$A:$H,2,0)</f>
        <v>SINAPI</v>
      </c>
      <c r="D365" s="315" t="str">
        <f>VLOOKUP($B365,[4]BOLETIM_SEL!$A:$H,4,0)</f>
        <v>Armação de cortina de contenção em concreto armado, com aço CA-50 de 10 mm - montagem. AF_07/2019</v>
      </c>
      <c r="E365" s="2"/>
      <c r="F365" s="2" t="str">
        <f>VLOOKUP($B365,[4]BOLETIM_SEL!$A:$H,6,0)</f>
        <v>KG</v>
      </c>
      <c r="G365" s="1407">
        <f>VLOOKUP($B365,[4]BOLETIM_SEL!$A:$H,7,0)</f>
        <v>12.95</v>
      </c>
      <c r="H365" s="1613">
        <f>Bacia_Amortecimento!J58</f>
        <v>0</v>
      </c>
      <c r="I365" s="877">
        <f t="shared" si="108"/>
        <v>15.63</v>
      </c>
      <c r="J365" s="1612">
        <f t="shared" si="109"/>
        <v>0</v>
      </c>
      <c r="K365" s="2078">
        <f t="shared" ca="1" si="110"/>
        <v>0</v>
      </c>
      <c r="L365" s="1574" t="e">
        <f t="shared" si="111"/>
        <v>#DIV/0!</v>
      </c>
      <c r="M365" s="1445"/>
      <c r="N365" s="833"/>
      <c r="O365" s="833"/>
      <c r="Q365" s="833"/>
      <c r="R365" s="833"/>
      <c r="S365" s="833"/>
      <c r="T365" s="833"/>
      <c r="U365" s="833"/>
      <c r="V365" s="833"/>
      <c r="W365" s="833"/>
      <c r="X365" s="833"/>
    </row>
    <row r="366" spans="1:24" s="813" customFormat="1" ht="30" hidden="1" customHeight="1" x14ac:dyDescent="0.15">
      <c r="A366" s="2081">
        <f t="shared" ca="1" si="112"/>
        <v>5</v>
      </c>
      <c r="B366" s="834">
        <v>100345</v>
      </c>
      <c r="C366" s="2" t="str">
        <f>VLOOKUP($B366,[4]BOLETIM_SEL!$A:$H,2,0)</f>
        <v>SINAPI</v>
      </c>
      <c r="D366" s="315" t="str">
        <f>VLOOKUP($B366,[4]BOLETIM_SEL!$A:$H,4,0)</f>
        <v>Armação de cortina de contenção em concreto armado, com aço CA-50 de 12,5 mm - montagem. AF_07/2019</v>
      </c>
      <c r="E366" s="2"/>
      <c r="F366" s="2" t="str">
        <f>VLOOKUP($B366,[4]BOLETIM_SEL!$A:$H,6,0)</f>
        <v>KG</v>
      </c>
      <c r="G366" s="1407">
        <f>VLOOKUP($B366,[4]BOLETIM_SEL!$A:$H,7,0)</f>
        <v>10.99</v>
      </c>
      <c r="H366" s="1613">
        <f>Bacia_Amortecimento!J59</f>
        <v>0</v>
      </c>
      <c r="I366" s="877">
        <f t="shared" si="108"/>
        <v>13.26</v>
      </c>
      <c r="J366" s="1612">
        <f t="shared" si="109"/>
        <v>0</v>
      </c>
      <c r="K366" s="2078">
        <f t="shared" ca="1" si="110"/>
        <v>0</v>
      </c>
      <c r="L366" s="1574" t="e">
        <f t="shared" si="111"/>
        <v>#DIV/0!</v>
      </c>
      <c r="M366" s="1445"/>
      <c r="N366" s="833"/>
      <c r="O366" s="833"/>
      <c r="Q366" s="833"/>
      <c r="R366" s="833"/>
      <c r="S366" s="833"/>
      <c r="T366" s="833"/>
      <c r="U366" s="833"/>
      <c r="V366" s="833"/>
      <c r="W366" s="833"/>
      <c r="X366" s="833"/>
    </row>
    <row r="367" spans="1:24" s="813" customFormat="1" ht="39.950000000000003" hidden="1" customHeight="1" x14ac:dyDescent="0.15">
      <c r="A367" s="2081">
        <f t="shared" ca="1" si="112"/>
        <v>5</v>
      </c>
      <c r="B367" s="834">
        <v>92922</v>
      </c>
      <c r="C367" s="2" t="str">
        <f>VLOOKUP($B367,[4]BOLETIM_SEL!$A:$H,2,0)</f>
        <v>SINAPI</v>
      </c>
      <c r="D367" s="315" t="str">
        <f>VLOOKUP($B367,[4]BOLETIM_SEL!$A:$H,4,0)</f>
        <v>Armação de estruturas de concreto armado, exceto vigas, pilares, lajes e fundações, utilizando aço CA-50 de 16,0 mm - montagem. AF_12/2015</v>
      </c>
      <c r="E367" s="2"/>
      <c r="F367" s="2" t="str">
        <f>VLOOKUP($B367,[4]BOLETIM_SEL!$A:$H,6,0)</f>
        <v>KG</v>
      </c>
      <c r="G367" s="1407">
        <f>VLOOKUP($B367,[4]BOLETIM_SEL!$A:$H,7,0)</f>
        <v>10.63</v>
      </c>
      <c r="H367" s="1613">
        <f>Bacia_Amortecimento!J60</f>
        <v>0</v>
      </c>
      <c r="I367" s="877">
        <f t="shared" ref="I367:I369" si="122">TRUNC(G367*(1+$J$5),2)</f>
        <v>12.83</v>
      </c>
      <c r="J367" s="1612">
        <f t="shared" ref="J367:J369" si="123">TRUNC(H367*I367,2)</f>
        <v>0</v>
      </c>
      <c r="K367" s="2078">
        <f t="shared" ca="1" si="110"/>
        <v>0</v>
      </c>
      <c r="L367" s="1574" t="e">
        <f t="shared" ref="L367:L369" si="124">J367/$J$314</f>
        <v>#DIV/0!</v>
      </c>
      <c r="M367" s="1445"/>
      <c r="N367" s="833"/>
      <c r="O367" s="833"/>
      <c r="Q367" s="833"/>
      <c r="R367" s="833"/>
      <c r="S367" s="833"/>
      <c r="T367" s="833"/>
      <c r="U367" s="833"/>
      <c r="V367" s="833"/>
      <c r="W367" s="833"/>
      <c r="X367" s="833"/>
    </row>
    <row r="368" spans="1:24" s="813" customFormat="1" ht="39.950000000000003" hidden="1" customHeight="1" x14ac:dyDescent="0.15">
      <c r="A368" s="2081">
        <f t="shared" ca="1" si="112"/>
        <v>5</v>
      </c>
      <c r="B368" s="834">
        <v>92923</v>
      </c>
      <c r="C368" s="2" t="str">
        <f>VLOOKUP($B368,[4]BOLETIM_SEL!$A:$H,2,0)</f>
        <v>SINAPI</v>
      </c>
      <c r="D368" s="315" t="str">
        <f>VLOOKUP($B368,[4]BOLETIM_SEL!$A:$H,4,0)</f>
        <v>Armação de estruturas de concreto armado, exceto vigas, pilares, lajes e fundações, utilizando aço CA-50 de 20,0 mm - montagem. AF_12/2015</v>
      </c>
      <c r="E368" s="2"/>
      <c r="F368" s="2" t="str">
        <f>VLOOKUP($B368,[4]BOLETIM_SEL!$A:$H,6,0)</f>
        <v>KG</v>
      </c>
      <c r="G368" s="1407">
        <f>VLOOKUP($B368,[4]BOLETIM_SEL!$A:$H,7,0)</f>
        <v>12.06</v>
      </c>
      <c r="H368" s="1613">
        <f>Bacia_Amortecimento!J61</f>
        <v>0</v>
      </c>
      <c r="I368" s="877">
        <f t="shared" si="122"/>
        <v>14.55</v>
      </c>
      <c r="J368" s="1612">
        <f t="shared" si="123"/>
        <v>0</v>
      </c>
      <c r="K368" s="2078">
        <f t="shared" ca="1" si="110"/>
        <v>0</v>
      </c>
      <c r="L368" s="1574" t="e">
        <f t="shared" si="124"/>
        <v>#DIV/0!</v>
      </c>
      <c r="M368" s="1445"/>
      <c r="N368" s="833"/>
      <c r="O368" s="833"/>
      <c r="Q368" s="833"/>
      <c r="R368" s="833"/>
      <c r="S368" s="833"/>
      <c r="T368" s="833"/>
      <c r="U368" s="833"/>
      <c r="V368" s="833"/>
      <c r="W368" s="833"/>
      <c r="X368" s="833"/>
    </row>
    <row r="369" spans="1:24" s="813" customFormat="1" ht="39.950000000000003" hidden="1" customHeight="1" x14ac:dyDescent="0.15">
      <c r="A369" s="2081">
        <f t="shared" ca="1" si="112"/>
        <v>5</v>
      </c>
      <c r="B369" s="834">
        <v>92924</v>
      </c>
      <c r="C369" s="2" t="str">
        <f>VLOOKUP($B369,[4]BOLETIM_SEL!$A:$H,2,0)</f>
        <v>SINAPI</v>
      </c>
      <c r="D369" s="315" t="str">
        <f>VLOOKUP($B369,[4]BOLETIM_SEL!$A:$H,4,0)</f>
        <v>Armação de estruturas de concreto armado, exceto vigas, pilares, lajes e fundações, utilizando aço CA-50 de 25,0 mm - montagem. AF_12/2015</v>
      </c>
      <c r="E369" s="2"/>
      <c r="F369" s="2" t="str">
        <f>VLOOKUP($B369,[4]BOLETIM_SEL!$A:$H,6,0)</f>
        <v>KG</v>
      </c>
      <c r="G369" s="1407">
        <f>VLOOKUP($B369,[4]BOLETIM_SEL!$A:$H,7,0)</f>
        <v>11.88</v>
      </c>
      <c r="H369" s="1613">
        <f>Bacia_Amortecimento!J62</f>
        <v>0</v>
      </c>
      <c r="I369" s="877">
        <f t="shared" si="122"/>
        <v>14.33</v>
      </c>
      <c r="J369" s="1612">
        <f t="shared" si="123"/>
        <v>0</v>
      </c>
      <c r="K369" s="2078">
        <f t="shared" ca="1" si="110"/>
        <v>0</v>
      </c>
      <c r="L369" s="1574" t="e">
        <f t="shared" si="124"/>
        <v>#DIV/0!</v>
      </c>
      <c r="M369" s="1445"/>
      <c r="N369" s="833"/>
      <c r="O369" s="833"/>
      <c r="Q369" s="833"/>
      <c r="R369" s="833"/>
      <c r="S369" s="833"/>
      <c r="T369" s="833"/>
      <c r="U369" s="833"/>
      <c r="V369" s="833"/>
      <c r="W369" s="833"/>
      <c r="X369" s="833"/>
    </row>
    <row r="370" spans="1:24" s="813" customFormat="1" ht="39.950000000000003" hidden="1" customHeight="1" x14ac:dyDescent="0.15">
      <c r="A370" s="2081">
        <f t="shared" ca="1" si="112"/>
        <v>5</v>
      </c>
      <c r="B370" s="834">
        <v>91593</v>
      </c>
      <c r="C370" s="2" t="str">
        <f>VLOOKUP($B370,[4]BOLETIM_SEL!$A:$H,2,0)</f>
        <v>SINAPI</v>
      </c>
      <c r="D370" s="315" t="str">
        <f>VLOOKUP($B370,[4]BOLETIM_SEL!$A:$H,4,0)</f>
        <v>Armação do sistema de paredes de concreto, executada em paredes de edificações de múltiplos pavimentos, tela Q-138. AF_06/2019</v>
      </c>
      <c r="E370" s="2"/>
      <c r="F370" s="2" t="str">
        <f>VLOOKUP($B370,[4]BOLETIM_SEL!$A:$H,6,0)</f>
        <v>KG</v>
      </c>
      <c r="G370" s="1407">
        <f>VLOOKUP($B370,[4]BOLETIM_SEL!$A:$H,7,0)</f>
        <v>10.81</v>
      </c>
      <c r="H370" s="1613">
        <f>Bacia_Amortecimento!J63</f>
        <v>0</v>
      </c>
      <c r="I370" s="877">
        <f t="shared" ref="I370" si="125">TRUNC(G370*(1+$J$5),2)</f>
        <v>13.04</v>
      </c>
      <c r="J370" s="1612">
        <f t="shared" ref="J370" si="126">TRUNC(H370*I370,2)</f>
        <v>0</v>
      </c>
      <c r="K370" s="2078">
        <f t="shared" ca="1" si="110"/>
        <v>0</v>
      </c>
      <c r="L370" s="1574" t="e">
        <f t="shared" ref="L370" si="127">J370/$J$314</f>
        <v>#DIV/0!</v>
      </c>
      <c r="M370" s="1445"/>
      <c r="N370" s="833"/>
      <c r="O370" s="833"/>
      <c r="Q370" s="833"/>
      <c r="R370" s="833"/>
      <c r="S370" s="833"/>
      <c r="T370" s="833"/>
      <c r="U370" s="833"/>
      <c r="V370" s="833"/>
      <c r="W370" s="833"/>
      <c r="X370" s="833"/>
    </row>
    <row r="371" spans="1:24" s="813" customFormat="1" ht="39.950000000000003" hidden="1" customHeight="1" x14ac:dyDescent="0.15">
      <c r="A371" s="2081">
        <f t="shared" ca="1" si="112"/>
        <v>5</v>
      </c>
      <c r="B371" s="834">
        <v>91594</v>
      </c>
      <c r="C371" s="2" t="str">
        <f>VLOOKUP($B371,[4]BOLETIM_SEL!$A:$H,2,0)</f>
        <v>SINAPI</v>
      </c>
      <c r="D371" s="315" t="str">
        <f>VLOOKUP($B371,[4]BOLETIM_SEL!$A:$H,4,0)</f>
        <v>Armação em tela soldada nervurada Q-92 (15x15cm) #4,2x4,2mm (1,48kg/m²), aço CA-60, para estrutura, fornecimento e aplicação</v>
      </c>
      <c r="E371" s="2"/>
      <c r="F371" s="2" t="str">
        <f>VLOOKUP($B371,[4]BOLETIM_SEL!$A:$H,6,0)</f>
        <v>KG</v>
      </c>
      <c r="G371" s="1407">
        <f>VLOOKUP($B371,[4]BOLETIM_SEL!$A:$H,7,0)</f>
        <v>11.2</v>
      </c>
      <c r="H371" s="1613">
        <f>Bacia_Amortecimento!J64</f>
        <v>0</v>
      </c>
      <c r="I371" s="877">
        <f t="shared" si="108"/>
        <v>13.51</v>
      </c>
      <c r="J371" s="1612">
        <f t="shared" si="109"/>
        <v>0</v>
      </c>
      <c r="K371" s="2078">
        <f t="shared" ca="1" si="110"/>
        <v>0</v>
      </c>
      <c r="L371" s="1574" t="e">
        <f t="shared" si="111"/>
        <v>#DIV/0!</v>
      </c>
      <c r="M371" s="1445"/>
      <c r="N371" s="833"/>
      <c r="O371" s="833"/>
      <c r="Q371" s="833"/>
      <c r="R371" s="833"/>
      <c r="S371" s="833"/>
      <c r="T371" s="833"/>
      <c r="U371" s="833"/>
      <c r="V371" s="833"/>
      <c r="W371" s="833"/>
      <c r="X371" s="833"/>
    </row>
    <row r="372" spans="1:24" s="813" customFormat="1" ht="50.1" hidden="1" customHeight="1" x14ac:dyDescent="0.15">
      <c r="A372" s="2081">
        <f t="shared" ca="1" si="112"/>
        <v>5</v>
      </c>
      <c r="B372" s="834" t="s">
        <v>2113</v>
      </c>
      <c r="C372" s="2" t="str">
        <f>VLOOKUP($B372,[4]BOLETIM_SEL!$A:$H,2,0)</f>
        <v>COMPOSIÇÃO</v>
      </c>
      <c r="D372" s="315" t="str">
        <f>VLOOKUP($B372,[4]BOLETIM_SEL!$A:$H,4,0)</f>
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</c>
      <c r="E372" s="2"/>
      <c r="F372" s="2" t="str">
        <f>VLOOKUP($B372,[4]BOLETIM_SEL!$A:$H,6,0)</f>
        <v>M3</v>
      </c>
      <c r="G372" s="1407">
        <f>VLOOKUP($B372,[4]BOLETIM_SEL!$A:$H,7,0)</f>
        <v>722.26</v>
      </c>
      <c r="H372" s="1613">
        <f>Bacia_Amortecimento!J69</f>
        <v>0</v>
      </c>
      <c r="I372" s="877">
        <f t="shared" si="108"/>
        <v>871.76</v>
      </c>
      <c r="J372" s="1612">
        <f t="shared" si="109"/>
        <v>0</v>
      </c>
      <c r="K372" s="2078">
        <f t="shared" ca="1" si="110"/>
        <v>0</v>
      </c>
      <c r="L372" s="1574" t="e">
        <f t="shared" si="111"/>
        <v>#DIV/0!</v>
      </c>
      <c r="M372" s="1445"/>
      <c r="N372" s="833"/>
      <c r="O372" s="833"/>
      <c r="Q372" s="833"/>
      <c r="R372" s="833"/>
      <c r="S372" s="833"/>
      <c r="T372" s="833"/>
      <c r="U372" s="833"/>
      <c r="V372" s="833"/>
      <c r="W372" s="833"/>
      <c r="X372" s="833"/>
    </row>
    <row r="373" spans="1:24" s="813" customFormat="1" ht="50.1" hidden="1" customHeight="1" x14ac:dyDescent="0.15">
      <c r="A373" s="2081">
        <f t="shared" ca="1" si="112"/>
        <v>5</v>
      </c>
      <c r="B373" s="834" t="s">
        <v>2114</v>
      </c>
      <c r="C373" s="2" t="str">
        <f>VLOOKUP($B373,[4]BOLETIM_SEL!$A:$H,2,0)</f>
        <v>COMPOSIÇÃO</v>
      </c>
      <c r="D373" s="315" t="str">
        <f>VLOOKUP($B373,[4]BOLETIM_SEL!$A:$H,4,0)</f>
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</c>
      <c r="E373" s="2"/>
      <c r="F373" s="2" t="str">
        <f>VLOOKUP($B373,[4]BOLETIM_SEL!$A:$H,6,0)</f>
        <v>M3</v>
      </c>
      <c r="G373" s="1407">
        <f>VLOOKUP($B373,[4]BOLETIM_SEL!$A:$H,7,0)</f>
        <v>846.72</v>
      </c>
      <c r="H373" s="1613">
        <f>Bacia_Amortecimento!J70</f>
        <v>0</v>
      </c>
      <c r="I373" s="877">
        <f t="shared" si="108"/>
        <v>1021.99</v>
      </c>
      <c r="J373" s="1612">
        <f t="shared" si="109"/>
        <v>0</v>
      </c>
      <c r="K373" s="2078">
        <f t="shared" ca="1" si="110"/>
        <v>0</v>
      </c>
      <c r="L373" s="1574" t="e">
        <f t="shared" si="111"/>
        <v>#DIV/0!</v>
      </c>
      <c r="M373" s="1445"/>
      <c r="N373" s="833"/>
      <c r="O373" s="833"/>
      <c r="Q373" s="833"/>
      <c r="R373" s="833"/>
      <c r="S373" s="833"/>
      <c r="T373" s="833"/>
      <c r="U373" s="833"/>
      <c r="V373" s="833"/>
      <c r="W373" s="833"/>
      <c r="X373" s="833"/>
    </row>
    <row r="374" spans="1:24" s="813" customFormat="1" ht="50.1" hidden="1" customHeight="1" x14ac:dyDescent="0.15">
      <c r="A374" s="2081">
        <f t="shared" ca="1" si="112"/>
        <v>5</v>
      </c>
      <c r="B374" s="834" t="s">
        <v>2115</v>
      </c>
      <c r="C374" s="2" t="str">
        <f>VLOOKUP($B374,[4]BOLETIM_SEL!$A:$H,2,0)</f>
        <v>COMPOSIÇÃO</v>
      </c>
      <c r="D374" s="315" t="str">
        <f>VLOOKUP($B374,[4]BOLETIM_SEL!$A:$H,4,0)</f>
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</c>
      <c r="E374" s="2"/>
      <c r="F374" s="2" t="str">
        <f>VLOOKUP($B374,[4]BOLETIM_SEL!$A:$H,6,0)</f>
        <v>M3</v>
      </c>
      <c r="G374" s="1407">
        <f>VLOOKUP($B374,[4]BOLETIM_SEL!$A:$H,7,0)</f>
        <v>916.53</v>
      </c>
      <c r="H374" s="1613">
        <f>Bacia_Amortecimento!J71</f>
        <v>0</v>
      </c>
      <c r="I374" s="877">
        <f t="shared" si="108"/>
        <v>1106.25</v>
      </c>
      <c r="J374" s="1612">
        <f t="shared" si="109"/>
        <v>0</v>
      </c>
      <c r="K374" s="2078">
        <f t="shared" ca="1" si="110"/>
        <v>0</v>
      </c>
      <c r="L374" s="1574" t="e">
        <f t="shared" si="111"/>
        <v>#DIV/0!</v>
      </c>
      <c r="M374" s="1445"/>
      <c r="N374" s="833"/>
      <c r="O374" s="833"/>
      <c r="Q374" s="833"/>
      <c r="R374" s="833"/>
      <c r="S374" s="833"/>
      <c r="T374" s="833"/>
      <c r="U374" s="833"/>
      <c r="V374" s="833"/>
      <c r="W374" s="833"/>
      <c r="X374" s="833"/>
    </row>
    <row r="375" spans="1:24" s="813" customFormat="1" ht="39.950000000000003" hidden="1" customHeight="1" x14ac:dyDescent="0.15">
      <c r="A375" s="2081">
        <f t="shared" ca="1" si="112"/>
        <v>5</v>
      </c>
      <c r="B375" s="834">
        <v>92749</v>
      </c>
      <c r="C375" s="2" t="str">
        <f>VLOOKUP($B375,[4]BOLETIM_SEL!$A:$H,2,0)</f>
        <v>SINAPI</v>
      </c>
      <c r="D375" s="315" t="str">
        <f>VLOOKUP($B375,[4]BOLETIM_SEL!$A:$H,4,0)</f>
        <v>Muro de gabião, enchimento com pedra de mão tipo rachão, com solo reforçado, para muros com altura menor ou igual a 4 m fornecimento e execução. AF_12/2015</v>
      </c>
      <c r="E375" s="2"/>
      <c r="F375" s="2" t="str">
        <f>VLOOKUP($B375,[4]BOLETIM_SEL!$A:$H,6,0)</f>
        <v>M3</v>
      </c>
      <c r="G375" s="1407">
        <f>VLOOKUP($B375,[4]BOLETIM_SEL!$A:$H,7,0)</f>
        <v>829.82</v>
      </c>
      <c r="H375" s="1613">
        <f>Bacia_Amortecimento!J72</f>
        <v>0</v>
      </c>
      <c r="I375" s="877">
        <f t="shared" si="108"/>
        <v>1001.59</v>
      </c>
      <c r="J375" s="1612">
        <f t="shared" si="109"/>
        <v>0</v>
      </c>
      <c r="K375" s="2078">
        <f t="shared" ca="1" si="110"/>
        <v>0</v>
      </c>
      <c r="L375" s="1574" t="e">
        <f t="shared" si="111"/>
        <v>#DIV/0!</v>
      </c>
      <c r="M375" s="1445"/>
      <c r="N375" s="833"/>
      <c r="O375" s="833"/>
      <c r="Q375" s="833"/>
      <c r="R375" s="833"/>
      <c r="S375" s="833"/>
      <c r="T375" s="833"/>
      <c r="U375" s="833"/>
      <c r="V375" s="833"/>
      <c r="W375" s="833"/>
      <c r="X375" s="833"/>
    </row>
    <row r="376" spans="1:24" s="813" customFormat="1" ht="50.1" hidden="1" customHeight="1" x14ac:dyDescent="0.15">
      <c r="A376" s="2081">
        <f t="shared" ref="A376" ca="1" si="128">IF(H376&gt;0,A375+0.01,A375)</f>
        <v>5</v>
      </c>
      <c r="B376" s="834" t="s">
        <v>2116</v>
      </c>
      <c r="C376" s="2" t="str">
        <f>VLOOKUP($B376,[4]BOLETIM_SEL!$A:$H,2,0)</f>
        <v>COMPOSIÇÃO</v>
      </c>
      <c r="D376" s="315" t="str">
        <f>VLOOKUP($B376,[4]BOLETIM_SEL!$A:$H,4,0)</f>
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</c>
      <c r="E376" s="2"/>
      <c r="F376" s="2" t="str">
        <f>VLOOKUP($B376,[4]BOLETIM_SEL!$A:$H,6,0)</f>
        <v>M3</v>
      </c>
      <c r="G376" s="1407">
        <f>VLOOKUP($B376,[4]BOLETIM_SEL!$A:$H,7,0)</f>
        <v>877.23</v>
      </c>
      <c r="H376" s="1613">
        <f>Bacia_Amortecimento!J73</f>
        <v>0</v>
      </c>
      <c r="I376" s="877">
        <f t="shared" ref="I376" si="129">TRUNC(G376*(1+$J$5),2)</f>
        <v>1058.81</v>
      </c>
      <c r="J376" s="1612">
        <f t="shared" ref="J376" si="130">TRUNC(H376*I376,2)</f>
        <v>0</v>
      </c>
      <c r="K376" s="2078">
        <f t="shared" ca="1" si="110"/>
        <v>0</v>
      </c>
      <c r="L376" s="1574" t="e">
        <f t="shared" ref="L376" si="131">J376/$J$314</f>
        <v>#DIV/0!</v>
      </c>
      <c r="M376" s="1445"/>
      <c r="N376" s="833"/>
      <c r="O376" s="833"/>
      <c r="Q376" s="833"/>
      <c r="R376" s="833"/>
      <c r="S376" s="833"/>
      <c r="T376" s="833"/>
      <c r="U376" s="833"/>
      <c r="V376" s="833"/>
      <c r="W376" s="833"/>
      <c r="X376" s="833"/>
    </row>
    <row r="377" spans="1:24" s="813" customFormat="1" ht="39.950000000000003" hidden="1" customHeight="1" x14ac:dyDescent="0.15">
      <c r="A377" s="2081">
        <f ca="1">IF(H377&gt;0,A375+0.01,A375)</f>
        <v>5</v>
      </c>
      <c r="B377" s="834">
        <v>92750</v>
      </c>
      <c r="C377" s="2" t="str">
        <f>VLOOKUP($B377,[4]BOLETIM_SEL!$A:$H,2,0)</f>
        <v>SINAPI</v>
      </c>
      <c r="D377" s="315" t="str">
        <f>VLOOKUP($B377,[4]BOLETIM_SEL!$A:$H,4,0)</f>
        <v>Muro de gabião, enchimento com pedra de mão tipo rachão, com solo reforçado, para muros com altura maior que 4 m e menor ou igual a 12 m fornecimento e execução. AF_12/2015</v>
      </c>
      <c r="E377" s="2"/>
      <c r="F377" s="2" t="str">
        <f>VLOOKUP($B377,[4]BOLETIM_SEL!$A:$H,6,0)</f>
        <v>M3</v>
      </c>
      <c r="G377" s="1407">
        <f>VLOOKUP($B377,[4]BOLETIM_SEL!$A:$H,7,0)</f>
        <v>1393.74</v>
      </c>
      <c r="H377" s="1613">
        <f>Bacia_Amortecimento!J74</f>
        <v>0</v>
      </c>
      <c r="I377" s="877">
        <f t="shared" si="108"/>
        <v>1682.24</v>
      </c>
      <c r="J377" s="1612">
        <f t="shared" si="109"/>
        <v>0</v>
      </c>
      <c r="K377" s="2078">
        <f t="shared" ca="1" si="110"/>
        <v>0</v>
      </c>
      <c r="L377" s="1574" t="e">
        <f t="shared" si="111"/>
        <v>#DIV/0!</v>
      </c>
      <c r="M377" s="1445"/>
      <c r="N377" s="833"/>
      <c r="O377" s="833"/>
      <c r="Q377" s="833"/>
      <c r="R377" s="833"/>
      <c r="S377" s="833"/>
      <c r="T377" s="833"/>
      <c r="U377" s="833"/>
      <c r="V377" s="833"/>
      <c r="W377" s="833"/>
      <c r="X377" s="833"/>
    </row>
    <row r="378" spans="1:24" s="813" customFormat="1" ht="50.1" hidden="1" customHeight="1" x14ac:dyDescent="0.15">
      <c r="A378" s="2081">
        <f t="shared" ref="A378:A379" ca="1" si="132">IF(H378&gt;0,A376+0.01,A376)</f>
        <v>5</v>
      </c>
      <c r="B378" s="834" t="s">
        <v>2117</v>
      </c>
      <c r="C378" s="2" t="str">
        <f>VLOOKUP($B378,[4]BOLETIM_SEL!$A:$H,2,0)</f>
        <v>COMPOSIÇÃO</v>
      </c>
      <c r="D378" s="315" t="str">
        <f>VLOOKUP($B378,[4]BOLETIM_SEL!$A:$H,4,0)</f>
        <v>Muro de gabião, enchimento com pedra de mão tipo rachão, para solo reforçado com gaiolas com painel de ancoragem de 5 m (ZN/AL+PVC # 8x10cm Ø2.7mm), altura do muro acima de 4 e até 12 metros, geotêxtil RT10 - fornecimento e execução. Exclusive transporte</v>
      </c>
      <c r="E378" s="2"/>
      <c r="F378" s="2" t="str">
        <f>VLOOKUP($B378,[4]BOLETIM_SEL!$A:$H,6,0)</f>
        <v>M3</v>
      </c>
      <c r="G378" s="1407">
        <f>VLOOKUP($B378,[4]BOLETIM_SEL!$A:$H,7,0)</f>
        <v>1082.08</v>
      </c>
      <c r="H378" s="1613">
        <f>Bacia_Amortecimento!J75</f>
        <v>0</v>
      </c>
      <c r="I378" s="877">
        <f t="shared" si="108"/>
        <v>1306.07</v>
      </c>
      <c r="J378" s="1612">
        <f t="shared" si="109"/>
        <v>0</v>
      </c>
      <c r="K378" s="2078">
        <f t="shared" ca="1" si="110"/>
        <v>0</v>
      </c>
      <c r="L378" s="1574" t="e">
        <f t="shared" si="111"/>
        <v>#DIV/0!</v>
      </c>
      <c r="M378" s="1445"/>
      <c r="N378" s="833"/>
      <c r="O378" s="833"/>
      <c r="Q378" s="833"/>
      <c r="R378" s="833"/>
      <c r="S378" s="833"/>
      <c r="T378" s="833"/>
      <c r="U378" s="833"/>
      <c r="V378" s="833"/>
      <c r="W378" s="833"/>
      <c r="X378" s="833"/>
    </row>
    <row r="379" spans="1:24" s="813" customFormat="1" ht="50.1" hidden="1" customHeight="1" x14ac:dyDescent="0.15">
      <c r="A379" s="2081">
        <f t="shared" ca="1" si="132"/>
        <v>5</v>
      </c>
      <c r="B379" s="834" t="s">
        <v>2118</v>
      </c>
      <c r="C379" s="2" t="str">
        <f>VLOOKUP($B379,[4]BOLETIM_SEL!$A:$H,2,0)</f>
        <v>COMPOSIÇÃO</v>
      </c>
      <c r="D379" s="315" t="str">
        <f>VLOOKUP($B379,[4]BOLETIM_SEL!$A:$H,4,0)</f>
        <v>Muro de gabião, enchimento com pedra de mão tipo rachão, para solo reforçado com gaiolas com painel de ancoragem de 6 m (ZN/AL+PVC # 8x10cm Ø2.7mm), altura do muro acima de 4 e até 12 metros, geotêxtil RT10 - fornecimento e execução. Exclusive transporte</v>
      </c>
      <c r="E379" s="2"/>
      <c r="F379" s="2" t="str">
        <f>VLOOKUP($B379,[4]BOLETIM_SEL!$A:$H,6,0)</f>
        <v>M3</v>
      </c>
      <c r="G379" s="1407">
        <f>VLOOKUP($B379,[4]BOLETIM_SEL!$A:$H,7,0)</f>
        <v>1147.4100000000001</v>
      </c>
      <c r="H379" s="1613">
        <f>Bacia_Amortecimento!J76</f>
        <v>0</v>
      </c>
      <c r="I379" s="877">
        <f t="shared" si="108"/>
        <v>1384.92</v>
      </c>
      <c r="J379" s="1612">
        <f t="shared" si="109"/>
        <v>0</v>
      </c>
      <c r="K379" s="2078">
        <f t="shared" ca="1" si="110"/>
        <v>0</v>
      </c>
      <c r="L379" s="1574" t="e">
        <f t="shared" si="111"/>
        <v>#DIV/0!</v>
      </c>
      <c r="M379" s="1445"/>
      <c r="N379" s="833"/>
      <c r="O379" s="833"/>
      <c r="Q379" s="833"/>
      <c r="R379" s="833"/>
      <c r="S379" s="833"/>
      <c r="T379" s="833"/>
      <c r="U379" s="833"/>
      <c r="V379" s="833"/>
      <c r="W379" s="833"/>
      <c r="X379" s="833"/>
    </row>
    <row r="380" spans="1:24" s="813" customFormat="1" ht="39.950000000000003" hidden="1" customHeight="1" x14ac:dyDescent="0.15">
      <c r="A380" s="2081">
        <f t="shared" ca="1" si="112"/>
        <v>5</v>
      </c>
      <c r="B380" s="834">
        <v>92755</v>
      </c>
      <c r="C380" s="2" t="str">
        <f>VLOOKUP($B380,[4]BOLETIM_SEL!$A:$H,2,0)</f>
        <v>SINAPI</v>
      </c>
      <c r="D380" s="315" t="str">
        <f>VLOOKUP($B380,[4]BOLETIM_SEL!$A:$H,4,0)</f>
        <v>Proteção superficial de canal em gabião tipo colchão, altura de 17 centímetros, enchimento com pedra de mão tipo rachão - fornecimento e execução. AF_12/2015</v>
      </c>
      <c r="E380" s="2"/>
      <c r="F380" s="2" t="str">
        <f>VLOOKUP($B380,[4]BOLETIM_SEL!$A:$H,6,0)</f>
        <v>M2</v>
      </c>
      <c r="G380" s="1407">
        <f>VLOOKUP($B380,[4]BOLETIM_SEL!$A:$H,7,0)</f>
        <v>215.81</v>
      </c>
      <c r="H380" s="1613">
        <f>Bacia_Amortecimento!J77</f>
        <v>0</v>
      </c>
      <c r="I380" s="877">
        <f t="shared" si="108"/>
        <v>260.48</v>
      </c>
      <c r="J380" s="1612">
        <f t="shared" si="109"/>
        <v>0</v>
      </c>
      <c r="K380" s="2078">
        <f t="shared" ca="1" si="110"/>
        <v>0</v>
      </c>
      <c r="L380" s="1574" t="e">
        <f t="shared" si="111"/>
        <v>#DIV/0!</v>
      </c>
      <c r="M380" s="1445"/>
      <c r="N380" s="833"/>
      <c r="O380" s="833"/>
      <c r="Q380" s="833"/>
      <c r="R380" s="833"/>
      <c r="S380" s="833"/>
      <c r="T380" s="833"/>
      <c r="U380" s="833"/>
      <c r="V380" s="833"/>
      <c r="W380" s="833"/>
      <c r="X380" s="833"/>
    </row>
    <row r="381" spans="1:24" s="813" customFormat="1" ht="39.950000000000003" hidden="1" customHeight="1" x14ac:dyDescent="0.15">
      <c r="A381" s="2081">
        <f t="shared" ca="1" si="112"/>
        <v>5</v>
      </c>
      <c r="B381" s="834">
        <v>92756</v>
      </c>
      <c r="C381" s="2" t="str">
        <f>VLOOKUP($B381,[4]BOLETIM_SEL!$A:$H,2,0)</f>
        <v>SINAPI</v>
      </c>
      <c r="D381" s="315" t="str">
        <f>VLOOKUP($B381,[4]BOLETIM_SEL!$A:$H,4,0)</f>
        <v>Proteção superficial de canal em gabião tipo colchão, altura de 23 centímetros, enchimento com pedra de mão tipo rachão - fornecimento e execução. AF_12/2015</v>
      </c>
      <c r="E381" s="2"/>
      <c r="F381" s="2" t="str">
        <f>VLOOKUP($B381,[4]BOLETIM_SEL!$A:$H,6,0)</f>
        <v>M2</v>
      </c>
      <c r="G381" s="1407">
        <f>VLOOKUP($B381,[4]BOLETIM_SEL!$A:$H,7,0)</f>
        <v>245.34</v>
      </c>
      <c r="H381" s="1613">
        <f>Bacia_Amortecimento!J78</f>
        <v>0</v>
      </c>
      <c r="I381" s="877">
        <f t="shared" si="108"/>
        <v>296.12</v>
      </c>
      <c r="J381" s="1612">
        <f t="shared" si="109"/>
        <v>0</v>
      </c>
      <c r="K381" s="2078">
        <f t="shared" ca="1" si="110"/>
        <v>0</v>
      </c>
      <c r="L381" s="1574" t="e">
        <f t="shared" si="111"/>
        <v>#DIV/0!</v>
      </c>
      <c r="M381" s="1445"/>
      <c r="O381" s="833"/>
      <c r="P381" s="833"/>
      <c r="Q381" s="833"/>
      <c r="R381" s="833"/>
      <c r="S381" s="833"/>
      <c r="T381" s="833"/>
      <c r="U381" s="833"/>
      <c r="V381" s="833"/>
      <c r="W381" s="833"/>
      <c r="X381" s="833"/>
    </row>
    <row r="382" spans="1:24" s="813" customFormat="1" ht="39.950000000000003" hidden="1" customHeight="1" x14ac:dyDescent="0.15">
      <c r="A382" s="2081">
        <f t="shared" ca="1" si="112"/>
        <v>5</v>
      </c>
      <c r="B382" s="834">
        <v>92757</v>
      </c>
      <c r="C382" s="2" t="str">
        <f>VLOOKUP($B382,[4]BOLETIM_SEL!$A:$H,2,0)</f>
        <v>SINAPI</v>
      </c>
      <c r="D382" s="315" t="str">
        <f>VLOOKUP($B382,[4]BOLETIM_SEL!$A:$H,4,0)</f>
        <v>Proteção superficial de canal em gabião tipo colchão, altura de 30 centímetros, enchimento com pedra de mão tipo rachão - fornecimento e execução. AF_12/2015</v>
      </c>
      <c r="E382" s="2"/>
      <c r="F382" s="2" t="str">
        <f>VLOOKUP($B382,[4]BOLETIM_SEL!$A:$H,6,0)</f>
        <v>M2</v>
      </c>
      <c r="G382" s="1407">
        <f>VLOOKUP($B382,[4]BOLETIM_SEL!$A:$H,7,0)</f>
        <v>281.11</v>
      </c>
      <c r="H382" s="1613">
        <f>Bacia_Amortecimento!J79</f>
        <v>0</v>
      </c>
      <c r="I382" s="877">
        <f t="shared" si="108"/>
        <v>339.29</v>
      </c>
      <c r="J382" s="1612">
        <f t="shared" si="109"/>
        <v>0</v>
      </c>
      <c r="K382" s="2078">
        <f t="shared" ca="1" si="110"/>
        <v>0</v>
      </c>
      <c r="L382" s="1574" t="e">
        <f t="shared" si="111"/>
        <v>#DIV/0!</v>
      </c>
      <c r="M382" s="1445"/>
      <c r="O382" s="833"/>
      <c r="P382" s="833"/>
      <c r="Q382" s="833"/>
      <c r="R382" s="833"/>
      <c r="S382" s="833"/>
      <c r="T382" s="833"/>
      <c r="U382" s="833"/>
      <c r="V382" s="833"/>
      <c r="W382" s="833"/>
      <c r="X382" s="833"/>
    </row>
    <row r="383" spans="1:24" s="813" customFormat="1" ht="39.950000000000003" hidden="1" customHeight="1" x14ac:dyDescent="0.15">
      <c r="A383" s="2081">
        <f t="shared" ca="1" si="112"/>
        <v>5</v>
      </c>
      <c r="B383" s="834">
        <v>92758</v>
      </c>
      <c r="C383" s="2" t="str">
        <f>VLOOKUP($B383,[4]BOLETIM_SEL!$A:$H,2,0)</f>
        <v>SINAPI</v>
      </c>
      <c r="D383" s="315" t="str">
        <f>VLOOKUP($B383,[4]BOLETIM_SEL!$A:$H,4,0)</f>
        <v>Proteção superficial de canal em gabião tipo saco (ZN/AL+PVC # 8x10cm Ø2,4mm), diâmetro de 65 centímetros, enchimento manual com pedra de mão tipo rachão - fornecimento e execução. Exclusive transporte AF_12/2015</v>
      </c>
      <c r="E383" s="2"/>
      <c r="F383" s="2" t="str">
        <f>VLOOKUP($B383,[4]BOLETIM_SEL!$A:$H,6,0)</f>
        <v>M3</v>
      </c>
      <c r="G383" s="1407">
        <f>VLOOKUP($B383,[4]BOLETIM_SEL!$A:$H,7,0)</f>
        <v>635.75</v>
      </c>
      <c r="H383" s="1613">
        <f>Bacia_Amortecimento!J80</f>
        <v>0</v>
      </c>
      <c r="I383" s="877">
        <f t="shared" si="108"/>
        <v>767.35</v>
      </c>
      <c r="J383" s="1612">
        <f t="shared" si="109"/>
        <v>0</v>
      </c>
      <c r="K383" s="2078">
        <f t="shared" ca="1" si="110"/>
        <v>0</v>
      </c>
      <c r="L383" s="1574" t="e">
        <f t="shared" si="111"/>
        <v>#DIV/0!</v>
      </c>
      <c r="M383" s="1445"/>
      <c r="O383" s="833"/>
      <c r="P383" s="833"/>
      <c r="Q383" s="833"/>
      <c r="R383" s="833"/>
      <c r="S383" s="833"/>
      <c r="T383" s="833"/>
      <c r="U383" s="833"/>
      <c r="V383" s="833"/>
      <c r="W383" s="833"/>
      <c r="X383" s="833"/>
    </row>
    <row r="384" spans="1:24" s="813" customFormat="1" ht="39.950000000000003" hidden="1" customHeight="1" x14ac:dyDescent="0.15">
      <c r="A384" s="2081">
        <f t="shared" ca="1" si="112"/>
        <v>5</v>
      </c>
      <c r="B384" s="834" t="s">
        <v>426</v>
      </c>
      <c r="C384" s="2" t="str">
        <f>VLOOKUP($B384,[4]BOLETIM_SEL!$A:$H,2,0)</f>
        <v>COMPOSIÇÃO</v>
      </c>
      <c r="D384" s="315" t="str">
        <f>VLOOKUP($B384,[4]BOLETIM_SEL!$A:$H,4,0)</f>
        <v>Tubo aço galvanizado com costura para guarda-corpo, classe leve, DN 40 mm (1 1/2"),  DIN 2440 / NBR 5580 classe leve, espessura 3,00 mm, *3,48* kg/m</v>
      </c>
      <c r="E384" s="2"/>
      <c r="F384" s="2" t="str">
        <f>VLOOKUP($B384,[4]BOLETIM_SEL!$A:$H,6,0)</f>
        <v>M</v>
      </c>
      <c r="G384" s="1407">
        <f>VLOOKUP($B384,[4]BOLETIM_SEL!$A:$H,7,0)</f>
        <v>60.84</v>
      </c>
      <c r="H384" s="1613">
        <f>Bacia_Amortecimento!J81</f>
        <v>0</v>
      </c>
      <c r="I384" s="877">
        <f t="shared" si="108"/>
        <v>73.430000000000007</v>
      </c>
      <c r="J384" s="1612">
        <f t="shared" si="109"/>
        <v>0</v>
      </c>
      <c r="K384" s="2078">
        <f t="shared" ca="1" si="110"/>
        <v>0</v>
      </c>
      <c r="L384" s="1574" t="e">
        <f t="shared" si="111"/>
        <v>#DIV/0!</v>
      </c>
      <c r="M384" s="1445"/>
      <c r="O384" s="833"/>
      <c r="P384" s="833"/>
      <c r="Q384" s="833"/>
      <c r="R384" s="833"/>
      <c r="S384" s="833"/>
      <c r="T384" s="833"/>
      <c r="U384" s="833"/>
      <c r="V384" s="833"/>
      <c r="W384" s="833"/>
      <c r="X384" s="833"/>
    </row>
    <row r="385" spans="1:24" s="813" customFormat="1" ht="39.950000000000003" hidden="1" customHeight="1" x14ac:dyDescent="0.15">
      <c r="A385" s="2081">
        <f t="shared" ca="1" si="112"/>
        <v>5</v>
      </c>
      <c r="B385" s="834" t="s">
        <v>1821</v>
      </c>
      <c r="C385" s="2" t="str">
        <f>VLOOKUP($B385,[4]BOLETIM_SEL!$A:$H,2,0)</f>
        <v>COMPOSIÇÃO</v>
      </c>
      <c r="D385" s="315" t="str">
        <f>VLOOKUP($B385,[4]BOLETIM_SEL!$A:$H,4,0)</f>
        <v>Tubo aço galvanizado com costura para guarda-corpo, classe leve, DN 50 mm (2"),  DIN 2440 / NBR 5580 classe leve, espessura 3,00 mm, *4,40* kg/m</v>
      </c>
      <c r="E385" s="2"/>
      <c r="F385" s="2" t="str">
        <f>VLOOKUP($B385,[4]BOLETIM_SEL!$A:$H,6,0)</f>
        <v>M</v>
      </c>
      <c r="G385" s="1407">
        <f>VLOOKUP($B385,[4]BOLETIM_SEL!$A:$H,7,0)</f>
        <v>79.400000000000006</v>
      </c>
      <c r="H385" s="1613">
        <f>Bacia_Amortecimento!J82</f>
        <v>0</v>
      </c>
      <c r="I385" s="877">
        <f t="shared" si="108"/>
        <v>95.83</v>
      </c>
      <c r="J385" s="1612">
        <f t="shared" si="109"/>
        <v>0</v>
      </c>
      <c r="K385" s="2078">
        <f t="shared" ca="1" si="110"/>
        <v>0</v>
      </c>
      <c r="L385" s="1574" t="e">
        <f t="shared" si="111"/>
        <v>#DIV/0!</v>
      </c>
      <c r="M385" s="1445"/>
      <c r="O385" s="833"/>
      <c r="P385" s="833"/>
      <c r="Q385" s="833"/>
      <c r="R385" s="833"/>
      <c r="S385" s="833"/>
      <c r="T385" s="833"/>
      <c r="U385" s="833"/>
      <c r="V385" s="833"/>
      <c r="W385" s="833"/>
      <c r="X385" s="833"/>
    </row>
    <row r="386" spans="1:24" s="813" customFormat="1" ht="24.95" hidden="1" customHeight="1" x14ac:dyDescent="0.15">
      <c r="A386" s="2081"/>
      <c r="B386" s="834"/>
      <c r="C386" s="2"/>
      <c r="D386" s="1452" t="s">
        <v>2119</v>
      </c>
      <c r="E386" s="2"/>
      <c r="F386" s="2"/>
      <c r="G386" s="1407"/>
      <c r="H386" s="2"/>
      <c r="I386" s="2"/>
      <c r="J386" s="839" t="str">
        <f>IF(J387=0,"-","")</f>
        <v>-</v>
      </c>
      <c r="K386" s="2078"/>
      <c r="L386" s="1574"/>
      <c r="M386" s="1445"/>
      <c r="O386" s="833"/>
      <c r="P386" s="833"/>
      <c r="Q386" s="833"/>
      <c r="R386" s="833"/>
      <c r="S386" s="833"/>
      <c r="T386" s="833"/>
      <c r="U386" s="833"/>
      <c r="V386" s="833"/>
      <c r="W386" s="833"/>
      <c r="X386" s="833"/>
    </row>
    <row r="387" spans="1:24" s="813" customFormat="1" ht="39.950000000000003" hidden="1" customHeight="1" x14ac:dyDescent="0.15">
      <c r="A387" s="2081">
        <f ca="1">IF(H387&gt;0,A385+0.01,A385)</f>
        <v>5</v>
      </c>
      <c r="B387" s="834" t="s">
        <v>2052</v>
      </c>
      <c r="C387" s="2" t="str">
        <f>VLOOKUP($B387,[4]BOLETIM_SEL!$A:$H,2,0)</f>
        <v>COMPOSIÇÃO</v>
      </c>
      <c r="D387" s="315" t="str">
        <f>VLOOKUP($B387,[4]BOLETIM_SEL!$A:$H,4,0)</f>
        <v>Alambrado com tela de aço galvanizado, fio 14, malha 1½" , três fios de arame liso, poste curvo de concreto com altura livre de 1,80m, mureta de alvenaria com altura de 30cm, conforme projeto</v>
      </c>
      <c r="E387" s="2"/>
      <c r="F387" s="2" t="str">
        <f>VLOOKUP($B387,[4]BOLETIM_SEL!$A:$H,6,0)</f>
        <v>M</v>
      </c>
      <c r="G387" s="1407">
        <f>VLOOKUP($B387,[4]BOLETIM_SEL!$A:$H,7,0)</f>
        <v>207.59</v>
      </c>
      <c r="H387" s="1613">
        <f>Bacia_Amortecimento!J83</f>
        <v>0</v>
      </c>
      <c r="I387" s="877">
        <f t="shared" ref="I387:I399" si="133">TRUNC(G387*(1+$J$5),2)</f>
        <v>250.56</v>
      </c>
      <c r="J387" s="1612">
        <f t="shared" ref="J387:J399" si="134">TRUNC(H387*I387,2)</f>
        <v>0</v>
      </c>
      <c r="K387" s="2078">
        <f t="shared" ref="K387:K399" ca="1" si="135">J387/J$967</f>
        <v>0</v>
      </c>
      <c r="L387" s="1574" t="e">
        <f t="shared" ref="L387:L401" si="136">J387/$J$314</f>
        <v>#DIV/0!</v>
      </c>
      <c r="M387" s="2"/>
      <c r="N387" s="833"/>
      <c r="O387" s="833"/>
      <c r="Q387" s="833"/>
      <c r="R387" s="833"/>
      <c r="S387" s="833"/>
      <c r="T387" s="833"/>
      <c r="U387" s="833"/>
      <c r="V387" s="833"/>
      <c r="W387" s="833"/>
      <c r="X387" s="833"/>
    </row>
    <row r="388" spans="1:24" s="813" customFormat="1" ht="39.950000000000003" hidden="1" customHeight="1" x14ac:dyDescent="0.15">
      <c r="A388" s="2081">
        <f t="shared" ref="A388:A399" ca="1" si="137">IF(H388&gt;0,A387+0.01,A387)</f>
        <v>5</v>
      </c>
      <c r="B388" s="1840">
        <v>101199</v>
      </c>
      <c r="C388" s="2" t="str">
        <f>VLOOKUP($B388,[4]BOLETIM_SEL!$A:$H,2,0)</f>
        <v>SINAPI</v>
      </c>
      <c r="D388" s="315" t="str">
        <f>VLOOKUP($B388,[4]BOLETIM_SEL!$A:$H,4,0)</f>
        <v>Cerca com mourões de concreto, seção "t" ponta inclinada, 10x10cm, espaçamento de 2,5m, cravados 0,5m, com 11 fios de arame misto - fornecimento e instalação. AF_05/2020</v>
      </c>
      <c r="E388" s="2"/>
      <c r="F388" s="2" t="str">
        <f>VLOOKUP($B388,[4]BOLETIM_SEL!$A:$H,6,0)</f>
        <v>M</v>
      </c>
      <c r="G388" s="1407">
        <f>VLOOKUP($B388,[4]BOLETIM_SEL!$A:$H,7,0)</f>
        <v>82.77</v>
      </c>
      <c r="H388" s="1613">
        <f>Bacia_Amortecimento!J84</f>
        <v>0</v>
      </c>
      <c r="I388" s="877">
        <f t="shared" ref="I388" si="138">TRUNC(G388*(1+$J$5),2)</f>
        <v>99.9</v>
      </c>
      <c r="J388" s="1612">
        <f t="shared" ref="J388" si="139">TRUNC(H388*I388,2)</f>
        <v>0</v>
      </c>
      <c r="K388" s="2078">
        <f t="shared" ca="1" si="135"/>
        <v>0</v>
      </c>
      <c r="L388" s="1574" t="e">
        <f t="shared" ref="L388" si="140">J388/$J$314</f>
        <v>#DIV/0!</v>
      </c>
      <c r="M388" s="2"/>
      <c r="N388" s="833"/>
      <c r="O388" s="833"/>
      <c r="Q388" s="833"/>
      <c r="R388" s="833"/>
      <c r="S388" s="833"/>
      <c r="T388" s="833"/>
      <c r="U388" s="833"/>
      <c r="V388" s="833"/>
      <c r="W388" s="833"/>
      <c r="X388" s="833"/>
    </row>
    <row r="389" spans="1:24" s="813" customFormat="1" ht="39.950000000000003" hidden="1" customHeight="1" x14ac:dyDescent="0.15">
      <c r="A389" s="2081">
        <f t="shared" ca="1" si="137"/>
        <v>5</v>
      </c>
      <c r="B389" s="834" t="s">
        <v>1638</v>
      </c>
      <c r="C389" s="2" t="str">
        <f>VLOOKUP($B389,[4]BOLETIM_SEL!$A:$H,2,0)</f>
        <v>COMPOSIÇÃO</v>
      </c>
      <c r="D389" s="315" t="str">
        <f>VLOOKUP($B389,[4]BOLETIM_SEL!$A:$H,4,0)</f>
        <v>Portão para veículos em tela arame galvanizado n.12 malha 2" e moldura em tubos de aco com duas folhas de abrir, incluso ferragens (REF. SINAPI COD. 74238/2 - Descontinuado)</v>
      </c>
      <c r="E389" s="2"/>
      <c r="F389" s="2" t="str">
        <f>VLOOKUP($B389,[4]BOLETIM_SEL!$A:$H,6,0)</f>
        <v>M2</v>
      </c>
      <c r="G389" s="1407">
        <f>VLOOKUP($B389,[4]BOLETIM_SEL!$A:$H,7,0)</f>
        <v>1026.57</v>
      </c>
      <c r="H389" s="1613">
        <f>Bacia_Amortecimento!J85</f>
        <v>0</v>
      </c>
      <c r="I389" s="877">
        <f t="shared" si="133"/>
        <v>1239.06</v>
      </c>
      <c r="J389" s="1612">
        <f t="shared" si="134"/>
        <v>0</v>
      </c>
      <c r="K389" s="2078">
        <f t="shared" ca="1" si="135"/>
        <v>0</v>
      </c>
      <c r="L389" s="1574" t="e">
        <f t="shared" si="136"/>
        <v>#DIV/0!</v>
      </c>
      <c r="M389" s="2"/>
      <c r="N389" s="833"/>
      <c r="O389" s="833"/>
      <c r="Q389" s="833"/>
      <c r="R389" s="833"/>
      <c r="S389" s="833"/>
      <c r="T389" s="833"/>
      <c r="U389" s="833"/>
      <c r="V389" s="833"/>
      <c r="W389" s="833"/>
      <c r="X389" s="833"/>
    </row>
    <row r="390" spans="1:24" s="813" customFormat="1" ht="30" hidden="1" customHeight="1" x14ac:dyDescent="0.15">
      <c r="A390" s="2081">
        <f t="shared" ca="1" si="137"/>
        <v>5</v>
      </c>
      <c r="B390" s="834">
        <f>IF(M390="ESMERALDA","SC/0082",98504)</f>
        <v>98504</v>
      </c>
      <c r="C390" s="2" t="str">
        <f>VLOOKUP($B390,[4]BOLETIM_SEL!$A:$H,2,0)</f>
        <v>SINAPI</v>
      </c>
      <c r="D390" s="315" t="str">
        <f>VLOOKUP($B390,[4]BOLETIM_SEL!$A:$H,4,0)</f>
        <v>Plantio de grama em placas. AF_05/2018</v>
      </c>
      <c r="E390" s="2"/>
      <c r="F390" s="2" t="str">
        <f>VLOOKUP($B390,[4]BOLETIM_SEL!$A:$H,6,0)</f>
        <v>M2</v>
      </c>
      <c r="G390" s="1407">
        <f>VLOOKUP($B390,[4]BOLETIM_SEL!$A:$H,7,0)</f>
        <v>9.93</v>
      </c>
      <c r="H390" s="1613">
        <f>+Bacia_Amortecimento!J86</f>
        <v>0</v>
      </c>
      <c r="I390" s="877">
        <f t="shared" ref="I390" si="141">TRUNC(G390*(1+$J$5),2)</f>
        <v>11.98</v>
      </c>
      <c r="J390" s="1612">
        <f t="shared" ref="J390" si="142">TRUNC(H390*I390,2)</f>
        <v>0</v>
      </c>
      <c r="K390" s="2078">
        <f t="shared" ca="1" si="135"/>
        <v>0</v>
      </c>
      <c r="L390" s="1574" t="e">
        <f t="shared" ref="L390" si="143">J390/$J$314</f>
        <v>#DIV/0!</v>
      </c>
      <c r="M390" s="1589" t="s">
        <v>2252</v>
      </c>
      <c r="N390" s="833"/>
      <c r="O390" s="833"/>
      <c r="Q390" s="833"/>
      <c r="R390" s="833"/>
      <c r="S390" s="833"/>
      <c r="T390" s="833"/>
      <c r="U390" s="833"/>
      <c r="V390" s="833"/>
      <c r="W390" s="833"/>
      <c r="X390" s="833"/>
    </row>
    <row r="391" spans="1:24" s="813" customFormat="1" ht="30" hidden="1" customHeight="1" x14ac:dyDescent="0.15">
      <c r="A391" s="2081">
        <f t="shared" ca="1" si="137"/>
        <v>5</v>
      </c>
      <c r="B391" s="834" t="s">
        <v>2626</v>
      </c>
      <c r="C391" s="2" t="str">
        <f>VLOOKUP($B391,[4]BOLETIM_SEL!$A:$H,2,0)</f>
        <v>COMPOSIÇÃO</v>
      </c>
      <c r="D391" s="315" t="str">
        <f>VLOOKUP($B391,[4]BOLETIM_SEL!$A:$H,4,0)</f>
        <v>Hidrossemeadura. Ref SICRO CÓD  4413905, DB 04-2021</v>
      </c>
      <c r="E391" s="2"/>
      <c r="F391" s="2" t="str">
        <f>VLOOKUP($B391,[4]BOLETIM_SEL!$A:$H,6,0)</f>
        <v>M2</v>
      </c>
      <c r="G391" s="1407">
        <f>VLOOKUP($B391,[4]BOLETIM_SEL!$A:$H,7,0)</f>
        <v>6.6</v>
      </c>
      <c r="H391" s="1613">
        <f>+Bacia_Amortecimento!J87</f>
        <v>0</v>
      </c>
      <c r="I391" s="877">
        <f t="shared" ref="I391" si="144">TRUNC(G391*(1+$J$5),2)</f>
        <v>7.96</v>
      </c>
      <c r="J391" s="1612">
        <f t="shared" ref="J391" si="145">TRUNC(H391*I391,2)</f>
        <v>0</v>
      </c>
      <c r="K391" s="2078">
        <f t="shared" ca="1" si="135"/>
        <v>0</v>
      </c>
      <c r="L391" s="1574" t="e">
        <f t="shared" ref="L391" si="146">J391/$J$314</f>
        <v>#DIV/0!</v>
      </c>
      <c r="M391" s="2"/>
      <c r="N391" s="833"/>
      <c r="O391" s="833"/>
      <c r="Q391" s="833"/>
      <c r="R391" s="833"/>
      <c r="S391" s="833"/>
      <c r="T391" s="833"/>
      <c r="U391" s="833"/>
      <c r="V391" s="833"/>
      <c r="W391" s="833"/>
      <c r="X391" s="833"/>
    </row>
    <row r="392" spans="1:24" s="813" customFormat="1" ht="30" hidden="1" customHeight="1" x14ac:dyDescent="0.15">
      <c r="A392" s="2081">
        <f t="shared" ca="1" si="137"/>
        <v>5</v>
      </c>
      <c r="B392" s="834">
        <f>IF(M392="MENOR",98510,98511)</f>
        <v>98510</v>
      </c>
      <c r="C392" s="2" t="str">
        <f>VLOOKUP($B392,[4]BOLETIM_SEL!$A:$H,2,0)</f>
        <v>SINAPI</v>
      </c>
      <c r="D392" s="315" t="str">
        <f>VLOOKUP($B392,[4]BOLETIM_SEL!$A:$H,4,0)</f>
        <v>Plantio de árvore ornamental com altura de muda menor ou igual a 2,00 m. AF_05/2018</v>
      </c>
      <c r="E392" s="2"/>
      <c r="F392" s="2" t="str">
        <f>VLOOKUP($B392,[4]BOLETIM_SEL!$A:$H,6,0)</f>
        <v>UN</v>
      </c>
      <c r="G392" s="1407">
        <f>VLOOKUP($B392,[4]BOLETIM_SEL!$A:$H,7,0)</f>
        <v>68.510000000000005</v>
      </c>
      <c r="H392" s="1613">
        <f>Bacia_Amortecimento!J88</f>
        <v>0</v>
      </c>
      <c r="I392" s="877">
        <f t="shared" si="133"/>
        <v>82.69</v>
      </c>
      <c r="J392" s="1612">
        <f t="shared" si="134"/>
        <v>0</v>
      </c>
      <c r="K392" s="2078">
        <f t="shared" ca="1" si="135"/>
        <v>0</v>
      </c>
      <c r="L392" s="1574" t="e">
        <f t="shared" si="136"/>
        <v>#DIV/0!</v>
      </c>
      <c r="M392" s="1589" t="s">
        <v>1832</v>
      </c>
      <c r="N392" s="833"/>
      <c r="O392" s="833"/>
      <c r="Q392" s="833"/>
      <c r="R392" s="833"/>
      <c r="S392" s="833"/>
      <c r="T392" s="833"/>
      <c r="U392" s="833"/>
      <c r="V392" s="833"/>
      <c r="W392" s="833"/>
      <c r="X392" s="833"/>
    </row>
    <row r="393" spans="1:24" s="813" customFormat="1" ht="30" hidden="1" customHeight="1" x14ac:dyDescent="0.15">
      <c r="A393" s="2081">
        <f t="shared" ca="1" si="137"/>
        <v>5</v>
      </c>
      <c r="B393" s="834">
        <v>98516</v>
      </c>
      <c r="C393" s="2" t="str">
        <f>VLOOKUP($B393,[4]BOLETIM_SEL!$A:$H,2,0)</f>
        <v>SINAPI</v>
      </c>
      <c r="D393" s="315" t="str">
        <f>VLOOKUP($B393,[4]BOLETIM_SEL!$A:$H,4,0)</f>
        <v>Plantio de palmeira com altura de muda menor ou igual a 2,00 m. AF_05/2018</v>
      </c>
      <c r="E393" s="2"/>
      <c r="F393" s="2" t="str">
        <f>VLOOKUP($B393,[4]BOLETIM_SEL!$A:$H,6,0)</f>
        <v>UN</v>
      </c>
      <c r="G393" s="1407">
        <f>VLOOKUP($B393,[4]BOLETIM_SEL!$A:$H,7,0)</f>
        <v>334.59</v>
      </c>
      <c r="H393" s="1613">
        <f>Bacia_Amortecimento!J89</f>
        <v>0</v>
      </c>
      <c r="I393" s="877">
        <f t="shared" si="133"/>
        <v>403.85</v>
      </c>
      <c r="J393" s="1612">
        <f t="shared" si="134"/>
        <v>0</v>
      </c>
      <c r="K393" s="2078">
        <f t="shared" ca="1" si="135"/>
        <v>0</v>
      </c>
      <c r="L393" s="1574" t="e">
        <f t="shared" si="136"/>
        <v>#DIV/0!</v>
      </c>
      <c r="M393" s="1445"/>
      <c r="N393" s="833"/>
      <c r="O393" s="833"/>
      <c r="Q393" s="833"/>
      <c r="R393" s="833"/>
      <c r="S393" s="833"/>
      <c r="T393" s="833"/>
      <c r="U393" s="833"/>
      <c r="V393" s="833"/>
      <c r="W393" s="833"/>
      <c r="X393" s="833"/>
    </row>
    <row r="394" spans="1:24" s="813" customFormat="1" ht="39.950000000000003" hidden="1" customHeight="1" x14ac:dyDescent="0.15">
      <c r="A394" s="2081">
        <f t="shared" ca="1" si="137"/>
        <v>5</v>
      </c>
      <c r="B394" s="834" t="s">
        <v>1856</v>
      </c>
      <c r="C394" s="2" t="str">
        <f>VLOOKUP($B394,[4]BOLETIM_SEL!$A:$H,2,0)</f>
        <v>COMPOSIÇÃO</v>
      </c>
      <c r="D394" s="315" t="str">
        <f>VLOOKUP($B394,[4]BOLETIM_SEL!$A:$H,4,0)</f>
        <v>Piso tátil de alerta ou direcional com lajota cimentícia  25x25x2cm, nas cores da NBR 16537, assentado com argamassa de cimento e areia 1:3</v>
      </c>
      <c r="E394" s="2"/>
      <c r="F394" s="2" t="str">
        <f>VLOOKUP($B394,[4]BOLETIM_SEL!$A:$H,6,0)</f>
        <v>M</v>
      </c>
      <c r="G394" s="1407">
        <f>VLOOKUP($B394,[4]BOLETIM_SEL!$A:$H,7,0)</f>
        <v>37.53</v>
      </c>
      <c r="H394" s="1613">
        <f>Bacia_Amortecimento!J90</f>
        <v>0</v>
      </c>
      <c r="I394" s="877">
        <f t="shared" si="133"/>
        <v>45.29</v>
      </c>
      <c r="J394" s="1612">
        <f t="shared" si="134"/>
        <v>0</v>
      </c>
      <c r="K394" s="2078">
        <f t="shared" ca="1" si="135"/>
        <v>0</v>
      </c>
      <c r="L394" s="1574" t="e">
        <f t="shared" si="136"/>
        <v>#DIV/0!</v>
      </c>
      <c r="M394" s="1445"/>
      <c r="N394" s="833"/>
      <c r="O394" s="833"/>
      <c r="Q394" s="833"/>
      <c r="R394" s="833"/>
      <c r="S394" s="833"/>
      <c r="T394" s="833"/>
      <c r="U394" s="833"/>
      <c r="V394" s="833"/>
      <c r="W394" s="833"/>
      <c r="X394" s="833"/>
    </row>
    <row r="395" spans="1:24" s="813" customFormat="1" ht="39.950000000000003" hidden="1" customHeight="1" x14ac:dyDescent="0.15">
      <c r="A395" s="2081">
        <f t="shared" ca="1" si="137"/>
        <v>5</v>
      </c>
      <c r="B395" s="834">
        <v>94962</v>
      </c>
      <c r="C395" s="2" t="str">
        <f>VLOOKUP($B395,[4]BOLETIM_SEL!$A:$H,2,0)</f>
        <v>SINAPI</v>
      </c>
      <c r="D395" s="315" t="str">
        <f>VLOOKUP($B395,[4]BOLETIM_SEL!$A:$H,4,0)</f>
        <v>Concreto magro para lastro, traço 1:4,5:4,5 (cimento/ areia média/ brita 1) - preparo mecânico com betoneira 400 l. AF_07/2016</v>
      </c>
      <c r="E395" s="2"/>
      <c r="F395" s="2" t="str">
        <f>VLOOKUP($B395,[4]BOLETIM_SEL!$A:$H,6,0)</f>
        <v>M3</v>
      </c>
      <c r="G395" s="1407">
        <f>VLOOKUP($B395,[4]BOLETIM_SEL!$A:$H,7,0)</f>
        <v>380.85</v>
      </c>
      <c r="H395" s="1613">
        <f>Bacia_Amortecimento!J91</f>
        <v>0</v>
      </c>
      <c r="I395" s="877">
        <f t="shared" si="133"/>
        <v>459.68</v>
      </c>
      <c r="J395" s="1612">
        <f t="shared" si="134"/>
        <v>0</v>
      </c>
      <c r="K395" s="2078">
        <f t="shared" ca="1" si="135"/>
        <v>0</v>
      </c>
      <c r="L395" s="1574" t="e">
        <f t="shared" si="136"/>
        <v>#DIV/0!</v>
      </c>
      <c r="M395" s="1445"/>
      <c r="N395" s="833"/>
      <c r="O395" s="833"/>
      <c r="Q395" s="833"/>
      <c r="R395" s="833"/>
      <c r="S395" s="833"/>
      <c r="T395" s="833"/>
      <c r="U395" s="833"/>
      <c r="V395" s="833"/>
      <c r="W395" s="833"/>
      <c r="X395" s="833"/>
    </row>
    <row r="396" spans="1:24" s="813" customFormat="1" ht="39.950000000000003" hidden="1" customHeight="1" x14ac:dyDescent="0.15">
      <c r="A396" s="2081">
        <f t="shared" ca="1" si="137"/>
        <v>5</v>
      </c>
      <c r="B396" s="834">
        <f>IF(M396="USINADO",94991,94990)</f>
        <v>94991</v>
      </c>
      <c r="C396" s="2" t="str">
        <f>VLOOKUP($B396,[4]BOLETIM_SEL!$A:$H,2,0)</f>
        <v>SINAPI</v>
      </c>
      <c r="D396" s="315" t="str">
        <f>VLOOKUP($B396,[4]BOLETIM_SEL!$A:$H,4,0)</f>
        <v>Execução de passeio (calçada) ou piso de concreto com concreto moldado in loco, usinado, acabamento convencional, não armado. AF_07/2016</v>
      </c>
      <c r="E396" s="2"/>
      <c r="F396" s="2" t="str">
        <f>VLOOKUP($B396,[4]BOLETIM_SEL!$A:$H,6,0)</f>
        <v>M3</v>
      </c>
      <c r="G396" s="1407">
        <f>VLOOKUP($B396,[4]BOLETIM_SEL!$A:$H,7,0)</f>
        <v>772.34</v>
      </c>
      <c r="H396" s="1613">
        <f>Bacia_Amortecimento!J96</f>
        <v>0</v>
      </c>
      <c r="I396" s="877">
        <f t="shared" si="133"/>
        <v>932.21</v>
      </c>
      <c r="J396" s="1612">
        <f t="shared" si="134"/>
        <v>0</v>
      </c>
      <c r="K396" s="2078">
        <f t="shared" ca="1" si="135"/>
        <v>0</v>
      </c>
      <c r="L396" s="1574" t="e">
        <f t="shared" si="136"/>
        <v>#DIV/0!</v>
      </c>
      <c r="M396" s="1589" t="s">
        <v>1857</v>
      </c>
      <c r="N396" s="833"/>
      <c r="O396" s="842"/>
      <c r="Q396" s="842"/>
      <c r="R396" s="842"/>
      <c r="S396" s="842"/>
      <c r="T396" s="842"/>
      <c r="U396" s="842"/>
      <c r="V396" s="842"/>
      <c r="W396" s="842"/>
      <c r="X396" s="833"/>
    </row>
    <row r="397" spans="1:24" s="813" customFormat="1" ht="39.950000000000003" hidden="1" customHeight="1" x14ac:dyDescent="0.15">
      <c r="A397" s="2081">
        <f t="shared" ca="1" si="137"/>
        <v>5</v>
      </c>
      <c r="B397" s="834">
        <f>IF(M397="USINADO",94995,94994)</f>
        <v>94994</v>
      </c>
      <c r="C397" s="2" t="str">
        <f>VLOOKUP($B397,[4]BOLETIM_SEL!$A:$H,2,0)</f>
        <v>SINAPI</v>
      </c>
      <c r="D397" s="315" t="str">
        <f>VLOOKUP($B397,[4]BOLETIM_SEL!$A:$H,4,0)</f>
        <v>Execução de passeio (calçada) ou piso de concreto com concreto moldado in loco, feito em obra, acabamento convencional, espessura 8 cm, armado. AF_07/2016</v>
      </c>
      <c r="E397" s="2"/>
      <c r="F397" s="2" t="str">
        <f>VLOOKUP($B397,[4]BOLETIM_SEL!$A:$H,6,0)</f>
        <v>M2</v>
      </c>
      <c r="G397" s="1407">
        <f>VLOOKUP($B397,[4]BOLETIM_SEL!$A:$H,7,0)</f>
        <v>93.39</v>
      </c>
      <c r="H397" s="1613">
        <f>Bacia_Amortecimento!J97</f>
        <v>0</v>
      </c>
      <c r="I397" s="877">
        <f t="shared" si="133"/>
        <v>112.72</v>
      </c>
      <c r="J397" s="1612">
        <f t="shared" si="134"/>
        <v>0</v>
      </c>
      <c r="K397" s="2078">
        <f t="shared" ca="1" si="135"/>
        <v>0</v>
      </c>
      <c r="L397" s="1574" t="e">
        <f t="shared" si="136"/>
        <v>#DIV/0!</v>
      </c>
      <c r="M397" s="1589" t="s">
        <v>1858</v>
      </c>
      <c r="N397" s="833"/>
      <c r="O397" s="842"/>
      <c r="Q397" s="842"/>
      <c r="R397" s="842"/>
      <c r="S397" s="842"/>
      <c r="T397" s="842"/>
      <c r="U397" s="842"/>
      <c r="V397" s="842"/>
      <c r="W397" s="842"/>
      <c r="X397" s="833"/>
    </row>
    <row r="398" spans="1:24" s="813" customFormat="1" ht="39.950000000000003" hidden="1" customHeight="1" x14ac:dyDescent="0.15">
      <c r="A398" s="2081">
        <f t="shared" ca="1" si="137"/>
        <v>5</v>
      </c>
      <c r="B398" s="834">
        <v>100324</v>
      </c>
      <c r="C398" s="2" t="str">
        <f>VLOOKUP($B398,[4]BOLETIM_SEL!$A:$H,2,0)</f>
        <v>SINAPI</v>
      </c>
      <c r="D398" s="315" t="str">
        <f>VLOOKUP($B398,[4]BOLETIM_SEL!$A:$H,4,0)</f>
        <v>Lastro com material granular (pedra britada n.1 e pedra britada n.2), aplicado em pisos ou radiers, espessura de *10 cm*. AF_07/2019</v>
      </c>
      <c r="E398" s="2"/>
      <c r="F398" s="2" t="str">
        <f>VLOOKUP($B398,[4]BOLETIM_SEL!$A:$H,6,0)</f>
        <v>M3</v>
      </c>
      <c r="G398" s="1407">
        <f>VLOOKUP($B398,[4]BOLETIM_SEL!$A:$H,7,0)</f>
        <v>141.04</v>
      </c>
      <c r="H398" s="1613">
        <f>Bacia_Amortecimento!J102</f>
        <v>0</v>
      </c>
      <c r="I398" s="877">
        <f t="shared" ref="I398" si="147">TRUNC(G398*(1+$J$5),2)</f>
        <v>170.23</v>
      </c>
      <c r="J398" s="1612">
        <f t="shared" ref="J398" si="148">TRUNC(H398*I398,2)</f>
        <v>0</v>
      </c>
      <c r="K398" s="2078">
        <f t="shared" ca="1" si="135"/>
        <v>0</v>
      </c>
      <c r="L398" s="1574" t="e">
        <f t="shared" ref="L398" si="149">J398/$J$314</f>
        <v>#DIV/0!</v>
      </c>
      <c r="M398" s="1589" t="s">
        <v>1858</v>
      </c>
      <c r="N398" s="833"/>
      <c r="O398" s="842"/>
      <c r="Q398" s="842"/>
      <c r="R398" s="842"/>
      <c r="S398" s="842"/>
      <c r="T398" s="842"/>
      <c r="U398" s="842"/>
      <c r="V398" s="842"/>
      <c r="W398" s="842"/>
      <c r="X398" s="833"/>
    </row>
    <row r="399" spans="1:24" s="813" customFormat="1" ht="30" hidden="1" customHeight="1" x14ac:dyDescent="0.15">
      <c r="A399" s="2081">
        <f t="shared" ca="1" si="137"/>
        <v>5</v>
      </c>
      <c r="B399" s="834">
        <f>IF(M399="RETANGULAR",92396,92402)</f>
        <v>92396</v>
      </c>
      <c r="C399" s="2" t="str">
        <f>VLOOKUP($B399,[4]BOLETIM_SEL!$A:$H,2,0)</f>
        <v>SINAPI</v>
      </c>
      <c r="D399" s="315" t="str">
        <f>VLOOKUP($B399,[4]BOLETIM_SEL!$A:$H,4,0)</f>
        <v>Execução de passeio em piso intertravado, com bloco retangular cor natural de 20 x 10 cm, espessura 6 cm. AF_12/2015</v>
      </c>
      <c r="E399" s="2"/>
      <c r="F399" s="2" t="str">
        <f>VLOOKUP($B399,[4]BOLETIM_SEL!$A:$H,6,0)</f>
        <v>M2</v>
      </c>
      <c r="G399" s="1407">
        <f>VLOOKUP($B399,[4]BOLETIM_SEL!$A:$H,7,0)</f>
        <v>75.260000000000005</v>
      </c>
      <c r="H399" s="1613">
        <f>Bacia_Amortecimento!J103</f>
        <v>0</v>
      </c>
      <c r="I399" s="877">
        <f t="shared" si="133"/>
        <v>90.83</v>
      </c>
      <c r="J399" s="1612">
        <f t="shared" si="134"/>
        <v>0</v>
      </c>
      <c r="K399" s="2078">
        <f t="shared" ca="1" si="135"/>
        <v>0</v>
      </c>
      <c r="L399" s="1574" t="e">
        <f t="shared" si="136"/>
        <v>#DIV/0!</v>
      </c>
      <c r="M399" s="1589" t="s">
        <v>2057</v>
      </c>
      <c r="N399" s="833"/>
      <c r="O399" s="842"/>
      <c r="Q399" s="842"/>
      <c r="R399" s="842"/>
      <c r="S399" s="842"/>
      <c r="T399" s="842"/>
      <c r="U399" s="842"/>
      <c r="V399" s="842"/>
      <c r="W399" s="842"/>
      <c r="X399" s="833"/>
    </row>
    <row r="400" spans="1:24" s="813" customFormat="1" ht="24.95" hidden="1" customHeight="1" x14ac:dyDescent="0.15">
      <c r="A400" s="2081"/>
      <c r="B400" s="834"/>
      <c r="C400" s="2"/>
      <c r="D400" s="1452" t="s">
        <v>1806</v>
      </c>
      <c r="E400" s="2"/>
      <c r="F400" s="2"/>
      <c r="G400" s="1407"/>
      <c r="H400" s="2"/>
      <c r="I400" s="2"/>
      <c r="J400" s="839" t="str">
        <f>IF(J401=0,"-","")</f>
        <v>-</v>
      </c>
      <c r="K400" s="2078"/>
      <c r="L400" s="1574"/>
      <c r="M400" s="1445" t="s">
        <v>1953</v>
      </c>
      <c r="O400" s="833"/>
      <c r="P400" s="833"/>
      <c r="Q400" s="833"/>
      <c r="R400" s="833"/>
      <c r="S400" s="833"/>
      <c r="T400" s="833"/>
      <c r="U400" s="833"/>
      <c r="V400" s="833"/>
      <c r="W400" s="833"/>
      <c r="X400" s="833"/>
    </row>
    <row r="401" spans="1:24" s="813" customFormat="1" ht="39.950000000000003" hidden="1" customHeight="1" x14ac:dyDescent="0.15">
      <c r="A401" s="2081">
        <f ca="1">IF(H401&gt;0,A399+0.01,A399)</f>
        <v>5</v>
      </c>
      <c r="B401" s="834">
        <v>95876</v>
      </c>
      <c r="C401" s="2" t="str">
        <f>VLOOKUP($B401,[4]BOLETIM_SEL!$A:$H,2,0)</f>
        <v>SINAPI</v>
      </c>
      <c r="D401" s="315" t="str">
        <f>VLOOKUP($B401,[4]BOLETIM_SEL!$A:$H,4,0)</f>
        <v>Transporte com caminhão basculante de 14 m3, em via urbana pavimentada, DMT até 30,00 km (unidade: m3xkm). AF_07/2020</v>
      </c>
      <c r="E401" s="2">
        <f>Dados_DMT!$B$17</f>
        <v>4</v>
      </c>
      <c r="F401" s="2" t="str">
        <f>VLOOKUP($B401,[4]BOLETIM_SEL!$A:$H,6,0)</f>
        <v>M3XKM</v>
      </c>
      <c r="G401" s="1407">
        <f>VLOOKUP($B401,[4]BOLETIM_SEL!$A:$H,7,0)</f>
        <v>1.93</v>
      </c>
      <c r="H401" s="1613">
        <f>ROUND(Bacia_Amortecimento!J104*E401,2)</f>
        <v>0</v>
      </c>
      <c r="I401" s="877">
        <f>TRUNC(G401*(1+$J$5),2)</f>
        <v>2.3199999999999998</v>
      </c>
      <c r="J401" s="1612">
        <f>TRUNC(H401*I401,2)</f>
        <v>0</v>
      </c>
      <c r="K401" s="2078">
        <f ca="1">J401/J$967</f>
        <v>0</v>
      </c>
      <c r="L401" s="1574" t="e">
        <f t="shared" si="136"/>
        <v>#DIV/0!</v>
      </c>
      <c r="M401" s="1453">
        <v>2000</v>
      </c>
      <c r="O401" s="1414"/>
      <c r="P401" s="833"/>
      <c r="Q401" s="833"/>
      <c r="R401" s="833"/>
      <c r="S401" s="833"/>
      <c r="T401" s="833"/>
      <c r="U401" s="833"/>
      <c r="V401" s="833"/>
      <c r="W401" s="833"/>
      <c r="X401" s="833"/>
    </row>
    <row r="402" spans="1:24" s="813" customFormat="1" ht="24.95" hidden="1" customHeight="1" x14ac:dyDescent="0.15">
      <c r="A402" s="2081"/>
      <c r="B402" s="2"/>
      <c r="C402" s="2"/>
      <c r="D402" s="1452" t="s">
        <v>1803</v>
      </c>
      <c r="E402" s="2"/>
      <c r="F402" s="2"/>
      <c r="G402" s="1407"/>
      <c r="H402" s="2"/>
      <c r="I402" s="2"/>
      <c r="J402" s="839" t="str">
        <f>IF(J403=0,"-","")</f>
        <v>-</v>
      </c>
      <c r="K402" s="2078"/>
      <c r="L402" s="1574"/>
      <c r="M402" s="1445" t="s">
        <v>1951</v>
      </c>
      <c r="N402" s="833"/>
      <c r="O402" s="833"/>
      <c r="Q402" s="833"/>
      <c r="R402" s="833"/>
      <c r="S402" s="833"/>
      <c r="T402" s="833"/>
      <c r="U402" s="833"/>
      <c r="V402" s="833"/>
      <c r="W402" s="833"/>
      <c r="X402" s="833"/>
    </row>
    <row r="403" spans="1:24" s="813" customFormat="1" ht="39.950000000000003" hidden="1" customHeight="1" x14ac:dyDescent="0.15">
      <c r="A403" s="2081">
        <f ca="1">IF(H403&gt;0,A401+0.01,A401)</f>
        <v>5</v>
      </c>
      <c r="B403" s="834">
        <f>IF(M403="RP",93589,95875)</f>
        <v>95875</v>
      </c>
      <c r="C403" s="2" t="str">
        <f>VLOOKUP($B403,[4]BOLETIM_SEL!$A:$H,2,0)</f>
        <v>SINAPI</v>
      </c>
      <c r="D403" s="315" t="str">
        <f>VLOOKUP($B403,[4]BOLETIM_SEL!$A:$H,4,0)</f>
        <v>Transporte com caminhão basculante de 10 m3, em via urbana pavimentada, DMT até 30,00 km (unidade: m3xkm). AF_07/2020</v>
      </c>
      <c r="E403" s="2">
        <f>Dados_DMT!$B$17</f>
        <v>4</v>
      </c>
      <c r="F403" s="2" t="str">
        <f>VLOOKUP($B403,[4]BOLETIM_SEL!$A:$H,6,0)</f>
        <v>M3XKM</v>
      </c>
      <c r="G403" s="1407">
        <f>VLOOKUP($B403,[4]BOLETIM_SEL!$A:$H,7,0)</f>
        <v>2.1800000000000002</v>
      </c>
      <c r="H403" s="1613">
        <f>ROUND(Bacia_Amortecimento!J105*E403,2)</f>
        <v>0</v>
      </c>
      <c r="I403" s="877">
        <f>TRUNC(G403*(1+$J$5),2)</f>
        <v>2.63</v>
      </c>
      <c r="J403" s="1612">
        <f>TRUNC(H403*I403,2)</f>
        <v>0</v>
      </c>
      <c r="K403" s="2078">
        <f ca="1">J403/J$967</f>
        <v>0</v>
      </c>
      <c r="L403" s="1574" t="e">
        <f t="shared" ref="L403" si="150">J403/$J$314</f>
        <v>#DIV/0!</v>
      </c>
      <c r="M403" s="1589" t="s">
        <v>2111</v>
      </c>
      <c r="N403" s="833"/>
      <c r="O403" s="833"/>
      <c r="Q403" s="833"/>
      <c r="R403" s="833"/>
      <c r="S403" s="833"/>
      <c r="T403" s="833"/>
      <c r="U403" s="833"/>
      <c r="V403" s="833"/>
      <c r="W403" s="833"/>
      <c r="X403" s="833"/>
    </row>
    <row r="404" spans="1:24" s="813" customFormat="1" ht="24.95" hidden="1" customHeight="1" x14ac:dyDescent="0.15">
      <c r="A404" s="2081"/>
      <c r="B404" s="834"/>
      <c r="C404" s="2"/>
      <c r="D404" s="1452" t="s">
        <v>1802</v>
      </c>
      <c r="E404" s="2"/>
      <c r="F404" s="2"/>
      <c r="G404" s="1407"/>
      <c r="H404" s="2"/>
      <c r="I404" s="2"/>
      <c r="J404" s="839" t="str">
        <f>IF(J405=0,"-","")</f>
        <v>-</v>
      </c>
      <c r="K404" s="2078"/>
      <c r="L404" s="1574"/>
      <c r="M404" s="1445" t="s">
        <v>1950</v>
      </c>
      <c r="N404" s="833"/>
      <c r="O404" s="833"/>
      <c r="Q404" s="833"/>
      <c r="R404" s="833"/>
      <c r="S404" s="833"/>
      <c r="T404" s="833"/>
      <c r="U404" s="833"/>
      <c r="V404" s="833"/>
      <c r="W404" s="833"/>
      <c r="X404" s="833"/>
    </row>
    <row r="405" spans="1:24" s="813" customFormat="1" ht="39.950000000000003" hidden="1" customHeight="1" x14ac:dyDescent="0.15">
      <c r="A405" s="2081">
        <f ca="1">IF(H405&gt;0,A403+0.01,A403)</f>
        <v>5</v>
      </c>
      <c r="B405" s="834">
        <f>IF(AND(M405&lt;=50,E405&lt;=30),95875,IF(AND(M405&lt;=50,E405&gt;30),93590,IF(AND(M405&gt;50,E405&lt;=30),95876,93593)))</f>
        <v>95875</v>
      </c>
      <c r="C405" s="2" t="str">
        <f>VLOOKUP($B405,[4]BOLETIM_SEL!$A:$H,2,0)</f>
        <v>SINAPI</v>
      </c>
      <c r="D405" s="315" t="str">
        <f>VLOOKUP($B405,[4]BOLETIM_SEL!$A:$H,4,0)</f>
        <v>Transporte com caminhão basculante de 10 m3, em via urbana pavimentada, DMT até 30,00 km (unidade: m3xkm). AF_07/2020</v>
      </c>
      <c r="E405" s="2">
        <f>Dados_DMT!$B$16</f>
        <v>0</v>
      </c>
      <c r="F405" s="2" t="str">
        <f>VLOOKUP($B405,[4]BOLETIM_SEL!$A:$H,6,0)</f>
        <v>M3XKM</v>
      </c>
      <c r="G405" s="1407">
        <f>VLOOKUP($B405,[4]BOLETIM_SEL!$A:$H,7,0)</f>
        <v>2.1800000000000002</v>
      </c>
      <c r="H405" s="1613">
        <f>ROUND(Bacia_Amortecimento!J106*E405,2)</f>
        <v>0</v>
      </c>
      <c r="I405" s="877">
        <f>TRUNC(G405*(1+$J$5),2)</f>
        <v>2.63</v>
      </c>
      <c r="J405" s="1612">
        <f>TRUNC(H405*I405,2)</f>
        <v>0</v>
      </c>
      <c r="K405" s="2078">
        <f ca="1">J405/J$967</f>
        <v>0</v>
      </c>
      <c r="L405" s="1574" t="e">
        <f t="shared" ref="L405" si="151">J405/$J$314</f>
        <v>#DIV/0!</v>
      </c>
      <c r="M405" s="1453">
        <f>IF(H405=0,0,H405/E405)</f>
        <v>0</v>
      </c>
      <c r="N405" s="833"/>
      <c r="O405" s="833"/>
      <c r="Q405" s="833"/>
      <c r="R405" s="833"/>
      <c r="S405" s="833"/>
      <c r="T405" s="833"/>
      <c r="U405" s="833"/>
      <c r="V405" s="833"/>
      <c r="W405" s="833"/>
      <c r="X405" s="833"/>
    </row>
    <row r="406" spans="1:24" s="813" customFormat="1" ht="24.95" hidden="1" customHeight="1" x14ac:dyDescent="0.15">
      <c r="A406" s="2081"/>
      <c r="B406" s="834"/>
      <c r="C406" s="2"/>
      <c r="D406" s="1452" t="s">
        <v>2134</v>
      </c>
      <c r="E406" s="2"/>
      <c r="F406" s="2"/>
      <c r="G406" s="1407"/>
      <c r="H406" s="2"/>
      <c r="I406" s="2"/>
      <c r="J406" s="839" t="str">
        <f>IF(J407=0,"-","")</f>
        <v>-</v>
      </c>
      <c r="K406" s="2078"/>
      <c r="L406" s="1574"/>
      <c r="M406" s="1445"/>
      <c r="N406" s="833"/>
      <c r="O406" s="833"/>
      <c r="Q406" s="833"/>
      <c r="R406" s="833"/>
      <c r="S406" s="833"/>
      <c r="T406" s="833"/>
      <c r="U406" s="833"/>
      <c r="V406" s="833"/>
      <c r="W406" s="833"/>
      <c r="X406" s="833"/>
    </row>
    <row r="407" spans="1:24" s="813" customFormat="1" ht="30" hidden="1" customHeight="1" x14ac:dyDescent="0.15">
      <c r="A407" s="2081">
        <f ca="1">IF(H407&gt;0,A405+0.01,A405)</f>
        <v>5</v>
      </c>
      <c r="B407" s="2">
        <v>100939</v>
      </c>
      <c r="C407" s="2" t="str">
        <f>VLOOKUP($B407,[4]BOLETIM_SEL!$A:$H,2,0)</f>
        <v>SINAPI</v>
      </c>
      <c r="D407" s="315" t="str">
        <f>VLOOKUP($B407,[4]BOLETIM_SEL!$A:$H,4,0)</f>
        <v>Transporte com caminhão basculante de 14 m3, em via interna (dentro do canteiro - unidade:m3xkm). AF_07/2020</v>
      </c>
      <c r="E407" s="2">
        <f>Dados_DMT!$B$15</f>
        <v>1</v>
      </c>
      <c r="F407" s="2" t="str">
        <f>VLOOKUP($B407,[4]BOLETIM_SEL!$A:$H,6,0)</f>
        <v>M3XKM</v>
      </c>
      <c r="G407" s="1407">
        <f>VLOOKUP($B407,[4]BOLETIM_SEL!$A:$H,7,0)</f>
        <v>5.89</v>
      </c>
      <c r="H407" s="1613">
        <f>ROUND(Bacia_Amortecimento!J107*E407,2)</f>
        <v>0</v>
      </c>
      <c r="I407" s="877">
        <f t="shared" ref="I407" si="152">TRUNC(G407*(1+$J$5),2)</f>
        <v>7.1</v>
      </c>
      <c r="J407" s="1612">
        <f t="shared" ref="J407" si="153">TRUNC(H407*I407,2)</f>
        <v>0</v>
      </c>
      <c r="K407" s="2078">
        <f ca="1">J407/J$967</f>
        <v>0</v>
      </c>
      <c r="L407" s="1574" t="e">
        <f t="shared" ref="L407" si="154">J407/$J$314</f>
        <v>#DIV/0!</v>
      </c>
      <c r="M407" s="1453">
        <f>IF(H407=0,0,H407/E407)</f>
        <v>0</v>
      </c>
      <c r="N407" s="833"/>
      <c r="O407" s="833"/>
      <c r="Q407" s="833"/>
      <c r="R407" s="833"/>
      <c r="S407" s="833"/>
      <c r="T407" s="833"/>
      <c r="U407" s="833"/>
      <c r="V407" s="833"/>
      <c r="W407" s="833"/>
      <c r="X407" s="833"/>
    </row>
    <row r="408" spans="1:24" s="813" customFormat="1" ht="24.95" hidden="1" customHeight="1" x14ac:dyDescent="0.15">
      <c r="A408" s="2081"/>
      <c r="B408" s="834"/>
      <c r="C408" s="2"/>
      <c r="D408" s="1452" t="s">
        <v>1816</v>
      </c>
      <c r="E408" s="2"/>
      <c r="F408" s="2"/>
      <c r="G408" s="1407"/>
      <c r="H408" s="2"/>
      <c r="I408" s="2"/>
      <c r="J408" s="839" t="str">
        <f>IF(J409=0,"-","")</f>
        <v>-</v>
      </c>
      <c r="K408" s="2078"/>
      <c r="L408" s="1574"/>
      <c r="M408" s="1445"/>
      <c r="N408" s="833"/>
      <c r="O408" s="833"/>
      <c r="Q408" s="833"/>
      <c r="R408" s="833"/>
      <c r="S408" s="833"/>
      <c r="T408" s="833"/>
      <c r="U408" s="833"/>
      <c r="V408" s="833"/>
      <c r="W408" s="833"/>
      <c r="X408" s="833"/>
    </row>
    <row r="409" spans="1:24" s="813" customFormat="1" ht="39.950000000000003" hidden="1" customHeight="1" x14ac:dyDescent="0.15">
      <c r="A409" s="2081">
        <f ca="1">IF(H409&gt;0,A405+0.01,A405)</f>
        <v>5</v>
      </c>
      <c r="B409" s="834">
        <f>IF(AND(M409&lt;=50,E409&lt;=30),95875,IF(AND(M409&lt;=50,E409&gt;30),93590,IF(AND(M409&gt;50,E409&lt;=30),95876,93593)))</f>
        <v>95875</v>
      </c>
      <c r="C409" s="2" t="str">
        <f>VLOOKUP($B409,[4]BOLETIM_SEL!$A:$H,2,0)</f>
        <v>SINAPI</v>
      </c>
      <c r="D409" s="315" t="str">
        <f>VLOOKUP($B409,[4]BOLETIM_SEL!$A:$H,4,0)</f>
        <v>Transporte com caminhão basculante de 10 m3, em via urbana pavimentada, DMT até 30,00 km (unidade: m3xkm). AF_07/2020</v>
      </c>
      <c r="E409" s="2">
        <f>Dados_DMT!$B$14</f>
        <v>4</v>
      </c>
      <c r="F409" s="2" t="str">
        <f>VLOOKUP($B409,[4]BOLETIM_SEL!$A:$H,6,0)</f>
        <v>M3XKM</v>
      </c>
      <c r="G409" s="1407">
        <f>VLOOKUP($B409,[4]BOLETIM_SEL!$A:$H,7,0)</f>
        <v>2.1800000000000002</v>
      </c>
      <c r="H409" s="1613">
        <f>ROUND(Bacia_Amortecimento!J108*E409,2)</f>
        <v>0</v>
      </c>
      <c r="I409" s="877">
        <f>TRUNC(G409*(1+$J$5),2)</f>
        <v>2.63</v>
      </c>
      <c r="J409" s="1612">
        <f>TRUNC(H409*I409,2)</f>
        <v>0</v>
      </c>
      <c r="K409" s="2078">
        <f ca="1">J409/J$967</f>
        <v>0</v>
      </c>
      <c r="L409" s="1574" t="e">
        <f t="shared" ref="L409" si="155">J409/$J$314</f>
        <v>#DIV/0!</v>
      </c>
      <c r="M409" s="1453">
        <f>IF(H409=0,0,H409/E409)</f>
        <v>0</v>
      </c>
      <c r="N409" s="833"/>
      <c r="O409" s="833"/>
      <c r="Q409" s="833"/>
      <c r="R409" s="833"/>
      <c r="S409" s="833"/>
      <c r="T409" s="833"/>
      <c r="U409" s="833"/>
      <c r="V409" s="833"/>
      <c r="W409" s="833"/>
      <c r="X409" s="833"/>
    </row>
    <row r="410" spans="1:24" s="813" customFormat="1" ht="24.95" hidden="1" customHeight="1" x14ac:dyDescent="0.15">
      <c r="A410" s="2081"/>
      <c r="B410" s="2"/>
      <c r="C410" s="2"/>
      <c r="D410" s="1452" t="s">
        <v>2190</v>
      </c>
      <c r="E410" s="2"/>
      <c r="F410" s="2"/>
      <c r="G410" s="1407"/>
      <c r="H410" s="2"/>
      <c r="I410" s="2"/>
      <c r="J410" s="839" t="str">
        <f>IF(J411=0,"-","")</f>
        <v>-</v>
      </c>
      <c r="K410" s="2078"/>
      <c r="L410" s="1574"/>
      <c r="M410" s="1445"/>
      <c r="N410" s="833"/>
      <c r="O410" s="833"/>
      <c r="Q410" s="833"/>
      <c r="R410" s="833"/>
      <c r="S410" s="833"/>
      <c r="T410" s="833"/>
      <c r="U410" s="833"/>
      <c r="V410" s="833"/>
      <c r="W410" s="833"/>
      <c r="X410" s="833"/>
    </row>
    <row r="411" spans="1:24" s="813" customFormat="1" ht="39.950000000000003" hidden="1" customHeight="1" x14ac:dyDescent="0.15">
      <c r="A411" s="2081">
        <f ca="1">IF(H411&gt;0,A409+0.01,A409)</f>
        <v>5</v>
      </c>
      <c r="B411" s="834">
        <f>IF(AND(M411&lt;=50,E411&lt;=30),95875,IF(AND(M411&lt;=50,E411&gt;30),93590,IF(AND(M411&gt;50,E411&lt;=30),95876,93593)))</f>
        <v>93590</v>
      </c>
      <c r="C411" s="2" t="str">
        <f>VLOOKUP($B411,[4]BOLETIM_SEL!$A:$H,2,0)</f>
        <v>SINAPI</v>
      </c>
      <c r="D411" s="315" t="str">
        <f>VLOOKUP($B411,[4]BOLETIM_SEL!$A:$H,4,0)</f>
        <v>Transporte com caminhão basculante de 10 m3, em via urbana pavimentada, adicional para DMT excedente a 30,00 km (unidade: m3xkm). AF_07/2020</v>
      </c>
      <c r="E411" s="2">
        <f>Dados_DMT!$B$34</f>
        <v>109</v>
      </c>
      <c r="F411" s="2" t="str">
        <f>VLOOKUP($B411,[4]BOLETIM_SEL!$A:$H,6,0)</f>
        <v>M3XKM</v>
      </c>
      <c r="G411" s="1407">
        <f>VLOOKUP($B411,[4]BOLETIM_SEL!$A:$H,7,0)</f>
        <v>0.85</v>
      </c>
      <c r="H411" s="1613">
        <f>ROUND(Bacia_Amortecimento!J109*E411,2)</f>
        <v>0</v>
      </c>
      <c r="I411" s="877">
        <f>TRUNC(G411*(1+$J$5),2)</f>
        <v>1.02</v>
      </c>
      <c r="J411" s="1612">
        <f>TRUNC(H411*I411,2)</f>
        <v>0</v>
      </c>
      <c r="K411" s="2078">
        <f ca="1">J411/J$967</f>
        <v>0</v>
      </c>
      <c r="L411" s="1574" t="e">
        <f t="shared" ref="L411" si="156">J411/$J$314</f>
        <v>#DIV/0!</v>
      </c>
      <c r="M411" s="1453">
        <f>IF(H411=0,0,H411/E411)</f>
        <v>0</v>
      </c>
      <c r="N411" s="833"/>
      <c r="O411" s="833"/>
      <c r="Q411" s="833"/>
      <c r="R411" s="833"/>
      <c r="S411" s="833"/>
      <c r="T411" s="833"/>
      <c r="U411" s="833"/>
      <c r="V411" s="833"/>
      <c r="W411" s="833"/>
      <c r="X411" s="833"/>
    </row>
    <row r="412" spans="1:24" s="813" customFormat="1" ht="24.95" hidden="1" customHeight="1" x14ac:dyDescent="0.15">
      <c r="A412" s="2081"/>
      <c r="B412" s="834"/>
      <c r="C412" s="834"/>
      <c r="D412" s="835"/>
      <c r="E412" s="2"/>
      <c r="F412" s="834"/>
      <c r="G412" s="1821"/>
      <c r="H412" s="1"/>
      <c r="I412" s="877"/>
      <c r="J412" s="839">
        <f>IF(J314=0,0,"")</f>
        <v>0</v>
      </c>
      <c r="K412" s="2078"/>
      <c r="L412" s="1574"/>
      <c r="M412" s="1833"/>
      <c r="N412" s="833"/>
      <c r="O412" s="833"/>
      <c r="Q412" s="833"/>
      <c r="R412" s="833"/>
      <c r="S412" s="833"/>
      <c r="T412" s="833"/>
      <c r="U412" s="833"/>
      <c r="V412" s="833"/>
      <c r="W412" s="833"/>
      <c r="X412" s="833"/>
    </row>
    <row r="413" spans="1:24" s="833" customFormat="1" ht="24.95" hidden="1" customHeight="1" x14ac:dyDescent="0.15">
      <c r="A413" s="2082">
        <f ca="1">IF(J413&gt;0,INT(A314)+1,IF(J413=0,INT(A314),0))</f>
        <v>5</v>
      </c>
      <c r="B413" s="1633"/>
      <c r="C413" s="1633"/>
      <c r="D413" s="1634" t="s">
        <v>39</v>
      </c>
      <c r="E413" s="1828"/>
      <c r="F413" s="1635"/>
      <c r="G413" s="1820" t="s">
        <v>652</v>
      </c>
      <c r="H413" s="1637"/>
      <c r="I413" s="1640" t="str">
        <f ca="1">CONCATENATE("SUB-TOTAL ",A413)</f>
        <v>SUB-TOTAL 5</v>
      </c>
      <c r="J413" s="1639">
        <f>SUM(J414:J446)</f>
        <v>0</v>
      </c>
      <c r="K413" s="2079">
        <f t="shared" ref="K413:K438" ca="1" si="157">J413/J$967</f>
        <v>0</v>
      </c>
      <c r="L413" s="1610" t="e">
        <f>J413/$J$413</f>
        <v>#DIV/0!</v>
      </c>
      <c r="N413" s="1655" t="s">
        <v>1962</v>
      </c>
      <c r="O413" s="1655" t="s">
        <v>1988</v>
      </c>
    </row>
    <row r="414" spans="1:24" s="813" customFormat="1" ht="39.950000000000003" hidden="1" customHeight="1" x14ac:dyDescent="0.15">
      <c r="A414" s="2081">
        <f t="shared" ref="A414:A438" ca="1" si="158">IF(H414&gt;0,A413+0.01,A413)</f>
        <v>5</v>
      </c>
      <c r="B414" s="834" t="s">
        <v>1462</v>
      </c>
      <c r="C414" s="2" t="str">
        <f>+VLOOKUP($B414,[4]BOLETIM_SEL!$A:$H,2,0)</f>
        <v>COMPOSIÇÃO</v>
      </c>
      <c r="D414" s="315" t="str">
        <f>+VLOOKUP($B414,[4]BOLETIM_SEL!$A:$H,4,0)</f>
        <v>Dreno longitudinal de pavimento, Tipo GH040, altura 0,40 m, com brita (20x20cm), geocomposto drenante e tubo PEAD corrugado perfurado DN 100 mm, inclusive escavação e reaterro (REF. SICRO COD. 2004509)</v>
      </c>
      <c r="E414" s="2"/>
      <c r="F414" s="2" t="str">
        <f>+VLOOKUP($B414,[4]BOLETIM_SEL!$A:$H,6,0)</f>
        <v>M</v>
      </c>
      <c r="G414" s="1407">
        <f>VLOOKUP($B414,[4]BOLETIM_SEL!$A:$H,7,0)</f>
        <v>35.64</v>
      </c>
      <c r="H414" s="1611">
        <f>+Dre_Profunda!I4</f>
        <v>0</v>
      </c>
      <c r="I414" s="877">
        <f t="shared" ref="I414:I429" si="159">+TRUNC(G414*(1+$J$5),2)</f>
        <v>43.01</v>
      </c>
      <c r="J414" s="1612">
        <f>TRUNC(H414*I414,2)</f>
        <v>0</v>
      </c>
      <c r="K414" s="2078">
        <f t="shared" ca="1" si="157"/>
        <v>0</v>
      </c>
      <c r="L414" s="1574" t="e">
        <f>J414/$J$413</f>
        <v>#DIV/0!</v>
      </c>
      <c r="M414" s="1445"/>
      <c r="N414" s="1651">
        <f>VLOOKUP($B414,[4]BOLETIM_SEL!$A:$H,3,0)</f>
        <v>173</v>
      </c>
      <c r="O414" s="1652">
        <f>+H414/N414</f>
        <v>0</v>
      </c>
      <c r="Q414" s="833"/>
      <c r="R414" s="833"/>
      <c r="S414" s="833"/>
      <c r="T414" s="833"/>
      <c r="U414" s="833"/>
      <c r="V414" s="833"/>
      <c r="W414" s="833"/>
      <c r="X414" s="833"/>
    </row>
    <row r="415" spans="1:24" s="813" customFormat="1" ht="39.950000000000003" hidden="1" customHeight="1" x14ac:dyDescent="0.15">
      <c r="A415" s="2081">
        <f t="shared" ca="1" si="158"/>
        <v>5</v>
      </c>
      <c r="B415" s="834" t="s">
        <v>996</v>
      </c>
      <c r="C415" s="2" t="str">
        <f>+VLOOKUP($B415,[4]BOLETIM_SEL!$A:$H,2,0)</f>
        <v>COMPOSIÇÃO</v>
      </c>
      <c r="D415" s="315" t="str">
        <f>+VLOOKUP($B415,[4]BOLETIM_SEL!$A:$H,4,0)</f>
        <v>Dreno longitudinal de pavimento, Tipo GH100, altura 1,00 m, com brita (20x20cm), geocomposto drenante e tubo PEAD corrugado perfurado DN 100 mm, inclusive escavação e reaterro (REF. SICRO COD. 2004511)</v>
      </c>
      <c r="E415" s="2"/>
      <c r="F415" s="2" t="str">
        <f>+VLOOKUP($B415,[4]BOLETIM_SEL!$A:$H,6,0)</f>
        <v>M</v>
      </c>
      <c r="G415" s="1407">
        <f>VLOOKUP($B415,[4]BOLETIM_SEL!$A:$H,7,0)</f>
        <v>62.21</v>
      </c>
      <c r="H415" s="1611">
        <f>+Dre_Profunda!I5</f>
        <v>0</v>
      </c>
      <c r="I415" s="877">
        <f t="shared" si="159"/>
        <v>75.08</v>
      </c>
      <c r="J415" s="1612">
        <f t="shared" ref="J415:J438" si="160">TRUNC(H415*I415,2)</f>
        <v>0</v>
      </c>
      <c r="K415" s="2078">
        <f t="shared" ca="1" si="157"/>
        <v>0</v>
      </c>
      <c r="L415" s="1574" t="e">
        <f t="shared" ref="L415:L438" si="161">J415/$J$413</f>
        <v>#DIV/0!</v>
      </c>
      <c r="M415" s="1445"/>
      <c r="N415" s="1651">
        <f>VLOOKUP($B415,[4]BOLETIM_SEL!$A:$H,3,0)</f>
        <v>132</v>
      </c>
      <c r="O415" s="1652">
        <f>+H415/N415</f>
        <v>0</v>
      </c>
      <c r="Q415" s="833"/>
      <c r="R415" s="833"/>
      <c r="S415" s="833"/>
      <c r="T415" s="833"/>
      <c r="U415" s="833"/>
      <c r="V415" s="833"/>
      <c r="W415" s="833"/>
      <c r="X415" s="833"/>
    </row>
    <row r="416" spans="1:24" s="813" customFormat="1" ht="39.950000000000003" hidden="1" customHeight="1" x14ac:dyDescent="0.15">
      <c r="A416" s="2081">
        <f t="shared" ca="1" si="158"/>
        <v>5</v>
      </c>
      <c r="B416" s="834" t="s">
        <v>1463</v>
      </c>
      <c r="C416" s="2" t="str">
        <f>+VLOOKUP($B416,[4]BOLETIM_SEL!$A:$H,2,0)</f>
        <v>COMPOSIÇÃO</v>
      </c>
      <c r="D416" s="315" t="str">
        <f>+VLOOKUP($B416,[4]BOLETIM_SEL!$A:$H,4,0)</f>
        <v>Dreno longitudinal de pavimento, Tipo GH150, altura 1,50 m, com brita (20x20cm), geocomposto drenante e tubo PEAD corrugado perfurado DN 100 mm, inclusive escavação e reaterro (REF. SICRO COD. 2004512)</v>
      </c>
      <c r="E416" s="2"/>
      <c r="F416" s="2" t="str">
        <f>+VLOOKUP($B416,[4]BOLETIM_SEL!$A:$H,6,0)</f>
        <v>M</v>
      </c>
      <c r="G416" s="1407">
        <f>VLOOKUP($B416,[4]BOLETIM_SEL!$A:$H,7,0)</f>
        <v>84.32</v>
      </c>
      <c r="H416" s="1611">
        <f>+Dre_Profunda!I6</f>
        <v>0</v>
      </c>
      <c r="I416" s="877">
        <f t="shared" si="159"/>
        <v>101.77</v>
      </c>
      <c r="J416" s="1612">
        <f t="shared" si="160"/>
        <v>0</v>
      </c>
      <c r="K416" s="2078">
        <f t="shared" ca="1" si="157"/>
        <v>0</v>
      </c>
      <c r="L416" s="1574" t="e">
        <f t="shared" si="161"/>
        <v>#DIV/0!</v>
      </c>
      <c r="M416" s="1445"/>
      <c r="N416" s="1651">
        <f>VLOOKUP($B416,[4]BOLETIM_SEL!$A:$H,3,0)</f>
        <v>113</v>
      </c>
      <c r="O416" s="1652">
        <f>+H416/N416</f>
        <v>0</v>
      </c>
      <c r="Q416" s="833"/>
      <c r="R416" s="833"/>
      <c r="S416" s="833"/>
      <c r="T416" s="833"/>
      <c r="U416" s="833"/>
      <c r="V416" s="833"/>
      <c r="W416" s="833"/>
      <c r="X416" s="833"/>
    </row>
    <row r="417" spans="1:24" s="813" customFormat="1" ht="39.950000000000003" hidden="1" customHeight="1" x14ac:dyDescent="0.15">
      <c r="A417" s="2081">
        <f t="shared" ca="1" si="158"/>
        <v>5</v>
      </c>
      <c r="B417" s="834" t="s">
        <v>997</v>
      </c>
      <c r="C417" s="2" t="str">
        <f>+VLOOKUP($B417,[4]BOLETIM_SEL!$A:$H,2,0)</f>
        <v>COMPOSIÇÃO</v>
      </c>
      <c r="D417" s="315" t="str">
        <f>+VLOOKUP($B417,[4]BOLETIM_SEL!$A:$H,4,0)</f>
        <v>Dreno francês de lençol freático, Tipo FH100, com tubo PEAD Ø 100mm e brita (50x50cm), incluindo escavação (h=100cm), reaterro e geotextil RT-09. Exclusive transporte e bota-fora</v>
      </c>
      <c r="E417" s="2"/>
      <c r="F417" s="2" t="str">
        <f>+VLOOKUP($B417,[4]BOLETIM_SEL!$A:$H,6,0)</f>
        <v>M</v>
      </c>
      <c r="G417" s="1407">
        <f>VLOOKUP($B417,[4]BOLETIM_SEL!$A:$H,7,0)</f>
        <v>101.61</v>
      </c>
      <c r="H417" s="1611">
        <f>+Dre_Profunda!I7</f>
        <v>0</v>
      </c>
      <c r="I417" s="877">
        <f t="shared" si="159"/>
        <v>122.64</v>
      </c>
      <c r="J417" s="1612">
        <f t="shared" si="160"/>
        <v>0</v>
      </c>
      <c r="K417" s="2078">
        <f t="shared" ca="1" si="157"/>
        <v>0</v>
      </c>
      <c r="L417" s="1574" t="e">
        <f t="shared" si="161"/>
        <v>#DIV/0!</v>
      </c>
      <c r="M417" s="1445"/>
      <c r="N417" s="1651">
        <f>VLOOKUP($B417,[4]BOLETIM_SEL!$A:$H,3,0)</f>
        <v>29.98</v>
      </c>
      <c r="O417" s="1652">
        <f>+H417/N417</f>
        <v>0</v>
      </c>
      <c r="Q417" s="833"/>
      <c r="R417" s="833"/>
      <c r="S417" s="833"/>
      <c r="T417" s="833"/>
      <c r="U417" s="833"/>
      <c r="V417" s="833"/>
      <c r="W417" s="833"/>
      <c r="X417" s="833"/>
    </row>
    <row r="418" spans="1:24" s="813" customFormat="1" ht="39.950000000000003" hidden="1" customHeight="1" x14ac:dyDescent="0.15">
      <c r="A418" s="2081">
        <f t="shared" ca="1" si="158"/>
        <v>5</v>
      </c>
      <c r="B418" s="834" t="s">
        <v>1464</v>
      </c>
      <c r="C418" s="2" t="str">
        <f>+VLOOKUP($B418,[4]BOLETIM_SEL!$A:$H,2,0)</f>
        <v>COMPOSIÇÃO</v>
      </c>
      <c r="D418" s="315" t="str">
        <f>+VLOOKUP($B418,[4]BOLETIM_SEL!$A:$H,4,0)</f>
        <v>Dreno francês de lençol freático, Tipo FH150, com tubo PEAD Ø 150mm e brita (50x100cm), incluindo escavação (h=150cm), reaterro e geotextil RT-09. Exclusive transporte e bota-fora</v>
      </c>
      <c r="E418" s="2"/>
      <c r="F418" s="2" t="str">
        <f>+VLOOKUP($B418,[4]BOLETIM_SEL!$A:$H,6,0)</f>
        <v>M</v>
      </c>
      <c r="G418" s="1407">
        <f>VLOOKUP($B418,[4]BOLETIM_SEL!$A:$H,7,0)</f>
        <v>178.86</v>
      </c>
      <c r="H418" s="1611">
        <f>+Dre_Profunda!I8</f>
        <v>0</v>
      </c>
      <c r="I418" s="877">
        <f t="shared" si="159"/>
        <v>215.88</v>
      </c>
      <c r="J418" s="1612">
        <f t="shared" si="160"/>
        <v>0</v>
      </c>
      <c r="K418" s="2078">
        <f t="shared" ca="1" si="157"/>
        <v>0</v>
      </c>
      <c r="L418" s="1574" t="e">
        <f t="shared" si="161"/>
        <v>#DIV/0!</v>
      </c>
      <c r="M418" s="1445"/>
      <c r="N418" s="1651">
        <f>VLOOKUP($B418,[4]BOLETIM_SEL!$A:$H,3,0)</f>
        <v>19.989999999999998</v>
      </c>
      <c r="O418" s="1652">
        <f>+H418/N418</f>
        <v>0</v>
      </c>
      <c r="Q418" s="833"/>
      <c r="R418" s="833"/>
      <c r="S418" s="833"/>
      <c r="T418" s="833"/>
      <c r="U418" s="833"/>
      <c r="V418" s="833"/>
      <c r="W418" s="833"/>
      <c r="X418" s="833"/>
    </row>
    <row r="419" spans="1:24" s="813" customFormat="1" ht="39.950000000000003" hidden="1" customHeight="1" x14ac:dyDescent="0.15">
      <c r="A419" s="2081">
        <f t="shared" ca="1" si="158"/>
        <v>5</v>
      </c>
      <c r="B419" s="834" t="s">
        <v>1955</v>
      </c>
      <c r="C419" s="2" t="str">
        <f>+VLOOKUP($B419,[4]BOLETIM_SEL!$A:$H,2,0)</f>
        <v>COMPOSIÇÃO</v>
      </c>
      <c r="D419" s="315" t="str">
        <f>+VLOOKUP($B419,[4]BOLETIM_SEL!$A:$H,4,0)</f>
        <v>Tubo dreno, corrugado, espiralado, flexível, perfurado, em polietileno de alta densidade (PEAD), DN 100 mm para drenagem – fornecimento e assentamento em vala</v>
      </c>
      <c r="E419" s="2"/>
      <c r="F419" s="2" t="str">
        <f>+VLOOKUP($B419,[4]BOLETIM_SEL!$A:$H,6,0)</f>
        <v>M</v>
      </c>
      <c r="G419" s="1407">
        <f>VLOOKUP($B419,[4]BOLETIM_SEL!$A:$H,7,0)</f>
        <v>32.090000000000003</v>
      </c>
      <c r="H419" s="1611">
        <f>+Dre_Profunda!I18</f>
        <v>0</v>
      </c>
      <c r="I419" s="877">
        <f t="shared" si="159"/>
        <v>38.729999999999997</v>
      </c>
      <c r="J419" s="1612">
        <f t="shared" ref="J419:J420" si="162">TRUNC(H419*I419,2)</f>
        <v>0</v>
      </c>
      <c r="K419" s="2078">
        <f t="shared" ca="1" si="157"/>
        <v>0</v>
      </c>
      <c r="L419" s="1574" t="e">
        <f t="shared" ref="L419:L420" si="163">J419/$J$413</f>
        <v>#DIV/0!</v>
      </c>
      <c r="M419" s="1445"/>
      <c r="N419" s="1653"/>
      <c r="O419" s="1652"/>
      <c r="Q419" s="833"/>
      <c r="R419" s="833"/>
      <c r="S419" s="833"/>
      <c r="T419" s="833"/>
      <c r="U419" s="833"/>
      <c r="V419" s="833"/>
      <c r="W419" s="833"/>
      <c r="X419" s="833"/>
    </row>
    <row r="420" spans="1:24" s="813" customFormat="1" ht="39.950000000000003" hidden="1" customHeight="1" x14ac:dyDescent="0.15">
      <c r="A420" s="2081">
        <f t="shared" ca="1" si="158"/>
        <v>5</v>
      </c>
      <c r="B420" s="834" t="s">
        <v>1956</v>
      </c>
      <c r="C420" s="2" t="str">
        <f>+VLOOKUP($B420,[4]BOLETIM_SEL!$A:$H,2,0)</f>
        <v>COMPOSIÇÃO</v>
      </c>
      <c r="D420" s="315" t="str">
        <f>+VLOOKUP($B420,[4]BOLETIM_SEL!$A:$H,4,0)</f>
        <v>Tubo dreno, corrugado, espiralado, flexível, perfurado, em polietileno de alta densidade (PEAD), DN 150 mm para drenagem – fornecimento e assentamento em vala</v>
      </c>
      <c r="E420" s="2"/>
      <c r="F420" s="2" t="str">
        <f>+VLOOKUP($B420,[4]BOLETIM_SEL!$A:$H,6,0)</f>
        <v>M</v>
      </c>
      <c r="G420" s="1407">
        <f>VLOOKUP($B420,[4]BOLETIM_SEL!$A:$H,7,0)</f>
        <v>44.8</v>
      </c>
      <c r="H420" s="1611">
        <f>+Dre_Profunda!I19</f>
        <v>0</v>
      </c>
      <c r="I420" s="877">
        <f t="shared" si="159"/>
        <v>54.07</v>
      </c>
      <c r="J420" s="1612">
        <f t="shared" si="162"/>
        <v>0</v>
      </c>
      <c r="K420" s="2078">
        <f t="shared" ca="1" si="157"/>
        <v>0</v>
      </c>
      <c r="L420" s="1574" t="e">
        <f t="shared" si="163"/>
        <v>#DIV/0!</v>
      </c>
      <c r="M420" s="1445"/>
      <c r="N420" s="1653"/>
      <c r="O420" s="1652"/>
      <c r="Q420" s="833"/>
      <c r="R420" s="833"/>
      <c r="S420" s="833"/>
      <c r="T420" s="833"/>
      <c r="U420" s="833"/>
      <c r="V420" s="833"/>
      <c r="W420" s="833"/>
      <c r="X420" s="833"/>
    </row>
    <row r="421" spans="1:24" s="813" customFormat="1" ht="39.950000000000003" hidden="1" customHeight="1" x14ac:dyDescent="0.15">
      <c r="A421" s="2081">
        <f t="shared" ca="1" si="158"/>
        <v>5</v>
      </c>
      <c r="B421" s="834" t="s">
        <v>1679</v>
      </c>
      <c r="C421" s="2" t="str">
        <f>+VLOOKUP($B421,[4]BOLETIM_SEL!$A:$H,2,0)</f>
        <v>COMPOSIÇÃO</v>
      </c>
      <c r="D421" s="315" t="str">
        <f>+VLOOKUP($B421,[4]BOLETIM_SEL!$A:$H,4,0)</f>
        <v>Escavação de vala em rocha - 3a categoria, com uso de explosivos e perfuração mecânica, em locais com alto nível de interferência. Inclusive carga</v>
      </c>
      <c r="E421" s="2"/>
      <c r="F421" s="2" t="str">
        <f>+VLOOKUP($B421,[4]BOLETIM_SEL!$A:$H,6,0)</f>
        <v>M3</v>
      </c>
      <c r="G421" s="1407">
        <f>VLOOKUP($B421,[4]BOLETIM_SEL!$A:$H,7,0)</f>
        <v>463.69</v>
      </c>
      <c r="H421" s="1611">
        <f>+Dre_Profunda!I29</f>
        <v>0</v>
      </c>
      <c r="I421" s="877">
        <f t="shared" si="159"/>
        <v>559.66999999999996</v>
      </c>
      <c r="J421" s="1612">
        <f t="shared" si="160"/>
        <v>0</v>
      </c>
      <c r="K421" s="2078">
        <f t="shared" ca="1" si="157"/>
        <v>0</v>
      </c>
      <c r="L421" s="1574" t="e">
        <f t="shared" si="161"/>
        <v>#DIV/0!</v>
      </c>
      <c r="M421" s="1445"/>
      <c r="N421" s="1654">
        <f>VLOOKUP($B421,[4]BOLETIM_SEL!$A:$H,3,0)</f>
        <v>3</v>
      </c>
      <c r="O421" s="1652">
        <f>+H421/N421</f>
        <v>0</v>
      </c>
      <c r="Q421" s="833"/>
      <c r="R421" s="833"/>
      <c r="S421" s="833"/>
      <c r="T421" s="833"/>
      <c r="U421" s="833"/>
      <c r="V421" s="833"/>
      <c r="W421" s="833"/>
      <c r="X421" s="833"/>
    </row>
    <row r="422" spans="1:24" s="813" customFormat="1" ht="50.1" hidden="1" customHeight="1" x14ac:dyDescent="0.15">
      <c r="A422" s="2081">
        <f t="shared" ca="1" si="158"/>
        <v>5</v>
      </c>
      <c r="B422" s="834">
        <v>90099</v>
      </c>
      <c r="C422" s="2" t="str">
        <f>+VLOOKUP($B422,[4]BOLETIM_SEL!$A:$H,2,0)</f>
        <v>SINAPI</v>
      </c>
      <c r="D422" s="315" t="str">
        <f>+VLOOKUP($B422,[4]BOLETIM_SEL!$A:$H,4,0)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422" s="2"/>
      <c r="F422" s="2" t="str">
        <f>+VLOOKUP($B422,[4]BOLETIM_SEL!$A:$H,6,0)</f>
        <v>M3</v>
      </c>
      <c r="G422" s="1407">
        <f>VLOOKUP($B422,[4]BOLETIM_SEL!$A:$H,7,0)</f>
        <v>14.49</v>
      </c>
      <c r="H422" s="1611">
        <f>+Dre_Profunda!I30</f>
        <v>0</v>
      </c>
      <c r="I422" s="877">
        <f t="shared" si="159"/>
        <v>17.48</v>
      </c>
      <c r="J422" s="1612">
        <f t="shared" si="160"/>
        <v>0</v>
      </c>
      <c r="K422" s="2078">
        <f t="shared" ca="1" si="157"/>
        <v>0</v>
      </c>
      <c r="L422" s="1574" t="e">
        <f t="shared" si="161"/>
        <v>#DIV/0!</v>
      </c>
      <c r="M422" s="1445" t="str">
        <f>VLOOKUP($B422,[4]BOLETIM_SEL!$A:$H,5,0)</f>
        <v>H &lt; 1,50
alta Interferência</v>
      </c>
      <c r="N422" s="1654">
        <f>VLOOKUP($B422,[4]BOLETIM_SEL!$A:$H,3,0)</f>
        <v>7.62</v>
      </c>
      <c r="O422" s="1652">
        <f>+H422/N422</f>
        <v>0</v>
      </c>
      <c r="Q422" s="833"/>
      <c r="R422" s="833"/>
      <c r="S422" s="833"/>
      <c r="T422" s="833"/>
      <c r="U422" s="833"/>
      <c r="V422" s="833"/>
      <c r="W422" s="833"/>
      <c r="X422" s="833"/>
    </row>
    <row r="423" spans="1:24" s="813" customFormat="1" ht="30" hidden="1" customHeight="1" x14ac:dyDescent="0.15">
      <c r="A423" s="2081">
        <f t="shared" ca="1" si="158"/>
        <v>5</v>
      </c>
      <c r="B423" s="834" t="s">
        <v>1849</v>
      </c>
      <c r="C423" s="2" t="str">
        <f>+VLOOKUP($B423,[4]BOLETIM_SEL!$A:$H,2,0)</f>
        <v>COMPOSIÇÃO</v>
      </c>
      <c r="D423" s="315" t="str">
        <f>+VLOOKUP($B423,[4]BOLETIM_SEL!$A:$H,4,0)</f>
        <v>Escavação mecânica de vala para drenagem com mimiescavadeira em material de 1a categoria (REF. SINAPI COD. 96525)</v>
      </c>
      <c r="E423" s="2"/>
      <c r="F423" s="2" t="str">
        <f>+VLOOKUP($B423,[4]BOLETIM_SEL!$A:$H,6,0)</f>
        <v>M3</v>
      </c>
      <c r="G423" s="1407">
        <f>VLOOKUP($B423,[4]BOLETIM_SEL!$A:$H,7,0)</f>
        <v>43.53</v>
      </c>
      <c r="H423" s="1611">
        <f>+Dre_Profunda!I31</f>
        <v>0</v>
      </c>
      <c r="I423" s="877">
        <f t="shared" si="159"/>
        <v>52.54</v>
      </c>
      <c r="J423" s="1612">
        <f t="shared" si="160"/>
        <v>0</v>
      </c>
      <c r="K423" s="2078">
        <f t="shared" ca="1" si="157"/>
        <v>0</v>
      </c>
      <c r="L423" s="1574" t="e">
        <f t="shared" si="161"/>
        <v>#DIV/0!</v>
      </c>
      <c r="M423" s="1445"/>
      <c r="N423" s="1654">
        <f>VLOOKUP($B423,[4]BOLETIM_SEL!$A:$H,3,0)</f>
        <v>2.33</v>
      </c>
      <c r="O423" s="1652">
        <f>+H423/N423</f>
        <v>0</v>
      </c>
      <c r="Q423" s="833"/>
      <c r="R423" s="833"/>
      <c r="S423" s="833"/>
      <c r="T423" s="833"/>
      <c r="U423" s="833"/>
      <c r="V423" s="833"/>
      <c r="W423" s="833"/>
      <c r="X423" s="833"/>
    </row>
    <row r="424" spans="1:24" s="813" customFormat="1" ht="30" hidden="1" customHeight="1" x14ac:dyDescent="0.15">
      <c r="A424" s="2081">
        <f t="shared" ca="1" si="158"/>
        <v>5</v>
      </c>
      <c r="B424" s="834">
        <v>93382</v>
      </c>
      <c r="C424" s="2" t="str">
        <f>+VLOOKUP($B424,[4]BOLETIM_SEL!$A:$H,2,0)</f>
        <v>SINAPI</v>
      </c>
      <c r="D424" s="315" t="str">
        <f>+VLOOKUP($B424,[4]BOLETIM_SEL!$A:$H,4,0)</f>
        <v>Reaterro manual de valas com compactação mecanizada. AF_04/2016</v>
      </c>
      <c r="E424" s="2"/>
      <c r="F424" s="2" t="str">
        <f>+VLOOKUP($B424,[4]BOLETIM_SEL!$A:$H,6,0)</f>
        <v>M3</v>
      </c>
      <c r="G424" s="1407">
        <f>VLOOKUP($B424,[4]BOLETIM_SEL!$A:$H,7,0)</f>
        <v>30.35</v>
      </c>
      <c r="H424" s="1611">
        <f>+Dre_Profunda!I32</f>
        <v>0</v>
      </c>
      <c r="I424" s="877">
        <f t="shared" si="159"/>
        <v>36.630000000000003</v>
      </c>
      <c r="J424" s="1612">
        <f t="shared" si="160"/>
        <v>0</v>
      </c>
      <c r="K424" s="2078">
        <f t="shared" ca="1" si="157"/>
        <v>0</v>
      </c>
      <c r="L424" s="1574" t="e">
        <f t="shared" si="161"/>
        <v>#DIV/0!</v>
      </c>
      <c r="M424" s="1445"/>
      <c r="N424" s="833"/>
      <c r="O424" s="833"/>
      <c r="Q424" s="833"/>
      <c r="R424" s="833"/>
      <c r="S424" s="833"/>
      <c r="T424" s="833"/>
      <c r="U424" s="833"/>
      <c r="V424" s="833"/>
      <c r="W424" s="833"/>
      <c r="X424" s="833"/>
    </row>
    <row r="425" spans="1:24" s="813" customFormat="1" ht="30" hidden="1" customHeight="1" x14ac:dyDescent="0.15">
      <c r="A425" s="2081">
        <f t="shared" ca="1" si="158"/>
        <v>5</v>
      </c>
      <c r="B425" s="2019">
        <v>101570</v>
      </c>
      <c r="C425" s="2" t="str">
        <f>+VLOOKUP($B425,[4]BOLETIM_SEL!$A:$H,2,0)</f>
        <v>SINAPI</v>
      </c>
      <c r="D425" s="315" t="str">
        <f>+VLOOKUP($B425,[4]BOLETIM_SEL!$A:$H,4,0)</f>
        <v>Escoramento de vala, tipo pontaleteamento, com profundidade de 0,00 a 1,50 m, largura menor que 1,50 m. AF_08/2020</v>
      </c>
      <c r="E425" s="2"/>
      <c r="F425" s="2" t="str">
        <f>+VLOOKUP($B425,[4]BOLETIM_SEL!$A:$H,6,0)</f>
        <v>M2</v>
      </c>
      <c r="G425" s="1407">
        <f>VLOOKUP($B425,[4]BOLETIM_SEL!$A:$H,7,0)</f>
        <v>22.03</v>
      </c>
      <c r="H425" s="1611">
        <f>+Dre_Profunda!I35</f>
        <v>0</v>
      </c>
      <c r="I425" s="877">
        <f t="shared" si="159"/>
        <v>26.59</v>
      </c>
      <c r="J425" s="1612">
        <f t="shared" si="160"/>
        <v>0</v>
      </c>
      <c r="K425" s="2078">
        <f t="shared" ca="1" si="157"/>
        <v>0</v>
      </c>
      <c r="L425" s="1574" t="e">
        <f t="shared" si="161"/>
        <v>#DIV/0!</v>
      </c>
      <c r="M425" s="1445" t="str">
        <f>VLOOKUP($B425,[4]BOLETIM_SEL!$A:$H,5,0)</f>
        <v>PONTALETEAMENTO</v>
      </c>
      <c r="N425" s="833"/>
      <c r="O425" s="833"/>
      <c r="Q425" s="833"/>
      <c r="R425" s="833"/>
      <c r="S425" s="833"/>
      <c r="T425" s="833"/>
      <c r="U425" s="833"/>
      <c r="V425" s="833"/>
      <c r="W425" s="833"/>
      <c r="X425" s="833"/>
    </row>
    <row r="426" spans="1:24" s="813" customFormat="1" ht="39.950000000000003" hidden="1" customHeight="1" x14ac:dyDescent="0.15">
      <c r="A426" s="2081">
        <f t="shared" ca="1" si="158"/>
        <v>5</v>
      </c>
      <c r="B426" s="834">
        <v>102712</v>
      </c>
      <c r="C426" s="2" t="str">
        <f>+VLOOKUP($B426,[4]BOLETIM_SEL!$A:$H,2,0)</f>
        <v>SINAPI</v>
      </c>
      <c r="D426" s="315" t="str">
        <f>+VLOOKUP($B426,[4]BOLETIM_SEL!$A:$H,4,0)</f>
        <v>Geotêxtil não tecido 100% poliéster, resistência a tração de 9 kn/m (RT - 9), instalado em dreno - fornecimento e instalação. AF_07/2021</v>
      </c>
      <c r="E426" s="2"/>
      <c r="F426" s="2" t="str">
        <f>+VLOOKUP($B426,[4]BOLETIM_SEL!$A:$H,6,0)</f>
        <v>M2</v>
      </c>
      <c r="G426" s="1407">
        <f>VLOOKUP($B426,[4]BOLETIM_SEL!$A:$H,7,0)</f>
        <v>13.94</v>
      </c>
      <c r="H426" s="1611">
        <f>+Dre_Profunda!I37</f>
        <v>0</v>
      </c>
      <c r="I426" s="877">
        <f t="shared" si="159"/>
        <v>16.82</v>
      </c>
      <c r="J426" s="1612">
        <f t="shared" si="160"/>
        <v>0</v>
      </c>
      <c r="K426" s="2078">
        <f t="shared" ca="1" si="157"/>
        <v>0</v>
      </c>
      <c r="L426" s="1574" t="e">
        <f t="shared" si="161"/>
        <v>#DIV/0!</v>
      </c>
      <c r="M426" s="1445"/>
      <c r="N426" s="833"/>
      <c r="O426" s="833"/>
      <c r="Q426" s="833"/>
      <c r="R426" s="833"/>
      <c r="S426" s="833"/>
      <c r="T426" s="833"/>
      <c r="U426" s="833"/>
      <c r="V426" s="833"/>
      <c r="W426" s="833"/>
      <c r="X426" s="833"/>
    </row>
    <row r="427" spans="1:24" s="813" customFormat="1" ht="30" hidden="1" customHeight="1" x14ac:dyDescent="0.15">
      <c r="A427" s="2081">
        <f t="shared" ca="1" si="158"/>
        <v>5</v>
      </c>
      <c r="B427" s="834" t="s">
        <v>1844</v>
      </c>
      <c r="C427" s="2" t="str">
        <f>+VLOOKUP($B427,[4]BOLETIM_SEL!$A:$H,2,0)</f>
        <v>COMPOSIÇÃO</v>
      </c>
      <c r="D427" s="315" t="str">
        <f>+VLOOKUP($B427,[4]BOLETIM_SEL!$A:$H,4,0)</f>
        <v>Brita n. 2 para dreno, lançamento manual, em local com nível baixo de interferência. Fornecimento, exclusive transporte</v>
      </c>
      <c r="E427" s="2"/>
      <c r="F427" s="2" t="str">
        <f>+VLOOKUP($B427,[4]BOLETIM_SEL!$A:$H,6,0)</f>
        <v>M3</v>
      </c>
      <c r="G427" s="1407">
        <f>VLOOKUP($B427,[4]BOLETIM_SEL!$A:$H,7,0)</f>
        <v>179.54</v>
      </c>
      <c r="H427" s="1611">
        <f>+Dre_Profunda!I43</f>
        <v>0</v>
      </c>
      <c r="I427" s="877">
        <f t="shared" si="159"/>
        <v>216.7</v>
      </c>
      <c r="J427" s="1612">
        <f t="shared" si="160"/>
        <v>0</v>
      </c>
      <c r="K427" s="2078">
        <f t="shared" ca="1" si="157"/>
        <v>0</v>
      </c>
      <c r="L427" s="1574" t="e">
        <f t="shared" si="161"/>
        <v>#DIV/0!</v>
      </c>
      <c r="M427" s="1445"/>
      <c r="N427" s="833"/>
      <c r="O427" s="833"/>
      <c r="Q427" s="833"/>
      <c r="R427" s="833"/>
      <c r="S427" s="833"/>
      <c r="T427" s="833"/>
      <c r="U427" s="833"/>
      <c r="V427" s="833"/>
      <c r="W427" s="833"/>
      <c r="X427" s="833"/>
    </row>
    <row r="428" spans="1:24" s="813" customFormat="1" ht="50.1" hidden="1" customHeight="1" x14ac:dyDescent="0.15">
      <c r="A428" s="2081">
        <f t="shared" ca="1" si="158"/>
        <v>5</v>
      </c>
      <c r="B428" s="834">
        <v>93374</v>
      </c>
      <c r="C428" s="2" t="str">
        <f>+VLOOKUP($B428,[4]BOLETIM_SEL!$A:$H,2,0)</f>
        <v>SINAPI</v>
      </c>
      <c r="D428" s="315" t="str">
        <f>+VLOOKUP($B428,[4]BOLETIM_SEL!$A:$H,4,0)</f>
        <v>Reaterro mecanizado de vala com retroescavadeira (capacidade da caçamba da retro: 0,26 m3 / potência: 88 HP), largura até 0,80 m, profundidade até 1,50 m, com solo (sem substituição) de 1a categoria em locais com alto nível de interferência. AF_04/2016</v>
      </c>
      <c r="E428" s="2"/>
      <c r="F428" s="2" t="str">
        <f>+VLOOKUP($B428,[4]BOLETIM_SEL!$A:$H,6,0)</f>
        <v>M3</v>
      </c>
      <c r="G428" s="1407">
        <f>VLOOKUP($B428,[4]BOLETIM_SEL!$A:$H,7,0)</f>
        <v>25.01</v>
      </c>
      <c r="H428" s="1611">
        <f>+Dre_Profunda!I45</f>
        <v>0</v>
      </c>
      <c r="I428" s="877">
        <f t="shared" si="159"/>
        <v>30.18</v>
      </c>
      <c r="J428" s="1612">
        <f t="shared" si="160"/>
        <v>0</v>
      </c>
      <c r="K428" s="2078">
        <f t="shared" ca="1" si="157"/>
        <v>0</v>
      </c>
      <c r="L428" s="1574" t="e">
        <f t="shared" si="161"/>
        <v>#DIV/0!</v>
      </c>
      <c r="M428" s="1445" t="str">
        <f>VLOOKUP($B428,[4]BOLETIM_SEL!$A:$H,5,0)</f>
        <v>H &lt; 1,50
alta Interferência</v>
      </c>
      <c r="N428" s="833"/>
      <c r="O428" s="833"/>
      <c r="Q428" s="833"/>
      <c r="R428" s="833"/>
      <c r="S428" s="833"/>
      <c r="T428" s="833"/>
      <c r="U428" s="833"/>
      <c r="V428" s="833"/>
      <c r="W428" s="833"/>
      <c r="X428" s="833"/>
    </row>
    <row r="429" spans="1:24" s="813" customFormat="1" ht="50.1" hidden="1" customHeight="1" x14ac:dyDescent="0.15">
      <c r="A429" s="2081">
        <f t="shared" ca="1" si="158"/>
        <v>5</v>
      </c>
      <c r="B429" s="834">
        <v>101230</v>
      </c>
      <c r="C429" s="2" t="str">
        <f>+VLOOKUP($B429,[4]BOLETIM_SEL!$A:$H,2,0)</f>
        <v>SINAPI</v>
      </c>
      <c r="D429" s="315" t="str">
        <f>+VLOOKUP($B429,[4]BOLETIM_SEL!$A:$H,4,0)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29" s="2"/>
      <c r="F429" s="2" t="str">
        <f>+VLOOKUP($B429,[4]BOLETIM_SEL!$A:$H,6,0)</f>
        <v>M3</v>
      </c>
      <c r="G429" s="1407">
        <f>VLOOKUP($B429,[4]BOLETIM_SEL!$A:$H,7,0)</f>
        <v>10.029999999999999</v>
      </c>
      <c r="H429" s="1611">
        <f>IF(H430=0,Dre_Profunda!I50,0)</f>
        <v>0</v>
      </c>
      <c r="I429" s="877">
        <f t="shared" si="159"/>
        <v>12.1</v>
      </c>
      <c r="J429" s="1612">
        <f t="shared" ref="J429" si="164">TRUNC(H429*I429,2)</f>
        <v>0</v>
      </c>
      <c r="K429" s="2078">
        <f t="shared" ca="1" si="157"/>
        <v>0</v>
      </c>
      <c r="L429" s="1574" t="e">
        <f t="shared" ref="L429" si="165">J429/$J$413</f>
        <v>#DIV/0!</v>
      </c>
      <c r="M429" s="1445"/>
      <c r="N429" s="833"/>
      <c r="O429" s="833"/>
      <c r="Q429" s="833"/>
      <c r="R429" s="833"/>
      <c r="S429" s="833"/>
      <c r="T429" s="833"/>
      <c r="U429" s="833"/>
      <c r="V429" s="833"/>
      <c r="W429" s="833"/>
      <c r="X429" s="833"/>
    </row>
    <row r="430" spans="1:24" s="813" customFormat="1" ht="39.950000000000003" hidden="1" customHeight="1" x14ac:dyDescent="0.15">
      <c r="A430" s="2081">
        <f t="shared" ca="1" si="158"/>
        <v>5</v>
      </c>
      <c r="B430" s="834">
        <v>6079</v>
      </c>
      <c r="C430" s="2" t="str">
        <f>+VLOOKUP($B430,[4]BOLETIM_SEL!$A:$H,2,0)</f>
        <v>COTAÇÃO - SINAPI</v>
      </c>
      <c r="D430" s="315" t="str">
        <f>+VLOOKUP($B430,[4]BOLETIM_SEL!$A:$H,4,0)</f>
        <v>Argila, argila vermelha ou argila arenosa (retirada na jazida, sem transporte)</v>
      </c>
      <c r="E430" s="2230" t="s">
        <v>2647</v>
      </c>
      <c r="F430" s="2" t="str">
        <f>+VLOOKUP($B430,[4]BOLETIM_SEL!$A:$H,6,0)</f>
        <v xml:space="preserve">M3    </v>
      </c>
      <c r="G430" s="1407">
        <f>VLOOKUP($B430,[4]BOLETIM_SEL!$A:$H,7,0)</f>
        <v>33.700000000000003</v>
      </c>
      <c r="H430" s="1611">
        <f>IF(M430="COMERCIAL",Dre_Profunda!I50,0)</f>
        <v>0</v>
      </c>
      <c r="I430" s="2231">
        <f t="shared" ref="I430" si="166">TRUNC(G430*(1+$J$6),2)</f>
        <v>38.840000000000003</v>
      </c>
      <c r="J430" s="1612">
        <f t="shared" si="160"/>
        <v>0</v>
      </c>
      <c r="K430" s="2078">
        <f t="shared" ca="1" si="157"/>
        <v>0</v>
      </c>
      <c r="L430" s="1574" t="e">
        <f t="shared" si="161"/>
        <v>#DIV/0!</v>
      </c>
      <c r="M430" s="1589" t="s">
        <v>410</v>
      </c>
      <c r="N430" s="833"/>
      <c r="O430" s="833"/>
      <c r="Q430" s="833"/>
      <c r="R430" s="833"/>
      <c r="S430" s="833"/>
      <c r="T430" s="833"/>
      <c r="U430" s="833"/>
      <c r="V430" s="833"/>
      <c r="W430" s="833"/>
      <c r="X430" s="833"/>
    </row>
    <row r="431" spans="1:24" s="813" customFormat="1" ht="30" hidden="1" customHeight="1" x14ac:dyDescent="0.15">
      <c r="A431" s="2081">
        <f t="shared" ca="1" si="158"/>
        <v>5</v>
      </c>
      <c r="B431" s="834" t="s">
        <v>694</v>
      </c>
      <c r="C431" s="2" t="str">
        <f>+VLOOKUP($B431,[4]BOLETIM_SEL!$A:$H,2,0)</f>
        <v>COMPOSIÇÃO</v>
      </c>
      <c r="D431" s="315" t="str">
        <f>+VLOOKUP($B431,[4]BOLETIM_SEL!$A:$H,4,0)</f>
        <v>Esgotamento de água com bomba submersa (REF. SICRO COD. 2003864)</v>
      </c>
      <c r="E431" s="2"/>
      <c r="F431" s="2" t="str">
        <f>+VLOOKUP($B431,[4]BOLETIM_SEL!$A:$H,6,0)</f>
        <v>H</v>
      </c>
      <c r="G431" s="1407">
        <f>VLOOKUP($B431,[4]BOLETIM_SEL!$A:$H,7,0)</f>
        <v>22.11</v>
      </c>
      <c r="H431" s="1611">
        <f>+Dre_Profunda!I52</f>
        <v>0</v>
      </c>
      <c r="I431" s="877">
        <f t="shared" ref="I431:I446" si="167">+TRUNC(G431*(1+$J$5),2)</f>
        <v>26.68</v>
      </c>
      <c r="J431" s="1612">
        <f t="shared" si="160"/>
        <v>0</v>
      </c>
      <c r="K431" s="2078">
        <f t="shared" ca="1" si="157"/>
        <v>0</v>
      </c>
      <c r="L431" s="1574" t="e">
        <f t="shared" si="161"/>
        <v>#DIV/0!</v>
      </c>
      <c r="M431" s="1445"/>
      <c r="N431" s="833"/>
      <c r="O431" s="833"/>
      <c r="Q431" s="833"/>
      <c r="R431" s="833"/>
      <c r="S431" s="833"/>
      <c r="T431" s="833"/>
      <c r="U431" s="833"/>
      <c r="V431" s="833"/>
      <c r="W431" s="833"/>
      <c r="X431" s="833"/>
    </row>
    <row r="432" spans="1:24" s="813" customFormat="1" ht="39.950000000000003" hidden="1" customHeight="1" x14ac:dyDescent="0.15">
      <c r="A432" s="2081">
        <f t="shared" ca="1" si="158"/>
        <v>5</v>
      </c>
      <c r="B432" s="834" t="s">
        <v>1680</v>
      </c>
      <c r="C432" s="2" t="str">
        <f>+VLOOKUP($B432,[4]BOLETIM_SEL!$A:$H,2,0)</f>
        <v>COMPOSIÇÃO</v>
      </c>
      <c r="D432" s="315" t="str">
        <f>+VLOOKUP($B432,[4]BOLETIM_SEL!$A:$H,4,0)</f>
        <v>Lastro ou enrocamento de pedra-de-mão ou rachão lançado, fornecimento e apiloamento. Exclusive transporte, ref SINAPI 73697, data 01/2020 e SINAPI 92744.</v>
      </c>
      <c r="E432" s="2"/>
      <c r="F432" s="2" t="str">
        <f>+VLOOKUP($B432,[4]BOLETIM_SEL!$A:$H,6,0)</f>
        <v>M3</v>
      </c>
      <c r="G432" s="1407">
        <f>VLOOKUP($B432,[4]BOLETIM_SEL!$A:$H,7,0)</f>
        <v>250.4</v>
      </c>
      <c r="H432" s="1611">
        <f>+Dre_Profunda!I56</f>
        <v>0</v>
      </c>
      <c r="I432" s="877">
        <f t="shared" si="167"/>
        <v>302.23</v>
      </c>
      <c r="J432" s="1612">
        <f t="shared" si="160"/>
        <v>0</v>
      </c>
      <c r="K432" s="2078">
        <f t="shared" ca="1" si="157"/>
        <v>0</v>
      </c>
      <c r="L432" s="1574" t="e">
        <f t="shared" si="161"/>
        <v>#DIV/0!</v>
      </c>
      <c r="M432" s="1445"/>
      <c r="N432" s="833"/>
      <c r="O432" s="833"/>
      <c r="Q432" s="833"/>
      <c r="R432" s="833"/>
      <c r="S432" s="833"/>
      <c r="T432" s="833"/>
      <c r="U432" s="833"/>
      <c r="V432" s="833"/>
      <c r="W432" s="833"/>
      <c r="X432" s="833"/>
    </row>
    <row r="433" spans="1:24" s="813" customFormat="1" ht="39.950000000000003" hidden="1" customHeight="1" x14ac:dyDescent="0.15">
      <c r="A433" s="2081">
        <f t="shared" ca="1" si="158"/>
        <v>5</v>
      </c>
      <c r="B433" s="834" t="s">
        <v>280</v>
      </c>
      <c r="C433" s="2" t="str">
        <f>+VLOOKUP($B433,[4]BOLETIM_SEL!$A:$H,2,0)</f>
        <v>COMPOSIÇÃO</v>
      </c>
      <c r="D433" s="315" t="str">
        <f>+VLOOKUP($B433,[4]BOLETIM_SEL!$A:$H,4,0)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433" s="2"/>
      <c r="F433" s="2" t="str">
        <f>+VLOOKUP($B433,[4]BOLETIM_SEL!$A:$H,6,0)</f>
        <v>UN</v>
      </c>
      <c r="G433" s="1407">
        <f>VLOOKUP($B433,[4]BOLETIM_SEL!$A:$H,7,0)</f>
        <v>1780.19</v>
      </c>
      <c r="H433" s="1611">
        <f>+Dre_Profunda!I60</f>
        <v>0</v>
      </c>
      <c r="I433" s="877">
        <f t="shared" si="167"/>
        <v>2148.6799999999998</v>
      </c>
      <c r="J433" s="1612">
        <f t="shared" si="160"/>
        <v>0</v>
      </c>
      <c r="K433" s="2078">
        <f t="shared" ca="1" si="157"/>
        <v>0</v>
      </c>
      <c r="L433" s="1574" t="e">
        <f t="shared" si="161"/>
        <v>#DIV/0!</v>
      </c>
      <c r="M433" s="1445"/>
      <c r="N433" s="833"/>
      <c r="O433" s="833"/>
      <c r="Q433" s="833"/>
      <c r="R433" s="833"/>
      <c r="S433" s="833"/>
      <c r="T433" s="833"/>
      <c r="U433" s="833"/>
      <c r="V433" s="833"/>
      <c r="W433" s="833"/>
      <c r="X433" s="833"/>
    </row>
    <row r="434" spans="1:24" s="813" customFormat="1" ht="39.950000000000003" hidden="1" customHeight="1" x14ac:dyDescent="0.15">
      <c r="A434" s="2081">
        <f t="shared" ca="1" si="158"/>
        <v>5</v>
      </c>
      <c r="B434" s="834">
        <v>94963</v>
      </c>
      <c r="C434" s="2" t="str">
        <f>+VLOOKUP($B434,[4]BOLETIM_SEL!$A:$H,2,0)</f>
        <v>SINAPI</v>
      </c>
      <c r="D434" s="315" t="str">
        <f>+VLOOKUP($B434,[4]BOLETIM_SEL!$A:$H,4,0)</f>
        <v>Concreto FCK = 15 MPA, traço 1:3,4:3,5 (cimento/ areia média/ brita 1) - preparo mecânico com betoneira 400 l. AF_07/2016</v>
      </c>
      <c r="E434" s="2"/>
      <c r="F434" s="2" t="str">
        <f>+VLOOKUP($B434,[4]BOLETIM_SEL!$A:$H,6,0)</f>
        <v>M3</v>
      </c>
      <c r="G434" s="1407">
        <f>VLOOKUP($B434,[4]BOLETIM_SEL!$A:$H,7,0)</f>
        <v>427.82</v>
      </c>
      <c r="H434" s="1611">
        <f>+Dre_Profunda!I62</f>
        <v>0</v>
      </c>
      <c r="I434" s="877">
        <f t="shared" si="167"/>
        <v>516.37</v>
      </c>
      <c r="J434" s="1612">
        <f t="shared" si="160"/>
        <v>0</v>
      </c>
      <c r="K434" s="2078">
        <f t="shared" ca="1" si="157"/>
        <v>0</v>
      </c>
      <c r="L434" s="1574" t="e">
        <f t="shared" si="161"/>
        <v>#DIV/0!</v>
      </c>
      <c r="M434" s="1445"/>
      <c r="N434" s="833"/>
      <c r="O434" s="833"/>
      <c r="Q434" s="833"/>
      <c r="R434" s="833"/>
      <c r="S434" s="833"/>
      <c r="T434" s="833"/>
      <c r="U434" s="833"/>
      <c r="V434" s="833"/>
      <c r="W434" s="833"/>
      <c r="X434" s="833"/>
    </row>
    <row r="435" spans="1:24" s="813" customFormat="1" ht="30" hidden="1" customHeight="1" x14ac:dyDescent="0.15">
      <c r="A435" s="2081">
        <f t="shared" ca="1" si="158"/>
        <v>5</v>
      </c>
      <c r="B435" s="834">
        <v>103670</v>
      </c>
      <c r="C435" s="2" t="str">
        <f>+VLOOKUP($B435,[4]BOLETIM_SEL!$A:$H,2,0)</f>
        <v>SINAPI</v>
      </c>
      <c r="D435" s="315" t="str">
        <f>+VLOOKUP($B435,[4]BOLETIM_SEL!$A:$H,4,0)</f>
        <v>Lançamento com uso de baldes, adensamento e acabamento de concreto em estruturas. AF_12/2015</v>
      </c>
      <c r="E435" s="2"/>
      <c r="F435" s="2" t="str">
        <f>+VLOOKUP($B435,[4]BOLETIM_SEL!$A:$H,6,0)</f>
        <v>M3</v>
      </c>
      <c r="G435" s="1407">
        <f>VLOOKUP($B435,[4]BOLETIM_SEL!$A:$H,7,0)</f>
        <v>257.33999999999997</v>
      </c>
      <c r="H435" s="1611">
        <f>+H434</f>
        <v>0</v>
      </c>
      <c r="I435" s="877">
        <f t="shared" si="167"/>
        <v>310.60000000000002</v>
      </c>
      <c r="J435" s="1612">
        <f t="shared" si="160"/>
        <v>0</v>
      </c>
      <c r="K435" s="2078">
        <f t="shared" ca="1" si="157"/>
        <v>0</v>
      </c>
      <c r="L435" s="1574" t="e">
        <f t="shared" si="161"/>
        <v>#DIV/0!</v>
      </c>
      <c r="M435" s="1445"/>
      <c r="N435" s="833"/>
      <c r="O435" s="833"/>
      <c r="Q435" s="833"/>
      <c r="R435" s="833"/>
      <c r="S435" s="833"/>
      <c r="T435" s="833"/>
      <c r="U435" s="833"/>
      <c r="V435" s="833"/>
      <c r="W435" s="833"/>
      <c r="X435" s="833"/>
    </row>
    <row r="436" spans="1:24" s="813" customFormat="1" ht="39.950000000000003" hidden="1" customHeight="1" x14ac:dyDescent="0.15">
      <c r="A436" s="2081">
        <f t="shared" ca="1" si="158"/>
        <v>5</v>
      </c>
      <c r="B436" s="834" t="s">
        <v>2047</v>
      </c>
      <c r="C436" s="2" t="str">
        <f>+VLOOKUP($B436,[4]BOLETIM_SEL!$A:$H,2,0)</f>
        <v>COMPOSIÇÃO</v>
      </c>
      <c r="D436" s="315" t="str">
        <f>+VLOOKUP($B436,[4]BOLETIM_SEL!$A:$H,4,0)</f>
        <v>Alvenaria em tijolo cerâmico maciço 5x10x20cm 1 vez (espessura 20cm), assentado com argamassa de betoneira, traço 1:2:8 (cimento, cal e areia), REF SINAPI 72131, DATA 04/2020</v>
      </c>
      <c r="E436" s="2"/>
      <c r="F436" s="2" t="str">
        <f>+VLOOKUP($B436,[4]BOLETIM_SEL!$A:$H,6,0)</f>
        <v>M2</v>
      </c>
      <c r="G436" s="1407">
        <f>VLOOKUP($B436,[4]BOLETIM_SEL!$A:$H,7,0)</f>
        <v>197.45</v>
      </c>
      <c r="H436" s="1611">
        <f>+Dre_Profunda!I63</f>
        <v>0</v>
      </c>
      <c r="I436" s="877">
        <f t="shared" si="167"/>
        <v>238.32</v>
      </c>
      <c r="J436" s="1612">
        <f t="shared" si="160"/>
        <v>0</v>
      </c>
      <c r="K436" s="2078">
        <f t="shared" ca="1" si="157"/>
        <v>0</v>
      </c>
      <c r="L436" s="1574" t="e">
        <f t="shared" si="161"/>
        <v>#DIV/0!</v>
      </c>
      <c r="M436" s="1445"/>
      <c r="N436" s="833"/>
      <c r="O436" s="833"/>
      <c r="Q436" s="833"/>
      <c r="R436" s="833"/>
      <c r="S436" s="833"/>
      <c r="T436" s="833"/>
      <c r="U436" s="833"/>
      <c r="V436" s="833"/>
      <c r="W436" s="833"/>
      <c r="X436" s="833"/>
    </row>
    <row r="437" spans="1:24" s="813" customFormat="1" ht="39.950000000000003" hidden="1" customHeight="1" x14ac:dyDescent="0.15">
      <c r="A437" s="2081">
        <f t="shared" ca="1" si="158"/>
        <v>5</v>
      </c>
      <c r="B437" s="834">
        <v>87878</v>
      </c>
      <c r="C437" s="2" t="str">
        <f>+VLOOKUP($B437,[4]BOLETIM_SEL!$A:$H,2,0)</f>
        <v>SINAPI</v>
      </c>
      <c r="D437" s="315" t="str">
        <f>+VLOOKUP($B437,[4]BOLETIM_SEL!$A:$H,4,0)</f>
        <v>Chapisco aplicado em alvenarias e estruturas de concreto internas, com colher de pedreiro. Argamassa traço 1:3 com preparo manual. AF_06/2014</v>
      </c>
      <c r="E437" s="2"/>
      <c r="F437" s="2" t="str">
        <f>+VLOOKUP($B437,[4]BOLETIM_SEL!$A:$H,6,0)</f>
        <v>M2</v>
      </c>
      <c r="G437" s="1407">
        <f>VLOOKUP($B437,[4]BOLETIM_SEL!$A:$H,7,0)</f>
        <v>4.4400000000000004</v>
      </c>
      <c r="H437" s="1611">
        <f>+Dre_Profunda!I64</f>
        <v>0</v>
      </c>
      <c r="I437" s="877">
        <f t="shared" si="167"/>
        <v>5.35</v>
      </c>
      <c r="J437" s="1612">
        <f t="shared" si="160"/>
        <v>0</v>
      </c>
      <c r="K437" s="2078">
        <f t="shared" ca="1" si="157"/>
        <v>0</v>
      </c>
      <c r="L437" s="1574" t="e">
        <f t="shared" si="161"/>
        <v>#DIV/0!</v>
      </c>
      <c r="M437" s="1445"/>
      <c r="N437" s="833"/>
      <c r="O437" s="833"/>
      <c r="Q437" s="833"/>
      <c r="R437" s="833"/>
      <c r="S437" s="833"/>
      <c r="T437" s="833"/>
      <c r="U437" s="833"/>
      <c r="V437" s="833"/>
      <c r="W437" s="833"/>
      <c r="X437" s="833"/>
    </row>
    <row r="438" spans="1:24" s="813" customFormat="1" ht="39.950000000000003" hidden="1" customHeight="1" x14ac:dyDescent="0.15">
      <c r="A438" s="2081">
        <f t="shared" ca="1" si="158"/>
        <v>5</v>
      </c>
      <c r="B438" s="834">
        <v>87313</v>
      </c>
      <c r="C438" s="2" t="str">
        <f>+VLOOKUP($B438,[4]BOLETIM_SEL!$A:$H,2,0)</f>
        <v>SINAPI</v>
      </c>
      <c r="D438" s="315" t="str">
        <f>+VLOOKUP($B438,[4]BOLETIM_SEL!$A:$H,4,0)</f>
        <v>Argamassa traço 1:3 (em volume de cimento e areia grossa úmida) para chapisco convencional, preparo mecânico com betoneira 400 l. AF_08/2019</v>
      </c>
      <c r="E438" s="2"/>
      <c r="F438" s="2" t="str">
        <f>+VLOOKUP($B438,[4]BOLETIM_SEL!$A:$H,6,0)</f>
        <v>M3</v>
      </c>
      <c r="G438" s="1407">
        <f>VLOOKUP($B438,[4]BOLETIM_SEL!$A:$H,7,0)</f>
        <v>530.03</v>
      </c>
      <c r="H438" s="1611">
        <f>+Dre_Profunda!I65</f>
        <v>0</v>
      </c>
      <c r="I438" s="877">
        <f t="shared" si="167"/>
        <v>639.74</v>
      </c>
      <c r="J438" s="1612">
        <f t="shared" si="160"/>
        <v>0</v>
      </c>
      <c r="K438" s="2078">
        <f t="shared" ca="1" si="157"/>
        <v>0</v>
      </c>
      <c r="L438" s="1574" t="e">
        <f t="shared" si="161"/>
        <v>#DIV/0!</v>
      </c>
      <c r="M438" s="1445"/>
      <c r="N438" s="833"/>
      <c r="O438" s="833"/>
      <c r="Q438" s="833"/>
      <c r="R438" s="833"/>
      <c r="S438" s="833"/>
      <c r="T438" s="833"/>
      <c r="U438" s="833"/>
      <c r="V438" s="833"/>
      <c r="W438" s="833"/>
      <c r="X438" s="833"/>
    </row>
    <row r="439" spans="1:24" s="813" customFormat="1" ht="24.95" hidden="1" customHeight="1" x14ac:dyDescent="0.15">
      <c r="A439" s="2081"/>
      <c r="B439" s="834"/>
      <c r="C439" s="2"/>
      <c r="D439" s="1452" t="s">
        <v>1802</v>
      </c>
      <c r="E439" s="2"/>
      <c r="F439" s="2"/>
      <c r="G439" s="1407"/>
      <c r="H439" s="2"/>
      <c r="I439" s="2"/>
      <c r="J439" s="839" t="str">
        <f>IF(J440=0,"-","")</f>
        <v>-</v>
      </c>
      <c r="K439" s="2078"/>
      <c r="L439" s="1574"/>
      <c r="M439" s="1445" t="s">
        <v>1950</v>
      </c>
      <c r="N439" s="833"/>
      <c r="O439" s="833"/>
      <c r="Q439" s="833"/>
      <c r="R439" s="833"/>
      <c r="S439" s="833"/>
      <c r="T439" s="833"/>
      <c r="U439" s="833"/>
      <c r="V439" s="833"/>
      <c r="W439" s="833"/>
      <c r="X439" s="833"/>
    </row>
    <row r="440" spans="1:24" s="813" customFormat="1" ht="39.950000000000003" hidden="1" customHeight="1" x14ac:dyDescent="0.15">
      <c r="A440" s="2081">
        <f ca="1">IF(H440&gt;0,A438+0.01,A438)</f>
        <v>5</v>
      </c>
      <c r="B440" s="834">
        <f>IF(AND(M440&lt;=50,E440&lt;=30),95875,IF(AND(M440&lt;=50,E440&gt;30),93590,IF(AND(M440&gt;50,E440&lt;=30),95876,93593)))</f>
        <v>95875</v>
      </c>
      <c r="C440" s="2" t="str">
        <f>VLOOKUP($B440,[4]BOLETIM_SEL!$A:$H,2,0)</f>
        <v>SINAPI</v>
      </c>
      <c r="D440" s="315" t="str">
        <f>VLOOKUP($B440,[4]BOLETIM_SEL!$A:$H,4,0)</f>
        <v>Transporte com caminhão basculante de 10 m3, em via urbana pavimentada, DMT até 30,00 km (unidade: m3xkm). AF_07/2020</v>
      </c>
      <c r="E440" s="2">
        <f>Dados_DMT!$B$16</f>
        <v>0</v>
      </c>
      <c r="F440" s="2" t="str">
        <f>VLOOKUP($B440,[4]BOLETIM_SEL!$A:$H,6,0)</f>
        <v>M3XKM</v>
      </c>
      <c r="G440" s="1407">
        <f>VLOOKUP($B440,[4]BOLETIM_SEL!$A:$H,7,0)</f>
        <v>2.1800000000000002</v>
      </c>
      <c r="H440" s="1611">
        <f>ROUND(Dre_Profunda!I68*E440,2)</f>
        <v>0</v>
      </c>
      <c r="I440" s="877">
        <f t="shared" si="167"/>
        <v>2.63</v>
      </c>
      <c r="J440" s="1612">
        <f>TRUNC(H440*I440,2)</f>
        <v>0</v>
      </c>
      <c r="K440" s="2078">
        <f ca="1">J440/J$967</f>
        <v>0</v>
      </c>
      <c r="L440" s="1574" t="e">
        <f>J440/$J$413</f>
        <v>#DIV/0!</v>
      </c>
      <c r="M440" s="1453">
        <f>IF(H440=0,0,H440/E440)</f>
        <v>0</v>
      </c>
      <c r="N440" s="833"/>
      <c r="O440" s="833"/>
      <c r="Q440" s="833"/>
      <c r="R440" s="833"/>
      <c r="S440" s="833"/>
      <c r="T440" s="833"/>
      <c r="U440" s="833"/>
      <c r="V440" s="833"/>
      <c r="W440" s="833"/>
      <c r="X440" s="833"/>
    </row>
    <row r="441" spans="1:24" s="813" customFormat="1" ht="24.95" hidden="1" customHeight="1" x14ac:dyDescent="0.15">
      <c r="A441" s="2081"/>
      <c r="B441" s="834"/>
      <c r="C441" s="2"/>
      <c r="D441" s="1452" t="s">
        <v>1803</v>
      </c>
      <c r="E441" s="2"/>
      <c r="F441" s="2"/>
      <c r="G441" s="1407"/>
      <c r="H441" s="2"/>
      <c r="I441" s="2"/>
      <c r="J441" s="839" t="str">
        <f>IF(J442=0,"-","")</f>
        <v>-</v>
      </c>
      <c r="K441" s="2078"/>
      <c r="L441" s="1574"/>
      <c r="M441" s="1445" t="s">
        <v>1952</v>
      </c>
      <c r="N441" s="833"/>
      <c r="O441" s="833"/>
      <c r="Q441" s="833"/>
      <c r="R441" s="833"/>
      <c r="S441" s="833"/>
      <c r="T441" s="833"/>
      <c r="U441" s="833"/>
      <c r="V441" s="833"/>
      <c r="W441" s="833"/>
      <c r="X441" s="833"/>
    </row>
    <row r="442" spans="1:24" s="813" customFormat="1" ht="39.950000000000003" hidden="1" customHeight="1" x14ac:dyDescent="0.15">
      <c r="A442" s="2081">
        <f ca="1">IF(H442&gt;0,A440+0.01,A440)</f>
        <v>5</v>
      </c>
      <c r="B442" s="834">
        <f>IF(AND(M442&lt;=50,E442&lt;=30),95875,IF(AND(M442&lt;=50,E442&gt;30),93590,IF(AND(M442&gt;50,E442&lt;=30),95876,93593)))</f>
        <v>95875</v>
      </c>
      <c r="C442" s="2" t="str">
        <f>VLOOKUP($B442,[4]BOLETIM_SEL!$A:$H,2,0)</f>
        <v>SINAPI</v>
      </c>
      <c r="D442" s="315" t="str">
        <f>VLOOKUP($B442,[4]BOLETIM_SEL!$A:$H,4,0)</f>
        <v>Transporte com caminhão basculante de 10 m3, em via urbana pavimentada, DMT até 30,00 km (unidade: m3xkm). AF_07/2020</v>
      </c>
      <c r="E442" s="2">
        <f>Dados_DMT!$B$17</f>
        <v>4</v>
      </c>
      <c r="F442" s="2" t="str">
        <f>VLOOKUP($B442,[4]BOLETIM_SEL!$A:$H,6,0)</f>
        <v>M3XKM</v>
      </c>
      <c r="G442" s="1407">
        <f>VLOOKUP($B442,[4]BOLETIM_SEL!$A:$H,7,0)</f>
        <v>2.1800000000000002</v>
      </c>
      <c r="H442" s="1611">
        <f>ROUND(Dre_Profunda!I69*E442,2)</f>
        <v>0</v>
      </c>
      <c r="I442" s="877">
        <f t="shared" si="167"/>
        <v>2.63</v>
      </c>
      <c r="J442" s="1612">
        <f>TRUNC(H442*I442,2)</f>
        <v>0</v>
      </c>
      <c r="K442" s="2078">
        <f ca="1">J442/J$967</f>
        <v>0</v>
      </c>
      <c r="L442" s="1574" t="e">
        <f>J442/$J$413</f>
        <v>#DIV/0!</v>
      </c>
      <c r="M442" s="1453">
        <f>IF(H442=0,0,H442/E442)</f>
        <v>0</v>
      </c>
      <c r="N442" s="833"/>
      <c r="O442" s="833"/>
      <c r="Q442" s="833"/>
      <c r="R442" s="833"/>
      <c r="S442" s="833"/>
      <c r="T442" s="833"/>
      <c r="U442" s="833"/>
      <c r="V442" s="833"/>
      <c r="W442" s="833"/>
      <c r="X442" s="833"/>
    </row>
    <row r="443" spans="1:24" s="813" customFormat="1" ht="24.95" hidden="1" customHeight="1" x14ac:dyDescent="0.15">
      <c r="A443" s="2081"/>
      <c r="B443" s="834"/>
      <c r="C443" s="2"/>
      <c r="D443" s="1452" t="s">
        <v>1816</v>
      </c>
      <c r="E443" s="2"/>
      <c r="F443" s="2"/>
      <c r="G443" s="1407"/>
      <c r="H443" s="2"/>
      <c r="I443" s="2"/>
      <c r="J443" s="839" t="str">
        <f>IF(J444=0,"-","")</f>
        <v>-</v>
      </c>
      <c r="K443" s="2078"/>
      <c r="L443" s="1574"/>
      <c r="M443" s="1445"/>
      <c r="N443" s="833"/>
      <c r="O443" s="833"/>
      <c r="Q443" s="833"/>
      <c r="R443" s="833"/>
      <c r="S443" s="833"/>
      <c r="T443" s="833"/>
      <c r="U443" s="833"/>
      <c r="V443" s="833"/>
      <c r="W443" s="833"/>
      <c r="X443" s="833"/>
    </row>
    <row r="444" spans="1:24" s="813" customFormat="1" ht="39.950000000000003" hidden="1" customHeight="1" x14ac:dyDescent="0.15">
      <c r="A444" s="2081">
        <f ca="1">IF(H444&gt;0,A442+0.01,A442)</f>
        <v>5</v>
      </c>
      <c r="B444" s="834">
        <f>IF(AND(M444&lt;=50,E444&lt;=30),95875,IF(AND(M444&lt;=50,E444&gt;30),93590,IF(AND(M444&gt;50,E444&lt;=30),95876,93593)))</f>
        <v>95875</v>
      </c>
      <c r="C444" s="2" t="str">
        <f>VLOOKUP($B444,[4]BOLETIM_SEL!$A:$H,2,0)</f>
        <v>SINAPI</v>
      </c>
      <c r="D444" s="315" t="str">
        <f>VLOOKUP($B444,[4]BOLETIM_SEL!$A:$H,4,0)</f>
        <v>Transporte com caminhão basculante de 10 m3, em via urbana pavimentada, DMT até 30,00 km (unidade: m3xkm). AF_07/2020</v>
      </c>
      <c r="E444" s="2">
        <f>Dados_DMT!$B$14</f>
        <v>4</v>
      </c>
      <c r="F444" s="2" t="str">
        <f>VLOOKUP($B444,[4]BOLETIM_SEL!$A:$H,6,0)</f>
        <v>M3XKM</v>
      </c>
      <c r="G444" s="1407">
        <f>VLOOKUP($B444,[4]BOLETIM_SEL!$A:$H,7,0)</f>
        <v>2.1800000000000002</v>
      </c>
      <c r="H444" s="1611">
        <f>ROUND(Dre_Profunda!I70*E444,2)</f>
        <v>0</v>
      </c>
      <c r="I444" s="877">
        <f t="shared" si="167"/>
        <v>2.63</v>
      </c>
      <c r="J444" s="1612">
        <f>TRUNC(H444*I444,2)</f>
        <v>0</v>
      </c>
      <c r="K444" s="2078">
        <f ca="1">J444/J$967</f>
        <v>0</v>
      </c>
      <c r="L444" s="1574" t="e">
        <f>J444/$J$413</f>
        <v>#DIV/0!</v>
      </c>
      <c r="M444" s="1453">
        <f>IF(H444=0,0,H444/E444)</f>
        <v>0</v>
      </c>
      <c r="N444" s="833"/>
      <c r="O444" s="833"/>
      <c r="Q444" s="833"/>
      <c r="R444" s="833"/>
      <c r="S444" s="833"/>
      <c r="T444" s="833"/>
      <c r="U444" s="833"/>
      <c r="V444" s="833"/>
      <c r="W444" s="833"/>
      <c r="X444" s="833"/>
    </row>
    <row r="445" spans="1:24" s="813" customFormat="1" ht="24.95" hidden="1" customHeight="1" x14ac:dyDescent="0.15">
      <c r="A445" s="2081"/>
      <c r="B445" s="834"/>
      <c r="C445" s="2"/>
      <c r="D445" s="1452" t="s">
        <v>2190</v>
      </c>
      <c r="E445" s="2"/>
      <c r="F445" s="2"/>
      <c r="G445" s="1407"/>
      <c r="H445" s="2"/>
      <c r="I445" s="2"/>
      <c r="J445" s="839" t="str">
        <f>IF(J446=0,"-","")</f>
        <v>-</v>
      </c>
      <c r="K445" s="2078"/>
      <c r="L445" s="1574"/>
      <c r="M445" s="1445"/>
      <c r="N445" s="833"/>
      <c r="O445" s="833"/>
      <c r="Q445" s="833"/>
      <c r="R445" s="833"/>
      <c r="S445" s="833"/>
      <c r="T445" s="833"/>
      <c r="U445" s="833"/>
      <c r="V445" s="833"/>
      <c r="W445" s="833"/>
      <c r="X445" s="833"/>
    </row>
    <row r="446" spans="1:24" s="813" customFormat="1" ht="39.950000000000003" hidden="1" customHeight="1" x14ac:dyDescent="0.15">
      <c r="A446" s="2081">
        <f ca="1">IF(H446&gt;0,A444+0.01,A444)</f>
        <v>5</v>
      </c>
      <c r="B446" s="834">
        <f>IF(AND(M446&lt;=50,E446&lt;=30),95875,IF(AND(M446&lt;=50,E446&gt;30),93590,IF(AND(M446&gt;50,E446&lt;=30),95876,93593)))</f>
        <v>93590</v>
      </c>
      <c r="C446" s="2" t="str">
        <f>VLOOKUP($B446,[4]BOLETIM_SEL!$A:$H,2,0)</f>
        <v>SINAPI</v>
      </c>
      <c r="D446" s="315" t="str">
        <f>VLOOKUP($B446,[4]BOLETIM_SEL!$A:$H,4,0)</f>
        <v>Transporte com caminhão basculante de 10 m3, em via urbana pavimentada, adicional para DMT excedente a 30,00 km (unidade: m3xkm). AF_07/2020</v>
      </c>
      <c r="E446" s="2">
        <f>Dados_DMT!$B$34</f>
        <v>109</v>
      </c>
      <c r="F446" s="2" t="str">
        <f>VLOOKUP($B446,[4]BOLETIM_SEL!$A:$H,6,0)</f>
        <v>M3XKM</v>
      </c>
      <c r="G446" s="1407">
        <f>VLOOKUP($B446,[4]BOLETIM_SEL!$A:$H,7,0)</f>
        <v>0.85</v>
      </c>
      <c r="H446" s="1611">
        <f>ROUND(Dre_Profunda!I74*E446,2)</f>
        <v>0</v>
      </c>
      <c r="I446" s="877">
        <f t="shared" si="167"/>
        <v>1.02</v>
      </c>
      <c r="J446" s="1612">
        <f>TRUNC(H446*I446,2)</f>
        <v>0</v>
      </c>
      <c r="K446" s="2078">
        <f ca="1">J446/J$967</f>
        <v>0</v>
      </c>
      <c r="L446" s="1574" t="e">
        <f>J446/$J$413</f>
        <v>#DIV/0!</v>
      </c>
      <c r="M446" s="1453">
        <f>IF(H446=0,0,H446/E446)</f>
        <v>0</v>
      </c>
      <c r="N446" s="833"/>
      <c r="O446" s="833"/>
      <c r="Q446" s="833"/>
      <c r="R446" s="833"/>
      <c r="S446" s="833"/>
      <c r="T446" s="833"/>
      <c r="U446" s="833"/>
      <c r="V446" s="833"/>
      <c r="W446" s="833"/>
      <c r="X446" s="833"/>
    </row>
    <row r="447" spans="1:24" s="813" customFormat="1" ht="24.95" hidden="1" customHeight="1" x14ac:dyDescent="0.15">
      <c r="A447" s="2081"/>
      <c r="B447" s="834"/>
      <c r="C447" s="834"/>
      <c r="D447" s="835"/>
      <c r="E447" s="2"/>
      <c r="F447" s="834"/>
      <c r="G447" s="1821"/>
      <c r="H447" s="1"/>
      <c r="I447" s="877"/>
      <c r="J447" s="839">
        <f>IF(J413=0,0,"")</f>
        <v>0</v>
      </c>
      <c r="K447" s="2078"/>
      <c r="L447" s="1574"/>
      <c r="M447" s="1446"/>
      <c r="N447" s="833"/>
      <c r="O447" s="833"/>
      <c r="Q447" s="833"/>
      <c r="R447" s="833"/>
      <c r="S447" s="833"/>
      <c r="T447" s="833"/>
      <c r="U447" s="833"/>
      <c r="V447" s="833"/>
      <c r="W447" s="833"/>
      <c r="X447" s="833"/>
    </row>
    <row r="448" spans="1:24" s="833" customFormat="1" ht="24.95" customHeight="1" x14ac:dyDescent="0.15">
      <c r="A448" s="2082">
        <f ca="1">IF(J448&gt;0,INT(A446)+1,IF(J448=0,INT(A446),0))</f>
        <v>6</v>
      </c>
      <c r="B448" s="1633"/>
      <c r="C448" s="1633"/>
      <c r="D448" s="1634" t="s">
        <v>747</v>
      </c>
      <c r="E448" s="1828"/>
      <c r="F448" s="1635"/>
      <c r="G448" s="1820" t="s">
        <v>647</v>
      </c>
      <c r="H448" s="1637"/>
      <c r="I448" s="1640" t="str">
        <f ca="1">CONCATENATE("SUB-TOTAL ",A448)</f>
        <v>SUB-TOTAL 6</v>
      </c>
      <c r="J448" s="1639">
        <f ca="1">SUM(J449:J504)</f>
        <v>19737.57</v>
      </c>
      <c r="K448" s="2079">
        <f t="shared" ref="K448:K466" ca="1" si="168">J448/J$967</f>
        <v>1.4728806776250019E-3</v>
      </c>
      <c r="L448" s="1610">
        <f t="shared" ref="L448:L466" ca="1" si="169">J448/$J$448</f>
        <v>1</v>
      </c>
    </row>
    <row r="449" spans="1:24" s="813" customFormat="1" ht="50.1" customHeight="1" x14ac:dyDescent="0.15">
      <c r="A449" s="2081">
        <f t="shared" ref="A449:A466" ca="1" si="170">IF(H449&gt;0,A448+0.01,A448)</f>
        <v>6.01</v>
      </c>
      <c r="B449" s="834">
        <v>90105</v>
      </c>
      <c r="C449" s="2" t="str">
        <f>VLOOKUP($B449,[4]BOLETIM_SEL!$A:$H,2,0)</f>
        <v>SINAPI</v>
      </c>
      <c r="D449" s="315" t="str">
        <f>VLOOKUP($B449,[4]BOLETIM_SEL!$A:$H,4,0)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449" s="2"/>
      <c r="F449" s="2" t="str">
        <f>VLOOKUP($B449,[4]BOLETIM_SEL!$A:$H,6,0)</f>
        <v>M3</v>
      </c>
      <c r="G449" s="1407">
        <f>VLOOKUP($B449,[4]BOLETIM_SEL!$A:$H,7,0)</f>
        <v>7.99</v>
      </c>
      <c r="H449" s="1611">
        <f ca="1">+Dre_Fecha_Vala!AZ16</f>
        <v>32.78</v>
      </c>
      <c r="I449" s="877">
        <f>TRUNC(G449*(1+$J$5),2)</f>
        <v>9.64</v>
      </c>
      <c r="J449" s="1612">
        <f t="shared" ref="J449:J466" ca="1" si="171">TRUNC(H449*I449,2)</f>
        <v>315.99</v>
      </c>
      <c r="K449" s="2078">
        <f t="shared" ca="1" si="168"/>
        <v>2.3580185672437103E-5</v>
      </c>
      <c r="L449" s="1574">
        <f t="shared" ca="1" si="169"/>
        <v>1.6009569567074368E-2</v>
      </c>
      <c r="M449" s="1445"/>
      <c r="N449" s="833"/>
      <c r="O449" s="833"/>
      <c r="Q449" s="833"/>
      <c r="R449" s="833"/>
      <c r="S449" s="833"/>
      <c r="T449" s="833"/>
      <c r="U449" s="833"/>
      <c r="V449" s="833"/>
      <c r="W449" s="833"/>
      <c r="X449" s="833"/>
    </row>
    <row r="450" spans="1:24" s="813" customFormat="1" ht="50.1" hidden="1" customHeight="1" x14ac:dyDescent="0.15">
      <c r="A450" s="2081">
        <f t="shared" ca="1" si="170"/>
        <v>6.01</v>
      </c>
      <c r="B450" s="834">
        <v>101230</v>
      </c>
      <c r="C450" s="2" t="str">
        <f>VLOOKUP($B450,[4]BOLETIM_SEL!$A:$H,2,0)</f>
        <v>SINAPI</v>
      </c>
      <c r="D450" s="315" t="str">
        <f>VLOOKUP($B450,[4]BOLETIM_SEL!$A:$H,4,0)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50" s="2"/>
      <c r="F450" s="2" t="str">
        <f>VLOOKUP($B450,[4]BOLETIM_SEL!$A:$H,6,0)</f>
        <v>M3</v>
      </c>
      <c r="G450" s="1407">
        <f>VLOOKUP($B450,[4]BOLETIM_SEL!$A:$H,7,0)</f>
        <v>10.029999999999999</v>
      </c>
      <c r="H450" s="1611">
        <f ca="1">IF(H451=0,Dre_Fecha_Vala!AZ27,0)+IF(H453=0,Dre_Fecha_Vala!AZ29,0)</f>
        <v>0</v>
      </c>
      <c r="I450" s="877">
        <f>TRUNC(G450*(1+$J$5),2)</f>
        <v>12.1</v>
      </c>
      <c r="J450" s="1612">
        <f t="shared" ca="1" si="171"/>
        <v>0</v>
      </c>
      <c r="K450" s="2078">
        <f t="shared" ca="1" si="168"/>
        <v>0</v>
      </c>
      <c r="L450" s="1574">
        <f t="shared" ca="1" si="169"/>
        <v>0</v>
      </c>
      <c r="M450" s="1445"/>
      <c r="N450" s="833"/>
      <c r="O450" s="833"/>
      <c r="Q450" s="833"/>
      <c r="R450" s="833"/>
      <c r="S450" s="833"/>
      <c r="T450" s="833"/>
      <c r="U450" s="833"/>
      <c r="V450" s="833"/>
      <c r="W450" s="833"/>
      <c r="X450" s="833"/>
    </row>
    <row r="451" spans="1:24" s="813" customFormat="1" ht="39.950000000000003" customHeight="1" x14ac:dyDescent="0.15">
      <c r="A451" s="2081">
        <f t="shared" ca="1" si="170"/>
        <v>6.02</v>
      </c>
      <c r="B451" s="834">
        <v>6079</v>
      </c>
      <c r="C451" s="2" t="str">
        <f>VLOOKUP($B451,[4]BOLETIM_SEL!$A:$H,2,0)</f>
        <v>COTAÇÃO - SINAPI</v>
      </c>
      <c r="D451" s="315" t="str">
        <f>VLOOKUP($B451,[4]BOLETIM_SEL!$A:$H,4,0)</f>
        <v>Argila, argila vermelha ou argila arenosa (retirada na jazida, sem transporte)</v>
      </c>
      <c r="E451" s="2230" t="s">
        <v>2647</v>
      </c>
      <c r="F451" s="2" t="str">
        <f>VLOOKUP($B451,[4]BOLETIM_SEL!$A:$H,6,0)</f>
        <v xml:space="preserve">M3    </v>
      </c>
      <c r="G451" s="1407">
        <f>VLOOKUP($B451,[4]BOLETIM_SEL!$A:$H,7,0)</f>
        <v>33.700000000000003</v>
      </c>
      <c r="H451" s="1611">
        <f ca="1">IF(M451="COMERCIAL",+Dre_Fecha_Vala!AZ27,0)</f>
        <v>13.66</v>
      </c>
      <c r="I451" s="2231">
        <f>TRUNC(G451*(1+$J$6),2)</f>
        <v>38.840000000000003</v>
      </c>
      <c r="J451" s="1612">
        <f t="shared" ca="1" si="171"/>
        <v>530.54999999999995</v>
      </c>
      <c r="K451" s="2078">
        <f t="shared" ca="1" si="168"/>
        <v>3.9591339942756108E-5</v>
      </c>
      <c r="L451" s="1574">
        <f t="shared" ca="1" si="169"/>
        <v>2.6880208657904695E-2</v>
      </c>
      <c r="M451" s="1589" t="s">
        <v>410</v>
      </c>
      <c r="N451" s="833"/>
      <c r="O451" s="833"/>
      <c r="Q451" s="833"/>
      <c r="R451" s="833"/>
      <c r="S451" s="833"/>
      <c r="T451" s="833"/>
      <c r="U451" s="833"/>
      <c r="V451" s="833"/>
      <c r="W451" s="833"/>
      <c r="X451" s="833"/>
    </row>
    <row r="452" spans="1:24" s="813" customFormat="1" ht="39.950000000000003" customHeight="1" x14ac:dyDescent="0.15">
      <c r="A452" s="2081">
        <f t="shared" ca="1" si="170"/>
        <v>6.0299999999999994</v>
      </c>
      <c r="B452" s="834">
        <v>4721</v>
      </c>
      <c r="C452" s="2" t="str">
        <f>VLOOKUP($B452,[4]BOLETIM_SEL!$A:$H,2,0)</f>
        <v>COTAÇÃO - SINAPI</v>
      </c>
      <c r="D452" s="315" t="str">
        <f>VLOOKUP($B452,[4]BOLETIM_SEL!$A:$H,4,0)</f>
        <v>Pedra britada n. 1 (9,5 A 19 mm) posto pedreira/fornecedor, sem frete</v>
      </c>
      <c r="E452" s="2230" t="s">
        <v>2647</v>
      </c>
      <c r="F452" s="2" t="str">
        <f>VLOOKUP($B452,[4]BOLETIM_SEL!$A:$H,6,0)</f>
        <v xml:space="preserve">M3    </v>
      </c>
      <c r="G452" s="1407">
        <f>VLOOKUP($B452,[4]BOLETIM_SEL!$A:$H,7,0)</f>
        <v>96.99</v>
      </c>
      <c r="H452" s="1611">
        <f ca="1">+Dre_Fecha_Vala!AZ28</f>
        <v>22.53</v>
      </c>
      <c r="I452" s="2231">
        <f t="shared" ref="I452:I455" si="172">TRUNC(G452*(1+$J$6),2)</f>
        <v>111.8</v>
      </c>
      <c r="J452" s="1612">
        <f t="shared" ca="1" si="171"/>
        <v>2518.85</v>
      </c>
      <c r="K452" s="2078">
        <f t="shared" ca="1" si="168"/>
        <v>1.8796465293527704E-4</v>
      </c>
      <c r="L452" s="1574">
        <f t="shared" ca="1" si="169"/>
        <v>0.12761702681738429</v>
      </c>
      <c r="M452" s="1445"/>
      <c r="N452" s="833"/>
      <c r="O452" s="833"/>
      <c r="Q452" s="833"/>
      <c r="R452" s="833"/>
      <c r="S452" s="833"/>
      <c r="T452" s="833"/>
      <c r="U452" s="833"/>
      <c r="V452" s="833"/>
      <c r="W452" s="833"/>
      <c r="X452" s="833"/>
    </row>
    <row r="453" spans="1:24" s="813" customFormat="1" ht="39.950000000000003" hidden="1" customHeight="1" x14ac:dyDescent="0.15">
      <c r="A453" s="2081">
        <f t="shared" ca="1" si="170"/>
        <v>6.0299999999999994</v>
      </c>
      <c r="B453" s="834">
        <v>4743</v>
      </c>
      <c r="C453" s="2" t="str">
        <f>VLOOKUP($B453,[4]BOLETIM_SEL!$A:$H,2,0)</f>
        <v>COTAÇÃO - SINAPI</v>
      </c>
      <c r="D453" s="315" t="str">
        <f>VLOOKUP($B453,[4]BOLETIM_SEL!$A:$H,4,0)</f>
        <v>Cascalho de cava</v>
      </c>
      <c r="E453" s="2230" t="s">
        <v>2647</v>
      </c>
      <c r="F453" s="2" t="str">
        <f>VLOOKUP($B453,[4]BOLETIM_SEL!$A:$H,6,0)</f>
        <v xml:space="preserve">M3    </v>
      </c>
      <c r="G453" s="1407">
        <f>VLOOKUP($B453,[4]BOLETIM_SEL!$A:$H,7,0)</f>
        <v>56.55</v>
      </c>
      <c r="H453" s="1611">
        <f ca="1">IF(M453="COMERCIAL",+Dre_Fecha_Vala!AZ29,0)</f>
        <v>0</v>
      </c>
      <c r="I453" s="2231">
        <f t="shared" si="172"/>
        <v>65.180000000000007</v>
      </c>
      <c r="J453" s="1612">
        <f t="shared" ca="1" si="171"/>
        <v>0</v>
      </c>
      <c r="K453" s="2078">
        <f t="shared" ca="1" si="168"/>
        <v>0</v>
      </c>
      <c r="L453" s="1574">
        <f t="shared" ca="1" si="169"/>
        <v>0</v>
      </c>
      <c r="M453" s="1589" t="s">
        <v>410</v>
      </c>
      <c r="N453" s="833"/>
      <c r="O453" s="833"/>
      <c r="Q453" s="833"/>
      <c r="R453" s="833"/>
      <c r="S453" s="833"/>
      <c r="T453" s="833"/>
      <c r="U453" s="833"/>
      <c r="V453" s="833"/>
      <c r="W453" s="833"/>
      <c r="X453" s="833"/>
    </row>
    <row r="454" spans="1:24" s="813" customFormat="1" ht="39.950000000000003" hidden="1" customHeight="1" x14ac:dyDescent="0.15">
      <c r="A454" s="2081">
        <f t="shared" ca="1" si="170"/>
        <v>6.0299999999999994</v>
      </c>
      <c r="B454" s="834">
        <v>4748</v>
      </c>
      <c r="C454" s="2" t="str">
        <f>VLOOKUP($B454,[4]BOLETIM_SEL!$A:$H,2,0)</f>
        <v>COTAÇÃO - SINAPI</v>
      </c>
      <c r="D454" s="315" t="str">
        <f>VLOOKUP($B454,[4]BOLETIM_SEL!$A:$H,4,0)</f>
        <v>Pedra britada ou bica corrida, não classificada (posto pedreira/fornecedor, sem frete)</v>
      </c>
      <c r="E454" s="2230" t="s">
        <v>2647</v>
      </c>
      <c r="F454" s="2" t="str">
        <f>VLOOKUP($B454,[4]BOLETIM_SEL!$A:$H,6,0)</f>
        <v xml:space="preserve">M3    </v>
      </c>
      <c r="G454" s="1407">
        <f>VLOOKUP($B454,[4]BOLETIM_SEL!$A:$H,7,0)</f>
        <v>89.58</v>
      </c>
      <c r="H454" s="1611">
        <f ca="1">+Dre_Fecha_Vala!AZ30</f>
        <v>0</v>
      </c>
      <c r="I454" s="2231">
        <f t="shared" si="172"/>
        <v>103.25</v>
      </c>
      <c r="J454" s="1612">
        <f t="shared" ca="1" si="171"/>
        <v>0</v>
      </c>
      <c r="K454" s="2078">
        <f t="shared" ca="1" si="168"/>
        <v>0</v>
      </c>
      <c r="L454" s="1574">
        <f t="shared" ca="1" si="169"/>
        <v>0</v>
      </c>
      <c r="M454" s="1445"/>
      <c r="N454" s="833"/>
      <c r="O454" s="833"/>
      <c r="Q454" s="833"/>
      <c r="R454" s="833"/>
      <c r="S454" s="833"/>
      <c r="T454" s="833"/>
      <c r="U454" s="833"/>
      <c r="V454" s="833"/>
      <c r="W454" s="833"/>
      <c r="X454" s="833"/>
    </row>
    <row r="455" spans="1:24" s="813" customFormat="1" ht="39.950000000000003" hidden="1" customHeight="1" x14ac:dyDescent="0.15">
      <c r="A455" s="2081">
        <f t="shared" ca="1" si="170"/>
        <v>6.0299999999999994</v>
      </c>
      <c r="B455" s="834">
        <v>4729</v>
      </c>
      <c r="C455" s="2" t="str">
        <f>VLOOKUP($B455,[4]BOLETIM_SEL!$A:$H,2,0)</f>
        <v>COTAÇÃO - SINAPI</v>
      </c>
      <c r="D455" s="315" t="str">
        <f>VLOOKUP($B455,[4]BOLETIM_SEL!$A:$H,4,0)</f>
        <v>Pedra britada graduada, classificada (posto pedreira/fornecedor, sem frete)</v>
      </c>
      <c r="E455" s="2230" t="s">
        <v>2647</v>
      </c>
      <c r="F455" s="2" t="str">
        <f>VLOOKUP($B455,[4]BOLETIM_SEL!$A:$H,6,0)</f>
        <v xml:space="preserve">M3    </v>
      </c>
      <c r="G455" s="1407">
        <f>VLOOKUP($B455,[4]BOLETIM_SEL!$A:$H,7,0)</f>
        <v>97.72</v>
      </c>
      <c r="H455" s="1611">
        <f ca="1">Dre_Fecha_Vala!AZ31</f>
        <v>0</v>
      </c>
      <c r="I455" s="2231">
        <f t="shared" si="172"/>
        <v>112.64</v>
      </c>
      <c r="J455" s="1612">
        <f t="shared" ca="1" si="171"/>
        <v>0</v>
      </c>
      <c r="K455" s="2078">
        <f t="shared" ca="1" si="168"/>
        <v>0</v>
      </c>
      <c r="L455" s="1574">
        <f t="shared" ca="1" si="169"/>
        <v>0</v>
      </c>
      <c r="M455" s="1445"/>
      <c r="N455" s="833"/>
      <c r="O455" s="833"/>
      <c r="Q455" s="833"/>
      <c r="R455" s="833"/>
      <c r="S455" s="833"/>
      <c r="T455" s="833"/>
      <c r="U455" s="833"/>
      <c r="V455" s="833"/>
      <c r="W455" s="833"/>
      <c r="X455" s="833"/>
    </row>
    <row r="456" spans="1:24" s="813" customFormat="1" ht="39.950000000000003" customHeight="1" x14ac:dyDescent="0.15">
      <c r="A456" s="2081">
        <f t="shared" ca="1" si="170"/>
        <v>6.0399999999999991</v>
      </c>
      <c r="B456" s="865">
        <v>101767</v>
      </c>
      <c r="C456" s="2" t="str">
        <f>VLOOKUP($B456,[4]BOLETIM_SEL!$A:$H,2,0)</f>
        <v>SINAPI</v>
      </c>
      <c r="D456" s="315" t="str">
        <f>VLOOKUP($B456,[4]BOLETIM_SEL!$A:$H,4,0)</f>
        <v>Execução e compactação de base e ou sub base para pavimentação de solos estabilizados granulometricamente com mistura de solos em pista - exclusive solo, escavação, carga e transporte. AF_11/2019</v>
      </c>
      <c r="E456" s="2"/>
      <c r="F456" s="2" t="str">
        <f>VLOOKUP($B456,[4]BOLETIM_SEL!$A:$H,6,0)</f>
        <v>M3</v>
      </c>
      <c r="G456" s="1407">
        <f>VLOOKUP($B456,[4]BOLETIM_SEL!$A:$H,7,0)</f>
        <v>26.21</v>
      </c>
      <c r="H456" s="1611">
        <f ca="1">+Dre_Fecha_Vala!AZ19</f>
        <v>27.31</v>
      </c>
      <c r="I456" s="877">
        <f t="shared" ref="I456:I466" si="173">TRUNC(G456*(1+$J$5),2)</f>
        <v>31.63</v>
      </c>
      <c r="J456" s="1612">
        <f t="shared" ca="1" si="171"/>
        <v>863.81</v>
      </c>
      <c r="K456" s="2078">
        <f t="shared" ca="1" si="168"/>
        <v>6.4460268317693248E-5</v>
      </c>
      <c r="L456" s="1574">
        <f t="shared" ca="1" si="169"/>
        <v>4.3764759289010753E-2</v>
      </c>
      <c r="M456" s="1445"/>
      <c r="N456" s="833"/>
      <c r="O456" s="833"/>
      <c r="Q456" s="833"/>
      <c r="R456" s="833"/>
      <c r="S456" s="833"/>
      <c r="T456" s="833"/>
      <c r="U456" s="833"/>
      <c r="V456" s="833"/>
      <c r="W456" s="833"/>
      <c r="X456" s="833"/>
    </row>
    <row r="457" spans="1:24" s="813" customFormat="1" ht="39.950000000000003" hidden="1" customHeight="1" x14ac:dyDescent="0.15">
      <c r="A457" s="2081">
        <f t="shared" ca="1" si="170"/>
        <v>6.0399999999999991</v>
      </c>
      <c r="B457" s="865" t="s">
        <v>1878</v>
      </c>
      <c r="C457" s="2" t="str">
        <f>VLOOKUP($B457,[4]BOLETIM_SEL!$A:$H,2,0)</f>
        <v>COMPOSIÇÃO</v>
      </c>
      <c r="D457" s="315" t="str">
        <f>VLOOKUP($B457,[4]BOLETIM_SEL!$A:$H,4,0)</f>
        <v>Execução e compactação de base e ou sub-base, estabilizado granulometricamente, sem mistura, com material de jazida. Exclusive fornecimento e transporte (REF. SINAPI COD. 4011219)</v>
      </c>
      <c r="E457" s="2"/>
      <c r="F457" s="2" t="str">
        <f>VLOOKUP($B457,[4]BOLETIM_SEL!$A:$H,6,0)</f>
        <v>M3</v>
      </c>
      <c r="G457" s="1407">
        <f>VLOOKUP($B457,[4]BOLETIM_SEL!$A:$H,7,0)</f>
        <v>18.399999999999999</v>
      </c>
      <c r="H457" s="1611">
        <f>Dre_Fecha_Vala!AZ21</f>
        <v>0</v>
      </c>
      <c r="I457" s="877">
        <f t="shared" si="173"/>
        <v>22.2</v>
      </c>
      <c r="J457" s="1612">
        <f t="shared" si="171"/>
        <v>0</v>
      </c>
      <c r="K457" s="2078">
        <f t="shared" ca="1" si="168"/>
        <v>0</v>
      </c>
      <c r="L457" s="1574">
        <f t="shared" ca="1" si="169"/>
        <v>0</v>
      </c>
      <c r="M457" s="1445"/>
      <c r="N457" s="833"/>
      <c r="O457" s="833"/>
      <c r="Q457" s="833"/>
      <c r="R457" s="833"/>
      <c r="S457" s="833"/>
      <c r="T457" s="833"/>
      <c r="U457" s="833"/>
      <c r="V457" s="833"/>
      <c r="W457" s="833"/>
      <c r="X457" s="833"/>
    </row>
    <row r="458" spans="1:24" s="813" customFormat="1" ht="30" hidden="1" customHeight="1" x14ac:dyDescent="0.15">
      <c r="A458" s="2081">
        <f t="shared" ca="1" si="170"/>
        <v>6.0399999999999991</v>
      </c>
      <c r="B458" s="2" t="s">
        <v>2627</v>
      </c>
      <c r="C458" s="2" t="str">
        <f>VLOOKUP($B458,[4]BOLETIM_SEL!$A:$H,2,0)</f>
        <v>COMPOSIÇÃO</v>
      </c>
      <c r="D458" s="315" t="str">
        <f>VLOOKUP($B458,[4]BOLETIM_SEL!$A:$H,4,0)</f>
        <v>Usinagem de brita graduada simples, exclusive fornecimento de materiais (REF. SINAPI COD. 96393, DB 05-2021)</v>
      </c>
      <c r="E458" s="2"/>
      <c r="F458" s="2" t="str">
        <f>VLOOKUP($B458,[4]BOLETIM_SEL!$A:$H,6,0)</f>
        <v>M3</v>
      </c>
      <c r="G458" s="1407">
        <f>VLOOKUP($B458,[4]BOLETIM_SEL!$A:$H,7,0)</f>
        <v>6.16</v>
      </c>
      <c r="H458" s="1611"/>
      <c r="I458" s="877">
        <f t="shared" ref="I458" si="174">TRUNC(G458*(1+$J$5),2)</f>
        <v>7.43</v>
      </c>
      <c r="J458" s="1612">
        <f t="shared" ref="J458" si="175">TRUNC(H458*I458,2)</f>
        <v>0</v>
      </c>
      <c r="K458" s="2078">
        <f t="shared" ca="1" si="168"/>
        <v>0</v>
      </c>
      <c r="L458" s="1574">
        <f t="shared" ref="L458" ca="1" si="176">J458/$J$448</f>
        <v>0</v>
      </c>
      <c r="M458" s="1445"/>
      <c r="N458" s="833"/>
      <c r="O458" s="833"/>
      <c r="Q458" s="833"/>
      <c r="R458" s="833"/>
      <c r="S458" s="833"/>
      <c r="T458" s="833"/>
      <c r="U458" s="833"/>
      <c r="V458" s="833"/>
      <c r="W458" s="833"/>
      <c r="X458" s="833"/>
    </row>
    <row r="459" spans="1:24" s="813" customFormat="1" ht="39.950000000000003" hidden="1" customHeight="1" x14ac:dyDescent="0.15">
      <c r="A459" s="2081">
        <f t="shared" ca="1" si="170"/>
        <v>6.0399999999999991</v>
      </c>
      <c r="B459" s="2" t="s">
        <v>196</v>
      </c>
      <c r="C459" s="2" t="str">
        <f>VLOOKUP($B459,[4]BOLETIM_SEL!$A:$H,2,0)</f>
        <v>COMPOSIÇÃO</v>
      </c>
      <c r="D459" s="315" t="str">
        <f>VLOOKUP($B459,[4]BOLETIM_SEL!$A:$H,4,0)</f>
        <v>Execução e compactação de base e ou sub-base com material produto de britagem. Exclusive fornecimento e transporte de materiais (REF. SINAPI COD. 96396)</v>
      </c>
      <c r="E459" s="2"/>
      <c r="F459" s="2" t="str">
        <f>VLOOKUP($B459,[4]BOLETIM_SEL!$A:$H,6,0)</f>
        <v>M3</v>
      </c>
      <c r="G459" s="1407">
        <f>VLOOKUP($B459,[4]BOLETIM_SEL!$A:$H,7,0)</f>
        <v>12.42</v>
      </c>
      <c r="H459" s="1611">
        <f ca="1">+Dre_Fecha_Vala!AZ20</f>
        <v>0</v>
      </c>
      <c r="I459" s="877">
        <f t="shared" si="173"/>
        <v>14.99</v>
      </c>
      <c r="J459" s="1612">
        <f t="shared" ca="1" si="171"/>
        <v>0</v>
      </c>
      <c r="K459" s="2078">
        <f t="shared" ca="1" si="168"/>
        <v>0</v>
      </c>
      <c r="L459" s="1574">
        <f t="shared" ca="1" si="169"/>
        <v>0</v>
      </c>
      <c r="M459" s="1445"/>
      <c r="N459" s="833"/>
      <c r="O459" s="833"/>
      <c r="Q459" s="833"/>
      <c r="R459" s="833"/>
      <c r="S459" s="833"/>
      <c r="T459" s="833"/>
      <c r="U459" s="833"/>
      <c r="V459" s="833"/>
      <c r="W459" s="833"/>
      <c r="X459" s="833"/>
    </row>
    <row r="460" spans="1:24" s="813" customFormat="1" ht="30" customHeight="1" x14ac:dyDescent="0.15">
      <c r="A460" s="2081">
        <f t="shared" ca="1" si="170"/>
        <v>6.0499999999999989</v>
      </c>
      <c r="B460" s="834" t="str">
        <f>IF(M460="EAI","PA/0025",96401)</f>
        <v>PA/0025</v>
      </c>
      <c r="C460" s="2" t="str">
        <f>VLOOKUP($B460,[4]BOLETIM_SEL!$A:$H,2,0)</f>
        <v>COMPOSIÇÃO</v>
      </c>
      <c r="D460" s="315" t="str">
        <f>VLOOKUP($B460,[4]BOLETIM_SEL!$A:$H,4,0)</f>
        <v>Imprimação da base, execução e fornecimento de emulsão asfáltica EAI (REF. SINAPI COD. 102470)</v>
      </c>
      <c r="E460" s="2"/>
      <c r="F460" s="2" t="str">
        <f>VLOOKUP($B460,[4]BOLETIM_SEL!$A:$H,6,0)</f>
        <v>M2</v>
      </c>
      <c r="G460" s="1407">
        <f>VLOOKUP($B460,[4]BOLETIM_SEL!$A:$H,7,0)</f>
        <v>5.13</v>
      </c>
      <c r="H460" s="1611">
        <f ca="1">+Dre_Fecha_Vala!AZ32</f>
        <v>182.08</v>
      </c>
      <c r="I460" s="877">
        <f>TRUNC(G460*(1+$J$5),2)</f>
        <v>6.19</v>
      </c>
      <c r="J460" s="1612">
        <f t="shared" ca="1" si="171"/>
        <v>1127.07</v>
      </c>
      <c r="K460" s="2078">
        <f t="shared" ca="1" si="168"/>
        <v>8.4105572536579272E-5</v>
      </c>
      <c r="L460" s="1574">
        <f t="shared" ca="1" si="169"/>
        <v>5.7102774049693043E-2</v>
      </c>
      <c r="M460" s="1589" t="s">
        <v>2103</v>
      </c>
      <c r="N460" s="833"/>
      <c r="O460" s="833"/>
      <c r="Q460" s="833"/>
      <c r="R460" s="833"/>
      <c r="S460" s="833"/>
      <c r="T460" s="833"/>
      <c r="U460" s="833"/>
      <c r="V460" s="833"/>
      <c r="W460" s="833"/>
      <c r="X460" s="833"/>
    </row>
    <row r="461" spans="1:24" s="813" customFormat="1" ht="39.950000000000003" hidden="1" customHeight="1" x14ac:dyDescent="0.15">
      <c r="A461" s="2081">
        <f t="shared" ca="1" si="170"/>
        <v>6.0499999999999989</v>
      </c>
      <c r="B461" s="834" t="s">
        <v>2739</v>
      </c>
      <c r="C461" s="2" t="str">
        <f>VLOOKUP($B461,[4]BOLETIM_SEL!$A:$H,2,0)</f>
        <v>COMPOSIÇÃO</v>
      </c>
      <c r="D461" s="315" t="str">
        <f>VLOOKUP($B461,[4]BOLETIM_SEL!$A:$H,4,0)</f>
        <v>PAVIMENTO COM TRATAMENTO SUPERFICIAL DUPLO, COM EMULSÃO ASFÁLTICA RR-2C (REF. SINAPI COD. 03.PAVI.TSUP.005/01-104389 DB 09-21)</v>
      </c>
      <c r="E461" s="2"/>
      <c r="F461" s="2" t="str">
        <f>VLOOKUP($B461,[4]BOLETIM_SEL!$A:$H,6,0)</f>
        <v>M2</v>
      </c>
      <c r="G461" s="1407">
        <f>VLOOKUP($B461,[4]BOLETIM_SEL!$A:$H,7,0)</f>
        <v>15.66</v>
      </c>
      <c r="H461" s="1611">
        <f ca="1">+Dre_Fecha_Vala!AZ34</f>
        <v>0</v>
      </c>
      <c r="I461" s="877">
        <f t="shared" si="173"/>
        <v>18.899999999999999</v>
      </c>
      <c r="J461" s="1612">
        <f t="shared" ca="1" si="171"/>
        <v>0</v>
      </c>
      <c r="K461" s="2078">
        <f t="shared" ca="1" si="168"/>
        <v>0</v>
      </c>
      <c r="L461" s="1574">
        <f t="shared" ca="1" si="169"/>
        <v>0</v>
      </c>
      <c r="M461" s="1445"/>
      <c r="N461" s="833"/>
      <c r="O461" s="833"/>
      <c r="Q461" s="833"/>
      <c r="R461" s="833"/>
      <c r="S461" s="833"/>
      <c r="T461" s="833"/>
      <c r="U461" s="833"/>
      <c r="V461" s="833"/>
      <c r="W461" s="833"/>
      <c r="X461" s="833"/>
    </row>
    <row r="462" spans="1:24" s="813" customFormat="1" ht="39.950000000000003" customHeight="1" x14ac:dyDescent="0.15">
      <c r="A462" s="2081">
        <f t="shared" ca="1" si="170"/>
        <v>6.0599999999999987</v>
      </c>
      <c r="B462" s="834" t="str">
        <f>IF(M462="COMERCIAL","RE/0050","RE/0051")</f>
        <v>RE/0050</v>
      </c>
      <c r="C462" s="2" t="str">
        <f>VLOOKUP($B462,[4]BOLETIM_SEL!$A:$H,2,0)</f>
        <v>COMPOSIÇÃO</v>
      </c>
      <c r="D462" s="315" t="str">
        <f>VLOOKUP($B462,[4]BOLETIM_SEL!$A:$H,4,0)</f>
        <v>CBUQ (usina comercial) - aplicação manual em fechamento de vala e remendos. Incluindo fornecimento dos materiais e compactação com rolo tandem compacto. Exclusive transporte. Ref BP 09.05.0500 RIO SCO</v>
      </c>
      <c r="E462" s="2"/>
      <c r="F462" s="2" t="str">
        <f>VLOOKUP($B462,[4]BOLETIM_SEL!$A:$H,6,0)</f>
        <v>M3</v>
      </c>
      <c r="G462" s="1407">
        <f>VLOOKUP($B462,[4]BOLETIM_SEL!$A:$H,7,0)</f>
        <v>1516.64</v>
      </c>
      <c r="H462" s="1611">
        <f ca="1">+Dre_Fecha_Vala!AZ40</f>
        <v>4.63</v>
      </c>
      <c r="I462" s="877">
        <f t="shared" si="173"/>
        <v>1830.58</v>
      </c>
      <c r="J462" s="1612">
        <f t="shared" ca="1" si="171"/>
        <v>8475.58</v>
      </c>
      <c r="K462" s="2078">
        <f t="shared" ca="1" si="168"/>
        <v>6.3247492035062639E-4</v>
      </c>
      <c r="L462" s="1574">
        <f t="shared" ca="1" si="169"/>
        <v>0.42941354989494657</v>
      </c>
      <c r="M462" s="1589" t="s">
        <v>410</v>
      </c>
      <c r="N462" s="833"/>
      <c r="O462" s="833"/>
      <c r="Q462" s="833"/>
      <c r="R462" s="833"/>
      <c r="S462" s="833"/>
      <c r="T462" s="833"/>
      <c r="U462" s="833"/>
      <c r="V462" s="833"/>
      <c r="W462" s="833"/>
      <c r="X462" s="833"/>
    </row>
    <row r="463" spans="1:24" s="813" customFormat="1" ht="39.950000000000003" customHeight="1" x14ac:dyDescent="0.15">
      <c r="A463" s="2081">
        <f t="shared" ca="1" si="170"/>
        <v>6.0699999999999985</v>
      </c>
      <c r="B463" s="834" t="str">
        <f>IF(M463="COMERCIAL","RE/0055","RE/0056")</f>
        <v>RE/0055</v>
      </c>
      <c r="C463" s="2" t="str">
        <f>VLOOKUP($B463,[4]BOLETIM_SEL!$A:$H,2,0)</f>
        <v>COMPOSIÇÃO</v>
      </c>
      <c r="D463" s="315" t="str">
        <f>VLOOKUP($B463,[4]BOLETIM_SEL!$A:$H,4,0)</f>
        <v>CBUQ (usina comercial) - aplicação com motoniveladora (reperfilamento). Incluindo fornecimento de materiais. Exclusive transporte</v>
      </c>
      <c r="E463" s="2"/>
      <c r="F463" s="2" t="str">
        <f>VLOOKUP($B463,[4]BOLETIM_SEL!$A:$H,6,0)</f>
        <v>M3</v>
      </c>
      <c r="G463" s="1407">
        <f>VLOOKUP($B463,[4]BOLETIM_SEL!$A:$H,7,0)</f>
        <v>1543.9</v>
      </c>
      <c r="H463" s="1611">
        <f ca="1">+Dre_Fecha_Vala!AZ41</f>
        <v>0.84</v>
      </c>
      <c r="I463" s="877">
        <f t="shared" si="173"/>
        <v>1863.48</v>
      </c>
      <c r="J463" s="1612">
        <f t="shared" ca="1" si="171"/>
        <v>1565.32</v>
      </c>
      <c r="K463" s="2078">
        <f t="shared" ca="1" si="168"/>
        <v>1.1680919091357081E-4</v>
      </c>
      <c r="L463" s="1574">
        <f t="shared" ca="1" si="169"/>
        <v>7.9306621838453259E-2</v>
      </c>
      <c r="M463" s="1589" t="s">
        <v>410</v>
      </c>
      <c r="N463" s="833"/>
      <c r="O463" s="833"/>
      <c r="Q463" s="833"/>
      <c r="R463" s="833"/>
      <c r="S463" s="833"/>
      <c r="T463" s="833"/>
      <c r="U463" s="833"/>
      <c r="V463" s="833"/>
      <c r="W463" s="833"/>
      <c r="X463" s="833"/>
    </row>
    <row r="464" spans="1:24" s="813" customFormat="1" ht="50.1" hidden="1" customHeight="1" x14ac:dyDescent="0.15">
      <c r="A464" s="2081">
        <f t="shared" ca="1" si="170"/>
        <v>6.0699999999999985</v>
      </c>
      <c r="B464" s="834" t="s">
        <v>423</v>
      </c>
      <c r="C464" s="2" t="str">
        <f>VLOOKUP($B464,[4]BOLETIM_SEL!$A:$H,2,0)</f>
        <v>COMPOSIÇÃO</v>
      </c>
      <c r="D464" s="315" t="str">
        <f>VLOOKUP($B464,[4]BOLETIM_SEL!$A:$H,4,0)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464" s="2"/>
      <c r="F464" s="2" t="str">
        <f>VLOOKUP($B464,[4]BOLETIM_SEL!$A:$H,6,0)</f>
        <v>M3</v>
      </c>
      <c r="G464" s="1407">
        <f>VLOOKUP($B464,[4]BOLETIM_SEL!$A:$H,7,0)</f>
        <v>996.68</v>
      </c>
      <c r="H464" s="1611">
        <f ca="1">+Dre_Fecha_Vala!AZ47</f>
        <v>0</v>
      </c>
      <c r="I464" s="877">
        <f t="shared" si="173"/>
        <v>1202.99</v>
      </c>
      <c r="J464" s="1612">
        <f t="shared" ca="1" si="171"/>
        <v>0</v>
      </c>
      <c r="K464" s="2078">
        <f t="shared" ca="1" si="168"/>
        <v>0</v>
      </c>
      <c r="L464" s="1574">
        <f t="shared" ca="1" si="169"/>
        <v>0</v>
      </c>
      <c r="M464" s="1445"/>
      <c r="N464" s="833"/>
      <c r="O464" s="833"/>
      <c r="Q464" s="833"/>
      <c r="R464" s="833"/>
      <c r="S464" s="833"/>
      <c r="T464" s="833"/>
      <c r="U464" s="833"/>
      <c r="V464" s="833"/>
      <c r="W464" s="833"/>
      <c r="X464" s="833"/>
    </row>
    <row r="465" spans="1:24" s="813" customFormat="1" ht="39.950000000000003" hidden="1" customHeight="1" x14ac:dyDescent="0.15">
      <c r="A465" s="2081">
        <f t="shared" ca="1" si="170"/>
        <v>6.0699999999999985</v>
      </c>
      <c r="B465" s="834" t="s">
        <v>1754</v>
      </c>
      <c r="C465" s="2" t="str">
        <f>VLOOKUP($B465,[4]BOLETIM_SEL!$A:$H,2,0)</f>
        <v>COMPOSIÇÃO</v>
      </c>
      <c r="D465" s="315" t="str">
        <f>VLOOKUP($B465,[4]BOLETIM_SEL!$A:$H,4,0)</f>
        <v>Execução de pré-misturado a frio - PMF, faixa C (semidenso), com emulsão asfáltica RL-1C, aplicação com motoniveladora (reperfilamento). Incluindo fornecimento de materiais. Exclusive transporte</v>
      </c>
      <c r="E465" s="2"/>
      <c r="F465" s="2" t="str">
        <f>VLOOKUP($B465,[4]BOLETIM_SEL!$A:$H,6,0)</f>
        <v>M3</v>
      </c>
      <c r="G465" s="1407">
        <f>VLOOKUP($B465,[4]BOLETIM_SEL!$A:$H,7,0)</f>
        <v>1021.49</v>
      </c>
      <c r="H465" s="1611">
        <f ca="1">+Dre_Fecha_Vala!AZ48</f>
        <v>0</v>
      </c>
      <c r="I465" s="877">
        <f t="shared" si="173"/>
        <v>1232.93</v>
      </c>
      <c r="J465" s="1612">
        <f t="shared" ca="1" si="171"/>
        <v>0</v>
      </c>
      <c r="K465" s="2078">
        <f t="shared" ca="1" si="168"/>
        <v>0</v>
      </c>
      <c r="L465" s="1574">
        <f t="shared" ca="1" si="169"/>
        <v>0</v>
      </c>
      <c r="M465" s="1445"/>
      <c r="N465" s="833"/>
      <c r="O465" s="833"/>
      <c r="Q465" s="833"/>
      <c r="R465" s="833"/>
      <c r="S465" s="833"/>
      <c r="T465" s="833"/>
      <c r="U465" s="833"/>
      <c r="V465" s="833"/>
      <c r="W465" s="833"/>
      <c r="X465" s="833"/>
    </row>
    <row r="466" spans="1:24" s="813" customFormat="1" ht="39.950000000000003" customHeight="1" x14ac:dyDescent="0.15">
      <c r="A466" s="2081">
        <f t="shared" ca="1" si="170"/>
        <v>6.0799999999999983</v>
      </c>
      <c r="B466" s="834">
        <f>IF(M466="escavadeira",100978,100974)</f>
        <v>100978</v>
      </c>
      <c r="C466" s="2" t="str">
        <f>VLOOKUP($B466,[4]BOLETIM_SEL!$A:$H,2,0)</f>
        <v>SINAPI</v>
      </c>
      <c r="D466" s="315" t="str">
        <f>VLOOKUP($B466,[4]BOLETIM_SEL!$A:$H,4,0)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466" s="2"/>
      <c r="F466" s="2" t="str">
        <f>VLOOKUP($B466,[4]BOLETIM_SEL!$A:$H,6,0)</f>
        <v>M3</v>
      </c>
      <c r="G466" s="1407">
        <f>VLOOKUP($B466,[4]BOLETIM_SEL!$A:$H,7,0)</f>
        <v>6.17</v>
      </c>
      <c r="H466" s="1611">
        <f ca="1">Dre_Fecha_Vala!AZ61</f>
        <v>37.549999999999997</v>
      </c>
      <c r="I466" s="877">
        <f t="shared" si="173"/>
        <v>7.44</v>
      </c>
      <c r="J466" s="1612">
        <f t="shared" ca="1" si="171"/>
        <v>279.37</v>
      </c>
      <c r="K466" s="2078">
        <f t="shared" ca="1" si="168"/>
        <v>2.0847484006800068E-5</v>
      </c>
      <c r="L466" s="1574">
        <f t="shared" ca="1" si="169"/>
        <v>1.4154224658861249E-2</v>
      </c>
      <c r="M466" s="1589" t="s">
        <v>2106</v>
      </c>
      <c r="N466" s="833"/>
      <c r="O466" s="833"/>
      <c r="Q466" s="833"/>
      <c r="R466" s="833"/>
      <c r="S466" s="833"/>
      <c r="T466" s="833"/>
      <c r="U466" s="833"/>
      <c r="V466" s="833"/>
      <c r="W466" s="833"/>
      <c r="X466" s="833"/>
    </row>
    <row r="467" spans="1:24" s="813" customFormat="1" ht="24.95" customHeight="1" x14ac:dyDescent="0.15">
      <c r="A467" s="2081"/>
      <c r="B467" s="834"/>
      <c r="C467" s="2"/>
      <c r="D467" s="1452" t="s">
        <v>2451</v>
      </c>
      <c r="E467" s="2"/>
      <c r="F467" s="2"/>
      <c r="G467" s="1407"/>
      <c r="H467" s="2"/>
      <c r="I467" s="2"/>
      <c r="J467" s="839" t="str">
        <f ca="1">IF(J468=0,"-","")</f>
        <v/>
      </c>
      <c r="K467" s="2078"/>
      <c r="L467" s="1574"/>
      <c r="M467" s="1445" t="s">
        <v>1952</v>
      </c>
      <c r="N467" s="833"/>
      <c r="O467" s="833"/>
      <c r="Q467" s="833"/>
      <c r="R467" s="833"/>
      <c r="S467" s="833"/>
      <c r="T467" s="833"/>
      <c r="U467" s="833"/>
      <c r="V467" s="833"/>
      <c r="W467" s="833"/>
      <c r="X467" s="833"/>
    </row>
    <row r="468" spans="1:24" s="813" customFormat="1" ht="39.950000000000003" customHeight="1" x14ac:dyDescent="0.15">
      <c r="A468" s="2081">
        <f ca="1">IF(H468&gt;0,A466+0.01,A466)</f>
        <v>6.0899999999999981</v>
      </c>
      <c r="B468" s="834">
        <f ca="1">IF(AND(M468&lt;=50,E468&lt;=30),95876,IF(AND(M468&lt;=50,E468&gt;30),93590,IF(AND(M468&gt;50,E468&lt;=30),95876,93593)))</f>
        <v>95876</v>
      </c>
      <c r="C468" s="2" t="str">
        <f ca="1">VLOOKUP($B468,[4]BOLETIM_SEL!$A:$H,2,0)</f>
        <v>SINAPI</v>
      </c>
      <c r="D468" s="315" t="str">
        <f ca="1">VLOOKUP($B468,[4]BOLETIM_SEL!$A:$H,4,0)</f>
        <v>Transporte com caminhão basculante de 14 m3, em via urbana pavimentada, DMT até 30,00 km (unidade: m3xkm). AF_07/2020</v>
      </c>
      <c r="E468" s="2">
        <f>Dados_DMT!$B$17</f>
        <v>4</v>
      </c>
      <c r="F468" s="2" t="str">
        <f ca="1">VLOOKUP($B468,[4]BOLETIM_SEL!$A:$H,6,0)</f>
        <v>M3XKM</v>
      </c>
      <c r="G468" s="1407">
        <f ca="1">VLOOKUP($B468,[4]BOLETIM_SEL!$A:$H,7,0)</f>
        <v>1.93</v>
      </c>
      <c r="H468" s="1611">
        <f ca="1">ROUND(Dre_Fecha_Vala!AZ62*E468,2)</f>
        <v>163.88</v>
      </c>
      <c r="I468" s="877">
        <f ca="1">TRUNC(G468*(1+$J$5),2)</f>
        <v>2.3199999999999998</v>
      </c>
      <c r="J468" s="1612">
        <f ca="1">TRUNC(H468*I468,2)</f>
        <v>380.2</v>
      </c>
      <c r="K468" s="2078">
        <f ca="1">J468/J$967</f>
        <v>2.8371741487580574E-5</v>
      </c>
      <c r="L468" s="1574">
        <f ca="1">J468/$J$448</f>
        <v>1.9262756256215936E-2</v>
      </c>
      <c r="M468" s="1453">
        <f ca="1">IF(H468=0,0,H468/E468)</f>
        <v>40.97</v>
      </c>
      <c r="N468" s="833"/>
      <c r="O468" s="833"/>
      <c r="Q468" s="833"/>
      <c r="R468" s="833"/>
      <c r="S468" s="833"/>
      <c r="T468" s="833"/>
      <c r="U468" s="833"/>
      <c r="V468" s="833"/>
      <c r="W468" s="833"/>
      <c r="X468" s="833"/>
    </row>
    <row r="469" spans="1:24" s="813" customFormat="1" ht="24.95" customHeight="1" x14ac:dyDescent="0.15">
      <c r="A469" s="2083"/>
      <c r="B469" s="834"/>
      <c r="C469" s="2"/>
      <c r="D469" s="1452" t="s">
        <v>1948</v>
      </c>
      <c r="E469" s="2"/>
      <c r="F469" s="2"/>
      <c r="G469" s="1407"/>
      <c r="H469" s="2"/>
      <c r="I469" s="2"/>
      <c r="J469" s="839" t="str">
        <f ca="1">IF(J472=0,"-","")</f>
        <v/>
      </c>
      <c r="K469" s="2078"/>
      <c r="L469" s="1574"/>
      <c r="M469" s="1445"/>
      <c r="N469" s="833"/>
      <c r="O469" s="833"/>
      <c r="Q469" s="833"/>
      <c r="R469" s="833"/>
      <c r="S469" s="833"/>
      <c r="T469" s="833"/>
      <c r="U469" s="833"/>
      <c r="V469" s="833"/>
      <c r="W469" s="833"/>
      <c r="X469" s="833"/>
    </row>
    <row r="470" spans="1:24" s="813" customFormat="1" ht="39.950000000000003" customHeight="1" x14ac:dyDescent="0.15">
      <c r="A470" s="2081">
        <f ca="1">IF(H470&gt;0,A468+0.01,A468)</f>
        <v>6.0999999999999979</v>
      </c>
      <c r="B470" s="834">
        <f ca="1">IF(AND(M470&lt;=50,E470&lt;=30),95875,IF(AND(M470&lt;=50,E470&gt;30),93590,IF(AND(M470&gt;50,E470&lt;=30),95876,93593)))</f>
        <v>95875</v>
      </c>
      <c r="C470" s="2" t="str">
        <f ca="1">VLOOKUP($B470,[4]BOLETIM_SEL!$A:$H,2,0)</f>
        <v>SINAPI</v>
      </c>
      <c r="D470" s="315" t="str">
        <f ca="1">VLOOKUP($B470,[4]BOLETIM_SEL!$A:$H,4,0)</f>
        <v>Transporte com caminhão basculante de 10 m3, em via urbana pavimentada, DMT até 30,00 km (unidade: m3xkm). AF_07/2020</v>
      </c>
      <c r="E470" s="2">
        <f>+Dados_DMT!$B$14</f>
        <v>4</v>
      </c>
      <c r="F470" s="2" t="str">
        <f ca="1">VLOOKUP($B470,[4]BOLETIM_SEL!$A:$H,6,0)</f>
        <v>M3XKM</v>
      </c>
      <c r="G470" s="1407">
        <f ca="1">VLOOKUP($B470,[4]BOLETIM_SEL!$A:$H,7,0)</f>
        <v>2.1800000000000002</v>
      </c>
      <c r="H470" s="1611">
        <f ca="1">ROUND(Dre_Fecha_Vala!AZ63*E470,2)</f>
        <v>54.64</v>
      </c>
      <c r="I470" s="877">
        <f ca="1">TRUNC(G470*(1+$J$5),2)</f>
        <v>2.63</v>
      </c>
      <c r="J470" s="1612">
        <f ca="1">TRUNC(H470*I470,2)</f>
        <v>143.69999999999999</v>
      </c>
      <c r="K470" s="2078">
        <f ca="1">J470/J$967</f>
        <v>1.072335416035068E-5</v>
      </c>
      <c r="L470" s="1574">
        <f ca="1">J470/$J$448</f>
        <v>7.2805314939985008E-3</v>
      </c>
      <c r="M470" s="1453">
        <f ca="1">IF(H470=0,0,H470/E470)</f>
        <v>13.66</v>
      </c>
      <c r="N470" s="833"/>
      <c r="O470" s="833"/>
      <c r="Q470" s="833"/>
      <c r="R470" s="833"/>
      <c r="S470" s="833"/>
      <c r="T470" s="833"/>
      <c r="U470" s="833"/>
      <c r="V470" s="833"/>
      <c r="W470" s="833"/>
      <c r="X470" s="833"/>
    </row>
    <row r="471" spans="1:24" s="813" customFormat="1" ht="24.95" customHeight="1" x14ac:dyDescent="0.15">
      <c r="A471" s="2083"/>
      <c r="B471" s="834"/>
      <c r="C471" s="2"/>
      <c r="D471" s="1452" t="s">
        <v>1899</v>
      </c>
      <c r="E471" s="2"/>
      <c r="F471" s="836"/>
      <c r="G471" s="1407"/>
      <c r="H471" s="2"/>
      <c r="I471" s="836"/>
      <c r="J471" s="839" t="str">
        <f ca="1">IF(J470=0,"-","")</f>
        <v/>
      </c>
      <c r="K471" s="2078"/>
      <c r="L471" s="1574"/>
      <c r="M471" s="1445"/>
      <c r="N471" s="833"/>
      <c r="O471" s="833"/>
      <c r="Q471" s="833"/>
      <c r="R471" s="833"/>
      <c r="S471" s="833"/>
      <c r="T471" s="833"/>
      <c r="U471" s="833"/>
      <c r="V471" s="833"/>
      <c r="W471" s="833"/>
      <c r="X471" s="833"/>
    </row>
    <row r="472" spans="1:24" s="813" customFormat="1" ht="30" customHeight="1" x14ac:dyDescent="0.15">
      <c r="A472" s="2081">
        <f ca="1">IF(H472&gt;0,A470+0.01,A470)</f>
        <v>6.1099999999999977</v>
      </c>
      <c r="B472" s="834">
        <v>100939</v>
      </c>
      <c r="C472" s="2" t="str">
        <f>VLOOKUP($B472,[4]BOLETIM_SEL!$A:$H,2,0)</f>
        <v>SINAPI</v>
      </c>
      <c r="D472" s="315" t="str">
        <f>VLOOKUP($B472,[4]BOLETIM_SEL!$A:$H,4,0)</f>
        <v>Transporte com caminhão basculante de 14 m3, em via interna (dentro do canteiro - unidade:m3xkm). AF_07/2020</v>
      </c>
      <c r="E472" s="2">
        <f>+Dados_DMT!$B$15</f>
        <v>1</v>
      </c>
      <c r="F472" s="2" t="str">
        <f>VLOOKUP($B472,[4]BOLETIM_SEL!$A:$H,6,0)</f>
        <v>M3XKM</v>
      </c>
      <c r="G472" s="1407">
        <f>VLOOKUP($B472,[4]BOLETIM_SEL!$A:$H,7,0)</f>
        <v>5.89</v>
      </c>
      <c r="H472" s="1611">
        <f ca="1">ROUND(Dre_Fecha_Vala!AZ61*E472,2)</f>
        <v>37.549999999999997</v>
      </c>
      <c r="I472" s="877">
        <f>TRUNC(G472*(1+$J$5),2)</f>
        <v>7.1</v>
      </c>
      <c r="J472" s="1612">
        <f ca="1">TRUNC(H472*I472,2)</f>
        <v>266.60000000000002</v>
      </c>
      <c r="K472" s="2078">
        <f ca="1">J472/J$967</f>
        <v>1.9894545714331884E-5</v>
      </c>
      <c r="L472" s="1574">
        <f ca="1">J472/$J$448</f>
        <v>1.3507235186499657E-2</v>
      </c>
      <c r="M472" s="1445"/>
      <c r="N472" s="833"/>
      <c r="O472" s="833"/>
      <c r="Q472" s="833"/>
      <c r="R472" s="833"/>
      <c r="S472" s="833"/>
      <c r="T472" s="833"/>
      <c r="U472" s="833"/>
      <c r="V472" s="833"/>
      <c r="W472" s="833"/>
      <c r="X472" s="833"/>
    </row>
    <row r="473" spans="1:24" s="813" customFormat="1" ht="24.95" hidden="1" customHeight="1" x14ac:dyDescent="0.15">
      <c r="A473" s="2083"/>
      <c r="B473" s="834"/>
      <c r="C473" s="2"/>
      <c r="D473" s="1452" t="s">
        <v>1895</v>
      </c>
      <c r="E473" s="2"/>
      <c r="F473" s="2"/>
      <c r="G473" s="1407"/>
      <c r="H473" s="2"/>
      <c r="I473" s="2"/>
      <c r="J473" s="839" t="str">
        <f ca="1">IF(J474=0,"-","")</f>
        <v>-</v>
      </c>
      <c r="K473" s="2078"/>
      <c r="L473" s="1574"/>
      <c r="M473" s="1445"/>
      <c r="N473" s="833"/>
      <c r="O473" s="833"/>
      <c r="Q473" s="833"/>
      <c r="R473" s="833"/>
      <c r="S473" s="833"/>
      <c r="T473" s="833"/>
      <c r="U473" s="833"/>
      <c r="V473" s="833"/>
      <c r="W473" s="833"/>
      <c r="X473" s="833"/>
    </row>
    <row r="474" spans="1:24" s="813" customFormat="1" ht="39.950000000000003" hidden="1" customHeight="1" x14ac:dyDescent="0.15">
      <c r="A474" s="2081">
        <f ca="1">IF(H474&gt;0,A472+0.01,A472)</f>
        <v>6.1099999999999977</v>
      </c>
      <c r="B474" s="834">
        <f ca="1">IF(AND(M474&lt;=50,E474&lt;=30),95875,IF(AND(M474&lt;=50,E474&gt;30),93590,IF(AND(M474&gt;50,E474&lt;=30),95876,93593)))</f>
        <v>95875</v>
      </c>
      <c r="C474" s="2" t="str">
        <f ca="1">VLOOKUP($B474,[4]BOLETIM_SEL!$A:$H,2,0)</f>
        <v>SINAPI</v>
      </c>
      <c r="D474" s="315" t="str">
        <f ca="1">VLOOKUP($B474,[4]BOLETIM_SEL!$A:$H,4,0)</f>
        <v>Transporte com caminhão basculante de 10 m3, em via urbana pavimentada, DMT até 30,00 km (unidade: m3xkm). AF_07/2020</v>
      </c>
      <c r="E474" s="2">
        <f>+Dados_DMT!$B$24</f>
        <v>0</v>
      </c>
      <c r="F474" s="2" t="str">
        <f ca="1">VLOOKUP($B474,[4]BOLETIM_SEL!$A:$H,6,0)</f>
        <v>M3XKM</v>
      </c>
      <c r="G474" s="1407">
        <f ca="1">VLOOKUP($B474,[4]BOLETIM_SEL!$A:$H,7,0)</f>
        <v>2.1800000000000002</v>
      </c>
      <c r="H474" s="1611">
        <f ca="1">ROUND(Dre_Fecha_Vala!AZ69*E474,2)</f>
        <v>0</v>
      </c>
      <c r="I474" s="877">
        <f ca="1">TRUNC(G474*(1+$J$5),2)</f>
        <v>2.63</v>
      </c>
      <c r="J474" s="1612">
        <f ca="1">TRUNC(H474*I474,2)</f>
        <v>0</v>
      </c>
      <c r="K474" s="2078">
        <f ca="1">J474/J$967</f>
        <v>0</v>
      </c>
      <c r="L474" s="1574">
        <f ca="1">J474/$J$448</f>
        <v>0</v>
      </c>
      <c r="M474" s="1453">
        <f ca="1">IF(H474=0,0,H474/E474)</f>
        <v>0</v>
      </c>
      <c r="N474" s="833"/>
      <c r="O474" s="833"/>
      <c r="Q474" s="833"/>
      <c r="R474" s="833"/>
      <c r="S474" s="833"/>
      <c r="T474" s="833"/>
      <c r="U474" s="833"/>
      <c r="V474" s="833"/>
      <c r="W474" s="833"/>
      <c r="X474" s="833"/>
    </row>
    <row r="475" spans="1:24" s="813" customFormat="1" ht="24.95" customHeight="1" x14ac:dyDescent="0.15">
      <c r="A475" s="2083"/>
      <c r="B475" s="834"/>
      <c r="C475" s="2"/>
      <c r="D475" s="1452" t="s">
        <v>1900</v>
      </c>
      <c r="E475" s="2"/>
      <c r="F475" s="2"/>
      <c r="G475" s="1407"/>
      <c r="H475" s="2"/>
      <c r="I475" s="2"/>
      <c r="J475" s="839" t="str">
        <f ca="1">IF(J476=0,"-","")</f>
        <v/>
      </c>
      <c r="K475" s="2078"/>
      <c r="L475" s="1574"/>
      <c r="M475" s="1445"/>
      <c r="N475" s="833"/>
      <c r="O475" s="833"/>
      <c r="Q475" s="833"/>
      <c r="R475" s="833"/>
      <c r="S475" s="833"/>
      <c r="T475" s="833"/>
      <c r="U475" s="833"/>
      <c r="V475" s="833"/>
      <c r="W475" s="833"/>
      <c r="X475" s="833"/>
    </row>
    <row r="476" spans="1:24" s="813" customFormat="1" ht="39.950000000000003" customHeight="1" x14ac:dyDescent="0.15">
      <c r="A476" s="2081">
        <f ca="1">IF(H476&gt;0,A474+0.01,A474)</f>
        <v>6.1199999999999974</v>
      </c>
      <c r="B476" s="834">
        <f ca="1">IF(AND(M476&lt;=50,E476&lt;=30),95875,IF(AND(M476&lt;=50,E476&gt;30),93593,IF(AND(M476&gt;50,E476&lt;=30),95876,93593)))</f>
        <v>93593</v>
      </c>
      <c r="C476" s="2" t="str">
        <f ca="1">VLOOKUP($B476,[4]BOLETIM_SEL!$A:$H,2,0)</f>
        <v>SINAPI</v>
      </c>
      <c r="D476" s="315" t="str">
        <f ca="1">VLOOKUP($B476,[4]BOLETIM_SEL!$A:$H,4,0)</f>
        <v>Transporte com caminhão basculante de 14 m3, em via urbana pavimentada, adicional para DMT excedente a 30,00 km (unidade: m3xkm). AF_07/2020</v>
      </c>
      <c r="E476" s="2">
        <f>+Dados_DMT!$B$34</f>
        <v>109</v>
      </c>
      <c r="F476" s="2" t="str">
        <f ca="1">VLOOKUP($B476,[4]BOLETIM_SEL!$A:$H,6,0)</f>
        <v>M3XKM</v>
      </c>
      <c r="G476" s="1407">
        <f ca="1">VLOOKUP($B476,[4]BOLETIM_SEL!$A:$H,7,0)</f>
        <v>0.78</v>
      </c>
      <c r="H476" s="1611">
        <f ca="1">ROUND(Dre_Fecha_Vala!AZ70*E476,2)</f>
        <v>2455.77</v>
      </c>
      <c r="I476" s="877">
        <f ca="1">TRUNC(G476*(1+$J$5),2)</f>
        <v>0.94</v>
      </c>
      <c r="J476" s="1612">
        <f ca="1">TRUNC(H476*I476,2)</f>
        <v>2308.42</v>
      </c>
      <c r="K476" s="2078">
        <f ca="1">J476/J$967</f>
        <v>1.7226169249016506E-4</v>
      </c>
      <c r="L476" s="1574">
        <f ca="1">J476/$J$448</f>
        <v>0.11695563334290898</v>
      </c>
      <c r="M476" s="1453">
        <f ca="1">IF(H476=0,0,H476/E476)</f>
        <v>22.53</v>
      </c>
      <c r="N476" s="833"/>
      <c r="O476" s="833"/>
      <c r="Q476" s="833"/>
      <c r="R476" s="833"/>
      <c r="S476" s="833"/>
      <c r="T476" s="833"/>
      <c r="U476" s="833"/>
      <c r="V476" s="833"/>
      <c r="W476" s="833"/>
      <c r="X476" s="833"/>
    </row>
    <row r="477" spans="1:24" s="813" customFormat="1" ht="24.95" hidden="1" customHeight="1" x14ac:dyDescent="0.15">
      <c r="A477" s="2083"/>
      <c r="B477" s="834"/>
      <c r="C477" s="2"/>
      <c r="D477" s="1452" t="s">
        <v>1896</v>
      </c>
      <c r="E477" s="2"/>
      <c r="F477" s="2"/>
      <c r="G477" s="1407"/>
      <c r="H477" s="2"/>
      <c r="I477" s="2"/>
      <c r="J477" s="839" t="str">
        <f ca="1">IF(J478=0,"-","")</f>
        <v>-</v>
      </c>
      <c r="K477" s="2078"/>
      <c r="L477" s="1574"/>
      <c r="M477" s="1445"/>
      <c r="N477" s="833"/>
      <c r="O477" s="833"/>
      <c r="Q477" s="833"/>
      <c r="R477" s="833"/>
      <c r="S477" s="833"/>
      <c r="T477" s="833"/>
      <c r="U477" s="833"/>
      <c r="V477" s="833"/>
      <c r="W477" s="833"/>
      <c r="X477" s="833"/>
    </row>
    <row r="478" spans="1:24" s="813" customFormat="1" ht="39.950000000000003" hidden="1" customHeight="1" x14ac:dyDescent="0.15">
      <c r="A478" s="2081">
        <f ca="1">IF(H478&gt;0,A476+0.01,A476)</f>
        <v>6.1199999999999974</v>
      </c>
      <c r="B478" s="834">
        <f ca="1">IF(AND(M478&lt;=50,E478&lt;=30),95876,IF(AND(M478&lt;=50,E478&gt;30),93590,IF(AND(M478&gt;50,E478&lt;=30),95876,93593)))</f>
        <v>93590</v>
      </c>
      <c r="C478" s="2" t="str">
        <f ca="1">VLOOKUP($B478,[4]BOLETIM_SEL!$A:$H,2,0)</f>
        <v>SINAPI</v>
      </c>
      <c r="D478" s="315" t="str">
        <f ca="1">VLOOKUP($B478,[4]BOLETIM_SEL!$A:$H,4,0)</f>
        <v>Transporte com caminhão basculante de 10 m3, em via urbana pavimentada, adicional para DMT excedente a 30,00 km (unidade: m3xkm). AF_07/2020</v>
      </c>
      <c r="E478" s="2">
        <f>+Dados_DMT!$B$34</f>
        <v>109</v>
      </c>
      <c r="F478" s="2" t="str">
        <f ca="1">VLOOKUP($B478,[4]BOLETIM_SEL!$A:$H,6,0)</f>
        <v>M3XKM</v>
      </c>
      <c r="G478" s="1407">
        <f ca="1">VLOOKUP($B478,[4]BOLETIM_SEL!$A:$H,7,0)</f>
        <v>0.85</v>
      </c>
      <c r="H478" s="1611">
        <f ca="1">ROUND(Dre_Fecha_Vala!AZ71*E478,2)</f>
        <v>0</v>
      </c>
      <c r="I478" s="877">
        <f ca="1">TRUNC(G478*(1+$J$5),2)</f>
        <v>1.02</v>
      </c>
      <c r="J478" s="1612">
        <f ca="1">TRUNC(H478*I478,2)</f>
        <v>0</v>
      </c>
      <c r="K478" s="2078">
        <f ca="1">J478/J$967</f>
        <v>0</v>
      </c>
      <c r="L478" s="1574">
        <f ca="1">J478/$J$448</f>
        <v>0</v>
      </c>
      <c r="M478" s="1453">
        <f ca="1">IF(H478=0,0,H478/E478)</f>
        <v>0</v>
      </c>
      <c r="N478" s="833"/>
      <c r="O478" s="833"/>
      <c r="Q478" s="833"/>
      <c r="R478" s="833"/>
      <c r="S478" s="833"/>
      <c r="T478" s="833"/>
      <c r="U478" s="833"/>
      <c r="V478" s="833"/>
      <c r="W478" s="833"/>
      <c r="X478" s="833"/>
    </row>
    <row r="479" spans="1:24" s="813" customFormat="1" ht="24.95" hidden="1" customHeight="1" x14ac:dyDescent="0.15">
      <c r="A479" s="2081"/>
      <c r="B479" s="834"/>
      <c r="C479" s="2"/>
      <c r="D479" s="1452" t="s">
        <v>1897</v>
      </c>
      <c r="E479" s="2"/>
      <c r="F479" s="2"/>
      <c r="G479" s="1407"/>
      <c r="H479" s="2"/>
      <c r="I479" s="2"/>
      <c r="J479" s="839" t="str">
        <f ca="1">IF(J480=0,"-","")</f>
        <v>-</v>
      </c>
      <c r="K479" s="2078"/>
      <c r="L479" s="1574"/>
      <c r="M479" s="1445"/>
      <c r="N479" s="833"/>
      <c r="O479" s="833"/>
      <c r="Q479" s="833"/>
      <c r="R479" s="833"/>
      <c r="S479" s="833"/>
      <c r="T479" s="833"/>
      <c r="U479" s="833"/>
      <c r="V479" s="833"/>
      <c r="W479" s="833"/>
      <c r="X479" s="833"/>
    </row>
    <row r="480" spans="1:24" s="813" customFormat="1" ht="39.950000000000003" hidden="1" customHeight="1" x14ac:dyDescent="0.15">
      <c r="A480" s="2081">
        <f ca="1">IF(H480&gt;0,A478+0.01,A478)</f>
        <v>6.1199999999999974</v>
      </c>
      <c r="B480" s="834">
        <f ca="1">IF(AND(M480&lt;=50,E480&lt;=30),95875,IF(AND(M480&lt;=50,E480&gt;30),93590,IF(AND(M480&gt;50,E480&lt;=30),95876,93593)))</f>
        <v>93590</v>
      </c>
      <c r="C480" s="2" t="str">
        <f ca="1">VLOOKUP($B480,[4]BOLETIM_SEL!$A:$H,2,0)</f>
        <v>SINAPI</v>
      </c>
      <c r="D480" s="315" t="str">
        <f ca="1">VLOOKUP($B480,[4]BOLETIM_SEL!$A:$H,4,0)</f>
        <v>Transporte com caminhão basculante de 10 m3, em via urbana pavimentada, adicional para DMT excedente a 30,00 km (unidade: m3xkm). AF_07/2020</v>
      </c>
      <c r="E480" s="2">
        <f>+Dados_DMT!$B$34</f>
        <v>109</v>
      </c>
      <c r="F480" s="2" t="str">
        <f ca="1">VLOOKUP($B480,[4]BOLETIM_SEL!$A:$H,6,0)</f>
        <v>M3XKM</v>
      </c>
      <c r="G480" s="1407">
        <f ca="1">VLOOKUP($B480,[4]BOLETIM_SEL!$A:$H,7,0)</f>
        <v>0.85</v>
      </c>
      <c r="H480" s="1611">
        <f ca="1">ROUND(Dre_Fecha_Vala!AZ72*E480,2)</f>
        <v>0</v>
      </c>
      <c r="I480" s="877">
        <f ca="1">TRUNC(G480*(1+$J$5),2)</f>
        <v>1.02</v>
      </c>
      <c r="J480" s="1612">
        <f ca="1">TRUNC(H480*I480,2)</f>
        <v>0</v>
      </c>
      <c r="K480" s="2078">
        <f ca="1">J480/J$967</f>
        <v>0</v>
      </c>
      <c r="L480" s="1574">
        <f ca="1">J480/$J$448</f>
        <v>0</v>
      </c>
      <c r="M480" s="1453">
        <f ca="1">IF(H480=0,0,H480/E480)</f>
        <v>0</v>
      </c>
      <c r="N480" s="833"/>
      <c r="O480" s="833"/>
      <c r="Q480" s="833"/>
      <c r="R480" s="833"/>
      <c r="S480" s="833"/>
      <c r="T480" s="833"/>
      <c r="U480" s="833"/>
      <c r="V480" s="833"/>
      <c r="W480" s="833"/>
      <c r="X480" s="833"/>
    </row>
    <row r="481" spans="1:24" s="813" customFormat="1" ht="24.95" hidden="1" customHeight="1" x14ac:dyDescent="0.15">
      <c r="A481" s="2081"/>
      <c r="B481" s="834"/>
      <c r="C481" s="2"/>
      <c r="D481" s="1452" t="s">
        <v>1903</v>
      </c>
      <c r="E481" s="2"/>
      <c r="F481" s="2"/>
      <c r="G481" s="1407"/>
      <c r="H481" s="2"/>
      <c r="I481" s="2"/>
      <c r="J481" s="839" t="str">
        <f ca="1">IF(J482=0,"-","")</f>
        <v>-</v>
      </c>
      <c r="K481" s="2078"/>
      <c r="L481" s="1574"/>
      <c r="M481" s="1445"/>
      <c r="N481" s="833"/>
      <c r="O481" s="833"/>
      <c r="Q481" s="833"/>
      <c r="R481" s="833"/>
      <c r="S481" s="833"/>
      <c r="T481" s="833"/>
      <c r="U481" s="833"/>
      <c r="V481" s="833"/>
      <c r="W481" s="833"/>
      <c r="X481" s="833"/>
    </row>
    <row r="482" spans="1:24" s="813" customFormat="1" ht="39.950000000000003" hidden="1" customHeight="1" x14ac:dyDescent="0.15">
      <c r="A482" s="2081">
        <f ca="1">IF(H482&gt;0,A480+0.01,A480)</f>
        <v>6.1199999999999974</v>
      </c>
      <c r="B482" s="834">
        <f ca="1">IF(AND(M482&lt;=50,E482&lt;=30),95875,IF(AND(M482&lt;=50,E482&gt;30),93590,IF(AND(M482&gt;50,E482&lt;=30),95876,93593)))</f>
        <v>93590</v>
      </c>
      <c r="C482" s="2" t="str">
        <f ca="1">VLOOKUP($B482,[4]BOLETIM_SEL!$A:$H,2,0)</f>
        <v>SINAPI</v>
      </c>
      <c r="D482" s="315" t="str">
        <f ca="1">VLOOKUP($B482,[4]BOLETIM_SEL!$A:$H,4,0)</f>
        <v>Transporte com caminhão basculante de 10 m3, em via urbana pavimentada, adicional para DMT excedente a 30,00 km (unidade: m3xkm). AF_07/2020</v>
      </c>
      <c r="E482" s="2">
        <f>+Dados_DMT!$B$34</f>
        <v>109</v>
      </c>
      <c r="F482" s="2" t="str">
        <f ca="1">VLOOKUP($B482,[4]BOLETIM_SEL!$A:$H,6,0)</f>
        <v>M3XKM</v>
      </c>
      <c r="G482" s="1407">
        <f ca="1">VLOOKUP($B482,[4]BOLETIM_SEL!$A:$H,7,0)</f>
        <v>0.85</v>
      </c>
      <c r="H482" s="1611">
        <f ca="1">ROUND(Dre_Fecha_Vala!AZ73*E482,2)</f>
        <v>0</v>
      </c>
      <c r="I482" s="877">
        <f ca="1">TRUNC(G482*(1+$J$5),2)</f>
        <v>1.02</v>
      </c>
      <c r="J482" s="1612">
        <f ca="1">TRUNC(H482*I482,2)</f>
        <v>0</v>
      </c>
      <c r="K482" s="2078">
        <f ca="1">J482/J$967</f>
        <v>0</v>
      </c>
      <c r="L482" s="1574">
        <f ca="1">J482/$J$448</f>
        <v>0</v>
      </c>
      <c r="M482" s="1453">
        <f ca="1">IF(H482=0,0,H482/E482)</f>
        <v>0</v>
      </c>
      <c r="N482" s="833"/>
      <c r="O482" s="833"/>
      <c r="Q482" s="833"/>
      <c r="R482" s="833"/>
      <c r="S482" s="833"/>
      <c r="T482" s="833"/>
      <c r="U482" s="833"/>
      <c r="V482" s="833"/>
      <c r="W482" s="833"/>
      <c r="X482" s="833"/>
    </row>
    <row r="483" spans="1:24" s="813" customFormat="1" ht="24.95" hidden="1" customHeight="1" x14ac:dyDescent="0.15">
      <c r="A483" s="2081"/>
      <c r="B483" s="834"/>
      <c r="C483" s="2"/>
      <c r="D483" s="1452" t="s">
        <v>1902</v>
      </c>
      <c r="E483" s="2"/>
      <c r="F483" s="2"/>
      <c r="G483" s="1407"/>
      <c r="H483" s="2"/>
      <c r="I483" s="2"/>
      <c r="J483" s="839" t="str">
        <f ca="1">IF(J484=0,"-","")</f>
        <v>-</v>
      </c>
      <c r="K483" s="2078"/>
      <c r="L483" s="1574"/>
      <c r="M483" s="1445"/>
      <c r="N483" s="833"/>
      <c r="O483" s="833"/>
      <c r="Q483" s="833"/>
      <c r="R483" s="833"/>
      <c r="S483" s="833"/>
      <c r="T483" s="833"/>
      <c r="U483" s="833"/>
      <c r="V483" s="833"/>
      <c r="W483" s="833"/>
      <c r="X483" s="833"/>
    </row>
    <row r="484" spans="1:24" s="813" customFormat="1" ht="39.950000000000003" hidden="1" customHeight="1" x14ac:dyDescent="0.15">
      <c r="A484" s="2081">
        <f ca="1">IF(H484&gt;0,A482+0.01,A482)</f>
        <v>6.1199999999999974</v>
      </c>
      <c r="B484" s="834">
        <f ca="1">IF(AND(M484&lt;=50,E484&lt;=30),95875,IF(AND(M484&lt;=50,E484&gt;30),93590,IF(AND(M484&gt;50,E484&lt;=30),95876,93593)))</f>
        <v>95875</v>
      </c>
      <c r="C484" s="2" t="str">
        <f ca="1">VLOOKUP($B484,[4]BOLETIM_SEL!$A:$H,2,0)</f>
        <v>SINAPI</v>
      </c>
      <c r="D484" s="315" t="str">
        <f ca="1">VLOOKUP($B484,[4]BOLETIM_SEL!$A:$H,4,0)</f>
        <v>Transporte com caminhão basculante de 10 m3, em via urbana pavimentada, DMT até 30,00 km (unidade: m3xkm). AF_07/2020</v>
      </c>
      <c r="E484" s="2">
        <f>+Dados_DMT!$B$33</f>
        <v>0</v>
      </c>
      <c r="F484" s="2" t="str">
        <f ca="1">VLOOKUP($B484,[4]BOLETIM_SEL!$A:$H,6,0)</f>
        <v>M3XKM</v>
      </c>
      <c r="G484" s="1407">
        <f ca="1">VLOOKUP($B484,[4]BOLETIM_SEL!$A:$H,7,0)</f>
        <v>2.1800000000000002</v>
      </c>
      <c r="H484" s="1611">
        <f ca="1">ROUND(Dre_Fecha_Vala!AZ76*E484,2)</f>
        <v>0</v>
      </c>
      <c r="I484" s="877">
        <f ca="1">TRUNC(G484*(1+$J$5),2)</f>
        <v>2.63</v>
      </c>
      <c r="J484" s="1612">
        <f ca="1">TRUNC(H484*I484,2)</f>
        <v>0</v>
      </c>
      <c r="K484" s="2078">
        <f ca="1">J484/J$967</f>
        <v>0</v>
      </c>
      <c r="L484" s="1574">
        <f ca="1">J484/$J$448</f>
        <v>0</v>
      </c>
      <c r="M484" s="1453">
        <f ca="1">IF(H484=0,0,H484/E484)</f>
        <v>0</v>
      </c>
      <c r="N484" s="833"/>
      <c r="O484" s="833"/>
      <c r="Q484" s="833"/>
      <c r="R484" s="833"/>
      <c r="S484" s="833"/>
      <c r="T484" s="833"/>
      <c r="U484" s="833"/>
      <c r="V484" s="833"/>
      <c r="W484" s="833"/>
      <c r="X484" s="833"/>
    </row>
    <row r="485" spans="1:24" s="813" customFormat="1" ht="24.95" hidden="1" customHeight="1" x14ac:dyDescent="0.15">
      <c r="A485" s="2081"/>
      <c r="B485" s="834"/>
      <c r="C485" s="2"/>
      <c r="D485" s="1452" t="s">
        <v>1901</v>
      </c>
      <c r="E485" s="2"/>
      <c r="F485" s="2"/>
      <c r="G485" s="1407"/>
      <c r="H485" s="2"/>
      <c r="I485" s="2"/>
      <c r="J485" s="839" t="str">
        <f ca="1">IF(J486=0,"-","")</f>
        <v>-</v>
      </c>
      <c r="K485" s="2078"/>
      <c r="L485" s="1574"/>
      <c r="M485" s="1445"/>
      <c r="N485" s="833"/>
      <c r="O485" s="833"/>
      <c r="Q485" s="833"/>
      <c r="R485" s="833"/>
      <c r="S485" s="833"/>
      <c r="T485" s="833"/>
      <c r="U485" s="833"/>
      <c r="V485" s="833"/>
      <c r="W485" s="833"/>
      <c r="X485" s="833"/>
    </row>
    <row r="486" spans="1:24" s="813" customFormat="1" ht="39.950000000000003" hidden="1" customHeight="1" x14ac:dyDescent="0.15">
      <c r="A486" s="2081">
        <f ca="1">IF(H486&gt;0,A484+0.01,A484)</f>
        <v>6.1199999999999974</v>
      </c>
      <c r="B486" s="834">
        <f ca="1">IF(AND(M486&lt;=50,E486&lt;=30),95875,IF(AND(M486&lt;=50,E486&gt;30),93590,IF(AND(M486&gt;50,E486&lt;=30),95876,93593)))</f>
        <v>95875</v>
      </c>
      <c r="C486" s="2" t="str">
        <f ca="1">VLOOKUP($B486,[4]BOLETIM_SEL!$A:$H,2,0)</f>
        <v>SINAPI</v>
      </c>
      <c r="D486" s="315" t="str">
        <f ca="1">VLOOKUP($B486,[4]BOLETIM_SEL!$A:$H,4,0)</f>
        <v>Transporte com caminhão basculante de 10 m3, em via urbana pavimentada, DMT até 30,00 km (unidade: m3xkm). AF_07/2020</v>
      </c>
      <c r="E486" s="2">
        <f>+Dados_DMT!$B$32</f>
        <v>0</v>
      </c>
      <c r="F486" s="2" t="str">
        <f ca="1">VLOOKUP($B486,[4]BOLETIM_SEL!$A:$H,6,0)</f>
        <v>M3XKM</v>
      </c>
      <c r="G486" s="1407">
        <f ca="1">VLOOKUP($B486,[4]BOLETIM_SEL!$A:$H,7,0)</f>
        <v>2.1800000000000002</v>
      </c>
      <c r="H486" s="1611">
        <f ca="1">ROUND(Dre_Fecha_Vala!AZ75*E486,2)</f>
        <v>0</v>
      </c>
      <c r="I486" s="877">
        <f ca="1">TRUNC(G486*(1+$J$5),2)</f>
        <v>2.63</v>
      </c>
      <c r="J486" s="1612">
        <f ca="1">TRUNC(H486*I486,2)</f>
        <v>0</v>
      </c>
      <c r="K486" s="2078">
        <f ca="1">J486/J$967</f>
        <v>0</v>
      </c>
      <c r="L486" s="1574">
        <f ca="1">J486/$J$448</f>
        <v>0</v>
      </c>
      <c r="M486" s="1453">
        <f ca="1">IF(H486=0,0,H486/E486)</f>
        <v>0</v>
      </c>
      <c r="N486" s="833"/>
      <c r="O486" s="833"/>
      <c r="Q486" s="833"/>
      <c r="R486" s="833"/>
      <c r="S486" s="833"/>
      <c r="T486" s="833"/>
      <c r="U486" s="833"/>
      <c r="V486" s="833"/>
      <c r="W486" s="833"/>
      <c r="X486" s="833"/>
    </row>
    <row r="487" spans="1:24" s="813" customFormat="1" ht="24.95" hidden="1" customHeight="1" x14ac:dyDescent="0.15">
      <c r="A487" s="2081"/>
      <c r="B487" s="834"/>
      <c r="C487" s="2"/>
      <c r="D487" s="1452" t="s">
        <v>1841</v>
      </c>
      <c r="E487" s="2"/>
      <c r="F487" s="2"/>
      <c r="G487" s="1407"/>
      <c r="H487" s="2"/>
      <c r="I487" s="2"/>
      <c r="J487" s="839" t="str">
        <f ca="1">IF(J488=0,"-","")</f>
        <v>-</v>
      </c>
      <c r="K487" s="2078"/>
      <c r="L487" s="1574"/>
      <c r="M487" s="1445"/>
      <c r="N487" s="833"/>
      <c r="O487" s="833"/>
      <c r="Q487" s="833"/>
      <c r="R487" s="833"/>
      <c r="S487" s="833"/>
      <c r="T487" s="833"/>
      <c r="U487" s="833"/>
      <c r="V487" s="833"/>
      <c r="W487" s="833"/>
      <c r="X487" s="833"/>
    </row>
    <row r="488" spans="1:24" s="813" customFormat="1" ht="39.950000000000003" hidden="1" customHeight="1" x14ac:dyDescent="0.15">
      <c r="A488" s="2081">
        <f ca="1">IF(H488&gt;0,A484+0.01,A484)</f>
        <v>6.1199999999999974</v>
      </c>
      <c r="B488" s="834">
        <f ca="1">IF(AND(M488&lt;=50,E488&lt;=30),95875,IF(AND(M488&lt;=50,E488&gt;30),93590,IF(AND(M488&gt;50,E488&lt;=30),95876,93593)))</f>
        <v>95875</v>
      </c>
      <c r="C488" s="2" t="str">
        <f ca="1">VLOOKUP($B488,[4]BOLETIM_SEL!$A:$H,2,0)</f>
        <v>SINAPI</v>
      </c>
      <c r="D488" s="315" t="str">
        <f ca="1">VLOOKUP($B488,[4]BOLETIM_SEL!$A:$H,4,0)</f>
        <v>Transporte com caminhão basculante de 10 m3, em via urbana pavimentada, DMT até 30,00 km (unidade: m3xkm). AF_07/2020</v>
      </c>
      <c r="E488" s="2">
        <f>+Dados_DMT!$B$21</f>
        <v>0</v>
      </c>
      <c r="F488" s="2" t="str">
        <f ca="1">VLOOKUP($B488,[4]BOLETIM_SEL!$A:$H,6,0)</f>
        <v>M3XKM</v>
      </c>
      <c r="G488" s="1407">
        <f ca="1">VLOOKUP($B488,[4]BOLETIM_SEL!$A:$H,7,0)</f>
        <v>2.1800000000000002</v>
      </c>
      <c r="H488" s="1611">
        <f ca="1">ROUND(Dre_Fecha_Vala!AZ66*E488,2)</f>
        <v>0</v>
      </c>
      <c r="I488" s="877">
        <f ca="1">TRUNC(G488*(1+$J$5),2)</f>
        <v>2.63</v>
      </c>
      <c r="J488" s="1612">
        <f ca="1">TRUNC(H488*I488,2)</f>
        <v>0</v>
      </c>
      <c r="K488" s="2078">
        <f ca="1">J488/J$967</f>
        <v>0</v>
      </c>
      <c r="L488" s="1574">
        <f ca="1">J488/$J$448</f>
        <v>0</v>
      </c>
      <c r="M488" s="1453">
        <f ca="1">IF(H488=0,0,H488/E488)</f>
        <v>0</v>
      </c>
      <c r="N488" s="833"/>
      <c r="O488" s="833"/>
      <c r="Q488" s="833"/>
      <c r="R488" s="833"/>
      <c r="S488" s="833"/>
      <c r="T488" s="833"/>
      <c r="U488" s="833"/>
      <c r="V488" s="833"/>
      <c r="W488" s="833"/>
      <c r="X488" s="833"/>
    </row>
    <row r="489" spans="1:24" s="813" customFormat="1" ht="24.95" hidden="1" customHeight="1" x14ac:dyDescent="0.15">
      <c r="A489" s="2081"/>
      <c r="B489" s="834"/>
      <c r="C489" s="2"/>
      <c r="D489" s="1452" t="s">
        <v>1764</v>
      </c>
      <c r="E489" s="2"/>
      <c r="F489" s="2"/>
      <c r="G489" s="1407"/>
      <c r="H489" s="2"/>
      <c r="I489" s="2"/>
      <c r="J489" s="839" t="str">
        <f ca="1">IF(J490=0,"-","")</f>
        <v>-</v>
      </c>
      <c r="K489" s="2078"/>
      <c r="L489" s="1574"/>
      <c r="M489" s="1445"/>
      <c r="N489" s="833"/>
      <c r="O489" s="833"/>
      <c r="Q489" s="833"/>
      <c r="R489" s="833"/>
      <c r="S489" s="833"/>
      <c r="T489" s="833"/>
      <c r="U489" s="833"/>
      <c r="V489" s="833"/>
      <c r="W489" s="833"/>
      <c r="X489" s="833"/>
    </row>
    <row r="490" spans="1:24" s="813" customFormat="1" ht="39.950000000000003" hidden="1" customHeight="1" x14ac:dyDescent="0.15">
      <c r="A490" s="2081">
        <f ca="1">IF(H490&gt;0,A486+0.01,A486)</f>
        <v>6.1199999999999974</v>
      </c>
      <c r="B490" s="834">
        <f ca="1">IF(AND(M490&lt;=50,E490&lt;=30),95875,IF(AND(M490&lt;=50,E490&gt;30),93590,IF(AND(M490&gt;50,E490&lt;=30),95876,93593)))</f>
        <v>95875</v>
      </c>
      <c r="C490" s="2" t="str">
        <f ca="1">VLOOKUP($B490,[4]BOLETIM_SEL!$A:$H,2,0)</f>
        <v>SINAPI</v>
      </c>
      <c r="D490" s="315" t="str">
        <f ca="1">VLOOKUP($B490,[4]BOLETIM_SEL!$A:$H,4,0)</f>
        <v>Transporte com caminhão basculante de 10 m3, em via urbana pavimentada, DMT até 30,00 km (unidade: m3xkm). AF_07/2020</v>
      </c>
      <c r="E490" s="2">
        <f>+Dados_DMT!$B$23</f>
        <v>0</v>
      </c>
      <c r="F490" s="2" t="str">
        <f ca="1">VLOOKUP($B490,[4]BOLETIM_SEL!$A:$H,6,0)</f>
        <v>M3XKM</v>
      </c>
      <c r="G490" s="1407">
        <f ca="1">VLOOKUP($B490,[4]BOLETIM_SEL!$A:$H,7,0)</f>
        <v>2.1800000000000002</v>
      </c>
      <c r="H490" s="1611">
        <f ca="1">ROUND(Dre_Fecha_Vala!AZ68*E490,2)</f>
        <v>0</v>
      </c>
      <c r="I490" s="877">
        <f ca="1">TRUNC(G490*(1+$J$5),2)</f>
        <v>2.63</v>
      </c>
      <c r="J490" s="1612">
        <f ca="1">TRUNC(H490*I490,2)</f>
        <v>0</v>
      </c>
      <c r="K490" s="2078">
        <f ca="1">J490/J$967</f>
        <v>0</v>
      </c>
      <c r="L490" s="1574">
        <f ca="1">J490/$J$448</f>
        <v>0</v>
      </c>
      <c r="M490" s="1453">
        <f ca="1">IF(H490=0,0,H490/E490)</f>
        <v>0</v>
      </c>
      <c r="N490" s="833"/>
      <c r="O490" s="833"/>
      <c r="Q490" s="833"/>
      <c r="R490" s="833"/>
      <c r="S490" s="833"/>
      <c r="T490" s="833"/>
      <c r="U490" s="833"/>
      <c r="V490" s="833"/>
      <c r="W490" s="833"/>
      <c r="X490" s="833"/>
    </row>
    <row r="491" spans="1:24" s="813" customFormat="1" ht="24.95" hidden="1" customHeight="1" x14ac:dyDescent="0.15">
      <c r="A491" s="2081"/>
      <c r="B491" s="834"/>
      <c r="C491" s="2"/>
      <c r="D491" s="1452" t="s">
        <v>1765</v>
      </c>
      <c r="E491" s="2"/>
      <c r="F491" s="2"/>
      <c r="G491" s="1407"/>
      <c r="H491" s="2"/>
      <c r="I491" s="2"/>
      <c r="J491" s="839" t="str">
        <f ca="1">IF(J492=0,"-","")</f>
        <v>-</v>
      </c>
      <c r="K491" s="2078"/>
      <c r="L491" s="1574"/>
      <c r="M491" s="1445"/>
      <c r="N491" s="833"/>
      <c r="O491" s="833"/>
      <c r="Q491" s="833"/>
      <c r="R491" s="833"/>
      <c r="S491" s="833"/>
      <c r="T491" s="833"/>
      <c r="U491" s="833"/>
      <c r="V491" s="833"/>
      <c r="W491" s="833"/>
      <c r="X491" s="833"/>
    </row>
    <row r="492" spans="1:24" s="813" customFormat="1" ht="39.950000000000003" hidden="1" customHeight="1" x14ac:dyDescent="0.15">
      <c r="A492" s="2081">
        <f ca="1">IF(H492&gt;0,A490+0.01,A490)</f>
        <v>6.1199999999999974</v>
      </c>
      <c r="B492" s="834">
        <f ca="1">IF(AND(M492&lt;=50,E492&lt;=30),95875,IF(AND(M492&lt;=50,E492&gt;30),93590,IF(AND(M492&gt;50,E492&lt;=30),95876,93593)))</f>
        <v>95875</v>
      </c>
      <c r="C492" s="2" t="str">
        <f ca="1">VLOOKUP($B492,[4]BOLETIM_SEL!$A:$H,2,0)</f>
        <v>SINAPI</v>
      </c>
      <c r="D492" s="315" t="str">
        <f ca="1">VLOOKUP($B492,[4]BOLETIM_SEL!$A:$H,4,0)</f>
        <v>Transporte com caminhão basculante de 10 m3, em via urbana pavimentada, DMT até 30,00 km (unidade: m3xkm). AF_07/2020</v>
      </c>
      <c r="E492" s="2">
        <f>+Dados_DMT!$B$22</f>
        <v>0</v>
      </c>
      <c r="F492" s="2" t="str">
        <f ca="1">VLOOKUP($B492,[4]BOLETIM_SEL!$A:$H,6,0)</f>
        <v>M3XKM</v>
      </c>
      <c r="G492" s="1407">
        <f ca="1">VLOOKUP($B492,[4]BOLETIM_SEL!$A:$H,7,0)</f>
        <v>2.1800000000000002</v>
      </c>
      <c r="H492" s="1611">
        <f ca="1">ROUND(Dre_Fecha_Vala!AZ67*E492,2)</f>
        <v>0</v>
      </c>
      <c r="I492" s="877">
        <f ca="1">TRUNC(G492*(1+$J$5),2)</f>
        <v>2.63</v>
      </c>
      <c r="J492" s="1612">
        <f ca="1">TRUNC(H492*I492,2)</f>
        <v>0</v>
      </c>
      <c r="K492" s="2078">
        <f ca="1">J492/J$967</f>
        <v>0</v>
      </c>
      <c r="L492" s="1574">
        <f ca="1">J492/$J$448</f>
        <v>0</v>
      </c>
      <c r="M492" s="1453">
        <f ca="1">IF(H492=0,0,H492/E492)</f>
        <v>0</v>
      </c>
      <c r="N492" s="833"/>
      <c r="O492" s="833"/>
      <c r="Q492" s="833"/>
      <c r="R492" s="833"/>
      <c r="S492" s="833"/>
      <c r="T492" s="833"/>
      <c r="U492" s="833"/>
      <c r="V492" s="833"/>
      <c r="W492" s="833"/>
      <c r="X492" s="833"/>
    </row>
    <row r="493" spans="1:24" s="813" customFormat="1" ht="24.95" hidden="1" customHeight="1" x14ac:dyDescent="0.15">
      <c r="A493" s="2081"/>
      <c r="B493" s="834"/>
      <c r="C493" s="2"/>
      <c r="D493" s="1452" t="s">
        <v>1762</v>
      </c>
      <c r="E493" s="2"/>
      <c r="F493" s="2"/>
      <c r="G493" s="1407"/>
      <c r="H493" s="2"/>
      <c r="I493" s="2"/>
      <c r="J493" s="839" t="str">
        <f ca="1">IF(J494=0,"-","")</f>
        <v>-</v>
      </c>
      <c r="K493" s="2078"/>
      <c r="L493" s="1574"/>
      <c r="M493" s="1445"/>
      <c r="N493" s="833"/>
      <c r="O493" s="833"/>
      <c r="Q493" s="833"/>
      <c r="R493" s="833"/>
      <c r="S493" s="833"/>
      <c r="T493" s="833"/>
      <c r="U493" s="833"/>
      <c r="V493" s="833"/>
      <c r="W493" s="833"/>
      <c r="X493" s="833"/>
    </row>
    <row r="494" spans="1:24" s="813" customFormat="1" ht="39.950000000000003" hidden="1" customHeight="1" x14ac:dyDescent="0.15">
      <c r="A494" s="2081">
        <f ca="1">IF(H494&gt;0,A492+0.01,A492)</f>
        <v>6.1199999999999974</v>
      </c>
      <c r="B494" s="834">
        <f ca="1">IF(AND(M494&lt;=50,E494&lt;=30),95875,IF(AND(M494&lt;=50,E494&gt;30),93590,IF(AND(M494&gt;50,E494&lt;=30),95876,93593)))</f>
        <v>95875</v>
      </c>
      <c r="C494" s="2" t="str">
        <f ca="1">VLOOKUP($B494,[4]BOLETIM_SEL!$A:$H,2,0)</f>
        <v>SINAPI</v>
      </c>
      <c r="D494" s="315" t="str">
        <f ca="1">VLOOKUP($B494,[4]BOLETIM_SEL!$A:$H,4,0)</f>
        <v>Transporte com caminhão basculante de 10 m3, em via urbana pavimentada, DMT até 30,00 km (unidade: m3xkm). AF_07/2020</v>
      </c>
      <c r="E494" s="2">
        <f>+Dados_DMT!$B$31</f>
        <v>0</v>
      </c>
      <c r="F494" s="2" t="str">
        <f ca="1">VLOOKUP($B494,[4]BOLETIM_SEL!$A:$H,6,0)</f>
        <v>M3XKM</v>
      </c>
      <c r="G494" s="1407">
        <f ca="1">VLOOKUP($B494,[4]BOLETIM_SEL!$A:$H,7,0)</f>
        <v>2.1800000000000002</v>
      </c>
      <c r="H494" s="1611">
        <f ca="1">ROUND(Dre_Fecha_Vala!AZ83*E494,2)</f>
        <v>0</v>
      </c>
      <c r="I494" s="877">
        <f ca="1">TRUNC(G494*(1+$J$5),2)</f>
        <v>2.63</v>
      </c>
      <c r="J494" s="1612">
        <f ca="1">TRUNC(H494*I494,2)</f>
        <v>0</v>
      </c>
      <c r="K494" s="2078">
        <f ca="1">J494/J$967</f>
        <v>0</v>
      </c>
      <c r="L494" s="1574">
        <f ca="1">J494/$J$448</f>
        <v>0</v>
      </c>
      <c r="M494" s="1453">
        <f ca="1">IF(H494=0,0,H494/E494)</f>
        <v>0</v>
      </c>
      <c r="N494" s="833"/>
      <c r="O494" s="833"/>
      <c r="Q494" s="833"/>
      <c r="R494" s="833"/>
      <c r="S494" s="833"/>
      <c r="T494" s="833"/>
      <c r="U494" s="833"/>
      <c r="V494" s="833"/>
      <c r="W494" s="833"/>
      <c r="X494" s="833"/>
    </row>
    <row r="495" spans="1:24" s="813" customFormat="1" ht="24.95" customHeight="1" x14ac:dyDescent="0.15">
      <c r="A495" s="2081"/>
      <c r="B495" s="834"/>
      <c r="C495" s="2"/>
      <c r="D495" s="1452" t="s">
        <v>1763</v>
      </c>
      <c r="E495" s="2"/>
      <c r="F495" s="2"/>
      <c r="G495" s="1407"/>
      <c r="H495" s="2"/>
      <c r="I495" s="2"/>
      <c r="J495" s="839" t="str">
        <f ca="1">IF(J496=0,"-","")</f>
        <v/>
      </c>
      <c r="K495" s="2078"/>
      <c r="L495" s="1574"/>
      <c r="M495" s="1445"/>
      <c r="N495" s="833"/>
      <c r="O495" s="833"/>
      <c r="Q495" s="833"/>
      <c r="R495" s="833"/>
      <c r="S495" s="833"/>
      <c r="T495" s="833"/>
      <c r="U495" s="833"/>
      <c r="V495" s="833"/>
      <c r="W495" s="833"/>
      <c r="X495" s="833"/>
    </row>
    <row r="496" spans="1:24" s="813" customFormat="1" ht="39.950000000000003" customHeight="1" x14ac:dyDescent="0.15">
      <c r="A496" s="2081">
        <f ca="1">IF(H496&gt;0,A494+0.01,A494)</f>
        <v>6.1299999999999972</v>
      </c>
      <c r="B496" s="834">
        <f ca="1">IF(AND(M496&lt;=50,E496&lt;=30),95879,IF(AND(M496&lt;=50,E496&gt;30),93599,IF(AND(M496&gt;50,E496&lt;=30),95879,93599)))</f>
        <v>93599</v>
      </c>
      <c r="C496" s="2" t="str">
        <f ca="1">VLOOKUP($B496,[4]BOLETIM_SEL!$A:$H,2,0)</f>
        <v>SINAPI</v>
      </c>
      <c r="D496" s="315" t="str">
        <f ca="1">VLOOKUP($B496,[4]BOLETIM_SEL!$A:$H,4,0)</f>
        <v>Transporte com caminhão basculante de 14 m3, em via urbana pavimentada, adicional para DMT excedente a 30,00 km (unidade: txkm). AF_07/2020</v>
      </c>
      <c r="E496" s="2">
        <f>+Dados_DMT!$B$30</f>
        <v>109</v>
      </c>
      <c r="F496" s="2" t="str">
        <f ca="1">VLOOKUP($B496,[4]BOLETIM_SEL!$A:$H,6,0)</f>
        <v>TXKM</v>
      </c>
      <c r="G496" s="1407">
        <f ca="1">VLOOKUP($B496,[4]BOLETIM_SEL!$A:$H,7,0)</f>
        <v>0.52</v>
      </c>
      <c r="H496" s="1611">
        <f ca="1">ROUND(Dre_Fecha_Vala!AZ82*E496,2)</f>
        <v>1521.64</v>
      </c>
      <c r="I496" s="877">
        <f ca="1">TRUNC(G496*(1+$J$5),2)</f>
        <v>0.62</v>
      </c>
      <c r="J496" s="1612">
        <f ca="1">TRUNC(H496*I496,2)</f>
        <v>943.41</v>
      </c>
      <c r="K496" s="2078">
        <f ca="1">J496/J$967</f>
        <v>7.040027521514568E-5</v>
      </c>
      <c r="L496" s="1574">
        <f ca="1">J496/$J$448</f>
        <v>4.7797677221664066E-2</v>
      </c>
      <c r="M496" s="1454">
        <f ca="1">IF(H496=0,0,H496/E496)</f>
        <v>13.96</v>
      </c>
      <c r="N496" s="833"/>
      <c r="O496" s="833"/>
      <c r="Q496" s="833"/>
      <c r="R496" s="833"/>
      <c r="S496" s="833"/>
      <c r="T496" s="833"/>
      <c r="U496" s="833"/>
      <c r="V496" s="833"/>
      <c r="W496" s="833"/>
      <c r="X496" s="833"/>
    </row>
    <row r="497" spans="1:24" s="813" customFormat="1" ht="24.95" hidden="1" customHeight="1" x14ac:dyDescent="0.15">
      <c r="A497" s="2081"/>
      <c r="B497" s="834"/>
      <c r="C497" s="2"/>
      <c r="D497" s="1452" t="s">
        <v>1760</v>
      </c>
      <c r="E497" s="2"/>
      <c r="F497" s="2"/>
      <c r="G497" s="1407"/>
      <c r="H497" s="2"/>
      <c r="I497" s="2"/>
      <c r="J497" s="839" t="str">
        <f>IF(J498=0,"-","")</f>
        <v>-</v>
      </c>
      <c r="K497" s="2078"/>
      <c r="L497" s="1574"/>
      <c r="M497" s="1445"/>
      <c r="N497" s="833"/>
      <c r="O497" s="833"/>
      <c r="Q497" s="833"/>
      <c r="R497" s="833"/>
      <c r="S497" s="833"/>
      <c r="T497" s="833"/>
      <c r="U497" s="833"/>
      <c r="V497" s="833"/>
      <c r="W497" s="833"/>
      <c r="X497" s="833"/>
    </row>
    <row r="498" spans="1:24" s="813" customFormat="1" ht="39.950000000000003" hidden="1" customHeight="1" x14ac:dyDescent="0.15">
      <c r="A498" s="2081">
        <f ca="1">IF(H498&gt;0,A496+0.01,A496)</f>
        <v>6.1299999999999972</v>
      </c>
      <c r="B498" s="834">
        <v>102332</v>
      </c>
      <c r="C498" s="2" t="str">
        <f>VLOOKUP($B498,[4]BOLETIM_SEL!$A:$H,2,0)</f>
        <v>SINAPI</v>
      </c>
      <c r="D498" s="315" t="str">
        <f>VLOOKUP($B498,[4]BOLETIM_SEL!$A:$H,4,0)</f>
        <v>Transporte com caminhão tanque de transporte de material asfáltico de 20.000 l, em via urbana pavimentada, DMT até 30,00 km (unidade: txkm). AF_07/2020</v>
      </c>
      <c r="E498" s="2">
        <f>+Dados_DMT!$B$25</f>
        <v>109</v>
      </c>
      <c r="F498" s="2" t="str">
        <f>VLOOKUP($B498,[4]BOLETIM_SEL!$A:$H,6,0)</f>
        <v>TXKM</v>
      </c>
      <c r="G498" s="1407">
        <f>VLOOKUP($B498,[4]BOLETIM_SEL!$A:$H,7,0)</f>
        <v>1.63</v>
      </c>
      <c r="H498" s="1611">
        <f>IF(B460="PA/0025",0,ROUND(Dre_Fecha_Vala!AZ79*E498,2))</f>
        <v>0</v>
      </c>
      <c r="I498" s="877">
        <f>TRUNC(G498*(1+$J$5),2)</f>
        <v>1.96</v>
      </c>
      <c r="J498" s="1612">
        <f>TRUNC(H498*I498,2)</f>
        <v>0</v>
      </c>
      <c r="K498" s="2078">
        <f ca="1">J498/J$967</f>
        <v>0</v>
      </c>
      <c r="L498" s="1574">
        <f ca="1">J498/$J$448</f>
        <v>0</v>
      </c>
      <c r="M498" s="1454">
        <f>IF(H498=0,0,H498/E498)</f>
        <v>0</v>
      </c>
      <c r="N498" s="833"/>
      <c r="O498" s="833"/>
      <c r="Q498" s="833"/>
      <c r="R498" s="833"/>
      <c r="S498" s="833"/>
      <c r="T498" s="833"/>
      <c r="U498" s="833"/>
      <c r="V498" s="833"/>
      <c r="W498" s="833"/>
      <c r="X498" s="833"/>
    </row>
    <row r="499" spans="1:24" s="813" customFormat="1" ht="24.95" customHeight="1" x14ac:dyDescent="0.15">
      <c r="A499" s="2081"/>
      <c r="B499" s="834"/>
      <c r="C499" s="2"/>
      <c r="D499" s="1452" t="s">
        <v>1759</v>
      </c>
      <c r="E499" s="2"/>
      <c r="F499" s="2"/>
      <c r="G499" s="1407"/>
      <c r="H499" s="2"/>
      <c r="I499" s="2"/>
      <c r="J499" s="839" t="str">
        <f ca="1">IF(J500=0,"-","")</f>
        <v/>
      </c>
      <c r="K499" s="2078"/>
      <c r="L499" s="1574"/>
      <c r="M499" s="1445"/>
      <c r="N499" s="833"/>
      <c r="O499" s="833"/>
      <c r="Q499" s="833"/>
      <c r="R499" s="833"/>
      <c r="S499" s="833"/>
      <c r="T499" s="833"/>
      <c r="U499" s="833"/>
      <c r="V499" s="833"/>
      <c r="W499" s="833"/>
      <c r="X499" s="833"/>
    </row>
    <row r="500" spans="1:24" s="813" customFormat="1" ht="39.950000000000003" customHeight="1" x14ac:dyDescent="0.15">
      <c r="A500" s="2081">
        <f ca="1">IF(H500&gt;0,A498+0.01,A498)</f>
        <v>6.139999999999997</v>
      </c>
      <c r="B500" s="834">
        <v>102333</v>
      </c>
      <c r="C500" s="2" t="str">
        <f>VLOOKUP($B500,[4]BOLETIM_SEL!$A:$H,2,0)</f>
        <v>SINAPI</v>
      </c>
      <c r="D500" s="315" t="str">
        <f>VLOOKUP($B500,[4]BOLETIM_SEL!$A:$H,4,0)</f>
        <v>Transporte com caminhão tanque de transporte de material asfáltico de 20.000 l, em via urbana pavimentada, adicional para DMT excedente a 30,00 km (unidade: txkm). AF_07/2020</v>
      </c>
      <c r="E500" s="2">
        <f>+Dados_DMT!$B$25</f>
        <v>109</v>
      </c>
      <c r="F500" s="2" t="str">
        <f>VLOOKUP($B500,[4]BOLETIM_SEL!$A:$H,6,0)</f>
        <v>TXKM</v>
      </c>
      <c r="G500" s="1407">
        <f>VLOOKUP($B500,[4]BOLETIM_SEL!$A:$H,7,0)</f>
        <v>0.65</v>
      </c>
      <c r="H500" s="1611">
        <f ca="1">IF(B460="PA/0025",ROUND(Dre_Fecha_Vala!AZ79*E500,2),0)+ROUND(Dre_Fecha_Vala!AZ80*E500,2)</f>
        <v>23.98</v>
      </c>
      <c r="I500" s="877">
        <f>TRUNC(G500*(1+$J$5),2)</f>
        <v>0.78</v>
      </c>
      <c r="J500" s="1612">
        <f ca="1">TRUNC(H500*I500,2)</f>
        <v>18.7</v>
      </c>
      <c r="K500" s="2078">
        <f ca="1">J500/J$967</f>
        <v>1.395453881687945E-6</v>
      </c>
      <c r="L500" s="1574">
        <f ca="1">J500/$J$448</f>
        <v>9.4743172538463451E-4</v>
      </c>
      <c r="M500" s="1454">
        <f ca="1">IF(H500=0,0,H500/E500)</f>
        <v>0.22</v>
      </c>
      <c r="N500" s="833"/>
      <c r="O500" s="833"/>
      <c r="Q500" s="833"/>
      <c r="R500" s="833"/>
      <c r="S500" s="833"/>
      <c r="T500" s="833"/>
      <c r="U500" s="833"/>
      <c r="V500" s="833"/>
      <c r="W500" s="833"/>
      <c r="X500" s="833"/>
    </row>
    <row r="501" spans="1:24" s="813" customFormat="1" ht="24.95" hidden="1" customHeight="1" x14ac:dyDescent="0.15">
      <c r="A501" s="2081"/>
      <c r="B501" s="834"/>
      <c r="C501" s="2"/>
      <c r="D501" s="1452" t="s">
        <v>1794</v>
      </c>
      <c r="E501" s="2"/>
      <c r="F501" s="2"/>
      <c r="G501" s="1407"/>
      <c r="H501" s="2"/>
      <c r="I501" s="2"/>
      <c r="J501" s="839" t="str">
        <f ca="1">IF(J502=0,"-","")</f>
        <v>-</v>
      </c>
      <c r="K501" s="2078"/>
      <c r="L501" s="1574"/>
      <c r="M501" s="1445"/>
      <c r="N501" s="833"/>
      <c r="O501" s="833"/>
      <c r="Q501" s="833"/>
      <c r="R501" s="833"/>
      <c r="S501" s="833"/>
      <c r="T501" s="833"/>
      <c r="U501" s="833"/>
      <c r="V501" s="833"/>
      <c r="W501" s="833"/>
      <c r="X501" s="833"/>
    </row>
    <row r="502" spans="1:24" s="813" customFormat="1" ht="39.950000000000003" hidden="1" customHeight="1" x14ac:dyDescent="0.15">
      <c r="A502" s="2081">
        <f ca="1">IF(H502&gt;0,A500+0.01,A500)</f>
        <v>6.139999999999997</v>
      </c>
      <c r="B502" s="834">
        <v>102332</v>
      </c>
      <c r="C502" s="2" t="str">
        <f>VLOOKUP($B502,[4]BOLETIM_SEL!$A:$H,2,0)</f>
        <v>SINAPI</v>
      </c>
      <c r="D502" s="315" t="str">
        <f>VLOOKUP($B502,[4]BOLETIM_SEL!$A:$H,4,0)</f>
        <v>Transporte com caminhão tanque de transporte de material asfáltico de 20.000 l, em via urbana pavimentada, DMT até 30,00 km (unidade: txkm). AF_07/2020</v>
      </c>
      <c r="E502" s="2">
        <f>+Dados_DMT!$B$26</f>
        <v>0</v>
      </c>
      <c r="F502" s="2" t="str">
        <f>VLOOKUP($B502,[4]BOLETIM_SEL!$A:$H,6,0)</f>
        <v>TXKM</v>
      </c>
      <c r="G502" s="1407">
        <f>VLOOKUP($B502,[4]BOLETIM_SEL!$A:$H,7,0)</f>
        <v>1.63</v>
      </c>
      <c r="H502" s="1611">
        <f ca="1">ROUND(Dre_Fecha_Vala!AZ81*E502,2)</f>
        <v>0</v>
      </c>
      <c r="I502" s="877">
        <f>TRUNC(G502*(1+$J$5),2)</f>
        <v>1.96</v>
      </c>
      <c r="J502" s="1612">
        <f ca="1">TRUNC(H502*I502,2)</f>
        <v>0</v>
      </c>
      <c r="K502" s="2078">
        <f ca="1">J502/J$967</f>
        <v>0</v>
      </c>
      <c r="L502" s="1574">
        <f ca="1">J502/$J$448</f>
        <v>0</v>
      </c>
      <c r="M502" s="1454">
        <f ca="1">IF(H502=0,0,H502/E502)</f>
        <v>0</v>
      </c>
      <c r="N502" s="833"/>
      <c r="O502" s="833"/>
      <c r="Q502" s="833"/>
      <c r="R502" s="833"/>
      <c r="S502" s="833"/>
      <c r="T502" s="833"/>
      <c r="U502" s="833"/>
      <c r="V502" s="833"/>
      <c r="W502" s="833"/>
      <c r="X502" s="833"/>
    </row>
    <row r="503" spans="1:24" s="813" customFormat="1" ht="24.95" hidden="1" customHeight="1" x14ac:dyDescent="0.15">
      <c r="A503" s="2081"/>
      <c r="B503" s="834"/>
      <c r="C503" s="2"/>
      <c r="D503" s="1452" t="s">
        <v>1761</v>
      </c>
      <c r="E503" s="2"/>
      <c r="F503" s="2"/>
      <c r="G503" s="1407"/>
      <c r="H503" s="2"/>
      <c r="I503" s="2"/>
      <c r="J503" s="839" t="str">
        <f ca="1">IF(J504=0,"-","")</f>
        <v>-</v>
      </c>
      <c r="K503" s="2078"/>
      <c r="L503" s="1574"/>
      <c r="M503" s="1445"/>
      <c r="N503" s="833"/>
      <c r="O503" s="833"/>
      <c r="Q503" s="833"/>
      <c r="R503" s="833"/>
      <c r="S503" s="833"/>
      <c r="T503" s="833"/>
      <c r="U503" s="833"/>
      <c r="V503" s="833"/>
      <c r="W503" s="833"/>
      <c r="X503" s="833"/>
    </row>
    <row r="504" spans="1:24" s="813" customFormat="1" ht="39.950000000000003" hidden="1" customHeight="1" x14ac:dyDescent="0.15">
      <c r="A504" s="2081">
        <f ca="1">IF(H504&gt;0,A502+0.01,A502)</f>
        <v>6.139999999999997</v>
      </c>
      <c r="B504" s="834">
        <v>102333</v>
      </c>
      <c r="C504" s="2" t="str">
        <f>VLOOKUP($B504,[4]BOLETIM_SEL!$A:$H,2,0)</f>
        <v>SINAPI</v>
      </c>
      <c r="D504" s="315" t="str">
        <f>VLOOKUP($B504,[4]BOLETIM_SEL!$A:$H,4,0)</f>
        <v>Transporte com caminhão tanque de transporte de material asfáltico de 20.000 l, em via urbana pavimentada, adicional para DMT excedente a 30,00 km (unidade: txkm). AF_07/2020</v>
      </c>
      <c r="E504" s="2">
        <f>+Dados_DMT!$B$27</f>
        <v>0</v>
      </c>
      <c r="F504" s="2" t="str">
        <f>VLOOKUP($B504,[4]BOLETIM_SEL!$A:$H,6,0)</f>
        <v>TXKM</v>
      </c>
      <c r="G504" s="1407">
        <f>VLOOKUP($B504,[4]BOLETIM_SEL!$A:$H,7,0)</f>
        <v>0.65</v>
      </c>
      <c r="H504" s="1611">
        <f ca="1">ROUND(Dre_Fecha_Vala!AZ78*E504,2)</f>
        <v>0</v>
      </c>
      <c r="I504" s="877">
        <f>TRUNC(G504*(1+$J$5),2)</f>
        <v>0.78</v>
      </c>
      <c r="J504" s="1612">
        <f ca="1">TRUNC(H504*I504,2)</f>
        <v>0</v>
      </c>
      <c r="K504" s="2078">
        <f ca="1">J504/J$967</f>
        <v>0</v>
      </c>
      <c r="L504" s="1574">
        <f ca="1">J504/$J$448</f>
        <v>0</v>
      </c>
      <c r="M504" s="1454">
        <f ca="1">IF(H504=0,0,H504/E504)</f>
        <v>0</v>
      </c>
      <c r="N504" s="833"/>
      <c r="O504" s="833"/>
      <c r="Q504" s="833"/>
      <c r="R504" s="833"/>
      <c r="S504" s="833"/>
      <c r="T504" s="833"/>
      <c r="U504" s="833"/>
      <c r="V504" s="833"/>
      <c r="W504" s="833"/>
      <c r="X504" s="833"/>
    </row>
    <row r="505" spans="1:24" s="813" customFormat="1" ht="24.95" customHeight="1" x14ac:dyDescent="0.15">
      <c r="A505" s="2081"/>
      <c r="B505" s="834"/>
      <c r="C505" s="834"/>
      <c r="D505" s="835"/>
      <c r="E505" s="2"/>
      <c r="F505" s="834"/>
      <c r="G505" s="1821"/>
      <c r="H505" s="1"/>
      <c r="I505" s="877"/>
      <c r="J505" s="839" t="str">
        <f ca="1">IF(J448=0,0,"")</f>
        <v/>
      </c>
      <c r="K505" s="2078"/>
      <c r="L505" s="1574"/>
      <c r="M505" s="1446"/>
      <c r="N505" s="833"/>
      <c r="O505" s="833"/>
      <c r="Q505" s="833"/>
      <c r="R505" s="833"/>
      <c r="S505" s="833"/>
      <c r="T505" s="833"/>
      <c r="U505" s="833"/>
      <c r="V505" s="833"/>
      <c r="W505" s="833"/>
      <c r="X505" s="833"/>
    </row>
    <row r="506" spans="1:24" s="833" customFormat="1" ht="24.95" hidden="1" customHeight="1" x14ac:dyDescent="0.15">
      <c r="A506" s="2082">
        <f ca="1">IF(J506&gt;0,INT(A504)+1,IF(J506=0,INT(A504),0))</f>
        <v>6</v>
      </c>
      <c r="B506" s="1633"/>
      <c r="C506" s="1633"/>
      <c r="D506" s="1641" t="s">
        <v>1010</v>
      </c>
      <c r="E506" s="1828"/>
      <c r="F506" s="1635"/>
      <c r="G506" s="1820" t="s">
        <v>648</v>
      </c>
      <c r="H506" s="1637"/>
      <c r="I506" s="1640" t="str">
        <f ca="1">CONCATENATE("SUB-TOTAL ",A506)</f>
        <v>SUB-TOTAL 6</v>
      </c>
      <c r="J506" s="1639">
        <f>SUM(J507:J580)</f>
        <v>0</v>
      </c>
      <c r="K506" s="2079">
        <f t="shared" ref="K506:K542" ca="1" si="177">J506/J$967</f>
        <v>0</v>
      </c>
      <c r="L506" s="1610" t="e">
        <f>J506/$J$506</f>
        <v>#DIV/0!</v>
      </c>
    </row>
    <row r="507" spans="1:24" s="813" customFormat="1" ht="39.950000000000003" hidden="1" customHeight="1" x14ac:dyDescent="0.15">
      <c r="A507" s="2081">
        <f t="shared" ref="A507:A542" ca="1" si="178">IF(H507&gt;0,A506+0.01,A506)</f>
        <v>6</v>
      </c>
      <c r="B507" s="834" t="s">
        <v>1770</v>
      </c>
      <c r="C507" s="2" t="str">
        <f>VLOOKUP($B507,[4]BOLETIM_SEL!$A:$H,2,0)</f>
        <v>COMPOSIÇÃO</v>
      </c>
      <c r="D507" s="315" t="str">
        <f>VLOOKUP($B507,[4]BOLETIM_SEL!$A:$H,4,0)</f>
        <v>Correção de defeitos por fresagem descontínua, com emprego de fresadora e minicarregadeira (REF. SICRO COD. 4915705, data 01/2020)</v>
      </c>
      <c r="E507" s="2"/>
      <c r="F507" s="2" t="str">
        <f>VLOOKUP($B507,[4]BOLETIM_SEL!$A:$H,6,0)</f>
        <v>M3</v>
      </c>
      <c r="G507" s="1407">
        <f>VLOOKUP($B507,[4]BOLETIM_SEL!$A:$H,7,0)</f>
        <v>308.87</v>
      </c>
      <c r="H507" s="1611">
        <f>+Recap_Previo!J11</f>
        <v>0</v>
      </c>
      <c r="I507" s="877">
        <f t="shared" ref="I507:I526" si="179">TRUNC(G507*(1+$J$5),2)</f>
        <v>372.8</v>
      </c>
      <c r="J507" s="1612">
        <f t="shared" ref="J507:J576" si="180">TRUNC(H507*I507,2)</f>
        <v>0</v>
      </c>
      <c r="K507" s="2078">
        <f t="shared" ca="1" si="177"/>
        <v>0</v>
      </c>
      <c r="L507" s="1574" t="e">
        <f t="shared" ref="L507:L574" si="181">J507/$J$506</f>
        <v>#DIV/0!</v>
      </c>
      <c r="M507" s="1445"/>
      <c r="N507" s="833"/>
      <c r="O507" s="833"/>
      <c r="Q507" s="833"/>
      <c r="R507" s="833"/>
      <c r="S507" s="833"/>
      <c r="T507" s="833"/>
      <c r="U507" s="833"/>
      <c r="V507" s="833"/>
      <c r="W507" s="833"/>
      <c r="X507" s="833"/>
    </row>
    <row r="508" spans="1:24" s="813" customFormat="1" ht="39.950000000000003" hidden="1" customHeight="1" x14ac:dyDescent="0.15">
      <c r="A508" s="2081">
        <f t="shared" ca="1" si="178"/>
        <v>6</v>
      </c>
      <c r="B508" s="834" t="s">
        <v>1771</v>
      </c>
      <c r="C508" s="2" t="str">
        <f>VLOOKUP($B508,[4]BOLETIM_SEL!$A:$H,2,0)</f>
        <v>COMPOSIÇÃO</v>
      </c>
      <c r="D508" s="315" t="str">
        <f>VLOOKUP($B508,[4]BOLETIM_SEL!$A:$H,4,0)</f>
        <v>Remendo superfcial (tapa buraco), com requadramento mecânico, escavação, compactação da mistura betuminosa e carga do entulho. Exclusive materiais e bota-fora (REF. SICRO COD. 4915757)</v>
      </c>
      <c r="E508" s="2"/>
      <c r="F508" s="2" t="str">
        <f>VLOOKUP($B508,[4]BOLETIM_SEL!$A:$H,6,0)</f>
        <v>M3</v>
      </c>
      <c r="G508" s="1407">
        <f>VLOOKUP($B508,[4]BOLETIM_SEL!$A:$H,7,0)</f>
        <v>212.41</v>
      </c>
      <c r="H508" s="1611">
        <f>+Recap_Previo!J15</f>
        <v>0</v>
      </c>
      <c r="I508" s="877">
        <f t="shared" si="179"/>
        <v>256.37</v>
      </c>
      <c r="J508" s="1612">
        <f t="shared" si="180"/>
        <v>0</v>
      </c>
      <c r="K508" s="2078">
        <f t="shared" ca="1" si="177"/>
        <v>0</v>
      </c>
      <c r="L508" s="1574" t="e">
        <f t="shared" si="181"/>
        <v>#DIV/0!</v>
      </c>
      <c r="M508" s="1445"/>
      <c r="N508" s="833"/>
      <c r="O508" s="833"/>
      <c r="Q508" s="833"/>
      <c r="R508" s="833"/>
      <c r="S508" s="833"/>
      <c r="T508" s="833"/>
      <c r="U508" s="833"/>
      <c r="V508" s="833"/>
      <c r="W508" s="833"/>
      <c r="X508" s="833"/>
    </row>
    <row r="509" spans="1:24" s="813" customFormat="1" ht="39.950000000000003" hidden="1" customHeight="1" x14ac:dyDescent="0.15">
      <c r="A509" s="2081">
        <f t="shared" ca="1" si="178"/>
        <v>6</v>
      </c>
      <c r="B509" s="834" t="s">
        <v>1772</v>
      </c>
      <c r="C509" s="2" t="str">
        <f>VLOOKUP($B509,[4]BOLETIM_SEL!$A:$H,2,0)</f>
        <v>COMPOSIÇÃO</v>
      </c>
      <c r="D509" s="315" t="str">
        <f>VLOOKUP($B509,[4]BOLETIM_SEL!$A:$H,4,0)</f>
        <v>Remendo profundo, com requadramento mecânico, escavação, compactação do material de base e da mistura betuminosa e carga do entulho. Exclusive materiais e bota-fora (REF. SICRO COD. 4915746)</v>
      </c>
      <c r="E509" s="2"/>
      <c r="F509" s="2" t="str">
        <f>VLOOKUP($B509,[4]BOLETIM_SEL!$A:$H,6,0)</f>
        <v>M3</v>
      </c>
      <c r="G509" s="1407">
        <f>VLOOKUP($B509,[4]BOLETIM_SEL!$A:$H,7,0)</f>
        <v>123.1</v>
      </c>
      <c r="H509" s="1611">
        <f>+Recap_Previo!J19</f>
        <v>0</v>
      </c>
      <c r="I509" s="877">
        <f t="shared" si="179"/>
        <v>148.58000000000001</v>
      </c>
      <c r="J509" s="1612">
        <f t="shared" si="180"/>
        <v>0</v>
      </c>
      <c r="K509" s="2078">
        <f t="shared" ca="1" si="177"/>
        <v>0</v>
      </c>
      <c r="L509" s="1574" t="e">
        <f t="shared" si="181"/>
        <v>#DIV/0!</v>
      </c>
      <c r="M509" s="1445"/>
      <c r="N509" s="833"/>
      <c r="O509" s="833"/>
      <c r="Q509" s="833"/>
      <c r="R509" s="833"/>
      <c r="S509" s="833"/>
      <c r="T509" s="833"/>
      <c r="U509" s="833"/>
      <c r="V509" s="833"/>
      <c r="W509" s="833"/>
      <c r="X509" s="833"/>
    </row>
    <row r="510" spans="1:24" s="813" customFormat="1" ht="50.1" hidden="1" customHeight="1" x14ac:dyDescent="0.15">
      <c r="A510" s="2081">
        <f t="shared" ca="1" si="178"/>
        <v>6</v>
      </c>
      <c r="B510" s="834">
        <v>90105</v>
      </c>
      <c r="C510" s="2" t="str">
        <f>VLOOKUP($B510,[4]BOLETIM_SEL!$A:$H,2,0)</f>
        <v>SINAPI</v>
      </c>
      <c r="D510" s="315" t="str">
        <f>VLOOKUP($B510,[4]BOLETIM_SEL!$A:$H,4,0)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510" s="2"/>
      <c r="F510" s="2" t="str">
        <f>VLOOKUP($B510,[4]BOLETIM_SEL!$A:$H,6,0)</f>
        <v>M3</v>
      </c>
      <c r="G510" s="1407">
        <f>VLOOKUP($B510,[4]BOLETIM_SEL!$A:$H,7,0)</f>
        <v>7.99</v>
      </c>
      <c r="H510" s="1611">
        <f>+Recap_Previo!J28</f>
        <v>0</v>
      </c>
      <c r="I510" s="877">
        <f t="shared" si="179"/>
        <v>9.64</v>
      </c>
      <c r="J510" s="1612">
        <f t="shared" si="180"/>
        <v>0</v>
      </c>
      <c r="K510" s="2078">
        <f t="shared" ca="1" si="177"/>
        <v>0</v>
      </c>
      <c r="L510" s="1574" t="e">
        <f t="shared" si="181"/>
        <v>#DIV/0!</v>
      </c>
      <c r="M510" s="1445"/>
      <c r="N510" s="833"/>
      <c r="O510" s="833"/>
      <c r="Q510" s="833"/>
      <c r="R510" s="833"/>
      <c r="S510" s="833"/>
      <c r="T510" s="833"/>
      <c r="U510" s="833"/>
      <c r="V510" s="833"/>
      <c r="W510" s="833"/>
      <c r="X510" s="833"/>
    </row>
    <row r="511" spans="1:24" s="813" customFormat="1" ht="39.950000000000003" hidden="1" customHeight="1" x14ac:dyDescent="0.15">
      <c r="A511" s="2081">
        <f t="shared" ca="1" si="178"/>
        <v>6</v>
      </c>
      <c r="B511" s="834" t="s">
        <v>195</v>
      </c>
      <c r="C511" s="2" t="str">
        <f>VLOOKUP($B511,[4]BOLETIM_SEL!$A:$H,2,0)</f>
        <v>COMPOSIÇÃO</v>
      </c>
      <c r="D511" s="315" t="str">
        <f>VLOOKUP($B511,[4]BOLETIM_SEL!$A:$H,4,0)</f>
        <v>Colchão de rachão e/ou pedra-de-mão, com camada final de pedra brita. Fornecimento e execução. Exclusive transporte da pedra</v>
      </c>
      <c r="E511" s="2"/>
      <c r="F511" s="2" t="str">
        <f>VLOOKUP($B511,[4]BOLETIM_SEL!$A:$H,6,0)</f>
        <v>M3</v>
      </c>
      <c r="G511" s="1407">
        <f>VLOOKUP($B511,[4]BOLETIM_SEL!$A:$H,7,0)</f>
        <v>137.47</v>
      </c>
      <c r="H511" s="1611">
        <f>+Recap_Previo!J32</f>
        <v>0</v>
      </c>
      <c r="I511" s="877">
        <f t="shared" si="179"/>
        <v>165.92</v>
      </c>
      <c r="J511" s="1612">
        <f t="shared" si="180"/>
        <v>0</v>
      </c>
      <c r="K511" s="2078">
        <f t="shared" ca="1" si="177"/>
        <v>0</v>
      </c>
      <c r="L511" s="1574" t="e">
        <f t="shared" si="181"/>
        <v>#DIV/0!</v>
      </c>
      <c r="M511" s="1445"/>
      <c r="N511" s="833"/>
      <c r="O511" s="833"/>
      <c r="Q511" s="833"/>
      <c r="R511" s="833"/>
      <c r="S511" s="833"/>
      <c r="T511" s="833"/>
      <c r="U511" s="833"/>
      <c r="V511" s="833"/>
      <c r="W511" s="833"/>
      <c r="X511" s="833"/>
    </row>
    <row r="512" spans="1:24" s="813" customFormat="1" ht="39.950000000000003" hidden="1" customHeight="1" x14ac:dyDescent="0.15">
      <c r="A512" s="2081">
        <f t="shared" ca="1" si="178"/>
        <v>6</v>
      </c>
      <c r="B512" s="834" t="s">
        <v>1680</v>
      </c>
      <c r="C512" s="2" t="str">
        <f>VLOOKUP($B512,[4]BOLETIM_SEL!$A:$H,2,0)</f>
        <v>COMPOSIÇÃO</v>
      </c>
      <c r="D512" s="315" t="str">
        <f>VLOOKUP($B512,[4]BOLETIM_SEL!$A:$H,4,0)</f>
        <v>Lastro ou enrocamento de pedra-de-mão ou rachão lançado, fornecimento e apiloamento. Exclusive transporte, ref SINAPI 73697, data 01/2020 e SINAPI 92744.</v>
      </c>
      <c r="E512" s="2"/>
      <c r="F512" s="2" t="str">
        <f>VLOOKUP($B512,[4]BOLETIM_SEL!$A:$H,6,0)</f>
        <v>M3</v>
      </c>
      <c r="G512" s="1407">
        <f>VLOOKUP($B512,[4]BOLETIM_SEL!$A:$H,7,0)</f>
        <v>250.4</v>
      </c>
      <c r="H512" s="1611">
        <f>+Recap_Previo!J33</f>
        <v>0</v>
      </c>
      <c r="I512" s="877">
        <f t="shared" ref="I512:I515" si="182">TRUNC(G512*(1+$J$5),2)</f>
        <v>302.23</v>
      </c>
      <c r="J512" s="1612">
        <f t="shared" ref="J512:J515" si="183">TRUNC(H512*I512,2)</f>
        <v>0</v>
      </c>
      <c r="K512" s="2078">
        <f t="shared" ca="1" si="177"/>
        <v>0</v>
      </c>
      <c r="L512" s="1574" t="e">
        <f t="shared" ref="L512:L515" si="184">J512/$J$506</f>
        <v>#DIV/0!</v>
      </c>
      <c r="M512" s="1445"/>
      <c r="N512" s="833"/>
      <c r="O512" s="833"/>
      <c r="Q512" s="833"/>
      <c r="R512" s="833"/>
      <c r="S512" s="833"/>
      <c r="T512" s="833"/>
      <c r="U512" s="833"/>
      <c r="V512" s="833"/>
      <c r="W512" s="833"/>
      <c r="X512" s="833"/>
    </row>
    <row r="513" spans="1:24" s="813" customFormat="1" ht="50.1" hidden="1" customHeight="1" x14ac:dyDescent="0.15">
      <c r="A513" s="2081">
        <f t="shared" ca="1" si="178"/>
        <v>6</v>
      </c>
      <c r="B513" s="834">
        <v>101230</v>
      </c>
      <c r="C513" s="2" t="str">
        <f>+VLOOKUP($B513,[4]BOLETIM_SEL!$A:$H,2,0)</f>
        <v>SINAPI</v>
      </c>
      <c r="D513" s="315" t="str">
        <f>+VLOOKUP($B513,[4]BOLETIM_SEL!$A:$H,4,0)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513" s="2"/>
      <c r="F513" s="2" t="str">
        <f>+VLOOKUP($B513,[4]BOLETIM_SEL!$A:$H,6,0)</f>
        <v>M3</v>
      </c>
      <c r="G513" s="1407">
        <f>VLOOKUP($B513,[4]BOLETIM_SEL!$A:$H,7,0)</f>
        <v>10.029999999999999</v>
      </c>
      <c r="H513" s="1611">
        <f>IF(H514=0,Recap_Previo!J127,0)</f>
        <v>0</v>
      </c>
      <c r="I513" s="877">
        <f t="shared" ref="I513:I514" si="185">TRUNC(G513*(1+$J$5),2)</f>
        <v>12.1</v>
      </c>
      <c r="J513" s="1612">
        <f t="shared" ref="J513:J514" si="186">TRUNC(H513*I513,2)</f>
        <v>0</v>
      </c>
      <c r="K513" s="2078">
        <f t="shared" ca="1" si="177"/>
        <v>0</v>
      </c>
      <c r="L513" s="1574" t="e">
        <f t="shared" ref="L513:L514" si="187">J513/$J$506</f>
        <v>#DIV/0!</v>
      </c>
      <c r="M513" s="1445"/>
      <c r="N513" s="833"/>
      <c r="O513" s="833"/>
      <c r="Q513" s="833"/>
      <c r="R513" s="833"/>
      <c r="S513" s="833"/>
      <c r="T513" s="833"/>
      <c r="U513" s="833"/>
      <c r="V513" s="833"/>
      <c r="W513" s="833"/>
      <c r="X513" s="833"/>
    </row>
    <row r="514" spans="1:24" s="813" customFormat="1" ht="39.950000000000003" hidden="1" customHeight="1" x14ac:dyDescent="0.15">
      <c r="A514" s="2081">
        <f t="shared" ca="1" si="178"/>
        <v>6</v>
      </c>
      <c r="B514" s="834">
        <v>6079</v>
      </c>
      <c r="C514" s="2" t="str">
        <f>+VLOOKUP($B514,[4]BOLETIM_SEL!$A:$H,2,0)</f>
        <v>COTAÇÃO - SINAPI</v>
      </c>
      <c r="D514" s="315" t="str">
        <f>+VLOOKUP($B514,[4]BOLETIM_SEL!$A:$H,4,0)</f>
        <v>Argila, argila vermelha ou argila arenosa (retirada na jazida, sem transporte)</v>
      </c>
      <c r="E514" s="2"/>
      <c r="F514" s="2" t="str">
        <f>+VLOOKUP($B514,[4]BOLETIM_SEL!$A:$H,6,0)</f>
        <v xml:space="preserve">M3    </v>
      </c>
      <c r="G514" s="1407">
        <f>VLOOKUP($B514,[4]BOLETIM_SEL!$A:$H,7,0)</f>
        <v>33.700000000000003</v>
      </c>
      <c r="H514" s="1611">
        <f>IF(M514="COMERCIAL",Recap_Previo!J127,0)</f>
        <v>0</v>
      </c>
      <c r="I514" s="877">
        <f t="shared" si="185"/>
        <v>40.67</v>
      </c>
      <c r="J514" s="1612">
        <f t="shared" si="186"/>
        <v>0</v>
      </c>
      <c r="K514" s="2078">
        <f t="shared" ca="1" si="177"/>
        <v>0</v>
      </c>
      <c r="L514" s="1574" t="e">
        <f t="shared" si="187"/>
        <v>#DIV/0!</v>
      </c>
      <c r="M514" s="1589" t="s">
        <v>410</v>
      </c>
      <c r="N514" s="833"/>
      <c r="O514" s="833"/>
      <c r="Q514" s="833"/>
      <c r="R514" s="833"/>
      <c r="S514" s="833"/>
      <c r="T514" s="833"/>
      <c r="U514" s="833"/>
      <c r="V514" s="833"/>
      <c r="W514" s="833"/>
      <c r="X514" s="833"/>
    </row>
    <row r="515" spans="1:24" s="813" customFormat="1" ht="39.950000000000003" hidden="1" customHeight="1" x14ac:dyDescent="0.15">
      <c r="A515" s="2081">
        <f t="shared" ca="1" si="178"/>
        <v>6</v>
      </c>
      <c r="B515" s="834">
        <f>IF(M515="arenoso",96386,96385)</f>
        <v>96386</v>
      </c>
      <c r="C515" s="2" t="str">
        <f>+VLOOKUP($B515,[4]BOLETIM_SEL!$A:$H,2,0)</f>
        <v>SINAPI</v>
      </c>
      <c r="D515" s="315" t="str">
        <f>+VLOOKUP($B515,[4]BOLETIM_SEL!$A:$H,4,0)</f>
        <v>Execução e compactação de aterro com solo predominantemente arenoso - exclusive solo, escavação, carga e transporte. AF_11/2019</v>
      </c>
      <c r="E515" s="2"/>
      <c r="F515" s="2" t="str">
        <f>+VLOOKUP($B515,[4]BOLETIM_SEL!$A:$H,6,0)</f>
        <v>M3</v>
      </c>
      <c r="G515" s="1407">
        <f>VLOOKUP($B515,[4]BOLETIM_SEL!$A:$H,7,0)</f>
        <v>7.81</v>
      </c>
      <c r="H515" s="1611">
        <f>+Recap_Previo!J36</f>
        <v>0</v>
      </c>
      <c r="I515" s="877">
        <f t="shared" si="182"/>
        <v>9.42</v>
      </c>
      <c r="J515" s="1612">
        <f t="shared" si="183"/>
        <v>0</v>
      </c>
      <c r="K515" s="2078">
        <f t="shared" ca="1" si="177"/>
        <v>0</v>
      </c>
      <c r="L515" s="1574" t="e">
        <f t="shared" si="184"/>
        <v>#DIV/0!</v>
      </c>
      <c r="M515" s="1589" t="s">
        <v>1804</v>
      </c>
      <c r="N515" s="833"/>
      <c r="O515" s="833"/>
      <c r="Q515" s="833"/>
      <c r="R515" s="833"/>
      <c r="S515" s="833"/>
      <c r="T515" s="833"/>
      <c r="U515" s="833"/>
      <c r="V515" s="833"/>
      <c r="W515" s="833"/>
      <c r="X515" s="833"/>
    </row>
    <row r="516" spans="1:24" s="813" customFormat="1" ht="30" hidden="1" customHeight="1" x14ac:dyDescent="0.15">
      <c r="A516" s="2081">
        <f t="shared" ca="1" si="178"/>
        <v>6</v>
      </c>
      <c r="B516" s="834">
        <v>94319</v>
      </c>
      <c r="C516" s="2" t="str">
        <f>VLOOKUP($B516,[4]BOLETIM_SEL!$A:$H,2,0)</f>
        <v>SINAPI</v>
      </c>
      <c r="D516" s="315" t="str">
        <f>VLOOKUP($B516,[4]BOLETIM_SEL!$A:$H,4,0)</f>
        <v>Aterro manual de valas com solo argilo-arenoso e compactação mecanizada. AF_05/2016</v>
      </c>
      <c r="E516" s="2"/>
      <c r="F516" s="2" t="str">
        <f>VLOOKUP($B516,[4]BOLETIM_SEL!$A:$H,6,0)</f>
        <v>M3</v>
      </c>
      <c r="G516" s="1407">
        <f>VLOOKUP($B516,[4]BOLETIM_SEL!$A:$H,7,0)</f>
        <v>72.47</v>
      </c>
      <c r="H516" s="1611">
        <f>+Recap_Previo!J37</f>
        <v>0</v>
      </c>
      <c r="I516" s="877">
        <f t="shared" si="179"/>
        <v>87.47</v>
      </c>
      <c r="J516" s="1612">
        <f t="shared" si="180"/>
        <v>0</v>
      </c>
      <c r="K516" s="2078">
        <f t="shared" ca="1" si="177"/>
        <v>0</v>
      </c>
      <c r="L516" s="1574" t="e">
        <f t="shared" si="181"/>
        <v>#DIV/0!</v>
      </c>
      <c r="M516" s="1445"/>
      <c r="N516" s="833"/>
      <c r="O516" s="833"/>
      <c r="Q516" s="833"/>
      <c r="R516" s="833"/>
      <c r="S516" s="833"/>
      <c r="T516" s="833"/>
      <c r="U516" s="833"/>
      <c r="V516" s="833"/>
      <c r="W516" s="833"/>
      <c r="X516" s="833"/>
    </row>
    <row r="517" spans="1:24" s="813" customFormat="1" ht="39.950000000000003" hidden="1" customHeight="1" x14ac:dyDescent="0.15">
      <c r="A517" s="2081">
        <f t="shared" ca="1" si="178"/>
        <v>6</v>
      </c>
      <c r="B517" s="834" t="s">
        <v>1773</v>
      </c>
      <c r="C517" s="2" t="str">
        <f>VLOOKUP($B517,[4]BOLETIM_SEL!$A:$H,2,0)</f>
        <v>COMPOSIÇÃO</v>
      </c>
      <c r="D517" s="315" t="str">
        <f>VLOOKUP($B517,[4]BOLETIM_SEL!$A:$H,4,0)</f>
        <v>Remoção mecanizada de revestimento betuminoso, com motoniveladora. Exclusive carga e bota-fora (REF. SICRO COD. 4915667)</v>
      </c>
      <c r="E517" s="2"/>
      <c r="F517" s="2" t="str">
        <f>VLOOKUP($B517,[4]BOLETIM_SEL!$A:$H,6,0)</f>
        <v>M3</v>
      </c>
      <c r="G517" s="1407">
        <f>VLOOKUP($B517,[4]BOLETIM_SEL!$A:$H,7,0)</f>
        <v>14.59</v>
      </c>
      <c r="H517" s="1611">
        <f>+Recap_Previo!J48</f>
        <v>0</v>
      </c>
      <c r="I517" s="877">
        <f t="shared" si="179"/>
        <v>17.61</v>
      </c>
      <c r="J517" s="1612">
        <f t="shared" si="180"/>
        <v>0</v>
      </c>
      <c r="K517" s="2078">
        <f t="shared" ca="1" si="177"/>
        <v>0</v>
      </c>
      <c r="L517" s="1574" t="e">
        <f t="shared" si="181"/>
        <v>#DIV/0!</v>
      </c>
      <c r="M517" s="1445"/>
      <c r="N517" s="833"/>
      <c r="O517" s="833"/>
      <c r="Q517" s="833"/>
      <c r="R517" s="833"/>
      <c r="S517" s="833"/>
      <c r="T517" s="833"/>
      <c r="U517" s="833"/>
      <c r="V517" s="833"/>
      <c r="W517" s="833"/>
      <c r="X517" s="833"/>
    </row>
    <row r="518" spans="1:24" s="813" customFormat="1" ht="39.950000000000003" hidden="1" customHeight="1" x14ac:dyDescent="0.15">
      <c r="A518" s="2081">
        <f t="shared" ca="1" si="178"/>
        <v>6</v>
      </c>
      <c r="B518" s="834" t="s">
        <v>422</v>
      </c>
      <c r="C518" s="2" t="str">
        <f>VLOOKUP($B518,[4]BOLETIM_SEL!$A:$H,2,0)</f>
        <v>COMPOSIÇÃO</v>
      </c>
      <c r="D518" s="315" t="str">
        <f>VLOOKUP($B518,[4]BOLETIM_SEL!$A:$H,4,0)</f>
        <v>Remoção mecanizada de camada granular do pavimento, com mototoniveladora. Exclusive carga e bota-fora (REF. SICRO COD. 4915669)</v>
      </c>
      <c r="E518" s="2"/>
      <c r="F518" s="2" t="str">
        <f>VLOOKUP($B518,[4]BOLETIM_SEL!$A:$H,6,0)</f>
        <v>M3</v>
      </c>
      <c r="G518" s="1407">
        <f>VLOOKUP($B518,[4]BOLETIM_SEL!$A:$H,7,0)</f>
        <v>14.19</v>
      </c>
      <c r="H518" s="1611">
        <f>+Recap_Previo!J54</f>
        <v>0</v>
      </c>
      <c r="I518" s="877">
        <f t="shared" si="179"/>
        <v>17.12</v>
      </c>
      <c r="J518" s="1612">
        <f t="shared" si="180"/>
        <v>0</v>
      </c>
      <c r="K518" s="2078">
        <f t="shared" ca="1" si="177"/>
        <v>0</v>
      </c>
      <c r="L518" s="1574" t="e">
        <f t="shared" si="181"/>
        <v>#DIV/0!</v>
      </c>
      <c r="M518" s="1445"/>
      <c r="N518" s="833"/>
      <c r="O518" s="833"/>
      <c r="Q518" s="833"/>
      <c r="R518" s="833"/>
      <c r="S518" s="833"/>
      <c r="T518" s="833"/>
      <c r="U518" s="833"/>
      <c r="V518" s="833"/>
      <c r="W518" s="833"/>
      <c r="X518" s="833"/>
    </row>
    <row r="519" spans="1:24" s="813" customFormat="1" ht="30" hidden="1" customHeight="1" x14ac:dyDescent="0.15">
      <c r="A519" s="2081">
        <f t="shared" ca="1" si="178"/>
        <v>6</v>
      </c>
      <c r="B519" s="834" t="s">
        <v>700</v>
      </c>
      <c r="C519" s="2" t="str">
        <f>VLOOKUP($B519,[4]BOLETIM_SEL!$A:$H,2,0)</f>
        <v>COMPOSIÇÃO</v>
      </c>
      <c r="D519" s="315" t="str">
        <f>VLOOKUP($B519,[4]BOLETIM_SEL!$A:$H,4,0)</f>
        <v>Recomposição manual de base para pavimentação - execução. Exclusive fornecimento de material e transporte</v>
      </c>
      <c r="E519" s="2"/>
      <c r="F519" s="2" t="str">
        <f>VLOOKUP($B519,[4]BOLETIM_SEL!$A:$H,6,0)</f>
        <v>M3</v>
      </c>
      <c r="G519" s="1407">
        <f>VLOOKUP($B519,[4]BOLETIM_SEL!$A:$H,7,0)</f>
        <v>35.1</v>
      </c>
      <c r="H519" s="1611">
        <f>+Recap_Previo!J41</f>
        <v>0</v>
      </c>
      <c r="I519" s="877">
        <f t="shared" si="179"/>
        <v>42.36</v>
      </c>
      <c r="J519" s="1612">
        <f t="shared" si="180"/>
        <v>0</v>
      </c>
      <c r="K519" s="2078">
        <f t="shared" ca="1" si="177"/>
        <v>0</v>
      </c>
      <c r="L519" s="1574" t="e">
        <f t="shared" si="181"/>
        <v>#DIV/0!</v>
      </c>
      <c r="M519" s="1445"/>
      <c r="N519" s="833"/>
      <c r="O519" s="833"/>
      <c r="Q519" s="833"/>
      <c r="R519" s="833"/>
      <c r="S519" s="833"/>
      <c r="T519" s="833"/>
      <c r="U519" s="833"/>
      <c r="V519" s="833"/>
      <c r="W519" s="833"/>
      <c r="X519" s="833"/>
    </row>
    <row r="520" spans="1:24" s="813" customFormat="1" ht="39.950000000000003" hidden="1" customHeight="1" x14ac:dyDescent="0.15">
      <c r="A520" s="2081">
        <f t="shared" ca="1" si="178"/>
        <v>6</v>
      </c>
      <c r="B520" s="865">
        <v>100565</v>
      </c>
      <c r="C520" s="2" t="str">
        <f>VLOOKUP($B520,[4]BOLETIM_SEL!$A:$H,2,0)</f>
        <v>SINAPI</v>
      </c>
      <c r="D520" s="315" t="str">
        <f>VLOOKUP($B520,[4]BOLETIM_SEL!$A:$H,4,0)</f>
        <v>Execução e compactação de base e ou sub-base para pavimentação de solo (predominantemente arenoso) brita - 50/50 - exclusive solo, escavação, carga e transporte. AF_11/2019</v>
      </c>
      <c r="E520" s="2"/>
      <c r="F520" s="2" t="str">
        <f>VLOOKUP($B520,[4]BOLETIM_SEL!$A:$H,6,0)</f>
        <v>M3</v>
      </c>
      <c r="G520" s="1407">
        <f>VLOOKUP($B520,[4]BOLETIM_SEL!$A:$H,7,0)</f>
        <v>87.75</v>
      </c>
      <c r="H520" s="1611">
        <f>+Recap_Previo!J74</f>
        <v>0</v>
      </c>
      <c r="I520" s="877">
        <f t="shared" ref="I520" si="188">TRUNC(G520*(1+$J$5),2)</f>
        <v>105.91</v>
      </c>
      <c r="J520" s="1612">
        <f t="shared" si="180"/>
        <v>0</v>
      </c>
      <c r="K520" s="2078">
        <f t="shared" ca="1" si="177"/>
        <v>0</v>
      </c>
      <c r="L520" s="1574" t="e">
        <f t="shared" si="181"/>
        <v>#DIV/0!</v>
      </c>
      <c r="M520" s="1445"/>
      <c r="N520" s="833"/>
      <c r="O520" s="833"/>
      <c r="Q520" s="833"/>
      <c r="R520" s="833"/>
      <c r="S520" s="833"/>
      <c r="T520" s="833"/>
      <c r="U520" s="833"/>
      <c r="V520" s="833"/>
      <c r="W520" s="833"/>
      <c r="X520" s="833"/>
    </row>
    <row r="521" spans="1:24" s="813" customFormat="1" ht="39.950000000000003" hidden="1" customHeight="1" x14ac:dyDescent="0.15">
      <c r="A521" s="2081">
        <f t="shared" ca="1" si="178"/>
        <v>6</v>
      </c>
      <c r="B521" s="2" t="s">
        <v>1878</v>
      </c>
      <c r="C521" s="2" t="str">
        <f>VLOOKUP($B521,[4]BOLETIM_SEL!$A:$H,2,0)</f>
        <v>COMPOSIÇÃO</v>
      </c>
      <c r="D521" s="315" t="str">
        <f>VLOOKUP($B521,[4]BOLETIM_SEL!$A:$H,4,0)</f>
        <v>Execução e compactação de base e ou sub-base, estabilizado granulometricamente, sem mistura, com material de jazida. Exclusive fornecimento e transporte (REF. SINAPI COD. 4011219)</v>
      </c>
      <c r="E521" s="2"/>
      <c r="F521" s="2" t="str">
        <f>VLOOKUP($B521,[4]BOLETIM_SEL!$A:$H,6,0)</f>
        <v>M3</v>
      </c>
      <c r="G521" s="1407">
        <f>VLOOKUP($B521,[4]BOLETIM_SEL!$A:$H,7,0)</f>
        <v>18.399999999999999</v>
      </c>
      <c r="H521" s="1611">
        <f>+Recap_Previo!J75</f>
        <v>0</v>
      </c>
      <c r="I521" s="877">
        <f t="shared" si="179"/>
        <v>22.2</v>
      </c>
      <c r="J521" s="1612">
        <f t="shared" ref="J521" si="189">TRUNC(H521*I521,2)</f>
        <v>0</v>
      </c>
      <c r="K521" s="2078">
        <f t="shared" ca="1" si="177"/>
        <v>0</v>
      </c>
      <c r="L521" s="1574" t="e">
        <f t="shared" ref="L521" si="190">J521/$J$506</f>
        <v>#DIV/0!</v>
      </c>
      <c r="M521" s="1445"/>
      <c r="N521" s="833"/>
      <c r="O521" s="833"/>
      <c r="Q521" s="833"/>
      <c r="R521" s="833"/>
      <c r="S521" s="833"/>
      <c r="T521" s="833"/>
      <c r="U521" s="833"/>
      <c r="V521" s="833"/>
      <c r="W521" s="833"/>
      <c r="X521" s="833"/>
    </row>
    <row r="522" spans="1:24" s="813" customFormat="1" ht="39.950000000000003" hidden="1" customHeight="1" x14ac:dyDescent="0.15">
      <c r="A522" s="2081">
        <f t="shared" ca="1" si="178"/>
        <v>6</v>
      </c>
      <c r="B522" s="834" t="s">
        <v>196</v>
      </c>
      <c r="C522" s="2" t="str">
        <f>VLOOKUP($B522,[4]BOLETIM_SEL!$A:$H,2,0)</f>
        <v>COMPOSIÇÃO</v>
      </c>
      <c r="D522" s="315" t="str">
        <f>VLOOKUP($B522,[4]BOLETIM_SEL!$A:$H,4,0)</f>
        <v>Execução e compactação de base e ou sub-base com material produto de britagem. Exclusive fornecimento e transporte de materiais (REF. SINAPI COD. 96396)</v>
      </c>
      <c r="E522" s="2"/>
      <c r="F522" s="2" t="str">
        <f>VLOOKUP($B522,[4]BOLETIM_SEL!$A:$H,6,0)</f>
        <v>M3</v>
      </c>
      <c r="G522" s="1407">
        <f>VLOOKUP($B522,[4]BOLETIM_SEL!$A:$H,7,0)</f>
        <v>12.42</v>
      </c>
      <c r="H522" s="1611">
        <f>+Recap_Previo!J76+Recap_Previo!J77</f>
        <v>0</v>
      </c>
      <c r="I522" s="877">
        <f t="shared" si="179"/>
        <v>14.99</v>
      </c>
      <c r="J522" s="1612">
        <f t="shared" si="180"/>
        <v>0</v>
      </c>
      <c r="K522" s="2078">
        <f t="shared" ca="1" si="177"/>
        <v>0</v>
      </c>
      <c r="L522" s="1574" t="e">
        <f t="shared" si="181"/>
        <v>#DIV/0!</v>
      </c>
      <c r="M522" s="1445"/>
      <c r="N522" s="833"/>
      <c r="O522" s="833"/>
      <c r="Q522" s="833"/>
      <c r="R522" s="833"/>
      <c r="S522" s="833"/>
      <c r="T522" s="833"/>
      <c r="U522" s="833"/>
      <c r="V522" s="833"/>
      <c r="W522" s="833"/>
      <c r="X522" s="833"/>
    </row>
    <row r="523" spans="1:24" s="813" customFormat="1" ht="30" hidden="1" customHeight="1" x14ac:dyDescent="0.15">
      <c r="A523" s="2081">
        <f t="shared" ca="1" si="178"/>
        <v>6</v>
      </c>
      <c r="B523" s="834" t="s">
        <v>424</v>
      </c>
      <c r="C523" s="2" t="str">
        <f>VLOOKUP($B523,[4]BOLETIM_SEL!$A:$H,2,0)</f>
        <v>COMPOSIÇÃO</v>
      </c>
      <c r="D523" s="315" t="str">
        <f>VLOOKUP($B523,[4]BOLETIM_SEL!$A:$H,4,0)</f>
        <v>Reciclagem simples com incorporação do revestimento asfáltico à base (REF. SICRO COD. 4011481)</v>
      </c>
      <c r="E523" s="2"/>
      <c r="F523" s="2" t="str">
        <f>VLOOKUP($B523,[4]BOLETIM_SEL!$A:$H,6,0)</f>
        <v>M3</v>
      </c>
      <c r="G523" s="1407">
        <f>VLOOKUP($B523,[4]BOLETIM_SEL!$A:$H,7,0)</f>
        <v>38.58</v>
      </c>
      <c r="H523" s="1611">
        <f>+Recap_Previo!J84</f>
        <v>0</v>
      </c>
      <c r="I523" s="877">
        <f t="shared" si="179"/>
        <v>46.56</v>
      </c>
      <c r="J523" s="1612">
        <f t="shared" si="180"/>
        <v>0</v>
      </c>
      <c r="K523" s="2078">
        <f t="shared" ca="1" si="177"/>
        <v>0</v>
      </c>
      <c r="L523" s="1574" t="e">
        <f t="shared" si="181"/>
        <v>#DIV/0!</v>
      </c>
      <c r="M523" s="1445"/>
      <c r="N523" s="833"/>
      <c r="O523" s="833"/>
      <c r="Q523" s="833"/>
      <c r="R523" s="833"/>
      <c r="S523" s="833"/>
      <c r="T523" s="833"/>
      <c r="U523" s="833"/>
      <c r="V523" s="833"/>
      <c r="W523" s="833"/>
      <c r="X523" s="833"/>
    </row>
    <row r="524" spans="1:24" s="813" customFormat="1" ht="39.950000000000003" hidden="1" customHeight="1" x14ac:dyDescent="0.15">
      <c r="A524" s="2081">
        <f t="shared" ca="1" si="178"/>
        <v>6</v>
      </c>
      <c r="B524" s="834" t="s">
        <v>440</v>
      </c>
      <c r="C524" s="2" t="str">
        <f>VLOOKUP($B524,[4]BOLETIM_SEL!$A:$H,2,0)</f>
        <v>COMPOSIÇÃO</v>
      </c>
      <c r="D524" s="315" t="str">
        <f>VLOOKUP($B524,[4]BOLETIM_SEL!$A:$H,4,0)</f>
        <v>Reciclagem com adição de cimento e incorporação do revestimento asfáltico à base. Exclusive fornecimento de cimento (REF. SICRO COD. 4011482)</v>
      </c>
      <c r="E524" s="2"/>
      <c r="F524" s="2" t="str">
        <f>VLOOKUP($B524,[4]BOLETIM_SEL!$A:$H,6,0)</f>
        <v>M3</v>
      </c>
      <c r="G524" s="1407">
        <f>VLOOKUP($B524,[4]BOLETIM_SEL!$A:$H,7,0)</f>
        <v>40.130000000000003</v>
      </c>
      <c r="H524" s="1611">
        <f>+Recap_Previo!J85</f>
        <v>0</v>
      </c>
      <c r="I524" s="877">
        <f t="shared" si="179"/>
        <v>48.43</v>
      </c>
      <c r="J524" s="1612">
        <f t="shared" si="180"/>
        <v>0</v>
      </c>
      <c r="K524" s="2078">
        <f t="shared" ca="1" si="177"/>
        <v>0</v>
      </c>
      <c r="L524" s="1574" t="e">
        <f t="shared" si="181"/>
        <v>#DIV/0!</v>
      </c>
      <c r="M524" s="1445"/>
      <c r="N524" s="833"/>
      <c r="O524" s="833"/>
      <c r="Q524" s="833"/>
      <c r="R524" s="833"/>
      <c r="S524" s="833"/>
      <c r="T524" s="833"/>
      <c r="U524" s="833"/>
      <c r="V524" s="833"/>
      <c r="W524" s="833"/>
      <c r="X524" s="833"/>
    </row>
    <row r="525" spans="1:24" s="813" customFormat="1" ht="39.950000000000003" hidden="1" customHeight="1" x14ac:dyDescent="0.15">
      <c r="A525" s="2081">
        <f t="shared" ca="1" si="178"/>
        <v>6</v>
      </c>
      <c r="B525" s="834" t="s">
        <v>425</v>
      </c>
      <c r="C525" s="2" t="str">
        <f>VLOOKUP($B525,[4]BOLETIM_SEL!$A:$H,2,0)</f>
        <v>COMPOSIÇÃO</v>
      </c>
      <c r="D525" s="315" t="str">
        <f>VLOOKUP($B525,[4]BOLETIM_SEL!$A:$H,4,0)</f>
        <v>Reciclagem com adição de brita e incorporação do revestimento asfáltico à base. Exclusive fornecimento de brita (REF. SICRO COD. 4011484)</v>
      </c>
      <c r="E525" s="2"/>
      <c r="F525" s="2" t="str">
        <f>VLOOKUP($B525,[4]BOLETIM_SEL!$A:$H,6,0)</f>
        <v>M3</v>
      </c>
      <c r="G525" s="1407">
        <f>VLOOKUP($B525,[4]BOLETIM_SEL!$A:$H,7,0)</f>
        <v>41.24</v>
      </c>
      <c r="H525" s="1611">
        <f>+Recap_Previo!J86</f>
        <v>0</v>
      </c>
      <c r="I525" s="877">
        <f t="shared" si="179"/>
        <v>49.77</v>
      </c>
      <c r="J525" s="1612">
        <f t="shared" si="180"/>
        <v>0</v>
      </c>
      <c r="K525" s="2078">
        <f t="shared" ca="1" si="177"/>
        <v>0</v>
      </c>
      <c r="L525" s="1574" t="e">
        <f t="shared" si="181"/>
        <v>#DIV/0!</v>
      </c>
      <c r="M525" s="1445"/>
      <c r="N525" s="833"/>
      <c r="O525" s="833"/>
      <c r="Q525" s="833"/>
      <c r="R525" s="833"/>
      <c r="S525" s="833"/>
      <c r="T525" s="833"/>
      <c r="U525" s="833"/>
      <c r="V525" s="833"/>
      <c r="W525" s="833"/>
      <c r="X525" s="833"/>
    </row>
    <row r="526" spans="1:24" s="813" customFormat="1" ht="30" hidden="1" customHeight="1" x14ac:dyDescent="0.15">
      <c r="A526" s="2081">
        <f t="shared" ca="1" si="178"/>
        <v>6</v>
      </c>
      <c r="B526" s="834">
        <v>96001</v>
      </c>
      <c r="C526" s="2" t="str">
        <f>VLOOKUP($B526,[4]BOLETIM_SEL!$A:$H,2,0)</f>
        <v>SINAPI</v>
      </c>
      <c r="D526" s="315" t="str">
        <f>VLOOKUP($B526,[4]BOLETIM_SEL!$A:$H,4,0)</f>
        <v>Fresagem de pavimento asfáltico (profundidade até 5,0 cm) - exclusive transporte. AF_11/2019</v>
      </c>
      <c r="E526" s="2"/>
      <c r="F526" s="2" t="str">
        <f>VLOOKUP($B526,[4]BOLETIM_SEL!$A:$H,6,0)</f>
        <v>M2</v>
      </c>
      <c r="G526" s="1407">
        <f>VLOOKUP($B526,[4]BOLETIM_SEL!$A:$H,7,0)</f>
        <v>7.29</v>
      </c>
      <c r="H526" s="1611">
        <f>+Recap_Previo!J91</f>
        <v>0</v>
      </c>
      <c r="I526" s="877">
        <f t="shared" si="179"/>
        <v>8.7899999999999991</v>
      </c>
      <c r="J526" s="1612">
        <f t="shared" si="180"/>
        <v>0</v>
      </c>
      <c r="K526" s="2078">
        <f t="shared" ca="1" si="177"/>
        <v>0</v>
      </c>
      <c r="L526" s="1574" t="e">
        <f t="shared" si="181"/>
        <v>#DIV/0!</v>
      </c>
      <c r="M526" s="1445"/>
      <c r="N526" s="833"/>
      <c r="O526" s="833"/>
      <c r="Q526" s="833"/>
      <c r="R526" s="833"/>
      <c r="S526" s="833"/>
      <c r="T526" s="833"/>
      <c r="U526" s="833"/>
      <c r="V526" s="833"/>
      <c r="W526" s="833"/>
      <c r="X526" s="833"/>
    </row>
    <row r="527" spans="1:24" s="813" customFormat="1" ht="39.950000000000003" hidden="1" customHeight="1" x14ac:dyDescent="0.15">
      <c r="A527" s="2081">
        <f t="shared" ca="1" si="178"/>
        <v>6</v>
      </c>
      <c r="B527" s="834">
        <v>4743</v>
      </c>
      <c r="C527" s="2" t="str">
        <f>VLOOKUP($B527,[4]BOLETIM_SEL!$A:$H,2,0)</f>
        <v>COTAÇÃO - SINAPI</v>
      </c>
      <c r="D527" s="315" t="str">
        <f>VLOOKUP($B527,[4]BOLETIM_SEL!$A:$H,4,0)</f>
        <v>Cascalho de cava</v>
      </c>
      <c r="E527" s="2230" t="s">
        <v>2647</v>
      </c>
      <c r="F527" s="2" t="str">
        <f>VLOOKUP($B527,[4]BOLETIM_SEL!$A:$H,6,0)</f>
        <v xml:space="preserve">M3    </v>
      </c>
      <c r="G527" s="1407">
        <f>VLOOKUP($B527,[4]BOLETIM_SEL!$A:$H,7,0)</f>
        <v>56.55</v>
      </c>
      <c r="H527" s="1611">
        <f>+Recap_Previo!J71</f>
        <v>0</v>
      </c>
      <c r="I527" s="2231">
        <f t="shared" ref="I527:I531" si="191">TRUNC(G527*(1+$J$6),2)</f>
        <v>65.180000000000007</v>
      </c>
      <c r="J527" s="1612">
        <f t="shared" si="180"/>
        <v>0</v>
      </c>
      <c r="K527" s="2078">
        <f t="shared" ca="1" si="177"/>
        <v>0</v>
      </c>
      <c r="L527" s="1574" t="e">
        <f t="shared" si="181"/>
        <v>#DIV/0!</v>
      </c>
      <c r="M527" s="1445"/>
      <c r="N527" s="833"/>
      <c r="O527" s="833"/>
      <c r="Q527" s="833"/>
      <c r="R527" s="833"/>
      <c r="S527" s="833"/>
      <c r="T527" s="833"/>
      <c r="U527" s="833"/>
      <c r="V527" s="833"/>
      <c r="W527" s="833"/>
      <c r="X527" s="833"/>
    </row>
    <row r="528" spans="1:24" s="813" customFormat="1" ht="39.950000000000003" hidden="1" customHeight="1" x14ac:dyDescent="0.15">
      <c r="A528" s="2081">
        <f t="shared" ca="1" si="178"/>
        <v>6</v>
      </c>
      <c r="B528" s="834">
        <v>4748</v>
      </c>
      <c r="C528" s="2" t="str">
        <f>VLOOKUP($B528,[4]BOLETIM_SEL!$A:$H,2,0)</f>
        <v>COTAÇÃO - SINAPI</v>
      </c>
      <c r="D528" s="315" t="str">
        <f>VLOOKUP($B528,[4]BOLETIM_SEL!$A:$H,4,0)</f>
        <v>Pedra britada ou bica corrida, não classificada (posto pedreira/fornecedor, sem frete)</v>
      </c>
      <c r="E528" s="2230" t="s">
        <v>2647</v>
      </c>
      <c r="F528" s="2" t="str">
        <f>VLOOKUP($B528,[4]BOLETIM_SEL!$A:$H,6,0)</f>
        <v xml:space="preserve">M3    </v>
      </c>
      <c r="G528" s="1407">
        <f>VLOOKUP($B528,[4]BOLETIM_SEL!$A:$H,7,0)</f>
        <v>89.58</v>
      </c>
      <c r="H528" s="1611">
        <f>+Recap_Previo!J72</f>
        <v>0</v>
      </c>
      <c r="I528" s="2231">
        <f t="shared" si="191"/>
        <v>103.25</v>
      </c>
      <c r="J528" s="1612">
        <f t="shared" si="180"/>
        <v>0</v>
      </c>
      <c r="K528" s="2078">
        <f t="shared" ca="1" si="177"/>
        <v>0</v>
      </c>
      <c r="L528" s="1574" t="e">
        <f t="shared" si="181"/>
        <v>#DIV/0!</v>
      </c>
      <c r="M528" s="1445"/>
      <c r="N528" s="833"/>
      <c r="O528" s="833"/>
      <c r="Q528" s="833"/>
      <c r="R528" s="833"/>
      <c r="S528" s="833"/>
      <c r="T528" s="833"/>
      <c r="U528" s="833"/>
      <c r="V528" s="833"/>
      <c r="W528" s="833"/>
      <c r="X528" s="833"/>
    </row>
    <row r="529" spans="1:24" s="813" customFormat="1" ht="39.950000000000003" hidden="1" customHeight="1" x14ac:dyDescent="0.15">
      <c r="A529" s="2081">
        <f t="shared" ca="1" si="178"/>
        <v>6</v>
      </c>
      <c r="B529" s="834">
        <v>4729</v>
      </c>
      <c r="C529" s="2" t="str">
        <f>VLOOKUP($B529,[4]BOLETIM_SEL!$A:$H,2,0)</f>
        <v>COTAÇÃO - SINAPI</v>
      </c>
      <c r="D529" s="315" t="str">
        <f>VLOOKUP($B529,[4]BOLETIM_SEL!$A:$H,4,0)</f>
        <v>Pedra britada graduada, classificada (posto pedreira/fornecedor, sem frete)</v>
      </c>
      <c r="E529" s="2230" t="s">
        <v>2647</v>
      </c>
      <c r="F529" s="2" t="str">
        <f>VLOOKUP($B529,[4]BOLETIM_SEL!$A:$H,6,0)</f>
        <v xml:space="preserve">M3    </v>
      </c>
      <c r="G529" s="1407">
        <f>VLOOKUP($B529,[4]BOLETIM_SEL!$A:$H,7,0)</f>
        <v>97.72</v>
      </c>
      <c r="H529" s="1611">
        <f>+Recap_Previo!J73</f>
        <v>0</v>
      </c>
      <c r="I529" s="2231">
        <f t="shared" si="191"/>
        <v>112.64</v>
      </c>
      <c r="J529" s="1612">
        <f t="shared" si="180"/>
        <v>0</v>
      </c>
      <c r="K529" s="2078">
        <f t="shared" ca="1" si="177"/>
        <v>0</v>
      </c>
      <c r="L529" s="1574" t="e">
        <f t="shared" si="181"/>
        <v>#DIV/0!</v>
      </c>
      <c r="M529" s="1445"/>
      <c r="N529" s="833"/>
      <c r="O529" s="833"/>
      <c r="Q529" s="833"/>
      <c r="R529" s="833"/>
      <c r="S529" s="833"/>
      <c r="T529" s="833"/>
      <c r="U529" s="833"/>
      <c r="V529" s="833"/>
      <c r="W529" s="833"/>
      <c r="X529" s="833"/>
    </row>
    <row r="530" spans="1:24" s="813" customFormat="1" ht="39.950000000000003" hidden="1" customHeight="1" x14ac:dyDescent="0.15">
      <c r="A530" s="2081">
        <f t="shared" ca="1" si="178"/>
        <v>6</v>
      </c>
      <c r="B530" s="834">
        <v>4721</v>
      </c>
      <c r="C530" s="2" t="str">
        <f>VLOOKUP($B530,[4]BOLETIM_SEL!$A:$H,2,0)</f>
        <v>COTAÇÃO - SINAPI</v>
      </c>
      <c r="D530" s="315" t="str">
        <f>VLOOKUP($B530,[4]BOLETIM_SEL!$A:$H,4,0)</f>
        <v>Pedra britada n. 1 (9,5 A 19 mm) posto pedreira/fornecedor, sem frete</v>
      </c>
      <c r="E530" s="2230" t="s">
        <v>2647</v>
      </c>
      <c r="F530" s="2" t="str">
        <f>VLOOKUP($B530,[4]BOLETIM_SEL!$A:$H,6,0)</f>
        <v xml:space="preserve">M3    </v>
      </c>
      <c r="G530" s="1407">
        <f>VLOOKUP($B530,[4]BOLETIM_SEL!$A:$H,7,0)</f>
        <v>96.99</v>
      </c>
      <c r="H530" s="1611">
        <f>+Recap_Previo!J88</f>
        <v>0</v>
      </c>
      <c r="I530" s="2231">
        <f t="shared" si="191"/>
        <v>111.8</v>
      </c>
      <c r="J530" s="1612">
        <f t="shared" si="180"/>
        <v>0</v>
      </c>
      <c r="K530" s="2078">
        <f t="shared" ca="1" si="177"/>
        <v>0</v>
      </c>
      <c r="L530" s="1574" t="e">
        <f t="shared" si="181"/>
        <v>#DIV/0!</v>
      </c>
      <c r="M530" s="1445"/>
      <c r="N530" s="833"/>
      <c r="O530" s="833"/>
      <c r="Q530" s="833"/>
      <c r="R530" s="833"/>
      <c r="S530" s="833"/>
      <c r="T530" s="833"/>
      <c r="U530" s="833"/>
      <c r="V530" s="833"/>
      <c r="W530" s="833"/>
      <c r="X530" s="833"/>
    </row>
    <row r="531" spans="1:24" s="813" customFormat="1" ht="39.950000000000003" hidden="1" customHeight="1" x14ac:dyDescent="0.15">
      <c r="A531" s="2081">
        <f t="shared" ca="1" si="178"/>
        <v>6</v>
      </c>
      <c r="B531" s="834">
        <v>1379</v>
      </c>
      <c r="C531" s="2" t="str">
        <f>VLOOKUP($B531,[4]BOLETIM_SEL!$A:$H,2,0)</f>
        <v>COTAÇÃO - SINAPI</v>
      </c>
      <c r="D531" s="315" t="str">
        <f>VLOOKUP($B531,[4]BOLETIM_SEL!$A:$H,4,0)</f>
        <v>Cimento portland composto CP II-32</v>
      </c>
      <c r="E531" s="2230" t="s">
        <v>2647</v>
      </c>
      <c r="F531" s="2" t="str">
        <f>VLOOKUP($B531,[4]BOLETIM_SEL!$A:$H,6,0)</f>
        <v xml:space="preserve">KG    </v>
      </c>
      <c r="G531" s="1407">
        <f>VLOOKUP($B531,[4]BOLETIM_SEL!$A:$H,7,0)</f>
        <v>0.81</v>
      </c>
      <c r="H531" s="1611">
        <f>+Recap_Previo!J87</f>
        <v>0</v>
      </c>
      <c r="I531" s="2231">
        <f t="shared" si="191"/>
        <v>0.93</v>
      </c>
      <c r="J531" s="1612">
        <f t="shared" si="180"/>
        <v>0</v>
      </c>
      <c r="K531" s="2078">
        <f t="shared" ca="1" si="177"/>
        <v>0</v>
      </c>
      <c r="L531" s="1574" t="e">
        <f t="shared" si="181"/>
        <v>#DIV/0!</v>
      </c>
      <c r="M531" s="1445"/>
      <c r="N531" s="833"/>
      <c r="O531" s="833"/>
      <c r="Q531" s="833"/>
      <c r="R531" s="833"/>
      <c r="S531" s="833"/>
      <c r="T531" s="833"/>
      <c r="U531" s="833"/>
      <c r="V531" s="833"/>
      <c r="W531" s="833"/>
      <c r="X531" s="833"/>
    </row>
    <row r="532" spans="1:24" s="813" customFormat="1" ht="30" hidden="1" customHeight="1" x14ac:dyDescent="0.15">
      <c r="A532" s="2081">
        <f t="shared" ca="1" si="178"/>
        <v>6</v>
      </c>
      <c r="B532" s="834" t="str">
        <f>IF(M532="EAI","PA/0025",96401)</f>
        <v>PA/0025</v>
      </c>
      <c r="C532" s="2" t="str">
        <f>VLOOKUP($B532,[4]BOLETIM_SEL!$A:$H,2,0)</f>
        <v>COMPOSIÇÃO</v>
      </c>
      <c r="D532" s="315" t="str">
        <f>VLOOKUP($B532,[4]BOLETIM_SEL!$A:$H,4,0)</f>
        <v>Imprimação da base, execução e fornecimento de emulsão asfáltica EAI (REF. SINAPI COD. 102470)</v>
      </c>
      <c r="E532" s="2"/>
      <c r="F532" s="2" t="str">
        <f>VLOOKUP($B532,[4]BOLETIM_SEL!$A:$H,6,0)</f>
        <v>M2</v>
      </c>
      <c r="G532" s="1407">
        <f>VLOOKUP($B532,[4]BOLETIM_SEL!$A:$H,7,0)</f>
        <v>5.13</v>
      </c>
      <c r="H532" s="1611">
        <f>+Recap_Previo!J97</f>
        <v>0</v>
      </c>
      <c r="I532" s="877">
        <f t="shared" ref="I532:I542" si="192">TRUNC(G532*(1+$J$5),2)</f>
        <v>6.19</v>
      </c>
      <c r="J532" s="1612">
        <f t="shared" si="180"/>
        <v>0</v>
      </c>
      <c r="K532" s="2078">
        <f t="shared" ca="1" si="177"/>
        <v>0</v>
      </c>
      <c r="L532" s="1574" t="e">
        <f t="shared" si="181"/>
        <v>#DIV/0!</v>
      </c>
      <c r="M532" s="1589" t="s">
        <v>2103</v>
      </c>
      <c r="N532" s="833"/>
      <c r="O532" s="833"/>
      <c r="Q532" s="833"/>
      <c r="R532" s="833"/>
      <c r="S532" s="833"/>
      <c r="T532" s="833"/>
      <c r="U532" s="833"/>
      <c r="V532" s="833"/>
      <c r="W532" s="833"/>
      <c r="X532" s="833"/>
    </row>
    <row r="533" spans="1:24" s="813" customFormat="1" ht="30" hidden="1" customHeight="1" x14ac:dyDescent="0.15">
      <c r="A533" s="2081">
        <f t="shared" ca="1" si="178"/>
        <v>6</v>
      </c>
      <c r="B533" s="834" t="s">
        <v>1777</v>
      </c>
      <c r="C533" s="2" t="str">
        <f>VLOOKUP($B533,[4]BOLETIM_SEL!$A:$H,2,0)</f>
        <v>COMPOSIÇÃO</v>
      </c>
      <c r="D533" s="315" t="str">
        <f>VLOOKUP($B533,[4]BOLETIM_SEL!$A:$H,4,0)</f>
        <v>Pintura de ligação, execução e fornecimento de emulsão asfáltica RR-1C (ref SINAPI cód 104375)</v>
      </c>
      <c r="E533" s="2"/>
      <c r="F533" s="2" t="str">
        <f>VLOOKUP($B533,[4]BOLETIM_SEL!$A:$H,6,0)</f>
        <v>M2</v>
      </c>
      <c r="G533" s="1407">
        <f>VLOOKUP($B533,[4]BOLETIM_SEL!$A:$H,7,0)</f>
        <v>2.4700000000000002</v>
      </c>
      <c r="H533" s="1611">
        <f>+Recap_Previo!J101</f>
        <v>0</v>
      </c>
      <c r="I533" s="877">
        <f t="shared" si="192"/>
        <v>2.98</v>
      </c>
      <c r="J533" s="1612">
        <f t="shared" si="180"/>
        <v>0</v>
      </c>
      <c r="K533" s="2078">
        <f t="shared" ca="1" si="177"/>
        <v>0</v>
      </c>
      <c r="L533" s="1574" t="e">
        <f t="shared" si="181"/>
        <v>#DIV/0!</v>
      </c>
      <c r="M533" s="1445"/>
      <c r="N533" s="833"/>
      <c r="O533" s="833"/>
      <c r="Q533" s="833"/>
      <c r="R533" s="833"/>
      <c r="S533" s="833"/>
      <c r="T533" s="833"/>
      <c r="U533" s="833"/>
      <c r="V533" s="833"/>
      <c r="W533" s="833"/>
      <c r="X533" s="833"/>
    </row>
    <row r="534" spans="1:24" s="813" customFormat="1" ht="39.950000000000003" hidden="1" customHeight="1" x14ac:dyDescent="0.15">
      <c r="A534" s="2081">
        <f t="shared" ca="1" si="178"/>
        <v>6</v>
      </c>
      <c r="B534" s="834" t="str">
        <f>IF(M534="COMERCIAL","RE/0050","RE/0051")</f>
        <v>RE/0050</v>
      </c>
      <c r="C534" s="2" t="str">
        <f>VLOOKUP($B534,[4]BOLETIM_SEL!$A:$H,2,0)</f>
        <v>COMPOSIÇÃO</v>
      </c>
      <c r="D534" s="315" t="str">
        <f>VLOOKUP($B534,[4]BOLETIM_SEL!$A:$H,4,0)</f>
        <v>CBUQ (usina comercial) - aplicação manual em fechamento de vala e remendos. Incluindo fornecimento dos materiais e compactação com rolo tandem compacto. Exclusive transporte. Ref BP 09.05.0500 RIO SCO</v>
      </c>
      <c r="E534" s="2"/>
      <c r="F534" s="2" t="str">
        <f>VLOOKUP($B534,[4]BOLETIM_SEL!$A:$H,6,0)</f>
        <v>M3</v>
      </c>
      <c r="G534" s="1407">
        <f>VLOOKUP($B534,[4]BOLETIM_SEL!$A:$H,7,0)</f>
        <v>1516.64</v>
      </c>
      <c r="H534" s="1611">
        <f>+Recap_Previo!J109</f>
        <v>0</v>
      </c>
      <c r="I534" s="877">
        <f t="shared" si="192"/>
        <v>1830.58</v>
      </c>
      <c r="J534" s="1612">
        <f t="shared" si="180"/>
        <v>0</v>
      </c>
      <c r="K534" s="2078">
        <f t="shared" ca="1" si="177"/>
        <v>0</v>
      </c>
      <c r="L534" s="1574" t="e">
        <f t="shared" si="181"/>
        <v>#DIV/0!</v>
      </c>
      <c r="M534" s="1589" t="s">
        <v>410</v>
      </c>
      <c r="N534" s="833"/>
      <c r="O534" s="833"/>
      <c r="Q534" s="833"/>
      <c r="R534" s="833"/>
      <c r="S534" s="833"/>
      <c r="T534" s="833"/>
      <c r="U534" s="833"/>
      <c r="V534" s="833"/>
      <c r="W534" s="833"/>
      <c r="X534" s="833"/>
    </row>
    <row r="535" spans="1:24" s="813" customFormat="1" ht="39.950000000000003" hidden="1" customHeight="1" x14ac:dyDescent="0.15">
      <c r="A535" s="2081">
        <f t="shared" ca="1" si="178"/>
        <v>6</v>
      </c>
      <c r="B535" s="834" t="str">
        <f>IF(M535="COMERCIAL","RE/0055","RE/0056")</f>
        <v>RE/0055</v>
      </c>
      <c r="C535" s="2" t="str">
        <f>VLOOKUP($B535,[4]BOLETIM_SEL!$A:$H,2,0)</f>
        <v>COMPOSIÇÃO</v>
      </c>
      <c r="D535" s="315" t="str">
        <f>VLOOKUP($B535,[4]BOLETIM_SEL!$A:$H,4,0)</f>
        <v>CBUQ (usina comercial) - aplicação com motoniveladora (reperfilamento). Incluindo fornecimento de materiais. Exclusive transporte</v>
      </c>
      <c r="E535" s="2"/>
      <c r="F535" s="2" t="str">
        <f>VLOOKUP($B535,[4]BOLETIM_SEL!$A:$H,6,0)</f>
        <v>M3</v>
      </c>
      <c r="G535" s="1407">
        <f>VLOOKUP($B535,[4]BOLETIM_SEL!$A:$H,7,0)</f>
        <v>1543.9</v>
      </c>
      <c r="H535" s="1611">
        <f>+Recap_Previo!J110</f>
        <v>0</v>
      </c>
      <c r="I535" s="877">
        <f t="shared" si="192"/>
        <v>1863.48</v>
      </c>
      <c r="J535" s="1612">
        <f t="shared" si="180"/>
        <v>0</v>
      </c>
      <c r="K535" s="2078">
        <f t="shared" ca="1" si="177"/>
        <v>0</v>
      </c>
      <c r="L535" s="1574" t="e">
        <f t="shared" si="181"/>
        <v>#DIV/0!</v>
      </c>
      <c r="M535" s="1589" t="s">
        <v>410</v>
      </c>
      <c r="N535" s="833"/>
      <c r="O535" s="833"/>
      <c r="Q535" s="833"/>
      <c r="R535" s="833"/>
      <c r="S535" s="833"/>
      <c r="T535" s="833"/>
      <c r="U535" s="833"/>
      <c r="V535" s="833"/>
      <c r="W535" s="833"/>
      <c r="X535" s="833"/>
    </row>
    <row r="536" spans="1:24" s="813" customFormat="1" ht="39.950000000000003" hidden="1" customHeight="1" x14ac:dyDescent="0.15">
      <c r="A536" s="2081">
        <f t="shared" ca="1" si="178"/>
        <v>6</v>
      </c>
      <c r="B536" s="834" t="str">
        <f>IF(M536="COMERCIAL 50/70",95995,IF(M536="COMERCIAL 30/45","PA/0040",IF(M536="INSTALADA 50/70","PA/0042","PA/0041")))</f>
        <v>PA/0040</v>
      </c>
      <c r="C536" s="2" t="str">
        <f>VLOOKUP($B536,[4]BOLETIM_SEL!$A:$H,2,0)</f>
        <v>COMPOSIÇÃO</v>
      </c>
      <c r="D536" s="315" t="str">
        <f>VLOOKUP($B536,[4]BOLETIM_SEL!$A:$H,4,0)</f>
        <v>Construção de pavimento com aplicação de concreto betuminoso usinado à quente (CBUQ - faixa C - CAP 30/45 - usina comercial), camada de rolamento, exclusive transporte da mistura (REF. SINAPI COD. 95995)</v>
      </c>
      <c r="E536" s="2"/>
      <c r="F536" s="2" t="str">
        <f>VLOOKUP($B536,[4]BOLETIM_SEL!$A:$H,6,0)</f>
        <v>M3</v>
      </c>
      <c r="G536" s="1407">
        <f>VLOOKUP($B536,[4]BOLETIM_SEL!$A:$H,7,0)</f>
        <v>1590.41</v>
      </c>
      <c r="H536" s="1611">
        <f>+Recap_Previo!J111</f>
        <v>0</v>
      </c>
      <c r="I536" s="877">
        <f t="shared" si="192"/>
        <v>1919.62</v>
      </c>
      <c r="J536" s="1612">
        <f t="shared" si="180"/>
        <v>0</v>
      </c>
      <c r="K536" s="2078">
        <f t="shared" ca="1" si="177"/>
        <v>0</v>
      </c>
      <c r="L536" s="1574" t="e">
        <f t="shared" si="181"/>
        <v>#DIV/0!</v>
      </c>
      <c r="M536" s="1589" t="s">
        <v>2427</v>
      </c>
      <c r="N536" s="833"/>
      <c r="O536" s="833"/>
      <c r="Q536" s="833"/>
      <c r="R536" s="833"/>
      <c r="S536" s="833"/>
      <c r="T536" s="833"/>
      <c r="U536" s="833"/>
      <c r="V536" s="833"/>
      <c r="W536" s="833"/>
      <c r="X536" s="833"/>
    </row>
    <row r="537" spans="1:24" s="813" customFormat="1" ht="50.1" hidden="1" customHeight="1" x14ac:dyDescent="0.15">
      <c r="A537" s="2081">
        <f t="shared" ca="1" si="178"/>
        <v>6</v>
      </c>
      <c r="B537" s="834" t="s">
        <v>423</v>
      </c>
      <c r="C537" s="2" t="str">
        <f>VLOOKUP($B537,[4]BOLETIM_SEL!$A:$H,2,0)</f>
        <v>COMPOSIÇÃO</v>
      </c>
      <c r="D537" s="315" t="str">
        <f>VLOOKUP($B537,[4]BOLETIM_SEL!$A:$H,4,0)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537" s="2"/>
      <c r="F537" s="2" t="str">
        <f>VLOOKUP($B537,[4]BOLETIM_SEL!$A:$H,6,0)</f>
        <v>M3</v>
      </c>
      <c r="G537" s="1407">
        <f>VLOOKUP($B537,[4]BOLETIM_SEL!$A:$H,7,0)</f>
        <v>996.68</v>
      </c>
      <c r="H537" s="1611">
        <f>+Recap_Previo!J116</f>
        <v>0</v>
      </c>
      <c r="I537" s="877">
        <f t="shared" si="192"/>
        <v>1202.99</v>
      </c>
      <c r="J537" s="1612">
        <f t="shared" si="180"/>
        <v>0</v>
      </c>
      <c r="K537" s="2078">
        <f t="shared" ca="1" si="177"/>
        <v>0</v>
      </c>
      <c r="L537" s="1574" t="e">
        <f t="shared" si="181"/>
        <v>#DIV/0!</v>
      </c>
      <c r="M537" s="1445"/>
      <c r="N537" s="833"/>
      <c r="O537" s="833"/>
      <c r="Q537" s="833"/>
      <c r="R537" s="833"/>
      <c r="S537" s="833"/>
      <c r="T537" s="833"/>
      <c r="U537" s="833"/>
      <c r="V537" s="833"/>
      <c r="W537" s="833"/>
      <c r="X537" s="833"/>
    </row>
    <row r="538" spans="1:24" s="813" customFormat="1" ht="39.950000000000003" hidden="1" customHeight="1" x14ac:dyDescent="0.15">
      <c r="A538" s="2081">
        <f t="shared" ca="1" si="178"/>
        <v>6</v>
      </c>
      <c r="B538" s="834" t="s">
        <v>1754</v>
      </c>
      <c r="C538" s="2" t="str">
        <f>VLOOKUP($B538,[4]BOLETIM_SEL!$A:$H,2,0)</f>
        <v>COMPOSIÇÃO</v>
      </c>
      <c r="D538" s="315" t="str">
        <f>VLOOKUP($B538,[4]BOLETIM_SEL!$A:$H,4,0)</f>
        <v>Execução de pré-misturado a frio - PMF, faixa C (semidenso), com emulsão asfáltica RL-1C, aplicação com motoniveladora (reperfilamento). Incluindo fornecimento de materiais. Exclusive transporte</v>
      </c>
      <c r="E538" s="2"/>
      <c r="F538" s="2" t="str">
        <f>VLOOKUP($B538,[4]BOLETIM_SEL!$A:$H,6,0)</f>
        <v>M3</v>
      </c>
      <c r="G538" s="1407">
        <f>VLOOKUP($B538,[4]BOLETIM_SEL!$A:$H,7,0)</f>
        <v>1021.49</v>
      </c>
      <c r="H538" s="1611">
        <f>+Recap_Previo!J117</f>
        <v>0</v>
      </c>
      <c r="I538" s="877">
        <f t="shared" si="192"/>
        <v>1232.93</v>
      </c>
      <c r="J538" s="1612">
        <f t="shared" si="180"/>
        <v>0</v>
      </c>
      <c r="K538" s="2078">
        <f t="shared" ca="1" si="177"/>
        <v>0</v>
      </c>
      <c r="L538" s="1574" t="e">
        <f t="shared" si="181"/>
        <v>#DIV/0!</v>
      </c>
      <c r="M538" s="1445"/>
      <c r="N538" s="833"/>
      <c r="O538" s="833"/>
      <c r="Q538" s="833"/>
      <c r="R538" s="833"/>
      <c r="S538" s="833"/>
      <c r="T538" s="833"/>
      <c r="U538" s="833"/>
      <c r="V538" s="833"/>
      <c r="W538" s="833"/>
      <c r="X538" s="833"/>
    </row>
    <row r="539" spans="1:24" s="813" customFormat="1" ht="39.950000000000003" hidden="1" customHeight="1" x14ac:dyDescent="0.15">
      <c r="A539" s="2081">
        <f t="shared" ca="1" si="178"/>
        <v>6</v>
      </c>
      <c r="B539" s="834" t="s">
        <v>1778</v>
      </c>
      <c r="C539" s="2" t="str">
        <f>VLOOKUP($B539,[4]BOLETIM_SEL!$A:$H,2,0)</f>
        <v>COMPOSIÇÃO</v>
      </c>
      <c r="D539" s="315" t="str">
        <f>VLOOKUP($B539,[4]BOLETIM_SEL!$A:$H,4,0)</f>
        <v>Execução de pré-misturado a frio - PMF, faixa C (semidenso), com emulsão asfáltica RL-1C, para revestimento, aplicação com vibroacabadora. Exclusive transporte</v>
      </c>
      <c r="E539" s="2"/>
      <c r="F539" s="2" t="str">
        <f>VLOOKUP($B539,[4]BOLETIM_SEL!$A:$H,6,0)</f>
        <v>M3</v>
      </c>
      <c r="G539" s="1407"/>
      <c r="H539" s="1613">
        <f>+Recap_Previo!J118</f>
        <v>0</v>
      </c>
      <c r="I539" s="2189">
        <f t="shared" si="192"/>
        <v>0</v>
      </c>
      <c r="J539" s="2190">
        <f t="shared" si="180"/>
        <v>0</v>
      </c>
      <c r="K539" s="2191">
        <f t="shared" ca="1" si="177"/>
        <v>0</v>
      </c>
      <c r="L539" s="2470" t="e">
        <f t="shared" si="181"/>
        <v>#DIV/0!</v>
      </c>
      <c r="M539" s="1445"/>
      <c r="N539" s="833"/>
      <c r="O539" s="833"/>
      <c r="Q539" s="833"/>
      <c r="R539" s="833"/>
      <c r="S539" s="833"/>
      <c r="T539" s="833"/>
      <c r="U539" s="833"/>
      <c r="V539" s="833"/>
      <c r="W539" s="833"/>
      <c r="X539" s="833"/>
    </row>
    <row r="540" spans="1:24" s="813" customFormat="1" ht="39.950000000000003" hidden="1" customHeight="1" x14ac:dyDescent="0.15">
      <c r="A540" s="2081">
        <f t="shared" ca="1" si="178"/>
        <v>6</v>
      </c>
      <c r="B540" s="834">
        <f>IF(M540="escavadeira",100978,100974)</f>
        <v>100978</v>
      </c>
      <c r="C540" s="2" t="str">
        <f>VLOOKUP($B540,[4]BOLETIM_SEL!$A:$H,2,0)</f>
        <v>SINAPI</v>
      </c>
      <c r="D540" s="315" t="str">
        <f>VLOOKUP($B540,[4]BOLETIM_SEL!$A:$H,4,0)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540" s="2"/>
      <c r="F540" s="2" t="str">
        <f>VLOOKUP($B540,[4]BOLETIM_SEL!$A:$H,6,0)</f>
        <v>M3</v>
      </c>
      <c r="G540" s="1407">
        <f>VLOOKUP($B540,[4]BOLETIM_SEL!$A:$H,7,0)</f>
        <v>6.17</v>
      </c>
      <c r="H540" s="1611">
        <f>IF(Recap_Previo!J122&lt;=50,Recap_Previo!J122,0)+IF(Recap_Previo!J124&lt;=50,Recap_Previo!J124,0)</f>
        <v>0</v>
      </c>
      <c r="I540" s="877">
        <f t="shared" si="192"/>
        <v>7.44</v>
      </c>
      <c r="J540" s="1612">
        <f t="shared" si="180"/>
        <v>0</v>
      </c>
      <c r="K540" s="2078">
        <f t="shared" ca="1" si="177"/>
        <v>0</v>
      </c>
      <c r="L540" s="1574" t="e">
        <f t="shared" si="181"/>
        <v>#DIV/0!</v>
      </c>
      <c r="M540" s="1589" t="s">
        <v>2106</v>
      </c>
      <c r="N540" s="833"/>
      <c r="O540" s="833"/>
      <c r="Q540" s="833"/>
      <c r="R540" s="833"/>
      <c r="S540" s="833"/>
      <c r="T540" s="833"/>
      <c r="U540" s="833"/>
      <c r="V540" s="833"/>
      <c r="W540" s="833"/>
      <c r="X540" s="833"/>
    </row>
    <row r="541" spans="1:24" s="813" customFormat="1" ht="39.950000000000003" hidden="1" customHeight="1" x14ac:dyDescent="0.15">
      <c r="A541" s="2081">
        <f t="shared" ca="1" si="178"/>
        <v>6</v>
      </c>
      <c r="B541" s="834">
        <f>IF(M541="escavadeira",100979,100975)</f>
        <v>100979</v>
      </c>
      <c r="C541" s="2" t="str">
        <f>VLOOKUP($B541,[4]BOLETIM_SEL!$A:$H,2,0)</f>
        <v>SINAPI</v>
      </c>
      <c r="D541" s="315" t="str">
        <f>VLOOKUP($B541,[4]BOLETIM_SEL!$A:$H,4,0)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541" s="2"/>
      <c r="F541" s="2" t="str">
        <f>VLOOKUP($B541,[4]BOLETIM_SEL!$A:$H,6,0)</f>
        <v>M3</v>
      </c>
      <c r="G541" s="1407">
        <f>VLOOKUP($B541,[4]BOLETIM_SEL!$A:$H,7,0)</f>
        <v>6.01</v>
      </c>
      <c r="H541" s="1611">
        <f>IF(Recap_Previo!J122&gt;50,Recap_Previo!J122,0)+IF(Recap_Previo!J124&gt;50,Recap_Previo!J124,0)</f>
        <v>0</v>
      </c>
      <c r="I541" s="877">
        <f t="shared" si="192"/>
        <v>7.25</v>
      </c>
      <c r="J541" s="1612">
        <f t="shared" si="180"/>
        <v>0</v>
      </c>
      <c r="K541" s="2078">
        <f t="shared" ca="1" si="177"/>
        <v>0</v>
      </c>
      <c r="L541" s="1574" t="e">
        <f t="shared" si="181"/>
        <v>#DIV/0!</v>
      </c>
      <c r="M541" s="1589" t="s">
        <v>2106</v>
      </c>
      <c r="N541" s="833"/>
      <c r="O541" s="833"/>
      <c r="Q541" s="833"/>
      <c r="R541" s="833"/>
      <c r="S541" s="833"/>
      <c r="T541" s="833"/>
      <c r="U541" s="833"/>
      <c r="V541" s="833"/>
      <c r="W541" s="833"/>
      <c r="X541" s="833"/>
    </row>
    <row r="542" spans="1:24" s="813" customFormat="1" ht="39.950000000000003" hidden="1" customHeight="1" x14ac:dyDescent="0.15">
      <c r="A542" s="2081">
        <f t="shared" ca="1" si="178"/>
        <v>6</v>
      </c>
      <c r="B542" s="834" t="s">
        <v>438</v>
      </c>
      <c r="C542" s="2" t="str">
        <f>VLOOKUP($B542,[4]BOLETIM_SEL!$A:$H,2,0)</f>
        <v>COMPOSIÇÃO</v>
      </c>
      <c r="D542" s="315" t="str">
        <f>VLOOKUP($B542,[4]BOLETIM_SEL!$A:$H,4,0)</f>
        <v>Carga, manobra e descarga de materiais diversos em caminhão carroceria - carga e descaga manuais (REF. SICRO COD. 5915474)</v>
      </c>
      <c r="E542" s="2"/>
      <c r="F542" s="2" t="str">
        <f>VLOOKUP($B542,[4]BOLETIM_SEL!$A:$H,6,0)</f>
        <v>T</v>
      </c>
      <c r="G542" s="1407">
        <f>VLOOKUP($B542,[4]BOLETIM_SEL!$A:$H,7,0)</f>
        <v>28.43</v>
      </c>
      <c r="H542" s="1611">
        <f>+Recap_Previo!J123</f>
        <v>0</v>
      </c>
      <c r="I542" s="877">
        <f t="shared" si="192"/>
        <v>34.31</v>
      </c>
      <c r="J542" s="1612">
        <f t="shared" si="180"/>
        <v>0</v>
      </c>
      <c r="K542" s="2078">
        <f t="shared" ca="1" si="177"/>
        <v>0</v>
      </c>
      <c r="L542" s="1574" t="e">
        <f t="shared" si="181"/>
        <v>#DIV/0!</v>
      </c>
      <c r="M542" s="1445" t="s">
        <v>2013</v>
      </c>
      <c r="N542" s="833"/>
      <c r="O542" s="833"/>
      <c r="Q542" s="833"/>
      <c r="R542" s="833"/>
      <c r="S542" s="833"/>
      <c r="T542" s="833"/>
      <c r="U542" s="833"/>
      <c r="V542" s="833"/>
      <c r="W542" s="833"/>
      <c r="X542" s="833"/>
    </row>
    <row r="543" spans="1:24" s="813" customFormat="1" ht="24.95" hidden="1" customHeight="1" x14ac:dyDescent="0.15">
      <c r="A543" s="2081"/>
      <c r="B543" s="834"/>
      <c r="C543" s="2"/>
      <c r="D543" s="1452" t="s">
        <v>2451</v>
      </c>
      <c r="E543" s="2"/>
      <c r="F543" s="2"/>
      <c r="G543" s="1407"/>
      <c r="H543" s="2"/>
      <c r="I543" s="2"/>
      <c r="J543" s="839" t="str">
        <f>IF(J544=0,"-","")</f>
        <v>-</v>
      </c>
      <c r="K543" s="2078"/>
      <c r="L543" s="1574"/>
      <c r="M543" s="1445"/>
      <c r="N543" s="833"/>
      <c r="O543" s="833"/>
      <c r="Q543" s="833"/>
      <c r="R543" s="833"/>
      <c r="S543" s="833"/>
      <c r="T543" s="833"/>
      <c r="U543" s="833"/>
      <c r="V543" s="833"/>
      <c r="W543" s="833"/>
      <c r="X543" s="833"/>
    </row>
    <row r="544" spans="1:24" s="813" customFormat="1" ht="39.950000000000003" hidden="1" customHeight="1" x14ac:dyDescent="0.15">
      <c r="A544" s="2081">
        <f ca="1">IF(H544&gt;0,A542+0.01,A542)</f>
        <v>6</v>
      </c>
      <c r="B544" s="834">
        <f>IF(AND(M544&lt;=50,E544&lt;=30),95875,IF(AND(M544&lt;=50,E544&gt;30),93590,IF(AND(M544&gt;50,E544&lt;=30),95876,93593)))</f>
        <v>95875</v>
      </c>
      <c r="C544" s="2" t="str">
        <f>VLOOKUP($B544,[4]BOLETIM_SEL!$A:$H,2,0)</f>
        <v>SINAPI</v>
      </c>
      <c r="D544" s="315" t="str">
        <f>VLOOKUP($B544,[4]BOLETIM_SEL!$A:$H,4,0)</f>
        <v>Transporte com caminhão basculante de 10 m3, em via urbana pavimentada, DMT até 30,00 km (unidade: m3xkm). AF_07/2020</v>
      </c>
      <c r="E544" s="2">
        <f>+Dados_DMT!$B$17</f>
        <v>4</v>
      </c>
      <c r="F544" s="2" t="str">
        <f>VLOOKUP($B544,[4]BOLETIM_SEL!$A:$H,6,0)</f>
        <v>M3XKM</v>
      </c>
      <c r="G544" s="1407">
        <f>VLOOKUP($B544,[4]BOLETIM_SEL!$A:$H,7,0)</f>
        <v>2.1800000000000002</v>
      </c>
      <c r="H544" s="1611">
        <f>ROUND(Recap_Previo!J125*E544,2)</f>
        <v>0</v>
      </c>
      <c r="I544" s="877">
        <f>TRUNC(G544*(1+$J$5),2)</f>
        <v>2.63</v>
      </c>
      <c r="J544" s="1612">
        <f t="shared" si="180"/>
        <v>0</v>
      </c>
      <c r="K544" s="2078">
        <f ca="1">J544/J$967</f>
        <v>0</v>
      </c>
      <c r="L544" s="1574" t="e">
        <f t="shared" si="181"/>
        <v>#DIV/0!</v>
      </c>
      <c r="M544" s="1453">
        <f>IF(H544=0,0,H544/E544)</f>
        <v>0</v>
      </c>
      <c r="N544" s="833"/>
      <c r="O544" s="833"/>
      <c r="Q544" s="833"/>
      <c r="R544" s="833"/>
      <c r="S544" s="833"/>
      <c r="T544" s="833"/>
      <c r="U544" s="833"/>
      <c r="V544" s="833"/>
      <c r="W544" s="833"/>
      <c r="X544" s="833"/>
    </row>
    <row r="545" spans="1:24" s="813" customFormat="1" ht="24.95" hidden="1" customHeight="1" x14ac:dyDescent="0.15">
      <c r="A545" s="2081"/>
      <c r="B545" s="834"/>
      <c r="C545" s="2"/>
      <c r="D545" s="1452" t="s">
        <v>1795</v>
      </c>
      <c r="E545" s="2"/>
      <c r="F545" s="2"/>
      <c r="G545" s="1407"/>
      <c r="H545" s="2"/>
      <c r="I545" s="2"/>
      <c r="J545" s="839" t="str">
        <f>IF(J546=0,"-","")</f>
        <v>-</v>
      </c>
      <c r="K545" s="2078"/>
      <c r="L545" s="1574"/>
      <c r="M545" s="1445" t="s">
        <v>1950</v>
      </c>
      <c r="N545" s="833"/>
      <c r="O545" s="833"/>
      <c r="Q545" s="833"/>
      <c r="R545" s="833"/>
      <c r="S545" s="833"/>
      <c r="T545" s="833"/>
      <c r="U545" s="833"/>
      <c r="V545" s="833"/>
      <c r="W545" s="833"/>
      <c r="X545" s="833"/>
    </row>
    <row r="546" spans="1:24" s="813" customFormat="1" ht="39.950000000000003" hidden="1" customHeight="1" x14ac:dyDescent="0.15">
      <c r="A546" s="2081">
        <f ca="1">IF(H546&gt;0,A544+0.01,A544)</f>
        <v>6</v>
      </c>
      <c r="B546" s="834">
        <f>IF(AND(M546&lt;=50,E546&lt;=30),95878,IF(AND(M546&lt;=50,E546&gt;30),93596,IF(AND(M546&gt;50,E546&lt;=30),95879,93599)))</f>
        <v>95878</v>
      </c>
      <c r="C546" s="2" t="str">
        <f>VLOOKUP($B546,[4]BOLETIM_SEL!$A:$H,2,0)</f>
        <v>SINAPI</v>
      </c>
      <c r="D546" s="315" t="str">
        <f>VLOOKUP($B546,[4]BOLETIM_SEL!$A:$H,4,0)</f>
        <v>Transporte com caminhão basculante de 10 m3, em via urbana pavimentada, DMT até 30,00 km (unidade: txkm). AF_07/2020</v>
      </c>
      <c r="E546" s="2">
        <f>+Dados_DMT!$B$19</f>
        <v>0</v>
      </c>
      <c r="F546" s="2" t="str">
        <f>VLOOKUP($B546,[4]BOLETIM_SEL!$A:$H,6,0)</f>
        <v>TXKM</v>
      </c>
      <c r="G546" s="1407">
        <f>VLOOKUP($B546,[4]BOLETIM_SEL!$A:$H,7,0)</f>
        <v>1.47</v>
      </c>
      <c r="H546" s="1611">
        <f>ROUND(Recap_Previo!J126*E546,2)</f>
        <v>0</v>
      </c>
      <c r="I546" s="877">
        <f>TRUNC(G546*(1+$J$5),2)</f>
        <v>1.77</v>
      </c>
      <c r="J546" s="1612">
        <f>TRUNC(H546*I546,2)</f>
        <v>0</v>
      </c>
      <c r="K546" s="2078">
        <f ca="1">J546/J$967</f>
        <v>0</v>
      </c>
      <c r="L546" s="1574" t="e">
        <f t="shared" si="181"/>
        <v>#DIV/0!</v>
      </c>
      <c r="M546" s="1454">
        <f>IF(H546=0,0,H546/E546)</f>
        <v>0</v>
      </c>
      <c r="N546" s="833"/>
      <c r="O546" s="833"/>
      <c r="Q546" s="833"/>
      <c r="R546" s="833"/>
      <c r="S546" s="833"/>
      <c r="T546" s="833"/>
      <c r="U546" s="833"/>
      <c r="V546" s="833"/>
      <c r="W546" s="833"/>
      <c r="X546" s="833"/>
    </row>
    <row r="547" spans="1:24" s="813" customFormat="1" ht="24.95" hidden="1" customHeight="1" x14ac:dyDescent="0.15">
      <c r="A547" s="2081"/>
      <c r="B547" s="834"/>
      <c r="C547" s="2"/>
      <c r="D547" s="1452" t="s">
        <v>1816</v>
      </c>
      <c r="E547" s="2"/>
      <c r="F547" s="2"/>
      <c r="G547" s="1407"/>
      <c r="H547" s="2"/>
      <c r="I547" s="2"/>
      <c r="J547" s="839" t="str">
        <f>IF(J548=0,"-","")</f>
        <v>-</v>
      </c>
      <c r="K547" s="2078"/>
      <c r="L547" s="1574"/>
      <c r="M547" s="1445"/>
      <c r="N547" s="833"/>
      <c r="O547" s="833"/>
      <c r="Q547" s="833"/>
      <c r="R547" s="833"/>
      <c r="S547" s="833"/>
      <c r="T547" s="833"/>
      <c r="U547" s="833"/>
      <c r="V547" s="833"/>
      <c r="W547" s="833"/>
      <c r="X547" s="833"/>
    </row>
    <row r="548" spans="1:24" s="813" customFormat="1" ht="39.950000000000003" hidden="1" customHeight="1" x14ac:dyDescent="0.15">
      <c r="A548" s="2081">
        <f ca="1">IF(H548&gt;0,A546+0.01,A546)</f>
        <v>6</v>
      </c>
      <c r="B548" s="834">
        <f>IF(AND(M548&lt;=50,E548&lt;=30),95875,IF(AND(M548&lt;=50,E548&gt;30),93590,IF(AND(M548&gt;50,E548&lt;=30),95876,93593)))</f>
        <v>95875</v>
      </c>
      <c r="C548" s="2" t="str">
        <f>VLOOKUP($B548,[4]BOLETIM_SEL!$A:$H,2,0)</f>
        <v>SINAPI</v>
      </c>
      <c r="D548" s="315" t="str">
        <f>VLOOKUP($B548,[4]BOLETIM_SEL!$A:$H,4,0)</f>
        <v>Transporte com caminhão basculante de 10 m3, em via urbana pavimentada, DMT até 30,00 km (unidade: m3xkm). AF_07/2020</v>
      </c>
      <c r="E548" s="2">
        <f>+Dados_DMT!$B$14</f>
        <v>4</v>
      </c>
      <c r="F548" s="2" t="str">
        <f>VLOOKUP($B548,[4]BOLETIM_SEL!$A:$H,6,0)</f>
        <v>M3XKM</v>
      </c>
      <c r="G548" s="1407">
        <f>VLOOKUP($B548,[4]BOLETIM_SEL!$A:$H,7,0)</f>
        <v>2.1800000000000002</v>
      </c>
      <c r="H548" s="1611">
        <f>ROUND(Recap_Previo!J127*E548,2)</f>
        <v>0</v>
      </c>
      <c r="I548" s="877">
        <f>TRUNC(G548*(1+$J$5),2)</f>
        <v>2.63</v>
      </c>
      <c r="J548" s="1612">
        <f t="shared" si="180"/>
        <v>0</v>
      </c>
      <c r="K548" s="2078">
        <f ca="1">J548/J$967</f>
        <v>0</v>
      </c>
      <c r="L548" s="1574" t="e">
        <f t="shared" si="181"/>
        <v>#DIV/0!</v>
      </c>
      <c r="M548" s="1445"/>
      <c r="N548" s="833"/>
      <c r="O548" s="833"/>
      <c r="Q548" s="833"/>
      <c r="R548" s="833"/>
      <c r="S548" s="833"/>
      <c r="T548" s="833"/>
      <c r="U548" s="833"/>
      <c r="V548" s="833"/>
      <c r="W548" s="833"/>
      <c r="X548" s="833"/>
    </row>
    <row r="549" spans="1:24" s="813" customFormat="1" ht="24.95" hidden="1" customHeight="1" x14ac:dyDescent="0.15">
      <c r="A549" s="2081"/>
      <c r="B549" s="834"/>
      <c r="C549" s="2"/>
      <c r="D549" s="1452" t="s">
        <v>1895</v>
      </c>
      <c r="E549" s="2"/>
      <c r="F549" s="2"/>
      <c r="G549" s="1407"/>
      <c r="H549" s="2"/>
      <c r="I549" s="2"/>
      <c r="J549" s="839" t="str">
        <f>IF(J550=0,"-","")</f>
        <v>-</v>
      </c>
      <c r="K549" s="2078"/>
      <c r="L549" s="1574"/>
      <c r="M549" s="1445"/>
      <c r="N549" s="833"/>
      <c r="O549" s="833"/>
      <c r="Q549" s="833"/>
      <c r="R549" s="833"/>
      <c r="S549" s="833"/>
      <c r="T549" s="833"/>
      <c r="U549" s="833"/>
      <c r="V549" s="833"/>
      <c r="W549" s="833"/>
      <c r="X549" s="833"/>
    </row>
    <row r="550" spans="1:24" s="813" customFormat="1" ht="39.950000000000003" hidden="1" customHeight="1" x14ac:dyDescent="0.15">
      <c r="A550" s="2081">
        <f ca="1">IF(H550&gt;0,A548+0.01,A548)</f>
        <v>6</v>
      </c>
      <c r="B550" s="834">
        <f>IF(AND(M550&lt;=50,E550&lt;=30),95875,IF(AND(M550&lt;=50,E550&gt;30),93590,IF(AND(M550&gt;50,E550&lt;=30),95876,93593)))</f>
        <v>95875</v>
      </c>
      <c r="C550" s="2" t="str">
        <f>VLOOKUP($B550,[4]BOLETIM_SEL!$A:$H,2,0)</f>
        <v>SINAPI</v>
      </c>
      <c r="D550" s="315" t="str">
        <f>VLOOKUP($B550,[4]BOLETIM_SEL!$A:$H,4,0)</f>
        <v>Transporte com caminhão basculante de 10 m3, em via urbana pavimentada, DMT até 30,00 km (unidade: m3xkm). AF_07/2020</v>
      </c>
      <c r="E550" s="2">
        <f>+Dados_DMT!$B$24</f>
        <v>0</v>
      </c>
      <c r="F550" s="2" t="str">
        <f>VLOOKUP($B550,[4]BOLETIM_SEL!$A:$H,6,0)</f>
        <v>M3XKM</v>
      </c>
      <c r="G550" s="1407">
        <f>VLOOKUP($B550,[4]BOLETIM_SEL!$A:$H,7,0)</f>
        <v>2.1800000000000002</v>
      </c>
      <c r="H550" s="1611">
        <f>ROUND(Recap_Previo!J131*E550,2)</f>
        <v>0</v>
      </c>
      <c r="I550" s="877">
        <f>TRUNC(G550*(1+$J$5),2)</f>
        <v>2.63</v>
      </c>
      <c r="J550" s="1612">
        <f t="shared" si="180"/>
        <v>0</v>
      </c>
      <c r="K550" s="2078">
        <f ca="1">J550/J$967</f>
        <v>0</v>
      </c>
      <c r="L550" s="1574" t="e">
        <f t="shared" si="181"/>
        <v>#DIV/0!</v>
      </c>
      <c r="M550" s="1453">
        <f>IF(H550=0,0,H550/E550)</f>
        <v>0</v>
      </c>
      <c r="N550" s="833"/>
      <c r="O550" s="833"/>
      <c r="Q550" s="833"/>
      <c r="R550" s="833"/>
      <c r="S550" s="833"/>
      <c r="T550" s="833"/>
      <c r="U550" s="833"/>
      <c r="V550" s="833"/>
      <c r="W550" s="833"/>
      <c r="X550" s="833"/>
    </row>
    <row r="551" spans="1:24" s="813" customFormat="1" ht="24.95" hidden="1" customHeight="1" x14ac:dyDescent="0.15">
      <c r="A551" s="2081"/>
      <c r="B551" s="834"/>
      <c r="C551" s="2"/>
      <c r="D551" s="1452" t="s">
        <v>2190</v>
      </c>
      <c r="E551" s="2"/>
      <c r="F551" s="2"/>
      <c r="G551" s="1407"/>
      <c r="H551" s="2"/>
      <c r="I551" s="2"/>
      <c r="J551" s="839" t="str">
        <f>IF(J552=0,"-","")</f>
        <v>-</v>
      </c>
      <c r="K551" s="2078"/>
      <c r="L551" s="1574"/>
      <c r="M551" s="1445"/>
      <c r="N551" s="833"/>
      <c r="O551" s="833"/>
      <c r="Q551" s="833"/>
      <c r="R551" s="833"/>
      <c r="S551" s="833"/>
      <c r="T551" s="833"/>
      <c r="U551" s="833"/>
      <c r="V551" s="833"/>
      <c r="W551" s="833"/>
      <c r="X551" s="833"/>
    </row>
    <row r="552" spans="1:24" s="813" customFormat="1" ht="39.950000000000003" hidden="1" customHeight="1" x14ac:dyDescent="0.15">
      <c r="A552" s="2081">
        <f ca="1">IF(H552&gt;0,A550+0.01,A550)</f>
        <v>6</v>
      </c>
      <c r="B552" s="834">
        <f>IF(AND(M552&lt;=50,E552&lt;=30),95875,IF(AND(M552&lt;=50,E552&gt;30),93590,IF(AND(M552&gt;50,E552&lt;=30),95876,93593)))</f>
        <v>93590</v>
      </c>
      <c r="C552" s="2" t="str">
        <f>VLOOKUP($B552,[4]BOLETIM_SEL!$A:$H,2,0)</f>
        <v>SINAPI</v>
      </c>
      <c r="D552" s="315" t="str">
        <f>VLOOKUP($B552,[4]BOLETIM_SEL!$A:$H,4,0)</f>
        <v>Transporte com caminhão basculante de 10 m3, em via urbana pavimentada, adicional para DMT excedente a 30,00 km (unidade: m3xkm). AF_07/2020</v>
      </c>
      <c r="E552" s="2">
        <f>+Dados_DMT!$B$34</f>
        <v>109</v>
      </c>
      <c r="F552" s="2" t="str">
        <f>VLOOKUP($B552,[4]BOLETIM_SEL!$A:$H,6,0)</f>
        <v>M3XKM</v>
      </c>
      <c r="G552" s="1407">
        <f>VLOOKUP($B552,[4]BOLETIM_SEL!$A:$H,7,0)</f>
        <v>0.85</v>
      </c>
      <c r="H552" s="1611">
        <f>ROUND(Recap_Previo!J132*E552,2)</f>
        <v>0</v>
      </c>
      <c r="I552" s="877">
        <f>TRUNC(G552*(1+$J$5),2)</f>
        <v>1.02</v>
      </c>
      <c r="J552" s="1612">
        <f t="shared" si="180"/>
        <v>0</v>
      </c>
      <c r="K552" s="2078">
        <f ca="1">J552/J$967</f>
        <v>0</v>
      </c>
      <c r="L552" s="1574" t="e">
        <f t="shared" si="181"/>
        <v>#DIV/0!</v>
      </c>
      <c r="M552" s="1445"/>
      <c r="N552" s="833"/>
      <c r="O552" s="833"/>
      <c r="Q552" s="833"/>
      <c r="R552" s="833"/>
      <c r="S552" s="833"/>
      <c r="T552" s="833"/>
      <c r="U552" s="833"/>
      <c r="V552" s="833"/>
      <c r="W552" s="833"/>
      <c r="X552" s="833"/>
    </row>
    <row r="553" spans="1:24" s="813" customFormat="1" ht="24.95" hidden="1" customHeight="1" x14ac:dyDescent="0.15">
      <c r="A553" s="2081"/>
      <c r="B553" s="834"/>
      <c r="C553" s="2"/>
      <c r="D553" s="1452" t="s">
        <v>1896</v>
      </c>
      <c r="E553" s="2"/>
      <c r="F553" s="2"/>
      <c r="G553" s="1407"/>
      <c r="H553" s="2"/>
      <c r="I553" s="2"/>
      <c r="J553" s="839" t="str">
        <f>IF(J554=0,"-","")</f>
        <v>-</v>
      </c>
      <c r="K553" s="2078"/>
      <c r="L553" s="1574"/>
      <c r="M553" s="1445"/>
      <c r="N553" s="833"/>
      <c r="O553" s="833"/>
      <c r="Q553" s="833"/>
      <c r="R553" s="833"/>
      <c r="S553" s="833"/>
      <c r="T553" s="833"/>
      <c r="U553" s="833"/>
      <c r="V553" s="833"/>
      <c r="W553" s="833"/>
      <c r="X553" s="833"/>
    </row>
    <row r="554" spans="1:24" s="813" customFormat="1" ht="39.950000000000003" hidden="1" customHeight="1" x14ac:dyDescent="0.15">
      <c r="A554" s="2081">
        <f ca="1">IF(H554&gt;0,A552+0.01,A552)</f>
        <v>6</v>
      </c>
      <c r="B554" s="834">
        <f>IF(AND(M554&lt;=50,E554&lt;=30),95875,IF(AND(M554&lt;=50,E554&gt;30),93590,IF(AND(M554&gt;50,E554&lt;=30),95876,93593)))</f>
        <v>93590</v>
      </c>
      <c r="C554" s="2" t="str">
        <f>VLOOKUP($B554,[4]BOLETIM_SEL!$A:$H,2,0)</f>
        <v>SINAPI</v>
      </c>
      <c r="D554" s="315" t="str">
        <f>VLOOKUP($B554,[4]BOLETIM_SEL!$A:$H,4,0)</f>
        <v>Transporte com caminhão basculante de 10 m3, em via urbana pavimentada, adicional para DMT excedente a 30,00 km (unidade: m3xkm). AF_07/2020</v>
      </c>
      <c r="E554" s="2">
        <f>+Dados_DMT!$B$34</f>
        <v>109</v>
      </c>
      <c r="F554" s="2" t="str">
        <f>VLOOKUP($B554,[4]BOLETIM_SEL!$A:$H,6,0)</f>
        <v>M3XKM</v>
      </c>
      <c r="G554" s="1407">
        <f>VLOOKUP($B554,[4]BOLETIM_SEL!$A:$H,7,0)</f>
        <v>0.85</v>
      </c>
      <c r="H554" s="1611">
        <f>ROUND(Recap_Previo!J133*E554,2)</f>
        <v>0</v>
      </c>
      <c r="I554" s="877">
        <f>TRUNC(G554*(1+$J$5),2)</f>
        <v>1.02</v>
      </c>
      <c r="J554" s="1612">
        <f t="shared" si="180"/>
        <v>0</v>
      </c>
      <c r="K554" s="2078">
        <f ca="1">J554/J$967</f>
        <v>0</v>
      </c>
      <c r="L554" s="1574" t="e">
        <f t="shared" si="181"/>
        <v>#DIV/0!</v>
      </c>
      <c r="M554" s="1453">
        <f>IF(H554=0,0,H554/E554)</f>
        <v>0</v>
      </c>
      <c r="N554" s="833"/>
      <c r="O554" s="833"/>
      <c r="Q554" s="833"/>
      <c r="R554" s="833"/>
      <c r="S554" s="833"/>
      <c r="T554" s="833"/>
      <c r="U554" s="833"/>
      <c r="V554" s="833"/>
      <c r="W554" s="833"/>
      <c r="X554" s="833"/>
    </row>
    <row r="555" spans="1:24" s="813" customFormat="1" ht="24.95" hidden="1" customHeight="1" x14ac:dyDescent="0.15">
      <c r="A555" s="2081"/>
      <c r="B555" s="834"/>
      <c r="C555" s="2"/>
      <c r="D555" s="1452" t="s">
        <v>1897</v>
      </c>
      <c r="E555" s="2"/>
      <c r="F555" s="2"/>
      <c r="G555" s="1407"/>
      <c r="H555" s="2"/>
      <c r="I555" s="2"/>
      <c r="J555" s="839" t="str">
        <f>IF(J556=0,"-","")</f>
        <v>-</v>
      </c>
      <c r="K555" s="2078"/>
      <c r="L555" s="1574"/>
      <c r="M555" s="1445"/>
      <c r="N555" s="833"/>
      <c r="O555" s="833"/>
      <c r="Q555" s="833"/>
      <c r="R555" s="833"/>
      <c r="S555" s="833"/>
      <c r="T555" s="833"/>
      <c r="U555" s="833"/>
      <c r="V555" s="833"/>
      <c r="W555" s="833"/>
      <c r="X555" s="833"/>
    </row>
    <row r="556" spans="1:24" s="813" customFormat="1" ht="39.950000000000003" hidden="1" customHeight="1" x14ac:dyDescent="0.15">
      <c r="A556" s="2081">
        <f ca="1">IF(H556&gt;0,A554+0.01,A554)</f>
        <v>6</v>
      </c>
      <c r="B556" s="834">
        <f>IF(AND(M556&lt;=50,E556&lt;=30),95875,IF(AND(M556&lt;=50,E556&gt;30),93590,IF(AND(M556&gt;50,E556&lt;=30),95876,93593)))</f>
        <v>93590</v>
      </c>
      <c r="C556" s="2" t="str">
        <f>VLOOKUP($B556,[4]BOLETIM_SEL!$A:$H,2,0)</f>
        <v>SINAPI</v>
      </c>
      <c r="D556" s="315" t="str">
        <f>VLOOKUP($B556,[4]BOLETIM_SEL!$A:$H,4,0)</f>
        <v>Transporte com caminhão basculante de 10 m3, em via urbana pavimentada, adicional para DMT excedente a 30,00 km (unidade: m3xkm). AF_07/2020</v>
      </c>
      <c r="E556" s="2">
        <f>+Dados_DMT!$B$34</f>
        <v>109</v>
      </c>
      <c r="F556" s="2" t="str">
        <f>VLOOKUP($B556,[4]BOLETIM_SEL!$A:$H,6,0)</f>
        <v>M3XKM</v>
      </c>
      <c r="G556" s="1407">
        <f>VLOOKUP($B556,[4]BOLETIM_SEL!$A:$H,7,0)</f>
        <v>0.85</v>
      </c>
      <c r="H556" s="1611">
        <f>ROUND(Recap_Previo!J134*E556,2)</f>
        <v>0</v>
      </c>
      <c r="I556" s="877">
        <f>TRUNC(G556*(1+$J$5),2)</f>
        <v>1.02</v>
      </c>
      <c r="J556" s="1612">
        <f t="shared" si="180"/>
        <v>0</v>
      </c>
      <c r="K556" s="2078">
        <f ca="1">J556/J$967</f>
        <v>0</v>
      </c>
      <c r="L556" s="1574" t="e">
        <f t="shared" si="181"/>
        <v>#DIV/0!</v>
      </c>
      <c r="M556" s="1453">
        <f>IF(H556=0,0,H556/E556)</f>
        <v>0</v>
      </c>
      <c r="N556" s="833"/>
      <c r="O556" s="833"/>
      <c r="Q556" s="833"/>
      <c r="R556" s="833"/>
      <c r="S556" s="833"/>
      <c r="T556" s="833"/>
      <c r="U556" s="833"/>
      <c r="V556" s="833"/>
      <c r="W556" s="833"/>
      <c r="X556" s="833"/>
    </row>
    <row r="557" spans="1:24" s="813" customFormat="1" ht="24.95" hidden="1" customHeight="1" x14ac:dyDescent="0.15">
      <c r="A557" s="2081"/>
      <c r="B557" s="834"/>
      <c r="C557" s="2"/>
      <c r="D557" s="1452" t="s">
        <v>1902</v>
      </c>
      <c r="E557" s="2"/>
      <c r="F557" s="2"/>
      <c r="G557" s="1407"/>
      <c r="H557" s="2"/>
      <c r="I557" s="2"/>
      <c r="J557" s="839" t="str">
        <f>IF(J558=0,"-","")</f>
        <v>-</v>
      </c>
      <c r="K557" s="2078"/>
      <c r="L557" s="1574"/>
      <c r="M557" s="1445"/>
      <c r="N557" s="833"/>
      <c r="O557" s="833"/>
      <c r="Q557" s="833"/>
      <c r="R557" s="833"/>
      <c r="S557" s="833"/>
      <c r="T557" s="833"/>
      <c r="U557" s="833"/>
      <c r="V557" s="833"/>
      <c r="W557" s="833"/>
      <c r="X557" s="833"/>
    </row>
    <row r="558" spans="1:24" s="813" customFormat="1" ht="39.950000000000003" hidden="1" customHeight="1" x14ac:dyDescent="0.15">
      <c r="A558" s="2081">
        <f ca="1">IF(H558&gt;0,A556+0.01,A556)</f>
        <v>6</v>
      </c>
      <c r="B558" s="834">
        <f>IF(AND(M558&lt;=50,E558&lt;=30),95875,IF(AND(M558&lt;=50,E558&gt;30),93590,IF(AND(M558&gt;50,E558&lt;=30),95876,93593)))</f>
        <v>95875</v>
      </c>
      <c r="C558" s="2" t="str">
        <f>VLOOKUP($B558,[4]BOLETIM_SEL!$A:$H,2,0)</f>
        <v>SINAPI</v>
      </c>
      <c r="D558" s="315" t="str">
        <f>VLOOKUP($B558,[4]BOLETIM_SEL!$A:$H,4,0)</f>
        <v>Transporte com caminhão basculante de 10 m3, em via urbana pavimentada, DMT até 30,00 km (unidade: m3xkm). AF_07/2020</v>
      </c>
      <c r="E558" s="2">
        <f>+Dados_DMT!$B$33</f>
        <v>0</v>
      </c>
      <c r="F558" s="2" t="str">
        <f>VLOOKUP($B558,[4]BOLETIM_SEL!$A:$H,6,0)</f>
        <v>M3XKM</v>
      </c>
      <c r="G558" s="1407">
        <f>VLOOKUP($B558,[4]BOLETIM_SEL!$A:$H,7,0)</f>
        <v>2.1800000000000002</v>
      </c>
      <c r="H558" s="1611">
        <f>ROUND(Recap_Previo!J136*E558,2)</f>
        <v>0</v>
      </c>
      <c r="I558" s="877">
        <f>TRUNC(G558*(1+$J$5),2)</f>
        <v>2.63</v>
      </c>
      <c r="J558" s="1612">
        <f t="shared" si="180"/>
        <v>0</v>
      </c>
      <c r="K558" s="2078">
        <f ca="1">J558/J$967</f>
        <v>0</v>
      </c>
      <c r="L558" s="1574" t="e">
        <f t="shared" si="181"/>
        <v>#DIV/0!</v>
      </c>
      <c r="M558" s="1453">
        <f>IF(H558=0,0,H558/E558)</f>
        <v>0</v>
      </c>
      <c r="N558" s="833"/>
      <c r="O558" s="833"/>
      <c r="Q558" s="833"/>
      <c r="R558" s="833"/>
      <c r="S558" s="833"/>
      <c r="T558" s="833"/>
      <c r="U558" s="833"/>
      <c r="V558" s="833"/>
      <c r="W558" s="833"/>
      <c r="X558" s="833"/>
    </row>
    <row r="559" spans="1:24" s="813" customFormat="1" ht="24.95" hidden="1" customHeight="1" x14ac:dyDescent="0.15">
      <c r="A559" s="2081"/>
      <c r="B559" s="834"/>
      <c r="C559" s="2"/>
      <c r="D559" s="1452" t="s">
        <v>1901</v>
      </c>
      <c r="E559" s="2"/>
      <c r="F559" s="2"/>
      <c r="G559" s="1407"/>
      <c r="H559" s="2"/>
      <c r="I559" s="2"/>
      <c r="J559" s="839" t="str">
        <f>IF(J560=0,"-","")</f>
        <v>-</v>
      </c>
      <c r="K559" s="2078"/>
      <c r="L559" s="1574"/>
      <c r="M559" s="1445"/>
      <c r="N559" s="833"/>
      <c r="O559" s="833"/>
      <c r="Q559" s="833"/>
      <c r="R559" s="833"/>
      <c r="S559" s="833"/>
      <c r="T559" s="833"/>
      <c r="U559" s="833"/>
      <c r="V559" s="833"/>
      <c r="W559" s="833"/>
      <c r="X559" s="833"/>
    </row>
    <row r="560" spans="1:24" s="813" customFormat="1" ht="39.950000000000003" hidden="1" customHeight="1" x14ac:dyDescent="0.15">
      <c r="A560" s="2081">
        <f ca="1">IF(H560&gt;0,A558+0.01,A558)</f>
        <v>6</v>
      </c>
      <c r="B560" s="834">
        <f>IF(AND(M560&lt;=50,E560&lt;=30),95875,IF(AND(M560&lt;=50,E560&gt;30),93590,IF(AND(M560&gt;50,E560&lt;=30),95876,93593)))</f>
        <v>95875</v>
      </c>
      <c r="C560" s="2" t="str">
        <f>VLOOKUP($B560,[4]BOLETIM_SEL!$A:$H,2,0)</f>
        <v>SINAPI</v>
      </c>
      <c r="D560" s="315" t="str">
        <f>VLOOKUP($B560,[4]BOLETIM_SEL!$A:$H,4,0)</f>
        <v>Transporte com caminhão basculante de 10 m3, em via urbana pavimentada, DMT até 30,00 km (unidade: m3xkm). AF_07/2020</v>
      </c>
      <c r="E560" s="2">
        <f>+Dados_DMT!$B$32</f>
        <v>0</v>
      </c>
      <c r="F560" s="2" t="str">
        <f>VLOOKUP($B560,[4]BOLETIM_SEL!$A:$H,6,0)</f>
        <v>M3XKM</v>
      </c>
      <c r="G560" s="1407">
        <f>VLOOKUP($B560,[4]BOLETIM_SEL!$A:$H,7,0)</f>
        <v>2.1800000000000002</v>
      </c>
      <c r="H560" s="1611">
        <f>ROUND(Recap_Previo!J135*E560,2)</f>
        <v>0</v>
      </c>
      <c r="I560" s="877">
        <f>TRUNC(G560*(1+$J$5),2)</f>
        <v>2.63</v>
      </c>
      <c r="J560" s="1612">
        <f t="shared" si="180"/>
        <v>0</v>
      </c>
      <c r="K560" s="2078">
        <f ca="1">J560/J$967</f>
        <v>0</v>
      </c>
      <c r="L560" s="1574" t="e">
        <f t="shared" si="181"/>
        <v>#DIV/0!</v>
      </c>
      <c r="M560" s="1453">
        <f>IF(H560=0,0,H560/E560)</f>
        <v>0</v>
      </c>
      <c r="N560" s="833"/>
      <c r="O560" s="833"/>
      <c r="Q560" s="833"/>
      <c r="R560" s="833"/>
      <c r="S560" s="833"/>
      <c r="T560" s="833"/>
      <c r="U560" s="833"/>
      <c r="V560" s="833"/>
      <c r="W560" s="833"/>
      <c r="X560" s="833"/>
    </row>
    <row r="561" spans="1:24" s="813" customFormat="1" ht="24.95" hidden="1" customHeight="1" x14ac:dyDescent="0.15">
      <c r="A561" s="2081"/>
      <c r="B561" s="834"/>
      <c r="C561" s="2"/>
      <c r="D561" s="1452" t="s">
        <v>1904</v>
      </c>
      <c r="E561" s="2"/>
      <c r="F561" s="2"/>
      <c r="G561" s="1407"/>
      <c r="H561" s="2"/>
      <c r="I561" s="2"/>
      <c r="J561" s="839" t="str">
        <f>IF(J562=0,"-","")</f>
        <v>-</v>
      </c>
      <c r="K561" s="2078"/>
      <c r="L561" s="1574"/>
      <c r="M561" s="1445"/>
      <c r="N561" s="833"/>
      <c r="O561" s="833"/>
      <c r="Q561" s="833"/>
      <c r="R561" s="833"/>
      <c r="S561" s="833"/>
      <c r="T561" s="833"/>
      <c r="U561" s="833"/>
      <c r="V561" s="833"/>
      <c r="W561" s="833"/>
      <c r="X561" s="833"/>
    </row>
    <row r="562" spans="1:24" s="813" customFormat="1" ht="39.950000000000003" hidden="1" customHeight="1" x14ac:dyDescent="0.15">
      <c r="A562" s="2081">
        <f ca="1">IF(H562&gt;0,A560+0.01,A560)</f>
        <v>6</v>
      </c>
      <c r="B562" s="834">
        <f>IF(AND(M562&lt;=50,E562&lt;=30),95875,IF(AND(M562&lt;=50,E562&gt;30),93590,IF(AND(M562&gt;50,E562&lt;=30),95876,93593)))</f>
        <v>93590</v>
      </c>
      <c r="C562" s="2" t="str">
        <f>VLOOKUP($B562,[4]BOLETIM_SEL!$A:$H,2,0)</f>
        <v>SINAPI</v>
      </c>
      <c r="D562" s="315" t="str">
        <f>VLOOKUP($B562,[4]BOLETIM_SEL!$A:$H,4,0)</f>
        <v>Transporte com caminhão basculante de 10 m3, em via urbana pavimentada, adicional para DMT excedente a 30,00 km (unidade: m3xkm). AF_07/2020</v>
      </c>
      <c r="E562" s="2">
        <f>+Dados_DMT!$B$34</f>
        <v>109</v>
      </c>
      <c r="F562" s="2" t="str">
        <f>VLOOKUP($B562,[4]BOLETIM_SEL!$A:$H,6,0)</f>
        <v>M3XKM</v>
      </c>
      <c r="G562" s="1407">
        <f>VLOOKUP($B562,[4]BOLETIM_SEL!$A:$H,7,0)</f>
        <v>0.85</v>
      </c>
      <c r="H562" s="1611">
        <f>ROUND(Recap_Previo!J137*E562,2)</f>
        <v>0</v>
      </c>
      <c r="I562" s="877">
        <f>TRUNC(G562*(1+$J$5),2)</f>
        <v>1.02</v>
      </c>
      <c r="J562" s="1612">
        <f t="shared" si="180"/>
        <v>0</v>
      </c>
      <c r="K562" s="2078">
        <f ca="1">J562/J$967</f>
        <v>0</v>
      </c>
      <c r="L562" s="1574" t="e">
        <f t="shared" si="181"/>
        <v>#DIV/0!</v>
      </c>
      <c r="M562" s="1453">
        <f>IF(H562=0,0,H562/E562)</f>
        <v>0</v>
      </c>
      <c r="N562" s="833"/>
      <c r="O562" s="833"/>
      <c r="Q562" s="833"/>
      <c r="R562" s="833"/>
      <c r="S562" s="833"/>
      <c r="T562" s="833"/>
      <c r="U562" s="833"/>
      <c r="V562" s="833"/>
      <c r="W562" s="833"/>
      <c r="X562" s="833"/>
    </row>
    <row r="563" spans="1:24" s="813" customFormat="1" ht="24.95" hidden="1" customHeight="1" x14ac:dyDescent="0.15">
      <c r="A563" s="2081"/>
      <c r="B563" s="834"/>
      <c r="C563" s="2"/>
      <c r="D563" s="1452" t="s">
        <v>1764</v>
      </c>
      <c r="E563" s="2"/>
      <c r="F563" s="2"/>
      <c r="G563" s="1407"/>
      <c r="H563" s="2"/>
      <c r="I563" s="2"/>
      <c r="J563" s="839" t="str">
        <f>IF(J564=0,"-","")</f>
        <v>-</v>
      </c>
      <c r="K563" s="2078"/>
      <c r="L563" s="1574"/>
      <c r="M563" s="1445"/>
      <c r="N563" s="833"/>
      <c r="O563" s="833"/>
      <c r="Q563" s="833"/>
      <c r="R563" s="833"/>
      <c r="S563" s="833"/>
      <c r="T563" s="833"/>
      <c r="U563" s="833"/>
      <c r="V563" s="833"/>
      <c r="W563" s="833"/>
      <c r="X563" s="833"/>
    </row>
    <row r="564" spans="1:24" s="813" customFormat="1" ht="39.950000000000003" hidden="1" customHeight="1" x14ac:dyDescent="0.15">
      <c r="A564" s="2081">
        <f ca="1">IF(H564&gt;0,A562+0.01,A562)</f>
        <v>6</v>
      </c>
      <c r="B564" s="834">
        <f>IF(AND(M564&lt;=50,E564&lt;=30),95875,IF(AND(M564&lt;=50,E564&gt;30),93590,IF(AND(M564&gt;50,E564&lt;=30),95876,93593)))</f>
        <v>95875</v>
      </c>
      <c r="C564" s="2" t="str">
        <f>VLOOKUP($B564,[4]BOLETIM_SEL!$A:$H,2,0)</f>
        <v>SINAPI</v>
      </c>
      <c r="D564" s="315" t="str">
        <f>VLOOKUP($B564,[4]BOLETIM_SEL!$A:$H,4,0)</f>
        <v>Transporte com caminhão basculante de 10 m3, em via urbana pavimentada, DMT até 30,00 km (unidade: m3xkm). AF_07/2020</v>
      </c>
      <c r="E564" s="2">
        <f>+Dados_DMT!$B$23</f>
        <v>0</v>
      </c>
      <c r="F564" s="2" t="str">
        <f>VLOOKUP($B564,[4]BOLETIM_SEL!$A:$H,6,0)</f>
        <v>M3XKM</v>
      </c>
      <c r="G564" s="1407">
        <f>VLOOKUP($B564,[4]BOLETIM_SEL!$A:$H,7,0)</f>
        <v>2.1800000000000002</v>
      </c>
      <c r="H564" s="1611">
        <f>ROUND(Recap_Previo!J130*E564,2)</f>
        <v>0</v>
      </c>
      <c r="I564" s="877">
        <f>TRUNC(G564*(1+$J$5),2)</f>
        <v>2.63</v>
      </c>
      <c r="J564" s="1612">
        <f t="shared" si="180"/>
        <v>0</v>
      </c>
      <c r="K564" s="2078">
        <f ca="1">J564/J$967</f>
        <v>0</v>
      </c>
      <c r="L564" s="1574" t="e">
        <f t="shared" si="181"/>
        <v>#DIV/0!</v>
      </c>
      <c r="M564" s="1453">
        <f>IF(H564=0,0,H564/E564)</f>
        <v>0</v>
      </c>
      <c r="N564" s="833"/>
      <c r="O564" s="833"/>
      <c r="Q564" s="833"/>
      <c r="R564" s="833"/>
      <c r="S564" s="833"/>
      <c r="T564" s="833"/>
      <c r="U564" s="833"/>
      <c r="V564" s="833"/>
      <c r="W564" s="833"/>
      <c r="X564" s="833"/>
    </row>
    <row r="565" spans="1:24" s="813" customFormat="1" ht="24.95" hidden="1" customHeight="1" x14ac:dyDescent="0.15">
      <c r="A565" s="2081"/>
      <c r="B565" s="834"/>
      <c r="C565" s="2"/>
      <c r="D565" s="1452" t="s">
        <v>1765</v>
      </c>
      <c r="E565" s="2"/>
      <c r="F565" s="2"/>
      <c r="G565" s="1407"/>
      <c r="H565" s="2"/>
      <c r="I565" s="2"/>
      <c r="J565" s="839" t="str">
        <f>IF(J566=0,"-","")</f>
        <v>-</v>
      </c>
      <c r="K565" s="2078"/>
      <c r="L565" s="1574"/>
      <c r="M565" s="1445"/>
      <c r="N565" s="833"/>
      <c r="O565" s="833"/>
      <c r="Q565" s="833"/>
      <c r="R565" s="833"/>
      <c r="S565" s="833"/>
      <c r="T565" s="833"/>
      <c r="U565" s="833"/>
      <c r="V565" s="833"/>
      <c r="W565" s="833"/>
      <c r="X565" s="833"/>
    </row>
    <row r="566" spans="1:24" s="813" customFormat="1" ht="39.950000000000003" hidden="1" customHeight="1" x14ac:dyDescent="0.15">
      <c r="A566" s="2081">
        <f ca="1">IF(H566&gt;0,A564+0.01,A564)</f>
        <v>6</v>
      </c>
      <c r="B566" s="834">
        <f>IF(AND(M566&lt;=50,E566&lt;=30),95875,IF(AND(M566&lt;=50,E566&gt;30),93590,IF(AND(M566&gt;50,E566&lt;=30),95876,93593)))</f>
        <v>95875</v>
      </c>
      <c r="C566" s="2" t="str">
        <f>VLOOKUP($B566,[4]BOLETIM_SEL!$A:$H,2,0)</f>
        <v>SINAPI</v>
      </c>
      <c r="D566" s="315" t="str">
        <f>VLOOKUP($B566,[4]BOLETIM_SEL!$A:$H,4,0)</f>
        <v>Transporte com caminhão basculante de 10 m3, em via urbana pavimentada, DMT até 30,00 km (unidade: m3xkm). AF_07/2020</v>
      </c>
      <c r="E566" s="2">
        <f>+Dados_DMT!$B$22</f>
        <v>0</v>
      </c>
      <c r="F566" s="2" t="str">
        <f>VLOOKUP($B566,[4]BOLETIM_SEL!$A:$H,6,0)</f>
        <v>M3XKM</v>
      </c>
      <c r="G566" s="1407">
        <f>VLOOKUP($B566,[4]BOLETIM_SEL!$A:$H,7,0)</f>
        <v>2.1800000000000002</v>
      </c>
      <c r="H566" s="1611">
        <f>ROUND(Recap_Previo!J129*E566,2)</f>
        <v>0</v>
      </c>
      <c r="I566" s="877">
        <f>TRUNC(G566*(1+$J$5),2)</f>
        <v>2.63</v>
      </c>
      <c r="J566" s="1612">
        <f t="shared" si="180"/>
        <v>0</v>
      </c>
      <c r="K566" s="2078">
        <f ca="1">J566/J$967</f>
        <v>0</v>
      </c>
      <c r="L566" s="1574" t="e">
        <f t="shared" si="181"/>
        <v>#DIV/0!</v>
      </c>
      <c r="M566" s="1453">
        <f>IF(H566=0,0,H566/E566)</f>
        <v>0</v>
      </c>
      <c r="N566" s="833"/>
      <c r="O566" s="833"/>
      <c r="Q566" s="833"/>
      <c r="R566" s="833"/>
      <c r="S566" s="833"/>
      <c r="T566" s="833"/>
      <c r="U566" s="833"/>
      <c r="V566" s="833"/>
      <c r="W566" s="833"/>
      <c r="X566" s="833"/>
    </row>
    <row r="567" spans="1:24" s="813" customFormat="1" ht="24.95" hidden="1" customHeight="1" x14ac:dyDescent="0.15">
      <c r="A567" s="2081"/>
      <c r="B567" s="834"/>
      <c r="C567" s="2"/>
      <c r="D567" s="1452" t="s">
        <v>1779</v>
      </c>
      <c r="E567" s="2"/>
      <c r="F567" s="2"/>
      <c r="G567" s="1407"/>
      <c r="H567" s="2"/>
      <c r="I567" s="2"/>
      <c r="J567" s="839" t="str">
        <f>IF(J568=0,"-","")</f>
        <v>-</v>
      </c>
      <c r="K567" s="2078"/>
      <c r="L567" s="1574"/>
      <c r="M567" s="1445"/>
      <c r="N567" s="833"/>
      <c r="O567" s="833"/>
      <c r="Q567" s="833"/>
      <c r="R567" s="833"/>
      <c r="S567" s="833"/>
      <c r="T567" s="833"/>
      <c r="U567" s="833"/>
      <c r="V567" s="833"/>
      <c r="W567" s="833"/>
      <c r="X567" s="833"/>
    </row>
    <row r="568" spans="1:24" s="813" customFormat="1" ht="30" hidden="1" customHeight="1" x14ac:dyDescent="0.15">
      <c r="A568" s="2081">
        <f ca="1">IF(H568&gt;0,A566+0.01,A566)</f>
        <v>6</v>
      </c>
      <c r="B568" s="834">
        <v>100947</v>
      </c>
      <c r="C568" s="2" t="str">
        <f>VLOOKUP($B568,[4]BOLETIM_SEL!$A:$H,2,0)</f>
        <v>SINAPI</v>
      </c>
      <c r="D568" s="315" t="str">
        <f>VLOOKUP($B568,[4]BOLETIM_SEL!$A:$H,4,0)</f>
        <v>Transporte com caminhão carroceria 9t, em via urbana pavimentada, DMT até 30,00 km (unidade: txkm). AF_07/2020</v>
      </c>
      <c r="E568" s="2">
        <f>+Dados_DMT!$B$35</f>
        <v>0</v>
      </c>
      <c r="F568" s="2" t="str">
        <f>VLOOKUP($B568,[4]BOLETIM_SEL!$A:$H,6,0)</f>
        <v>TXKM</v>
      </c>
      <c r="G568" s="1407">
        <f>VLOOKUP($B568,[4]BOLETIM_SEL!$A:$H,7,0)</f>
        <v>1.96</v>
      </c>
      <c r="H568" s="1611">
        <f>ROUND(Recap_Previo!J128*E568,2)</f>
        <v>0</v>
      </c>
      <c r="I568" s="877">
        <f>TRUNC(G568*(1+$J$5),2)</f>
        <v>2.36</v>
      </c>
      <c r="J568" s="1612">
        <f t="shared" si="180"/>
        <v>0</v>
      </c>
      <c r="K568" s="2078">
        <f ca="1">J568/J$967</f>
        <v>0</v>
      </c>
      <c r="L568" s="1574" t="e">
        <f t="shared" si="181"/>
        <v>#DIV/0!</v>
      </c>
      <c r="M568" s="1445"/>
      <c r="N568" s="833"/>
      <c r="O568" s="833"/>
      <c r="Q568" s="833"/>
      <c r="R568" s="833"/>
      <c r="S568" s="833"/>
      <c r="T568" s="833"/>
      <c r="U568" s="833"/>
      <c r="V568" s="833"/>
      <c r="W568" s="833"/>
      <c r="X568" s="833"/>
    </row>
    <row r="569" spans="1:24" s="813" customFormat="1" ht="24.95" hidden="1" customHeight="1" x14ac:dyDescent="0.15">
      <c r="A569" s="2081"/>
      <c r="B569" s="834"/>
      <c r="C569" s="2"/>
      <c r="D569" s="1452" t="s">
        <v>1762</v>
      </c>
      <c r="E569" s="2"/>
      <c r="F569" s="2"/>
      <c r="G569" s="1407"/>
      <c r="H569" s="2"/>
      <c r="I569" s="2"/>
      <c r="J569" s="839" t="str">
        <f>IF(J570=0,"-","")</f>
        <v>-</v>
      </c>
      <c r="K569" s="2078"/>
      <c r="L569" s="1574"/>
      <c r="M569" s="1445"/>
      <c r="N569" s="833"/>
      <c r="O569" s="833"/>
      <c r="Q569" s="833"/>
      <c r="R569" s="833"/>
      <c r="S569" s="833"/>
      <c r="T569" s="833"/>
      <c r="U569" s="833"/>
      <c r="V569" s="833"/>
      <c r="W569" s="833"/>
      <c r="X569" s="833"/>
    </row>
    <row r="570" spans="1:24" s="813" customFormat="1" ht="39.950000000000003" hidden="1" customHeight="1" x14ac:dyDescent="0.15">
      <c r="A570" s="2081">
        <f ca="1">IF(H570&gt;0,A568+0.01,A568)</f>
        <v>6</v>
      </c>
      <c r="B570" s="834">
        <f>IF(AND(M570&lt;=50,E570&lt;=30),95875,IF(AND(M570&lt;=50,E570&gt;30),93590,IF(AND(M570&gt;50,E570&lt;=30),95876,93593)))</f>
        <v>95875</v>
      </c>
      <c r="C570" s="2" t="str">
        <f>VLOOKUP($B570,[4]BOLETIM_SEL!$A:$H,2,0)</f>
        <v>SINAPI</v>
      </c>
      <c r="D570" s="315" t="str">
        <f>VLOOKUP($B570,[4]BOLETIM_SEL!$A:$H,4,0)</f>
        <v>Transporte com caminhão basculante de 10 m3, em via urbana pavimentada, DMT até 30,00 km (unidade: m3xkm). AF_07/2020</v>
      </c>
      <c r="E570" s="2">
        <f>+Dados_DMT!$B$31</f>
        <v>0</v>
      </c>
      <c r="F570" s="2" t="str">
        <f>VLOOKUP($B570,[4]BOLETIM_SEL!$A:$H,6,0)</f>
        <v>M3XKM</v>
      </c>
      <c r="G570" s="1407">
        <f>VLOOKUP($B570,[4]BOLETIM_SEL!$A:$H,7,0)</f>
        <v>2.1800000000000002</v>
      </c>
      <c r="H570" s="1611">
        <f>ROUND(Recap_Previo!J143*E570,2)</f>
        <v>0</v>
      </c>
      <c r="I570" s="877">
        <f>TRUNC(G570*(1+$J$5),2)</f>
        <v>2.63</v>
      </c>
      <c r="J570" s="1612">
        <f t="shared" si="180"/>
        <v>0</v>
      </c>
      <c r="K570" s="2078">
        <f ca="1">J570/J$967</f>
        <v>0</v>
      </c>
      <c r="L570" s="1574" t="e">
        <f t="shared" si="181"/>
        <v>#DIV/0!</v>
      </c>
      <c r="M570" s="1453">
        <f>IF(H570=0,0,H570/E570)</f>
        <v>0</v>
      </c>
      <c r="N570" s="833"/>
      <c r="O570" s="833"/>
      <c r="Q570" s="833"/>
      <c r="R570" s="833"/>
      <c r="S570" s="833"/>
      <c r="T570" s="833"/>
      <c r="U570" s="833"/>
      <c r="V570" s="833"/>
      <c r="W570" s="833"/>
      <c r="X570" s="833"/>
    </row>
    <row r="571" spans="1:24" s="813" customFormat="1" ht="24.95" hidden="1" customHeight="1" x14ac:dyDescent="0.15">
      <c r="A571" s="2081"/>
      <c r="B571" s="834"/>
      <c r="C571" s="2"/>
      <c r="D571" s="1452" t="s">
        <v>1763</v>
      </c>
      <c r="E571" s="2"/>
      <c r="F571" s="2"/>
      <c r="G571" s="1407"/>
      <c r="H571" s="2"/>
      <c r="I571" s="2"/>
      <c r="J571" s="839" t="str">
        <f>IF(J572=0,"-","")</f>
        <v>-</v>
      </c>
      <c r="K571" s="2078"/>
      <c r="L571" s="1574"/>
      <c r="M571" s="1445"/>
      <c r="N571" s="833"/>
      <c r="O571" s="833"/>
      <c r="Q571" s="833"/>
      <c r="R571" s="833"/>
      <c r="S571" s="833"/>
      <c r="T571" s="833"/>
      <c r="U571" s="833"/>
      <c r="V571" s="833"/>
      <c r="W571" s="833"/>
      <c r="X571" s="833"/>
    </row>
    <row r="572" spans="1:24" s="813" customFormat="1" ht="39.950000000000003" hidden="1" customHeight="1" x14ac:dyDescent="0.15">
      <c r="A572" s="2081">
        <f ca="1">IF(H572&gt;0,A570+0.01,A570)</f>
        <v>6</v>
      </c>
      <c r="B572" s="834">
        <f>IF(AND(M572&lt;=50,E572&lt;=30),95878,IF(AND(M572&lt;=50,E572&gt;30),93596,IF(AND(M572&gt;50,E572&lt;=30),95879,93599)))</f>
        <v>93596</v>
      </c>
      <c r="C572" s="2" t="str">
        <f>VLOOKUP($B572,[4]BOLETIM_SEL!$A:$H,2,0)</f>
        <v>SINAPI</v>
      </c>
      <c r="D572" s="315" t="str">
        <f>VLOOKUP($B572,[4]BOLETIM_SEL!$A:$H,4,0)</f>
        <v>Transporte com caminhão basculante de 10 m3, em via urbana pavimentada, adicional para DMT excedente a 30,00 km (unidade: txkm). AF_07/2020</v>
      </c>
      <c r="E572" s="2">
        <f>+Dados_DMT!$B$30</f>
        <v>109</v>
      </c>
      <c r="F572" s="2" t="str">
        <f>VLOOKUP($B572,[4]BOLETIM_SEL!$A:$H,6,0)</f>
        <v>TXKM</v>
      </c>
      <c r="G572" s="1407">
        <f>VLOOKUP($B572,[4]BOLETIM_SEL!$A:$H,7,0)</f>
        <v>0.56999999999999995</v>
      </c>
      <c r="H572" s="1611">
        <f>ROUND(Recap_Previo!J142*E572,2)</f>
        <v>0</v>
      </c>
      <c r="I572" s="877">
        <f>TRUNC(G572*(1+$J$5),2)</f>
        <v>0.68</v>
      </c>
      <c r="J572" s="1612">
        <f t="shared" si="180"/>
        <v>0</v>
      </c>
      <c r="K572" s="2078">
        <f ca="1">J572/J$967</f>
        <v>0</v>
      </c>
      <c r="L572" s="1574" t="e">
        <f t="shared" si="181"/>
        <v>#DIV/0!</v>
      </c>
      <c r="M572" s="1454">
        <f>IF(H572=0,0,H572/E572)</f>
        <v>0</v>
      </c>
      <c r="N572" s="833"/>
      <c r="O572" s="833"/>
      <c r="Q572" s="833"/>
      <c r="R572" s="833"/>
      <c r="S572" s="833"/>
      <c r="T572" s="833"/>
      <c r="U572" s="833"/>
      <c r="V572" s="833"/>
      <c r="W572" s="833"/>
      <c r="X572" s="833"/>
    </row>
    <row r="573" spans="1:24" s="813" customFormat="1" ht="24.95" hidden="1" customHeight="1" x14ac:dyDescent="0.15">
      <c r="A573" s="2081"/>
      <c r="B573" s="834"/>
      <c r="C573" s="2"/>
      <c r="D573" s="1452" t="s">
        <v>1760</v>
      </c>
      <c r="E573" s="2"/>
      <c r="F573" s="2"/>
      <c r="G573" s="1407"/>
      <c r="H573" s="2"/>
      <c r="I573" s="2"/>
      <c r="J573" s="839" t="str">
        <f>IF(J574=0,"-","")</f>
        <v>-</v>
      </c>
      <c r="K573" s="2078"/>
      <c r="L573" s="1574"/>
      <c r="M573" s="1445"/>
      <c r="N573" s="833"/>
      <c r="O573" s="833"/>
      <c r="Q573" s="833"/>
      <c r="R573" s="833"/>
      <c r="S573" s="833"/>
      <c r="T573" s="833"/>
      <c r="U573" s="833"/>
      <c r="V573" s="833"/>
      <c r="W573" s="833"/>
      <c r="X573" s="833"/>
    </row>
    <row r="574" spans="1:24" s="813" customFormat="1" ht="39.950000000000003" hidden="1" customHeight="1" x14ac:dyDescent="0.15">
      <c r="A574" s="2081">
        <f ca="1">IF(H574&gt;0,A572+0.01,A572)</f>
        <v>6</v>
      </c>
      <c r="B574" s="834">
        <v>102332</v>
      </c>
      <c r="C574" s="2" t="str">
        <f>VLOOKUP($B574,[4]BOLETIM_SEL!$A:$H,2,0)</f>
        <v>SINAPI</v>
      </c>
      <c r="D574" s="315" t="str">
        <f>VLOOKUP($B574,[4]BOLETIM_SEL!$A:$H,4,0)</f>
        <v>Transporte com caminhão tanque de transporte de material asfáltico de 20.000 l, em via urbana pavimentada, DMT até 30,00 km (unidade: txkm). AF_07/2020</v>
      </c>
      <c r="E574" s="2">
        <f>+Dados_DMT!$B$25</f>
        <v>109</v>
      </c>
      <c r="F574" s="2" t="str">
        <f>VLOOKUP($B574,[4]BOLETIM_SEL!$A:$H,6,0)</f>
        <v>TXKM</v>
      </c>
      <c r="G574" s="1407">
        <f>VLOOKUP($B574,[4]BOLETIM_SEL!$A:$H,7,0)</f>
        <v>1.63</v>
      </c>
      <c r="H574" s="1611">
        <f>IF(B532="PA/0025",0,ROUND(Recap_Previo!J139*E574,2))</f>
        <v>0</v>
      </c>
      <c r="I574" s="877">
        <f>TRUNC(G574*(1+$J$5),2)</f>
        <v>1.96</v>
      </c>
      <c r="J574" s="1612">
        <f t="shared" si="180"/>
        <v>0</v>
      </c>
      <c r="K574" s="2078">
        <f ca="1">J574/J$967</f>
        <v>0</v>
      </c>
      <c r="L574" s="1574" t="e">
        <f t="shared" si="181"/>
        <v>#DIV/0!</v>
      </c>
      <c r="M574" s="1454">
        <f>IF(H574=0,0,H574/E574)</f>
        <v>0</v>
      </c>
      <c r="N574" s="833"/>
      <c r="O574" s="833"/>
      <c r="Q574" s="833"/>
      <c r="R574" s="833"/>
      <c r="S574" s="833"/>
      <c r="T574" s="833"/>
      <c r="U574" s="833"/>
      <c r="V574" s="833"/>
      <c r="W574" s="833"/>
      <c r="X574" s="833"/>
    </row>
    <row r="575" spans="1:24" s="813" customFormat="1" ht="24.95" hidden="1" customHeight="1" x14ac:dyDescent="0.15">
      <c r="A575" s="2081"/>
      <c r="B575" s="834"/>
      <c r="C575" s="2"/>
      <c r="D575" s="1452" t="s">
        <v>1759</v>
      </c>
      <c r="E575" s="2"/>
      <c r="F575" s="2"/>
      <c r="G575" s="1407"/>
      <c r="H575" s="2"/>
      <c r="I575" s="2"/>
      <c r="J575" s="839" t="str">
        <f>IF(J576=0,"-","")</f>
        <v>-</v>
      </c>
      <c r="K575" s="2078"/>
      <c r="L575" s="1574"/>
      <c r="M575" s="1445"/>
      <c r="N575" s="833"/>
      <c r="O575" s="833"/>
      <c r="Q575" s="833"/>
      <c r="R575" s="833"/>
      <c r="S575" s="833"/>
      <c r="T575" s="833"/>
      <c r="U575" s="833"/>
      <c r="V575" s="833"/>
      <c r="W575" s="833"/>
      <c r="X575" s="833"/>
    </row>
    <row r="576" spans="1:24" s="813" customFormat="1" ht="39.950000000000003" hidden="1" customHeight="1" x14ac:dyDescent="0.15">
      <c r="A576" s="2081">
        <f ca="1">IF(H576&gt;0,A574+0.01,A574)</f>
        <v>6</v>
      </c>
      <c r="B576" s="834">
        <v>102332</v>
      </c>
      <c r="C576" s="2" t="str">
        <f>VLOOKUP($B576,[4]BOLETIM_SEL!$A:$H,2,0)</f>
        <v>SINAPI</v>
      </c>
      <c r="D576" s="315" t="str">
        <f>VLOOKUP($B576,[4]BOLETIM_SEL!$A:$H,4,0)</f>
        <v>Transporte com caminhão tanque de transporte de material asfáltico de 20.000 l, em via urbana pavimentada, DMT até 30,00 km (unidade: txkm). AF_07/2020</v>
      </c>
      <c r="E576" s="2">
        <f>+Dados_DMT!$B$25</f>
        <v>109</v>
      </c>
      <c r="F576" s="2" t="str">
        <f>VLOOKUP($B576,[4]BOLETIM_SEL!$A:$H,6,0)</f>
        <v>TXKM</v>
      </c>
      <c r="G576" s="1407">
        <f>VLOOKUP($B576,[4]BOLETIM_SEL!$A:$H,7,0)</f>
        <v>1.63</v>
      </c>
      <c r="H576" s="1611">
        <f>IF(B532="PA/0025",ROUND(Recap_Previo!J139*E576,2),0)+ROUND(Recap_Previo!J140*E576,2)</f>
        <v>0</v>
      </c>
      <c r="I576" s="877">
        <f>TRUNC(G576*(1+$J$5),2)</f>
        <v>1.96</v>
      </c>
      <c r="J576" s="1612">
        <f t="shared" si="180"/>
        <v>0</v>
      </c>
      <c r="K576" s="2078">
        <f ca="1">J576/J$967</f>
        <v>0</v>
      </c>
      <c r="L576" s="1574" t="e">
        <f>J576/$J$506</f>
        <v>#DIV/0!</v>
      </c>
      <c r="M576" s="1454">
        <f>IF(H576=0,0,H576/E576)</f>
        <v>0</v>
      </c>
      <c r="N576" s="833"/>
      <c r="O576" s="833"/>
      <c r="Q576" s="833"/>
      <c r="R576" s="833"/>
      <c r="S576" s="833"/>
      <c r="T576" s="833"/>
      <c r="U576" s="833"/>
      <c r="V576" s="833"/>
      <c r="W576" s="833"/>
      <c r="X576" s="833"/>
    </row>
    <row r="577" spans="1:24" s="813" customFormat="1" ht="24.95" hidden="1" customHeight="1" x14ac:dyDescent="0.15">
      <c r="A577" s="2081"/>
      <c r="B577" s="834"/>
      <c r="C577" s="2"/>
      <c r="D577" s="1452" t="s">
        <v>1794</v>
      </c>
      <c r="E577" s="2"/>
      <c r="F577" s="2"/>
      <c r="G577" s="1407"/>
      <c r="H577" s="2"/>
      <c r="I577" s="2"/>
      <c r="J577" s="839" t="str">
        <f>IF(J578=0,"-","")</f>
        <v>-</v>
      </c>
      <c r="K577" s="2078"/>
      <c r="L577" s="1574"/>
      <c r="M577" s="1445"/>
      <c r="N577" s="833"/>
      <c r="O577" s="833"/>
      <c r="Q577" s="833"/>
      <c r="R577" s="833"/>
      <c r="S577" s="833"/>
      <c r="T577" s="833"/>
      <c r="U577" s="833"/>
      <c r="V577" s="833"/>
      <c r="W577" s="833"/>
      <c r="X577" s="833"/>
    </row>
    <row r="578" spans="1:24" s="813" customFormat="1" ht="39.950000000000003" hidden="1" customHeight="1" x14ac:dyDescent="0.15">
      <c r="A578" s="2081">
        <f ca="1">IF(H578&gt;0,A576+0.01,A576)</f>
        <v>6</v>
      </c>
      <c r="B578" s="834">
        <v>102332</v>
      </c>
      <c r="C578" s="2" t="str">
        <f>VLOOKUP($B578,[4]BOLETIM_SEL!$A:$H,2,0)</f>
        <v>SINAPI</v>
      </c>
      <c r="D578" s="315" t="str">
        <f>VLOOKUP($B578,[4]BOLETIM_SEL!$A:$H,4,0)</f>
        <v>Transporte com caminhão tanque de transporte de material asfáltico de 20.000 l, em via urbana pavimentada, DMT até 30,00 km (unidade: txkm). AF_07/2020</v>
      </c>
      <c r="E578" s="2">
        <f>+Dados_DMT!$B$26</f>
        <v>0</v>
      </c>
      <c r="F578" s="2" t="str">
        <f>VLOOKUP($B578,[4]BOLETIM_SEL!$A:$H,6,0)</f>
        <v>TXKM</v>
      </c>
      <c r="G578" s="1407">
        <f>VLOOKUP($B578,[4]BOLETIM_SEL!$A:$H,7,0)</f>
        <v>1.63</v>
      </c>
      <c r="H578" s="1611">
        <f>ROUND(Recap_Previo!J141*E578,2)</f>
        <v>0</v>
      </c>
      <c r="I578" s="877">
        <f>TRUNC(G578*(1+$J$5),2)</f>
        <v>1.96</v>
      </c>
      <c r="J578" s="1612">
        <f>TRUNC(H578*I578,2)</f>
        <v>0</v>
      </c>
      <c r="K578" s="2078">
        <f ca="1">J578/J$967</f>
        <v>0</v>
      </c>
      <c r="L578" s="1574" t="e">
        <f>J578/$J$506</f>
        <v>#DIV/0!</v>
      </c>
      <c r="M578" s="1454">
        <f>IF(H578=0,0,H578/E578)</f>
        <v>0</v>
      </c>
      <c r="N578" s="833"/>
      <c r="O578" s="833"/>
      <c r="Q578" s="833"/>
      <c r="R578" s="833"/>
      <c r="S578" s="833"/>
      <c r="T578" s="833"/>
      <c r="U578" s="833"/>
      <c r="V578" s="833"/>
      <c r="W578" s="833"/>
      <c r="X578" s="833"/>
    </row>
    <row r="579" spans="1:24" s="813" customFormat="1" ht="24.95" hidden="1" customHeight="1" x14ac:dyDescent="0.15">
      <c r="A579" s="2081"/>
      <c r="B579" s="834"/>
      <c r="C579" s="2"/>
      <c r="D579" s="1452" t="s">
        <v>1761</v>
      </c>
      <c r="E579" s="2"/>
      <c r="F579" s="2"/>
      <c r="G579" s="1407"/>
      <c r="H579" s="2"/>
      <c r="I579" s="2"/>
      <c r="J579" s="839" t="str">
        <f>IF(J580=0,"-","")</f>
        <v>-</v>
      </c>
      <c r="K579" s="2078"/>
      <c r="L579" s="1574"/>
      <c r="M579" s="1445"/>
      <c r="N579" s="833"/>
      <c r="O579" s="833"/>
      <c r="Q579" s="833"/>
      <c r="R579" s="833"/>
      <c r="S579" s="833"/>
      <c r="T579" s="833"/>
      <c r="U579" s="833"/>
      <c r="V579" s="833"/>
      <c r="W579" s="833"/>
      <c r="X579" s="833"/>
    </row>
    <row r="580" spans="1:24" s="813" customFormat="1" ht="39.950000000000003" hidden="1" customHeight="1" x14ac:dyDescent="0.15">
      <c r="A580" s="2081">
        <f ca="1">IF(H580&gt;0,A578+0.01,A578)</f>
        <v>6</v>
      </c>
      <c r="B580" s="834">
        <v>102332</v>
      </c>
      <c r="C580" s="2" t="str">
        <f>VLOOKUP($B580,[4]BOLETIM_SEL!$A:$H,2,0)</f>
        <v>SINAPI</v>
      </c>
      <c r="D580" s="315" t="str">
        <f>VLOOKUP($B580,[4]BOLETIM_SEL!$A:$H,4,0)</f>
        <v>Transporte com caminhão tanque de transporte de material asfáltico de 20.000 l, em via urbana pavimentada, DMT até 30,00 km (unidade: txkm). AF_07/2020</v>
      </c>
      <c r="E580" s="2">
        <f>+Dados_DMT!$B$27</f>
        <v>0</v>
      </c>
      <c r="F580" s="2" t="str">
        <f>VLOOKUP($B580,[4]BOLETIM_SEL!$A:$H,6,0)</f>
        <v>TXKM</v>
      </c>
      <c r="G580" s="1407">
        <f>VLOOKUP($B580,[4]BOLETIM_SEL!$A:$H,7,0)</f>
        <v>1.63</v>
      </c>
      <c r="H580" s="1611">
        <f>ROUND(Recap_Previo!J138*E580,2)</f>
        <v>0</v>
      </c>
      <c r="I580" s="877">
        <f>TRUNC(G580*(1+$J$5),2)</f>
        <v>1.96</v>
      </c>
      <c r="J580" s="1612">
        <f>TRUNC(H580*I580,2)</f>
        <v>0</v>
      </c>
      <c r="K580" s="2078">
        <f ca="1">J580/J$967</f>
        <v>0</v>
      </c>
      <c r="L580" s="1574" t="e">
        <f>J580/$J$506</f>
        <v>#DIV/0!</v>
      </c>
      <c r="M580" s="1454">
        <f>IF(H580=0,0,H580/E580)</f>
        <v>0</v>
      </c>
      <c r="N580" s="833"/>
      <c r="O580" s="833"/>
      <c r="Q580" s="833"/>
      <c r="R580" s="833"/>
      <c r="S580" s="833"/>
      <c r="T580" s="833"/>
      <c r="U580" s="833"/>
      <c r="V580" s="833"/>
      <c r="W580" s="833"/>
      <c r="X580" s="833"/>
    </row>
    <row r="581" spans="1:24" s="813" customFormat="1" ht="24.95" hidden="1" customHeight="1" x14ac:dyDescent="0.15">
      <c r="A581" s="2081"/>
      <c r="B581" s="834"/>
      <c r="C581" s="834"/>
      <c r="D581" s="835"/>
      <c r="E581" s="2"/>
      <c r="F581" s="834"/>
      <c r="G581" s="1821"/>
      <c r="H581" s="1"/>
      <c r="I581" s="877"/>
      <c r="J581" s="839">
        <f>IF(J506=0,0,"")</f>
        <v>0</v>
      </c>
      <c r="K581" s="2078"/>
      <c r="L581" s="1574"/>
      <c r="M581" s="1446"/>
      <c r="N581" s="833"/>
      <c r="O581" s="833"/>
      <c r="Q581" s="833"/>
      <c r="R581" s="833"/>
      <c r="S581" s="833"/>
      <c r="T581" s="833"/>
      <c r="U581" s="833"/>
      <c r="V581" s="833"/>
      <c r="W581" s="833"/>
      <c r="X581" s="833"/>
    </row>
    <row r="582" spans="1:24" s="833" customFormat="1" ht="24.95" hidden="1" customHeight="1" x14ac:dyDescent="0.15">
      <c r="A582" s="2082">
        <f ca="1">IF(J582&gt;0,INT(A580)+1,IF(J582=0,INT(A580),0))</f>
        <v>6</v>
      </c>
      <c r="B582" s="1633"/>
      <c r="C582" s="1633"/>
      <c r="D582" s="1634" t="s">
        <v>749</v>
      </c>
      <c r="E582" s="1828"/>
      <c r="F582" s="1635"/>
      <c r="G582" s="1820" t="s">
        <v>649</v>
      </c>
      <c r="H582" s="1637"/>
      <c r="I582" s="1640" t="str">
        <f ca="1">CONCATENATE("SUB-TOTAL ",A582)</f>
        <v>SUB-TOTAL 6</v>
      </c>
      <c r="J582" s="1639">
        <f>SUM(J583:J622)</f>
        <v>0</v>
      </c>
      <c r="K582" s="2079">
        <f t="shared" ref="K582:K598" ca="1" si="193">J582/J$967</f>
        <v>0</v>
      </c>
      <c r="L582" s="1610" t="e">
        <f t="shared" ref="L582:L622" si="194">J582/$J$582</f>
        <v>#DIV/0!</v>
      </c>
      <c r="Q582" s="3"/>
      <c r="R582" s="3"/>
      <c r="S582" s="3"/>
      <c r="T582" s="3"/>
      <c r="U582" s="3"/>
      <c r="V582" s="3"/>
      <c r="W582" s="3"/>
    </row>
    <row r="583" spans="1:24" s="813" customFormat="1" ht="39.950000000000003" hidden="1" customHeight="1" x14ac:dyDescent="0.15">
      <c r="A583" s="2081">
        <f t="shared" ref="A583:A598" ca="1" si="195">+IF(H583&gt;0,A582+0.01,A582)</f>
        <v>6</v>
      </c>
      <c r="B583" s="865" t="s">
        <v>1774</v>
      </c>
      <c r="C583" s="2" t="str">
        <f>+VLOOKUP($B583,[4]BOLETIM_SEL!$A:$H,2,0)</f>
        <v>COMPOSIÇÃO</v>
      </c>
      <c r="D583" s="315" t="str">
        <f>+VLOOKUP($B583,[4]BOLETIM_SEL!$A:$H,4,0)</f>
        <v>Microrrevestimento a frio - Microflex, espessura 0,8 cm, com emulsão asfáltica polimerizada RC-1C-E, execução e fornecimento de materiais. Exclusive transportes de insumos e do ligante betuminoso (REF. SICRO COD. 4011408)</v>
      </c>
      <c r="E583" s="2"/>
      <c r="F583" s="2" t="str">
        <f>+VLOOKUP($B583,[4]BOLETIM_SEL!$A:$H,6,0)</f>
        <v>M2</v>
      </c>
      <c r="G583" s="1407">
        <f>VLOOKUP($B583,[4]BOLETIM_SEL!$A:$H,7,0)</f>
        <v>10.47</v>
      </c>
      <c r="H583" s="1611">
        <f>+Recap_Final!K39</f>
        <v>0</v>
      </c>
      <c r="I583" s="877">
        <f t="shared" ref="I583:I598" si="196">+TRUNC(G583*(1+$J$5),2)</f>
        <v>12.63</v>
      </c>
      <c r="J583" s="1612">
        <f t="shared" ref="J583:J585" si="197">TRUNC(H583*I583,2)</f>
        <v>0</v>
      </c>
      <c r="K583" s="2078">
        <f t="shared" ca="1" si="193"/>
        <v>0</v>
      </c>
      <c r="L583" s="1574" t="e">
        <f t="shared" ref="L583:L585" si="198">J583/$J$582</f>
        <v>#DIV/0!</v>
      </c>
      <c r="M583" s="1445"/>
      <c r="N583" s="833"/>
      <c r="O583" s="833"/>
      <c r="Q583" s="833"/>
      <c r="R583" s="833"/>
      <c r="S583" s="833"/>
      <c r="T583" s="833"/>
      <c r="U583" s="833"/>
      <c r="V583" s="833"/>
      <c r="W583" s="833"/>
      <c r="X583" s="833"/>
    </row>
    <row r="584" spans="1:24" s="813" customFormat="1" ht="39.950000000000003" hidden="1" customHeight="1" x14ac:dyDescent="0.15">
      <c r="A584" s="2081">
        <f t="shared" ca="1" si="195"/>
        <v>6</v>
      </c>
      <c r="B584" s="865" t="s">
        <v>714</v>
      </c>
      <c r="C584" s="2" t="str">
        <f>+VLOOKUP($B584,[4]BOLETIM_SEL!$A:$H,2,0)</f>
        <v>COMPOSIÇÃO</v>
      </c>
      <c r="D584" s="315" t="str">
        <f>+VLOOKUP($B584,[4]BOLETIM_SEL!$A:$H,4,0)</f>
        <v>Microrrevestimento a frio - Microflex, espessura 1,5 cm, com emulsão asfáltica polimerizada RC-1C-E, execução e fornecimento de materiais. Exclusive transportes de insumos e do ligante betuminoso (REF. SICRO COD. 4011410)</v>
      </c>
      <c r="E584" s="2"/>
      <c r="F584" s="2" t="str">
        <f>+VLOOKUP($B584,[4]BOLETIM_SEL!$A:$H,6,0)</f>
        <v>M2</v>
      </c>
      <c r="G584" s="1407">
        <f>VLOOKUP($B584,[4]BOLETIM_SEL!$A:$H,7,0)</f>
        <v>17.510000000000002</v>
      </c>
      <c r="H584" s="1611">
        <f>+Recap_Final!K42</f>
        <v>0</v>
      </c>
      <c r="I584" s="877">
        <f t="shared" si="196"/>
        <v>21.13</v>
      </c>
      <c r="J584" s="1612">
        <f t="shared" si="197"/>
        <v>0</v>
      </c>
      <c r="K584" s="2078">
        <f t="shared" ca="1" si="193"/>
        <v>0</v>
      </c>
      <c r="L584" s="1574" t="e">
        <f t="shared" si="198"/>
        <v>#DIV/0!</v>
      </c>
      <c r="M584" s="1445"/>
      <c r="N584" s="833"/>
      <c r="O584" s="833"/>
      <c r="Q584" s="833"/>
      <c r="R584" s="833"/>
      <c r="S584" s="833"/>
      <c r="T584" s="833"/>
      <c r="U584" s="833"/>
      <c r="V584" s="833"/>
      <c r="W584" s="833"/>
      <c r="X584" s="833"/>
    </row>
    <row r="585" spans="1:24" s="813" customFormat="1" ht="39.950000000000003" hidden="1" customHeight="1" x14ac:dyDescent="0.15">
      <c r="A585" s="2081">
        <f t="shared" ca="1" si="195"/>
        <v>6</v>
      </c>
      <c r="B585" s="865" t="s">
        <v>1775</v>
      </c>
      <c r="C585" s="2" t="str">
        <f>+VLOOKUP($B585,[4]BOLETIM_SEL!$A:$H,2,0)</f>
        <v>COMPOSIÇÃO</v>
      </c>
      <c r="D585" s="315" t="str">
        <f>+VLOOKUP($B585,[4]BOLETIM_SEL!$A:$H,4,0)</f>
        <v>Microrrevestimento a frio - Microflex, espessura 2,0 cm, com emulsão asfáltica polimerizada RC-1C-E, execução e fornecimento de materiais. Exclusive transportes de insumos e do ligante betuminoso (REF. SICRO COD. 4011412)</v>
      </c>
      <c r="E585" s="2"/>
      <c r="F585" s="2" t="str">
        <f>+VLOOKUP($B585,[4]BOLETIM_SEL!$A:$H,6,0)</f>
        <v>M2</v>
      </c>
      <c r="G585" s="1407">
        <f>VLOOKUP($B585,[4]BOLETIM_SEL!$A:$H,7,0)</f>
        <v>21.78</v>
      </c>
      <c r="H585" s="1611">
        <f>+Recap_Final!K45</f>
        <v>0</v>
      </c>
      <c r="I585" s="877">
        <f t="shared" si="196"/>
        <v>26.28</v>
      </c>
      <c r="J585" s="1612">
        <f t="shared" si="197"/>
        <v>0</v>
      </c>
      <c r="K585" s="2078">
        <f t="shared" ca="1" si="193"/>
        <v>0</v>
      </c>
      <c r="L585" s="1574" t="e">
        <f t="shared" si="198"/>
        <v>#DIV/0!</v>
      </c>
      <c r="M585" s="1445"/>
      <c r="N585" s="833"/>
      <c r="O585" s="833"/>
      <c r="Q585" s="833"/>
      <c r="R585" s="833"/>
      <c r="S585" s="833"/>
      <c r="T585" s="833"/>
      <c r="U585" s="833"/>
      <c r="V585" s="833"/>
      <c r="W585" s="833"/>
      <c r="X585" s="833"/>
    </row>
    <row r="586" spans="1:24" s="813" customFormat="1" ht="39.950000000000003" hidden="1" customHeight="1" x14ac:dyDescent="0.15">
      <c r="A586" s="2081">
        <f t="shared" ca="1" si="195"/>
        <v>6</v>
      </c>
      <c r="B586" s="865" t="s">
        <v>2739</v>
      </c>
      <c r="C586" s="2" t="str">
        <f>+VLOOKUP($B586,[4]BOLETIM_SEL!$A:$H,2,0)</f>
        <v>COMPOSIÇÃO</v>
      </c>
      <c r="D586" s="315" t="str">
        <f>+VLOOKUP($B586,[4]BOLETIM_SEL!$A:$H,4,0)</f>
        <v>PAVIMENTO COM TRATAMENTO SUPERFICIAL DUPLO, COM EMULSÃO ASFÁLTICA RR-2C (REF. SINAPI COD. 03.PAVI.TSUP.005/01-104389 DB 09-21)</v>
      </c>
      <c r="E586" s="2"/>
      <c r="F586" s="2" t="str">
        <f>+VLOOKUP($B586,[4]BOLETIM_SEL!$A:$H,6,0)</f>
        <v>M2</v>
      </c>
      <c r="G586" s="1407">
        <f>VLOOKUP($B586,[4]BOLETIM_SEL!$A:$H,7,0)</f>
        <v>15.66</v>
      </c>
      <c r="H586" s="1611">
        <f>+Recap_Final!K48</f>
        <v>0</v>
      </c>
      <c r="I586" s="877">
        <f t="shared" si="196"/>
        <v>18.899999999999999</v>
      </c>
      <c r="J586" s="1612">
        <f t="shared" ref="J586:J622" si="199">TRUNC(H586*I586,2)</f>
        <v>0</v>
      </c>
      <c r="K586" s="2078">
        <f t="shared" ca="1" si="193"/>
        <v>0</v>
      </c>
      <c r="L586" s="1574" t="e">
        <f t="shared" si="194"/>
        <v>#DIV/0!</v>
      </c>
      <c r="M586" s="1445"/>
      <c r="N586" s="833"/>
      <c r="O586" s="833"/>
      <c r="Q586" s="833"/>
      <c r="R586" s="833"/>
      <c r="S586" s="833"/>
      <c r="T586" s="833"/>
      <c r="U586" s="833"/>
      <c r="V586" s="833"/>
      <c r="W586" s="833"/>
      <c r="X586" s="833"/>
    </row>
    <row r="587" spans="1:24" s="813" customFormat="1" ht="30" hidden="1" customHeight="1" x14ac:dyDescent="0.15">
      <c r="A587" s="2081">
        <f t="shared" ca="1" si="195"/>
        <v>6</v>
      </c>
      <c r="B587" s="865" t="s">
        <v>1777</v>
      </c>
      <c r="C587" s="2" t="str">
        <f>+VLOOKUP($B587,[4]BOLETIM_SEL!$A:$H,2,0)</f>
        <v>COMPOSIÇÃO</v>
      </c>
      <c r="D587" s="315" t="str">
        <f>+VLOOKUP($B587,[4]BOLETIM_SEL!$A:$H,4,0)</f>
        <v>Pintura de ligação, execução e fornecimento de emulsão asfáltica RR-1C (ref SINAPI cód 104375)</v>
      </c>
      <c r="E587" s="2"/>
      <c r="F587" s="2" t="str">
        <f>+VLOOKUP($B587,[4]BOLETIM_SEL!$A:$H,6,0)</f>
        <v>M2</v>
      </c>
      <c r="G587" s="1407">
        <f>VLOOKUP($B587,[4]BOLETIM_SEL!$A:$H,7,0)</f>
        <v>2.4700000000000002</v>
      </c>
      <c r="H587" s="1611">
        <f>+Recap_Final!K52</f>
        <v>0</v>
      </c>
      <c r="I587" s="877">
        <f t="shared" si="196"/>
        <v>2.98</v>
      </c>
      <c r="J587" s="1612">
        <f t="shared" si="199"/>
        <v>0</v>
      </c>
      <c r="K587" s="2078">
        <f t="shared" ca="1" si="193"/>
        <v>0</v>
      </c>
      <c r="L587" s="1574" t="e">
        <f t="shared" si="194"/>
        <v>#DIV/0!</v>
      </c>
      <c r="M587" s="1445"/>
      <c r="N587" s="833"/>
      <c r="O587" s="833"/>
      <c r="Q587" s="833"/>
      <c r="R587" s="833"/>
      <c r="S587" s="833"/>
      <c r="T587" s="833"/>
      <c r="U587" s="833"/>
      <c r="V587" s="833"/>
      <c r="W587" s="833"/>
      <c r="X587" s="833"/>
    </row>
    <row r="588" spans="1:24" s="813" customFormat="1" ht="39.950000000000003" hidden="1" customHeight="1" x14ac:dyDescent="0.15">
      <c r="A588" s="2081">
        <f t="shared" ca="1" si="195"/>
        <v>6</v>
      </c>
      <c r="B588" s="865" t="s">
        <v>953</v>
      </c>
      <c r="C588" s="2" t="str">
        <f>+VLOOKUP($B588,[4]BOLETIM_SEL!$A:$H,2,0)</f>
        <v>COMPOSIÇÃO</v>
      </c>
      <c r="D588" s="315" t="str">
        <f>+VLOOKUP($B588,[4]BOLETIM_SEL!$A:$H,4,0)</f>
        <v>Capa selante para agulhamento na base, execução e fornecimento de emulsão asfáltica RR-2C. Exclusive transporte (REF. SICRO COD. 4915636)</v>
      </c>
      <c r="E588" s="2"/>
      <c r="F588" s="2" t="str">
        <f>+VLOOKUP($B588,[4]BOLETIM_SEL!$A:$H,6,0)</f>
        <v>M2</v>
      </c>
      <c r="G588" s="1407">
        <f>VLOOKUP($B588,[4]BOLETIM_SEL!$A:$H,7,0)</f>
        <v>4.82</v>
      </c>
      <c r="H588" s="1611">
        <f>+Recap_Final!K54</f>
        <v>0</v>
      </c>
      <c r="I588" s="877">
        <f t="shared" si="196"/>
        <v>5.81</v>
      </c>
      <c r="J588" s="1612">
        <f t="shared" si="199"/>
        <v>0</v>
      </c>
      <c r="K588" s="2078">
        <f t="shared" ca="1" si="193"/>
        <v>0</v>
      </c>
      <c r="L588" s="1574" t="e">
        <f t="shared" si="194"/>
        <v>#DIV/0!</v>
      </c>
      <c r="M588" s="1445"/>
      <c r="N588" s="833"/>
      <c r="O588" s="833"/>
      <c r="Q588" s="833"/>
      <c r="R588" s="833"/>
      <c r="S588" s="833"/>
      <c r="T588" s="833"/>
      <c r="U588" s="833"/>
      <c r="V588" s="833"/>
      <c r="W588" s="833"/>
      <c r="X588" s="833"/>
    </row>
    <row r="589" spans="1:24" s="813" customFormat="1" ht="39.950000000000003" hidden="1" customHeight="1" x14ac:dyDescent="0.15">
      <c r="A589" s="2081">
        <f t="shared" ca="1" si="195"/>
        <v>6</v>
      </c>
      <c r="B589" s="834" t="str">
        <f>IF(M589="COMERCIAL","PA/0040","PA/0041")</f>
        <v>PA/0040</v>
      </c>
      <c r="C589" s="2" t="str">
        <f>VLOOKUP($B589,[4]BOLETIM_SEL!$A:$H,2,0)</f>
        <v>COMPOSIÇÃO</v>
      </c>
      <c r="D589" s="315" t="str">
        <f>VLOOKUP($B589,[4]BOLETIM_SEL!$A:$H,4,0)</f>
        <v>Construção de pavimento com aplicação de concreto betuminoso usinado à quente (CBUQ - faixa C - CAP 30/45 - usina comercial), camada de rolamento, exclusive transporte da mistura (REF. SINAPI COD. 95995)</v>
      </c>
      <c r="E589" s="2"/>
      <c r="F589" s="2" t="str">
        <f>+VLOOKUP($B589,[4]BOLETIM_SEL!$A:$H,6,0)</f>
        <v>M3</v>
      </c>
      <c r="G589" s="1407">
        <f>VLOOKUP($B589,[4]BOLETIM_SEL!$A:$H,7,0)</f>
        <v>1590.41</v>
      </c>
      <c r="H589" s="1611">
        <f>+Recap_Final!K58</f>
        <v>0</v>
      </c>
      <c r="I589" s="877">
        <f t="shared" si="196"/>
        <v>1919.62</v>
      </c>
      <c r="J589" s="1612">
        <f t="shared" si="199"/>
        <v>0</v>
      </c>
      <c r="K589" s="2078">
        <f t="shared" ca="1" si="193"/>
        <v>0</v>
      </c>
      <c r="L589" s="1574" t="e">
        <f t="shared" si="194"/>
        <v>#DIV/0!</v>
      </c>
      <c r="M589" s="1589" t="s">
        <v>410</v>
      </c>
      <c r="N589" s="833"/>
      <c r="O589" s="833"/>
      <c r="Q589" s="833"/>
      <c r="R589" s="833"/>
      <c r="S589" s="833"/>
      <c r="T589" s="833"/>
      <c r="U589" s="833"/>
      <c r="V589" s="833"/>
      <c r="W589" s="833"/>
      <c r="X589" s="833"/>
    </row>
    <row r="590" spans="1:24" s="813" customFormat="1" ht="39.950000000000003" hidden="1" customHeight="1" x14ac:dyDescent="0.15">
      <c r="A590" s="2081">
        <f t="shared" ca="1" si="195"/>
        <v>6</v>
      </c>
      <c r="B590" s="834">
        <f>IF(M590="COMERCIAL",95995,"PA/0042")</f>
        <v>95995</v>
      </c>
      <c r="C590" s="2" t="str">
        <f>VLOOKUP($B590,[4]BOLETIM_SEL!$A:$H,2,0)</f>
        <v>SINAPI</v>
      </c>
      <c r="D590" s="315" t="str">
        <f>VLOOKUP($B590,[4]BOLETIM_SEL!$A:$H,4,0)</f>
        <v>Construção de pavimento com aplicação de concreto betuminoso usinado à quente (CBUQ - faixa C - CAP 50/70 - usina comercial), camada de rolamento. Exclusive transporte da mistura. Af_11/2019</v>
      </c>
      <c r="E590" s="2"/>
      <c r="F590" s="2" t="str">
        <f>+VLOOKUP($B590,[4]BOLETIM_SEL!$A:$H,6,0)</f>
        <v>M3</v>
      </c>
      <c r="G590" s="1407">
        <f>VLOOKUP($B590,[4]BOLETIM_SEL!$A:$H,7,0)</f>
        <v>1619.18</v>
      </c>
      <c r="H590" s="1611">
        <f>+Recap_Final!K59</f>
        <v>0</v>
      </c>
      <c r="I590" s="877">
        <f t="shared" si="196"/>
        <v>1954.35</v>
      </c>
      <c r="J590" s="1612">
        <f t="shared" si="199"/>
        <v>0</v>
      </c>
      <c r="K590" s="2078">
        <f t="shared" ca="1" si="193"/>
        <v>0</v>
      </c>
      <c r="L590" s="1574" t="e">
        <f t="shared" si="194"/>
        <v>#DIV/0!</v>
      </c>
      <c r="M590" s="1589" t="s">
        <v>410</v>
      </c>
      <c r="N590" s="833"/>
      <c r="O590" s="833"/>
      <c r="Q590" s="833"/>
      <c r="R590" s="833"/>
      <c r="S590" s="833"/>
      <c r="T590" s="833"/>
      <c r="U590" s="833"/>
      <c r="V590" s="833"/>
      <c r="W590" s="833"/>
      <c r="X590" s="833"/>
    </row>
    <row r="591" spans="1:24" s="813" customFormat="1" ht="39.950000000000003" hidden="1" customHeight="1" x14ac:dyDescent="0.15">
      <c r="A591" s="2081">
        <f t="shared" ca="1" si="195"/>
        <v>6</v>
      </c>
      <c r="B591" s="865" t="s">
        <v>1782</v>
      </c>
      <c r="C591" s="2" t="str">
        <f>+VLOOKUP($B591,[4]BOLETIM_SEL!$A:$H,2,0)</f>
        <v>COMPOSIÇÃO</v>
      </c>
      <c r="D591" s="315" t="str">
        <f>+VLOOKUP($B591,[4]BOLETIM_SEL!$A:$H,4,0)</f>
        <v>Construção de pavimento com aplicação de concreto betuminoso usinado à quente modificado por polímero elastomérico - CBUQ (p) - CAP 60-85-E - FAIXA "C", camada de rolamento. Exclusive transporte da mistura (REF. SINAPI COD. 95995)</v>
      </c>
      <c r="E591" s="2"/>
      <c r="F591" s="2" t="str">
        <f>+VLOOKUP($B591,[4]BOLETIM_SEL!$A:$H,6,0)</f>
        <v>M3</v>
      </c>
      <c r="G591" s="1407">
        <f>VLOOKUP($B591,[4]BOLETIM_SEL!$A:$H,7,0)</f>
        <v>1939.66</v>
      </c>
      <c r="H591" s="1611">
        <f>+Recap_Final!K60</f>
        <v>0</v>
      </c>
      <c r="I591" s="877">
        <f t="shared" si="196"/>
        <v>2341.16</v>
      </c>
      <c r="J591" s="1612">
        <f t="shared" si="199"/>
        <v>0</v>
      </c>
      <c r="K591" s="2078">
        <f t="shared" ca="1" si="193"/>
        <v>0</v>
      </c>
      <c r="L591" s="1574" t="e">
        <f t="shared" si="194"/>
        <v>#DIV/0!</v>
      </c>
      <c r="M591" s="1445"/>
      <c r="N591" s="833"/>
      <c r="O591" s="833"/>
      <c r="Q591" s="833"/>
      <c r="R591" s="833"/>
      <c r="S591" s="833"/>
      <c r="T591" s="833"/>
      <c r="U591" s="833"/>
      <c r="V591" s="833"/>
      <c r="W591" s="833"/>
      <c r="X591" s="833"/>
    </row>
    <row r="592" spans="1:24" s="813" customFormat="1" ht="39.950000000000003" hidden="1" customHeight="1" x14ac:dyDescent="0.15">
      <c r="A592" s="2081">
        <f t="shared" ca="1" si="195"/>
        <v>6</v>
      </c>
      <c r="B592" s="865" t="s">
        <v>1778</v>
      </c>
      <c r="C592" s="2" t="str">
        <f>+VLOOKUP($B592,[4]BOLETIM_SEL!$A:$H,2,0)</f>
        <v>COMPOSIÇÃO</v>
      </c>
      <c r="D592" s="315" t="str">
        <f>+VLOOKUP($B592,[4]BOLETIM_SEL!$A:$H,4,0)</f>
        <v>Execução de pré-misturado a frio - PMF, faixa C (semidenso), com emulsão asfáltica RL-1C, para revestimento, aplicação com vibroacabadora. Exclusive transporte</v>
      </c>
      <c r="E592" s="2"/>
      <c r="F592" s="2" t="str">
        <f>+VLOOKUP($B592,[4]BOLETIM_SEL!$A:$H,6,0)</f>
        <v>M3</v>
      </c>
      <c r="G592" s="1407"/>
      <c r="H592" s="1613">
        <f>+Recap_Final!K61</f>
        <v>0</v>
      </c>
      <c r="I592" s="2189">
        <f t="shared" si="196"/>
        <v>0</v>
      </c>
      <c r="J592" s="2190">
        <f t="shared" si="199"/>
        <v>0</v>
      </c>
      <c r="K592" s="2191">
        <f t="shared" ca="1" si="193"/>
        <v>0</v>
      </c>
      <c r="L592" s="2470" t="e">
        <f t="shared" si="194"/>
        <v>#DIV/0!</v>
      </c>
      <c r="M592" s="1445"/>
      <c r="N592" s="833"/>
      <c r="O592" s="833"/>
      <c r="Q592" s="833"/>
      <c r="R592" s="833"/>
      <c r="S592" s="833"/>
      <c r="T592" s="833"/>
      <c r="U592" s="833"/>
      <c r="V592" s="833"/>
      <c r="W592" s="833"/>
      <c r="X592" s="833"/>
    </row>
    <row r="593" spans="1:24" s="813" customFormat="1" ht="39.950000000000003" hidden="1" customHeight="1" x14ac:dyDescent="0.15">
      <c r="A593" s="2081">
        <f t="shared" ca="1" si="195"/>
        <v>6</v>
      </c>
      <c r="B593" s="834" t="s">
        <v>1752</v>
      </c>
      <c r="C593" s="2" t="str">
        <f>VLOOKUP($B593,[4]BOLETIM_SEL!$A:$H,2,0)</f>
        <v>COMPOSIÇÃO</v>
      </c>
      <c r="D593" s="315" t="str">
        <f>VLOOKUP($B593,[4]BOLETIM_SEL!$A:$H,4,0)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593" s="2"/>
      <c r="F593" s="2" t="str">
        <f>VLOOKUP($B593,[4]BOLETIM_SEL!$A:$H,6,0)</f>
        <v xml:space="preserve">UN </v>
      </c>
      <c r="G593" s="1407">
        <f>VLOOKUP($B593,[4]BOLETIM_SEL!$A:$H,7,0)</f>
        <v>949.28</v>
      </c>
      <c r="H593" s="1611">
        <f>+Recap_Final!K88</f>
        <v>0</v>
      </c>
      <c r="I593" s="877">
        <f t="shared" si="196"/>
        <v>1145.78</v>
      </c>
      <c r="J593" s="1612">
        <f t="shared" si="199"/>
        <v>0</v>
      </c>
      <c r="K593" s="2078">
        <f t="shared" ca="1" si="193"/>
        <v>0</v>
      </c>
      <c r="L593" s="1574" t="e">
        <f t="shared" si="194"/>
        <v>#DIV/0!</v>
      </c>
      <c r="M593" s="1445"/>
      <c r="N593" s="833"/>
      <c r="O593" s="833"/>
      <c r="Q593" s="833"/>
      <c r="R593" s="833"/>
      <c r="S593" s="833"/>
      <c r="T593" s="833"/>
      <c r="U593" s="833"/>
      <c r="V593" s="833"/>
      <c r="W593" s="833"/>
      <c r="X593" s="833"/>
    </row>
    <row r="594" spans="1:24" s="813" customFormat="1" ht="39.950000000000003" hidden="1" customHeight="1" x14ac:dyDescent="0.15">
      <c r="A594" s="2081">
        <f t="shared" ca="1" si="195"/>
        <v>6</v>
      </c>
      <c r="B594" s="834" t="s">
        <v>1753</v>
      </c>
      <c r="C594" s="2" t="str">
        <f>VLOOKUP($B594,[4]BOLETIM_SEL!$A:$H,2,0)</f>
        <v>COMPOSIÇÃO</v>
      </c>
      <c r="D594" s="315" t="str">
        <f>VLOOKUP($B594,[4]BOLETIM_SEL!$A:$H,4,0)</f>
        <v>Remoção e reassentamento de quadro e grelha articulada em F°F° para boca de lobo, incluindo demolição e implantação da sarjeta de contorno (chama) em concreto FCK = 20 Mpa</v>
      </c>
      <c r="E594" s="2"/>
      <c r="F594" s="2" t="str">
        <f>VLOOKUP($B594,[4]BOLETIM_SEL!$A:$H,6,0)</f>
        <v xml:space="preserve">UN </v>
      </c>
      <c r="G594" s="1407">
        <f>VLOOKUP($B594,[4]BOLETIM_SEL!$A:$H,7,0)</f>
        <v>216.3</v>
      </c>
      <c r="H594" s="1611">
        <f>+Recap_Final!K89</f>
        <v>0</v>
      </c>
      <c r="I594" s="877">
        <f t="shared" si="196"/>
        <v>261.07</v>
      </c>
      <c r="J594" s="1612">
        <f t="shared" si="199"/>
        <v>0</v>
      </c>
      <c r="K594" s="2078">
        <f t="shared" ca="1" si="193"/>
        <v>0</v>
      </c>
      <c r="L594" s="1574" t="e">
        <f t="shared" si="194"/>
        <v>#DIV/0!</v>
      </c>
      <c r="M594" s="1445"/>
      <c r="N594" s="833"/>
      <c r="O594" s="833"/>
      <c r="Q594" s="833"/>
      <c r="R594" s="833"/>
      <c r="S594" s="833"/>
      <c r="T594" s="833"/>
      <c r="U594" s="833"/>
      <c r="V594" s="833"/>
      <c r="W594" s="833"/>
      <c r="X594" s="833"/>
    </row>
    <row r="595" spans="1:24" s="813" customFormat="1" ht="39.950000000000003" hidden="1" customHeight="1" x14ac:dyDescent="0.15">
      <c r="A595" s="2081">
        <f t="shared" ca="1" si="195"/>
        <v>6</v>
      </c>
      <c r="B595" s="834" t="s">
        <v>1750</v>
      </c>
      <c r="C595" s="2" t="str">
        <f>VLOOKUP($B595,[4]BOLETIM_SEL!$A:$H,2,0)</f>
        <v>COMPOSIÇÃO</v>
      </c>
      <c r="D595" s="315" t="str">
        <f>VLOOKUP($B595,[4]BOLETIM_SEL!$A:$H,4,0)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595" s="2"/>
      <c r="F595" s="2" t="str">
        <f>VLOOKUP($B595,[4]BOLETIM_SEL!$A:$H,6,0)</f>
        <v xml:space="preserve">UN </v>
      </c>
      <c r="G595" s="1407">
        <f>VLOOKUP($B595,[4]BOLETIM_SEL!$A:$H,7,0)</f>
        <v>837.92</v>
      </c>
      <c r="H595" s="1611">
        <f>+Recap_Final!K90</f>
        <v>0</v>
      </c>
      <c r="I595" s="877">
        <f t="shared" si="196"/>
        <v>1011.36</v>
      </c>
      <c r="J595" s="1612">
        <f t="shared" si="199"/>
        <v>0</v>
      </c>
      <c r="K595" s="2078">
        <f t="shared" ca="1" si="193"/>
        <v>0</v>
      </c>
      <c r="L595" s="1574" t="e">
        <f t="shared" si="194"/>
        <v>#DIV/0!</v>
      </c>
      <c r="M595" s="1445"/>
      <c r="N595" s="833"/>
      <c r="O595" s="833"/>
      <c r="Q595" s="833"/>
      <c r="R595" s="833"/>
      <c r="S595" s="833"/>
      <c r="T595" s="833"/>
      <c r="U595" s="833"/>
      <c r="V595" s="833"/>
      <c r="W595" s="833"/>
      <c r="X595" s="833"/>
    </row>
    <row r="596" spans="1:24" s="813" customFormat="1" ht="39.950000000000003" hidden="1" customHeight="1" x14ac:dyDescent="0.15">
      <c r="A596" s="2081">
        <f t="shared" ca="1" si="195"/>
        <v>6</v>
      </c>
      <c r="B596" s="834" t="s">
        <v>1751</v>
      </c>
      <c r="C596" s="2" t="str">
        <f>VLOOKUP($B596,[4]BOLETIM_SEL!$A:$H,2,0)</f>
        <v>COMPOSIÇÃO</v>
      </c>
      <c r="D596" s="315" t="str">
        <f>VLOOKUP($B596,[4]BOLETIM_SEL!$A:$H,4,0)</f>
        <v>Remoção e reassentamento de tampão em F°F° para PV, com  reaproveitamento, incluindo recorte, demolição e requadro em concreto simples FCK 20mpa, de 1,00m x 1,00m x 0,20m</v>
      </c>
      <c r="E596" s="2"/>
      <c r="F596" s="2" t="str">
        <f>VLOOKUP($B596,[4]BOLETIM_SEL!$A:$H,6,0)</f>
        <v xml:space="preserve">UN </v>
      </c>
      <c r="G596" s="1407">
        <f>VLOOKUP($B596,[4]BOLETIM_SEL!$A:$H,7,0)</f>
        <v>220.5</v>
      </c>
      <c r="H596" s="1611">
        <f>+Recap_Final!K91</f>
        <v>0</v>
      </c>
      <c r="I596" s="877">
        <f t="shared" si="196"/>
        <v>266.14</v>
      </c>
      <c r="J596" s="1612">
        <f t="shared" si="199"/>
        <v>0</v>
      </c>
      <c r="K596" s="2078">
        <f t="shared" ca="1" si="193"/>
        <v>0</v>
      </c>
      <c r="L596" s="1574" t="e">
        <f t="shared" si="194"/>
        <v>#DIV/0!</v>
      </c>
      <c r="M596" s="1445"/>
      <c r="N596" s="833"/>
      <c r="O596" s="833"/>
      <c r="Q596" s="833"/>
      <c r="R596" s="833"/>
      <c r="S596" s="833"/>
      <c r="T596" s="833"/>
      <c r="U596" s="833"/>
      <c r="V596" s="833"/>
      <c r="W596" s="833"/>
      <c r="X596" s="833"/>
    </row>
    <row r="597" spans="1:24" s="813" customFormat="1" ht="39.950000000000003" hidden="1" customHeight="1" x14ac:dyDescent="0.15">
      <c r="A597" s="2081">
        <f t="shared" ca="1" si="195"/>
        <v>6</v>
      </c>
      <c r="B597" s="865" t="s">
        <v>1784</v>
      </c>
      <c r="C597" s="2" t="str">
        <f>VLOOKUP($B597,[4]BOLETIM_SEL!$A:$H,2,0)</f>
        <v>COMPOSIÇÃO</v>
      </c>
      <c r="D597" s="315" t="str">
        <f>VLOOKUP($B597,[4]BOLETIM_SEL!$A:$H,4,0)</f>
        <v>Tampão F°F° articulado T9, classe B125, carga máxima 12,5 T, redondo tampa 100 mm para registro de água. Incluindo fornecimento, assentamento e requadro em concreto FCK 20mpa, de 0,50m x 0,50m x 0,20m</v>
      </c>
      <c r="E597" s="2"/>
      <c r="F597" s="2" t="str">
        <f>VLOOKUP($B597,[4]BOLETIM_SEL!$A:$H,6,0)</f>
        <v xml:space="preserve">UN </v>
      </c>
      <c r="G597" s="1407">
        <f>VLOOKUP($B597,[4]BOLETIM_SEL!$A:$H,7,0)</f>
        <v>620.57000000000005</v>
      </c>
      <c r="H597" s="1611">
        <f>+Recap_Final!K92</f>
        <v>0</v>
      </c>
      <c r="I597" s="877">
        <f t="shared" si="196"/>
        <v>749.02</v>
      </c>
      <c r="J597" s="1612">
        <f t="shared" si="199"/>
        <v>0</v>
      </c>
      <c r="K597" s="2078">
        <f t="shared" ca="1" si="193"/>
        <v>0</v>
      </c>
      <c r="L597" s="1574" t="e">
        <f t="shared" si="194"/>
        <v>#DIV/0!</v>
      </c>
      <c r="M597" s="1445"/>
      <c r="N597" s="833"/>
      <c r="O597" s="833"/>
      <c r="Q597" s="833"/>
      <c r="R597" s="833"/>
      <c r="S597" s="833"/>
      <c r="T597" s="833"/>
      <c r="U597" s="833"/>
      <c r="V597" s="833"/>
      <c r="W597" s="833"/>
      <c r="X597" s="833"/>
    </row>
    <row r="598" spans="1:24" s="813" customFormat="1" ht="39.950000000000003" hidden="1" customHeight="1" x14ac:dyDescent="0.15">
      <c r="A598" s="2081">
        <f t="shared" ca="1" si="195"/>
        <v>6</v>
      </c>
      <c r="B598" s="865" t="s">
        <v>1785</v>
      </c>
      <c r="C598" s="2" t="str">
        <f>VLOOKUP($B598,[4]BOLETIM_SEL!$A:$H,2,0)</f>
        <v>COMPOSIÇÃO</v>
      </c>
      <c r="D598" s="315" t="str">
        <f>VLOOKUP($B598,[4]BOLETIM_SEL!$A:$H,4,0)</f>
        <v>Substituição de tampão de registro de água, incluindo fornecimento de tampão de FºFº articulado T9, Classe B125, carga máxima 12,5 T, redondo tampa 100 mm e requadro em concreto simples FCK 20mpa, de 0,50m x 0,50m x 0,20m</v>
      </c>
      <c r="E598" s="2"/>
      <c r="F598" s="2" t="str">
        <f>VLOOKUP($B598,[4]BOLETIM_SEL!$A:$H,6,0)</f>
        <v xml:space="preserve">UN </v>
      </c>
      <c r="G598" s="1407">
        <f>VLOOKUP($B598,[4]BOLETIM_SEL!$A:$H,7,0)</f>
        <v>1284.24</v>
      </c>
      <c r="H598" s="1611">
        <f>+Recap_Final!K93</f>
        <v>0</v>
      </c>
      <c r="I598" s="877">
        <f t="shared" si="196"/>
        <v>1550.07</v>
      </c>
      <c r="J598" s="1612">
        <f t="shared" si="199"/>
        <v>0</v>
      </c>
      <c r="K598" s="2078">
        <f t="shared" ca="1" si="193"/>
        <v>0</v>
      </c>
      <c r="L598" s="1574" t="e">
        <f t="shared" si="194"/>
        <v>#DIV/0!</v>
      </c>
      <c r="M598" s="1445"/>
      <c r="N598" s="833"/>
      <c r="O598" s="833"/>
      <c r="Q598" s="833"/>
      <c r="R598" s="833"/>
      <c r="S598" s="833"/>
      <c r="T598" s="833"/>
      <c r="U598" s="833"/>
      <c r="V598" s="833"/>
      <c r="W598" s="833"/>
      <c r="X598" s="833"/>
    </row>
    <row r="599" spans="1:24" s="813" customFormat="1" ht="24.95" hidden="1" customHeight="1" x14ac:dyDescent="0.15">
      <c r="A599" s="2081"/>
      <c r="B599" s="834"/>
      <c r="C599" s="2"/>
      <c r="D599" s="1452" t="s">
        <v>1788</v>
      </c>
      <c r="E599" s="2"/>
      <c r="F599" s="2"/>
      <c r="G599" s="1407"/>
      <c r="H599" s="2"/>
      <c r="I599" s="2"/>
      <c r="J599" s="839" t="str">
        <f>IF(J600=0,"-","")</f>
        <v>-</v>
      </c>
      <c r="K599" s="2"/>
      <c r="L599" s="1574"/>
      <c r="M599" s="1445"/>
      <c r="N599" s="833"/>
      <c r="O599" s="1422"/>
      <c r="Q599" s="833"/>
      <c r="R599" s="833"/>
      <c r="S599" s="833"/>
      <c r="T599" s="833"/>
      <c r="U599" s="833"/>
      <c r="V599" s="833"/>
      <c r="W599" s="833"/>
      <c r="X599" s="833"/>
    </row>
    <row r="600" spans="1:24" s="813" customFormat="1" ht="39.950000000000003" hidden="1" customHeight="1" x14ac:dyDescent="0.15">
      <c r="A600" s="2081">
        <f ca="1">IF(H600&gt;0,A598+0.01,A598)</f>
        <v>6</v>
      </c>
      <c r="B600" s="834">
        <f>IF(AND(M600&lt;=50,E600&lt;=30),95875,IF(AND(M600&lt;=50,E600&gt;30),93590,IF(AND(M600&gt;50,E600&lt;=30),95876,93593)))</f>
        <v>95875</v>
      </c>
      <c r="C600" s="2" t="s">
        <v>1783</v>
      </c>
      <c r="D600" s="315" t="str">
        <f>VLOOKUP($B600,[4]BOLETIM_SEL!$A:$H,4,0)</f>
        <v>Transporte com caminhão basculante de 10 m3, em via urbana pavimentada, DMT até 30,00 km (unidade: m3xkm). AF_07/2020</v>
      </c>
      <c r="E600" s="2">
        <f>+Dados_DMT!$B$21</f>
        <v>0</v>
      </c>
      <c r="F600" s="2" t="str">
        <f>VLOOKUP($B600,[4]BOLETIM_SEL!$A:$H,6,0)</f>
        <v>M3XKM</v>
      </c>
      <c r="G600" s="1407">
        <f>VLOOKUP($B600,[4]BOLETIM_SEL!$A:$H,7,0)</f>
        <v>2.1800000000000002</v>
      </c>
      <c r="H600" s="1611">
        <f>ROUND(Recap_Final!K98*E600,2)</f>
        <v>0</v>
      </c>
      <c r="I600" s="877">
        <f>+TRUNC(G600*(1+$J$5),2)</f>
        <v>2.63</v>
      </c>
      <c r="J600" s="1612">
        <f t="shared" si="199"/>
        <v>0</v>
      </c>
      <c r="K600" s="2078">
        <f ca="1">J600/J$967</f>
        <v>0</v>
      </c>
      <c r="L600" s="1574" t="e">
        <f t="shared" si="194"/>
        <v>#DIV/0!</v>
      </c>
      <c r="M600" s="1453">
        <f>IF(H600=0,0,H600/E600)</f>
        <v>0</v>
      </c>
      <c r="N600" s="833"/>
      <c r="O600" s="833"/>
      <c r="Q600" s="833"/>
      <c r="R600" s="833"/>
      <c r="S600" s="833"/>
      <c r="T600" s="833"/>
      <c r="U600" s="833"/>
      <c r="V600" s="833"/>
      <c r="W600" s="833"/>
      <c r="X600" s="833"/>
    </row>
    <row r="601" spans="1:24" s="813" customFormat="1" ht="24.95" hidden="1" customHeight="1" x14ac:dyDescent="0.15">
      <c r="A601" s="2081"/>
      <c r="B601" s="834"/>
      <c r="C601" s="2"/>
      <c r="D601" s="1452" t="s">
        <v>1789</v>
      </c>
      <c r="E601" s="2"/>
      <c r="F601" s="2"/>
      <c r="G601" s="1407"/>
      <c r="H601" s="2"/>
      <c r="I601" s="2"/>
      <c r="J601" s="839" t="str">
        <f>IF(J602=0,"-","")</f>
        <v>-</v>
      </c>
      <c r="K601" s="2"/>
      <c r="L601" s="1574"/>
      <c r="M601" s="1445"/>
      <c r="N601" s="833"/>
      <c r="O601" s="1422"/>
      <c r="Q601" s="833"/>
      <c r="R601" s="833"/>
      <c r="S601" s="833"/>
      <c r="T601" s="833"/>
      <c r="U601" s="833"/>
      <c r="V601" s="833"/>
      <c r="W601" s="833"/>
      <c r="X601" s="833"/>
    </row>
    <row r="602" spans="1:24" s="813" customFormat="1" ht="39.950000000000003" hidden="1" customHeight="1" x14ac:dyDescent="0.15">
      <c r="A602" s="2081">
        <f ca="1">IF(H602&gt;0,A600+0.01,A600)</f>
        <v>6</v>
      </c>
      <c r="B602" s="834">
        <f>IF(AND(M602&lt;=50,E602&lt;=30),95875,IF(AND(M602&lt;=50,E602&gt;30),93590,IF(AND(M602&gt;50,E602&lt;=30),95876,93593)))</f>
        <v>95875</v>
      </c>
      <c r="C602" s="2" t="s">
        <v>1783</v>
      </c>
      <c r="D602" s="315" t="str">
        <f>VLOOKUP($B602,[4]BOLETIM_SEL!$A:$H,4,0)</f>
        <v>Transporte com caminhão basculante de 10 m3, em via urbana pavimentada, DMT até 30,00 km (unidade: m3xkm). AF_07/2020</v>
      </c>
      <c r="E602" s="2">
        <f>+Dados_DMT!$B$22</f>
        <v>0</v>
      </c>
      <c r="F602" s="2" t="str">
        <f>VLOOKUP($B602,[4]BOLETIM_SEL!$A:$H,6,0)</f>
        <v>M3XKM</v>
      </c>
      <c r="G602" s="1407">
        <f>VLOOKUP($B602,[4]BOLETIM_SEL!$A:$H,7,0)</f>
        <v>2.1800000000000002</v>
      </c>
      <c r="H602" s="1611">
        <f>ROUND(Recap_Final!K99*E602,2)</f>
        <v>0</v>
      </c>
      <c r="I602" s="877">
        <f>+TRUNC(G602*(1+$J$5),2)</f>
        <v>2.63</v>
      </c>
      <c r="J602" s="1612">
        <f t="shared" si="199"/>
        <v>0</v>
      </c>
      <c r="K602" s="2078">
        <f ca="1">J602/J$967</f>
        <v>0</v>
      </c>
      <c r="L602" s="1574" t="e">
        <f t="shared" si="194"/>
        <v>#DIV/0!</v>
      </c>
      <c r="M602" s="1453">
        <f>IF(H602=0,0,H602/E602)</f>
        <v>0</v>
      </c>
      <c r="N602" s="833"/>
      <c r="O602" s="833"/>
      <c r="Q602" s="833"/>
      <c r="R602" s="833"/>
      <c r="S602" s="833"/>
      <c r="T602" s="833"/>
      <c r="U602" s="833"/>
      <c r="V602" s="833"/>
      <c r="W602" s="833"/>
      <c r="X602" s="833"/>
    </row>
    <row r="603" spans="1:24" s="813" customFormat="1" ht="24.95" hidden="1" customHeight="1" x14ac:dyDescent="0.15">
      <c r="A603" s="2081"/>
      <c r="B603" s="834"/>
      <c r="C603" s="2"/>
      <c r="D603" s="1452" t="s">
        <v>1790</v>
      </c>
      <c r="E603" s="2"/>
      <c r="F603" s="2"/>
      <c r="G603" s="1407"/>
      <c r="H603" s="2"/>
      <c r="I603" s="2"/>
      <c r="J603" s="839" t="str">
        <f>IF(J604=0,"-","")</f>
        <v>-</v>
      </c>
      <c r="K603" s="2"/>
      <c r="L603" s="1574"/>
      <c r="M603" s="1445"/>
      <c r="N603" s="833"/>
      <c r="O603" s="1422"/>
      <c r="Q603" s="833"/>
      <c r="R603" s="833"/>
      <c r="S603" s="833"/>
      <c r="T603" s="833"/>
      <c r="U603" s="833"/>
      <c r="V603" s="833"/>
      <c r="W603" s="833"/>
      <c r="X603" s="833"/>
    </row>
    <row r="604" spans="1:24" s="813" customFormat="1" ht="39.950000000000003" hidden="1" customHeight="1" x14ac:dyDescent="0.15">
      <c r="A604" s="2081">
        <f ca="1">IF(H604&gt;0,A602+0.01,A602)</f>
        <v>6</v>
      </c>
      <c r="B604" s="834">
        <f>IF(AND(M604&lt;=50,E604&lt;=30),95875,IF(AND(M604&lt;=50,E604&gt;30),93590,IF(AND(M604&gt;50,E604&lt;=30),95876,93593)))</f>
        <v>95875</v>
      </c>
      <c r="C604" s="2" t="s">
        <v>1783</v>
      </c>
      <c r="D604" s="315" t="str">
        <f>VLOOKUP($B604,[4]BOLETIM_SEL!$A:$H,4,0)</f>
        <v>Transporte com caminhão basculante de 10 m3, em via urbana pavimentada, DMT até 30,00 km (unidade: m3xkm). AF_07/2020</v>
      </c>
      <c r="E604" s="2">
        <f>+Dados_DMT!$B$23</f>
        <v>0</v>
      </c>
      <c r="F604" s="2" t="str">
        <f>VLOOKUP($B604,[4]BOLETIM_SEL!$A:$H,6,0)</f>
        <v>M3XKM</v>
      </c>
      <c r="G604" s="1407">
        <f>VLOOKUP($B604,[4]BOLETIM_SEL!$A:$H,7,0)</f>
        <v>2.1800000000000002</v>
      </c>
      <c r="H604" s="1611">
        <f>ROUND(Recap_Final!K100*E604,2)</f>
        <v>0</v>
      </c>
      <c r="I604" s="877">
        <f>+TRUNC(G604*(1+$J$5),2)</f>
        <v>2.63</v>
      </c>
      <c r="J604" s="1612">
        <f t="shared" si="199"/>
        <v>0</v>
      </c>
      <c r="K604" s="2078">
        <f ca="1">J604/J$967</f>
        <v>0</v>
      </c>
      <c r="L604" s="1574" t="e">
        <f t="shared" si="194"/>
        <v>#DIV/0!</v>
      </c>
      <c r="M604" s="1453">
        <f>IF(H604=0,0,H604/E604)</f>
        <v>0</v>
      </c>
      <c r="N604" s="833"/>
      <c r="O604" s="833"/>
      <c r="Q604" s="833"/>
      <c r="R604" s="833"/>
      <c r="S604" s="833"/>
      <c r="T604" s="833"/>
      <c r="U604" s="833"/>
      <c r="V604" s="833"/>
      <c r="W604" s="833"/>
      <c r="X604" s="833"/>
    </row>
    <row r="605" spans="1:24" s="813" customFormat="1" ht="24.95" hidden="1" customHeight="1" x14ac:dyDescent="0.15">
      <c r="A605" s="2081"/>
      <c r="B605" s="834"/>
      <c r="C605" s="2"/>
      <c r="D605" s="1452" t="s">
        <v>1905</v>
      </c>
      <c r="E605" s="2"/>
      <c r="F605" s="2"/>
      <c r="G605" s="1407"/>
      <c r="H605" s="2"/>
      <c r="I605" s="2"/>
      <c r="J605" s="839" t="str">
        <f>IF(J606=0,"-","")</f>
        <v>-</v>
      </c>
      <c r="K605" s="2"/>
      <c r="L605" s="1574"/>
      <c r="M605" s="1445"/>
      <c r="N605" s="833"/>
      <c r="O605" s="1422"/>
      <c r="Q605" s="833"/>
      <c r="R605" s="833"/>
      <c r="S605" s="833"/>
      <c r="T605" s="833"/>
      <c r="U605" s="833"/>
      <c r="V605" s="833"/>
      <c r="W605" s="833"/>
      <c r="X605" s="833"/>
    </row>
    <row r="606" spans="1:24" s="813" customFormat="1" ht="39.950000000000003" hidden="1" customHeight="1" x14ac:dyDescent="0.15">
      <c r="A606" s="2081">
        <f ca="1">IF(H606&gt;0,A604+0.01,A604)</f>
        <v>6</v>
      </c>
      <c r="B606" s="834">
        <f>IF(AND(M606&lt;=50,E606&lt;=30),95875,IF(AND(M606&lt;=50,E606&gt;30),93590,IF(AND(M606&gt;50,E606&lt;=30),95876,93593)))</f>
        <v>93590</v>
      </c>
      <c r="C606" s="2" t="s">
        <v>1783</v>
      </c>
      <c r="D606" s="315" t="str">
        <f>VLOOKUP($B606,[4]BOLETIM_SEL!$A:$H,4,0)</f>
        <v>Transporte com caminhão basculante de 10 m3, em via urbana pavimentada, adicional para DMT excedente a 30,00 km (unidade: m3xkm). AF_07/2020</v>
      </c>
      <c r="E606" s="2">
        <f>+Dados_DMT!$B$34</f>
        <v>109</v>
      </c>
      <c r="F606" s="2" t="str">
        <f>VLOOKUP($B606,[4]BOLETIM_SEL!$A:$H,6,0)</f>
        <v>M3XKM</v>
      </c>
      <c r="G606" s="1407">
        <f>VLOOKUP($B606,[4]BOLETIM_SEL!$A:$H,7,0)</f>
        <v>0.85</v>
      </c>
      <c r="H606" s="1611">
        <f>ROUND(Recap_Final!K102*E606,2)</f>
        <v>0</v>
      </c>
      <c r="I606" s="877">
        <f>+TRUNC(G606*(1+$J$5),2)</f>
        <v>1.02</v>
      </c>
      <c r="J606" s="1612">
        <f t="shared" si="199"/>
        <v>0</v>
      </c>
      <c r="K606" s="2078">
        <f ca="1">J606/J$967</f>
        <v>0</v>
      </c>
      <c r="L606" s="1574" t="e">
        <f t="shared" si="194"/>
        <v>#DIV/0!</v>
      </c>
      <c r="M606" s="1453">
        <f>IF(H606=0,0,H606/E606)</f>
        <v>0</v>
      </c>
      <c r="N606" s="833"/>
      <c r="O606" s="833"/>
      <c r="Q606" s="833"/>
      <c r="R606" s="833"/>
      <c r="S606" s="833"/>
      <c r="T606" s="833"/>
      <c r="U606" s="833"/>
      <c r="V606" s="833"/>
      <c r="W606" s="833"/>
      <c r="X606" s="833"/>
    </row>
    <row r="607" spans="1:24" s="813" customFormat="1" ht="24.95" hidden="1" customHeight="1" x14ac:dyDescent="0.15">
      <c r="A607" s="2081"/>
      <c r="B607" s="834"/>
      <c r="C607" s="2"/>
      <c r="D607" s="1452" t="s">
        <v>1906</v>
      </c>
      <c r="E607" s="2"/>
      <c r="F607" s="2"/>
      <c r="G607" s="1407"/>
      <c r="H607" s="2"/>
      <c r="I607" s="2"/>
      <c r="J607" s="839" t="str">
        <f>IF(J608=0,"-","")</f>
        <v>-</v>
      </c>
      <c r="K607" s="2"/>
      <c r="L607" s="1574"/>
      <c r="M607" s="1445"/>
      <c r="N607" s="833"/>
      <c r="O607" s="1422"/>
      <c r="Q607" s="833"/>
      <c r="R607" s="833"/>
      <c r="S607" s="833"/>
      <c r="T607" s="833"/>
      <c r="U607" s="833"/>
      <c r="V607" s="833"/>
      <c r="W607" s="833"/>
      <c r="X607" s="833"/>
    </row>
    <row r="608" spans="1:24" s="813" customFormat="1" ht="39.950000000000003" hidden="1" customHeight="1" x14ac:dyDescent="0.15">
      <c r="A608" s="2081">
        <f ca="1">IF(H608&gt;0,A606+0.01,A606)</f>
        <v>6</v>
      </c>
      <c r="B608" s="834">
        <f>IF(AND(M608&lt;=50,E608&lt;=30),95875,IF(AND(M608&lt;=50,E608&gt;30),93590,IF(AND(M608&gt;50,E608&lt;=30),95876,93593)))</f>
        <v>93590</v>
      </c>
      <c r="C608" s="2" t="s">
        <v>1783</v>
      </c>
      <c r="D608" s="315" t="str">
        <f>VLOOKUP($B608,[4]BOLETIM_SEL!$A:$H,4,0)</f>
        <v>Transporte com caminhão basculante de 10 m3, em via urbana pavimentada, adicional para DMT excedente a 30,00 km (unidade: m3xkm). AF_07/2020</v>
      </c>
      <c r="E608" s="2">
        <f>+Dados_DMT!$B$34</f>
        <v>109</v>
      </c>
      <c r="F608" s="2" t="str">
        <f>VLOOKUP($B608,[4]BOLETIM_SEL!$A:$H,6,0)</f>
        <v>M3XKM</v>
      </c>
      <c r="G608" s="1407">
        <f>VLOOKUP($B608,[4]BOLETIM_SEL!$A:$H,7,0)</f>
        <v>0.85</v>
      </c>
      <c r="H608" s="1611">
        <f>ROUND(Recap_Final!K103*E608,2)</f>
        <v>0</v>
      </c>
      <c r="I608" s="877">
        <f>+TRUNC(G608*(1+$J$5),2)</f>
        <v>1.02</v>
      </c>
      <c r="J608" s="1612">
        <f t="shared" si="199"/>
        <v>0</v>
      </c>
      <c r="K608" s="2078">
        <f ca="1">J608/J$967</f>
        <v>0</v>
      </c>
      <c r="L608" s="1574" t="e">
        <f t="shared" si="194"/>
        <v>#DIV/0!</v>
      </c>
      <c r="M608" s="1453">
        <f>IF(H608=0,0,H608/E608)</f>
        <v>0</v>
      </c>
      <c r="N608" s="833"/>
      <c r="O608" s="833"/>
      <c r="Q608" s="833"/>
      <c r="R608" s="833"/>
      <c r="S608" s="833"/>
      <c r="T608" s="833"/>
      <c r="U608" s="833"/>
      <c r="V608" s="833"/>
      <c r="W608" s="833"/>
      <c r="X608" s="833"/>
    </row>
    <row r="609" spans="1:24" s="813" customFormat="1" ht="24.95" hidden="1" customHeight="1" x14ac:dyDescent="0.15">
      <c r="A609" s="2081"/>
      <c r="B609" s="834"/>
      <c r="C609" s="2"/>
      <c r="D609" s="1452" t="s">
        <v>1901</v>
      </c>
      <c r="E609" s="2"/>
      <c r="F609" s="2"/>
      <c r="G609" s="1407"/>
      <c r="H609" s="2"/>
      <c r="I609" s="2"/>
      <c r="J609" s="839" t="str">
        <f>IF(J610=0,"-","")</f>
        <v>-</v>
      </c>
      <c r="K609" s="2"/>
      <c r="L609" s="1574"/>
      <c r="M609" s="1445"/>
      <c r="N609" s="833"/>
      <c r="O609" s="1422"/>
      <c r="Q609" s="833"/>
      <c r="R609" s="833"/>
      <c r="S609" s="833"/>
      <c r="T609" s="833"/>
      <c r="U609" s="833"/>
      <c r="V609" s="833"/>
      <c r="W609" s="833"/>
      <c r="X609" s="833"/>
    </row>
    <row r="610" spans="1:24" s="813" customFormat="1" ht="39.950000000000003" hidden="1" customHeight="1" x14ac:dyDescent="0.15">
      <c r="A610" s="2081">
        <f ca="1">IF(H610&gt;0,A608+0.01,A608)</f>
        <v>6</v>
      </c>
      <c r="B610" s="834">
        <f>IF(AND(M610&lt;=50,E610&lt;=30),95875,IF(AND(M610&lt;=50,E610&gt;30),93590,IF(AND(M610&gt;50,E610&lt;=30),95876,93593)))</f>
        <v>95875</v>
      </c>
      <c r="C610" s="2" t="s">
        <v>1783</v>
      </c>
      <c r="D610" s="315" t="str">
        <f>VLOOKUP($B610,[4]BOLETIM_SEL!$A:$H,4,0)</f>
        <v>Transporte com caminhão basculante de 10 m3, em via urbana pavimentada, DMT até 30,00 km (unidade: m3xkm). AF_07/2020</v>
      </c>
      <c r="E610" s="2">
        <f>+Dados_DMT!$B$32</f>
        <v>0</v>
      </c>
      <c r="F610" s="2" t="str">
        <f>VLOOKUP($B610,[4]BOLETIM_SEL!$A:$H,6,0)</f>
        <v>M3XKM</v>
      </c>
      <c r="G610" s="1407">
        <f>VLOOKUP($B610,[4]BOLETIM_SEL!$A:$H,7,0)</f>
        <v>2.1800000000000002</v>
      </c>
      <c r="H610" s="1611">
        <f>ROUND(Recap_Final!K104*E610,2)</f>
        <v>0</v>
      </c>
      <c r="I610" s="877">
        <f>+TRUNC(G610*(1+$J$5),2)</f>
        <v>2.63</v>
      </c>
      <c r="J610" s="1612">
        <f t="shared" si="199"/>
        <v>0</v>
      </c>
      <c r="K610" s="2078">
        <f ca="1">J610/J$967</f>
        <v>0</v>
      </c>
      <c r="L610" s="1574" t="e">
        <f t="shared" si="194"/>
        <v>#DIV/0!</v>
      </c>
      <c r="M610" s="1453">
        <f>IF(H610=0,0,H610/E610)</f>
        <v>0</v>
      </c>
      <c r="N610" s="833"/>
      <c r="O610" s="833"/>
      <c r="Q610" s="833"/>
      <c r="R610" s="833"/>
      <c r="S610" s="833"/>
      <c r="T610" s="833"/>
      <c r="U610" s="833"/>
      <c r="V610" s="833"/>
      <c r="W610" s="833"/>
      <c r="X610" s="833"/>
    </row>
    <row r="611" spans="1:24" s="813" customFormat="1" ht="24.95" hidden="1" customHeight="1" x14ac:dyDescent="0.15">
      <c r="A611" s="2081"/>
      <c r="B611" s="834"/>
      <c r="C611" s="2"/>
      <c r="D611" s="1452" t="s">
        <v>1902</v>
      </c>
      <c r="E611" s="2"/>
      <c r="F611" s="2"/>
      <c r="G611" s="1407"/>
      <c r="H611" s="2"/>
      <c r="I611" s="2"/>
      <c r="J611" s="839" t="str">
        <f>IF(J612=0,"-","")</f>
        <v>-</v>
      </c>
      <c r="K611" s="2"/>
      <c r="L611" s="1574"/>
      <c r="M611" s="1445"/>
      <c r="N611" s="833"/>
      <c r="O611" s="1422"/>
      <c r="Q611" s="833"/>
      <c r="R611" s="833"/>
      <c r="S611" s="833"/>
      <c r="T611" s="833"/>
      <c r="U611" s="833"/>
      <c r="V611" s="833"/>
      <c r="W611" s="833"/>
      <c r="X611" s="833"/>
    </row>
    <row r="612" spans="1:24" s="813" customFormat="1" ht="39.950000000000003" hidden="1" customHeight="1" x14ac:dyDescent="0.15">
      <c r="A612" s="2081">
        <f ca="1">IF(H612&gt;0,A610+0.01,A610)</f>
        <v>6</v>
      </c>
      <c r="B612" s="834">
        <f>IF(AND(M612&lt;=50,E612&lt;=30),95875,IF(AND(M612&lt;=50,E612&gt;30),93590,IF(AND(M612&gt;50,E612&lt;=30),95876,93593)))</f>
        <v>95875</v>
      </c>
      <c r="C612" s="2" t="s">
        <v>1783</v>
      </c>
      <c r="D612" s="315" t="str">
        <f>VLOOKUP($B612,[4]BOLETIM_SEL!$A:$H,4,0)</f>
        <v>Transporte com caminhão basculante de 10 m3, em via urbana pavimentada, DMT até 30,00 km (unidade: m3xkm). AF_07/2020</v>
      </c>
      <c r="E612" s="2">
        <f>+Dados_DMT!$B$33</f>
        <v>0</v>
      </c>
      <c r="F612" s="2" t="str">
        <f>VLOOKUP($B612,[4]BOLETIM_SEL!$A:$H,6,0)</f>
        <v>M3XKM</v>
      </c>
      <c r="G612" s="1407">
        <f>VLOOKUP($B612,[4]BOLETIM_SEL!$A:$H,7,0)</f>
        <v>2.1800000000000002</v>
      </c>
      <c r="H612" s="1611">
        <f>ROUND(Recap_Final!K105*E612,2)</f>
        <v>0</v>
      </c>
      <c r="I612" s="877">
        <f>+TRUNC(G612*(1+$J$5),2)</f>
        <v>2.63</v>
      </c>
      <c r="J612" s="1612">
        <f t="shared" si="199"/>
        <v>0</v>
      </c>
      <c r="K612" s="2078">
        <f ca="1">J612/J$967</f>
        <v>0</v>
      </c>
      <c r="L612" s="1574" t="e">
        <f t="shared" si="194"/>
        <v>#DIV/0!</v>
      </c>
      <c r="M612" s="1453">
        <f>IF(H612=0,0,H612/E612)</f>
        <v>0</v>
      </c>
      <c r="N612" s="833"/>
      <c r="O612" s="833"/>
      <c r="Q612" s="833"/>
      <c r="R612" s="833"/>
      <c r="S612" s="833"/>
      <c r="T612" s="833"/>
      <c r="U612" s="833"/>
      <c r="V612" s="833"/>
      <c r="W612" s="833"/>
      <c r="X612" s="833"/>
    </row>
    <row r="613" spans="1:24" s="813" customFormat="1" ht="24.95" hidden="1" customHeight="1" x14ac:dyDescent="0.15">
      <c r="A613" s="2081"/>
      <c r="B613" s="834"/>
      <c r="C613" s="2"/>
      <c r="D613" s="1452" t="s">
        <v>1763</v>
      </c>
      <c r="E613" s="2"/>
      <c r="F613" s="2"/>
      <c r="G613" s="1407"/>
      <c r="H613" s="2"/>
      <c r="I613" s="2"/>
      <c r="J613" s="839" t="str">
        <f>IF(J614=0,"-","")</f>
        <v>-</v>
      </c>
      <c r="K613" s="2"/>
      <c r="L613" s="1574"/>
      <c r="M613" s="1445"/>
      <c r="N613" s="833"/>
      <c r="O613" s="1422"/>
      <c r="Q613" s="833"/>
      <c r="R613" s="833"/>
      <c r="S613" s="833"/>
      <c r="T613" s="833"/>
      <c r="U613" s="833"/>
      <c r="V613" s="833"/>
      <c r="W613" s="833"/>
      <c r="X613" s="833"/>
    </row>
    <row r="614" spans="1:24" s="813" customFormat="1" ht="39.950000000000003" hidden="1" customHeight="1" x14ac:dyDescent="0.15">
      <c r="A614" s="2081">
        <f ca="1">IF(H614&gt;0,A612+0.01,A612)</f>
        <v>6</v>
      </c>
      <c r="B614" s="834">
        <f>IF(AND(M614&lt;=50,E614&lt;=30),95878,IF(AND(M614&lt;=50,E614&gt;30),93596,IF(AND(M614&gt;50,E614&lt;=30),95879,93599)))</f>
        <v>93596</v>
      </c>
      <c r="C614" s="2" t="str">
        <f>VLOOKUP($B614,[4]BOLETIM_SEL!$A:$H,2,0)</f>
        <v>SINAPI</v>
      </c>
      <c r="D614" s="315" t="str">
        <f>VLOOKUP($B614,[4]BOLETIM_SEL!$A:$H,4,0)</f>
        <v>Transporte com caminhão basculante de 10 m3, em via urbana pavimentada, adicional para DMT excedente a 30,00 km (unidade: txkm). AF_07/2020</v>
      </c>
      <c r="E614" s="2">
        <f>+Dados_DMT!$B$30</f>
        <v>109</v>
      </c>
      <c r="F614" s="2" t="str">
        <f>VLOOKUP($B614,[4]BOLETIM_SEL!$A:$H,6,0)</f>
        <v>TXKM</v>
      </c>
      <c r="G614" s="1407">
        <f>VLOOKUP($B614,[4]BOLETIM_SEL!$A:$H,7,0)</f>
        <v>0.56999999999999995</v>
      </c>
      <c r="H614" s="1611">
        <f>ROUND(Recap_Final!K113*E614,2)</f>
        <v>0</v>
      </c>
      <c r="I614" s="877">
        <f>+TRUNC(G614*(1+$J$5),2)</f>
        <v>0.68</v>
      </c>
      <c r="J614" s="1612">
        <f t="shared" si="199"/>
        <v>0</v>
      </c>
      <c r="K614" s="2078">
        <f ca="1">J614/J$967</f>
        <v>0</v>
      </c>
      <c r="L614" s="1574" t="e">
        <f t="shared" si="194"/>
        <v>#DIV/0!</v>
      </c>
      <c r="M614" s="1454">
        <f>IF(H614=0,0,H614/E614)</f>
        <v>0</v>
      </c>
      <c r="N614" s="833"/>
      <c r="O614" s="833"/>
      <c r="Q614" s="833"/>
      <c r="R614" s="833"/>
      <c r="S614" s="833"/>
      <c r="T614" s="833"/>
      <c r="U614" s="833"/>
      <c r="V614" s="833"/>
      <c r="W614" s="833"/>
      <c r="X614" s="833"/>
    </row>
    <row r="615" spans="1:24" s="813" customFormat="1" ht="24.95" hidden="1" customHeight="1" x14ac:dyDescent="0.15">
      <c r="A615" s="2081"/>
      <c r="B615" s="834"/>
      <c r="C615" s="2"/>
      <c r="D615" s="1452" t="s">
        <v>1762</v>
      </c>
      <c r="E615" s="2"/>
      <c r="F615" s="2"/>
      <c r="G615" s="1407"/>
      <c r="H615" s="2"/>
      <c r="I615" s="2"/>
      <c r="J615" s="839" t="str">
        <f>IF(J616=0,"-","")</f>
        <v>-</v>
      </c>
      <c r="K615" s="2"/>
      <c r="L615" s="1574"/>
      <c r="M615" s="1445"/>
      <c r="N615" s="833"/>
      <c r="O615" s="1422"/>
      <c r="Q615" s="833"/>
      <c r="R615" s="833"/>
      <c r="S615" s="833"/>
      <c r="T615" s="833"/>
      <c r="U615" s="833"/>
      <c r="V615" s="833"/>
      <c r="W615" s="833"/>
      <c r="X615" s="833"/>
    </row>
    <row r="616" spans="1:24" s="813" customFormat="1" ht="39.950000000000003" hidden="1" customHeight="1" x14ac:dyDescent="0.15">
      <c r="A616" s="2081">
        <f ca="1">IF(H616&gt;0,A614+0.01,A614)</f>
        <v>6</v>
      </c>
      <c r="B616" s="834">
        <f>IF(AND(M616&lt;=50,E616&lt;=30),95875,IF(AND(M616&lt;=50,E616&gt;30),93590,IF(AND(M616&gt;50,E616&lt;=30),95876,93593)))</f>
        <v>95875</v>
      </c>
      <c r="C616" s="2" t="s">
        <v>1783</v>
      </c>
      <c r="D616" s="315" t="str">
        <f>VLOOKUP($B616,[4]BOLETIM_SEL!$A:$H,4,0)</f>
        <v>Transporte com caminhão basculante de 10 m3, em via urbana pavimentada, DMT até 30,00 km (unidade: m3xkm). AF_07/2020</v>
      </c>
      <c r="E616" s="2">
        <f>+Dados_DMT!$B$31</f>
        <v>0</v>
      </c>
      <c r="F616" s="2" t="str">
        <f>VLOOKUP($B616,[4]BOLETIM_SEL!$A:$H,6,0)</f>
        <v>M3XKM</v>
      </c>
      <c r="G616" s="1407">
        <f>VLOOKUP($B616,[4]BOLETIM_SEL!$A:$H,7,0)</f>
        <v>2.1800000000000002</v>
      </c>
      <c r="H616" s="1611">
        <f>ROUND(Recap_Final!K114*E616,2)</f>
        <v>0</v>
      </c>
      <c r="I616" s="877">
        <f>+TRUNC(G616*(1+$J$5),2)</f>
        <v>2.63</v>
      </c>
      <c r="J616" s="1612">
        <f t="shared" si="199"/>
        <v>0</v>
      </c>
      <c r="K616" s="2078">
        <f ca="1">J616/J$967</f>
        <v>0</v>
      </c>
      <c r="L616" s="1574" t="e">
        <f t="shared" si="194"/>
        <v>#DIV/0!</v>
      </c>
      <c r="M616" s="1453">
        <f>IF(H616=0,0,H616/E616)</f>
        <v>0</v>
      </c>
      <c r="N616" s="833"/>
      <c r="O616" s="833"/>
      <c r="Q616" s="833"/>
      <c r="R616" s="833"/>
      <c r="S616" s="833"/>
      <c r="T616" s="833"/>
      <c r="U616" s="833"/>
      <c r="V616" s="833"/>
      <c r="W616" s="833"/>
      <c r="X616" s="833"/>
    </row>
    <row r="617" spans="1:24" s="813" customFormat="1" ht="24.95" hidden="1" customHeight="1" x14ac:dyDescent="0.15">
      <c r="A617" s="2081"/>
      <c r="B617" s="834"/>
      <c r="C617" s="2"/>
      <c r="D617" s="1452" t="s">
        <v>1759</v>
      </c>
      <c r="E617" s="2"/>
      <c r="F617" s="2"/>
      <c r="G617" s="1407"/>
      <c r="H617" s="2"/>
      <c r="I617" s="2"/>
      <c r="J617" s="839" t="str">
        <f>IF(J618=0,"-","")</f>
        <v>-</v>
      </c>
      <c r="K617" s="2"/>
      <c r="L617" s="1574"/>
      <c r="M617" s="1445"/>
      <c r="N617" s="833"/>
      <c r="O617" s="1422"/>
      <c r="Q617" s="833"/>
      <c r="R617" s="833"/>
      <c r="S617" s="833"/>
      <c r="T617" s="833"/>
      <c r="U617" s="833"/>
      <c r="V617" s="833"/>
      <c r="W617" s="833"/>
      <c r="X617" s="833"/>
    </row>
    <row r="618" spans="1:24" s="813" customFormat="1" ht="39.950000000000003" hidden="1" customHeight="1" x14ac:dyDescent="0.15">
      <c r="A618" s="2081">
        <f ca="1">IF(H618&gt;0,A616+0.01,A616)</f>
        <v>6</v>
      </c>
      <c r="B618" s="834">
        <v>102333</v>
      </c>
      <c r="C618" s="2" t="s">
        <v>1783</v>
      </c>
      <c r="D618" s="315" t="str">
        <f>VLOOKUP($B618,[4]BOLETIM_SEL!$A:$H,4,0)</f>
        <v>Transporte com caminhão tanque de transporte de material asfáltico de 20.000 l, em via urbana pavimentada, adicional para DMT excedente a 30,00 km (unidade: txkm). AF_07/2020</v>
      </c>
      <c r="E618" s="2">
        <f>+Dados_DMT!$B$25</f>
        <v>109</v>
      </c>
      <c r="F618" s="2" t="str">
        <f>VLOOKUP($B618,[4]BOLETIM_SEL!$A:$H,6,0)</f>
        <v>TXKM</v>
      </c>
      <c r="G618" s="1407">
        <f>VLOOKUP($B618,[4]BOLETIM_SEL!$A:$H,7,0)</f>
        <v>0.65</v>
      </c>
      <c r="H618" s="1611">
        <f>ROUND((Recap_Final!K106+Recap_Final!K107+Recap_Final!K108)*E618,2)</f>
        <v>0</v>
      </c>
      <c r="I618" s="877">
        <f>+TRUNC(G618*(1+$J$5),2)</f>
        <v>0.78</v>
      </c>
      <c r="J618" s="1612">
        <f t="shared" si="199"/>
        <v>0</v>
      </c>
      <c r="K618" s="2078">
        <f ca="1">J618/J$967</f>
        <v>0</v>
      </c>
      <c r="L618" s="1574" t="e">
        <f t="shared" si="194"/>
        <v>#DIV/0!</v>
      </c>
      <c r="M618" s="1454">
        <f>IF(H618=0,0,H618/E618)</f>
        <v>0</v>
      </c>
      <c r="N618" s="833"/>
      <c r="O618" s="833"/>
      <c r="Q618" s="833"/>
      <c r="R618" s="833"/>
      <c r="S618" s="833"/>
      <c r="T618" s="833"/>
      <c r="U618" s="833"/>
      <c r="V618" s="833"/>
      <c r="W618" s="833"/>
      <c r="X618" s="833"/>
    </row>
    <row r="619" spans="1:24" s="813" customFormat="1" ht="24.95" hidden="1" customHeight="1" x14ac:dyDescent="0.15">
      <c r="A619" s="2081"/>
      <c r="B619" s="834"/>
      <c r="C619" s="2"/>
      <c r="D619" s="1452" t="s">
        <v>1794</v>
      </c>
      <c r="E619" s="2"/>
      <c r="F619" s="2"/>
      <c r="G619" s="1407"/>
      <c r="H619" s="2"/>
      <c r="I619" s="2"/>
      <c r="J619" s="839" t="str">
        <f>IF(J620=0,"-","")</f>
        <v>-</v>
      </c>
      <c r="K619" s="2"/>
      <c r="L619" s="1574"/>
      <c r="M619" s="1445"/>
      <c r="N619" s="833"/>
      <c r="O619" s="1422"/>
      <c r="Q619" s="833"/>
      <c r="R619" s="833"/>
      <c r="S619" s="833"/>
      <c r="T619" s="833"/>
      <c r="U619" s="833"/>
      <c r="V619" s="833"/>
      <c r="W619" s="833"/>
      <c r="X619" s="833"/>
    </row>
    <row r="620" spans="1:24" s="813" customFormat="1" ht="39.950000000000003" hidden="1" customHeight="1" x14ac:dyDescent="0.15">
      <c r="A620" s="2081">
        <f ca="1">IF(H620&gt;0,A618+0.01,A618)</f>
        <v>6</v>
      </c>
      <c r="B620" s="834">
        <v>102332</v>
      </c>
      <c r="C620" s="2" t="s">
        <v>1783</v>
      </c>
      <c r="D620" s="315" t="str">
        <f>VLOOKUP($B620,[4]BOLETIM_SEL!$A:$H,4,0)</f>
        <v>Transporte com caminhão tanque de transporte de material asfáltico de 20.000 l, em via urbana pavimentada, DMT até 30,00 km (unidade: txkm). AF_07/2020</v>
      </c>
      <c r="E620" s="2">
        <f>+Dados_DMT!$B$26</f>
        <v>0</v>
      </c>
      <c r="F620" s="2" t="str">
        <f>VLOOKUP($B620,[4]BOLETIM_SEL!$A:$H,6,0)</f>
        <v>TXKM</v>
      </c>
      <c r="G620" s="1407">
        <f>VLOOKUP($B620,[4]BOLETIM_SEL!$A:$H,7,0)</f>
        <v>1.63</v>
      </c>
      <c r="H620" s="1611">
        <f>ROUND(Recap_Final!K109*E620,2)</f>
        <v>0</v>
      </c>
      <c r="I620" s="877">
        <f>+TRUNC(G620*(1+$J$5),2)</f>
        <v>1.96</v>
      </c>
      <c r="J620" s="1612">
        <f>TRUNC(H620*I620,2)</f>
        <v>0</v>
      </c>
      <c r="K620" s="2078">
        <f ca="1">J620/J$967</f>
        <v>0</v>
      </c>
      <c r="L620" s="1574" t="e">
        <f t="shared" si="194"/>
        <v>#DIV/0!</v>
      </c>
      <c r="M620" s="1454">
        <f>IF(H620=0,0,H620/E620)</f>
        <v>0</v>
      </c>
      <c r="N620" s="833"/>
      <c r="O620" s="833"/>
      <c r="Q620" s="833"/>
      <c r="R620" s="833"/>
      <c r="S620" s="833"/>
      <c r="T620" s="833"/>
      <c r="U620" s="833"/>
      <c r="V620" s="833"/>
      <c r="W620" s="833"/>
      <c r="X620" s="833"/>
    </row>
    <row r="621" spans="1:24" s="813" customFormat="1" ht="24.95" hidden="1" customHeight="1" x14ac:dyDescent="0.15">
      <c r="A621" s="2081"/>
      <c r="B621" s="834"/>
      <c r="C621" s="2"/>
      <c r="D621" s="1452" t="s">
        <v>1761</v>
      </c>
      <c r="E621" s="2"/>
      <c r="F621" s="2"/>
      <c r="G621" s="1407"/>
      <c r="H621" s="2"/>
      <c r="I621" s="2"/>
      <c r="J621" s="839" t="str">
        <f>IF(J622=0,"-","")</f>
        <v>-</v>
      </c>
      <c r="K621" s="2"/>
      <c r="L621" s="1574"/>
      <c r="M621" s="1445"/>
      <c r="N621" s="833"/>
      <c r="O621" s="1422"/>
      <c r="Q621" s="833"/>
      <c r="R621" s="833"/>
      <c r="S621" s="833"/>
      <c r="T621" s="833"/>
      <c r="U621" s="833"/>
      <c r="V621" s="833"/>
      <c r="W621" s="833"/>
      <c r="X621" s="833"/>
    </row>
    <row r="622" spans="1:24" s="813" customFormat="1" ht="39.950000000000003" hidden="1" customHeight="1" x14ac:dyDescent="0.15">
      <c r="A622" s="2081">
        <f ca="1">IF(H622&gt;0,A620+0.01,A620)</f>
        <v>6</v>
      </c>
      <c r="B622" s="834">
        <v>102333</v>
      </c>
      <c r="C622" s="2" t="s">
        <v>1783</v>
      </c>
      <c r="D622" s="315" t="str">
        <f>VLOOKUP($B622,[4]BOLETIM_SEL!$A:$H,4,0)</f>
        <v>Transporte com caminhão tanque de transporte de material asfáltico de 20.000 l, em via urbana pavimentada, adicional para DMT excedente a 30,00 km (unidade: txkm). AF_07/2020</v>
      </c>
      <c r="E622" s="2">
        <f>+Dados_DMT!B27</f>
        <v>0</v>
      </c>
      <c r="F622" s="2" t="str">
        <f>VLOOKUP($B622,[4]BOLETIM_SEL!$A:$H,6,0)</f>
        <v>TXKM</v>
      </c>
      <c r="G622" s="1407">
        <f>VLOOKUP($B622,[4]BOLETIM_SEL!$A:$H,7,0)</f>
        <v>0.65</v>
      </c>
      <c r="H622" s="1611">
        <f>ROUND((Recap_Final!K110+Recap_Final!K111+Recap_Final!K112)*E622,2)</f>
        <v>0</v>
      </c>
      <c r="I622" s="877">
        <f>+TRUNC(G622*(1+$J$5),2)</f>
        <v>0.78</v>
      </c>
      <c r="J622" s="1612">
        <f t="shared" si="199"/>
        <v>0</v>
      </c>
      <c r="K622" s="2078">
        <f ca="1">J622/J$967</f>
        <v>0</v>
      </c>
      <c r="L622" s="1574" t="e">
        <f t="shared" si="194"/>
        <v>#DIV/0!</v>
      </c>
      <c r="M622" s="1454">
        <f>IF(H622=0,0,H622/E622)</f>
        <v>0</v>
      </c>
      <c r="N622" s="833"/>
      <c r="O622" s="833"/>
      <c r="Q622" s="833"/>
      <c r="R622" s="833"/>
      <c r="S622" s="833"/>
      <c r="T622" s="833"/>
      <c r="U622" s="833"/>
      <c r="V622" s="833"/>
      <c r="W622" s="833"/>
      <c r="X622" s="833"/>
    </row>
    <row r="623" spans="1:24" s="813" customFormat="1" ht="24.95" hidden="1" customHeight="1" x14ac:dyDescent="0.15">
      <c r="A623" s="2081"/>
      <c r="B623" s="834"/>
      <c r="C623" s="834"/>
      <c r="D623" s="835"/>
      <c r="E623" s="2"/>
      <c r="F623" s="834"/>
      <c r="G623" s="1407"/>
      <c r="H623" s="1"/>
      <c r="I623" s="877"/>
      <c r="J623" s="839">
        <f>IF(J582=0,0,"")</f>
        <v>0</v>
      </c>
      <c r="K623" s="2078"/>
      <c r="L623" s="1574"/>
      <c r="M623" s="1446"/>
      <c r="N623" s="833"/>
      <c r="O623" s="833"/>
      <c r="Q623" s="833"/>
      <c r="R623" s="833"/>
      <c r="S623" s="833"/>
      <c r="T623" s="833"/>
      <c r="U623" s="833"/>
      <c r="V623" s="833"/>
      <c r="W623" s="833"/>
      <c r="X623" s="833"/>
    </row>
    <row r="624" spans="1:24" s="833" customFormat="1" ht="24.95" customHeight="1" x14ac:dyDescent="0.15">
      <c r="A624" s="2082">
        <f ca="1">IF(J624&gt;0,INT(A622)+1,IF(J624=0,INT(A622),0))</f>
        <v>7</v>
      </c>
      <c r="B624" s="1633"/>
      <c r="C624" s="1633"/>
      <c r="D624" s="1634" t="s">
        <v>439</v>
      </c>
      <c r="E624" s="1828"/>
      <c r="F624" s="1635"/>
      <c r="G624" s="1820" t="s">
        <v>650</v>
      </c>
      <c r="H624" s="1637"/>
      <c r="I624" s="1640" t="str">
        <f ca="1">CONCATENATE("SUB-TOTAL ",A624)</f>
        <v>SUB-TOTAL 7</v>
      </c>
      <c r="J624" s="1639">
        <f>SUM(J625:J643)</f>
        <v>306380.45999999996</v>
      </c>
      <c r="K624" s="2079">
        <f t="shared" ref="K624:K633" ca="1" si="200">J624/J$967</f>
        <v>2.2863091025686535E-2</v>
      </c>
      <c r="L624" s="1610">
        <f t="shared" ref="L624:L633" si="201">+J624/$J$624</f>
        <v>1</v>
      </c>
    </row>
    <row r="625" spans="1:24" s="813" customFormat="1" ht="39.950000000000003" hidden="1" customHeight="1" x14ac:dyDescent="0.15">
      <c r="A625" s="2081">
        <f t="shared" ref="A625:A633" ca="1" si="202">+IF(H625&gt;0,A624+0.01,A624)</f>
        <v>7</v>
      </c>
      <c r="B625" s="834">
        <v>98525</v>
      </c>
      <c r="C625" s="2" t="str">
        <f>+VLOOKUP($B625,[4]BOLETIM_SEL!$A:$H,2,0)</f>
        <v>SINAPI</v>
      </c>
      <c r="D625" s="315" t="str">
        <f>+VLOOKUP($B625,[4]BOLETIM_SEL!$A:$H,4,0)</f>
        <v>Limpeza mecanizada de camada vegetal, vegetação e pequenas árvores (diâmetro nominal de tronco menor que 0,20 m), com trator de esteiras. AF_05/2018</v>
      </c>
      <c r="E625" s="2"/>
      <c r="F625" s="2" t="str">
        <f>+VLOOKUP($B625,[4]BOLETIM_SEL!$A:$H,6,0)</f>
        <v>M2</v>
      </c>
      <c r="G625" s="1407">
        <f>VLOOKUP($B625,[4]BOLETIM_SEL!$A:$H,7,0)</f>
        <v>0.34</v>
      </c>
      <c r="H625" s="1611">
        <f>+Pav_Terraplenagem!Y10</f>
        <v>0</v>
      </c>
      <c r="I625" s="877">
        <f t="shared" ref="I625:I630" si="203">+TRUNC(G625*(1+$J$5),2)</f>
        <v>0.41</v>
      </c>
      <c r="J625" s="1612">
        <f t="shared" ref="J625:J630" si="204">TRUNC(H625*I625,2)</f>
        <v>0</v>
      </c>
      <c r="K625" s="2078">
        <f t="shared" ca="1" si="200"/>
        <v>0</v>
      </c>
      <c r="L625" s="1574">
        <f t="shared" si="201"/>
        <v>0</v>
      </c>
      <c r="M625" s="1445"/>
      <c r="N625" s="1655" t="s">
        <v>1962</v>
      </c>
      <c r="O625" s="1655" t="s">
        <v>1988</v>
      </c>
      <c r="Q625" s="833"/>
      <c r="R625" s="833"/>
      <c r="S625" s="833"/>
      <c r="T625" s="833"/>
      <c r="U625" s="833"/>
      <c r="V625" s="833"/>
      <c r="W625" s="833"/>
      <c r="X625" s="833"/>
    </row>
    <row r="626" spans="1:24" s="813" customFormat="1" ht="30" customHeight="1" x14ac:dyDescent="0.15">
      <c r="A626" s="2081">
        <f t="shared" ca="1" si="202"/>
        <v>7.01</v>
      </c>
      <c r="B626" s="834" t="s">
        <v>1796</v>
      </c>
      <c r="C626" s="2" t="str">
        <f>+VLOOKUP($B626,[4]BOLETIM_SEL!$A:$H,2,0)</f>
        <v>COMPOSIÇÃO</v>
      </c>
      <c r="D626" s="315" t="str">
        <f>+VLOOKUP($B626,[4]BOLETIM_SEL!$A:$H,4,0)</f>
        <v>Preparo do subleito, escavação e carga. Exclusive transporte</v>
      </c>
      <c r="E626" s="2"/>
      <c r="F626" s="2" t="str">
        <f>+VLOOKUP($B626,[4]BOLETIM_SEL!$A:$H,6,0)</f>
        <v>M3</v>
      </c>
      <c r="G626" s="1407">
        <f>VLOOKUP($B626,[4]BOLETIM_SEL!$A:$H,7,0)</f>
        <v>5.51</v>
      </c>
      <c r="H626" s="1611">
        <f>+Pav_Terraplenagem!Y105</f>
        <v>7392.66</v>
      </c>
      <c r="I626" s="877">
        <f t="shared" si="203"/>
        <v>6.65</v>
      </c>
      <c r="J626" s="1612">
        <f t="shared" si="204"/>
        <v>49161.18</v>
      </c>
      <c r="K626" s="2078">
        <f t="shared" ca="1" si="200"/>
        <v>3.6685646769711111E-3</v>
      </c>
      <c r="L626" s="1574">
        <f t="shared" si="201"/>
        <v>0.16045794826471638</v>
      </c>
      <c r="M626" s="1445"/>
      <c r="N626" s="1654">
        <f>VLOOKUP($B626,[4]BOLETIM_SEL!$A:$H,3,0)</f>
        <v>42</v>
      </c>
      <c r="O626" s="1652">
        <f>+H626/N626</f>
        <v>176.0157142857143</v>
      </c>
      <c r="Q626" s="833"/>
      <c r="R626" s="833"/>
      <c r="S626" s="833"/>
      <c r="T626" s="833"/>
      <c r="U626" s="833"/>
      <c r="V626" s="833"/>
      <c r="W626" s="833"/>
      <c r="X626" s="833"/>
    </row>
    <row r="627" spans="1:24" s="813" customFormat="1" ht="39.950000000000003" hidden="1" customHeight="1" x14ac:dyDescent="0.15">
      <c r="A627" s="2081">
        <f t="shared" ca="1" si="202"/>
        <v>7.01</v>
      </c>
      <c r="B627" s="834" t="s">
        <v>195</v>
      </c>
      <c r="C627" s="2" t="str">
        <f>+VLOOKUP($B627,[4]BOLETIM_SEL!$A:$H,2,0)</f>
        <v>COMPOSIÇÃO</v>
      </c>
      <c r="D627" s="315" t="str">
        <f>+VLOOKUP($B627,[4]BOLETIM_SEL!$A:$H,4,0)</f>
        <v>Colchão de rachão e/ou pedra-de-mão, com camada final de pedra brita. Fornecimento e execução. Exclusive transporte da pedra</v>
      </c>
      <c r="E627" s="2"/>
      <c r="F627" s="2" t="str">
        <f>+VLOOKUP($B627,[4]BOLETIM_SEL!$A:$H,6,0)</f>
        <v>M3</v>
      </c>
      <c r="G627" s="1407">
        <f>VLOOKUP($B627,[4]BOLETIM_SEL!$A:$H,7,0)</f>
        <v>137.47</v>
      </c>
      <c r="H627" s="1611">
        <f>+Pav_Terraplenagem!Y102</f>
        <v>0</v>
      </c>
      <c r="I627" s="877">
        <f t="shared" si="203"/>
        <v>165.92</v>
      </c>
      <c r="J627" s="1612">
        <f t="shared" si="204"/>
        <v>0</v>
      </c>
      <c r="K627" s="2078">
        <f t="shared" ca="1" si="200"/>
        <v>0</v>
      </c>
      <c r="L627" s="1574">
        <f t="shared" si="201"/>
        <v>0</v>
      </c>
      <c r="M627" s="1445"/>
      <c r="N627" s="833"/>
      <c r="O627" s="833"/>
      <c r="Q627" s="833"/>
      <c r="R627" s="833"/>
      <c r="S627" s="833"/>
      <c r="T627" s="833"/>
      <c r="U627" s="833"/>
      <c r="V627" s="833"/>
      <c r="W627" s="833"/>
      <c r="X627" s="833"/>
    </row>
    <row r="628" spans="1:24" s="813" customFormat="1" ht="50.1" hidden="1" customHeight="1" x14ac:dyDescent="0.15">
      <c r="A628" s="2081">
        <f t="shared" ca="1" si="202"/>
        <v>7.01</v>
      </c>
      <c r="B628" s="834">
        <v>101230</v>
      </c>
      <c r="C628" s="2" t="str">
        <f>+VLOOKUP($B628,[4]BOLETIM_SEL!$A:$H,2,0)</f>
        <v>SINAPI</v>
      </c>
      <c r="D628" s="315" t="str">
        <f>+VLOOKUP($B628,[4]BOLETIM_SEL!$A:$H,4,0)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628" s="2"/>
      <c r="F628" s="2" t="str">
        <f>+VLOOKUP($B628,[4]BOLETIM_SEL!$A:$H,6,0)</f>
        <v>M3</v>
      </c>
      <c r="G628" s="1407">
        <f>VLOOKUP($B628,[4]BOLETIM_SEL!$A:$H,7,0)</f>
        <v>10.029999999999999</v>
      </c>
      <c r="H628" s="1611">
        <f>IF(M631="COMERCIAL",0,Pav_Terraplenagem!Y107)</f>
        <v>0</v>
      </c>
      <c r="I628" s="877">
        <f t="shared" si="203"/>
        <v>12.1</v>
      </c>
      <c r="J628" s="1612">
        <f t="shared" si="204"/>
        <v>0</v>
      </c>
      <c r="K628" s="2078">
        <f t="shared" ca="1" si="200"/>
        <v>0</v>
      </c>
      <c r="L628" s="1574">
        <f t="shared" si="201"/>
        <v>0</v>
      </c>
      <c r="M628" s="1445"/>
      <c r="N628" s="833"/>
      <c r="O628" s="833"/>
      <c r="Q628" s="833"/>
      <c r="R628" s="833"/>
      <c r="S628" s="833"/>
      <c r="T628" s="833"/>
      <c r="U628" s="833"/>
      <c r="V628" s="833"/>
      <c r="W628" s="833"/>
      <c r="X628" s="833"/>
    </row>
    <row r="629" spans="1:24" s="813" customFormat="1" ht="50.1" hidden="1" customHeight="1" x14ac:dyDescent="0.15">
      <c r="A629" s="2081">
        <f t="shared" ca="1" si="202"/>
        <v>7.01</v>
      </c>
      <c r="B629" s="834">
        <v>101232</v>
      </c>
      <c r="C629" s="2" t="str">
        <f>+VLOOKUP($B629,[4]BOLETIM_SEL!$A:$H,2,0)</f>
        <v>SINAPI</v>
      </c>
      <c r="D629" s="315" t="str">
        <f>+VLOOKUP($B629,[4]BOLETIM_SEL!$A:$H,4,0)</f>
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</c>
      <c r="E629" s="2"/>
      <c r="F629" s="2" t="str">
        <f>+VLOOKUP($B629,[4]BOLETIM_SEL!$A:$H,6,0)</f>
        <v>M3</v>
      </c>
      <c r="G629" s="1407">
        <f>VLOOKUP($B629,[4]BOLETIM_SEL!$A:$H,7,0)</f>
        <v>8.57</v>
      </c>
      <c r="H629" s="1611">
        <f>+Pav_Terraplenagem!Y103</f>
        <v>0</v>
      </c>
      <c r="I629" s="877">
        <f t="shared" si="203"/>
        <v>10.34</v>
      </c>
      <c r="J629" s="1612">
        <f t="shared" si="204"/>
        <v>0</v>
      </c>
      <c r="K629" s="2078">
        <f t="shared" ca="1" si="200"/>
        <v>0</v>
      </c>
      <c r="L629" s="1574">
        <f t="shared" si="201"/>
        <v>0</v>
      </c>
      <c r="M629" s="1445"/>
      <c r="N629" s="833"/>
      <c r="O629" s="833"/>
      <c r="Q629" s="833"/>
      <c r="R629" s="833"/>
      <c r="S629" s="1816"/>
      <c r="T629" s="833"/>
      <c r="U629" s="833"/>
      <c r="V629" s="833"/>
      <c r="W629" s="833"/>
      <c r="X629" s="833"/>
    </row>
    <row r="630" spans="1:24" s="813" customFormat="1" ht="39.950000000000003" customHeight="1" x14ac:dyDescent="0.15">
      <c r="A630" s="2081">
        <f t="shared" ca="1" si="202"/>
        <v>7.02</v>
      </c>
      <c r="B630" s="2">
        <v>96385</v>
      </c>
      <c r="C630" s="2" t="str">
        <f>+VLOOKUP($B630,[4]BOLETIM_SEL!$A:$H,2,0)</f>
        <v>SINAPI</v>
      </c>
      <c r="D630" s="315" t="str">
        <f>+VLOOKUP($B630,[4]BOLETIM_SEL!$A:$H,4,0)</f>
        <v>Execução e compactação de aterro com solo predominantemente argiloso - exclusive solo, escavação, carga e transporte. AF_11/2019</v>
      </c>
      <c r="E630" s="2"/>
      <c r="F630" s="2" t="str">
        <f>+VLOOKUP($B630,[4]BOLETIM_SEL!$A:$H,6,0)</f>
        <v>M3</v>
      </c>
      <c r="G630" s="1407">
        <f>VLOOKUP($B630,[4]BOLETIM_SEL!$A:$H,7,0)</f>
        <v>10.9</v>
      </c>
      <c r="H630" s="1611">
        <f>+Pav_Terraplenagem!Y106</f>
        <v>3633.19</v>
      </c>
      <c r="I630" s="877">
        <f t="shared" si="203"/>
        <v>13.15</v>
      </c>
      <c r="J630" s="1612">
        <f t="shared" si="204"/>
        <v>47776.44</v>
      </c>
      <c r="K630" s="2078">
        <f t="shared" ca="1" si="200"/>
        <v>3.5652309439161076E-3</v>
      </c>
      <c r="L630" s="1574">
        <f t="shared" si="201"/>
        <v>0.15593827360922433</v>
      </c>
      <c r="M630" s="1589" t="s">
        <v>2099</v>
      </c>
      <c r="N630" s="833"/>
      <c r="O630" s="833"/>
      <c r="Q630" s="833"/>
      <c r="R630" s="833"/>
      <c r="S630" s="833"/>
      <c r="T630" s="833"/>
      <c r="U630" s="833"/>
      <c r="V630" s="833"/>
      <c r="W630" s="833"/>
      <c r="X630" s="833"/>
    </row>
    <row r="631" spans="1:24" s="813" customFormat="1" ht="39.950000000000003" customHeight="1" x14ac:dyDescent="0.15">
      <c r="A631" s="2081">
        <f t="shared" ca="1" si="202"/>
        <v>7.0299999999999994</v>
      </c>
      <c r="B631" s="834">
        <v>6079</v>
      </c>
      <c r="C631" s="2" t="str">
        <f>+VLOOKUP($B631,[4]BOLETIM_SEL!$A:$H,2,0)</f>
        <v>COTAÇÃO - SINAPI</v>
      </c>
      <c r="D631" s="315" t="str">
        <f>+VLOOKUP($B631,[4]BOLETIM_SEL!$A:$H,4,0)</f>
        <v>Argila, argila vermelha ou argila arenosa (retirada na jazida, sem transporte)</v>
      </c>
      <c r="E631" s="2230" t="s">
        <v>2647</v>
      </c>
      <c r="F631" s="2" t="str">
        <f>+VLOOKUP($B631,[4]BOLETIM_SEL!$A:$H,6,0)</f>
        <v xml:space="preserve">M3    </v>
      </c>
      <c r="G631" s="1407">
        <f>VLOOKUP($B631,[4]BOLETIM_SEL!$A:$H,7,0)</f>
        <v>33.700000000000003</v>
      </c>
      <c r="H631" s="1611">
        <f>IF(M631="COMERCIAL",Pav_Terraplenagem!Y107,0)</f>
        <v>1903.15</v>
      </c>
      <c r="I631" s="2231">
        <f t="shared" ref="I631" si="205">TRUNC(G631*(1+$J$6),2)</f>
        <v>38.840000000000003</v>
      </c>
      <c r="J631" s="1612">
        <f t="shared" ref="J631:J674" si="206">TRUNC(H631*I631,2)</f>
        <v>73918.34</v>
      </c>
      <c r="K631" s="2078">
        <f t="shared" ca="1" si="200"/>
        <v>5.5160232342742945E-3</v>
      </c>
      <c r="L631" s="1574">
        <f t="shared" si="201"/>
        <v>0.24126323199593083</v>
      </c>
      <c r="M631" s="1589" t="s">
        <v>410</v>
      </c>
      <c r="N631" s="833"/>
      <c r="O631" s="833"/>
      <c r="Q631" s="833"/>
      <c r="R631" s="833"/>
      <c r="S631" s="833"/>
      <c r="T631" s="833"/>
      <c r="U631" s="833"/>
      <c r="V631" s="833"/>
      <c r="W631" s="833"/>
      <c r="X631" s="833"/>
    </row>
    <row r="632" spans="1:24" s="813" customFormat="1" ht="39.950000000000003" customHeight="1" x14ac:dyDescent="0.15">
      <c r="A632" s="2081">
        <f t="shared" ca="1" si="202"/>
        <v>7.0399999999999991</v>
      </c>
      <c r="B632" s="834">
        <f>IF(M632="escavadeira",100979,100974)</f>
        <v>100979</v>
      </c>
      <c r="C632" s="2" t="str">
        <f>VLOOKUP($B632,[4]BOLETIM_SEL!$A:$H,2,0)</f>
        <v>SINAPI</v>
      </c>
      <c r="D632" s="315" t="str">
        <f>VLOOKUP($B632,[4]BOLETIM_SEL!$A:$H,4,0)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32" s="2"/>
      <c r="F632" s="2" t="str">
        <f>VLOOKUP($B632,[4]BOLETIM_SEL!$A:$H,6,0)</f>
        <v>M3</v>
      </c>
      <c r="G632" s="1407">
        <f>VLOOKUP($B632,[4]BOLETIM_SEL!$A:$H,7,0)</f>
        <v>6.01</v>
      </c>
      <c r="H632" s="1611">
        <f>Pav_Terraplenagem!Y110+IF(Pav_Terraplenagem!Y108&lt;=50,Pav_Terraplenagem!Y108,0)</f>
        <v>2638.33</v>
      </c>
      <c r="I632" s="877">
        <f>+TRUNC(G632*(1+$J$5),2)</f>
        <v>7.25</v>
      </c>
      <c r="J632" s="1612">
        <f t="shared" si="206"/>
        <v>19127.89</v>
      </c>
      <c r="K632" s="2078">
        <f t="shared" ca="1" si="200"/>
        <v>1.4273844036898412E-3</v>
      </c>
      <c r="L632" s="1574">
        <f t="shared" si="201"/>
        <v>6.2431820880483047E-2</v>
      </c>
      <c r="M632" s="1589" t="s">
        <v>2106</v>
      </c>
      <c r="N632" s="833"/>
      <c r="O632" s="833"/>
      <c r="Q632" s="833"/>
      <c r="R632" s="833"/>
      <c r="S632" s="833"/>
      <c r="T632" s="833"/>
      <c r="U632" s="833"/>
      <c r="V632" s="833"/>
      <c r="W632" s="833"/>
      <c r="X632" s="833"/>
    </row>
    <row r="633" spans="1:24" s="813" customFormat="1" ht="39.950000000000003" hidden="1" customHeight="1" x14ac:dyDescent="0.15">
      <c r="A633" s="2081">
        <f t="shared" ca="1" si="202"/>
        <v>7.0399999999999991</v>
      </c>
      <c r="B633" s="834">
        <f>IF(M633="escavadeira",100979,100975)</f>
        <v>100979</v>
      </c>
      <c r="C633" s="2" t="str">
        <f>VLOOKUP($B633,[4]BOLETIM_SEL!$A:$H,2,0)</f>
        <v>SINAPI</v>
      </c>
      <c r="D633" s="315" t="str">
        <f>VLOOKUP($B633,[4]BOLETIM_SEL!$A:$H,4,0)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33" s="2"/>
      <c r="F633" s="2" t="str">
        <f>VLOOKUP($B633,[4]BOLETIM_SEL!$A:$H,6,0)</f>
        <v>M3</v>
      </c>
      <c r="G633" s="1407">
        <f>VLOOKUP($B633,[4]BOLETIM_SEL!$A:$H,7,0)</f>
        <v>6.01</v>
      </c>
      <c r="H633" s="1613">
        <f>+IF(Pav_Terraplenagem!Y108&gt;50,Pav_Terraplenagem!Y108,0)</f>
        <v>0</v>
      </c>
      <c r="I633" s="2189">
        <f>+TRUNC(G633*(1+$J$5),2)</f>
        <v>7.25</v>
      </c>
      <c r="J633" s="2190">
        <f t="shared" si="206"/>
        <v>0</v>
      </c>
      <c r="K633" s="2191">
        <f t="shared" ca="1" si="200"/>
        <v>0</v>
      </c>
      <c r="L633" s="1574">
        <f t="shared" si="201"/>
        <v>0</v>
      </c>
      <c r="M633" s="1589" t="s">
        <v>2106</v>
      </c>
      <c r="N633" s="833"/>
      <c r="O633" s="833"/>
      <c r="Q633" s="833"/>
      <c r="R633" s="833"/>
      <c r="S633" s="833"/>
      <c r="T633" s="833"/>
      <c r="U633" s="833"/>
      <c r="V633" s="833"/>
      <c r="W633" s="833"/>
      <c r="X633" s="833"/>
    </row>
    <row r="634" spans="1:24" s="813" customFormat="1" ht="24.95" customHeight="1" x14ac:dyDescent="0.15">
      <c r="A634" s="2081"/>
      <c r="B634" s="834"/>
      <c r="C634" s="2"/>
      <c r="D634" s="1452" t="s">
        <v>1797</v>
      </c>
      <c r="E634" s="2"/>
      <c r="F634" s="2"/>
      <c r="G634" s="1407"/>
      <c r="H634" s="2"/>
      <c r="I634" s="2"/>
      <c r="J634" s="839" t="str">
        <f>IF(J635=0,"-","")</f>
        <v/>
      </c>
      <c r="K634" s="2"/>
      <c r="L634" s="1574"/>
      <c r="M634" s="1445" t="s">
        <v>1674</v>
      </c>
      <c r="N634" s="833"/>
      <c r="O634" s="833"/>
      <c r="Q634" s="833"/>
      <c r="R634" s="833"/>
      <c r="S634" s="833"/>
      <c r="T634" s="833"/>
      <c r="U634" s="833"/>
      <c r="V634" s="833"/>
      <c r="W634" s="833"/>
      <c r="X634" s="833"/>
    </row>
    <row r="635" spans="1:24" s="813" customFormat="1" ht="30" customHeight="1" x14ac:dyDescent="0.15">
      <c r="A635" s="2081">
        <f ca="1">+IF(H635&gt;0,A633+0.01,A633)</f>
        <v>7.0499999999999989</v>
      </c>
      <c r="B635" s="834">
        <v>100939</v>
      </c>
      <c r="C635" s="2" t="str">
        <f>VLOOKUP($B635,[4]BOLETIM_SEL!$A:$H,2,0)</f>
        <v>SINAPI</v>
      </c>
      <c r="D635" s="315" t="str">
        <f>VLOOKUP($B635,[4]BOLETIM_SEL!$A:$H,4,0)</f>
        <v>Transporte com caminhão basculante de 14 m3, em via interna (dentro do canteiro - unidade:m3xkm). AF_07/2020</v>
      </c>
      <c r="E635" s="2">
        <f>+Dados_DMT!$B$15</f>
        <v>1</v>
      </c>
      <c r="F635" s="2" t="str">
        <f>VLOOKUP($B635,[4]BOLETIM_SEL!$A:$H,6,0)</f>
        <v>M3XKM</v>
      </c>
      <c r="G635" s="1407">
        <f>VLOOKUP($B635,[4]BOLETIM_SEL!$A:$H,7,0)</f>
        <v>5.89</v>
      </c>
      <c r="H635" s="1611">
        <f>ROUND(Pav_Terraplenagem!Y115*E635,2)</f>
        <v>5276.66</v>
      </c>
      <c r="I635" s="877">
        <f>+TRUNC(G635*(1+$J$5),2)</f>
        <v>7.1</v>
      </c>
      <c r="J635" s="1612">
        <f t="shared" si="206"/>
        <v>37464.28</v>
      </c>
      <c r="K635" s="2078">
        <f ca="1">J635/J$967</f>
        <v>2.7957045428151899E-3</v>
      </c>
      <c r="L635" s="1574">
        <f>+J635/$J$624</f>
        <v>0.12228025246779772</v>
      </c>
      <c r="M635" s="1445"/>
      <c r="N635" s="833"/>
      <c r="O635" s="833"/>
      <c r="Q635" s="833"/>
      <c r="R635" s="833"/>
      <c r="S635" s="833"/>
      <c r="T635" s="833"/>
      <c r="U635" s="833"/>
      <c r="V635" s="833"/>
      <c r="W635" s="833"/>
      <c r="X635" s="833"/>
    </row>
    <row r="636" spans="1:24" s="813" customFormat="1" ht="24.95" hidden="1" customHeight="1" x14ac:dyDescent="0.15">
      <c r="A636" s="2081"/>
      <c r="B636" s="834"/>
      <c r="C636" s="2"/>
      <c r="D636" s="1452" t="s">
        <v>2190</v>
      </c>
      <c r="E636" s="2"/>
      <c r="F636" s="2"/>
      <c r="G636" s="1407"/>
      <c r="H636" s="2"/>
      <c r="I636" s="2"/>
      <c r="J636" s="839" t="str">
        <f>IF(J637=0,"-","")</f>
        <v>-</v>
      </c>
      <c r="K636" s="2"/>
      <c r="L636" s="1574"/>
      <c r="M636" s="1445"/>
      <c r="N636" s="833"/>
      <c r="O636" s="833"/>
      <c r="Q636" s="833"/>
      <c r="R636" s="833"/>
      <c r="S636" s="833"/>
      <c r="T636" s="833"/>
      <c r="U636" s="833"/>
      <c r="V636" s="833"/>
      <c r="W636" s="833"/>
      <c r="X636" s="833"/>
    </row>
    <row r="637" spans="1:24" s="813" customFormat="1" ht="39.950000000000003" hidden="1" customHeight="1" x14ac:dyDescent="0.15">
      <c r="A637" s="2081">
        <f ca="1">+IF(H637&gt;0,A635+0.01,A635)</f>
        <v>7.0499999999999989</v>
      </c>
      <c r="B637" s="834">
        <f>IF(AND(M637&lt;=50,E637&lt;=30),95875,IF(AND(M637&lt;=50,E637&gt;30),93590,IF(AND(M637&gt;50,E637&lt;=30),95876,93593)))</f>
        <v>93590</v>
      </c>
      <c r="C637" s="2" t="str">
        <f>VLOOKUP($B637,[4]BOLETIM_SEL!$A:$H,2,0)</f>
        <v>SINAPI</v>
      </c>
      <c r="D637" s="315" t="str">
        <f>VLOOKUP($B637,[4]BOLETIM_SEL!$A:$H,4,0)</f>
        <v>Transporte com caminhão basculante de 10 m3, em via urbana pavimentada, adicional para DMT excedente a 30,00 km (unidade: m3xkm). AF_07/2020</v>
      </c>
      <c r="E637" s="2">
        <f>+Dados_DMT!$B$34</f>
        <v>109</v>
      </c>
      <c r="F637" s="2" t="str">
        <f>VLOOKUP($B637,[4]BOLETIM_SEL!$A:$H,6,0)</f>
        <v>M3XKM</v>
      </c>
      <c r="G637" s="1407">
        <f>VLOOKUP($B637,[4]BOLETIM_SEL!$A:$H,7,0)</f>
        <v>0.85</v>
      </c>
      <c r="H637" s="1611">
        <f>ROUND(Pav_Terraplenagem!Y111*E637,2)</f>
        <v>0</v>
      </c>
      <c r="I637" s="877">
        <f>+TRUNC(G637*(1+$J$5),2)</f>
        <v>1.02</v>
      </c>
      <c r="J637" s="1612">
        <f t="shared" si="206"/>
        <v>0</v>
      </c>
      <c r="K637" s="2078">
        <f ca="1">J637/J$967</f>
        <v>0</v>
      </c>
      <c r="L637" s="1574">
        <f>+J637/$J$624</f>
        <v>0</v>
      </c>
      <c r="M637" s="1453">
        <f>IF(H637=0,0,H637/E637)</f>
        <v>0</v>
      </c>
      <c r="N637" s="833"/>
      <c r="O637" s="833"/>
      <c r="Q637" s="833"/>
      <c r="R637" s="833"/>
      <c r="S637" s="833"/>
      <c r="T637" s="833"/>
      <c r="U637" s="833"/>
      <c r="V637" s="833"/>
      <c r="W637" s="833"/>
      <c r="X637" s="833"/>
    </row>
    <row r="638" spans="1:24" s="813" customFormat="1" ht="24.95" hidden="1" customHeight="1" x14ac:dyDescent="0.15">
      <c r="A638" s="2081"/>
      <c r="B638" s="834"/>
      <c r="C638" s="2"/>
      <c r="D638" s="1452" t="s">
        <v>1806</v>
      </c>
      <c r="E638" s="2"/>
      <c r="F638" s="2"/>
      <c r="G638" s="1407"/>
      <c r="H638" s="2"/>
      <c r="I638" s="2"/>
      <c r="J638" s="839" t="str">
        <f>IF(J639=0,"-","")</f>
        <v>-</v>
      </c>
      <c r="K638" s="2"/>
      <c r="L638" s="1574"/>
      <c r="M638" s="1445" t="s">
        <v>1953</v>
      </c>
      <c r="N638" s="833"/>
      <c r="O638" s="833"/>
      <c r="Q638" s="833"/>
      <c r="R638" s="833"/>
      <c r="S638" s="833"/>
      <c r="T638" s="833"/>
      <c r="U638" s="833"/>
      <c r="V638" s="833"/>
      <c r="W638" s="833"/>
      <c r="X638" s="833"/>
    </row>
    <row r="639" spans="1:24" s="813" customFormat="1" ht="39.950000000000003" hidden="1" customHeight="1" x14ac:dyDescent="0.15">
      <c r="A639" s="2081">
        <f ca="1">+IF(H639&gt;0,A637+0.01,A637)</f>
        <v>7.0499999999999989</v>
      </c>
      <c r="B639" s="834">
        <f>IF(AND(M639&lt;=50,E639&lt;=30),95875,IF(AND(M639&lt;=50,E639&gt;30),93590,IF(AND(M639&gt;50,E639&lt;=30),95876,93593)))</f>
        <v>95875</v>
      </c>
      <c r="C639" s="2" t="str">
        <f>VLOOKUP($B639,[4]BOLETIM_SEL!$A:$H,2,0)</f>
        <v>SINAPI</v>
      </c>
      <c r="D639" s="315" t="str">
        <f>VLOOKUP($B639,[4]BOLETIM_SEL!$A:$H,4,0)</f>
        <v>Transporte com caminhão basculante de 10 m3, em via urbana pavimentada, DMT até 30,00 km (unidade: m3xkm). AF_07/2020</v>
      </c>
      <c r="E639" s="2">
        <f>Dados_DMT!$B$17</f>
        <v>4</v>
      </c>
      <c r="F639" s="2" t="str">
        <f>VLOOKUP($B639,[4]BOLETIM_SEL!$A:$H,6,0)</f>
        <v>M3XKM</v>
      </c>
      <c r="G639" s="1407">
        <f>VLOOKUP($B639,[4]BOLETIM_SEL!$A:$H,7,0)</f>
        <v>2.1800000000000002</v>
      </c>
      <c r="H639" s="1611">
        <f>ROUND(Pav_Terraplenagem!Y113*E639,2)</f>
        <v>0</v>
      </c>
      <c r="I639" s="877">
        <f>+TRUNC(G639*(1+$J$5),2)</f>
        <v>2.63</v>
      </c>
      <c r="J639" s="1612">
        <f t="shared" si="206"/>
        <v>0</v>
      </c>
      <c r="K639" s="2078">
        <f ca="1">J639/J$967</f>
        <v>0</v>
      </c>
      <c r="L639" s="1574">
        <f>+J639/$J$624</f>
        <v>0</v>
      </c>
      <c r="M639" s="1453">
        <f>IF(H639=0,0,H639/E639)</f>
        <v>0</v>
      </c>
      <c r="N639" s="833"/>
      <c r="O639" s="833"/>
      <c r="Q639" s="833"/>
      <c r="R639" s="833"/>
      <c r="S639" s="833"/>
      <c r="T639" s="833"/>
      <c r="U639" s="833"/>
      <c r="V639" s="833"/>
      <c r="W639" s="833"/>
      <c r="X639" s="833"/>
    </row>
    <row r="640" spans="1:24" s="813" customFormat="1" ht="24.95" customHeight="1" x14ac:dyDescent="0.15">
      <c r="A640" s="2081"/>
      <c r="B640" s="834"/>
      <c r="C640" s="2"/>
      <c r="D640" s="1452" t="s">
        <v>1803</v>
      </c>
      <c r="E640" s="2"/>
      <c r="F640" s="2"/>
      <c r="G640" s="1407"/>
      <c r="H640" s="2"/>
      <c r="I640" s="2"/>
      <c r="J640" s="839" t="str">
        <f>IF(J641=0,"-","")</f>
        <v/>
      </c>
      <c r="K640" s="2"/>
      <c r="L640" s="1574"/>
      <c r="M640" s="1445" t="s">
        <v>1951</v>
      </c>
      <c r="N640" s="833"/>
      <c r="O640" s="833"/>
      <c r="Q640" s="833"/>
      <c r="R640" s="833"/>
      <c r="S640" s="833"/>
      <c r="T640" s="833"/>
      <c r="U640" s="833"/>
      <c r="V640" s="833"/>
      <c r="W640" s="833"/>
      <c r="X640" s="833"/>
    </row>
    <row r="641" spans="1:25" s="813" customFormat="1" ht="39.950000000000003" customHeight="1" x14ac:dyDescent="0.15">
      <c r="A641" s="2081">
        <f ca="1">+IF(H641&gt;0,A639+0.01,A639)</f>
        <v>7.0599999999999987</v>
      </c>
      <c r="B641" s="834">
        <f>IF(AND(M641&lt;=50,E641&lt;=30),95875,IF(AND(M641&lt;=50,E641&gt;30),93590,IF(AND(M641&gt;50,E641&lt;=30),95876,93593)))</f>
        <v>95876</v>
      </c>
      <c r="C641" s="2" t="str">
        <f>VLOOKUP($B641,[4]BOLETIM_SEL!$A:$H,2,0)</f>
        <v>SINAPI</v>
      </c>
      <c r="D641" s="315" t="str">
        <f>VLOOKUP($B641,[4]BOLETIM_SEL!$A:$H,4,0)</f>
        <v>Transporte com caminhão basculante de 14 m3, em via urbana pavimentada, DMT até 30,00 km (unidade: m3xkm). AF_07/2020</v>
      </c>
      <c r="E641" s="2">
        <f>+Dados_DMT!$B$17</f>
        <v>4</v>
      </c>
      <c r="F641" s="2" t="str">
        <f>VLOOKUP($B641,[4]BOLETIM_SEL!$A:$H,6,0)</f>
        <v>M3XKM</v>
      </c>
      <c r="G641" s="1407">
        <f>VLOOKUP($B641,[4]BOLETIM_SEL!$A:$H,7,0)</f>
        <v>1.93</v>
      </c>
      <c r="H641" s="1611">
        <f>ROUND(Pav_Terraplenagem!Y114*E641,2)</f>
        <v>26409.96</v>
      </c>
      <c r="I641" s="877">
        <f>+TRUNC(G641*(1+$J$5),2)</f>
        <v>2.3199999999999998</v>
      </c>
      <c r="J641" s="1612">
        <f t="shared" si="206"/>
        <v>61271.1</v>
      </c>
      <c r="K641" s="2078">
        <f ca="1">J641/J$967</f>
        <v>4.5722456861117785E-3</v>
      </c>
      <c r="L641" s="1574">
        <f>+J641/$J$624</f>
        <v>0.1999837065327208</v>
      </c>
      <c r="M641" s="1453">
        <f>IF(H641=0,0,H641/E641)</f>
        <v>6602.49</v>
      </c>
      <c r="N641" s="833"/>
      <c r="O641" s="833"/>
      <c r="Q641" s="833"/>
      <c r="R641" s="833"/>
      <c r="S641" s="833"/>
      <c r="T641" s="833"/>
      <c r="U641" s="833"/>
      <c r="V641" s="833"/>
      <c r="W641" s="833"/>
      <c r="X641" s="833"/>
    </row>
    <row r="642" spans="1:25" s="813" customFormat="1" ht="24.95" customHeight="1" x14ac:dyDescent="0.15">
      <c r="A642" s="2081"/>
      <c r="B642" s="834"/>
      <c r="C642" s="2"/>
      <c r="D642" s="1452" t="s">
        <v>1816</v>
      </c>
      <c r="E642" s="2"/>
      <c r="F642" s="2"/>
      <c r="G642" s="1407"/>
      <c r="H642" s="2"/>
      <c r="I642" s="2"/>
      <c r="J642" s="839" t="str">
        <f>IF(J643=0,"-","")</f>
        <v/>
      </c>
      <c r="K642" s="2"/>
      <c r="L642" s="1574"/>
      <c r="M642" s="1445"/>
      <c r="N642" s="833"/>
      <c r="O642" s="833"/>
      <c r="Q642" s="833"/>
      <c r="R642" s="833"/>
      <c r="S642" s="833"/>
      <c r="T642" s="833"/>
      <c r="U642" s="833"/>
      <c r="V642" s="833"/>
      <c r="W642" s="833"/>
      <c r="X642" s="833"/>
    </row>
    <row r="643" spans="1:25" s="813" customFormat="1" ht="39.950000000000003" customHeight="1" x14ac:dyDescent="0.15">
      <c r="A643" s="2081">
        <f ca="1">+IF(H643&gt;0,A641+0.01,A641)</f>
        <v>7.0699999999999985</v>
      </c>
      <c r="B643" s="834">
        <f>IF(AND(M643&lt;=50,E643&lt;=30),95875,IF(AND(M643&lt;=50,E643&gt;30),93590,IF(AND(M643&gt;50,E643&lt;=30),95876,93593)))</f>
        <v>95876</v>
      </c>
      <c r="C643" s="2" t="str">
        <f>VLOOKUP($B643,[4]BOLETIM_SEL!$A:$H,2,0)</f>
        <v>SINAPI</v>
      </c>
      <c r="D643" s="315" t="str">
        <f>VLOOKUP($B643,[4]BOLETIM_SEL!$A:$H,4,0)</f>
        <v>Transporte com caminhão basculante de 14 m3, em via urbana pavimentada, DMT até 30,00 km (unidade: m3xkm). AF_07/2020</v>
      </c>
      <c r="E643" s="2">
        <f>+Dados_DMT!$B$14</f>
        <v>4</v>
      </c>
      <c r="F643" s="2" t="str">
        <f>VLOOKUP($B643,[4]BOLETIM_SEL!$A:$H,6,0)</f>
        <v>M3XKM</v>
      </c>
      <c r="G643" s="1407">
        <f>VLOOKUP($B643,[4]BOLETIM_SEL!$A:$H,7,0)</f>
        <v>1.93</v>
      </c>
      <c r="H643" s="1611">
        <f>ROUND(Pav_Terraplenagem!Y116*E643,2)</f>
        <v>7612.6</v>
      </c>
      <c r="I643" s="877">
        <f>+TRUNC(G643*(1+$J$5),2)</f>
        <v>2.3199999999999998</v>
      </c>
      <c r="J643" s="1612">
        <f t="shared" si="206"/>
        <v>17661.23</v>
      </c>
      <c r="K643" s="2078">
        <f ca="1">J643/J$967</f>
        <v>1.3179375379082131E-3</v>
      </c>
      <c r="L643" s="1574">
        <f>+J643/$J$624</f>
        <v>5.764476624912699E-2</v>
      </c>
      <c r="M643" s="1453">
        <f>IF(H643=0,0,H643/E643)</f>
        <v>1903.15</v>
      </c>
      <c r="N643" s="833"/>
      <c r="O643" s="833"/>
      <c r="Q643" s="833"/>
      <c r="R643" s="833"/>
      <c r="S643" s="833"/>
      <c r="T643" s="833"/>
      <c r="U643" s="833"/>
      <c r="V643" s="833"/>
      <c r="W643" s="833"/>
      <c r="X643" s="833"/>
    </row>
    <row r="644" spans="1:25" s="813" customFormat="1" ht="24.95" customHeight="1" x14ac:dyDescent="0.15">
      <c r="A644" s="2081"/>
      <c r="B644" s="834"/>
      <c r="C644" s="834"/>
      <c r="D644" s="835"/>
      <c r="E644" s="2"/>
      <c r="F644" s="834"/>
      <c r="G644" s="1407"/>
      <c r="H644" s="1"/>
      <c r="I644" s="877"/>
      <c r="J644" s="839" t="str">
        <f>IF(J624=0,0,"")</f>
        <v/>
      </c>
      <c r="K644" s="2078"/>
      <c r="L644" s="1574"/>
      <c r="M644" s="1446"/>
      <c r="N644" s="833"/>
      <c r="O644" s="833"/>
      <c r="Q644" s="833"/>
      <c r="R644" s="833"/>
      <c r="S644" s="833"/>
      <c r="T644" s="833"/>
      <c r="U644" s="833"/>
      <c r="V644" s="833"/>
      <c r="W644" s="833"/>
      <c r="X644" s="833"/>
    </row>
    <row r="645" spans="1:25" s="833" customFormat="1" ht="24.95" customHeight="1" x14ac:dyDescent="0.15">
      <c r="A645" s="2082">
        <f ca="1">IF(J645&gt;0,INT(A643)+1,IF(J645=0,INT(A643),0))</f>
        <v>8</v>
      </c>
      <c r="B645" s="1633"/>
      <c r="C645" s="1633"/>
      <c r="D645" s="1634" t="s">
        <v>442</v>
      </c>
      <c r="E645" s="1828"/>
      <c r="F645" s="1635"/>
      <c r="G645" s="1820" t="s">
        <v>651</v>
      </c>
      <c r="H645" s="1637"/>
      <c r="I645" s="1640" t="str">
        <f ca="1">CONCATENATE("SUB-TOTAL ",A645)</f>
        <v>SUB-TOTAL 8</v>
      </c>
      <c r="J645" s="1639">
        <f>SUM(J646:J717)</f>
        <v>7068471.54</v>
      </c>
      <c r="K645" s="2079">
        <f t="shared" ref="K645:K675" ca="1" si="207">J645/J$967</f>
        <v>0.52747198118148486</v>
      </c>
      <c r="L645" s="1610">
        <f>J645/$J$645</f>
        <v>1</v>
      </c>
      <c r="N645" s="1655" t="s">
        <v>1962</v>
      </c>
      <c r="O645" s="1655" t="s">
        <v>1988</v>
      </c>
    </row>
    <row r="646" spans="1:25" s="813" customFormat="1" ht="30" customHeight="1" x14ac:dyDescent="0.15">
      <c r="A646" s="2081">
        <f t="shared" ref="A646:A674" ca="1" si="208">+IF(H646&gt;0,A645+0.01,A645)</f>
        <v>8.01</v>
      </c>
      <c r="B646" s="834">
        <f>IF(M646="arenoso",100577,100576)</f>
        <v>100576</v>
      </c>
      <c r="C646" s="2" t="str">
        <f>VLOOKUP($B646,[4]BOLETIM_SEL!$A:$H,2,0)</f>
        <v>SINAPI</v>
      </c>
      <c r="D646" s="315" t="str">
        <f>VLOOKUP($B646,[4]BOLETIM_SEL!$A:$H,4,0)</f>
        <v>Regularização e compactação de subleito de solo predominantemente argiloso. AF_11/2019</v>
      </c>
      <c r="E646" s="1831"/>
      <c r="F646" s="2" t="str">
        <f>VLOOKUP($B646,[4]BOLETIM_SEL!$A:$H,6,0)</f>
        <v>M2</v>
      </c>
      <c r="G646" s="1407">
        <f>VLOOKUP($B646,[4]BOLETIM_SEL!$A:$H,7,0)</f>
        <v>2.36</v>
      </c>
      <c r="H646" s="1611">
        <f>+Pav_Estrutura!Z11</f>
        <v>63804.74</v>
      </c>
      <c r="I646" s="877">
        <f t="shared" ref="I646:I667" si="209">+TRUNC(G646*(1+$J$5),2)</f>
        <v>2.84</v>
      </c>
      <c r="J646" s="1612">
        <f t="shared" si="206"/>
        <v>181205.46</v>
      </c>
      <c r="K646" s="2078">
        <f t="shared" ca="1" si="207"/>
        <v>1.3522131686633672E-2</v>
      </c>
      <c r="L646" s="1574">
        <f>J646/$J$645</f>
        <v>2.5635734539577702E-2</v>
      </c>
      <c r="M646" s="1589" t="s">
        <v>2099</v>
      </c>
      <c r="N646" s="1654">
        <f>VLOOKUP($B646,[4]BOLETIM_SEL!$A:$H,3,0)</f>
        <v>125</v>
      </c>
      <c r="O646" s="1652">
        <f t="shared" ref="O646:O654" si="210">+H646/N646</f>
        <v>510.43791999999996</v>
      </c>
      <c r="Q646" s="833"/>
      <c r="R646" s="833"/>
      <c r="S646" s="816"/>
      <c r="T646" s="816"/>
      <c r="U646" s="816"/>
      <c r="V646" s="816"/>
      <c r="W646" s="816"/>
      <c r="X646" s="816"/>
      <c r="Y646" s="2345"/>
    </row>
    <row r="647" spans="1:25" s="813" customFormat="1" ht="39.950000000000003" customHeight="1" x14ac:dyDescent="0.15">
      <c r="A647" s="2081">
        <f t="shared" ca="1" si="208"/>
        <v>8.02</v>
      </c>
      <c r="B647" s="865">
        <v>101767</v>
      </c>
      <c r="C647" s="2" t="str">
        <f>VLOOKUP($B647,[4]BOLETIM_SEL!$A:$H,2,0)</f>
        <v>SINAPI</v>
      </c>
      <c r="D647" s="315" t="str">
        <f>VLOOKUP($B647,[4]BOLETIM_SEL!$A:$H,4,0)</f>
        <v>Execução e compactação de base e ou sub base para pavimentação de solos estabilizados granulometricamente com mistura de solos em pista - exclusive solo, escavação, carga e transporte. AF_11/2019</v>
      </c>
      <c r="E647" s="2"/>
      <c r="F647" s="2" t="str">
        <f>VLOOKUP($B647,[4]BOLETIM_SEL!$A:$H,6,0)</f>
        <v>M3</v>
      </c>
      <c r="G647" s="1407">
        <f>VLOOKUP($B647,[4]BOLETIM_SEL!$A:$H,7,0)</f>
        <v>26.21</v>
      </c>
      <c r="H647" s="1611">
        <f>+Pav_Estrutura!Z28+Pav_Estrutura!Z54</f>
        <v>9801.76</v>
      </c>
      <c r="I647" s="877">
        <f t="shared" si="209"/>
        <v>31.63</v>
      </c>
      <c r="J647" s="1612">
        <f t="shared" ref="J647:J667" si="211">TRUNC(H647*I647,2)</f>
        <v>310029.65999999997</v>
      </c>
      <c r="K647" s="2078">
        <f t="shared" ca="1" si="207"/>
        <v>2.3135406015261702E-2</v>
      </c>
      <c r="L647" s="1574">
        <f t="shared" ref="L647:L667" si="212">J647/$J$645</f>
        <v>4.3860919329668825E-2</v>
      </c>
      <c r="M647" s="1445"/>
      <c r="N647" s="1654">
        <v>20</v>
      </c>
      <c r="O647" s="1652">
        <f t="shared" si="210"/>
        <v>490.08800000000002</v>
      </c>
      <c r="Q647" s="833"/>
      <c r="R647" s="833"/>
      <c r="S647" s="833"/>
      <c r="T647" s="833"/>
      <c r="U647" s="833"/>
      <c r="V647" s="833"/>
      <c r="W647" s="833"/>
      <c r="X647" s="833"/>
    </row>
    <row r="648" spans="1:25" s="813" customFormat="1" ht="39.950000000000003" hidden="1" customHeight="1" x14ac:dyDescent="0.15">
      <c r="A648" s="2081">
        <f t="shared" ca="1" si="208"/>
        <v>8.02</v>
      </c>
      <c r="B648" s="865" t="s">
        <v>1878</v>
      </c>
      <c r="C648" s="2" t="str">
        <f>VLOOKUP($B648,[4]BOLETIM_SEL!$A:$H,2,0)</f>
        <v>COMPOSIÇÃO</v>
      </c>
      <c r="D648" s="315" t="str">
        <f>VLOOKUP($B648,[4]BOLETIM_SEL!$A:$H,4,0)</f>
        <v>Execução e compactação de base e ou sub-base, estabilizado granulometricamente, sem mistura, com material de jazida. Exclusive fornecimento e transporte (REF. SINAPI COD. 4011219)</v>
      </c>
      <c r="E648" s="2"/>
      <c r="F648" s="2" t="str">
        <f>VLOOKUP($B648,[4]BOLETIM_SEL!$A:$H,6,0)</f>
        <v>M3</v>
      </c>
      <c r="G648" s="1407">
        <f>VLOOKUP($B648,[4]BOLETIM_SEL!$A:$H,7,0)</f>
        <v>18.399999999999999</v>
      </c>
      <c r="H648" s="1611">
        <f>+Pav_Estrutura!Z29+Pav_Estrutura!Z55</f>
        <v>0</v>
      </c>
      <c r="I648" s="877">
        <f t="shared" si="209"/>
        <v>22.2</v>
      </c>
      <c r="J648" s="1612">
        <f t="shared" si="211"/>
        <v>0</v>
      </c>
      <c r="K648" s="2078">
        <f t="shared" ca="1" si="207"/>
        <v>0</v>
      </c>
      <c r="L648" s="1574">
        <f t="shared" si="212"/>
        <v>0</v>
      </c>
      <c r="M648" s="1445"/>
      <c r="N648" s="1654">
        <f>VLOOKUP($B648,[4]BOLETIM_SEL!$A:$H,3,0)</f>
        <v>28.75</v>
      </c>
      <c r="O648" s="1652">
        <f t="shared" si="210"/>
        <v>0</v>
      </c>
      <c r="Q648" s="833"/>
      <c r="R648" s="833"/>
      <c r="S648" s="833"/>
      <c r="T648" s="833"/>
      <c r="U648" s="833"/>
      <c r="V648" s="833"/>
      <c r="W648" s="833"/>
      <c r="X648" s="833"/>
    </row>
    <row r="649" spans="1:25" s="813" customFormat="1" ht="39.950000000000003" hidden="1" customHeight="1" x14ac:dyDescent="0.15">
      <c r="A649" s="2081">
        <f t="shared" ca="1" si="208"/>
        <v>8.02</v>
      </c>
      <c r="B649" s="878" t="s">
        <v>196</v>
      </c>
      <c r="C649" s="2" t="str">
        <f>VLOOKUP($B649,[4]BOLETIM_SEL!$A:$H,2,0)</f>
        <v>COMPOSIÇÃO</v>
      </c>
      <c r="D649" s="315" t="str">
        <f>VLOOKUP($B649,[4]BOLETIM_SEL!$A:$H,4,0)</f>
        <v>Execução e compactação de base e ou sub-base com material produto de britagem. Exclusive fornecimento e transporte de materiais (REF. SINAPI COD. 96396)</v>
      </c>
      <c r="E649" s="2"/>
      <c r="F649" s="2" t="str">
        <f>VLOOKUP($B649,[4]BOLETIM_SEL!$A:$H,6,0)</f>
        <v>M3</v>
      </c>
      <c r="G649" s="1407">
        <f>VLOOKUP($B649,[4]BOLETIM_SEL!$A:$H,7,0)</f>
        <v>12.42</v>
      </c>
      <c r="H649" s="1611">
        <f>+Pav_Estrutura!Z30+Pav_Estrutura!Z31+Pav_Estrutura!Z56+Pav_Estrutura!Z57</f>
        <v>0</v>
      </c>
      <c r="I649" s="877">
        <f t="shared" si="209"/>
        <v>14.99</v>
      </c>
      <c r="J649" s="1612">
        <f t="shared" si="211"/>
        <v>0</v>
      </c>
      <c r="K649" s="2078">
        <f t="shared" ca="1" si="207"/>
        <v>0</v>
      </c>
      <c r="L649" s="1574">
        <f t="shared" si="212"/>
        <v>0</v>
      </c>
      <c r="M649" s="1445"/>
      <c r="N649" s="1654">
        <f>VLOOKUP($B649,[4]BOLETIM_SEL!$A:$H,3,0)</f>
        <v>33.33</v>
      </c>
      <c r="O649" s="1652">
        <f t="shared" si="210"/>
        <v>0</v>
      </c>
      <c r="Q649" s="833"/>
      <c r="R649" s="833"/>
      <c r="S649" s="816"/>
      <c r="T649" s="816"/>
      <c r="U649" s="816"/>
      <c r="V649" s="816"/>
      <c r="W649" s="816"/>
      <c r="X649" s="816"/>
      <c r="Y649" s="2345"/>
    </row>
    <row r="650" spans="1:25" s="813" customFormat="1" ht="30" hidden="1" customHeight="1" x14ac:dyDescent="0.15">
      <c r="A650" s="2081">
        <f t="shared" ca="1" si="208"/>
        <v>8.02</v>
      </c>
      <c r="B650" s="878" t="s">
        <v>2627</v>
      </c>
      <c r="C650" s="2" t="str">
        <f>VLOOKUP($B650,[4]BOLETIM_SEL!$A:$H,2,0)</f>
        <v>COMPOSIÇÃO</v>
      </c>
      <c r="D650" s="315" t="str">
        <f>VLOOKUP($B650,[4]BOLETIM_SEL!$A:$H,4,0)</f>
        <v>Usinagem de brita graduada simples, exclusive fornecimento de materiais (REF. SINAPI COD. 96393, DB 05-2021)</v>
      </c>
      <c r="E650" s="2"/>
      <c r="F650" s="2" t="str">
        <f>VLOOKUP($B650,[4]BOLETIM_SEL!$A:$H,6,0)</f>
        <v>M3</v>
      </c>
      <c r="G650" s="1407">
        <f>VLOOKUP($B650,[4]BOLETIM_SEL!$A:$H,7,0)</f>
        <v>6.16</v>
      </c>
      <c r="H650" s="1611">
        <f>+Pav_Estrutura!Z31+Pav_Estrutura!Z57</f>
        <v>0</v>
      </c>
      <c r="I650" s="877">
        <f t="shared" ref="I650" si="213">+TRUNC(G650*(1+$J$5),2)</f>
        <v>7.43</v>
      </c>
      <c r="J650" s="1612">
        <f t="shared" ref="J650" si="214">TRUNC(H650*I650,2)</f>
        <v>0</v>
      </c>
      <c r="K650" s="2078">
        <f t="shared" ca="1" si="207"/>
        <v>0</v>
      </c>
      <c r="L650" s="1574">
        <f t="shared" ref="L650" si="215">J650/$J$645</f>
        <v>0</v>
      </c>
      <c r="M650" s="1445"/>
      <c r="N650" s="1654">
        <f>VLOOKUP($B650,[4]BOLETIM_SEL!$A:$H,3,0)</f>
        <v>33.33</v>
      </c>
      <c r="O650" s="1652">
        <f t="shared" ref="O650" si="216">+H650/N650</f>
        <v>0</v>
      </c>
      <c r="Q650" s="833"/>
      <c r="R650" s="833"/>
      <c r="S650" s="833"/>
      <c r="T650" s="833"/>
      <c r="U650" s="833"/>
      <c r="V650" s="833"/>
      <c r="W650" s="833"/>
      <c r="X650" s="833"/>
    </row>
    <row r="651" spans="1:25" s="813" customFormat="1" ht="39.950000000000003" hidden="1" customHeight="1" x14ac:dyDescent="0.15">
      <c r="A651" s="2081">
        <f t="shared" ca="1" si="208"/>
        <v>8.02</v>
      </c>
      <c r="B651" s="2">
        <v>96389</v>
      </c>
      <c r="C651" s="2" t="str">
        <f>VLOOKUP($B651,[4]BOLETIM_SEL!$A:$H,2,0)</f>
        <v>SINAPI</v>
      </c>
      <c r="D651" s="315" t="str">
        <f>VLOOKUP($B651,[4]BOLETIM_SEL!$A:$H,4,0)</f>
        <v>Execução e compactação de base e ou sub base para pavimentação de solo (predominantemente arenoso) com cimento (teor de 2%) - exclusive solo, escavação, carga e transporte. AF_11/2019</v>
      </c>
      <c r="E651" s="2"/>
      <c r="F651" s="2" t="str">
        <f>VLOOKUP($B651,[4]BOLETIM_SEL!$A:$H,6,0)</f>
        <v>M3</v>
      </c>
      <c r="G651" s="1407">
        <f>VLOOKUP($B651,[4]BOLETIM_SEL!$A:$H,7,0)</f>
        <v>54.53</v>
      </c>
      <c r="H651" s="1611">
        <f>+Pav_Estrutura!Z50</f>
        <v>0</v>
      </c>
      <c r="I651" s="877">
        <f t="shared" si="209"/>
        <v>65.81</v>
      </c>
      <c r="J651" s="1612">
        <f t="shared" si="211"/>
        <v>0</v>
      </c>
      <c r="K651" s="2078">
        <f t="shared" ca="1" si="207"/>
        <v>0</v>
      </c>
      <c r="L651" s="1574">
        <f t="shared" si="212"/>
        <v>0</v>
      </c>
      <c r="M651" s="1445"/>
      <c r="N651" s="1654">
        <f>VLOOKUP($B651,[4]BOLETIM_SEL!$A:$H,3,0)</f>
        <v>38.46</v>
      </c>
      <c r="O651" s="1652">
        <f t="shared" si="210"/>
        <v>0</v>
      </c>
      <c r="Q651" s="833"/>
      <c r="R651" s="833"/>
      <c r="S651" s="833"/>
      <c r="T651" s="833"/>
      <c r="U651" s="833"/>
      <c r="V651" s="833"/>
      <c r="W651" s="833"/>
      <c r="X651" s="833"/>
    </row>
    <row r="652" spans="1:25" s="813" customFormat="1" ht="39.950000000000003" hidden="1" customHeight="1" x14ac:dyDescent="0.15">
      <c r="A652" s="2081">
        <f t="shared" ca="1" si="208"/>
        <v>8.02</v>
      </c>
      <c r="B652" s="2">
        <v>96390</v>
      </c>
      <c r="C652" s="2" t="str">
        <f>VLOOKUP($B652,[4]BOLETIM_SEL!$A:$H,2,0)</f>
        <v>SINAPI</v>
      </c>
      <c r="D652" s="315" t="str">
        <f>VLOOKUP($B652,[4]BOLETIM_SEL!$A:$H,4,0)</f>
        <v>Execução e compactação de base e ou sub base para pavimentação de solo (predominantemente arenoso) com cimento (teor de 4%) - exclusive solo, escavação, carga e transporte. AF_11/2019</v>
      </c>
      <c r="E652" s="2"/>
      <c r="F652" s="2" t="str">
        <f>VLOOKUP($B652,[4]BOLETIM_SEL!$A:$H,6,0)</f>
        <v>M3</v>
      </c>
      <c r="G652" s="1407">
        <f>VLOOKUP($B652,[4]BOLETIM_SEL!$A:$H,7,0)</f>
        <v>89.17</v>
      </c>
      <c r="H652" s="1611">
        <f>+Pav_Estrutura!Z51</f>
        <v>0</v>
      </c>
      <c r="I652" s="877">
        <f t="shared" si="209"/>
        <v>107.62</v>
      </c>
      <c r="J652" s="1612">
        <f t="shared" si="211"/>
        <v>0</v>
      </c>
      <c r="K652" s="2078">
        <f t="shared" ca="1" si="207"/>
        <v>0</v>
      </c>
      <c r="L652" s="1574">
        <f t="shared" si="212"/>
        <v>0</v>
      </c>
      <c r="M652" s="1445"/>
      <c r="N652" s="1654">
        <f>VLOOKUP($B652,[4]BOLETIM_SEL!$A:$H,3,0)</f>
        <v>38.46</v>
      </c>
      <c r="O652" s="1652">
        <f t="shared" si="210"/>
        <v>0</v>
      </c>
      <c r="Q652" s="833"/>
      <c r="R652" s="833"/>
      <c r="S652" s="833"/>
      <c r="T652" s="833"/>
      <c r="U652" s="833"/>
      <c r="V652" s="833"/>
      <c r="W652" s="833"/>
      <c r="X652" s="833"/>
    </row>
    <row r="653" spans="1:25" s="813" customFormat="1" ht="39.950000000000003" hidden="1" customHeight="1" x14ac:dyDescent="0.15">
      <c r="A653" s="2081">
        <f t="shared" ca="1" si="208"/>
        <v>8.02</v>
      </c>
      <c r="B653" s="2">
        <v>96391</v>
      </c>
      <c r="C653" s="2" t="str">
        <f>VLOOKUP($B653,[4]BOLETIM_SEL!$A:$H,2,0)</f>
        <v>SINAPI</v>
      </c>
      <c r="D653" s="315" t="str">
        <f>VLOOKUP($B653,[4]BOLETIM_SEL!$A:$H,4,0)</f>
        <v>Execução e compactação de base e ou sub base para pavimentação de solo (predominantemente arenoso) com cimento (teor de 6%) - exclusive solo, escavação, carga e transporte. AF_11/2019</v>
      </c>
      <c r="E653" s="2"/>
      <c r="F653" s="2" t="str">
        <f>VLOOKUP($B653,[4]BOLETIM_SEL!$A:$H,6,0)</f>
        <v>M3</v>
      </c>
      <c r="G653" s="1407">
        <f>VLOOKUP($B653,[4]BOLETIM_SEL!$A:$H,7,0)</f>
        <v>125.28</v>
      </c>
      <c r="H653" s="1611">
        <f>+Pav_Estrutura!Z52</f>
        <v>0</v>
      </c>
      <c r="I653" s="877">
        <f t="shared" si="209"/>
        <v>151.21</v>
      </c>
      <c r="J653" s="1612">
        <f t="shared" si="211"/>
        <v>0</v>
      </c>
      <c r="K653" s="2078">
        <f t="shared" ca="1" si="207"/>
        <v>0</v>
      </c>
      <c r="L653" s="1574">
        <f t="shared" si="212"/>
        <v>0</v>
      </c>
      <c r="M653" s="1445"/>
      <c r="N653" s="1654">
        <f>VLOOKUP($B653,[4]BOLETIM_SEL!$A:$H,3,0)</f>
        <v>38.46</v>
      </c>
      <c r="O653" s="1652">
        <f t="shared" si="210"/>
        <v>0</v>
      </c>
      <c r="Q653" s="833"/>
      <c r="R653" s="833"/>
      <c r="S653" s="833"/>
      <c r="T653" s="833"/>
      <c r="U653" s="833"/>
      <c r="V653" s="833"/>
      <c r="W653" s="833"/>
      <c r="X653" s="833"/>
    </row>
    <row r="654" spans="1:25" s="813" customFormat="1" ht="39.950000000000003" hidden="1" customHeight="1" x14ac:dyDescent="0.15">
      <c r="A654" s="2081">
        <f t="shared" ca="1" si="208"/>
        <v>8.02</v>
      </c>
      <c r="B654" s="2">
        <v>96392</v>
      </c>
      <c r="C654" s="2" t="str">
        <f>VLOOKUP($B654,[4]BOLETIM_SEL!$A:$H,2,0)</f>
        <v>SINAPI</v>
      </c>
      <c r="D654" s="315" t="str">
        <f>VLOOKUP($B654,[4]BOLETIM_SEL!$A:$H,4,0)</f>
        <v>Execução e compactação de base e ou sub base para pavimentação de solo (predominantemente arenoso) com cimento (teor de 8%) - exclusive solo, escavação, carga e transporte. AF_11/2019</v>
      </c>
      <c r="E654" s="2"/>
      <c r="F654" s="2" t="str">
        <f>VLOOKUP($B654,[4]BOLETIM_SEL!$A:$H,6,0)</f>
        <v>M3</v>
      </c>
      <c r="G654" s="1407">
        <f>VLOOKUP($B654,[4]BOLETIM_SEL!$A:$H,7,0)</f>
        <v>160.16999999999999</v>
      </c>
      <c r="H654" s="1611">
        <f>+Pav_Estrutura!Z53</f>
        <v>0</v>
      </c>
      <c r="I654" s="877">
        <f t="shared" si="209"/>
        <v>193.32</v>
      </c>
      <c r="J654" s="1612">
        <f t="shared" si="211"/>
        <v>0</v>
      </c>
      <c r="K654" s="2078">
        <f t="shared" ca="1" si="207"/>
        <v>0</v>
      </c>
      <c r="L654" s="1574">
        <f t="shared" si="212"/>
        <v>0</v>
      </c>
      <c r="M654" s="1445"/>
      <c r="N654" s="1654">
        <f>VLOOKUP($B654,[4]BOLETIM_SEL!$A:$H,3,0)</f>
        <v>38.46</v>
      </c>
      <c r="O654" s="1652">
        <f t="shared" si="210"/>
        <v>0</v>
      </c>
      <c r="Q654" s="833"/>
      <c r="R654" s="833"/>
      <c r="S654" s="833"/>
      <c r="T654" s="833"/>
      <c r="U654" s="833"/>
      <c r="V654" s="833"/>
      <c r="W654" s="833"/>
      <c r="X654" s="833"/>
    </row>
    <row r="655" spans="1:25" s="813" customFormat="1" ht="30" customHeight="1" x14ac:dyDescent="0.15">
      <c r="A655" s="2081">
        <f t="shared" ca="1" si="208"/>
        <v>8.0299999999999994</v>
      </c>
      <c r="B655" s="834" t="str">
        <f>IF(M655="EAI","PA/0025",96401)</f>
        <v>PA/0025</v>
      </c>
      <c r="C655" s="2" t="str">
        <f>VLOOKUP($B655,[4]BOLETIM_SEL!$A:$H,2,0)</f>
        <v>COMPOSIÇÃO</v>
      </c>
      <c r="D655" s="315" t="str">
        <f>VLOOKUP($B655,[4]BOLETIM_SEL!$A:$H,4,0)</f>
        <v>Imprimação da base, execução e fornecimento de emulsão asfáltica EAI (REF. SINAPI COD. 102470)</v>
      </c>
      <c r="E655" s="2"/>
      <c r="F655" s="2" t="str">
        <f>VLOOKUP($B655,[4]BOLETIM_SEL!$A:$H,6,0)</f>
        <v>M2</v>
      </c>
      <c r="G655" s="1407">
        <f>VLOOKUP($B655,[4]BOLETIM_SEL!$A:$H,7,0)</f>
        <v>5.13</v>
      </c>
      <c r="H655" s="1611">
        <f>+Pav_Estrutura!Z64</f>
        <v>56628.68</v>
      </c>
      <c r="I655" s="877">
        <f t="shared" si="209"/>
        <v>6.19</v>
      </c>
      <c r="J655" s="1612">
        <f t="shared" si="211"/>
        <v>350531.52</v>
      </c>
      <c r="K655" s="2078">
        <f t="shared" ca="1" si="207"/>
        <v>2.615778450470458E-2</v>
      </c>
      <c r="L655" s="1574">
        <f t="shared" si="212"/>
        <v>4.9590851150261551E-2</v>
      </c>
      <c r="M655" s="1589" t="s">
        <v>2103</v>
      </c>
      <c r="N655" s="1654"/>
      <c r="O655" s="1652"/>
      <c r="Q655" s="833"/>
      <c r="R655" s="833"/>
      <c r="S655" s="816"/>
      <c r="T655" s="816"/>
      <c r="U655" s="816"/>
      <c r="V655" s="816"/>
      <c r="W655" s="816"/>
      <c r="X655" s="816"/>
      <c r="Y655" s="2345"/>
    </row>
    <row r="656" spans="1:25" s="813" customFormat="1" ht="30" customHeight="1" x14ac:dyDescent="0.15">
      <c r="A656" s="2081">
        <f t="shared" ca="1" si="208"/>
        <v>8.0399999999999991</v>
      </c>
      <c r="B656" s="834" t="s">
        <v>1777</v>
      </c>
      <c r="C656" s="2" t="str">
        <f>VLOOKUP($B656,[4]BOLETIM_SEL!$A:$H,2,0)</f>
        <v>COMPOSIÇÃO</v>
      </c>
      <c r="D656" s="315" t="str">
        <f>VLOOKUP($B656,[4]BOLETIM_SEL!$A:$H,4,0)</f>
        <v>Pintura de ligação, execução e fornecimento de emulsão asfáltica RR-1C (ref SINAPI cód 104375)</v>
      </c>
      <c r="E656" s="2"/>
      <c r="F656" s="2" t="str">
        <f>VLOOKUP($B656,[4]BOLETIM_SEL!$A:$H,6,0)</f>
        <v>M2</v>
      </c>
      <c r="G656" s="1407">
        <f>VLOOKUP($B656,[4]BOLETIM_SEL!$A:$H,7,0)</f>
        <v>2.4700000000000002</v>
      </c>
      <c r="H656" s="1611">
        <f>+Pav_Estrutura!Z66</f>
        <v>56628.68</v>
      </c>
      <c r="I656" s="877">
        <f t="shared" si="209"/>
        <v>2.98</v>
      </c>
      <c r="J656" s="1612">
        <f t="shared" si="211"/>
        <v>168753.46</v>
      </c>
      <c r="K656" s="2078">
        <f t="shared" ca="1" si="207"/>
        <v>1.2592923572474405E-2</v>
      </c>
      <c r="L656" s="1574">
        <f t="shared" si="212"/>
        <v>2.3874108998676112E-2</v>
      </c>
      <c r="M656" s="1445"/>
      <c r="N656" s="1654"/>
      <c r="O656" s="1652"/>
      <c r="Q656" s="833"/>
      <c r="R656" s="833"/>
      <c r="S656" s="816"/>
      <c r="T656" s="816"/>
      <c r="U656" s="816"/>
      <c r="V656" s="816"/>
      <c r="W656" s="816"/>
      <c r="X656" s="816"/>
      <c r="Y656" s="2345"/>
    </row>
    <row r="657" spans="1:25" s="813" customFormat="1" ht="39.950000000000003" hidden="1" customHeight="1" x14ac:dyDescent="0.15">
      <c r="A657" s="2081">
        <f t="shared" ca="1" si="208"/>
        <v>8.0399999999999991</v>
      </c>
      <c r="B657" s="834" t="s">
        <v>2739</v>
      </c>
      <c r="C657" s="2" t="str">
        <f>VLOOKUP($B657,[4]BOLETIM_SEL!$A:$H,2,0)</f>
        <v>COMPOSIÇÃO</v>
      </c>
      <c r="D657" s="315" t="str">
        <f>VLOOKUP($B657,[4]BOLETIM_SEL!$A:$H,4,0)</f>
        <v>PAVIMENTO COM TRATAMENTO SUPERFICIAL DUPLO, COM EMULSÃO ASFÁLTICA RR-2C (REF. SINAPI COD. 03.PAVI.TSUP.005/01-104389 DB 09-21)</v>
      </c>
      <c r="E657" s="2"/>
      <c r="F657" s="2" t="str">
        <f>VLOOKUP($B657,[4]BOLETIM_SEL!$A:$H,6,0)</f>
        <v>M2</v>
      </c>
      <c r="G657" s="1407">
        <f>VLOOKUP($B657,[4]BOLETIM_SEL!$A:$H,7,0)</f>
        <v>15.66</v>
      </c>
      <c r="H657" s="1611">
        <f>+Pav_Estrutura!Z68</f>
        <v>0</v>
      </c>
      <c r="I657" s="877">
        <f t="shared" si="209"/>
        <v>18.899999999999999</v>
      </c>
      <c r="J657" s="1612">
        <f t="shared" si="211"/>
        <v>0</v>
      </c>
      <c r="K657" s="2078">
        <f t="shared" ca="1" si="207"/>
        <v>0</v>
      </c>
      <c r="L657" s="1574">
        <f t="shared" si="212"/>
        <v>0</v>
      </c>
      <c r="M657" s="1445"/>
      <c r="N657" s="1654">
        <f>VLOOKUP($B657,[4]BOLETIM_SEL!$A:$H,3,0)</f>
        <v>0</v>
      </c>
      <c r="O657" s="1652" t="e">
        <f t="shared" ref="O657:O665" si="217">+H657/N657</f>
        <v>#DIV/0!</v>
      </c>
      <c r="Q657" s="833"/>
      <c r="R657" s="833"/>
      <c r="S657" s="833"/>
      <c r="T657" s="833"/>
      <c r="U657" s="833"/>
      <c r="V657" s="833"/>
      <c r="W657" s="833"/>
      <c r="X657" s="833"/>
    </row>
    <row r="658" spans="1:25" s="813" customFormat="1" ht="39.950000000000003" hidden="1" customHeight="1" x14ac:dyDescent="0.15">
      <c r="A658" s="2081">
        <f t="shared" ca="1" si="208"/>
        <v>8.0399999999999991</v>
      </c>
      <c r="B658" s="834" t="s">
        <v>953</v>
      </c>
      <c r="C658" s="2" t="str">
        <f>VLOOKUP($B658,[4]BOLETIM_SEL!$A:$H,2,0)</f>
        <v>COMPOSIÇÃO</v>
      </c>
      <c r="D658" s="315" t="str">
        <f>VLOOKUP($B658,[4]BOLETIM_SEL!$A:$H,4,0)</f>
        <v>Capa selante para agulhamento na base, execução e fornecimento de emulsão asfáltica RR-2C. Exclusive transporte (REF. SICRO COD. 4915636)</v>
      </c>
      <c r="E658" s="2"/>
      <c r="F658" s="2" t="str">
        <f>VLOOKUP($B658,[4]BOLETIM_SEL!$A:$H,6,0)</f>
        <v>M2</v>
      </c>
      <c r="G658" s="1407">
        <f>VLOOKUP($B658,[4]BOLETIM_SEL!$A:$H,7,0)</f>
        <v>4.82</v>
      </c>
      <c r="H658" s="1611">
        <f>+Pav_Estrutura!Z72</f>
        <v>0</v>
      </c>
      <c r="I658" s="877">
        <f t="shared" si="209"/>
        <v>5.81</v>
      </c>
      <c r="J658" s="1612">
        <f t="shared" si="211"/>
        <v>0</v>
      </c>
      <c r="K658" s="2078">
        <f t="shared" ca="1" si="207"/>
        <v>0</v>
      </c>
      <c r="L658" s="1574">
        <f t="shared" si="212"/>
        <v>0</v>
      </c>
      <c r="M658" s="1445"/>
      <c r="N658" s="1654">
        <f>VLOOKUP($B658,[4]BOLETIM_SEL!$A:$H,3,0)</f>
        <v>0</v>
      </c>
      <c r="O658" s="1652" t="e">
        <f t="shared" si="217"/>
        <v>#DIV/0!</v>
      </c>
      <c r="Q658" s="833"/>
      <c r="R658" s="833"/>
      <c r="S658" s="833"/>
      <c r="T658" s="833"/>
      <c r="U658" s="833"/>
      <c r="V658" s="833"/>
      <c r="W658" s="833"/>
      <c r="X658" s="833"/>
    </row>
    <row r="659" spans="1:25" s="813" customFormat="1" ht="39.950000000000003" customHeight="1" x14ac:dyDescent="0.15">
      <c r="A659" s="2081">
        <f t="shared" ca="1" si="208"/>
        <v>8.0499999999999989</v>
      </c>
      <c r="B659" s="834" t="str">
        <f>IF(M659="COMERCIAL","PA/0040","PA/0041")</f>
        <v>PA/0040</v>
      </c>
      <c r="C659" s="2" t="str">
        <f>VLOOKUP($B659,[4]BOLETIM_SEL!$A:$H,2,0)</f>
        <v>COMPOSIÇÃO</v>
      </c>
      <c r="D659" s="315" t="str">
        <f>VLOOKUP($B659,[4]BOLETIM_SEL!$A:$H,4,0)</f>
        <v>Construção de pavimento com aplicação de concreto betuminoso usinado à quente (CBUQ - faixa C - CAP 30/45 - usina comercial), camada de rolamento, exclusive transporte da mistura (REF. SINAPI COD. 95995)</v>
      </c>
      <c r="E659" s="2"/>
      <c r="F659" s="2" t="str">
        <f>VLOOKUP($B659,[4]BOLETIM_SEL!$A:$H,6,0)</f>
        <v>M3</v>
      </c>
      <c r="G659" s="1407">
        <f>VLOOKUP($B659,[4]BOLETIM_SEL!$A:$H,7,0)</f>
        <v>1590.41</v>
      </c>
      <c r="H659" s="1611">
        <f>Pav_Estrutura!Z82</f>
        <v>1857.01</v>
      </c>
      <c r="I659" s="877">
        <f t="shared" si="209"/>
        <v>1919.62</v>
      </c>
      <c r="J659" s="1612">
        <f t="shared" si="211"/>
        <v>3564753.53</v>
      </c>
      <c r="K659" s="2078">
        <f t="shared" ca="1" si="207"/>
        <v>0.26601332356680774</v>
      </c>
      <c r="L659" s="1574">
        <f t="shared" si="212"/>
        <v>0.50431744823860458</v>
      </c>
      <c r="M659" s="1589" t="s">
        <v>410</v>
      </c>
      <c r="N659" s="1654">
        <f>VLOOKUP($B659,[4]BOLETIM_SEL!$A:$H,3,0)</f>
        <v>0</v>
      </c>
      <c r="O659" s="1652"/>
      <c r="Q659" s="833"/>
      <c r="R659" s="833"/>
      <c r="S659" s="816"/>
      <c r="T659" s="816"/>
      <c r="U659" s="816"/>
      <c r="V659" s="816"/>
      <c r="W659" s="816"/>
      <c r="X659" s="816"/>
      <c r="Y659" s="2345"/>
    </row>
    <row r="660" spans="1:25" s="813" customFormat="1" ht="39.950000000000003" hidden="1" customHeight="1" x14ac:dyDescent="0.15">
      <c r="A660" s="2081">
        <f t="shared" ca="1" si="208"/>
        <v>8.0499999999999989</v>
      </c>
      <c r="B660" s="834">
        <f>IF(M660="COMERCIAL",95995,"PA/0042")</f>
        <v>95995</v>
      </c>
      <c r="C660" s="2" t="str">
        <f>VLOOKUP($B660,[4]BOLETIM_SEL!$A:$H,2,0)</f>
        <v>SINAPI</v>
      </c>
      <c r="D660" s="315" t="str">
        <f>VLOOKUP($B660,[4]BOLETIM_SEL!$A:$H,4,0)</f>
        <v>Construção de pavimento com aplicação de concreto betuminoso usinado à quente (CBUQ - faixa C - CAP 50/70 - usina comercial), camada de rolamento. Exclusive transporte da mistura. Af_11/2019</v>
      </c>
      <c r="E660" s="2"/>
      <c r="F660" s="2" t="str">
        <f>VLOOKUP($B660,[4]BOLETIM_SEL!$A:$H,6,0)</f>
        <v>M3</v>
      </c>
      <c r="G660" s="1407">
        <f>VLOOKUP($B660,[4]BOLETIM_SEL!$A:$H,7,0)</f>
        <v>1619.18</v>
      </c>
      <c r="H660" s="1611">
        <f>Pav_Estrutura!Z83</f>
        <v>0</v>
      </c>
      <c r="I660" s="877">
        <f t="shared" si="209"/>
        <v>1954.35</v>
      </c>
      <c r="J660" s="1612">
        <f t="shared" si="211"/>
        <v>0</v>
      </c>
      <c r="K660" s="2078">
        <f t="shared" ca="1" si="207"/>
        <v>0</v>
      </c>
      <c r="L660" s="1574">
        <f t="shared" si="212"/>
        <v>0</v>
      </c>
      <c r="M660" s="1589" t="s">
        <v>410</v>
      </c>
      <c r="N660" s="1654">
        <f>VLOOKUP($B660,[4]BOLETIM_SEL!$A:$H,3,0)</f>
        <v>0</v>
      </c>
      <c r="O660" s="1652" t="e">
        <f t="shared" si="217"/>
        <v>#DIV/0!</v>
      </c>
      <c r="Q660" s="833"/>
      <c r="R660" s="833"/>
      <c r="S660" s="833"/>
      <c r="T660" s="833"/>
      <c r="U660" s="833"/>
      <c r="V660" s="833"/>
      <c r="W660" s="833"/>
      <c r="X660" s="833"/>
    </row>
    <row r="661" spans="1:25" s="813" customFormat="1" ht="39.950000000000003" hidden="1" customHeight="1" x14ac:dyDescent="0.15">
      <c r="A661" s="2081">
        <f t="shared" ca="1" si="208"/>
        <v>8.0499999999999989</v>
      </c>
      <c r="B661" s="2" t="s">
        <v>1782</v>
      </c>
      <c r="C661" s="2" t="str">
        <f>VLOOKUP($B661,[4]BOLETIM_SEL!$A:$H,2,0)</f>
        <v>COMPOSIÇÃO</v>
      </c>
      <c r="D661" s="315" t="str">
        <f>VLOOKUP($B661,[4]BOLETIM_SEL!$A:$H,4,0)</f>
        <v>Construção de pavimento com aplicação de concreto betuminoso usinado à quente modificado por polímero elastomérico - CBUQ (p) - CAP 60-85-E - FAIXA "C", camada de rolamento. Exclusive transporte da mistura (REF. SINAPI COD. 95995)</v>
      </c>
      <c r="E661" s="2"/>
      <c r="F661" s="2" t="str">
        <f>VLOOKUP($B661,[4]BOLETIM_SEL!$A:$H,6,0)</f>
        <v>M3</v>
      </c>
      <c r="G661" s="1407">
        <f>VLOOKUP($B661,[4]BOLETIM_SEL!$A:$H,7,0)</f>
        <v>1939.66</v>
      </c>
      <c r="H661" s="1611">
        <f>Pav_Estrutura!Z84</f>
        <v>0</v>
      </c>
      <c r="I661" s="877">
        <f t="shared" si="209"/>
        <v>2341.16</v>
      </c>
      <c r="J661" s="1612">
        <f t="shared" si="211"/>
        <v>0</v>
      </c>
      <c r="K661" s="2078">
        <f t="shared" ca="1" si="207"/>
        <v>0</v>
      </c>
      <c r="L661" s="1574">
        <f t="shared" si="212"/>
        <v>0</v>
      </c>
      <c r="M661" s="1445"/>
      <c r="N661" s="1654">
        <f>VLOOKUP($B661,[4]BOLETIM_SEL!$A:$H,3,0)</f>
        <v>0</v>
      </c>
      <c r="O661" s="1652" t="e">
        <f t="shared" si="217"/>
        <v>#DIV/0!</v>
      </c>
      <c r="Q661" s="833"/>
      <c r="R661" s="833"/>
      <c r="S661" s="833"/>
      <c r="T661" s="833"/>
      <c r="U661" s="833"/>
      <c r="V661" s="833"/>
      <c r="W661" s="833"/>
      <c r="X661" s="833"/>
    </row>
    <row r="662" spans="1:25" s="813" customFormat="1" ht="39.950000000000003" hidden="1" customHeight="1" x14ac:dyDescent="0.15">
      <c r="A662" s="2081">
        <f t="shared" ca="1" si="208"/>
        <v>8.0499999999999989</v>
      </c>
      <c r="B662" s="834" t="s">
        <v>1778</v>
      </c>
      <c r="C662" s="2" t="str">
        <f>VLOOKUP($B662,[4]BOLETIM_SEL!$A:$H,2,0)</f>
        <v>COMPOSIÇÃO</v>
      </c>
      <c r="D662" s="315" t="str">
        <f>VLOOKUP($B662,[4]BOLETIM_SEL!$A:$H,4,0)</f>
        <v>Execução de pré-misturado a frio - PMF, faixa C (semidenso), com emulsão asfáltica RL-1C, para revestimento, aplicação com vibroacabadora. Exclusive transporte</v>
      </c>
      <c r="E662" s="2"/>
      <c r="F662" s="2" t="str">
        <f>VLOOKUP($B662,[4]BOLETIM_SEL!$A:$H,6,0)</f>
        <v>M3</v>
      </c>
      <c r="G662" s="1407"/>
      <c r="H662" s="1613">
        <f>+Pav_Estrutura!Z91</f>
        <v>0</v>
      </c>
      <c r="I662" s="2189">
        <f t="shared" si="209"/>
        <v>0</v>
      </c>
      <c r="J662" s="2190">
        <f t="shared" si="211"/>
        <v>0</v>
      </c>
      <c r="K662" s="2191">
        <f t="shared" ca="1" si="207"/>
        <v>0</v>
      </c>
      <c r="L662" s="2470">
        <f t="shared" si="212"/>
        <v>0</v>
      </c>
      <c r="M662" s="1445"/>
      <c r="N662" s="1654">
        <f>VLOOKUP($B662,[4]BOLETIM_SEL!$A:$H,3,0)</f>
        <v>0</v>
      </c>
      <c r="O662" s="1652" t="e">
        <f t="shared" si="217"/>
        <v>#DIV/0!</v>
      </c>
      <c r="Q662" s="833"/>
      <c r="R662" s="833"/>
      <c r="S662" s="833"/>
      <c r="T662" s="833"/>
      <c r="U662" s="833"/>
      <c r="V662" s="833"/>
      <c r="W662" s="833"/>
      <c r="X662" s="833"/>
    </row>
    <row r="663" spans="1:25" s="813" customFormat="1" ht="30" hidden="1" customHeight="1" x14ac:dyDescent="0.15">
      <c r="A663" s="2081">
        <f t="shared" ca="1" si="208"/>
        <v>8.0499999999999989</v>
      </c>
      <c r="B663" s="865">
        <v>92404</v>
      </c>
      <c r="C663" s="2" t="str">
        <f>VLOOKUP($B663,[4]BOLETIM_SEL!$A:$H,2,0)</f>
        <v>SINAPI</v>
      </c>
      <c r="D663" s="315" t="str">
        <f>VLOOKUP($B663,[4]BOLETIM_SEL!$A:$H,4,0)</f>
        <v>Execução de pavimento em piso intertravado, com bloco 16 faces de 22 x 11 cm, espessura 8 cm. AF_10/2022</v>
      </c>
      <c r="E663" s="2"/>
      <c r="F663" s="2" t="str">
        <f>VLOOKUP($B663,[4]BOLETIM_SEL!$A:$H,6,0)</f>
        <v>M2</v>
      </c>
      <c r="G663" s="1407">
        <f>VLOOKUP($B663,[4]BOLETIM_SEL!$A:$H,7,0)</f>
        <v>80.540000000000006</v>
      </c>
      <c r="H663" s="1611">
        <f>+Pav_Estrutura!Z75</f>
        <v>0</v>
      </c>
      <c r="I663" s="877">
        <f t="shared" si="209"/>
        <v>97.21</v>
      </c>
      <c r="J663" s="1612">
        <f t="shared" si="211"/>
        <v>0</v>
      </c>
      <c r="K663" s="2078">
        <f t="shared" ca="1" si="207"/>
        <v>0</v>
      </c>
      <c r="L663" s="1574">
        <f t="shared" si="212"/>
        <v>0</v>
      </c>
      <c r="M663" s="1445"/>
      <c r="N663" s="1654">
        <f>VLOOKUP($B663,[4]BOLETIM_SEL!$A:$H,3,0)</f>
        <v>0</v>
      </c>
      <c r="O663" s="1652" t="e">
        <f t="shared" si="217"/>
        <v>#DIV/0!</v>
      </c>
      <c r="Q663" s="833"/>
      <c r="R663" s="833"/>
      <c r="S663" s="833"/>
      <c r="T663" s="833"/>
      <c r="U663" s="833"/>
      <c r="V663" s="833"/>
      <c r="W663" s="833"/>
      <c r="X663" s="833"/>
    </row>
    <row r="664" spans="1:25" s="813" customFormat="1" ht="30" hidden="1" customHeight="1" x14ac:dyDescent="0.15">
      <c r="A664" s="2081">
        <f t="shared" ca="1" si="208"/>
        <v>8.0499999999999989</v>
      </c>
      <c r="B664" s="865">
        <v>92406</v>
      </c>
      <c r="C664" s="2" t="str">
        <f>VLOOKUP($B664,[4]BOLETIM_SEL!$A:$H,2,0)</f>
        <v>SINAPI</v>
      </c>
      <c r="D664" s="315" t="str">
        <f>VLOOKUP($B664,[4]BOLETIM_SEL!$A:$H,4,0)</f>
        <v>Execução de pavimento em piso intertravado, com bloco 16 faces de 22 x 11 cm, espessura 10 cm. AF_10/2022</v>
      </c>
      <c r="E664" s="2"/>
      <c r="F664" s="2" t="str">
        <f>VLOOKUP($B664,[4]BOLETIM_SEL!$A:$H,6,0)</f>
        <v>M2</v>
      </c>
      <c r="G664" s="1407">
        <f>VLOOKUP($B664,[4]BOLETIM_SEL!$A:$H,7,0)</f>
        <v>96.57</v>
      </c>
      <c r="H664" s="1611">
        <f>+Pav_Estrutura!Z76</f>
        <v>0</v>
      </c>
      <c r="I664" s="877">
        <f t="shared" si="209"/>
        <v>116.55</v>
      </c>
      <c r="J664" s="1612">
        <f t="shared" si="211"/>
        <v>0</v>
      </c>
      <c r="K664" s="2078">
        <f t="shared" ca="1" si="207"/>
        <v>0</v>
      </c>
      <c r="L664" s="1574">
        <f t="shared" si="212"/>
        <v>0</v>
      </c>
      <c r="M664" s="1445"/>
      <c r="N664" s="1654">
        <f>VLOOKUP($B664,[4]BOLETIM_SEL!$A:$H,3,0)</f>
        <v>0</v>
      </c>
      <c r="O664" s="1652" t="e">
        <f t="shared" si="217"/>
        <v>#DIV/0!</v>
      </c>
      <c r="Q664" s="833"/>
      <c r="R664" s="833"/>
      <c r="S664" s="833"/>
      <c r="T664" s="833"/>
      <c r="U664" s="833"/>
      <c r="V664" s="833"/>
      <c r="W664" s="833"/>
      <c r="X664" s="833"/>
    </row>
    <row r="665" spans="1:25" s="813" customFormat="1" ht="30" hidden="1" customHeight="1" x14ac:dyDescent="0.15">
      <c r="A665" s="2081">
        <f t="shared" ca="1" si="208"/>
        <v>8.0499999999999989</v>
      </c>
      <c r="B665" s="865">
        <v>92404</v>
      </c>
      <c r="C665" s="2" t="str">
        <f>VLOOKUP($B665,[4]BOLETIM_SEL!$A:$H,2,0)</f>
        <v>SINAPI</v>
      </c>
      <c r="D665" s="315" t="str">
        <f>VLOOKUP($B665,[4]BOLETIM_SEL!$A:$H,4,0)</f>
        <v>Execução de pavimento em piso intertravado, com bloco 16 faces de 22 x 11 cm, espessura 8 cm. AF_10/2022</v>
      </c>
      <c r="E665" s="2"/>
      <c r="F665" s="2" t="str">
        <f>VLOOKUP($B665,[4]BOLETIM_SEL!$A:$H,6,0)</f>
        <v>M2</v>
      </c>
      <c r="G665" s="1407">
        <f>VLOOKUP($B665,[4]BOLETIM_SEL!$A:$H,7,0)</f>
        <v>80.540000000000006</v>
      </c>
      <c r="H665" s="1611">
        <f>+Pav_Estrutura!Z77</f>
        <v>0</v>
      </c>
      <c r="I665" s="877">
        <f t="shared" si="209"/>
        <v>97.21</v>
      </c>
      <c r="J665" s="1612">
        <f t="shared" si="211"/>
        <v>0</v>
      </c>
      <c r="K665" s="2078">
        <f t="shared" ca="1" si="207"/>
        <v>0</v>
      </c>
      <c r="L665" s="1574">
        <f t="shared" si="212"/>
        <v>0</v>
      </c>
      <c r="M665" s="1445"/>
      <c r="N665" s="1654">
        <f>VLOOKUP($B665,[4]BOLETIM_SEL!$A:$H,3,0)</f>
        <v>0</v>
      </c>
      <c r="O665" s="1652" t="e">
        <f t="shared" si="217"/>
        <v>#DIV/0!</v>
      </c>
      <c r="Q665" s="833"/>
      <c r="R665" s="833"/>
      <c r="S665" s="833"/>
      <c r="T665" s="833"/>
      <c r="U665" s="833"/>
      <c r="V665" s="833"/>
      <c r="W665" s="833"/>
      <c r="X665" s="833"/>
    </row>
    <row r="666" spans="1:25" s="813" customFormat="1" ht="30" hidden="1" customHeight="1" x14ac:dyDescent="0.15">
      <c r="A666" s="2081">
        <f t="shared" ca="1" si="208"/>
        <v>8.0499999999999989</v>
      </c>
      <c r="B666" s="865">
        <v>92406</v>
      </c>
      <c r="C666" s="2" t="str">
        <f>VLOOKUP($B666,[4]BOLETIM_SEL!$A:$H,2,0)</f>
        <v>SINAPI</v>
      </c>
      <c r="D666" s="315" t="str">
        <f>VLOOKUP($B666,[4]BOLETIM_SEL!$A:$H,4,0)</f>
        <v>Execução de pavimento em piso intertravado, com bloco 16 faces de 22 x 11 cm, espessura 10 cm. AF_10/2022</v>
      </c>
      <c r="E666" s="2"/>
      <c r="F666" s="2" t="str">
        <f>VLOOKUP($B666,[4]BOLETIM_SEL!$A:$H,6,0)</f>
        <v>M2</v>
      </c>
      <c r="G666" s="1407">
        <f>VLOOKUP($B666,[4]BOLETIM_SEL!$A:$H,7,0)</f>
        <v>96.57</v>
      </c>
      <c r="H666" s="1611">
        <f>+Pav_Estrutura!Z78</f>
        <v>0</v>
      </c>
      <c r="I666" s="877">
        <f t="shared" si="209"/>
        <v>116.55</v>
      </c>
      <c r="J666" s="1612">
        <f t="shared" si="211"/>
        <v>0</v>
      </c>
      <c r="K666" s="2078">
        <f t="shared" ca="1" si="207"/>
        <v>0</v>
      </c>
      <c r="L666" s="1574">
        <f t="shared" si="212"/>
        <v>0</v>
      </c>
      <c r="M666" s="1445"/>
      <c r="N666" s="833"/>
      <c r="O666" s="833"/>
      <c r="Q666" s="833"/>
      <c r="R666" s="833"/>
      <c r="S666" s="833"/>
      <c r="T666" s="833"/>
      <c r="U666" s="833"/>
      <c r="V666" s="833"/>
      <c r="W666" s="833"/>
      <c r="X666" s="833"/>
    </row>
    <row r="667" spans="1:25" s="813" customFormat="1" ht="50.1" hidden="1" customHeight="1" x14ac:dyDescent="0.15">
      <c r="A667" s="2081">
        <f t="shared" ca="1" si="208"/>
        <v>8.0499999999999989</v>
      </c>
      <c r="B667" s="834">
        <v>101230</v>
      </c>
      <c r="C667" s="2" t="str">
        <f>VLOOKUP($B667,[4]BOLETIM_SEL!$A:$H,2,0)</f>
        <v>SINAPI</v>
      </c>
      <c r="D667" s="315" t="str">
        <f>VLOOKUP($B667,[4]BOLETIM_SEL!$A:$H,4,0)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667" s="2"/>
      <c r="F667" s="2" t="str">
        <f>VLOOKUP($B667,[4]BOLETIM_SEL!$A:$H,6,0)</f>
        <v>M3</v>
      </c>
      <c r="G667" s="1407">
        <f>VLOOKUP($B667,[4]BOLETIM_SEL!$A:$H,7,0)</f>
        <v>10.029999999999999</v>
      </c>
      <c r="H667" s="1611">
        <f>IF(H668=0,Pav_Estrutura!Z33+Pav_Estrutura!Z59,0)+IF(H669=0,Pav_Estrutura!Z35+Pav_Estrutura!Z61,0)</f>
        <v>0</v>
      </c>
      <c r="I667" s="877">
        <f t="shared" si="209"/>
        <v>12.1</v>
      </c>
      <c r="J667" s="1612">
        <f t="shared" si="211"/>
        <v>0</v>
      </c>
      <c r="K667" s="2078">
        <f t="shared" ca="1" si="207"/>
        <v>0</v>
      </c>
      <c r="L667" s="1574">
        <f t="shared" si="212"/>
        <v>0</v>
      </c>
      <c r="M667" s="1445"/>
      <c r="N667" s="833"/>
      <c r="O667" s="833"/>
      <c r="Q667" s="833"/>
      <c r="R667" s="833"/>
      <c r="S667" s="833"/>
      <c r="T667" s="833"/>
      <c r="U667" s="833"/>
      <c r="V667" s="833"/>
      <c r="W667" s="833"/>
      <c r="X667" s="833"/>
    </row>
    <row r="668" spans="1:25" s="813" customFormat="1" ht="39.950000000000003" customHeight="1" x14ac:dyDescent="0.15">
      <c r="A668" s="2081">
        <f t="shared" ca="1" si="208"/>
        <v>8.0599999999999987</v>
      </c>
      <c r="B668" s="834">
        <v>6079</v>
      </c>
      <c r="C668" s="2" t="str">
        <f>VLOOKUP($B668,[4]BOLETIM_SEL!$A:$H,2,0)</f>
        <v>COTAÇÃO - SINAPI</v>
      </c>
      <c r="D668" s="315" t="str">
        <f>VLOOKUP($B668,[4]BOLETIM_SEL!$A:$H,4,0)</f>
        <v>Argila, argila vermelha ou argila arenosa (retirada na jazida, sem transporte)</v>
      </c>
      <c r="E668" s="2230" t="s">
        <v>2647</v>
      </c>
      <c r="F668" s="2" t="str">
        <f>VLOOKUP($B668,[4]BOLETIM_SEL!$A:$H,6,0)</f>
        <v xml:space="preserve">M3    </v>
      </c>
      <c r="G668" s="1407">
        <f>VLOOKUP($B668,[4]BOLETIM_SEL!$A:$H,7,0)</f>
        <v>33.700000000000003</v>
      </c>
      <c r="H668" s="1613">
        <f>IF(M668="COMERCIAL",Pav_Estrutura!Z33+Pav_Estrutura!Z59,0)</f>
        <v>4900.88</v>
      </c>
      <c r="I668" s="2231">
        <f t="shared" ref="I668:I672" si="218">TRUNC(G668*(1+$J$6),2)</f>
        <v>38.840000000000003</v>
      </c>
      <c r="J668" s="1612">
        <f t="shared" si="206"/>
        <v>190350.17</v>
      </c>
      <c r="K668" s="2078">
        <f t="shared" ca="1" si="207"/>
        <v>1.4204539230291992E-2</v>
      </c>
      <c r="L668" s="1574">
        <f t="shared" ref="L668:L674" si="219">J668/$J$645</f>
        <v>2.6929466847651764E-2</v>
      </c>
      <c r="M668" s="1589" t="s">
        <v>410</v>
      </c>
      <c r="N668" s="833"/>
      <c r="O668" s="833"/>
      <c r="Q668" s="833"/>
      <c r="R668" s="833"/>
      <c r="S668" s="833"/>
      <c r="T668" s="833"/>
      <c r="U668" s="833"/>
      <c r="V668" s="833"/>
      <c r="W668" s="833"/>
      <c r="X668" s="833"/>
    </row>
    <row r="669" spans="1:25" s="813" customFormat="1" ht="39.950000000000003" hidden="1" customHeight="1" x14ac:dyDescent="0.15">
      <c r="A669" s="2081">
        <f t="shared" ca="1" si="208"/>
        <v>8.0599999999999987</v>
      </c>
      <c r="B669" s="834">
        <v>4743</v>
      </c>
      <c r="C669" s="2" t="str">
        <f>VLOOKUP($B669,[4]BOLETIM_SEL!$A:$H,2,0)</f>
        <v>COTAÇÃO - SINAPI</v>
      </c>
      <c r="D669" s="315" t="str">
        <f>VLOOKUP($B669,[4]BOLETIM_SEL!$A:$H,4,0)</f>
        <v>Cascalho de cava</v>
      </c>
      <c r="E669" s="2230" t="s">
        <v>2647</v>
      </c>
      <c r="F669" s="2" t="str">
        <f>VLOOKUP($B669,[4]BOLETIM_SEL!$A:$H,6,0)</f>
        <v xml:space="preserve">M3    </v>
      </c>
      <c r="G669" s="1407">
        <f>VLOOKUP($B669,[4]BOLETIM_SEL!$A:$H,7,0)</f>
        <v>56.55</v>
      </c>
      <c r="H669" s="1611">
        <f>IF(M669="COMERCIAL",Pav_Estrutura!Z35+Pav_Estrutura!Z61,0)</f>
        <v>0</v>
      </c>
      <c r="I669" s="2231">
        <f t="shared" si="218"/>
        <v>65.180000000000007</v>
      </c>
      <c r="J669" s="1612">
        <f t="shared" si="206"/>
        <v>0</v>
      </c>
      <c r="K669" s="2078">
        <f t="shared" ca="1" si="207"/>
        <v>0</v>
      </c>
      <c r="L669" s="1574">
        <f t="shared" si="219"/>
        <v>0</v>
      </c>
      <c r="M669" s="1589" t="s">
        <v>1708</v>
      </c>
      <c r="N669" s="833"/>
      <c r="O669" s="833"/>
      <c r="Q669" s="833"/>
      <c r="R669" s="833"/>
      <c r="S669" s="833"/>
      <c r="T669" s="833"/>
      <c r="U669" s="833"/>
      <c r="V669" s="833"/>
      <c r="W669" s="833"/>
      <c r="X669" s="833"/>
    </row>
    <row r="670" spans="1:25" s="813" customFormat="1" ht="39.950000000000003" customHeight="1" x14ac:dyDescent="0.15">
      <c r="A670" s="2081">
        <f t="shared" ca="1" si="208"/>
        <v>8.0699999999999985</v>
      </c>
      <c r="B670" s="834">
        <v>4721</v>
      </c>
      <c r="C670" s="2" t="str">
        <f>VLOOKUP($B670,[4]BOLETIM_SEL!$A:$H,2,0)</f>
        <v>COTAÇÃO - SINAPI</v>
      </c>
      <c r="D670" s="315" t="str">
        <f>VLOOKUP($B670,[4]BOLETIM_SEL!$A:$H,4,0)</f>
        <v>Pedra britada n. 1 (9,5 A 19 mm) posto pedreira/fornecedor, sem frete</v>
      </c>
      <c r="E670" s="2230" t="s">
        <v>2647</v>
      </c>
      <c r="F670" s="2" t="str">
        <f>VLOOKUP($B670,[4]BOLETIM_SEL!$A:$H,6,0)</f>
        <v xml:space="preserve">M3    </v>
      </c>
      <c r="G670" s="1407">
        <f>VLOOKUP($B670,[4]BOLETIM_SEL!$A:$H,7,0)</f>
        <v>96.99</v>
      </c>
      <c r="H670" s="1611">
        <f>+Pav_Estrutura!Z34+Pav_Estrutura!Z60</f>
        <v>8086.45</v>
      </c>
      <c r="I670" s="2231">
        <f t="shared" si="218"/>
        <v>111.8</v>
      </c>
      <c r="J670" s="1612">
        <f t="shared" si="206"/>
        <v>904065.11</v>
      </c>
      <c r="K670" s="2078">
        <f t="shared" ca="1" si="207"/>
        <v>6.7464233531986051E-2</v>
      </c>
      <c r="L670" s="1574">
        <f t="shared" si="219"/>
        <v>0.12790107520189575</v>
      </c>
      <c r="M670" s="1445"/>
      <c r="N670" s="833"/>
      <c r="O670" s="833"/>
      <c r="Q670" s="833"/>
      <c r="R670" s="833"/>
      <c r="S670" s="833"/>
      <c r="T670" s="833"/>
      <c r="U670" s="833"/>
      <c r="V670" s="833"/>
      <c r="W670" s="833"/>
      <c r="X670" s="833"/>
    </row>
    <row r="671" spans="1:25" s="813" customFormat="1" ht="39.950000000000003" hidden="1" customHeight="1" x14ac:dyDescent="0.15">
      <c r="A671" s="2081">
        <f t="shared" ca="1" si="208"/>
        <v>8.0699999999999985</v>
      </c>
      <c r="B671" s="834">
        <v>4748</v>
      </c>
      <c r="C671" s="2" t="str">
        <f>VLOOKUP($B671,[4]BOLETIM_SEL!$A:$H,2,0)</f>
        <v>COTAÇÃO - SINAPI</v>
      </c>
      <c r="D671" s="315" t="str">
        <f>VLOOKUP($B671,[4]BOLETIM_SEL!$A:$H,4,0)</f>
        <v>Pedra britada ou bica corrida, não classificada (posto pedreira/fornecedor, sem frete)</v>
      </c>
      <c r="E671" s="2230" t="s">
        <v>2647</v>
      </c>
      <c r="F671" s="2" t="str">
        <f>VLOOKUP($B671,[4]BOLETIM_SEL!$A:$H,6,0)</f>
        <v xml:space="preserve">M3    </v>
      </c>
      <c r="G671" s="1407">
        <f>VLOOKUP($B671,[4]BOLETIM_SEL!$A:$H,7,0)</f>
        <v>89.58</v>
      </c>
      <c r="H671" s="1611">
        <f>+Pav_Estrutura!Z36+Pav_Estrutura!Z62</f>
        <v>0</v>
      </c>
      <c r="I671" s="2231">
        <f t="shared" si="218"/>
        <v>103.25</v>
      </c>
      <c r="J671" s="1612">
        <f t="shared" si="206"/>
        <v>0</v>
      </c>
      <c r="K671" s="2078">
        <f t="shared" ca="1" si="207"/>
        <v>0</v>
      </c>
      <c r="L671" s="1574">
        <f t="shared" si="219"/>
        <v>0</v>
      </c>
      <c r="M671" s="1445"/>
      <c r="N671" s="833"/>
      <c r="O671" s="833"/>
      <c r="Q671" s="833"/>
      <c r="R671" s="833"/>
      <c r="S671" s="816"/>
      <c r="T671" s="816"/>
      <c r="U671" s="816"/>
      <c r="V671" s="816"/>
      <c r="W671" s="816"/>
      <c r="X671" s="816"/>
      <c r="Y671" s="2345"/>
    </row>
    <row r="672" spans="1:25" s="813" customFormat="1" ht="39.950000000000003" hidden="1" customHeight="1" x14ac:dyDescent="0.15">
      <c r="A672" s="2081">
        <f t="shared" ca="1" si="208"/>
        <v>8.0699999999999985</v>
      </c>
      <c r="B672" s="834">
        <v>4729</v>
      </c>
      <c r="C672" s="2" t="str">
        <f>VLOOKUP($B672,[4]BOLETIM_SEL!$A:$H,2,0)</f>
        <v>COTAÇÃO - SINAPI</v>
      </c>
      <c r="D672" s="315" t="str">
        <f>VLOOKUP($B672,[4]BOLETIM_SEL!$A:$H,4,0)</f>
        <v>Pedra britada graduada, classificada (posto pedreira/fornecedor, sem frete)</v>
      </c>
      <c r="E672" s="2230" t="s">
        <v>2647</v>
      </c>
      <c r="F672" s="2" t="str">
        <f>VLOOKUP($B672,[4]BOLETIM_SEL!$A:$H,6,0)</f>
        <v xml:space="preserve">M3    </v>
      </c>
      <c r="G672" s="1407">
        <f>VLOOKUP($B672,[4]BOLETIM_SEL!$A:$H,7,0)</f>
        <v>97.72</v>
      </c>
      <c r="H672" s="1611">
        <f>Pav_Estrutura!Z37+Pav_Estrutura!Z63</f>
        <v>0</v>
      </c>
      <c r="I672" s="2231">
        <f t="shared" si="218"/>
        <v>112.64</v>
      </c>
      <c r="J672" s="1612">
        <f t="shared" si="206"/>
        <v>0</v>
      </c>
      <c r="K672" s="2078">
        <f t="shared" ca="1" si="207"/>
        <v>0</v>
      </c>
      <c r="L672" s="1574">
        <f t="shared" si="219"/>
        <v>0</v>
      </c>
      <c r="M672" s="1445"/>
      <c r="N672" s="833"/>
      <c r="O672" s="833"/>
      <c r="Q672" s="833"/>
      <c r="R672" s="833"/>
      <c r="S672" s="833"/>
      <c r="T672" s="833"/>
      <c r="U672" s="833"/>
      <c r="V672" s="833"/>
      <c r="W672" s="833"/>
      <c r="X672" s="833"/>
    </row>
    <row r="673" spans="1:25" s="813" customFormat="1" ht="39.950000000000003" customHeight="1" x14ac:dyDescent="0.15">
      <c r="A673" s="2081">
        <f t="shared" ca="1" si="208"/>
        <v>8.0799999999999983</v>
      </c>
      <c r="B673" s="834">
        <f>IF(M673="escavadeira",100978,100974)</f>
        <v>100978</v>
      </c>
      <c r="C673" s="2" t="str">
        <f>VLOOKUP($B673,[4]BOLETIM_SEL!$A:$H,2,0)</f>
        <v>SINAPI</v>
      </c>
      <c r="D673" s="315" t="str">
        <f>VLOOKUP($B673,[4]BOLETIM_SEL!$A:$H,4,0)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673" s="2"/>
      <c r="F673" s="2" t="str">
        <f>VLOOKUP($B673,[4]BOLETIM_SEL!$A:$H,6,0)</f>
        <v>M3</v>
      </c>
      <c r="G673" s="1407">
        <f>VLOOKUP($B673,[4]BOLETIM_SEL!$A:$H,7,0)</f>
        <v>6.17</v>
      </c>
      <c r="H673" s="1611">
        <f>Pav_Estrutura!Z110+IF(Pav_Estrutura!Z106&lt;=50,Pav_Estrutura!Z106,0)</f>
        <v>13477.42</v>
      </c>
      <c r="I673" s="877">
        <f>+TRUNC(G673*(1+$J$5),2)</f>
        <v>7.44</v>
      </c>
      <c r="J673" s="1612">
        <f t="shared" si="206"/>
        <v>100272</v>
      </c>
      <c r="K673" s="2078">
        <f t="shared" ca="1" si="207"/>
        <v>7.4826177339365587E-3</v>
      </c>
      <c r="L673" s="1574">
        <f t="shared" si="219"/>
        <v>1.4185810812502754E-2</v>
      </c>
      <c r="M673" s="1589" t="s">
        <v>2106</v>
      </c>
      <c r="N673" s="833"/>
      <c r="O673" s="833"/>
      <c r="Q673" s="833"/>
      <c r="R673" s="833"/>
      <c r="S673" s="833"/>
      <c r="T673" s="833"/>
      <c r="U673" s="833"/>
      <c r="V673" s="833"/>
      <c r="W673" s="833"/>
      <c r="X673" s="833"/>
    </row>
    <row r="674" spans="1:25" s="813" customFormat="1" ht="39.950000000000003" hidden="1" customHeight="1" x14ac:dyDescent="0.15">
      <c r="A674" s="2081">
        <f t="shared" ca="1" si="208"/>
        <v>8.0799999999999983</v>
      </c>
      <c r="B674" s="834">
        <f>IF(M674="escavadeira",100979,100975)</f>
        <v>100979</v>
      </c>
      <c r="C674" s="2" t="str">
        <f>VLOOKUP($B674,[4]BOLETIM_SEL!$A:$H,2,0)</f>
        <v>SINAPI</v>
      </c>
      <c r="D674" s="315" t="str">
        <f>VLOOKUP($B674,[4]BOLETIM_SEL!$A:$H,4,0)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74" s="2"/>
      <c r="F674" s="2" t="str">
        <f>VLOOKUP($B674,[4]BOLETIM_SEL!$A:$H,6,0)</f>
        <v>M3</v>
      </c>
      <c r="G674" s="1407">
        <f>VLOOKUP($B674,[4]BOLETIM_SEL!$A:$H,7,0)</f>
        <v>6.01</v>
      </c>
      <c r="H674" s="2192"/>
      <c r="I674" s="877">
        <f>+TRUNC(G674*(1+$J$5),2)</f>
        <v>7.25</v>
      </c>
      <c r="J674" s="1612">
        <f t="shared" si="206"/>
        <v>0</v>
      </c>
      <c r="K674" s="2078">
        <f t="shared" ca="1" si="207"/>
        <v>0</v>
      </c>
      <c r="L674" s="1574">
        <f t="shared" si="219"/>
        <v>0</v>
      </c>
      <c r="M674" s="1589" t="s">
        <v>2106</v>
      </c>
      <c r="N674" s="833"/>
      <c r="O674" s="833"/>
      <c r="Q674" s="833"/>
      <c r="R674" s="833"/>
      <c r="S674" s="833"/>
      <c r="T674" s="833"/>
      <c r="U674" s="833"/>
      <c r="V674" s="833"/>
      <c r="W674" s="833"/>
      <c r="X674" s="833"/>
    </row>
    <row r="675" spans="1:25" s="813" customFormat="1" ht="39.950000000000003" hidden="1" customHeight="1" x14ac:dyDescent="0.15">
      <c r="A675" s="2081">
        <f t="shared" ref="A675" ca="1" si="220">+IF(H675&gt;0,A674+0.01,A674)</f>
        <v>8.0799999999999983</v>
      </c>
      <c r="B675" s="834">
        <v>3009086</v>
      </c>
      <c r="C675" s="2" t="s">
        <v>2710</v>
      </c>
      <c r="D675" s="315" t="s">
        <v>2711</v>
      </c>
      <c r="E675" s="2"/>
      <c r="F675" s="2" t="s">
        <v>956</v>
      </c>
      <c r="G675" s="1407">
        <v>1513.29</v>
      </c>
      <c r="H675" s="1611"/>
      <c r="I675" s="877">
        <f>+TRUNC(G675*(1+$J$5),2)</f>
        <v>1826.54</v>
      </c>
      <c r="J675" s="1612">
        <f t="shared" ref="J675" si="221">TRUNC(H675*I675,2)</f>
        <v>0</v>
      </c>
      <c r="K675" s="2078">
        <f t="shared" ca="1" si="207"/>
        <v>0</v>
      </c>
      <c r="L675" s="1574">
        <f t="shared" ref="L675" si="222">J675/$J$645</f>
        <v>0</v>
      </c>
      <c r="M675" s="1589" t="s">
        <v>2106</v>
      </c>
      <c r="N675" s="833"/>
      <c r="O675" s="833"/>
      <c r="Q675" s="833"/>
      <c r="R675" s="833"/>
      <c r="S675" s="833"/>
      <c r="T675" s="833"/>
      <c r="U675" s="833"/>
      <c r="V675" s="833"/>
      <c r="W675" s="833"/>
      <c r="X675" s="833"/>
    </row>
    <row r="676" spans="1:25" s="813" customFormat="1" ht="24.95" customHeight="1" x14ac:dyDescent="0.15">
      <c r="A676" s="2083"/>
      <c r="B676" s="834"/>
      <c r="C676" s="2"/>
      <c r="D676" s="1452" t="s">
        <v>1898</v>
      </c>
      <c r="E676" s="2"/>
      <c r="F676" s="2"/>
      <c r="G676" s="1407"/>
      <c r="H676" s="2"/>
      <c r="I676" s="2"/>
      <c r="J676" s="839" t="str">
        <f>IF(J679=0,"-","")</f>
        <v/>
      </c>
      <c r="K676" s="2078"/>
      <c r="L676" s="1574"/>
      <c r="M676" s="1445"/>
      <c r="N676" s="833"/>
      <c r="O676" s="833"/>
      <c r="Q676" s="833"/>
      <c r="R676" s="833"/>
      <c r="S676" s="833"/>
      <c r="T676" s="833"/>
      <c r="U676" s="833"/>
      <c r="V676" s="833"/>
      <c r="W676" s="833"/>
      <c r="X676" s="833"/>
    </row>
    <row r="677" spans="1:25" s="813" customFormat="1" ht="39.950000000000003" customHeight="1" x14ac:dyDescent="0.15">
      <c r="A677" s="2081">
        <f ca="1">+IF(H677&gt;0,A674+0.01,A674)</f>
        <v>8.0899999999999981</v>
      </c>
      <c r="B677" s="834">
        <f>IF(AND(M677&lt;=50,E677&lt;=30),95875,IF(AND(M677&lt;=50,E677&gt;30),93590,IF(AND(M677&gt;50,E677&lt;=30),95876,93593)))</f>
        <v>95876</v>
      </c>
      <c r="C677" s="2" t="str">
        <f>VLOOKUP($B677,[4]BOLETIM_SEL!$A:$H,2,0)</f>
        <v>SINAPI</v>
      </c>
      <c r="D677" s="315" t="str">
        <f>VLOOKUP($B677,[4]BOLETIM_SEL!$A:$H,4,0)</f>
        <v>Transporte com caminhão basculante de 14 m3, em via urbana pavimentada, DMT até 30,00 km (unidade: m3xkm). AF_07/2020</v>
      </c>
      <c r="E677" s="2">
        <f>+Dados_DMT!$B$14</f>
        <v>4</v>
      </c>
      <c r="F677" s="2" t="str">
        <f>VLOOKUP($B677,[4]BOLETIM_SEL!$A:$H,6,0)</f>
        <v>M3XKM</v>
      </c>
      <c r="G677" s="1407">
        <f>VLOOKUP($B677,[4]BOLETIM_SEL!$A:$H,7,0)</f>
        <v>1.93</v>
      </c>
      <c r="H677" s="1611">
        <f>ROUND(Pav_Estrutura!Z97*E677,2)</f>
        <v>19603.52</v>
      </c>
      <c r="I677" s="877">
        <f>+TRUNC(G677*(1+$J$5),2)</f>
        <v>2.3199999999999998</v>
      </c>
      <c r="J677" s="1612">
        <f t="shared" ref="J677" si="223">TRUNC(H677*I677,2)</f>
        <v>45480.160000000003</v>
      </c>
      <c r="K677" s="2078">
        <f ca="1">J677/J$967</f>
        <v>3.3938751771010064E-3</v>
      </c>
      <c r="L677" s="1574">
        <f t="shared" ref="L677" si="224">J677/$J$645</f>
        <v>6.4342283537014858E-3</v>
      </c>
      <c r="M677" s="1453">
        <f>IF(H677=0,0,H677/E677)</f>
        <v>4900.88</v>
      </c>
      <c r="N677" s="833"/>
      <c r="O677" s="833"/>
      <c r="Q677" s="833"/>
      <c r="R677" s="833"/>
      <c r="S677" s="833"/>
      <c r="T677" s="833"/>
      <c r="U677" s="833"/>
      <c r="V677" s="833"/>
      <c r="W677" s="833"/>
      <c r="X677" s="833"/>
    </row>
    <row r="678" spans="1:25" s="813" customFormat="1" ht="24.95" customHeight="1" x14ac:dyDescent="0.15">
      <c r="A678" s="2083"/>
      <c r="B678" s="834"/>
      <c r="C678" s="2"/>
      <c r="D678" s="1452" t="s">
        <v>1899</v>
      </c>
      <c r="E678" s="2"/>
      <c r="F678" s="836"/>
      <c r="G678" s="1407"/>
      <c r="H678" s="2"/>
      <c r="I678" s="836"/>
      <c r="J678" s="839" t="str">
        <f>IF(J677=0,"-","")</f>
        <v/>
      </c>
      <c r="K678" s="2078"/>
      <c r="L678" s="1574"/>
      <c r="M678" s="1445" t="s">
        <v>1674</v>
      </c>
      <c r="N678" s="833"/>
      <c r="O678" s="833"/>
      <c r="Q678" s="833"/>
      <c r="R678" s="833"/>
      <c r="S678" s="833"/>
      <c r="T678" s="833"/>
      <c r="U678" s="833"/>
      <c r="V678" s="833"/>
      <c r="W678" s="833"/>
      <c r="X678" s="833"/>
    </row>
    <row r="679" spans="1:25" s="813" customFormat="1" ht="30" customHeight="1" x14ac:dyDescent="0.15">
      <c r="A679" s="2081">
        <f ca="1">+IF(H679&gt;0,A677+0.01,A677)</f>
        <v>8.0999999999999979</v>
      </c>
      <c r="B679" s="834">
        <v>100939</v>
      </c>
      <c r="C679" s="2" t="str">
        <f>VLOOKUP($B679,[4]BOLETIM_SEL!$A:$H,2,0)</f>
        <v>SINAPI</v>
      </c>
      <c r="D679" s="315" t="str">
        <f>VLOOKUP($B679,[4]BOLETIM_SEL!$A:$H,4,0)</f>
        <v>Transporte com caminhão basculante de 14 m3, em via interna (dentro do canteiro - unidade:m3xkm). AF_07/2020</v>
      </c>
      <c r="E679" s="2">
        <f>+Dados_DMT!$B$15</f>
        <v>1</v>
      </c>
      <c r="F679" s="2" t="str">
        <f>VLOOKUP($B679,[4]BOLETIM_SEL!$A:$H,6,0)</f>
        <v>M3XKM</v>
      </c>
      <c r="G679" s="1407">
        <f>VLOOKUP($B679,[4]BOLETIM_SEL!$A:$H,7,0)</f>
        <v>5.89</v>
      </c>
      <c r="H679" s="1611">
        <f>ROUND(Pav_Estrutura!Z110*E679,2)</f>
        <v>13477.42</v>
      </c>
      <c r="I679" s="877">
        <f>+TRUNC(G679*(1+$J$5),2)</f>
        <v>7.1</v>
      </c>
      <c r="J679" s="1612">
        <f t="shared" ref="J679" si="225">TRUNC(H679*I679,2)</f>
        <v>95689.68</v>
      </c>
      <c r="K679" s="2078">
        <f ca="1">J679/J$967</f>
        <v>7.1406703418971833E-3</v>
      </c>
      <c r="L679" s="1574">
        <f t="shared" ref="L679" si="226">J679/$J$645</f>
        <v>1.353753487702378E-2</v>
      </c>
      <c r="M679" s="1445"/>
      <c r="N679" s="833"/>
      <c r="O679" s="833"/>
      <c r="Q679" s="833"/>
      <c r="R679" s="833"/>
      <c r="S679" s="833"/>
      <c r="T679" s="833"/>
      <c r="U679" s="833"/>
      <c r="V679" s="833"/>
      <c r="W679" s="833"/>
      <c r="X679" s="833"/>
    </row>
    <row r="680" spans="1:25" s="813" customFormat="1" ht="24.95" hidden="1" customHeight="1" x14ac:dyDescent="0.15">
      <c r="A680" s="2083"/>
      <c r="B680" s="834"/>
      <c r="C680" s="2"/>
      <c r="D680" s="1452" t="s">
        <v>1895</v>
      </c>
      <c r="E680" s="2"/>
      <c r="F680" s="2"/>
      <c r="G680" s="1407"/>
      <c r="H680" s="2"/>
      <c r="I680" s="2"/>
      <c r="J680" s="839" t="str">
        <f>IF(J681=0,"-","")</f>
        <v>-</v>
      </c>
      <c r="K680" s="2078"/>
      <c r="L680" s="1574"/>
      <c r="M680" s="1445"/>
      <c r="N680" s="833"/>
      <c r="O680" s="833"/>
      <c r="Q680" s="833"/>
      <c r="R680" s="833"/>
      <c r="S680" s="833"/>
      <c r="T680" s="833"/>
      <c r="U680" s="833"/>
      <c r="V680" s="833"/>
      <c r="W680" s="833"/>
      <c r="X680" s="833"/>
    </row>
    <row r="681" spans="1:25" s="813" customFormat="1" ht="39.950000000000003" hidden="1" customHeight="1" x14ac:dyDescent="0.15">
      <c r="A681" s="2081">
        <f ca="1">+IF(H681&gt;0,A679+0.01,A679)</f>
        <v>8.0999999999999979</v>
      </c>
      <c r="B681" s="834">
        <f>IF(AND(M681&lt;=50,E681&lt;=30),95875,IF(AND(M681&lt;=50,E681&gt;30),93590,IF(AND(M681&gt;50,E681&lt;=30),95876,93593)))</f>
        <v>95875</v>
      </c>
      <c r="C681" s="2" t="str">
        <f>VLOOKUP($B681,[4]BOLETIM_SEL!$A:$H,2,0)</f>
        <v>SINAPI</v>
      </c>
      <c r="D681" s="315" t="str">
        <f>VLOOKUP($B681,[4]BOLETIM_SEL!$A:$H,4,0)</f>
        <v>Transporte com caminhão basculante de 10 m3, em via urbana pavimentada, DMT até 30,00 km (unidade: m3xkm). AF_07/2020</v>
      </c>
      <c r="E681" s="2">
        <f>+Dados_DMT!$B$24</f>
        <v>0</v>
      </c>
      <c r="F681" s="2" t="str">
        <f>VLOOKUP($B681,[4]BOLETIM_SEL!$A:$H,6,0)</f>
        <v>M3XKM</v>
      </c>
      <c r="G681" s="1407">
        <f>VLOOKUP($B681,[4]BOLETIM_SEL!$A:$H,7,0)</f>
        <v>2.1800000000000002</v>
      </c>
      <c r="H681" s="1611">
        <f>ROUND(Pav_Estrutura!Z103*E681,2)</f>
        <v>0</v>
      </c>
      <c r="I681" s="877">
        <f>+TRUNC(G681*(1+$J$5),2)</f>
        <v>2.63</v>
      </c>
      <c r="J681" s="1612">
        <f t="shared" ref="J681" si="227">TRUNC(H681*I681,2)</f>
        <v>0</v>
      </c>
      <c r="K681" s="2078">
        <f ca="1">J681/J$967</f>
        <v>0</v>
      </c>
      <c r="L681" s="1574">
        <f t="shared" ref="L681" si="228">J681/$J$645</f>
        <v>0</v>
      </c>
      <c r="M681" s="1453">
        <f>IF(H681=0,0,H681/E681)</f>
        <v>0</v>
      </c>
      <c r="N681" s="833"/>
      <c r="O681" s="833"/>
      <c r="Q681" s="833"/>
      <c r="R681" s="833"/>
      <c r="S681" s="833"/>
      <c r="T681" s="833"/>
      <c r="U681" s="833"/>
      <c r="V681" s="833"/>
      <c r="W681" s="833"/>
      <c r="X681" s="833"/>
    </row>
    <row r="682" spans="1:25" s="813" customFormat="1" ht="24.95" customHeight="1" x14ac:dyDescent="0.15">
      <c r="A682" s="2083"/>
      <c r="B682" s="834"/>
      <c r="C682" s="2"/>
      <c r="D682" s="1452" t="s">
        <v>1900</v>
      </c>
      <c r="E682" s="2"/>
      <c r="F682" s="2"/>
      <c r="G682" s="1407"/>
      <c r="H682" s="2"/>
      <c r="I682" s="2"/>
      <c r="J682" s="839" t="str">
        <f>IF(J683=0,"-","")</f>
        <v/>
      </c>
      <c r="K682" s="2078"/>
      <c r="L682" s="1574"/>
      <c r="M682" s="1445"/>
      <c r="N682" s="833"/>
      <c r="O682" s="833"/>
      <c r="Q682" s="833"/>
      <c r="R682" s="833"/>
      <c r="S682" s="833"/>
      <c r="T682" s="833"/>
      <c r="U682" s="833"/>
      <c r="V682" s="833"/>
      <c r="W682" s="833"/>
      <c r="X682" s="833"/>
    </row>
    <row r="683" spans="1:25" s="813" customFormat="1" ht="39.950000000000003" customHeight="1" x14ac:dyDescent="0.15">
      <c r="A683" s="2081">
        <f ca="1">+IF(H683&gt;0,A681+0.01,A681)</f>
        <v>8.1099999999999977</v>
      </c>
      <c r="B683" s="834">
        <f>IF(AND(M683&lt;=50,E683&lt;=30),95875,IF(AND(M683&lt;=50,E683&gt;30),93590,IF(AND(M683&gt;50,E683&lt;=30),95876,93593)))</f>
        <v>93593</v>
      </c>
      <c r="C683" s="2" t="str">
        <f>VLOOKUP($B683,[4]BOLETIM_SEL!$A:$H,2,0)</f>
        <v>SINAPI</v>
      </c>
      <c r="D683" s="315" t="str">
        <f>VLOOKUP($B683,[4]BOLETIM_SEL!$A:$H,4,0)</f>
        <v>Transporte com caminhão basculante de 14 m3, em via urbana pavimentada, adicional para DMT excedente a 30,00 km (unidade: m3xkm). AF_07/2020</v>
      </c>
      <c r="E683" s="2">
        <f>+Dados_DMT!$B$34</f>
        <v>109</v>
      </c>
      <c r="F683" s="2" t="str">
        <f>VLOOKUP($B683,[4]BOLETIM_SEL!$A:$H,6,0)</f>
        <v>M3XKM</v>
      </c>
      <c r="G683" s="1407">
        <f>VLOOKUP($B683,[4]BOLETIM_SEL!$A:$H,7,0)</f>
        <v>0.78</v>
      </c>
      <c r="H683" s="1611">
        <f>ROUND(Pav_Estrutura!Z104*E683,2)</f>
        <v>881423.05</v>
      </c>
      <c r="I683" s="877">
        <f>+TRUNC(G683*(1+$J$5),2)</f>
        <v>0.94</v>
      </c>
      <c r="J683" s="1612">
        <f>TRUNC(H683*I683,2)</f>
        <v>828537.66</v>
      </c>
      <c r="K683" s="2078">
        <f ca="1">J683/J$967</f>
        <v>6.1828133356772563E-2</v>
      </c>
      <c r="L683" s="1574">
        <f>J683/$J$645</f>
        <v>0.11721595755339209</v>
      </c>
      <c r="M683" s="1453">
        <f>IF(H683=0,0,H683/E683)</f>
        <v>8086.4500000000007</v>
      </c>
      <c r="N683" s="833"/>
      <c r="O683" s="833"/>
      <c r="Q683" s="833"/>
      <c r="R683" s="833"/>
      <c r="S683" s="833"/>
      <c r="T683" s="833"/>
      <c r="U683" s="833"/>
      <c r="V683" s="833"/>
      <c r="W683" s="833"/>
      <c r="X683" s="833"/>
    </row>
    <row r="684" spans="1:25" s="813" customFormat="1" ht="24.95" hidden="1" customHeight="1" x14ac:dyDescent="0.15">
      <c r="A684" s="2083"/>
      <c r="B684" s="834"/>
      <c r="C684" s="2"/>
      <c r="D684" s="1452" t="s">
        <v>1896</v>
      </c>
      <c r="E684" s="2"/>
      <c r="F684" s="2"/>
      <c r="G684" s="1407"/>
      <c r="H684" s="2"/>
      <c r="I684" s="2"/>
      <c r="J684" s="839" t="str">
        <f>IF(J685=0,"-","")</f>
        <v>-</v>
      </c>
      <c r="K684" s="2078"/>
      <c r="L684" s="1574"/>
      <c r="M684" s="1445"/>
      <c r="N684" s="833"/>
      <c r="O684" s="833"/>
      <c r="Q684" s="833"/>
      <c r="R684" s="833"/>
      <c r="S684" s="816"/>
      <c r="T684" s="816"/>
      <c r="U684" s="816"/>
      <c r="V684" s="816"/>
      <c r="W684" s="816"/>
      <c r="X684" s="816"/>
      <c r="Y684" s="816"/>
    </row>
    <row r="685" spans="1:25" s="813" customFormat="1" ht="39.950000000000003" hidden="1" customHeight="1" x14ac:dyDescent="0.15">
      <c r="A685" s="2081">
        <f ca="1">+IF(H685&gt;0,A683+0.01,A683)</f>
        <v>8.1099999999999977</v>
      </c>
      <c r="B685" s="834">
        <f>IF(AND(M685&lt;=50,E685&lt;=30),95875,IF(AND(M685&lt;=50,E685&gt;30),93590,IF(AND(M685&gt;50,E685&lt;=30),95876,93593)))</f>
        <v>93590</v>
      </c>
      <c r="C685" s="2" t="str">
        <f>VLOOKUP($B685,[4]BOLETIM_SEL!$A:$H,2,0)</f>
        <v>SINAPI</v>
      </c>
      <c r="D685" s="315" t="str">
        <f>VLOOKUP($B685,[4]BOLETIM_SEL!$A:$H,4,0)</f>
        <v>Transporte com caminhão basculante de 10 m3, em via urbana pavimentada, adicional para DMT excedente a 30,00 km (unidade: m3xkm). AF_07/2020</v>
      </c>
      <c r="E685" s="2">
        <f>+Dados_DMT!$B$34</f>
        <v>109</v>
      </c>
      <c r="F685" s="2" t="str">
        <f>VLOOKUP($B685,[4]BOLETIM_SEL!$A:$H,6,0)</f>
        <v>M3XKM</v>
      </c>
      <c r="G685" s="1407">
        <f>VLOOKUP($B685,[4]BOLETIM_SEL!$A:$H,7,0)</f>
        <v>0.85</v>
      </c>
      <c r="H685" s="1611">
        <f>ROUND(Pav_Estrutura!Z105*E685,2)</f>
        <v>0</v>
      </c>
      <c r="I685" s="877">
        <f>+TRUNC(G685*(1+$J$5),2)</f>
        <v>1.02</v>
      </c>
      <c r="J685" s="1612">
        <f>TRUNC(H685*I685,2)</f>
        <v>0</v>
      </c>
      <c r="K685" s="2078">
        <f ca="1">J685/J$967</f>
        <v>0</v>
      </c>
      <c r="L685" s="1574">
        <f>J685/$J$645</f>
        <v>0</v>
      </c>
      <c r="M685" s="1453">
        <f>IF(H685=0,0,H685/E685)</f>
        <v>0</v>
      </c>
      <c r="N685" s="833"/>
      <c r="O685" s="833"/>
      <c r="Q685" s="833"/>
      <c r="R685" s="833"/>
      <c r="S685" s="816"/>
      <c r="T685" s="816"/>
      <c r="U685" s="816"/>
      <c r="V685" s="816"/>
      <c r="W685" s="816"/>
      <c r="X685" s="816"/>
      <c r="Y685" s="2345"/>
    </row>
    <row r="686" spans="1:25" s="813" customFormat="1" ht="24.95" hidden="1" customHeight="1" x14ac:dyDescent="0.15">
      <c r="A686" s="2081"/>
      <c r="B686" s="834"/>
      <c r="C686" s="2"/>
      <c r="D686" s="1452" t="s">
        <v>1897</v>
      </c>
      <c r="E686" s="2"/>
      <c r="F686" s="2"/>
      <c r="G686" s="1407"/>
      <c r="H686" s="2"/>
      <c r="I686" s="2"/>
      <c r="J686" s="839" t="str">
        <f>IF(J687=0,"-","")</f>
        <v>-</v>
      </c>
      <c r="K686" s="2078"/>
      <c r="L686" s="1574"/>
      <c r="M686" s="1445"/>
      <c r="N686" s="833"/>
      <c r="O686" s="833"/>
      <c r="Q686" s="833"/>
      <c r="R686" s="833"/>
      <c r="S686" s="833"/>
      <c r="T686" s="833"/>
      <c r="U686" s="833"/>
      <c r="V686" s="833"/>
      <c r="W686" s="833"/>
      <c r="X686" s="833"/>
    </row>
    <row r="687" spans="1:25" s="813" customFormat="1" ht="39.950000000000003" hidden="1" customHeight="1" x14ac:dyDescent="0.15">
      <c r="A687" s="2081">
        <f ca="1">+IF(H687&gt;0,A685+0.01,A685)</f>
        <v>8.1099999999999977</v>
      </c>
      <c r="B687" s="834">
        <f>IF(AND(M687&lt;=50,E687&lt;=30),95875,IF(AND(M687&lt;=50,E687&gt;30),93590,IF(AND(M687&gt;50,E687&lt;=30),95876,93593)))</f>
        <v>93590</v>
      </c>
      <c r="C687" s="2" t="str">
        <f>VLOOKUP($B687,[4]BOLETIM_SEL!$A:$H,2,0)</f>
        <v>SINAPI</v>
      </c>
      <c r="D687" s="315" t="str">
        <f>VLOOKUP($B687,[4]BOLETIM_SEL!$A:$H,4,0)</f>
        <v>Transporte com caminhão basculante de 10 m3, em via urbana pavimentada, adicional para DMT excedente a 30,00 km (unidade: m3xkm). AF_07/2020</v>
      </c>
      <c r="E687" s="2">
        <f>+Dados_DMT!$B$34</f>
        <v>109</v>
      </c>
      <c r="F687" s="2" t="str">
        <f>VLOOKUP($B687,[4]BOLETIM_SEL!$A:$H,6,0)</f>
        <v>M3XKM</v>
      </c>
      <c r="G687" s="1407">
        <f>VLOOKUP($B687,[4]BOLETIM_SEL!$A:$H,7,0)</f>
        <v>0.85</v>
      </c>
      <c r="H687" s="1611">
        <f>ROUND(Pav_Estrutura!Z106*E687,2)</f>
        <v>0</v>
      </c>
      <c r="I687" s="877">
        <f>+TRUNC(G687*(1+$J$5),2)</f>
        <v>1.02</v>
      </c>
      <c r="J687" s="1612">
        <f>TRUNC(H687*I687,2)</f>
        <v>0</v>
      </c>
      <c r="K687" s="2078">
        <f ca="1">J687/J$967</f>
        <v>0</v>
      </c>
      <c r="L687" s="1574">
        <f>J687/$J$645</f>
        <v>0</v>
      </c>
      <c r="M687" s="1453">
        <f>IF(H687=0,0,H687/E687)</f>
        <v>0</v>
      </c>
      <c r="N687" s="833"/>
      <c r="O687" s="833"/>
      <c r="Q687" s="833"/>
      <c r="R687" s="833"/>
      <c r="S687" s="833"/>
      <c r="T687" s="833"/>
      <c r="U687" s="833"/>
      <c r="V687" s="833"/>
      <c r="W687" s="833"/>
      <c r="X687" s="833"/>
    </row>
    <row r="688" spans="1:25" s="813" customFormat="1" ht="24.95" hidden="1" customHeight="1" x14ac:dyDescent="0.15">
      <c r="A688" s="2081"/>
      <c r="B688" s="834"/>
      <c r="C688" s="2"/>
      <c r="D688" s="1452" t="s">
        <v>1903</v>
      </c>
      <c r="E688" s="2"/>
      <c r="F688" s="2"/>
      <c r="G688" s="1407"/>
      <c r="H688" s="2"/>
      <c r="I688" s="2"/>
      <c r="J688" s="839" t="str">
        <f>IF(J689=0,"-","")</f>
        <v>-</v>
      </c>
      <c r="K688" s="2078"/>
      <c r="L688" s="1574"/>
      <c r="M688" s="1445"/>
      <c r="N688" s="833"/>
      <c r="O688" s="833"/>
      <c r="Q688" s="833"/>
      <c r="R688" s="833"/>
      <c r="S688" s="833"/>
      <c r="T688" s="833"/>
      <c r="U688" s="833"/>
      <c r="V688" s="833"/>
      <c r="W688" s="833"/>
      <c r="X688" s="833"/>
    </row>
    <row r="689" spans="1:25" s="813" customFormat="1" ht="39.950000000000003" hidden="1" customHeight="1" x14ac:dyDescent="0.15">
      <c r="A689" s="2081">
        <f ca="1">+IF(H689&gt;0,A687+0.01,A687)</f>
        <v>8.1099999999999977</v>
      </c>
      <c r="B689" s="834">
        <f>IF(AND(M689&lt;=50,E689&lt;=30),95875,IF(AND(M689&lt;=50,E689&gt;30),93590,IF(AND(M689&gt;50,E689&lt;=30),95876,93593)))</f>
        <v>93590</v>
      </c>
      <c r="C689" s="2" t="str">
        <f>VLOOKUP($B689,[4]BOLETIM_SEL!$A:$H,2,0)</f>
        <v>SINAPI</v>
      </c>
      <c r="D689" s="315" t="str">
        <f>VLOOKUP($B689,[4]BOLETIM_SEL!$A:$H,4,0)</f>
        <v>Transporte com caminhão basculante de 10 m3, em via urbana pavimentada, adicional para DMT excedente a 30,00 km (unidade: m3xkm). AF_07/2020</v>
      </c>
      <c r="E689" s="2">
        <f>+Dados_DMT!$B$34</f>
        <v>109</v>
      </c>
      <c r="F689" s="2" t="str">
        <f>VLOOKUP($B689,[4]BOLETIM_SEL!$A:$H,6,0)</f>
        <v>M3XKM</v>
      </c>
      <c r="G689" s="1407">
        <f>VLOOKUP($B689,[4]BOLETIM_SEL!$A:$H,7,0)</f>
        <v>0.85</v>
      </c>
      <c r="H689" s="1611">
        <f>ROUND(Pav_Estrutura!Z107*E689,2)</f>
        <v>0</v>
      </c>
      <c r="I689" s="877">
        <f>+TRUNC(G689*(1+$J$5),2)</f>
        <v>1.02</v>
      </c>
      <c r="J689" s="1612">
        <f>TRUNC(H689*I689,2)</f>
        <v>0</v>
      </c>
      <c r="K689" s="2078">
        <f ca="1">J689/J$967</f>
        <v>0</v>
      </c>
      <c r="L689" s="1574">
        <f>J689/$J$645</f>
        <v>0</v>
      </c>
      <c r="M689" s="1453">
        <f>IF(H689=0,0,H689/E689)</f>
        <v>0</v>
      </c>
      <c r="N689" s="833"/>
      <c r="O689" s="833"/>
      <c r="Q689" s="833"/>
      <c r="R689" s="833"/>
      <c r="S689" s="833"/>
      <c r="T689" s="833"/>
      <c r="U689" s="833"/>
      <c r="V689" s="833"/>
      <c r="W689" s="833"/>
      <c r="X689" s="833"/>
    </row>
    <row r="690" spans="1:25" s="813" customFormat="1" ht="24.95" hidden="1" customHeight="1" x14ac:dyDescent="0.15">
      <c r="A690" s="2081"/>
      <c r="B690" s="834"/>
      <c r="C690" s="2"/>
      <c r="D690" s="1452" t="s">
        <v>1902</v>
      </c>
      <c r="E690" s="2"/>
      <c r="F690" s="2"/>
      <c r="G690" s="1407"/>
      <c r="H690" s="2"/>
      <c r="I690" s="2"/>
      <c r="J690" s="839" t="str">
        <f>IF(J691=0,"-","")</f>
        <v>-</v>
      </c>
      <c r="K690" s="2078"/>
      <c r="L690" s="1574"/>
      <c r="M690" s="1445"/>
      <c r="N690" s="833"/>
      <c r="O690" s="833"/>
      <c r="Q690" s="833"/>
      <c r="R690" s="833"/>
      <c r="S690" s="833"/>
      <c r="T690" s="833"/>
      <c r="U690" s="833"/>
      <c r="V690" s="833"/>
      <c r="W690" s="833"/>
      <c r="X690" s="833"/>
    </row>
    <row r="691" spans="1:25" s="813" customFormat="1" ht="39.950000000000003" hidden="1" customHeight="1" x14ac:dyDescent="0.15">
      <c r="A691" s="2081">
        <f ca="1">+IF(H691&gt;0,A689+0.01,A689)</f>
        <v>8.1099999999999977</v>
      </c>
      <c r="B691" s="834">
        <f>IF(AND(M691&lt;=50,E691&lt;=30),95875,IF(AND(M691&lt;=50,E691&gt;30),93590,IF(AND(M691&gt;50,E691&lt;=30),95876,93593)))</f>
        <v>95875</v>
      </c>
      <c r="C691" s="2" t="str">
        <f>VLOOKUP($B691,[4]BOLETIM_SEL!$A:$H,2,0)</f>
        <v>SINAPI</v>
      </c>
      <c r="D691" s="315" t="str">
        <f>VLOOKUP($B691,[4]BOLETIM_SEL!$A:$H,4,0)</f>
        <v>Transporte com caminhão basculante de 10 m3, em via urbana pavimentada, DMT até 30,00 km (unidade: m3xkm). AF_07/2020</v>
      </c>
      <c r="E691" s="2">
        <f>+Dados_DMT!$B$33</f>
        <v>0</v>
      </c>
      <c r="F691" s="2" t="str">
        <f>VLOOKUP($B691,[4]BOLETIM_SEL!$A:$H,6,0)</f>
        <v>M3XKM</v>
      </c>
      <c r="G691" s="1407">
        <f>VLOOKUP($B691,[4]BOLETIM_SEL!$A:$H,7,0)</f>
        <v>2.1800000000000002</v>
      </c>
      <c r="H691" s="1611">
        <f>ROUND(Pav_Estrutura!Z109*E691,2)</f>
        <v>0</v>
      </c>
      <c r="I691" s="877">
        <f>+TRUNC(G691*(1+$J$5),2)</f>
        <v>2.63</v>
      </c>
      <c r="J691" s="1612">
        <f>TRUNC(H691*I691,2)</f>
        <v>0</v>
      </c>
      <c r="K691" s="2078">
        <f ca="1">J691/J$967</f>
        <v>0</v>
      </c>
      <c r="L691" s="1574">
        <f>J691/$J$645</f>
        <v>0</v>
      </c>
      <c r="M691" s="1453">
        <f>IF(H691=0,0,H691/E691)</f>
        <v>0</v>
      </c>
      <c r="N691" s="833"/>
      <c r="O691" s="833"/>
      <c r="Q691" s="833"/>
      <c r="R691" s="833"/>
      <c r="S691" s="833"/>
      <c r="T691" s="833"/>
      <c r="U691" s="833"/>
      <c r="V691" s="833"/>
      <c r="W691" s="833"/>
      <c r="X691" s="833"/>
    </row>
    <row r="692" spans="1:25" s="813" customFormat="1" ht="24.95" hidden="1" customHeight="1" x14ac:dyDescent="0.15">
      <c r="A692" s="2081"/>
      <c r="B692" s="834"/>
      <c r="C692" s="2"/>
      <c r="D692" s="1452" t="s">
        <v>1901</v>
      </c>
      <c r="E692" s="2"/>
      <c r="F692" s="2"/>
      <c r="G692" s="1407"/>
      <c r="H692" s="2"/>
      <c r="I692" s="2"/>
      <c r="J692" s="839" t="str">
        <f>IF(J693=0,"-","")</f>
        <v>-</v>
      </c>
      <c r="K692" s="2078"/>
      <c r="L692" s="1574"/>
      <c r="M692" s="1445"/>
      <c r="N692" s="833"/>
      <c r="O692" s="833"/>
      <c r="Q692" s="833"/>
      <c r="R692" s="833"/>
      <c r="S692" s="833"/>
      <c r="T692" s="833"/>
      <c r="U692" s="833"/>
      <c r="V692" s="833"/>
      <c r="W692" s="833"/>
      <c r="X692" s="833"/>
    </row>
    <row r="693" spans="1:25" s="813" customFormat="1" ht="39.950000000000003" hidden="1" customHeight="1" x14ac:dyDescent="0.15">
      <c r="A693" s="2081">
        <f ca="1">+IF(H693&gt;0,A691+0.01,A691)</f>
        <v>8.1099999999999977</v>
      </c>
      <c r="B693" s="834">
        <f>IF(AND(M693&lt;=50,E693&lt;=30),95875,IF(AND(M693&lt;=50,E693&gt;30),93590,IF(AND(M693&gt;50,E693&lt;=30),95876,93593)))</f>
        <v>95875</v>
      </c>
      <c r="C693" s="2" t="str">
        <f>VLOOKUP($B693,[4]BOLETIM_SEL!$A:$H,2,0)</f>
        <v>SINAPI</v>
      </c>
      <c r="D693" s="315" t="str">
        <f>VLOOKUP($B693,[4]BOLETIM_SEL!$A:$H,4,0)</f>
        <v>Transporte com caminhão basculante de 10 m3, em via urbana pavimentada, DMT até 30,00 km (unidade: m3xkm). AF_07/2020</v>
      </c>
      <c r="E693" s="2">
        <f>+Dados_DMT!$B$32</f>
        <v>0</v>
      </c>
      <c r="F693" s="2" t="str">
        <f>VLOOKUP($B693,[4]BOLETIM_SEL!$A:$H,6,0)</f>
        <v>M3XKM</v>
      </c>
      <c r="G693" s="1407">
        <f>VLOOKUP($B693,[4]BOLETIM_SEL!$A:$H,7,0)</f>
        <v>2.1800000000000002</v>
      </c>
      <c r="H693" s="1611">
        <f>ROUND(Pav_Estrutura!Z108*E693,2)</f>
        <v>0</v>
      </c>
      <c r="I693" s="877">
        <f>+TRUNC(G693*(1+$J$5),2)</f>
        <v>2.63</v>
      </c>
      <c r="J693" s="1612">
        <f>TRUNC(H693*I693,2)</f>
        <v>0</v>
      </c>
      <c r="K693" s="2078">
        <f ca="1">J693/J$967</f>
        <v>0</v>
      </c>
      <c r="L693" s="1574">
        <f>J693/$J$645</f>
        <v>0</v>
      </c>
      <c r="M693" s="1453">
        <f>IF(H693=0,0,H693/E693)</f>
        <v>0</v>
      </c>
      <c r="N693" s="833"/>
      <c r="O693" s="833"/>
      <c r="Q693" s="833"/>
      <c r="R693" s="833"/>
      <c r="S693" s="833"/>
      <c r="T693" s="833"/>
      <c r="U693" s="833"/>
      <c r="V693" s="833"/>
      <c r="W693" s="833"/>
      <c r="X693" s="833"/>
    </row>
    <row r="694" spans="1:25" s="813" customFormat="1" ht="24.95" hidden="1" customHeight="1" x14ac:dyDescent="0.15">
      <c r="A694" s="2081"/>
      <c r="B694" s="834"/>
      <c r="C694" s="2"/>
      <c r="D694" s="1452" t="s">
        <v>1764</v>
      </c>
      <c r="E694" s="2"/>
      <c r="F694" s="2"/>
      <c r="G694" s="1407"/>
      <c r="H694" s="2"/>
      <c r="I694" s="2"/>
      <c r="J694" s="839" t="str">
        <f>IF(J695=0,"-","")</f>
        <v>-</v>
      </c>
      <c r="K694" s="2078"/>
      <c r="L694" s="1574"/>
      <c r="M694" s="1445"/>
      <c r="N694" s="833"/>
      <c r="O694" s="833"/>
      <c r="Q694" s="833"/>
      <c r="R694" s="833"/>
      <c r="S694" s="833"/>
      <c r="T694" s="833"/>
      <c r="U694" s="833"/>
      <c r="V694" s="833"/>
      <c r="W694" s="833"/>
      <c r="X694" s="833"/>
    </row>
    <row r="695" spans="1:25" s="813" customFormat="1" ht="39.950000000000003" hidden="1" customHeight="1" x14ac:dyDescent="0.15">
      <c r="A695" s="2081">
        <f ca="1">+IF(H695&gt;0,A693+0.01,A693)</f>
        <v>8.1099999999999977</v>
      </c>
      <c r="B695" s="834">
        <f>IF(AND(M695&lt;=50,E695&lt;=30),95875,IF(AND(M695&lt;=50,E695&gt;30),93590,IF(AND(M695&gt;50,E695&lt;=30),95876,93593)))</f>
        <v>95875</v>
      </c>
      <c r="C695" s="2" t="str">
        <f>VLOOKUP($B695,[4]BOLETIM_SEL!$A:$H,2,0)</f>
        <v>SINAPI</v>
      </c>
      <c r="D695" s="315" t="str">
        <f>VLOOKUP($B695,[4]BOLETIM_SEL!$A:$H,4,0)</f>
        <v>Transporte com caminhão basculante de 10 m3, em via urbana pavimentada, DMT até 30,00 km (unidade: m3xkm). AF_07/2020</v>
      </c>
      <c r="E695" s="2">
        <f>+Dados_DMT!$B$23</f>
        <v>0</v>
      </c>
      <c r="F695" s="2" t="str">
        <f>VLOOKUP($B695,[4]BOLETIM_SEL!$A:$H,6,0)</f>
        <v>M3XKM</v>
      </c>
      <c r="G695" s="1407">
        <f>VLOOKUP($B695,[4]BOLETIM_SEL!$A:$H,7,0)</f>
        <v>2.1800000000000002</v>
      </c>
      <c r="H695" s="1611">
        <f>ROUND(Pav_Estrutura!Z102*E695,2)</f>
        <v>0</v>
      </c>
      <c r="I695" s="877">
        <f>+TRUNC(G695*(1+$J$5),2)</f>
        <v>2.63</v>
      </c>
      <c r="J695" s="1612">
        <f>TRUNC(H695*I695,2)</f>
        <v>0</v>
      </c>
      <c r="K695" s="2078">
        <f ca="1">J695/J$967</f>
        <v>0</v>
      </c>
      <c r="L695" s="1574">
        <f>J695/$J$645</f>
        <v>0</v>
      </c>
      <c r="M695" s="1453">
        <f>IF(H695=0,0,H695/E695)</f>
        <v>0</v>
      </c>
      <c r="N695" s="833"/>
      <c r="O695" s="833"/>
      <c r="Q695" s="833"/>
      <c r="R695" s="833"/>
      <c r="S695" s="833"/>
      <c r="T695" s="833"/>
      <c r="U695" s="833"/>
      <c r="V695" s="833"/>
      <c r="W695" s="833"/>
      <c r="X695" s="833"/>
    </row>
    <row r="696" spans="1:25" s="813" customFormat="1" ht="24.95" hidden="1" customHeight="1" x14ac:dyDescent="0.15">
      <c r="A696" s="2081"/>
      <c r="B696" s="834"/>
      <c r="C696" s="2"/>
      <c r="D696" s="1452" t="s">
        <v>1765</v>
      </c>
      <c r="E696" s="2"/>
      <c r="F696" s="2"/>
      <c r="G696" s="1407"/>
      <c r="H696" s="2"/>
      <c r="I696" s="2"/>
      <c r="J696" s="839" t="str">
        <f>IF(J697=0,"-","")</f>
        <v>-</v>
      </c>
      <c r="K696" s="2078"/>
      <c r="L696" s="1574"/>
      <c r="M696" s="1445"/>
      <c r="N696" s="833"/>
      <c r="O696" s="833"/>
      <c r="Q696" s="833"/>
      <c r="R696" s="833"/>
      <c r="S696" s="833"/>
      <c r="T696" s="833"/>
      <c r="U696" s="833"/>
      <c r="V696" s="833"/>
      <c r="W696" s="833"/>
      <c r="X696" s="833"/>
    </row>
    <row r="697" spans="1:25" s="813" customFormat="1" ht="39.950000000000003" hidden="1" customHeight="1" x14ac:dyDescent="0.15">
      <c r="A697" s="2081">
        <f ca="1">+IF(H697&gt;0,A695+0.01,A695)</f>
        <v>8.1099999999999977</v>
      </c>
      <c r="B697" s="834">
        <f>IF(AND(M697&lt;=50,E697&lt;=30),95875,IF(AND(M697&lt;=50,E697&gt;30),93590,IF(AND(M697&gt;50,E697&lt;=30),95876,93593)))</f>
        <v>95875</v>
      </c>
      <c r="C697" s="2" t="str">
        <f>VLOOKUP($B697,[4]BOLETIM_SEL!$A:$H,2,0)</f>
        <v>SINAPI</v>
      </c>
      <c r="D697" s="315" t="str">
        <f>VLOOKUP($B697,[4]BOLETIM_SEL!$A:$H,4,0)</f>
        <v>Transporte com caminhão basculante de 10 m3, em via urbana pavimentada, DMT até 30,00 km (unidade: m3xkm). AF_07/2020</v>
      </c>
      <c r="E697" s="2">
        <f>+Dados_DMT!$B$22</f>
        <v>0</v>
      </c>
      <c r="F697" s="2" t="str">
        <f>VLOOKUP($B697,[4]BOLETIM_SEL!$A:$H,6,0)</f>
        <v>M3XKM</v>
      </c>
      <c r="G697" s="1407">
        <f>VLOOKUP($B697,[4]BOLETIM_SEL!$A:$H,7,0)</f>
        <v>2.1800000000000002</v>
      </c>
      <c r="H697" s="1611">
        <f>ROUND(Pav_Estrutura!Z101*E697,2)</f>
        <v>0</v>
      </c>
      <c r="I697" s="877">
        <f>+TRUNC(G697*(1+$J$5),2)</f>
        <v>2.63</v>
      </c>
      <c r="J697" s="1612">
        <f>TRUNC(H697*I697,2)</f>
        <v>0</v>
      </c>
      <c r="K697" s="2078">
        <f ca="1">J697/J$967</f>
        <v>0</v>
      </c>
      <c r="L697" s="1574">
        <f>J697/$J$645</f>
        <v>0</v>
      </c>
      <c r="M697" s="1453">
        <f>IF(H697=0,0,H697/E697)</f>
        <v>0</v>
      </c>
      <c r="N697" s="833"/>
      <c r="O697" s="833"/>
      <c r="Q697" s="833"/>
      <c r="R697" s="833"/>
      <c r="S697" s="833"/>
      <c r="T697" s="833"/>
      <c r="U697" s="833"/>
      <c r="V697" s="833"/>
      <c r="W697" s="833"/>
      <c r="X697" s="833"/>
    </row>
    <row r="698" spans="1:25" s="813" customFormat="1" ht="24.95" hidden="1" customHeight="1" x14ac:dyDescent="0.15">
      <c r="A698" s="2081"/>
      <c r="B698" s="834"/>
      <c r="C698" s="2"/>
      <c r="D698" s="1452" t="s">
        <v>1841</v>
      </c>
      <c r="E698" s="2"/>
      <c r="F698" s="2"/>
      <c r="G698" s="1407"/>
      <c r="H698" s="2"/>
      <c r="I698" s="2"/>
      <c r="J698" s="839" t="str">
        <f>IF(J699=0,"-","")</f>
        <v>-</v>
      </c>
      <c r="K698" s="2078"/>
      <c r="L698" s="1574"/>
      <c r="M698" s="1445"/>
      <c r="N698" s="833"/>
      <c r="O698" s="833"/>
      <c r="Q698" s="833"/>
      <c r="R698" s="833"/>
      <c r="S698" s="833"/>
      <c r="T698" s="833"/>
      <c r="U698" s="833"/>
      <c r="V698" s="833"/>
      <c r="W698" s="833"/>
      <c r="X698" s="833"/>
    </row>
    <row r="699" spans="1:25" s="813" customFormat="1" ht="39.950000000000003" hidden="1" customHeight="1" x14ac:dyDescent="0.15">
      <c r="A699" s="2081">
        <f ca="1">+IF(H699&gt;0,A697+0.01,A697)</f>
        <v>8.1099999999999977</v>
      </c>
      <c r="B699" s="834">
        <f>IF(AND(M699&lt;=50,E699&lt;=30),95875,IF(AND(M699&lt;=50,E699&gt;30),93590,IF(AND(M699&gt;50,E699&lt;=30),95876,93593)))</f>
        <v>95875</v>
      </c>
      <c r="C699" s="2" t="str">
        <f>VLOOKUP($B699,[4]BOLETIM_SEL!$A:$H,2,0)</f>
        <v>SINAPI</v>
      </c>
      <c r="D699" s="315" t="str">
        <f>VLOOKUP($B699,[4]BOLETIM_SEL!$A:$H,4,0)</f>
        <v>Transporte com caminhão basculante de 10 m3, em via urbana pavimentada, DMT até 30,00 km (unidade: m3xkm). AF_07/2020</v>
      </c>
      <c r="E699" s="2">
        <f>+Dados_DMT!$B$21</f>
        <v>0</v>
      </c>
      <c r="F699" s="2" t="str">
        <f>VLOOKUP($B699,[4]BOLETIM_SEL!$A:$H,6,0)</f>
        <v>M3XKM</v>
      </c>
      <c r="G699" s="1407">
        <f>VLOOKUP($B699,[4]BOLETIM_SEL!$A:$H,7,0)</f>
        <v>2.1800000000000002</v>
      </c>
      <c r="H699" s="1611">
        <f>ROUND(Pav_Estrutura!Z100*E699,2)</f>
        <v>0</v>
      </c>
      <c r="I699" s="877">
        <f>+TRUNC(G699*(1+$J$5),2)</f>
        <v>2.63</v>
      </c>
      <c r="J699" s="1612">
        <f>TRUNC(H699*I699,2)</f>
        <v>0</v>
      </c>
      <c r="K699" s="2078">
        <f ca="1">J699/J$967</f>
        <v>0</v>
      </c>
      <c r="L699" s="1574">
        <f>J699/$J$645</f>
        <v>0</v>
      </c>
      <c r="M699" s="1453">
        <f>IF(H699=0,0,H699/E699)</f>
        <v>0</v>
      </c>
      <c r="N699" s="833"/>
      <c r="O699" s="833"/>
      <c r="Q699" s="833"/>
      <c r="R699" s="833"/>
      <c r="S699" s="833"/>
      <c r="T699" s="833"/>
      <c r="U699" s="833"/>
      <c r="V699" s="833"/>
      <c r="W699" s="833"/>
      <c r="X699" s="833"/>
    </row>
    <row r="700" spans="1:25" s="813" customFormat="1" ht="24.95" hidden="1" customHeight="1" x14ac:dyDescent="0.15">
      <c r="A700" s="2081"/>
      <c r="B700" s="834"/>
      <c r="C700" s="2"/>
      <c r="D700" s="1452" t="s">
        <v>1819</v>
      </c>
      <c r="E700" s="2"/>
      <c r="F700" s="2"/>
      <c r="G700" s="1407"/>
      <c r="H700" s="2"/>
      <c r="I700" s="2"/>
      <c r="J700" s="839" t="str">
        <f>IF(J701=0,"-","")</f>
        <v>-</v>
      </c>
      <c r="K700" s="2078"/>
      <c r="L700" s="1574"/>
      <c r="M700" s="1445"/>
      <c r="N700" s="833"/>
      <c r="O700" s="833"/>
      <c r="Q700" s="833"/>
      <c r="R700" s="833"/>
      <c r="S700" s="833"/>
      <c r="T700" s="833"/>
      <c r="U700" s="833"/>
      <c r="V700" s="833"/>
      <c r="W700" s="833"/>
      <c r="X700" s="833"/>
    </row>
    <row r="701" spans="1:25" s="813" customFormat="1" ht="39.950000000000003" hidden="1" customHeight="1" x14ac:dyDescent="0.15">
      <c r="A701" s="2081">
        <f ca="1">+IF(H701&gt;0,A699+0.01,A699)</f>
        <v>8.1099999999999977</v>
      </c>
      <c r="B701" s="834">
        <f>IF(AND(M701&lt;=50,E701&lt;=30),95875,IF(AND(M701&lt;=50,E701&gt;30),93590,IF(AND(M701&gt;50,E701&lt;=30),95876,93593)))</f>
        <v>95875</v>
      </c>
      <c r="C701" s="2" t="str">
        <f>VLOOKUP($B701,[4]BOLETIM_SEL!$A:$H,2,0)</f>
        <v>SINAPI</v>
      </c>
      <c r="D701" s="315" t="str">
        <f>VLOOKUP($B701,[4]BOLETIM_SEL!$A:$H,4,0)</f>
        <v>Transporte com caminhão basculante de 10 m3, em via urbana pavimentada, DMT até 30,00 km (unidade: m3xkm). AF_07/2020</v>
      </c>
      <c r="E701" s="2">
        <f>+Dados_DMT!$B$21</f>
        <v>0</v>
      </c>
      <c r="F701" s="2" t="str">
        <f>VLOOKUP($B701,[4]BOLETIM_SEL!$A:$H,6,0)</f>
        <v>M3XKM</v>
      </c>
      <c r="G701" s="1407">
        <f>VLOOKUP($B701,[4]BOLETIM_SEL!$A:$H,7,0)</f>
        <v>2.1800000000000002</v>
      </c>
      <c r="H701" s="1611">
        <f>ROUND(Pav_Estrutura!Z99*E701,2)</f>
        <v>0</v>
      </c>
      <c r="I701" s="877">
        <f>+TRUNC(G701*(1+$J$5),2)</f>
        <v>2.63</v>
      </c>
      <c r="J701" s="1612">
        <f>TRUNC(H701*I701,2)</f>
        <v>0</v>
      </c>
      <c r="K701" s="2078">
        <f ca="1">J701/J$967</f>
        <v>0</v>
      </c>
      <c r="L701" s="1574">
        <f>J701/$J$645</f>
        <v>0</v>
      </c>
      <c r="M701" s="1453">
        <f>IF(H701=0,0,H701/E701)</f>
        <v>0</v>
      </c>
      <c r="N701" s="833"/>
      <c r="O701" s="833"/>
      <c r="Q701" s="833"/>
      <c r="R701" s="833"/>
      <c r="S701" s="833"/>
      <c r="T701" s="833"/>
      <c r="U701" s="833"/>
      <c r="V701" s="833"/>
      <c r="W701" s="833"/>
      <c r="X701" s="833"/>
    </row>
    <row r="702" spans="1:25" s="813" customFormat="1" ht="24.95" hidden="1" customHeight="1" x14ac:dyDescent="0.15">
      <c r="A702" s="2081"/>
      <c r="B702" s="834"/>
      <c r="C702" s="2"/>
      <c r="D702" s="1452" t="s">
        <v>1762</v>
      </c>
      <c r="E702" s="2"/>
      <c r="F702" s="2"/>
      <c r="G702" s="1407"/>
      <c r="H702" s="2"/>
      <c r="I702" s="2"/>
      <c r="J702" s="839" t="str">
        <f>IF(J703=0,"-","")</f>
        <v>-</v>
      </c>
      <c r="K702" s="2078"/>
      <c r="L702" s="1574"/>
      <c r="M702" s="1445"/>
      <c r="N702" s="833"/>
      <c r="O702" s="833"/>
      <c r="Q702" s="833"/>
      <c r="R702" s="833"/>
      <c r="S702" s="833"/>
      <c r="T702" s="833"/>
      <c r="U702" s="833"/>
      <c r="V702" s="833"/>
      <c r="W702" s="833"/>
      <c r="X702" s="833"/>
    </row>
    <row r="703" spans="1:25" s="813" customFormat="1" ht="39.950000000000003" hidden="1" customHeight="1" x14ac:dyDescent="0.15">
      <c r="A703" s="2081">
        <f ca="1">+IF(H703&gt;0,A701+0.01,A701)</f>
        <v>8.1099999999999977</v>
      </c>
      <c r="B703" s="834">
        <f>IF(AND(M703&lt;=50,E703&lt;=30),95875,IF(AND(M703&lt;=50,E703&gt;30),93590,IF(AND(M703&gt;50,E703&lt;=30),95876,93593)))</f>
        <v>95875</v>
      </c>
      <c r="C703" s="2" t="str">
        <f>VLOOKUP($B703,[4]BOLETIM_SEL!$A:$H,2,0)</f>
        <v>SINAPI</v>
      </c>
      <c r="D703" s="315" t="str">
        <f>VLOOKUP($B703,[4]BOLETIM_SEL!$A:$H,4,0)</f>
        <v>Transporte com caminhão basculante de 10 m3, em via urbana pavimentada, DMT até 30,00 km (unidade: m3xkm). AF_07/2020</v>
      </c>
      <c r="E703" s="2">
        <f>+Dados_DMT!$B$31</f>
        <v>0</v>
      </c>
      <c r="F703" s="2" t="str">
        <f>VLOOKUP($B703,[4]BOLETIM_SEL!$A:$H,6,0)</f>
        <v>M3XKM</v>
      </c>
      <c r="G703" s="1407">
        <f>VLOOKUP($B703,[4]BOLETIM_SEL!$A:$H,7,0)</f>
        <v>2.1800000000000002</v>
      </c>
      <c r="H703" s="1611">
        <f>ROUND(Pav_Estrutura!Z120*E703,2)</f>
        <v>0</v>
      </c>
      <c r="I703" s="877">
        <f>+TRUNC(G703*(1+$J$5),2)</f>
        <v>2.63</v>
      </c>
      <c r="J703" s="1612">
        <f>TRUNC(H703*I703,2)</f>
        <v>0</v>
      </c>
      <c r="K703" s="2078">
        <f ca="1">J703/J$967</f>
        <v>0</v>
      </c>
      <c r="L703" s="1574">
        <f>J703/$J$645</f>
        <v>0</v>
      </c>
      <c r="M703" s="1453">
        <f>IF(H703=0,0,H703/E703)</f>
        <v>0</v>
      </c>
      <c r="N703" s="833"/>
      <c r="O703" s="833"/>
      <c r="Q703" s="833"/>
      <c r="R703" s="833"/>
      <c r="S703" s="833"/>
      <c r="T703" s="833"/>
      <c r="U703" s="833"/>
      <c r="V703" s="833"/>
      <c r="W703" s="833"/>
      <c r="X703" s="833"/>
    </row>
    <row r="704" spans="1:25" s="813" customFormat="1" ht="24.95" customHeight="1" x14ac:dyDescent="0.15">
      <c r="A704" s="2081"/>
      <c r="B704" s="834"/>
      <c r="C704" s="2"/>
      <c r="D704" s="1452" t="s">
        <v>1763</v>
      </c>
      <c r="E704" s="2"/>
      <c r="F704" s="2"/>
      <c r="G704" s="1407"/>
      <c r="H704" s="2"/>
      <c r="I704" s="2"/>
      <c r="J704" s="839" t="str">
        <f>IF(J705=0,"-","")</f>
        <v/>
      </c>
      <c r="K704" s="2078"/>
      <c r="L704" s="1574"/>
      <c r="M704" s="1445"/>
      <c r="N704" s="833"/>
      <c r="O704" s="833"/>
      <c r="Q704" s="833"/>
      <c r="R704" s="833"/>
      <c r="S704" s="816"/>
      <c r="T704" s="816"/>
      <c r="U704" s="816"/>
      <c r="V704" s="816"/>
      <c r="W704" s="816"/>
      <c r="X704" s="816"/>
      <c r="Y704" s="816"/>
    </row>
    <row r="705" spans="1:25" s="813" customFormat="1" ht="39.950000000000003" customHeight="1" x14ac:dyDescent="0.15">
      <c r="A705" s="2081">
        <f ca="1">+IF(H705&gt;0,A703+0.01,A703)</f>
        <v>8.1199999999999974</v>
      </c>
      <c r="B705" s="834">
        <f>IF(AND(M705&lt;=50,E705&lt;=30),95878,IF(AND(M705&lt;=50,E705&gt;30),93596,IF(AND(M705&gt;50,E705&lt;=30),95879,93599)))</f>
        <v>93599</v>
      </c>
      <c r="C705" s="2" t="str">
        <f>VLOOKUP($B705,[4]BOLETIM_SEL!$A:$H,2,0)</f>
        <v>SINAPI</v>
      </c>
      <c r="D705" s="315" t="str">
        <f>VLOOKUP($B705,[4]BOLETIM_SEL!$A:$H,4,0)</f>
        <v>Transporte com caminhão basculante de 14 m3, em via urbana pavimentada, adicional para DMT excedente a 30,00 km (unidade: txkm). AF_07/2020</v>
      </c>
      <c r="E705" s="2">
        <f>+Dados_DMT!$B$30</f>
        <v>109</v>
      </c>
      <c r="F705" s="2" t="str">
        <f>VLOOKUP($B705,[4]BOLETIM_SEL!$A:$H,6,0)</f>
        <v>TXKM</v>
      </c>
      <c r="G705" s="1407">
        <f>VLOOKUP($B705,[4]BOLETIM_SEL!$A:$H,7,0)</f>
        <v>0.52</v>
      </c>
      <c r="H705" s="1611">
        <f>ROUND(Pav_Estrutura!Z119*E705,2)</f>
        <v>517127.61</v>
      </c>
      <c r="I705" s="877">
        <f>+TRUNC(G705*(1+$J$5),2)</f>
        <v>0.62</v>
      </c>
      <c r="J705" s="1612">
        <f>TRUNC(H705*I705,2)</f>
        <v>320619.11</v>
      </c>
      <c r="K705" s="2078">
        <f ca="1">J705/J$967</f>
        <v>2.3925624684108783E-2</v>
      </c>
      <c r="L705" s="1574">
        <f>J705/$J$645</f>
        <v>4.5359043774264099E-2</v>
      </c>
      <c r="M705" s="1454">
        <f>IF(H705=0,0,H705/E705)</f>
        <v>4744.29</v>
      </c>
      <c r="N705" s="833"/>
      <c r="O705" s="833"/>
      <c r="Q705" s="833"/>
      <c r="R705" s="833"/>
      <c r="S705" s="816"/>
      <c r="T705" s="816"/>
      <c r="U705" s="816"/>
      <c r="V705" s="816"/>
      <c r="W705" s="816"/>
      <c r="X705" s="816"/>
      <c r="Y705" s="2345"/>
    </row>
    <row r="706" spans="1:25" s="813" customFormat="1" ht="24.95" hidden="1" customHeight="1" x14ac:dyDescent="0.15">
      <c r="A706" s="2081"/>
      <c r="B706" s="834"/>
      <c r="C706" s="2"/>
      <c r="D706" s="1452" t="s">
        <v>1760</v>
      </c>
      <c r="E706" s="2"/>
      <c r="F706" s="2"/>
      <c r="G706" s="1407"/>
      <c r="H706" s="2"/>
      <c r="I706" s="2"/>
      <c r="J706" s="839" t="str">
        <f>IF(J707=0,"-","")</f>
        <v>-</v>
      </c>
      <c r="K706" s="2078"/>
      <c r="L706" s="1574"/>
      <c r="M706" s="1445"/>
      <c r="N706" s="833"/>
      <c r="O706" s="833"/>
      <c r="Q706" s="833"/>
      <c r="R706" s="833"/>
      <c r="S706" s="833"/>
      <c r="T706" s="833"/>
      <c r="U706" s="833"/>
      <c r="V706" s="833"/>
      <c r="W706" s="833"/>
      <c r="X706" s="833"/>
    </row>
    <row r="707" spans="1:25" s="813" customFormat="1" ht="39.950000000000003" hidden="1" customHeight="1" x14ac:dyDescent="0.15">
      <c r="A707" s="2081">
        <f ca="1">+IF(H707&gt;0,A705+0.01,A705)</f>
        <v>8.1199999999999974</v>
      </c>
      <c r="B707" s="834">
        <v>102332</v>
      </c>
      <c r="C707" s="2" t="str">
        <f>VLOOKUP($B707,[4]BOLETIM_SEL!$A:$H,2,0)</f>
        <v>SINAPI</v>
      </c>
      <c r="D707" s="315" t="str">
        <f>VLOOKUP($B707,[4]BOLETIM_SEL!$A:$H,4,0)</f>
        <v>Transporte com caminhão tanque de transporte de material asfáltico de 20.000 l, em via urbana pavimentada, DMT até 30,00 km (unidade: txkm). AF_07/2020</v>
      </c>
      <c r="E707" s="2">
        <f>+Dados_DMT!$B$25</f>
        <v>109</v>
      </c>
      <c r="F707" s="2" t="str">
        <f>VLOOKUP($B707,[4]BOLETIM_SEL!$A:$H,6,0)</f>
        <v>TXKM</v>
      </c>
      <c r="G707" s="1407">
        <f>VLOOKUP($B707,[4]BOLETIM_SEL!$A:$H,7,0)</f>
        <v>1.63</v>
      </c>
      <c r="H707" s="1611">
        <f>IF(B655="PA/0025",0,ROUND(Pav_Estrutura!Z112*E707,2))</f>
        <v>0</v>
      </c>
      <c r="I707" s="877">
        <f>+TRUNC(G707*(1+$J$5),2)</f>
        <v>1.96</v>
      </c>
      <c r="J707" s="1612">
        <f>TRUNC(H707*I707,2)</f>
        <v>0</v>
      </c>
      <c r="K707" s="2078">
        <f ca="1">J707/J$967</f>
        <v>0</v>
      </c>
      <c r="L707" s="1574">
        <f>J707/$J$645</f>
        <v>0</v>
      </c>
      <c r="M707" s="1454">
        <f>IF(H707=0,0,H707/E707)</f>
        <v>0</v>
      </c>
      <c r="N707" s="833"/>
      <c r="O707" s="833"/>
      <c r="Q707" s="833"/>
      <c r="R707" s="833"/>
      <c r="S707" s="833"/>
      <c r="T707" s="833"/>
      <c r="U707" s="833"/>
      <c r="V707" s="833"/>
      <c r="W707" s="833"/>
      <c r="X707" s="833"/>
    </row>
    <row r="708" spans="1:25" s="813" customFormat="1" ht="24.95" customHeight="1" x14ac:dyDescent="0.15">
      <c r="A708" s="2081"/>
      <c r="B708" s="834"/>
      <c r="C708" s="2"/>
      <c r="D708" s="1452" t="s">
        <v>1759</v>
      </c>
      <c r="E708" s="2"/>
      <c r="F708" s="2"/>
      <c r="G708" s="1407"/>
      <c r="H708" s="2"/>
      <c r="I708" s="2"/>
      <c r="J708" s="839" t="str">
        <f>IF(J709=0,"-","")</f>
        <v/>
      </c>
      <c r="K708" s="2078"/>
      <c r="L708" s="1574"/>
      <c r="M708" s="1445"/>
      <c r="N708" s="833"/>
      <c r="O708" s="833"/>
      <c r="Q708" s="833"/>
      <c r="R708" s="833"/>
      <c r="S708" s="833"/>
      <c r="T708" s="833"/>
      <c r="U708" s="833"/>
      <c r="V708" s="833"/>
      <c r="W708" s="833"/>
      <c r="X708" s="833"/>
    </row>
    <row r="709" spans="1:25" s="813" customFormat="1" ht="39.950000000000003" customHeight="1" x14ac:dyDescent="0.15">
      <c r="A709" s="2081">
        <f ca="1">+IF(H709&gt;0,A707+0.01,A707)</f>
        <v>8.1299999999999972</v>
      </c>
      <c r="B709" s="834">
        <v>102333</v>
      </c>
      <c r="C709" s="2" t="str">
        <f>VLOOKUP($B709,[4]BOLETIM_SEL!$A:$H,2,0)</f>
        <v>SINAPI</v>
      </c>
      <c r="D709" s="315" t="str">
        <f>VLOOKUP($B709,[4]BOLETIM_SEL!$A:$H,4,0)</f>
        <v>Transporte com caminhão tanque de transporte de material asfáltico de 20.000 l, em via urbana pavimentada, adicional para DMT excedente a 30,00 km (unidade: txkm). AF_07/2020</v>
      </c>
      <c r="E709" s="2">
        <f>+Dados_DMT!$B$25</f>
        <v>109</v>
      </c>
      <c r="F709" s="2" t="str">
        <f>VLOOKUP($B709,[4]BOLETIM_SEL!$A:$H,6,0)</f>
        <v>TXKM</v>
      </c>
      <c r="G709" s="1407">
        <f>VLOOKUP($B709,[4]BOLETIM_SEL!$A:$H,7,0)</f>
        <v>0.65</v>
      </c>
      <c r="H709" s="1611">
        <f>IF(B655="PA/0025",ROUND(Pav_Estrutura!Z112,2)*E709,0)+ROUND(SUM(Pav_Estrutura!Z113:Z114)*E709,2)</f>
        <v>10492.34</v>
      </c>
      <c r="I709" s="877">
        <f>+TRUNC(G709*(1+$J$5),2)</f>
        <v>0.78</v>
      </c>
      <c r="J709" s="1612">
        <f>TRUNC(H709*I709,2)</f>
        <v>8184.02</v>
      </c>
      <c r="K709" s="2078">
        <f ca="1">J709/J$967</f>
        <v>6.1071777950865119E-4</v>
      </c>
      <c r="L709" s="1574">
        <f>J709/$J$645</f>
        <v>1.1578203227794279E-3</v>
      </c>
      <c r="M709" s="1454">
        <f>IF(H709=0,0,H709/E709)</f>
        <v>96.26</v>
      </c>
      <c r="N709" s="833"/>
      <c r="O709" s="833"/>
      <c r="Q709" s="833"/>
      <c r="R709" s="833"/>
      <c r="S709" s="833"/>
      <c r="T709" s="833"/>
      <c r="U709" s="833"/>
      <c r="V709" s="833"/>
      <c r="W709" s="833"/>
      <c r="X709" s="833"/>
    </row>
    <row r="710" spans="1:25" s="813" customFormat="1" ht="24.95" hidden="1" customHeight="1" x14ac:dyDescent="0.15">
      <c r="A710" s="2081"/>
      <c r="B710" s="834"/>
      <c r="C710" s="2"/>
      <c r="D710" s="1452" t="s">
        <v>1794</v>
      </c>
      <c r="E710" s="2"/>
      <c r="F710" s="2"/>
      <c r="G710" s="1407"/>
      <c r="H710" s="2"/>
      <c r="I710" s="2"/>
      <c r="J710" s="839" t="str">
        <f>IF(J711=0,"-","")</f>
        <v>-</v>
      </c>
      <c r="K710" s="2078"/>
      <c r="L710" s="1574"/>
      <c r="M710" s="1445"/>
      <c r="N710" s="833"/>
      <c r="O710" s="833"/>
      <c r="Q710" s="833"/>
      <c r="R710" s="833"/>
      <c r="S710" s="833"/>
      <c r="T710" s="833"/>
      <c r="U710" s="833"/>
      <c r="V710" s="833"/>
      <c r="W710" s="833"/>
      <c r="X710" s="833"/>
    </row>
    <row r="711" spans="1:25" s="813" customFormat="1" ht="39.950000000000003" hidden="1" customHeight="1" x14ac:dyDescent="0.15">
      <c r="A711" s="2081">
        <f ca="1">+IF(H711&gt;0,A709+0.01,A709)</f>
        <v>8.1299999999999972</v>
      </c>
      <c r="B711" s="834">
        <v>102332</v>
      </c>
      <c r="C711" s="2" t="str">
        <f>VLOOKUP($B711,[4]BOLETIM_SEL!$A:$H,2,0)</f>
        <v>SINAPI</v>
      </c>
      <c r="D711" s="315" t="str">
        <f>VLOOKUP($B711,[4]BOLETIM_SEL!$A:$H,4,0)</f>
        <v>Transporte com caminhão tanque de transporte de material asfáltico de 20.000 l, em via urbana pavimentada, DMT até 30,00 km (unidade: txkm). AF_07/2020</v>
      </c>
      <c r="E711" s="2">
        <f>+Dados_DMT!$B$26</f>
        <v>0</v>
      </c>
      <c r="F711" s="2" t="str">
        <f>VLOOKUP($B711,[4]BOLETIM_SEL!$A:$H,6,0)</f>
        <v>TXKM</v>
      </c>
      <c r="G711" s="1407">
        <f>VLOOKUP($B711,[4]BOLETIM_SEL!$A:$H,7,0)</f>
        <v>1.63</v>
      </c>
      <c r="H711" s="1611">
        <f>ROUND(Pav_Estrutura!Z115*E711,2)</f>
        <v>0</v>
      </c>
      <c r="I711" s="877">
        <f>+TRUNC(G711*(1+$J$5),2)</f>
        <v>1.96</v>
      </c>
      <c r="J711" s="1612">
        <f>TRUNC(H711*I711,2)</f>
        <v>0</v>
      </c>
      <c r="K711" s="2078">
        <f ca="1">J711/J$967</f>
        <v>0</v>
      </c>
      <c r="L711" s="1574">
        <f t="shared" ref="L711:L717" si="229">J711/$J$645</f>
        <v>0</v>
      </c>
      <c r="M711" s="1454">
        <f>IF(H711=0,0,H711/E711)</f>
        <v>0</v>
      </c>
      <c r="N711" s="833"/>
      <c r="O711" s="833"/>
      <c r="Q711" s="833"/>
      <c r="R711" s="833"/>
      <c r="S711" s="833"/>
      <c r="T711" s="833"/>
      <c r="U711" s="833"/>
      <c r="V711" s="833"/>
      <c r="W711" s="833"/>
      <c r="X711" s="833"/>
    </row>
    <row r="712" spans="1:25" s="813" customFormat="1" ht="24.95" hidden="1" customHeight="1" x14ac:dyDescent="0.15">
      <c r="A712" s="2081"/>
      <c r="B712" s="834"/>
      <c r="C712" s="2"/>
      <c r="D712" s="1452" t="s">
        <v>1761</v>
      </c>
      <c r="E712" s="2"/>
      <c r="F712" s="2"/>
      <c r="G712" s="1407"/>
      <c r="H712" s="2"/>
      <c r="I712" s="2"/>
      <c r="J712" s="839" t="str">
        <f>IF(J713=0,"-","")</f>
        <v>-</v>
      </c>
      <c r="K712" s="2078"/>
      <c r="L712" s="1574"/>
      <c r="M712" s="1445"/>
      <c r="N712" s="833"/>
      <c r="O712" s="833"/>
      <c r="Q712" s="833"/>
      <c r="R712" s="833"/>
      <c r="S712" s="833"/>
      <c r="T712" s="833"/>
      <c r="U712" s="833"/>
      <c r="V712" s="833"/>
      <c r="W712" s="833"/>
      <c r="X712" s="833"/>
    </row>
    <row r="713" spans="1:25" s="813" customFormat="1" ht="39.950000000000003" hidden="1" customHeight="1" x14ac:dyDescent="0.15">
      <c r="A713" s="2081">
        <f ca="1">+IF(H713&gt;0,A711+0.01,A711)</f>
        <v>8.1299999999999972</v>
      </c>
      <c r="B713" s="834">
        <v>102333</v>
      </c>
      <c r="C713" s="2" t="str">
        <f>VLOOKUP($B713,[4]BOLETIM_SEL!$A:$H,2,0)</f>
        <v>SINAPI</v>
      </c>
      <c r="D713" s="315" t="str">
        <f>VLOOKUP($B713,[4]BOLETIM_SEL!$A:$H,4,0)</f>
        <v>Transporte com caminhão tanque de transporte de material asfáltico de 20.000 l, em via urbana pavimentada, adicional para DMT excedente a 30,00 km (unidade: txkm). AF_07/2020</v>
      </c>
      <c r="E713" s="2">
        <f>+Dados_DMT!$B$27</f>
        <v>0</v>
      </c>
      <c r="F713" s="2" t="str">
        <f>VLOOKUP($B713,[4]BOLETIM_SEL!$A:$H,6,0)</f>
        <v>TXKM</v>
      </c>
      <c r="G713" s="1407">
        <f>VLOOKUP($B713,[4]BOLETIM_SEL!$A:$H,7,0)</f>
        <v>0.65</v>
      </c>
      <c r="H713" s="1611">
        <f>ROUND(SUM(Pav_Estrutura!Z116:Z118)*E713,2)</f>
        <v>0</v>
      </c>
      <c r="I713" s="877">
        <f>+TRUNC(G713*(1+$J$5),2)</f>
        <v>0.78</v>
      </c>
      <c r="J713" s="1612">
        <f>TRUNC(H713*I713,2)</f>
        <v>0</v>
      </c>
      <c r="K713" s="2078">
        <f ca="1">J713/J$967</f>
        <v>0</v>
      </c>
      <c r="L713" s="1574">
        <f t="shared" si="229"/>
        <v>0</v>
      </c>
      <c r="M713" s="1454">
        <f>IF(H713=0,0,H713/E713)</f>
        <v>0</v>
      </c>
      <c r="N713" s="833"/>
      <c r="O713" s="833"/>
      <c r="Q713" s="833"/>
      <c r="R713" s="833"/>
      <c r="S713" s="833"/>
      <c r="T713" s="833"/>
      <c r="U713" s="833"/>
      <c r="V713" s="833"/>
      <c r="W713" s="833"/>
      <c r="X713" s="833"/>
    </row>
    <row r="714" spans="1:25" s="813" customFormat="1" ht="24.95" hidden="1" customHeight="1" x14ac:dyDescent="0.15">
      <c r="A714" s="2081"/>
      <c r="B714" s="834"/>
      <c r="C714" s="2"/>
      <c r="D714" s="1452" t="s">
        <v>1817</v>
      </c>
      <c r="E714" s="2"/>
      <c r="F714" s="2"/>
      <c r="G714" s="1407"/>
      <c r="H714" s="2"/>
      <c r="I714" s="2"/>
      <c r="J714" s="839" t="str">
        <f>IF(J715=0,"-","")</f>
        <v>-</v>
      </c>
      <c r="K714" s="2078"/>
      <c r="L714" s="1574"/>
      <c r="M714" s="1445"/>
      <c r="N714" s="833"/>
      <c r="O714" s="833"/>
      <c r="Q714" s="833"/>
      <c r="R714" s="833"/>
      <c r="S714" s="833"/>
      <c r="T714" s="833"/>
      <c r="U714" s="833"/>
      <c r="V714" s="833"/>
      <c r="W714" s="833"/>
      <c r="X714" s="833"/>
    </row>
    <row r="715" spans="1:25" s="813" customFormat="1" ht="30" hidden="1" customHeight="1" x14ac:dyDescent="0.15">
      <c r="A715" s="2081">
        <f ca="1">+IF(H715&gt;0,A713+0.01,A713)</f>
        <v>8.1299999999999972</v>
      </c>
      <c r="B715" s="834">
        <v>100947</v>
      </c>
      <c r="C715" s="2" t="str">
        <f>VLOOKUP($B715,[4]BOLETIM_SEL!$A:$H,2,0)</f>
        <v>SINAPI</v>
      </c>
      <c r="D715" s="315" t="str">
        <f>VLOOKUP($B715,[4]BOLETIM_SEL!$A:$H,4,0)</f>
        <v>Transporte com caminhão carroceria 9t, em via urbana pavimentada, DMT até 30,00 km (unidade: txkm). AF_07/2020</v>
      </c>
      <c r="E715" s="2">
        <f>+Dados_DMT!$B$35</f>
        <v>0</v>
      </c>
      <c r="F715" s="2" t="str">
        <f>VLOOKUP($B715,[4]BOLETIM_SEL!$A:$H,6,0)</f>
        <v>TXKM</v>
      </c>
      <c r="G715" s="1407">
        <f>VLOOKUP($B715,[4]BOLETIM_SEL!$A:$H,7,0)</f>
        <v>1.96</v>
      </c>
      <c r="H715" s="1611">
        <f>ROUND(Pav_Estrutura!Z98*E715,2)</f>
        <v>0</v>
      </c>
      <c r="I715" s="877">
        <f>+TRUNC(G715*(1+$J$5),2)</f>
        <v>2.36</v>
      </c>
      <c r="J715" s="1612">
        <f>TRUNC(H715*I715,2)</f>
        <v>0</v>
      </c>
      <c r="K715" s="2078">
        <f ca="1">J715/J$967</f>
        <v>0</v>
      </c>
      <c r="L715" s="1574">
        <f t="shared" si="229"/>
        <v>0</v>
      </c>
      <c r="M715" s="1445"/>
      <c r="N715" s="833"/>
      <c r="O715" s="833"/>
      <c r="Q715" s="833"/>
      <c r="R715" s="833"/>
      <c r="S715" s="833"/>
      <c r="T715" s="833"/>
      <c r="U715" s="833"/>
      <c r="V715" s="833"/>
      <c r="W715" s="833"/>
      <c r="X715" s="833"/>
    </row>
    <row r="716" spans="1:25" s="813" customFormat="1" ht="24.95" hidden="1" customHeight="1" x14ac:dyDescent="0.15">
      <c r="A716" s="2081"/>
      <c r="B716" s="834"/>
      <c r="C716" s="2"/>
      <c r="D716" s="1452" t="s">
        <v>1829</v>
      </c>
      <c r="E716" s="2"/>
      <c r="F716" s="2"/>
      <c r="G716" s="1407"/>
      <c r="H716" s="2"/>
      <c r="I716" s="2"/>
      <c r="J716" s="839" t="str">
        <f>IF(J717=0,"-","")</f>
        <v>-</v>
      </c>
      <c r="K716" s="2078"/>
      <c r="L716" s="1574"/>
      <c r="M716" s="1445"/>
      <c r="N716" s="833"/>
      <c r="O716" s="833"/>
      <c r="Q716" s="833"/>
      <c r="R716" s="833"/>
      <c r="S716" s="833"/>
      <c r="T716" s="833"/>
      <c r="U716" s="833"/>
      <c r="V716" s="833"/>
      <c r="W716" s="833"/>
      <c r="X716" s="833"/>
    </row>
    <row r="717" spans="1:25" s="813" customFormat="1" ht="30" hidden="1" customHeight="1" x14ac:dyDescent="0.15">
      <c r="A717" s="2081">
        <f ca="1">+IF(H717&gt;0,A715+0.01,A715)</f>
        <v>8.1299999999999972</v>
      </c>
      <c r="B717" s="834">
        <v>100947</v>
      </c>
      <c r="C717" s="2" t="str">
        <f>VLOOKUP($B717,[4]BOLETIM_SEL!$A:$H,2,0)</f>
        <v>SINAPI</v>
      </c>
      <c r="D717" s="315" t="str">
        <f>VLOOKUP($B717,[4]BOLETIM_SEL!$A:$H,4,0)</f>
        <v>Transporte com caminhão carroceria 9t, em via urbana pavimentada, DMT até 30,00 km (unidade: txkm). AF_07/2020</v>
      </c>
      <c r="E717" s="2">
        <f>+Dados_DMT!$B$13</f>
        <v>100</v>
      </c>
      <c r="F717" s="2" t="str">
        <f>VLOOKUP($B717,[4]BOLETIM_SEL!$A:$H,6,0)</f>
        <v>TXKM</v>
      </c>
      <c r="G717" s="1407">
        <f>VLOOKUP($B717,[4]BOLETIM_SEL!$A:$H,7,0)</f>
        <v>1.96</v>
      </c>
      <c r="H717" s="1611">
        <f>ROUND(Pav_Estrutura!Z111*E717,2)</f>
        <v>0</v>
      </c>
      <c r="I717" s="877">
        <f>+TRUNC(G717*(1+$J$5),2)</f>
        <v>2.36</v>
      </c>
      <c r="J717" s="1612">
        <f>TRUNC(H717*I717,2)</f>
        <v>0</v>
      </c>
      <c r="K717" s="2078">
        <f ca="1">J717/J$967</f>
        <v>0</v>
      </c>
      <c r="L717" s="1574">
        <f t="shared" si="229"/>
        <v>0</v>
      </c>
      <c r="M717" s="1445"/>
      <c r="N717" s="833"/>
      <c r="O717" s="833"/>
      <c r="Q717" s="833"/>
      <c r="R717" s="833"/>
      <c r="S717" s="833"/>
      <c r="T717" s="833"/>
      <c r="U717" s="833"/>
      <c r="V717" s="833"/>
      <c r="W717" s="833"/>
      <c r="X717" s="833"/>
    </row>
    <row r="718" spans="1:25" s="813" customFormat="1" ht="24.95" customHeight="1" x14ac:dyDescent="0.15">
      <c r="A718" s="2081"/>
      <c r="B718" s="834"/>
      <c r="C718" s="834"/>
      <c r="D718" s="835"/>
      <c r="E718" s="2"/>
      <c r="F718" s="834"/>
      <c r="G718" s="1407"/>
      <c r="H718" s="1"/>
      <c r="I718" s="877"/>
      <c r="J718" s="839" t="str">
        <f>IF(J645=0,0,"")</f>
        <v/>
      </c>
      <c r="K718" s="2078"/>
      <c r="L718" s="1574"/>
      <c r="M718" s="1446"/>
      <c r="N718" s="833"/>
      <c r="O718" s="833"/>
      <c r="Q718" s="833"/>
      <c r="R718" s="833"/>
      <c r="S718" s="833"/>
      <c r="T718" s="833"/>
      <c r="U718" s="833"/>
      <c r="V718" s="833"/>
      <c r="W718" s="833"/>
      <c r="X718" s="833"/>
    </row>
    <row r="719" spans="1:25" s="833" customFormat="1" ht="24.95" customHeight="1" x14ac:dyDescent="0.15">
      <c r="A719" s="2082">
        <f ca="1">IF(J719&gt;0,INT(A717)+1,IF(J719=0,INT(A717),0))</f>
        <v>9</v>
      </c>
      <c r="B719" s="1633"/>
      <c r="C719" s="1633"/>
      <c r="D719" s="1634" t="s">
        <v>36</v>
      </c>
      <c r="E719" s="1828"/>
      <c r="F719" s="1635"/>
      <c r="G719" s="1820" t="s">
        <v>651</v>
      </c>
      <c r="H719" s="1637"/>
      <c r="I719" s="1640" t="str">
        <f ca="1">CONCATENATE("SUB-TOTAL ",A719)</f>
        <v>SUB-TOTAL 9</v>
      </c>
      <c r="J719" s="1639">
        <f ca="1">SUM(J720:J750)</f>
        <v>988204.42</v>
      </c>
      <c r="K719" s="2079">
        <f t="shared" ref="K719:K748" ca="1" si="230">J719/J$967</f>
        <v>7.374297827754997E-2</v>
      </c>
      <c r="L719" s="1610">
        <f t="shared" ref="L719:L748" ca="1" si="231">J719/$J$719</f>
        <v>1</v>
      </c>
      <c r="N719" s="1655" t="s">
        <v>1962</v>
      </c>
      <c r="O719" s="1655" t="s">
        <v>1988</v>
      </c>
    </row>
    <row r="720" spans="1:25" s="813" customFormat="1" ht="39.950000000000003" customHeight="1" x14ac:dyDescent="0.15">
      <c r="A720" s="2081">
        <f t="shared" ref="A720:A748" ca="1" si="232">+IF(H720&gt;0,A719+0.01,A719)</f>
        <v>9.01</v>
      </c>
      <c r="B720" s="2" t="s">
        <v>2688</v>
      </c>
      <c r="C720" s="2" t="str">
        <f>VLOOKUP($B720,[4]BOLETIM_SEL!$A:$H,2,0)</f>
        <v>COMPOSIÇÃO</v>
      </c>
      <c r="D720" s="315" t="str">
        <f>VLOOKUP($B720,[4]BOLETIM_SEL!$A:$H,4,0)</f>
        <v>Meio-fio (guia) com sarjeta, concreto FCK = 15mpa, seção 615 cm², moldado no local, inclusive escavação e pintura a cal em uma demão</v>
      </c>
      <c r="E720" s="2"/>
      <c r="F720" s="2" t="str">
        <f>VLOOKUP($B720,[4]BOLETIM_SEL!$A:$H,6,0)</f>
        <v>M</v>
      </c>
      <c r="G720" s="1407">
        <f>VLOOKUP($B720,[4]BOLETIM_SEL!$A:$H,7,0)</f>
        <v>52.39</v>
      </c>
      <c r="H720" s="1611">
        <f ca="1">+S_Complementares!AB5</f>
        <v>13324.31</v>
      </c>
      <c r="I720" s="877">
        <f t="shared" ref="I720:I748" si="233">+TRUNC(G720*(1+$J$5),2)</f>
        <v>63.23</v>
      </c>
      <c r="J720" s="1612">
        <f ca="1">TRUNC(H720*I720,2)</f>
        <v>842496.12</v>
      </c>
      <c r="K720" s="2078">
        <f t="shared" ca="1" si="230"/>
        <v>6.2869758340162188E-2</v>
      </c>
      <c r="L720" s="1574">
        <f t="shared" ca="1" si="231"/>
        <v>0.85255247087439656</v>
      </c>
      <c r="M720" s="1589" t="s">
        <v>1853</v>
      </c>
      <c r="N720" s="1654">
        <f>VLOOKUP($B720,[4]BOLETIM_SEL!$A:$H,3,0)</f>
        <v>11.06</v>
      </c>
      <c r="O720" s="1652">
        <f t="shared" ref="O720:O726" ca="1" si="234">+H720/N720</f>
        <v>1204.7296564195296</v>
      </c>
      <c r="Q720" s="833"/>
      <c r="R720" s="833"/>
      <c r="S720" s="833"/>
      <c r="T720" s="833"/>
      <c r="U720" s="833"/>
      <c r="V720" s="833"/>
      <c r="W720" s="833"/>
      <c r="X720" s="833"/>
    </row>
    <row r="721" spans="1:24" s="813" customFormat="1" ht="39.950000000000003" customHeight="1" x14ac:dyDescent="0.15">
      <c r="A721" s="2081">
        <f t="shared" ca="1" si="232"/>
        <v>9.02</v>
      </c>
      <c r="B721" s="2" t="s">
        <v>2708</v>
      </c>
      <c r="C721" s="2" t="str">
        <f>VLOOKUP($B721,[4]BOLETIM_SEL!$A:$H,2,0)</f>
        <v>COMPOSIÇÃO</v>
      </c>
      <c r="D721" s="315" t="str">
        <f>VLOOKUP($B721,[4]BOLETIM_SEL!$A:$H,4,0)</f>
        <v>Meio-fio (guia) simples, concreto FCK = 15mpa, seção 285cm2, moldado no local, inclusive escavação e pintura a cal em uma demão</v>
      </c>
      <c r="E721" s="2"/>
      <c r="F721" s="2" t="str">
        <f>VLOOKUP($B721,[4]BOLETIM_SEL!$A:$H,6,0)</f>
        <v>M</v>
      </c>
      <c r="G721" s="1407">
        <f>VLOOKUP($B721,[4]BOLETIM_SEL!$A:$H,7,0)</f>
        <v>25.16</v>
      </c>
      <c r="H721" s="1611">
        <f ca="1">+S_Complementares!AB6</f>
        <v>1124.6500000000001</v>
      </c>
      <c r="I721" s="877">
        <f t="shared" si="233"/>
        <v>30.36</v>
      </c>
      <c r="J721" s="1612">
        <f ca="1">TRUNC(H721*I721,2)</f>
        <v>34144.370000000003</v>
      </c>
      <c r="K721" s="2078">
        <f t="shared" ca="1" si="230"/>
        <v>2.5479622275021083E-3</v>
      </c>
      <c r="L721" s="1574">
        <f t="shared" ca="1" si="231"/>
        <v>3.455193005511957E-2</v>
      </c>
      <c r="M721" s="1589" t="s">
        <v>1853</v>
      </c>
      <c r="N721" s="1654">
        <f>VLOOKUP($B721,[4]BOLETIM_SEL!$A:$H,3,0)</f>
        <v>23.86</v>
      </c>
      <c r="O721" s="1652">
        <f t="shared" ca="1" si="234"/>
        <v>47.135373009220459</v>
      </c>
      <c r="Q721" s="833"/>
      <c r="R721" s="833"/>
      <c r="S721" s="833"/>
      <c r="T721" s="833"/>
      <c r="U721" s="833"/>
      <c r="V721" s="833"/>
      <c r="W721" s="833"/>
      <c r="X721" s="833"/>
    </row>
    <row r="722" spans="1:24" s="813" customFormat="1" ht="39.950000000000003" hidden="1" customHeight="1" x14ac:dyDescent="0.15">
      <c r="A722" s="2081">
        <f t="shared" ca="1" si="232"/>
        <v>9.02</v>
      </c>
      <c r="B722" s="834" t="str">
        <f>IF(M722="MANUAL","SC/0025","SC/0065")</f>
        <v>SC/0065</v>
      </c>
      <c r="C722" s="2" t="str">
        <f>VLOOKUP($B722,[4]BOLETIM_SEL!$A:$H,2,0)</f>
        <v>COMPOSIÇÃO</v>
      </c>
      <c r="D722" s="315" t="str">
        <f>VLOOKUP($B722,[4]BOLETIM_SEL!$A:$H,4,0)</f>
        <v>Guia para canteiro e ciclovia, concreto FCK = 15mpa, seção 150cm², moldado no local com extrusora, inclusive pintura a cal em uma demão</v>
      </c>
      <c r="E722" s="2"/>
      <c r="F722" s="2" t="str">
        <f>VLOOKUP($B722,[4]BOLETIM_SEL!$A:$H,6,0)</f>
        <v>M</v>
      </c>
      <c r="G722" s="1407">
        <f>VLOOKUP($B722,[4]BOLETIM_SEL!$A:$H,7,0)</f>
        <v>16.149999999999999</v>
      </c>
      <c r="H722" s="1611">
        <f>+S_Complementares!AB7</f>
        <v>0</v>
      </c>
      <c r="I722" s="877">
        <f t="shared" si="233"/>
        <v>19.489999999999998</v>
      </c>
      <c r="J722" s="1612">
        <f t="shared" ref="J722:J742" si="235">TRUNC(H722*I722,2)</f>
        <v>0</v>
      </c>
      <c r="K722" s="2078">
        <f t="shared" ca="1" si="230"/>
        <v>0</v>
      </c>
      <c r="L722" s="1574">
        <f t="shared" ca="1" si="231"/>
        <v>0</v>
      </c>
      <c r="M722" s="1589" t="s">
        <v>1853</v>
      </c>
      <c r="N722" s="1654">
        <f>VLOOKUP($B722,[4]BOLETIM_SEL!$A:$H,3,0)</f>
        <v>26.88</v>
      </c>
      <c r="O722" s="1652">
        <f t="shared" si="234"/>
        <v>0</v>
      </c>
      <c r="Q722" s="833"/>
      <c r="R722" s="833"/>
      <c r="S722" s="833"/>
      <c r="T722" s="833"/>
      <c r="U722" s="833"/>
      <c r="V722" s="833"/>
      <c r="W722" s="833"/>
      <c r="X722" s="833"/>
    </row>
    <row r="723" spans="1:24" s="813" customFormat="1" ht="39.950000000000003" hidden="1" customHeight="1" x14ac:dyDescent="0.15">
      <c r="A723" s="2081">
        <f t="shared" ca="1" si="232"/>
        <v>9.02</v>
      </c>
      <c r="B723" s="834" t="s">
        <v>273</v>
      </c>
      <c r="C723" s="2" t="str">
        <f>VLOOKUP($B723,[4]BOLETIM_SEL!$A:$H,2,0)</f>
        <v>COMPOSIÇÃO</v>
      </c>
      <c r="D723" s="315" t="str">
        <f>VLOOKUP($B723,[4]BOLETIM_SEL!$A:$H,4,0)</f>
        <v>Meio-fio (guia) para rotatórias e ilhas, concreto FCK = 15mpa, seção 875cm2, moldado no local, inclusive escavação e pintura a cal em uma demão</v>
      </c>
      <c r="E723" s="2"/>
      <c r="F723" s="2" t="str">
        <f>VLOOKUP($B723,[4]BOLETIM_SEL!$A:$H,6,0)</f>
        <v>M</v>
      </c>
      <c r="G723" s="1407">
        <f>VLOOKUP($B723,[4]BOLETIM_SEL!$A:$H,7,0)</f>
        <v>76.180000000000007</v>
      </c>
      <c r="H723" s="1611">
        <f>+S_Complementares!AB8</f>
        <v>0</v>
      </c>
      <c r="I723" s="877">
        <f t="shared" si="233"/>
        <v>91.94</v>
      </c>
      <c r="J723" s="1612">
        <f t="shared" si="235"/>
        <v>0</v>
      </c>
      <c r="K723" s="2078">
        <f t="shared" ca="1" si="230"/>
        <v>0</v>
      </c>
      <c r="L723" s="1574">
        <f t="shared" ca="1" si="231"/>
        <v>0</v>
      </c>
      <c r="M723" s="1445"/>
      <c r="N723" s="1654">
        <f>VLOOKUP($B723,[4]BOLETIM_SEL!$A:$H,3,0)</f>
        <v>7.77</v>
      </c>
      <c r="O723" s="1652">
        <f t="shared" si="234"/>
        <v>0</v>
      </c>
      <c r="Q723" s="833"/>
      <c r="R723" s="833"/>
      <c r="S723" s="833"/>
      <c r="T723" s="833"/>
      <c r="U723" s="833"/>
      <c r="V723" s="833"/>
      <c r="W723" s="833"/>
      <c r="X723" s="833"/>
    </row>
    <row r="724" spans="1:24" s="813" customFormat="1" ht="30" customHeight="1" x14ac:dyDescent="0.15">
      <c r="A724" s="2081">
        <f t="shared" ca="1" si="232"/>
        <v>9.0299999999999994</v>
      </c>
      <c r="B724" s="834" t="s">
        <v>275</v>
      </c>
      <c r="C724" s="2" t="str">
        <f>VLOOKUP($B724,[4]BOLETIM_SEL!$A:$H,2,0)</f>
        <v>COMPOSIÇÃO</v>
      </c>
      <c r="D724" s="315" t="str">
        <f>VLOOKUP($B724,[4]BOLETIM_SEL!$A:$H,4,0)</f>
        <v xml:space="preserve">Tento (acabamento de limpa-rodas), concreto FCK = 15 mpa, seção 330cm², moldado no local, inclusive escavação </v>
      </c>
      <c r="E724" s="2"/>
      <c r="F724" s="2" t="str">
        <f>VLOOKUP($B724,[4]BOLETIM_SEL!$A:$H,6,0)</f>
        <v>M</v>
      </c>
      <c r="G724" s="1407">
        <f>VLOOKUP($B724,[4]BOLETIM_SEL!$A:$H,7,0)</f>
        <v>28.18</v>
      </c>
      <c r="H724" s="1611">
        <f>+S_Complementares!AB9</f>
        <v>53</v>
      </c>
      <c r="I724" s="877">
        <f t="shared" si="233"/>
        <v>34.01</v>
      </c>
      <c r="J724" s="1612">
        <f t="shared" si="235"/>
        <v>1802.53</v>
      </c>
      <c r="K724" s="2078">
        <f t="shared" ca="1" si="230"/>
        <v>1.3451056071438352E-4</v>
      </c>
      <c r="L724" s="1574">
        <f t="shared" ca="1" si="231"/>
        <v>1.8240456767032068E-3</v>
      </c>
      <c r="M724" s="1445"/>
      <c r="N724" s="1654">
        <f>VLOOKUP($B724,[4]BOLETIM_SEL!$A:$H,3,0)</f>
        <v>20.61</v>
      </c>
      <c r="O724" s="1652">
        <f t="shared" si="234"/>
        <v>2.5715672003881611</v>
      </c>
      <c r="Q724" s="833"/>
      <c r="R724" s="833"/>
      <c r="S724" s="833"/>
      <c r="T724" s="833"/>
      <c r="U724" s="833"/>
      <c r="V724" s="833"/>
      <c r="W724" s="833"/>
      <c r="X724" s="833"/>
    </row>
    <row r="725" spans="1:24" s="813" customFormat="1" ht="30" hidden="1" customHeight="1" x14ac:dyDescent="0.15">
      <c r="A725" s="2081">
        <f t="shared" ca="1" si="232"/>
        <v>9.0299999999999994</v>
      </c>
      <c r="B725" s="834" t="s">
        <v>1820</v>
      </c>
      <c r="C725" s="2" t="str">
        <f>VLOOKUP($B725,[4]BOLETIM_SEL!$A:$H,2,0)</f>
        <v>COMPOSIÇÃO</v>
      </c>
      <c r="D725" s="315" t="str">
        <f>VLOOKUP($B725,[4]BOLETIM_SEL!$A:$H,4,0)</f>
        <v>Sarjeta em concreto FCK = 15mpa, seção 330cm², moldada no local, exclusive escavação</v>
      </c>
      <c r="E725" s="2"/>
      <c r="F725" s="2" t="str">
        <f>VLOOKUP($B725,[4]BOLETIM_SEL!$A:$H,6,0)</f>
        <v>M</v>
      </c>
      <c r="G725" s="1407">
        <f>VLOOKUP($B725,[4]BOLETIM_SEL!$A:$H,7,0)</f>
        <v>30.35</v>
      </c>
      <c r="H725" s="1611">
        <f ca="1">+S_Complementares!AB10</f>
        <v>0</v>
      </c>
      <c r="I725" s="877">
        <f t="shared" si="233"/>
        <v>36.630000000000003</v>
      </c>
      <c r="J725" s="1612">
        <f ca="1">TRUNC(H725*I725,2)</f>
        <v>0</v>
      </c>
      <c r="K725" s="2078">
        <f t="shared" ca="1" si="230"/>
        <v>0</v>
      </c>
      <c r="L725" s="1574">
        <f t="shared" ca="1" si="231"/>
        <v>0</v>
      </c>
      <c r="M725" s="1445"/>
      <c r="N725" s="1654">
        <f>VLOOKUP($B725,[4]BOLETIM_SEL!$A:$H,3,0)</f>
        <v>20.61</v>
      </c>
      <c r="O725" s="1652">
        <f t="shared" ca="1" si="234"/>
        <v>0</v>
      </c>
      <c r="Q725" s="833"/>
      <c r="R725" s="833"/>
      <c r="S725" s="833"/>
      <c r="T725" s="833"/>
      <c r="U725" s="833"/>
      <c r="V725" s="833"/>
      <c r="W725" s="833"/>
      <c r="X725" s="833"/>
    </row>
    <row r="726" spans="1:24" s="813" customFormat="1" ht="30" hidden="1" customHeight="1" x14ac:dyDescent="0.15">
      <c r="A726" s="2081">
        <f t="shared" ca="1" si="232"/>
        <v>9.0299999999999994</v>
      </c>
      <c r="B726" s="834" t="s">
        <v>274</v>
      </c>
      <c r="C726" s="2" t="str">
        <f>VLOOKUP($B726,[4]BOLETIM_SEL!$A:$H,2,0)</f>
        <v>COMPOSIÇÃO</v>
      </c>
      <c r="D726" s="315" t="str">
        <f>VLOOKUP($B726,[4]BOLETIM_SEL!$A:$H,4,0)</f>
        <v>Sarjeta tipo americana em concreto FCK = 15mpa, seção 455cm², moldada no local, exclusive escavação</v>
      </c>
      <c r="E726" s="2"/>
      <c r="F726" s="2" t="str">
        <f>VLOOKUP($B726,[4]BOLETIM_SEL!$A:$H,6,0)</f>
        <v>M</v>
      </c>
      <c r="G726" s="1407">
        <f>VLOOKUP($B726,[4]BOLETIM_SEL!$A:$H,7,0)</f>
        <v>40.19</v>
      </c>
      <c r="H726" s="1611">
        <f>+S_Complementares!AB11</f>
        <v>0</v>
      </c>
      <c r="I726" s="877">
        <f t="shared" si="233"/>
        <v>48.5</v>
      </c>
      <c r="J726" s="1612">
        <f t="shared" si="235"/>
        <v>0</v>
      </c>
      <c r="K726" s="2078">
        <f t="shared" ca="1" si="230"/>
        <v>0</v>
      </c>
      <c r="L726" s="1574">
        <f t="shared" ca="1" si="231"/>
        <v>0</v>
      </c>
      <c r="M726" s="1445"/>
      <c r="N726" s="1654">
        <f>VLOOKUP($B726,[4]BOLETIM_SEL!$A:$H,3,0)</f>
        <v>15.11</v>
      </c>
      <c r="O726" s="1652">
        <f t="shared" si="234"/>
        <v>0</v>
      </c>
      <c r="Q726" s="833"/>
      <c r="R726" s="833"/>
      <c r="S726" s="833"/>
      <c r="T726" s="833"/>
      <c r="U726" s="833"/>
      <c r="V726" s="833"/>
      <c r="W726" s="833"/>
      <c r="X726" s="833"/>
    </row>
    <row r="727" spans="1:24" s="813" customFormat="1" ht="30" hidden="1" customHeight="1" x14ac:dyDescent="0.15">
      <c r="A727" s="2081">
        <f t="shared" ca="1" si="232"/>
        <v>9.0299999999999994</v>
      </c>
      <c r="B727" s="834">
        <v>97084</v>
      </c>
      <c r="C727" s="2" t="str">
        <f>VLOOKUP($B727,[4]BOLETIM_SEL!$A:$H,2,0)</f>
        <v>SINAPI</v>
      </c>
      <c r="D727" s="315" t="str">
        <f>VLOOKUP($B727,[4]BOLETIM_SEL!$A:$H,4,0)</f>
        <v>Compactação mecânica de solo para execução de radier, com compactador de solos tipo placa vibratória. AF_09/2021</v>
      </c>
      <c r="E727" s="2"/>
      <c r="F727" s="2" t="str">
        <f>VLOOKUP($B727,[4]BOLETIM_SEL!$A:$H,6,0)</f>
        <v>M2</v>
      </c>
      <c r="G727" s="1407">
        <f>VLOOKUP($B727,[4]BOLETIM_SEL!$A:$H,7,0)</f>
        <v>0.6</v>
      </c>
      <c r="H727" s="1611">
        <f>+S_Complementares!AB33</f>
        <v>0</v>
      </c>
      <c r="I727" s="877">
        <f t="shared" si="233"/>
        <v>0.72</v>
      </c>
      <c r="J727" s="1612">
        <f t="shared" si="235"/>
        <v>0</v>
      </c>
      <c r="K727" s="2078">
        <f t="shared" ca="1" si="230"/>
        <v>0</v>
      </c>
      <c r="L727" s="1574">
        <f t="shared" ca="1" si="231"/>
        <v>0</v>
      </c>
      <c r="M727" s="1445"/>
      <c r="N727" s="833"/>
      <c r="O727" s="833"/>
      <c r="Q727" s="833"/>
      <c r="R727" s="833"/>
      <c r="S727" s="833"/>
      <c r="T727" s="833"/>
      <c r="U727" s="833"/>
      <c r="V727" s="833"/>
      <c r="W727" s="833"/>
      <c r="X727" s="833"/>
    </row>
    <row r="728" spans="1:24" s="813" customFormat="1" ht="30" customHeight="1" x14ac:dyDescent="0.15">
      <c r="A728" s="2081">
        <f t="shared" ca="1" si="232"/>
        <v>9.0399999999999991</v>
      </c>
      <c r="B728" s="834">
        <v>100575</v>
      </c>
      <c r="C728" s="2" t="str">
        <f>VLOOKUP($B728,[4]BOLETIM_SEL!$A:$H,2,0)</f>
        <v>SINAPI</v>
      </c>
      <c r="D728" s="315" t="str">
        <f>VLOOKUP($B728,[4]BOLETIM_SEL!$A:$H,4,0)</f>
        <v>Regularização de superfícies com motoniveladora. AF_11/2019</v>
      </c>
      <c r="E728" s="2"/>
      <c r="F728" s="2" t="str">
        <f>VLOOKUP($B728,[4]BOLETIM_SEL!$A:$H,6,0)</f>
        <v>M2</v>
      </c>
      <c r="G728" s="1407">
        <f>VLOOKUP($B728,[4]BOLETIM_SEL!$A:$H,7,0)</f>
        <v>0.11</v>
      </c>
      <c r="H728" s="1611">
        <f>+S_Complementares!AB37</f>
        <v>3528.21</v>
      </c>
      <c r="I728" s="877">
        <f t="shared" si="233"/>
        <v>0.13</v>
      </c>
      <c r="J728" s="1612">
        <f t="shared" si="235"/>
        <v>458.66</v>
      </c>
      <c r="K728" s="2078">
        <f t="shared" ca="1" si="230"/>
        <v>3.4226677934491605E-5</v>
      </c>
      <c r="L728" s="1574">
        <f t="shared" ca="1" si="231"/>
        <v>4.6413473843802481E-4</v>
      </c>
      <c r="M728" s="1445"/>
      <c r="N728" s="833"/>
      <c r="O728" s="833"/>
      <c r="Q728" s="833"/>
      <c r="R728" s="833"/>
      <c r="S728" s="833"/>
      <c r="T728" s="833"/>
      <c r="U728" s="833"/>
      <c r="V728" s="833"/>
      <c r="W728" s="833"/>
      <c r="X728" s="833"/>
    </row>
    <row r="729" spans="1:24" s="813" customFormat="1" ht="30" hidden="1" customHeight="1" x14ac:dyDescent="0.15">
      <c r="A729" s="2081">
        <f t="shared" ca="1" si="232"/>
        <v>9.0399999999999991</v>
      </c>
      <c r="B729" s="2" t="s">
        <v>2626</v>
      </c>
      <c r="C729" s="2" t="str">
        <f>VLOOKUP($B729,[4]BOLETIM_SEL!$A:$H,2,0)</f>
        <v>COMPOSIÇÃO</v>
      </c>
      <c r="D729" s="315" t="str">
        <f>VLOOKUP($B729,[4]BOLETIM_SEL!$A:$H,4,0)</f>
        <v>Hidrossemeadura. Ref SICRO CÓD  4413905, DB 04-2021</v>
      </c>
      <c r="E729" s="2"/>
      <c r="F729" s="2" t="str">
        <f>VLOOKUP($B729,[4]BOLETIM_SEL!$A:$H,6,0)</f>
        <v>M2</v>
      </c>
      <c r="G729" s="1407">
        <f>VLOOKUP($B729,[4]BOLETIM_SEL!$A:$H,7,0)</f>
        <v>6.6</v>
      </c>
      <c r="H729" s="1613">
        <f>+S_Complementares!AB15</f>
        <v>0</v>
      </c>
      <c r="I729" s="2189">
        <f t="shared" si="233"/>
        <v>7.96</v>
      </c>
      <c r="J729" s="2190">
        <f t="shared" si="235"/>
        <v>0</v>
      </c>
      <c r="K729" s="2191">
        <f t="shared" ca="1" si="230"/>
        <v>0</v>
      </c>
      <c r="L729" s="1574">
        <f t="shared" ca="1" si="231"/>
        <v>0</v>
      </c>
      <c r="M729" s="1445"/>
      <c r="N729" s="833"/>
      <c r="O729" s="833"/>
      <c r="Q729" s="833"/>
      <c r="R729" s="833"/>
      <c r="S729" s="833"/>
      <c r="T729" s="833"/>
      <c r="U729" s="833"/>
      <c r="V729" s="833"/>
      <c r="W729" s="833"/>
      <c r="X729" s="833"/>
    </row>
    <row r="730" spans="1:24" s="813" customFormat="1" ht="30" hidden="1" customHeight="1" x14ac:dyDescent="0.15">
      <c r="A730" s="2081">
        <f t="shared" ca="1" si="232"/>
        <v>9.0399999999999991</v>
      </c>
      <c r="B730" s="834">
        <v>98503</v>
      </c>
      <c r="C730" s="2" t="str">
        <f>VLOOKUP($B730,[4]BOLETIM_SEL!$A:$H,2,0)</f>
        <v>SINAPI</v>
      </c>
      <c r="D730" s="315" t="str">
        <f>VLOOKUP($B730,[4]BOLETIM_SEL!$A:$H,4,0)</f>
        <v>Plantio de grama em pavimento concregrama. AF_05/2018</v>
      </c>
      <c r="E730" s="2"/>
      <c r="F730" s="2" t="str">
        <f>VLOOKUP($B730,[4]BOLETIM_SEL!$A:$H,6,0)</f>
        <v>M2</v>
      </c>
      <c r="G730" s="1407">
        <f>VLOOKUP($B730,[4]BOLETIM_SEL!$A:$H,7,0)</f>
        <v>24.46</v>
      </c>
      <c r="H730" s="1611"/>
      <c r="I730" s="877">
        <f t="shared" si="233"/>
        <v>29.52</v>
      </c>
      <c r="J730" s="1612">
        <f t="shared" si="235"/>
        <v>0</v>
      </c>
      <c r="K730" s="2078">
        <f t="shared" ca="1" si="230"/>
        <v>0</v>
      </c>
      <c r="L730" s="1574">
        <f t="shared" ca="1" si="231"/>
        <v>0</v>
      </c>
      <c r="M730" s="2"/>
      <c r="N730" s="833"/>
      <c r="O730" s="833"/>
      <c r="Q730" s="833"/>
      <c r="R730" s="833"/>
      <c r="S730" s="833"/>
      <c r="T730" s="833"/>
      <c r="U730" s="833"/>
      <c r="V730" s="833"/>
      <c r="W730" s="833"/>
      <c r="X730" s="833"/>
    </row>
    <row r="731" spans="1:24" s="813" customFormat="1" ht="30" customHeight="1" x14ac:dyDescent="0.15">
      <c r="A731" s="2081">
        <f t="shared" ca="1" si="232"/>
        <v>9.0499999999999989</v>
      </c>
      <c r="B731" s="834" t="str">
        <f>IF(M731="ESMERALDA","SC/0082",98504)</f>
        <v>SC/0082</v>
      </c>
      <c r="C731" s="2" t="str">
        <f>VLOOKUP($B731,[4]BOLETIM_SEL!$A:$H,2,0)</f>
        <v>COMPOSIÇÃO</v>
      </c>
      <c r="D731" s="315" t="str">
        <f>VLOOKUP($B731,[4]BOLETIM_SEL!$A:$H,4,0)</f>
        <v>Grama em placas, tipo esmeralda, incluindo plantio, adubo, fertilizante, calcário, terra orgânica e irrigação</v>
      </c>
      <c r="E731" s="2"/>
      <c r="F731" s="2" t="str">
        <f>VLOOKUP($B731,[4]BOLETIM_SEL!$A:$H,6,0)</f>
        <v>M2</v>
      </c>
      <c r="G731" s="1407">
        <f>VLOOKUP($B731,[4]BOLETIM_SEL!$A:$H,7,0)</f>
        <v>22.28</v>
      </c>
      <c r="H731" s="1611">
        <f>+S_Complementares!AB20</f>
        <v>4064.81</v>
      </c>
      <c r="I731" s="877">
        <f t="shared" si="233"/>
        <v>26.89</v>
      </c>
      <c r="J731" s="1612">
        <f t="shared" si="235"/>
        <v>109302.74</v>
      </c>
      <c r="K731" s="2078">
        <f t="shared" ca="1" si="230"/>
        <v>8.1565204712368035E-3</v>
      </c>
      <c r="L731" s="1574">
        <f t="shared" ca="1" si="231"/>
        <v>0.11060741865534258</v>
      </c>
      <c r="M731" s="1589" t="s">
        <v>1826</v>
      </c>
      <c r="N731" s="833"/>
      <c r="O731" s="833"/>
      <c r="Q731" s="833"/>
      <c r="R731" s="833"/>
      <c r="S731" s="833"/>
      <c r="T731" s="833"/>
      <c r="U731" s="833"/>
      <c r="V731" s="833"/>
      <c r="W731" s="833"/>
      <c r="X731" s="833"/>
    </row>
    <row r="732" spans="1:24" s="813" customFormat="1" ht="39.950000000000003" hidden="1" customHeight="1" x14ac:dyDescent="0.15">
      <c r="A732" s="2081">
        <f t="shared" ca="1" si="232"/>
        <v>9.0499999999999989</v>
      </c>
      <c r="B732" s="834" t="s">
        <v>1637</v>
      </c>
      <c r="C732" s="2" t="str">
        <f>VLOOKUP($B732,[4]BOLETIM_SEL!$A:$H,2,0)</f>
        <v>COMPOSIÇÃO</v>
      </c>
      <c r="D732" s="315" t="str">
        <f>VLOOKUP($B732,[4]BOLETIM_SEL!$A:$H,4,0)</f>
        <v>Cerca com mourões de madeira roliça Ø 11cm, espaçamento de 2,00m, altura livre de 1,50m, cravado 0,50m, com 5 fios de arame liso ovalado 15x17, conforme projeto</v>
      </c>
      <c r="E732" s="2"/>
      <c r="F732" s="2" t="str">
        <f>VLOOKUP($B732,[4]BOLETIM_SEL!$A:$H,6,0)</f>
        <v>M</v>
      </c>
      <c r="G732" s="1407">
        <f>VLOOKUP($B732,[4]BOLETIM_SEL!$A:$H,7,0)</f>
        <v>35.409999999999997</v>
      </c>
      <c r="H732" s="1611">
        <f>+S_Complementares!AB21</f>
        <v>0</v>
      </c>
      <c r="I732" s="877">
        <f t="shared" ref="I732:I735" si="236">+TRUNC(G732*(1+$J$5),2)</f>
        <v>42.73</v>
      </c>
      <c r="J732" s="1612">
        <f t="shared" ref="J732:J735" si="237">TRUNC(H732*I732,2)</f>
        <v>0</v>
      </c>
      <c r="K732" s="2078">
        <f t="shared" ca="1" si="230"/>
        <v>0</v>
      </c>
      <c r="L732" s="1574">
        <f t="shared" ref="L732:L735" ca="1" si="238">J732/$J$719</f>
        <v>0</v>
      </c>
      <c r="M732" s="2"/>
      <c r="N732" s="833"/>
      <c r="O732" s="833"/>
      <c r="Q732" s="833"/>
      <c r="R732" s="833"/>
      <c r="S732" s="833"/>
      <c r="T732" s="833"/>
      <c r="U732" s="833"/>
      <c r="V732" s="833"/>
      <c r="W732" s="833"/>
      <c r="X732" s="833"/>
    </row>
    <row r="733" spans="1:24" s="813" customFormat="1" ht="39.950000000000003" hidden="1" customHeight="1" x14ac:dyDescent="0.15">
      <c r="A733" s="2081">
        <f t="shared" ca="1" si="232"/>
        <v>9.0499999999999989</v>
      </c>
      <c r="B733" s="834">
        <v>101193</v>
      </c>
      <c r="C733" s="2" t="str">
        <f>VLOOKUP($B733,[4]BOLETIM_SEL!$A:$H,2,0)</f>
        <v>SINAPI</v>
      </c>
      <c r="D733" s="315" t="str">
        <f>VLOOKUP($B733,[4]BOLETIM_SEL!$A:$H,4,0)</f>
        <v>Cerca com mourões de concreto, reto, h=2,30 m, espaçamento de 2,50 m, cravados 0,5 m, com 4 fios de arame de aço ovalado 15x17 - fornecimento e instalação. AF_05/2020</v>
      </c>
      <c r="E733" s="2"/>
      <c r="F733" s="2" t="str">
        <f>VLOOKUP($B733,[4]BOLETIM_SEL!$A:$H,6,0)</f>
        <v>M</v>
      </c>
      <c r="G733" s="1407">
        <f>VLOOKUP($B733,[4]BOLETIM_SEL!$A:$H,7,0)</f>
        <v>54.73</v>
      </c>
      <c r="H733" s="1611">
        <f>+S_Complementares!AB22</f>
        <v>0</v>
      </c>
      <c r="I733" s="877">
        <f t="shared" ref="I733" si="239">+TRUNC(G733*(1+$J$5),2)</f>
        <v>66.05</v>
      </c>
      <c r="J733" s="1612">
        <f t="shared" ref="J733" si="240">TRUNC(H733*I733,2)</f>
        <v>0</v>
      </c>
      <c r="K733" s="2078">
        <f t="shared" ca="1" si="230"/>
        <v>0</v>
      </c>
      <c r="L733" s="1574">
        <f t="shared" ref="L733" ca="1" si="241">J733/$J$719</f>
        <v>0</v>
      </c>
      <c r="M733" s="2"/>
      <c r="N733" s="833"/>
      <c r="O733" s="833"/>
      <c r="Q733" s="833"/>
      <c r="R733" s="833"/>
      <c r="S733" s="833"/>
      <c r="T733" s="833"/>
      <c r="U733" s="833"/>
      <c r="V733" s="833"/>
      <c r="W733" s="833"/>
      <c r="X733" s="833"/>
    </row>
    <row r="734" spans="1:24" s="813" customFormat="1" ht="39.950000000000003" hidden="1" customHeight="1" x14ac:dyDescent="0.15">
      <c r="A734" s="2081">
        <f t="shared" ca="1" si="232"/>
        <v>9.0499999999999989</v>
      </c>
      <c r="B734" s="834" t="s">
        <v>2052</v>
      </c>
      <c r="C734" s="2" t="str">
        <f>VLOOKUP($B734,[4]BOLETIM_SEL!$A:$H,2,0)</f>
        <v>COMPOSIÇÃO</v>
      </c>
      <c r="D734" s="315" t="str">
        <f>VLOOKUP($B734,[4]BOLETIM_SEL!$A:$H,4,0)</f>
        <v>Alambrado com tela de aço galvanizado, fio 14, malha 1½" , três fios de arame liso, poste curvo de concreto com altura livre de 1,80m, mureta de alvenaria com altura de 30cm, conforme projeto</v>
      </c>
      <c r="E734" s="2"/>
      <c r="F734" s="2" t="str">
        <f>VLOOKUP($B734,[4]BOLETIM_SEL!$A:$H,6,0)</f>
        <v>M</v>
      </c>
      <c r="G734" s="1407">
        <f>VLOOKUP($B734,[4]BOLETIM_SEL!$A:$H,7,0)</f>
        <v>207.59</v>
      </c>
      <c r="H734" s="1611">
        <f>+S_Complementares!AB23</f>
        <v>0</v>
      </c>
      <c r="I734" s="877">
        <f t="shared" si="236"/>
        <v>250.56</v>
      </c>
      <c r="J734" s="1612">
        <f t="shared" si="237"/>
        <v>0</v>
      </c>
      <c r="K734" s="2078">
        <f t="shared" ca="1" si="230"/>
        <v>0</v>
      </c>
      <c r="L734" s="1574">
        <f t="shared" ca="1" si="238"/>
        <v>0</v>
      </c>
      <c r="M734" s="2"/>
      <c r="N734" s="833"/>
      <c r="O734" s="833"/>
      <c r="Q734" s="833"/>
      <c r="R734" s="833"/>
      <c r="S734" s="833"/>
      <c r="T734" s="833"/>
      <c r="U734" s="833"/>
      <c r="V734" s="833"/>
      <c r="W734" s="833"/>
      <c r="X734" s="833"/>
    </row>
    <row r="735" spans="1:24" s="813" customFormat="1" ht="39.950000000000003" hidden="1" customHeight="1" x14ac:dyDescent="0.15">
      <c r="A735" s="2081">
        <f t="shared" ca="1" si="232"/>
        <v>9.0499999999999989</v>
      </c>
      <c r="B735" s="834" t="s">
        <v>1638</v>
      </c>
      <c r="C735" s="2" t="str">
        <f>VLOOKUP($B735,[4]BOLETIM_SEL!$A:$H,2,0)</f>
        <v>COMPOSIÇÃO</v>
      </c>
      <c r="D735" s="315" t="str">
        <f>VLOOKUP($B735,[4]BOLETIM_SEL!$A:$H,4,0)</f>
        <v>Portão para veículos em tela arame galvanizado n.12 malha 2" e moldura em tubos de aco com duas folhas de abrir, incluso ferragens (REF. SINAPI COD. 74238/2 - Descontinuado)</v>
      </c>
      <c r="E735" s="2"/>
      <c r="F735" s="2" t="str">
        <f>VLOOKUP($B735,[4]BOLETIM_SEL!$A:$H,6,0)</f>
        <v>M2</v>
      </c>
      <c r="G735" s="1407">
        <f>VLOOKUP($B735,[4]BOLETIM_SEL!$A:$H,7,0)</f>
        <v>1026.57</v>
      </c>
      <c r="H735" s="1611">
        <f>+S_Complementares!AB27</f>
        <v>0</v>
      </c>
      <c r="I735" s="877">
        <f t="shared" si="236"/>
        <v>1239.06</v>
      </c>
      <c r="J735" s="1612">
        <f t="shared" si="237"/>
        <v>0</v>
      </c>
      <c r="K735" s="2078">
        <f t="shared" ca="1" si="230"/>
        <v>0</v>
      </c>
      <c r="L735" s="1574">
        <f t="shared" ca="1" si="238"/>
        <v>0</v>
      </c>
      <c r="M735" s="2"/>
      <c r="N735" s="833"/>
      <c r="O735" s="833"/>
      <c r="Q735" s="833"/>
      <c r="R735" s="833"/>
      <c r="S735" s="833"/>
      <c r="T735" s="833"/>
      <c r="U735" s="833"/>
      <c r="V735" s="833"/>
      <c r="W735" s="833"/>
      <c r="X735" s="833"/>
    </row>
    <row r="736" spans="1:24" s="813" customFormat="1" ht="30" hidden="1" customHeight="1" x14ac:dyDescent="0.15">
      <c r="A736" s="2081">
        <f t="shared" ca="1" si="232"/>
        <v>9.0499999999999989</v>
      </c>
      <c r="B736" s="834">
        <f>IF(M736="MENOR",98510,98511)</f>
        <v>98510</v>
      </c>
      <c r="C736" s="2" t="str">
        <f>VLOOKUP($B736,[4]BOLETIM_SEL!$A:$H,2,0)</f>
        <v>SINAPI</v>
      </c>
      <c r="D736" s="315" t="str">
        <f>VLOOKUP($B736,[4]BOLETIM_SEL!$A:$H,4,0)</f>
        <v>Plantio de árvore ornamental com altura de muda menor ou igual a 2,00 m. AF_05/2018</v>
      </c>
      <c r="E736" s="2"/>
      <c r="F736" s="2" t="str">
        <f>VLOOKUP($B736,[4]BOLETIM_SEL!$A:$H,6,0)</f>
        <v>UN</v>
      </c>
      <c r="G736" s="1407">
        <f>VLOOKUP($B736,[4]BOLETIM_SEL!$A:$H,7,0)</f>
        <v>68.510000000000005</v>
      </c>
      <c r="H736" s="1611">
        <f>+S_Complementares!AB41</f>
        <v>0</v>
      </c>
      <c r="I736" s="877">
        <f t="shared" si="233"/>
        <v>82.69</v>
      </c>
      <c r="J736" s="1612">
        <f>TRUNC(H736*I736,2)</f>
        <v>0</v>
      </c>
      <c r="K736" s="2078">
        <f t="shared" ca="1" si="230"/>
        <v>0</v>
      </c>
      <c r="L736" s="1574">
        <f t="shared" ca="1" si="231"/>
        <v>0</v>
      </c>
      <c r="M736" s="1589" t="s">
        <v>1832</v>
      </c>
      <c r="N736" s="833"/>
      <c r="O736" s="833"/>
      <c r="Q736" s="833"/>
      <c r="R736" s="833"/>
      <c r="S736" s="833"/>
      <c r="T736" s="833"/>
      <c r="U736" s="833"/>
      <c r="V736" s="833"/>
      <c r="W736" s="833"/>
      <c r="X736" s="833"/>
    </row>
    <row r="737" spans="1:24" s="813" customFormat="1" ht="30" hidden="1" customHeight="1" x14ac:dyDescent="0.15">
      <c r="A737" s="2081">
        <f t="shared" ca="1" si="232"/>
        <v>9.0499999999999989</v>
      </c>
      <c r="B737" s="834">
        <v>98516</v>
      </c>
      <c r="C737" s="2" t="str">
        <f>VLOOKUP($B737,[4]BOLETIM_SEL!$A:$H,2,0)</f>
        <v>SINAPI</v>
      </c>
      <c r="D737" s="315" t="str">
        <f>VLOOKUP($B737,[4]BOLETIM_SEL!$A:$H,4,0)</f>
        <v>Plantio de palmeira com altura de muda menor ou igual a 2,00 m. AF_05/2018</v>
      </c>
      <c r="E737" s="2"/>
      <c r="F737" s="2" t="str">
        <f>VLOOKUP($B737,[4]BOLETIM_SEL!$A:$H,6,0)</f>
        <v>UN</v>
      </c>
      <c r="G737" s="1407">
        <f>VLOOKUP($B737,[4]BOLETIM_SEL!$A:$H,7,0)</f>
        <v>334.59</v>
      </c>
      <c r="H737" s="1611">
        <f>+S_Complementares!AB42</f>
        <v>0</v>
      </c>
      <c r="I737" s="877">
        <f t="shared" si="233"/>
        <v>403.85</v>
      </c>
      <c r="J737" s="1612">
        <f>TRUNC(H737*I737,2)</f>
        <v>0</v>
      </c>
      <c r="K737" s="2078">
        <f t="shared" ca="1" si="230"/>
        <v>0</v>
      </c>
      <c r="L737" s="1574">
        <f t="shared" ca="1" si="231"/>
        <v>0</v>
      </c>
      <c r="M737" s="1445"/>
      <c r="N737" s="833"/>
      <c r="O737" s="833"/>
      <c r="Q737" s="833"/>
      <c r="R737" s="833"/>
      <c r="S737" s="833"/>
      <c r="T737" s="833"/>
      <c r="U737" s="833"/>
      <c r="V737" s="833"/>
      <c r="W737" s="833"/>
      <c r="X737" s="833"/>
    </row>
    <row r="738" spans="1:24" s="813" customFormat="1" ht="39.950000000000003" hidden="1" customHeight="1" x14ac:dyDescent="0.15">
      <c r="A738" s="2081">
        <f t="shared" ca="1" si="232"/>
        <v>9.0499999999999989</v>
      </c>
      <c r="B738" s="834">
        <v>94963</v>
      </c>
      <c r="C738" s="2" t="str">
        <f>VLOOKUP($B738,[4]BOLETIM_SEL!$A:$H,2,0)</f>
        <v>SINAPI</v>
      </c>
      <c r="D738" s="315" t="str">
        <f>VLOOKUP($B738,[4]BOLETIM_SEL!$A:$H,4,0)</f>
        <v>Concreto FCK = 15 MPA, traço 1:3,4:3,5 (cimento/ areia média/ brita 1) - preparo mecânico com betoneira 400 l. AF_07/2016</v>
      </c>
      <c r="E738" s="2"/>
      <c r="F738" s="2" t="str">
        <f>VLOOKUP($B738,[4]BOLETIM_SEL!$A:$H,6,0)</f>
        <v>M3</v>
      </c>
      <c r="G738" s="1407">
        <f>VLOOKUP($B738,[4]BOLETIM_SEL!$A:$H,7,0)</f>
        <v>427.82</v>
      </c>
      <c r="H738" s="1611">
        <f>+S_Complementares!AB41</f>
        <v>0</v>
      </c>
      <c r="I738" s="877">
        <f t="shared" si="233"/>
        <v>516.37</v>
      </c>
      <c r="J738" s="1612">
        <f t="shared" si="235"/>
        <v>0</v>
      </c>
      <c r="K738" s="2078">
        <f t="shared" ca="1" si="230"/>
        <v>0</v>
      </c>
      <c r="L738" s="1574">
        <f t="shared" ca="1" si="231"/>
        <v>0</v>
      </c>
      <c r="M738" s="1445"/>
      <c r="N738" s="833"/>
      <c r="O738" s="833"/>
      <c r="Q738" s="833"/>
      <c r="R738" s="833"/>
      <c r="S738" s="833"/>
      <c r="T738" s="833"/>
      <c r="U738" s="833"/>
      <c r="V738" s="833"/>
      <c r="W738" s="833"/>
      <c r="X738" s="833"/>
    </row>
    <row r="739" spans="1:24" s="813" customFormat="1" ht="39.950000000000003" hidden="1" customHeight="1" x14ac:dyDescent="0.15">
      <c r="A739" s="2081">
        <f t="shared" ca="1" si="232"/>
        <v>9.0499999999999989</v>
      </c>
      <c r="B739" s="834">
        <v>94965</v>
      </c>
      <c r="C739" s="2" t="str">
        <f>VLOOKUP($B739,[4]BOLETIM_SEL!$A:$H,2,0)</f>
        <v>SINAPI</v>
      </c>
      <c r="D739" s="315" t="str">
        <f>VLOOKUP($B739,[4]BOLETIM_SEL!$A:$H,4,0)</f>
        <v>Concreto FCK = 25 MPA, traço 1:2,3:2,7 (cimento/ areia média/ brita 1) - preparo mecânico com betoneira 400 l. AF_07/2016</v>
      </c>
      <c r="E739" s="2"/>
      <c r="F739" s="2" t="str">
        <f>VLOOKUP($B739,[4]BOLETIM_SEL!$A:$H,6,0)</f>
        <v>M3</v>
      </c>
      <c r="G739" s="1407">
        <f>VLOOKUP($B739,[4]BOLETIM_SEL!$A:$H,7,0)</f>
        <v>494</v>
      </c>
      <c r="H739" s="1611">
        <f>+S_Complementares!AB45</f>
        <v>0</v>
      </c>
      <c r="I739" s="877">
        <f t="shared" si="233"/>
        <v>596.25</v>
      </c>
      <c r="J739" s="1612">
        <f t="shared" si="235"/>
        <v>0</v>
      </c>
      <c r="K739" s="2078">
        <f t="shared" ca="1" si="230"/>
        <v>0</v>
      </c>
      <c r="L739" s="1574">
        <f t="shared" ca="1" si="231"/>
        <v>0</v>
      </c>
      <c r="M739" s="1445"/>
      <c r="N739" s="833"/>
      <c r="O739" s="833"/>
      <c r="Q739" s="833"/>
      <c r="R739" s="833"/>
      <c r="S739" s="833"/>
      <c r="T739" s="833"/>
      <c r="U739" s="833"/>
      <c r="V739" s="833"/>
      <c r="W739" s="833"/>
      <c r="X739" s="833"/>
    </row>
    <row r="740" spans="1:24" s="813" customFormat="1" ht="39.950000000000003" hidden="1" customHeight="1" x14ac:dyDescent="0.15">
      <c r="A740" s="2081">
        <f t="shared" ca="1" si="232"/>
        <v>9.0499999999999989</v>
      </c>
      <c r="B740" s="834">
        <v>92413</v>
      </c>
      <c r="C740" s="2" t="str">
        <f>VLOOKUP($B740,[4]BOLETIM_SEL!$A:$H,2,0)</f>
        <v>SINAPI</v>
      </c>
      <c r="D740" s="315" t="str">
        <f>VLOOKUP($B740,[4]BOLETIM_SEL!$A:$H,4,0)</f>
        <v>Montagem e desmontagem de fôrma de pilares retangulares e estruturas similares, pé-direito simples, em madeira serrada, 4 utilizações. AF_09/2020</v>
      </c>
      <c r="E740" s="2"/>
      <c r="F740" s="2" t="str">
        <f>VLOOKUP($B740,[4]BOLETIM_SEL!$A:$H,6,0)</f>
        <v>M2</v>
      </c>
      <c r="G740" s="1407">
        <f>VLOOKUP($B740,[4]BOLETIM_SEL!$A:$H,7,0)</f>
        <v>122.05</v>
      </c>
      <c r="H740" s="1611">
        <f>+S_Complementares!AB48</f>
        <v>0</v>
      </c>
      <c r="I740" s="877">
        <f t="shared" si="233"/>
        <v>147.31</v>
      </c>
      <c r="J740" s="1612">
        <f t="shared" si="235"/>
        <v>0</v>
      </c>
      <c r="K740" s="2078">
        <f t="shared" ca="1" si="230"/>
        <v>0</v>
      </c>
      <c r="L740" s="1574">
        <f t="shared" ca="1" si="231"/>
        <v>0</v>
      </c>
      <c r="M740" s="1445"/>
      <c r="N740" s="833"/>
      <c r="O740" s="833"/>
      <c r="Q740" s="833"/>
      <c r="R740" s="833"/>
      <c r="S740" s="833"/>
      <c r="T740" s="833"/>
      <c r="U740" s="833"/>
      <c r="V740" s="833"/>
      <c r="W740" s="833"/>
      <c r="X740" s="833"/>
    </row>
    <row r="741" spans="1:24" s="813" customFormat="1" ht="30" hidden="1" customHeight="1" x14ac:dyDescent="0.15">
      <c r="A741" s="2081">
        <f t="shared" ca="1" si="232"/>
        <v>9.0499999999999989</v>
      </c>
      <c r="B741" s="834">
        <v>96543</v>
      </c>
      <c r="C741" s="2" t="str">
        <f>VLOOKUP($B741,[4]BOLETIM_SEL!$A:$H,2,0)</f>
        <v>SINAPI</v>
      </c>
      <c r="D741" s="315" t="str">
        <f>VLOOKUP($B741,[4]BOLETIM_SEL!$A:$H,4,0)</f>
        <v>Armação de bloco, viga baldrame e sapata utilizando aço CA-60 de 5 mm - montagem. AF_06/2017</v>
      </c>
      <c r="E741" s="2"/>
      <c r="F741" s="2" t="str">
        <f>VLOOKUP($B741,[4]BOLETIM_SEL!$A:$H,6,0)</f>
        <v>KG</v>
      </c>
      <c r="G741" s="1407">
        <f>VLOOKUP($B741,[4]BOLETIM_SEL!$A:$H,7,0)</f>
        <v>17.829999999999998</v>
      </c>
      <c r="H741" s="1611">
        <f>+S_Complementares!AB49</f>
        <v>0</v>
      </c>
      <c r="I741" s="877">
        <f t="shared" si="233"/>
        <v>21.52</v>
      </c>
      <c r="J741" s="1612">
        <f t="shared" si="235"/>
        <v>0</v>
      </c>
      <c r="K741" s="2078">
        <f t="shared" ca="1" si="230"/>
        <v>0</v>
      </c>
      <c r="L741" s="1574">
        <f t="shared" ca="1" si="231"/>
        <v>0</v>
      </c>
      <c r="M741" s="1445"/>
      <c r="N741" s="833"/>
      <c r="O741" s="833"/>
      <c r="Q741" s="833"/>
      <c r="R741" s="833"/>
      <c r="S741" s="833"/>
      <c r="T741" s="833"/>
      <c r="U741" s="833"/>
      <c r="V741" s="833"/>
      <c r="W741" s="833"/>
      <c r="X741" s="833"/>
    </row>
    <row r="742" spans="1:24" s="813" customFormat="1" ht="30" hidden="1" customHeight="1" x14ac:dyDescent="0.15">
      <c r="A742" s="2081">
        <f t="shared" ca="1" si="232"/>
        <v>9.0499999999999989</v>
      </c>
      <c r="B742" s="834">
        <v>100342</v>
      </c>
      <c r="C742" s="2" t="str">
        <f>VLOOKUP($B742,[4]BOLETIM_SEL!$A:$H,2,0)</f>
        <v>SINAPI</v>
      </c>
      <c r="D742" s="315" t="str">
        <f>VLOOKUP($B742,[4]BOLETIM_SEL!$A:$H,4,0)</f>
        <v>Armação de cortina de contenção em concreto armado, com aço CA-50 de 6,3 mm - montagem. AF_07/2019</v>
      </c>
      <c r="E742" s="2"/>
      <c r="F742" s="2" t="str">
        <f>VLOOKUP($B742,[4]BOLETIM_SEL!$A:$H,6,0)</f>
        <v>KG</v>
      </c>
      <c r="G742" s="1407">
        <f>VLOOKUP($B742,[4]BOLETIM_SEL!$A:$H,7,0)</f>
        <v>15.07</v>
      </c>
      <c r="H742" s="1611">
        <f>+S_Complementares!AB50</f>
        <v>0</v>
      </c>
      <c r="I742" s="877">
        <f t="shared" si="233"/>
        <v>18.18</v>
      </c>
      <c r="J742" s="1612">
        <f t="shared" si="235"/>
        <v>0</v>
      </c>
      <c r="K742" s="2078">
        <f t="shared" ca="1" si="230"/>
        <v>0</v>
      </c>
      <c r="L742" s="1574">
        <f t="shared" ca="1" si="231"/>
        <v>0</v>
      </c>
      <c r="M742" s="1445"/>
      <c r="N742" s="833"/>
      <c r="O742" s="833"/>
      <c r="Q742" s="833"/>
      <c r="R742" s="833"/>
      <c r="S742" s="833"/>
      <c r="T742" s="833"/>
      <c r="U742" s="833"/>
      <c r="V742" s="833"/>
      <c r="W742" s="833"/>
      <c r="X742" s="833"/>
    </row>
    <row r="743" spans="1:24" s="813" customFormat="1" ht="30" hidden="1" customHeight="1" x14ac:dyDescent="0.15">
      <c r="A743" s="2081">
        <f t="shared" ca="1" si="232"/>
        <v>9.0499999999999989</v>
      </c>
      <c r="B743" s="834">
        <v>100343</v>
      </c>
      <c r="C743" s="2" t="str">
        <f>VLOOKUP($B743,[4]BOLETIM_SEL!$A:$H,2,0)</f>
        <v>SINAPI</v>
      </c>
      <c r="D743" s="315" t="str">
        <f>VLOOKUP($B743,[4]BOLETIM_SEL!$A:$H,4,0)</f>
        <v>Armação de cortina de contenção em concreto armado, com aço CA-50 de 8 mm - montagem. AF_07/2019</v>
      </c>
      <c r="E743" s="2"/>
      <c r="F743" s="2" t="str">
        <f>VLOOKUP($B743,[4]BOLETIM_SEL!$A:$H,6,0)</f>
        <v>KG</v>
      </c>
      <c r="G743" s="1407">
        <f>VLOOKUP($B743,[4]BOLETIM_SEL!$A:$H,7,0)</f>
        <v>14.36</v>
      </c>
      <c r="H743" s="1611">
        <f>+S_Complementares!AB51</f>
        <v>0</v>
      </c>
      <c r="I743" s="877">
        <f t="shared" si="233"/>
        <v>17.329999999999998</v>
      </c>
      <c r="J743" s="1612">
        <f t="shared" ref="J743:J748" si="242">TRUNC(H743*I743,2)</f>
        <v>0</v>
      </c>
      <c r="K743" s="2078">
        <f t="shared" ca="1" si="230"/>
        <v>0</v>
      </c>
      <c r="L743" s="1574">
        <f t="shared" ca="1" si="231"/>
        <v>0</v>
      </c>
      <c r="M743" s="1445"/>
      <c r="N743" s="833"/>
      <c r="O743" s="833"/>
      <c r="Q743" s="833"/>
      <c r="R743" s="833"/>
      <c r="S743" s="833"/>
      <c r="T743" s="833"/>
      <c r="U743" s="833"/>
      <c r="V743" s="833"/>
      <c r="W743" s="833"/>
      <c r="X743" s="833"/>
    </row>
    <row r="744" spans="1:24" s="813" customFormat="1" ht="30" hidden="1" customHeight="1" x14ac:dyDescent="0.15">
      <c r="A744" s="2081">
        <f t="shared" ca="1" si="232"/>
        <v>9.0499999999999989</v>
      </c>
      <c r="B744" s="834">
        <v>100344</v>
      </c>
      <c r="C744" s="2" t="str">
        <f>VLOOKUP($B744,[4]BOLETIM_SEL!$A:$H,2,0)</f>
        <v>SINAPI</v>
      </c>
      <c r="D744" s="315" t="str">
        <f>VLOOKUP($B744,[4]BOLETIM_SEL!$A:$H,4,0)</f>
        <v>Armação de cortina de contenção em concreto armado, com aço CA-50 de 10 mm - montagem. AF_07/2019</v>
      </c>
      <c r="E744" s="2"/>
      <c r="F744" s="2" t="str">
        <f>VLOOKUP($B744,[4]BOLETIM_SEL!$A:$H,6,0)</f>
        <v>KG</v>
      </c>
      <c r="G744" s="1407">
        <f>VLOOKUP($B744,[4]BOLETIM_SEL!$A:$H,7,0)</f>
        <v>12.95</v>
      </c>
      <c r="H744" s="1611">
        <f>+S_Complementares!AB52</f>
        <v>0</v>
      </c>
      <c r="I744" s="877">
        <f t="shared" si="233"/>
        <v>15.63</v>
      </c>
      <c r="J744" s="1612">
        <f t="shared" si="242"/>
        <v>0</v>
      </c>
      <c r="K744" s="2078">
        <f t="shared" ca="1" si="230"/>
        <v>0</v>
      </c>
      <c r="L744" s="1574">
        <f t="shared" ca="1" si="231"/>
        <v>0</v>
      </c>
      <c r="M744" s="1445"/>
      <c r="N744" s="833"/>
      <c r="O744" s="833"/>
      <c r="Q744" s="833"/>
      <c r="R744" s="833"/>
      <c r="S744" s="833"/>
      <c r="T744" s="833"/>
      <c r="U744" s="833"/>
      <c r="V744" s="833"/>
      <c r="W744" s="833"/>
      <c r="X744" s="833"/>
    </row>
    <row r="745" spans="1:24" s="813" customFormat="1" ht="39.950000000000003" hidden="1" customHeight="1" x14ac:dyDescent="0.15">
      <c r="A745" s="2081">
        <f t="shared" ca="1" si="232"/>
        <v>9.0499999999999989</v>
      </c>
      <c r="B745" s="834" t="s">
        <v>426</v>
      </c>
      <c r="C745" s="2" t="str">
        <f>VLOOKUP($B745,[4]BOLETIM_SEL!$A:$H,2,0)</f>
        <v>COMPOSIÇÃO</v>
      </c>
      <c r="D745" s="315" t="str">
        <f>VLOOKUP($B745,[4]BOLETIM_SEL!$A:$H,4,0)</f>
        <v>Tubo aço galvanizado com costura para guarda-corpo, classe leve, DN 40 mm (1 1/2"),  DIN 2440 / NBR 5580 classe leve, espessura 3,00 mm, *3,48* kg/m</v>
      </c>
      <c r="E745" s="2"/>
      <c r="F745" s="2" t="str">
        <f>VLOOKUP($B745,[4]BOLETIM_SEL!$A:$H,6,0)</f>
        <v>M</v>
      </c>
      <c r="G745" s="1407">
        <f>VLOOKUP($B745,[4]BOLETIM_SEL!$A:$H,7,0)</f>
        <v>60.84</v>
      </c>
      <c r="H745" s="1611">
        <f>+S_Complementares!AB53</f>
        <v>0</v>
      </c>
      <c r="I745" s="877">
        <f t="shared" si="233"/>
        <v>73.430000000000007</v>
      </c>
      <c r="J745" s="1612">
        <f t="shared" si="242"/>
        <v>0</v>
      </c>
      <c r="K745" s="2078">
        <f t="shared" ca="1" si="230"/>
        <v>0</v>
      </c>
      <c r="L745" s="1574">
        <f t="shared" ca="1" si="231"/>
        <v>0</v>
      </c>
      <c r="M745" s="1445"/>
      <c r="N745" s="833"/>
      <c r="O745" s="833"/>
      <c r="Q745" s="833"/>
      <c r="R745" s="833"/>
      <c r="S745" s="833"/>
      <c r="T745" s="833"/>
      <c r="U745" s="833"/>
      <c r="V745" s="833"/>
      <c r="W745" s="833"/>
      <c r="X745" s="833"/>
    </row>
    <row r="746" spans="1:24" s="813" customFormat="1" ht="39.950000000000003" hidden="1" customHeight="1" x14ac:dyDescent="0.15">
      <c r="A746" s="2081">
        <f t="shared" ca="1" si="232"/>
        <v>9.0499999999999989</v>
      </c>
      <c r="B746" s="834" t="s">
        <v>1821</v>
      </c>
      <c r="C746" s="2" t="str">
        <f>VLOOKUP($B746,[4]BOLETIM_SEL!$A:$H,2,0)</f>
        <v>COMPOSIÇÃO</v>
      </c>
      <c r="D746" s="315" t="str">
        <f>VLOOKUP($B746,[4]BOLETIM_SEL!$A:$H,4,0)</f>
        <v>Tubo aço galvanizado com costura para guarda-corpo, classe leve, DN 50 mm (2"),  DIN 2440 / NBR 5580 classe leve, espessura 3,00 mm, *4,40* kg/m</v>
      </c>
      <c r="E746" s="2"/>
      <c r="F746" s="2" t="str">
        <f>VLOOKUP($B746,[4]BOLETIM_SEL!$A:$H,6,0)</f>
        <v>M</v>
      </c>
      <c r="G746" s="1407">
        <f>VLOOKUP($B746,[4]BOLETIM_SEL!$A:$H,7,0)</f>
        <v>79.400000000000006</v>
      </c>
      <c r="H746" s="1611">
        <f>+S_Complementares!AB54</f>
        <v>0</v>
      </c>
      <c r="I746" s="877">
        <f t="shared" si="233"/>
        <v>95.83</v>
      </c>
      <c r="J746" s="1612">
        <f t="shared" si="242"/>
        <v>0</v>
      </c>
      <c r="K746" s="2078">
        <f t="shared" ca="1" si="230"/>
        <v>0</v>
      </c>
      <c r="L746" s="1574">
        <f t="shared" ca="1" si="231"/>
        <v>0</v>
      </c>
      <c r="M746" s="1445"/>
      <c r="N746" s="833"/>
      <c r="O746" s="833"/>
      <c r="Q746" s="833"/>
      <c r="R746" s="833"/>
      <c r="S746" s="833"/>
      <c r="T746" s="833"/>
      <c r="U746" s="833"/>
      <c r="V746" s="833"/>
      <c r="W746" s="833"/>
      <c r="X746" s="833"/>
    </row>
    <row r="747" spans="1:24" s="813" customFormat="1" ht="39.950000000000003" hidden="1" customHeight="1" x14ac:dyDescent="0.15">
      <c r="A747" s="2081">
        <f t="shared" ca="1" si="232"/>
        <v>9.0499999999999989</v>
      </c>
      <c r="B747" s="834" t="s">
        <v>1822</v>
      </c>
      <c r="C747" s="2" t="str">
        <f>VLOOKUP($B747,[4]BOLETIM_SEL!$A:$H,2,0)</f>
        <v>COMPOSIÇÃO</v>
      </c>
      <c r="D747" s="315" t="str">
        <f>VLOOKUP($B747,[4]BOLETIM_SEL!$A:$H,4,0)</f>
        <v>Defensa metálica semi-maleável tipo simples, em chapa de aço, padrão DNIT, incluindo fornecimento, montagem e refletivos (30x5cm) (REF. SICRO COD. 3713604)</v>
      </c>
      <c r="E747" s="2"/>
      <c r="F747" s="2" t="str">
        <f>VLOOKUP($B747,[4]BOLETIM_SEL!$A:$H,6,0)</f>
        <v>M</v>
      </c>
      <c r="G747" s="1407">
        <f>VLOOKUP($B747,[4]BOLETIM_SEL!$A:$H,7,0)</f>
        <v>494.92</v>
      </c>
      <c r="H747" s="1611">
        <f>+S_Complementares!AB55</f>
        <v>0</v>
      </c>
      <c r="I747" s="877">
        <f t="shared" si="233"/>
        <v>597.36</v>
      </c>
      <c r="J747" s="1612">
        <f t="shared" si="242"/>
        <v>0</v>
      </c>
      <c r="K747" s="2078">
        <f t="shared" ca="1" si="230"/>
        <v>0</v>
      </c>
      <c r="L747" s="1574">
        <f t="shared" ca="1" si="231"/>
        <v>0</v>
      </c>
      <c r="M747" s="1445"/>
      <c r="N747" s="833"/>
      <c r="O747" s="833"/>
      <c r="Q747" s="833"/>
      <c r="R747" s="833"/>
      <c r="S747" s="833"/>
      <c r="T747" s="833"/>
      <c r="U747" s="833"/>
      <c r="V747" s="833"/>
      <c r="W747" s="833"/>
      <c r="X747" s="833"/>
    </row>
    <row r="748" spans="1:24" s="813" customFormat="1" ht="39.950000000000003" hidden="1" customHeight="1" x14ac:dyDescent="0.15">
      <c r="A748" s="2081">
        <f t="shared" ca="1" si="232"/>
        <v>9.0499999999999989</v>
      </c>
      <c r="B748" s="834" t="s">
        <v>1823</v>
      </c>
      <c r="C748" s="2" t="str">
        <f>VLOOKUP($B748,[4]BOLETIM_SEL!$A:$H,2,0)</f>
        <v>COMPOSIÇÃO</v>
      </c>
      <c r="D748" s="315" t="str">
        <f>VLOOKUP($B748,[4]BOLETIM_SEL!$A:$H,4,0)</f>
        <v>Defensa metálica semi-maleável tipo dupla, em chapa de aço, padrão DNIT, incluindo fornecimento, montagem e refletivos (30x5cm) (REF. SICRO COD. 3713606)</v>
      </c>
      <c r="E748" s="2"/>
      <c r="F748" s="2" t="str">
        <f>VLOOKUP($B748,[4]BOLETIM_SEL!$A:$H,6,0)</f>
        <v>M</v>
      </c>
      <c r="G748" s="1407">
        <f>VLOOKUP($B748,[4]BOLETIM_SEL!$A:$H,7,0)</f>
        <v>688.13</v>
      </c>
      <c r="H748" s="1611">
        <f>+S_Complementares!AB56</f>
        <v>0</v>
      </c>
      <c r="I748" s="877">
        <f t="shared" si="233"/>
        <v>830.57</v>
      </c>
      <c r="J748" s="1612">
        <f t="shared" si="242"/>
        <v>0</v>
      </c>
      <c r="K748" s="2078">
        <f t="shared" ca="1" si="230"/>
        <v>0</v>
      </c>
      <c r="L748" s="1574">
        <f t="shared" ca="1" si="231"/>
        <v>0</v>
      </c>
      <c r="M748" s="1445"/>
      <c r="N748" s="833"/>
      <c r="O748" s="833"/>
      <c r="Q748" s="833"/>
      <c r="R748" s="833"/>
      <c r="S748" s="833"/>
      <c r="T748" s="833"/>
      <c r="U748" s="833"/>
      <c r="V748" s="833"/>
      <c r="W748" s="833"/>
      <c r="X748" s="833"/>
    </row>
    <row r="749" spans="1:24" s="813" customFormat="1" ht="24.95" hidden="1" customHeight="1" x14ac:dyDescent="0.15">
      <c r="A749" s="2081"/>
      <c r="B749" s="834"/>
      <c r="C749" s="2"/>
      <c r="D749" s="1452" t="s">
        <v>1830</v>
      </c>
      <c r="E749" s="2"/>
      <c r="F749" s="2"/>
      <c r="G749" s="1407"/>
      <c r="H749" s="2"/>
      <c r="I749" s="2"/>
      <c r="J749" s="839" t="str">
        <f>IF(J750=0,"-","")</f>
        <v>-</v>
      </c>
      <c r="K749" s="2078"/>
      <c r="L749" s="1574"/>
      <c r="M749" s="1445"/>
      <c r="N749" s="833"/>
      <c r="O749" s="833"/>
      <c r="Q749" s="833"/>
      <c r="R749" s="833"/>
      <c r="S749" s="833"/>
      <c r="T749" s="833"/>
      <c r="U749" s="833"/>
      <c r="V749" s="833"/>
      <c r="W749" s="833"/>
      <c r="X749" s="833"/>
    </row>
    <row r="750" spans="1:24" s="813" customFormat="1" ht="30" hidden="1" customHeight="1" x14ac:dyDescent="0.15">
      <c r="A750" s="2081">
        <f ca="1">+IF(H750&gt;0,A748+0.01,A748)</f>
        <v>9.0499999999999989</v>
      </c>
      <c r="B750" s="834">
        <v>100947</v>
      </c>
      <c r="C750" s="2" t="str">
        <f>VLOOKUP($B750,[4]BOLETIM_SEL!$A:$H,2,0)</f>
        <v>SINAPI</v>
      </c>
      <c r="D750" s="315" t="str">
        <f>VLOOKUP($B750,[4]BOLETIM_SEL!$A:$H,4,0)</f>
        <v>Transporte com caminhão carroceria 9t, em via urbana pavimentada, DMT até 30,00 km (unidade: txkm). AF_07/2020</v>
      </c>
      <c r="E750" s="2">
        <f>+Dados_DMT!$B$13</f>
        <v>100</v>
      </c>
      <c r="F750" s="2" t="str">
        <f>VLOOKUP($B750,[4]BOLETIM_SEL!$A:$H,6,0)</f>
        <v>TXKM</v>
      </c>
      <c r="G750" s="1407">
        <f>VLOOKUP($B750,[4]BOLETIM_SEL!$A:$H,7,0)</f>
        <v>1.96</v>
      </c>
      <c r="H750" s="1611">
        <f>ROUND(S_Complementares!AB62*E750,2)</f>
        <v>0</v>
      </c>
      <c r="I750" s="877">
        <f>+TRUNC(G750*(1+$J$5),2)</f>
        <v>2.36</v>
      </c>
      <c r="J750" s="1612">
        <f>TRUNC(H750*I750,2)</f>
        <v>0</v>
      </c>
      <c r="K750" s="2078">
        <f ca="1">J750/J$967</f>
        <v>0</v>
      </c>
      <c r="L750" s="1574">
        <f ca="1">J750/$J$719</f>
        <v>0</v>
      </c>
      <c r="M750" s="1445"/>
      <c r="N750" s="833"/>
      <c r="O750" s="833"/>
      <c r="Q750" s="833"/>
      <c r="R750" s="833"/>
      <c r="S750" s="833"/>
      <c r="T750" s="833"/>
      <c r="U750" s="833"/>
      <c r="V750" s="833"/>
      <c r="W750" s="833"/>
      <c r="X750" s="833"/>
    </row>
    <row r="751" spans="1:24" s="813" customFormat="1" ht="24.95" customHeight="1" x14ac:dyDescent="0.15">
      <c r="A751" s="2081"/>
      <c r="B751" s="834"/>
      <c r="C751" s="834"/>
      <c r="D751" s="835"/>
      <c r="E751" s="2"/>
      <c r="F751" s="834"/>
      <c r="G751" s="1821"/>
      <c r="H751" s="1"/>
      <c r="I751" s="877"/>
      <c r="J751" s="839" t="str">
        <f ca="1">IF(J719=0,0,"")</f>
        <v/>
      </c>
      <c r="K751" s="2078"/>
      <c r="L751" s="1574"/>
      <c r="M751" s="1446"/>
      <c r="N751" s="833"/>
      <c r="O751" s="833"/>
      <c r="Q751" s="833"/>
      <c r="R751" s="833"/>
      <c r="S751" s="833"/>
      <c r="T751" s="833"/>
      <c r="U751" s="833"/>
      <c r="V751" s="833"/>
      <c r="W751" s="833"/>
      <c r="X751" s="833"/>
    </row>
    <row r="752" spans="1:24" s="833" customFormat="1" ht="24.95" customHeight="1" x14ac:dyDescent="0.15">
      <c r="A752" s="2082">
        <f ca="1">IF(J752&gt;0,INT(A750)+1,IF(J752=0,INT(A750),0))</f>
        <v>10</v>
      </c>
      <c r="B752" s="1633"/>
      <c r="C752" s="1633"/>
      <c r="D752" s="1634" t="s">
        <v>267</v>
      </c>
      <c r="E752" s="1828"/>
      <c r="F752" s="1635"/>
      <c r="G752" s="1835" t="s">
        <v>2416</v>
      </c>
      <c r="H752" s="1637"/>
      <c r="I752" s="1640" t="str">
        <f ca="1">CONCATENATE("SUB-TOTAL ",A752)</f>
        <v>SUB-TOTAL 10</v>
      </c>
      <c r="J752" s="1639">
        <f>SUM(J753:J794)</f>
        <v>1060978.94</v>
      </c>
      <c r="K752" s="2079">
        <f t="shared" ref="K752:K784" ca="1" si="243">J752/J$967</f>
        <v>7.9173646000650341E-2</v>
      </c>
      <c r="L752" s="1610">
        <f t="shared" ref="L752:L759" si="244">+J752/$J$752</f>
        <v>1</v>
      </c>
    </row>
    <row r="753" spans="1:24" s="813" customFormat="1" ht="50.1" hidden="1" customHeight="1" x14ac:dyDescent="0.15">
      <c r="A753" s="2081">
        <f t="shared" ref="A753:A784" ca="1" si="245">+IF(H753&gt;0,A752+0.01,A752)</f>
        <v>10</v>
      </c>
      <c r="B753" s="865">
        <v>90099</v>
      </c>
      <c r="C753" s="2" t="str">
        <f>+VLOOKUP($B753,[4]BOLETIM_SEL!$A:$H,2,0)</f>
        <v>SINAPI</v>
      </c>
      <c r="D753" s="315" t="str">
        <f>+VLOOKUP($B753,[4]BOLETIM_SEL!$A:$H,4,0)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753" s="2"/>
      <c r="F753" s="2" t="str">
        <f>+VLOOKUP($B753,[4]BOLETIM_SEL!$A:$H,6,0)</f>
        <v>M3</v>
      </c>
      <c r="G753" s="1407">
        <f>+VLOOKUP($B753,[4]BOLETIM_SEL!$A:$H,7,0)</f>
        <v>14.49</v>
      </c>
      <c r="H753" s="1611">
        <f>+Passeio!Z230</f>
        <v>0</v>
      </c>
      <c r="I753" s="877">
        <f>+TRUNC(G753*(1+$J$5),2)</f>
        <v>17.48</v>
      </c>
      <c r="J753" s="1612">
        <f t="shared" ref="J753:J759" si="246">TRUNC(H753*I753,2)</f>
        <v>0</v>
      </c>
      <c r="K753" s="2078">
        <f t="shared" ca="1" si="243"/>
        <v>0</v>
      </c>
      <c r="L753" s="1574">
        <f t="shared" si="244"/>
        <v>0</v>
      </c>
      <c r="M753" s="1445" t="str">
        <f>+VLOOKUP($B753,[4]BOLETIM_SEL!$A:$H,5,0)</f>
        <v>H &lt; 1,50
alta Interferência</v>
      </c>
      <c r="N753" s="833"/>
      <c r="O753" s="833"/>
      <c r="Q753" s="833"/>
      <c r="R753" s="833"/>
      <c r="S753" s="833"/>
      <c r="T753" s="833"/>
      <c r="U753" s="833"/>
      <c r="V753" s="833"/>
      <c r="W753" s="833"/>
      <c r="X753" s="833"/>
    </row>
    <row r="754" spans="1:24" s="813" customFormat="1" ht="50.1" hidden="1" customHeight="1" x14ac:dyDescent="0.15">
      <c r="A754" s="2081">
        <f t="shared" ca="1" si="245"/>
        <v>10</v>
      </c>
      <c r="B754" s="865">
        <v>101230</v>
      </c>
      <c r="C754" s="2" t="str">
        <f>+VLOOKUP($B754,[4]BOLETIM_SEL!$A:$H,2,0)</f>
        <v>SINAPI</v>
      </c>
      <c r="D754" s="315" t="str">
        <f>+VLOOKUP($B754,[4]BOLETIM_SEL!$A:$H,4,0)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754" s="2"/>
      <c r="F754" s="2" t="str">
        <f>+VLOOKUP($B754,[4]BOLETIM_SEL!$A:$H,6,0)</f>
        <v>M3</v>
      </c>
      <c r="G754" s="1407">
        <f>VLOOKUP($B754,[4]BOLETIM_SEL!$A:$H,7,0)</f>
        <v>10.029999999999999</v>
      </c>
      <c r="H754" s="1611">
        <f>IF(H755=0,Passeio!Z176,0)</f>
        <v>0</v>
      </c>
      <c r="I754" s="877">
        <f>+TRUNC(G754*(1+$J$5),2)</f>
        <v>12.1</v>
      </c>
      <c r="J754" s="1612">
        <f t="shared" si="246"/>
        <v>0</v>
      </c>
      <c r="K754" s="2078">
        <f t="shared" ca="1" si="243"/>
        <v>0</v>
      </c>
      <c r="L754" s="1574">
        <f t="shared" si="244"/>
        <v>0</v>
      </c>
      <c r="M754" s="1445"/>
      <c r="N754" s="833"/>
      <c r="O754" s="833"/>
      <c r="Q754" s="833"/>
      <c r="R754" s="833"/>
      <c r="S754" s="833"/>
      <c r="T754" s="833"/>
      <c r="U754" s="833"/>
      <c r="V754" s="833"/>
      <c r="W754" s="833"/>
      <c r="X754" s="833"/>
    </row>
    <row r="755" spans="1:24" s="813" customFormat="1" ht="39.950000000000003" hidden="1" customHeight="1" x14ac:dyDescent="0.15">
      <c r="A755" s="2081">
        <f t="shared" ca="1" si="245"/>
        <v>10</v>
      </c>
      <c r="B755" s="865">
        <v>6079</v>
      </c>
      <c r="C755" s="2" t="str">
        <f>+VLOOKUP($B755,[4]BOLETIM_SEL!$A:$H,2,0)</f>
        <v>COTAÇÃO - SINAPI</v>
      </c>
      <c r="D755" s="315" t="str">
        <f>+VLOOKUP($B755,[4]BOLETIM_SEL!$A:$H,4,0)</f>
        <v>Argila, argila vermelha ou argila arenosa (retirada na jazida, sem transporte)</v>
      </c>
      <c r="E755" s="2230" t="s">
        <v>2647</v>
      </c>
      <c r="F755" s="2" t="str">
        <f>+VLOOKUP($B755,[4]BOLETIM_SEL!$A:$H,6,0)</f>
        <v xml:space="preserve">M3    </v>
      </c>
      <c r="G755" s="1407">
        <f>+VLOOKUP($B755,[4]BOLETIM_SEL!$A:$H,7,0)</f>
        <v>33.700000000000003</v>
      </c>
      <c r="H755" s="1611">
        <f>IF(M755="COMERCIAL",Passeio!Z176,0)</f>
        <v>0</v>
      </c>
      <c r="I755" s="2231">
        <f t="shared" ref="I755" si="247">TRUNC(G755*(1+$J$6),2)</f>
        <v>38.840000000000003</v>
      </c>
      <c r="J755" s="1612">
        <f t="shared" si="246"/>
        <v>0</v>
      </c>
      <c r="K755" s="2078">
        <f t="shared" ca="1" si="243"/>
        <v>0</v>
      </c>
      <c r="L755" s="1574">
        <f t="shared" si="244"/>
        <v>0</v>
      </c>
      <c r="M755" s="1589" t="s">
        <v>410</v>
      </c>
      <c r="N755" s="833"/>
      <c r="O755" s="833"/>
      <c r="Q755" s="833"/>
      <c r="R755" s="833"/>
      <c r="S755" s="833"/>
      <c r="T755" s="833"/>
      <c r="U755" s="833"/>
      <c r="V755" s="833"/>
      <c r="W755" s="833"/>
      <c r="X755" s="833"/>
    </row>
    <row r="756" spans="1:24" s="813" customFormat="1" ht="39.950000000000003" hidden="1" customHeight="1" x14ac:dyDescent="0.15">
      <c r="A756" s="2081">
        <f t="shared" ca="1" si="245"/>
        <v>10</v>
      </c>
      <c r="B756" s="865">
        <v>100324</v>
      </c>
      <c r="C756" s="2" t="str">
        <f>+VLOOKUP($B756,[4]BOLETIM_SEL!$A:$H,2,0)</f>
        <v>SINAPI</v>
      </c>
      <c r="D756" s="315" t="str">
        <f>+VLOOKUP($B756,[4]BOLETIM_SEL!$A:$H,4,0)</f>
        <v>Lastro com material granular (pedra britada n.1 e pedra britada n.2), aplicado em pisos ou radiers, espessura de *10 cm*. AF_07/2019</v>
      </c>
      <c r="E756" s="2"/>
      <c r="F756" s="2" t="str">
        <f>+VLOOKUP($B756,[4]BOLETIM_SEL!$A:$H,6,0)</f>
        <v>M3</v>
      </c>
      <c r="G756" s="1407">
        <f>+VLOOKUP($B756,[4]BOLETIM_SEL!$A:$H,7,0)</f>
        <v>141.04</v>
      </c>
      <c r="H756" s="1611">
        <f>Passeio!Z166+Passeio!Z232</f>
        <v>0</v>
      </c>
      <c r="I756" s="877">
        <f t="shared" ref="I756:I784" si="248">+TRUNC(G756*(1+$J$5),2)</f>
        <v>170.23</v>
      </c>
      <c r="J756" s="1612">
        <f t="shared" si="246"/>
        <v>0</v>
      </c>
      <c r="K756" s="2078">
        <f t="shared" ca="1" si="243"/>
        <v>0</v>
      </c>
      <c r="L756" s="1574">
        <f t="shared" si="244"/>
        <v>0</v>
      </c>
      <c r="M756" s="1445"/>
      <c r="N756" s="1655" t="s">
        <v>1962</v>
      </c>
      <c r="O756" s="1655" t="s">
        <v>1988</v>
      </c>
      <c r="Q756" s="833"/>
      <c r="R756" s="833"/>
      <c r="S756" s="833"/>
      <c r="T756" s="833"/>
      <c r="U756" s="833"/>
      <c r="V756" s="833"/>
      <c r="W756" s="833"/>
      <c r="X756" s="833"/>
    </row>
    <row r="757" spans="1:24" s="813" customFormat="1" ht="30" hidden="1" customHeight="1" x14ac:dyDescent="0.15">
      <c r="A757" s="2081">
        <f t="shared" ca="1" si="245"/>
        <v>10</v>
      </c>
      <c r="B757" s="865">
        <v>98524</v>
      </c>
      <c r="C757" s="2" t="str">
        <f>+VLOOKUP($B757,[4]BOLETIM_SEL!$A:$H,2,0)</f>
        <v>SINAPI</v>
      </c>
      <c r="D757" s="315" t="str">
        <f>+VLOOKUP($B757,[4]BOLETIM_SEL!$A:$H,4,0)</f>
        <v>Limpeza manual de vegetação em terreno com enxada. AF_05/2018</v>
      </c>
      <c r="E757" s="2"/>
      <c r="F757" s="2" t="str">
        <f>+VLOOKUP($B757,[4]BOLETIM_SEL!$A:$H,6,0)</f>
        <v>M2</v>
      </c>
      <c r="G757" s="1407">
        <f>+VLOOKUP($B757,[4]BOLETIM_SEL!$A:$H,7,0)</f>
        <v>2.81</v>
      </c>
      <c r="H757" s="1611">
        <f>+Passeio!Z24</f>
        <v>0</v>
      </c>
      <c r="I757" s="877">
        <f t="shared" ref="I757" si="249">+TRUNC(G757*(1+$J$5),2)</f>
        <v>3.39</v>
      </c>
      <c r="J757" s="1612">
        <f t="shared" si="246"/>
        <v>0</v>
      </c>
      <c r="K757" s="2078">
        <f t="shared" ca="1" si="243"/>
        <v>0</v>
      </c>
      <c r="L757" s="1574">
        <f t="shared" ref="L757" si="250">+J757/$J$752</f>
        <v>0</v>
      </c>
      <c r="M757" s="1445"/>
      <c r="N757" s="1655" t="s">
        <v>1962</v>
      </c>
      <c r="O757" s="1655" t="s">
        <v>1988</v>
      </c>
      <c r="Q757" s="833"/>
      <c r="R757" s="833"/>
      <c r="S757" s="833"/>
      <c r="T757" s="833"/>
      <c r="U757" s="833"/>
      <c r="V757" s="833"/>
      <c r="W757" s="833"/>
      <c r="X757" s="833"/>
    </row>
    <row r="758" spans="1:24" s="813" customFormat="1" ht="39.950000000000003" hidden="1" customHeight="1" x14ac:dyDescent="0.15">
      <c r="A758" s="2081">
        <f t="shared" ca="1" si="245"/>
        <v>10</v>
      </c>
      <c r="B758" s="865">
        <v>100975</v>
      </c>
      <c r="C758" s="2" t="str">
        <f>+VLOOKUP($B758,[4]BOLETIM_SEL!$A:$H,2,0)</f>
        <v>SINAPI</v>
      </c>
      <c r="D758" s="315" t="str">
        <f>+VLOOKUP($B758,[4]BOLETIM_SEL!$A:$H,4,0)</f>
        <v>Carga, manobra e descarga de solos e materiais granulares em caminhão basculante 14 m3 - carga com pá carregadeira (capacidade da caçamba: 1,70 a 2,80 m3 / potência: 128 HP) e descarga livre (unidade: m3). AF_07/2020</v>
      </c>
      <c r="E758" s="2"/>
      <c r="F758" s="2" t="str">
        <f>+VLOOKUP($B758,[4]BOLETIM_SEL!$A:$H,6,0)</f>
        <v>M3</v>
      </c>
      <c r="G758" s="1407">
        <f>+VLOOKUP($B758,[4]BOLETIM_SEL!$A:$H,7,0)</f>
        <v>7.84</v>
      </c>
      <c r="H758" s="1611">
        <f>+Passeio!Z25</f>
        <v>0</v>
      </c>
      <c r="I758" s="877">
        <f t="shared" ref="I758" si="251">+TRUNC(G758*(1+$J$5),2)</f>
        <v>9.4600000000000009</v>
      </c>
      <c r="J758" s="1612">
        <f t="shared" si="246"/>
        <v>0</v>
      </c>
      <c r="K758" s="2078">
        <f t="shared" ca="1" si="243"/>
        <v>0</v>
      </c>
      <c r="L758" s="1574">
        <f t="shared" ref="L758" si="252">+J758/$J$752</f>
        <v>0</v>
      </c>
      <c r="M758" s="1445"/>
      <c r="N758" s="1655" t="s">
        <v>1962</v>
      </c>
      <c r="O758" s="1655" t="s">
        <v>1988</v>
      </c>
      <c r="Q758" s="833"/>
      <c r="R758" s="833"/>
      <c r="S758" s="833"/>
      <c r="T758" s="833"/>
      <c r="U758" s="833"/>
      <c r="V758" s="833"/>
      <c r="W758" s="833"/>
      <c r="X758" s="833"/>
    </row>
    <row r="759" spans="1:24" s="813" customFormat="1" ht="30" customHeight="1" x14ac:dyDescent="0.15">
      <c r="A759" s="2081">
        <f t="shared" ca="1" si="245"/>
        <v>10.01</v>
      </c>
      <c r="B759" s="865">
        <v>97084</v>
      </c>
      <c r="C759" s="2" t="str">
        <f>+VLOOKUP($B759,[4]BOLETIM_SEL!$A:$H,2,0)</f>
        <v>SINAPI</v>
      </c>
      <c r="D759" s="315" t="str">
        <f>+VLOOKUP($B759,[4]BOLETIM_SEL!$A:$H,4,0)</f>
        <v>Compactação mecânica de solo para execução de radier, com compactador de solos tipo placa vibratória. AF_09/2021</v>
      </c>
      <c r="E759" s="2"/>
      <c r="F759" s="2" t="str">
        <f>+VLOOKUP($B759,[4]BOLETIM_SEL!$A:$H,6,0)</f>
        <v>M2</v>
      </c>
      <c r="G759" s="1407">
        <f>+VLOOKUP($B759,[4]BOLETIM_SEL!$A:$H,7,0)</f>
        <v>0.6</v>
      </c>
      <c r="H759" s="1611">
        <f>+Passeio!Z170+Passeio!Z231</f>
        <v>15489.17</v>
      </c>
      <c r="I759" s="877">
        <f t="shared" si="248"/>
        <v>0.72</v>
      </c>
      <c r="J759" s="1612">
        <f t="shared" si="246"/>
        <v>11152.2</v>
      </c>
      <c r="K759" s="2078">
        <f t="shared" ca="1" si="243"/>
        <v>8.3221287590162047E-4</v>
      </c>
      <c r="L759" s="1574">
        <f t="shared" si="244"/>
        <v>1.0511235972318169E-2</v>
      </c>
      <c r="M759" s="1445"/>
      <c r="N759" s="1661">
        <f>VLOOKUP($B759,[4]BOLETIM_SEL!$A:$H,3,0)</f>
        <v>52.63</v>
      </c>
      <c r="O759" s="1652">
        <f>+H759/N759</f>
        <v>294.30305909177275</v>
      </c>
      <c r="Q759" s="833"/>
      <c r="R759" s="833"/>
      <c r="S759" s="833"/>
      <c r="T759" s="833"/>
      <c r="U759" s="833"/>
      <c r="V759" s="833"/>
      <c r="W759" s="833"/>
      <c r="X759" s="833"/>
    </row>
    <row r="760" spans="1:24" s="813" customFormat="1" ht="39.950000000000003" customHeight="1" x14ac:dyDescent="0.15">
      <c r="A760" s="2081">
        <f t="shared" ca="1" si="245"/>
        <v>10.02</v>
      </c>
      <c r="B760" s="2" t="s">
        <v>2446</v>
      </c>
      <c r="C760" s="2" t="str">
        <f>+VLOOKUP($B760,[4]BOLETIM_SEL!$A:$H,2,0)</f>
        <v>COMPOSIÇÃO</v>
      </c>
      <c r="D760" s="315" t="str">
        <f>+VLOOKUP($B760,[4]BOLETIM_SEL!$A:$H,4,0)</f>
        <v>Piso tátil de alerta ou direcional com lajota cimentícia  40x40x2,5cm, nas cores da NBR 16537, assentado com argamassa de cimento e areia 1:3</v>
      </c>
      <c r="E760" s="2"/>
      <c r="F760" s="2" t="str">
        <f>+VLOOKUP($B760,[4]BOLETIM_SEL!$A:$H,6,0)</f>
        <v>M</v>
      </c>
      <c r="G760" s="1407">
        <f>+VLOOKUP($B760,[4]BOLETIM_SEL!$A:$H,7,0)</f>
        <v>61.7</v>
      </c>
      <c r="H760" s="1611">
        <f>+Passeio!Z156+Passeio!Z157</f>
        <v>702</v>
      </c>
      <c r="I760" s="877">
        <f t="shared" si="248"/>
        <v>74.47</v>
      </c>
      <c r="J760" s="1612">
        <f t="shared" ref="J760:J794" si="253">TRUNC(H760*I760,2)</f>
        <v>52277.94</v>
      </c>
      <c r="K760" s="2078">
        <f t="shared" ca="1" si="243"/>
        <v>3.90114728875131E-3</v>
      </c>
      <c r="L760" s="1574">
        <f t="shared" ref="L760:L794" si="254">+J760/$J$752</f>
        <v>4.9273306028110232E-2</v>
      </c>
      <c r="M760" s="1445"/>
      <c r="N760" s="1661"/>
      <c r="O760" s="1652"/>
      <c r="Q760" s="833"/>
      <c r="R760" s="833"/>
      <c r="S760" s="833"/>
      <c r="T760" s="833"/>
      <c r="U760" s="833"/>
      <c r="V760" s="833"/>
      <c r="W760" s="833"/>
      <c r="X760" s="833"/>
    </row>
    <row r="761" spans="1:24" s="813" customFormat="1" ht="39.950000000000003" customHeight="1" x14ac:dyDescent="0.15">
      <c r="A761" s="2081">
        <f t="shared" ca="1" si="245"/>
        <v>10.029999999999999</v>
      </c>
      <c r="B761" s="834">
        <v>94962</v>
      </c>
      <c r="C761" s="2" t="str">
        <f>+VLOOKUP($B761,[4]BOLETIM_SEL!$A:$H,2,0)</f>
        <v>SINAPI</v>
      </c>
      <c r="D761" s="315" t="str">
        <f>+VLOOKUP($B761,[4]BOLETIM_SEL!$A:$H,4,0)</f>
        <v>Concreto magro para lastro, traço 1:4,5:4,5 (cimento/ areia média/ brita 1) - preparo mecânico com betoneira 400 l. AF_07/2016</v>
      </c>
      <c r="E761" s="2"/>
      <c r="F761" s="2" t="str">
        <f>+VLOOKUP($B761,[4]BOLETIM_SEL!$A:$H,6,0)</f>
        <v>M3</v>
      </c>
      <c r="G761" s="1407">
        <f>+VLOOKUP($B761,[4]BOLETIM_SEL!$A:$H,7,0)</f>
        <v>380.85</v>
      </c>
      <c r="H761" s="1611">
        <f>+Passeio!Z155</f>
        <v>8.42</v>
      </c>
      <c r="I761" s="877">
        <f t="shared" ref="I761" si="255">+TRUNC(G761*(1+$J$5),2)</f>
        <v>459.68</v>
      </c>
      <c r="J761" s="1612">
        <f t="shared" ref="J761" si="256">TRUNC(H761*I761,2)</f>
        <v>3870.5</v>
      </c>
      <c r="K761" s="2078">
        <f t="shared" ca="1" si="243"/>
        <v>2.8882910422851291E-4</v>
      </c>
      <c r="L761" s="1574">
        <f t="shared" ref="L761" si="257">+J761/$J$752</f>
        <v>3.6480460205930198E-3</v>
      </c>
      <c r="M761" s="1445"/>
      <c r="N761" s="1661"/>
      <c r="O761" s="1652"/>
      <c r="Q761" s="833"/>
      <c r="R761" s="833"/>
      <c r="S761" s="833"/>
      <c r="T761" s="833"/>
      <c r="U761" s="833"/>
      <c r="V761" s="833"/>
      <c r="W761" s="833"/>
      <c r="X761" s="833"/>
    </row>
    <row r="762" spans="1:24" s="813" customFormat="1" ht="39.950000000000003" customHeight="1" x14ac:dyDescent="0.15">
      <c r="A762" s="2081">
        <f t="shared" ca="1" si="245"/>
        <v>10.039999999999999</v>
      </c>
      <c r="B762" s="834">
        <f>IF(M762="USINADO",94991,94990)</f>
        <v>94991</v>
      </c>
      <c r="C762" s="2" t="str">
        <f>+VLOOKUP($B762,[4]BOLETIM_SEL!$A:$H,2,0)</f>
        <v>SINAPI</v>
      </c>
      <c r="D762" s="315" t="str">
        <f>+VLOOKUP($B762,[4]BOLETIM_SEL!$A:$H,4,0)</f>
        <v>Execução de passeio (calçada) ou piso de concreto com concreto moldado in loco, usinado, acabamento convencional, não armado. AF_07/2016</v>
      </c>
      <c r="E762" s="2"/>
      <c r="F762" s="2" t="str">
        <f>+VLOOKUP($B762,[4]BOLETIM_SEL!$A:$H,6,0)</f>
        <v>M3</v>
      </c>
      <c r="G762" s="1407">
        <f>+VLOOKUP($B762,[4]BOLETIM_SEL!$A:$H,7,0)</f>
        <v>772.34</v>
      </c>
      <c r="H762" s="1611">
        <f>+Passeio!Z164</f>
        <v>1064.58</v>
      </c>
      <c r="I762" s="877">
        <f t="shared" si="248"/>
        <v>932.21</v>
      </c>
      <c r="J762" s="1612">
        <f t="shared" si="253"/>
        <v>992412.12</v>
      </c>
      <c r="K762" s="2078">
        <f t="shared" ca="1" si="243"/>
        <v>7.4056970325570209E-2</v>
      </c>
      <c r="L762" s="1574">
        <f t="shared" si="254"/>
        <v>0.93537400469042298</v>
      </c>
      <c r="M762" s="1589" t="s">
        <v>1857</v>
      </c>
      <c r="N762" s="1661"/>
      <c r="O762" s="1652"/>
      <c r="Q762" s="842"/>
      <c r="R762" s="842"/>
      <c r="S762" s="842"/>
      <c r="T762" s="842"/>
      <c r="U762" s="842"/>
      <c r="V762" s="842"/>
      <c r="W762" s="842"/>
      <c r="X762" s="833"/>
    </row>
    <row r="763" spans="1:24" s="813" customFormat="1" ht="39.950000000000003" hidden="1" customHeight="1" x14ac:dyDescent="0.15">
      <c r="A763" s="2081">
        <f t="shared" ca="1" si="245"/>
        <v>10.039999999999999</v>
      </c>
      <c r="B763" s="834">
        <f>IF(M763="USINADO",94995,94994)</f>
        <v>94994</v>
      </c>
      <c r="C763" s="2" t="str">
        <f>+VLOOKUP($B763,[4]BOLETIM_SEL!$A:$H,2,0)</f>
        <v>SINAPI</v>
      </c>
      <c r="D763" s="315" t="str">
        <f>+VLOOKUP($B763,[4]BOLETIM_SEL!$A:$H,4,0)</f>
        <v>Execução de passeio (calçada) ou piso de concreto com concreto moldado in loco, feito em obra, acabamento convencional, espessura 8 cm, armado. AF_07/2016</v>
      </c>
      <c r="E763" s="2"/>
      <c r="F763" s="2" t="str">
        <f>+VLOOKUP($B763,[4]BOLETIM_SEL!$A:$H,6,0)</f>
        <v>M2</v>
      </c>
      <c r="G763" s="1407">
        <f>+VLOOKUP($B763,[4]BOLETIM_SEL!$A:$H,7,0)</f>
        <v>93.39</v>
      </c>
      <c r="H763" s="1611">
        <f>+Passeio!Z168</f>
        <v>0</v>
      </c>
      <c r="I763" s="877">
        <f t="shared" si="248"/>
        <v>112.72</v>
      </c>
      <c r="J763" s="1612">
        <f t="shared" si="253"/>
        <v>0</v>
      </c>
      <c r="K763" s="2078">
        <f t="shared" ca="1" si="243"/>
        <v>0</v>
      </c>
      <c r="L763" s="1574">
        <f t="shared" si="254"/>
        <v>0</v>
      </c>
      <c r="M763" s="1589" t="s">
        <v>1858</v>
      </c>
      <c r="N763" s="1661">
        <f>VLOOKUP($B763,[4]BOLETIM_SEL!$A:$H,3,0)</f>
        <v>0</v>
      </c>
      <c r="O763" s="1652"/>
      <c r="Q763" s="842"/>
      <c r="R763" s="842"/>
      <c r="S763" s="842"/>
      <c r="T763" s="842"/>
      <c r="U763" s="842"/>
      <c r="V763" s="842"/>
      <c r="W763" s="842"/>
      <c r="X763" s="833"/>
    </row>
    <row r="764" spans="1:24" s="813" customFormat="1" ht="39.950000000000003" hidden="1" customHeight="1" x14ac:dyDescent="0.15">
      <c r="A764" s="2081">
        <f t="shared" ca="1" si="245"/>
        <v>10.039999999999999</v>
      </c>
      <c r="B764" s="834" t="s">
        <v>1859</v>
      </c>
      <c r="C764" s="2" t="str">
        <f>+VLOOKUP($B764,[4]BOLETIM_SEL!$A:$H,2,0)</f>
        <v>COMPOSIÇÃO</v>
      </c>
      <c r="D764" s="315" t="str">
        <f>+VLOOKUP($B764,[4]BOLETIM_SEL!$A:$H,4,0)</f>
        <v>Acabamento sobre superfícies em concreto, argamassa e outros com pigmento com 210g/m² de pó para coloração (REF. SINAPI COD. 73676)</v>
      </c>
      <c r="E764" s="2"/>
      <c r="F764" s="2" t="str">
        <f>+VLOOKUP($B764,[4]BOLETIM_SEL!$A:$H,6,0)</f>
        <v>M2</v>
      </c>
      <c r="G764" s="1407"/>
      <c r="H764" s="1611"/>
      <c r="I764" s="877">
        <f t="shared" si="248"/>
        <v>0</v>
      </c>
      <c r="J764" s="1612">
        <f t="shared" si="253"/>
        <v>0</v>
      </c>
      <c r="K764" s="2078">
        <f t="shared" ca="1" si="243"/>
        <v>0</v>
      </c>
      <c r="L764" s="1574">
        <f t="shared" si="254"/>
        <v>0</v>
      </c>
      <c r="M764" s="1445"/>
      <c r="N764" s="833"/>
      <c r="O764" s="842"/>
      <c r="Q764" s="842"/>
      <c r="R764" s="842"/>
      <c r="S764" s="842"/>
      <c r="T764" s="842"/>
      <c r="U764" s="842"/>
      <c r="V764" s="842"/>
      <c r="W764" s="842"/>
      <c r="X764" s="833"/>
    </row>
    <row r="765" spans="1:24" s="813" customFormat="1" ht="30" hidden="1" customHeight="1" x14ac:dyDescent="0.15">
      <c r="A765" s="2081">
        <f t="shared" ca="1" si="245"/>
        <v>10.039999999999999</v>
      </c>
      <c r="B765" s="834">
        <f>IF(M765="RETANGULAR",92396,92402)</f>
        <v>92396</v>
      </c>
      <c r="C765" s="2" t="str">
        <f>+VLOOKUP($B765,[4]BOLETIM_SEL!$A:$H,2,0)</f>
        <v>SINAPI</v>
      </c>
      <c r="D765" s="315" t="str">
        <f>+VLOOKUP($B765,[4]BOLETIM_SEL!$A:$H,4,0)</f>
        <v>Execução de passeio em piso intertravado, com bloco retangular cor natural de 20 x 10 cm, espessura 6 cm. AF_12/2015</v>
      </c>
      <c r="E765" s="2"/>
      <c r="F765" s="2" t="str">
        <f>+VLOOKUP($B765,[4]BOLETIM_SEL!$A:$H,6,0)</f>
        <v>M2</v>
      </c>
      <c r="G765" s="1407">
        <f>+VLOOKUP($B765,[4]BOLETIM_SEL!$A:$H,7,0)</f>
        <v>75.260000000000005</v>
      </c>
      <c r="H765" s="1611">
        <f>+Passeio!Z30</f>
        <v>0</v>
      </c>
      <c r="I765" s="877">
        <f t="shared" ref="I765" si="258">+TRUNC(G765*(1+$J$5),2)</f>
        <v>90.83</v>
      </c>
      <c r="J765" s="1612">
        <f t="shared" ref="J765" si="259">TRUNC(H765*I765,2)</f>
        <v>0</v>
      </c>
      <c r="K765" s="2078">
        <f t="shared" ca="1" si="243"/>
        <v>0</v>
      </c>
      <c r="L765" s="1574">
        <f t="shared" ref="L765" si="260">+J765/$J$752</f>
        <v>0</v>
      </c>
      <c r="M765" s="1589" t="s">
        <v>2057</v>
      </c>
      <c r="N765" s="833"/>
      <c r="O765" s="842"/>
      <c r="Q765" s="842"/>
      <c r="R765" s="842"/>
      <c r="S765" s="842"/>
      <c r="T765" s="842"/>
      <c r="U765" s="842"/>
      <c r="V765" s="842"/>
      <c r="W765" s="842"/>
      <c r="X765" s="833"/>
    </row>
    <row r="766" spans="1:24" s="813" customFormat="1" ht="39.950000000000003" hidden="1" customHeight="1" x14ac:dyDescent="0.15">
      <c r="A766" s="2081">
        <f t="shared" ca="1" si="245"/>
        <v>10.039999999999999</v>
      </c>
      <c r="B766" s="834" t="s">
        <v>1861</v>
      </c>
      <c r="C766" s="2" t="str">
        <f>+VLOOKUP($B766,[4]BOLETIM_SEL!$A:$H,2,0)</f>
        <v>COMPOSIÇÃO</v>
      </c>
      <c r="D766" s="315" t="str">
        <f>+VLOOKUP($B766,[4]BOLETIM_SEL!$A:$H,4,0)</f>
        <v>Tampão fofo articulado, classe A15, carga máxima 1,5 T, 200 x 200 mm. Incluindo fornecimento, assentamento e requadro com argamassa</v>
      </c>
      <c r="E766" s="2"/>
      <c r="F766" s="2" t="str">
        <f>+VLOOKUP($B766,[4]BOLETIM_SEL!$A:$H,6,0)</f>
        <v xml:space="preserve">UN </v>
      </c>
      <c r="G766" s="1407">
        <f>+VLOOKUP($B766,[4]BOLETIM_SEL!$A:$H,7,0)</f>
        <v>126.78</v>
      </c>
      <c r="H766" s="1611">
        <f>+Passeio!Z200</f>
        <v>0</v>
      </c>
      <c r="I766" s="877">
        <f t="shared" si="248"/>
        <v>153.02000000000001</v>
      </c>
      <c r="J766" s="1612">
        <f t="shared" si="253"/>
        <v>0</v>
      </c>
      <c r="K766" s="2078">
        <f t="shared" ca="1" si="243"/>
        <v>0</v>
      </c>
      <c r="L766" s="1574">
        <f t="shared" si="254"/>
        <v>0</v>
      </c>
      <c r="M766" s="1445"/>
      <c r="N766" s="833"/>
      <c r="O766" s="833"/>
      <c r="Q766" s="833"/>
      <c r="R766" s="833"/>
      <c r="S766" s="833"/>
      <c r="T766" s="833"/>
      <c r="U766" s="833"/>
      <c r="V766" s="833"/>
      <c r="W766" s="833"/>
      <c r="X766" s="833"/>
    </row>
    <row r="767" spans="1:24" s="813" customFormat="1" ht="39.950000000000003" hidden="1" customHeight="1" x14ac:dyDescent="0.15">
      <c r="A767" s="2081">
        <f t="shared" ca="1" si="245"/>
        <v>10.039999999999999</v>
      </c>
      <c r="B767" s="834" t="s">
        <v>1862</v>
      </c>
      <c r="C767" s="2" t="str">
        <f>+VLOOKUP($B767,[4]BOLETIM_SEL!$A:$H,2,0)</f>
        <v>COMPOSIÇÃO</v>
      </c>
      <c r="D767" s="315" t="str">
        <f>+VLOOKUP($B767,[4]BOLETIM_SEL!$A:$H,4,0)</f>
        <v>Tampão fofo simples com base, classe A15, carga máxima 1,5 T, 300 x 300 mm. Incluindo fornecimento, assentamento e requadro com argamassa</v>
      </c>
      <c r="E767" s="2"/>
      <c r="F767" s="2" t="str">
        <f>+VLOOKUP($B767,[4]BOLETIM_SEL!$A:$H,6,0)</f>
        <v xml:space="preserve">UN </v>
      </c>
      <c r="G767" s="1407">
        <f>+VLOOKUP($B767,[4]BOLETIM_SEL!$A:$H,7,0)</f>
        <v>191.47</v>
      </c>
      <c r="H767" s="1611">
        <f>+Passeio!Z201</f>
        <v>0</v>
      </c>
      <c r="I767" s="877">
        <f t="shared" si="248"/>
        <v>231.1</v>
      </c>
      <c r="J767" s="1612">
        <f t="shared" si="253"/>
        <v>0</v>
      </c>
      <c r="K767" s="2078">
        <f t="shared" ca="1" si="243"/>
        <v>0</v>
      </c>
      <c r="L767" s="1574">
        <f t="shared" si="254"/>
        <v>0</v>
      </c>
      <c r="M767" s="1445"/>
      <c r="N767" s="833"/>
      <c r="O767" s="833"/>
      <c r="Q767" s="833"/>
      <c r="R767" s="833"/>
      <c r="S767" s="833"/>
      <c r="T767" s="833"/>
      <c r="U767" s="833"/>
      <c r="V767" s="833"/>
      <c r="W767" s="833"/>
      <c r="X767" s="833"/>
    </row>
    <row r="768" spans="1:24" s="813" customFormat="1" ht="39.950000000000003" hidden="1" customHeight="1" x14ac:dyDescent="0.15">
      <c r="A768" s="2081">
        <f t="shared" ca="1" si="245"/>
        <v>10.039999999999999</v>
      </c>
      <c r="B768" s="834" t="s">
        <v>1863</v>
      </c>
      <c r="C768" s="2" t="str">
        <f>+VLOOKUP($B768,[4]BOLETIM_SEL!$A:$H,2,0)</f>
        <v>COMPOSIÇÃO</v>
      </c>
      <c r="D768" s="315" t="str">
        <f>+VLOOKUP($B768,[4]BOLETIM_SEL!$A:$H,4,0)</f>
        <v>Tampão fofo simples com base, classe A15, carga máxima 1,5 T, 400 x 400 mm. Incluindo fornecimento, assentamento e requadro com argamassa</v>
      </c>
      <c r="E768" s="2"/>
      <c r="F768" s="2" t="str">
        <f>+VLOOKUP($B768,[4]BOLETIM_SEL!$A:$H,6,0)</f>
        <v xml:space="preserve">UN </v>
      </c>
      <c r="G768" s="1407">
        <f>+VLOOKUP($B768,[4]BOLETIM_SEL!$A:$H,7,0)</f>
        <v>277.87</v>
      </c>
      <c r="H768" s="1611">
        <f>+Passeio!Z202</f>
        <v>0</v>
      </c>
      <c r="I768" s="877">
        <f t="shared" si="248"/>
        <v>335.38</v>
      </c>
      <c r="J768" s="1612">
        <f t="shared" si="253"/>
        <v>0</v>
      </c>
      <c r="K768" s="2078">
        <f t="shared" ca="1" si="243"/>
        <v>0</v>
      </c>
      <c r="L768" s="1574">
        <f t="shared" si="254"/>
        <v>0</v>
      </c>
      <c r="M768" s="1445"/>
      <c r="N768" s="833"/>
      <c r="O768" s="833"/>
      <c r="Q768" s="833"/>
      <c r="R768" s="833"/>
      <c r="S768" s="833"/>
      <c r="T768" s="833"/>
      <c r="U768" s="833"/>
      <c r="V768" s="833"/>
      <c r="W768" s="833"/>
      <c r="X768" s="833"/>
    </row>
    <row r="769" spans="1:24" s="813" customFormat="1" ht="39.950000000000003" hidden="1" customHeight="1" x14ac:dyDescent="0.15">
      <c r="A769" s="2081">
        <f t="shared" ca="1" si="245"/>
        <v>10.039999999999999</v>
      </c>
      <c r="B769" s="834" t="s">
        <v>1872</v>
      </c>
      <c r="C769" s="2" t="str">
        <f>+VLOOKUP($B769,[4]BOLETIM_SEL!$A:$H,2,0)</f>
        <v>COMPOSIÇÃO</v>
      </c>
      <c r="D769" s="315" t="str">
        <f>+VLOOKUP($B769,[4]BOLETIM_SEL!$A:$H,4,0)</f>
        <v>Tampão fofo simples com base, classe A15, carga máxima 1,5 T, 400 x 400 mm. Incluindo fornecimento, assentamento e requadro com argamassa</v>
      </c>
      <c r="E769" s="2"/>
      <c r="F769" s="2" t="str">
        <f>+VLOOKUP($B769,[4]BOLETIM_SEL!$A:$H,6,0)</f>
        <v xml:space="preserve">UN </v>
      </c>
      <c r="G769" s="1407">
        <f>+VLOOKUP($B769,[4]BOLETIM_SEL!$A:$H,7,0)</f>
        <v>284.52</v>
      </c>
      <c r="H769" s="1611">
        <f>+Passeio!Z203</f>
        <v>0</v>
      </c>
      <c r="I769" s="877">
        <f t="shared" si="248"/>
        <v>343.41</v>
      </c>
      <c r="J769" s="1612">
        <f t="shared" si="253"/>
        <v>0</v>
      </c>
      <c r="K769" s="2078">
        <f t="shared" ca="1" si="243"/>
        <v>0</v>
      </c>
      <c r="L769" s="1574">
        <f t="shared" si="254"/>
        <v>0</v>
      </c>
      <c r="M769" s="1445"/>
      <c r="N769" s="833"/>
      <c r="O769" s="833"/>
      <c r="Q769" s="833"/>
      <c r="R769" s="833"/>
      <c r="S769" s="833"/>
      <c r="T769" s="833"/>
      <c r="U769" s="833"/>
      <c r="V769" s="833"/>
      <c r="W769" s="833"/>
      <c r="X769" s="833"/>
    </row>
    <row r="770" spans="1:24" s="813" customFormat="1" ht="39.950000000000003" hidden="1" customHeight="1" x14ac:dyDescent="0.15">
      <c r="A770" s="2081">
        <f t="shared" ca="1" si="245"/>
        <v>10.039999999999999</v>
      </c>
      <c r="B770" s="834" t="s">
        <v>1864</v>
      </c>
      <c r="C770" s="2" t="str">
        <f>+VLOOKUP($B770,[4]BOLETIM_SEL!$A:$H,2,0)</f>
        <v>COMPOSIÇÃO</v>
      </c>
      <c r="D770" s="315" t="str">
        <f>+VLOOKUP($B770,[4]BOLETIM_SEL!$A:$H,4,0)</f>
        <v>Tampão fofo simples com base, classe A15, carga máxima 1,5 T, 400 x 600 mm. Incluindo fornecimento, assentamento e requadro com argamassa</v>
      </c>
      <c r="E770" s="2"/>
      <c r="F770" s="2" t="str">
        <f>+VLOOKUP($B770,[4]BOLETIM_SEL!$A:$H,6,0)</f>
        <v xml:space="preserve">UN </v>
      </c>
      <c r="G770" s="1407">
        <f>+VLOOKUP($B770,[4]BOLETIM_SEL!$A:$H,7,0)</f>
        <v>382.43</v>
      </c>
      <c r="H770" s="1611">
        <f>+Passeio!Z204</f>
        <v>0</v>
      </c>
      <c r="I770" s="877">
        <f t="shared" si="248"/>
        <v>461.59</v>
      </c>
      <c r="J770" s="1612">
        <f t="shared" si="253"/>
        <v>0</v>
      </c>
      <c r="K770" s="2078">
        <f t="shared" ca="1" si="243"/>
        <v>0</v>
      </c>
      <c r="L770" s="1574">
        <f t="shared" si="254"/>
        <v>0</v>
      </c>
      <c r="M770" s="1445"/>
      <c r="N770" s="833"/>
      <c r="O770" s="833"/>
      <c r="Q770" s="833"/>
      <c r="R770" s="833"/>
      <c r="S770" s="833"/>
      <c r="T770" s="833"/>
      <c r="U770" s="833"/>
      <c r="V770" s="833"/>
      <c r="W770" s="833"/>
      <c r="X770" s="833"/>
    </row>
    <row r="771" spans="1:24" s="813" customFormat="1" ht="30" hidden="1" customHeight="1" x14ac:dyDescent="0.15">
      <c r="A771" s="2081">
        <f t="shared" ca="1" si="245"/>
        <v>10.039999999999999</v>
      </c>
      <c r="B771" s="834">
        <v>101798</v>
      </c>
      <c r="C771" s="2" t="str">
        <f>+VLOOKUP($B771,[4]BOLETIM_SEL!$A:$H,2,0)</f>
        <v>SINAPI</v>
      </c>
      <c r="D771" s="315" t="str">
        <f>+VLOOKUP($B771,[4]BOLETIM_SEL!$A:$H,4,0)</f>
        <v>Tampão fofo p/ caixa R1 padrão telebrás completo - fornecimento e instalação</v>
      </c>
      <c r="E771" s="2"/>
      <c r="F771" s="2" t="str">
        <f>+VLOOKUP($B771,[4]BOLETIM_SEL!$A:$H,6,0)</f>
        <v>UN</v>
      </c>
      <c r="G771" s="1407">
        <f>+VLOOKUP($B771,[4]BOLETIM_SEL!$A:$H,7,0)</f>
        <v>363</v>
      </c>
      <c r="H771" s="1611">
        <f>+Passeio!Z205</f>
        <v>0</v>
      </c>
      <c r="I771" s="877">
        <f t="shared" si="248"/>
        <v>438.14</v>
      </c>
      <c r="J771" s="1612">
        <f t="shared" si="253"/>
        <v>0</v>
      </c>
      <c r="K771" s="2078">
        <f t="shared" ca="1" si="243"/>
        <v>0</v>
      </c>
      <c r="L771" s="1574">
        <f t="shared" si="254"/>
        <v>0</v>
      </c>
      <c r="M771" s="1445"/>
      <c r="N771" s="833"/>
      <c r="O771" s="833"/>
      <c r="Q771" s="833"/>
      <c r="R771" s="833"/>
      <c r="S771" s="833"/>
      <c r="T771" s="833"/>
      <c r="U771" s="833"/>
      <c r="V771" s="833"/>
      <c r="W771" s="833"/>
      <c r="X771" s="833"/>
    </row>
    <row r="772" spans="1:24" s="813" customFormat="1" ht="30" hidden="1" customHeight="1" x14ac:dyDescent="0.15">
      <c r="A772" s="2081">
        <f t="shared" ca="1" si="245"/>
        <v>10.039999999999999</v>
      </c>
      <c r="B772" s="834">
        <v>101799</v>
      </c>
      <c r="C772" s="2" t="str">
        <f>+VLOOKUP($B772,[4]BOLETIM_SEL!$A:$H,2,0)</f>
        <v>SINAPI</v>
      </c>
      <c r="D772" s="315" t="str">
        <f>+VLOOKUP($B772,[4]BOLETIM_SEL!$A:$H,4,0)</f>
        <v>tampão fofo p/ caixa R2 padrão telebrás completo - fornecimento e instalação</v>
      </c>
      <c r="E772" s="2"/>
      <c r="F772" s="2" t="str">
        <f>+VLOOKUP($B772,[4]BOLETIM_SEL!$A:$H,6,0)</f>
        <v>UN</v>
      </c>
      <c r="G772" s="1407">
        <f>+VLOOKUP($B772,[4]BOLETIM_SEL!$A:$H,7,0)</f>
        <v>884.29</v>
      </c>
      <c r="H772" s="1611">
        <f>+Passeio!Z206</f>
        <v>0</v>
      </c>
      <c r="I772" s="877">
        <f t="shared" si="248"/>
        <v>1067.33</v>
      </c>
      <c r="J772" s="1612">
        <f t="shared" si="253"/>
        <v>0</v>
      </c>
      <c r="K772" s="2078">
        <f t="shared" ca="1" si="243"/>
        <v>0</v>
      </c>
      <c r="L772" s="1574">
        <f t="shared" si="254"/>
        <v>0</v>
      </c>
      <c r="M772" s="1445"/>
      <c r="N772" s="833"/>
      <c r="O772" s="833"/>
      <c r="Q772" s="833"/>
      <c r="R772" s="833"/>
      <c r="S772" s="833"/>
      <c r="T772" s="833"/>
      <c r="U772" s="833"/>
      <c r="V772" s="833"/>
      <c r="W772" s="833"/>
      <c r="X772" s="833"/>
    </row>
    <row r="773" spans="1:24" s="813" customFormat="1" ht="39.950000000000003" hidden="1" customHeight="1" x14ac:dyDescent="0.15">
      <c r="A773" s="2081">
        <f t="shared" ca="1" si="245"/>
        <v>10.039999999999999</v>
      </c>
      <c r="B773" s="834" t="s">
        <v>1865</v>
      </c>
      <c r="C773" s="2" t="str">
        <f>+VLOOKUP($B773,[4]BOLETIM_SEL!$A:$H,2,0)</f>
        <v>COMPOSIÇÃO</v>
      </c>
      <c r="D773" s="315" t="str">
        <f>+VLOOKUP($B773,[4]BOLETIM_SEL!$A:$H,4,0)</f>
        <v>Tampão completo para TIL, em PVC,  DN 100 mm, para rede coletora de esgoto. Incluindo fornecimento, assentamento e requadro com argamassa</v>
      </c>
      <c r="E773" s="2"/>
      <c r="F773" s="2" t="str">
        <f>+VLOOKUP($B773,[4]BOLETIM_SEL!$A:$H,6,0)</f>
        <v xml:space="preserve">UN </v>
      </c>
      <c r="G773" s="1407"/>
      <c r="H773" s="1611">
        <f>+Passeio!Z207</f>
        <v>0</v>
      </c>
      <c r="I773" s="877">
        <f t="shared" si="248"/>
        <v>0</v>
      </c>
      <c r="J773" s="1612">
        <f t="shared" si="253"/>
        <v>0</v>
      </c>
      <c r="K773" s="2078">
        <f t="shared" ca="1" si="243"/>
        <v>0</v>
      </c>
      <c r="L773" s="1574">
        <f t="shared" si="254"/>
        <v>0</v>
      </c>
      <c r="M773" s="1445"/>
      <c r="N773" s="833"/>
      <c r="O773" s="833"/>
      <c r="Q773" s="833"/>
      <c r="R773" s="833"/>
      <c r="S773" s="833"/>
      <c r="T773" s="833"/>
      <c r="U773" s="833"/>
      <c r="V773" s="833"/>
      <c r="W773" s="833"/>
      <c r="X773" s="833"/>
    </row>
    <row r="774" spans="1:24" s="813" customFormat="1" ht="30" hidden="1" customHeight="1" x14ac:dyDescent="0.15">
      <c r="A774" s="2081">
        <f t="shared" ca="1" si="245"/>
        <v>10.039999999999999</v>
      </c>
      <c r="B774" s="834" t="s">
        <v>1873</v>
      </c>
      <c r="C774" s="2" t="str">
        <f>+VLOOKUP($B774,[4]BOLETIM_SEL!$A:$H,2,0)</f>
        <v>COMPOSIÇÃO</v>
      </c>
      <c r="D774" s="315" t="str">
        <f>+VLOOKUP($B774,[4]BOLETIM_SEL!$A:$H,4,0)</f>
        <v>Tampa de concreto armado para caixa de passeio, na espessura de 5cm (REF. SINAPI COD. 6171)</v>
      </c>
      <c r="E774" s="2"/>
      <c r="F774" s="2" t="str">
        <f>+VLOOKUP($B774,[4]BOLETIM_SEL!$A:$H,6,0)</f>
        <v>M2</v>
      </c>
      <c r="G774" s="1407">
        <f>+VLOOKUP($B774,[4]BOLETIM_SEL!$A:$H,7,0)</f>
        <v>111.57</v>
      </c>
      <c r="H774" s="1611">
        <f>+Passeio!Z199</f>
        <v>0</v>
      </c>
      <c r="I774" s="877">
        <f t="shared" si="248"/>
        <v>134.66</v>
      </c>
      <c r="J774" s="1612">
        <f t="shared" si="253"/>
        <v>0</v>
      </c>
      <c r="K774" s="2078">
        <f t="shared" ca="1" si="243"/>
        <v>0</v>
      </c>
      <c r="L774" s="1574">
        <f t="shared" si="254"/>
        <v>0</v>
      </c>
      <c r="M774" s="1445"/>
      <c r="N774" s="833"/>
      <c r="O774" s="833"/>
      <c r="Q774" s="833"/>
      <c r="R774" s="833"/>
      <c r="S774" s="833"/>
      <c r="T774" s="833"/>
      <c r="U774" s="833"/>
      <c r="V774" s="833"/>
      <c r="W774" s="833"/>
      <c r="X774" s="833"/>
    </row>
    <row r="775" spans="1:24" s="813" customFormat="1" ht="39.950000000000003" hidden="1" customHeight="1" x14ac:dyDescent="0.15">
      <c r="A775" s="2081">
        <f t="shared" ca="1" si="245"/>
        <v>10.039999999999999</v>
      </c>
      <c r="B775" s="834">
        <v>89512</v>
      </c>
      <c r="C775" s="2" t="str">
        <f>+VLOOKUP($B775,[4]BOLETIM_SEL!$A:$H,2,0)</f>
        <v>SINAPI</v>
      </c>
      <c r="D775" s="315" t="str">
        <f>+VLOOKUP($B775,[4]BOLETIM_SEL!$A:$H,4,0)</f>
        <v>Tubo pvc, série r, água pluvial, diâmetro nominal de 100 mm, fornecido e instalado em ramal de encaminhamento. AF_12/2014</v>
      </c>
      <c r="E775" s="2"/>
      <c r="F775" s="2" t="str">
        <f>+VLOOKUP($B775,[4]BOLETIM_SEL!$A:$H,6,0)</f>
        <v>M</v>
      </c>
      <c r="G775" s="1407">
        <f>+VLOOKUP($B775,[4]BOLETIM_SEL!$A:$H,7,0)</f>
        <v>52.07</v>
      </c>
      <c r="H775" s="1611">
        <f>+Passeio!Z198</f>
        <v>0</v>
      </c>
      <c r="I775" s="877">
        <f t="shared" si="248"/>
        <v>62.84</v>
      </c>
      <c r="J775" s="1612">
        <f t="shared" si="253"/>
        <v>0</v>
      </c>
      <c r="K775" s="2078">
        <f t="shared" ca="1" si="243"/>
        <v>0</v>
      </c>
      <c r="L775" s="1574">
        <f t="shared" si="254"/>
        <v>0</v>
      </c>
      <c r="M775" s="1445"/>
      <c r="N775" s="833"/>
      <c r="O775" s="833"/>
      <c r="Q775" s="833"/>
      <c r="R775" s="833"/>
      <c r="S775" s="833"/>
      <c r="T775" s="833"/>
      <c r="U775" s="833"/>
      <c r="V775" s="833"/>
      <c r="W775" s="833"/>
      <c r="X775" s="833"/>
    </row>
    <row r="776" spans="1:24" s="813" customFormat="1" ht="39.950000000000003" hidden="1" customHeight="1" x14ac:dyDescent="0.15">
      <c r="A776" s="2081">
        <f t="shared" ca="1" si="245"/>
        <v>10.039999999999999</v>
      </c>
      <c r="B776" s="834">
        <v>101166</v>
      </c>
      <c r="C776" s="2" t="str">
        <f>+VLOOKUP($B776,[4]BOLETIM_SEL!$A:$H,2,0)</f>
        <v>SINAPI</v>
      </c>
      <c r="D776" s="315" t="str">
        <f>+VLOOKUP($B776,[4]BOLETIM_SEL!$A:$H,4,0)</f>
        <v>Alvenaria de embasamento com bloco estrutural de cerâmica, de 14x19x29cm e argamassa de assentamento com preparo em betoneira. AF_05/2020</v>
      </c>
      <c r="E776" s="2"/>
      <c r="F776" s="2" t="str">
        <f>+VLOOKUP($B776,[4]BOLETIM_SEL!$A:$H,6,0)</f>
        <v>M3</v>
      </c>
      <c r="G776" s="1407">
        <f>+VLOOKUP($B776,[4]BOLETIM_SEL!$A:$H,7,0)</f>
        <v>639.72</v>
      </c>
      <c r="H776" s="1611">
        <f>+Passeio!Z209</f>
        <v>0</v>
      </c>
      <c r="I776" s="877">
        <f t="shared" si="248"/>
        <v>772.14</v>
      </c>
      <c r="J776" s="1612">
        <f t="shared" si="253"/>
        <v>0</v>
      </c>
      <c r="K776" s="2078">
        <f t="shared" ca="1" si="243"/>
        <v>0</v>
      </c>
      <c r="L776" s="1574">
        <f t="shared" si="254"/>
        <v>0</v>
      </c>
      <c r="M776" s="1445"/>
      <c r="N776" s="833"/>
      <c r="O776" s="833"/>
      <c r="Q776" s="833"/>
      <c r="R776" s="833"/>
      <c r="S776" s="833"/>
      <c r="T776" s="833"/>
      <c r="U776" s="833"/>
      <c r="V776" s="833"/>
      <c r="W776" s="833"/>
      <c r="X776" s="833"/>
    </row>
    <row r="777" spans="1:24" s="813" customFormat="1" ht="39.950000000000003" hidden="1" customHeight="1" x14ac:dyDescent="0.15">
      <c r="A777" s="2081">
        <f t="shared" ca="1" si="245"/>
        <v>10.039999999999999</v>
      </c>
      <c r="B777" s="834">
        <v>87878</v>
      </c>
      <c r="C777" s="2" t="str">
        <f>+VLOOKUP($B777,[4]BOLETIM_SEL!$A:$H,2,0)</f>
        <v>SINAPI</v>
      </c>
      <c r="D777" s="315" t="str">
        <f>+VLOOKUP($B777,[4]BOLETIM_SEL!$A:$H,4,0)</f>
        <v>Chapisco aplicado em alvenarias e estruturas de concreto internas, com colher de pedreiro. Argamassa traço 1:3 com preparo manual. AF_06/2014</v>
      </c>
      <c r="E777" s="2"/>
      <c r="F777" s="2" t="str">
        <f>+VLOOKUP($B777,[4]BOLETIM_SEL!$A:$H,6,0)</f>
        <v>M2</v>
      </c>
      <c r="G777" s="1407">
        <f>+VLOOKUP($B777,[4]BOLETIM_SEL!$A:$H,7,0)</f>
        <v>4.4400000000000004</v>
      </c>
      <c r="H777" s="1611">
        <f>+Passeio!Z210</f>
        <v>0</v>
      </c>
      <c r="I777" s="877">
        <f t="shared" si="248"/>
        <v>5.35</v>
      </c>
      <c r="J777" s="1612">
        <f t="shared" si="253"/>
        <v>0</v>
      </c>
      <c r="K777" s="2078">
        <f t="shared" ca="1" si="243"/>
        <v>0</v>
      </c>
      <c r="L777" s="1574">
        <f t="shared" si="254"/>
        <v>0</v>
      </c>
      <c r="M777" s="1445"/>
      <c r="N777" s="833"/>
      <c r="O777" s="833"/>
      <c r="Q777" s="833"/>
      <c r="R777" s="833"/>
      <c r="S777" s="833"/>
      <c r="T777" s="833"/>
      <c r="U777" s="833"/>
      <c r="V777" s="833"/>
      <c r="W777" s="833"/>
      <c r="X777" s="833"/>
    </row>
    <row r="778" spans="1:24" s="813" customFormat="1" ht="39.950000000000003" hidden="1" customHeight="1" x14ac:dyDescent="0.15">
      <c r="A778" s="2081">
        <f t="shared" ca="1" si="245"/>
        <v>10.039999999999999</v>
      </c>
      <c r="B778" s="834">
        <v>87313</v>
      </c>
      <c r="C778" s="2" t="str">
        <f>+VLOOKUP($B778,[4]BOLETIM_SEL!$A:$H,2,0)</f>
        <v>SINAPI</v>
      </c>
      <c r="D778" s="315" t="str">
        <f>+VLOOKUP($B778,[4]BOLETIM_SEL!$A:$H,4,0)</f>
        <v>Argamassa traço 1:3 (em volume de cimento e areia grossa úmida) para chapisco convencional, preparo mecânico com betoneira 400 l. AF_08/2019</v>
      </c>
      <c r="E778" s="2"/>
      <c r="F778" s="2" t="str">
        <f>+VLOOKUP($B778,[4]BOLETIM_SEL!$A:$H,6,0)</f>
        <v>M3</v>
      </c>
      <c r="G778" s="1407">
        <f>+VLOOKUP($B778,[4]BOLETIM_SEL!$A:$H,7,0)</f>
        <v>530.03</v>
      </c>
      <c r="H778" s="1611">
        <f>+Passeio!Z211</f>
        <v>0</v>
      </c>
      <c r="I778" s="877">
        <f t="shared" si="248"/>
        <v>639.74</v>
      </c>
      <c r="J778" s="1612">
        <f t="shared" si="253"/>
        <v>0</v>
      </c>
      <c r="K778" s="2078">
        <f t="shared" ca="1" si="243"/>
        <v>0</v>
      </c>
      <c r="L778" s="1574">
        <f t="shared" si="254"/>
        <v>0</v>
      </c>
      <c r="M778" s="1445"/>
      <c r="N778" s="833"/>
      <c r="O778" s="833"/>
      <c r="Q778" s="833"/>
      <c r="R778" s="833"/>
      <c r="S778" s="833"/>
      <c r="T778" s="833"/>
      <c r="U778" s="833"/>
      <c r="V778" s="833"/>
      <c r="W778" s="833"/>
      <c r="X778" s="833"/>
    </row>
    <row r="779" spans="1:24" s="813" customFormat="1" ht="39.950000000000003" hidden="1" customHeight="1" x14ac:dyDescent="0.15">
      <c r="A779" s="2081">
        <f t="shared" ca="1" si="245"/>
        <v>10.039999999999999</v>
      </c>
      <c r="B779" s="834">
        <v>94963</v>
      </c>
      <c r="C779" s="2" t="str">
        <f>+VLOOKUP($B779,[4]BOLETIM_SEL!$A:$H,2,0)</f>
        <v>SINAPI</v>
      </c>
      <c r="D779" s="315" t="str">
        <f>+VLOOKUP($B779,[4]BOLETIM_SEL!$A:$H,4,0)</f>
        <v>Concreto FCK = 15 MPA, traço 1:3,4:3,5 (cimento/ areia média/ brita 1) - preparo mecânico com betoneira 400 l. AF_07/2016</v>
      </c>
      <c r="E779" s="2"/>
      <c r="F779" s="2" t="str">
        <f>+VLOOKUP($B779,[4]BOLETIM_SEL!$A:$H,6,0)</f>
        <v>M3</v>
      </c>
      <c r="G779" s="1407">
        <f>+VLOOKUP($B779,[4]BOLETIM_SEL!$A:$H,7,0)</f>
        <v>427.82</v>
      </c>
      <c r="H779" s="1611">
        <f>+Passeio!Z208</f>
        <v>0</v>
      </c>
      <c r="I779" s="877">
        <f t="shared" si="248"/>
        <v>516.37</v>
      </c>
      <c r="J779" s="1612">
        <f t="shared" si="253"/>
        <v>0</v>
      </c>
      <c r="K779" s="2078">
        <f t="shared" ca="1" si="243"/>
        <v>0</v>
      </c>
      <c r="L779" s="1574">
        <f t="shared" si="254"/>
        <v>0</v>
      </c>
      <c r="M779" s="1445"/>
      <c r="N779" s="833"/>
      <c r="O779" s="833"/>
      <c r="Q779" s="833"/>
      <c r="R779" s="833"/>
      <c r="S779" s="833"/>
      <c r="T779" s="833"/>
      <c r="U779" s="833"/>
      <c r="V779" s="833"/>
      <c r="W779" s="833"/>
      <c r="X779" s="833"/>
    </row>
    <row r="780" spans="1:24" s="813" customFormat="1" ht="39.950000000000003" hidden="1" customHeight="1" x14ac:dyDescent="0.15">
      <c r="A780" s="2081">
        <f t="shared" ca="1" si="245"/>
        <v>10.039999999999999</v>
      </c>
      <c r="B780" s="834">
        <v>34495</v>
      </c>
      <c r="C780" s="2" t="str">
        <f>+VLOOKUP($B780,[4]BOLETIM_SEL!$A:$H,2,0)</f>
        <v>SINAPI</v>
      </c>
      <c r="D780" s="315" t="str">
        <f>+VLOOKUP($B780,[4]BOLETIM_SEL!$A:$H,4,0)</f>
        <v>Concreto usinado bombeável, classe de resistência C35, com brita 0,00 e 1, slump = 100 +/- 20 mm, exclui serviço de bombeamento (NBR 8953)</v>
      </c>
      <c r="E780" s="2"/>
      <c r="F780" s="2" t="str">
        <f>+VLOOKUP($B780,[4]BOLETIM_SEL!$A:$H,6,0)</f>
        <v xml:space="preserve">M3    </v>
      </c>
      <c r="G780" s="1407">
        <f>+VLOOKUP($B780,[4]BOLETIM_SEL!$A:$H,7,0)</f>
        <v>597.71</v>
      </c>
      <c r="H780" s="1611">
        <f>+Passeio!Z234</f>
        <v>0</v>
      </c>
      <c r="I780" s="877">
        <f t="shared" si="248"/>
        <v>721.43</v>
      </c>
      <c r="J780" s="1612">
        <f t="shared" si="253"/>
        <v>0</v>
      </c>
      <c r="K780" s="2078">
        <f t="shared" ca="1" si="243"/>
        <v>0</v>
      </c>
      <c r="L780" s="1574">
        <f t="shared" si="254"/>
        <v>0</v>
      </c>
      <c r="M780" s="1445"/>
      <c r="N780" s="833"/>
      <c r="O780" s="833"/>
      <c r="Q780" s="833"/>
      <c r="R780" s="833"/>
      <c r="S780" s="833"/>
      <c r="T780" s="833"/>
      <c r="U780" s="833"/>
      <c r="V780" s="833"/>
      <c r="W780" s="833"/>
      <c r="X780" s="833"/>
    </row>
    <row r="781" spans="1:24" s="813" customFormat="1" ht="30" hidden="1" customHeight="1" x14ac:dyDescent="0.15">
      <c r="A781" s="2081">
        <f t="shared" ca="1" si="245"/>
        <v>10.039999999999999</v>
      </c>
      <c r="B781" s="834">
        <v>103670</v>
      </c>
      <c r="C781" s="2" t="str">
        <f>+VLOOKUP($B781,[4]BOLETIM_SEL!$A:$H,2,0)</f>
        <v>SINAPI</v>
      </c>
      <c r="D781" s="315" t="str">
        <f>+VLOOKUP($B781,[4]BOLETIM_SEL!$A:$H,4,0)</f>
        <v>Lançamento com uso de baldes, adensamento e acabamento de concreto em estruturas. AF_12/2015</v>
      </c>
      <c r="E781" s="2"/>
      <c r="F781" s="2" t="str">
        <f>+VLOOKUP($B781,[4]BOLETIM_SEL!$A:$H,6,0)</f>
        <v>M3</v>
      </c>
      <c r="G781" s="1407">
        <f>+VLOOKUP($B781,[4]BOLETIM_SEL!$A:$H,7,0)</f>
        <v>257.33999999999997</v>
      </c>
      <c r="H781" s="1611">
        <f>+H780+H779</f>
        <v>0</v>
      </c>
      <c r="I781" s="877">
        <f t="shared" si="248"/>
        <v>310.60000000000002</v>
      </c>
      <c r="J781" s="1612">
        <f t="shared" si="253"/>
        <v>0</v>
      </c>
      <c r="K781" s="2078">
        <f t="shared" ca="1" si="243"/>
        <v>0</v>
      </c>
      <c r="L781" s="1574">
        <f t="shared" si="254"/>
        <v>0</v>
      </c>
      <c r="M781" s="1445"/>
      <c r="N781" s="833"/>
      <c r="O781" s="833"/>
      <c r="Q781" s="833"/>
      <c r="R781" s="833"/>
      <c r="S781" s="833"/>
      <c r="T781" s="833"/>
      <c r="U781" s="833"/>
      <c r="V781" s="833"/>
      <c r="W781" s="833"/>
      <c r="X781" s="833"/>
    </row>
    <row r="782" spans="1:24" s="813" customFormat="1" ht="39.950000000000003" hidden="1" customHeight="1" x14ac:dyDescent="0.15">
      <c r="A782" s="2081">
        <f t="shared" ca="1" si="245"/>
        <v>10.039999999999999</v>
      </c>
      <c r="B782" s="834">
        <v>92411</v>
      </c>
      <c r="C782" s="2" t="str">
        <f>+VLOOKUP($B782,[4]BOLETIM_SEL!$A:$H,2,0)</f>
        <v>SINAPI</v>
      </c>
      <c r="D782" s="315" t="str">
        <f>+VLOOKUP($B782,[4]BOLETIM_SEL!$A:$H,4,0)</f>
        <v>Montagem e desmontagem de fôrma de pilares retangulares e estruturas similares, pé-direito simples, em madeira serrada, 2 utilizações. AF_09/2020</v>
      </c>
      <c r="E782" s="2"/>
      <c r="F782" s="2" t="str">
        <f>+VLOOKUP($B782,[4]BOLETIM_SEL!$A:$H,6,0)</f>
        <v>M2</v>
      </c>
      <c r="G782" s="1407">
        <f>+VLOOKUP($B782,[4]BOLETIM_SEL!$A:$H,7,0)</f>
        <v>199.73</v>
      </c>
      <c r="H782" s="1611">
        <f>+Passeio!Z233</f>
        <v>0</v>
      </c>
      <c r="I782" s="877">
        <f t="shared" si="248"/>
        <v>241.07</v>
      </c>
      <c r="J782" s="1612">
        <f t="shared" si="253"/>
        <v>0</v>
      </c>
      <c r="K782" s="2078">
        <f t="shared" ca="1" si="243"/>
        <v>0</v>
      </c>
      <c r="L782" s="1574">
        <f t="shared" si="254"/>
        <v>0</v>
      </c>
      <c r="M782" s="1445"/>
      <c r="N782" s="833"/>
      <c r="O782" s="833"/>
      <c r="Q782" s="833"/>
      <c r="R782" s="833"/>
      <c r="S782" s="833"/>
      <c r="T782" s="833"/>
      <c r="U782" s="833"/>
      <c r="V782" s="833"/>
      <c r="W782" s="833"/>
      <c r="X782" s="833"/>
    </row>
    <row r="783" spans="1:24" s="813" customFormat="1" ht="39.950000000000003" hidden="1" customHeight="1" x14ac:dyDescent="0.15">
      <c r="A783" s="2081">
        <f t="shared" ca="1" si="245"/>
        <v>10.039999999999999</v>
      </c>
      <c r="B783" s="834">
        <v>91593</v>
      </c>
      <c r="C783" s="2" t="str">
        <f>+VLOOKUP($B783,[4]BOLETIM_SEL!$A:$H,2,0)</f>
        <v>SINAPI</v>
      </c>
      <c r="D783" s="315" t="str">
        <f>+VLOOKUP($B783,[4]BOLETIM_SEL!$A:$H,4,0)</f>
        <v>Armação do sistema de paredes de concreto, executada em paredes de edificações de múltiplos pavimentos, tela Q-138. AF_06/2019</v>
      </c>
      <c r="E783" s="2"/>
      <c r="F783" s="2" t="str">
        <f>+VLOOKUP($B783,[4]BOLETIM_SEL!$A:$H,6,0)</f>
        <v>KG</v>
      </c>
      <c r="G783" s="1407">
        <f>+VLOOKUP($B783,[4]BOLETIM_SEL!$A:$H,7,0)</f>
        <v>10.81</v>
      </c>
      <c r="H783" s="1611">
        <f>+Passeio!Z235</f>
        <v>0</v>
      </c>
      <c r="I783" s="877">
        <f t="shared" si="248"/>
        <v>13.04</v>
      </c>
      <c r="J783" s="1612">
        <f t="shared" si="253"/>
        <v>0</v>
      </c>
      <c r="K783" s="2078">
        <f t="shared" ca="1" si="243"/>
        <v>0</v>
      </c>
      <c r="L783" s="1574">
        <f t="shared" si="254"/>
        <v>0</v>
      </c>
      <c r="M783" s="1445"/>
      <c r="N783" s="833"/>
      <c r="O783" s="833"/>
      <c r="Q783" s="833"/>
      <c r="R783" s="833"/>
      <c r="S783" s="833"/>
      <c r="T783" s="833"/>
      <c r="U783" s="833"/>
      <c r="V783" s="833"/>
      <c r="W783" s="833"/>
      <c r="X783" s="833"/>
    </row>
    <row r="784" spans="1:24" s="813" customFormat="1" ht="39.950000000000003" hidden="1" customHeight="1" x14ac:dyDescent="0.15">
      <c r="A784" s="2081">
        <f t="shared" ca="1" si="245"/>
        <v>10.039999999999999</v>
      </c>
      <c r="B784" s="834" t="s">
        <v>1874</v>
      </c>
      <c r="C784" s="2" t="str">
        <f>+VLOOKUP($B784,[4]BOLETIM_SEL!$A:$H,2,0)</f>
        <v>COMPOSIÇÃO</v>
      </c>
      <c r="D784" s="315" t="str">
        <f>+VLOOKUP($B784,[4]BOLETIM_SEL!$A:$H,4,0)</f>
        <v>Dispositivo de segurança na travessia de pedestre - guarda corpo em tubo de aço galvanizado Ø 3", pintado com esmalte sintético em duas demãos</v>
      </c>
      <c r="E784" s="2"/>
      <c r="F784" s="2" t="str">
        <f>+VLOOKUP($B784,[4]BOLETIM_SEL!$A:$H,6,0)</f>
        <v xml:space="preserve">UN </v>
      </c>
      <c r="G784" s="1407">
        <f>+VLOOKUP($B784,[4]BOLETIM_SEL!$A:$H,7,0)</f>
        <v>1447.04</v>
      </c>
      <c r="H784" s="1611">
        <f>+Passeio!Z236</f>
        <v>0</v>
      </c>
      <c r="I784" s="877">
        <f t="shared" si="248"/>
        <v>1746.57</v>
      </c>
      <c r="J784" s="1612">
        <f t="shared" si="253"/>
        <v>0</v>
      </c>
      <c r="K784" s="2078">
        <f t="shared" ca="1" si="243"/>
        <v>0</v>
      </c>
      <c r="L784" s="1574">
        <f t="shared" si="254"/>
        <v>0</v>
      </c>
      <c r="M784" s="1445"/>
      <c r="N784" s="833"/>
      <c r="O784" s="833"/>
      <c r="Q784" s="833"/>
      <c r="R784" s="833"/>
      <c r="S784" s="833"/>
      <c r="T784" s="833"/>
      <c r="U784" s="833"/>
      <c r="V784" s="833"/>
      <c r="W784" s="833"/>
      <c r="X784" s="833"/>
    </row>
    <row r="785" spans="1:24" s="813" customFormat="1" ht="24.95" hidden="1" customHeight="1" x14ac:dyDescent="0.15">
      <c r="A785" s="2081"/>
      <c r="B785" s="834"/>
      <c r="C785" s="2"/>
      <c r="D785" s="1452" t="s">
        <v>1803</v>
      </c>
      <c r="E785" s="2"/>
      <c r="F785" s="2"/>
      <c r="G785" s="1407"/>
      <c r="H785" s="2"/>
      <c r="I785" s="839" t="str">
        <f>IF(I786=0,"-","")</f>
        <v/>
      </c>
      <c r="J785" s="839" t="str">
        <f>IF(J786=0,"-","")</f>
        <v>-</v>
      </c>
      <c r="K785" s="2078"/>
      <c r="L785" s="1574"/>
      <c r="M785" s="1445" t="s">
        <v>1951</v>
      </c>
      <c r="N785" s="833"/>
      <c r="O785" s="833"/>
      <c r="Q785" s="833"/>
      <c r="R785" s="833"/>
      <c r="S785" s="833"/>
      <c r="T785" s="833"/>
      <c r="U785" s="833"/>
      <c r="V785" s="833"/>
      <c r="W785" s="833"/>
      <c r="X785" s="833"/>
    </row>
    <row r="786" spans="1:24" s="813" customFormat="1" ht="39.950000000000003" hidden="1" customHeight="1" x14ac:dyDescent="0.15">
      <c r="A786" s="2081">
        <f ca="1">+IF(H786&gt;0,A784+0.01,A784)</f>
        <v>10.039999999999999</v>
      </c>
      <c r="B786" s="834">
        <f>IF(AND(M786&lt;=50,E786&lt;=30),95875,IF(AND(M786&lt;=50,E786&gt;30),93590,IF(AND(M786&gt;50,E786&lt;=30),95876,93593)))</f>
        <v>95875</v>
      </c>
      <c r="C786" s="2" t="str">
        <f>VLOOKUP($B786,[4]BOLETIM_SEL!$A:$H,2,0)</f>
        <v>SINAPI</v>
      </c>
      <c r="D786" s="315" t="str">
        <f>VLOOKUP($B786,[4]BOLETIM_SEL!$A:$H,4,0)</f>
        <v>Transporte com caminhão basculante de 10 m3, em via urbana pavimentada, DMT até 30,00 km (unidade: m3xkm). AF_07/2020</v>
      </c>
      <c r="E786" s="2">
        <f>+Dados_DMT!$B$17</f>
        <v>4</v>
      </c>
      <c r="F786" s="2" t="str">
        <f>VLOOKUP($B786,[4]BOLETIM_SEL!$A:$H,6,0)</f>
        <v>M3XKM</v>
      </c>
      <c r="G786" s="1407">
        <f>VLOOKUP($B786,[4]BOLETIM_SEL!$A:$H,7,0)</f>
        <v>2.1800000000000002</v>
      </c>
      <c r="H786" s="1611">
        <f>ROUND(Passeio!Z237*E786,2)</f>
        <v>0</v>
      </c>
      <c r="I786" s="877">
        <f>+TRUNC(G786*(1+$J$5),2)</f>
        <v>2.63</v>
      </c>
      <c r="J786" s="1612">
        <f t="shared" si="253"/>
        <v>0</v>
      </c>
      <c r="K786" s="2078">
        <f ca="1">J786/J$967</f>
        <v>0</v>
      </c>
      <c r="L786" s="1574">
        <f t="shared" si="254"/>
        <v>0</v>
      </c>
      <c r="M786" s="1453">
        <f>IF(H786=0,0,H786/E786)</f>
        <v>0</v>
      </c>
      <c r="N786" s="833"/>
      <c r="O786" s="833"/>
      <c r="Q786" s="833"/>
      <c r="R786" s="833"/>
      <c r="S786" s="833"/>
      <c r="T786" s="833"/>
      <c r="U786" s="833"/>
      <c r="V786" s="833"/>
      <c r="W786" s="833"/>
      <c r="X786" s="833"/>
    </row>
    <row r="787" spans="1:24" s="813" customFormat="1" ht="24.95" hidden="1" customHeight="1" x14ac:dyDescent="0.15">
      <c r="A787" s="2081"/>
      <c r="B787" s="834"/>
      <c r="C787" s="2"/>
      <c r="D787" s="1452" t="s">
        <v>1816</v>
      </c>
      <c r="E787" s="2"/>
      <c r="F787" s="2"/>
      <c r="G787" s="1407"/>
      <c r="H787" s="2"/>
      <c r="I787" s="839" t="str">
        <f>IF(I788=0,"-","")</f>
        <v/>
      </c>
      <c r="J787" s="839" t="str">
        <f>IF(J788=0,"-","")</f>
        <v>-</v>
      </c>
      <c r="K787" s="2078"/>
      <c r="L787" s="1574"/>
      <c r="M787" s="1445"/>
      <c r="N787" s="833"/>
      <c r="O787" s="833"/>
      <c r="Q787" s="833"/>
      <c r="R787" s="833"/>
      <c r="S787" s="833"/>
      <c r="T787" s="833"/>
      <c r="U787" s="833"/>
      <c r="V787" s="833"/>
      <c r="W787" s="833"/>
      <c r="X787" s="833"/>
    </row>
    <row r="788" spans="1:24" s="813" customFormat="1" ht="39.950000000000003" hidden="1" customHeight="1" x14ac:dyDescent="0.15">
      <c r="A788" s="2081">
        <f ca="1">+IF(H788&gt;0,A786+0.01,A786)</f>
        <v>10.039999999999999</v>
      </c>
      <c r="B788" s="834">
        <f>IF(AND(M788&lt;=50,E788&lt;=30),95875,IF(AND(M788&lt;=50,E788&gt;30),93590,IF(AND(M788&gt;50,E788&lt;=30),95876,93593)))</f>
        <v>95875</v>
      </c>
      <c r="C788" s="2" t="str">
        <f>VLOOKUP($B788,[4]BOLETIM_SEL!$A:$H,2,0)</f>
        <v>SINAPI</v>
      </c>
      <c r="D788" s="315" t="str">
        <f>VLOOKUP($B788,[4]BOLETIM_SEL!$A:$H,4,0)</f>
        <v>Transporte com caminhão basculante de 10 m3, em via urbana pavimentada, DMT até 30,00 km (unidade: m3xkm). AF_07/2020</v>
      </c>
      <c r="E788" s="2">
        <f>+Dados_DMT!$B$14</f>
        <v>4</v>
      </c>
      <c r="F788" s="2" t="str">
        <f>VLOOKUP($B788,[4]BOLETIM_SEL!$A:$H,6,0)</f>
        <v>M3XKM</v>
      </c>
      <c r="G788" s="1407">
        <f>VLOOKUP($B788,[4]BOLETIM_SEL!$A:$H,7,0)</f>
        <v>2.1800000000000002</v>
      </c>
      <c r="H788" s="1611">
        <f>ROUND(Passeio!Z238*E788,2)</f>
        <v>0</v>
      </c>
      <c r="I788" s="877">
        <f>+TRUNC(G788*(1+$J$5),2)</f>
        <v>2.63</v>
      </c>
      <c r="J788" s="1612">
        <f t="shared" si="253"/>
        <v>0</v>
      </c>
      <c r="K788" s="2078">
        <f ca="1">J788/J$967</f>
        <v>0</v>
      </c>
      <c r="L788" s="1574">
        <f t="shared" si="254"/>
        <v>0</v>
      </c>
      <c r="M788" s="1453">
        <f>IF(H788=0,0,H788/E788)</f>
        <v>0</v>
      </c>
      <c r="N788" s="833"/>
      <c r="O788" s="833"/>
      <c r="Q788" s="833"/>
      <c r="R788" s="833"/>
      <c r="S788" s="833"/>
      <c r="T788" s="833"/>
      <c r="U788" s="833"/>
      <c r="V788" s="833"/>
      <c r="W788" s="833"/>
      <c r="X788" s="833"/>
    </row>
    <row r="789" spans="1:24" s="813" customFormat="1" ht="24.95" hidden="1" customHeight="1" x14ac:dyDescent="0.15">
      <c r="A789" s="2081"/>
      <c r="B789" s="834"/>
      <c r="C789" s="2"/>
      <c r="D789" s="1452" t="s">
        <v>2190</v>
      </c>
      <c r="E789" s="2"/>
      <c r="F789" s="2"/>
      <c r="G789" s="1407"/>
      <c r="H789" s="2"/>
      <c r="I789" s="2"/>
      <c r="J789" s="839" t="str">
        <f>IF(J790=0,"-","")</f>
        <v>-</v>
      </c>
      <c r="K789" s="2"/>
      <c r="L789" s="1574"/>
      <c r="M789" s="1445"/>
      <c r="N789" s="833"/>
      <c r="O789" s="833"/>
      <c r="Q789" s="833"/>
      <c r="R789" s="833"/>
      <c r="S789" s="833"/>
      <c r="T789" s="833"/>
      <c r="U789" s="833"/>
      <c r="V789" s="833"/>
      <c r="W789" s="833"/>
      <c r="X789" s="833"/>
    </row>
    <row r="790" spans="1:24" s="813" customFormat="1" ht="39.950000000000003" hidden="1" customHeight="1" x14ac:dyDescent="0.15">
      <c r="A790" s="2081">
        <f ca="1">+IF(H790&gt;0,A788+0.01,A788)</f>
        <v>10.039999999999999</v>
      </c>
      <c r="B790" s="834">
        <f>IF(AND(M790&lt;=50,E790&lt;=30),95875,IF(AND(M790&lt;=50,E790&gt;30),93590,IF(AND(M790&gt;50,E790&lt;=30),95876,93593)))</f>
        <v>93590</v>
      </c>
      <c r="C790" s="2" t="str">
        <f>VLOOKUP($B790,[4]BOLETIM_SEL!$A:$H,2,0)</f>
        <v>SINAPI</v>
      </c>
      <c r="D790" s="315" t="str">
        <f>VLOOKUP($B790,[4]BOLETIM_SEL!$A:$H,4,0)</f>
        <v>Transporte com caminhão basculante de 10 m3, em via urbana pavimentada, adicional para DMT excedente a 30,00 km (unidade: m3xkm). AF_07/2020</v>
      </c>
      <c r="E790" s="2">
        <f>+Dados_DMT!$B$34</f>
        <v>109</v>
      </c>
      <c r="F790" s="2" t="str">
        <f>VLOOKUP($B790,[4]BOLETIM_SEL!$A:$H,6,0)</f>
        <v>M3XKM</v>
      </c>
      <c r="G790" s="1407">
        <f>VLOOKUP($B790,[4]BOLETIM_SEL!$A:$H,7,0)</f>
        <v>0.85</v>
      </c>
      <c r="H790" s="2192">
        <f>IF(M762="USINADO",0,ROUND(Passeio!Z243*E790,2))</f>
        <v>0</v>
      </c>
      <c r="I790" s="877">
        <f>+TRUNC(G790*(1+$J$5),2)</f>
        <v>1.02</v>
      </c>
      <c r="J790" s="1612">
        <f t="shared" ref="J790" si="261">TRUNC(H790*I790,2)</f>
        <v>0</v>
      </c>
      <c r="K790" s="2078">
        <f ca="1">J790/J$967</f>
        <v>0</v>
      </c>
      <c r="L790" s="1574">
        <f>+J790/$J$624</f>
        <v>0</v>
      </c>
      <c r="M790" s="1453">
        <f>IF(H790=0,0,H790/E790)</f>
        <v>0</v>
      </c>
      <c r="N790" s="833"/>
      <c r="O790" s="833"/>
      <c r="Q790" s="833"/>
      <c r="R790" s="833"/>
      <c r="S790" s="833"/>
      <c r="T790" s="833"/>
      <c r="U790" s="833"/>
      <c r="V790" s="833"/>
      <c r="W790" s="833"/>
      <c r="X790" s="833"/>
    </row>
    <row r="791" spans="1:24" s="813" customFormat="1" ht="24.95" hidden="1" customHeight="1" x14ac:dyDescent="0.15">
      <c r="A791" s="2081"/>
      <c r="B791" s="834"/>
      <c r="C791" s="2"/>
      <c r="D791" s="1452" t="s">
        <v>2444</v>
      </c>
      <c r="E791" s="2"/>
      <c r="F791" s="2"/>
      <c r="G791" s="1407"/>
      <c r="H791" s="2"/>
      <c r="I791" s="839" t="str">
        <f>IF(I792=0,"-","")</f>
        <v/>
      </c>
      <c r="J791" s="839" t="str">
        <f>IF(J792=0,"-","")</f>
        <v>-</v>
      </c>
      <c r="K791" s="2078"/>
      <c r="L791" s="1574"/>
      <c r="M791" s="1445"/>
      <c r="N791" s="833"/>
      <c r="O791" s="833"/>
      <c r="Q791" s="833"/>
      <c r="R791" s="833"/>
      <c r="S791" s="833"/>
      <c r="T791" s="833"/>
      <c r="U791" s="833"/>
      <c r="V791" s="833"/>
      <c r="W791" s="833"/>
      <c r="X791" s="833"/>
    </row>
    <row r="792" spans="1:24" s="813" customFormat="1" ht="39.950000000000003" hidden="1" customHeight="1" x14ac:dyDescent="0.15">
      <c r="A792" s="2081">
        <f ca="1">+IF(H792&gt;0,A788+0.01,A788)</f>
        <v>10.039999999999999</v>
      </c>
      <c r="B792" s="834">
        <f>IF(AND(M792&lt;=50,E792&lt;=30),95875,IF(AND(M792&lt;=50,E792&gt;30),93590,IF(AND(M792&gt;50,E792&lt;=30),95876,93593)))</f>
        <v>95875</v>
      </c>
      <c r="C792" s="2" t="str">
        <f>VLOOKUP($B792,[4]BOLETIM_SEL!$A:$H,2,0)</f>
        <v>SINAPI</v>
      </c>
      <c r="D792" s="315" t="str">
        <f>VLOOKUP($B792,[4]BOLETIM_SEL!$A:$H,4,0)</f>
        <v>Transporte com caminhão basculante de 10 m3, em via urbana pavimentada, DMT até 30,00 km (unidade: m3xkm). AF_07/2020</v>
      </c>
      <c r="E792" s="2">
        <f>+Dados_DMT!$B$17</f>
        <v>4</v>
      </c>
      <c r="F792" s="2" t="str">
        <f>VLOOKUP($B792,[4]BOLETIM_SEL!$A:$H,6,0)</f>
        <v>M3XKM</v>
      </c>
      <c r="G792" s="1407">
        <f>VLOOKUP($B792,[4]BOLETIM_SEL!$A:$H,7,0)</f>
        <v>2.1800000000000002</v>
      </c>
      <c r="H792" s="1611">
        <f>ROUND(Passeio!Z25*E792,2)</f>
        <v>0</v>
      </c>
      <c r="I792" s="877">
        <f>+TRUNC(G792*(1+$J$5),2)</f>
        <v>2.63</v>
      </c>
      <c r="J792" s="1612">
        <f t="shared" ref="J792" si="262">TRUNC(H792*I792,2)</f>
        <v>0</v>
      </c>
      <c r="K792" s="2078">
        <f ca="1">J792/J$967</f>
        <v>0</v>
      </c>
      <c r="L792" s="1574">
        <f t="shared" ref="L792" si="263">+J792/$J$752</f>
        <v>0</v>
      </c>
      <c r="M792" s="1453">
        <f>IF(H792=0,0,H792/E792)</f>
        <v>0</v>
      </c>
      <c r="N792" s="833"/>
      <c r="O792" s="833"/>
      <c r="Q792" s="833"/>
      <c r="R792" s="833"/>
      <c r="S792" s="833"/>
      <c r="T792" s="833"/>
      <c r="U792" s="833"/>
      <c r="V792" s="833"/>
      <c r="W792" s="833"/>
      <c r="X792" s="833"/>
    </row>
    <row r="793" spans="1:24" s="813" customFormat="1" ht="24.95" customHeight="1" x14ac:dyDescent="0.15">
      <c r="A793" s="2081"/>
      <c r="B793" s="834"/>
      <c r="C793" s="2"/>
      <c r="D793" s="1452" t="s">
        <v>1877</v>
      </c>
      <c r="E793" s="2"/>
      <c r="F793" s="2"/>
      <c r="G793" s="1407"/>
      <c r="H793" s="2"/>
      <c r="I793" s="839"/>
      <c r="J793" s="839" t="str">
        <f>IF(J794=0,"-","")</f>
        <v/>
      </c>
      <c r="K793" s="2078"/>
      <c r="L793" s="1574"/>
      <c r="M793" s="1445"/>
      <c r="N793" s="833"/>
      <c r="O793" s="833"/>
      <c r="Q793" s="833"/>
      <c r="R793" s="833"/>
      <c r="S793" s="833"/>
      <c r="T793" s="833"/>
      <c r="U793" s="833"/>
      <c r="V793" s="833"/>
      <c r="W793" s="833"/>
      <c r="X793" s="833"/>
    </row>
    <row r="794" spans="1:24" s="813" customFormat="1" ht="39.950000000000003" customHeight="1" x14ac:dyDescent="0.15">
      <c r="A794" s="2081">
        <f ca="1">+IF(H794&gt;0,A792+0.01,A792)</f>
        <v>10.049999999999999</v>
      </c>
      <c r="B794" s="834">
        <v>100948</v>
      </c>
      <c r="C794" s="2" t="str">
        <f>VLOOKUP($B794,[4]BOLETIM_SEL!$A:$H,2,0)</f>
        <v>SINAPI</v>
      </c>
      <c r="D794" s="315" t="str">
        <f>VLOOKUP($B794,[4]BOLETIM_SEL!$A:$H,4,0)</f>
        <v>Transporte com caminhão carroceria 9t, em via urbana pavimentada, adicional para DMT excedente a 30,00 km (unidade: txkm). AF_07/2020</v>
      </c>
      <c r="E794" s="2">
        <f>+Dados_DMT!$B$13</f>
        <v>100</v>
      </c>
      <c r="F794" s="2" t="str">
        <f>VLOOKUP($B794,[4]BOLETIM_SEL!$A:$H,6,0)</f>
        <v>TXKM</v>
      </c>
      <c r="G794" s="1407">
        <f>VLOOKUP($B794,[4]BOLETIM_SEL!$A:$H,7,0)</f>
        <v>0.78</v>
      </c>
      <c r="H794" s="1611">
        <f>ROUND(Passeio!Z239*E794,2)</f>
        <v>1347</v>
      </c>
      <c r="I794" s="877">
        <f>+TRUNC(G794*(1+$J$5),2)</f>
        <v>0.94</v>
      </c>
      <c r="J794" s="1612">
        <f t="shared" si="253"/>
        <v>1266.18</v>
      </c>
      <c r="K794" s="2078">
        <f ca="1">J794/J$967</f>
        <v>9.4486406198697457E-5</v>
      </c>
      <c r="L794" s="1574">
        <f t="shared" si="254"/>
        <v>1.1934072885556053E-3</v>
      </c>
      <c r="M794" s="1445"/>
      <c r="N794" s="833"/>
      <c r="O794" s="833"/>
      <c r="Q794" s="833"/>
      <c r="R794" s="833"/>
      <c r="S794" s="833"/>
      <c r="T794" s="833"/>
      <c r="U794" s="833"/>
      <c r="V794" s="833"/>
      <c r="W794" s="833"/>
      <c r="X794" s="833"/>
    </row>
    <row r="795" spans="1:24" s="813" customFormat="1" ht="24.95" customHeight="1" x14ac:dyDescent="0.15">
      <c r="A795" s="2081"/>
      <c r="B795" s="834"/>
      <c r="C795" s="834"/>
      <c r="D795" s="835"/>
      <c r="E795" s="2"/>
      <c r="F795" s="834"/>
      <c r="G795" s="1821"/>
      <c r="H795" s="1"/>
      <c r="I795" s="877"/>
      <c r="J795" s="839" t="str">
        <f>IF(J752=0,0,"")</f>
        <v/>
      </c>
      <c r="K795" s="2078"/>
      <c r="L795" s="1574"/>
      <c r="M795" s="1446"/>
      <c r="N795" s="833"/>
      <c r="O795" s="833"/>
      <c r="Q795" s="833"/>
      <c r="R795" s="833"/>
      <c r="S795" s="833"/>
      <c r="T795" s="833"/>
      <c r="U795" s="833"/>
      <c r="V795" s="833"/>
      <c r="W795" s="833"/>
      <c r="X795" s="833"/>
    </row>
    <row r="796" spans="1:24" s="843" customFormat="1" ht="24.95" hidden="1" customHeight="1" x14ac:dyDescent="0.15">
      <c r="A796" s="2082">
        <f ca="1">IF(J796&gt;0,INT(A752)+1,IF(J796=0,INT(A752),0))</f>
        <v>10</v>
      </c>
      <c r="B796" s="1633"/>
      <c r="C796" s="1633"/>
      <c r="D796" s="1641" t="s">
        <v>1957</v>
      </c>
      <c r="E796" s="1828"/>
      <c r="F796" s="1635"/>
      <c r="G796" s="1820" t="s">
        <v>908</v>
      </c>
      <c r="H796" s="1636"/>
      <c r="I796" s="1640" t="str">
        <f ca="1">CONCATENATE("SUB-TOTAL  ",A796)</f>
        <v>SUB-TOTAL  10</v>
      </c>
      <c r="J796" s="1639">
        <f>SUM(J797:J831)</f>
        <v>0</v>
      </c>
      <c r="K796" s="2079">
        <f t="shared" ref="K796:K813" ca="1" si="264">+J796/J$967</f>
        <v>0</v>
      </c>
      <c r="L796" s="1610" t="e">
        <f>+J796/$J$796</f>
        <v>#DIV/0!</v>
      </c>
      <c r="N796" s="1655" t="s">
        <v>1962</v>
      </c>
      <c r="O796" s="1655" t="s">
        <v>1988</v>
      </c>
    </row>
    <row r="797" spans="1:24" s="844" customFormat="1" ht="39.950000000000003" hidden="1" customHeight="1" x14ac:dyDescent="0.15">
      <c r="A797" s="2081">
        <f t="shared" ref="A797:A813" ca="1" si="265">+IF(H797&gt;0,A796+0.01,A796)</f>
        <v>10</v>
      </c>
      <c r="B797" s="834" t="s">
        <v>1911</v>
      </c>
      <c r="C797" s="2" t="str">
        <f>+VLOOKUP($B797,[4]BOLETIM_SEL!$A:$H,2,0)</f>
        <v>COMPOSIÇÃO</v>
      </c>
      <c r="D797" s="315" t="str">
        <f>+VLOOKUP($B797,[4]BOLETIM_SEL!$A:$H,4,0)</f>
        <v>Fresagem de pavimento asfáltico para abertura de vala, profundidade até 30 cm, em locais com nível baixo de interferência (REF. SICRO COD. 4011480, data 01/2020 e SINAPI 96001, data 08/2020)</v>
      </c>
      <c r="E797" s="2"/>
      <c r="F797" s="2" t="str">
        <f>+VLOOKUP($B797,[4]BOLETIM_SEL!$A:$H,6,0)</f>
        <v>M3</v>
      </c>
      <c r="G797" s="1407">
        <f>+VLOOKUP($B797,[4]BOLETIM_SEL!$A:$H,7,0)</f>
        <v>76.02</v>
      </c>
      <c r="H797" s="1611">
        <f>+Ponto_Onibus!I11</f>
        <v>0</v>
      </c>
      <c r="I797" s="877">
        <f t="shared" ref="I797:I813" si="266">+TRUNC(G797*(1+$J$5),2)</f>
        <v>91.75</v>
      </c>
      <c r="J797" s="1612">
        <f t="shared" ref="J797" si="267">TRUNC(H797*I797,2)</f>
        <v>0</v>
      </c>
      <c r="K797" s="2078">
        <f t="shared" ca="1" si="264"/>
        <v>0</v>
      </c>
      <c r="L797" s="1574" t="e">
        <f>+J797/$J$796</f>
        <v>#DIV/0!</v>
      </c>
      <c r="M797" s="1445"/>
      <c r="N797" s="1654">
        <f>VLOOKUP($B797,[4]BOLETIM_SEL!$A:$H,3,0)</f>
        <v>30.39</v>
      </c>
      <c r="O797" s="1652">
        <f>+H797/N797</f>
        <v>0</v>
      </c>
      <c r="Q797" s="843"/>
      <c r="R797" s="843"/>
      <c r="S797" s="843"/>
      <c r="T797" s="843"/>
      <c r="U797" s="843"/>
      <c r="V797" s="843"/>
      <c r="W797" s="843"/>
      <c r="X797" s="843"/>
    </row>
    <row r="798" spans="1:24" s="844" customFormat="1" ht="50.1" hidden="1" customHeight="1" x14ac:dyDescent="0.15">
      <c r="A798" s="2081">
        <f t="shared" ca="1" si="265"/>
        <v>10</v>
      </c>
      <c r="B798" s="834">
        <v>101230</v>
      </c>
      <c r="C798" s="2" t="str">
        <f>+VLOOKUP($B798,[4]BOLETIM_SEL!$A:$H,2,0)</f>
        <v>SINAPI</v>
      </c>
      <c r="D798" s="315" t="str">
        <f>+VLOOKUP($B798,[4]BOLETIM_SEL!$A:$H,4,0)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798" s="2"/>
      <c r="F798" s="2" t="str">
        <f>+VLOOKUP($B798,[4]BOLETIM_SEL!$A:$H,6,0)</f>
        <v>M3</v>
      </c>
      <c r="G798" s="1407">
        <f>+VLOOKUP($B798,[4]BOLETIM_SEL!$A:$H,7,0)</f>
        <v>10.029999999999999</v>
      </c>
      <c r="H798" s="1611">
        <f>+Ponto_Onibus!I17</f>
        <v>0</v>
      </c>
      <c r="I798" s="877">
        <f t="shared" si="266"/>
        <v>12.1</v>
      </c>
      <c r="J798" s="1612">
        <f t="shared" ref="J798:J804" si="268">TRUNC(H798*I798,2)</f>
        <v>0</v>
      </c>
      <c r="K798" s="2078">
        <f t="shared" ca="1" si="264"/>
        <v>0</v>
      </c>
      <c r="L798" s="1574" t="e">
        <f t="shared" ref="L798:L804" si="269">+J798/$J$796</f>
        <v>#DIV/0!</v>
      </c>
      <c r="M798" s="1445"/>
      <c r="N798" s="1654" t="str">
        <f>VLOOKUP($B798,[4]BOLETIM_SEL!$A:$H,3,0)</f>
        <v>83338
52,08 m3/h</v>
      </c>
      <c r="O798" s="1652" t="e">
        <f>+H798/N798</f>
        <v>#VALUE!</v>
      </c>
      <c r="Q798" s="843"/>
      <c r="R798" s="843"/>
      <c r="S798" s="843"/>
      <c r="T798" s="843"/>
      <c r="U798" s="843"/>
      <c r="V798" s="843"/>
      <c r="W798" s="843"/>
      <c r="X798" s="843"/>
    </row>
    <row r="799" spans="1:24" s="844" customFormat="1" ht="39.950000000000003" hidden="1" customHeight="1" x14ac:dyDescent="0.15">
      <c r="A799" s="2081">
        <f t="shared" ca="1" si="265"/>
        <v>10</v>
      </c>
      <c r="B799" s="834" t="s">
        <v>195</v>
      </c>
      <c r="C799" s="2" t="str">
        <f>+VLOOKUP($B799,[4]BOLETIM_SEL!$A:$H,2,0)</f>
        <v>COMPOSIÇÃO</v>
      </c>
      <c r="D799" s="315" t="str">
        <f>+VLOOKUP($B799,[4]BOLETIM_SEL!$A:$H,4,0)</f>
        <v>Colchão de rachão e/ou pedra-de-mão, com camada final de pedra brita. Fornecimento e execução. Exclusive transporte da pedra</v>
      </c>
      <c r="E799" s="2"/>
      <c r="F799" s="2" t="str">
        <f>+VLOOKUP($B799,[4]BOLETIM_SEL!$A:$H,6,0)</f>
        <v>M3</v>
      </c>
      <c r="G799" s="1407">
        <f>+VLOOKUP($B799,[4]BOLETIM_SEL!$A:$H,7,0)</f>
        <v>137.47</v>
      </c>
      <c r="H799" s="1611">
        <f>+Ponto_Onibus!I17</f>
        <v>0</v>
      </c>
      <c r="I799" s="877">
        <f t="shared" si="266"/>
        <v>165.92</v>
      </c>
      <c r="J799" s="1612">
        <f t="shared" si="268"/>
        <v>0</v>
      </c>
      <c r="K799" s="2078">
        <f t="shared" ca="1" si="264"/>
        <v>0</v>
      </c>
      <c r="L799" s="1574" t="e">
        <f t="shared" si="269"/>
        <v>#DIV/0!</v>
      </c>
      <c r="M799" s="1445"/>
      <c r="N799" s="1654">
        <f>VLOOKUP($B799,[4]BOLETIM_SEL!$A:$H,3,0)</f>
        <v>34.479999999999997</v>
      </c>
      <c r="O799" s="1652">
        <f>+H799/N799</f>
        <v>0</v>
      </c>
      <c r="Q799" s="843"/>
      <c r="R799" s="843"/>
      <c r="S799" s="843"/>
      <c r="T799" s="843"/>
      <c r="U799" s="843"/>
      <c r="V799" s="843"/>
      <c r="W799" s="843"/>
      <c r="X799" s="843"/>
    </row>
    <row r="800" spans="1:24" s="844" customFormat="1" ht="30" hidden="1" customHeight="1" x14ac:dyDescent="0.15">
      <c r="A800" s="2081">
        <f t="shared" ca="1" si="265"/>
        <v>10</v>
      </c>
      <c r="B800" s="834">
        <v>100576</v>
      </c>
      <c r="C800" s="2" t="str">
        <f>+VLOOKUP($B800,[4]BOLETIM_SEL!$A:$H,2,0)</f>
        <v>SINAPI</v>
      </c>
      <c r="D800" s="315" t="str">
        <f>+VLOOKUP($B800,[4]BOLETIM_SEL!$A:$H,4,0)</f>
        <v>Regularização e compactação de subleito de solo predominantemente argiloso. AF_11/2019</v>
      </c>
      <c r="E800" s="2"/>
      <c r="F800" s="2" t="str">
        <f>+VLOOKUP($B800,[4]BOLETIM_SEL!$A:$H,6,0)</f>
        <v>M2</v>
      </c>
      <c r="G800" s="1407">
        <f>+VLOOKUP($B800,[4]BOLETIM_SEL!$A:$H,7,0)</f>
        <v>2.36</v>
      </c>
      <c r="H800" s="1611">
        <f>+Ponto_Onibus!I12</f>
        <v>0</v>
      </c>
      <c r="I800" s="877">
        <f t="shared" si="266"/>
        <v>2.84</v>
      </c>
      <c r="J800" s="1612">
        <f t="shared" si="268"/>
        <v>0</v>
      </c>
      <c r="K800" s="2078">
        <f t="shared" ca="1" si="264"/>
        <v>0</v>
      </c>
      <c r="L800" s="1574" t="e">
        <f t="shared" si="269"/>
        <v>#DIV/0!</v>
      </c>
      <c r="M800" s="1445"/>
      <c r="N800" s="1661">
        <f>VLOOKUP($B800,[4]BOLETIM_SEL!$A:$H,3,0)</f>
        <v>125</v>
      </c>
      <c r="O800" s="1652">
        <f>+H800/N800</f>
        <v>0</v>
      </c>
      <c r="Q800" s="843"/>
      <c r="R800" s="843"/>
      <c r="S800" s="843"/>
      <c r="T800" s="843"/>
      <c r="U800" s="843"/>
      <c r="V800" s="843"/>
      <c r="W800" s="843"/>
      <c r="X800" s="843"/>
    </row>
    <row r="801" spans="1:24" s="844" customFormat="1" ht="39.950000000000003" hidden="1" customHeight="1" x14ac:dyDescent="0.15">
      <c r="A801" s="2081">
        <f t="shared" ca="1" si="265"/>
        <v>10</v>
      </c>
      <c r="B801" s="834" t="s">
        <v>196</v>
      </c>
      <c r="C801" s="2" t="str">
        <f>+VLOOKUP($B801,[4]BOLETIM_SEL!$A:$H,2,0)</f>
        <v>COMPOSIÇÃO</v>
      </c>
      <c r="D801" s="315" t="str">
        <f>+VLOOKUP($B801,[4]BOLETIM_SEL!$A:$H,4,0)</f>
        <v>Execução e compactação de base e ou sub-base com material produto de britagem. Exclusive fornecimento e transporte de materiais (REF. SINAPI COD. 96396)</v>
      </c>
      <c r="E801" s="2"/>
      <c r="F801" s="2" t="str">
        <f>+VLOOKUP($B801,[4]BOLETIM_SEL!$A:$H,6,0)</f>
        <v>M3</v>
      </c>
      <c r="G801" s="1407">
        <f>+VLOOKUP($B801,[4]BOLETIM_SEL!$A:$H,7,0)</f>
        <v>12.42</v>
      </c>
      <c r="H801" s="1611">
        <f>+Ponto_Onibus!I24</f>
        <v>0</v>
      </c>
      <c r="I801" s="877">
        <f t="shared" si="266"/>
        <v>14.99</v>
      </c>
      <c r="J801" s="1612">
        <f t="shared" si="268"/>
        <v>0</v>
      </c>
      <c r="K801" s="2078">
        <f t="shared" ca="1" si="264"/>
        <v>0</v>
      </c>
      <c r="L801" s="1574" t="e">
        <f t="shared" si="269"/>
        <v>#DIV/0!</v>
      </c>
      <c r="M801" s="1445"/>
      <c r="N801" s="1654">
        <f>VLOOKUP($B801,[4]BOLETIM_SEL!$A:$H,3,0)</f>
        <v>33.33</v>
      </c>
      <c r="O801" s="1652">
        <f>+H801/N801</f>
        <v>0</v>
      </c>
      <c r="Q801" s="843"/>
      <c r="R801" s="843"/>
      <c r="S801" s="843"/>
      <c r="T801" s="843"/>
      <c r="U801" s="843"/>
      <c r="V801" s="843"/>
      <c r="W801" s="843"/>
      <c r="X801" s="843"/>
    </row>
    <row r="802" spans="1:24" s="844" customFormat="1" ht="30" hidden="1" customHeight="1" x14ac:dyDescent="0.15">
      <c r="A802" s="2081">
        <f t="shared" ca="1" si="265"/>
        <v>10</v>
      </c>
      <c r="B802" s="834" t="s">
        <v>1777</v>
      </c>
      <c r="C802" s="2" t="str">
        <f>+VLOOKUP($B802,[4]BOLETIM_SEL!$A:$H,2,0)</f>
        <v>COMPOSIÇÃO</v>
      </c>
      <c r="D802" s="315" t="str">
        <f>+VLOOKUP($B802,[4]BOLETIM_SEL!$A:$H,4,0)</f>
        <v>Pintura de ligação, execução e fornecimento de emulsão asfáltica RR-1C (ref SINAPI cód 104375)</v>
      </c>
      <c r="E802" s="2"/>
      <c r="F802" s="2" t="str">
        <f>+VLOOKUP($B802,[4]BOLETIM_SEL!$A:$H,6,0)</f>
        <v>M2</v>
      </c>
      <c r="G802" s="1407">
        <f>+VLOOKUP($B802,[4]BOLETIM_SEL!$A:$H,7,0)</f>
        <v>2.4700000000000002</v>
      </c>
      <c r="H802" s="1611">
        <f>+Ponto_Onibus!I29</f>
        <v>0</v>
      </c>
      <c r="I802" s="877">
        <f t="shared" si="266"/>
        <v>2.98</v>
      </c>
      <c r="J802" s="1612">
        <f t="shared" si="268"/>
        <v>0</v>
      </c>
      <c r="K802" s="2078">
        <f t="shared" ca="1" si="264"/>
        <v>0</v>
      </c>
      <c r="L802" s="1574" t="e">
        <f t="shared" si="269"/>
        <v>#DIV/0!</v>
      </c>
      <c r="M802" s="1445"/>
      <c r="N802" s="1654"/>
      <c r="O802" s="1652"/>
      <c r="Q802" s="843"/>
      <c r="R802" s="843"/>
      <c r="S802" s="843"/>
      <c r="T802" s="843"/>
      <c r="U802" s="843"/>
      <c r="V802" s="843"/>
      <c r="W802" s="843"/>
      <c r="X802" s="843"/>
    </row>
    <row r="803" spans="1:24" s="844" customFormat="1" ht="39.950000000000003" hidden="1" customHeight="1" x14ac:dyDescent="0.15">
      <c r="A803" s="2081">
        <f t="shared" ca="1" si="265"/>
        <v>10</v>
      </c>
      <c r="B803" s="834" t="s">
        <v>1926</v>
      </c>
      <c r="C803" s="2" t="str">
        <f>+VLOOKUP($B803,[4]BOLETIM_SEL!$A:$H,2,0)</f>
        <v>COMPOSIÇÃO</v>
      </c>
      <c r="D803" s="315" t="str">
        <f>+VLOOKUP($B803,[4]BOLETIM_SEL!$A:$H,4,0)</f>
        <v>Execução de pavimento de concreto simples (PCS), FCK = 40 mpa, camada com espessura de 20 cm. Incluindo cordão de polietileno expandido, selante elástico, barra de transferência e treliça (03.PAVI.PAVC.005/01)</v>
      </c>
      <c r="E803" s="2"/>
      <c r="F803" s="2" t="str">
        <f>+VLOOKUP($B803,[4]BOLETIM_SEL!$A:$H,6,0)</f>
        <v>M2</v>
      </c>
      <c r="G803" s="1407">
        <f>+VLOOKUP($B803,[4]BOLETIM_SEL!$A:$H,7,0)</f>
        <v>178.49</v>
      </c>
      <c r="H803" s="1611">
        <f>+Ponto_Onibus!I34</f>
        <v>0</v>
      </c>
      <c r="I803" s="877">
        <f t="shared" si="266"/>
        <v>215.43</v>
      </c>
      <c r="J803" s="1612">
        <f t="shared" si="268"/>
        <v>0</v>
      </c>
      <c r="K803" s="2078">
        <f t="shared" ca="1" si="264"/>
        <v>0</v>
      </c>
      <c r="L803" s="1574" t="e">
        <f t="shared" si="269"/>
        <v>#DIV/0!</v>
      </c>
      <c r="M803" s="1445"/>
      <c r="N803" s="1661">
        <f>VLOOKUP($B803,[4]BOLETIM_SEL!$A:$H,3,0)</f>
        <v>25.91</v>
      </c>
      <c r="O803" s="1652">
        <f>+H803/N803</f>
        <v>0</v>
      </c>
      <c r="Q803" s="843"/>
      <c r="R803" s="843"/>
      <c r="S803" s="843"/>
      <c r="T803" s="843"/>
      <c r="U803" s="843"/>
      <c r="V803" s="843"/>
      <c r="W803" s="843"/>
      <c r="X803" s="843"/>
    </row>
    <row r="804" spans="1:24" s="844" customFormat="1" ht="50.1" hidden="1" customHeight="1" x14ac:dyDescent="0.15">
      <c r="A804" s="2081">
        <f t="shared" ca="1" si="265"/>
        <v>10</v>
      </c>
      <c r="B804" s="834">
        <v>101230</v>
      </c>
      <c r="C804" s="2" t="str">
        <f>+VLOOKUP($B804,[4]BOLETIM_SEL!$A:$H,2,0)</f>
        <v>SINAPI</v>
      </c>
      <c r="D804" s="315" t="str">
        <f>+VLOOKUP($B804,[4]BOLETIM_SEL!$A:$H,4,0)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04" s="2"/>
      <c r="F804" s="2" t="str">
        <f>+VLOOKUP($B804,[4]BOLETIM_SEL!$A:$H,6,0)</f>
        <v>M3</v>
      </c>
      <c r="G804" s="1407">
        <f>+VLOOKUP($B804,[4]BOLETIM_SEL!$A:$H,7,0)</f>
        <v>10.029999999999999</v>
      </c>
      <c r="H804" s="1611">
        <f>IF(H809=0,Ponto_Onibus!I49,0)</f>
        <v>0</v>
      </c>
      <c r="I804" s="877">
        <f t="shared" si="266"/>
        <v>12.1</v>
      </c>
      <c r="J804" s="1612">
        <f t="shared" si="268"/>
        <v>0</v>
      </c>
      <c r="K804" s="2078">
        <f t="shared" ca="1" si="264"/>
        <v>0</v>
      </c>
      <c r="L804" s="1574" t="e">
        <f t="shared" si="269"/>
        <v>#DIV/0!</v>
      </c>
      <c r="M804" s="1445"/>
      <c r="N804" s="843"/>
      <c r="O804" s="843"/>
      <c r="Q804" s="843"/>
      <c r="R804" s="843"/>
      <c r="S804" s="843"/>
      <c r="T804" s="843"/>
      <c r="U804" s="843"/>
      <c r="V804" s="843"/>
      <c r="W804" s="843"/>
      <c r="X804" s="843"/>
    </row>
    <row r="805" spans="1:24" s="844" customFormat="1" ht="30" hidden="1" customHeight="1" x14ac:dyDescent="0.15">
      <c r="A805" s="2081">
        <f t="shared" ca="1" si="265"/>
        <v>10</v>
      </c>
      <c r="B805" s="834">
        <v>96995</v>
      </c>
      <c r="C805" s="2" t="str">
        <f>+VLOOKUP($B805,[4]BOLETIM_SEL!$A:$H,2,0)</f>
        <v>SINAPI</v>
      </c>
      <c r="D805" s="315" t="str">
        <f>+VLOOKUP($B805,[4]BOLETIM_SEL!$A:$H,4,0)</f>
        <v>Reaterro manual apiloado com soquete. AF_10/2017</v>
      </c>
      <c r="E805" s="2"/>
      <c r="F805" s="2" t="str">
        <f>+VLOOKUP($B805,[4]BOLETIM_SEL!$A:$H,6,0)</f>
        <v>M3</v>
      </c>
      <c r="G805" s="1407">
        <f>+VLOOKUP($B805,[4]BOLETIM_SEL!$A:$H,7,0)</f>
        <v>45.4</v>
      </c>
      <c r="H805" s="1611">
        <f>+Ponto_Onibus!I40</f>
        <v>0</v>
      </c>
      <c r="I805" s="877">
        <f t="shared" si="266"/>
        <v>54.79</v>
      </c>
      <c r="J805" s="1612">
        <f t="shared" ref="J805:J831" si="270">TRUNC(H805*I805,2)</f>
        <v>0</v>
      </c>
      <c r="K805" s="2078">
        <f t="shared" ca="1" si="264"/>
        <v>0</v>
      </c>
      <c r="L805" s="1574" t="e">
        <f t="shared" ref="L805:L831" si="271">+J805/$J$796</f>
        <v>#DIV/0!</v>
      </c>
      <c r="M805" s="1445"/>
      <c r="N805" s="1654">
        <f>VLOOKUP($B805,[4]BOLETIM_SEL!$A:$H,3,0)</f>
        <v>0.42</v>
      </c>
      <c r="O805" s="1652">
        <f>+H805/N805</f>
        <v>0</v>
      </c>
      <c r="Q805" s="843"/>
      <c r="R805" s="843"/>
      <c r="S805" s="843"/>
      <c r="T805" s="843"/>
      <c r="U805" s="843"/>
      <c r="V805" s="843"/>
      <c r="W805" s="843"/>
      <c r="X805" s="843"/>
    </row>
    <row r="806" spans="1:24" s="844" customFormat="1" ht="39.950000000000003" hidden="1" customHeight="1" x14ac:dyDescent="0.15">
      <c r="A806" s="2081">
        <f t="shared" ca="1" si="265"/>
        <v>10</v>
      </c>
      <c r="B806" s="834">
        <v>100324</v>
      </c>
      <c r="C806" s="2" t="str">
        <f>+VLOOKUP($B806,[4]BOLETIM_SEL!$A:$H,2,0)</f>
        <v>SINAPI</v>
      </c>
      <c r="D806" s="315" t="str">
        <f>+VLOOKUP($B806,[4]BOLETIM_SEL!$A:$H,4,0)</f>
        <v>Lastro com material granular (pedra britada n.1 e pedra britada n.2), aplicado em pisos ou radiers, espessura de *10 cm*. AF_07/2019</v>
      </c>
      <c r="E806" s="2"/>
      <c r="F806" s="2" t="str">
        <f>+VLOOKUP($B806,[4]BOLETIM_SEL!$A:$H,6,0)</f>
        <v>M3</v>
      </c>
      <c r="G806" s="1407">
        <f>+VLOOKUP($B806,[4]BOLETIM_SEL!$A:$H,7,0)</f>
        <v>141.04</v>
      </c>
      <c r="H806" s="1611">
        <f>+Ponto_Onibus!I42</f>
        <v>0</v>
      </c>
      <c r="I806" s="877">
        <f t="shared" si="266"/>
        <v>170.23</v>
      </c>
      <c r="J806" s="1612">
        <f t="shared" si="270"/>
        <v>0</v>
      </c>
      <c r="K806" s="2078">
        <f t="shared" ca="1" si="264"/>
        <v>0</v>
      </c>
      <c r="L806" s="1574" t="e">
        <f t="shared" si="271"/>
        <v>#DIV/0!</v>
      </c>
      <c r="M806" s="1445"/>
      <c r="N806" s="843"/>
      <c r="O806" s="843"/>
      <c r="Q806" s="843"/>
      <c r="R806" s="843"/>
      <c r="S806" s="843"/>
      <c r="T806" s="843"/>
      <c r="U806" s="843"/>
      <c r="V806" s="843"/>
      <c r="W806" s="843"/>
      <c r="X806" s="843"/>
    </row>
    <row r="807" spans="1:24" s="844" customFormat="1" ht="39.950000000000003" hidden="1" customHeight="1" x14ac:dyDescent="0.15">
      <c r="A807" s="2081">
        <f t="shared" ca="1" si="265"/>
        <v>10</v>
      </c>
      <c r="B807" s="834">
        <v>94995</v>
      </c>
      <c r="C807" s="2" t="str">
        <f>+VLOOKUP($B807,[4]BOLETIM_SEL!$A:$H,2,0)</f>
        <v>SINAPI</v>
      </c>
      <c r="D807" s="315" t="str">
        <f>+VLOOKUP($B807,[4]BOLETIM_SEL!$A:$H,4,0)</f>
        <v>Execução de passeio (calçada) ou piso de concreto com concreto moldado in loco, usinado, acabamento convencional, espessura 8 cm, armado. AF_07/2016</v>
      </c>
      <c r="E807" s="2"/>
      <c r="F807" s="2" t="str">
        <f>+VLOOKUP($B807,[4]BOLETIM_SEL!$A:$H,6,0)</f>
        <v>M2</v>
      </c>
      <c r="G807" s="1407">
        <f>+VLOOKUP($B807,[4]BOLETIM_SEL!$A:$H,7,0)</f>
        <v>96.32</v>
      </c>
      <c r="H807" s="1611">
        <f>IF(Ponto_Onibus!I44&gt;0,Ponto_Onibus!I38,0)</f>
        <v>0</v>
      </c>
      <c r="I807" s="877">
        <f t="shared" si="266"/>
        <v>116.25</v>
      </c>
      <c r="J807" s="1612">
        <f t="shared" si="270"/>
        <v>0</v>
      </c>
      <c r="K807" s="2078">
        <f t="shared" ca="1" si="264"/>
        <v>0</v>
      </c>
      <c r="L807" s="1574" t="e">
        <f t="shared" si="271"/>
        <v>#DIV/0!</v>
      </c>
      <c r="M807" s="1445"/>
      <c r="N807" s="843"/>
      <c r="O807" s="843"/>
      <c r="Q807" s="843"/>
      <c r="R807" s="843"/>
      <c r="S807" s="843"/>
      <c r="T807" s="843"/>
      <c r="U807" s="843"/>
      <c r="V807" s="843"/>
      <c r="W807" s="843"/>
      <c r="X807" s="843"/>
    </row>
    <row r="808" spans="1:24" s="844" customFormat="1" ht="39.950000000000003" hidden="1" customHeight="1" x14ac:dyDescent="0.15">
      <c r="A808" s="2081">
        <f t="shared" ca="1" si="265"/>
        <v>10</v>
      </c>
      <c r="B808" s="834" t="s">
        <v>1930</v>
      </c>
      <c r="C808" s="2" t="str">
        <f>+VLOOKUP($B808,[4]BOLETIM_SEL!$A:$H,2,0)</f>
        <v>COMPOSIÇÃO</v>
      </c>
      <c r="D808" s="315" t="str">
        <f>+VLOOKUP($B808,[4]BOLETIM_SEL!$A:$H,4,0)</f>
        <v>Meio-fio (guia) para estação de embarque, concreto FCK = 15mpa, seção 500cm2, moldado no local, inclusive escavação e pintura a cal em uma demão</v>
      </c>
      <c r="E808" s="2"/>
      <c r="F808" s="2" t="str">
        <f>+VLOOKUP($B808,[4]BOLETIM_SEL!$A:$H,6,0)</f>
        <v>M</v>
      </c>
      <c r="G808" s="1407">
        <f>+VLOOKUP($B808,[4]BOLETIM_SEL!$A:$H,7,0)</f>
        <v>44.47</v>
      </c>
      <c r="H808" s="1611">
        <f>+Ponto_Onibus!I45</f>
        <v>0</v>
      </c>
      <c r="I808" s="877">
        <f t="shared" si="266"/>
        <v>53.67</v>
      </c>
      <c r="J808" s="1612">
        <f t="shared" si="270"/>
        <v>0</v>
      </c>
      <c r="K808" s="2078">
        <f t="shared" ca="1" si="264"/>
        <v>0</v>
      </c>
      <c r="L808" s="1574" t="e">
        <f t="shared" si="271"/>
        <v>#DIV/0!</v>
      </c>
      <c r="M808" s="1445"/>
      <c r="N808" s="1661">
        <f>VLOOKUP($B808,[4]BOLETIM_SEL!$A:$H,3,0)</f>
        <v>13.6</v>
      </c>
      <c r="O808" s="1652">
        <f>+H808/N808</f>
        <v>0</v>
      </c>
      <c r="Q808" s="843"/>
      <c r="R808" s="843"/>
      <c r="S808" s="843"/>
      <c r="T808" s="843"/>
      <c r="U808" s="843"/>
      <c r="V808" s="843"/>
      <c r="W808" s="843"/>
      <c r="X808" s="843"/>
    </row>
    <row r="809" spans="1:24" s="844" customFormat="1" ht="39.950000000000003" hidden="1" customHeight="1" x14ac:dyDescent="0.15">
      <c r="A809" s="2081">
        <f t="shared" ca="1" si="265"/>
        <v>10</v>
      </c>
      <c r="B809" s="834">
        <v>6079</v>
      </c>
      <c r="C809" s="2" t="str">
        <f>+VLOOKUP($B809,[4]BOLETIM_SEL!$A:$H,2,0)</f>
        <v>COTAÇÃO - SINAPI</v>
      </c>
      <c r="D809" s="315" t="str">
        <f>+VLOOKUP($B809,[4]BOLETIM_SEL!$A:$H,4,0)</f>
        <v>Argila, argila vermelha ou argila arenosa (retirada na jazida, sem transporte)</v>
      </c>
      <c r="E809" s="2"/>
      <c r="F809" s="2" t="str">
        <f>+VLOOKUP($B809,[4]BOLETIM_SEL!$A:$H,6,0)</f>
        <v xml:space="preserve">M3    </v>
      </c>
      <c r="G809" s="1407">
        <f>+VLOOKUP($B809,[4]BOLETIM_SEL!$A:$H,7,0)</f>
        <v>33.700000000000003</v>
      </c>
      <c r="H809" s="1611">
        <f>IF(M809="COMERCIAL",Ponto_Onibus!I49,0)</f>
        <v>0</v>
      </c>
      <c r="I809" s="877">
        <f t="shared" si="266"/>
        <v>40.67</v>
      </c>
      <c r="J809" s="1612">
        <f t="shared" si="270"/>
        <v>0</v>
      </c>
      <c r="K809" s="2078">
        <f t="shared" ca="1" si="264"/>
        <v>0</v>
      </c>
      <c r="L809" s="1574" t="e">
        <f t="shared" si="271"/>
        <v>#DIV/0!</v>
      </c>
      <c r="M809" s="1589" t="s">
        <v>410</v>
      </c>
      <c r="N809" s="843"/>
      <c r="O809" s="843"/>
      <c r="Q809" s="843"/>
      <c r="R809" s="843"/>
      <c r="S809" s="843"/>
      <c r="T809" s="843"/>
      <c r="U809" s="843"/>
      <c r="V809" s="843"/>
      <c r="W809" s="843"/>
      <c r="X809" s="843"/>
    </row>
    <row r="810" spans="1:24" s="844" customFormat="1" ht="39.950000000000003" hidden="1" customHeight="1" x14ac:dyDescent="0.15">
      <c r="A810" s="2081">
        <f t="shared" ca="1" si="265"/>
        <v>10</v>
      </c>
      <c r="B810" s="834">
        <v>4748</v>
      </c>
      <c r="C810" s="2" t="str">
        <f>VLOOKUP($B810,[4]BOLETIM_SEL!$A:$H,2,0)</f>
        <v>COTAÇÃO - SINAPI</v>
      </c>
      <c r="D810" s="315" t="str">
        <f>VLOOKUP($B810,[4]BOLETIM_SEL!$A:$H,4,0)</f>
        <v>Pedra britada ou bica corrida, não classificada (posto pedreira/fornecedor, sem frete)</v>
      </c>
      <c r="E810" s="2"/>
      <c r="F810" s="2" t="str">
        <f>VLOOKUP($B810,[4]BOLETIM_SEL!$A:$H,6,0)</f>
        <v xml:space="preserve">M3    </v>
      </c>
      <c r="G810" s="1407">
        <f>+VLOOKUP($B810,[4]BOLETIM_SEL!$A:$H,7,0)</f>
        <v>89.58</v>
      </c>
      <c r="H810" s="1611">
        <f>+Ponto_Onibus!I27</f>
        <v>0</v>
      </c>
      <c r="I810" s="877">
        <f t="shared" si="266"/>
        <v>108.12</v>
      </c>
      <c r="J810" s="1612">
        <f t="shared" si="270"/>
        <v>0</v>
      </c>
      <c r="K810" s="2078">
        <f t="shared" ca="1" si="264"/>
        <v>0</v>
      </c>
      <c r="L810" s="1574" t="e">
        <f t="shared" si="271"/>
        <v>#DIV/0!</v>
      </c>
      <c r="M810" s="1445"/>
      <c r="N810" s="843"/>
      <c r="O810" s="843"/>
      <c r="Q810" s="843"/>
      <c r="R810" s="843"/>
      <c r="S810" s="843"/>
      <c r="T810" s="843"/>
      <c r="U810" s="843"/>
      <c r="V810" s="843"/>
      <c r="W810" s="843"/>
      <c r="X810" s="843"/>
    </row>
    <row r="811" spans="1:24" s="844" customFormat="1" ht="39.950000000000003" hidden="1" customHeight="1" x14ac:dyDescent="0.15">
      <c r="A811" s="2081">
        <f t="shared" ca="1" si="265"/>
        <v>10</v>
      </c>
      <c r="B811" s="834">
        <v>4729</v>
      </c>
      <c r="C811" s="2" t="str">
        <f>VLOOKUP($B811,[4]BOLETIM_SEL!$A:$H,2,0)</f>
        <v>COTAÇÃO - SINAPI</v>
      </c>
      <c r="D811" s="315" t="str">
        <f>VLOOKUP($B811,[4]BOLETIM_SEL!$A:$H,4,0)</f>
        <v>Pedra britada graduada, classificada (posto pedreira/fornecedor, sem frete)</v>
      </c>
      <c r="E811" s="2"/>
      <c r="F811" s="2" t="str">
        <f>VLOOKUP($B811,[4]BOLETIM_SEL!$A:$H,6,0)</f>
        <v xml:space="preserve">M3    </v>
      </c>
      <c r="G811" s="1407">
        <f>+VLOOKUP($B811,[4]BOLETIM_SEL!$A:$H,7,0)</f>
        <v>97.72</v>
      </c>
      <c r="H811" s="1611">
        <f>+Ponto_Onibus!I28</f>
        <v>0</v>
      </c>
      <c r="I811" s="877">
        <f t="shared" si="266"/>
        <v>117.94</v>
      </c>
      <c r="J811" s="1612">
        <f t="shared" si="270"/>
        <v>0</v>
      </c>
      <c r="K811" s="2078">
        <f t="shared" ca="1" si="264"/>
        <v>0</v>
      </c>
      <c r="L811" s="1574" t="e">
        <f t="shared" si="271"/>
        <v>#DIV/0!</v>
      </c>
      <c r="M811" s="1445"/>
      <c r="N811" s="843"/>
      <c r="O811" s="843"/>
      <c r="Q811" s="843"/>
      <c r="R811" s="843"/>
      <c r="S811" s="843"/>
      <c r="T811" s="843"/>
      <c r="U811" s="843"/>
      <c r="V811" s="843"/>
      <c r="W811" s="843"/>
      <c r="X811" s="843"/>
    </row>
    <row r="812" spans="1:24" s="844" customFormat="1" ht="39.950000000000003" hidden="1" customHeight="1" x14ac:dyDescent="0.15">
      <c r="A812" s="2081">
        <f t="shared" ca="1" si="265"/>
        <v>10</v>
      </c>
      <c r="B812" s="834">
        <f>IF(M812="escavadeira",100978,100974)</f>
        <v>100978</v>
      </c>
      <c r="C812" s="2" t="str">
        <f>VLOOKUP($B812,[4]BOLETIM_SEL!$A:$H,2,0)</f>
        <v>SINAPI</v>
      </c>
      <c r="D812" s="315" t="str">
        <f>VLOOKUP($B812,[4]BOLETIM_SEL!$A:$H,4,0)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812" s="2"/>
      <c r="F812" s="2" t="str">
        <f>VLOOKUP($B812,[4]BOLETIM_SEL!$A:$H,6,0)</f>
        <v>M3</v>
      </c>
      <c r="G812" s="1407">
        <f>+VLOOKUP($B812,[4]BOLETIM_SEL!$A:$H,7,0)</f>
        <v>6.17</v>
      </c>
      <c r="H812" s="1611">
        <f>Ponto_Onibus!I36+IF(Ponto_Onibus!I37&lt;=50,Ponto_Onibus!I37,0)</f>
        <v>0</v>
      </c>
      <c r="I812" s="877">
        <f t="shared" si="266"/>
        <v>7.44</v>
      </c>
      <c r="J812" s="1612">
        <f t="shared" si="270"/>
        <v>0</v>
      </c>
      <c r="K812" s="2078">
        <f t="shared" ca="1" si="264"/>
        <v>0</v>
      </c>
      <c r="L812" s="1574" t="e">
        <f t="shared" si="271"/>
        <v>#DIV/0!</v>
      </c>
      <c r="M812" s="1589" t="s">
        <v>2106</v>
      </c>
      <c r="N812" s="843"/>
      <c r="O812" s="843"/>
      <c r="Q812" s="843"/>
      <c r="R812" s="843"/>
      <c r="S812" s="843"/>
      <c r="T812" s="843"/>
      <c r="U812" s="843"/>
      <c r="V812" s="843"/>
      <c r="W812" s="843"/>
      <c r="X812" s="843"/>
    </row>
    <row r="813" spans="1:24" s="844" customFormat="1" ht="39.950000000000003" hidden="1" customHeight="1" x14ac:dyDescent="0.15">
      <c r="A813" s="2081">
        <f t="shared" ca="1" si="265"/>
        <v>10</v>
      </c>
      <c r="B813" s="834">
        <f>IF(M813="escavadeira",100979,100975)</f>
        <v>100979</v>
      </c>
      <c r="C813" s="2" t="str">
        <f>VLOOKUP($B813,[4]BOLETIM_SEL!$A:$H,2,0)</f>
        <v>SINAPI</v>
      </c>
      <c r="D813" s="315" t="str">
        <f>VLOOKUP($B813,[4]BOLETIM_SEL!$A:$H,4,0)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813" s="2"/>
      <c r="F813" s="2" t="str">
        <f>VLOOKUP($B813,[4]BOLETIM_SEL!$A:$H,6,0)</f>
        <v>M3</v>
      </c>
      <c r="G813" s="1407">
        <f>+VLOOKUP($B813,[4]BOLETIM_SEL!$A:$H,7,0)</f>
        <v>6.01</v>
      </c>
      <c r="H813" s="1611">
        <f>IF(Ponto_Onibus!I37&gt;50,Ponto_Onibus!I37,0)</f>
        <v>0</v>
      </c>
      <c r="I813" s="877">
        <f t="shared" si="266"/>
        <v>7.25</v>
      </c>
      <c r="J813" s="1612">
        <f t="shared" si="270"/>
        <v>0</v>
      </c>
      <c r="K813" s="2078">
        <f t="shared" ca="1" si="264"/>
        <v>0</v>
      </c>
      <c r="L813" s="1574" t="e">
        <f t="shared" si="271"/>
        <v>#DIV/0!</v>
      </c>
      <c r="M813" s="1589" t="s">
        <v>2106</v>
      </c>
      <c r="N813" s="843"/>
      <c r="O813" s="843"/>
      <c r="Q813" s="843"/>
      <c r="R813" s="843"/>
      <c r="S813" s="843"/>
      <c r="T813" s="843"/>
      <c r="U813" s="843"/>
      <c r="V813" s="843"/>
      <c r="W813" s="843"/>
      <c r="X813" s="843"/>
    </row>
    <row r="814" spans="1:24" s="844" customFormat="1" ht="24.95" hidden="1" customHeight="1" x14ac:dyDescent="0.15">
      <c r="A814" s="2081"/>
      <c r="B814" s="834"/>
      <c r="C814" s="2"/>
      <c r="D814" s="1452" t="s">
        <v>1795</v>
      </c>
      <c r="E814" s="2"/>
      <c r="F814" s="2"/>
      <c r="G814" s="1407"/>
      <c r="H814" s="1407"/>
      <c r="I814" s="2"/>
      <c r="J814" s="839" t="str">
        <f>IF(J815=0,"-","")</f>
        <v>-</v>
      </c>
      <c r="K814" s="2078"/>
      <c r="L814" s="1574"/>
      <c r="M814" s="1445" t="s">
        <v>1950</v>
      </c>
      <c r="N814" s="843"/>
      <c r="O814" s="843"/>
      <c r="Q814" s="843"/>
      <c r="R814" s="843"/>
      <c r="S814" s="843"/>
      <c r="T814" s="843"/>
      <c r="U814" s="843"/>
      <c r="V814" s="843"/>
      <c r="W814" s="843"/>
      <c r="X814" s="843"/>
    </row>
    <row r="815" spans="1:24" s="844" customFormat="1" ht="39.950000000000003" hidden="1" customHeight="1" x14ac:dyDescent="0.15">
      <c r="A815" s="2081">
        <f ca="1">+IF(H815&gt;0,A813+0.01,A813)</f>
        <v>10</v>
      </c>
      <c r="B815" s="834">
        <f>IF(AND(M815&lt;=50,E815&lt;=30),95878,IF(AND(M815&lt;=50,E815&gt;30),93596,IF(AND(M815&gt;50,E815&lt;=30),95879,93599)))</f>
        <v>95878</v>
      </c>
      <c r="C815" s="2" t="str">
        <f>VLOOKUP($B815,[4]BOLETIM_SEL!$A:$H,2,0)</f>
        <v>SINAPI</v>
      </c>
      <c r="D815" s="315" t="str">
        <f>VLOOKUP($B815,[4]BOLETIM_SEL!$A:$H,4,0)</f>
        <v>Transporte com caminhão basculante de 10 m3, em via urbana pavimentada, DMT até 30,00 km (unidade: txkm). AF_07/2020</v>
      </c>
      <c r="E815" s="2">
        <f>+Dados_DMT!$B$19</f>
        <v>0</v>
      </c>
      <c r="F815" s="2" t="str">
        <f>VLOOKUP($B815,[4]BOLETIM_SEL!$A:$H,6,0)</f>
        <v>TXKM</v>
      </c>
      <c r="G815" s="1407">
        <f>VLOOKUP($B815,[4]BOLETIM_SEL!$A:$H,7,0)</f>
        <v>1.47</v>
      </c>
      <c r="H815" s="1611">
        <f>ROUND(Ponto_Onibus!I46*E815,2)</f>
        <v>0</v>
      </c>
      <c r="I815" s="877">
        <f>+TRUNC(G815*(1+$J$5),2)</f>
        <v>1.77</v>
      </c>
      <c r="J815" s="1612">
        <f t="shared" si="270"/>
        <v>0</v>
      </c>
      <c r="K815" s="2078">
        <f ca="1">+J815/J$967</f>
        <v>0</v>
      </c>
      <c r="L815" s="1574" t="e">
        <f t="shared" si="271"/>
        <v>#DIV/0!</v>
      </c>
      <c r="M815" s="1453">
        <f>IF(H815=0,0,H815/E815)</f>
        <v>0</v>
      </c>
      <c r="N815" s="843"/>
      <c r="O815" s="843"/>
      <c r="Q815" s="843"/>
      <c r="R815" s="843"/>
      <c r="S815" s="843"/>
      <c r="T815" s="843"/>
      <c r="U815" s="843"/>
      <c r="V815" s="843"/>
      <c r="W815" s="843"/>
      <c r="X815" s="843"/>
    </row>
    <row r="816" spans="1:24" s="844" customFormat="1" ht="24.95" hidden="1" customHeight="1" x14ac:dyDescent="0.15">
      <c r="A816" s="2081"/>
      <c r="B816" s="834"/>
      <c r="C816" s="2"/>
      <c r="D816" s="1452" t="s">
        <v>1803</v>
      </c>
      <c r="E816" s="2"/>
      <c r="F816" s="2"/>
      <c r="G816" s="1407"/>
      <c r="H816" s="1407"/>
      <c r="I816" s="2"/>
      <c r="J816" s="839" t="str">
        <f>IF(J817=0,"-","")</f>
        <v>-</v>
      </c>
      <c r="K816" s="2078"/>
      <c r="L816" s="1574"/>
      <c r="M816" s="1445" t="s">
        <v>1954</v>
      </c>
      <c r="N816" s="843"/>
      <c r="O816" s="843"/>
      <c r="Q816" s="843"/>
      <c r="R816" s="843"/>
      <c r="S816" s="843"/>
      <c r="T816" s="843"/>
      <c r="U816" s="843"/>
      <c r="V816" s="843"/>
      <c r="W816" s="843"/>
      <c r="X816" s="843"/>
    </row>
    <row r="817" spans="1:24" s="844" customFormat="1" ht="39.950000000000003" hidden="1" customHeight="1" x14ac:dyDescent="0.15">
      <c r="A817" s="2081">
        <f ca="1">+IF(H817&gt;0,A815+0.01,A815)</f>
        <v>10</v>
      </c>
      <c r="B817" s="834">
        <f>IF(AND(M817&lt;=50,E817&lt;=30),95875,IF(AND(M817&lt;=50,E817&gt;30),93590,IF(AND(M817&gt;50,E817&lt;=30),95876,93593)))</f>
        <v>95875</v>
      </c>
      <c r="C817" s="2" t="str">
        <f>VLOOKUP($B817,[4]BOLETIM_SEL!$A:$H,2,0)</f>
        <v>SINAPI</v>
      </c>
      <c r="D817" s="315" t="str">
        <f>VLOOKUP($B817,[4]BOLETIM_SEL!$A:$H,4,0)</f>
        <v>Transporte com caminhão basculante de 10 m3, em via urbana pavimentada, DMT até 30,00 km (unidade: m3xkm). AF_07/2020</v>
      </c>
      <c r="E817" s="2">
        <f>+Dados_DMT!$B$17</f>
        <v>4</v>
      </c>
      <c r="F817" s="2" t="str">
        <f>VLOOKUP($B817,[4]BOLETIM_SEL!$A:$H,6,0)</f>
        <v>M3XKM</v>
      </c>
      <c r="G817" s="1407">
        <f>VLOOKUP($B817,[4]BOLETIM_SEL!$A:$H,7,0)</f>
        <v>2.1800000000000002</v>
      </c>
      <c r="H817" s="1611">
        <f>ROUND(Ponto_Onibus!I47*E817,2)</f>
        <v>0</v>
      </c>
      <c r="I817" s="877">
        <f>+TRUNC(G817*(1+$J$5),2)</f>
        <v>2.63</v>
      </c>
      <c r="J817" s="1612">
        <f t="shared" si="270"/>
        <v>0</v>
      </c>
      <c r="K817" s="2078">
        <f ca="1">+J817/J$967</f>
        <v>0</v>
      </c>
      <c r="L817" s="1574" t="e">
        <f t="shared" si="271"/>
        <v>#DIV/0!</v>
      </c>
      <c r="M817" s="1453">
        <f>IF(H817=0,0,H817/E817)</f>
        <v>0</v>
      </c>
      <c r="N817" s="843"/>
      <c r="O817" s="843"/>
      <c r="Q817" s="843"/>
      <c r="R817" s="843"/>
      <c r="S817" s="843"/>
      <c r="T817" s="843"/>
      <c r="U817" s="843"/>
      <c r="V817" s="843"/>
      <c r="W817" s="843"/>
      <c r="X817" s="843"/>
    </row>
    <row r="818" spans="1:24" s="844" customFormat="1" ht="24.95" hidden="1" customHeight="1" x14ac:dyDescent="0.15">
      <c r="A818" s="2081"/>
      <c r="B818" s="834"/>
      <c r="C818" s="2"/>
      <c r="D818" s="1452" t="s">
        <v>1899</v>
      </c>
      <c r="E818" s="2"/>
      <c r="F818" s="2"/>
      <c r="G818" s="1407"/>
      <c r="H818" s="2"/>
      <c r="I818" s="2"/>
      <c r="J818" s="839" t="str">
        <f>IF(J819=0,"-","")</f>
        <v>-</v>
      </c>
      <c r="K818" s="2078"/>
      <c r="L818" s="1574"/>
      <c r="M818" s="1445" t="s">
        <v>1674</v>
      </c>
      <c r="N818" s="843"/>
      <c r="O818" s="843"/>
      <c r="Q818" s="843"/>
      <c r="R818" s="843"/>
      <c r="S818" s="843"/>
      <c r="T818" s="843"/>
      <c r="U818" s="843"/>
      <c r="V818" s="843"/>
      <c r="W818" s="843"/>
      <c r="X818" s="843"/>
    </row>
    <row r="819" spans="1:24" s="844" customFormat="1" ht="30" hidden="1" customHeight="1" x14ac:dyDescent="0.15">
      <c r="A819" s="2081">
        <f ca="1">+IF(H819&gt;0,A817+0.01,A817)</f>
        <v>10</v>
      </c>
      <c r="B819" s="834">
        <v>100938</v>
      </c>
      <c r="C819" s="2" t="str">
        <f>VLOOKUP($B819,[4]BOLETIM_SEL!$A:$H,2,0)</f>
        <v>SINAPI</v>
      </c>
      <c r="D819" s="315" t="str">
        <f>VLOOKUP($B819,[4]BOLETIM_SEL!$A:$H,4,0)</f>
        <v>Transporte com caminhão basculante de 10 m3, em via interna (dentro do canteiro - unidade: m3xkm). AF_07/2020</v>
      </c>
      <c r="E819" s="2">
        <f>+Dados_DMT!$B$15</f>
        <v>1</v>
      </c>
      <c r="F819" s="2" t="str">
        <f>VLOOKUP($B819,[4]BOLETIM_SEL!$A:$H,6,0)</f>
        <v>M3XKM</v>
      </c>
      <c r="G819" s="1407">
        <f>+VLOOKUP($B819,[4]BOLETIM_SEL!$A:$H,7,0)</f>
        <v>6.57</v>
      </c>
      <c r="H819" s="1611">
        <f>ROUND(Ponto_Onibus!I48*E819,2)</f>
        <v>0</v>
      </c>
      <c r="I819" s="877">
        <f>+TRUNC(G819*(1+$J$5),2)</f>
        <v>7.92</v>
      </c>
      <c r="J819" s="1612">
        <f t="shared" si="270"/>
        <v>0</v>
      </c>
      <c r="K819" s="2078">
        <f ca="1">+J819/J$967</f>
        <v>0</v>
      </c>
      <c r="L819" s="1574" t="e">
        <f t="shared" si="271"/>
        <v>#DIV/0!</v>
      </c>
      <c r="M819" s="1445"/>
      <c r="N819" s="843"/>
      <c r="O819" s="843"/>
      <c r="Q819" s="843"/>
      <c r="R819" s="843"/>
      <c r="S819" s="843"/>
      <c r="T819" s="843"/>
      <c r="U819" s="843"/>
      <c r="V819" s="843"/>
      <c r="W819" s="843"/>
      <c r="X819" s="843"/>
    </row>
    <row r="820" spans="1:24" s="844" customFormat="1" ht="24.95" hidden="1" customHeight="1" x14ac:dyDescent="0.15">
      <c r="A820" s="2081"/>
      <c r="B820" s="834"/>
      <c r="C820" s="2"/>
      <c r="D820" s="1452" t="s">
        <v>1816</v>
      </c>
      <c r="E820" s="2"/>
      <c r="F820" s="2"/>
      <c r="G820" s="1407"/>
      <c r="H820" s="1407"/>
      <c r="I820" s="2"/>
      <c r="J820" s="839" t="str">
        <f>IF(J821=0,"-","")</f>
        <v>-</v>
      </c>
      <c r="K820" s="2078"/>
      <c r="L820" s="1574"/>
      <c r="M820" s="1445"/>
      <c r="N820" s="843"/>
      <c r="O820" s="843"/>
      <c r="Q820" s="843"/>
      <c r="R820" s="843"/>
      <c r="S820" s="843"/>
      <c r="T820" s="843"/>
      <c r="U820" s="843"/>
      <c r="V820" s="843"/>
      <c r="W820" s="843"/>
      <c r="X820" s="843"/>
    </row>
    <row r="821" spans="1:24" s="844" customFormat="1" ht="30" hidden="1" customHeight="1" x14ac:dyDescent="0.15">
      <c r="A821" s="2081">
        <f ca="1">+IF(H821&gt;0,A819+0.01,A819)</f>
        <v>10</v>
      </c>
      <c r="B821" s="834">
        <v>100938</v>
      </c>
      <c r="C821" s="2" t="str">
        <f>VLOOKUP($B821,[4]BOLETIM_SEL!$A:$H,2,0)</f>
        <v>SINAPI</v>
      </c>
      <c r="D821" s="315" t="str">
        <f>VLOOKUP($B821,[4]BOLETIM_SEL!$A:$H,4,0)</f>
        <v>Transporte com caminhão basculante de 10 m3, em via interna (dentro do canteiro - unidade: m3xkm). AF_07/2020</v>
      </c>
      <c r="E821" s="2">
        <f>+Dados_DMT!$B$14</f>
        <v>4</v>
      </c>
      <c r="F821" s="2" t="str">
        <f>VLOOKUP($B821,[4]BOLETIM_SEL!$A:$H,6,0)</f>
        <v>M3XKM</v>
      </c>
      <c r="G821" s="1407">
        <f>VLOOKUP($B821,[4]BOLETIM_SEL!$A:$H,7,0)</f>
        <v>6.57</v>
      </c>
      <c r="H821" s="1611">
        <f>ROUND(Ponto_Onibus!I49*E821,2)</f>
        <v>0</v>
      </c>
      <c r="I821" s="877">
        <f>+TRUNC(G821*(1+$J$5),2)</f>
        <v>7.92</v>
      </c>
      <c r="J821" s="1612">
        <f t="shared" si="270"/>
        <v>0</v>
      </c>
      <c r="K821" s="2078">
        <f ca="1">+J821/J$967</f>
        <v>0</v>
      </c>
      <c r="L821" s="1574" t="e">
        <f t="shared" si="271"/>
        <v>#DIV/0!</v>
      </c>
      <c r="M821" s="1445"/>
      <c r="N821" s="843"/>
      <c r="O821" s="843"/>
      <c r="Q821" s="843"/>
      <c r="R821" s="843"/>
      <c r="S821" s="843"/>
      <c r="T821" s="843"/>
      <c r="U821" s="843"/>
      <c r="V821" s="843"/>
      <c r="W821" s="843"/>
      <c r="X821" s="843"/>
    </row>
    <row r="822" spans="1:24" s="844" customFormat="1" ht="24.95" hidden="1" customHeight="1" x14ac:dyDescent="0.15">
      <c r="A822" s="2081"/>
      <c r="B822" s="834"/>
      <c r="C822" s="2"/>
      <c r="D822" s="1452" t="s">
        <v>2190</v>
      </c>
      <c r="E822" s="2"/>
      <c r="F822" s="2"/>
      <c r="G822" s="1407"/>
      <c r="H822" s="1407"/>
      <c r="I822" s="2"/>
      <c r="J822" s="839" t="str">
        <f>IF(J823=0,"-","")</f>
        <v>-</v>
      </c>
      <c r="K822" s="2078"/>
      <c r="L822" s="1574"/>
      <c r="M822" s="1445"/>
      <c r="N822" s="843"/>
      <c r="O822" s="843"/>
      <c r="Q822" s="843"/>
      <c r="R822" s="843"/>
      <c r="S822" s="843"/>
      <c r="T822" s="843"/>
      <c r="U822" s="843"/>
      <c r="V822" s="843"/>
      <c r="W822" s="843"/>
      <c r="X822" s="843"/>
    </row>
    <row r="823" spans="1:24" s="844" customFormat="1" ht="39.950000000000003" hidden="1" customHeight="1" x14ac:dyDescent="0.15">
      <c r="A823" s="2081">
        <f ca="1">+IF(H823&gt;0,A821+0.01,A821)</f>
        <v>10</v>
      </c>
      <c r="B823" s="834">
        <f>IF(AND(M823&lt;=50,E823&lt;=30),95875,IF(AND(M823&lt;=50,E823&gt;30),93590,IF(AND(M823&gt;50,E823&lt;=30),95876,93593)))</f>
        <v>93590</v>
      </c>
      <c r="C823" s="2" t="str">
        <f>VLOOKUP($B823,[4]BOLETIM_SEL!$A:$H,2,0)</f>
        <v>SINAPI</v>
      </c>
      <c r="D823" s="315" t="str">
        <f>VLOOKUP($B823,[4]BOLETIM_SEL!$A:$H,4,0)</f>
        <v>Transporte com caminhão basculante de 10 m3, em via urbana pavimentada, adicional para DMT excedente a 30,00 km (unidade: m3xkm). AF_07/2020</v>
      </c>
      <c r="E823" s="2">
        <f>+Dados_DMT!$B$34</f>
        <v>109</v>
      </c>
      <c r="F823" s="2" t="str">
        <f>VLOOKUP($B823,[4]BOLETIM_SEL!$A:$H,6,0)</f>
        <v>M3XKM</v>
      </c>
      <c r="G823" s="1407">
        <f>VLOOKUP($B823,[4]BOLETIM_SEL!$A:$H,7,0)</f>
        <v>0.85</v>
      </c>
      <c r="H823" s="1611">
        <f>ROUND((Ponto_Onibus!I50+Ponto_Onibus!I53)*E823,2)</f>
        <v>0</v>
      </c>
      <c r="I823" s="877">
        <f>+TRUNC(G823*(1+$J$5),2)</f>
        <v>1.02</v>
      </c>
      <c r="J823" s="1612">
        <f t="shared" si="270"/>
        <v>0</v>
      </c>
      <c r="K823" s="2078">
        <f ca="1">+J823/J$967</f>
        <v>0</v>
      </c>
      <c r="L823" s="1574" t="e">
        <f t="shared" si="271"/>
        <v>#DIV/0!</v>
      </c>
      <c r="M823" s="1453">
        <f>IF(H823=0,0,H823/E823)</f>
        <v>0</v>
      </c>
      <c r="N823" s="843"/>
      <c r="O823" s="843"/>
      <c r="Q823" s="843"/>
      <c r="R823" s="843"/>
      <c r="S823" s="843"/>
      <c r="T823" s="843"/>
      <c r="U823" s="843"/>
      <c r="V823" s="843"/>
      <c r="W823" s="843"/>
      <c r="X823" s="843"/>
    </row>
    <row r="824" spans="1:24" s="844" customFormat="1" ht="24.95" hidden="1" customHeight="1" x14ac:dyDescent="0.15">
      <c r="A824" s="2081"/>
      <c r="B824" s="834"/>
      <c r="C824" s="2"/>
      <c r="D824" s="1452" t="s">
        <v>1896</v>
      </c>
      <c r="E824" s="2"/>
      <c r="F824" s="2"/>
      <c r="G824" s="1407"/>
      <c r="H824" s="1407"/>
      <c r="I824" s="2"/>
      <c r="J824" s="839" t="str">
        <f>IF(J825=0,"-","")</f>
        <v>-</v>
      </c>
      <c r="K824" s="2078"/>
      <c r="L824" s="1574"/>
      <c r="M824" s="1445"/>
      <c r="N824" s="843"/>
      <c r="O824" s="843"/>
      <c r="Q824" s="843"/>
      <c r="R824" s="843"/>
      <c r="S824" s="843"/>
      <c r="T824" s="843"/>
      <c r="U824" s="843"/>
      <c r="V824" s="843"/>
      <c r="W824" s="843"/>
      <c r="X824" s="843"/>
    </row>
    <row r="825" spans="1:24" s="844" customFormat="1" ht="39.950000000000003" hidden="1" customHeight="1" x14ac:dyDescent="0.15">
      <c r="A825" s="2081">
        <f ca="1">+IF(H825&gt;0,A823+0.01,A823)</f>
        <v>10</v>
      </c>
      <c r="B825" s="834">
        <f>IF(AND(M825&lt;=50,E825&lt;=30),95875,IF(AND(M825&lt;=50,E825&gt;30),93590,IF(AND(M825&gt;50,E825&lt;=30),95876,93593)))</f>
        <v>93590</v>
      </c>
      <c r="C825" s="2" t="str">
        <f>VLOOKUP($B825,[4]BOLETIM_SEL!$A:$H,2,0)</f>
        <v>SINAPI</v>
      </c>
      <c r="D825" s="315" t="str">
        <f>VLOOKUP($B825,[4]BOLETIM_SEL!$A:$H,4,0)</f>
        <v>Transporte com caminhão basculante de 10 m3, em via urbana pavimentada, adicional para DMT excedente a 30,00 km (unidade: m3xkm). AF_07/2020</v>
      </c>
      <c r="E825" s="2">
        <f>+Dados_DMT!$B$34</f>
        <v>109</v>
      </c>
      <c r="F825" s="2" t="str">
        <f>VLOOKUP($B825,[4]BOLETIM_SEL!$A:$H,6,0)</f>
        <v>M3XKM</v>
      </c>
      <c r="G825" s="1407">
        <f>VLOOKUP($B825,[4]BOLETIM_SEL!$A:$H,7,0)</f>
        <v>0.85</v>
      </c>
      <c r="H825" s="1611">
        <f>ROUND(Ponto_Onibus!I51*E825,2)</f>
        <v>0</v>
      </c>
      <c r="I825" s="877">
        <f>+TRUNC(G825*(1+$J$5),2)</f>
        <v>1.02</v>
      </c>
      <c r="J825" s="1612">
        <f t="shared" si="270"/>
        <v>0</v>
      </c>
      <c r="K825" s="2078">
        <f ca="1">+J825/J$967</f>
        <v>0</v>
      </c>
      <c r="L825" s="1574" t="e">
        <f t="shared" si="271"/>
        <v>#DIV/0!</v>
      </c>
      <c r="M825" s="1453">
        <f>IF(H825=0,0,H825/E825)</f>
        <v>0</v>
      </c>
      <c r="N825" s="843"/>
      <c r="O825" s="843"/>
      <c r="Q825" s="843"/>
      <c r="R825" s="843"/>
      <c r="S825" s="843"/>
      <c r="T825" s="843"/>
      <c r="U825" s="843"/>
      <c r="V825" s="843"/>
      <c r="W825" s="843"/>
      <c r="X825" s="843"/>
    </row>
    <row r="826" spans="1:24" s="844" customFormat="1" ht="24.95" hidden="1" customHeight="1" x14ac:dyDescent="0.15">
      <c r="A826" s="2081"/>
      <c r="B826" s="834"/>
      <c r="C826" s="2"/>
      <c r="D826" s="1452" t="s">
        <v>1897</v>
      </c>
      <c r="E826" s="2"/>
      <c r="F826" s="2"/>
      <c r="G826" s="1407"/>
      <c r="H826" s="1407"/>
      <c r="I826" s="2"/>
      <c r="J826" s="839" t="str">
        <f>IF(J827=0,"-","")</f>
        <v>-</v>
      </c>
      <c r="K826" s="2078"/>
      <c r="L826" s="1574"/>
      <c r="M826" s="1445"/>
      <c r="N826" s="843"/>
      <c r="O826" s="843"/>
      <c r="Q826" s="843"/>
      <c r="R826" s="843"/>
      <c r="S826" s="843"/>
      <c r="T826" s="843"/>
      <c r="U826" s="843"/>
      <c r="V826" s="843"/>
      <c r="W826" s="843"/>
      <c r="X826" s="843"/>
    </row>
    <row r="827" spans="1:24" s="844" customFormat="1" ht="39.950000000000003" hidden="1" customHeight="1" x14ac:dyDescent="0.15">
      <c r="A827" s="2081">
        <f ca="1">+IF(H827&gt;0,A825+0.01,A825)</f>
        <v>10</v>
      </c>
      <c r="B827" s="834">
        <f>IF(AND(M827&lt;=50,E827&lt;=30),95875,IF(AND(M827&lt;=50,E827&gt;30),93590,IF(AND(M827&gt;50,E827&lt;=30),95876,93593)))</f>
        <v>93590</v>
      </c>
      <c r="C827" s="2" t="str">
        <f>VLOOKUP($B827,[4]BOLETIM_SEL!$A:$H,2,0)</f>
        <v>SINAPI</v>
      </c>
      <c r="D827" s="315" t="str">
        <f>VLOOKUP($B827,[4]BOLETIM_SEL!$A:$H,4,0)</f>
        <v>Transporte com caminhão basculante de 10 m3, em via urbana pavimentada, adicional para DMT excedente a 30,00 km (unidade: m3xkm). AF_07/2020</v>
      </c>
      <c r="E827" s="2">
        <f>+Dados_DMT!$B$34</f>
        <v>109</v>
      </c>
      <c r="F827" s="2" t="str">
        <f>VLOOKUP($B827,[4]BOLETIM_SEL!$A:$H,6,0)</f>
        <v>M3XKM</v>
      </c>
      <c r="G827" s="1407">
        <f>VLOOKUP($B827,[4]BOLETIM_SEL!$A:$H,7,0)</f>
        <v>0.85</v>
      </c>
      <c r="H827" s="1611">
        <f>ROUND(Ponto_Onibus!I52*E827,2)</f>
        <v>0</v>
      </c>
      <c r="I827" s="877">
        <f>+TRUNC(G827*(1+$J$5),2)</f>
        <v>1.02</v>
      </c>
      <c r="J827" s="1612">
        <f t="shared" si="270"/>
        <v>0</v>
      </c>
      <c r="K827" s="2078">
        <f ca="1">+J827/J$967</f>
        <v>0</v>
      </c>
      <c r="L827" s="1574" t="e">
        <f t="shared" si="271"/>
        <v>#DIV/0!</v>
      </c>
      <c r="M827" s="1453">
        <f>IF(H827=0,0,H827/E827)</f>
        <v>0</v>
      </c>
      <c r="N827" s="843"/>
      <c r="O827" s="843"/>
      <c r="Q827" s="843"/>
      <c r="R827" s="843"/>
      <c r="S827" s="843"/>
      <c r="T827" s="843"/>
      <c r="U827" s="843"/>
      <c r="V827" s="843"/>
      <c r="W827" s="843"/>
      <c r="X827" s="843"/>
    </row>
    <row r="828" spans="1:24" s="844" customFormat="1" ht="24.95" hidden="1" customHeight="1" x14ac:dyDescent="0.15">
      <c r="A828" s="2081"/>
      <c r="B828" s="834"/>
      <c r="C828" s="2"/>
      <c r="D828" s="1452" t="s">
        <v>1759</v>
      </c>
      <c r="E828" s="2"/>
      <c r="F828" s="2"/>
      <c r="G828" s="1407"/>
      <c r="H828" s="2"/>
      <c r="I828" s="839" t="str">
        <f>IF(I829=0,"-","")</f>
        <v/>
      </c>
      <c r="J828" s="839" t="str">
        <f>IF(J829=0,"-","")</f>
        <v>-</v>
      </c>
      <c r="K828" s="2078"/>
      <c r="L828" s="1574"/>
      <c r="M828" s="1445"/>
      <c r="N828" s="843"/>
      <c r="O828" s="843"/>
      <c r="Q828" s="843"/>
      <c r="R828" s="843"/>
      <c r="S828" s="843"/>
      <c r="T828" s="843"/>
      <c r="U828" s="843"/>
      <c r="V828" s="843"/>
      <c r="W828" s="843"/>
      <c r="X828" s="843"/>
    </row>
    <row r="829" spans="1:24" s="844" customFormat="1" ht="39.950000000000003" hidden="1" customHeight="1" x14ac:dyDescent="0.15">
      <c r="A829" s="2081">
        <f ca="1">+IF(H829&gt;0,A827+0.01,A827)</f>
        <v>10</v>
      </c>
      <c r="B829" s="834">
        <v>102332</v>
      </c>
      <c r="C829" s="2" t="str">
        <f>VLOOKUP($B829,[4]BOLETIM_SEL!$A:$H,2,0)</f>
        <v>SINAPI</v>
      </c>
      <c r="D829" s="315" t="str">
        <f>VLOOKUP($B829,[4]BOLETIM_SEL!$A:$H,4,0)</f>
        <v>Transporte com caminhão tanque de transporte de material asfáltico de 20.000 l, em via urbana pavimentada, DMT até 30,00 km (unidade: txkm). AF_07/2020</v>
      </c>
      <c r="E829" s="2">
        <f>+Dados_DMT!$B$25</f>
        <v>109</v>
      </c>
      <c r="F829" s="2" t="str">
        <f>VLOOKUP($B829,[4]BOLETIM_SEL!$A:$H,6,0)</f>
        <v>TXKM</v>
      </c>
      <c r="G829" s="1407">
        <f>+VLOOKUP($B829,[4]BOLETIM_SEL!$A:$H,7,0)</f>
        <v>1.63</v>
      </c>
      <c r="H829" s="1611">
        <f>ROUND(Ponto_Onibus!I58*E829,2)</f>
        <v>0</v>
      </c>
      <c r="I829" s="877">
        <f>+TRUNC(G829*(1+$J$5),2)</f>
        <v>1.96</v>
      </c>
      <c r="J829" s="1612">
        <f t="shared" si="270"/>
        <v>0</v>
      </c>
      <c r="K829" s="2078">
        <f ca="1">+J829/J$967</f>
        <v>0</v>
      </c>
      <c r="L829" s="1574" t="e">
        <f t="shared" si="271"/>
        <v>#DIV/0!</v>
      </c>
      <c r="M829" s="1454">
        <f>IF(H829=0,0,H829/E829)</f>
        <v>0</v>
      </c>
      <c r="N829" s="843"/>
      <c r="O829" s="843"/>
      <c r="Q829" s="843"/>
      <c r="R829" s="843"/>
      <c r="S829" s="843"/>
      <c r="T829" s="843"/>
      <c r="U829" s="843"/>
      <c r="V829" s="843"/>
      <c r="W829" s="843"/>
      <c r="X829" s="843"/>
    </row>
    <row r="830" spans="1:24" s="844" customFormat="1" ht="24.95" hidden="1" customHeight="1" x14ac:dyDescent="0.15">
      <c r="A830" s="2081"/>
      <c r="B830" s="834"/>
      <c r="C830" s="2"/>
      <c r="D830" s="1452" t="s">
        <v>1931</v>
      </c>
      <c r="E830" s="2"/>
      <c r="F830" s="2"/>
      <c r="G830" s="1407"/>
      <c r="H830" s="1407"/>
      <c r="I830" s="839"/>
      <c r="J830" s="839" t="str">
        <f>IF(J831=0,"-","")</f>
        <v>-</v>
      </c>
      <c r="K830" s="2078"/>
      <c r="L830" s="1574"/>
      <c r="M830" s="1445"/>
      <c r="N830" s="843"/>
      <c r="O830" s="843"/>
      <c r="Q830" s="843"/>
      <c r="R830" s="843"/>
      <c r="S830" s="843"/>
      <c r="T830" s="843"/>
      <c r="U830" s="843"/>
      <c r="V830" s="843"/>
      <c r="W830" s="843"/>
      <c r="X830" s="843"/>
    </row>
    <row r="831" spans="1:24" s="844" customFormat="1" ht="30" hidden="1" customHeight="1" x14ac:dyDescent="0.15">
      <c r="A831" s="2081">
        <f ca="1">+IF(H831&gt;0,A829+0.01,A829)</f>
        <v>10</v>
      </c>
      <c r="B831" s="834">
        <v>100947</v>
      </c>
      <c r="C831" s="2" t="str">
        <f>VLOOKUP($B831,[4]BOLETIM_SEL!$A:$H,2,0)</f>
        <v>SINAPI</v>
      </c>
      <c r="D831" s="315" t="str">
        <f>VLOOKUP($B831,[4]BOLETIM_SEL!$A:$H,4,0)</f>
        <v>Transporte com caminhão carroceria 9t, em via urbana pavimentada, DMT até 30,00 km (unidade: txkm). AF_07/2020</v>
      </c>
      <c r="E831" s="2">
        <f>+Dados_DMT!$B$35</f>
        <v>0</v>
      </c>
      <c r="F831" s="2" t="str">
        <f>VLOOKUP($B831,[4]BOLETIM_SEL!$A:$H,6,0)</f>
        <v>TXKM</v>
      </c>
      <c r="G831" s="1407">
        <f>VLOOKUP($B831,[4]BOLETIM_SEL!$A:$H,7,0)</f>
        <v>1.96</v>
      </c>
      <c r="H831" s="1611">
        <f>ROUND(Ponto_Onibus!I54*E831,2)</f>
        <v>0</v>
      </c>
      <c r="I831" s="877">
        <f>+TRUNC(G831*(1+$J$5),2)</f>
        <v>2.36</v>
      </c>
      <c r="J831" s="1612">
        <f t="shared" si="270"/>
        <v>0</v>
      </c>
      <c r="K831" s="2078">
        <f ca="1">+J831/J$967</f>
        <v>0</v>
      </c>
      <c r="L831" s="1574" t="e">
        <f t="shared" si="271"/>
        <v>#DIV/0!</v>
      </c>
      <c r="M831" s="1445"/>
      <c r="N831" s="843"/>
      <c r="O831" s="843"/>
      <c r="Q831" s="843"/>
      <c r="R831" s="843"/>
      <c r="S831" s="843"/>
      <c r="T831" s="843"/>
      <c r="U831" s="843"/>
      <c r="V831" s="843"/>
      <c r="W831" s="843"/>
      <c r="X831" s="843"/>
    </row>
    <row r="832" spans="1:24" s="844" customFormat="1" ht="24.95" hidden="1" customHeight="1" x14ac:dyDescent="0.15">
      <c r="A832" s="2081"/>
      <c r="B832" s="841"/>
      <c r="C832" s="834"/>
      <c r="D832" s="835"/>
      <c r="E832" s="2"/>
      <c r="F832" s="834"/>
      <c r="G832" s="1821"/>
      <c r="H832" s="1609"/>
      <c r="I832" s="2"/>
      <c r="J832" s="839">
        <f>+IF(J796=0,0,"")</f>
        <v>0</v>
      </c>
      <c r="K832" s="2078"/>
      <c r="L832" s="1574"/>
      <c r="M832" s="1446"/>
      <c r="N832" s="843"/>
      <c r="O832" s="843"/>
      <c r="Q832" s="843"/>
      <c r="R832" s="843"/>
      <c r="S832" s="843"/>
      <c r="T832" s="843"/>
      <c r="U832" s="843"/>
      <c r="V832" s="843"/>
      <c r="W832" s="843"/>
      <c r="X832" s="843"/>
    </row>
    <row r="833" spans="1:24" s="833" customFormat="1" ht="24.95" hidden="1" customHeight="1" x14ac:dyDescent="0.15">
      <c r="A833" s="2082">
        <f ca="1">IF(J833&gt;0,INT(A831)+1,IF(J833=0,INT(A831),0))</f>
        <v>10</v>
      </c>
      <c r="B833" s="1633"/>
      <c r="C833" s="1633"/>
      <c r="D833" s="1634" t="s">
        <v>663</v>
      </c>
      <c r="E833" s="1828"/>
      <c r="F833" s="1635"/>
      <c r="G833" s="1820" t="s">
        <v>664</v>
      </c>
      <c r="H833" s="1637"/>
      <c r="I833" s="1640" t="str">
        <f ca="1">CONCATENATE("SUB-TOTAL ",A833)</f>
        <v>SUB-TOTAL 10</v>
      </c>
      <c r="J833" s="1639">
        <f>SUM(J834:J893)</f>
        <v>0</v>
      </c>
      <c r="K833" s="2079">
        <f t="shared" ref="K833:K863" ca="1" si="272">+J833/J$967</f>
        <v>0</v>
      </c>
      <c r="L833" s="1610" t="e">
        <f t="shared" ref="L833:L863" si="273">+J833/$J$833</f>
        <v>#DIV/0!</v>
      </c>
    </row>
    <row r="834" spans="1:24" s="813" customFormat="1" ht="39.950000000000003" hidden="1" customHeight="1" x14ac:dyDescent="0.15">
      <c r="A834" s="2081">
        <f t="shared" ref="A834:A863" ca="1" si="274">+IF(H834&gt;0,A833+0.01,A833)</f>
        <v>10</v>
      </c>
      <c r="B834" s="834">
        <v>98525</v>
      </c>
      <c r="C834" s="2" t="str">
        <f>+VLOOKUP($B834,[4]BOLETIM_SEL!$A:$H,2,0)</f>
        <v>SINAPI</v>
      </c>
      <c r="D834" s="315" t="str">
        <f>+VLOOKUP($B834,[4]BOLETIM_SEL!$A:$H,4,0)</f>
        <v>Limpeza mecanizada de camada vegetal, vegetação e pequenas árvores (diâmetro nominal de tronco menor que 0,20 m), com trator de esteiras. AF_05/2018</v>
      </c>
      <c r="E834" s="2"/>
      <c r="F834" s="2" t="str">
        <f>+VLOOKUP($B834,[4]BOLETIM_SEL!$A:$H,6,0)</f>
        <v>M2</v>
      </c>
      <c r="G834" s="1407">
        <f>+VLOOKUP($B834,[4]BOLETIM_SEL!$A:$H,7,0)</f>
        <v>0.34</v>
      </c>
      <c r="H834" s="1611">
        <f>+Ciclovia!J13</f>
        <v>0</v>
      </c>
      <c r="I834" s="877">
        <f t="shared" ref="I834:I857" si="275">+TRUNC(G834*(1+$J$5),2)</f>
        <v>0.41</v>
      </c>
      <c r="J834" s="1612">
        <f t="shared" ref="J834:J863" si="276">TRUNC(H834*I834,2)</f>
        <v>0</v>
      </c>
      <c r="K834" s="2078">
        <f t="shared" ca="1" si="272"/>
        <v>0</v>
      </c>
      <c r="L834" s="1574" t="e">
        <f t="shared" si="273"/>
        <v>#DIV/0!</v>
      </c>
      <c r="M834" s="1445"/>
      <c r="N834" s="1655" t="s">
        <v>1962</v>
      </c>
      <c r="O834" s="1655" t="s">
        <v>1988</v>
      </c>
      <c r="Q834" s="833"/>
      <c r="R834" s="833"/>
      <c r="S834" s="833"/>
      <c r="T834" s="833"/>
      <c r="U834" s="833"/>
      <c r="V834" s="833"/>
      <c r="W834" s="833"/>
      <c r="X834" s="833"/>
    </row>
    <row r="835" spans="1:24" s="813" customFormat="1" ht="50.1" hidden="1" customHeight="1" x14ac:dyDescent="0.15">
      <c r="A835" s="2081">
        <f t="shared" ca="1" si="274"/>
        <v>10</v>
      </c>
      <c r="B835" s="834">
        <v>101230</v>
      </c>
      <c r="C835" s="2" t="str">
        <f>+VLOOKUP($B835,[4]BOLETIM_SEL!$A:$H,2,0)</f>
        <v>SINAPI</v>
      </c>
      <c r="D835" s="315" t="str">
        <f>+VLOOKUP($B835,[4]BOLETIM_SEL!$A:$H,4,0)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35" s="2"/>
      <c r="F835" s="2" t="str">
        <f>+VLOOKUP($B835,[4]BOLETIM_SEL!$A:$H,6,0)</f>
        <v>M3</v>
      </c>
      <c r="G835" s="1407">
        <f>+VLOOKUP($B835,[4]BOLETIM_SEL!$A:$H,7,0)</f>
        <v>10.029999999999999</v>
      </c>
      <c r="H835" s="1611">
        <f>+Ciclovia!J37</f>
        <v>0</v>
      </c>
      <c r="I835" s="877">
        <f t="shared" si="275"/>
        <v>12.1</v>
      </c>
      <c r="J835" s="1612">
        <f t="shared" si="276"/>
        <v>0</v>
      </c>
      <c r="K835" s="2078">
        <f t="shared" ca="1" si="272"/>
        <v>0</v>
      </c>
      <c r="L835" s="1574" t="e">
        <f t="shared" si="273"/>
        <v>#DIV/0!</v>
      </c>
      <c r="M835" s="1445"/>
      <c r="N835" s="1654">
        <v>52.08</v>
      </c>
      <c r="O835" s="1652">
        <f>+H835/N835</f>
        <v>0</v>
      </c>
      <c r="Q835" s="833"/>
      <c r="R835" s="833"/>
      <c r="S835" s="833"/>
      <c r="T835" s="833"/>
      <c r="U835" s="833"/>
      <c r="V835" s="833"/>
      <c r="W835" s="833"/>
      <c r="X835" s="833"/>
    </row>
    <row r="836" spans="1:24" s="813" customFormat="1" ht="39.950000000000003" hidden="1" customHeight="1" x14ac:dyDescent="0.15">
      <c r="A836" s="2081">
        <f t="shared" ca="1" si="274"/>
        <v>10</v>
      </c>
      <c r="B836" s="834" t="s">
        <v>195</v>
      </c>
      <c r="C836" s="2" t="str">
        <f>+VLOOKUP($B836,[4]BOLETIM_SEL!$A:$H,2,0)</f>
        <v>COMPOSIÇÃO</v>
      </c>
      <c r="D836" s="315" t="str">
        <f>+VLOOKUP($B836,[4]BOLETIM_SEL!$A:$H,4,0)</f>
        <v>Colchão de rachão e/ou pedra-de-mão, com camada final de pedra brita. Fornecimento e execução. Exclusive transporte da pedra</v>
      </c>
      <c r="E836" s="2"/>
      <c r="F836" s="2" t="str">
        <f>+VLOOKUP($B836,[4]BOLETIM_SEL!$A:$H,6,0)</f>
        <v>M3</v>
      </c>
      <c r="G836" s="1407">
        <f>+VLOOKUP($B836,[4]BOLETIM_SEL!$A:$H,7,0)</f>
        <v>137.47</v>
      </c>
      <c r="H836" s="1611">
        <f>+Ciclovia!J30</f>
        <v>0</v>
      </c>
      <c r="I836" s="877">
        <f t="shared" si="275"/>
        <v>165.92</v>
      </c>
      <c r="J836" s="1612">
        <f t="shared" si="276"/>
        <v>0</v>
      </c>
      <c r="K836" s="2078">
        <f t="shared" ca="1" si="272"/>
        <v>0</v>
      </c>
      <c r="L836" s="1574" t="e">
        <f t="shared" si="273"/>
        <v>#DIV/0!</v>
      </c>
      <c r="M836" s="1445"/>
      <c r="N836" s="1654">
        <f>VLOOKUP($B836,[4]BOLETIM_SEL!$A:$H,3,0)</f>
        <v>34.479999999999997</v>
      </c>
      <c r="O836" s="1652">
        <f>+H836/N836</f>
        <v>0</v>
      </c>
      <c r="Q836" s="833"/>
      <c r="R836" s="833"/>
      <c r="S836" s="833"/>
      <c r="T836" s="833"/>
      <c r="U836" s="833"/>
      <c r="V836" s="833"/>
      <c r="W836" s="833"/>
      <c r="X836" s="833"/>
    </row>
    <row r="837" spans="1:24" s="813" customFormat="1" ht="30" hidden="1" customHeight="1" x14ac:dyDescent="0.15">
      <c r="A837" s="2081">
        <f t="shared" ca="1" si="274"/>
        <v>10</v>
      </c>
      <c r="B837" s="834" t="s">
        <v>1796</v>
      </c>
      <c r="C837" s="2" t="str">
        <f>+VLOOKUP($B837,[4]BOLETIM_SEL!$A:$H,2,0)</f>
        <v>COMPOSIÇÃO</v>
      </c>
      <c r="D837" s="315" t="str">
        <f>+VLOOKUP($B837,[4]BOLETIM_SEL!$A:$H,4,0)</f>
        <v>Preparo do subleito, escavação e carga. Exclusive transporte</v>
      </c>
      <c r="E837" s="2"/>
      <c r="F837" s="2" t="str">
        <f>+VLOOKUP($B837,[4]BOLETIM_SEL!$A:$H,6,0)</f>
        <v>M3</v>
      </c>
      <c r="G837" s="1407">
        <f>+VLOOKUP($B837,[4]BOLETIM_SEL!$A:$H,7,0)</f>
        <v>5.51</v>
      </c>
      <c r="H837" s="1611">
        <f>+Ciclovia!J43</f>
        <v>0</v>
      </c>
      <c r="I837" s="877">
        <f t="shared" si="275"/>
        <v>6.65</v>
      </c>
      <c r="J837" s="1612">
        <f t="shared" si="276"/>
        <v>0</v>
      </c>
      <c r="K837" s="2078">
        <f t="shared" ca="1" si="272"/>
        <v>0</v>
      </c>
      <c r="L837" s="1574" t="e">
        <f t="shared" si="273"/>
        <v>#DIV/0!</v>
      </c>
      <c r="M837" s="1445"/>
      <c r="N837" s="1654">
        <f>VLOOKUP($B837,[4]BOLETIM_SEL!$A:$H,3,0)</f>
        <v>42</v>
      </c>
      <c r="O837" s="1652">
        <f>+H837/N837</f>
        <v>0</v>
      </c>
      <c r="Q837" s="833"/>
      <c r="R837" s="833"/>
      <c r="S837" s="833"/>
      <c r="T837" s="833"/>
      <c r="U837" s="833"/>
      <c r="V837" s="833"/>
      <c r="W837" s="833"/>
      <c r="X837" s="833"/>
    </row>
    <row r="838" spans="1:24" s="813" customFormat="1" ht="50.1" hidden="1" customHeight="1" x14ac:dyDescent="0.15">
      <c r="A838" s="2081">
        <f t="shared" ca="1" si="274"/>
        <v>10</v>
      </c>
      <c r="B838" s="834">
        <v>101230</v>
      </c>
      <c r="C838" s="2" t="str">
        <f>+VLOOKUP($B838,[4]BOLETIM_SEL!$A:$H,2,0)</f>
        <v>SINAPI</v>
      </c>
      <c r="D838" s="315" t="str">
        <f>+VLOOKUP($B838,[4]BOLETIM_SEL!$A:$H,4,0)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38" s="2"/>
      <c r="F838" s="2" t="str">
        <f>+VLOOKUP($B838,[4]BOLETIM_SEL!$A:$H,6,0)</f>
        <v>M3</v>
      </c>
      <c r="G838" s="1407">
        <f>+VLOOKUP($B838,[4]BOLETIM_SEL!$A:$H,7,0)</f>
        <v>10.029999999999999</v>
      </c>
      <c r="H838" s="1611">
        <f>IF(H858=0,Ciclovia!J51+Ciclovia!J71,0)+IF(H860=0,Ciclovia!J73,0)</f>
        <v>0</v>
      </c>
      <c r="I838" s="877">
        <f t="shared" si="275"/>
        <v>12.1</v>
      </c>
      <c r="J838" s="1612">
        <f t="shared" si="276"/>
        <v>0</v>
      </c>
      <c r="K838" s="2078">
        <f t="shared" ca="1" si="272"/>
        <v>0</v>
      </c>
      <c r="L838" s="1574" t="e">
        <f t="shared" si="273"/>
        <v>#DIV/0!</v>
      </c>
      <c r="M838" s="1445"/>
      <c r="N838" s="1654"/>
      <c r="O838" s="1652"/>
      <c r="Q838" s="833"/>
      <c r="R838" s="833"/>
      <c r="S838" s="833"/>
      <c r="T838" s="833"/>
      <c r="U838" s="833"/>
      <c r="V838" s="833"/>
      <c r="W838" s="833"/>
      <c r="X838" s="833"/>
    </row>
    <row r="839" spans="1:24" s="813" customFormat="1" ht="39.950000000000003" hidden="1" customHeight="1" x14ac:dyDescent="0.15">
      <c r="A839" s="2081">
        <f t="shared" ca="1" si="274"/>
        <v>10</v>
      </c>
      <c r="B839" s="834">
        <v>96385</v>
      </c>
      <c r="C839" s="2" t="str">
        <f>+VLOOKUP($B839,[4]BOLETIM_SEL!$A:$H,2,0)</f>
        <v>SINAPI</v>
      </c>
      <c r="D839" s="315" t="str">
        <f>+VLOOKUP($B839,[4]BOLETIM_SEL!$A:$H,4,0)</f>
        <v>Execução e compactação de aterro com solo predominantemente argiloso - exclusive solo, escavação, carga e transporte. AF_11/2019</v>
      </c>
      <c r="E839" s="2"/>
      <c r="F839" s="2" t="str">
        <f>+VLOOKUP($B839,[4]BOLETIM_SEL!$A:$H,6,0)</f>
        <v>M3</v>
      </c>
      <c r="G839" s="1407">
        <f>+VLOOKUP($B839,[4]BOLETIM_SEL!$A:$H,7,0)</f>
        <v>10.9</v>
      </c>
      <c r="H839" s="1611">
        <f>+Ciclovia!J50</f>
        <v>0</v>
      </c>
      <c r="I839" s="877">
        <f t="shared" si="275"/>
        <v>13.15</v>
      </c>
      <c r="J839" s="1612">
        <f t="shared" si="276"/>
        <v>0</v>
      </c>
      <c r="K839" s="2078">
        <f t="shared" ca="1" si="272"/>
        <v>0</v>
      </c>
      <c r="L839" s="1574" t="e">
        <f t="shared" si="273"/>
        <v>#DIV/0!</v>
      </c>
      <c r="M839" s="1445"/>
      <c r="N839" s="1654"/>
      <c r="O839" s="1652"/>
      <c r="Q839" s="833"/>
      <c r="R839" s="833"/>
      <c r="S839" s="833"/>
      <c r="T839" s="833"/>
      <c r="U839" s="833"/>
      <c r="V839" s="833"/>
      <c r="W839" s="833"/>
      <c r="X839" s="833"/>
    </row>
    <row r="840" spans="1:24" s="813" customFormat="1" ht="30" hidden="1" customHeight="1" x14ac:dyDescent="0.15">
      <c r="A840" s="2081">
        <f t="shared" ca="1" si="274"/>
        <v>10</v>
      </c>
      <c r="B840" s="834">
        <f>IF(M840="arenoso",100577,100576)</f>
        <v>100576</v>
      </c>
      <c r="C840" s="2" t="str">
        <f>VLOOKUP($B840,[4]BOLETIM_SEL!$A:$H,2,0)</f>
        <v>SINAPI</v>
      </c>
      <c r="D840" s="315" t="str">
        <f>VLOOKUP($B840,[4]BOLETIM_SEL!$A:$H,4,0)</f>
        <v>Regularização e compactação de subleito de solo predominantemente argiloso. AF_11/2019</v>
      </c>
      <c r="E840" s="2"/>
      <c r="F840" s="2" t="str">
        <f>VLOOKUP($B840,[4]BOLETIM_SEL!$A:$H,6,0)</f>
        <v>M2</v>
      </c>
      <c r="G840" s="1407">
        <f>+VLOOKUP($B840,[4]BOLETIM_SEL!$A:$H,7,0)</f>
        <v>2.36</v>
      </c>
      <c r="H840" s="1611">
        <f>+Ciclovia!J52</f>
        <v>0</v>
      </c>
      <c r="I840" s="877">
        <f t="shared" si="275"/>
        <v>2.84</v>
      </c>
      <c r="J840" s="1612">
        <f t="shared" si="276"/>
        <v>0</v>
      </c>
      <c r="K840" s="2078">
        <f t="shared" ca="1" si="272"/>
        <v>0</v>
      </c>
      <c r="L840" s="1574" t="e">
        <f t="shared" si="273"/>
        <v>#DIV/0!</v>
      </c>
      <c r="M840" s="1589" t="s">
        <v>2099</v>
      </c>
      <c r="N840" s="1661">
        <f>VLOOKUP($B840,[4]BOLETIM_SEL!$A:$H,3,0)</f>
        <v>125</v>
      </c>
      <c r="O840" s="1652">
        <f t="shared" ref="O840:O847" si="277">+H840/N840</f>
        <v>0</v>
      </c>
      <c r="Q840" s="833"/>
      <c r="R840" s="833"/>
      <c r="S840" s="833"/>
      <c r="T840" s="833"/>
      <c r="U840" s="833"/>
      <c r="V840" s="833"/>
      <c r="W840" s="833"/>
      <c r="X840" s="833"/>
    </row>
    <row r="841" spans="1:24" s="813" customFormat="1" ht="39.950000000000003" hidden="1" customHeight="1" x14ac:dyDescent="0.15">
      <c r="A841" s="2081">
        <f t="shared" ca="1" si="274"/>
        <v>10</v>
      </c>
      <c r="B841" s="865">
        <v>101767</v>
      </c>
      <c r="C841" s="2" t="str">
        <f>VLOOKUP($B841,[4]BOLETIM_SEL!$A:$H,2,0)</f>
        <v>SINAPI</v>
      </c>
      <c r="D841" s="315" t="str">
        <f>VLOOKUP($B841,[4]BOLETIM_SEL!$A:$H,4,0)</f>
        <v>Execução e compactação de base e ou sub base para pavimentação de solos estabilizados granulometricamente com mistura de solos em pista - exclusive solo, escavação, carga e transporte. AF_11/2019</v>
      </c>
      <c r="E841" s="2"/>
      <c r="F841" s="2" t="str">
        <f>VLOOKUP($B841,[4]BOLETIM_SEL!$A:$H,6,0)</f>
        <v>M3</v>
      </c>
      <c r="G841" s="1407">
        <f>+VLOOKUP($B841,[4]BOLETIM_SEL!$A:$H,7,0)</f>
        <v>26.21</v>
      </c>
      <c r="H841" s="1611">
        <f>+Ciclovia!J67</f>
        <v>0</v>
      </c>
      <c r="I841" s="877">
        <f t="shared" si="275"/>
        <v>31.63</v>
      </c>
      <c r="J841" s="1612">
        <f t="shared" si="276"/>
        <v>0</v>
      </c>
      <c r="K841" s="2078">
        <f t="shared" ca="1" si="272"/>
        <v>0</v>
      </c>
      <c r="L841" s="1574" t="e">
        <f t="shared" si="273"/>
        <v>#DIV/0!</v>
      </c>
      <c r="M841" s="1445"/>
      <c r="N841" s="1654">
        <v>20</v>
      </c>
      <c r="O841" s="1652">
        <f t="shared" si="277"/>
        <v>0</v>
      </c>
      <c r="Q841" s="833"/>
      <c r="R841" s="833"/>
      <c r="S841" s="833"/>
      <c r="T841" s="833"/>
      <c r="U841" s="833"/>
      <c r="V841" s="833"/>
      <c r="W841" s="833"/>
      <c r="X841" s="833"/>
    </row>
    <row r="842" spans="1:24" s="813" customFormat="1" ht="39.950000000000003" hidden="1" customHeight="1" x14ac:dyDescent="0.15">
      <c r="A842" s="2081">
        <f t="shared" ca="1" si="274"/>
        <v>10</v>
      </c>
      <c r="B842" s="865" t="s">
        <v>1878</v>
      </c>
      <c r="C842" s="2" t="str">
        <f>VLOOKUP($B842,[4]BOLETIM_SEL!$A:$H,2,0)</f>
        <v>COMPOSIÇÃO</v>
      </c>
      <c r="D842" s="315" t="str">
        <f>VLOOKUP($B842,[4]BOLETIM_SEL!$A:$H,4,0)</f>
        <v>Execução e compactação de base e ou sub-base, estabilizado granulometricamente, sem mistura, com material de jazida. Exclusive fornecimento e transporte (REF. SINAPI COD. 4011219)</v>
      </c>
      <c r="E842" s="2"/>
      <c r="F842" s="2" t="str">
        <f>VLOOKUP($B842,[4]BOLETIM_SEL!$A:$H,6,0)</f>
        <v>M3</v>
      </c>
      <c r="G842" s="1407">
        <f>+VLOOKUP($B842,[4]BOLETIM_SEL!$A:$H,7,0)</f>
        <v>18.399999999999999</v>
      </c>
      <c r="H842" s="1611">
        <f>+Ciclovia!J68</f>
        <v>0</v>
      </c>
      <c r="I842" s="877">
        <f t="shared" si="275"/>
        <v>22.2</v>
      </c>
      <c r="J842" s="1612">
        <f t="shared" si="276"/>
        <v>0</v>
      </c>
      <c r="K842" s="2078">
        <f t="shared" ca="1" si="272"/>
        <v>0</v>
      </c>
      <c r="L842" s="1574" t="e">
        <f t="shared" si="273"/>
        <v>#DIV/0!</v>
      </c>
      <c r="M842" s="1445"/>
      <c r="N842" s="1654">
        <f>VLOOKUP($B842,[4]BOLETIM_SEL!$A:$H,3,0)</f>
        <v>28.75</v>
      </c>
      <c r="O842" s="1652">
        <f t="shared" si="277"/>
        <v>0</v>
      </c>
      <c r="Q842" s="833"/>
      <c r="R842" s="833"/>
      <c r="S842" s="833"/>
      <c r="T842" s="833"/>
      <c r="U842" s="833"/>
      <c r="V842" s="833"/>
      <c r="W842" s="833"/>
      <c r="X842" s="833"/>
    </row>
    <row r="843" spans="1:24" s="813" customFormat="1" ht="39.950000000000003" hidden="1" customHeight="1" x14ac:dyDescent="0.15">
      <c r="A843" s="2081">
        <f t="shared" ca="1" si="274"/>
        <v>10</v>
      </c>
      <c r="B843" s="878" t="s">
        <v>1878</v>
      </c>
      <c r="C843" s="2" t="str">
        <f>VLOOKUP($B843,[4]BOLETIM_SEL!$A:$H,2,0)</f>
        <v>COMPOSIÇÃO</v>
      </c>
      <c r="D843" s="315" t="str">
        <f>VLOOKUP($B843,[4]BOLETIM_SEL!$A:$H,4,0)</f>
        <v>Execução e compactação de base e ou sub-base, estabilizado granulometricamente, sem mistura, com material de jazida. Exclusive fornecimento e transporte (REF. SINAPI COD. 4011219)</v>
      </c>
      <c r="E843" s="2"/>
      <c r="F843" s="2" t="str">
        <f>VLOOKUP($B843,[4]BOLETIM_SEL!$A:$H,6,0)</f>
        <v>M3</v>
      </c>
      <c r="G843" s="1407">
        <f>+VLOOKUP($B843,[4]BOLETIM_SEL!$A:$H,7,0)</f>
        <v>18.399999999999999</v>
      </c>
      <c r="H843" s="1611">
        <f>+Ciclovia!J69</f>
        <v>0</v>
      </c>
      <c r="I843" s="877">
        <f t="shared" si="275"/>
        <v>22.2</v>
      </c>
      <c r="J843" s="1612">
        <f t="shared" si="276"/>
        <v>0</v>
      </c>
      <c r="K843" s="2078">
        <f t="shared" ca="1" si="272"/>
        <v>0</v>
      </c>
      <c r="L843" s="1574" t="e">
        <f t="shared" si="273"/>
        <v>#DIV/0!</v>
      </c>
      <c r="M843" s="1445"/>
      <c r="N843" s="1654">
        <f>VLOOKUP($B843,[4]BOLETIM_SEL!$A:$H,3,0)</f>
        <v>28.75</v>
      </c>
      <c r="O843" s="1652">
        <f t="shared" si="277"/>
        <v>0</v>
      </c>
      <c r="Q843" s="833"/>
      <c r="R843" s="833"/>
      <c r="S843" s="833"/>
      <c r="T843" s="833"/>
      <c r="U843" s="833"/>
      <c r="V843" s="833"/>
      <c r="W843" s="833"/>
      <c r="X843" s="833"/>
    </row>
    <row r="844" spans="1:24" s="813" customFormat="1" ht="39.950000000000003" hidden="1" customHeight="1" x14ac:dyDescent="0.15">
      <c r="A844" s="2081">
        <f t="shared" ca="1" si="274"/>
        <v>10</v>
      </c>
      <c r="B844" s="2">
        <v>96389</v>
      </c>
      <c r="C844" s="2" t="str">
        <f>VLOOKUP($B844,[4]BOLETIM_SEL!$A:$H,2,0)</f>
        <v>SINAPI</v>
      </c>
      <c r="D844" s="315" t="str">
        <f>VLOOKUP($B844,[4]BOLETIM_SEL!$A:$H,4,0)</f>
        <v>Execução e compactação de base e ou sub base para pavimentação de solo (predominantemente arenoso) com cimento (teor de 2%) - exclusive solo, escavação, carga e transporte. AF_11/2019</v>
      </c>
      <c r="E844" s="2"/>
      <c r="F844" s="2" t="str">
        <f>VLOOKUP($B844,[4]BOLETIM_SEL!$A:$H,6,0)</f>
        <v>M3</v>
      </c>
      <c r="G844" s="1407">
        <f>+VLOOKUP($B844,[4]BOLETIM_SEL!$A:$H,7,0)</f>
        <v>54.53</v>
      </c>
      <c r="H844" s="1611">
        <f>+Ciclovia!J63</f>
        <v>0</v>
      </c>
      <c r="I844" s="877">
        <f t="shared" si="275"/>
        <v>65.81</v>
      </c>
      <c r="J844" s="1612">
        <f t="shared" si="276"/>
        <v>0</v>
      </c>
      <c r="K844" s="2078">
        <f t="shared" ca="1" si="272"/>
        <v>0</v>
      </c>
      <c r="L844" s="1574" t="e">
        <f t="shared" si="273"/>
        <v>#DIV/0!</v>
      </c>
      <c r="M844" s="1445"/>
      <c r="N844" s="1654">
        <f>VLOOKUP($B844,[4]BOLETIM_SEL!$A:$H,3,0)</f>
        <v>38.46</v>
      </c>
      <c r="O844" s="1652">
        <f t="shared" si="277"/>
        <v>0</v>
      </c>
      <c r="Q844" s="833"/>
      <c r="R844" s="833"/>
      <c r="S844" s="833"/>
      <c r="T844" s="833"/>
      <c r="U844" s="833"/>
      <c r="V844" s="833"/>
      <c r="W844" s="833"/>
      <c r="X844" s="833"/>
    </row>
    <row r="845" spans="1:24" s="813" customFormat="1" ht="39.950000000000003" hidden="1" customHeight="1" x14ac:dyDescent="0.15">
      <c r="A845" s="2081">
        <f t="shared" ca="1" si="274"/>
        <v>10</v>
      </c>
      <c r="B845" s="2">
        <v>96390</v>
      </c>
      <c r="C845" s="2" t="str">
        <f>VLOOKUP($B845,[4]BOLETIM_SEL!$A:$H,2,0)</f>
        <v>SINAPI</v>
      </c>
      <c r="D845" s="315" t="str">
        <f>VLOOKUP($B845,[4]BOLETIM_SEL!$A:$H,4,0)</f>
        <v>Execução e compactação de base e ou sub base para pavimentação de solo (predominantemente arenoso) com cimento (teor de 4%) - exclusive solo, escavação, carga e transporte. AF_11/2019</v>
      </c>
      <c r="E845" s="2"/>
      <c r="F845" s="2" t="str">
        <f>VLOOKUP($B845,[4]BOLETIM_SEL!$A:$H,6,0)</f>
        <v>M3</v>
      </c>
      <c r="G845" s="1407">
        <f>+VLOOKUP($B845,[4]BOLETIM_SEL!$A:$H,7,0)</f>
        <v>89.17</v>
      </c>
      <c r="H845" s="1611">
        <f>+Ciclovia!J64</f>
        <v>0</v>
      </c>
      <c r="I845" s="877">
        <f t="shared" si="275"/>
        <v>107.62</v>
      </c>
      <c r="J845" s="1612">
        <f t="shared" si="276"/>
        <v>0</v>
      </c>
      <c r="K845" s="2078">
        <f t="shared" ca="1" si="272"/>
        <v>0</v>
      </c>
      <c r="L845" s="1574" t="e">
        <f t="shared" si="273"/>
        <v>#DIV/0!</v>
      </c>
      <c r="M845" s="1445"/>
      <c r="N845" s="1654">
        <f>VLOOKUP($B845,[4]BOLETIM_SEL!$A:$H,3,0)</f>
        <v>38.46</v>
      </c>
      <c r="O845" s="1652">
        <f t="shared" si="277"/>
        <v>0</v>
      </c>
      <c r="Q845" s="833"/>
      <c r="R845" s="833"/>
      <c r="S845" s="833"/>
      <c r="T845" s="833"/>
      <c r="U845" s="833"/>
      <c r="V845" s="833"/>
      <c r="W845" s="833"/>
      <c r="X845" s="833"/>
    </row>
    <row r="846" spans="1:24" s="813" customFormat="1" ht="39.950000000000003" hidden="1" customHeight="1" x14ac:dyDescent="0.15">
      <c r="A846" s="2081">
        <f t="shared" ca="1" si="274"/>
        <v>10</v>
      </c>
      <c r="B846" s="2">
        <v>96391</v>
      </c>
      <c r="C846" s="2" t="str">
        <f>VLOOKUP($B846,[4]BOLETIM_SEL!$A:$H,2,0)</f>
        <v>SINAPI</v>
      </c>
      <c r="D846" s="315" t="str">
        <f>VLOOKUP($B846,[4]BOLETIM_SEL!$A:$H,4,0)</f>
        <v>Execução e compactação de base e ou sub base para pavimentação de solo (predominantemente arenoso) com cimento (teor de 6%) - exclusive solo, escavação, carga e transporte. AF_11/2019</v>
      </c>
      <c r="E846" s="2"/>
      <c r="F846" s="2" t="str">
        <f>VLOOKUP($B846,[4]BOLETIM_SEL!$A:$H,6,0)</f>
        <v>M3</v>
      </c>
      <c r="G846" s="1407">
        <f>+VLOOKUP($B846,[4]BOLETIM_SEL!$A:$H,7,0)</f>
        <v>125.28</v>
      </c>
      <c r="H846" s="1611">
        <f>+Ciclovia!J65</f>
        <v>0</v>
      </c>
      <c r="I846" s="877">
        <f t="shared" si="275"/>
        <v>151.21</v>
      </c>
      <c r="J846" s="1612">
        <f t="shared" si="276"/>
        <v>0</v>
      </c>
      <c r="K846" s="2078">
        <f t="shared" ca="1" si="272"/>
        <v>0</v>
      </c>
      <c r="L846" s="1574" t="e">
        <f t="shared" si="273"/>
        <v>#DIV/0!</v>
      </c>
      <c r="M846" s="1445"/>
      <c r="N846" s="1654">
        <f>VLOOKUP($B846,[4]BOLETIM_SEL!$A:$H,3,0)</f>
        <v>38.46</v>
      </c>
      <c r="O846" s="1652">
        <f t="shared" si="277"/>
        <v>0</v>
      </c>
      <c r="Q846" s="833"/>
      <c r="R846" s="833"/>
      <c r="S846" s="833"/>
      <c r="T846" s="833"/>
      <c r="U846" s="833"/>
      <c r="V846" s="833"/>
      <c r="W846" s="833"/>
      <c r="X846" s="833"/>
    </row>
    <row r="847" spans="1:24" s="813" customFormat="1" ht="39.950000000000003" hidden="1" customHeight="1" x14ac:dyDescent="0.15">
      <c r="A847" s="2081">
        <f t="shared" ca="1" si="274"/>
        <v>10</v>
      </c>
      <c r="B847" s="2">
        <v>96392</v>
      </c>
      <c r="C847" s="2" t="str">
        <f>VLOOKUP($B847,[4]BOLETIM_SEL!$A:$H,2,0)</f>
        <v>SINAPI</v>
      </c>
      <c r="D847" s="315" t="str">
        <f>VLOOKUP($B847,[4]BOLETIM_SEL!$A:$H,4,0)</f>
        <v>Execução e compactação de base e ou sub base para pavimentação de solo (predominantemente arenoso) com cimento (teor de 8%) - exclusive solo, escavação, carga e transporte. AF_11/2019</v>
      </c>
      <c r="E847" s="2"/>
      <c r="F847" s="2" t="str">
        <f>VLOOKUP($B847,[4]BOLETIM_SEL!$A:$H,6,0)</f>
        <v>M3</v>
      </c>
      <c r="G847" s="1407">
        <f>+VLOOKUP($B847,[4]BOLETIM_SEL!$A:$H,7,0)</f>
        <v>160.16999999999999</v>
      </c>
      <c r="H847" s="1611">
        <f>+Ciclovia!J66</f>
        <v>0</v>
      </c>
      <c r="I847" s="877">
        <f t="shared" si="275"/>
        <v>193.32</v>
      </c>
      <c r="J847" s="1612">
        <f t="shared" si="276"/>
        <v>0</v>
      </c>
      <c r="K847" s="2078">
        <f t="shared" ca="1" si="272"/>
        <v>0</v>
      </c>
      <c r="L847" s="1574" t="e">
        <f t="shared" si="273"/>
        <v>#DIV/0!</v>
      </c>
      <c r="M847" s="1445"/>
      <c r="N847" s="1654">
        <f>VLOOKUP($B847,[4]BOLETIM_SEL!$A:$H,3,0)</f>
        <v>38.46</v>
      </c>
      <c r="O847" s="1652">
        <f t="shared" si="277"/>
        <v>0</v>
      </c>
      <c r="Q847" s="833"/>
      <c r="R847" s="833"/>
      <c r="S847" s="833"/>
      <c r="T847" s="833"/>
      <c r="U847" s="833"/>
      <c r="V847" s="833"/>
      <c r="W847" s="833"/>
      <c r="X847" s="833"/>
    </row>
    <row r="848" spans="1:24" s="813" customFormat="1" ht="30" hidden="1" customHeight="1" x14ac:dyDescent="0.15">
      <c r="A848" s="2081">
        <f t="shared" ca="1" si="274"/>
        <v>10</v>
      </c>
      <c r="B848" s="834" t="str">
        <f>IF(M848="EAI","PA/0025",96401)</f>
        <v>PA/0025</v>
      </c>
      <c r="C848" s="2" t="str">
        <f>VLOOKUP($B848,[4]BOLETIM_SEL!$A:$H,2,0)</f>
        <v>COMPOSIÇÃO</v>
      </c>
      <c r="D848" s="315" t="str">
        <f>VLOOKUP($B848,[4]BOLETIM_SEL!$A:$H,4,0)</f>
        <v>Imprimação da base, execução e fornecimento de emulsão asfáltica EAI (REF. SINAPI COD. 102470)</v>
      </c>
      <c r="E848" s="2"/>
      <c r="F848" s="2" t="str">
        <f>VLOOKUP($B848,[4]BOLETIM_SEL!$A:$H,6,0)</f>
        <v>M2</v>
      </c>
      <c r="G848" s="1407">
        <f>+VLOOKUP($B848,[4]BOLETIM_SEL!$A:$H,7,0)</f>
        <v>5.13</v>
      </c>
      <c r="H848" s="1611">
        <f>+Ciclovia!J77</f>
        <v>0</v>
      </c>
      <c r="I848" s="877">
        <f t="shared" si="275"/>
        <v>6.19</v>
      </c>
      <c r="J848" s="1612">
        <f t="shared" si="276"/>
        <v>0</v>
      </c>
      <c r="K848" s="2078">
        <f t="shared" ca="1" si="272"/>
        <v>0</v>
      </c>
      <c r="L848" s="1574" t="e">
        <f t="shared" si="273"/>
        <v>#DIV/0!</v>
      </c>
      <c r="M848" s="1589" t="s">
        <v>2103</v>
      </c>
      <c r="N848" s="1654"/>
      <c r="O848" s="1652"/>
      <c r="Q848" s="833"/>
      <c r="R848" s="833"/>
      <c r="S848" s="833"/>
      <c r="T848" s="833"/>
      <c r="U848" s="833"/>
      <c r="V848" s="833"/>
      <c r="W848" s="833"/>
      <c r="X848" s="833"/>
    </row>
    <row r="849" spans="1:24" s="813" customFormat="1" ht="30" hidden="1" customHeight="1" x14ac:dyDescent="0.15">
      <c r="A849" s="2081">
        <f t="shared" ca="1" si="274"/>
        <v>10</v>
      </c>
      <c r="B849" s="834" t="s">
        <v>1777</v>
      </c>
      <c r="C849" s="2" t="str">
        <f>VLOOKUP($B849,[4]BOLETIM_SEL!$A:$H,2,0)</f>
        <v>COMPOSIÇÃO</v>
      </c>
      <c r="D849" s="315" t="str">
        <f>VLOOKUP($B849,[4]BOLETIM_SEL!$A:$H,4,0)</f>
        <v>Pintura de ligação, execução e fornecimento de emulsão asfáltica RR-1C (ref SINAPI cód 104375)</v>
      </c>
      <c r="E849" s="2"/>
      <c r="F849" s="2" t="str">
        <f>VLOOKUP($B849,[4]BOLETIM_SEL!$A:$H,6,0)</f>
        <v>M2</v>
      </c>
      <c r="G849" s="1407">
        <f>+VLOOKUP($B849,[4]BOLETIM_SEL!$A:$H,7,0)</f>
        <v>2.4700000000000002</v>
      </c>
      <c r="H849" s="1611">
        <f>+Ciclovia!J81</f>
        <v>0</v>
      </c>
      <c r="I849" s="877">
        <f t="shared" si="275"/>
        <v>2.98</v>
      </c>
      <c r="J849" s="1612">
        <f t="shared" si="276"/>
        <v>0</v>
      </c>
      <c r="K849" s="2078">
        <f t="shared" ca="1" si="272"/>
        <v>0</v>
      </c>
      <c r="L849" s="1574" t="e">
        <f t="shared" si="273"/>
        <v>#DIV/0!</v>
      </c>
      <c r="M849" s="1445">
        <f>+VLOOKUP($B849,[4]BOLETIM_SEL!$A:$H,5,0)</f>
        <v>0</v>
      </c>
      <c r="N849" s="1654"/>
      <c r="O849" s="1652"/>
      <c r="Q849" s="833"/>
      <c r="R849" s="833"/>
      <c r="S849" s="833"/>
      <c r="T849" s="833"/>
      <c r="U849" s="833"/>
      <c r="V849" s="833"/>
      <c r="W849" s="833"/>
      <c r="X849" s="833"/>
    </row>
    <row r="850" spans="1:24" s="813" customFormat="1" ht="39.950000000000003" hidden="1" customHeight="1" x14ac:dyDescent="0.15">
      <c r="A850" s="2081">
        <f t="shared" ca="1" si="274"/>
        <v>10</v>
      </c>
      <c r="B850" s="834" t="str">
        <f>IF(M850="COMERCIAL 50/70",95995,IF(M850="COMERCIAL 30/45","PA/0040",IF(M850="INSTALADA 50/70","PA/0042","PA/0041")))</f>
        <v>PA/0040</v>
      </c>
      <c r="C850" s="2" t="str">
        <f>VLOOKUP($B850,[4]BOLETIM_SEL!$A:$H,2,0)</f>
        <v>COMPOSIÇÃO</v>
      </c>
      <c r="D850" s="315" t="str">
        <f>VLOOKUP($B850,[4]BOLETIM_SEL!$A:$H,4,0)</f>
        <v>Construção de pavimento com aplicação de concreto betuminoso usinado à quente (CBUQ - faixa C - CAP 30/45 - usina comercial), camada de rolamento, exclusive transporte da mistura (REF. SINAPI COD. 95995)</v>
      </c>
      <c r="E850" s="2"/>
      <c r="F850" s="2" t="str">
        <f>VLOOKUP($B850,[4]BOLETIM_SEL!$A:$H,6,0)</f>
        <v>M3</v>
      </c>
      <c r="G850" s="1407">
        <f>+VLOOKUP($B850,[4]BOLETIM_SEL!$A:$H,7,0)</f>
        <v>1590.41</v>
      </c>
      <c r="H850" s="1611">
        <f>+Ciclovia!J85</f>
        <v>0</v>
      </c>
      <c r="I850" s="877">
        <f t="shared" si="275"/>
        <v>1919.62</v>
      </c>
      <c r="J850" s="1612">
        <f t="shared" si="276"/>
        <v>0</v>
      </c>
      <c r="K850" s="2078">
        <f t="shared" ca="1" si="272"/>
        <v>0</v>
      </c>
      <c r="L850" s="1574" t="e">
        <f t="shared" si="273"/>
        <v>#DIV/0!</v>
      </c>
      <c r="M850" s="1589" t="s">
        <v>2427</v>
      </c>
      <c r="N850" s="1654"/>
      <c r="O850" s="1652"/>
      <c r="Q850" s="833"/>
      <c r="R850" s="833"/>
      <c r="S850" s="833"/>
      <c r="T850" s="833"/>
      <c r="U850" s="833"/>
      <c r="V850" s="833"/>
      <c r="W850" s="833"/>
      <c r="X850" s="833"/>
    </row>
    <row r="851" spans="1:24" s="813" customFormat="1" ht="39.950000000000003" hidden="1" customHeight="1" x14ac:dyDescent="0.15">
      <c r="A851" s="2081">
        <f t="shared" ca="1" si="274"/>
        <v>10</v>
      </c>
      <c r="B851" s="834">
        <f>IF(M851="USINADO",94991,94990)</f>
        <v>94991</v>
      </c>
      <c r="C851" s="2" t="str">
        <f>+VLOOKUP($B851,[4]BOLETIM_SEL!$A:$H,2,0)</f>
        <v>SINAPI</v>
      </c>
      <c r="D851" s="315" t="str">
        <f>+VLOOKUP($B851,[4]BOLETIM_SEL!$A:$H,4,0)</f>
        <v>Execução de passeio (calçada) ou piso de concreto com concreto moldado in loco, usinado, acabamento convencional, não armado. AF_07/2016</v>
      </c>
      <c r="E851" s="2"/>
      <c r="F851" s="2" t="str">
        <f>+VLOOKUP($B851,[4]BOLETIM_SEL!$A:$H,6,0)</f>
        <v>M3</v>
      </c>
      <c r="G851" s="1407">
        <f>+VLOOKUP($B851,[4]BOLETIM_SEL!$A:$H,7,0)</f>
        <v>772.34</v>
      </c>
      <c r="H851" s="1611">
        <f>+Ciclovia!J94</f>
        <v>0</v>
      </c>
      <c r="I851" s="877">
        <f t="shared" si="275"/>
        <v>932.21</v>
      </c>
      <c r="J851" s="1612">
        <f t="shared" si="276"/>
        <v>0</v>
      </c>
      <c r="K851" s="2078">
        <f t="shared" ca="1" si="272"/>
        <v>0</v>
      </c>
      <c r="L851" s="1574" t="e">
        <f t="shared" si="273"/>
        <v>#DIV/0!</v>
      </c>
      <c r="M851" s="1589" t="s">
        <v>1857</v>
      </c>
      <c r="N851" s="1654"/>
      <c r="O851" s="1652"/>
      <c r="Q851" s="833"/>
      <c r="R851" s="833"/>
      <c r="S851" s="833"/>
      <c r="T851" s="833"/>
      <c r="U851" s="833"/>
      <c r="V851" s="833"/>
      <c r="W851" s="833"/>
      <c r="X851" s="833"/>
    </row>
    <row r="852" spans="1:24" s="813" customFormat="1" ht="30" hidden="1" customHeight="1" x14ac:dyDescent="0.15">
      <c r="A852" s="2081">
        <f t="shared" ca="1" si="274"/>
        <v>10</v>
      </c>
      <c r="B852" s="865">
        <v>92397</v>
      </c>
      <c r="C852" s="2" t="str">
        <f>+VLOOKUP($B852,[4]BOLETIM_SEL!$A:$H,2,0)</f>
        <v>SINAPI</v>
      </c>
      <c r="D852" s="315" t="str">
        <f>+VLOOKUP($B852,[4]BOLETIM_SEL!$A:$H,4,0)</f>
        <v>Execução de pavimento em piso intertravado, com bloco retangular cor natural de 20 x 10 cm, espessura 6 cm. AF_10/2022</v>
      </c>
      <c r="E852" s="2"/>
      <c r="F852" s="2" t="str">
        <f>+VLOOKUP($B852,[4]BOLETIM_SEL!$A:$H,6,0)</f>
        <v>M2</v>
      </c>
      <c r="G852" s="1407">
        <f>+VLOOKUP($B852,[4]BOLETIM_SEL!$A:$H,7,0)</f>
        <v>66.38</v>
      </c>
      <c r="H852" s="1611">
        <f>+Ciclovia!J98</f>
        <v>0</v>
      </c>
      <c r="I852" s="877">
        <f t="shared" si="275"/>
        <v>80.12</v>
      </c>
      <c r="J852" s="1612">
        <f t="shared" si="276"/>
        <v>0</v>
      </c>
      <c r="K852" s="2078">
        <f t="shared" ca="1" si="272"/>
        <v>0</v>
      </c>
      <c r="L852" s="1574" t="e">
        <f t="shared" si="273"/>
        <v>#DIV/0!</v>
      </c>
      <c r="M852" s="1445"/>
      <c r="N852" s="1654"/>
      <c r="O852" s="1652"/>
      <c r="Q852" s="833"/>
      <c r="R852" s="833"/>
      <c r="S852" s="833"/>
      <c r="T852" s="833"/>
      <c r="U852" s="833"/>
      <c r="V852" s="833"/>
      <c r="W852" s="833"/>
      <c r="X852" s="833"/>
    </row>
    <row r="853" spans="1:24" s="813" customFormat="1" ht="39.950000000000003" hidden="1" customHeight="1" x14ac:dyDescent="0.15">
      <c r="A853" s="2081">
        <f t="shared" ca="1" si="274"/>
        <v>10</v>
      </c>
      <c r="B853" s="834" t="str">
        <f>IF(M853="MANUAL","SC/0025","SC/0065")</f>
        <v>SC/0065</v>
      </c>
      <c r="C853" s="2" t="str">
        <f>VLOOKUP($B853,[4]BOLETIM_SEL!$A:$H,2,0)</f>
        <v>COMPOSIÇÃO</v>
      </c>
      <c r="D853" s="315" t="str">
        <f>VLOOKUP($B853,[4]BOLETIM_SEL!$A:$H,4,0)</f>
        <v>Guia para canteiro e ciclovia, concreto FCK = 15mpa, seção 150cm², moldado no local com extrusora, inclusive pintura a cal em uma demão</v>
      </c>
      <c r="E853" s="2"/>
      <c r="F853" s="2" t="str">
        <f>VLOOKUP($B853,[4]BOLETIM_SEL!$A:$H,6,0)</f>
        <v>M</v>
      </c>
      <c r="G853" s="1407">
        <f>+VLOOKUP($B853,[4]BOLETIM_SEL!$A:$H,7,0)</f>
        <v>16.149999999999999</v>
      </c>
      <c r="H853" s="1611">
        <f>+Ciclovia!J100</f>
        <v>0</v>
      </c>
      <c r="I853" s="877">
        <f t="shared" si="275"/>
        <v>19.489999999999998</v>
      </c>
      <c r="J853" s="1612">
        <f t="shared" si="276"/>
        <v>0</v>
      </c>
      <c r="K853" s="2078">
        <f t="shared" ca="1" si="272"/>
        <v>0</v>
      </c>
      <c r="L853" s="1574" t="e">
        <f t="shared" si="273"/>
        <v>#DIV/0!</v>
      </c>
      <c r="M853" s="1589" t="s">
        <v>1853</v>
      </c>
      <c r="N853" s="1654">
        <f>VLOOKUP($B853,[4]BOLETIM_SEL!$A:$H,3,0)</f>
        <v>26.88</v>
      </c>
      <c r="O853" s="1652">
        <f>+H853/N853</f>
        <v>0</v>
      </c>
      <c r="Q853" s="833"/>
      <c r="R853" s="833"/>
      <c r="S853" s="833"/>
      <c r="T853" s="833"/>
      <c r="U853" s="833"/>
      <c r="V853" s="833"/>
      <c r="W853" s="833"/>
      <c r="X853" s="833"/>
    </row>
    <row r="854" spans="1:24" s="813" customFormat="1" ht="30" hidden="1" customHeight="1" x14ac:dyDescent="0.15">
      <c r="A854" s="2081">
        <f t="shared" ca="1" si="274"/>
        <v>10</v>
      </c>
      <c r="B854" s="834" t="s">
        <v>275</v>
      </c>
      <c r="C854" s="2" t="str">
        <f>VLOOKUP($B854,[4]BOLETIM_SEL!$A:$H,2,0)</f>
        <v>COMPOSIÇÃO</v>
      </c>
      <c r="D854" s="315" t="str">
        <f>VLOOKUP($B854,[4]BOLETIM_SEL!$A:$H,4,0)</f>
        <v xml:space="preserve">Tento (acabamento de limpa-rodas), concreto FCK = 15 mpa, seção 330cm², moldado no local, inclusive escavação </v>
      </c>
      <c r="E854" s="2"/>
      <c r="F854" s="2" t="str">
        <f>VLOOKUP($B854,[4]BOLETIM_SEL!$A:$H,6,0)</f>
        <v>M</v>
      </c>
      <c r="G854" s="1407">
        <f>+VLOOKUP($B854,[4]BOLETIM_SEL!$A:$H,7,0)</f>
        <v>28.18</v>
      </c>
      <c r="H854" s="1611">
        <f>+Ciclovia!J101</f>
        <v>0</v>
      </c>
      <c r="I854" s="877">
        <f t="shared" si="275"/>
        <v>34.01</v>
      </c>
      <c r="J854" s="1612">
        <f t="shared" si="276"/>
        <v>0</v>
      </c>
      <c r="K854" s="2078">
        <f t="shared" ca="1" si="272"/>
        <v>0</v>
      </c>
      <c r="L854" s="1574" t="e">
        <f t="shared" si="273"/>
        <v>#DIV/0!</v>
      </c>
      <c r="M854" s="1445"/>
      <c r="N854" s="1654">
        <f>VLOOKUP($B854,[4]BOLETIM_SEL!$A:$H,3,0)</f>
        <v>20.61</v>
      </c>
      <c r="O854" s="1652">
        <f>+H854/N854</f>
        <v>0</v>
      </c>
      <c r="Q854" s="833"/>
      <c r="R854" s="833"/>
      <c r="S854" s="833"/>
      <c r="T854" s="833"/>
      <c r="U854" s="833"/>
      <c r="V854" s="833"/>
      <c r="W854" s="833"/>
      <c r="X854" s="833"/>
    </row>
    <row r="855" spans="1:24" s="813" customFormat="1" ht="39.950000000000003" hidden="1" customHeight="1" x14ac:dyDescent="0.15">
      <c r="A855" s="2081">
        <f t="shared" ca="1" si="274"/>
        <v>10</v>
      </c>
      <c r="B855" s="834" t="str">
        <f>IF(M855="MANUAL","SC/0005","SC/0045")</f>
        <v>SC/0005</v>
      </c>
      <c r="C855" s="2" t="str">
        <f>VLOOKUP($B855,[4]BOLETIM_SEL!$A:$H,2,0)</f>
        <v>COMPOSIÇÃO</v>
      </c>
      <c r="D855" s="315" t="str">
        <f>VLOOKUP($B855,[4]BOLETIM_SEL!$A:$H,4,0)</f>
        <v>Meio-fio (guia) com sarjeta, concreto FCK = 15mpa, seção 615 cm², moldado no local, inclusive escavação e pintura a cal em uma demão</v>
      </c>
      <c r="E855" s="2"/>
      <c r="F855" s="2" t="str">
        <f>VLOOKUP($B855,[4]BOLETIM_SEL!$A:$H,6,0)</f>
        <v>M</v>
      </c>
      <c r="G855" s="1407">
        <f>+VLOOKUP($B855,[4]BOLETIM_SEL!$A:$H,7,0)</f>
        <v>52.39</v>
      </c>
      <c r="H855" s="1611">
        <f>+Ciclovia!J102</f>
        <v>0</v>
      </c>
      <c r="I855" s="877">
        <f t="shared" si="275"/>
        <v>63.23</v>
      </c>
      <c r="J855" s="1612">
        <f t="shared" si="276"/>
        <v>0</v>
      </c>
      <c r="K855" s="2078">
        <f t="shared" ca="1" si="272"/>
        <v>0</v>
      </c>
      <c r="L855" s="1574" t="e">
        <f t="shared" si="273"/>
        <v>#DIV/0!</v>
      </c>
      <c r="M855" s="1589" t="s">
        <v>9</v>
      </c>
      <c r="N855" s="1654">
        <f>VLOOKUP($B855,[4]BOLETIM_SEL!$A:$H,3,0)</f>
        <v>11.06</v>
      </c>
      <c r="O855" s="1652">
        <f>+H855/N855</f>
        <v>0</v>
      </c>
      <c r="Q855" s="833"/>
      <c r="R855" s="833"/>
      <c r="S855" s="833"/>
      <c r="T855" s="833"/>
      <c r="U855" s="833"/>
      <c r="V855" s="833"/>
      <c r="W855" s="833"/>
      <c r="X855" s="833"/>
    </row>
    <row r="856" spans="1:24" s="813" customFormat="1" ht="39.950000000000003" hidden="1" customHeight="1" x14ac:dyDescent="0.15">
      <c r="A856" s="2081">
        <f t="shared" ca="1" si="274"/>
        <v>10</v>
      </c>
      <c r="B856" s="834" t="str">
        <f>IF(M856="MANUAL","SC/0010","SC/0055")</f>
        <v>SC/0055</v>
      </c>
      <c r="C856" s="2" t="str">
        <f>VLOOKUP($B856,[4]BOLETIM_SEL!$A:$H,2,0)</f>
        <v>COMPOSIÇÃO</v>
      </c>
      <c r="D856" s="315" t="str">
        <f>VLOOKUP($B856,[4]BOLETIM_SEL!$A:$H,4,0)</f>
        <v>Meio-fio (guia) simples, concreto FCK = 20mpa, seção 285 cm², moldado no local em trecho reto com extrusora, inclusive pintura a cal em uma demão</v>
      </c>
      <c r="E856" s="2"/>
      <c r="F856" s="2" t="str">
        <f>VLOOKUP($B856,[4]BOLETIM_SEL!$A:$H,6,0)</f>
        <v>M</v>
      </c>
      <c r="G856" s="1407">
        <f>+VLOOKUP($B856,[4]BOLETIM_SEL!$A:$H,7,0)</f>
        <v>36.54</v>
      </c>
      <c r="H856" s="1611">
        <f>+Ciclovia!J103</f>
        <v>0</v>
      </c>
      <c r="I856" s="877">
        <f t="shared" si="275"/>
        <v>44.1</v>
      </c>
      <c r="J856" s="1612">
        <f t="shared" si="276"/>
        <v>0</v>
      </c>
      <c r="K856" s="2078">
        <f t="shared" ca="1" si="272"/>
        <v>0</v>
      </c>
      <c r="L856" s="1574" t="e">
        <f t="shared" si="273"/>
        <v>#DIV/0!</v>
      </c>
      <c r="M856" s="1589" t="s">
        <v>1853</v>
      </c>
      <c r="N856" s="1654">
        <f>VLOOKUP($B856,[4]BOLETIM_SEL!$A:$H,3,0)</f>
        <v>11.9</v>
      </c>
      <c r="O856" s="1652">
        <f>+H856/N856</f>
        <v>0</v>
      </c>
      <c r="Q856" s="833"/>
      <c r="R856" s="833"/>
      <c r="S856" s="833"/>
      <c r="T856" s="833"/>
      <c r="U856" s="833"/>
      <c r="V856" s="833"/>
      <c r="W856" s="833"/>
      <c r="X856" s="833"/>
    </row>
    <row r="857" spans="1:24" s="813" customFormat="1" ht="30" hidden="1" customHeight="1" x14ac:dyDescent="0.15">
      <c r="A857" s="2081">
        <f t="shared" ca="1" si="274"/>
        <v>10</v>
      </c>
      <c r="B857" s="834" t="s">
        <v>1820</v>
      </c>
      <c r="C857" s="2" t="str">
        <f>VLOOKUP($B857,[4]BOLETIM_SEL!$A:$H,2,0)</f>
        <v>COMPOSIÇÃO</v>
      </c>
      <c r="D857" s="315" t="str">
        <f>VLOOKUP($B857,[4]BOLETIM_SEL!$A:$H,4,0)</f>
        <v>Sarjeta em concreto FCK = 15mpa, seção 330cm², moldada no local, exclusive escavação</v>
      </c>
      <c r="E857" s="2"/>
      <c r="F857" s="2" t="str">
        <f>VLOOKUP($B857,[4]BOLETIM_SEL!$A:$H,6,0)</f>
        <v>M</v>
      </c>
      <c r="G857" s="1407">
        <f>+VLOOKUP($B857,[4]BOLETIM_SEL!$A:$H,7,0)</f>
        <v>30.35</v>
      </c>
      <c r="H857" s="1611">
        <f>+Ciclovia!J104</f>
        <v>0</v>
      </c>
      <c r="I857" s="877">
        <f t="shared" si="275"/>
        <v>36.630000000000003</v>
      </c>
      <c r="J857" s="1612">
        <f t="shared" si="276"/>
        <v>0</v>
      </c>
      <c r="K857" s="2078">
        <f t="shared" ca="1" si="272"/>
        <v>0</v>
      </c>
      <c r="L857" s="1574" t="e">
        <f t="shared" si="273"/>
        <v>#DIV/0!</v>
      </c>
      <c r="M857" s="1445"/>
      <c r="N857" s="1654">
        <f>VLOOKUP($B857,[4]BOLETIM_SEL!$A:$H,3,0)</f>
        <v>20.61</v>
      </c>
      <c r="O857" s="1652">
        <f>+H857/N857</f>
        <v>0</v>
      </c>
      <c r="Q857" s="833"/>
      <c r="R857" s="833"/>
      <c r="S857" s="833"/>
      <c r="T857" s="833"/>
      <c r="U857" s="833"/>
      <c r="V857" s="833"/>
      <c r="W857" s="833"/>
      <c r="X857" s="833"/>
    </row>
    <row r="858" spans="1:24" s="813" customFormat="1" ht="39.950000000000003" hidden="1" customHeight="1" x14ac:dyDescent="0.15">
      <c r="A858" s="2081">
        <f t="shared" ca="1" si="274"/>
        <v>10</v>
      </c>
      <c r="B858" s="834">
        <v>6079</v>
      </c>
      <c r="C858" s="2" t="str">
        <f>VLOOKUP($B858,[4]BOLETIM_SEL!$A:$H,2,0)</f>
        <v>COTAÇÃO - SINAPI</v>
      </c>
      <c r="D858" s="315" t="str">
        <f>VLOOKUP($B858,[4]BOLETIM_SEL!$A:$H,4,0)</f>
        <v>Argila, argila vermelha ou argila arenosa (retirada na jazida, sem transporte)</v>
      </c>
      <c r="E858" s="2230" t="s">
        <v>2647</v>
      </c>
      <c r="F858" s="2" t="str">
        <f>VLOOKUP($B858,[4]BOLETIM_SEL!$A:$H,6,0)</f>
        <v xml:space="preserve">M3    </v>
      </c>
      <c r="G858" s="1407">
        <f>+VLOOKUP($B858,[4]BOLETIM_SEL!$A:$H,7,0)</f>
        <v>33.700000000000003</v>
      </c>
      <c r="H858" s="1611">
        <f>IF(M858="COMERCIAL",Ciclovia!J51+Ciclovia!J71,0)</f>
        <v>0</v>
      </c>
      <c r="I858" s="2231">
        <f t="shared" ref="I858:I860" si="278">TRUNC(G858*(1+$J$6),2)</f>
        <v>38.840000000000003</v>
      </c>
      <c r="J858" s="1612">
        <f t="shared" si="276"/>
        <v>0</v>
      </c>
      <c r="K858" s="2078">
        <f t="shared" ca="1" si="272"/>
        <v>0</v>
      </c>
      <c r="L858" s="1574" t="e">
        <f t="shared" si="273"/>
        <v>#DIV/0!</v>
      </c>
      <c r="M858" s="1589" t="s">
        <v>1909</v>
      </c>
      <c r="N858" s="833"/>
      <c r="O858" s="833"/>
      <c r="Q858" s="833"/>
      <c r="R858" s="833"/>
      <c r="S858" s="833"/>
      <c r="T858" s="833"/>
      <c r="U858" s="833"/>
      <c r="V858" s="833"/>
      <c r="W858" s="833"/>
      <c r="X858" s="833"/>
    </row>
    <row r="859" spans="1:24" s="813" customFormat="1" ht="39.950000000000003" hidden="1" customHeight="1" x14ac:dyDescent="0.15">
      <c r="A859" s="2081">
        <f t="shared" ca="1" si="274"/>
        <v>10</v>
      </c>
      <c r="B859" s="834">
        <v>4721</v>
      </c>
      <c r="C859" s="2" t="str">
        <f>VLOOKUP($B859,[4]BOLETIM_SEL!$A:$H,2,0)</f>
        <v>COTAÇÃO - SINAPI</v>
      </c>
      <c r="D859" s="315" t="str">
        <f>VLOOKUP($B859,[4]BOLETIM_SEL!$A:$H,4,0)</f>
        <v>Pedra britada n. 1 (9,5 A 19 mm) posto pedreira/fornecedor, sem frete</v>
      </c>
      <c r="E859" s="2230" t="s">
        <v>2647</v>
      </c>
      <c r="F859" s="2" t="str">
        <f>VLOOKUP($B859,[4]BOLETIM_SEL!$A:$H,6,0)</f>
        <v xml:space="preserve">M3    </v>
      </c>
      <c r="G859" s="1407">
        <f>+VLOOKUP($B859,[4]BOLETIM_SEL!$A:$H,7,0)</f>
        <v>96.99</v>
      </c>
      <c r="H859" s="1611">
        <f>IF(M859="COMERCIAL",Ciclovia!J72,0)</f>
        <v>0</v>
      </c>
      <c r="I859" s="2231">
        <f t="shared" si="278"/>
        <v>111.8</v>
      </c>
      <c r="J859" s="1612">
        <f t="shared" si="276"/>
        <v>0</v>
      </c>
      <c r="K859" s="2078">
        <f t="shared" ca="1" si="272"/>
        <v>0</v>
      </c>
      <c r="L859" s="1574" t="e">
        <f t="shared" si="273"/>
        <v>#DIV/0!</v>
      </c>
      <c r="M859" s="1589" t="s">
        <v>410</v>
      </c>
      <c r="N859" s="833"/>
      <c r="O859" s="833"/>
      <c r="Q859" s="833"/>
      <c r="R859" s="833"/>
      <c r="S859" s="833"/>
      <c r="T859" s="833"/>
      <c r="U859" s="833"/>
      <c r="V859" s="833"/>
      <c r="W859" s="833"/>
      <c r="X859" s="833"/>
    </row>
    <row r="860" spans="1:24" s="813" customFormat="1" ht="39.950000000000003" hidden="1" customHeight="1" x14ac:dyDescent="0.15">
      <c r="A860" s="2081">
        <f t="shared" ca="1" si="274"/>
        <v>10</v>
      </c>
      <c r="B860" s="834">
        <v>4743</v>
      </c>
      <c r="C860" s="2" t="str">
        <f>VLOOKUP($B860,[4]BOLETIM_SEL!$A:$H,2,0)</f>
        <v>COTAÇÃO - SINAPI</v>
      </c>
      <c r="D860" s="315" t="str">
        <f>VLOOKUP($B860,[4]BOLETIM_SEL!$A:$H,4,0)</f>
        <v>Cascalho de cava</v>
      </c>
      <c r="E860" s="2230" t="s">
        <v>2647</v>
      </c>
      <c r="F860" s="2" t="str">
        <f>VLOOKUP($B860,[4]BOLETIM_SEL!$A:$H,6,0)</f>
        <v xml:space="preserve">M3    </v>
      </c>
      <c r="G860" s="1407">
        <f>+VLOOKUP($B860,[4]BOLETIM_SEL!$A:$H,7,0)</f>
        <v>56.55</v>
      </c>
      <c r="H860" s="1611">
        <f>IF(M860="COMERCIAL",Ciclovia!J73,0)</f>
        <v>0</v>
      </c>
      <c r="I860" s="2231">
        <f t="shared" si="278"/>
        <v>65.180000000000007</v>
      </c>
      <c r="J860" s="1612">
        <f t="shared" si="276"/>
        <v>0</v>
      </c>
      <c r="K860" s="2078">
        <f t="shared" ca="1" si="272"/>
        <v>0</v>
      </c>
      <c r="L860" s="1574" t="e">
        <f t="shared" si="273"/>
        <v>#DIV/0!</v>
      </c>
      <c r="M860" s="1589" t="s">
        <v>410</v>
      </c>
      <c r="N860" s="833"/>
      <c r="O860" s="833"/>
      <c r="Q860" s="833"/>
      <c r="R860" s="833"/>
      <c r="S860" s="833"/>
      <c r="T860" s="833"/>
      <c r="U860" s="833"/>
      <c r="V860" s="833"/>
      <c r="W860" s="833"/>
      <c r="X860" s="833"/>
    </row>
    <row r="861" spans="1:24" s="813" customFormat="1" ht="39.950000000000003" hidden="1" customHeight="1" x14ac:dyDescent="0.15">
      <c r="A861" s="2081">
        <f t="shared" ca="1" si="274"/>
        <v>10</v>
      </c>
      <c r="B861" s="834">
        <v>4748</v>
      </c>
      <c r="C861" s="2" t="str">
        <f>VLOOKUP($B861,[4]BOLETIM_SEL!$A:$H,2,0)</f>
        <v>COTAÇÃO - SINAPI</v>
      </c>
      <c r="D861" s="315" t="str">
        <f>VLOOKUP($B861,[4]BOLETIM_SEL!$A:$H,4,0)</f>
        <v>Pedra britada ou bica corrida, não classificada (posto pedreira/fornecedor, sem frete)</v>
      </c>
      <c r="E861" s="2230" t="s">
        <v>2647</v>
      </c>
      <c r="F861" s="2" t="str">
        <f>VLOOKUP($B861,[4]BOLETIM_SEL!$A:$H,6,0)</f>
        <v xml:space="preserve">M3    </v>
      </c>
      <c r="G861" s="1407">
        <f>+VLOOKUP($B861,[4]BOLETIM_SEL!$A:$H,7,0)</f>
        <v>89.58</v>
      </c>
      <c r="H861" s="1611">
        <f>+Ciclovia!J74</f>
        <v>0</v>
      </c>
      <c r="I861" s="2231">
        <f>TRUNC(G861*(1+$J$6),2)</f>
        <v>103.25</v>
      </c>
      <c r="J861" s="1612">
        <f t="shared" si="276"/>
        <v>0</v>
      </c>
      <c r="K861" s="2078">
        <f t="shared" ca="1" si="272"/>
        <v>0</v>
      </c>
      <c r="L861" s="1574" t="e">
        <f t="shared" si="273"/>
        <v>#DIV/0!</v>
      </c>
      <c r="M861" s="1445"/>
      <c r="N861" s="833"/>
      <c r="O861" s="833"/>
      <c r="Q861" s="833"/>
      <c r="R861" s="833"/>
      <c r="S861" s="833"/>
      <c r="T861" s="833"/>
      <c r="U861" s="833"/>
      <c r="V861" s="833"/>
      <c r="W861" s="833"/>
      <c r="X861" s="833"/>
    </row>
    <row r="862" spans="1:24" s="813" customFormat="1" ht="39.950000000000003" hidden="1" customHeight="1" x14ac:dyDescent="0.15">
      <c r="A862" s="2081">
        <f t="shared" ca="1" si="274"/>
        <v>10</v>
      </c>
      <c r="B862" s="834">
        <f>IF(M862="escavadeira",100978,100974)</f>
        <v>100978</v>
      </c>
      <c r="C862" s="2" t="str">
        <f>VLOOKUP($B862,[4]BOLETIM_SEL!$A:$H,2,0)</f>
        <v>SINAPI</v>
      </c>
      <c r="D862" s="315" t="str">
        <f>VLOOKUP($B862,[4]BOLETIM_SEL!$A:$H,4,0)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862" s="2"/>
      <c r="F862" s="2" t="str">
        <f>VLOOKUP($B862,[4]BOLETIM_SEL!$A:$H,6,0)</f>
        <v>M3</v>
      </c>
      <c r="G862" s="1407">
        <f>+VLOOKUP($B862,[4]BOLETIM_SEL!$A:$H,7,0)</f>
        <v>6.17</v>
      </c>
      <c r="H862" s="1611">
        <f>+Ciclovia!J110+IF(Ciclovia!J111&lt;=50,Ciclovia!J111,0)</f>
        <v>0</v>
      </c>
      <c r="I862" s="877">
        <f>+TRUNC(G862*(1+$J$5),2)</f>
        <v>7.44</v>
      </c>
      <c r="J862" s="1612">
        <f t="shared" si="276"/>
        <v>0</v>
      </c>
      <c r="K862" s="2078">
        <f t="shared" ca="1" si="272"/>
        <v>0</v>
      </c>
      <c r="L862" s="1574" t="e">
        <f t="shared" si="273"/>
        <v>#DIV/0!</v>
      </c>
      <c r="M862" s="1589" t="s">
        <v>2106</v>
      </c>
      <c r="N862" s="833"/>
      <c r="O862" s="833"/>
      <c r="Q862" s="833"/>
      <c r="R862" s="833"/>
      <c r="S862" s="833"/>
      <c r="T862" s="833"/>
      <c r="U862" s="833"/>
      <c r="V862" s="833"/>
      <c r="W862" s="833"/>
      <c r="X862" s="833"/>
    </row>
    <row r="863" spans="1:24" s="813" customFormat="1" ht="39.950000000000003" hidden="1" customHeight="1" x14ac:dyDescent="0.15">
      <c r="A863" s="2081">
        <f t="shared" ca="1" si="274"/>
        <v>10</v>
      </c>
      <c r="B863" s="834">
        <f>IF(M863="escavadeira",100979,100975)</f>
        <v>100979</v>
      </c>
      <c r="C863" s="2" t="str">
        <f>VLOOKUP($B863,[4]BOLETIM_SEL!$A:$H,2,0)</f>
        <v>SINAPI</v>
      </c>
      <c r="D863" s="315" t="str">
        <f>VLOOKUP($B863,[4]BOLETIM_SEL!$A:$H,4,0)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863" s="2"/>
      <c r="F863" s="2" t="str">
        <f>VLOOKUP($B863,[4]BOLETIM_SEL!$A:$H,6,0)</f>
        <v>M3</v>
      </c>
      <c r="G863" s="1407">
        <f>+VLOOKUP($B863,[4]BOLETIM_SEL!$A:$H,7,0)</f>
        <v>6.01</v>
      </c>
      <c r="H863" s="1611">
        <f>+IF(Ciclovia!J111&gt;50,Ciclovia!J111,0)</f>
        <v>0</v>
      </c>
      <c r="I863" s="877">
        <f>+TRUNC(G863*(1+$J$5),2)</f>
        <v>7.25</v>
      </c>
      <c r="J863" s="1612">
        <f t="shared" si="276"/>
        <v>0</v>
      </c>
      <c r="K863" s="2078">
        <f t="shared" ca="1" si="272"/>
        <v>0</v>
      </c>
      <c r="L863" s="1574" t="e">
        <f t="shared" si="273"/>
        <v>#DIV/0!</v>
      </c>
      <c r="M863" s="1589" t="s">
        <v>2106</v>
      </c>
      <c r="N863" s="833"/>
      <c r="O863" s="833"/>
      <c r="Q863" s="833"/>
      <c r="R863" s="833"/>
      <c r="S863" s="833"/>
      <c r="T863" s="833"/>
      <c r="U863" s="833"/>
      <c r="V863" s="833"/>
      <c r="W863" s="833"/>
      <c r="X863" s="833"/>
    </row>
    <row r="864" spans="1:24" s="813" customFormat="1" ht="24.95" hidden="1" customHeight="1" x14ac:dyDescent="0.15">
      <c r="A864" s="2081"/>
      <c r="B864" s="834"/>
      <c r="C864" s="2"/>
      <c r="D864" s="1452" t="s">
        <v>1803</v>
      </c>
      <c r="E864" s="2"/>
      <c r="F864" s="2"/>
      <c r="G864" s="1407"/>
      <c r="H864" s="2"/>
      <c r="I864" s="839" t="str">
        <f>IF(I865=0,"-","")</f>
        <v/>
      </c>
      <c r="J864" s="839" t="str">
        <f>IF(J865=0,"-","")</f>
        <v>-</v>
      </c>
      <c r="K864" s="2078"/>
      <c r="L864" s="1574"/>
      <c r="M864" s="1445" t="s">
        <v>1951</v>
      </c>
      <c r="N864" s="833"/>
      <c r="O864" s="833"/>
      <c r="Q864" s="833"/>
      <c r="R864" s="833"/>
      <c r="S864" s="833"/>
      <c r="T864" s="833"/>
      <c r="U864" s="833"/>
      <c r="V864" s="833"/>
      <c r="W864" s="833"/>
      <c r="X864" s="833"/>
    </row>
    <row r="865" spans="1:24" s="813" customFormat="1" ht="39.950000000000003" hidden="1" customHeight="1" x14ac:dyDescent="0.15">
      <c r="A865" s="2081">
        <f ca="1">+IF(H865&gt;0,A863+0.01,A863)</f>
        <v>10</v>
      </c>
      <c r="B865" s="834">
        <f>IF(AND(M865&lt;=50,E865&lt;=30),95875,IF(AND(M865&lt;=50,E865&gt;30),93590,IF(AND(M865&gt;50,E865&lt;=30),95876,93593)))</f>
        <v>95875</v>
      </c>
      <c r="C865" s="2" t="str">
        <f>VLOOKUP($B865,[4]BOLETIM_SEL!$A:$H,2,0)</f>
        <v>SINAPI</v>
      </c>
      <c r="D865" s="315" t="str">
        <f>VLOOKUP($B865,[4]BOLETIM_SEL!$A:$H,4,0)</f>
        <v>Transporte com caminhão basculante de 10 m3, em via urbana pavimentada, DMT até 30,00 km (unidade: m3xkm). AF_07/2020</v>
      </c>
      <c r="E865" s="2">
        <f>Dados_DMT!$B$17</f>
        <v>4</v>
      </c>
      <c r="F865" s="2" t="str">
        <f>VLOOKUP($B865,[4]BOLETIM_SEL!$A:$H,6,0)</f>
        <v>M3XKM</v>
      </c>
      <c r="G865" s="1407">
        <f>+VLOOKUP($B865,[4]BOLETIM_SEL!$A:$H,7,0)</f>
        <v>2.1800000000000002</v>
      </c>
      <c r="H865" s="1611">
        <f>ROUND(Ciclovia!J114*E865,2)</f>
        <v>0</v>
      </c>
      <c r="I865" s="877">
        <f>+TRUNC(G865*(1+$J$5),2)</f>
        <v>2.63</v>
      </c>
      <c r="J865" s="1612">
        <f>TRUNC(H865*I865,2)</f>
        <v>0</v>
      </c>
      <c r="K865" s="2078">
        <f ca="1">+J865/J$967</f>
        <v>0</v>
      </c>
      <c r="L865" s="1574" t="e">
        <f>+J865/$J$833</f>
        <v>#DIV/0!</v>
      </c>
      <c r="M865" s="1453">
        <f>IF(H865=0,0,H865/E865)</f>
        <v>0</v>
      </c>
      <c r="N865" s="833"/>
      <c r="O865" s="833"/>
      <c r="Q865" s="833"/>
      <c r="R865" s="833"/>
      <c r="S865" s="833"/>
      <c r="T865" s="833"/>
      <c r="U865" s="833"/>
      <c r="V865" s="833"/>
      <c r="W865" s="833"/>
      <c r="X865" s="833"/>
    </row>
    <row r="866" spans="1:24" s="813" customFormat="1" ht="24.95" hidden="1" customHeight="1" x14ac:dyDescent="0.15">
      <c r="A866" s="2081"/>
      <c r="B866" s="834"/>
      <c r="C866" s="2"/>
      <c r="D866" s="1452" t="s">
        <v>1948</v>
      </c>
      <c r="E866" s="2"/>
      <c r="F866" s="2"/>
      <c r="G866" s="1407"/>
      <c r="H866" s="2"/>
      <c r="I866" s="839" t="str">
        <f>IF(I867=0,"-","")</f>
        <v/>
      </c>
      <c r="J866" s="839" t="str">
        <f>IF(J867=0,"-","")</f>
        <v>-</v>
      </c>
      <c r="K866" s="2078"/>
      <c r="L866" s="1574"/>
      <c r="N866" s="833"/>
      <c r="O866" s="833"/>
      <c r="Q866" s="833"/>
      <c r="R866" s="833"/>
      <c r="S866" s="833"/>
      <c r="T866" s="833"/>
      <c r="U866" s="833"/>
      <c r="V866" s="833"/>
      <c r="W866" s="833"/>
      <c r="X866" s="833"/>
    </row>
    <row r="867" spans="1:24" s="813" customFormat="1" ht="39.950000000000003" hidden="1" customHeight="1" x14ac:dyDescent="0.15">
      <c r="A867" s="2081">
        <f ca="1">+IF(H867&gt;0,A865+0.01,A865)</f>
        <v>10</v>
      </c>
      <c r="B867" s="834">
        <f>IF(AND(M867&lt;=50,E867&lt;=30),95875,IF(AND(M867&lt;=50,E867&gt;30),93590,IF(AND(M867&gt;50,E867&lt;=30),95876,93593)))</f>
        <v>95875</v>
      </c>
      <c r="C867" s="2" t="str">
        <f>VLOOKUP($B867,[4]BOLETIM_SEL!$A:$H,2,0)</f>
        <v>SINAPI</v>
      </c>
      <c r="D867" s="315" t="str">
        <f>VLOOKUP($B867,[4]BOLETIM_SEL!$A:$H,4,0)</f>
        <v>Transporte com caminhão basculante de 10 m3, em via urbana pavimentada, DMT até 30,00 km (unidade: m3xkm). AF_07/2020</v>
      </c>
      <c r="E867" s="2">
        <f>+Dados_DMT!$B$14</f>
        <v>4</v>
      </c>
      <c r="F867" s="2" t="str">
        <f>VLOOKUP($B867,[4]BOLETIM_SEL!$A:$H,6,0)</f>
        <v>M3XKM</v>
      </c>
      <c r="G867" s="1407">
        <f>+VLOOKUP($B867,[4]BOLETIM_SEL!$A:$H,7,0)</f>
        <v>2.1800000000000002</v>
      </c>
      <c r="H867" s="1611">
        <f>ROUND(Ciclovia!J115*E867,2)</f>
        <v>0</v>
      </c>
      <c r="I867" s="877">
        <f>+TRUNC(G867*(1+$J$5),2)</f>
        <v>2.63</v>
      </c>
      <c r="J867" s="1612">
        <f>TRUNC(H867*I867,2)</f>
        <v>0</v>
      </c>
      <c r="K867" s="2078">
        <f ca="1">+J867/J$967</f>
        <v>0</v>
      </c>
      <c r="L867" s="1574" t="e">
        <f>+J867/$J$833</f>
        <v>#DIV/0!</v>
      </c>
      <c r="M867" s="1453">
        <f>IF(H867=0,0,H867/E867)</f>
        <v>0</v>
      </c>
      <c r="N867" s="833"/>
      <c r="O867" s="833"/>
      <c r="Q867" s="833"/>
      <c r="R867" s="833"/>
      <c r="S867" s="833"/>
      <c r="T867" s="833"/>
      <c r="U867" s="833"/>
      <c r="V867" s="833"/>
      <c r="W867" s="833"/>
      <c r="X867" s="833"/>
    </row>
    <row r="868" spans="1:24" s="813" customFormat="1" ht="24.95" hidden="1" customHeight="1" x14ac:dyDescent="0.15">
      <c r="A868" s="2081"/>
      <c r="B868" s="834"/>
      <c r="C868" s="2"/>
      <c r="D868" s="1452" t="s">
        <v>1899</v>
      </c>
      <c r="E868" s="2"/>
      <c r="F868" s="2"/>
      <c r="G868" s="1407"/>
      <c r="H868" s="2"/>
      <c r="I868" s="839"/>
      <c r="J868" s="839" t="str">
        <f>IF(J869=0,"-","")</f>
        <v>-</v>
      </c>
      <c r="K868" s="2078"/>
      <c r="L868" s="1574"/>
      <c r="M868" s="1445" t="s">
        <v>1674</v>
      </c>
      <c r="N868" s="833"/>
      <c r="O868" s="833"/>
      <c r="Q868" s="833"/>
      <c r="R868" s="833"/>
      <c r="S868" s="833"/>
      <c r="T868" s="833"/>
      <c r="U868" s="833"/>
      <c r="V868" s="833"/>
      <c r="W868" s="833"/>
      <c r="X868" s="833"/>
    </row>
    <row r="869" spans="1:24" s="813" customFormat="1" ht="30" hidden="1" customHeight="1" x14ac:dyDescent="0.15">
      <c r="A869" s="2081">
        <f ca="1">+IF(H869&gt;0,A867+0.01,A867)</f>
        <v>10</v>
      </c>
      <c r="B869" s="834">
        <v>100938</v>
      </c>
      <c r="C869" s="2" t="str">
        <f>VLOOKUP($B869,[4]BOLETIM_SEL!$A:$H,2,0)</f>
        <v>SINAPI</v>
      </c>
      <c r="D869" s="315" t="str">
        <f>VLOOKUP($B869,[4]BOLETIM_SEL!$A:$H,4,0)</f>
        <v>Transporte com caminhão basculante de 10 m3, em via interna (dentro do canteiro - unidade: m3xkm). AF_07/2020</v>
      </c>
      <c r="E869" s="2">
        <f>+Dados_DMT!$B$15</f>
        <v>1</v>
      </c>
      <c r="F869" s="2" t="str">
        <f>VLOOKUP($B869,[4]BOLETIM_SEL!$A:$H,6,0)</f>
        <v>M3XKM</v>
      </c>
      <c r="G869" s="1407">
        <f>+VLOOKUP($B869,[4]BOLETIM_SEL!$A:$H,7,0)</f>
        <v>6.57</v>
      </c>
      <c r="H869" s="1611">
        <f>ROUND(Ciclovia!J126*E869,2)</f>
        <v>0</v>
      </c>
      <c r="I869" s="877">
        <f>+TRUNC(G869*(1+$J$5),2)</f>
        <v>7.92</v>
      </c>
      <c r="J869" s="1612">
        <f>TRUNC(H869*I869,2)</f>
        <v>0</v>
      </c>
      <c r="K869" s="2078">
        <f ca="1">+J869/J$967</f>
        <v>0</v>
      </c>
      <c r="L869" s="1574" t="e">
        <f>+J869/$J$833</f>
        <v>#DIV/0!</v>
      </c>
      <c r="M869" s="1445"/>
      <c r="N869" s="833"/>
      <c r="O869" s="833"/>
      <c r="Q869" s="833"/>
      <c r="R869" s="833"/>
      <c r="S869" s="833"/>
      <c r="T869" s="833"/>
      <c r="U869" s="833"/>
      <c r="V869" s="833"/>
      <c r="W869" s="833"/>
      <c r="X869" s="833"/>
    </row>
    <row r="870" spans="1:24" s="813" customFormat="1" ht="24.95" hidden="1" customHeight="1" x14ac:dyDescent="0.15">
      <c r="A870" s="2081"/>
      <c r="B870" s="834"/>
      <c r="C870" s="2"/>
      <c r="D870" s="1452" t="s">
        <v>1895</v>
      </c>
      <c r="E870" s="2"/>
      <c r="F870" s="2"/>
      <c r="G870" s="1407"/>
      <c r="H870" s="2"/>
      <c r="I870" s="839" t="str">
        <f>IF(I871=0,"-","")</f>
        <v/>
      </c>
      <c r="J870" s="839" t="str">
        <f>IF(J871=0,"-","")</f>
        <v>-</v>
      </c>
      <c r="K870" s="2078"/>
      <c r="L870" s="1574"/>
      <c r="M870" s="1445"/>
      <c r="N870" s="833"/>
      <c r="O870" s="833"/>
      <c r="Q870" s="833"/>
      <c r="R870" s="833"/>
      <c r="S870" s="833"/>
      <c r="T870" s="833"/>
      <c r="U870" s="833"/>
      <c r="V870" s="833"/>
      <c r="W870" s="833"/>
      <c r="X870" s="833"/>
    </row>
    <row r="871" spans="1:24" s="813" customFormat="1" ht="39.950000000000003" hidden="1" customHeight="1" x14ac:dyDescent="0.15">
      <c r="A871" s="2081">
        <f ca="1">+IF(H871&gt;0,A869+0.01,A869)</f>
        <v>10</v>
      </c>
      <c r="B871" s="834">
        <f>IF(AND(M871&lt;=50,E871&lt;=30),95875,IF(AND(M871&lt;=50,E871&gt;30),93590,IF(AND(M871&gt;50,E871&lt;=30),95876,93593)))</f>
        <v>95875</v>
      </c>
      <c r="C871" s="2" t="str">
        <f>VLOOKUP($B871,[4]BOLETIM_SEL!$A:$H,2,0)</f>
        <v>SINAPI</v>
      </c>
      <c r="D871" s="315" t="str">
        <f>VLOOKUP($B871,[4]BOLETIM_SEL!$A:$H,4,0)</f>
        <v>Transporte com caminhão basculante de 10 m3, em via urbana pavimentada, DMT até 30,00 km (unidade: m3xkm). AF_07/2020</v>
      </c>
      <c r="E871" s="2">
        <f>+Dados_DMT!$B$24</f>
        <v>0</v>
      </c>
      <c r="F871" s="2" t="str">
        <f>VLOOKUP($B871,[4]BOLETIM_SEL!$A:$H,6,0)</f>
        <v>M3XKM</v>
      </c>
      <c r="G871" s="1407">
        <f>+VLOOKUP($B871,[4]BOLETIM_SEL!$A:$H,7,0)</f>
        <v>2.1800000000000002</v>
      </c>
      <c r="H871" s="1611">
        <f>ROUND(Ciclovia!J121*E871,2)</f>
        <v>0</v>
      </c>
      <c r="I871" s="877">
        <f>+TRUNC(G871*(1+$J$5),2)</f>
        <v>2.63</v>
      </c>
      <c r="J871" s="1612">
        <f>TRUNC(H871*I871,2)</f>
        <v>0</v>
      </c>
      <c r="K871" s="2078">
        <f ca="1">+J871/J$967</f>
        <v>0</v>
      </c>
      <c r="L871" s="1574" t="e">
        <f>+J871/$J$833</f>
        <v>#DIV/0!</v>
      </c>
      <c r="M871" s="1453">
        <f>IF(H871=0,0,H871/E871)</f>
        <v>0</v>
      </c>
      <c r="N871" s="833"/>
      <c r="O871" s="833"/>
      <c r="Q871" s="833"/>
      <c r="R871" s="833"/>
      <c r="S871" s="833"/>
      <c r="T871" s="833"/>
      <c r="U871" s="833"/>
      <c r="V871" s="833"/>
      <c r="W871" s="833"/>
      <c r="X871" s="833"/>
    </row>
    <row r="872" spans="1:24" s="813" customFormat="1" ht="24.95" hidden="1" customHeight="1" x14ac:dyDescent="0.15">
      <c r="A872" s="2081"/>
      <c r="B872" s="834"/>
      <c r="C872" s="2"/>
      <c r="D872" s="1452" t="s">
        <v>1900</v>
      </c>
      <c r="E872" s="2"/>
      <c r="F872" s="2"/>
      <c r="G872" s="1407"/>
      <c r="H872" s="2"/>
      <c r="I872" s="839" t="str">
        <f>IF(I873=0,"-","")</f>
        <v/>
      </c>
      <c r="J872" s="839" t="str">
        <f>IF(J873=0,"-","")</f>
        <v>-</v>
      </c>
      <c r="K872" s="2078"/>
      <c r="L872" s="1574"/>
      <c r="M872" s="1445"/>
      <c r="N872" s="833"/>
      <c r="O872" s="833"/>
      <c r="Q872" s="833"/>
      <c r="R872" s="833"/>
      <c r="S872" s="833"/>
      <c r="T872" s="833"/>
      <c r="U872" s="833"/>
      <c r="V872" s="833"/>
      <c r="W872" s="833"/>
      <c r="X872" s="833"/>
    </row>
    <row r="873" spans="1:24" s="813" customFormat="1" ht="39.950000000000003" hidden="1" customHeight="1" x14ac:dyDescent="0.15">
      <c r="A873" s="2081">
        <f ca="1">+IF(H873&gt;0,A871+0.01,A871)</f>
        <v>10</v>
      </c>
      <c r="B873" s="834">
        <f>IF(AND(M873&lt;=50,E873&lt;=30),95875,IF(AND(M873&lt;=50,E873&gt;30),93590,IF(AND(M873&gt;50,E873&lt;=30),95876,93593)))</f>
        <v>93590</v>
      </c>
      <c r="C873" s="2" t="str">
        <f>VLOOKUP($B873,[4]BOLETIM_SEL!$A:$H,2,0)</f>
        <v>SINAPI</v>
      </c>
      <c r="D873" s="315" t="str">
        <f>VLOOKUP($B873,[4]BOLETIM_SEL!$A:$H,4,0)</f>
        <v>Transporte com caminhão basculante de 10 m3, em via urbana pavimentada, adicional para DMT excedente a 30,00 km (unidade: m3xkm). AF_07/2020</v>
      </c>
      <c r="E873" s="2">
        <f>+Dados_DMT!$B$34</f>
        <v>109</v>
      </c>
      <c r="F873" s="2" t="str">
        <f>VLOOKUP($B873,[4]BOLETIM_SEL!$A:$H,6,0)</f>
        <v>M3XKM</v>
      </c>
      <c r="G873" s="1407">
        <f>+VLOOKUP($B873,[4]BOLETIM_SEL!$A:$H,7,0)</f>
        <v>0.85</v>
      </c>
      <c r="H873" s="1611">
        <f>ROUND(Ciclovia!J122*E873,2)</f>
        <v>0</v>
      </c>
      <c r="I873" s="877">
        <f>+TRUNC(G873*(1+$J$5),2)</f>
        <v>1.02</v>
      </c>
      <c r="J873" s="1612">
        <f>TRUNC(H873*I873,2)</f>
        <v>0</v>
      </c>
      <c r="K873" s="2078">
        <f ca="1">+J873/J$967</f>
        <v>0</v>
      </c>
      <c r="L873" s="1574" t="e">
        <f>+J873/$J$833</f>
        <v>#DIV/0!</v>
      </c>
      <c r="M873" s="1453">
        <f>IF(H873=0,0,H873/E873)</f>
        <v>0</v>
      </c>
      <c r="N873" s="833"/>
      <c r="O873" s="833"/>
      <c r="Q873" s="833"/>
      <c r="R873" s="833"/>
      <c r="S873" s="833"/>
      <c r="T873" s="833"/>
      <c r="U873" s="833"/>
      <c r="V873" s="833"/>
      <c r="W873" s="833"/>
      <c r="X873" s="833"/>
    </row>
    <row r="874" spans="1:24" s="813" customFormat="1" ht="24.95" hidden="1" customHeight="1" x14ac:dyDescent="0.15">
      <c r="A874" s="2081"/>
      <c r="B874" s="834"/>
      <c r="C874" s="2"/>
      <c r="D874" s="1452" t="s">
        <v>1896</v>
      </c>
      <c r="E874" s="2"/>
      <c r="F874" s="2"/>
      <c r="G874" s="1407"/>
      <c r="H874" s="2"/>
      <c r="I874" s="839" t="str">
        <f>IF(I875=0,"-","")</f>
        <v/>
      </c>
      <c r="J874" s="839" t="str">
        <f>IF(J875=0,"-","")</f>
        <v>-</v>
      </c>
      <c r="K874" s="2078"/>
      <c r="L874" s="1574"/>
      <c r="M874" s="1445"/>
      <c r="N874" s="833"/>
      <c r="O874" s="833"/>
      <c r="Q874" s="833"/>
      <c r="R874" s="833"/>
      <c r="S874" s="833"/>
      <c r="T874" s="833"/>
      <c r="U874" s="833"/>
      <c r="V874" s="833"/>
      <c r="W874" s="833"/>
      <c r="X874" s="833"/>
    </row>
    <row r="875" spans="1:24" s="813" customFormat="1" ht="39.950000000000003" hidden="1" customHeight="1" x14ac:dyDescent="0.15">
      <c r="A875" s="2081">
        <f ca="1">+IF(H875&gt;0,A873+0.01,A873)</f>
        <v>10</v>
      </c>
      <c r="B875" s="834">
        <f>IF(AND(M875&lt;=50,E875&lt;=30),95875,IF(AND(M875&lt;=50,E875&gt;30),93590,IF(AND(M875&gt;50,E875&lt;=30),95876,93593)))</f>
        <v>93590</v>
      </c>
      <c r="C875" s="2" t="str">
        <f>VLOOKUP($B875,[4]BOLETIM_SEL!$A:$H,2,0)</f>
        <v>SINAPI</v>
      </c>
      <c r="D875" s="315" t="str">
        <f>VLOOKUP($B875,[4]BOLETIM_SEL!$A:$H,4,0)</f>
        <v>Transporte com caminhão basculante de 10 m3, em via urbana pavimentada, adicional para DMT excedente a 30,00 km (unidade: m3xkm). AF_07/2020</v>
      </c>
      <c r="E875" s="2">
        <f>+Dados_DMT!$B$34</f>
        <v>109</v>
      </c>
      <c r="F875" s="2" t="str">
        <f>VLOOKUP($B875,[4]BOLETIM_SEL!$A:$H,6,0)</f>
        <v>M3XKM</v>
      </c>
      <c r="G875" s="1407">
        <f>+VLOOKUP($B875,[4]BOLETIM_SEL!$A:$H,7,0)</f>
        <v>0.85</v>
      </c>
      <c r="H875" s="1611">
        <f>ROUND(Ciclovia!J123*E875,2)</f>
        <v>0</v>
      </c>
      <c r="I875" s="877">
        <f>+TRUNC(G875*(1+$J$5),2)</f>
        <v>1.02</v>
      </c>
      <c r="J875" s="1612">
        <f>TRUNC(H875*I875,2)</f>
        <v>0</v>
      </c>
      <c r="K875" s="2078">
        <f ca="1">+J875/J$967</f>
        <v>0</v>
      </c>
      <c r="L875" s="1574" t="e">
        <f>+J875/$J$833</f>
        <v>#DIV/0!</v>
      </c>
      <c r="M875" s="1453">
        <f>IF(H875=0,0,H875/E875)</f>
        <v>0</v>
      </c>
      <c r="N875" s="833"/>
      <c r="O875" s="833"/>
      <c r="Q875" s="833"/>
      <c r="R875" s="833"/>
      <c r="S875" s="833"/>
      <c r="T875" s="833"/>
      <c r="U875" s="833"/>
      <c r="V875" s="833"/>
      <c r="W875" s="833"/>
      <c r="X875" s="833"/>
    </row>
    <row r="876" spans="1:24" s="813" customFormat="1" ht="24.95" hidden="1" customHeight="1" x14ac:dyDescent="0.15">
      <c r="A876" s="2081"/>
      <c r="B876" s="834"/>
      <c r="C876" s="2"/>
      <c r="D876" s="1452" t="s">
        <v>1901</v>
      </c>
      <c r="E876" s="2"/>
      <c r="F876" s="2"/>
      <c r="G876" s="1407"/>
      <c r="H876" s="2"/>
      <c r="I876" s="839" t="str">
        <f>IF(I877=0,"-","")</f>
        <v/>
      </c>
      <c r="J876" s="839" t="str">
        <f>IF(J877=0,"-","")</f>
        <v>-</v>
      </c>
      <c r="K876" s="2078"/>
      <c r="L876" s="1574"/>
      <c r="M876" s="1445"/>
      <c r="N876" s="833"/>
      <c r="O876" s="833"/>
      <c r="Q876" s="833"/>
      <c r="R876" s="833"/>
      <c r="S876" s="833"/>
      <c r="T876" s="833"/>
      <c r="U876" s="833"/>
      <c r="V876" s="833"/>
      <c r="W876" s="833"/>
      <c r="X876" s="833"/>
    </row>
    <row r="877" spans="1:24" s="813" customFormat="1" ht="39.950000000000003" hidden="1" customHeight="1" x14ac:dyDescent="0.15">
      <c r="A877" s="2081">
        <f ca="1">+IF(H877&gt;0,A875+0.01,A875)</f>
        <v>10</v>
      </c>
      <c r="B877" s="834">
        <f>IF(AND(M877&lt;=50,E877&lt;=30),95875,IF(AND(M877&lt;=50,E877&gt;30),93590,IF(AND(M877&gt;50,E877&lt;=30),95876,93593)))</f>
        <v>95875</v>
      </c>
      <c r="C877" s="2" t="str">
        <f>VLOOKUP($B877,[4]BOLETIM_SEL!$A:$H,2,0)</f>
        <v>SINAPI</v>
      </c>
      <c r="D877" s="315" t="str">
        <f>VLOOKUP($B877,[4]BOLETIM_SEL!$A:$H,4,0)</f>
        <v>Transporte com caminhão basculante de 10 m3, em via urbana pavimentada, DMT até 30,00 km (unidade: m3xkm). AF_07/2020</v>
      </c>
      <c r="E877" s="2">
        <f>+Dados_DMT!$B$32</f>
        <v>0</v>
      </c>
      <c r="F877" s="2" t="str">
        <f>VLOOKUP($B877,[4]BOLETIM_SEL!$A:$H,6,0)</f>
        <v>M3XKM</v>
      </c>
      <c r="G877" s="1407">
        <f>+VLOOKUP($B877,[4]BOLETIM_SEL!$A:$H,7,0)</f>
        <v>2.1800000000000002</v>
      </c>
      <c r="H877" s="1611">
        <f>ROUND(Ciclovia!J125*E877,2)</f>
        <v>0</v>
      </c>
      <c r="I877" s="877">
        <f>+TRUNC(G877*(1+$J$5),2)</f>
        <v>2.63</v>
      </c>
      <c r="J877" s="1612">
        <f>TRUNC(H877*I877,2)</f>
        <v>0</v>
      </c>
      <c r="K877" s="2078">
        <f ca="1">+J877/J$967</f>
        <v>0</v>
      </c>
      <c r="L877" s="1574" t="e">
        <f>+J877/$J$833</f>
        <v>#DIV/0!</v>
      </c>
      <c r="M877" s="1453">
        <f>IF(H877=0,0,H877/E877)</f>
        <v>0</v>
      </c>
      <c r="N877" s="833"/>
      <c r="O877" s="833"/>
      <c r="Q877" s="833"/>
      <c r="R877" s="833"/>
      <c r="S877" s="833"/>
      <c r="T877" s="833"/>
      <c r="U877" s="833"/>
      <c r="V877" s="833"/>
      <c r="W877" s="833"/>
      <c r="X877" s="833"/>
    </row>
    <row r="878" spans="1:24" s="813" customFormat="1" ht="24.95" hidden="1" customHeight="1" x14ac:dyDescent="0.15">
      <c r="A878" s="2081"/>
      <c r="B878" s="834"/>
      <c r="C878" s="2"/>
      <c r="D878" s="1452" t="s">
        <v>1907</v>
      </c>
      <c r="E878" s="2"/>
      <c r="F878" s="2"/>
      <c r="G878" s="1407"/>
      <c r="H878" s="2"/>
      <c r="I878" s="839" t="str">
        <f>IF(I879=0,"-","")</f>
        <v/>
      </c>
      <c r="J878" s="839" t="str">
        <f>IF(J879=0,"-","")</f>
        <v>-</v>
      </c>
      <c r="K878" s="2078"/>
      <c r="L878" s="1574"/>
      <c r="M878" s="1445"/>
      <c r="N878" s="833"/>
      <c r="O878" s="833"/>
      <c r="Q878" s="833"/>
      <c r="R878" s="833"/>
      <c r="S878" s="833"/>
      <c r="T878" s="833"/>
      <c r="U878" s="833"/>
      <c r="V878" s="833"/>
      <c r="W878" s="833"/>
      <c r="X878" s="833"/>
    </row>
    <row r="879" spans="1:24" s="813" customFormat="1" ht="39.950000000000003" hidden="1" customHeight="1" x14ac:dyDescent="0.15">
      <c r="A879" s="2081">
        <f ca="1">+IF(H879&gt;0,A877+0.01,A877)</f>
        <v>10</v>
      </c>
      <c r="B879" s="834">
        <f>IF(AND(M879&lt;=50,E879&lt;=30),95875,IF(AND(M879&lt;=50,E879&gt;30),93590,IF(AND(M879&gt;50,E879&lt;=30),95876,93593)))</f>
        <v>95875</v>
      </c>
      <c r="C879" s="2" t="str">
        <f>VLOOKUP($B879,[4]BOLETIM_SEL!$A:$H,2,0)</f>
        <v>SINAPI</v>
      </c>
      <c r="D879" s="315" t="str">
        <f>VLOOKUP($B879,[4]BOLETIM_SEL!$A:$H,4,0)</f>
        <v>Transporte com caminhão basculante de 10 m3, em via urbana pavimentada, DMT até 30,00 km (unidade: m3xkm). AF_07/2020</v>
      </c>
      <c r="E879" s="2">
        <f>+Dados_DMT!$B$33</f>
        <v>0</v>
      </c>
      <c r="F879" s="2" t="str">
        <f>VLOOKUP($B879,[4]BOLETIM_SEL!$A:$H,6,0)</f>
        <v>M3XKM</v>
      </c>
      <c r="G879" s="1407">
        <f>+VLOOKUP($B879,[4]BOLETIM_SEL!$A:$H,7,0)</f>
        <v>2.1800000000000002</v>
      </c>
      <c r="H879" s="1611">
        <f>ROUND(Ciclovia!J119*E879,2)</f>
        <v>0</v>
      </c>
      <c r="I879" s="877">
        <f>+TRUNC(G879*(1+$J$5),2)</f>
        <v>2.63</v>
      </c>
      <c r="J879" s="1612">
        <f>TRUNC(H879*I879,2)</f>
        <v>0</v>
      </c>
      <c r="K879" s="2078">
        <f ca="1">+J879/J$967</f>
        <v>0</v>
      </c>
      <c r="L879" s="1574" t="e">
        <f>+J879/$J$833</f>
        <v>#DIV/0!</v>
      </c>
      <c r="M879" s="1453">
        <f>IF(H879=0,0,H879/E879)</f>
        <v>0</v>
      </c>
      <c r="N879" s="833"/>
      <c r="O879" s="833"/>
      <c r="Q879" s="833"/>
      <c r="R879" s="833"/>
      <c r="S879" s="833"/>
      <c r="T879" s="833"/>
      <c r="U879" s="833"/>
      <c r="V879" s="833"/>
      <c r="W879" s="833"/>
      <c r="X879" s="833"/>
    </row>
    <row r="880" spans="1:24" s="813" customFormat="1" ht="24.95" hidden="1" customHeight="1" x14ac:dyDescent="0.15">
      <c r="A880" s="2081"/>
      <c r="B880" s="834"/>
      <c r="C880" s="2"/>
      <c r="D880" s="1452" t="s">
        <v>1819</v>
      </c>
      <c r="E880" s="2"/>
      <c r="F880" s="2"/>
      <c r="G880" s="1407"/>
      <c r="H880" s="2"/>
      <c r="I880" s="839" t="str">
        <f>IF(I881=0,"-","")</f>
        <v/>
      </c>
      <c r="J880" s="839" t="str">
        <f>IF(J881=0,"-","")</f>
        <v>-</v>
      </c>
      <c r="K880" s="2078"/>
      <c r="L880" s="1574"/>
      <c r="M880" s="1445"/>
      <c r="N880" s="833"/>
      <c r="O880" s="833"/>
      <c r="Q880" s="833"/>
      <c r="R880" s="833"/>
      <c r="S880" s="833"/>
      <c r="T880" s="833"/>
      <c r="U880" s="833"/>
      <c r="V880" s="833"/>
      <c r="W880" s="833"/>
      <c r="X880" s="833"/>
    </row>
    <row r="881" spans="1:24" s="813" customFormat="1" ht="39.950000000000003" hidden="1" customHeight="1" x14ac:dyDescent="0.15">
      <c r="A881" s="2081">
        <f ca="1">+IF(H881&gt;0,A879+0.01,A879)</f>
        <v>10</v>
      </c>
      <c r="B881" s="834">
        <f>IF(AND(M881&lt;=50,E881&lt;=30),95875,IF(AND(M881&lt;=50,E881&gt;30),93590,IF(AND(M881&gt;50,E881&lt;=30),95876,93593)))</f>
        <v>95875</v>
      </c>
      <c r="C881" s="2" t="str">
        <f>VLOOKUP($B881,[4]BOLETIM_SEL!$A:$H,2,0)</f>
        <v>SINAPI</v>
      </c>
      <c r="D881" s="315" t="str">
        <f>VLOOKUP($B881,[4]BOLETIM_SEL!$A:$H,4,0)</f>
        <v>Transporte com caminhão basculante de 10 m3, em via urbana pavimentada, DMT até 30,00 km (unidade: m3xkm). AF_07/2020</v>
      </c>
      <c r="E881" s="2">
        <f>+Dados_DMT!$B$21</f>
        <v>0</v>
      </c>
      <c r="F881" s="2" t="str">
        <f>VLOOKUP($B881,[4]BOLETIM_SEL!$A:$H,6,0)</f>
        <v>M3XKM</v>
      </c>
      <c r="G881" s="1407">
        <f>+VLOOKUP($B881,[4]BOLETIM_SEL!$A:$H,7,0)</f>
        <v>2.1800000000000002</v>
      </c>
      <c r="H881" s="1611">
        <f>ROUND(Ciclovia!J117*E881,2)</f>
        <v>0</v>
      </c>
      <c r="I881" s="877">
        <f>+TRUNC(G881*(1+$J$5),2)</f>
        <v>2.63</v>
      </c>
      <c r="J881" s="1612">
        <f>TRUNC(H881*I881,2)</f>
        <v>0</v>
      </c>
      <c r="K881" s="2078">
        <f ca="1">+J881/J$967</f>
        <v>0</v>
      </c>
      <c r="L881" s="1574" t="e">
        <f>+J881/$J$833</f>
        <v>#DIV/0!</v>
      </c>
      <c r="M881" s="1453">
        <f>IF(H881=0,0,H881/E881)</f>
        <v>0</v>
      </c>
      <c r="N881" s="833"/>
      <c r="O881" s="833"/>
      <c r="Q881" s="833"/>
      <c r="R881" s="833"/>
      <c r="S881" s="833"/>
      <c r="T881" s="833"/>
      <c r="U881" s="833"/>
      <c r="V881" s="833"/>
      <c r="W881" s="833"/>
      <c r="X881" s="833"/>
    </row>
    <row r="882" spans="1:24" s="813" customFormat="1" ht="24.95" hidden="1" customHeight="1" x14ac:dyDescent="0.15">
      <c r="A882" s="2081"/>
      <c r="B882" s="834"/>
      <c r="C882" s="2"/>
      <c r="D882" s="1452" t="s">
        <v>1763</v>
      </c>
      <c r="E882" s="2"/>
      <c r="F882" s="2"/>
      <c r="G882" s="1407"/>
      <c r="H882" s="2"/>
      <c r="I882" s="839" t="str">
        <f>IF(I883=0,"-","")</f>
        <v/>
      </c>
      <c r="J882" s="839" t="str">
        <f>IF(J883=0,"-","")</f>
        <v>-</v>
      </c>
      <c r="K882" s="2078"/>
      <c r="L882" s="1574"/>
      <c r="M882" s="1445"/>
      <c r="N882" s="833"/>
      <c r="O882" s="833"/>
      <c r="Q882" s="833"/>
      <c r="R882" s="833"/>
      <c r="S882" s="833"/>
      <c r="T882" s="833"/>
      <c r="U882" s="833"/>
      <c r="V882" s="833"/>
      <c r="W882" s="833"/>
      <c r="X882" s="833"/>
    </row>
    <row r="883" spans="1:24" s="813" customFormat="1" ht="39.950000000000003" hidden="1" customHeight="1" x14ac:dyDescent="0.15">
      <c r="A883" s="2081">
        <f ca="1">+IF(H883&gt;0,A881+0.01,A881)</f>
        <v>10</v>
      </c>
      <c r="B883" s="834">
        <f>IF(AND(M883&lt;=50,E883&lt;=30),95878,IF(AND(M883&lt;=50,E883&gt;30),93596,IF(AND(M883&gt;50,E883&lt;=30),95879,93599)))</f>
        <v>93596</v>
      </c>
      <c r="C883" s="2" t="str">
        <f>VLOOKUP($B883,[4]BOLETIM_SEL!$A:$H,2,0)</f>
        <v>SINAPI</v>
      </c>
      <c r="D883" s="315" t="str">
        <f>VLOOKUP($B883,[4]BOLETIM_SEL!$A:$H,4,0)</f>
        <v>Transporte com caminhão basculante de 10 m3, em via urbana pavimentada, adicional para DMT excedente a 30,00 km (unidade: txkm). AF_07/2020</v>
      </c>
      <c r="E883" s="2">
        <f>+Dados_DMT!$B$30</f>
        <v>109</v>
      </c>
      <c r="F883" s="2" t="str">
        <f>VLOOKUP($B883,[4]BOLETIM_SEL!$A:$H,6,0)</f>
        <v>TXKM</v>
      </c>
      <c r="G883" s="1407">
        <f>+VLOOKUP($B883,[4]BOLETIM_SEL!$A:$H,7,0)</f>
        <v>0.56999999999999995</v>
      </c>
      <c r="H883" s="1611">
        <f>ROUND(Ciclovia!J130*E883,2)</f>
        <v>0</v>
      </c>
      <c r="I883" s="877">
        <f>+TRUNC(G883*(1+$J$5),2)</f>
        <v>0.68</v>
      </c>
      <c r="J883" s="1612">
        <f>TRUNC(H883*I883,2)</f>
        <v>0</v>
      </c>
      <c r="K883" s="2078">
        <f ca="1">+J883/J$967</f>
        <v>0</v>
      </c>
      <c r="L883" s="1574" t="e">
        <f>+J883/$J$833</f>
        <v>#DIV/0!</v>
      </c>
      <c r="M883" s="1454">
        <f>IF(H883=0,0,H883/E883)</f>
        <v>0</v>
      </c>
      <c r="N883" s="833"/>
      <c r="O883" s="833"/>
      <c r="Q883" s="833"/>
      <c r="R883" s="833"/>
      <c r="S883" s="833"/>
      <c r="T883" s="833"/>
      <c r="U883" s="833"/>
      <c r="V883" s="833"/>
      <c r="W883" s="833"/>
      <c r="X883" s="833"/>
    </row>
    <row r="884" spans="1:24" s="813" customFormat="1" ht="24.95" hidden="1" customHeight="1" x14ac:dyDescent="0.15">
      <c r="A884" s="2081"/>
      <c r="B884" s="834"/>
      <c r="C884" s="2"/>
      <c r="D884" s="1452" t="s">
        <v>1760</v>
      </c>
      <c r="E884" s="2"/>
      <c r="F884" s="2"/>
      <c r="G884" s="1407"/>
      <c r="H884" s="2"/>
      <c r="I884" s="839" t="str">
        <f>IF(I885=0,"-","")</f>
        <v/>
      </c>
      <c r="J884" s="839" t="str">
        <f>IF(J885=0,"-","")</f>
        <v>-</v>
      </c>
      <c r="K884" s="2078"/>
      <c r="L884" s="1574"/>
      <c r="M884" s="1445"/>
      <c r="N884" s="833"/>
      <c r="O884" s="833"/>
      <c r="Q884" s="833"/>
      <c r="R884" s="833"/>
      <c r="S884" s="833"/>
      <c r="T884" s="833"/>
      <c r="U884" s="833"/>
      <c r="V884" s="833"/>
      <c r="W884" s="833"/>
      <c r="X884" s="833"/>
    </row>
    <row r="885" spans="1:24" s="813" customFormat="1" ht="39.950000000000003" hidden="1" customHeight="1" x14ac:dyDescent="0.15">
      <c r="A885" s="2081">
        <f ca="1">+IF(H885&gt;0,A883+0.01,A883)</f>
        <v>10</v>
      </c>
      <c r="B885" s="834">
        <v>102332</v>
      </c>
      <c r="C885" s="2" t="str">
        <f>VLOOKUP($B885,[4]BOLETIM_SEL!$A:$H,2,0)</f>
        <v>SINAPI</v>
      </c>
      <c r="D885" s="315" t="str">
        <f>VLOOKUP($B885,[4]BOLETIM_SEL!$A:$H,4,0)</f>
        <v>Transporte com caminhão tanque de transporte de material asfáltico de 20.000 l, em via urbana pavimentada, DMT até 30,00 km (unidade: txkm). AF_07/2020</v>
      </c>
      <c r="E885" s="2">
        <f>+Dados_DMT!$B$25</f>
        <v>109</v>
      </c>
      <c r="F885" s="2" t="str">
        <f>VLOOKUP($B885,[4]BOLETIM_SEL!$A:$H,6,0)</f>
        <v>TXKM</v>
      </c>
      <c r="G885" s="1407">
        <f>+VLOOKUP($B885,[4]BOLETIM_SEL!$A:$H,7,0)</f>
        <v>1.63</v>
      </c>
      <c r="H885" s="1611">
        <f>IF(B848="PA/0025",0,ROUND(Ciclovia!J128*E885,2))</f>
        <v>0</v>
      </c>
      <c r="I885" s="877">
        <f>+TRUNC(G885*(1+$J$5),2)</f>
        <v>1.96</v>
      </c>
      <c r="J885" s="1612">
        <f>TRUNC(H885*I885,2)</f>
        <v>0</v>
      </c>
      <c r="K885" s="2078">
        <f ca="1">+J885/J$967</f>
        <v>0</v>
      </c>
      <c r="L885" s="1574" t="e">
        <f>+J885/$J$833</f>
        <v>#DIV/0!</v>
      </c>
      <c r="M885" s="1454">
        <f>IF(H885=0,0,H885/E885)</f>
        <v>0</v>
      </c>
      <c r="N885" s="833"/>
      <c r="O885" s="833"/>
      <c r="Q885" s="833"/>
      <c r="R885" s="833"/>
      <c r="S885" s="833"/>
      <c r="T885" s="833"/>
      <c r="U885" s="833"/>
      <c r="V885" s="833"/>
      <c r="W885" s="833"/>
      <c r="X885" s="833"/>
    </row>
    <row r="886" spans="1:24" s="813" customFormat="1" ht="24.95" hidden="1" customHeight="1" x14ac:dyDescent="0.15">
      <c r="A886" s="2081"/>
      <c r="B886" s="834"/>
      <c r="C886" s="2"/>
      <c r="D886" s="1452" t="s">
        <v>1759</v>
      </c>
      <c r="E886" s="2"/>
      <c r="F886" s="2"/>
      <c r="G886" s="1407"/>
      <c r="H886" s="2"/>
      <c r="I886" s="839" t="str">
        <f>IF(I887=0,"-","")</f>
        <v/>
      </c>
      <c r="J886" s="839" t="str">
        <f>IF(J887=0,"-","")</f>
        <v>-</v>
      </c>
      <c r="K886" s="2078"/>
      <c r="L886" s="1574"/>
      <c r="M886" s="1445"/>
      <c r="N886" s="833"/>
      <c r="O886" s="833"/>
      <c r="Q886" s="833"/>
      <c r="R886" s="833"/>
      <c r="S886" s="833"/>
      <c r="T886" s="833"/>
      <c r="U886" s="833"/>
      <c r="V886" s="833"/>
      <c r="W886" s="833"/>
      <c r="X886" s="833"/>
    </row>
    <row r="887" spans="1:24" s="813" customFormat="1" ht="39.950000000000003" hidden="1" customHeight="1" x14ac:dyDescent="0.15">
      <c r="A887" s="2081">
        <f ca="1">+IF(H887&gt;0,A885+0.01,A885)</f>
        <v>10</v>
      </c>
      <c r="B887" s="834">
        <v>102332</v>
      </c>
      <c r="C887" s="2" t="str">
        <f>VLOOKUP($B887,[4]BOLETIM_SEL!$A:$H,2,0)</f>
        <v>SINAPI</v>
      </c>
      <c r="D887" s="315" t="str">
        <f>VLOOKUP($B887,[4]BOLETIM_SEL!$A:$H,4,0)</f>
        <v>Transporte com caminhão tanque de transporte de material asfáltico de 20.000 l, em via urbana pavimentada, DMT até 30,00 km (unidade: txkm). AF_07/2020</v>
      </c>
      <c r="E887" s="2">
        <f>+Dados_DMT!$B$25</f>
        <v>109</v>
      </c>
      <c r="F887" s="2" t="str">
        <f>VLOOKUP($B887,[4]BOLETIM_SEL!$A:$H,6,0)</f>
        <v>TXKM</v>
      </c>
      <c r="G887" s="1407">
        <f>+VLOOKUP($B887,[4]BOLETIM_SEL!$A:$H,7,0)</f>
        <v>1.63</v>
      </c>
      <c r="H887" s="1611">
        <f>IF(B848="PA/0025",ROUND(Ciclovia!J128*E887,2),0)+ROUND(Ciclovia!J129*E887,2)</f>
        <v>0</v>
      </c>
      <c r="I887" s="877">
        <f>+TRUNC(G887*(1+$J$5),2)</f>
        <v>1.96</v>
      </c>
      <c r="J887" s="1612">
        <f>TRUNC(H887*I887,2)</f>
        <v>0</v>
      </c>
      <c r="K887" s="2078">
        <f ca="1">+J887/J$967</f>
        <v>0</v>
      </c>
      <c r="L887" s="1574" t="e">
        <f>+J887/$J$833</f>
        <v>#DIV/0!</v>
      </c>
      <c r="M887" s="1454">
        <f>IF(H887=0,0,H887/E887)</f>
        <v>0</v>
      </c>
      <c r="N887" s="833"/>
      <c r="O887" s="833"/>
      <c r="Q887" s="833"/>
      <c r="R887" s="833"/>
      <c r="S887" s="833"/>
      <c r="T887" s="833"/>
      <c r="U887" s="833"/>
      <c r="V887" s="833"/>
      <c r="W887" s="833"/>
      <c r="X887" s="833"/>
    </row>
    <row r="888" spans="1:24" s="813" customFormat="1" ht="24.95" hidden="1" customHeight="1" x14ac:dyDescent="0.15">
      <c r="A888" s="2081"/>
      <c r="B888" s="834"/>
      <c r="C888" s="2"/>
      <c r="D888" s="1452" t="s">
        <v>1761</v>
      </c>
      <c r="E888" s="2"/>
      <c r="F888" s="2"/>
      <c r="G888" s="1407"/>
      <c r="H888" s="2"/>
      <c r="I888" s="839" t="str">
        <f>IF(I889=0,"-","")</f>
        <v/>
      </c>
      <c r="J888" s="839" t="str">
        <f>IF(J889=0,"-","")</f>
        <v>-</v>
      </c>
      <c r="K888" s="2078"/>
      <c r="L888" s="1574"/>
      <c r="M888" s="1445"/>
      <c r="N888" s="833"/>
      <c r="O888" s="833"/>
      <c r="Q888" s="833"/>
      <c r="R888" s="833"/>
      <c r="S888" s="833"/>
      <c r="T888" s="833"/>
      <c r="U888" s="833"/>
      <c r="V888" s="833"/>
      <c r="W888" s="833"/>
      <c r="X888" s="833"/>
    </row>
    <row r="889" spans="1:24" s="813" customFormat="1" ht="39.950000000000003" hidden="1" customHeight="1" x14ac:dyDescent="0.15">
      <c r="A889" s="2081">
        <f ca="1">+IF(H889&gt;0,A887+0.01,A887)</f>
        <v>10</v>
      </c>
      <c r="B889" s="834">
        <v>102332</v>
      </c>
      <c r="C889" s="2" t="str">
        <f>VLOOKUP($B889,[4]BOLETIM_SEL!$A:$H,2,0)</f>
        <v>SINAPI</v>
      </c>
      <c r="D889" s="315" t="str">
        <f>VLOOKUP($B889,[4]BOLETIM_SEL!$A:$H,4,0)</f>
        <v>Transporte com caminhão tanque de transporte de material asfáltico de 20.000 l, em via urbana pavimentada, DMT até 30,00 km (unidade: txkm). AF_07/2020</v>
      </c>
      <c r="E889" s="2">
        <f>+Dados_DMT!$B$27</f>
        <v>0</v>
      </c>
      <c r="F889" s="2" t="str">
        <f>VLOOKUP($B889,[4]BOLETIM_SEL!$A:$H,6,0)</f>
        <v>TXKM</v>
      </c>
      <c r="G889" s="1407">
        <f>+VLOOKUP($B889,[4]BOLETIM_SEL!$A:$H,7,0)</f>
        <v>1.63</v>
      </c>
      <c r="H889" s="1611">
        <f>ROUND(Ciclovia!J127*E889,2)</f>
        <v>0</v>
      </c>
      <c r="I889" s="877">
        <f>+TRUNC(G889*(1+$J$5),2)</f>
        <v>1.96</v>
      </c>
      <c r="J889" s="1612">
        <f>TRUNC(H889*I889,2)</f>
        <v>0</v>
      </c>
      <c r="K889" s="2078">
        <f ca="1">+J889/J$967</f>
        <v>0</v>
      </c>
      <c r="L889" s="1574" t="e">
        <f>+J889/$J$833</f>
        <v>#DIV/0!</v>
      </c>
      <c r="M889" s="1454">
        <f>IF(H889=0,0,H889/E889)</f>
        <v>0</v>
      </c>
      <c r="N889" s="833"/>
      <c r="O889" s="833"/>
      <c r="Q889" s="833"/>
      <c r="R889" s="833"/>
      <c r="S889" s="833"/>
      <c r="T889" s="833"/>
      <c r="U889" s="833"/>
      <c r="V889" s="833"/>
      <c r="W889" s="833"/>
      <c r="X889" s="833"/>
    </row>
    <row r="890" spans="1:24" s="813" customFormat="1" ht="24.95" hidden="1" customHeight="1" x14ac:dyDescent="0.15">
      <c r="A890" s="2081"/>
      <c r="B890" s="834"/>
      <c r="C890" s="2"/>
      <c r="D890" s="1452" t="s">
        <v>1817</v>
      </c>
      <c r="E890" s="2"/>
      <c r="F890" s="2"/>
      <c r="G890" s="1407"/>
      <c r="H890" s="2"/>
      <c r="I890" s="839"/>
      <c r="J890" s="839" t="str">
        <f>IF(J891=0,"-","")</f>
        <v>-</v>
      </c>
      <c r="K890" s="2078"/>
      <c r="L890" s="1574"/>
      <c r="M890" s="1445"/>
      <c r="N890" s="833"/>
      <c r="O890" s="833"/>
      <c r="Q890" s="833"/>
      <c r="R890" s="833"/>
      <c r="S890" s="833"/>
      <c r="T890" s="833"/>
      <c r="U890" s="833"/>
      <c r="V890" s="833"/>
      <c r="W890" s="833"/>
      <c r="X890" s="833"/>
    </row>
    <row r="891" spans="1:24" s="813" customFormat="1" ht="30" hidden="1" customHeight="1" x14ac:dyDescent="0.15">
      <c r="A891" s="2081">
        <f ca="1">+IF(H891&gt;0,A889+0.01,A889)</f>
        <v>10</v>
      </c>
      <c r="B891" s="834">
        <v>100947</v>
      </c>
      <c r="C891" s="2" t="str">
        <f>VLOOKUP($B891,[4]BOLETIM_SEL!$A:$H,2,0)</f>
        <v>SINAPI</v>
      </c>
      <c r="D891" s="315" t="str">
        <f>VLOOKUP($B891,[4]BOLETIM_SEL!$A:$H,4,0)</f>
        <v>Transporte com caminhão carroceria 9t, em via urbana pavimentada, DMT até 30,00 km (unidade: txkm). AF_07/2020</v>
      </c>
      <c r="E891" s="2">
        <f>+Dados_DMT!$B$35</f>
        <v>0</v>
      </c>
      <c r="F891" s="2" t="str">
        <f>VLOOKUP($B891,[4]BOLETIM_SEL!$A:$H,6,0)</f>
        <v>TXKM</v>
      </c>
      <c r="G891" s="1407">
        <f>+VLOOKUP($B891,[4]BOLETIM_SEL!$A:$H,7,0)</f>
        <v>1.96</v>
      </c>
      <c r="H891" s="1611">
        <f>ROUND(Ciclovia!J116*E891,2)</f>
        <v>0</v>
      </c>
      <c r="I891" s="877">
        <f>+TRUNC(G891*(1+$J$5),2)</f>
        <v>2.36</v>
      </c>
      <c r="J891" s="1612">
        <f>TRUNC(H891*I891,2)</f>
        <v>0</v>
      </c>
      <c r="K891" s="2078">
        <f ca="1">+J891/J$967</f>
        <v>0</v>
      </c>
      <c r="L891" s="1574" t="e">
        <f>+J891/$J$833</f>
        <v>#DIV/0!</v>
      </c>
      <c r="M891" s="1445"/>
      <c r="N891" s="833"/>
      <c r="O891" s="833"/>
      <c r="Q891" s="833"/>
      <c r="R891" s="833"/>
      <c r="S891" s="833"/>
      <c r="T891" s="833"/>
      <c r="U891" s="833"/>
      <c r="V891" s="833"/>
      <c r="W891" s="833"/>
      <c r="X891" s="833"/>
    </row>
    <row r="892" spans="1:24" s="813" customFormat="1" ht="24.95" hidden="1" customHeight="1" x14ac:dyDescent="0.15">
      <c r="A892" s="2081"/>
      <c r="B892" s="834"/>
      <c r="C892" s="2"/>
      <c r="D892" s="1452" t="s">
        <v>1829</v>
      </c>
      <c r="E892" s="2"/>
      <c r="F892" s="2"/>
      <c r="G892" s="1407"/>
      <c r="H892" s="2"/>
      <c r="I892" s="839"/>
      <c r="J892" s="839" t="str">
        <f>IF(J893=0,"-","")</f>
        <v>-</v>
      </c>
      <c r="K892" s="2078"/>
      <c r="L892" s="1574"/>
      <c r="M892" s="1445"/>
      <c r="N892" s="833"/>
      <c r="O892" s="833"/>
      <c r="Q892" s="833"/>
      <c r="R892" s="833"/>
      <c r="S892" s="833"/>
      <c r="T892" s="833"/>
      <c r="U892" s="833"/>
      <c r="V892" s="833"/>
      <c r="W892" s="833"/>
      <c r="X892" s="833"/>
    </row>
    <row r="893" spans="1:24" s="813" customFormat="1" ht="30" hidden="1" customHeight="1" x14ac:dyDescent="0.15">
      <c r="A893" s="2081">
        <f ca="1">+IF(H893&gt;0,A891+0.01,A891)</f>
        <v>10</v>
      </c>
      <c r="B893" s="834">
        <v>100947</v>
      </c>
      <c r="C893" s="2" t="str">
        <f>VLOOKUP($B893,[4]BOLETIM_SEL!$A:$H,2,0)</f>
        <v>SINAPI</v>
      </c>
      <c r="D893" s="315" t="str">
        <f>VLOOKUP($B893,[4]BOLETIM_SEL!$A:$H,4,0)</f>
        <v>Transporte com caminhão carroceria 9t, em via urbana pavimentada, DMT até 30,00 km (unidade: txkm). AF_07/2020</v>
      </c>
      <c r="E893" s="2">
        <f>+Dados_DMT!$B$13</f>
        <v>100</v>
      </c>
      <c r="F893" s="2" t="str">
        <f>VLOOKUP($B893,[4]BOLETIM_SEL!$A:$H,6,0)</f>
        <v>TXKM</v>
      </c>
      <c r="G893" s="1407">
        <f>+VLOOKUP($B893,[4]BOLETIM_SEL!$A:$H,7,0)</f>
        <v>1.96</v>
      </c>
      <c r="H893" s="1611">
        <f>ROUND(Ciclovia!J120*E893,2)</f>
        <v>0</v>
      </c>
      <c r="I893" s="877">
        <f>+TRUNC(G893*(1+$J$5),2)</f>
        <v>2.36</v>
      </c>
      <c r="J893" s="1612">
        <f>TRUNC(H893*I893,2)</f>
        <v>0</v>
      </c>
      <c r="K893" s="2078">
        <f ca="1">+J893/J$967</f>
        <v>0</v>
      </c>
      <c r="L893" s="1574" t="e">
        <f>+J893/$J$833</f>
        <v>#DIV/0!</v>
      </c>
      <c r="M893" s="1445"/>
      <c r="N893" s="833"/>
      <c r="O893" s="833"/>
      <c r="Q893" s="833"/>
      <c r="R893" s="833"/>
      <c r="S893" s="833"/>
      <c r="T893" s="833"/>
      <c r="U893" s="833"/>
      <c r="V893" s="833"/>
      <c r="W893" s="833"/>
      <c r="X893" s="833"/>
    </row>
    <row r="894" spans="1:24" s="844" customFormat="1" ht="24.95" hidden="1" customHeight="1" x14ac:dyDescent="0.15">
      <c r="A894" s="2081"/>
      <c r="B894" s="841"/>
      <c r="C894" s="834"/>
      <c r="D894" s="835"/>
      <c r="E894" s="2"/>
      <c r="F894" s="834"/>
      <c r="G894" s="1821"/>
      <c r="H894" s="834"/>
      <c r="I894" s="2"/>
      <c r="J894" s="839">
        <f>IF(J833=0,0,"")</f>
        <v>0</v>
      </c>
      <c r="K894" s="2078"/>
      <c r="L894" s="1574"/>
      <c r="M894" s="1446"/>
      <c r="N894" s="843"/>
      <c r="O894" s="843"/>
      <c r="Q894" s="843"/>
      <c r="R894" s="843"/>
      <c r="S894" s="843"/>
      <c r="T894" s="843"/>
      <c r="U894" s="843"/>
      <c r="V894" s="843"/>
      <c r="W894" s="843"/>
      <c r="X894" s="843"/>
    </row>
    <row r="895" spans="1:24" s="833" customFormat="1" ht="24.95" customHeight="1" x14ac:dyDescent="0.15">
      <c r="A895" s="2082">
        <f ca="1">IF(J895&gt;0,INT(A893)+1,IF(J895=0,INT(A893),0))</f>
        <v>11</v>
      </c>
      <c r="B895" s="1633"/>
      <c r="C895" s="1633"/>
      <c r="D895" s="1634" t="s">
        <v>915</v>
      </c>
      <c r="E895" s="1828"/>
      <c r="F895" s="1635"/>
      <c r="G895" s="1820" t="s">
        <v>654</v>
      </c>
      <c r="H895" s="1637"/>
      <c r="I895" s="1640" t="str">
        <f ca="1">CONCATENATE("SUB-TOTAL ",A895)</f>
        <v>SUB-TOTAL 11</v>
      </c>
      <c r="J895" s="1639">
        <f>SUM(J896:J923)</f>
        <v>299266.14</v>
      </c>
      <c r="K895" s="2079">
        <f ca="1">J895/J$967</f>
        <v>2.2332197685602569E-2</v>
      </c>
      <c r="L895" s="1610">
        <f t="shared" ref="L895:L923" si="279">+J895/J$895</f>
        <v>1</v>
      </c>
    </row>
    <row r="896" spans="1:24" s="813" customFormat="1" ht="39.950000000000003" customHeight="1" x14ac:dyDescent="0.15">
      <c r="A896" s="1942">
        <f t="shared" ref="A896:A923" ca="1" si="280">+IF(H896&gt;0,A895+0.01,A895)</f>
        <v>11.01</v>
      </c>
      <c r="B896" s="2" t="s">
        <v>2735</v>
      </c>
      <c r="C896" s="2" t="str">
        <f>+VLOOKUP($B896,[4]BOLETIM_SEL!$A:$H,2,0)</f>
        <v>COMPOSIÇÃO</v>
      </c>
      <c r="D896" s="315" t="str">
        <f>+VLOOKUP($B896,[4]BOLETIM_SEL!$A:$H,4,0)</f>
        <v>Pintura de faixas de pedestres e retenção e de zebrados - termoplástico por extrusão - espessura de 3,0 mm (REF. SICRO COD. 5213408 e 5213409)</v>
      </c>
      <c r="E896" s="2"/>
      <c r="F896" s="2" t="str">
        <f>+VLOOKUP($B896,[4]BOLETIM_SEL!$A:$H,6,0)</f>
        <v>M2</v>
      </c>
      <c r="G896" s="1407">
        <f>+VLOOKUP($B896,[4]BOLETIM_SEL!$A:$H,7,0)</f>
        <v>85.45</v>
      </c>
      <c r="H896" s="1611">
        <f>+Sinal_Via!Z383</f>
        <v>388.22</v>
      </c>
      <c r="I896" s="877">
        <f t="shared" ref="I896:I923" si="281">+TRUNC(G896*(1+$J$5),2)</f>
        <v>103.13</v>
      </c>
      <c r="J896" s="1611">
        <f t="shared" ref="J896:J923" si="282">TRUNC(H896*I896,2)</f>
        <v>40037.120000000003</v>
      </c>
      <c r="K896" s="1943">
        <f ca="1">+J896/$J$12</f>
        <v>2.9876981024388278E-3</v>
      </c>
      <c r="L896" s="1574">
        <f t="shared" si="279"/>
        <v>0.13378432989445449</v>
      </c>
      <c r="M896" s="1445">
        <f>+VLOOKUP($B896,[4]BOLETIM_SEL!$A:$H,5,0)</f>
        <v>0</v>
      </c>
      <c r="N896" s="833"/>
      <c r="O896" s="833"/>
      <c r="Q896" s="833"/>
      <c r="R896" s="833"/>
      <c r="S896" s="833"/>
      <c r="T896" s="833"/>
      <c r="U896" s="833"/>
      <c r="V896" s="833"/>
      <c r="W896" s="833"/>
      <c r="X896" s="833"/>
    </row>
    <row r="897" spans="1:24" s="813" customFormat="1" ht="30" customHeight="1" x14ac:dyDescent="0.15">
      <c r="A897" s="1942">
        <f t="shared" ca="1" si="280"/>
        <v>11.02</v>
      </c>
      <c r="B897" s="2" t="s">
        <v>2397</v>
      </c>
      <c r="C897" s="2" t="str">
        <f>+VLOOKUP($B897,[4]BOLETIM_SEL!$A:$H,2,0)</f>
        <v>COMPOSIÇÃO</v>
      </c>
      <c r="D897" s="315" t="str">
        <f>+VLOOKUP($B897,[4]BOLETIM_SEL!$A:$H,4,0)</f>
        <v>Pintura de setas e legendas - termoplástico por extrusão - espessura de 3,0 mm (REF. SICRO COD. 5213409, DB 04-21)</v>
      </c>
      <c r="E897" s="2"/>
      <c r="F897" s="2" t="str">
        <f>+VLOOKUP($B897,[4]BOLETIM_SEL!$A:$H,6,0)</f>
        <v>M2</v>
      </c>
      <c r="G897" s="1407">
        <f>+VLOOKUP($B897,[4]BOLETIM_SEL!$A:$H,7,0)</f>
        <v>97.18</v>
      </c>
      <c r="H897" s="1611">
        <f>+Sinal_Via!Z348</f>
        <v>288.58999999999997</v>
      </c>
      <c r="I897" s="877">
        <f t="shared" si="281"/>
        <v>117.29</v>
      </c>
      <c r="J897" s="1611">
        <f t="shared" si="282"/>
        <v>33848.720000000001</v>
      </c>
      <c r="K897" s="1943">
        <f t="shared" ref="K897:K923" ca="1" si="283">+J897/$J$12</f>
        <v>2.5258998777630158E-3</v>
      </c>
      <c r="L897" s="1574">
        <f t="shared" si="279"/>
        <v>0.11310574594239094</v>
      </c>
      <c r="M897" s="1445">
        <f>+VLOOKUP($B897,[4]BOLETIM_SEL!$A:$H,5,0)</f>
        <v>0</v>
      </c>
      <c r="N897" s="833"/>
      <c r="O897" s="833"/>
      <c r="Q897" s="833"/>
      <c r="R897" s="833"/>
      <c r="S897" s="833"/>
      <c r="T897" s="833"/>
      <c r="U897" s="833"/>
      <c r="V897" s="833"/>
      <c r="W897" s="833"/>
      <c r="X897" s="833"/>
    </row>
    <row r="898" spans="1:24" s="813" customFormat="1" ht="39.950000000000003" hidden="1" customHeight="1" x14ac:dyDescent="0.15">
      <c r="A898" s="1942">
        <f t="shared" ca="1" si="280"/>
        <v>11.02</v>
      </c>
      <c r="B898" s="2" t="s">
        <v>2398</v>
      </c>
      <c r="C898" s="2" t="str">
        <f>+VLOOKUP($B898,[4]BOLETIM_SEL!$A:$H,2,0)</f>
        <v>COMPOSIÇÃO</v>
      </c>
      <c r="D898" s="315" t="str">
        <f>+VLOOKUP($B898,[4]BOLETIM_SEL!$A:$H,4,0)</f>
        <v>Pintura de setas e legendas - tinta base acrílica emulsionada em água - espessura de 0,5 mm (REF. SICRO COD. 5213407, DB 04-21)</v>
      </c>
      <c r="E898" s="2"/>
      <c r="F898" s="2" t="str">
        <f>+VLOOKUP($B898,[4]BOLETIM_SEL!$A:$H,6,0)</f>
        <v>M2</v>
      </c>
      <c r="G898" s="1407">
        <f>+VLOOKUP($B898,[4]BOLETIM_SEL!$A:$H,7,0)</f>
        <v>37.229999999999997</v>
      </c>
      <c r="H898" s="1611">
        <f>Sinal_Via!Z362</f>
        <v>0</v>
      </c>
      <c r="I898" s="877">
        <f t="shared" si="281"/>
        <v>44.93</v>
      </c>
      <c r="J898" s="1611">
        <f t="shared" si="282"/>
        <v>0</v>
      </c>
      <c r="K898" s="1943">
        <f t="shared" ca="1" si="283"/>
        <v>0</v>
      </c>
      <c r="L898" s="1574">
        <f t="shared" si="279"/>
        <v>0</v>
      </c>
      <c r="M898" s="1445" t="str">
        <f>+VLOOKUP($B898,[4]BOLETIM_SEL!$A:$H,5,0)</f>
        <v>ATENÇÃO
indicado para as
cidades do interior</v>
      </c>
      <c r="N898" s="833"/>
      <c r="O898" s="833"/>
      <c r="Q898" s="833"/>
      <c r="R898" s="833"/>
      <c r="S898" s="833"/>
      <c r="T898" s="833"/>
      <c r="U898" s="833"/>
      <c r="V898" s="833"/>
      <c r="W898" s="833"/>
      <c r="X898" s="833"/>
    </row>
    <row r="899" spans="1:24" s="813" customFormat="1" ht="30" customHeight="1" x14ac:dyDescent="0.15">
      <c r="A899" s="1942">
        <f t="shared" ca="1" si="280"/>
        <v>11.03</v>
      </c>
      <c r="B899" s="2" t="s">
        <v>2736</v>
      </c>
      <c r="C899" s="2" t="str">
        <f>+VLOOKUP($B899,[4]BOLETIM_SEL!$A:$H,2,0)</f>
        <v>COMPOSIÇÃO</v>
      </c>
      <c r="D899" s="315" t="str">
        <f>+VLOOKUP($B899,[4]BOLETIM_SEL!$A:$H,4,0)</f>
        <v>Pintura de faixa - termoplástico por aspersão Hot Spray - espessura de 1,5 mm (REF. SICRO COD. 5213408, DB 04-21)</v>
      </c>
      <c r="E899" s="2"/>
      <c r="F899" s="2" t="str">
        <f>+VLOOKUP($B899,[4]BOLETIM_SEL!$A:$H,6,0)</f>
        <v>M2</v>
      </c>
      <c r="G899" s="1407">
        <f>+VLOOKUP($B899,[4]BOLETIM_SEL!$A:$H,7,0)</f>
        <v>50.27</v>
      </c>
      <c r="H899" s="1611">
        <f>+Sinal_Via!Z304</f>
        <v>390.6</v>
      </c>
      <c r="I899" s="877">
        <f t="shared" si="281"/>
        <v>60.67</v>
      </c>
      <c r="J899" s="1611">
        <f t="shared" si="282"/>
        <v>23697.7</v>
      </c>
      <c r="K899" s="1943">
        <f t="shared" ca="1" si="283"/>
        <v>1.7683982594693278E-3</v>
      </c>
      <c r="L899" s="1574">
        <f t="shared" si="279"/>
        <v>7.9186038220027163E-2</v>
      </c>
      <c r="M899" s="1445">
        <f>+VLOOKUP($B899,[4]BOLETIM_SEL!$A:$H,5,0)</f>
        <v>0</v>
      </c>
      <c r="N899" s="833"/>
      <c r="O899" s="833"/>
      <c r="Q899" s="833"/>
      <c r="R899" s="833"/>
      <c r="S899" s="833"/>
      <c r="T899" s="833"/>
      <c r="U899" s="833"/>
      <c r="V899" s="833"/>
      <c r="W899" s="833"/>
      <c r="X899" s="833"/>
    </row>
    <row r="900" spans="1:24" s="813" customFormat="1" ht="39.950000000000003" hidden="1" customHeight="1" x14ac:dyDescent="0.15">
      <c r="A900" s="1942">
        <f t="shared" ca="1" si="280"/>
        <v>11.03</v>
      </c>
      <c r="B900" s="2" t="s">
        <v>2399</v>
      </c>
      <c r="C900" s="2" t="str">
        <f>+VLOOKUP($B900,[4]BOLETIM_SEL!$A:$H,2,0)</f>
        <v>COMPOSIÇÃO</v>
      </c>
      <c r="D900" s="315" t="str">
        <f>+VLOOKUP($B900,[4]BOLETIM_SEL!$A:$H,4,0)</f>
        <v>Pintura de faixa - termoplástico em alto relevo tipo II - relevo simples ranhurado - base (REF. SICRO COD. 5214004, DB 04-21)</v>
      </c>
      <c r="E900" s="2"/>
      <c r="F900" s="2" t="str">
        <f>+VLOOKUP($B900,[4]BOLETIM_SEL!$A:$H,6,0)</f>
        <v>M2</v>
      </c>
      <c r="G900" s="1407">
        <f>+VLOOKUP($B900,[4]BOLETIM_SEL!$A:$H,7,0)</f>
        <v>173.56</v>
      </c>
      <c r="H900" s="1611">
        <f>+Sinal_Via!Z315</f>
        <v>0</v>
      </c>
      <c r="I900" s="877">
        <f t="shared" si="281"/>
        <v>209.48</v>
      </c>
      <c r="J900" s="1611">
        <f t="shared" si="282"/>
        <v>0</v>
      </c>
      <c r="K900" s="1943">
        <f t="shared" ca="1" si="283"/>
        <v>0</v>
      </c>
      <c r="L900" s="1574">
        <f t="shared" si="279"/>
        <v>0</v>
      </c>
      <c r="M900" s="1445">
        <f>+VLOOKUP($B900,[4]BOLETIM_SEL!$A:$H,5,0)</f>
        <v>0</v>
      </c>
      <c r="N900" s="833"/>
      <c r="O900" s="833"/>
      <c r="Q900" s="833"/>
      <c r="R900" s="833"/>
      <c r="S900" s="833"/>
      <c r="T900" s="833"/>
      <c r="U900" s="833"/>
      <c r="V900" s="833"/>
      <c r="W900" s="833"/>
      <c r="X900" s="833"/>
    </row>
    <row r="901" spans="1:24" s="813" customFormat="1" ht="39.950000000000003" hidden="1" customHeight="1" x14ac:dyDescent="0.15">
      <c r="A901" s="1942">
        <f t="shared" ca="1" si="280"/>
        <v>11.03</v>
      </c>
      <c r="B901" s="2" t="s">
        <v>268</v>
      </c>
      <c r="C901" s="2" t="str">
        <f>+VLOOKUP($B901,[4]BOLETIM_SEL!$A:$H,2,0)</f>
        <v>COMPOSIÇÃO</v>
      </c>
      <c r="D901" s="315" t="str">
        <f>+VLOOKUP($B901,[4]BOLETIM_SEL!$A:$H,4,0)</f>
        <v>Pintura de piso para ciclofaixa - plástico a frio bicomponente à base de resinas metacrílicas - espessura de 1,5 mm - plano (REF. SICRO COD. 5214009, DB 04-21)</v>
      </c>
      <c r="E901" s="2"/>
      <c r="F901" s="2" t="str">
        <f>+VLOOKUP($B901,[4]BOLETIM_SEL!$A:$H,6,0)</f>
        <v>M2</v>
      </c>
      <c r="G901" s="1407">
        <f>+VLOOKUP($B901,[4]BOLETIM_SEL!$A:$H,7,0)</f>
        <v>114.08</v>
      </c>
      <c r="H901" s="1611">
        <f>+Sinal_Via!Z386</f>
        <v>0</v>
      </c>
      <c r="I901" s="877">
        <f t="shared" si="281"/>
        <v>137.69</v>
      </c>
      <c r="J901" s="1611">
        <f t="shared" si="282"/>
        <v>0</v>
      </c>
      <c r="K901" s="1943">
        <f t="shared" ca="1" si="283"/>
        <v>0</v>
      </c>
      <c r="L901" s="1574">
        <f t="shared" si="279"/>
        <v>0</v>
      </c>
      <c r="M901" s="1445">
        <f>+VLOOKUP($B901,[4]BOLETIM_SEL!$A:$H,5,0)</f>
        <v>0</v>
      </c>
      <c r="N901" s="833"/>
      <c r="O901" s="833"/>
      <c r="Q901" s="833"/>
      <c r="R901" s="833"/>
      <c r="S901" s="833"/>
      <c r="T901" s="833"/>
      <c r="U901" s="833"/>
      <c r="V901" s="833"/>
      <c r="W901" s="833"/>
      <c r="X901" s="833"/>
    </row>
    <row r="902" spans="1:24" s="813" customFormat="1" ht="39.950000000000003" hidden="1" customHeight="1" x14ac:dyDescent="0.15">
      <c r="A902" s="1942">
        <f t="shared" ca="1" si="280"/>
        <v>11.03</v>
      </c>
      <c r="B902" s="2" t="s">
        <v>284</v>
      </c>
      <c r="C902" s="2" t="str">
        <f>+VLOOKUP($B902,[4]BOLETIM_SEL!$A:$H,2,0)</f>
        <v>COMPOSIÇÃO</v>
      </c>
      <c r="D902" s="315" t="str">
        <f>+VLOOKUP($B902,[4]BOLETIM_SEL!$A:$H,4,0)</f>
        <v>Pintura de faixa para ciclovia - tinta base acrílica emulsionada em água - espessura de 0,3 mm (REF. SICRO COD. 5214001, DB 04-21)</v>
      </c>
      <c r="E902" s="2"/>
      <c r="F902" s="2" t="str">
        <f>+VLOOKUP($B902,[4]BOLETIM_SEL!$A:$H,6,0)</f>
        <v>M2</v>
      </c>
      <c r="G902" s="1407">
        <f>+VLOOKUP($B902,[4]BOLETIM_SEL!$A:$H,7,0)</f>
        <v>14.97</v>
      </c>
      <c r="H902" s="1611">
        <f>+Sinal_Via!Z312</f>
        <v>0</v>
      </c>
      <c r="I902" s="877">
        <f t="shared" si="281"/>
        <v>18.059999999999999</v>
      </c>
      <c r="J902" s="1611">
        <f t="shared" si="282"/>
        <v>0</v>
      </c>
      <c r="K902" s="1943">
        <f t="shared" ca="1" si="283"/>
        <v>0</v>
      </c>
      <c r="L902" s="1574">
        <f t="shared" si="279"/>
        <v>0</v>
      </c>
      <c r="M902" s="1445">
        <f>+VLOOKUP($B902,[4]BOLETIM_SEL!$A:$H,5,0)</f>
        <v>0</v>
      </c>
      <c r="N902" s="833"/>
      <c r="O902" s="833"/>
      <c r="Q902" s="833"/>
      <c r="R902" s="833"/>
      <c r="S902" s="833"/>
      <c r="T902" s="833"/>
      <c r="U902" s="833"/>
      <c r="V902" s="833"/>
      <c r="W902" s="833"/>
      <c r="X902" s="833"/>
    </row>
    <row r="903" spans="1:24" s="813" customFormat="1" ht="39.950000000000003" hidden="1" customHeight="1" x14ac:dyDescent="0.15">
      <c r="A903" s="1942">
        <f t="shared" ca="1" si="280"/>
        <v>11.03</v>
      </c>
      <c r="B903" s="2" t="s">
        <v>427</v>
      </c>
      <c r="C903" s="2" t="str">
        <f>+VLOOKUP($B903,[4]BOLETIM_SEL!$A:$H,2,0)</f>
        <v>COMPOSIÇÃO</v>
      </c>
      <c r="D903" s="315" t="str">
        <f>+VLOOKUP($B903,[4]BOLETIM_SEL!$A:$H,4,0)</f>
        <v>Pintura de piso de ciclovia - tinta base acrílica emulsionada em água - espessura de 0,3 mm (REF. SICRO COD. 5214002, DB 04-21)</v>
      </c>
      <c r="E903" s="2"/>
      <c r="F903" s="2" t="str">
        <f>+VLOOKUP($B903,[4]BOLETIM_SEL!$A:$H,6,0)</f>
        <v>M2</v>
      </c>
      <c r="G903" s="1407">
        <f>+VLOOKUP($B903,[4]BOLETIM_SEL!$A:$H,7,0)</f>
        <v>32.14</v>
      </c>
      <c r="H903" s="1611">
        <f>+Sinal_Via!Z389</f>
        <v>0</v>
      </c>
      <c r="I903" s="877">
        <f t="shared" si="281"/>
        <v>38.79</v>
      </c>
      <c r="J903" s="1611">
        <f t="shared" si="282"/>
        <v>0</v>
      </c>
      <c r="K903" s="1943">
        <f t="shared" ca="1" si="283"/>
        <v>0</v>
      </c>
      <c r="L903" s="1574">
        <f t="shared" si="279"/>
        <v>0</v>
      </c>
      <c r="M903" s="1445">
        <f>+VLOOKUP($B903,[4]BOLETIM_SEL!$A:$H,5,0)</f>
        <v>0</v>
      </c>
      <c r="N903" s="833"/>
      <c r="O903" s="833"/>
      <c r="Q903" s="833"/>
      <c r="R903" s="833"/>
      <c r="S903" s="833"/>
      <c r="T903" s="833"/>
      <c r="U903" s="833"/>
      <c r="V903" s="833"/>
      <c r="W903" s="833"/>
      <c r="X903" s="833"/>
    </row>
    <row r="904" spans="1:24" s="813" customFormat="1" ht="30" hidden="1" customHeight="1" x14ac:dyDescent="0.15">
      <c r="A904" s="1942">
        <f t="shared" ca="1" si="280"/>
        <v>11.03</v>
      </c>
      <c r="B904" s="2" t="s">
        <v>2400</v>
      </c>
      <c r="C904" s="2" t="str">
        <f>+VLOOKUP($B904,[4]BOLETIM_SEL!$A:$H,2,0)</f>
        <v>COMPOSIÇÃO</v>
      </c>
      <c r="D904" s="315" t="str">
        <f>+VLOOKUP($B904,[4]BOLETIM_SEL!$A:$H,4,0)</f>
        <v>Pintura de faixa - tinta base acrílica emulsionada em água - espessura de 0,5 mm (REF. SICRO COD. 5213403, DB 04-21)</v>
      </c>
      <c r="E904" s="2"/>
      <c r="F904" s="2" t="str">
        <f>+VLOOKUP($B904,[4]BOLETIM_SEL!$A:$H,6,0)</f>
        <v>M2</v>
      </c>
      <c r="G904" s="1407">
        <f>+VLOOKUP($B904,[4]BOLETIM_SEL!$A:$H,7,0)</f>
        <v>20.61</v>
      </c>
      <c r="H904" s="1611"/>
      <c r="I904" s="877">
        <f t="shared" si="281"/>
        <v>24.87</v>
      </c>
      <c r="J904" s="1611">
        <f t="shared" si="282"/>
        <v>0</v>
      </c>
      <c r="K904" s="1943">
        <f t="shared" ca="1" si="283"/>
        <v>0</v>
      </c>
      <c r="L904" s="1574">
        <f t="shared" si="279"/>
        <v>0</v>
      </c>
      <c r="M904" s="1445" t="str">
        <f>+VLOOKUP($B904,[4]BOLETIM_SEL!$A:$H,5,0)</f>
        <v>ATENÇÃO
indicado para as
cidades do interior</v>
      </c>
      <c r="N904" s="833"/>
      <c r="O904" s="833"/>
      <c r="Q904" s="833"/>
      <c r="R904" s="833"/>
      <c r="S904" s="833"/>
      <c r="T904" s="833"/>
      <c r="U904" s="833"/>
      <c r="V904" s="833"/>
      <c r="W904" s="833"/>
      <c r="X904" s="833"/>
    </row>
    <row r="905" spans="1:24" s="813" customFormat="1" ht="50.1" hidden="1" customHeight="1" x14ac:dyDescent="0.15">
      <c r="A905" s="1942">
        <f t="shared" ca="1" si="280"/>
        <v>11.03</v>
      </c>
      <c r="B905" s="2" t="s">
        <v>428</v>
      </c>
      <c r="C905" s="2" t="str">
        <f>+VLOOKUP($B905,[4]BOLETIM_SEL!$A:$H,2,0)</f>
        <v>COMPOSIÇÃO</v>
      </c>
      <c r="D905" s="315" t="str">
        <f>+VLOOKUP($B905,[4]BOLETIM_SEL!$A:$H,4,0)</f>
        <v>Laminado elastoplástico para legendas, com 1,5mm de espessura e com medidas diversas, em cores, com micro-esferas de vidro. Em projetos que utilizem entre 150 e 500m2 do material. Fornecimento e aplicação (REF. SCO/RJ COD. ST 75.15.0050)</v>
      </c>
      <c r="E905" s="2"/>
      <c r="F905" s="2" t="str">
        <f>+VLOOKUP($B905,[4]BOLETIM_SEL!$A:$H,6,0)</f>
        <v>M2</v>
      </c>
      <c r="G905" s="1407">
        <f>+VLOOKUP($B905,[4]BOLETIM_SEL!$A:$H,7,0)</f>
        <v>365.97</v>
      </c>
      <c r="H905" s="1611">
        <f>+Sinal_Via!Z355</f>
        <v>0</v>
      </c>
      <c r="I905" s="877">
        <f t="shared" si="281"/>
        <v>441.72</v>
      </c>
      <c r="J905" s="1611">
        <f t="shared" si="282"/>
        <v>0</v>
      </c>
      <c r="K905" s="1943">
        <f t="shared" ca="1" si="283"/>
        <v>0</v>
      </c>
      <c r="L905" s="1574">
        <f t="shared" si="279"/>
        <v>0</v>
      </c>
      <c r="M905" s="1445">
        <f>+VLOOKUP($B905,[4]BOLETIM_SEL!$A:$H,5,0)</f>
        <v>0</v>
      </c>
      <c r="N905" s="833"/>
      <c r="O905" s="833"/>
      <c r="Q905" s="833"/>
      <c r="R905" s="833"/>
      <c r="S905" s="833"/>
      <c r="T905" s="833"/>
      <c r="U905" s="833"/>
      <c r="V905" s="833"/>
      <c r="W905" s="833"/>
      <c r="X905" s="833"/>
    </row>
    <row r="906" spans="1:24" s="813" customFormat="1" ht="50.1" hidden="1" customHeight="1" x14ac:dyDescent="0.15">
      <c r="A906" s="1942">
        <f t="shared" ca="1" si="280"/>
        <v>11.03</v>
      </c>
      <c r="B906" s="2" t="s">
        <v>2401</v>
      </c>
      <c r="C906" s="2" t="str">
        <f>+VLOOKUP($B906,[4]BOLETIM_SEL!$A:$H,2,0)</f>
        <v>COMPOSIÇÃO</v>
      </c>
      <c r="D906" s="315" t="str">
        <f>+VLOOKUP($B906,[4]BOLETIM_SEL!$A:$H,4,0)</f>
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</c>
      <c r="E906" s="2"/>
      <c r="F906" s="2" t="str">
        <f>+VLOOKUP($B906,[4]BOLETIM_SEL!$A:$H,6,0)</f>
        <v>M2</v>
      </c>
      <c r="G906" s="1407">
        <f>+VLOOKUP($B906,[4]BOLETIM_SEL!$A:$H,7,0)</f>
        <v>28.74</v>
      </c>
      <c r="H906" s="1611"/>
      <c r="I906" s="877">
        <f t="shared" si="281"/>
        <v>34.68</v>
      </c>
      <c r="J906" s="1611">
        <f t="shared" si="282"/>
        <v>0</v>
      </c>
      <c r="K906" s="1943">
        <f t="shared" ca="1" si="283"/>
        <v>0</v>
      </c>
      <c r="L906" s="1574">
        <f t="shared" si="279"/>
        <v>0</v>
      </c>
      <c r="M906" s="1445">
        <f>+VLOOKUP($B906,[4]BOLETIM_SEL!$A:$H,5,0)</f>
        <v>0</v>
      </c>
      <c r="N906" s="833"/>
      <c r="O906" s="833"/>
      <c r="Q906" s="833"/>
      <c r="R906" s="833"/>
      <c r="S906" s="833"/>
      <c r="T906" s="833"/>
      <c r="U906" s="833"/>
      <c r="V906" s="833"/>
      <c r="W906" s="833"/>
      <c r="X906" s="833"/>
    </row>
    <row r="907" spans="1:24" s="813" customFormat="1" ht="30" hidden="1" customHeight="1" x14ac:dyDescent="0.15">
      <c r="A907" s="1942">
        <f t="shared" ca="1" si="280"/>
        <v>11.03</v>
      </c>
      <c r="B907" s="2" t="s">
        <v>2402</v>
      </c>
      <c r="C907" s="2" t="str">
        <f>+VLOOKUP($B907,[4]BOLETIM_SEL!$A:$H,2,0)</f>
        <v>COMPOSIÇÃO</v>
      </c>
      <c r="D907" s="315" t="str">
        <f>+VLOOKUP($B907,[4]BOLETIM_SEL!$A:$H,4,0)</f>
        <v>Retirada de pintura a base de resina acrilica (CET-RIO COD. ST 74.05.0550)</v>
      </c>
      <c r="E907" s="2"/>
      <c r="F907" s="2" t="str">
        <f>+VLOOKUP($B907,[4]BOLETIM_SEL!$A:$H,6,0)</f>
        <v>M2</v>
      </c>
      <c r="G907" s="1407">
        <f>+VLOOKUP($B907,[4]BOLETIM_SEL!$A:$H,7,0)</f>
        <v>6.86</v>
      </c>
      <c r="H907" s="1611"/>
      <c r="I907" s="877">
        <f t="shared" si="281"/>
        <v>8.2799999999999994</v>
      </c>
      <c r="J907" s="1611">
        <f t="shared" si="282"/>
        <v>0</v>
      </c>
      <c r="K907" s="1943">
        <f t="shared" ca="1" si="283"/>
        <v>0</v>
      </c>
      <c r="L907" s="1574">
        <f t="shared" si="279"/>
        <v>0</v>
      </c>
      <c r="M907" s="1445">
        <f>+VLOOKUP($B907,[4]BOLETIM_SEL!$A:$H,5,0)</f>
        <v>0</v>
      </c>
      <c r="N907" s="833"/>
      <c r="O907" s="833"/>
      <c r="Q907" s="833"/>
      <c r="R907" s="833"/>
      <c r="S907" s="833"/>
      <c r="T907" s="833"/>
      <c r="U907" s="833"/>
      <c r="V907" s="833"/>
      <c r="W907" s="833"/>
      <c r="X907" s="833"/>
    </row>
    <row r="908" spans="1:24" s="813" customFormat="1" ht="39.950000000000003" hidden="1" customHeight="1" x14ac:dyDescent="0.15">
      <c r="A908" s="1942">
        <f t="shared" ca="1" si="280"/>
        <v>11.03</v>
      </c>
      <c r="B908" s="2" t="s">
        <v>429</v>
      </c>
      <c r="C908" s="2" t="str">
        <f>+VLOOKUP($B908,[4]BOLETIM_SEL!$A:$H,2,0)</f>
        <v>COMPOSIÇÃO</v>
      </c>
      <c r="D908" s="315" t="str">
        <f>+VLOOKUP($B908,[4]BOLETIM_SEL!$A:$H,4,0)</f>
        <v>Tacha refletiva em plástico injetado - monodirecional tipo I - com um pino - fornecimento e colocação, padrão DNIT, fixada com cola polister (REF. SICRO COD. 5219627, DB 04-21)</v>
      </c>
      <c r="E908" s="2"/>
      <c r="F908" s="2" t="str">
        <f>+VLOOKUP($B908,[4]BOLETIM_SEL!$A:$H,6,0)</f>
        <v xml:space="preserve">UN </v>
      </c>
      <c r="G908" s="1407">
        <f>+VLOOKUP($B908,[4]BOLETIM_SEL!$A:$H,7,0)</f>
        <v>43.81</v>
      </c>
      <c r="H908" s="1611">
        <f>+Sinal_Via!Z390+Sinal_Via!Z391</f>
        <v>0</v>
      </c>
      <c r="I908" s="877">
        <f t="shared" si="281"/>
        <v>52.87</v>
      </c>
      <c r="J908" s="1611">
        <f t="shared" si="282"/>
        <v>0</v>
      </c>
      <c r="K908" s="1943">
        <f t="shared" ca="1" si="283"/>
        <v>0</v>
      </c>
      <c r="L908" s="1574">
        <f t="shared" si="279"/>
        <v>0</v>
      </c>
      <c r="M908" s="1445">
        <f>+VLOOKUP($B908,[4]BOLETIM_SEL!$A:$H,5,0)</f>
        <v>0</v>
      </c>
      <c r="N908" s="833"/>
      <c r="O908" s="833"/>
      <c r="Q908" s="833"/>
      <c r="R908" s="833"/>
      <c r="S908" s="833"/>
      <c r="T908" s="833"/>
      <c r="U908" s="833"/>
      <c r="V908" s="833"/>
      <c r="W908" s="833"/>
      <c r="X908" s="833"/>
    </row>
    <row r="909" spans="1:24" s="813" customFormat="1" ht="30" hidden="1" customHeight="1" x14ac:dyDescent="0.15">
      <c r="A909" s="1942">
        <f t="shared" ca="1" si="280"/>
        <v>11.03</v>
      </c>
      <c r="B909" s="2" t="s">
        <v>598</v>
      </c>
      <c r="C909" s="2" t="str">
        <f>+VLOOKUP($B909,[4]BOLETIM_SEL!$A:$H,2,0)</f>
        <v>COMPOSIÇÃO</v>
      </c>
      <c r="D909" s="315" t="str">
        <f>+VLOOKUP($B909,[4]BOLETIM_SEL!$A:$H,4,0)</f>
        <v>Tacha refletiva bidirecional, padrão DNIT, fornecimento e fixada com cola polister (REF. SICRO COD. 5219619)</v>
      </c>
      <c r="E909" s="2"/>
      <c r="F909" s="2" t="str">
        <f>+VLOOKUP($B909,[4]BOLETIM_SEL!$A:$H,6,0)</f>
        <v xml:space="preserve">UN </v>
      </c>
      <c r="G909" s="1407">
        <f>+VLOOKUP($B909,[4]BOLETIM_SEL!$A:$H,7,0)</f>
        <v>42.58</v>
      </c>
      <c r="H909" s="1611">
        <f>+Sinal_Via!Z392+Sinal_Via!Z393</f>
        <v>0</v>
      </c>
      <c r="I909" s="877">
        <f t="shared" si="281"/>
        <v>51.39</v>
      </c>
      <c r="J909" s="1611">
        <f t="shared" si="282"/>
        <v>0</v>
      </c>
      <c r="K909" s="1943">
        <f t="shared" ca="1" si="283"/>
        <v>0</v>
      </c>
      <c r="L909" s="1574">
        <f t="shared" si="279"/>
        <v>0</v>
      </c>
      <c r="M909" s="1445">
        <f>+VLOOKUP($B909,[4]BOLETIM_SEL!$A:$H,5,0)</f>
        <v>0</v>
      </c>
      <c r="N909" s="833"/>
      <c r="O909" s="833"/>
      <c r="Q909" s="833"/>
      <c r="R909" s="833"/>
      <c r="S909" s="833"/>
      <c r="T909" s="833"/>
      <c r="U909" s="833"/>
      <c r="V909" s="833"/>
      <c r="W909" s="833"/>
      <c r="X909" s="833"/>
    </row>
    <row r="910" spans="1:24" s="813" customFormat="1" ht="30" hidden="1" customHeight="1" x14ac:dyDescent="0.15">
      <c r="A910" s="1942">
        <f t="shared" ca="1" si="280"/>
        <v>11.03</v>
      </c>
      <c r="B910" s="2" t="s">
        <v>430</v>
      </c>
      <c r="C910" s="2" t="str">
        <f>+VLOOKUP($B910,[4]BOLETIM_SEL!$A:$H,2,0)</f>
        <v>COMPOSIÇÃO</v>
      </c>
      <c r="D910" s="315" t="str">
        <f>+VLOOKUP($B910,[4]BOLETIM_SEL!$A:$H,4,0)</f>
        <v>Tachão refletivo monodirecional, padrão DNIT, fornecimento e fixada com cola polister (REF. SICRO COD. 5219644)</v>
      </c>
      <c r="E910" s="2"/>
      <c r="F910" s="2" t="str">
        <f>+VLOOKUP($B910,[4]BOLETIM_SEL!$A:$H,6,0)</f>
        <v xml:space="preserve">UN </v>
      </c>
      <c r="G910" s="1407">
        <f>+VLOOKUP($B910,[4]BOLETIM_SEL!$A:$H,7,0)</f>
        <v>77.58</v>
      </c>
      <c r="H910" s="1611">
        <f>+Sinal_Via!Z394+Sinal_Via!Z395</f>
        <v>0</v>
      </c>
      <c r="I910" s="877">
        <f>+TRUNC(G910*(1+$J$5),2)</f>
        <v>93.63</v>
      </c>
      <c r="J910" s="1611">
        <f>TRUNC(H910*I910,2)</f>
        <v>0</v>
      </c>
      <c r="K910" s="1943">
        <f ca="1">+J910/$J$12</f>
        <v>0</v>
      </c>
      <c r="L910" s="1574">
        <f>+J910/J$895</f>
        <v>0</v>
      </c>
      <c r="M910" s="1445">
        <f>+VLOOKUP($B910,[4]BOLETIM_SEL!$A:$H,5,0)</f>
        <v>0</v>
      </c>
      <c r="N910" s="833"/>
      <c r="O910" s="833"/>
      <c r="Q910" s="833"/>
      <c r="R910" s="833"/>
      <c r="S910" s="833"/>
      <c r="T910" s="833"/>
      <c r="U910" s="833"/>
      <c r="V910" s="833"/>
      <c r="W910" s="833"/>
      <c r="X910" s="833"/>
    </row>
    <row r="911" spans="1:24" s="813" customFormat="1" ht="30" hidden="1" customHeight="1" x14ac:dyDescent="0.15">
      <c r="A911" s="1942">
        <f t="shared" ca="1" si="280"/>
        <v>11.03</v>
      </c>
      <c r="B911" s="2" t="s">
        <v>431</v>
      </c>
      <c r="C911" s="2" t="str">
        <f>+VLOOKUP($B911,[4]BOLETIM_SEL!$A:$H,2,0)</f>
        <v>COMPOSIÇÃO</v>
      </c>
      <c r="D911" s="315" t="str">
        <f>+VLOOKUP($B911,[4]BOLETIM_SEL!$A:$H,4,0)</f>
        <v>Tachão refletivo bidirecional, padrão DNIT, fornecimento e fixada com cola polister (REF. SICRO COD. 5219643)</v>
      </c>
      <c r="E911" s="2"/>
      <c r="F911" s="2" t="str">
        <f>+VLOOKUP($B911,[4]BOLETIM_SEL!$A:$H,6,0)</f>
        <v xml:space="preserve">UN </v>
      </c>
      <c r="G911" s="1407">
        <f>+VLOOKUP($B911,[4]BOLETIM_SEL!$A:$H,7,0)</f>
        <v>79.31</v>
      </c>
      <c r="H911" s="1611">
        <f>+Sinal_Via!Z396+Sinal_Via!Z397</f>
        <v>0</v>
      </c>
      <c r="I911" s="877">
        <f t="shared" si="281"/>
        <v>95.72</v>
      </c>
      <c r="J911" s="1611">
        <f t="shared" si="282"/>
        <v>0</v>
      </c>
      <c r="K911" s="1943">
        <f t="shared" ca="1" si="283"/>
        <v>0</v>
      </c>
      <c r="L911" s="1574">
        <f t="shared" si="279"/>
        <v>0</v>
      </c>
      <c r="M911" s="1445"/>
      <c r="N911" s="833"/>
      <c r="O911" s="833"/>
      <c r="Q911" s="833"/>
      <c r="R911" s="833"/>
      <c r="S911" s="833"/>
      <c r="T911" s="833"/>
      <c r="U911" s="833"/>
      <c r="V911" s="833"/>
      <c r="W911" s="833"/>
      <c r="X911" s="833"/>
    </row>
    <row r="912" spans="1:24" s="813" customFormat="1" ht="50.1" hidden="1" customHeight="1" x14ac:dyDescent="0.15">
      <c r="A912" s="1942">
        <f t="shared" ca="1" si="280"/>
        <v>11.03</v>
      </c>
      <c r="B912" s="2" t="s">
        <v>432</v>
      </c>
      <c r="C912" s="2" t="str">
        <f>+VLOOKUP($B912,[4]BOLETIM_SEL!$A:$H,2,0)</f>
        <v>COMPOSIÇÃO</v>
      </c>
      <c r="D912" s="315" t="str">
        <f>+VLOOKUP($B912,[4]BOLETIM_SEL!$A:$H,4,0)</f>
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</c>
      <c r="E912" s="2"/>
      <c r="F912" s="2" t="str">
        <f>+VLOOKUP($B912,[4]BOLETIM_SEL!$A:$H,6,0)</f>
        <v xml:space="preserve">UN </v>
      </c>
      <c r="G912" s="1407">
        <f>+VLOOKUP($B912,[4]BOLETIM_SEL!$A:$H,7,0)</f>
        <v>8190.26</v>
      </c>
      <c r="H912" s="1611">
        <f>+Sinal_Via!Z292</f>
        <v>0</v>
      </c>
      <c r="I912" s="877">
        <f t="shared" si="281"/>
        <v>9885.64</v>
      </c>
      <c r="J912" s="1611">
        <f t="shared" si="282"/>
        <v>0</v>
      </c>
      <c r="K912" s="1943">
        <f t="shared" ca="1" si="283"/>
        <v>0</v>
      </c>
      <c r="L912" s="1574">
        <f t="shared" si="279"/>
        <v>0</v>
      </c>
      <c r="M912" s="1445">
        <f>+VLOOKUP($B912,[4]BOLETIM_SEL!$A:$H,5,0)</f>
        <v>0</v>
      </c>
      <c r="N912" s="833"/>
      <c r="O912" s="833"/>
      <c r="Q912" s="833"/>
      <c r="R912" s="833"/>
      <c r="S912" s="833"/>
      <c r="T912" s="833"/>
      <c r="U912" s="833"/>
      <c r="V912" s="833"/>
      <c r="W912" s="833"/>
      <c r="X912" s="833"/>
    </row>
    <row r="913" spans="1:24" s="813" customFormat="1" ht="50.1" hidden="1" customHeight="1" x14ac:dyDescent="0.15">
      <c r="A913" s="1942">
        <f t="shared" ca="1" si="280"/>
        <v>11.03</v>
      </c>
      <c r="B913" s="2" t="s">
        <v>433</v>
      </c>
      <c r="C913" s="2" t="str">
        <f>+VLOOKUP($B913,[4]BOLETIM_SEL!$A:$H,2,0)</f>
        <v>COMPOSIÇÃO</v>
      </c>
      <c r="D913" s="315" t="str">
        <f>+VLOOKUP($B913,[4]BOLETIM_SEL!$A:$H,4,0)</f>
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</c>
      <c r="E913" s="2"/>
      <c r="F913" s="2" t="str">
        <f>+VLOOKUP($B913,[4]BOLETIM_SEL!$A:$H,6,0)</f>
        <v xml:space="preserve">UN </v>
      </c>
      <c r="G913" s="1407">
        <f>+VLOOKUP($B913,[4]BOLETIM_SEL!$A:$H,7,0)</f>
        <v>5826.84</v>
      </c>
      <c r="H913" s="1611">
        <f>+Sinal_Via!Z293</f>
        <v>0</v>
      </c>
      <c r="I913" s="877">
        <f t="shared" si="281"/>
        <v>7032.99</v>
      </c>
      <c r="J913" s="1611">
        <f t="shared" si="282"/>
        <v>0</v>
      </c>
      <c r="K913" s="1943">
        <f t="shared" ca="1" si="283"/>
        <v>0</v>
      </c>
      <c r="L913" s="1574">
        <f t="shared" si="279"/>
        <v>0</v>
      </c>
      <c r="M913" s="1445">
        <f>+VLOOKUP($B913,[4]BOLETIM_SEL!$A:$H,5,0)</f>
        <v>0</v>
      </c>
      <c r="N913" s="833"/>
      <c r="O913" s="833"/>
      <c r="Q913" s="833"/>
      <c r="R913" s="833"/>
      <c r="S913" s="833"/>
      <c r="T913" s="833"/>
      <c r="U913" s="833"/>
      <c r="V913" s="833"/>
      <c r="W913" s="833"/>
      <c r="X913" s="833"/>
    </row>
    <row r="914" spans="1:24" s="813" customFormat="1" ht="50.1" hidden="1" customHeight="1" x14ac:dyDescent="0.15">
      <c r="A914" s="1942">
        <f t="shared" ca="1" si="280"/>
        <v>11.03</v>
      </c>
      <c r="B914" s="2" t="s">
        <v>2403</v>
      </c>
      <c r="C914" s="2" t="str">
        <f>+VLOOKUP($B914,[4]BOLETIM_SEL!$A:$H,2,0)</f>
        <v>COMPOSIÇÃO</v>
      </c>
      <c r="D914" s="315" t="str">
        <f>+VLOOKUP($B914,[4]BOLETIM_SEL!$A:$H,4,0)</f>
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</c>
      <c r="E914" s="2"/>
      <c r="F914" s="2" t="str">
        <f>+VLOOKUP($B914,[4]BOLETIM_SEL!$A:$H,6,0)</f>
        <v xml:space="preserve">UN </v>
      </c>
      <c r="G914" s="1407">
        <f>+VLOOKUP($B914,[4]BOLETIM_SEL!$A:$H,7,0)</f>
        <v>227.61</v>
      </c>
      <c r="H914" s="1611"/>
      <c r="I914" s="877">
        <f t="shared" si="281"/>
        <v>274.72000000000003</v>
      </c>
      <c r="J914" s="1611">
        <f t="shared" si="282"/>
        <v>0</v>
      </c>
      <c r="K914" s="1943">
        <f t="shared" ca="1" si="283"/>
        <v>0</v>
      </c>
      <c r="L914" s="1574">
        <f t="shared" si="279"/>
        <v>0</v>
      </c>
      <c r="M914" s="1445">
        <f>+VLOOKUP($B914,[4]BOLETIM_SEL!$A:$H,5,0)</f>
        <v>0</v>
      </c>
      <c r="N914" s="833"/>
      <c r="O914" s="833"/>
      <c r="Q914" s="833"/>
      <c r="R914" s="833"/>
      <c r="S914" s="833"/>
      <c r="T914" s="833"/>
      <c r="U914" s="833"/>
      <c r="V914" s="833"/>
      <c r="W914" s="833"/>
      <c r="X914" s="833"/>
    </row>
    <row r="915" spans="1:24" s="813" customFormat="1" ht="50.1" customHeight="1" x14ac:dyDescent="0.15">
      <c r="A915" s="1942">
        <f t="shared" ca="1" si="280"/>
        <v>11.04</v>
      </c>
      <c r="B915" s="2" t="s">
        <v>902</v>
      </c>
      <c r="C915" s="2" t="str">
        <f>+VLOOKUP($B915,[4]BOLETIM_SEL!$A:$H,2,0)</f>
        <v>COMPOSIÇÃO</v>
      </c>
      <c r="D915" s="315" t="str">
        <f>+VLOOKUP($B915,[4]BOLETIM_SEL!$A:$H,4,0)</f>
        <v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v>
      </c>
      <c r="E915" s="2"/>
      <c r="F915" s="2" t="str">
        <f>+VLOOKUP($B915,[4]BOLETIM_SEL!$A:$H,6,0)</f>
        <v xml:space="preserve">UN </v>
      </c>
      <c r="G915" s="1407">
        <f>+VLOOKUP($B915,[4]BOLETIM_SEL!$A:$H,7,0)</f>
        <v>433.81</v>
      </c>
      <c r="H915" s="1611">
        <f>+Sinal_Via!Z291+Sinal_Via!Z295</f>
        <v>263</v>
      </c>
      <c r="I915" s="877">
        <f t="shared" si="281"/>
        <v>523.6</v>
      </c>
      <c r="J915" s="1611">
        <f t="shared" si="282"/>
        <v>137706.79999999999</v>
      </c>
      <c r="K915" s="1943">
        <f t="shared" ca="1" si="283"/>
        <v>1.0276122384750031E-2</v>
      </c>
      <c r="L915" s="1574">
        <f t="shared" si="279"/>
        <v>0.46014828139260922</v>
      </c>
      <c r="M915" s="1445">
        <f>+VLOOKUP($B915,[4]BOLETIM_SEL!$A:$H,5,0)</f>
        <v>0</v>
      </c>
      <c r="N915" s="833"/>
      <c r="O915" s="833"/>
      <c r="Q915" s="833"/>
      <c r="R915" s="833"/>
      <c r="S915" s="833"/>
      <c r="T915" s="833"/>
      <c r="U915" s="833"/>
      <c r="V915" s="833"/>
      <c r="W915" s="833"/>
      <c r="X915" s="833"/>
    </row>
    <row r="916" spans="1:24" s="813" customFormat="1" ht="30" hidden="1" customHeight="1" x14ac:dyDescent="0.15">
      <c r="A916" s="1942">
        <f t="shared" ca="1" si="280"/>
        <v>11.04</v>
      </c>
      <c r="B916" s="2" t="s">
        <v>2404</v>
      </c>
      <c r="C916" s="2" t="str">
        <f>+VLOOKUP($B916,[4]BOLETIM_SEL!$A:$H,2,0)</f>
        <v>COMPOSIÇÃO</v>
      </c>
      <c r="D916" s="315" t="str">
        <f>+VLOOKUP($B916,[4]BOLETIM_SEL!$A:$H,4,0)</f>
        <v>Implantação de placa de sinalização em poste de energia elétrica, incluindo elementos de fixação</v>
      </c>
      <c r="E916" s="2"/>
      <c r="F916" s="2" t="str">
        <f>+VLOOKUP($B916,[4]BOLETIM_SEL!$A:$H,6,0)</f>
        <v xml:space="preserve">UN </v>
      </c>
      <c r="G916" s="1407">
        <f>+VLOOKUP($B916,[4]BOLETIM_SEL!$A:$H,7,0)</f>
        <v>78.78</v>
      </c>
      <c r="H916" s="1611"/>
      <c r="I916" s="877">
        <f t="shared" si="281"/>
        <v>95.08</v>
      </c>
      <c r="J916" s="1611">
        <f t="shared" si="282"/>
        <v>0</v>
      </c>
      <c r="K916" s="1943">
        <f t="shared" ca="1" si="283"/>
        <v>0</v>
      </c>
      <c r="L916" s="1574">
        <f t="shared" si="279"/>
        <v>0</v>
      </c>
      <c r="M916" s="1445">
        <f>+VLOOKUP($B916,[4]BOLETIM_SEL!$A:$H,5,0)</f>
        <v>0</v>
      </c>
      <c r="N916" s="833"/>
      <c r="O916" s="833"/>
      <c r="Q916" s="833"/>
      <c r="R916" s="833"/>
      <c r="S916" s="833"/>
      <c r="T916" s="833"/>
      <c r="U916" s="833"/>
      <c r="V916" s="833"/>
      <c r="W916" s="833"/>
      <c r="X916" s="833"/>
    </row>
    <row r="917" spans="1:24" s="813" customFormat="1" ht="30" hidden="1" customHeight="1" x14ac:dyDescent="0.15">
      <c r="A917" s="1942">
        <f t="shared" ca="1" si="280"/>
        <v>11.04</v>
      </c>
      <c r="B917" s="2" t="s">
        <v>434</v>
      </c>
      <c r="C917" s="2" t="str">
        <f>+VLOOKUP($B917,[4]BOLETIM_SEL!$A:$H,2,0)</f>
        <v>COMPOSIÇÃO</v>
      </c>
      <c r="D917" s="315" t="str">
        <f>+VLOOKUP($B917,[4]BOLETIM_SEL!$A:$H,4,0)</f>
        <v>Implantação de placa de sinalização em braço projetado, incluindo elementos de fixação</v>
      </c>
      <c r="E917" s="2"/>
      <c r="F917" s="2" t="str">
        <f>+VLOOKUP($B917,[4]BOLETIM_SEL!$A:$H,6,0)</f>
        <v xml:space="preserve">UN </v>
      </c>
      <c r="G917" s="1407">
        <f>+VLOOKUP($B917,[4]BOLETIM_SEL!$A:$H,7,0)</f>
        <v>645.33000000000004</v>
      </c>
      <c r="H917" s="1611">
        <f>+H912</f>
        <v>0</v>
      </c>
      <c r="I917" s="877">
        <f t="shared" si="281"/>
        <v>778.91</v>
      </c>
      <c r="J917" s="1611">
        <f t="shared" si="282"/>
        <v>0</v>
      </c>
      <c r="K917" s="1943">
        <f t="shared" ca="1" si="283"/>
        <v>0</v>
      </c>
      <c r="L917" s="1574">
        <f t="shared" si="279"/>
        <v>0</v>
      </c>
      <c r="M917" s="1445">
        <f>+VLOOKUP($B917,[4]BOLETIM_SEL!$A:$H,5,0)</f>
        <v>0</v>
      </c>
      <c r="N917" s="833"/>
      <c r="O917" s="833"/>
      <c r="Q917" s="833"/>
      <c r="R917" s="833"/>
      <c r="S917" s="833"/>
      <c r="T917" s="833"/>
      <c r="U917" s="833"/>
      <c r="V917" s="833"/>
      <c r="W917" s="833"/>
      <c r="X917" s="833"/>
    </row>
    <row r="918" spans="1:24" s="813" customFormat="1" ht="50.1" customHeight="1" x14ac:dyDescent="0.15">
      <c r="A918" s="1942">
        <f t="shared" ca="1" si="280"/>
        <v>11.049999999999999</v>
      </c>
      <c r="B918" s="2" t="s">
        <v>2405</v>
      </c>
      <c r="C918" s="2" t="str">
        <f>+VLOOKUP($B918,[4]BOLETIM_SEL!$A:$H,2,0)</f>
        <v>COMPOSIÇÃO</v>
      </c>
      <c r="D918" s="315" t="str">
        <f>+VLOOKUP($B918,[4]BOLETIM_SEL!$A:$H,4,0)</f>
        <v>Placa de sinalização de alumínio, espessura 1,5 mm, com fundo, símbolos e tarjas em película refletiva com esferas inclusas tipo I-A da NBR 14644 (GT/GT), inclusive elementos de fixação, conforme especificação AGETRAN/PMCG - Incluso fornecimento</v>
      </c>
      <c r="E918" s="2"/>
      <c r="F918" s="2" t="str">
        <f>+VLOOKUP($B918,[4]BOLETIM_SEL!$A:$H,6,0)</f>
        <v>M2</v>
      </c>
      <c r="G918" s="1407">
        <f>+VLOOKUP($B918,[4]BOLETIM_SEL!$A:$H,7,0)</f>
        <v>758.2</v>
      </c>
      <c r="H918" s="1611">
        <f>+Sinal_Via!Z280</f>
        <v>47.93</v>
      </c>
      <c r="I918" s="877">
        <f t="shared" si="281"/>
        <v>915.14</v>
      </c>
      <c r="J918" s="1611">
        <f t="shared" si="282"/>
        <v>43862.66</v>
      </c>
      <c r="K918" s="1943">
        <f t="shared" ca="1" si="283"/>
        <v>3.2731721474951116E-3</v>
      </c>
      <c r="L918" s="1574">
        <f t="shared" si="279"/>
        <v>0.14656739984015565</v>
      </c>
      <c r="M918" s="1445">
        <f>+VLOOKUP($B918,[4]BOLETIM_SEL!$A:$H,5,0)</f>
        <v>0</v>
      </c>
      <c r="N918" s="833"/>
      <c r="O918" s="833"/>
      <c r="Q918" s="833"/>
      <c r="R918" s="833"/>
      <c r="S918" s="833"/>
      <c r="T918" s="833"/>
      <c r="U918" s="833"/>
      <c r="V918" s="833"/>
      <c r="W918" s="833"/>
      <c r="X918" s="833"/>
    </row>
    <row r="919" spans="1:24" s="813" customFormat="1" ht="39.950000000000003" hidden="1" customHeight="1" x14ac:dyDescent="0.15">
      <c r="A919" s="1942">
        <f t="shared" ca="1" si="280"/>
        <v>11.049999999999999</v>
      </c>
      <c r="B919" s="2" t="s">
        <v>2406</v>
      </c>
      <c r="C919" s="2" t="str">
        <f>+VLOOKUP($B919,[4]BOLETIM_SEL!$A:$H,2,0)</f>
        <v>COMPOSIÇÃO</v>
      </c>
      <c r="D919" s="315" t="str">
        <f>+VLOOKUP($B919,[4]BOLETIM_SEL!$A:$H,4,0)</f>
        <v>Placa de sinalização de alumínio, espessura 2mm, com fundo, símbolos e tarjas em película refletiva com esferas inclusas tipo I-A da NBR 14644 (GT/GT), inclusive elementos de fixação, conforme especificação AGETRAN/PMCG - fornecimento</v>
      </c>
      <c r="E919" s="2"/>
      <c r="F919" s="2" t="str">
        <f>+VLOOKUP($B919,[4]BOLETIM_SEL!$A:$H,6,0)</f>
        <v>M2</v>
      </c>
      <c r="G919" s="1407">
        <f>+VLOOKUP($B919,[4]BOLETIM_SEL!$A:$H,7,0)</f>
        <v>720</v>
      </c>
      <c r="H919" s="1611"/>
      <c r="I919" s="877">
        <f t="shared" si="281"/>
        <v>869.04</v>
      </c>
      <c r="J919" s="1611">
        <f t="shared" si="282"/>
        <v>0</v>
      </c>
      <c r="K919" s="1943">
        <f t="shared" ca="1" si="283"/>
        <v>0</v>
      </c>
      <c r="L919" s="1574">
        <f t="shared" si="279"/>
        <v>0</v>
      </c>
      <c r="M919" s="1445">
        <f>+VLOOKUP($B919,[4]BOLETIM_SEL!$A:$H,5,0)</f>
        <v>0</v>
      </c>
      <c r="N919" s="833"/>
      <c r="O919" s="833"/>
      <c r="Q919" s="833"/>
      <c r="R919" s="833"/>
      <c r="S919" s="833"/>
      <c r="T919" s="833"/>
      <c r="U919" s="833"/>
      <c r="V919" s="833"/>
      <c r="W919" s="833"/>
      <c r="X919" s="833"/>
    </row>
    <row r="920" spans="1:24" s="813" customFormat="1" ht="50.1" hidden="1" customHeight="1" x14ac:dyDescent="0.15">
      <c r="A920" s="1942">
        <f t="shared" ca="1" si="280"/>
        <v>11.049999999999999</v>
      </c>
      <c r="B920" s="2" t="s">
        <v>435</v>
      </c>
      <c r="C920" s="2" t="str">
        <f>+VLOOKUP($B920,[4]BOLETIM_SEL!$A:$H,2,0)</f>
        <v>COMPOSIÇÃO</v>
      </c>
      <c r="D920" s="315" t="str">
        <f>+VLOOKUP($B920,[4]BOLETIM_SEL!$A:$H,4,0)</f>
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</c>
      <c r="E920" s="2"/>
      <c r="F920" s="2" t="str">
        <f>+VLOOKUP($B920,[4]BOLETIM_SEL!$A:$H,6,0)</f>
        <v>M2</v>
      </c>
      <c r="G920" s="1407">
        <f>+VLOOKUP($B920,[4]BOLETIM_SEL!$A:$H,7,0)</f>
        <v>1062.8</v>
      </c>
      <c r="H920" s="1611">
        <f>+Sinal_Via!Z290</f>
        <v>0</v>
      </c>
      <c r="I920" s="877">
        <f t="shared" si="281"/>
        <v>1282.79</v>
      </c>
      <c r="J920" s="1611">
        <f t="shared" si="282"/>
        <v>0</v>
      </c>
      <c r="K920" s="1943">
        <f t="shared" ca="1" si="283"/>
        <v>0</v>
      </c>
      <c r="L920" s="1574">
        <f t="shared" si="279"/>
        <v>0</v>
      </c>
      <c r="M920" s="1445">
        <f>+VLOOKUP($B920,[4]BOLETIM_SEL!$A:$H,5,0)</f>
        <v>0</v>
      </c>
      <c r="N920" s="833"/>
      <c r="O920" s="833"/>
      <c r="Q920" s="833"/>
      <c r="R920" s="833"/>
      <c r="S920" s="833"/>
      <c r="T920" s="833"/>
      <c r="U920" s="833"/>
      <c r="V920" s="833"/>
      <c r="W920" s="833"/>
      <c r="X920" s="833"/>
    </row>
    <row r="921" spans="1:24" s="813" customFormat="1" ht="39.950000000000003" customHeight="1" x14ac:dyDescent="0.15">
      <c r="A921" s="1942">
        <f t="shared" ca="1" si="280"/>
        <v>11.059999999999999</v>
      </c>
      <c r="B921" s="2">
        <v>13521</v>
      </c>
      <c r="C921" s="2" t="str">
        <f>+VLOOKUP($B921,[4]BOLETIM_SEL!$A:$H,2,0)</f>
        <v>COTAÇÃO - SINAPI</v>
      </c>
      <c r="D921" s="315" t="str">
        <f>+VLOOKUP($B921,[4]BOLETIM_SEL!$A:$H,4,0)</f>
        <v>Placa de aço esmaltada para identificação de rua, dimensões *45x20* cm</v>
      </c>
      <c r="E921" s="2"/>
      <c r="F921" s="2" t="str">
        <f>+VLOOKUP($B921,[4]BOLETIM_SEL!$A:$H,6,0)</f>
        <v xml:space="preserve">UN    </v>
      </c>
      <c r="G921" s="1407">
        <f>+VLOOKUP($B921,[4]BOLETIM_SEL!$A:$H,7,0)</f>
        <v>82.5</v>
      </c>
      <c r="H921" s="1611">
        <f>+Sinal_Via!Z294</f>
        <v>202</v>
      </c>
      <c r="I921" s="877">
        <f t="shared" si="281"/>
        <v>99.57</v>
      </c>
      <c r="J921" s="1611">
        <f t="shared" si="282"/>
        <v>20113.14</v>
      </c>
      <c r="K921" s="1943">
        <f t="shared" ca="1" si="283"/>
        <v>1.5009069136862612E-3</v>
      </c>
      <c r="L921" s="1574">
        <f t="shared" si="279"/>
        <v>6.7208204710362485E-2</v>
      </c>
      <c r="M921" s="1445">
        <f>+VLOOKUP($B921,[4]BOLETIM_SEL!$A:$H,5,0)</f>
        <v>0</v>
      </c>
      <c r="N921" s="833"/>
      <c r="O921" s="833"/>
      <c r="Q921" s="833"/>
      <c r="R921" s="833"/>
      <c r="S921" s="833"/>
      <c r="T921" s="833"/>
      <c r="U921" s="833"/>
      <c r="V921" s="833"/>
      <c r="W921" s="833"/>
      <c r="X921" s="833"/>
    </row>
    <row r="922" spans="1:24" s="813" customFormat="1" ht="60" hidden="1" customHeight="1" x14ac:dyDescent="0.15">
      <c r="A922" s="1942">
        <f t="shared" ca="1" si="280"/>
        <v>11.059999999999999</v>
      </c>
      <c r="B922" s="2" t="s">
        <v>2407</v>
      </c>
      <c r="C922" s="2" t="str">
        <f>+VLOOKUP($B922,[4]BOLETIM_SEL!$A:$H,2,0)</f>
        <v>COMPOSIÇÃO</v>
      </c>
      <c r="D922" s="315" t="str">
        <f>+VLOOKUP($B922,[4]BOLETIM_SEL!$A:$H,4,0)</f>
        <v>Fornecimento e implantação de linha de duto espiral flexível em polietileno de alta densidade, tipo Kanalex ou similar, diâmetro de 75mm (3"), lançado diretamente ao solo com arame-guia galvanizado revestido em PVC&gt; Inclusive emendas e tamponamento, recorte do pavimento, escavação, reaterro, envelopamento de duto com concreto (30x30cm), base de brita graduada, remoção e bota-fora de entulhos</v>
      </c>
      <c r="E922" s="2"/>
      <c r="F922" s="2" t="str">
        <f>+VLOOKUP($B922,[4]BOLETIM_SEL!$A:$H,6,0)</f>
        <v>M</v>
      </c>
      <c r="G922" s="1407">
        <f>+VLOOKUP($B922,[4]BOLETIM_SEL!$A:$H,7,0)</f>
        <v>134.21</v>
      </c>
      <c r="H922" s="1611">
        <f>+Sinal_Via!Z399</f>
        <v>0</v>
      </c>
      <c r="I922" s="877">
        <f t="shared" si="281"/>
        <v>161.99</v>
      </c>
      <c r="J922" s="1611">
        <f t="shared" si="282"/>
        <v>0</v>
      </c>
      <c r="K922" s="1943">
        <f t="shared" ca="1" si="283"/>
        <v>0</v>
      </c>
      <c r="L922" s="1574">
        <f t="shared" si="279"/>
        <v>0</v>
      </c>
      <c r="M922" s="1445">
        <f>+VLOOKUP($B922,[4]BOLETIM_SEL!$A:$H,5,0)</f>
        <v>0</v>
      </c>
      <c r="N922" s="833"/>
      <c r="O922" s="833"/>
      <c r="Q922" s="833"/>
      <c r="R922" s="833"/>
      <c r="S922" s="833"/>
      <c r="T922" s="833"/>
      <c r="U922" s="833"/>
      <c r="V922" s="833"/>
      <c r="W922" s="833"/>
      <c r="X922" s="833"/>
    </row>
    <row r="923" spans="1:24" s="813" customFormat="1" ht="50.1" hidden="1" customHeight="1" x14ac:dyDescent="0.15">
      <c r="A923" s="1942">
        <f t="shared" ca="1" si="280"/>
        <v>11.059999999999999</v>
      </c>
      <c r="B923" s="2" t="s">
        <v>436</v>
      </c>
      <c r="C923" s="2" t="str">
        <f>+VLOOKUP($B923,[4]BOLETIM_SEL!$A:$H,2,0)</f>
        <v>COMPOSIÇÃO</v>
      </c>
      <c r="D923" s="315" t="str">
        <f>+VLOOKUP($B923,[4]BOLETIM_SEL!$A:$H,4,0)</f>
        <v>Caixa enterrada elétrica retangular, em alvenaria com tijolos cerâmicos maciços, 1/2 vez, fundo com brita, dimensões internas: 0,40x0,40x0,40 m; Tampão fofo simples com base, classe A15 carga máxima 1,5 t, 400 x 400 mm (REF. SINAPI COD. 97887)</v>
      </c>
      <c r="E923" s="2"/>
      <c r="F923" s="2" t="str">
        <f>+VLOOKUP($B923,[4]BOLETIM_SEL!$A:$H,6,0)</f>
        <v xml:space="preserve">UN </v>
      </c>
      <c r="G923" s="1407">
        <f>+VLOOKUP($B923,[4]BOLETIM_SEL!$A:$H,7,0)</f>
        <v>435.37</v>
      </c>
      <c r="H923" s="1611">
        <f>+Sinal_Via!Z400</f>
        <v>0</v>
      </c>
      <c r="I923" s="877">
        <f t="shared" si="281"/>
        <v>525.49</v>
      </c>
      <c r="J923" s="1611">
        <f t="shared" si="282"/>
        <v>0</v>
      </c>
      <c r="K923" s="1943">
        <f t="shared" ca="1" si="283"/>
        <v>0</v>
      </c>
      <c r="L923" s="1574">
        <f t="shared" si="279"/>
        <v>0</v>
      </c>
      <c r="M923" s="1445">
        <f>+VLOOKUP($B923,[4]BOLETIM_SEL!$A:$H,5,0)</f>
        <v>0</v>
      </c>
      <c r="N923" s="833"/>
      <c r="O923" s="833"/>
      <c r="Q923" s="833"/>
      <c r="R923" s="833"/>
      <c r="S923" s="833"/>
      <c r="T923" s="833"/>
      <c r="U923" s="833"/>
      <c r="V923" s="833"/>
      <c r="W923" s="833"/>
      <c r="X923" s="833"/>
    </row>
    <row r="924" spans="1:24" s="813" customFormat="1" ht="24.95" customHeight="1" x14ac:dyDescent="0.15">
      <c r="A924" s="2081"/>
      <c r="B924" s="834"/>
      <c r="C924" s="834"/>
      <c r="D924" s="835"/>
      <c r="E924" s="2"/>
      <c r="F924" s="834"/>
      <c r="G924" s="1821"/>
      <c r="H924" s="1"/>
      <c r="I924" s="877"/>
      <c r="J924" s="839" t="str">
        <f>+IF(J895=0,0,"")</f>
        <v/>
      </c>
      <c r="K924" s="2078"/>
      <c r="L924" s="1574"/>
      <c r="M924" s="1446"/>
      <c r="N924" s="833"/>
      <c r="O924" s="833"/>
      <c r="Q924" s="833"/>
      <c r="R924" s="833"/>
      <c r="S924" s="833"/>
      <c r="T924" s="833"/>
      <c r="U924" s="833"/>
      <c r="V924" s="833"/>
      <c r="W924" s="833"/>
      <c r="X924" s="833"/>
    </row>
    <row r="925" spans="1:24" s="833" customFormat="1" ht="24.95" customHeight="1" x14ac:dyDescent="0.15">
      <c r="A925" s="2082">
        <f ca="1">IF(J925&gt;0,INT(A923)+1,IF(J925=0,INT(A923),0))</f>
        <v>12</v>
      </c>
      <c r="B925" s="1633"/>
      <c r="C925" s="1633"/>
      <c r="D925" s="1634" t="s">
        <v>437</v>
      </c>
      <c r="E925" s="1828"/>
      <c r="F925" s="1635"/>
      <c r="G925" s="1825" t="s">
        <v>655</v>
      </c>
      <c r="H925" s="1635"/>
      <c r="I925" s="1640" t="str">
        <f ca="1">CONCATENATE("SUB-TOTAL ",A925)</f>
        <v>SUB-TOTAL 12</v>
      </c>
      <c r="J925" s="1639">
        <f>SUM(J926:J926)</f>
        <v>625998.32999999996</v>
      </c>
      <c r="K925" s="2079">
        <f ca="1">+J925/J$967</f>
        <v>4.6713999974795251E-2</v>
      </c>
      <c r="L925" s="1610">
        <f>+J925/J$925</f>
        <v>1</v>
      </c>
      <c r="M925" s="1812" t="str">
        <f>+IF(J1=CCU_Adm_Local_Não_Deson!B4,"CPU correta","data base CPU errada")</f>
        <v>CPU correta</v>
      </c>
    </row>
    <row r="926" spans="1:24" s="844" customFormat="1" ht="30" customHeight="1" x14ac:dyDescent="0.15">
      <c r="A926" s="2081">
        <f ca="1">+IF(H926&gt;0,A925+0.01,A925)</f>
        <v>12.01</v>
      </c>
      <c r="B926" s="841" t="s">
        <v>535</v>
      </c>
      <c r="C926" s="834" t="s">
        <v>486</v>
      </c>
      <c r="D926" s="835" t="str">
        <f>+CCU_Adm_Local_Não_Deson!B7</f>
        <v>Administração local do canteiro de obras</v>
      </c>
      <c r="E926" s="2"/>
      <c r="F926" s="834" t="s">
        <v>536</v>
      </c>
      <c r="G926" s="1824">
        <f>+CCU_Adm_Local_Não_Deson!H69</f>
        <v>518639.88</v>
      </c>
      <c r="H926" s="1611">
        <v>1</v>
      </c>
      <c r="I926" s="877">
        <f>+TRUNC(G926*(1+$J$5),2)</f>
        <v>625998.32999999996</v>
      </c>
      <c r="J926" s="1612">
        <f>TRUNC(H926*I926,2)</f>
        <v>625998.32999999996</v>
      </c>
      <c r="K926" s="2078">
        <f ca="1">+J926/J$967</f>
        <v>4.6713999974795251E-2</v>
      </c>
      <c r="L926" s="1574">
        <f>+J926/J$925</f>
        <v>1</v>
      </c>
      <c r="M926" s="1590"/>
      <c r="N926" s="843"/>
      <c r="O926" s="843"/>
      <c r="Q926" s="843"/>
      <c r="R926" s="843"/>
      <c r="S926" s="843"/>
      <c r="T926" s="843"/>
      <c r="U926" s="843"/>
      <c r="V926" s="843"/>
      <c r="W926" s="843"/>
      <c r="X926" s="843"/>
    </row>
    <row r="927" spans="1:24" s="844" customFormat="1" ht="24.95" customHeight="1" x14ac:dyDescent="0.15">
      <c r="A927" s="2081"/>
      <c r="B927" s="841"/>
      <c r="C927" s="834"/>
      <c r="D927" s="835"/>
      <c r="E927" s="2"/>
      <c r="F927" s="834"/>
      <c r="G927" s="1821"/>
      <c r="H927" s="834"/>
      <c r="I927" s="834"/>
      <c r="J927" s="839" t="str">
        <f>+IF(J925=0,0,"")</f>
        <v/>
      </c>
      <c r="K927" s="2078"/>
      <c r="L927" s="1574"/>
      <c r="M927" s="1446"/>
      <c r="N927" s="843"/>
      <c r="O927" s="843"/>
      <c r="Q927" s="843"/>
      <c r="R927" s="843"/>
      <c r="S927" s="843"/>
      <c r="T927" s="843"/>
      <c r="U927" s="843"/>
      <c r="V927" s="843"/>
      <c r="W927" s="843"/>
      <c r="X927" s="843"/>
    </row>
    <row r="928" spans="1:24" s="833" customFormat="1" ht="24.95" hidden="1" customHeight="1" x14ac:dyDescent="0.15">
      <c r="A928" s="2082">
        <f ca="1">IF(J928&gt;0,INT(A926)+1,IF(J928=0,INT(A926),0))</f>
        <v>12</v>
      </c>
      <c r="B928" s="1633"/>
      <c r="C928" s="1633"/>
      <c r="D928" s="1634" t="s">
        <v>485</v>
      </c>
      <c r="E928" s="1828"/>
      <c r="F928" s="1635"/>
      <c r="G928" s="1826"/>
      <c r="H928" s="1636"/>
      <c r="I928" s="1638" t="str">
        <f ca="1">CONCATENATE("SUB-TOTAL ",A928)</f>
        <v>SUB-TOTAL 12</v>
      </c>
      <c r="J928" s="1639">
        <f>SUM(J929:J965)</f>
        <v>0</v>
      </c>
      <c r="K928" s="2079">
        <f t="shared" ref="K928:K965" ca="1" si="284">+J928/J$967</f>
        <v>0</v>
      </c>
      <c r="L928" s="1610" t="e">
        <f>+J928/J$928</f>
        <v>#DIV/0!</v>
      </c>
      <c r="M928" s="1642"/>
    </row>
    <row r="929" spans="1:24" s="4" customFormat="1" ht="30" hidden="1" customHeight="1" x14ac:dyDescent="0.15">
      <c r="A929" s="2081">
        <f t="shared" ref="A929:A965" ca="1" si="285">+IF(H929&gt;0,A928+0.01,A928)</f>
        <v>12</v>
      </c>
      <c r="B929" s="2" t="s">
        <v>2452</v>
      </c>
      <c r="C929" s="2" t="str">
        <f>VLOOKUP($B929,[4]BOLETIM_SEL!$A:$H,2,0)</f>
        <v>COMPOSIÇÃO</v>
      </c>
      <c r="D929" s="315" t="str">
        <f>VLOOKUP($B929,[4]BOLETIM_SEL!$A:$H,4,0)</f>
        <v>Reprografia e montagem de relatório (texto e desenho)</v>
      </c>
      <c r="E929" s="2"/>
      <c r="F929" s="2" t="str">
        <f>VLOOKUP($B929,[4]BOLETIM_SEL!$A:$H,6,0)</f>
        <v xml:space="preserve">un </v>
      </c>
      <c r="G929" s="1407">
        <f>VLOOKUP($B929,[4]BOLETIM_SEL!$A:$H,7,0)</f>
        <v>675.66</v>
      </c>
      <c r="H929" s="1611"/>
      <c r="I929" s="132">
        <f t="shared" ref="I929:I965" si="286">+TRUNC(G929*(1+$J$5),2)</f>
        <v>815.52</v>
      </c>
      <c r="J929" s="1612">
        <f t="shared" ref="J929:J940" si="287">TRUNC(H929*I929,2)</f>
        <v>0</v>
      </c>
      <c r="K929" s="2078">
        <f t="shared" ca="1" si="284"/>
        <v>0</v>
      </c>
      <c r="L929" s="1574" t="e">
        <f t="shared" ref="L929:L940" si="288">+J929/J$928</f>
        <v>#DIV/0!</v>
      </c>
      <c r="M929" s="1620"/>
      <c r="N929" s="3"/>
      <c r="O929" s="3"/>
      <c r="Q929" s="3"/>
      <c r="R929" s="3"/>
      <c r="S929" s="3"/>
      <c r="T929" s="3"/>
      <c r="U929" s="3"/>
      <c r="V929" s="3"/>
      <c r="W929" s="3"/>
      <c r="X929" s="3"/>
    </row>
    <row r="930" spans="1:24" s="4" customFormat="1" ht="30" hidden="1" customHeight="1" x14ac:dyDescent="0.15">
      <c r="A930" s="2081">
        <f t="shared" ca="1" si="285"/>
        <v>12</v>
      </c>
      <c r="B930" s="2" t="s">
        <v>2453</v>
      </c>
      <c r="C930" s="2" t="str">
        <f>VLOOKUP($B930,[4]BOLETIM_SEL!$A:$H,2,0)</f>
        <v>COMPOSIÇÃO</v>
      </c>
      <c r="D930" s="315" t="str">
        <f>VLOOKUP($B930,[4]BOLETIM_SEL!$A:$H,4,0)</f>
        <v>Mobilização e desmobilização de equipe de técnica, distância acima de 20km</v>
      </c>
      <c r="E930" s="2"/>
      <c r="F930" s="2" t="str">
        <f>VLOOKUP($B930,[4]BOLETIM_SEL!$A:$H,6,0)</f>
        <v>km</v>
      </c>
      <c r="G930" s="1407">
        <f>VLOOKUP($B930,[4]BOLETIM_SEL!$A:$H,7,0)</f>
        <v>15.1</v>
      </c>
      <c r="H930" s="1611"/>
      <c r="I930" s="132">
        <f t="shared" si="286"/>
        <v>18.22</v>
      </c>
      <c r="J930" s="1612">
        <f t="shared" si="287"/>
        <v>0</v>
      </c>
      <c r="K930" s="2078">
        <f t="shared" ca="1" si="284"/>
        <v>0</v>
      </c>
      <c r="L930" s="1574" t="e">
        <f t="shared" si="288"/>
        <v>#DIV/0!</v>
      </c>
      <c r="M930" s="1620"/>
      <c r="N930" s="3"/>
      <c r="O930" s="896"/>
      <c r="Q930" s="896"/>
      <c r="R930" s="896"/>
      <c r="S930" s="896"/>
      <c r="T930" s="896"/>
      <c r="U930" s="896"/>
      <c r="V930" s="896"/>
      <c r="W930" s="896"/>
      <c r="X930" s="897"/>
    </row>
    <row r="931" spans="1:24" s="4" customFormat="1" ht="30" hidden="1" customHeight="1" x14ac:dyDescent="0.15">
      <c r="A931" s="2081">
        <f t="shared" ca="1" si="285"/>
        <v>12</v>
      </c>
      <c r="B931" s="2" t="s">
        <v>1038</v>
      </c>
      <c r="C931" s="2" t="str">
        <f>VLOOKUP($B931,[4]BOLETIM_SEL!$A:$H,2,0)</f>
        <v>COMPOSIÇÃO</v>
      </c>
      <c r="D931" s="315" t="str">
        <f>VLOOKUP($B931,[4]BOLETIM_SEL!$A:$H,4,0)</f>
        <v>Mobilização e desmobilização de equipe de geotecnia, distância maior que 20km</v>
      </c>
      <c r="E931" s="2"/>
      <c r="F931" s="2" t="str">
        <f>VLOOKUP($B931,[4]BOLETIM_SEL!$A:$H,6,0)</f>
        <v>km</v>
      </c>
      <c r="G931" s="1407">
        <f>VLOOKUP($B931,[4]BOLETIM_SEL!$A:$H,7,0)</f>
        <v>7.66</v>
      </c>
      <c r="H931" s="1611"/>
      <c r="I931" s="132">
        <f t="shared" si="286"/>
        <v>9.24</v>
      </c>
      <c r="J931" s="1612">
        <f t="shared" si="287"/>
        <v>0</v>
      </c>
      <c r="K931" s="2078">
        <f t="shared" ca="1" si="284"/>
        <v>0</v>
      </c>
      <c r="L931" s="1574" t="e">
        <f t="shared" si="288"/>
        <v>#DIV/0!</v>
      </c>
      <c r="M931" s="1620"/>
      <c r="N931" s="3"/>
      <c r="O931" s="3"/>
      <c r="Q931" s="3"/>
      <c r="R931" s="3"/>
      <c r="S931" s="3"/>
      <c r="T931" s="3"/>
      <c r="U931" s="3"/>
      <c r="V931" s="3"/>
      <c r="W931" s="3"/>
      <c r="X931" s="3"/>
    </row>
    <row r="932" spans="1:24" s="4" customFormat="1" ht="30" hidden="1" customHeight="1" x14ac:dyDescent="0.15">
      <c r="A932" s="2081">
        <f t="shared" ca="1" si="285"/>
        <v>12</v>
      </c>
      <c r="B932" s="2" t="s">
        <v>2454</v>
      </c>
      <c r="C932" s="2" t="str">
        <f>VLOOKUP($B932,[4]BOLETIM_SEL!$A:$H,2,0)</f>
        <v>COMPOSIÇÃO</v>
      </c>
      <c r="D932" s="315" t="str">
        <f>VLOOKUP($B932,[4]BOLETIM_SEL!$A:$H,4,0)</f>
        <v>Mobilização e desmobilização de equipe de topografia, distância maior que 20km</v>
      </c>
      <c r="E932" s="2"/>
      <c r="F932" s="2" t="str">
        <f>VLOOKUP($B932,[4]BOLETIM_SEL!$A:$H,6,0)</f>
        <v>km</v>
      </c>
      <c r="G932" s="1407">
        <f>VLOOKUP($B932,[4]BOLETIM_SEL!$A:$H,7,0)</f>
        <v>5.98</v>
      </c>
      <c r="H932" s="1611"/>
      <c r="I932" s="132">
        <f t="shared" si="286"/>
        <v>7.21</v>
      </c>
      <c r="J932" s="1612">
        <f t="shared" si="287"/>
        <v>0</v>
      </c>
      <c r="K932" s="2078">
        <f t="shared" ca="1" si="284"/>
        <v>0</v>
      </c>
      <c r="L932" s="1574" t="e">
        <f t="shared" si="288"/>
        <v>#DIV/0!</v>
      </c>
      <c r="M932" s="1620"/>
      <c r="N932" s="3"/>
      <c r="O932" s="896"/>
      <c r="Q932" s="896"/>
      <c r="R932" s="896"/>
      <c r="S932" s="896"/>
      <c r="T932" s="896"/>
      <c r="U932" s="896"/>
      <c r="V932" s="896"/>
      <c r="W932" s="896"/>
      <c r="X932" s="3"/>
    </row>
    <row r="933" spans="1:24" s="4" customFormat="1" ht="30" hidden="1" customHeight="1" x14ac:dyDescent="0.15">
      <c r="A933" s="2081">
        <f t="shared" ca="1" si="285"/>
        <v>12</v>
      </c>
      <c r="B933" s="2" t="s">
        <v>2455</v>
      </c>
      <c r="C933" s="2" t="str">
        <f>VLOOKUP($B933,[4]BOLETIM_SEL!$A:$H,2,0)</f>
        <v>COMPOSIÇÃO</v>
      </c>
      <c r="D933" s="315" t="str">
        <f>VLOOKUP($B933,[4]BOLETIM_SEL!$A:$H,4,0)</f>
        <v>Estudo conceitual para implantação de parque público - master plan</v>
      </c>
      <c r="E933" s="2"/>
      <c r="F933" s="2" t="str">
        <f>VLOOKUP($B933,[4]BOLETIM_SEL!$A:$H,6,0)</f>
        <v xml:space="preserve">ha </v>
      </c>
      <c r="G933" s="1407">
        <f>VLOOKUP($B933,[4]BOLETIM_SEL!$A:$H,7,0)</f>
        <v>1539.47</v>
      </c>
      <c r="H933" s="1611"/>
      <c r="I933" s="132">
        <f t="shared" si="286"/>
        <v>1858.14</v>
      </c>
      <c r="J933" s="1612">
        <f t="shared" si="287"/>
        <v>0</v>
      </c>
      <c r="K933" s="2078">
        <f t="shared" ca="1" si="284"/>
        <v>0</v>
      </c>
      <c r="L933" s="1574" t="e">
        <f t="shared" si="288"/>
        <v>#DIV/0!</v>
      </c>
      <c r="M933" s="1620"/>
      <c r="N933" s="868"/>
      <c r="O933" s="3"/>
      <c r="Q933" s="3"/>
      <c r="R933" s="3"/>
      <c r="S933" s="3"/>
      <c r="T933" s="3"/>
      <c r="U933" s="3"/>
      <c r="V933" s="3"/>
      <c r="W933" s="3"/>
      <c r="X933" s="3"/>
    </row>
    <row r="934" spans="1:24" s="4" customFormat="1" ht="39.950000000000003" hidden="1" customHeight="1" x14ac:dyDescent="0.15">
      <c r="A934" s="2081">
        <f t="shared" ca="1" si="285"/>
        <v>12</v>
      </c>
      <c r="B934" s="2" t="s">
        <v>1032</v>
      </c>
      <c r="C934" s="2" t="str">
        <f>VLOOKUP($B934,[4]BOLETIM_SEL!$A:$H,2,0)</f>
        <v>COMPOSIÇÃO</v>
      </c>
      <c r="D934" s="315" t="str">
        <f>VLOOKUP($B934,[4]BOLETIM_SEL!$A:$H,4,0)</f>
        <v>Elaboração de estudos de viabilidade para projetos de pavimentação, drenagem, sinalização viária, acessibilidade e orçamento</v>
      </c>
      <c r="E934" s="2"/>
      <c r="F934" s="2" t="str">
        <f>VLOOKUP($B934,[4]BOLETIM_SEL!$A:$H,6,0)</f>
        <v>m²</v>
      </c>
      <c r="G934" s="1407">
        <f>VLOOKUP($B934,[4]BOLETIM_SEL!$A:$H,7,0)</f>
        <v>0.48359999999999997</v>
      </c>
      <c r="H934" s="1611"/>
      <c r="I934" s="132">
        <f t="shared" si="286"/>
        <v>0.57999999999999996</v>
      </c>
      <c r="J934" s="1612">
        <f t="shared" si="287"/>
        <v>0</v>
      </c>
      <c r="K934" s="2078">
        <f t="shared" ca="1" si="284"/>
        <v>0</v>
      </c>
      <c r="L934" s="1574" t="e">
        <f t="shared" si="288"/>
        <v>#DIV/0!</v>
      </c>
      <c r="M934" s="1620"/>
      <c r="N934" s="3"/>
      <c r="O934" s="3"/>
      <c r="Q934" s="3"/>
      <c r="R934" s="3"/>
      <c r="S934" s="3"/>
      <c r="T934" s="3"/>
      <c r="U934" s="3"/>
      <c r="V934" s="3"/>
      <c r="W934" s="3"/>
      <c r="X934" s="3"/>
    </row>
    <row r="935" spans="1:24" s="4" customFormat="1" ht="39.950000000000003" hidden="1" customHeight="1" x14ac:dyDescent="0.15">
      <c r="A935" s="2081">
        <f t="shared" ca="1" si="285"/>
        <v>12</v>
      </c>
      <c r="B935" s="2" t="s">
        <v>1033</v>
      </c>
      <c r="C935" s="2" t="str">
        <f>VLOOKUP($B935,[4]BOLETIM_SEL!$A:$H,2,0)</f>
        <v>COMPOSIÇÃO</v>
      </c>
      <c r="D935" s="315" t="str">
        <f>VLOOKUP($B935,[4]BOLETIM_SEL!$A:$H,4,0)</f>
        <v>Elaboração de estudos de viabilidade para projetos de pavimentação, drenagem, sinalização viária, acessibilidade e orçamento</v>
      </c>
      <c r="E935" s="2"/>
      <c r="F935" s="2" t="str">
        <f>VLOOKUP($B935,[4]BOLETIM_SEL!$A:$H,6,0)</f>
        <v>km</v>
      </c>
      <c r="G935" s="1407">
        <f>VLOOKUP($B935,[4]BOLETIM_SEL!$A:$H,7,0)</f>
        <v>3387.1632</v>
      </c>
      <c r="H935" s="1611"/>
      <c r="I935" s="132">
        <f t="shared" si="286"/>
        <v>4088.3</v>
      </c>
      <c r="J935" s="1612">
        <f t="shared" si="287"/>
        <v>0</v>
      </c>
      <c r="K935" s="2078">
        <f t="shared" ca="1" si="284"/>
        <v>0</v>
      </c>
      <c r="L935" s="1574" t="e">
        <f t="shared" si="288"/>
        <v>#DIV/0!</v>
      </c>
      <c r="M935" s="1620"/>
      <c r="N935" s="3"/>
      <c r="O935" s="3"/>
      <c r="Q935" s="3"/>
      <c r="R935" s="3"/>
      <c r="S935" s="3"/>
      <c r="T935" s="3"/>
      <c r="U935" s="3"/>
      <c r="V935" s="3"/>
      <c r="W935" s="3"/>
      <c r="X935" s="3"/>
    </row>
    <row r="936" spans="1:24" s="4" customFormat="1" ht="39.950000000000003" hidden="1" customHeight="1" x14ac:dyDescent="0.15">
      <c r="A936" s="2081">
        <f t="shared" ca="1" si="285"/>
        <v>12</v>
      </c>
      <c r="B936" s="2" t="s">
        <v>2456</v>
      </c>
      <c r="C936" s="2" t="str">
        <f>VLOOKUP($B936,[4]BOLETIM_SEL!$A:$H,2,0)</f>
        <v>COMPOSIÇÃO</v>
      </c>
      <c r="D936" s="315" t="str">
        <f>VLOOKUP($B936,[4]BOLETIM_SEL!$A:$H,4,0)</f>
        <v>Elaboração de estudos de viabilidade para projeto funcional de OAE (ponte) em concreto armado inclusive estudos hidrológico e projeto de acessibilidade e sinalização viária. Exclusive serviços topográficos e geotécnicos</v>
      </c>
      <c r="E936" s="2"/>
      <c r="F936" s="2" t="str">
        <f>VLOOKUP($B936,[4]BOLETIM_SEL!$A:$H,6,0)</f>
        <v>m</v>
      </c>
      <c r="G936" s="1407">
        <f>VLOOKUP($B936,[4]BOLETIM_SEL!$A:$H,7,0)</f>
        <v>610.55999999999995</v>
      </c>
      <c r="H936" s="1613"/>
      <c r="I936" s="132">
        <f t="shared" si="286"/>
        <v>736.94</v>
      </c>
      <c r="J936" s="1612">
        <f t="shared" si="287"/>
        <v>0</v>
      </c>
      <c r="K936" s="2078">
        <f t="shared" ca="1" si="284"/>
        <v>0</v>
      </c>
      <c r="L936" s="1574" t="e">
        <f t="shared" si="288"/>
        <v>#DIV/0!</v>
      </c>
      <c r="M936" s="1620"/>
      <c r="N936" s="3"/>
      <c r="O936" s="3"/>
      <c r="Q936" s="3"/>
      <c r="R936" s="3"/>
      <c r="S936" s="3"/>
      <c r="T936" s="3"/>
      <c r="U936" s="3"/>
      <c r="V936" s="3"/>
      <c r="W936" s="3"/>
      <c r="X936" s="3"/>
    </row>
    <row r="937" spans="1:24" s="4" customFormat="1" ht="30" hidden="1" customHeight="1" x14ac:dyDescent="0.15">
      <c r="A937" s="2081">
        <f t="shared" ca="1" si="285"/>
        <v>12</v>
      </c>
      <c r="B937" s="2" t="s">
        <v>1044</v>
      </c>
      <c r="C937" s="2" t="str">
        <f>VLOOKUP($B937,[4]BOLETIM_SEL!$A:$H,2,0)</f>
        <v>COMPOSIÇÃO</v>
      </c>
      <c r="D937" s="315" t="str">
        <f>VLOOKUP($B937,[4]BOLETIM_SEL!$A:$H,4,0)</f>
        <v>Elaboração de estudo hidrológico de área urbanizada</v>
      </c>
      <c r="E937" s="2"/>
      <c r="F937" s="2" t="str">
        <f>VLOOKUP($B937,[4]BOLETIM_SEL!$A:$H,6,0)</f>
        <v xml:space="preserve">ha </v>
      </c>
      <c r="G937" s="1407">
        <f>VLOOKUP($B937,[4]BOLETIM_SEL!$A:$H,7,0)</f>
        <v>22.16</v>
      </c>
      <c r="H937" s="1611"/>
      <c r="I937" s="132">
        <f t="shared" si="286"/>
        <v>26.74</v>
      </c>
      <c r="J937" s="1612">
        <f t="shared" si="287"/>
        <v>0</v>
      </c>
      <c r="K937" s="2078">
        <f t="shared" ca="1" si="284"/>
        <v>0</v>
      </c>
      <c r="L937" s="1574" t="e">
        <f t="shared" si="288"/>
        <v>#DIV/0!</v>
      </c>
      <c r="M937" s="1620"/>
      <c r="N937" s="3"/>
      <c r="O937" s="3"/>
      <c r="Q937" s="3"/>
      <c r="R937" s="3"/>
      <c r="S937" s="3"/>
      <c r="T937" s="3"/>
      <c r="U937" s="3"/>
      <c r="V937" s="3"/>
      <c r="W937" s="3"/>
      <c r="X937" s="3"/>
    </row>
    <row r="938" spans="1:24" s="4" customFormat="1" ht="30" hidden="1" customHeight="1" x14ac:dyDescent="0.15">
      <c r="A938" s="2081">
        <f t="shared" ca="1" si="285"/>
        <v>12</v>
      </c>
      <c r="B938" s="2" t="s">
        <v>1045</v>
      </c>
      <c r="C938" s="2" t="str">
        <f>VLOOKUP($B938,[4]BOLETIM_SEL!$A:$H,2,0)</f>
        <v>COMPOSIÇÃO</v>
      </c>
      <c r="D938" s="315" t="str">
        <f>VLOOKUP($B938,[4]BOLETIM_SEL!$A:$H,4,0)</f>
        <v>Elaboração de estudo hidrológico de área rural</v>
      </c>
      <c r="E938" s="2"/>
      <c r="F938" s="2" t="str">
        <f>VLOOKUP($B938,[4]BOLETIM_SEL!$A:$H,6,0)</f>
        <v>km²</v>
      </c>
      <c r="G938" s="1407">
        <f>VLOOKUP($B938,[4]BOLETIM_SEL!$A:$H,7,0)</f>
        <v>1274.3599999999999</v>
      </c>
      <c r="H938" s="1611"/>
      <c r="I938" s="132">
        <f t="shared" ref="I938" si="289">+TRUNC(G938*(1+$J$5),2)</f>
        <v>1538.15</v>
      </c>
      <c r="J938" s="1612">
        <f t="shared" ref="J938" si="290">TRUNC(H938*I938,2)</f>
        <v>0</v>
      </c>
      <c r="K938" s="2078">
        <f t="shared" ca="1" si="284"/>
        <v>0</v>
      </c>
      <c r="L938" s="1574" t="e">
        <f t="shared" ref="L938" si="291">+J938/J$928</f>
        <v>#DIV/0!</v>
      </c>
      <c r="M938" s="1620"/>
      <c r="N938" s="3"/>
      <c r="O938" s="3"/>
      <c r="Q938" s="3"/>
      <c r="R938" s="3"/>
      <c r="S938" s="3"/>
      <c r="T938" s="3"/>
      <c r="U938" s="3"/>
      <c r="V938" s="3"/>
      <c r="W938" s="3"/>
      <c r="X938" s="3"/>
    </row>
    <row r="939" spans="1:24" s="4" customFormat="1" ht="39.950000000000003" hidden="1" customHeight="1" x14ac:dyDescent="0.15">
      <c r="A939" s="2081">
        <f t="shared" ca="1" si="285"/>
        <v>12</v>
      </c>
      <c r="B939" s="2" t="s">
        <v>1037</v>
      </c>
      <c r="C939" s="2" t="str">
        <f>VLOOKUP($B939,[4]BOLETIM_SEL!$A:$H,2,0)</f>
        <v>COMPOSIÇÃO</v>
      </c>
      <c r="D939" s="315" t="str">
        <f>VLOOKUP($B939,[4]BOLETIM_SEL!$A:$H,4,0)</f>
        <v>Serviços geotécnicos de sondagem à trado ( 1 un com 2m de prof.) e ensaios de solo de granulometria por peneiramento, limites de liquidez e plasticidade, compactação e ISC na energia modificada (1 cj)</v>
      </c>
      <c r="E939" s="2"/>
      <c r="F939" s="2" t="str">
        <f>VLOOKUP($B939,[4]BOLETIM_SEL!$A:$H,6,0)</f>
        <v xml:space="preserve">un </v>
      </c>
      <c r="G939" s="1407">
        <f>VLOOKUP($B939,[4]BOLETIM_SEL!$A:$H,7,0)</f>
        <v>946.08</v>
      </c>
      <c r="H939" s="1611"/>
      <c r="I939" s="132">
        <f t="shared" si="286"/>
        <v>1141.9100000000001</v>
      </c>
      <c r="J939" s="1612">
        <f t="shared" si="287"/>
        <v>0</v>
      </c>
      <c r="K939" s="2078">
        <f t="shared" ca="1" si="284"/>
        <v>0</v>
      </c>
      <c r="L939" s="1574" t="e">
        <f t="shared" si="288"/>
        <v>#DIV/0!</v>
      </c>
      <c r="M939" s="1620"/>
      <c r="N939" s="3"/>
      <c r="O939" s="3"/>
      <c r="Q939" s="3"/>
      <c r="R939" s="3"/>
      <c r="S939" s="3"/>
      <c r="T939" s="3"/>
      <c r="U939" s="3"/>
      <c r="V939" s="3"/>
      <c r="W939" s="3"/>
      <c r="X939" s="3"/>
    </row>
    <row r="940" spans="1:24" s="4" customFormat="1" ht="39.950000000000003" hidden="1" customHeight="1" x14ac:dyDescent="0.15">
      <c r="A940" s="2081">
        <f t="shared" ca="1" si="285"/>
        <v>12</v>
      </c>
      <c r="B940" s="2" t="s">
        <v>1042</v>
      </c>
      <c r="C940" s="2" t="str">
        <f>VLOOKUP($B940,[4]BOLETIM_SEL!$A:$H,2,0)</f>
        <v>COMPOSIÇÃO</v>
      </c>
      <c r="D940" s="315" t="str">
        <f>VLOOKUP($B940,[4]BOLETIM_SEL!$A:$H,4,0)</f>
        <v>Serviços geotécnicos de sondagem à trado (1un com 2m de prof.) e ensaios de solo de granulometria por peneiramento, limites de liquidez e plasticidade, compactação e ISC na energia intermediária (1cj)</v>
      </c>
      <c r="E940" s="2"/>
      <c r="F940" s="2" t="str">
        <f>VLOOKUP($B940,[4]BOLETIM_SEL!$A:$H,6,0)</f>
        <v xml:space="preserve">un </v>
      </c>
      <c r="G940" s="1407">
        <f>VLOOKUP($B940,[4]BOLETIM_SEL!$A:$H,7,0)</f>
        <v>788.08</v>
      </c>
      <c r="H940" s="1611"/>
      <c r="I940" s="132">
        <f t="shared" si="286"/>
        <v>951.21</v>
      </c>
      <c r="J940" s="1612">
        <f t="shared" si="287"/>
        <v>0</v>
      </c>
      <c r="K940" s="2078">
        <f t="shared" ca="1" si="284"/>
        <v>0</v>
      </c>
      <c r="L940" s="1574" t="e">
        <f t="shared" si="288"/>
        <v>#DIV/0!</v>
      </c>
      <c r="M940" s="1620"/>
      <c r="N940" s="3"/>
      <c r="O940" s="3"/>
      <c r="Q940" s="3"/>
      <c r="R940" s="3"/>
      <c r="S940" s="3"/>
      <c r="T940" s="3"/>
      <c r="U940" s="3"/>
      <c r="V940" s="3"/>
      <c r="W940" s="3"/>
      <c r="X940" s="3"/>
    </row>
    <row r="941" spans="1:24" s="4" customFormat="1" ht="39.950000000000003" hidden="1" customHeight="1" x14ac:dyDescent="0.15">
      <c r="A941" s="2081">
        <f t="shared" ca="1" si="285"/>
        <v>12</v>
      </c>
      <c r="B941" s="2" t="s">
        <v>1043</v>
      </c>
      <c r="C941" s="2" t="str">
        <f>VLOOKUP($B941,[4]BOLETIM_SEL!$A:$H,2,0)</f>
        <v>COMPOSIÇÃO</v>
      </c>
      <c r="D941" s="315" t="str">
        <f>VLOOKUP($B941,[4]BOLETIM_SEL!$A:$H,4,0)</f>
        <v>Serviços geotécnicos de sondagem à trado (1un com 2m de prof.) e ensaios de solo de granulometria por peneiramento, limites de liquidez e plasticidade, compactação e ISC na energia intermediária, com reuso de material (1cj)</v>
      </c>
      <c r="E941" s="2"/>
      <c r="F941" s="2" t="str">
        <f>VLOOKUP($B941,[4]BOLETIM_SEL!$A:$H,6,0)</f>
        <v xml:space="preserve">un </v>
      </c>
      <c r="G941" s="1407">
        <f>VLOOKUP($B941,[4]BOLETIM_SEL!$A:$H,7,0)</f>
        <v>591.04</v>
      </c>
      <c r="H941" s="1611"/>
      <c r="I941" s="132">
        <f t="shared" si="286"/>
        <v>713.38</v>
      </c>
      <c r="J941" s="1612">
        <f t="shared" ref="J941:J965" si="292">TRUNC(H941*I941,2)</f>
        <v>0</v>
      </c>
      <c r="K941" s="2078">
        <f t="shared" ca="1" si="284"/>
        <v>0</v>
      </c>
      <c r="L941" s="1574" t="e">
        <f t="shared" ref="L941:L953" si="293">+J941/J$928</f>
        <v>#DIV/0!</v>
      </c>
      <c r="M941" s="1620"/>
      <c r="N941" s="3"/>
      <c r="O941" s="3"/>
      <c r="Q941" s="3"/>
      <c r="R941" s="3"/>
      <c r="S941" s="3"/>
      <c r="T941" s="3"/>
      <c r="U941" s="3"/>
      <c r="V941" s="3"/>
      <c r="W941" s="3"/>
      <c r="X941" s="3"/>
    </row>
    <row r="942" spans="1:24" s="4" customFormat="1" ht="30" hidden="1" customHeight="1" x14ac:dyDescent="0.15">
      <c r="A942" s="2081">
        <f t="shared" ca="1" si="285"/>
        <v>12</v>
      </c>
      <c r="B942" s="2" t="s">
        <v>1039</v>
      </c>
      <c r="C942" s="2" t="str">
        <f>VLOOKUP($B942,[4]BOLETIM_SEL!$A:$H,2,0)</f>
        <v>COMPOSIÇÃO</v>
      </c>
      <c r="D942" s="315" t="str">
        <f>VLOOKUP($B942,[4]BOLETIM_SEL!$A:$H,4,0)</f>
        <v>Deslocamento de equipamento entre furos em terreno plano, considerando a distância até 100m</v>
      </c>
      <c r="E942" s="2"/>
      <c r="F942" s="2" t="str">
        <f>VLOOKUP($B942,[4]BOLETIM_SEL!$A:$H,6,0)</f>
        <v xml:space="preserve">un </v>
      </c>
      <c r="G942" s="1407">
        <f>VLOOKUP($B942,[4]BOLETIM_SEL!$A:$H,7,0)</f>
        <v>120.06</v>
      </c>
      <c r="H942" s="1611"/>
      <c r="I942" s="132">
        <f t="shared" ref="I942" si="294">+TRUNC(G942*(1+$J$5),2)</f>
        <v>144.91</v>
      </c>
      <c r="J942" s="1612">
        <f t="shared" ref="J942" si="295">TRUNC(H942*I942,2)</f>
        <v>0</v>
      </c>
      <c r="K942" s="2078">
        <f t="shared" ca="1" si="284"/>
        <v>0</v>
      </c>
      <c r="L942" s="1574" t="e">
        <f t="shared" ref="L942" si="296">+J942/J$928</f>
        <v>#DIV/0!</v>
      </c>
      <c r="M942" s="1620"/>
      <c r="N942" s="3"/>
      <c r="O942" s="3"/>
      <c r="Q942" s="3"/>
      <c r="R942" s="3"/>
      <c r="S942" s="3"/>
      <c r="T942" s="3"/>
      <c r="U942" s="3"/>
      <c r="V942" s="3"/>
      <c r="W942" s="3"/>
      <c r="X942" s="3"/>
    </row>
    <row r="943" spans="1:24" s="4" customFormat="1" ht="30" hidden="1" customHeight="1" x14ac:dyDescent="0.15">
      <c r="A943" s="2081">
        <f t="shared" ca="1" si="285"/>
        <v>12</v>
      </c>
      <c r="B943" s="2" t="s">
        <v>1040</v>
      </c>
      <c r="C943" s="2" t="str">
        <f>+VLOOKUP($B943,[4]BOLETIM_SEL!$A:$H,2,0)</f>
        <v>COMPOSIÇÃO</v>
      </c>
      <c r="D943" s="315" t="str">
        <f>+VLOOKUP($B943,[4]BOLETIM_SEL!$A:$H,4,0)</f>
        <v>Sondagem à percussão (SPT) com lavagem</v>
      </c>
      <c r="E943" s="2"/>
      <c r="F943" s="2" t="str">
        <f>+VLOOKUP($B943,[4]BOLETIM_SEL!$A:$H,6,0)</f>
        <v>m</v>
      </c>
      <c r="G943" s="1407">
        <f>+VLOOKUP($B943,[4]BOLETIM_SEL!$A:$H,7,0)</f>
        <v>170.21</v>
      </c>
      <c r="H943" s="1611"/>
      <c r="I943" s="132">
        <f t="shared" si="286"/>
        <v>205.44</v>
      </c>
      <c r="J943" s="1612">
        <f t="shared" si="292"/>
        <v>0</v>
      </c>
      <c r="K943" s="2078">
        <f t="shared" ca="1" si="284"/>
        <v>0</v>
      </c>
      <c r="L943" s="1574" t="e">
        <f t="shared" si="293"/>
        <v>#DIV/0!</v>
      </c>
      <c r="M943" s="1446"/>
      <c r="N943" s="3"/>
      <c r="O943" s="3"/>
      <c r="Q943" s="3"/>
      <c r="R943" s="3"/>
      <c r="S943" s="3"/>
      <c r="T943" s="3"/>
      <c r="U943" s="3"/>
      <c r="V943" s="3"/>
      <c r="W943" s="3"/>
      <c r="X943" s="3"/>
    </row>
    <row r="944" spans="1:24" s="4" customFormat="1" ht="30" hidden="1" customHeight="1" x14ac:dyDescent="0.15">
      <c r="A944" s="2081">
        <f t="shared" ca="1" si="285"/>
        <v>12</v>
      </c>
      <c r="B944" s="2" t="s">
        <v>1041</v>
      </c>
      <c r="C944" s="2" t="str">
        <f>+VLOOKUP($B944,[4]BOLETIM_SEL!$A:$H,2,0)</f>
        <v>COMPOSIÇÃO</v>
      </c>
      <c r="D944" s="315" t="str">
        <f>+VLOOKUP($B944,[4]BOLETIM_SEL!$A:$H,4,0)</f>
        <v>Avaliação e análise geotécnica de taludes e estabilidade de maciços em terra. Exclusive ensaios geotécnicos</v>
      </c>
      <c r="E944" s="2"/>
      <c r="F944" s="2" t="str">
        <f>+VLOOKUP($B944,[4]BOLETIM_SEL!$A:$H,6,0)</f>
        <v xml:space="preserve">un </v>
      </c>
      <c r="G944" s="1407">
        <f>+VLOOKUP($B944,[4]BOLETIM_SEL!$A:$H,7,0)</f>
        <v>15277.16</v>
      </c>
      <c r="H944" s="1611"/>
      <c r="I944" s="132">
        <f t="shared" si="286"/>
        <v>18439.53</v>
      </c>
      <c r="J944" s="1612">
        <f t="shared" si="292"/>
        <v>0</v>
      </c>
      <c r="K944" s="2078">
        <f t="shared" ca="1" si="284"/>
        <v>0</v>
      </c>
      <c r="L944" s="1574" t="e">
        <f t="shared" si="293"/>
        <v>#DIV/0!</v>
      </c>
      <c r="M944" s="1446"/>
      <c r="N944" s="3"/>
      <c r="O944" s="3"/>
      <c r="Q944" s="3"/>
      <c r="R944" s="3"/>
      <c r="S944" s="3"/>
      <c r="T944" s="3"/>
      <c r="U944" s="3"/>
      <c r="V944" s="3"/>
      <c r="W944" s="3"/>
      <c r="X944" s="3"/>
    </row>
    <row r="945" spans="1:24" s="4" customFormat="1" ht="30" hidden="1" customHeight="1" x14ac:dyDescent="0.15">
      <c r="A945" s="2081">
        <f t="shared" ca="1" si="285"/>
        <v>12</v>
      </c>
      <c r="B945" s="2" t="s">
        <v>1034</v>
      </c>
      <c r="C945" s="2" t="str">
        <f>+VLOOKUP($B945,[4]BOLETIM_SEL!$A:$H,2,0)</f>
        <v>COMPOSIÇÃO</v>
      </c>
      <c r="D945" s="315" t="str">
        <f>+VLOOKUP($B945,[4]BOLETIM_SEL!$A:$H,4,0)</f>
        <v>Elaboração de estudos topográficos e geotécnicos</v>
      </c>
      <c r="E945" s="2"/>
      <c r="F945" s="2" t="str">
        <f>+VLOOKUP($B945,[4]BOLETIM_SEL!$A:$H,6,0)</f>
        <v>km</v>
      </c>
      <c r="G945" s="1407">
        <f>+VLOOKUP($B945,[4]BOLETIM_SEL!$A:$H,7,0)</f>
        <v>11695.738200000002</v>
      </c>
      <c r="H945" s="1611"/>
      <c r="I945" s="132">
        <f t="shared" si="286"/>
        <v>14116.75</v>
      </c>
      <c r="J945" s="1612">
        <f t="shared" si="292"/>
        <v>0</v>
      </c>
      <c r="K945" s="2078">
        <f t="shared" ca="1" si="284"/>
        <v>0</v>
      </c>
      <c r="L945" s="1574" t="e">
        <f t="shared" si="293"/>
        <v>#DIV/0!</v>
      </c>
      <c r="M945" s="1446"/>
      <c r="N945" s="3"/>
      <c r="O945" s="3"/>
      <c r="Q945" s="3"/>
      <c r="R945" s="3"/>
      <c r="S945" s="3"/>
      <c r="T945" s="3"/>
      <c r="U945" s="3"/>
      <c r="V945" s="3"/>
      <c r="W945" s="3"/>
      <c r="X945" s="3"/>
    </row>
    <row r="946" spans="1:24" s="4" customFormat="1" ht="30" hidden="1" customHeight="1" x14ac:dyDescent="0.15">
      <c r="A946" s="2081">
        <f t="shared" ca="1" si="285"/>
        <v>12</v>
      </c>
      <c r="B946" s="2" t="s">
        <v>1035</v>
      </c>
      <c r="C946" s="2" t="str">
        <f>+VLOOKUP($B946,[4]BOLETIM_SEL!$A:$H,2,0)</f>
        <v>COMPOSIÇÃO</v>
      </c>
      <c r="D946" s="315" t="str">
        <f>+VLOOKUP($B946,[4]BOLETIM_SEL!$A:$H,4,0)</f>
        <v>Levantamento topográfico por GPS ou voo aerofotogramétrico em áreas de difícil acesso, relevo acidentado e pouco habitada</v>
      </c>
      <c r="E946" s="2"/>
      <c r="F946" s="2" t="str">
        <f>+VLOOKUP($B946,[4]BOLETIM_SEL!$A:$H,6,0)</f>
        <v xml:space="preserve">ha </v>
      </c>
      <c r="G946" s="1407">
        <f>+VLOOKUP($B946,[4]BOLETIM_SEL!$A:$H,7,0)</f>
        <v>82.26</v>
      </c>
      <c r="H946" s="1611"/>
      <c r="I946" s="132">
        <f t="shared" si="286"/>
        <v>99.28</v>
      </c>
      <c r="J946" s="1612">
        <f t="shared" si="292"/>
        <v>0</v>
      </c>
      <c r="K946" s="2078">
        <f t="shared" ca="1" si="284"/>
        <v>0</v>
      </c>
      <c r="L946" s="1574" t="e">
        <f t="shared" si="293"/>
        <v>#DIV/0!</v>
      </c>
      <c r="M946" s="1446"/>
      <c r="N946" s="3"/>
      <c r="O946" s="3"/>
      <c r="Q946" s="3"/>
      <c r="R946" s="3"/>
      <c r="S946" s="3"/>
      <c r="T946" s="3"/>
      <c r="U946" s="3"/>
      <c r="V946" s="3"/>
      <c r="W946" s="3"/>
      <c r="X946" s="3"/>
    </row>
    <row r="947" spans="1:24" s="4" customFormat="1" ht="30" hidden="1" customHeight="1" x14ac:dyDescent="0.15">
      <c r="A947" s="2081">
        <f t="shared" ca="1" si="285"/>
        <v>12</v>
      </c>
      <c r="B947" s="2" t="s">
        <v>1036</v>
      </c>
      <c r="C947" s="2" t="str">
        <f>+VLOOKUP($B947,[4]BOLETIM_SEL!$A:$H,2,0)</f>
        <v>COMPOSIÇÃO</v>
      </c>
      <c r="D947" s="315" t="str">
        <f>+VLOOKUP($B947,[4]BOLETIM_SEL!$A:$H,4,0)</f>
        <v>Levantamento topográfico planialtimétrico semi-cadastral</v>
      </c>
      <c r="E947" s="2"/>
      <c r="F947" s="2" t="str">
        <f>+VLOOKUP($B947,[4]BOLETIM_SEL!$A:$H,6,0)</f>
        <v xml:space="preserve">ha </v>
      </c>
      <c r="G947" s="1407">
        <f>+VLOOKUP($B947,[4]BOLETIM_SEL!$A:$H,7,0)</f>
        <v>7697.75</v>
      </c>
      <c r="H947" s="1611"/>
      <c r="I947" s="132">
        <f t="shared" si="286"/>
        <v>9291.18</v>
      </c>
      <c r="J947" s="1612">
        <f t="shared" si="292"/>
        <v>0</v>
      </c>
      <c r="K947" s="2078">
        <f t="shared" ca="1" si="284"/>
        <v>0</v>
      </c>
      <c r="L947" s="1574" t="e">
        <f t="shared" si="293"/>
        <v>#DIV/0!</v>
      </c>
      <c r="M947" s="1446"/>
      <c r="N947" s="3"/>
      <c r="O947" s="3"/>
      <c r="Q947" s="3"/>
      <c r="R947" s="3"/>
      <c r="S947" s="3"/>
      <c r="T947" s="3"/>
      <c r="U947" s="3"/>
      <c r="V947" s="3"/>
      <c r="W947" s="3"/>
      <c r="X947" s="3"/>
    </row>
    <row r="948" spans="1:24" s="4" customFormat="1" ht="39.950000000000003" hidden="1" customHeight="1" x14ac:dyDescent="0.15">
      <c r="A948" s="2081">
        <f t="shared" ca="1" si="285"/>
        <v>12</v>
      </c>
      <c r="B948" s="2" t="s">
        <v>1046</v>
      </c>
      <c r="C948" s="2" t="str">
        <f>+VLOOKUP($B948,[4]BOLETIM_SEL!$A:$H,2,0)</f>
        <v>COMPOSIÇÃO</v>
      </c>
      <c r="D948" s="315" t="str">
        <f>+VLOOKUP($B948,[4]BOLETIM_SEL!$A:$H,4,0)</f>
        <v>Elaboração de projetos executivos geométrico, terraplenagem, pavimentação, drenagem superficial, galeria de água pluvial, sinalização viária e acessibilidade</v>
      </c>
      <c r="E948" s="2"/>
      <c r="F948" s="2" t="str">
        <f>+VLOOKUP($B948,[4]BOLETIM_SEL!$A:$H,6,0)</f>
        <v>m²</v>
      </c>
      <c r="G948" s="1407">
        <f>+VLOOKUP($B948,[4]BOLETIM_SEL!$A:$H,7,0)</f>
        <v>3.31</v>
      </c>
      <c r="H948" s="1611"/>
      <c r="I948" s="132">
        <f t="shared" si="286"/>
        <v>3.99</v>
      </c>
      <c r="J948" s="1612">
        <f t="shared" si="292"/>
        <v>0</v>
      </c>
      <c r="K948" s="2078">
        <f t="shared" ca="1" si="284"/>
        <v>0</v>
      </c>
      <c r="L948" s="1574" t="e">
        <f t="shared" si="293"/>
        <v>#DIV/0!</v>
      </c>
      <c r="M948" s="1446"/>
      <c r="N948" s="3"/>
      <c r="O948" s="3"/>
      <c r="Q948" s="3"/>
      <c r="R948" s="3"/>
      <c r="S948" s="3"/>
      <c r="T948" s="3"/>
      <c r="U948" s="3"/>
      <c r="V948" s="3"/>
      <c r="W948" s="3"/>
      <c r="X948" s="3"/>
    </row>
    <row r="949" spans="1:24" s="4" customFormat="1" ht="39.950000000000003" hidden="1" customHeight="1" x14ac:dyDescent="0.15">
      <c r="A949" s="2081">
        <f t="shared" ca="1" si="285"/>
        <v>12</v>
      </c>
      <c r="B949" s="2" t="s">
        <v>1050</v>
      </c>
      <c r="C949" s="2" t="str">
        <f>+VLOOKUP($B949,[4]BOLETIM_SEL!$A:$H,2,0)</f>
        <v>COMPOSIÇÃO</v>
      </c>
      <c r="D949" s="315" t="str">
        <f>+VLOOKUP($B949,[4]BOLETIM_SEL!$A:$H,4,0)</f>
        <v>Projeto executivo de terraplenagem, geométrico, pavimentação, sinalização viária e acessibilidade. Exclusive projeto de galeria de água pluvial</v>
      </c>
      <c r="E949" s="2"/>
      <c r="F949" s="2" t="str">
        <f>+VLOOKUP($B949,[4]BOLETIM_SEL!$A:$H,6,0)</f>
        <v>m²</v>
      </c>
      <c r="G949" s="1407">
        <f>+VLOOKUP($B949,[4]BOLETIM_SEL!$A:$H,7,0)</f>
        <v>2.56</v>
      </c>
      <c r="H949" s="1611"/>
      <c r="I949" s="132">
        <f t="shared" si="286"/>
        <v>3.08</v>
      </c>
      <c r="J949" s="1612">
        <f t="shared" si="292"/>
        <v>0</v>
      </c>
      <c r="K949" s="2078">
        <f t="shared" ca="1" si="284"/>
        <v>0</v>
      </c>
      <c r="L949" s="1574" t="e">
        <f t="shared" si="293"/>
        <v>#DIV/0!</v>
      </c>
      <c r="M949" s="1446"/>
      <c r="N949" s="3"/>
      <c r="O949" s="3"/>
      <c r="Q949" s="3"/>
      <c r="R949" s="3"/>
      <c r="S949" s="3"/>
      <c r="T949" s="3"/>
      <c r="U949" s="3"/>
      <c r="V949" s="3"/>
      <c r="W949" s="3"/>
      <c r="X949" s="3"/>
    </row>
    <row r="950" spans="1:24" s="4" customFormat="1" ht="30" hidden="1" customHeight="1" x14ac:dyDescent="0.15">
      <c r="A950" s="2081">
        <f t="shared" ca="1" si="285"/>
        <v>12</v>
      </c>
      <c r="B950" s="2" t="s">
        <v>1048</v>
      </c>
      <c r="C950" s="2" t="str">
        <f>+VLOOKUP($B950,[4]BOLETIM_SEL!$A:$H,2,0)</f>
        <v>COMPOSIÇÃO</v>
      </c>
      <c r="D950" s="315" t="str">
        <f>+VLOOKUP($B950,[4]BOLETIM_SEL!$A:$H,4,0)</f>
        <v>Elaboração de projeto executivo de galerias de drenagem de águas pluviais. Exclusive serviços topográficos e geotécnicos</v>
      </c>
      <c r="E950" s="2"/>
      <c r="F950" s="2" t="str">
        <f>+VLOOKUP($B950,[4]BOLETIM_SEL!$A:$H,6,0)</f>
        <v>m</v>
      </c>
      <c r="G950" s="1407">
        <f>+VLOOKUP($B950,[4]BOLETIM_SEL!$A:$H,7,0)</f>
        <v>7.61</v>
      </c>
      <c r="H950" s="1611"/>
      <c r="I950" s="132">
        <f t="shared" si="286"/>
        <v>9.18</v>
      </c>
      <c r="J950" s="1612">
        <f t="shared" si="292"/>
        <v>0</v>
      </c>
      <c r="K950" s="2078">
        <f t="shared" ca="1" si="284"/>
        <v>0</v>
      </c>
      <c r="L950" s="1574" t="e">
        <f t="shared" si="293"/>
        <v>#DIV/0!</v>
      </c>
      <c r="M950" s="1446"/>
      <c r="N950" s="3"/>
      <c r="O950" s="3"/>
      <c r="Q950" s="3"/>
      <c r="R950" s="3"/>
      <c r="S950" s="3"/>
      <c r="T950" s="3"/>
      <c r="U950" s="3"/>
      <c r="V950" s="3"/>
      <c r="W950" s="3"/>
      <c r="X950" s="3"/>
    </row>
    <row r="951" spans="1:24" s="4" customFormat="1" ht="50.1" hidden="1" customHeight="1" x14ac:dyDescent="0.15">
      <c r="A951" s="2081">
        <f t="shared" ca="1" si="285"/>
        <v>12</v>
      </c>
      <c r="B951" s="2" t="s">
        <v>1047</v>
      </c>
      <c r="C951" s="2" t="str">
        <f>+VLOOKUP($B951,[4]BOLETIM_SEL!$A:$H,2,0)</f>
        <v>COMPOSIÇÃO</v>
      </c>
      <c r="D951" s="315" t="str">
        <f>+VLOOKUP($B951,[4]BOLETIM_SEL!$A:$H,4,0)</f>
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</c>
      <c r="E951" s="2"/>
      <c r="F951" s="2" t="str">
        <f>+VLOOKUP($B951,[4]BOLETIM_SEL!$A:$H,6,0)</f>
        <v xml:space="preserve">un </v>
      </c>
      <c r="G951" s="1407">
        <f>+VLOOKUP($B951,[4]BOLETIM_SEL!$A:$H,7,0)</f>
        <v>37247.769999999997</v>
      </c>
      <c r="H951" s="1611"/>
      <c r="I951" s="132">
        <f t="shared" si="286"/>
        <v>44958.05</v>
      </c>
      <c r="J951" s="1612">
        <f t="shared" si="292"/>
        <v>0</v>
      </c>
      <c r="K951" s="2078">
        <f t="shared" ca="1" si="284"/>
        <v>0</v>
      </c>
      <c r="L951" s="1574" t="e">
        <f t="shared" si="293"/>
        <v>#DIV/0!</v>
      </c>
      <c r="M951" s="1446"/>
      <c r="N951" s="3"/>
      <c r="O951" s="3"/>
      <c r="Q951" s="3"/>
      <c r="R951" s="3"/>
      <c r="S951" s="3"/>
      <c r="T951" s="3"/>
      <c r="U951" s="3"/>
      <c r="V951" s="3"/>
      <c r="W951" s="3"/>
      <c r="X951" s="3"/>
    </row>
    <row r="952" spans="1:24" s="4" customFormat="1" ht="30" hidden="1" customHeight="1" x14ac:dyDescent="0.15">
      <c r="A952" s="2081">
        <f t="shared" ca="1" si="285"/>
        <v>12</v>
      </c>
      <c r="B952" s="2" t="s">
        <v>2457</v>
      </c>
      <c r="C952" s="2" t="str">
        <f>+VLOOKUP($B952,[4]BOLETIM_SEL!$A:$H,2,0)</f>
        <v>COMPOSIÇÃO</v>
      </c>
      <c r="D952" s="315" t="str">
        <f>+VLOOKUP($B952,[4]BOLETIM_SEL!$A:$H,4,0)</f>
        <v>Elaboração projeto executivo de calçada em via urbana, incluindo estudos topográficos e acessibilidade</v>
      </c>
      <c r="E952" s="2"/>
      <c r="F952" s="2" t="str">
        <f>+VLOOKUP($B952,[4]BOLETIM_SEL!$A:$H,6,0)</f>
        <v>km</v>
      </c>
      <c r="G952" s="1407">
        <f>+VLOOKUP($B952,[4]BOLETIM_SEL!$A:$H,7,0)</f>
        <v>3213.93</v>
      </c>
      <c r="H952" s="1611"/>
      <c r="I952" s="132">
        <f t="shared" si="286"/>
        <v>3879.21</v>
      </c>
      <c r="J952" s="1612">
        <f t="shared" si="292"/>
        <v>0</v>
      </c>
      <c r="K952" s="2078">
        <f t="shared" ca="1" si="284"/>
        <v>0</v>
      </c>
      <c r="L952" s="1574" t="e">
        <f t="shared" si="293"/>
        <v>#DIV/0!</v>
      </c>
      <c r="M952" s="1446"/>
      <c r="N952" s="3"/>
      <c r="O952" s="3"/>
      <c r="Q952" s="3"/>
      <c r="R952" s="3"/>
      <c r="S952" s="3"/>
      <c r="T952" s="3"/>
      <c r="U952" s="3"/>
      <c r="V952" s="3"/>
      <c r="W952" s="3"/>
      <c r="X952" s="3"/>
    </row>
    <row r="953" spans="1:24" s="4" customFormat="1" ht="39.950000000000003" hidden="1" customHeight="1" x14ac:dyDescent="0.15">
      <c r="A953" s="2081">
        <f t="shared" ca="1" si="285"/>
        <v>12</v>
      </c>
      <c r="B953" s="2" t="s">
        <v>2458</v>
      </c>
      <c r="C953" s="2" t="str">
        <f>+VLOOKUP($B953,[4]BOLETIM_SEL!$A:$H,2,0)</f>
        <v>COMPOSIÇÃO</v>
      </c>
      <c r="D953" s="315" t="str">
        <f>+VLOOKUP($B953,[4]BOLETIM_SEL!$A:$H,4,0)</f>
        <v>Elaboração projeto executivo de ciclovia e ciclofaixa em via urbana, incluindo estudos topográficos e projeto de sinalização viária e acessibilidade</v>
      </c>
      <c r="E953" s="2"/>
      <c r="F953" s="2" t="str">
        <f>+VLOOKUP($B953,[4]BOLETIM_SEL!$A:$H,6,0)</f>
        <v>km</v>
      </c>
      <c r="G953" s="1407">
        <f>+VLOOKUP($B953,[4]BOLETIM_SEL!$A:$H,7,0)</f>
        <v>3623.39</v>
      </c>
      <c r="H953" s="1611"/>
      <c r="I953" s="132">
        <f t="shared" si="286"/>
        <v>4373.43</v>
      </c>
      <c r="J953" s="1612">
        <f t="shared" si="292"/>
        <v>0</v>
      </c>
      <c r="K953" s="2078">
        <f t="shared" ca="1" si="284"/>
        <v>0</v>
      </c>
      <c r="L953" s="1574" t="e">
        <f t="shared" si="293"/>
        <v>#DIV/0!</v>
      </c>
      <c r="M953" s="1446"/>
      <c r="N953" s="3"/>
      <c r="O953" s="3"/>
      <c r="Q953" s="3"/>
      <c r="R953" s="3"/>
      <c r="S953" s="3"/>
      <c r="T953" s="3"/>
      <c r="U953" s="3"/>
      <c r="V953" s="3"/>
      <c r="W953" s="3"/>
      <c r="X953" s="3"/>
    </row>
    <row r="954" spans="1:24" s="4" customFormat="1" ht="39.950000000000003" hidden="1" customHeight="1" x14ac:dyDescent="0.15">
      <c r="A954" s="2081">
        <f t="shared" ca="1" si="285"/>
        <v>12</v>
      </c>
      <c r="B954" s="2" t="s">
        <v>1056</v>
      </c>
      <c r="C954" s="2" t="str">
        <f>+VLOOKUP($B954,[4]BOLETIM_SEL!$A:$H,2,0)</f>
        <v>COMPOSIÇÃO</v>
      </c>
      <c r="D954" s="315" t="str">
        <f>+VLOOKUP($B954,[4]BOLETIM_SEL!$A:$H,4,0)</f>
        <v>Elaboração de estudo de avaliação estrutural do pavimento – viga benkelman e/ou Falling Weight Deflectometer - FWD. Extensão mínima 20 km</v>
      </c>
      <c r="E954" s="2"/>
      <c r="F954" s="2" t="str">
        <f>+VLOOKUP($B954,[4]BOLETIM_SEL!$A:$H,6,0)</f>
        <v>km.faixa</v>
      </c>
      <c r="G954" s="1407">
        <f>+VLOOKUP($B954,[4]BOLETIM_SEL!$A:$H,7,0)</f>
        <v>330.62</v>
      </c>
      <c r="H954" s="1611"/>
      <c r="I954" s="132">
        <f t="shared" si="286"/>
        <v>399.05</v>
      </c>
      <c r="J954" s="1612">
        <f t="shared" si="292"/>
        <v>0</v>
      </c>
      <c r="K954" s="2078">
        <f t="shared" ca="1" si="284"/>
        <v>0</v>
      </c>
      <c r="L954" s="1574" t="e">
        <f t="shared" ref="L954:L965" si="297">+J954/J$928</f>
        <v>#DIV/0!</v>
      </c>
      <c r="M954" s="1446"/>
      <c r="N954" s="3"/>
      <c r="O954" s="3"/>
      <c r="Q954" s="3"/>
      <c r="R954" s="3"/>
      <c r="S954" s="3"/>
      <c r="T954" s="3"/>
      <c r="U954" s="3"/>
      <c r="V954" s="3"/>
      <c r="W954" s="3"/>
      <c r="X954" s="3"/>
    </row>
    <row r="955" spans="1:24" s="4" customFormat="1" ht="39.950000000000003" hidden="1" customHeight="1" x14ac:dyDescent="0.15">
      <c r="A955" s="2081">
        <f t="shared" ca="1" si="285"/>
        <v>12</v>
      </c>
      <c r="B955" s="2" t="s">
        <v>1055</v>
      </c>
      <c r="C955" s="2" t="str">
        <f>+VLOOKUP($B955,[4]BOLETIM_SEL!$A:$H,2,0)</f>
        <v>COMPOSIÇÃO</v>
      </c>
      <c r="D955" s="315" t="str">
        <f>+VLOOKUP($B955,[4]BOLETIM_SEL!$A:$H,4,0)</f>
        <v>Elaboração projeto de restauração funcional do pavimento, incluindo estudos topográficos e geotécnicos, projetos drenagem superficial, sinalização viária e acessibilidade</v>
      </c>
      <c r="E955" s="2"/>
      <c r="F955" s="2" t="str">
        <f>+VLOOKUP($B955,[4]BOLETIM_SEL!$A:$H,6,0)</f>
        <v>m²</v>
      </c>
      <c r="G955" s="1407">
        <f>+VLOOKUP($B955,[4]BOLETIM_SEL!$A:$H,7,0)</f>
        <v>2.0299999999999998</v>
      </c>
      <c r="H955" s="1611"/>
      <c r="I955" s="132">
        <f t="shared" si="286"/>
        <v>2.4500000000000002</v>
      </c>
      <c r="J955" s="1612">
        <f t="shared" si="292"/>
        <v>0</v>
      </c>
      <c r="K955" s="2078">
        <f t="shared" ca="1" si="284"/>
        <v>0</v>
      </c>
      <c r="L955" s="1574" t="e">
        <f t="shared" si="297"/>
        <v>#DIV/0!</v>
      </c>
      <c r="M955" s="1446"/>
      <c r="N955" s="3"/>
      <c r="O955" s="3"/>
      <c r="Q955" s="3"/>
      <c r="R955" s="3"/>
      <c r="S955" s="3"/>
      <c r="T955" s="3"/>
      <c r="U955" s="3"/>
      <c r="V955" s="3"/>
      <c r="W955" s="3"/>
      <c r="X955" s="3"/>
    </row>
    <row r="956" spans="1:24" s="4" customFormat="1" ht="30" hidden="1" customHeight="1" x14ac:dyDescent="0.15">
      <c r="A956" s="2081">
        <f t="shared" ca="1" si="285"/>
        <v>12</v>
      </c>
      <c r="B956" s="2" t="s">
        <v>2459</v>
      </c>
      <c r="C956" s="2" t="str">
        <f>+VLOOKUP($B956,[4]BOLETIM_SEL!$A:$H,2,0)</f>
        <v>COMPOSIÇÃO</v>
      </c>
      <c r="D956" s="315" t="str">
        <f>+VLOOKUP($B956,[4]BOLETIM_SEL!$A:$H,4,0)</f>
        <v>Elaboração projeto executivo de iluminação pública</v>
      </c>
      <c r="E956" s="2"/>
      <c r="F956" s="2" t="str">
        <f>+VLOOKUP($B956,[4]BOLETIM_SEL!$A:$H,6,0)</f>
        <v>km</v>
      </c>
      <c r="G956" s="1407">
        <f>+VLOOKUP($B956,[4]BOLETIM_SEL!$A:$H,7,0)</f>
        <v>3544.59</v>
      </c>
      <c r="H956" s="1611"/>
      <c r="I956" s="132">
        <f t="shared" si="286"/>
        <v>4278.32</v>
      </c>
      <c r="J956" s="1612">
        <f t="shared" si="292"/>
        <v>0</v>
      </c>
      <c r="K956" s="2078">
        <f t="shared" ca="1" si="284"/>
        <v>0</v>
      </c>
      <c r="L956" s="1574" t="e">
        <f t="shared" si="297"/>
        <v>#DIV/0!</v>
      </c>
      <c r="M956" s="1446"/>
      <c r="N956" s="3"/>
      <c r="O956" s="3"/>
      <c r="Q956" s="3"/>
      <c r="R956" s="3"/>
      <c r="S956" s="3"/>
      <c r="T956" s="3"/>
      <c r="U956" s="3"/>
      <c r="V956" s="3"/>
      <c r="W956" s="3"/>
      <c r="X956" s="3"/>
    </row>
    <row r="957" spans="1:24" s="4" customFormat="1" ht="39.950000000000003" hidden="1" customHeight="1" x14ac:dyDescent="0.15">
      <c r="A957" s="2081">
        <f t="shared" ca="1" si="285"/>
        <v>12</v>
      </c>
      <c r="B957" s="2" t="s">
        <v>1057</v>
      </c>
      <c r="C957" s="2" t="str">
        <f>+VLOOKUP($B957,[4]BOLETIM_SEL!$A:$H,2,0)</f>
        <v>COMPOSIÇÃO</v>
      </c>
      <c r="D957" s="315" t="str">
        <f>+VLOOKUP($B957,[4]BOLETIM_SEL!$A:$H,4,0)</f>
        <v>Elaboração de projeto estrutural de OAE (ponte) em concreto armado inclusive estudos hidrológico e projeto de acessibilidade e sinalização viária. Exclusive serviços topográficos e geotécnicos</v>
      </c>
      <c r="E957" s="2"/>
      <c r="F957" s="2" t="str">
        <f>+VLOOKUP($B957,[4]BOLETIM_SEL!$A:$H,6,0)</f>
        <v>m²</v>
      </c>
      <c r="G957" s="1407">
        <f>+VLOOKUP($B957,[4]BOLETIM_SEL!$A:$H,7,0)</f>
        <v>118.57</v>
      </c>
      <c r="H957" s="1611"/>
      <c r="I957" s="132">
        <f t="shared" si="286"/>
        <v>143.11000000000001</v>
      </c>
      <c r="J957" s="1612">
        <f t="shared" si="292"/>
        <v>0</v>
      </c>
      <c r="K957" s="2078">
        <f t="shared" ca="1" si="284"/>
        <v>0</v>
      </c>
      <c r="L957" s="1574" t="e">
        <f t="shared" si="297"/>
        <v>#DIV/0!</v>
      </c>
      <c r="M957" s="1446"/>
      <c r="N957" s="3"/>
      <c r="O957" s="3"/>
      <c r="Q957" s="3"/>
      <c r="R957" s="3"/>
      <c r="S957" s="3"/>
      <c r="T957" s="3"/>
      <c r="U957" s="3"/>
      <c r="V957" s="3"/>
      <c r="W957" s="3"/>
      <c r="X957" s="3"/>
    </row>
    <row r="958" spans="1:24" s="4" customFormat="1" ht="50.1" hidden="1" customHeight="1" x14ac:dyDescent="0.15">
      <c r="A958" s="2081">
        <f t="shared" ca="1" si="285"/>
        <v>12</v>
      </c>
      <c r="B958" s="2" t="s">
        <v>1051</v>
      </c>
      <c r="C958" s="2" t="str">
        <f>+VLOOKUP($B958,[4]BOLETIM_SEL!$A:$H,2,0)</f>
        <v>COMPOSIÇÃO</v>
      </c>
      <c r="D958" s="315" t="str">
        <f>+VLOOKUP($B958,[4]BOLETIM_SEL!$A:$H,4,0)</f>
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</c>
      <c r="E958" s="2"/>
      <c r="F958" s="2" t="str">
        <f>+VLOOKUP($B958,[4]BOLETIM_SEL!$A:$H,6,0)</f>
        <v xml:space="preserve">ha </v>
      </c>
      <c r="G958" s="1407">
        <f>+VLOOKUP($B958,[4]BOLETIM_SEL!$A:$H,7,0)</f>
        <v>11254.43</v>
      </c>
      <c r="H958" s="1611"/>
      <c r="I958" s="132">
        <f t="shared" si="286"/>
        <v>13584.09</v>
      </c>
      <c r="J958" s="1612">
        <f t="shared" si="292"/>
        <v>0</v>
      </c>
      <c r="K958" s="2078">
        <f t="shared" ca="1" si="284"/>
        <v>0</v>
      </c>
      <c r="L958" s="1574" t="e">
        <f t="shared" si="297"/>
        <v>#DIV/0!</v>
      </c>
      <c r="M958" s="1446"/>
      <c r="N958" s="3"/>
      <c r="O958" s="3"/>
      <c r="Q958" s="3"/>
      <c r="R958" s="3"/>
      <c r="S958" s="3"/>
      <c r="T958" s="3"/>
      <c r="U958" s="3"/>
      <c r="V958" s="3"/>
      <c r="W958" s="3"/>
      <c r="X958" s="3"/>
    </row>
    <row r="959" spans="1:24" s="4" customFormat="1" ht="39.950000000000003" hidden="1" customHeight="1" x14ac:dyDescent="0.15">
      <c r="A959" s="2081">
        <f t="shared" ca="1" si="285"/>
        <v>12</v>
      </c>
      <c r="B959" s="2" t="s">
        <v>1054</v>
      </c>
      <c r="C959" s="2" t="str">
        <f>+VLOOKUP($B959,[4]BOLETIM_SEL!$A:$H,2,0)</f>
        <v>COMPOSIÇÃO</v>
      </c>
      <c r="D959" s="315" t="str">
        <f>+VLOOKUP($B959,[4]BOLETIM_SEL!$A:$H,4,0)</f>
        <v>Elaboração de projeto executivo de bacia de amortecimento de drenagem de águas pluviais. Exclusive serviços topográficos e geotécnicos e projeto estrutural de contenção de talude</v>
      </c>
      <c r="E959" s="2"/>
      <c r="F959" s="2" t="str">
        <f>+VLOOKUP($B959,[4]BOLETIM_SEL!$A:$H,6,0)</f>
        <v>m³</v>
      </c>
      <c r="G959" s="1407">
        <f>+VLOOKUP($B959,[4]BOLETIM_SEL!$A:$H,7,0)</f>
        <v>2.17</v>
      </c>
      <c r="H959" s="1611"/>
      <c r="I959" s="132">
        <f t="shared" si="286"/>
        <v>2.61</v>
      </c>
      <c r="J959" s="1612">
        <f t="shared" si="292"/>
        <v>0</v>
      </c>
      <c r="K959" s="2078">
        <f t="shared" ca="1" si="284"/>
        <v>0</v>
      </c>
      <c r="L959" s="1574" t="e">
        <f t="shared" si="297"/>
        <v>#DIV/0!</v>
      </c>
      <c r="M959" s="1446"/>
      <c r="N959" s="3"/>
      <c r="O959" s="3"/>
      <c r="Q959" s="3"/>
      <c r="R959" s="3"/>
      <c r="S959" s="3"/>
      <c r="T959" s="3"/>
      <c r="U959" s="3"/>
      <c r="V959" s="3"/>
      <c r="W959" s="3"/>
      <c r="X959" s="3"/>
    </row>
    <row r="960" spans="1:24" s="4" customFormat="1" ht="39.950000000000003" hidden="1" customHeight="1" x14ac:dyDescent="0.15">
      <c r="A960" s="2081">
        <f t="shared" ca="1" si="285"/>
        <v>12</v>
      </c>
      <c r="B960" s="2" t="s">
        <v>1049</v>
      </c>
      <c r="C960" s="2" t="str">
        <f>+VLOOKUP($B960,[4]BOLETIM_SEL!$A:$H,2,0)</f>
        <v>COMPOSIÇÃO</v>
      </c>
      <c r="D960" s="315" t="str">
        <f>+VLOOKUP($B960,[4]BOLETIM_SEL!$A:$H,4,0)</f>
        <v>Elaboração de projeto executivo estrutural e hidráulico de dispositivos de controle de velocidade e vazão de águas pluviais em concreto ou similar, até 50 m³</v>
      </c>
      <c r="E960" s="2"/>
      <c r="F960" s="2" t="str">
        <f>+VLOOKUP($B960,[4]BOLETIM_SEL!$A:$H,6,0)</f>
        <v>m³</v>
      </c>
      <c r="G960" s="1407">
        <f>+VLOOKUP($B960,[4]BOLETIM_SEL!$A:$H,7,0)</f>
        <v>186.36</v>
      </c>
      <c r="H960" s="1611"/>
      <c r="I960" s="132">
        <f t="shared" si="286"/>
        <v>224.93</v>
      </c>
      <c r="J960" s="1612">
        <f t="shared" si="292"/>
        <v>0</v>
      </c>
      <c r="K960" s="2078">
        <f t="shared" ca="1" si="284"/>
        <v>0</v>
      </c>
      <c r="L960" s="1574" t="e">
        <f t="shared" si="297"/>
        <v>#DIV/0!</v>
      </c>
      <c r="M960" s="1446"/>
      <c r="N960" s="3"/>
      <c r="O960" s="3"/>
      <c r="Q960" s="3"/>
      <c r="R960" s="3"/>
      <c r="S960" s="3"/>
      <c r="T960" s="3"/>
      <c r="U960" s="3"/>
      <c r="V960" s="3"/>
      <c r="W960" s="3"/>
      <c r="X960" s="3"/>
    </row>
    <row r="961" spans="1:24" s="4" customFormat="1" ht="39.950000000000003" hidden="1" customHeight="1" x14ac:dyDescent="0.15">
      <c r="A961" s="2081">
        <f t="shared" ca="1" si="285"/>
        <v>12</v>
      </c>
      <c r="B961" s="2" t="s">
        <v>1052</v>
      </c>
      <c r="C961" s="2" t="str">
        <f>+VLOOKUP($B961,[4]BOLETIM_SEL!$A:$H,2,0)</f>
        <v>COMPOSIÇÃO</v>
      </c>
      <c r="D961" s="315" t="str">
        <f>+VLOOKUP($B961,[4]BOLETIM_SEL!$A:$H,4,0)</f>
        <v>Elaboração de projeto estrutural de estabilização de taludes através de muro de arrimo de peso e/ou gabião. Exclusive serviços topográficos e geotécnicos</v>
      </c>
      <c r="E961" s="2"/>
      <c r="F961" s="2" t="str">
        <f>+VLOOKUP($B961,[4]BOLETIM_SEL!$A:$H,6,0)</f>
        <v>m²</v>
      </c>
      <c r="G961" s="1407">
        <f>+VLOOKUP($B961,[4]BOLETIM_SEL!$A:$H,7,0)</f>
        <v>12.04</v>
      </c>
      <c r="H961" s="1611"/>
      <c r="I961" s="132">
        <f t="shared" si="286"/>
        <v>14.53</v>
      </c>
      <c r="J961" s="1612">
        <f t="shared" si="292"/>
        <v>0</v>
      </c>
      <c r="K961" s="2078">
        <f t="shared" ca="1" si="284"/>
        <v>0</v>
      </c>
      <c r="L961" s="1574" t="e">
        <f t="shared" si="297"/>
        <v>#DIV/0!</v>
      </c>
      <c r="M961" s="1446"/>
      <c r="N961" s="3"/>
      <c r="O961" s="3"/>
      <c r="Q961" s="3"/>
      <c r="R961" s="3"/>
      <c r="S961" s="3"/>
      <c r="T961" s="3"/>
      <c r="U961" s="3"/>
      <c r="V961" s="3"/>
      <c r="W961" s="3"/>
      <c r="X961" s="3"/>
    </row>
    <row r="962" spans="1:24" s="4" customFormat="1" ht="39.950000000000003" hidden="1" customHeight="1" x14ac:dyDescent="0.15">
      <c r="A962" s="2081">
        <f t="shared" ca="1" si="285"/>
        <v>12</v>
      </c>
      <c r="B962" s="2" t="s">
        <v>1053</v>
      </c>
      <c r="C962" s="2" t="str">
        <f>+VLOOKUP($B962,[4]BOLETIM_SEL!$A:$H,2,0)</f>
        <v>COMPOSIÇÃO</v>
      </c>
      <c r="D962" s="315" t="str">
        <f>+VLOOKUP($B962,[4]BOLETIM_SEL!$A:$H,4,0)</f>
        <v>Elaboração de projeto estrutural de estabilização de taludes através de muro em concreto armado e/ou cortina atirantada. Exclusive serviços topográficos e geotécnicos</v>
      </c>
      <c r="E962" s="2"/>
      <c r="F962" s="2" t="str">
        <f>+VLOOKUP($B962,[4]BOLETIM_SEL!$A:$H,6,0)</f>
        <v>m²</v>
      </c>
      <c r="G962" s="1407">
        <f>+VLOOKUP($B962,[4]BOLETIM_SEL!$A:$H,7,0)</f>
        <v>38.53</v>
      </c>
      <c r="H962" s="1611"/>
      <c r="I962" s="132">
        <f t="shared" si="286"/>
        <v>46.5</v>
      </c>
      <c r="J962" s="1612">
        <f t="shared" si="292"/>
        <v>0</v>
      </c>
      <c r="K962" s="2078">
        <f t="shared" ca="1" si="284"/>
        <v>0</v>
      </c>
      <c r="L962" s="1574" t="e">
        <f t="shared" si="297"/>
        <v>#DIV/0!</v>
      </c>
      <c r="M962" s="1446"/>
      <c r="N962" s="3"/>
      <c r="O962" s="3"/>
      <c r="Q962" s="3"/>
      <c r="R962" s="3"/>
      <c r="S962" s="3"/>
      <c r="T962" s="3"/>
      <c r="U962" s="3"/>
      <c r="V962" s="3"/>
      <c r="W962" s="3"/>
      <c r="X962" s="3"/>
    </row>
    <row r="963" spans="1:24" s="4" customFormat="1" ht="30" hidden="1" customHeight="1" x14ac:dyDescent="0.15">
      <c r="A963" s="2081">
        <f t="shared" ca="1" si="285"/>
        <v>12</v>
      </c>
      <c r="B963" s="2" t="s">
        <v>2636</v>
      </c>
      <c r="C963" s="2" t="str">
        <f>+VLOOKUP($B963,[4]BOLETIM_SEL!$A:$H,2,0)</f>
        <v>COMPOSIÇÃO</v>
      </c>
      <c r="D963" s="315" t="str">
        <f>+VLOOKUP($B963,[4]BOLETIM_SEL!$A:$H,4,0)</f>
        <v>Orçamento de obras, cronograma, composições, cotações e plano de execução das obras</v>
      </c>
      <c r="E963" s="2"/>
      <c r="F963" s="2" t="str">
        <f>+VLOOKUP($B963,[4]BOLETIM_SEL!$A:$H,6,0)</f>
        <v>km</v>
      </c>
      <c r="G963" s="1407">
        <f>+VLOOKUP($B963,[4]BOLETIM_SEL!$A:$H,7,0)</f>
        <v>1267.1500000000001</v>
      </c>
      <c r="H963" s="1611"/>
      <c r="I963" s="132">
        <f t="shared" ref="I963:I964" si="298">+TRUNC(G963*(1+$J$5),2)</f>
        <v>1529.45</v>
      </c>
      <c r="J963" s="1612">
        <f t="shared" ref="J963:J964" si="299">TRUNC(H963*I963,2)</f>
        <v>0</v>
      </c>
      <c r="K963" s="2078">
        <f t="shared" ca="1" si="284"/>
        <v>0</v>
      </c>
      <c r="L963" s="1574" t="e">
        <f t="shared" ref="L963:L964" si="300">+J963/J$928</f>
        <v>#DIV/0!</v>
      </c>
      <c r="M963" s="1446"/>
      <c r="N963" s="3"/>
      <c r="O963" s="3"/>
      <c r="Q963" s="3"/>
      <c r="R963" s="3"/>
      <c r="S963" s="3"/>
      <c r="T963" s="3"/>
      <c r="U963" s="3"/>
      <c r="V963" s="3"/>
      <c r="W963" s="3"/>
      <c r="X963" s="3"/>
    </row>
    <row r="964" spans="1:24" s="4" customFormat="1" ht="30" hidden="1" customHeight="1" x14ac:dyDescent="0.15">
      <c r="A964" s="2081">
        <f t="shared" ca="1" si="285"/>
        <v>12</v>
      </c>
      <c r="B964" s="2" t="s">
        <v>2637</v>
      </c>
      <c r="C964" s="2" t="str">
        <f>+VLOOKUP($B964,[4]BOLETIM_SEL!$A:$H,2,0)</f>
        <v>COMPOSIÇÃO</v>
      </c>
      <c r="D964" s="315" t="str">
        <f>+VLOOKUP($B964,[4]BOLETIM_SEL!$A:$H,4,0)</f>
        <v>Licenciamento Ambiental para projeto de lançamento de drenagem de águas pluviais</v>
      </c>
      <c r="E964" s="2"/>
      <c r="F964" s="2" t="str">
        <f>+VLOOKUP($B964,[4]BOLETIM_SEL!$A:$H,6,0)</f>
        <v xml:space="preserve">un </v>
      </c>
      <c r="G964" s="1407">
        <f>+VLOOKUP($B964,[4]BOLETIM_SEL!$A:$H,7,0)</f>
        <v>25624.13</v>
      </c>
      <c r="H964" s="1611"/>
      <c r="I964" s="132">
        <f t="shared" si="298"/>
        <v>30928.32</v>
      </c>
      <c r="J964" s="1612">
        <f t="shared" si="299"/>
        <v>0</v>
      </c>
      <c r="K964" s="2078">
        <f t="shared" ca="1" si="284"/>
        <v>0</v>
      </c>
      <c r="L964" s="1574" t="e">
        <f t="shared" si="300"/>
        <v>#DIV/0!</v>
      </c>
      <c r="M964" s="1446"/>
      <c r="N964" s="3"/>
      <c r="O964" s="3"/>
      <c r="Q964" s="3"/>
      <c r="R964" s="3"/>
      <c r="S964" s="3"/>
      <c r="T964" s="3"/>
      <c r="U964" s="3"/>
      <c r="V964" s="3"/>
      <c r="W964" s="3"/>
      <c r="X964" s="3"/>
    </row>
    <row r="965" spans="1:24" s="4" customFormat="1" ht="39.950000000000003" hidden="1" customHeight="1" x14ac:dyDescent="0.15">
      <c r="A965" s="2081">
        <f t="shared" ca="1" si="285"/>
        <v>12</v>
      </c>
      <c r="B965" s="2" t="s">
        <v>2460</v>
      </c>
      <c r="C965" s="2" t="str">
        <f>+VLOOKUP($B965,[4]BOLETIM_SEL!$A:$H,2,0)</f>
        <v>COMPOSIÇÃO</v>
      </c>
      <c r="D965" s="315" t="str">
        <f>+VLOOKUP($B965,[4]BOLETIM_SEL!$A:$H,4,0)</f>
        <v>Elaboração de estudos e projetos executivo de adequação de capacidade hidráulica e estrutural de bueiro rodoviário. Exclusive serviços topográficos e geotécnicos</v>
      </c>
      <c r="E965" s="2"/>
      <c r="F965" s="2" t="str">
        <f>+VLOOKUP($B965,[4]BOLETIM_SEL!$A:$H,6,0)</f>
        <v xml:space="preserve">un </v>
      </c>
      <c r="G965" s="1407">
        <f>+VLOOKUP($B965,[4]BOLETIM_SEL!$A:$H,7,0)</f>
        <v>6505.18</v>
      </c>
      <c r="H965" s="1611"/>
      <c r="I965" s="132">
        <f t="shared" si="286"/>
        <v>7851.75</v>
      </c>
      <c r="J965" s="1612">
        <f t="shared" si="292"/>
        <v>0</v>
      </c>
      <c r="K965" s="2078">
        <f t="shared" ca="1" si="284"/>
        <v>0</v>
      </c>
      <c r="L965" s="1574" t="e">
        <f t="shared" si="297"/>
        <v>#DIV/0!</v>
      </c>
      <c r="M965" s="1446"/>
      <c r="N965" s="3"/>
      <c r="O965" s="3"/>
      <c r="Q965" s="3"/>
      <c r="R965" s="3"/>
      <c r="S965" s="3"/>
      <c r="T965" s="3"/>
      <c r="U965" s="3"/>
      <c r="V965" s="3"/>
      <c r="W965" s="3"/>
      <c r="X965" s="3"/>
    </row>
    <row r="966" spans="1:24" s="813" customFormat="1" ht="24.95" hidden="1" customHeight="1" x14ac:dyDescent="0.15">
      <c r="A966" s="2081"/>
      <c r="B966" s="834"/>
      <c r="C966" s="834"/>
      <c r="D966" s="835"/>
      <c r="E966" s="2"/>
      <c r="F966" s="834"/>
      <c r="G966" s="2"/>
      <c r="H966" s="837"/>
      <c r="I966" s="838"/>
      <c r="J966" s="839">
        <f>+IF(J928=0,0,"")</f>
        <v>0</v>
      </c>
      <c r="K966" s="2078"/>
      <c r="L966" s="1619"/>
      <c r="M966" s="833"/>
      <c r="N966" s="833"/>
      <c r="O966" s="833"/>
      <c r="Q966" s="833"/>
      <c r="R966" s="833"/>
      <c r="S966" s="833"/>
      <c r="T966" s="833"/>
      <c r="U966" s="833"/>
      <c r="V966" s="833"/>
      <c r="W966" s="833"/>
      <c r="X966" s="833"/>
    </row>
    <row r="967" spans="1:24" s="833" customFormat="1" ht="24.95" customHeight="1" x14ac:dyDescent="0.15">
      <c r="A967" s="1643"/>
      <c r="B967" s="1644"/>
      <c r="C967" s="1644"/>
      <c r="D967" s="1645"/>
      <c r="E967" s="1832"/>
      <c r="F967" s="1646"/>
      <c r="G967" s="1814"/>
      <c r="H967" s="1647"/>
      <c r="I967" s="1648" t="s">
        <v>37</v>
      </c>
      <c r="J967" s="1649">
        <f ca="1">SUM(J35:J966)/2</f>
        <v>13400657.840000004</v>
      </c>
      <c r="K967" s="1650">
        <f ca="1">+J967/J$967</f>
        <v>1</v>
      </c>
    </row>
    <row r="968" spans="1:24" s="844" customFormat="1" ht="12.75" x14ac:dyDescent="0.15">
      <c r="A968" s="845"/>
      <c r="B968" s="845"/>
      <c r="C968" s="846"/>
      <c r="D968" s="845"/>
      <c r="E968" s="325"/>
      <c r="F968" s="845"/>
      <c r="G968" s="1815"/>
      <c r="H968" s="845"/>
      <c r="I968" s="845"/>
      <c r="J968" s="845"/>
      <c r="K968" s="1617"/>
      <c r="O968" s="833"/>
      <c r="Q968" s="833"/>
      <c r="R968" s="833"/>
      <c r="S968" s="833"/>
      <c r="T968" s="833"/>
      <c r="U968" s="833"/>
      <c r="V968" s="833"/>
      <c r="W968" s="833"/>
      <c r="X968" s="833"/>
    </row>
    <row r="969" spans="1:24" x14ac:dyDescent="0.15">
      <c r="E969" s="325"/>
      <c r="G969" s="1815"/>
    </row>
    <row r="970" spans="1:24" x14ac:dyDescent="0.15">
      <c r="E970" s="325"/>
      <c r="G970" s="1815"/>
    </row>
    <row r="971" spans="1:24" x14ac:dyDescent="0.15">
      <c r="E971" s="325"/>
      <c r="G971" s="1815"/>
    </row>
    <row r="972" spans="1:24" x14ac:dyDescent="0.15">
      <c r="E972" s="325"/>
      <c r="G972" s="1815"/>
    </row>
    <row r="973" spans="1:24" x14ac:dyDescent="0.15">
      <c r="E973" s="325"/>
      <c r="G973" s="1815"/>
    </row>
    <row r="974" spans="1:24" x14ac:dyDescent="0.15">
      <c r="E974" s="325"/>
      <c r="G974" s="1815"/>
    </row>
    <row r="975" spans="1:24" x14ac:dyDescent="0.15">
      <c r="E975" s="325"/>
      <c r="G975" s="1815"/>
    </row>
    <row r="976" spans="1:24" x14ac:dyDescent="0.15">
      <c r="E976" s="325"/>
      <c r="G976" s="1815"/>
    </row>
    <row r="977" spans="5:24" x14ac:dyDescent="0.15">
      <c r="E977" s="325"/>
      <c r="G977" s="1815"/>
    </row>
    <row r="978" spans="5:24" x14ac:dyDescent="0.15">
      <c r="E978" s="325"/>
      <c r="G978" s="1815"/>
    </row>
    <row r="979" spans="5:24" x14ac:dyDescent="0.15">
      <c r="E979" s="325"/>
      <c r="G979" s="1815"/>
    </row>
    <row r="980" spans="5:24" x14ac:dyDescent="0.15">
      <c r="E980" s="325"/>
      <c r="G980" s="1815"/>
    </row>
    <row r="981" spans="5:24" x14ac:dyDescent="0.15">
      <c r="E981" s="325"/>
    </row>
    <row r="982" spans="5:24" x14ac:dyDescent="0.15">
      <c r="E982" s="325"/>
    </row>
    <row r="983" spans="5:24" x14ac:dyDescent="0.15">
      <c r="E983" s="325"/>
    </row>
    <row r="984" spans="5:24" x14ac:dyDescent="0.15">
      <c r="E984" s="325"/>
    </row>
    <row r="985" spans="5:24" x14ac:dyDescent="0.15">
      <c r="E985" s="325"/>
    </row>
    <row r="986" spans="5:24" x14ac:dyDescent="0.15">
      <c r="E986" s="325"/>
    </row>
    <row r="987" spans="5:24" x14ac:dyDescent="0.15">
      <c r="E987" s="325"/>
    </row>
    <row r="988" spans="5:24" x14ac:dyDescent="0.15">
      <c r="E988" s="325"/>
      <c r="G988" s="845"/>
      <c r="O988" s="833"/>
      <c r="Q988" s="833"/>
      <c r="R988" s="833"/>
      <c r="S988" s="833"/>
      <c r="T988" s="833"/>
      <c r="U988" s="833"/>
      <c r="V988" s="833"/>
      <c r="W988" s="833"/>
      <c r="X988" s="833"/>
    </row>
    <row r="989" spans="5:24" x14ac:dyDescent="0.15">
      <c r="E989" s="325"/>
      <c r="G989" s="845"/>
      <c r="I989" s="197"/>
      <c r="J989" s="903"/>
      <c r="O989" s="833"/>
      <c r="Q989" s="833"/>
      <c r="R989" s="833"/>
      <c r="S989" s="833"/>
      <c r="T989" s="833"/>
      <c r="U989" s="833"/>
      <c r="V989" s="833"/>
      <c r="W989" s="833"/>
      <c r="X989" s="833"/>
    </row>
    <row r="990" spans="5:24" x14ac:dyDescent="0.15">
      <c r="E990" s="325"/>
      <c r="G990" s="845"/>
      <c r="I990" s="197"/>
      <c r="J990" s="903"/>
      <c r="O990" s="833"/>
      <c r="Q990" s="833"/>
      <c r="R990" s="833"/>
      <c r="S990" s="833"/>
      <c r="T990" s="833"/>
      <c r="U990" s="833"/>
      <c r="V990" s="833"/>
      <c r="W990" s="833"/>
      <c r="X990" s="833"/>
    </row>
    <row r="991" spans="5:24" x14ac:dyDescent="0.15">
      <c r="E991" s="325"/>
      <c r="G991" s="845"/>
      <c r="O991" s="833"/>
      <c r="Q991" s="833"/>
      <c r="R991" s="833"/>
      <c r="S991" s="833"/>
      <c r="T991" s="833"/>
      <c r="U991" s="833"/>
      <c r="V991" s="833"/>
      <c r="W991" s="833"/>
      <c r="X991" s="833"/>
    </row>
    <row r="992" spans="5:24" x14ac:dyDescent="0.15">
      <c r="E992" s="325"/>
      <c r="G992" s="845"/>
      <c r="O992" s="833"/>
      <c r="Q992" s="833"/>
      <c r="R992" s="833"/>
      <c r="S992" s="833"/>
      <c r="T992" s="833"/>
      <c r="U992" s="833"/>
      <c r="V992" s="833"/>
      <c r="W992" s="833"/>
      <c r="X992" s="833"/>
    </row>
    <row r="993" spans="5:5" x14ac:dyDescent="0.15">
      <c r="E993" s="325"/>
    </row>
    <row r="994" spans="5:5" x14ac:dyDescent="0.15">
      <c r="E994" s="325"/>
    </row>
    <row r="995" spans="5:5" x14ac:dyDescent="0.15">
      <c r="E995" s="325"/>
    </row>
    <row r="996" spans="5:5" x14ac:dyDescent="0.15">
      <c r="E996" s="325"/>
    </row>
    <row r="997" spans="5:5" x14ac:dyDescent="0.15">
      <c r="E997" s="325"/>
    </row>
    <row r="998" spans="5:5" x14ac:dyDescent="0.15">
      <c r="E998" s="325"/>
    </row>
    <row r="999" spans="5:5" x14ac:dyDescent="0.15">
      <c r="E999" s="325"/>
    </row>
    <row r="1000" spans="5:5" x14ac:dyDescent="0.15">
      <c r="E1000" s="325"/>
    </row>
    <row r="1001" spans="5:5" x14ac:dyDescent="0.15">
      <c r="E1001" s="325"/>
    </row>
    <row r="1002" spans="5:5" x14ac:dyDescent="0.15">
      <c r="E1002" s="325"/>
    </row>
    <row r="1003" spans="5:5" x14ac:dyDescent="0.15">
      <c r="E1003" s="325"/>
    </row>
    <row r="1004" spans="5:5" x14ac:dyDescent="0.15">
      <c r="E1004" s="325"/>
    </row>
    <row r="1005" spans="5:5" x14ac:dyDescent="0.15">
      <c r="E1005" s="325"/>
    </row>
    <row r="1006" spans="5:5" x14ac:dyDescent="0.15">
      <c r="E1006" s="325"/>
    </row>
    <row r="1007" spans="5:5" x14ac:dyDescent="0.15">
      <c r="E1007" s="325"/>
    </row>
    <row r="1008" spans="5:5" x14ac:dyDescent="0.15">
      <c r="E1008" s="325"/>
    </row>
    <row r="1009" spans="5:5" x14ac:dyDescent="0.15">
      <c r="E1009" s="325"/>
    </row>
    <row r="1010" spans="5:5" x14ac:dyDescent="0.15">
      <c r="E1010" s="325"/>
    </row>
    <row r="1011" spans="5:5" x14ac:dyDescent="0.15">
      <c r="E1011" s="325"/>
    </row>
    <row r="1012" spans="5:5" x14ac:dyDescent="0.15">
      <c r="E1012" s="325"/>
    </row>
    <row r="1013" spans="5:5" x14ac:dyDescent="0.15">
      <c r="E1013" s="325"/>
    </row>
    <row r="1014" spans="5:5" x14ac:dyDescent="0.15">
      <c r="E1014" s="325"/>
    </row>
    <row r="1015" spans="5:5" x14ac:dyDescent="0.15">
      <c r="E1015" s="325"/>
    </row>
    <row r="1016" spans="5:5" x14ac:dyDescent="0.15">
      <c r="E1016" s="325"/>
    </row>
    <row r="1017" spans="5:5" x14ac:dyDescent="0.15">
      <c r="E1017" s="325"/>
    </row>
    <row r="1018" spans="5:5" x14ac:dyDescent="0.15">
      <c r="E1018" s="325"/>
    </row>
    <row r="1019" spans="5:5" x14ac:dyDescent="0.15">
      <c r="E1019" s="325"/>
    </row>
    <row r="1020" spans="5:5" x14ac:dyDescent="0.15">
      <c r="E1020" s="325"/>
    </row>
    <row r="1021" spans="5:5" x14ac:dyDescent="0.15">
      <c r="E1021" s="325"/>
    </row>
    <row r="1022" spans="5:5" x14ac:dyDescent="0.15">
      <c r="E1022" s="325"/>
    </row>
    <row r="1023" spans="5:5" x14ac:dyDescent="0.15">
      <c r="E1023" s="325"/>
    </row>
    <row r="1024" spans="5:5" x14ac:dyDescent="0.15">
      <c r="E1024" s="325"/>
    </row>
    <row r="1025" spans="5:5" x14ac:dyDescent="0.15">
      <c r="E1025" s="325"/>
    </row>
    <row r="1026" spans="5:5" x14ac:dyDescent="0.15">
      <c r="E1026" s="325"/>
    </row>
    <row r="1027" spans="5:5" x14ac:dyDescent="0.15">
      <c r="E1027" s="325"/>
    </row>
    <row r="1028" spans="5:5" x14ac:dyDescent="0.15">
      <c r="E1028" s="325"/>
    </row>
    <row r="1029" spans="5:5" x14ac:dyDescent="0.15">
      <c r="E1029" s="325"/>
    </row>
    <row r="1030" spans="5:5" x14ac:dyDescent="0.15">
      <c r="E1030" s="325"/>
    </row>
    <row r="1031" spans="5:5" x14ac:dyDescent="0.15">
      <c r="E1031" s="325"/>
    </row>
    <row r="1032" spans="5:5" x14ac:dyDescent="0.15">
      <c r="E1032" s="325"/>
    </row>
    <row r="1033" spans="5:5" x14ac:dyDescent="0.15">
      <c r="E1033" s="325"/>
    </row>
    <row r="1034" spans="5:5" x14ac:dyDescent="0.15">
      <c r="E1034" s="325"/>
    </row>
    <row r="1035" spans="5:5" x14ac:dyDescent="0.15">
      <c r="E1035" s="325"/>
    </row>
    <row r="1036" spans="5:5" x14ac:dyDescent="0.15">
      <c r="E1036" s="325"/>
    </row>
    <row r="1037" spans="5:5" x14ac:dyDescent="0.15">
      <c r="E1037" s="325"/>
    </row>
    <row r="1038" spans="5:5" x14ac:dyDescent="0.15">
      <c r="E1038" s="325"/>
    </row>
    <row r="1039" spans="5:5" x14ac:dyDescent="0.15">
      <c r="E1039" s="325"/>
    </row>
    <row r="1040" spans="5:5" x14ac:dyDescent="0.15">
      <c r="E1040" s="325"/>
    </row>
    <row r="1041" spans="5:5" x14ac:dyDescent="0.15">
      <c r="E1041" s="325"/>
    </row>
    <row r="1042" spans="5:5" x14ac:dyDescent="0.15">
      <c r="E1042" s="325"/>
    </row>
    <row r="1043" spans="5:5" x14ac:dyDescent="0.15">
      <c r="E1043" s="325"/>
    </row>
    <row r="1044" spans="5:5" x14ac:dyDescent="0.15">
      <c r="E1044" s="325"/>
    </row>
    <row r="1045" spans="5:5" x14ac:dyDescent="0.15">
      <c r="E1045" s="325"/>
    </row>
    <row r="1046" spans="5:5" x14ac:dyDescent="0.15">
      <c r="E1046" s="325"/>
    </row>
    <row r="1047" spans="5:5" x14ac:dyDescent="0.15">
      <c r="E1047" s="325"/>
    </row>
    <row r="1048" spans="5:5" x14ac:dyDescent="0.15">
      <c r="E1048" s="325"/>
    </row>
    <row r="1049" spans="5:5" x14ac:dyDescent="0.15">
      <c r="E1049" s="325"/>
    </row>
    <row r="1050" spans="5:5" x14ac:dyDescent="0.15">
      <c r="E1050" s="325"/>
    </row>
    <row r="1051" spans="5:5" x14ac:dyDescent="0.15">
      <c r="E1051" s="325"/>
    </row>
    <row r="1052" spans="5:5" x14ac:dyDescent="0.15">
      <c r="E1052" s="325"/>
    </row>
    <row r="1053" spans="5:5" x14ac:dyDescent="0.15">
      <c r="E1053" s="325"/>
    </row>
    <row r="1054" spans="5:5" x14ac:dyDescent="0.15">
      <c r="E1054" s="325"/>
    </row>
    <row r="1055" spans="5:5" x14ac:dyDescent="0.15">
      <c r="E1055" s="325"/>
    </row>
    <row r="1056" spans="5:5" x14ac:dyDescent="0.15">
      <c r="E1056" s="325"/>
    </row>
    <row r="1057" spans="5:5" x14ac:dyDescent="0.15">
      <c r="E1057" s="325"/>
    </row>
    <row r="1058" spans="5:5" x14ac:dyDescent="0.15">
      <c r="E1058" s="325"/>
    </row>
    <row r="1059" spans="5:5" x14ac:dyDescent="0.15">
      <c r="E1059" s="325"/>
    </row>
    <row r="1060" spans="5:5" x14ac:dyDescent="0.15">
      <c r="E1060" s="325"/>
    </row>
    <row r="1061" spans="5:5" x14ac:dyDescent="0.15">
      <c r="E1061" s="325"/>
    </row>
    <row r="1062" spans="5:5" x14ac:dyDescent="0.15">
      <c r="E1062" s="325"/>
    </row>
    <row r="1063" spans="5:5" x14ac:dyDescent="0.15">
      <c r="E1063" s="325"/>
    </row>
    <row r="1064" spans="5:5" x14ac:dyDescent="0.15">
      <c r="E1064" s="325"/>
    </row>
    <row r="1065" spans="5:5" x14ac:dyDescent="0.15">
      <c r="E1065" s="325"/>
    </row>
    <row r="1066" spans="5:5" x14ac:dyDescent="0.15">
      <c r="E1066" s="325"/>
    </row>
    <row r="1067" spans="5:5" x14ac:dyDescent="0.15">
      <c r="E1067" s="325"/>
    </row>
    <row r="1068" spans="5:5" x14ac:dyDescent="0.15">
      <c r="E1068" s="325"/>
    </row>
    <row r="1069" spans="5:5" x14ac:dyDescent="0.15">
      <c r="E1069" s="325"/>
    </row>
    <row r="1070" spans="5:5" x14ac:dyDescent="0.15">
      <c r="E1070" s="325"/>
    </row>
    <row r="1071" spans="5:5" x14ac:dyDescent="0.15">
      <c r="E1071" s="325"/>
    </row>
    <row r="1072" spans="5:5" x14ac:dyDescent="0.15">
      <c r="E1072" s="325"/>
    </row>
    <row r="1073" spans="5:5" x14ac:dyDescent="0.15">
      <c r="E1073" s="325"/>
    </row>
    <row r="1074" spans="5:5" x14ac:dyDescent="0.15">
      <c r="E1074" s="325"/>
    </row>
    <row r="1075" spans="5:5" x14ac:dyDescent="0.15">
      <c r="E1075" s="325"/>
    </row>
    <row r="1076" spans="5:5" x14ac:dyDescent="0.15">
      <c r="E1076" s="325"/>
    </row>
    <row r="1077" spans="5:5" x14ac:dyDescent="0.15">
      <c r="E1077" s="325"/>
    </row>
    <row r="1078" spans="5:5" x14ac:dyDescent="0.15">
      <c r="E1078" s="325"/>
    </row>
    <row r="1079" spans="5:5" x14ac:dyDescent="0.15">
      <c r="E1079" s="325"/>
    </row>
    <row r="1080" spans="5:5" x14ac:dyDescent="0.15">
      <c r="E1080" s="325"/>
    </row>
    <row r="1081" spans="5:5" x14ac:dyDescent="0.15">
      <c r="E1081" s="325"/>
    </row>
    <row r="1082" spans="5:5" x14ac:dyDescent="0.15">
      <c r="E1082" s="325"/>
    </row>
    <row r="1083" spans="5:5" x14ac:dyDescent="0.15">
      <c r="E1083" s="325"/>
    </row>
    <row r="1084" spans="5:5" x14ac:dyDescent="0.15">
      <c r="E1084" s="325"/>
    </row>
    <row r="1085" spans="5:5" x14ac:dyDescent="0.15">
      <c r="E1085" s="325"/>
    </row>
    <row r="1086" spans="5:5" x14ac:dyDescent="0.15">
      <c r="E1086" s="325"/>
    </row>
    <row r="1087" spans="5:5" x14ac:dyDescent="0.15">
      <c r="E1087" s="325"/>
    </row>
    <row r="1088" spans="5:5" x14ac:dyDescent="0.15">
      <c r="E1088" s="325"/>
    </row>
    <row r="1089" spans="5:5" x14ac:dyDescent="0.15">
      <c r="E1089" s="325"/>
    </row>
    <row r="1090" spans="5:5" x14ac:dyDescent="0.15">
      <c r="E1090" s="325"/>
    </row>
    <row r="1091" spans="5:5" x14ac:dyDescent="0.15">
      <c r="E1091" s="325"/>
    </row>
    <row r="1092" spans="5:5" x14ac:dyDescent="0.15">
      <c r="E1092" s="325"/>
    </row>
    <row r="1093" spans="5:5" x14ac:dyDescent="0.15">
      <c r="E1093" s="325"/>
    </row>
    <row r="1094" spans="5:5" x14ac:dyDescent="0.15">
      <c r="E1094" s="325"/>
    </row>
    <row r="1095" spans="5:5" x14ac:dyDescent="0.15">
      <c r="E1095" s="325"/>
    </row>
    <row r="1096" spans="5:5" x14ac:dyDescent="0.15">
      <c r="E1096" s="325"/>
    </row>
    <row r="1097" spans="5:5" x14ac:dyDescent="0.15">
      <c r="E1097" s="325"/>
    </row>
    <row r="1098" spans="5:5" x14ac:dyDescent="0.15">
      <c r="E1098" s="325"/>
    </row>
    <row r="1099" spans="5:5" x14ac:dyDescent="0.15">
      <c r="E1099" s="325"/>
    </row>
    <row r="1100" spans="5:5" x14ac:dyDescent="0.15">
      <c r="E1100" s="325"/>
    </row>
    <row r="1101" spans="5:5" x14ac:dyDescent="0.15">
      <c r="E1101" s="325"/>
    </row>
    <row r="1102" spans="5:5" x14ac:dyDescent="0.15">
      <c r="E1102" s="325"/>
    </row>
    <row r="1103" spans="5:5" x14ac:dyDescent="0.15">
      <c r="E1103" s="325"/>
    </row>
    <row r="1104" spans="5:5" x14ac:dyDescent="0.15">
      <c r="E1104" s="325"/>
    </row>
    <row r="1105" spans="5:5" x14ac:dyDescent="0.15">
      <c r="E1105" s="325"/>
    </row>
    <row r="1106" spans="5:5" x14ac:dyDescent="0.15">
      <c r="E1106" s="325"/>
    </row>
    <row r="1107" spans="5:5" x14ac:dyDescent="0.15">
      <c r="E1107" s="325"/>
    </row>
    <row r="1108" spans="5:5" x14ac:dyDescent="0.15">
      <c r="E1108" s="325"/>
    </row>
    <row r="1109" spans="5:5" x14ac:dyDescent="0.15">
      <c r="E1109" s="325"/>
    </row>
    <row r="1110" spans="5:5" x14ac:dyDescent="0.15">
      <c r="E1110" s="325"/>
    </row>
    <row r="1111" spans="5:5" x14ac:dyDescent="0.15">
      <c r="E1111" s="325"/>
    </row>
    <row r="1112" spans="5:5" x14ac:dyDescent="0.15">
      <c r="E1112" s="325"/>
    </row>
    <row r="1113" spans="5:5" x14ac:dyDescent="0.15">
      <c r="E1113" s="325"/>
    </row>
    <row r="1114" spans="5:5" x14ac:dyDescent="0.15">
      <c r="E1114" s="325"/>
    </row>
    <row r="1115" spans="5:5" x14ac:dyDescent="0.15">
      <c r="E1115" s="325"/>
    </row>
    <row r="1116" spans="5:5" x14ac:dyDescent="0.15">
      <c r="E1116" s="325"/>
    </row>
    <row r="1117" spans="5:5" x14ac:dyDescent="0.15">
      <c r="E1117" s="325"/>
    </row>
    <row r="1118" spans="5:5" x14ac:dyDescent="0.15">
      <c r="E1118" s="325"/>
    </row>
    <row r="1119" spans="5:5" x14ac:dyDescent="0.15">
      <c r="E1119" s="325"/>
    </row>
    <row r="1120" spans="5:5" x14ac:dyDescent="0.15">
      <c r="E1120" s="325"/>
    </row>
    <row r="1121" spans="5:5" x14ac:dyDescent="0.15">
      <c r="E1121" s="325"/>
    </row>
    <row r="1122" spans="5:5" x14ac:dyDescent="0.15">
      <c r="E1122" s="325"/>
    </row>
    <row r="1123" spans="5:5" x14ac:dyDescent="0.15">
      <c r="E1123" s="325"/>
    </row>
    <row r="1124" spans="5:5" x14ac:dyDescent="0.15">
      <c r="E1124" s="325"/>
    </row>
    <row r="1125" spans="5:5" x14ac:dyDescent="0.15">
      <c r="E1125" s="325"/>
    </row>
    <row r="1126" spans="5:5" x14ac:dyDescent="0.15">
      <c r="E1126" s="325"/>
    </row>
    <row r="1127" spans="5:5" x14ac:dyDescent="0.15">
      <c r="E1127" s="325"/>
    </row>
    <row r="1128" spans="5:5" x14ac:dyDescent="0.15">
      <c r="E1128" s="325"/>
    </row>
    <row r="1129" spans="5:5" x14ac:dyDescent="0.15">
      <c r="E1129" s="325"/>
    </row>
    <row r="1130" spans="5:5" x14ac:dyDescent="0.15">
      <c r="E1130" s="325"/>
    </row>
    <row r="1131" spans="5:5" x14ac:dyDescent="0.15">
      <c r="E1131" s="325"/>
    </row>
    <row r="1132" spans="5:5" x14ac:dyDescent="0.15">
      <c r="E1132" s="325"/>
    </row>
    <row r="1133" spans="5:5" x14ac:dyDescent="0.15">
      <c r="E1133" s="325"/>
    </row>
    <row r="1134" spans="5:5" x14ac:dyDescent="0.15">
      <c r="E1134" s="325"/>
    </row>
    <row r="1135" spans="5:5" x14ac:dyDescent="0.15">
      <c r="E1135" s="325"/>
    </row>
    <row r="1136" spans="5:5" x14ac:dyDescent="0.15">
      <c r="E1136" s="325"/>
    </row>
    <row r="1137" spans="5:5" x14ac:dyDescent="0.15">
      <c r="E1137" s="325"/>
    </row>
    <row r="1138" spans="5:5" x14ac:dyDescent="0.15">
      <c r="E1138" s="325"/>
    </row>
    <row r="1139" spans="5:5" x14ac:dyDescent="0.15">
      <c r="E1139" s="325"/>
    </row>
    <row r="1140" spans="5:5" x14ac:dyDescent="0.15">
      <c r="E1140" s="325"/>
    </row>
    <row r="1141" spans="5:5" x14ac:dyDescent="0.15">
      <c r="E1141" s="325"/>
    </row>
    <row r="1142" spans="5:5" x14ac:dyDescent="0.15">
      <c r="E1142" s="325"/>
    </row>
    <row r="1143" spans="5:5" x14ac:dyDescent="0.15">
      <c r="E1143" s="325"/>
    </row>
    <row r="1144" spans="5:5" x14ac:dyDescent="0.15">
      <c r="E1144" s="325"/>
    </row>
    <row r="1145" spans="5:5" x14ac:dyDescent="0.15">
      <c r="E1145" s="325"/>
    </row>
    <row r="1146" spans="5:5" x14ac:dyDescent="0.15">
      <c r="E1146" s="325"/>
    </row>
    <row r="1147" spans="5:5" x14ac:dyDescent="0.15">
      <c r="E1147" s="325"/>
    </row>
    <row r="1148" spans="5:5" x14ac:dyDescent="0.15">
      <c r="E1148" s="325"/>
    </row>
    <row r="1149" spans="5:5" x14ac:dyDescent="0.15">
      <c r="E1149" s="325"/>
    </row>
    <row r="1150" spans="5:5" x14ac:dyDescent="0.15">
      <c r="E1150" s="325"/>
    </row>
    <row r="1151" spans="5:5" x14ac:dyDescent="0.15">
      <c r="E1151" s="325"/>
    </row>
    <row r="1152" spans="5:5" x14ac:dyDescent="0.15">
      <c r="E1152" s="325"/>
    </row>
    <row r="1153" spans="5:5" x14ac:dyDescent="0.15">
      <c r="E1153" s="325"/>
    </row>
    <row r="1154" spans="5:5" x14ac:dyDescent="0.15">
      <c r="E1154" s="325"/>
    </row>
    <row r="1155" spans="5:5" x14ac:dyDescent="0.15">
      <c r="E1155" s="325"/>
    </row>
    <row r="1156" spans="5:5" x14ac:dyDescent="0.15">
      <c r="E1156" s="325"/>
    </row>
    <row r="1157" spans="5:5" x14ac:dyDescent="0.15">
      <c r="E1157" s="325"/>
    </row>
    <row r="1158" spans="5:5" x14ac:dyDescent="0.15">
      <c r="E1158" s="325"/>
    </row>
    <row r="1159" spans="5:5" x14ac:dyDescent="0.15">
      <c r="E1159" s="325"/>
    </row>
    <row r="1160" spans="5:5" x14ac:dyDescent="0.15">
      <c r="E1160" s="325"/>
    </row>
    <row r="1161" spans="5:5" x14ac:dyDescent="0.15">
      <c r="E1161" s="325"/>
    </row>
    <row r="1162" spans="5:5" x14ac:dyDescent="0.15">
      <c r="E1162" s="325"/>
    </row>
    <row r="1163" spans="5:5" x14ac:dyDescent="0.15">
      <c r="E1163" s="325"/>
    </row>
    <row r="1164" spans="5:5" x14ac:dyDescent="0.15">
      <c r="E1164" s="325"/>
    </row>
    <row r="1165" spans="5:5" x14ac:dyDescent="0.15">
      <c r="E1165" s="325"/>
    </row>
    <row r="1166" spans="5:5" x14ac:dyDescent="0.15">
      <c r="E1166" s="325"/>
    </row>
    <row r="1167" spans="5:5" x14ac:dyDescent="0.15">
      <c r="E1167" s="325"/>
    </row>
    <row r="1168" spans="5:5" x14ac:dyDescent="0.15">
      <c r="E1168" s="325"/>
    </row>
    <row r="1169" spans="5:5" x14ac:dyDescent="0.15">
      <c r="E1169" s="325"/>
    </row>
    <row r="1170" spans="5:5" x14ac:dyDescent="0.15">
      <c r="E1170" s="325"/>
    </row>
    <row r="1171" spans="5:5" x14ac:dyDescent="0.15">
      <c r="E1171" s="325"/>
    </row>
    <row r="1172" spans="5:5" x14ac:dyDescent="0.15">
      <c r="E1172" s="325"/>
    </row>
    <row r="1173" spans="5:5" x14ac:dyDescent="0.15">
      <c r="E1173" s="325"/>
    </row>
    <row r="1174" spans="5:5" x14ac:dyDescent="0.15">
      <c r="E1174" s="325"/>
    </row>
    <row r="1175" spans="5:5" x14ac:dyDescent="0.15">
      <c r="E1175" s="325"/>
    </row>
    <row r="1176" spans="5:5" x14ac:dyDescent="0.15">
      <c r="E1176" s="325"/>
    </row>
    <row r="1177" spans="5:5" x14ac:dyDescent="0.15">
      <c r="E1177" s="325"/>
    </row>
    <row r="1178" spans="5:5" x14ac:dyDescent="0.15">
      <c r="E1178" s="325"/>
    </row>
    <row r="1179" spans="5:5" x14ac:dyDescent="0.15">
      <c r="E1179" s="325"/>
    </row>
    <row r="1180" spans="5:5" x14ac:dyDescent="0.15">
      <c r="E1180" s="325"/>
    </row>
    <row r="1181" spans="5:5" x14ac:dyDescent="0.15">
      <c r="E1181" s="325"/>
    </row>
    <row r="1182" spans="5:5" x14ac:dyDescent="0.15">
      <c r="E1182" s="325"/>
    </row>
    <row r="1183" spans="5:5" x14ac:dyDescent="0.15">
      <c r="E1183" s="325"/>
    </row>
    <row r="1184" spans="5:5" x14ac:dyDescent="0.15">
      <c r="E1184" s="325"/>
    </row>
    <row r="1185" spans="5:5" x14ac:dyDescent="0.15">
      <c r="E1185" s="325"/>
    </row>
    <row r="1186" spans="5:5" x14ac:dyDescent="0.15">
      <c r="E1186" s="325"/>
    </row>
    <row r="1187" spans="5:5" x14ac:dyDescent="0.15">
      <c r="E1187" s="325"/>
    </row>
    <row r="1188" spans="5:5" x14ac:dyDescent="0.15">
      <c r="E1188" s="325"/>
    </row>
    <row r="1189" spans="5:5" x14ac:dyDescent="0.15">
      <c r="E1189" s="325"/>
    </row>
    <row r="1190" spans="5:5" x14ac:dyDescent="0.15">
      <c r="E1190" s="325"/>
    </row>
    <row r="1191" spans="5:5" x14ac:dyDescent="0.15">
      <c r="E1191" s="325"/>
    </row>
    <row r="1192" spans="5:5" x14ac:dyDescent="0.15">
      <c r="E1192" s="325"/>
    </row>
    <row r="1193" spans="5:5" x14ac:dyDescent="0.15">
      <c r="E1193" s="325"/>
    </row>
    <row r="1194" spans="5:5" x14ac:dyDescent="0.15">
      <c r="E1194" s="325"/>
    </row>
    <row r="1195" spans="5:5" x14ac:dyDescent="0.15">
      <c r="E1195" s="325"/>
    </row>
    <row r="1196" spans="5:5" x14ac:dyDescent="0.15">
      <c r="E1196" s="325"/>
    </row>
    <row r="1197" spans="5:5" x14ac:dyDescent="0.15">
      <c r="E1197" s="325"/>
    </row>
    <row r="1198" spans="5:5" x14ac:dyDescent="0.15">
      <c r="E1198" s="325"/>
    </row>
    <row r="1199" spans="5:5" x14ac:dyDescent="0.15">
      <c r="E1199" s="325"/>
    </row>
    <row r="1200" spans="5:5" x14ac:dyDescent="0.15">
      <c r="E1200" s="325"/>
    </row>
    <row r="1201" spans="5:5" x14ac:dyDescent="0.15">
      <c r="E1201" s="325"/>
    </row>
    <row r="1202" spans="5:5" x14ac:dyDescent="0.15">
      <c r="E1202" s="325"/>
    </row>
    <row r="1203" spans="5:5" x14ac:dyDescent="0.15">
      <c r="E1203" s="325"/>
    </row>
    <row r="1204" spans="5:5" x14ac:dyDescent="0.15">
      <c r="E1204" s="325"/>
    </row>
    <row r="1205" spans="5:5" x14ac:dyDescent="0.15">
      <c r="E1205" s="325"/>
    </row>
    <row r="1206" spans="5:5" x14ac:dyDescent="0.15">
      <c r="E1206" s="325"/>
    </row>
    <row r="1207" spans="5:5" x14ac:dyDescent="0.15">
      <c r="E1207" s="325"/>
    </row>
    <row r="1208" spans="5:5" x14ac:dyDescent="0.15">
      <c r="E1208" s="325"/>
    </row>
    <row r="1209" spans="5:5" x14ac:dyDescent="0.15">
      <c r="E1209" s="325"/>
    </row>
    <row r="1210" spans="5:5" x14ac:dyDescent="0.15">
      <c r="E1210" s="325"/>
    </row>
    <row r="1211" spans="5:5" x14ac:dyDescent="0.15">
      <c r="E1211" s="325"/>
    </row>
    <row r="1212" spans="5:5" x14ac:dyDescent="0.15">
      <c r="E1212" s="325"/>
    </row>
    <row r="1213" spans="5:5" x14ac:dyDescent="0.15">
      <c r="E1213" s="325"/>
    </row>
    <row r="1214" spans="5:5" x14ac:dyDescent="0.15">
      <c r="E1214" s="325"/>
    </row>
    <row r="1215" spans="5:5" x14ac:dyDescent="0.15">
      <c r="E1215" s="325"/>
    </row>
    <row r="1216" spans="5:5" x14ac:dyDescent="0.15">
      <c r="E1216" s="325"/>
    </row>
    <row r="1217" spans="5:5" x14ac:dyDescent="0.15">
      <c r="E1217" s="325"/>
    </row>
    <row r="1218" spans="5:5" x14ac:dyDescent="0.15">
      <c r="E1218" s="325"/>
    </row>
    <row r="1219" spans="5:5" x14ac:dyDescent="0.15">
      <c r="E1219" s="325"/>
    </row>
    <row r="1220" spans="5:5" x14ac:dyDescent="0.15">
      <c r="E1220" s="325"/>
    </row>
    <row r="1221" spans="5:5" x14ac:dyDescent="0.15">
      <c r="E1221" s="325"/>
    </row>
    <row r="1222" spans="5:5" x14ac:dyDescent="0.15">
      <c r="E1222" s="325"/>
    </row>
    <row r="1223" spans="5:5" x14ac:dyDescent="0.15">
      <c r="E1223" s="325"/>
    </row>
    <row r="1224" spans="5:5" x14ac:dyDescent="0.15">
      <c r="E1224" s="325"/>
    </row>
    <row r="1225" spans="5:5" x14ac:dyDescent="0.15">
      <c r="E1225" s="325"/>
    </row>
    <row r="1226" spans="5:5" x14ac:dyDescent="0.15">
      <c r="E1226" s="325"/>
    </row>
    <row r="1227" spans="5:5" x14ac:dyDescent="0.15">
      <c r="E1227" s="325"/>
    </row>
    <row r="1228" spans="5:5" x14ac:dyDescent="0.15">
      <c r="E1228" s="325"/>
    </row>
    <row r="1229" spans="5:5" x14ac:dyDescent="0.15">
      <c r="E1229" s="325"/>
    </row>
    <row r="1230" spans="5:5" x14ac:dyDescent="0.15">
      <c r="E1230" s="325"/>
    </row>
    <row r="1231" spans="5:5" x14ac:dyDescent="0.15">
      <c r="E1231" s="325"/>
    </row>
    <row r="1232" spans="5:5" x14ac:dyDescent="0.15">
      <c r="E1232" s="325"/>
    </row>
    <row r="1233" spans="5:5" x14ac:dyDescent="0.15">
      <c r="E1233" s="325"/>
    </row>
    <row r="1234" spans="5:5" x14ac:dyDescent="0.15">
      <c r="E1234" s="325"/>
    </row>
    <row r="1235" spans="5:5" x14ac:dyDescent="0.15">
      <c r="E1235" s="325"/>
    </row>
    <row r="1236" spans="5:5" x14ac:dyDescent="0.15">
      <c r="E1236" s="325"/>
    </row>
    <row r="1237" spans="5:5" x14ac:dyDescent="0.15">
      <c r="E1237" s="325"/>
    </row>
    <row r="1238" spans="5:5" x14ac:dyDescent="0.15">
      <c r="E1238" s="325"/>
    </row>
    <row r="1239" spans="5:5" x14ac:dyDescent="0.15">
      <c r="E1239" s="325"/>
    </row>
    <row r="1240" spans="5:5" x14ac:dyDescent="0.15">
      <c r="E1240" s="325"/>
    </row>
    <row r="1241" spans="5:5" x14ac:dyDescent="0.15">
      <c r="E1241" s="325"/>
    </row>
    <row r="1242" spans="5:5" x14ac:dyDescent="0.15">
      <c r="E1242" s="325"/>
    </row>
    <row r="1243" spans="5:5" x14ac:dyDescent="0.15">
      <c r="E1243" s="325"/>
    </row>
    <row r="1244" spans="5:5" x14ac:dyDescent="0.15">
      <c r="E1244" s="325"/>
    </row>
    <row r="1245" spans="5:5" x14ac:dyDescent="0.15">
      <c r="E1245" s="325"/>
    </row>
    <row r="1246" spans="5:5" x14ac:dyDescent="0.15">
      <c r="E1246" s="325"/>
    </row>
    <row r="1247" spans="5:5" x14ac:dyDescent="0.15">
      <c r="E1247" s="325"/>
    </row>
    <row r="1248" spans="5:5" x14ac:dyDescent="0.15">
      <c r="E1248" s="325"/>
    </row>
    <row r="1249" spans="5:5" x14ac:dyDescent="0.15">
      <c r="E1249" s="325"/>
    </row>
    <row r="1250" spans="5:5" x14ac:dyDescent="0.15">
      <c r="E1250" s="325"/>
    </row>
    <row r="1251" spans="5:5" x14ac:dyDescent="0.15">
      <c r="E1251" s="325"/>
    </row>
    <row r="1252" spans="5:5" x14ac:dyDescent="0.15">
      <c r="E1252" s="325"/>
    </row>
    <row r="1253" spans="5:5" x14ac:dyDescent="0.15">
      <c r="E1253" s="325"/>
    </row>
    <row r="1254" spans="5:5" x14ac:dyDescent="0.15">
      <c r="E1254" s="325"/>
    </row>
    <row r="1255" spans="5:5" x14ac:dyDescent="0.15">
      <c r="E1255" s="325"/>
    </row>
    <row r="1256" spans="5:5" x14ac:dyDescent="0.15">
      <c r="E1256" s="325"/>
    </row>
    <row r="1257" spans="5:5" x14ac:dyDescent="0.15">
      <c r="E1257" s="325"/>
    </row>
    <row r="1258" spans="5:5" x14ac:dyDescent="0.15">
      <c r="E1258" s="325"/>
    </row>
    <row r="1259" spans="5:5" x14ac:dyDescent="0.15">
      <c r="E1259" s="325"/>
    </row>
    <row r="1260" spans="5:5" x14ac:dyDescent="0.15">
      <c r="E1260" s="325"/>
    </row>
    <row r="1261" spans="5:5" x14ac:dyDescent="0.15">
      <c r="E1261" s="325"/>
    </row>
    <row r="1262" spans="5:5" x14ac:dyDescent="0.15">
      <c r="E1262" s="325"/>
    </row>
    <row r="1263" spans="5:5" x14ac:dyDescent="0.15">
      <c r="E1263" s="325"/>
    </row>
    <row r="1264" spans="5:5" x14ac:dyDescent="0.15">
      <c r="E1264" s="325"/>
    </row>
    <row r="1265" spans="5:5" x14ac:dyDescent="0.15">
      <c r="E1265" s="325"/>
    </row>
    <row r="1266" spans="5:5" x14ac:dyDescent="0.15">
      <c r="E1266" s="325"/>
    </row>
    <row r="1267" spans="5:5" x14ac:dyDescent="0.15">
      <c r="E1267" s="325"/>
    </row>
    <row r="1268" spans="5:5" x14ac:dyDescent="0.15">
      <c r="E1268" s="325"/>
    </row>
    <row r="1269" spans="5:5" x14ac:dyDescent="0.15">
      <c r="E1269" s="325"/>
    </row>
    <row r="1270" spans="5:5" x14ac:dyDescent="0.15">
      <c r="E1270" s="325"/>
    </row>
    <row r="1271" spans="5:5" x14ac:dyDescent="0.15">
      <c r="E1271" s="325"/>
    </row>
    <row r="1272" spans="5:5" x14ac:dyDescent="0.15">
      <c r="E1272" s="325"/>
    </row>
    <row r="1273" spans="5:5" x14ac:dyDescent="0.15">
      <c r="E1273" s="325"/>
    </row>
    <row r="1274" spans="5:5" x14ac:dyDescent="0.15">
      <c r="E1274" s="325"/>
    </row>
    <row r="1275" spans="5:5" x14ac:dyDescent="0.15">
      <c r="E1275" s="325"/>
    </row>
    <row r="1276" spans="5:5" x14ac:dyDescent="0.15">
      <c r="E1276" s="325"/>
    </row>
    <row r="1277" spans="5:5" x14ac:dyDescent="0.15">
      <c r="E1277" s="325"/>
    </row>
    <row r="1278" spans="5:5" x14ac:dyDescent="0.15">
      <c r="E1278" s="325"/>
    </row>
    <row r="1279" spans="5:5" x14ac:dyDescent="0.15">
      <c r="E1279" s="325"/>
    </row>
    <row r="1280" spans="5:5" x14ac:dyDescent="0.15">
      <c r="E1280" s="325"/>
    </row>
    <row r="1281" spans="5:5" x14ac:dyDescent="0.15">
      <c r="E1281" s="325"/>
    </row>
    <row r="1282" spans="5:5" x14ac:dyDescent="0.15">
      <c r="E1282" s="325"/>
    </row>
    <row r="1283" spans="5:5" x14ac:dyDescent="0.15">
      <c r="E1283" s="325"/>
    </row>
    <row r="1284" spans="5:5" x14ac:dyDescent="0.15">
      <c r="E1284" s="325"/>
    </row>
    <row r="1285" spans="5:5" x14ac:dyDescent="0.15">
      <c r="E1285" s="325"/>
    </row>
    <row r="1286" spans="5:5" x14ac:dyDescent="0.15">
      <c r="E1286" s="325"/>
    </row>
    <row r="1287" spans="5:5" x14ac:dyDescent="0.15">
      <c r="E1287" s="325"/>
    </row>
    <row r="1288" spans="5:5" x14ac:dyDescent="0.15">
      <c r="E1288" s="325"/>
    </row>
    <row r="1289" spans="5:5" x14ac:dyDescent="0.15">
      <c r="E1289" s="325"/>
    </row>
    <row r="1290" spans="5:5" x14ac:dyDescent="0.15">
      <c r="E1290" s="325"/>
    </row>
    <row r="1291" spans="5:5" x14ac:dyDescent="0.15">
      <c r="E1291" s="325"/>
    </row>
    <row r="1292" spans="5:5" x14ac:dyDescent="0.15">
      <c r="E1292" s="325"/>
    </row>
    <row r="1293" spans="5:5" x14ac:dyDescent="0.15">
      <c r="E1293" s="325"/>
    </row>
    <row r="1294" spans="5:5" x14ac:dyDescent="0.15">
      <c r="E1294" s="325"/>
    </row>
    <row r="1295" spans="5:5" x14ac:dyDescent="0.15">
      <c r="E1295" s="325"/>
    </row>
    <row r="1296" spans="5:5" x14ac:dyDescent="0.15">
      <c r="E1296" s="325"/>
    </row>
    <row r="1297" spans="5:5" x14ac:dyDescent="0.15">
      <c r="E1297" s="325"/>
    </row>
    <row r="1298" spans="5:5" x14ac:dyDescent="0.15">
      <c r="E1298" s="325"/>
    </row>
    <row r="1299" spans="5:5" x14ac:dyDescent="0.15">
      <c r="E1299" s="325"/>
    </row>
    <row r="1300" spans="5:5" x14ac:dyDescent="0.15">
      <c r="E1300" s="325"/>
    </row>
    <row r="1301" spans="5:5" x14ac:dyDescent="0.15">
      <c r="E1301" s="325"/>
    </row>
    <row r="1302" spans="5:5" x14ac:dyDescent="0.15">
      <c r="E1302" s="325"/>
    </row>
    <row r="1303" spans="5:5" x14ac:dyDescent="0.15">
      <c r="E1303" s="325"/>
    </row>
    <row r="1304" spans="5:5" x14ac:dyDescent="0.15">
      <c r="E1304" s="325"/>
    </row>
    <row r="1305" spans="5:5" x14ac:dyDescent="0.15">
      <c r="E1305" s="325"/>
    </row>
    <row r="1306" spans="5:5" x14ac:dyDescent="0.15">
      <c r="E1306" s="325"/>
    </row>
    <row r="1307" spans="5:5" x14ac:dyDescent="0.15">
      <c r="E1307" s="325"/>
    </row>
    <row r="1308" spans="5:5" x14ac:dyDescent="0.15">
      <c r="E1308" s="325"/>
    </row>
    <row r="1309" spans="5:5" x14ac:dyDescent="0.15">
      <c r="E1309" s="325"/>
    </row>
    <row r="1310" spans="5:5" x14ac:dyDescent="0.15">
      <c r="E1310" s="325"/>
    </row>
    <row r="1311" spans="5:5" x14ac:dyDescent="0.15">
      <c r="E1311" s="325"/>
    </row>
    <row r="1312" spans="5:5" x14ac:dyDescent="0.15">
      <c r="E1312" s="325"/>
    </row>
    <row r="1313" spans="5:5" x14ac:dyDescent="0.15">
      <c r="E1313" s="325"/>
    </row>
    <row r="1314" spans="5:5" x14ac:dyDescent="0.15">
      <c r="E1314" s="325"/>
    </row>
    <row r="1315" spans="5:5" x14ac:dyDescent="0.15">
      <c r="E1315" s="325"/>
    </row>
    <row r="1316" spans="5:5" x14ac:dyDescent="0.15">
      <c r="E1316" s="325"/>
    </row>
    <row r="1317" spans="5:5" x14ac:dyDescent="0.15">
      <c r="E1317" s="325"/>
    </row>
    <row r="1318" spans="5:5" x14ac:dyDescent="0.15">
      <c r="E1318" s="325"/>
    </row>
    <row r="1319" spans="5:5" x14ac:dyDescent="0.15">
      <c r="E1319" s="325"/>
    </row>
    <row r="1320" spans="5:5" x14ac:dyDescent="0.15">
      <c r="E1320" s="325"/>
    </row>
    <row r="1321" spans="5:5" x14ac:dyDescent="0.15">
      <c r="E1321" s="325"/>
    </row>
    <row r="1322" spans="5:5" x14ac:dyDescent="0.15">
      <c r="E1322" s="325"/>
    </row>
    <row r="1323" spans="5:5" x14ac:dyDescent="0.15">
      <c r="E1323" s="325"/>
    </row>
    <row r="1324" spans="5:5" x14ac:dyDescent="0.15">
      <c r="E1324" s="325"/>
    </row>
    <row r="1325" spans="5:5" x14ac:dyDescent="0.15">
      <c r="E1325" s="325"/>
    </row>
    <row r="1326" spans="5:5" x14ac:dyDescent="0.15">
      <c r="E1326" s="325"/>
    </row>
    <row r="1327" spans="5:5" x14ac:dyDescent="0.15">
      <c r="E1327" s="325"/>
    </row>
    <row r="1328" spans="5:5" x14ac:dyDescent="0.15">
      <c r="E1328" s="325"/>
    </row>
    <row r="1329" spans="5:5" x14ac:dyDescent="0.15">
      <c r="E1329" s="325"/>
    </row>
    <row r="1330" spans="5:5" x14ac:dyDescent="0.15">
      <c r="E1330" s="325"/>
    </row>
    <row r="1331" spans="5:5" x14ac:dyDescent="0.15">
      <c r="E1331" s="325"/>
    </row>
    <row r="1332" spans="5:5" x14ac:dyDescent="0.15">
      <c r="E1332" s="325"/>
    </row>
    <row r="1333" spans="5:5" x14ac:dyDescent="0.15">
      <c r="E1333" s="325"/>
    </row>
    <row r="1334" spans="5:5" x14ac:dyDescent="0.15">
      <c r="E1334" s="325"/>
    </row>
    <row r="1335" spans="5:5" x14ac:dyDescent="0.15">
      <c r="E1335" s="325"/>
    </row>
    <row r="1336" spans="5:5" x14ac:dyDescent="0.15">
      <c r="E1336" s="325"/>
    </row>
    <row r="1337" spans="5:5" x14ac:dyDescent="0.15">
      <c r="E1337" s="325"/>
    </row>
    <row r="1338" spans="5:5" x14ac:dyDescent="0.15">
      <c r="E1338" s="325"/>
    </row>
    <row r="1339" spans="5:5" x14ac:dyDescent="0.15">
      <c r="E1339" s="325"/>
    </row>
    <row r="1340" spans="5:5" x14ac:dyDescent="0.15">
      <c r="E1340" s="325"/>
    </row>
    <row r="1341" spans="5:5" x14ac:dyDescent="0.15">
      <c r="E1341" s="325"/>
    </row>
    <row r="1342" spans="5:5" x14ac:dyDescent="0.15">
      <c r="E1342" s="325"/>
    </row>
    <row r="1343" spans="5:5" x14ac:dyDescent="0.15">
      <c r="E1343" s="325"/>
    </row>
    <row r="1344" spans="5:5" x14ac:dyDescent="0.15">
      <c r="E1344" s="325"/>
    </row>
    <row r="1345" spans="5:5" x14ac:dyDescent="0.15">
      <c r="E1345" s="325"/>
    </row>
    <row r="1346" spans="5:5" x14ac:dyDescent="0.15">
      <c r="E1346" s="325"/>
    </row>
    <row r="1347" spans="5:5" x14ac:dyDescent="0.15">
      <c r="E1347" s="325"/>
    </row>
    <row r="1348" spans="5:5" x14ac:dyDescent="0.15">
      <c r="E1348" s="325"/>
    </row>
    <row r="1349" spans="5:5" x14ac:dyDescent="0.15">
      <c r="E1349" s="325"/>
    </row>
    <row r="1350" spans="5:5" x14ac:dyDescent="0.15">
      <c r="E1350" s="325"/>
    </row>
    <row r="1351" spans="5:5" x14ac:dyDescent="0.15">
      <c r="E1351" s="325"/>
    </row>
    <row r="1352" spans="5:5" x14ac:dyDescent="0.15">
      <c r="E1352" s="325"/>
    </row>
    <row r="1353" spans="5:5" x14ac:dyDescent="0.15">
      <c r="E1353" s="325"/>
    </row>
    <row r="1354" spans="5:5" x14ac:dyDescent="0.15">
      <c r="E1354" s="325"/>
    </row>
    <row r="1355" spans="5:5" x14ac:dyDescent="0.15">
      <c r="E1355" s="325"/>
    </row>
    <row r="1356" spans="5:5" x14ac:dyDescent="0.15">
      <c r="E1356" s="325"/>
    </row>
    <row r="1357" spans="5:5" x14ac:dyDescent="0.15">
      <c r="E1357" s="325"/>
    </row>
    <row r="1358" spans="5:5" x14ac:dyDescent="0.15">
      <c r="E1358" s="325"/>
    </row>
    <row r="1359" spans="5:5" x14ac:dyDescent="0.15">
      <c r="E1359" s="325"/>
    </row>
    <row r="1360" spans="5:5" x14ac:dyDescent="0.15">
      <c r="E1360" s="325"/>
    </row>
    <row r="1361" spans="5:5" x14ac:dyDescent="0.15">
      <c r="E1361" s="325"/>
    </row>
    <row r="1362" spans="5:5" x14ac:dyDescent="0.15">
      <c r="E1362" s="325"/>
    </row>
    <row r="1363" spans="5:5" x14ac:dyDescent="0.15">
      <c r="E1363" s="325"/>
    </row>
    <row r="1364" spans="5:5" x14ac:dyDescent="0.15">
      <c r="E1364" s="325"/>
    </row>
    <row r="1365" spans="5:5" x14ac:dyDescent="0.15">
      <c r="E1365" s="325"/>
    </row>
    <row r="1366" spans="5:5" x14ac:dyDescent="0.15">
      <c r="E1366" s="325"/>
    </row>
    <row r="1367" spans="5:5" x14ac:dyDescent="0.15">
      <c r="E1367" s="325"/>
    </row>
    <row r="1368" spans="5:5" x14ac:dyDescent="0.15">
      <c r="E1368" s="325"/>
    </row>
    <row r="1369" spans="5:5" x14ac:dyDescent="0.15">
      <c r="E1369" s="325"/>
    </row>
    <row r="1370" spans="5:5" x14ac:dyDescent="0.15">
      <c r="E1370" s="325"/>
    </row>
    <row r="1371" spans="5:5" x14ac:dyDescent="0.15">
      <c r="E1371" s="325"/>
    </row>
    <row r="1372" spans="5:5" x14ac:dyDescent="0.15">
      <c r="E1372" s="325"/>
    </row>
    <row r="1373" spans="5:5" x14ac:dyDescent="0.15">
      <c r="E1373" s="325"/>
    </row>
    <row r="1374" spans="5:5" x14ac:dyDescent="0.15">
      <c r="E1374" s="325"/>
    </row>
    <row r="1375" spans="5:5" x14ac:dyDescent="0.15">
      <c r="E1375" s="325"/>
    </row>
    <row r="1376" spans="5:5" x14ac:dyDescent="0.15">
      <c r="E1376" s="325"/>
    </row>
    <row r="1377" spans="5:5" x14ac:dyDescent="0.15">
      <c r="E1377" s="325"/>
    </row>
    <row r="1378" spans="5:5" x14ac:dyDescent="0.15">
      <c r="E1378" s="325"/>
    </row>
    <row r="1379" spans="5:5" x14ac:dyDescent="0.15">
      <c r="E1379" s="325"/>
    </row>
    <row r="1380" spans="5:5" x14ac:dyDescent="0.15">
      <c r="E1380" s="325"/>
    </row>
    <row r="1381" spans="5:5" x14ac:dyDescent="0.15">
      <c r="E1381" s="325"/>
    </row>
    <row r="1382" spans="5:5" x14ac:dyDescent="0.15">
      <c r="E1382" s="325"/>
    </row>
    <row r="1383" spans="5:5" x14ac:dyDescent="0.15">
      <c r="E1383" s="325"/>
    </row>
    <row r="1384" spans="5:5" x14ac:dyDescent="0.15">
      <c r="E1384" s="325"/>
    </row>
    <row r="1385" spans="5:5" x14ac:dyDescent="0.15">
      <c r="E1385" s="325"/>
    </row>
    <row r="1386" spans="5:5" x14ac:dyDescent="0.15">
      <c r="E1386" s="325"/>
    </row>
    <row r="1387" spans="5:5" x14ac:dyDescent="0.15">
      <c r="E1387" s="325"/>
    </row>
    <row r="1388" spans="5:5" x14ac:dyDescent="0.15">
      <c r="E1388" s="325"/>
    </row>
    <row r="1389" spans="5:5" x14ac:dyDescent="0.15">
      <c r="E1389" s="325"/>
    </row>
    <row r="1390" spans="5:5" x14ac:dyDescent="0.15">
      <c r="E1390" s="325"/>
    </row>
    <row r="1391" spans="5:5" x14ac:dyDescent="0.15">
      <c r="E1391" s="325"/>
    </row>
    <row r="1392" spans="5:5" x14ac:dyDescent="0.15">
      <c r="E1392" s="325"/>
    </row>
    <row r="1393" spans="5:5" x14ac:dyDescent="0.15">
      <c r="E1393" s="325"/>
    </row>
    <row r="1394" spans="5:5" x14ac:dyDescent="0.15">
      <c r="E1394" s="325"/>
    </row>
    <row r="1395" spans="5:5" x14ac:dyDescent="0.15">
      <c r="E1395" s="325"/>
    </row>
    <row r="1396" spans="5:5" x14ac:dyDescent="0.15">
      <c r="E1396" s="325"/>
    </row>
    <row r="1397" spans="5:5" x14ac:dyDescent="0.15">
      <c r="E1397" s="325"/>
    </row>
    <row r="1398" spans="5:5" x14ac:dyDescent="0.15">
      <c r="E1398" s="325"/>
    </row>
    <row r="1399" spans="5:5" x14ac:dyDescent="0.15">
      <c r="E1399" s="325"/>
    </row>
    <row r="1400" spans="5:5" x14ac:dyDescent="0.15">
      <c r="E1400" s="325"/>
    </row>
    <row r="1401" spans="5:5" x14ac:dyDescent="0.15">
      <c r="E1401" s="325"/>
    </row>
    <row r="1402" spans="5:5" x14ac:dyDescent="0.15">
      <c r="E1402" s="325"/>
    </row>
    <row r="1403" spans="5:5" x14ac:dyDescent="0.15">
      <c r="E1403" s="325"/>
    </row>
    <row r="1404" spans="5:5" x14ac:dyDescent="0.15">
      <c r="E1404" s="325"/>
    </row>
    <row r="1405" spans="5:5" x14ac:dyDescent="0.15">
      <c r="E1405" s="325"/>
    </row>
    <row r="1406" spans="5:5" x14ac:dyDescent="0.15">
      <c r="E1406" s="325"/>
    </row>
    <row r="1407" spans="5:5" x14ac:dyDescent="0.15">
      <c r="E1407" s="325"/>
    </row>
    <row r="1408" spans="5:5" x14ac:dyDescent="0.15">
      <c r="E1408" s="325"/>
    </row>
    <row r="1409" spans="5:5" x14ac:dyDescent="0.15">
      <c r="E1409" s="325"/>
    </row>
    <row r="1410" spans="5:5" x14ac:dyDescent="0.15">
      <c r="E1410" s="325"/>
    </row>
    <row r="1411" spans="5:5" x14ac:dyDescent="0.15">
      <c r="E1411" s="325"/>
    </row>
    <row r="1412" spans="5:5" x14ac:dyDescent="0.15">
      <c r="E1412" s="325"/>
    </row>
    <row r="1413" spans="5:5" x14ac:dyDescent="0.15">
      <c r="E1413" s="325"/>
    </row>
    <row r="1414" spans="5:5" x14ac:dyDescent="0.15">
      <c r="E1414" s="325"/>
    </row>
    <row r="1415" spans="5:5" x14ac:dyDescent="0.15">
      <c r="E1415" s="325"/>
    </row>
    <row r="1416" spans="5:5" x14ac:dyDescent="0.15">
      <c r="E1416" s="325"/>
    </row>
    <row r="1417" spans="5:5" x14ac:dyDescent="0.15">
      <c r="E1417" s="325"/>
    </row>
    <row r="1418" spans="5:5" x14ac:dyDescent="0.15">
      <c r="E1418" s="325"/>
    </row>
    <row r="1419" spans="5:5" x14ac:dyDescent="0.15">
      <c r="E1419" s="325"/>
    </row>
    <row r="1420" spans="5:5" x14ac:dyDescent="0.15">
      <c r="E1420" s="325"/>
    </row>
    <row r="1421" spans="5:5" x14ac:dyDescent="0.15">
      <c r="E1421" s="325"/>
    </row>
    <row r="1422" spans="5:5" x14ac:dyDescent="0.15">
      <c r="E1422" s="325"/>
    </row>
    <row r="1423" spans="5:5" x14ac:dyDescent="0.15">
      <c r="E1423" s="325"/>
    </row>
    <row r="1424" spans="5:5" x14ac:dyDescent="0.15">
      <c r="E1424" s="325"/>
    </row>
    <row r="1425" spans="5:5" x14ac:dyDescent="0.15">
      <c r="E1425" s="325"/>
    </row>
    <row r="1426" spans="5:5" x14ac:dyDescent="0.15">
      <c r="E1426" s="325"/>
    </row>
    <row r="1427" spans="5:5" x14ac:dyDescent="0.15">
      <c r="E1427" s="325"/>
    </row>
    <row r="1428" spans="5:5" x14ac:dyDescent="0.15">
      <c r="E1428" s="325"/>
    </row>
    <row r="1429" spans="5:5" x14ac:dyDescent="0.15">
      <c r="E1429" s="325"/>
    </row>
    <row r="1430" spans="5:5" x14ac:dyDescent="0.15">
      <c r="E1430" s="325"/>
    </row>
    <row r="1431" spans="5:5" x14ac:dyDescent="0.15">
      <c r="E1431" s="325"/>
    </row>
    <row r="1432" spans="5:5" x14ac:dyDescent="0.15">
      <c r="E1432" s="325"/>
    </row>
    <row r="1433" spans="5:5" x14ac:dyDescent="0.15">
      <c r="E1433" s="325"/>
    </row>
    <row r="1434" spans="5:5" x14ac:dyDescent="0.15">
      <c r="E1434" s="325"/>
    </row>
    <row r="1435" spans="5:5" x14ac:dyDescent="0.15">
      <c r="E1435" s="325"/>
    </row>
    <row r="1436" spans="5:5" x14ac:dyDescent="0.15">
      <c r="E1436" s="325"/>
    </row>
    <row r="1437" spans="5:5" x14ac:dyDescent="0.15">
      <c r="E1437" s="325"/>
    </row>
    <row r="1438" spans="5:5" x14ac:dyDescent="0.15">
      <c r="E1438" s="325"/>
    </row>
    <row r="1439" spans="5:5" x14ac:dyDescent="0.15">
      <c r="E1439" s="325"/>
    </row>
    <row r="1440" spans="5:5" x14ac:dyDescent="0.15">
      <c r="E1440" s="325"/>
    </row>
    <row r="1441" spans="5:5" x14ac:dyDescent="0.15">
      <c r="E1441" s="325"/>
    </row>
    <row r="1442" spans="5:5" x14ac:dyDescent="0.15">
      <c r="E1442" s="325"/>
    </row>
    <row r="1443" spans="5:5" x14ac:dyDescent="0.15">
      <c r="E1443" s="325"/>
    </row>
    <row r="1444" spans="5:5" x14ac:dyDescent="0.15">
      <c r="E1444" s="325"/>
    </row>
    <row r="1445" spans="5:5" x14ac:dyDescent="0.15">
      <c r="E1445" s="325"/>
    </row>
    <row r="1446" spans="5:5" x14ac:dyDescent="0.15">
      <c r="E1446" s="325"/>
    </row>
    <row r="1447" spans="5:5" x14ac:dyDescent="0.15">
      <c r="E1447" s="325"/>
    </row>
    <row r="1448" spans="5:5" x14ac:dyDescent="0.15">
      <c r="E1448" s="325"/>
    </row>
    <row r="1449" spans="5:5" x14ac:dyDescent="0.15">
      <c r="E1449" s="325"/>
    </row>
    <row r="1450" spans="5:5" x14ac:dyDescent="0.15">
      <c r="E1450" s="325"/>
    </row>
    <row r="1451" spans="5:5" x14ac:dyDescent="0.15">
      <c r="E1451" s="325"/>
    </row>
    <row r="1452" spans="5:5" x14ac:dyDescent="0.15">
      <c r="E1452" s="325"/>
    </row>
    <row r="1453" spans="5:5" x14ac:dyDescent="0.15">
      <c r="E1453" s="325"/>
    </row>
    <row r="1454" spans="5:5" x14ac:dyDescent="0.15">
      <c r="E1454" s="325"/>
    </row>
    <row r="1455" spans="5:5" x14ac:dyDescent="0.15">
      <c r="E1455" s="325"/>
    </row>
    <row r="1456" spans="5:5" x14ac:dyDescent="0.15">
      <c r="E1456" s="325"/>
    </row>
    <row r="1457" spans="5:5" x14ac:dyDescent="0.15">
      <c r="E1457" s="325"/>
    </row>
    <row r="1458" spans="5:5" x14ac:dyDescent="0.15">
      <c r="E1458" s="325"/>
    </row>
    <row r="1459" spans="5:5" x14ac:dyDescent="0.15">
      <c r="E1459" s="325"/>
    </row>
    <row r="1460" spans="5:5" x14ac:dyDescent="0.15">
      <c r="E1460" s="325"/>
    </row>
    <row r="1461" spans="5:5" x14ac:dyDescent="0.15">
      <c r="E1461" s="325"/>
    </row>
    <row r="1462" spans="5:5" x14ac:dyDescent="0.15">
      <c r="E1462" s="325"/>
    </row>
    <row r="1463" spans="5:5" x14ac:dyDescent="0.15">
      <c r="E1463" s="325"/>
    </row>
    <row r="1464" spans="5:5" x14ac:dyDescent="0.15">
      <c r="E1464" s="325"/>
    </row>
    <row r="1465" spans="5:5" x14ac:dyDescent="0.15">
      <c r="E1465" s="325"/>
    </row>
    <row r="1466" spans="5:5" x14ac:dyDescent="0.15">
      <c r="E1466" s="325"/>
    </row>
    <row r="1467" spans="5:5" x14ac:dyDescent="0.15">
      <c r="E1467" s="325"/>
    </row>
    <row r="1468" spans="5:5" x14ac:dyDescent="0.15">
      <c r="E1468" s="325"/>
    </row>
    <row r="1469" spans="5:5" x14ac:dyDescent="0.15">
      <c r="E1469" s="325"/>
    </row>
    <row r="1470" spans="5:5" x14ac:dyDescent="0.15">
      <c r="E1470" s="325"/>
    </row>
    <row r="1471" spans="5:5" x14ac:dyDescent="0.15">
      <c r="E1471" s="325"/>
    </row>
    <row r="1472" spans="5:5" x14ac:dyDescent="0.15">
      <c r="E1472" s="325"/>
    </row>
    <row r="1473" spans="5:5" x14ac:dyDescent="0.15">
      <c r="E1473" s="325"/>
    </row>
    <row r="1474" spans="5:5" x14ac:dyDescent="0.15">
      <c r="E1474" s="325"/>
    </row>
    <row r="1475" spans="5:5" x14ac:dyDescent="0.15">
      <c r="E1475" s="325"/>
    </row>
    <row r="1476" spans="5:5" x14ac:dyDescent="0.15">
      <c r="E1476" s="325"/>
    </row>
    <row r="1477" spans="5:5" x14ac:dyDescent="0.15">
      <c r="E1477" s="325"/>
    </row>
    <row r="1478" spans="5:5" x14ac:dyDescent="0.15">
      <c r="E1478" s="325"/>
    </row>
    <row r="1479" spans="5:5" x14ac:dyDescent="0.15">
      <c r="E1479" s="325"/>
    </row>
    <row r="1480" spans="5:5" x14ac:dyDescent="0.15">
      <c r="E1480" s="325"/>
    </row>
    <row r="1481" spans="5:5" x14ac:dyDescent="0.15">
      <c r="E1481" s="325"/>
    </row>
    <row r="1482" spans="5:5" x14ac:dyDescent="0.15">
      <c r="E1482" s="325"/>
    </row>
    <row r="1483" spans="5:5" x14ac:dyDescent="0.15">
      <c r="E1483" s="325"/>
    </row>
    <row r="1484" spans="5:5" x14ac:dyDescent="0.15">
      <c r="E1484" s="325"/>
    </row>
    <row r="1485" spans="5:5" x14ac:dyDescent="0.15">
      <c r="E1485" s="325"/>
    </row>
    <row r="1486" spans="5:5" x14ac:dyDescent="0.15">
      <c r="E1486" s="325"/>
    </row>
    <row r="1487" spans="5:5" x14ac:dyDescent="0.15">
      <c r="E1487" s="325"/>
    </row>
    <row r="1488" spans="5:5" x14ac:dyDescent="0.15">
      <c r="E1488" s="325"/>
    </row>
    <row r="1489" spans="5:5" x14ac:dyDescent="0.15">
      <c r="E1489" s="325"/>
    </row>
    <row r="1490" spans="5:5" x14ac:dyDescent="0.15">
      <c r="E1490" s="325"/>
    </row>
    <row r="1491" spans="5:5" x14ac:dyDescent="0.15">
      <c r="E1491" s="325"/>
    </row>
    <row r="1492" spans="5:5" x14ac:dyDescent="0.15">
      <c r="E1492" s="325"/>
    </row>
    <row r="1493" spans="5:5" x14ac:dyDescent="0.15">
      <c r="E1493" s="325"/>
    </row>
    <row r="1494" spans="5:5" x14ac:dyDescent="0.15">
      <c r="E1494" s="325"/>
    </row>
    <row r="1495" spans="5:5" x14ac:dyDescent="0.15">
      <c r="E1495" s="325"/>
    </row>
    <row r="1496" spans="5:5" x14ac:dyDescent="0.15">
      <c r="E1496" s="325"/>
    </row>
    <row r="1497" spans="5:5" x14ac:dyDescent="0.15">
      <c r="E1497" s="325"/>
    </row>
    <row r="1498" spans="5:5" x14ac:dyDescent="0.15">
      <c r="E1498" s="325"/>
    </row>
    <row r="1499" spans="5:5" x14ac:dyDescent="0.15">
      <c r="E1499" s="325"/>
    </row>
    <row r="1500" spans="5:5" x14ac:dyDescent="0.15">
      <c r="E1500" s="325"/>
    </row>
    <row r="1501" spans="5:5" x14ac:dyDescent="0.15">
      <c r="E1501" s="325"/>
    </row>
    <row r="1502" spans="5:5" x14ac:dyDescent="0.15">
      <c r="E1502" s="325"/>
    </row>
    <row r="1503" spans="5:5" x14ac:dyDescent="0.15">
      <c r="E1503" s="325"/>
    </row>
    <row r="1504" spans="5:5" x14ac:dyDescent="0.15">
      <c r="E1504" s="325"/>
    </row>
    <row r="1505" spans="5:5" x14ac:dyDescent="0.15">
      <c r="E1505" s="325"/>
    </row>
    <row r="1506" spans="5:5" x14ac:dyDescent="0.15">
      <c r="E1506" s="325"/>
    </row>
    <row r="1507" spans="5:5" x14ac:dyDescent="0.15">
      <c r="E1507" s="325"/>
    </row>
    <row r="1508" spans="5:5" x14ac:dyDescent="0.15">
      <c r="E1508" s="325"/>
    </row>
    <row r="1509" spans="5:5" x14ac:dyDescent="0.15">
      <c r="E1509" s="325"/>
    </row>
    <row r="1510" spans="5:5" x14ac:dyDescent="0.15">
      <c r="E1510" s="325"/>
    </row>
    <row r="1511" spans="5:5" x14ac:dyDescent="0.15">
      <c r="E1511" s="325"/>
    </row>
    <row r="1512" spans="5:5" x14ac:dyDescent="0.15">
      <c r="E1512" s="325"/>
    </row>
    <row r="1513" spans="5:5" x14ac:dyDescent="0.15">
      <c r="E1513" s="325"/>
    </row>
    <row r="1514" spans="5:5" x14ac:dyDescent="0.15">
      <c r="E1514" s="325"/>
    </row>
    <row r="1515" spans="5:5" x14ac:dyDescent="0.15">
      <c r="E1515" s="325"/>
    </row>
    <row r="1516" spans="5:5" x14ac:dyDescent="0.15">
      <c r="E1516" s="325"/>
    </row>
    <row r="1517" spans="5:5" x14ac:dyDescent="0.15">
      <c r="E1517" s="325"/>
    </row>
    <row r="1518" spans="5:5" x14ac:dyDescent="0.15">
      <c r="E1518" s="325"/>
    </row>
    <row r="1519" spans="5:5" x14ac:dyDescent="0.15">
      <c r="E1519" s="325"/>
    </row>
  </sheetData>
  <autoFilter ref="B1:L987" xr:uid="{00000000-0009-0000-0000-000005000000}">
    <filterColumn colId="8">
      <filters blank="1">
        <filter val="1.010,08"/>
        <filter val="1.060.978,94"/>
        <filter val="1.127,07"/>
        <filter val="1.133.647,65"/>
        <filter val="1.266,18"/>
        <filter val="1.565,32"/>
        <filter val="1.802,53"/>
        <filter val="1.839,90"/>
        <filter val="1.913,02"/>
        <filter val="1.964,38"/>
        <filter val="10.212,02"/>
        <filter val="100.272,00"/>
        <filter val="102.118,94"/>
        <filter val="109.302,74"/>
        <filter val="109.871,69"/>
        <filter val="11.152,20"/>
        <filter val="111.326,18"/>
        <filter val="115,44%"/>
        <filter val="12.175,81"/>
        <filter val="12.210,00"/>
        <filter val="13.400.657,84"/>
        <filter val="13.863,36"/>
        <filter val="137.706,80"/>
        <filter val="14.088,25"/>
        <filter val="14.455,37"/>
        <filter val="14.500,00"/>
        <filter val="14.832,10"/>
        <filter val="143,70"/>
        <filter val="146.420,30"/>
        <filter val="15,27%"/>
        <filter val="15.225,00"/>
        <filter val="15.227,90"/>
        <filter val="15.362,68"/>
        <filter val="150.642,12"/>
        <filter val="154.864,17"/>
        <filter val="16.347,24"/>
        <filter val="16.937,33"/>
        <filter val="168.753,46"/>
        <filter val="17.092,00"/>
        <filter val="17.661,23"/>
        <filter val="17.842,46"/>
        <filter val="171.560,67"/>
        <filter val="18,70"/>
        <filter val="18.490,02"/>
        <filter val="18.560,00"/>
        <filter val="181.205,46"/>
        <filter val="19.077,84"/>
        <filter val="19.127,89"/>
        <filter val="19.737,57"/>
        <filter val="190.350,17"/>
        <filter val="2.226,24"/>
        <filter val="2.308,42"/>
        <filter val="2.518,85"/>
        <filter val="2.695,77"/>
        <filter val="20,70%"/>
        <filter val="20.113,14"/>
        <filter val="23.201,49"/>
        <filter val="23.697,70"/>
        <filter val="234.023,62"/>
        <filter val="239.024,90"/>
        <filter val="252.891,27"/>
        <filter val="26.939,84"/>
        <filter val="266,60"/>
        <filter val="279,37"/>
        <filter val="28.968,00"/>
        <filter val="299.266,14"/>
        <filter val="3.202,71"/>
        <filter val="3.389,07"/>
        <filter val="3.442,80"/>
        <filter val="3.462,74"/>
        <filter val="3.564.753,53"/>
        <filter val="3.671,17"/>
        <filter val="3.870,50"/>
        <filter val="306.380,46"/>
        <filter val="310.029,66"/>
        <filter val="315,99"/>
        <filter val="320.619,11"/>
        <filter val="325.087,84"/>
        <filter val="33.848,72"/>
        <filter val="332.993,23"/>
        <filter val="34.144,37"/>
        <filter val="350.531,52"/>
        <filter val="36.436,40"/>
        <filter val="36.631,37"/>
        <filter val="37.106,72"/>
        <filter val="37.464,28"/>
        <filter val="38.416,55"/>
        <filter val="380,20"/>
        <filter val="392,43"/>
        <filter val="4.100,00"/>
        <filter val="40.037,12"/>
        <filter val="43.803,96"/>
        <filter val="43.862,66"/>
        <filter val="44.686,58"/>
        <filter val="45.480,16"/>
        <filter val="458,66"/>
        <filter val="47.776,44"/>
        <filter val="49.161,18"/>
        <filter val="5.327,27"/>
        <filter val="5.696,45"/>
        <filter val="5.941,56"/>
        <filter val="52.277,94"/>
        <filter val="53.446,97"/>
        <filter val="530,55"/>
        <filter val="56.895,42"/>
        <filter val="58.800,00"/>
        <filter val="59.492,36"/>
        <filter val="596,73"/>
        <filter val="6.097,28"/>
        <filter val="6.295,16"/>
        <filter val="6.489,97"/>
        <filter val="61.102,21"/>
        <filter val="61.271,10"/>
        <filter val="625.998,33"/>
        <filter val="65.539,44"/>
        <filter val="661.714,54"/>
        <filter val="7.068.471,54"/>
        <filter val="7.636,72"/>
        <filter val="7.892,64"/>
        <filter val="7.908,22"/>
        <filter val="71,26%"/>
        <filter val="72.331,49"/>
        <filter val="72.663,12"/>
        <filter val="73.918,34"/>
        <filter val="731.704,35"/>
        <filter val="8.184,02"/>
        <filter val="8.475,58"/>
        <filter val="828.537,66"/>
        <filter val="842.496,12"/>
        <filter val="863,81"/>
        <filter val="9.588,28"/>
        <filter val="9.607,52"/>
        <filter val="904.065,11"/>
        <filter val="943,41"/>
        <filter val="95.689,68"/>
        <filter val="988.204,42"/>
        <filter val="992.412,12"/>
        <filter val="NÃO DESONERADA"/>
        <filter val="PREÇO TOTAL (R$)"/>
      </filters>
    </filterColumn>
  </autoFilter>
  <mergeCells count="24">
    <mergeCell ref="C12:G12"/>
    <mergeCell ref="G15:G28"/>
    <mergeCell ref="M269:M271"/>
    <mergeCell ref="M114:M116"/>
    <mergeCell ref="M117:M119"/>
    <mergeCell ref="M120:M121"/>
    <mergeCell ref="M157:M159"/>
    <mergeCell ref="M160:M161"/>
    <mergeCell ref="M162:M163"/>
    <mergeCell ref="M154:M156"/>
    <mergeCell ref="M144:M146"/>
    <mergeCell ref="M147:M149"/>
    <mergeCell ref="M150:M151"/>
    <mergeCell ref="M152:M153"/>
    <mergeCell ref="M138:M141"/>
    <mergeCell ref="M266:M268"/>
    <mergeCell ref="M126:M129"/>
    <mergeCell ref="M136:M137"/>
    <mergeCell ref="L1:M1"/>
    <mergeCell ref="M122:M123"/>
    <mergeCell ref="M104:M106"/>
    <mergeCell ref="M107:M109"/>
    <mergeCell ref="M110:M111"/>
    <mergeCell ref="M112:M113"/>
  </mergeCells>
  <phoneticPr fontId="17" type="noConversion"/>
  <conditionalFormatting sqref="H36:H58 H184:H242 H245:H288 H625:H633 H815 H817 H867 H869 H871 H873 H875 H877 H879 H881 H883 H885 H887 H896:H923 H926">
    <cfRule type="expression" dxfId="709" priority="542">
      <formula>H36=0</formula>
    </cfRule>
  </conditionalFormatting>
  <conditionalFormatting sqref="H60">
    <cfRule type="expression" dxfId="708" priority="458">
      <formula>H60=0</formula>
    </cfRule>
  </conditionalFormatting>
  <conditionalFormatting sqref="H62">
    <cfRule type="expression" dxfId="707" priority="325">
      <formula>H62=0</formula>
    </cfRule>
  </conditionalFormatting>
  <conditionalFormatting sqref="H65:H90">
    <cfRule type="expression" dxfId="706" priority="457">
      <formula>H65=0</formula>
    </cfRule>
  </conditionalFormatting>
  <conditionalFormatting sqref="H92">
    <cfRule type="expression" dxfId="705" priority="456">
      <formula>H92=0</formula>
    </cfRule>
  </conditionalFormatting>
  <conditionalFormatting sqref="H94">
    <cfRule type="expression" dxfId="704" priority="455">
      <formula>H94=0</formula>
    </cfRule>
  </conditionalFormatting>
  <conditionalFormatting sqref="H96">
    <cfRule type="expression" dxfId="703" priority="454">
      <formula>H96=0</formula>
    </cfRule>
  </conditionalFormatting>
  <conditionalFormatting sqref="H98">
    <cfRule type="expression" dxfId="702" priority="453">
      <formula>H98=0</formula>
    </cfRule>
  </conditionalFormatting>
  <conditionalFormatting sqref="H101:H169">
    <cfRule type="expression" dxfId="701" priority="173">
      <formula>H101=0</formula>
    </cfRule>
  </conditionalFormatting>
  <conditionalFormatting sqref="H171">
    <cfRule type="expression" dxfId="700" priority="451">
      <formula>H171=0</formula>
    </cfRule>
  </conditionalFormatting>
  <conditionalFormatting sqref="H175">
    <cfRule type="expression" dxfId="699" priority="450">
      <formula>H175=0</formula>
    </cfRule>
  </conditionalFormatting>
  <conditionalFormatting sqref="H177">
    <cfRule type="expression" dxfId="698" priority="449">
      <formula>H177=0</formula>
    </cfRule>
  </conditionalFormatting>
  <conditionalFormatting sqref="H179">
    <cfRule type="expression" dxfId="697" priority="448">
      <formula>H179=0</formula>
    </cfRule>
  </conditionalFormatting>
  <conditionalFormatting sqref="H181">
    <cfRule type="expression" dxfId="696" priority="447">
      <formula>H181=0</formula>
    </cfRule>
  </conditionalFormatting>
  <conditionalFormatting sqref="H290">
    <cfRule type="expression" dxfId="695" priority="178">
      <formula>H290=0</formula>
    </cfRule>
  </conditionalFormatting>
  <conditionalFormatting sqref="H292">
    <cfRule type="expression" dxfId="694" priority="446">
      <formula>H292=0</formula>
    </cfRule>
  </conditionalFormatting>
  <conditionalFormatting sqref="H295:H312">
    <cfRule type="expression" dxfId="693" priority="445">
      <formula>H295=0</formula>
    </cfRule>
  </conditionalFormatting>
  <conditionalFormatting sqref="H316:H321">
    <cfRule type="expression" dxfId="692" priority="249">
      <formula>H316=0</formula>
    </cfRule>
  </conditionalFormatting>
  <conditionalFormatting sqref="H323:H344">
    <cfRule type="expression" dxfId="691" priority="53">
      <formula>H323=0</formula>
    </cfRule>
  </conditionalFormatting>
  <conditionalFormatting sqref="H346:H385">
    <cfRule type="expression" dxfId="690" priority="206">
      <formula>H346=0</formula>
    </cfRule>
  </conditionalFormatting>
  <conditionalFormatting sqref="H387:H399">
    <cfRule type="expression" dxfId="689" priority="58">
      <formula>H387=0</formula>
    </cfRule>
  </conditionalFormatting>
  <conditionalFormatting sqref="H401">
    <cfRule type="expression" dxfId="688" priority="52">
      <formula>H401=0</formula>
    </cfRule>
  </conditionalFormatting>
  <conditionalFormatting sqref="H403">
    <cfRule type="expression" dxfId="687" priority="243">
      <formula>H403=0</formula>
    </cfRule>
  </conditionalFormatting>
  <conditionalFormatting sqref="H405">
    <cfRule type="expression" dxfId="686" priority="241">
      <formula>H405=0</formula>
    </cfRule>
  </conditionalFormatting>
  <conditionalFormatting sqref="H407">
    <cfRule type="expression" dxfId="685" priority="203">
      <formula>H407=0</formula>
    </cfRule>
  </conditionalFormatting>
  <conditionalFormatting sqref="H409">
    <cfRule type="expression" dxfId="684" priority="202">
      <formula>H409=0</formula>
    </cfRule>
  </conditionalFormatting>
  <conditionalFormatting sqref="H411">
    <cfRule type="expression" dxfId="683" priority="201">
      <formula>H411=0</formula>
    </cfRule>
  </conditionalFormatting>
  <conditionalFormatting sqref="H414:H438">
    <cfRule type="expression" dxfId="682" priority="444">
      <formula>H414=0</formula>
    </cfRule>
  </conditionalFormatting>
  <conditionalFormatting sqref="H440">
    <cfRule type="expression" dxfId="681" priority="443">
      <formula>H440=0</formula>
    </cfRule>
  </conditionalFormatting>
  <conditionalFormatting sqref="H442">
    <cfRule type="expression" dxfId="680" priority="442">
      <formula>H442=0</formula>
    </cfRule>
  </conditionalFormatting>
  <conditionalFormatting sqref="H444">
    <cfRule type="expression" dxfId="679" priority="441">
      <formula>H444=0</formula>
    </cfRule>
  </conditionalFormatting>
  <conditionalFormatting sqref="H446">
    <cfRule type="expression" dxfId="678" priority="440">
      <formula>H446=0</formula>
    </cfRule>
  </conditionalFormatting>
  <conditionalFormatting sqref="H449:H466">
    <cfRule type="expression" dxfId="677" priority="98">
      <formula>H449=0</formula>
    </cfRule>
  </conditionalFormatting>
  <conditionalFormatting sqref="H468">
    <cfRule type="expression" dxfId="676" priority="438">
      <formula>H468=0</formula>
    </cfRule>
  </conditionalFormatting>
  <conditionalFormatting sqref="H470">
    <cfRule type="expression" dxfId="675" priority="437">
      <formula>H470=0</formula>
    </cfRule>
  </conditionalFormatting>
  <conditionalFormatting sqref="H472">
    <cfRule type="expression" dxfId="674" priority="436">
      <formula>H472=0</formula>
    </cfRule>
  </conditionalFormatting>
  <conditionalFormatting sqref="H474">
    <cfRule type="expression" dxfId="673" priority="435">
      <formula>H474=0</formula>
    </cfRule>
  </conditionalFormatting>
  <conditionalFormatting sqref="H476">
    <cfRule type="expression" dxfId="672" priority="434">
      <formula>H476=0</formula>
    </cfRule>
  </conditionalFormatting>
  <conditionalFormatting sqref="H478">
    <cfRule type="expression" dxfId="671" priority="433">
      <formula>H478=0</formula>
    </cfRule>
  </conditionalFormatting>
  <conditionalFormatting sqref="H480">
    <cfRule type="expression" dxfId="670" priority="432">
      <formula>H480=0</formula>
    </cfRule>
  </conditionalFormatting>
  <conditionalFormatting sqref="H482">
    <cfRule type="expression" dxfId="669" priority="431">
      <formula>H482=0</formula>
    </cfRule>
  </conditionalFormatting>
  <conditionalFormatting sqref="H484">
    <cfRule type="expression" dxfId="668" priority="430">
      <formula>H484=0</formula>
    </cfRule>
  </conditionalFormatting>
  <conditionalFormatting sqref="H486">
    <cfRule type="expression" dxfId="667" priority="429">
      <formula>H486=0</formula>
    </cfRule>
  </conditionalFormatting>
  <conditionalFormatting sqref="H488">
    <cfRule type="expression" dxfId="666" priority="428">
      <formula>H488=0</formula>
    </cfRule>
  </conditionalFormatting>
  <conditionalFormatting sqref="H490">
    <cfRule type="expression" dxfId="665" priority="427">
      <formula>H490=0</formula>
    </cfRule>
  </conditionalFormatting>
  <conditionalFormatting sqref="H492">
    <cfRule type="expression" dxfId="664" priority="426">
      <formula>H492=0</formula>
    </cfRule>
  </conditionalFormatting>
  <conditionalFormatting sqref="H494">
    <cfRule type="expression" dxfId="663" priority="425">
      <formula>H494=0</formula>
    </cfRule>
  </conditionalFormatting>
  <conditionalFormatting sqref="H496">
    <cfRule type="expression" dxfId="662" priority="424">
      <formula>H496=0</formula>
    </cfRule>
  </conditionalFormatting>
  <conditionalFormatting sqref="H498">
    <cfRule type="expression" dxfId="661" priority="423">
      <formula>H498=0</formula>
    </cfRule>
  </conditionalFormatting>
  <conditionalFormatting sqref="H500">
    <cfRule type="expression" dxfId="660" priority="422">
      <formula>H500=0</formula>
    </cfRule>
  </conditionalFormatting>
  <conditionalFormatting sqref="H502">
    <cfRule type="expression" dxfId="659" priority="421">
      <formula>H502=0</formula>
    </cfRule>
  </conditionalFormatting>
  <conditionalFormatting sqref="H504">
    <cfRule type="expression" dxfId="658" priority="420">
      <formula>H504=0</formula>
    </cfRule>
  </conditionalFormatting>
  <conditionalFormatting sqref="H507:H542">
    <cfRule type="expression" dxfId="657" priority="419">
      <formula>H507=0</formula>
    </cfRule>
  </conditionalFormatting>
  <conditionalFormatting sqref="H544">
    <cfRule type="expression" dxfId="656" priority="418">
      <formula>H544=0</formula>
    </cfRule>
  </conditionalFormatting>
  <conditionalFormatting sqref="H546">
    <cfRule type="expression" dxfId="655" priority="417">
      <formula>H546=0</formula>
    </cfRule>
  </conditionalFormatting>
  <conditionalFormatting sqref="H548">
    <cfRule type="expression" dxfId="654" priority="416">
      <formula>H548=0</formula>
    </cfRule>
  </conditionalFormatting>
  <conditionalFormatting sqref="H550">
    <cfRule type="expression" dxfId="653" priority="415">
      <formula>H550=0</formula>
    </cfRule>
  </conditionalFormatting>
  <conditionalFormatting sqref="H552">
    <cfRule type="expression" dxfId="652" priority="414">
      <formula>H552=0</formula>
    </cfRule>
  </conditionalFormatting>
  <conditionalFormatting sqref="H554">
    <cfRule type="expression" dxfId="651" priority="413">
      <formula>H554=0</formula>
    </cfRule>
  </conditionalFormatting>
  <conditionalFormatting sqref="H556">
    <cfRule type="expression" dxfId="650" priority="412">
      <formula>H556=0</formula>
    </cfRule>
  </conditionalFormatting>
  <conditionalFormatting sqref="H558">
    <cfRule type="expression" dxfId="649" priority="411">
      <formula>H558=0</formula>
    </cfRule>
  </conditionalFormatting>
  <conditionalFormatting sqref="H560">
    <cfRule type="expression" dxfId="648" priority="410">
      <formula>H560=0</formula>
    </cfRule>
  </conditionalFormatting>
  <conditionalFormatting sqref="H562">
    <cfRule type="expression" dxfId="647" priority="409">
      <formula>H562=0</formula>
    </cfRule>
  </conditionalFormatting>
  <conditionalFormatting sqref="H564">
    <cfRule type="expression" dxfId="646" priority="408">
      <formula>H564=0</formula>
    </cfRule>
  </conditionalFormatting>
  <conditionalFormatting sqref="H566">
    <cfRule type="expression" dxfId="645" priority="407">
      <formula>H566=0</formula>
    </cfRule>
  </conditionalFormatting>
  <conditionalFormatting sqref="H568">
    <cfRule type="expression" dxfId="644" priority="406">
      <formula>H568=0</formula>
    </cfRule>
  </conditionalFormatting>
  <conditionalFormatting sqref="H570">
    <cfRule type="expression" dxfId="643" priority="405">
      <formula>H570=0</formula>
    </cfRule>
  </conditionalFormatting>
  <conditionalFormatting sqref="H572">
    <cfRule type="expression" dxfId="642" priority="404">
      <formula>H572=0</formula>
    </cfRule>
  </conditionalFormatting>
  <conditionalFormatting sqref="H574">
    <cfRule type="expression" dxfId="641" priority="403">
      <formula>H574=0</formula>
    </cfRule>
  </conditionalFormatting>
  <conditionalFormatting sqref="H576">
    <cfRule type="expression" dxfId="640" priority="402">
      <formula>H576=0</formula>
    </cfRule>
  </conditionalFormatting>
  <conditionalFormatting sqref="H578">
    <cfRule type="expression" dxfId="639" priority="401">
      <formula>H578=0</formula>
    </cfRule>
  </conditionalFormatting>
  <conditionalFormatting sqref="H580">
    <cfRule type="expression" dxfId="638" priority="400">
      <formula>H580=0</formula>
    </cfRule>
  </conditionalFormatting>
  <conditionalFormatting sqref="H583:H598">
    <cfRule type="expression" dxfId="637" priority="399">
      <formula>H583=0</formula>
    </cfRule>
  </conditionalFormatting>
  <conditionalFormatting sqref="H600">
    <cfRule type="expression" dxfId="636" priority="398">
      <formula>H600=0</formula>
    </cfRule>
  </conditionalFormatting>
  <conditionalFormatting sqref="H602">
    <cfRule type="expression" dxfId="635" priority="397">
      <formula>H602=0</formula>
    </cfRule>
  </conditionalFormatting>
  <conditionalFormatting sqref="H604">
    <cfRule type="expression" dxfId="634" priority="396">
      <formula>H604=0</formula>
    </cfRule>
  </conditionalFormatting>
  <conditionalFormatting sqref="H606">
    <cfRule type="expression" dxfId="633" priority="395">
      <formula>H606=0</formula>
    </cfRule>
  </conditionalFormatting>
  <conditionalFormatting sqref="H608">
    <cfRule type="expression" dxfId="632" priority="394">
      <formula>H608=0</formula>
    </cfRule>
  </conditionalFormatting>
  <conditionalFormatting sqref="H610">
    <cfRule type="expression" dxfId="631" priority="393">
      <formula>H610=0</formula>
    </cfRule>
  </conditionalFormatting>
  <conditionalFormatting sqref="H612">
    <cfRule type="expression" dxfId="630" priority="392">
      <formula>H612=0</formula>
    </cfRule>
  </conditionalFormatting>
  <conditionalFormatting sqref="H614">
    <cfRule type="expression" dxfId="629" priority="391">
      <formula>H614=0</formula>
    </cfRule>
  </conditionalFormatting>
  <conditionalFormatting sqref="H616">
    <cfRule type="expression" dxfId="628" priority="390">
      <formula>H616=0</formula>
    </cfRule>
  </conditionalFormatting>
  <conditionalFormatting sqref="H618">
    <cfRule type="expression" dxfId="627" priority="389">
      <formula>H618=0</formula>
    </cfRule>
  </conditionalFormatting>
  <conditionalFormatting sqref="H620">
    <cfRule type="expression" dxfId="626" priority="388">
      <formula>H620=0</formula>
    </cfRule>
  </conditionalFormatting>
  <conditionalFormatting sqref="H622">
    <cfRule type="expression" dxfId="625" priority="387">
      <formula>H622=0</formula>
    </cfRule>
  </conditionalFormatting>
  <conditionalFormatting sqref="H635">
    <cfRule type="expression" dxfId="624" priority="385">
      <formula>H635=0</formula>
    </cfRule>
  </conditionalFormatting>
  <conditionalFormatting sqref="H637">
    <cfRule type="expression" dxfId="623" priority="384">
      <formula>H637=0</formula>
    </cfRule>
  </conditionalFormatting>
  <conditionalFormatting sqref="H639">
    <cfRule type="expression" dxfId="622" priority="383">
      <formula>H639=0</formula>
    </cfRule>
  </conditionalFormatting>
  <conditionalFormatting sqref="H641">
    <cfRule type="expression" dxfId="621" priority="382">
      <formula>H641=0</formula>
    </cfRule>
  </conditionalFormatting>
  <conditionalFormatting sqref="H643">
    <cfRule type="expression" dxfId="620" priority="381">
      <formula>H643=0</formula>
    </cfRule>
  </conditionalFormatting>
  <conditionalFormatting sqref="H646:H675">
    <cfRule type="expression" dxfId="619" priority="96">
      <formula>H646=0</formula>
    </cfRule>
  </conditionalFormatting>
  <conditionalFormatting sqref="H677">
    <cfRule type="expression" dxfId="618" priority="379">
      <formula>H677=0</formula>
    </cfRule>
  </conditionalFormatting>
  <conditionalFormatting sqref="H679">
    <cfRule type="expression" dxfId="617" priority="378">
      <formula>H679=0</formula>
    </cfRule>
  </conditionalFormatting>
  <conditionalFormatting sqref="H681">
    <cfRule type="expression" dxfId="616" priority="377">
      <formula>H681=0</formula>
    </cfRule>
  </conditionalFormatting>
  <conditionalFormatting sqref="H683">
    <cfRule type="expression" dxfId="615" priority="376">
      <formula>H683=0</formula>
    </cfRule>
  </conditionalFormatting>
  <conditionalFormatting sqref="H685">
    <cfRule type="expression" dxfId="614" priority="375">
      <formula>H685=0</formula>
    </cfRule>
  </conditionalFormatting>
  <conditionalFormatting sqref="H687">
    <cfRule type="expression" dxfId="613" priority="374">
      <formula>H687=0</formula>
    </cfRule>
  </conditionalFormatting>
  <conditionalFormatting sqref="H689">
    <cfRule type="expression" dxfId="612" priority="373">
      <formula>H689=0</formula>
    </cfRule>
  </conditionalFormatting>
  <conditionalFormatting sqref="H691">
    <cfRule type="expression" dxfId="611" priority="372">
      <formula>H691=0</formula>
    </cfRule>
  </conditionalFormatting>
  <conditionalFormatting sqref="H693">
    <cfRule type="expression" dxfId="610" priority="371">
      <formula>H693=0</formula>
    </cfRule>
  </conditionalFormatting>
  <conditionalFormatting sqref="H695">
    <cfRule type="expression" dxfId="609" priority="370">
      <formula>H695=0</formula>
    </cfRule>
  </conditionalFormatting>
  <conditionalFormatting sqref="H697">
    <cfRule type="expression" dxfId="608" priority="369">
      <formula>H697=0</formula>
    </cfRule>
  </conditionalFormatting>
  <conditionalFormatting sqref="H699">
    <cfRule type="expression" dxfId="607" priority="368">
      <formula>H699=0</formula>
    </cfRule>
  </conditionalFormatting>
  <conditionalFormatting sqref="H701">
    <cfRule type="expression" dxfId="606" priority="367">
      <formula>H701=0</formula>
    </cfRule>
  </conditionalFormatting>
  <conditionalFormatting sqref="H703">
    <cfRule type="expression" dxfId="605" priority="366">
      <formula>H703=0</formula>
    </cfRule>
  </conditionalFormatting>
  <conditionalFormatting sqref="H705">
    <cfRule type="expression" dxfId="604" priority="365">
      <formula>H705=0</formula>
    </cfRule>
  </conditionalFormatting>
  <conditionalFormatting sqref="H707">
    <cfRule type="expression" dxfId="603" priority="364">
      <formula>H707=0</formula>
    </cfRule>
  </conditionalFormatting>
  <conditionalFormatting sqref="H709">
    <cfRule type="expression" dxfId="602" priority="363">
      <formula>H709=0</formula>
    </cfRule>
  </conditionalFormatting>
  <conditionalFormatting sqref="H711">
    <cfRule type="expression" dxfId="601" priority="362">
      <formula>H711=0</formula>
    </cfRule>
  </conditionalFormatting>
  <conditionalFormatting sqref="H713">
    <cfRule type="expression" dxfId="600" priority="361">
      <formula>H713=0</formula>
    </cfRule>
  </conditionalFormatting>
  <conditionalFormatting sqref="H715">
    <cfRule type="expression" dxfId="599" priority="360">
      <formula>H715=0</formula>
    </cfRule>
  </conditionalFormatting>
  <conditionalFormatting sqref="H717">
    <cfRule type="expression" dxfId="598" priority="359">
      <formula>H717=0</formula>
    </cfRule>
  </conditionalFormatting>
  <conditionalFormatting sqref="H720:H748">
    <cfRule type="expression" dxfId="597" priority="337">
      <formula>H720=0</formula>
    </cfRule>
  </conditionalFormatting>
  <conditionalFormatting sqref="H750">
    <cfRule type="expression" dxfId="596" priority="357">
      <formula>H750=0</formula>
    </cfRule>
  </conditionalFormatting>
  <conditionalFormatting sqref="H753:H784">
    <cfRule type="expression" dxfId="595" priority="184">
      <formula>H753=0</formula>
    </cfRule>
  </conditionalFormatting>
  <conditionalFormatting sqref="H786">
    <cfRule type="expression" dxfId="594" priority="355">
      <formula>H786=0</formula>
    </cfRule>
  </conditionalFormatting>
  <conditionalFormatting sqref="H788">
    <cfRule type="expression" dxfId="593" priority="354">
      <formula>H788=0</formula>
    </cfRule>
  </conditionalFormatting>
  <conditionalFormatting sqref="H790">
    <cfRule type="expression" dxfId="592" priority="171">
      <formula>H790=0</formula>
    </cfRule>
  </conditionalFormatting>
  <conditionalFormatting sqref="H792">
    <cfRule type="expression" dxfId="591" priority="181">
      <formula>H792=0</formula>
    </cfRule>
  </conditionalFormatting>
  <conditionalFormatting sqref="H794">
    <cfRule type="expression" dxfId="590" priority="353">
      <formula>H794=0</formula>
    </cfRule>
  </conditionalFormatting>
  <conditionalFormatting sqref="H797:H813">
    <cfRule type="expression" dxfId="589" priority="352">
      <formula>H797=0</formula>
    </cfRule>
  </conditionalFormatting>
  <conditionalFormatting sqref="H819">
    <cfRule type="expression" dxfId="588" priority="351">
      <formula>H819=0</formula>
    </cfRule>
  </conditionalFormatting>
  <conditionalFormatting sqref="H821">
    <cfRule type="expression" dxfId="587" priority="350">
      <formula>H821=0</formula>
    </cfRule>
  </conditionalFormatting>
  <conditionalFormatting sqref="H823">
    <cfRule type="expression" dxfId="586" priority="349">
      <formula>H823=0</formula>
    </cfRule>
  </conditionalFormatting>
  <conditionalFormatting sqref="H825">
    <cfRule type="expression" dxfId="585" priority="348">
      <formula>H825=0</formula>
    </cfRule>
  </conditionalFormatting>
  <conditionalFormatting sqref="H827">
    <cfRule type="expression" dxfId="584" priority="347">
      <formula>H827=0</formula>
    </cfRule>
  </conditionalFormatting>
  <conditionalFormatting sqref="H829">
    <cfRule type="expression" dxfId="583" priority="346">
      <formula>H829=0</formula>
    </cfRule>
  </conditionalFormatting>
  <conditionalFormatting sqref="H831">
    <cfRule type="expression" dxfId="582" priority="345">
      <formula>H831=0</formula>
    </cfRule>
  </conditionalFormatting>
  <conditionalFormatting sqref="H834:H863">
    <cfRule type="expression" dxfId="581" priority="523">
      <formula>H834=0</formula>
    </cfRule>
  </conditionalFormatting>
  <conditionalFormatting sqref="H865">
    <cfRule type="expression" dxfId="580" priority="344">
      <formula>H865=0</formula>
    </cfRule>
  </conditionalFormatting>
  <conditionalFormatting sqref="H889 H891 H893">
    <cfRule type="expression" dxfId="579" priority="534">
      <formula>H889=0</formula>
    </cfRule>
  </conditionalFormatting>
  <conditionalFormatting sqref="H929:H965">
    <cfRule type="expression" dxfId="578" priority="197">
      <formula>H929=0</formula>
    </cfRule>
  </conditionalFormatting>
  <conditionalFormatting sqref="I36:I58">
    <cfRule type="cellIs" dxfId="577" priority="324" operator="equal">
      <formula>G36</formula>
    </cfRule>
  </conditionalFormatting>
  <conditionalFormatting sqref="I60 I65:I89 I92 I94 I96 I171 I173 I175 I177 I179 I181 I472 I476 I486 I500 I548 I556 I562 I566 I635 I637 I639 I641 I643 I893">
    <cfRule type="cellIs" dxfId="576" priority="1623" operator="equal">
      <formula>G60</formula>
    </cfRule>
  </conditionalFormatting>
  <conditionalFormatting sqref="I62">
    <cfRule type="cellIs" dxfId="575" priority="326" operator="equal">
      <formula>G62</formula>
    </cfRule>
  </conditionalFormatting>
  <conditionalFormatting sqref="I98">
    <cfRule type="cellIs" dxfId="574" priority="1270" operator="equal">
      <formula>G98</formula>
    </cfRule>
  </conditionalFormatting>
  <conditionalFormatting sqref="I101:I169">
    <cfRule type="cellIs" dxfId="573" priority="60" operator="equal">
      <formula>G101</formula>
    </cfRule>
  </conditionalFormatting>
  <conditionalFormatting sqref="I184:I242">
    <cfRule type="cellIs" dxfId="572" priority="74" operator="equal">
      <formula>G184</formula>
    </cfRule>
  </conditionalFormatting>
  <conditionalFormatting sqref="I245:I288 I926">
    <cfRule type="cellIs" dxfId="571" priority="1501" operator="equal">
      <formula>G245</formula>
    </cfRule>
  </conditionalFormatting>
  <conditionalFormatting sqref="I290">
    <cfRule type="cellIs" dxfId="570" priority="180" operator="equal">
      <formula>G290</formula>
    </cfRule>
  </conditionalFormatting>
  <conditionalFormatting sqref="I292">
    <cfRule type="cellIs" dxfId="569" priority="1241" operator="equal">
      <formula>G292</formula>
    </cfRule>
  </conditionalFormatting>
  <conditionalFormatting sqref="I295:I312">
    <cfRule type="cellIs" dxfId="568" priority="1236" operator="equal">
      <formula>G295</formula>
    </cfRule>
  </conditionalFormatting>
  <conditionalFormatting sqref="I316:I321">
    <cfRule type="cellIs" dxfId="567" priority="250" operator="equal">
      <formula>G316</formula>
    </cfRule>
  </conditionalFormatting>
  <conditionalFormatting sqref="I323:I344">
    <cfRule type="cellIs" dxfId="566" priority="55" operator="equal">
      <formula>G323</formula>
    </cfRule>
  </conditionalFormatting>
  <conditionalFormatting sqref="I346:I385">
    <cfRule type="cellIs" dxfId="565" priority="209" operator="equal">
      <formula>G346</formula>
    </cfRule>
  </conditionalFormatting>
  <conditionalFormatting sqref="I387:I399">
    <cfRule type="cellIs" dxfId="564" priority="57" operator="equal">
      <formula>G387</formula>
    </cfRule>
  </conditionalFormatting>
  <conditionalFormatting sqref="I401">
    <cfRule type="cellIs" dxfId="563" priority="244" operator="equal">
      <formula>G401</formula>
    </cfRule>
  </conditionalFormatting>
  <conditionalFormatting sqref="I403">
    <cfRule type="cellIs" dxfId="562" priority="242" operator="equal">
      <formula>G403</formula>
    </cfRule>
  </conditionalFormatting>
  <conditionalFormatting sqref="I405">
    <cfRule type="cellIs" dxfId="561" priority="240" operator="equal">
      <formula>G405</formula>
    </cfRule>
  </conditionalFormatting>
  <conditionalFormatting sqref="I407">
    <cfRule type="cellIs" dxfId="560" priority="229" operator="equal">
      <formula>G407</formula>
    </cfRule>
  </conditionalFormatting>
  <conditionalFormatting sqref="I409">
    <cfRule type="cellIs" dxfId="559" priority="238" operator="equal">
      <formula>G409</formula>
    </cfRule>
  </conditionalFormatting>
  <conditionalFormatting sqref="I411">
    <cfRule type="cellIs" dxfId="558" priority="236" operator="equal">
      <formula>G411</formula>
    </cfRule>
  </conditionalFormatting>
  <conditionalFormatting sqref="I414:I438">
    <cfRule type="cellIs" dxfId="557" priority="68" operator="equal">
      <formula>G414</formula>
    </cfRule>
  </conditionalFormatting>
  <conditionalFormatting sqref="I440">
    <cfRule type="cellIs" dxfId="556" priority="10" operator="equal">
      <formula>G440</formula>
    </cfRule>
  </conditionalFormatting>
  <conditionalFormatting sqref="I442">
    <cfRule type="cellIs" dxfId="555" priority="7" operator="equal">
      <formula>G442</formula>
    </cfRule>
  </conditionalFormatting>
  <conditionalFormatting sqref="I444">
    <cfRule type="cellIs" dxfId="554" priority="4" operator="equal">
      <formula>G444</formula>
    </cfRule>
  </conditionalFormatting>
  <conditionalFormatting sqref="I446">
    <cfRule type="cellIs" dxfId="553" priority="1" operator="equal">
      <formula>G446</formula>
    </cfRule>
  </conditionalFormatting>
  <conditionalFormatting sqref="I449:I466">
    <cfRule type="cellIs" dxfId="552" priority="99" operator="equal">
      <formula>G449</formula>
    </cfRule>
  </conditionalFormatting>
  <conditionalFormatting sqref="I468">
    <cfRule type="cellIs" dxfId="551" priority="1063" operator="equal">
      <formula>G468</formula>
    </cfRule>
  </conditionalFormatting>
  <conditionalFormatting sqref="I470">
    <cfRule type="cellIs" dxfId="550" priority="1220" operator="equal">
      <formula>G470</formula>
    </cfRule>
  </conditionalFormatting>
  <conditionalFormatting sqref="I474">
    <cfRule type="cellIs" dxfId="549" priority="1232" operator="equal">
      <formula>G474</formula>
    </cfRule>
  </conditionalFormatting>
  <conditionalFormatting sqref="I478">
    <cfRule type="cellIs" dxfId="548" priority="1226" operator="equal">
      <formula>G478</formula>
    </cfRule>
  </conditionalFormatting>
  <conditionalFormatting sqref="I480">
    <cfRule type="cellIs" dxfId="547" priority="1223" operator="equal">
      <formula>G480</formula>
    </cfRule>
  </conditionalFormatting>
  <conditionalFormatting sqref="I482">
    <cfRule type="cellIs" dxfId="546" priority="1205" operator="equal">
      <formula>G482</formula>
    </cfRule>
  </conditionalFormatting>
  <conditionalFormatting sqref="I484">
    <cfRule type="cellIs" dxfId="545" priority="1193" operator="equal">
      <formula>G484</formula>
    </cfRule>
  </conditionalFormatting>
  <conditionalFormatting sqref="I488">
    <cfRule type="cellIs" dxfId="544" priority="1624" operator="equal">
      <formula>G488</formula>
    </cfRule>
  </conditionalFormatting>
  <conditionalFormatting sqref="I490">
    <cfRule type="cellIs" dxfId="543" priority="1196" operator="equal">
      <formula>G490</formula>
    </cfRule>
  </conditionalFormatting>
  <conditionalFormatting sqref="I492">
    <cfRule type="cellIs" dxfId="542" priority="1190" operator="equal">
      <formula>G492</formula>
    </cfRule>
  </conditionalFormatting>
  <conditionalFormatting sqref="I494">
    <cfRule type="cellIs" dxfId="541" priority="1202" operator="equal">
      <formula>G494</formula>
    </cfRule>
  </conditionalFormatting>
  <conditionalFormatting sqref="I496">
    <cfRule type="cellIs" dxfId="540" priority="1199" operator="equal">
      <formula>G496</formula>
    </cfRule>
  </conditionalFormatting>
  <conditionalFormatting sqref="I498">
    <cfRule type="cellIs" dxfId="539" priority="1217" operator="equal">
      <formula>G498</formula>
    </cfRule>
  </conditionalFormatting>
  <conditionalFormatting sqref="I502">
    <cfRule type="cellIs" dxfId="538" priority="926" operator="equal">
      <formula>G502</formula>
    </cfRule>
  </conditionalFormatting>
  <conditionalFormatting sqref="I504">
    <cfRule type="cellIs" dxfId="537" priority="1211" operator="equal">
      <formula>G504</formula>
    </cfRule>
  </conditionalFormatting>
  <conditionalFormatting sqref="I507:I542">
    <cfRule type="cellIs" dxfId="536" priority="466" operator="equal">
      <formula>G507</formula>
    </cfRule>
  </conditionalFormatting>
  <conditionalFormatting sqref="I544">
    <cfRule type="cellIs" dxfId="535" priority="1060" operator="equal">
      <formula>G544</formula>
    </cfRule>
  </conditionalFormatting>
  <conditionalFormatting sqref="I546">
    <cfRule type="cellIs" dxfId="534" priority="874" operator="equal">
      <formula>G546</formula>
    </cfRule>
  </conditionalFormatting>
  <conditionalFormatting sqref="I550">
    <cfRule type="cellIs" dxfId="533" priority="1128" operator="equal">
      <formula>G550</formula>
    </cfRule>
  </conditionalFormatting>
  <conditionalFormatting sqref="I552">
    <cfRule type="cellIs" dxfId="532" priority="1085" operator="equal">
      <formula>G552</formula>
    </cfRule>
  </conditionalFormatting>
  <conditionalFormatting sqref="I554">
    <cfRule type="cellIs" dxfId="531" priority="1126" operator="equal">
      <formula>G554</formula>
    </cfRule>
  </conditionalFormatting>
  <conditionalFormatting sqref="I558">
    <cfRule type="cellIs" dxfId="530" priority="1117" operator="equal">
      <formula>G558</formula>
    </cfRule>
  </conditionalFormatting>
  <conditionalFormatting sqref="I560 I576">
    <cfRule type="cellIs" dxfId="529" priority="1131" operator="equal">
      <formula>G560</formula>
    </cfRule>
  </conditionalFormatting>
  <conditionalFormatting sqref="I564">
    <cfRule type="cellIs" dxfId="528" priority="1118" operator="equal">
      <formula>G564</formula>
    </cfRule>
  </conditionalFormatting>
  <conditionalFormatting sqref="I568">
    <cfRule type="cellIs" dxfId="527" priority="1054" operator="equal">
      <formula>G568</formula>
    </cfRule>
  </conditionalFormatting>
  <conditionalFormatting sqref="I570">
    <cfRule type="cellIs" dxfId="526" priority="1120" operator="equal">
      <formula>G570</formula>
    </cfRule>
  </conditionalFormatting>
  <conditionalFormatting sqref="I572">
    <cfRule type="cellIs" dxfId="525" priority="1119" operator="equal">
      <formula>G572</formula>
    </cfRule>
  </conditionalFormatting>
  <conditionalFormatting sqref="I574">
    <cfRule type="cellIs" dxfId="524" priority="1123" operator="equal">
      <formula>G574</formula>
    </cfRule>
  </conditionalFormatting>
  <conditionalFormatting sqref="I578">
    <cfRule type="cellIs" dxfId="523" priority="921" operator="equal">
      <formula>G578</formula>
    </cfRule>
  </conditionalFormatting>
  <conditionalFormatting sqref="I580">
    <cfRule type="cellIs" dxfId="522" priority="1122" operator="equal">
      <formula>G580</formula>
    </cfRule>
  </conditionalFormatting>
  <conditionalFormatting sqref="I583:I598">
    <cfRule type="cellIs" dxfId="521" priority="946" operator="equal">
      <formula>G583</formula>
    </cfRule>
  </conditionalFormatting>
  <conditionalFormatting sqref="I600 I602 I604 I606">
    <cfRule type="cellIs" dxfId="520" priority="936" operator="equal">
      <formula>G600</formula>
    </cfRule>
  </conditionalFormatting>
  <conditionalFormatting sqref="I608">
    <cfRule type="cellIs" dxfId="519" priority="931" operator="equal">
      <formula>G608</formula>
    </cfRule>
  </conditionalFormatting>
  <conditionalFormatting sqref="I610">
    <cfRule type="cellIs" dxfId="518" priority="941" operator="equal">
      <formula>G610</formula>
    </cfRule>
  </conditionalFormatting>
  <conditionalFormatting sqref="I612">
    <cfRule type="cellIs" dxfId="517" priority="976" operator="equal">
      <formula>G612</formula>
    </cfRule>
  </conditionalFormatting>
  <conditionalFormatting sqref="I614">
    <cfRule type="cellIs" dxfId="516" priority="961" operator="equal">
      <formula>G614</formula>
    </cfRule>
  </conditionalFormatting>
  <conditionalFormatting sqref="I616">
    <cfRule type="cellIs" dxfId="515" priority="960" operator="equal">
      <formula>G616</formula>
    </cfRule>
  </conditionalFormatting>
  <conditionalFormatting sqref="I618">
    <cfRule type="cellIs" dxfId="514" priority="977" operator="equal">
      <formula>G618</formula>
    </cfRule>
  </conditionalFormatting>
  <conditionalFormatting sqref="I620">
    <cfRule type="cellIs" dxfId="513" priority="915" operator="equal">
      <formula>G620</formula>
    </cfRule>
  </conditionalFormatting>
  <conditionalFormatting sqref="I622">
    <cfRule type="cellIs" dxfId="512" priority="955" operator="equal">
      <formula>G622</formula>
    </cfRule>
  </conditionalFormatting>
  <conditionalFormatting sqref="I625:I633">
    <cfRule type="cellIs" dxfId="511" priority="526" operator="equal">
      <formula>G625</formula>
    </cfRule>
  </conditionalFormatting>
  <conditionalFormatting sqref="I646:I675">
    <cfRule type="cellIs" dxfId="510" priority="97" operator="equal">
      <formula>G646</formula>
    </cfRule>
  </conditionalFormatting>
  <conditionalFormatting sqref="I677">
    <cfRule type="cellIs" dxfId="509" priority="551" operator="equal">
      <formula>G677</formula>
    </cfRule>
  </conditionalFormatting>
  <conditionalFormatting sqref="I679">
    <cfRule type="cellIs" dxfId="508" priority="548" operator="equal">
      <formula>G679</formula>
    </cfRule>
  </conditionalFormatting>
  <conditionalFormatting sqref="I681">
    <cfRule type="cellIs" dxfId="507" priority="545" operator="equal">
      <formula>G681</formula>
    </cfRule>
  </conditionalFormatting>
  <conditionalFormatting sqref="I683">
    <cfRule type="cellIs" dxfId="506" priority="718" operator="equal">
      <formula>G683</formula>
    </cfRule>
  </conditionalFormatting>
  <conditionalFormatting sqref="I685">
    <cfRule type="cellIs" dxfId="505" priority="715" operator="equal">
      <formula>G685</formula>
    </cfRule>
  </conditionalFormatting>
  <conditionalFormatting sqref="I687">
    <cfRule type="cellIs" dxfId="504" priority="712" operator="equal">
      <formula>G687</formula>
    </cfRule>
  </conditionalFormatting>
  <conditionalFormatting sqref="I689">
    <cfRule type="cellIs" dxfId="503" priority="709" operator="equal">
      <formula>G689</formula>
    </cfRule>
  </conditionalFormatting>
  <conditionalFormatting sqref="I691">
    <cfRule type="cellIs" dxfId="502" priority="706" operator="equal">
      <formula>G691</formula>
    </cfRule>
  </conditionalFormatting>
  <conditionalFormatting sqref="I693">
    <cfRule type="cellIs" dxfId="501" priority="703" operator="equal">
      <formula>G693</formula>
    </cfRule>
  </conditionalFormatting>
  <conditionalFormatting sqref="I695">
    <cfRule type="cellIs" dxfId="500" priority="700" operator="equal">
      <formula>G695</formula>
    </cfRule>
  </conditionalFormatting>
  <conditionalFormatting sqref="I697">
    <cfRule type="cellIs" dxfId="499" priority="697" operator="equal">
      <formula>G697</formula>
    </cfRule>
  </conditionalFormatting>
  <conditionalFormatting sqref="I699">
    <cfRule type="cellIs" dxfId="498" priority="694" operator="equal">
      <formula>G699</formula>
    </cfRule>
  </conditionalFormatting>
  <conditionalFormatting sqref="I701">
    <cfRule type="cellIs" dxfId="497" priority="691" operator="equal">
      <formula>G701</formula>
    </cfRule>
  </conditionalFormatting>
  <conditionalFormatting sqref="I703">
    <cfRule type="cellIs" dxfId="496" priority="688" operator="equal">
      <formula>G703</formula>
    </cfRule>
  </conditionalFormatting>
  <conditionalFormatting sqref="I705">
    <cfRule type="cellIs" dxfId="495" priority="685" operator="equal">
      <formula>G705</formula>
    </cfRule>
  </conditionalFormatting>
  <conditionalFormatting sqref="I707">
    <cfRule type="cellIs" dxfId="494" priority="682" operator="equal">
      <formula>G707</formula>
    </cfRule>
  </conditionalFormatting>
  <conditionalFormatting sqref="I709">
    <cfRule type="cellIs" dxfId="493" priority="679" operator="equal">
      <formula>G709</formula>
    </cfRule>
  </conditionalFormatting>
  <conditionalFormatting sqref="I711">
    <cfRule type="cellIs" dxfId="492" priority="676" operator="equal">
      <formula>G711</formula>
    </cfRule>
  </conditionalFormatting>
  <conditionalFormatting sqref="I713">
    <cfRule type="cellIs" dxfId="491" priority="673" operator="equal">
      <formula>G713</formula>
    </cfRule>
  </conditionalFormatting>
  <conditionalFormatting sqref="I715">
    <cfRule type="cellIs" dxfId="490" priority="670" operator="equal">
      <formula>G715</formula>
    </cfRule>
  </conditionalFormatting>
  <conditionalFormatting sqref="I717">
    <cfRule type="cellIs" dxfId="489" priority="667" operator="equal">
      <formula>G717</formula>
    </cfRule>
  </conditionalFormatting>
  <conditionalFormatting sqref="I720:I748">
    <cfRule type="cellIs" dxfId="488" priority="339" operator="equal">
      <formula>G720</formula>
    </cfRule>
  </conditionalFormatting>
  <conditionalFormatting sqref="I750">
    <cfRule type="cellIs" dxfId="487" priority="646" operator="equal">
      <formula>G750</formula>
    </cfRule>
  </conditionalFormatting>
  <conditionalFormatting sqref="I753:I784">
    <cfRule type="cellIs" dxfId="486" priority="72" operator="equal">
      <formula>G753</formula>
    </cfRule>
  </conditionalFormatting>
  <conditionalFormatting sqref="I786 I788 I794">
    <cfRule type="cellIs" dxfId="485" priority="568" operator="equal">
      <formula>G786</formula>
    </cfRule>
  </conditionalFormatting>
  <conditionalFormatting sqref="I790">
    <cfRule type="cellIs" dxfId="484" priority="172" operator="equal">
      <formula>G790</formula>
    </cfRule>
  </conditionalFormatting>
  <conditionalFormatting sqref="I792">
    <cfRule type="cellIs" dxfId="483" priority="182" operator="equal">
      <formula>G792</formula>
    </cfRule>
  </conditionalFormatting>
  <conditionalFormatting sqref="I797:I813">
    <cfRule type="cellIs" dxfId="482" priority="514" operator="equal">
      <formula>G797</formula>
    </cfRule>
  </conditionalFormatting>
  <conditionalFormatting sqref="I815">
    <cfRule type="cellIs" dxfId="481" priority="509" operator="equal">
      <formula>G815</formula>
    </cfRule>
  </conditionalFormatting>
  <conditionalFormatting sqref="I817">
    <cfRule type="cellIs" dxfId="480" priority="507" operator="equal">
      <formula>G817</formula>
    </cfRule>
  </conditionalFormatting>
  <conditionalFormatting sqref="I819">
    <cfRule type="cellIs" dxfId="479" priority="493" operator="equal">
      <formula>G819</formula>
    </cfRule>
  </conditionalFormatting>
  <conditionalFormatting sqref="I821">
    <cfRule type="cellIs" dxfId="478" priority="505" operator="equal">
      <formula>G821</formula>
    </cfRule>
  </conditionalFormatting>
  <conditionalFormatting sqref="I823">
    <cfRule type="cellIs" dxfId="477" priority="503" operator="equal">
      <formula>G823</formula>
    </cfRule>
  </conditionalFormatting>
  <conditionalFormatting sqref="I825">
    <cfRule type="cellIs" dxfId="476" priority="501" operator="equal">
      <formula>G825</formula>
    </cfRule>
  </conditionalFormatting>
  <conditionalFormatting sqref="I827">
    <cfRule type="cellIs" dxfId="475" priority="499" operator="equal">
      <formula>G827</formula>
    </cfRule>
  </conditionalFormatting>
  <conditionalFormatting sqref="I829">
    <cfRule type="cellIs" dxfId="474" priority="484" operator="equal">
      <formula>G829</formula>
    </cfRule>
  </conditionalFormatting>
  <conditionalFormatting sqref="I831">
    <cfRule type="cellIs" dxfId="473" priority="497" operator="equal">
      <formula>G831</formula>
    </cfRule>
  </conditionalFormatting>
  <conditionalFormatting sqref="I834:I863">
    <cfRule type="cellIs" dxfId="472" priority="521" operator="equal">
      <formula>G834</formula>
    </cfRule>
  </conditionalFormatting>
  <conditionalFormatting sqref="I865">
    <cfRule type="cellIs" dxfId="471" priority="516" operator="equal">
      <formula>G865</formula>
    </cfRule>
  </conditionalFormatting>
  <conditionalFormatting sqref="I867">
    <cfRule type="cellIs" dxfId="470" priority="1395" operator="equal">
      <formula>G867</formula>
    </cfRule>
  </conditionalFormatting>
  <conditionalFormatting sqref="I869">
    <cfRule type="cellIs" dxfId="469" priority="1460" operator="equal">
      <formula>G869</formula>
    </cfRule>
  </conditionalFormatting>
  <conditionalFormatting sqref="I871">
    <cfRule type="cellIs" dxfId="468" priority="1462" operator="equal">
      <formula>G871</formula>
    </cfRule>
  </conditionalFormatting>
  <conditionalFormatting sqref="I873">
    <cfRule type="cellIs" dxfId="467" priority="1458" operator="equal">
      <formula>G873</formula>
    </cfRule>
  </conditionalFormatting>
  <conditionalFormatting sqref="I875">
    <cfRule type="cellIs" dxfId="466" priority="1461" operator="equal">
      <formula>G875</formula>
    </cfRule>
  </conditionalFormatting>
  <conditionalFormatting sqref="I877 I879 I881 I883 I885 I887">
    <cfRule type="cellIs" dxfId="465" priority="1411" operator="equal">
      <formula>G877</formula>
    </cfRule>
  </conditionalFormatting>
  <conditionalFormatting sqref="I889 I891">
    <cfRule type="cellIs" dxfId="464" priority="535" operator="equal">
      <formula>G889</formula>
    </cfRule>
  </conditionalFormatting>
  <conditionalFormatting sqref="I896:I923">
    <cfRule type="cellIs" dxfId="463" priority="194" operator="equal">
      <formula>G896</formula>
    </cfRule>
  </conditionalFormatting>
  <conditionalFormatting sqref="I929:I965">
    <cfRule type="cellIs" dxfId="462" priority="198" operator="equal">
      <formula>G929</formula>
    </cfRule>
  </conditionalFormatting>
  <conditionalFormatting sqref="J5:J6">
    <cfRule type="cellIs" dxfId="461" priority="2033" operator="equal">
      <formula>G8</formula>
    </cfRule>
  </conditionalFormatting>
  <dataValidations disablePrompts="1" count="1">
    <dataValidation allowBlank="1" showInputMessage="1" showErrorMessage="1" prompt="Confirmar_x000a_DMT" sqref="E33:E34" xr:uid="{00000000-0002-0000-0500-000000000000}"/>
  </dataValidations>
  <hyperlinks>
    <hyperlink ref="G100" location="Dre_Terraplenagem!A1" display="Dre_Terraplenagem!A1" xr:uid="{00000000-0004-0000-0500-000000000000}"/>
    <hyperlink ref="G183" location="Dre_Disp_Estruturais!A1" display="Dre_Disp_Estruturais!A1" xr:uid="{00000000-0004-0000-0500-000001000000}"/>
    <hyperlink ref="G294" location="Dre_Disp_Estruturais!A1" display="Dre_Disp_Estruturais!A1" xr:uid="{00000000-0004-0000-0500-000002000000}"/>
    <hyperlink ref="G506" location="Recap_Previo!A1" display="Recap_Previo!A1" xr:uid="{00000000-0004-0000-0500-000003000000}"/>
    <hyperlink ref="G582" location="Recap_Final!A1" display="Recap_Final!A1" xr:uid="{00000000-0004-0000-0500-000004000000}"/>
    <hyperlink ref="G624" location="Pav_Terraplenagem!A1" display="Pav_Terraplenagem!A1" xr:uid="{00000000-0004-0000-0500-000005000000}"/>
    <hyperlink ref="G645" location="Pav_Estrutura!A1" display="Pav_Estrutura!A1" xr:uid="{00000000-0004-0000-0500-000006000000}"/>
    <hyperlink ref="G413" location="Dre_Profunda!A1" display="Dre_Profunda!A1" xr:uid="{00000000-0004-0000-0500-000007000000}"/>
    <hyperlink ref="G752" location="Passeio!A1" display="Passeio!A1" xr:uid="{00000000-0004-0000-0500-000008000000}"/>
    <hyperlink ref="G895" location="Sinalizacao!A1" display="Sinalizacao!A1" xr:uid="{00000000-0004-0000-0500-000009000000}"/>
    <hyperlink ref="G833" location="Ciclovia!A1" display="Ciclovia!A1" xr:uid="{00000000-0004-0000-0500-00000A000000}"/>
    <hyperlink ref="G796" location="Ponto_Onibus!A1" display="Ponto_Onibus!A1" xr:uid="{00000000-0004-0000-0500-00000B000000}"/>
    <hyperlink ref="G64" location="Demolicao!A1" display="Demolicao!A1" xr:uid="{00000000-0004-0000-0500-00000C000000}"/>
    <hyperlink ref="G719" location="Pav_Estrutura!A1" display="Pav_Estrutura!A1" xr:uid="{00000000-0004-0000-0500-00000D000000}"/>
    <hyperlink ref="G448" location="Dre_Fecha_Vala!A1" display="Dre_Fecha_Vala!A1" xr:uid="{00000000-0004-0000-0500-00000E000000}"/>
    <hyperlink ref="M869" location="'CPU Adm Local'!A1" display="'CPU Adm Local'!A1" xr:uid="{00000000-0004-0000-0500-00000F000000}"/>
    <hyperlink ref="G35" location="S_Preliminares!A1" display="S_Preliminares!A1" xr:uid="{00000000-0004-0000-0500-000010000000}"/>
    <hyperlink ref="G314" location="Bacia_Amortecimento!A1" display="Bacia_Amortecimento!A1" xr:uid="{00000000-0004-0000-0500-000011000000}"/>
    <hyperlink ref="G244" location="Dre_Disp_Estruturais!A1" display="Dre_Disp_Estruturais!A1" xr:uid="{00000000-0004-0000-0500-000012000000}"/>
  </hyperlinks>
  <printOptions horizontalCentered="1"/>
  <pageMargins left="0.39370078740157483" right="0.39370078740157483" top="0.55118110236220474" bottom="0.55118110236220474" header="0.31496062992125984" footer="0.23622047244094491"/>
  <pageSetup paperSize="9" scale="66" fitToHeight="47" orientation="landscape" r:id="rId1"/>
  <headerFooter>
    <oddFooter>&amp;L&amp;"Arial,Normal"&amp;8 &amp;F                          &amp;C&amp;"Arial,Normal"&amp;8APROVADO
Eng. Civil&amp;R&amp;"Cambria,Regular"&amp;8 &amp;P / &amp;N                                        Ricardo Schettini Figueiredo&amp;10
&amp;8Eng. Civil - CREA-RJ 52.656/D</oddFooter>
  </headerFooter>
  <rowBreaks count="2" manualBreakCount="2">
    <brk id="447" max="10" man="1"/>
    <brk id="623" max="10" man="1"/>
  </rowBreaks>
  <ignoredErrors>
    <ignoredError sqref="J294 J59:J61 J400:J410 J683:J716 I791 J791:J793 J289:J291 J477:J500 J639:J642 J170:J180 I785:J788 J97 J543:J576 J636:J638 J445 J467 I631 J501:J503 J749 J676:J682 J634:J635 I755 J613:J618 J604:J612 J619:J621 J599:J601 J93:J94 J91:J92 J95 J789 I887:J887 I874:J886 I864:J873 I888:J892 J469:J476" formula="1"/>
    <ignoredError sqref="A927 A423:A447 A36:A44 A988:A992 A1089:A1048576 A832 A65:A99 A101:A122 A291 A295:A296 A414:A416 A543:A581 A583:A623 A625:A628 A676:A718 A740:A751 A793 A1:A8 A507 A929:A936 A720:A729 A63 A59 A170:A182 A753:A756 A768:A788 A246:A288 A293 A966:A968 A449:A457 A646:A647 A313 A184:A234 A950:A962 A460:A467 A469:A505 A631:A644 A652:A674" evalError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92D050"/>
  </sheetPr>
  <dimension ref="A1:AD167"/>
  <sheetViews>
    <sheetView showZeros="0" zoomScaleNormal="100" workbookViewId="0">
      <selection activeCell="N42" sqref="N42"/>
    </sheetView>
  </sheetViews>
  <sheetFormatPr defaultColWidth="9" defaultRowHeight="12" x14ac:dyDescent="0.15"/>
  <cols>
    <col min="1" max="1" width="10.625" style="104" customWidth="1"/>
    <col min="2" max="2" width="45.625" style="104" customWidth="1"/>
    <col min="3" max="3" width="11.25" style="104" hidden="1" customWidth="1"/>
    <col min="4" max="4" width="11.625" style="104" customWidth="1"/>
    <col min="5" max="5" width="11.625" style="128" customWidth="1"/>
    <col min="6" max="17" width="14.625" style="104" customWidth="1"/>
    <col min="18" max="23" width="14.625" style="104" hidden="1" customWidth="1"/>
    <col min="24" max="24" width="16.625" style="104" customWidth="1"/>
    <col min="25" max="25" width="12.375" style="104" hidden="1" customWidth="1"/>
    <col min="26" max="26" width="10.5" style="104" hidden="1" customWidth="1"/>
    <col min="27" max="30" width="9" style="104" hidden="1" customWidth="1"/>
    <col min="31" max="31" width="9" style="104"/>
    <col min="32" max="32" width="18.125" style="104" customWidth="1"/>
    <col min="33" max="16384" width="9" style="104"/>
  </cols>
  <sheetData>
    <row r="1" spans="1:28" s="97" customFormat="1" ht="24.95" customHeight="1" x14ac:dyDescent="0.15">
      <c r="A1" s="539" t="str">
        <f>Orçamento_Não_Deson!B1</f>
        <v>PREFEITURA MUNICIPAL DE RIBAS DO RIO PARDO / MS</v>
      </c>
      <c r="B1" s="94"/>
      <c r="C1" s="94"/>
      <c r="D1" s="95"/>
      <c r="E1" s="96"/>
      <c r="F1" s="96"/>
      <c r="G1" s="2259" t="str">
        <f>Orçamento_Não_Deson!B5</f>
        <v>OBRA :</v>
      </c>
      <c r="H1" s="2260" t="str">
        <f>Orçamento_Não_Deson!C5</f>
        <v xml:space="preserve">INFRAESTRUTURA URBANA - PAVIMENTAÇÃO ASFÁLTICA E DRENAGEM DE ÁGUAS PLUVIAIS </v>
      </c>
      <c r="I1" s="164"/>
      <c r="J1" s="164"/>
      <c r="K1" s="164"/>
      <c r="M1" s="164"/>
      <c r="N1" s="87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8" s="97" customFormat="1" ht="24.95" customHeight="1" x14ac:dyDescent="0.15">
      <c r="A2" s="2258" t="str">
        <f>Orçamento_Não_Deson!B2</f>
        <v>ESTADO DE MATO GROSSO DO SUL</v>
      </c>
      <c r="B2" s="2257"/>
      <c r="C2" s="2257"/>
      <c r="D2" s="2257"/>
      <c r="E2" s="2257"/>
      <c r="F2" s="96"/>
      <c r="G2" s="2259" t="str">
        <f>Orçamento_Não_Deson!B6</f>
        <v>LOCAL :</v>
      </c>
      <c r="H2" s="2260" t="str">
        <f>Orçamento_Não_Deson!C6</f>
        <v>PARQUE ESTORIL - ETAPAS 03 E 04</v>
      </c>
      <c r="I2" s="164"/>
      <c r="J2" s="164"/>
      <c r="K2" s="164"/>
      <c r="M2" s="164"/>
      <c r="N2" s="874"/>
      <c r="X2" s="164"/>
    </row>
    <row r="3" spans="1:28" s="98" customFormat="1" ht="18" customHeight="1" x14ac:dyDescent="0.2">
      <c r="A3" s="2257"/>
      <c r="B3" s="2257"/>
      <c r="C3" s="2257"/>
      <c r="D3" s="2257"/>
      <c r="E3" s="2257"/>
      <c r="F3" s="100"/>
      <c r="G3" s="129"/>
      <c r="H3" s="164"/>
      <c r="I3" s="164"/>
      <c r="J3" s="164"/>
      <c r="K3" s="164"/>
      <c r="M3" s="164"/>
      <c r="N3" s="164"/>
      <c r="X3" s="164"/>
    </row>
    <row r="4" spans="1:28" s="98" customFormat="1" ht="18" customHeight="1" x14ac:dyDescent="0.2">
      <c r="A4" s="189"/>
      <c r="E4" s="99"/>
      <c r="F4" s="100"/>
      <c r="G4" s="129"/>
      <c r="H4" s="164"/>
      <c r="I4" s="164"/>
      <c r="J4" s="164"/>
      <c r="K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</row>
    <row r="5" spans="1:28" s="98" customFormat="1" ht="24.95" customHeight="1" x14ac:dyDescent="0.2">
      <c r="A5" s="189" t="s">
        <v>137</v>
      </c>
      <c r="B5" s="101"/>
      <c r="C5" s="101"/>
      <c r="D5" s="101"/>
      <c r="E5" s="101"/>
      <c r="F5" s="102"/>
      <c r="G5" s="1672" t="s">
        <v>114</v>
      </c>
      <c r="H5" s="1699" t="str">
        <f>Orçamento_Não_Deson!J1</f>
        <v>Junho/2023</v>
      </c>
      <c r="I5" s="129"/>
      <c r="J5" s="164"/>
      <c r="M5" s="101"/>
      <c r="N5" s="129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8" ht="18" customHeight="1" thickBot="1" x14ac:dyDescent="0.2">
      <c r="A6" s="103"/>
      <c r="D6" s="105"/>
      <c r="E6" s="106"/>
      <c r="G6" s="1672" t="s">
        <v>420</v>
      </c>
      <c r="H6" s="1686" t="str">
        <f>Orçamento_Não_Deson!J2</f>
        <v>NÃO DESONERADA</v>
      </c>
      <c r="I6" s="103"/>
      <c r="N6" s="130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8" s="110" customFormat="1" ht="24.95" customHeight="1" x14ac:dyDescent="0.15">
      <c r="A7" s="2526" t="s">
        <v>31</v>
      </c>
      <c r="B7" s="2528" t="s">
        <v>1963</v>
      </c>
      <c r="C7" s="1668" t="s">
        <v>1959</v>
      </c>
      <c r="D7" s="2530" t="s">
        <v>138</v>
      </c>
      <c r="E7" s="2531"/>
      <c r="F7" s="107">
        <v>1</v>
      </c>
      <c r="G7" s="108">
        <v>2</v>
      </c>
      <c r="H7" s="108">
        <v>3</v>
      </c>
      <c r="I7" s="108">
        <v>4</v>
      </c>
      <c r="J7" s="107">
        <v>5</v>
      </c>
      <c r="K7" s="108">
        <v>6</v>
      </c>
      <c r="L7" s="107">
        <v>7</v>
      </c>
      <c r="M7" s="108">
        <v>8</v>
      </c>
      <c r="N7" s="108">
        <v>9</v>
      </c>
      <c r="O7" s="108">
        <v>10</v>
      </c>
      <c r="P7" s="107">
        <v>11</v>
      </c>
      <c r="Q7" s="108">
        <v>12</v>
      </c>
      <c r="R7" s="108">
        <v>13</v>
      </c>
      <c r="S7" s="108">
        <v>14</v>
      </c>
      <c r="T7" s="108">
        <v>15</v>
      </c>
      <c r="U7" s="108">
        <v>16</v>
      </c>
      <c r="V7" s="108">
        <v>17</v>
      </c>
      <c r="W7" s="108">
        <v>18</v>
      </c>
      <c r="X7" s="2518" t="s">
        <v>139</v>
      </c>
      <c r="Y7" s="109"/>
      <c r="Z7" s="446" t="s">
        <v>599</v>
      </c>
      <c r="AA7" s="447"/>
      <c r="AB7" s="447"/>
    </row>
    <row r="8" spans="1:28" s="114" customFormat="1" ht="24.95" customHeight="1" thickBot="1" x14ac:dyDescent="0.2">
      <c r="A8" s="2527"/>
      <c r="B8" s="2529"/>
      <c r="C8" s="1669" t="s">
        <v>1964</v>
      </c>
      <c r="D8" s="2520" t="s">
        <v>140</v>
      </c>
      <c r="E8" s="2521"/>
      <c r="F8" s="111">
        <v>30</v>
      </c>
      <c r="G8" s="112">
        <v>60</v>
      </c>
      <c r="H8" s="112">
        <v>90</v>
      </c>
      <c r="I8" s="112">
        <v>120</v>
      </c>
      <c r="J8" s="111">
        <v>150</v>
      </c>
      <c r="K8" s="112">
        <v>180</v>
      </c>
      <c r="L8" s="111">
        <v>210</v>
      </c>
      <c r="M8" s="112">
        <v>240</v>
      </c>
      <c r="N8" s="112">
        <v>270</v>
      </c>
      <c r="O8" s="112">
        <v>300</v>
      </c>
      <c r="P8" s="111">
        <v>330</v>
      </c>
      <c r="Q8" s="112">
        <v>360</v>
      </c>
      <c r="R8" s="112">
        <v>390</v>
      </c>
      <c r="S8" s="112">
        <v>420</v>
      </c>
      <c r="T8" s="112">
        <v>450</v>
      </c>
      <c r="U8" s="112">
        <v>480</v>
      </c>
      <c r="V8" s="112">
        <v>510</v>
      </c>
      <c r="W8" s="112">
        <v>540</v>
      </c>
      <c r="X8" s="2519"/>
      <c r="Y8" s="113"/>
      <c r="Z8" s="794">
        <f ca="1">+Orçamento_Não_Deson!J36+Orçamento_Não_Deson!J42+Orçamento_Não_Deson!J44+Orçamento_Não_Deson!J45</f>
        <v>105074.16</v>
      </c>
      <c r="AA8" s="449" t="s">
        <v>600</v>
      </c>
      <c r="AB8" s="448">
        <f ca="1">+Z8/D10</f>
        <v>0.31554443314057762</v>
      </c>
    </row>
    <row r="9" spans="1:28" s="119" customFormat="1" ht="9.9499999999999993" customHeight="1" x14ac:dyDescent="0.15">
      <c r="A9" s="2500">
        <f>Orçamento_Não_Deson!B13</f>
        <v>1</v>
      </c>
      <c r="B9" s="2503" t="str">
        <f>Orçamento_Não_Deson!C13</f>
        <v>SERVIÇOS PRELIMINARES</v>
      </c>
      <c r="C9" s="1662"/>
      <c r="D9" s="115"/>
      <c r="E9" s="116"/>
      <c r="F9" s="871">
        <f t="shared" ref="F9:M9" si="0">F10</f>
        <v>0.5</v>
      </c>
      <c r="G9" s="871">
        <f t="shared" si="0"/>
        <v>0.05</v>
      </c>
      <c r="H9" s="871">
        <f t="shared" si="0"/>
        <v>0.05</v>
      </c>
      <c r="I9" s="871">
        <f t="shared" si="0"/>
        <v>0.05</v>
      </c>
      <c r="J9" s="871">
        <f t="shared" si="0"/>
        <v>0.05</v>
      </c>
      <c r="K9" s="871">
        <f t="shared" si="0"/>
        <v>0.05</v>
      </c>
      <c r="L9" s="871">
        <f t="shared" si="0"/>
        <v>0.05</v>
      </c>
      <c r="M9" s="871">
        <f t="shared" si="0"/>
        <v>0.05</v>
      </c>
      <c r="N9" s="871">
        <f>N10</f>
        <v>0.04</v>
      </c>
      <c r="O9" s="871">
        <f t="shared" ref="O9:W9" si="1">O10</f>
        <v>0.04</v>
      </c>
      <c r="P9" s="871">
        <f t="shared" si="1"/>
        <v>0.04</v>
      </c>
      <c r="Q9" s="871">
        <f t="shared" si="1"/>
        <v>0.03</v>
      </c>
      <c r="R9" s="871">
        <f t="shared" si="1"/>
        <v>0</v>
      </c>
      <c r="S9" s="871">
        <f t="shared" si="1"/>
        <v>0</v>
      </c>
      <c r="T9" s="871">
        <f t="shared" si="1"/>
        <v>0</v>
      </c>
      <c r="U9" s="871">
        <f t="shared" si="1"/>
        <v>0</v>
      </c>
      <c r="V9" s="871">
        <f t="shared" si="1"/>
        <v>0</v>
      </c>
      <c r="W9" s="871">
        <f t="shared" si="1"/>
        <v>0</v>
      </c>
      <c r="X9" s="117"/>
      <c r="Y9" s="708">
        <f ca="1">+D10-X11-X12</f>
        <v>5.8207660913467407E-11</v>
      </c>
    </row>
    <row r="10" spans="1:28" s="119" customFormat="1" ht="18" customHeight="1" x14ac:dyDescent="0.15">
      <c r="A10" s="2501"/>
      <c r="B10" s="2504"/>
      <c r="C10" s="1663" t="str">
        <f>CONCATENATE(Orçamento_Não_Deson!H13," ",Orçamento_Não_Deson!I13)</f>
        <v>8 M2</v>
      </c>
      <c r="D10" s="2522">
        <f ca="1">Orçamento_Não_Deson!J13</f>
        <v>332993.23000000004</v>
      </c>
      <c r="E10" s="2523"/>
      <c r="F10" s="2089">
        <v>0.5</v>
      </c>
      <c r="G10" s="2089">
        <v>0.05</v>
      </c>
      <c r="H10" s="2089">
        <v>0.05</v>
      </c>
      <c r="I10" s="2089">
        <v>0.05</v>
      </c>
      <c r="J10" s="2089">
        <v>0.05</v>
      </c>
      <c r="K10" s="695">
        <v>0.05</v>
      </c>
      <c r="L10" s="695">
        <v>0.05</v>
      </c>
      <c r="M10" s="695">
        <v>0.05</v>
      </c>
      <c r="N10" s="695">
        <v>0.04</v>
      </c>
      <c r="O10" s="695">
        <v>0.04</v>
      </c>
      <c r="P10" s="695">
        <v>0.04</v>
      </c>
      <c r="Q10" s="695">
        <v>0.03</v>
      </c>
      <c r="R10" s="695"/>
      <c r="S10" s="695"/>
      <c r="T10" s="695"/>
      <c r="U10" s="695"/>
      <c r="V10" s="695"/>
      <c r="W10" s="695"/>
      <c r="X10" s="120">
        <f>SUM(F10:W10)</f>
        <v>1.0000000000000004</v>
      </c>
      <c r="Y10" s="586">
        <f>1-X10</f>
        <v>0</v>
      </c>
      <c r="AA10" s="711">
        <f>+COUNT(F10:W10)</f>
        <v>12</v>
      </c>
    </row>
    <row r="11" spans="1:28" s="119" customFormat="1" ht="18" customHeight="1" thickBot="1" x14ac:dyDescent="0.2">
      <c r="A11" s="2501"/>
      <c r="B11" s="2504"/>
      <c r="C11" s="1663"/>
      <c r="D11" s="1694" t="s">
        <v>141</v>
      </c>
      <c r="E11" s="1695">
        <f>D$92</f>
        <v>1</v>
      </c>
      <c r="F11" s="870">
        <f t="shared" ref="F11:W11" ca="1" si="2">IF($D10=0,0,IF(F10=0,0,($E11*$D10*F10)+$AA$96))</f>
        <v>166496.61500000002</v>
      </c>
      <c r="G11" s="870">
        <f t="shared" ca="1" si="2"/>
        <v>16649.661500000002</v>
      </c>
      <c r="H11" s="870">
        <f t="shared" ca="1" si="2"/>
        <v>16649.661500000002</v>
      </c>
      <c r="I11" s="870">
        <f t="shared" ca="1" si="2"/>
        <v>16649.661500000002</v>
      </c>
      <c r="J11" s="870">
        <f t="shared" ca="1" si="2"/>
        <v>16649.661500000002</v>
      </c>
      <c r="K11" s="870">
        <f t="shared" ca="1" si="2"/>
        <v>16649.661500000002</v>
      </c>
      <c r="L11" s="870">
        <f t="shared" ca="1" si="2"/>
        <v>16649.661500000002</v>
      </c>
      <c r="M11" s="870">
        <f t="shared" ca="1" si="2"/>
        <v>16649.661500000002</v>
      </c>
      <c r="N11" s="870">
        <f t="shared" ca="1" si="2"/>
        <v>13319.729200000002</v>
      </c>
      <c r="O11" s="870">
        <f t="shared" ca="1" si="2"/>
        <v>13319.729200000002</v>
      </c>
      <c r="P11" s="870">
        <f t="shared" ca="1" si="2"/>
        <v>13319.729200000002</v>
      </c>
      <c r="Q11" s="870">
        <f t="shared" ca="1" si="2"/>
        <v>9989.7969000000012</v>
      </c>
      <c r="R11" s="870">
        <f t="shared" ca="1" si="2"/>
        <v>0</v>
      </c>
      <c r="S11" s="870">
        <f t="shared" ca="1" si="2"/>
        <v>0</v>
      </c>
      <c r="T11" s="870">
        <f t="shared" ca="1" si="2"/>
        <v>0</v>
      </c>
      <c r="U11" s="870">
        <f t="shared" ca="1" si="2"/>
        <v>0</v>
      </c>
      <c r="V11" s="870">
        <f t="shared" ca="1" si="2"/>
        <v>0</v>
      </c>
      <c r="W11" s="870">
        <f t="shared" ca="1" si="2"/>
        <v>0</v>
      </c>
      <c r="X11" s="121">
        <f ca="1">SUM(F11:W11)</f>
        <v>332993.23</v>
      </c>
      <c r="Y11" s="118">
        <f ca="1">TRUNC(X11-D10*E11,2)</f>
        <v>0</v>
      </c>
      <c r="Z11" s="710">
        <f ca="1">+X11/D10</f>
        <v>0.99999999999999978</v>
      </c>
    </row>
    <row r="12" spans="1:28" s="119" customFormat="1" ht="18" hidden="1" customHeight="1" thickBot="1" x14ac:dyDescent="0.2">
      <c r="A12" s="2502"/>
      <c r="B12" s="2505"/>
      <c r="C12" s="1664"/>
      <c r="D12" s="1658" t="s">
        <v>142</v>
      </c>
      <c r="E12" s="709">
        <f>1-E11</f>
        <v>0</v>
      </c>
      <c r="F12" s="869">
        <f ca="1">($D10*F10-F11)</f>
        <v>0</v>
      </c>
      <c r="G12" s="869">
        <f t="shared" ref="G12:W12" ca="1" si="3">($D10*G10-G11)</f>
        <v>0</v>
      </c>
      <c r="H12" s="869">
        <f t="shared" ca="1" si="3"/>
        <v>0</v>
      </c>
      <c r="I12" s="869">
        <f t="shared" ca="1" si="3"/>
        <v>0</v>
      </c>
      <c r="J12" s="869">
        <f t="shared" ca="1" si="3"/>
        <v>0</v>
      </c>
      <c r="K12" s="869">
        <f t="shared" ca="1" si="3"/>
        <v>0</v>
      </c>
      <c r="L12" s="869">
        <f t="shared" ca="1" si="3"/>
        <v>0</v>
      </c>
      <c r="M12" s="869">
        <f t="shared" ca="1" si="3"/>
        <v>0</v>
      </c>
      <c r="N12" s="869">
        <f t="shared" ca="1" si="3"/>
        <v>0</v>
      </c>
      <c r="O12" s="869">
        <f t="shared" ca="1" si="3"/>
        <v>0</v>
      </c>
      <c r="P12" s="869">
        <f t="shared" ca="1" si="3"/>
        <v>0</v>
      </c>
      <c r="Q12" s="869">
        <f t="shared" ca="1" si="3"/>
        <v>0</v>
      </c>
      <c r="R12" s="869">
        <f t="shared" ca="1" si="3"/>
        <v>0</v>
      </c>
      <c r="S12" s="869">
        <f t="shared" ca="1" si="3"/>
        <v>0</v>
      </c>
      <c r="T12" s="869">
        <f t="shared" ca="1" si="3"/>
        <v>0</v>
      </c>
      <c r="U12" s="869">
        <f t="shared" ca="1" si="3"/>
        <v>0</v>
      </c>
      <c r="V12" s="869">
        <f t="shared" ca="1" si="3"/>
        <v>0</v>
      </c>
      <c r="W12" s="869">
        <f t="shared" ca="1" si="3"/>
        <v>0</v>
      </c>
      <c r="X12" s="122">
        <f ca="1">SUM(F12:W12)</f>
        <v>0</v>
      </c>
      <c r="Y12" s="118">
        <f ca="1">+D10-X11-X12</f>
        <v>5.8207660913467407E-11</v>
      </c>
    </row>
    <row r="13" spans="1:28" s="119" customFormat="1" ht="9.9499999999999993" customHeight="1" x14ac:dyDescent="0.15">
      <c r="A13" s="2500">
        <f ca="1">Orçamento_Não_Deson!B14</f>
        <v>2</v>
      </c>
      <c r="B13" s="2503" t="str">
        <f>Orçamento_Não_Deson!C14</f>
        <v>REMOÇÕES, DEMOLIÇÕES E SUPRESSÕES</v>
      </c>
      <c r="C13" s="1663"/>
      <c r="D13" s="1659"/>
      <c r="E13" s="116"/>
      <c r="F13" s="871">
        <f t="shared" ref="F13:M13" si="4">F14</f>
        <v>0.3</v>
      </c>
      <c r="G13" s="871">
        <f t="shared" si="4"/>
        <v>0.4</v>
      </c>
      <c r="H13" s="871">
        <f t="shared" si="4"/>
        <v>0.3</v>
      </c>
      <c r="I13" s="871">
        <f t="shared" si="4"/>
        <v>0</v>
      </c>
      <c r="J13" s="871">
        <f t="shared" si="4"/>
        <v>0</v>
      </c>
      <c r="K13" s="871">
        <f t="shared" si="4"/>
        <v>0</v>
      </c>
      <c r="L13" s="871">
        <f t="shared" si="4"/>
        <v>0</v>
      </c>
      <c r="M13" s="871">
        <f t="shared" si="4"/>
        <v>0</v>
      </c>
      <c r="N13" s="871">
        <f>N14</f>
        <v>0</v>
      </c>
      <c r="O13" s="871">
        <f t="shared" ref="O13:W13" si="5">O14</f>
        <v>0</v>
      </c>
      <c r="P13" s="871">
        <f t="shared" si="5"/>
        <v>0</v>
      </c>
      <c r="Q13" s="871">
        <f t="shared" si="5"/>
        <v>0</v>
      </c>
      <c r="R13" s="871">
        <f t="shared" si="5"/>
        <v>0</v>
      </c>
      <c r="S13" s="871">
        <f t="shared" si="5"/>
        <v>0</v>
      </c>
      <c r="T13" s="871">
        <f t="shared" si="5"/>
        <v>0</v>
      </c>
      <c r="U13" s="871">
        <f t="shared" si="5"/>
        <v>0</v>
      </c>
      <c r="V13" s="871">
        <f t="shared" si="5"/>
        <v>0</v>
      </c>
      <c r="W13" s="871">
        <f t="shared" si="5"/>
        <v>0</v>
      </c>
      <c r="X13" s="117"/>
      <c r="Y13" s="708">
        <f ca="1">+D14-X15-X16</f>
        <v>0</v>
      </c>
    </row>
    <row r="14" spans="1:28" s="119" customFormat="1" ht="18" customHeight="1" x14ac:dyDescent="0.15">
      <c r="A14" s="2501"/>
      <c r="B14" s="2504"/>
      <c r="C14" s="1663" t="str">
        <f>CONCATENATE(Orçamento_Não_Deson!H14," ",Orçamento_Não_Deson!I14)</f>
        <v>3859,97 M</v>
      </c>
      <c r="D14" s="2522">
        <f ca="1">Orçamento_Não_Deson!J14</f>
        <v>171560.66999999998</v>
      </c>
      <c r="E14" s="2523"/>
      <c r="F14" s="2089">
        <v>0.3</v>
      </c>
      <c r="G14" s="2089">
        <v>0.4</v>
      </c>
      <c r="H14" s="2089">
        <v>0.3</v>
      </c>
      <c r="I14" s="2089"/>
      <c r="J14" s="2089"/>
      <c r="K14" s="2089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5"/>
      <c r="X14" s="120">
        <f>SUM(F14:W14)</f>
        <v>1</v>
      </c>
      <c r="Y14" s="586">
        <f>1-X14</f>
        <v>0</v>
      </c>
      <c r="AA14" s="711">
        <f>+COUNT(F14:W14)</f>
        <v>3</v>
      </c>
    </row>
    <row r="15" spans="1:28" s="119" customFormat="1" ht="18" customHeight="1" thickBot="1" x14ac:dyDescent="0.2">
      <c r="A15" s="2501"/>
      <c r="B15" s="2504"/>
      <c r="C15" s="1665">
        <f ca="1">INT(SUM(Orçamento_Não_Deson!O65:O74)/240)+1</f>
        <v>4</v>
      </c>
      <c r="D15" s="1694" t="s">
        <v>141</v>
      </c>
      <c r="E15" s="1695">
        <f>D$92</f>
        <v>1</v>
      </c>
      <c r="F15" s="870">
        <f t="shared" ref="F15:W15" ca="1" si="6">IF($D14=0,0,IF(F14=0,0,($E15*$D14*F14)+$AA$96))</f>
        <v>51468.200999999994</v>
      </c>
      <c r="G15" s="870">
        <f t="shared" ca="1" si="6"/>
        <v>68624.267999999996</v>
      </c>
      <c r="H15" s="870">
        <f t="shared" ca="1" si="6"/>
        <v>51468.200999999994</v>
      </c>
      <c r="I15" s="870">
        <f t="shared" ca="1" si="6"/>
        <v>0</v>
      </c>
      <c r="J15" s="870">
        <f t="shared" ca="1" si="6"/>
        <v>0</v>
      </c>
      <c r="K15" s="870">
        <f t="shared" ca="1" si="6"/>
        <v>0</v>
      </c>
      <c r="L15" s="870">
        <f t="shared" ca="1" si="6"/>
        <v>0</v>
      </c>
      <c r="M15" s="870">
        <f t="shared" ca="1" si="6"/>
        <v>0</v>
      </c>
      <c r="N15" s="870">
        <f t="shared" ca="1" si="6"/>
        <v>0</v>
      </c>
      <c r="O15" s="870">
        <f t="shared" ca="1" si="6"/>
        <v>0</v>
      </c>
      <c r="P15" s="870">
        <f t="shared" ca="1" si="6"/>
        <v>0</v>
      </c>
      <c r="Q15" s="870">
        <f t="shared" ca="1" si="6"/>
        <v>0</v>
      </c>
      <c r="R15" s="870">
        <f t="shared" ca="1" si="6"/>
        <v>0</v>
      </c>
      <c r="S15" s="870">
        <f t="shared" ca="1" si="6"/>
        <v>0</v>
      </c>
      <c r="T15" s="870">
        <f t="shared" ca="1" si="6"/>
        <v>0</v>
      </c>
      <c r="U15" s="870">
        <f t="shared" ca="1" si="6"/>
        <v>0</v>
      </c>
      <c r="V15" s="870">
        <f t="shared" ca="1" si="6"/>
        <v>0</v>
      </c>
      <c r="W15" s="870">
        <f t="shared" ca="1" si="6"/>
        <v>0</v>
      </c>
      <c r="X15" s="121">
        <f ca="1">SUM(F15:W15)</f>
        <v>171560.66999999998</v>
      </c>
      <c r="Y15" s="118">
        <f ca="1">TRUNC(X15-D14*E15,2)</f>
        <v>0</v>
      </c>
      <c r="Z15" s="710">
        <f ca="1">+X15/D14</f>
        <v>1</v>
      </c>
    </row>
    <row r="16" spans="1:28" s="119" customFormat="1" ht="18" hidden="1" customHeight="1" thickBot="1" x14ac:dyDescent="0.2">
      <c r="A16" s="2502"/>
      <c r="B16" s="2505"/>
      <c r="C16" s="1664"/>
      <c r="D16" s="1658" t="s">
        <v>142</v>
      </c>
      <c r="E16" s="709">
        <f>1-E15</f>
        <v>0</v>
      </c>
      <c r="F16" s="869">
        <f ca="1">($D14*F14-F15)</f>
        <v>0</v>
      </c>
      <c r="G16" s="869">
        <f t="shared" ref="G16" ca="1" si="7">($D14*G14-G15)</f>
        <v>0</v>
      </c>
      <c r="H16" s="869">
        <f t="shared" ref="H16" ca="1" si="8">($D14*H14-H15)</f>
        <v>0</v>
      </c>
      <c r="I16" s="869">
        <f t="shared" ref="I16" ca="1" si="9">($D14*I14-I15)</f>
        <v>0</v>
      </c>
      <c r="J16" s="869">
        <f t="shared" ref="J16" ca="1" si="10">($D14*J14-J15)</f>
        <v>0</v>
      </c>
      <c r="K16" s="869">
        <f t="shared" ref="K16" ca="1" si="11">($D14*K14-K15)</f>
        <v>0</v>
      </c>
      <c r="L16" s="869">
        <f t="shared" ref="L16" ca="1" si="12">($D14*L14-L15)</f>
        <v>0</v>
      </c>
      <c r="M16" s="869">
        <f t="shared" ref="M16" ca="1" si="13">($D14*M14-M15)</f>
        <v>0</v>
      </c>
      <c r="N16" s="869">
        <f t="shared" ref="N16" ca="1" si="14">($D14*N14-N15)</f>
        <v>0</v>
      </c>
      <c r="O16" s="869">
        <f t="shared" ref="O16" ca="1" si="15">($D14*O14-O15)</f>
        <v>0</v>
      </c>
      <c r="P16" s="869">
        <f t="shared" ref="P16" ca="1" si="16">($D14*P14-P15)</f>
        <v>0</v>
      </c>
      <c r="Q16" s="869">
        <f t="shared" ref="Q16" ca="1" si="17">($D14*Q14-Q15)</f>
        <v>0</v>
      </c>
      <c r="R16" s="869">
        <f t="shared" ref="R16" ca="1" si="18">($D14*R14-R15)</f>
        <v>0</v>
      </c>
      <c r="S16" s="869">
        <f t="shared" ref="S16" ca="1" si="19">($D14*S14-S15)</f>
        <v>0</v>
      </c>
      <c r="T16" s="869">
        <f t="shared" ref="T16" ca="1" si="20">($D14*T14-T15)</f>
        <v>0</v>
      </c>
      <c r="U16" s="869">
        <f t="shared" ref="U16" ca="1" si="21">($D14*U14-U15)</f>
        <v>0</v>
      </c>
      <c r="V16" s="869">
        <f t="shared" ref="V16" ca="1" si="22">($D14*V14-V15)</f>
        <v>0</v>
      </c>
      <c r="W16" s="869">
        <f t="shared" ref="W16" ca="1" si="23">($D14*W14-W15)</f>
        <v>0</v>
      </c>
      <c r="X16" s="122">
        <f ca="1">SUM(F16:W16)</f>
        <v>0</v>
      </c>
      <c r="Y16" s="118">
        <f ca="1">+D14-X15-X16</f>
        <v>0</v>
      </c>
    </row>
    <row r="17" spans="1:27" s="119" customFormat="1" ht="9.9499999999999993" customHeight="1" x14ac:dyDescent="0.15">
      <c r="A17" s="2500">
        <f ca="1">Orçamento_Não_Deson!B15</f>
        <v>3</v>
      </c>
      <c r="B17" s="2503" t="str">
        <f>Orçamento_Não_Deson!C15</f>
        <v>MICRODRENAGEM - TERRAPLENAGEM</v>
      </c>
      <c r="C17" s="1663"/>
      <c r="D17" s="1659"/>
      <c r="E17" s="116"/>
      <c r="F17" s="871">
        <f t="shared" ref="F17:M17" si="24">F18</f>
        <v>0.15</v>
      </c>
      <c r="G17" s="871">
        <f t="shared" si="24"/>
        <v>0.15</v>
      </c>
      <c r="H17" s="871">
        <f t="shared" si="24"/>
        <v>0.15</v>
      </c>
      <c r="I17" s="871">
        <f t="shared" si="24"/>
        <v>0.1</v>
      </c>
      <c r="J17" s="871">
        <f t="shared" si="24"/>
        <v>0.1</v>
      </c>
      <c r="K17" s="871">
        <f t="shared" si="24"/>
        <v>0.1</v>
      </c>
      <c r="L17" s="871">
        <f t="shared" si="24"/>
        <v>0.05</v>
      </c>
      <c r="M17" s="871">
        <f t="shared" si="24"/>
        <v>0.05</v>
      </c>
      <c r="N17" s="871">
        <f>N18</f>
        <v>0.05</v>
      </c>
      <c r="O17" s="871">
        <f t="shared" ref="O17:W17" si="25">O18</f>
        <v>0.04</v>
      </c>
      <c r="P17" s="871">
        <f t="shared" si="25"/>
        <v>0.04</v>
      </c>
      <c r="Q17" s="871">
        <f t="shared" si="25"/>
        <v>0.02</v>
      </c>
      <c r="R17" s="871">
        <f t="shared" si="25"/>
        <v>0</v>
      </c>
      <c r="S17" s="871">
        <f t="shared" si="25"/>
        <v>0</v>
      </c>
      <c r="T17" s="871">
        <f t="shared" si="25"/>
        <v>0</v>
      </c>
      <c r="U17" s="871">
        <f t="shared" si="25"/>
        <v>0</v>
      </c>
      <c r="V17" s="871">
        <f t="shared" si="25"/>
        <v>0</v>
      </c>
      <c r="W17" s="871">
        <f t="shared" si="25"/>
        <v>0</v>
      </c>
      <c r="X17" s="117"/>
      <c r="Y17" s="708">
        <f ca="1">+D18-X19-X20</f>
        <v>0</v>
      </c>
    </row>
    <row r="18" spans="1:27" s="119" customFormat="1" ht="18" customHeight="1" x14ac:dyDescent="0.15">
      <c r="A18" s="2501"/>
      <c r="B18" s="2504"/>
      <c r="C18" s="1663" t="str">
        <f ca="1">CONCATENATE(Orçamento_Não_Deson!H15," ",Orçamento_Não_Deson!I15)</f>
        <v>9888,66 M3</v>
      </c>
      <c r="D18" s="2522">
        <f ca="1">Orçamento_Não_Deson!J15</f>
        <v>661714.53999999992</v>
      </c>
      <c r="E18" s="2523"/>
      <c r="F18" s="695">
        <v>0.15</v>
      </c>
      <c r="G18" s="695">
        <v>0.15</v>
      </c>
      <c r="H18" s="695">
        <v>0.15</v>
      </c>
      <c r="I18" s="695">
        <v>0.1</v>
      </c>
      <c r="J18" s="695">
        <v>0.1</v>
      </c>
      <c r="K18" s="695">
        <v>0.1</v>
      </c>
      <c r="L18" s="695">
        <v>0.05</v>
      </c>
      <c r="M18" s="695">
        <v>0.05</v>
      </c>
      <c r="N18" s="695">
        <v>0.05</v>
      </c>
      <c r="O18" s="695">
        <v>0.04</v>
      </c>
      <c r="P18" s="695">
        <v>0.04</v>
      </c>
      <c r="Q18" s="695">
        <v>0.02</v>
      </c>
      <c r="R18" s="695"/>
      <c r="S18" s="695"/>
      <c r="T18" s="695"/>
      <c r="U18" s="695"/>
      <c r="V18" s="695"/>
      <c r="W18" s="695"/>
      <c r="X18" s="120">
        <f>SUM(F18:W18)</f>
        <v>1</v>
      </c>
      <c r="Y18" s="586">
        <f>1-X18</f>
        <v>0</v>
      </c>
      <c r="AA18" s="711">
        <f>+COUNT(F18:W18)</f>
        <v>12</v>
      </c>
    </row>
    <row r="19" spans="1:27" s="119" customFormat="1" ht="18" customHeight="1" thickBot="1" x14ac:dyDescent="0.2">
      <c r="A19" s="2501"/>
      <c r="B19" s="2504"/>
      <c r="C19" s="1665">
        <f ca="1">ROUND(SUM(Orçamento_Não_Deson!O104:O125)/240,1)</f>
        <v>3.4</v>
      </c>
      <c r="D19" s="1694" t="s">
        <v>141</v>
      </c>
      <c r="E19" s="1695">
        <f>D$92</f>
        <v>1</v>
      </c>
      <c r="F19" s="870">
        <f t="shared" ref="F19:W19" ca="1" si="26">IF($D18=0,0,IF(F18=0,0,($E19*$D18*F18)+$AA$96))</f>
        <v>99257.180999999982</v>
      </c>
      <c r="G19" s="870">
        <f t="shared" ca="1" si="26"/>
        <v>99257.180999999982</v>
      </c>
      <c r="H19" s="870">
        <f t="shared" ca="1" si="26"/>
        <v>99257.180999999982</v>
      </c>
      <c r="I19" s="870">
        <f t="shared" ca="1" si="26"/>
        <v>66171.453999999998</v>
      </c>
      <c r="J19" s="870">
        <f t="shared" ca="1" si="26"/>
        <v>66171.453999999998</v>
      </c>
      <c r="K19" s="870">
        <f t="shared" ca="1" si="26"/>
        <v>66171.453999999998</v>
      </c>
      <c r="L19" s="870">
        <f t="shared" ca="1" si="26"/>
        <v>33085.726999999999</v>
      </c>
      <c r="M19" s="870">
        <f t="shared" ca="1" si="26"/>
        <v>33085.726999999999</v>
      </c>
      <c r="N19" s="870">
        <f t="shared" ca="1" si="26"/>
        <v>33085.726999999999</v>
      </c>
      <c r="O19" s="870">
        <f t="shared" ca="1" si="26"/>
        <v>26468.581599999998</v>
      </c>
      <c r="P19" s="870">
        <f t="shared" ca="1" si="26"/>
        <v>26468.581599999998</v>
      </c>
      <c r="Q19" s="870">
        <f t="shared" ca="1" si="26"/>
        <v>13234.290799999999</v>
      </c>
      <c r="R19" s="870">
        <f t="shared" ca="1" si="26"/>
        <v>0</v>
      </c>
      <c r="S19" s="870">
        <f t="shared" ca="1" si="26"/>
        <v>0</v>
      </c>
      <c r="T19" s="870">
        <f t="shared" ca="1" si="26"/>
        <v>0</v>
      </c>
      <c r="U19" s="870">
        <f t="shared" ca="1" si="26"/>
        <v>0</v>
      </c>
      <c r="V19" s="870">
        <f t="shared" ca="1" si="26"/>
        <v>0</v>
      </c>
      <c r="W19" s="870">
        <f t="shared" ca="1" si="26"/>
        <v>0</v>
      </c>
      <c r="X19" s="121">
        <f ca="1">SUM(F19:W19)</f>
        <v>661714.53999999992</v>
      </c>
      <c r="Y19" s="118">
        <f ca="1">TRUNC(X19-D18*E19,2)</f>
        <v>0</v>
      </c>
      <c r="Z19" s="710">
        <f ca="1">+X19/D18</f>
        <v>1</v>
      </c>
    </row>
    <row r="20" spans="1:27" s="119" customFormat="1" ht="18" hidden="1" customHeight="1" thickBot="1" x14ac:dyDescent="0.2">
      <c r="A20" s="2502"/>
      <c r="B20" s="2505"/>
      <c r="C20" s="1664"/>
      <c r="D20" s="1658" t="s">
        <v>142</v>
      </c>
      <c r="E20" s="709">
        <f>1-E19</f>
        <v>0</v>
      </c>
      <c r="F20" s="869">
        <f ca="1">($D18*F18-F19)</f>
        <v>0</v>
      </c>
      <c r="G20" s="869">
        <f t="shared" ref="G20" ca="1" si="27">($D18*G18-G19)</f>
        <v>0</v>
      </c>
      <c r="H20" s="869">
        <f t="shared" ref="H20" ca="1" si="28">($D18*H18-H19)</f>
        <v>0</v>
      </c>
      <c r="I20" s="869">
        <f t="shared" ref="I20" ca="1" si="29">($D18*I18-I19)</f>
        <v>0</v>
      </c>
      <c r="J20" s="869">
        <f t="shared" ref="J20" ca="1" si="30">($D18*J18-J19)</f>
        <v>0</v>
      </c>
      <c r="K20" s="869">
        <f t="shared" ref="K20" ca="1" si="31">($D18*K18-K19)</f>
        <v>0</v>
      </c>
      <c r="L20" s="869">
        <f t="shared" ref="L20" ca="1" si="32">($D18*L18-L19)</f>
        <v>0</v>
      </c>
      <c r="M20" s="869">
        <f t="shared" ref="M20" ca="1" si="33">($D18*M18-M19)</f>
        <v>0</v>
      </c>
      <c r="N20" s="869">
        <f t="shared" ref="N20" ca="1" si="34">($D18*N18-N19)</f>
        <v>0</v>
      </c>
      <c r="O20" s="869">
        <f t="shared" ref="O20" ca="1" si="35">($D18*O18-O19)</f>
        <v>0</v>
      </c>
      <c r="P20" s="869">
        <f t="shared" ref="P20" ca="1" si="36">($D18*P18-P19)</f>
        <v>0</v>
      </c>
      <c r="Q20" s="869">
        <f t="shared" ref="Q20" ca="1" si="37">($D18*Q18-Q19)</f>
        <v>0</v>
      </c>
      <c r="R20" s="869">
        <f t="shared" ref="R20" ca="1" si="38">($D18*R18-R19)</f>
        <v>0</v>
      </c>
      <c r="S20" s="869">
        <f t="shared" ref="S20" ca="1" si="39">($D18*S18-S19)</f>
        <v>0</v>
      </c>
      <c r="T20" s="869">
        <f t="shared" ref="T20" ca="1" si="40">($D18*T18-T19)</f>
        <v>0</v>
      </c>
      <c r="U20" s="869">
        <f t="shared" ref="U20" ca="1" si="41">($D18*U18-U19)</f>
        <v>0</v>
      </c>
      <c r="V20" s="869">
        <f t="shared" ref="V20" ca="1" si="42">($D18*V18-V19)</f>
        <v>0</v>
      </c>
      <c r="W20" s="869">
        <f t="shared" ref="W20" ca="1" si="43">($D18*W18-W19)</f>
        <v>0</v>
      </c>
      <c r="X20" s="122">
        <f ca="1">SUM(F20:W20)</f>
        <v>0</v>
      </c>
      <c r="Y20" s="118">
        <f ca="1">+D18-X19-X20</f>
        <v>0</v>
      </c>
    </row>
    <row r="21" spans="1:27" s="119" customFormat="1" ht="9.9499999999999993" customHeight="1" x14ac:dyDescent="0.15">
      <c r="A21" s="2500">
        <f ca="1">Orçamento_Não_Deson!B16</f>
        <v>4</v>
      </c>
      <c r="B21" s="2503" t="str">
        <f>Orçamento_Não_Deson!C16</f>
        <v>MICRODRENAGEM - GALERIAS</v>
      </c>
      <c r="C21" s="1663"/>
      <c r="D21" s="1659"/>
      <c r="E21" s="116"/>
      <c r="F21" s="871">
        <f t="shared" ref="F21:M21" si="44">F22</f>
        <v>0.15</v>
      </c>
      <c r="G21" s="871">
        <f t="shared" si="44"/>
        <v>0.15</v>
      </c>
      <c r="H21" s="871">
        <f t="shared" si="44"/>
        <v>0.15</v>
      </c>
      <c r="I21" s="871">
        <f t="shared" si="44"/>
        <v>0.1</v>
      </c>
      <c r="J21" s="871">
        <f t="shared" si="44"/>
        <v>0.1</v>
      </c>
      <c r="K21" s="871">
        <f t="shared" si="44"/>
        <v>0.1</v>
      </c>
      <c r="L21" s="871">
        <f t="shared" si="44"/>
        <v>0.05</v>
      </c>
      <c r="M21" s="871">
        <f t="shared" si="44"/>
        <v>0.05</v>
      </c>
      <c r="N21" s="871">
        <f>N22</f>
        <v>0.05</v>
      </c>
      <c r="O21" s="871">
        <f t="shared" ref="O21:W21" si="45">O22</f>
        <v>0.04</v>
      </c>
      <c r="P21" s="871">
        <f t="shared" si="45"/>
        <v>0.04</v>
      </c>
      <c r="Q21" s="871">
        <f t="shared" si="45"/>
        <v>0.02</v>
      </c>
      <c r="R21" s="871">
        <f t="shared" si="45"/>
        <v>0</v>
      </c>
      <c r="S21" s="871">
        <f t="shared" si="45"/>
        <v>0</v>
      </c>
      <c r="T21" s="871">
        <f t="shared" si="45"/>
        <v>0</v>
      </c>
      <c r="U21" s="871">
        <f t="shared" si="45"/>
        <v>0</v>
      </c>
      <c r="V21" s="871">
        <f t="shared" si="45"/>
        <v>0</v>
      </c>
      <c r="W21" s="871">
        <f t="shared" si="45"/>
        <v>0</v>
      </c>
      <c r="X21" s="117"/>
      <c r="Y21" s="708">
        <f ca="1">+D22-X23-X24</f>
        <v>0</v>
      </c>
    </row>
    <row r="22" spans="1:27" s="119" customFormat="1" ht="18" customHeight="1" x14ac:dyDescent="0.15">
      <c r="A22" s="2501"/>
      <c r="B22" s="2504"/>
      <c r="C22" s="1663" t="str">
        <f ca="1">CONCATENATE(Orçamento_Não_Deson!H16," ",Orçamento_Não_Deson!I16)</f>
        <v>2926,87 M</v>
      </c>
      <c r="D22" s="2522">
        <f ca="1">Orçamento_Não_Deson!J16</f>
        <v>1133647.6500000001</v>
      </c>
      <c r="E22" s="2523"/>
      <c r="F22" s="695">
        <v>0.15</v>
      </c>
      <c r="G22" s="695">
        <v>0.15</v>
      </c>
      <c r="H22" s="695">
        <v>0.15</v>
      </c>
      <c r="I22" s="695">
        <v>0.1</v>
      </c>
      <c r="J22" s="695">
        <v>0.1</v>
      </c>
      <c r="K22" s="695">
        <v>0.1</v>
      </c>
      <c r="L22" s="695">
        <v>0.05</v>
      </c>
      <c r="M22" s="695">
        <v>0.05</v>
      </c>
      <c r="N22" s="695">
        <v>0.05</v>
      </c>
      <c r="O22" s="695">
        <v>0.04</v>
      </c>
      <c r="P22" s="695">
        <v>0.04</v>
      </c>
      <c r="Q22" s="695">
        <v>0.02</v>
      </c>
      <c r="R22" s="695"/>
      <c r="S22" s="695"/>
      <c r="T22" s="695"/>
      <c r="U22" s="695"/>
      <c r="V22" s="695"/>
      <c r="W22" s="695"/>
      <c r="X22" s="120">
        <f>SUM(F22:W22)</f>
        <v>1</v>
      </c>
      <c r="Y22" s="586">
        <f>1-X22</f>
        <v>0</v>
      </c>
      <c r="AA22" s="711">
        <f>+COUNT(F22:W22)</f>
        <v>12</v>
      </c>
    </row>
    <row r="23" spans="1:27" s="119" customFormat="1" ht="18" customHeight="1" thickBot="1" x14ac:dyDescent="0.2">
      <c r="A23" s="2501"/>
      <c r="B23" s="2504"/>
      <c r="C23" s="1665">
        <f ca="1">ROUND((SUM(Orçamento_Não_Deson!O196:O207)+SUM(Orçamento_Não_Deson!O217:O241))/240,1)</f>
        <v>5</v>
      </c>
      <c r="D23" s="1694" t="s">
        <v>141</v>
      </c>
      <c r="E23" s="1695">
        <f>D$92</f>
        <v>1</v>
      </c>
      <c r="F23" s="870">
        <f t="shared" ref="F23:W23" ca="1" si="46">IF($D22=0,0,IF(F22=0,0,($E23*$D22*F22)+$AA$96))</f>
        <v>170047.14750000002</v>
      </c>
      <c r="G23" s="870">
        <f t="shared" ca="1" si="46"/>
        <v>170047.14750000002</v>
      </c>
      <c r="H23" s="870">
        <f t="shared" ca="1" si="46"/>
        <v>170047.14750000002</v>
      </c>
      <c r="I23" s="870">
        <f t="shared" ca="1" si="46"/>
        <v>113364.76500000001</v>
      </c>
      <c r="J23" s="870">
        <f t="shared" ca="1" si="46"/>
        <v>113364.76500000001</v>
      </c>
      <c r="K23" s="870">
        <f t="shared" ca="1" si="46"/>
        <v>113364.76500000001</v>
      </c>
      <c r="L23" s="870">
        <f t="shared" ca="1" si="46"/>
        <v>56682.382500000007</v>
      </c>
      <c r="M23" s="870">
        <f t="shared" ca="1" si="46"/>
        <v>56682.382500000007</v>
      </c>
      <c r="N23" s="870">
        <f t="shared" ca="1" si="46"/>
        <v>56682.382500000007</v>
      </c>
      <c r="O23" s="870">
        <f t="shared" ca="1" si="46"/>
        <v>45345.90600000001</v>
      </c>
      <c r="P23" s="870">
        <f t="shared" ca="1" si="46"/>
        <v>45345.90600000001</v>
      </c>
      <c r="Q23" s="870">
        <f t="shared" ca="1" si="46"/>
        <v>22672.953000000005</v>
      </c>
      <c r="R23" s="870">
        <f t="shared" ca="1" si="46"/>
        <v>0</v>
      </c>
      <c r="S23" s="870">
        <f t="shared" ca="1" si="46"/>
        <v>0</v>
      </c>
      <c r="T23" s="870">
        <f t="shared" ca="1" si="46"/>
        <v>0</v>
      </c>
      <c r="U23" s="870">
        <f t="shared" ca="1" si="46"/>
        <v>0</v>
      </c>
      <c r="V23" s="870">
        <f t="shared" ca="1" si="46"/>
        <v>0</v>
      </c>
      <c r="W23" s="870">
        <f t="shared" ca="1" si="46"/>
        <v>0</v>
      </c>
      <c r="X23" s="121">
        <f ca="1">SUM(F23:W23)</f>
        <v>1133647.6500000001</v>
      </c>
      <c r="Y23" s="118">
        <f ca="1">TRUNC(X23-D22*E23,2)</f>
        <v>0</v>
      </c>
      <c r="Z23" s="710">
        <f ca="1">+X23/D22</f>
        <v>1</v>
      </c>
    </row>
    <row r="24" spans="1:27" s="119" customFormat="1" ht="18" hidden="1" customHeight="1" thickBot="1" x14ac:dyDescent="0.2">
      <c r="A24" s="2502"/>
      <c r="B24" s="2505"/>
      <c r="C24" s="1664"/>
      <c r="D24" s="1658" t="s">
        <v>142</v>
      </c>
      <c r="E24" s="709">
        <f>1-E23</f>
        <v>0</v>
      </c>
      <c r="F24" s="869">
        <f ca="1">($D22*F22-F23)</f>
        <v>0</v>
      </c>
      <c r="G24" s="869">
        <f t="shared" ref="G24" ca="1" si="47">($D22*G22-G23)</f>
        <v>0</v>
      </c>
      <c r="H24" s="869">
        <f t="shared" ref="H24" ca="1" si="48">($D22*H22-H23)</f>
        <v>0</v>
      </c>
      <c r="I24" s="869">
        <f t="shared" ref="I24" ca="1" si="49">($D22*I22-I23)</f>
        <v>0</v>
      </c>
      <c r="J24" s="869">
        <f t="shared" ref="J24" ca="1" si="50">($D22*J22-J23)</f>
        <v>0</v>
      </c>
      <c r="K24" s="869">
        <f t="shared" ref="K24" ca="1" si="51">($D22*K22-K23)</f>
        <v>0</v>
      </c>
      <c r="L24" s="869">
        <f t="shared" ref="L24" ca="1" si="52">($D22*L22-L23)</f>
        <v>0</v>
      </c>
      <c r="M24" s="869">
        <f t="shared" ref="M24" ca="1" si="53">($D22*M22-M23)</f>
        <v>0</v>
      </c>
      <c r="N24" s="869">
        <f t="shared" ref="N24" ca="1" si="54">($D22*N22-N23)</f>
        <v>0</v>
      </c>
      <c r="O24" s="869">
        <f t="shared" ref="O24" ca="1" si="55">($D22*O22-O23)</f>
        <v>0</v>
      </c>
      <c r="P24" s="869">
        <f t="shared" ref="P24" ca="1" si="56">($D22*P22-P23)</f>
        <v>0</v>
      </c>
      <c r="Q24" s="869">
        <f t="shared" ref="Q24" ca="1" si="57">($D22*Q22-Q23)</f>
        <v>0</v>
      </c>
      <c r="R24" s="869">
        <f t="shared" ref="R24" ca="1" si="58">($D22*R22-R23)</f>
        <v>0</v>
      </c>
      <c r="S24" s="869">
        <f t="shared" ref="S24" ca="1" si="59">($D22*S22-S23)</f>
        <v>0</v>
      </c>
      <c r="T24" s="869">
        <f t="shared" ref="T24" ca="1" si="60">($D22*T22-T23)</f>
        <v>0</v>
      </c>
      <c r="U24" s="869">
        <f t="shared" ref="U24" ca="1" si="61">($D22*U22-U23)</f>
        <v>0</v>
      </c>
      <c r="V24" s="869">
        <f t="shared" ref="V24" ca="1" si="62">($D22*V22-V23)</f>
        <v>0</v>
      </c>
      <c r="W24" s="869">
        <f t="shared" ref="W24" ca="1" si="63">($D22*W22-W23)</f>
        <v>0</v>
      </c>
      <c r="X24" s="122">
        <f ca="1">SUM(F24:W24)</f>
        <v>0</v>
      </c>
      <c r="Y24" s="118">
        <f ca="1">+D22-X23-X24</f>
        <v>0</v>
      </c>
    </row>
    <row r="25" spans="1:27" s="119" customFormat="1" ht="9.9499999999999993" customHeight="1" x14ac:dyDescent="0.15">
      <c r="A25" s="2500">
        <f ca="1">Orçamento_Não_Deson!B17</f>
        <v>5</v>
      </c>
      <c r="B25" s="2503" t="str">
        <f>Orçamento_Não_Deson!C17</f>
        <v>MICRODRENAGEM - DISPOSITIVOS AUXILIARES</v>
      </c>
      <c r="C25" s="1663"/>
      <c r="D25" s="1659"/>
      <c r="E25" s="116"/>
      <c r="F25" s="871">
        <f t="shared" ref="F25:M25" si="64">F26</f>
        <v>0.15</v>
      </c>
      <c r="G25" s="871">
        <f t="shared" si="64"/>
        <v>0.15</v>
      </c>
      <c r="H25" s="871">
        <f t="shared" si="64"/>
        <v>0.15</v>
      </c>
      <c r="I25" s="871">
        <f t="shared" si="64"/>
        <v>0.1</v>
      </c>
      <c r="J25" s="871">
        <f t="shared" si="64"/>
        <v>0.1</v>
      </c>
      <c r="K25" s="871">
        <f t="shared" si="64"/>
        <v>0.1</v>
      </c>
      <c r="L25" s="871">
        <f t="shared" si="64"/>
        <v>0.05</v>
      </c>
      <c r="M25" s="871">
        <f t="shared" si="64"/>
        <v>0.05</v>
      </c>
      <c r="N25" s="871">
        <f>N26</f>
        <v>0.05</v>
      </c>
      <c r="O25" s="871">
        <f t="shared" ref="O25:W25" si="65">O26</f>
        <v>0.04</v>
      </c>
      <c r="P25" s="871">
        <f t="shared" si="65"/>
        <v>0.04</v>
      </c>
      <c r="Q25" s="871">
        <f t="shared" si="65"/>
        <v>0.02</v>
      </c>
      <c r="R25" s="871">
        <f t="shared" si="65"/>
        <v>0</v>
      </c>
      <c r="S25" s="871">
        <f t="shared" si="65"/>
        <v>0</v>
      </c>
      <c r="T25" s="871">
        <f t="shared" si="65"/>
        <v>0</v>
      </c>
      <c r="U25" s="871">
        <f t="shared" si="65"/>
        <v>0</v>
      </c>
      <c r="V25" s="871">
        <f t="shared" si="65"/>
        <v>0</v>
      </c>
      <c r="W25" s="871">
        <f t="shared" si="65"/>
        <v>0</v>
      </c>
      <c r="X25" s="117"/>
      <c r="Y25" s="708">
        <f ca="1">+D26-X27-X28</f>
        <v>-1.1641532182693481E-10</v>
      </c>
    </row>
    <row r="26" spans="1:27" s="119" customFormat="1" ht="18" customHeight="1" x14ac:dyDescent="0.15">
      <c r="A26" s="2501"/>
      <c r="B26" s="2504"/>
      <c r="C26" s="1663" t="str">
        <f>CONCATENATE(Orçamento_Não_Deson!H17," ",Orçamento_Não_Deson!I17)</f>
        <v>110 UN</v>
      </c>
      <c r="D26" s="2522">
        <f ca="1">Orçamento_Não_Deson!J17</f>
        <v>731704.34999999986</v>
      </c>
      <c r="E26" s="2523"/>
      <c r="F26" s="695">
        <v>0.15</v>
      </c>
      <c r="G26" s="695">
        <v>0.15</v>
      </c>
      <c r="H26" s="695">
        <v>0.15</v>
      </c>
      <c r="I26" s="695">
        <v>0.1</v>
      </c>
      <c r="J26" s="695">
        <v>0.1</v>
      </c>
      <c r="K26" s="695">
        <v>0.1</v>
      </c>
      <c r="L26" s="695">
        <v>0.05</v>
      </c>
      <c r="M26" s="695">
        <v>0.05</v>
      </c>
      <c r="N26" s="695">
        <v>0.05</v>
      </c>
      <c r="O26" s="695">
        <v>0.04</v>
      </c>
      <c r="P26" s="695">
        <v>0.04</v>
      </c>
      <c r="Q26" s="695">
        <v>0.02</v>
      </c>
      <c r="R26" s="695"/>
      <c r="S26" s="695"/>
      <c r="T26" s="695"/>
      <c r="U26" s="695"/>
      <c r="V26" s="695"/>
      <c r="W26" s="695"/>
      <c r="X26" s="120">
        <f>SUM(F26:W26)</f>
        <v>1</v>
      </c>
      <c r="Y26" s="586">
        <f>1-X26</f>
        <v>0</v>
      </c>
      <c r="AA26" s="711">
        <f>+COUNT(F26:W26)</f>
        <v>12</v>
      </c>
    </row>
    <row r="27" spans="1:27" s="119" customFormat="1" ht="18" customHeight="1" thickBot="1" x14ac:dyDescent="0.2">
      <c r="A27" s="2501"/>
      <c r="B27" s="2504"/>
      <c r="C27" s="1665">
        <f ca="1">Orçamento_Não_Deson!N17</f>
        <v>6</v>
      </c>
      <c r="D27" s="1694" t="s">
        <v>141</v>
      </c>
      <c r="E27" s="1695">
        <f>D$92</f>
        <v>1</v>
      </c>
      <c r="F27" s="870">
        <f t="shared" ref="F27:W27" ca="1" si="66">IF($D26=0,0,IF(F26=0,0,($E27*$D26*F26)+$AA$96))</f>
        <v>109755.65249999998</v>
      </c>
      <c r="G27" s="870">
        <f t="shared" ca="1" si="66"/>
        <v>109755.65249999998</v>
      </c>
      <c r="H27" s="870">
        <f t="shared" ca="1" si="66"/>
        <v>109755.65249999998</v>
      </c>
      <c r="I27" s="870">
        <f t="shared" ca="1" si="66"/>
        <v>73170.434999999983</v>
      </c>
      <c r="J27" s="870">
        <f t="shared" ca="1" si="66"/>
        <v>73170.434999999983</v>
      </c>
      <c r="K27" s="870">
        <f t="shared" ca="1" si="66"/>
        <v>73170.434999999983</v>
      </c>
      <c r="L27" s="870">
        <f t="shared" ca="1" si="66"/>
        <v>36585.217499999992</v>
      </c>
      <c r="M27" s="870">
        <f t="shared" ca="1" si="66"/>
        <v>36585.217499999992</v>
      </c>
      <c r="N27" s="870">
        <f t="shared" ca="1" si="66"/>
        <v>36585.217499999992</v>
      </c>
      <c r="O27" s="870">
        <f t="shared" ca="1" si="66"/>
        <v>29268.173999999995</v>
      </c>
      <c r="P27" s="870">
        <f t="shared" ca="1" si="66"/>
        <v>29268.173999999995</v>
      </c>
      <c r="Q27" s="870">
        <f t="shared" ca="1" si="66"/>
        <v>14634.086999999998</v>
      </c>
      <c r="R27" s="870">
        <f t="shared" ca="1" si="66"/>
        <v>0</v>
      </c>
      <c r="S27" s="870">
        <f t="shared" ca="1" si="66"/>
        <v>0</v>
      </c>
      <c r="T27" s="870">
        <f t="shared" ca="1" si="66"/>
        <v>0</v>
      </c>
      <c r="U27" s="870">
        <f t="shared" ca="1" si="66"/>
        <v>0</v>
      </c>
      <c r="V27" s="870">
        <f t="shared" ca="1" si="66"/>
        <v>0</v>
      </c>
      <c r="W27" s="870">
        <f t="shared" ca="1" si="66"/>
        <v>0</v>
      </c>
      <c r="X27" s="121">
        <f ca="1">SUM(F27:W27)</f>
        <v>731704.35</v>
      </c>
      <c r="Y27" s="118">
        <f ca="1">TRUNC(X27-D26*E27,2)</f>
        <v>0</v>
      </c>
      <c r="Z27" s="710">
        <f ca="1">+X27/D26</f>
        <v>1.0000000000000002</v>
      </c>
    </row>
    <row r="28" spans="1:27" s="119" customFormat="1" ht="18" hidden="1" customHeight="1" thickBot="1" x14ac:dyDescent="0.2">
      <c r="A28" s="2502"/>
      <c r="B28" s="2505"/>
      <c r="C28" s="1664"/>
      <c r="D28" s="1658" t="s">
        <v>142</v>
      </c>
      <c r="E28" s="709">
        <f>1-E27</f>
        <v>0</v>
      </c>
      <c r="F28" s="869">
        <f ca="1">($D26*F26-F27)</f>
        <v>0</v>
      </c>
      <c r="G28" s="869">
        <f t="shared" ref="G28" ca="1" si="67">($D26*G26-G27)</f>
        <v>0</v>
      </c>
      <c r="H28" s="869">
        <f t="shared" ref="H28" ca="1" si="68">($D26*H26-H27)</f>
        <v>0</v>
      </c>
      <c r="I28" s="869">
        <f t="shared" ref="I28" ca="1" si="69">($D26*I26-I27)</f>
        <v>0</v>
      </c>
      <c r="J28" s="869">
        <f t="shared" ref="J28" ca="1" si="70">($D26*J26-J27)</f>
        <v>0</v>
      </c>
      <c r="K28" s="869">
        <f t="shared" ref="K28" ca="1" si="71">($D26*K26-K27)</f>
        <v>0</v>
      </c>
      <c r="L28" s="869">
        <f t="shared" ref="L28" ca="1" si="72">($D26*L26-L27)</f>
        <v>0</v>
      </c>
      <c r="M28" s="869">
        <f t="shared" ref="M28" ca="1" si="73">($D26*M26-M27)</f>
        <v>0</v>
      </c>
      <c r="N28" s="869">
        <f t="shared" ref="N28" ca="1" si="74">($D26*N26-N27)</f>
        <v>0</v>
      </c>
      <c r="O28" s="869">
        <f t="shared" ref="O28" ca="1" si="75">($D26*O26-O27)</f>
        <v>0</v>
      </c>
      <c r="P28" s="869">
        <f t="shared" ref="P28" ca="1" si="76">($D26*P26-P27)</f>
        <v>0</v>
      </c>
      <c r="Q28" s="869">
        <f t="shared" ref="Q28" ca="1" si="77">($D26*Q26-Q27)</f>
        <v>0</v>
      </c>
      <c r="R28" s="869">
        <f t="shared" ref="R28" ca="1" si="78">($D26*R26-R27)</f>
        <v>0</v>
      </c>
      <c r="S28" s="869">
        <f t="shared" ref="S28" ca="1" si="79">($D26*S26-S27)</f>
        <v>0</v>
      </c>
      <c r="T28" s="869">
        <f t="shared" ref="T28" ca="1" si="80">($D26*T26-T27)</f>
        <v>0</v>
      </c>
      <c r="U28" s="869">
        <f t="shared" ref="U28" ca="1" si="81">($D26*U26-U27)</f>
        <v>0</v>
      </c>
      <c r="V28" s="869">
        <f t="shared" ref="V28" ca="1" si="82">($D26*V26-V27)</f>
        <v>0</v>
      </c>
      <c r="W28" s="869">
        <f t="shared" ref="W28" ca="1" si="83">($D26*W26-W27)</f>
        <v>0</v>
      </c>
      <c r="X28" s="122">
        <f ca="1">SUM(F28:W28)</f>
        <v>0</v>
      </c>
      <c r="Y28" s="118">
        <f ca="1">+D26-X27-X28</f>
        <v>-1.1641532182693481E-10</v>
      </c>
    </row>
    <row r="29" spans="1:27" s="119" customFormat="1" ht="9.9499999999999993" hidden="1" customHeight="1" x14ac:dyDescent="0.15">
      <c r="A29" s="2500">
        <f ca="1">Orçamento_Não_Deson!B18</f>
        <v>5</v>
      </c>
      <c r="B29" s="2503" t="str">
        <f>Orçamento_Não_Deson!C18</f>
        <v>MICRODRENAGEM - SERVIÇOS DE ESTRUTURAS</v>
      </c>
      <c r="C29" s="1663"/>
      <c r="D29" s="1659"/>
      <c r="E29" s="116"/>
      <c r="F29" s="871">
        <f t="shared" ref="F29:M29" si="84">F30</f>
        <v>0.3</v>
      </c>
      <c r="G29" s="871">
        <f t="shared" si="84"/>
        <v>0.3</v>
      </c>
      <c r="H29" s="871">
        <f t="shared" si="84"/>
        <v>0.3</v>
      </c>
      <c r="I29" s="871">
        <f t="shared" si="84"/>
        <v>0.1</v>
      </c>
      <c r="J29" s="871">
        <f t="shared" si="84"/>
        <v>0</v>
      </c>
      <c r="K29" s="871">
        <f t="shared" si="84"/>
        <v>0</v>
      </c>
      <c r="L29" s="871">
        <f t="shared" si="84"/>
        <v>0</v>
      </c>
      <c r="M29" s="871">
        <f t="shared" si="84"/>
        <v>0</v>
      </c>
      <c r="N29" s="871">
        <f>N30</f>
        <v>0</v>
      </c>
      <c r="O29" s="871">
        <f t="shared" ref="O29:W29" si="85">O30</f>
        <v>0</v>
      </c>
      <c r="P29" s="871">
        <f t="shared" si="85"/>
        <v>0</v>
      </c>
      <c r="Q29" s="871">
        <f t="shared" si="85"/>
        <v>0</v>
      </c>
      <c r="R29" s="871">
        <f t="shared" si="85"/>
        <v>0</v>
      </c>
      <c r="S29" s="871">
        <f t="shared" si="85"/>
        <v>0</v>
      </c>
      <c r="T29" s="871">
        <f t="shared" si="85"/>
        <v>0</v>
      </c>
      <c r="U29" s="871">
        <f t="shared" si="85"/>
        <v>0</v>
      </c>
      <c r="V29" s="871">
        <f t="shared" si="85"/>
        <v>0</v>
      </c>
      <c r="W29" s="871">
        <f t="shared" si="85"/>
        <v>0</v>
      </c>
      <c r="X29" s="117"/>
      <c r="Y29" s="708">
        <f>+D30-X31-X32</f>
        <v>0</v>
      </c>
    </row>
    <row r="30" spans="1:27" s="119" customFormat="1" ht="18" hidden="1" customHeight="1" x14ac:dyDescent="0.15">
      <c r="A30" s="2501"/>
      <c r="B30" s="2504"/>
      <c r="C30" s="1663" t="str">
        <f>CONCATENATE(Orçamento_Não_Deson!H18," ",Orçamento_Não_Deson!I18)</f>
        <v>0 M3</v>
      </c>
      <c r="D30" s="2522">
        <f>Orçamento_Não_Deson!J18</f>
        <v>0</v>
      </c>
      <c r="E30" s="2523"/>
      <c r="F30" s="2089">
        <v>0.3</v>
      </c>
      <c r="G30" s="2089">
        <v>0.3</v>
      </c>
      <c r="H30" s="2089">
        <v>0.3</v>
      </c>
      <c r="I30" s="2089">
        <v>0.1</v>
      </c>
      <c r="J30" s="2089"/>
      <c r="K30" s="2089"/>
      <c r="L30" s="695"/>
      <c r="M30" s="695"/>
      <c r="N30" s="695"/>
      <c r="O30" s="695"/>
      <c r="P30" s="695"/>
      <c r="Q30" s="695"/>
      <c r="R30" s="695"/>
      <c r="S30" s="695"/>
      <c r="T30" s="695"/>
      <c r="U30" s="695"/>
      <c r="V30" s="695"/>
      <c r="W30" s="695"/>
      <c r="X30" s="120">
        <f>SUM(F30:W30)</f>
        <v>0.99999999999999989</v>
      </c>
      <c r="Y30" s="586">
        <f>1-X30</f>
        <v>0</v>
      </c>
      <c r="AA30" s="711">
        <f>+COUNT(F30:W30)</f>
        <v>4</v>
      </c>
    </row>
    <row r="31" spans="1:27" s="119" customFormat="1" ht="18" hidden="1" customHeight="1" x14ac:dyDescent="0.15">
      <c r="A31" s="2501"/>
      <c r="B31" s="2504"/>
      <c r="C31" s="1663"/>
      <c r="D31" s="1694" t="s">
        <v>141</v>
      </c>
      <c r="E31" s="1695">
        <f>D$92</f>
        <v>1</v>
      </c>
      <c r="F31" s="870">
        <f t="shared" ref="F31:W31" si="86">IF($D30=0,0,IF(F30=0,0,($E31*$D30*F30)+$AA$96))</f>
        <v>0</v>
      </c>
      <c r="G31" s="870">
        <f t="shared" si="86"/>
        <v>0</v>
      </c>
      <c r="H31" s="870">
        <f t="shared" si="86"/>
        <v>0</v>
      </c>
      <c r="I31" s="870">
        <f t="shared" si="86"/>
        <v>0</v>
      </c>
      <c r="J31" s="870">
        <f t="shared" si="86"/>
        <v>0</v>
      </c>
      <c r="K31" s="870">
        <f t="shared" si="86"/>
        <v>0</v>
      </c>
      <c r="L31" s="870">
        <f t="shared" si="86"/>
        <v>0</v>
      </c>
      <c r="M31" s="870">
        <f t="shared" si="86"/>
        <v>0</v>
      </c>
      <c r="N31" s="870">
        <f t="shared" si="86"/>
        <v>0</v>
      </c>
      <c r="O31" s="870">
        <f t="shared" si="86"/>
        <v>0</v>
      </c>
      <c r="P31" s="870">
        <f t="shared" si="86"/>
        <v>0</v>
      </c>
      <c r="Q31" s="870">
        <f t="shared" si="86"/>
        <v>0</v>
      </c>
      <c r="R31" s="870">
        <f t="shared" si="86"/>
        <v>0</v>
      </c>
      <c r="S31" s="870">
        <f t="shared" si="86"/>
        <v>0</v>
      </c>
      <c r="T31" s="870">
        <f t="shared" si="86"/>
        <v>0</v>
      </c>
      <c r="U31" s="870">
        <f t="shared" si="86"/>
        <v>0</v>
      </c>
      <c r="V31" s="870">
        <f t="shared" si="86"/>
        <v>0</v>
      </c>
      <c r="W31" s="870">
        <f t="shared" si="86"/>
        <v>0</v>
      </c>
      <c r="X31" s="121">
        <f>SUM(F31:W31)</f>
        <v>0</v>
      </c>
      <c r="Y31" s="118">
        <f>TRUNC(X31-D30*E31,2)</f>
        <v>0</v>
      </c>
      <c r="Z31" s="710" t="e">
        <f>+X31/D30</f>
        <v>#DIV/0!</v>
      </c>
    </row>
    <row r="32" spans="1:27" s="119" customFormat="1" ht="18" hidden="1" customHeight="1" thickBot="1" x14ac:dyDescent="0.2">
      <c r="A32" s="2502"/>
      <c r="B32" s="2505"/>
      <c r="C32" s="1664"/>
      <c r="D32" s="1658" t="s">
        <v>142</v>
      </c>
      <c r="E32" s="709">
        <f>1-E31</f>
        <v>0</v>
      </c>
      <c r="F32" s="869">
        <f>($D30*F30-F31)</f>
        <v>0</v>
      </c>
      <c r="G32" s="869">
        <f t="shared" ref="G32" si="87">($D30*G30-G31)</f>
        <v>0</v>
      </c>
      <c r="H32" s="869">
        <f t="shared" ref="H32" si="88">($D30*H30-H31)</f>
        <v>0</v>
      </c>
      <c r="I32" s="869">
        <f t="shared" ref="I32" si="89">($D30*I30-I31)</f>
        <v>0</v>
      </c>
      <c r="J32" s="869">
        <f t="shared" ref="J32" si="90">($D30*J30-J31)</f>
        <v>0</v>
      </c>
      <c r="K32" s="869">
        <f t="shared" ref="K32" si="91">($D30*K30-K31)</f>
        <v>0</v>
      </c>
      <c r="L32" s="869">
        <f t="shared" ref="L32" si="92">($D30*L30-L31)</f>
        <v>0</v>
      </c>
      <c r="M32" s="869">
        <f t="shared" ref="M32" si="93">($D30*M30-M31)</f>
        <v>0</v>
      </c>
      <c r="N32" s="869">
        <f t="shared" ref="N32" si="94">($D30*N30-N31)</f>
        <v>0</v>
      </c>
      <c r="O32" s="869">
        <f t="shared" ref="O32" si="95">($D30*O30-O31)</f>
        <v>0</v>
      </c>
      <c r="P32" s="869">
        <f t="shared" ref="P32" si="96">($D30*P30-P31)</f>
        <v>0</v>
      </c>
      <c r="Q32" s="869">
        <f t="shared" ref="Q32" si="97">($D30*Q30-Q31)</f>
        <v>0</v>
      </c>
      <c r="R32" s="869">
        <f t="shared" ref="R32" si="98">($D30*R30-R31)</f>
        <v>0</v>
      </c>
      <c r="S32" s="869">
        <f t="shared" ref="S32" si="99">($D30*S30-S31)</f>
        <v>0</v>
      </c>
      <c r="T32" s="869">
        <f t="shared" ref="T32" si="100">($D30*T30-T31)</f>
        <v>0</v>
      </c>
      <c r="U32" s="869">
        <f t="shared" ref="U32" si="101">($D30*U30-U31)</f>
        <v>0</v>
      </c>
      <c r="V32" s="869">
        <f t="shared" ref="V32" si="102">($D30*V30-V31)</f>
        <v>0</v>
      </c>
      <c r="W32" s="869">
        <f t="shared" ref="W32" si="103">($D30*W30-W31)</f>
        <v>0</v>
      </c>
      <c r="X32" s="122">
        <f>SUM(F32:W32)</f>
        <v>0</v>
      </c>
      <c r="Y32" s="118">
        <f>+D30-X31-X32</f>
        <v>0</v>
      </c>
    </row>
    <row r="33" spans="1:27" s="119" customFormat="1" ht="9.9499999999999993" hidden="1" customHeight="1" x14ac:dyDescent="0.15">
      <c r="A33" s="2500">
        <f ca="1">Orçamento_Não_Deson!B19</f>
        <v>5</v>
      </c>
      <c r="B33" s="2503" t="str">
        <f>Orçamento_Não_Deson!C19</f>
        <v>MICRODRENAGEM - BACIA DE AMORTECIMENTO</v>
      </c>
      <c r="C33" s="1663"/>
      <c r="D33" s="1659"/>
      <c r="E33" s="116"/>
      <c r="F33" s="871">
        <f t="shared" ref="F33:M33" si="104">F34</f>
        <v>0</v>
      </c>
      <c r="G33" s="871">
        <f t="shared" si="104"/>
        <v>0</v>
      </c>
      <c r="H33" s="871">
        <f t="shared" si="104"/>
        <v>0</v>
      </c>
      <c r="I33" s="871">
        <f t="shared" si="104"/>
        <v>0</v>
      </c>
      <c r="J33" s="871">
        <f t="shared" si="104"/>
        <v>0</v>
      </c>
      <c r="K33" s="871">
        <f t="shared" si="104"/>
        <v>0</v>
      </c>
      <c r="L33" s="871">
        <f t="shared" si="104"/>
        <v>0</v>
      </c>
      <c r="M33" s="871">
        <f t="shared" si="104"/>
        <v>0</v>
      </c>
      <c r="N33" s="871">
        <f>N34</f>
        <v>0</v>
      </c>
      <c r="O33" s="871">
        <f t="shared" ref="O33:W33" si="105">O34</f>
        <v>0</v>
      </c>
      <c r="P33" s="871">
        <f t="shared" si="105"/>
        <v>0</v>
      </c>
      <c r="Q33" s="871">
        <f t="shared" si="105"/>
        <v>0</v>
      </c>
      <c r="R33" s="871">
        <f t="shared" si="105"/>
        <v>0</v>
      </c>
      <c r="S33" s="871">
        <f t="shared" si="105"/>
        <v>0</v>
      </c>
      <c r="T33" s="871">
        <f t="shared" si="105"/>
        <v>0</v>
      </c>
      <c r="U33" s="871">
        <f t="shared" si="105"/>
        <v>0</v>
      </c>
      <c r="V33" s="871">
        <f t="shared" si="105"/>
        <v>0</v>
      </c>
      <c r="W33" s="871">
        <f t="shared" si="105"/>
        <v>0</v>
      </c>
      <c r="X33" s="117"/>
      <c r="Y33" s="708">
        <f>+D34-X35-X36</f>
        <v>0</v>
      </c>
    </row>
    <row r="34" spans="1:27" s="119" customFormat="1" ht="18" hidden="1" customHeight="1" x14ac:dyDescent="0.15">
      <c r="A34" s="2501"/>
      <c r="B34" s="2504"/>
      <c r="C34" s="1663" t="str">
        <f>CONCATENATE(Orçamento_Não_Deson!H19," ",Orçamento_Não_Deson!I19)</f>
        <v>0 M3</v>
      </c>
      <c r="D34" s="2522">
        <f>Orçamento_Não_Deson!J19</f>
        <v>0</v>
      </c>
      <c r="E34" s="2523"/>
      <c r="F34" s="695"/>
      <c r="G34" s="695"/>
      <c r="H34" s="695"/>
      <c r="I34" s="695"/>
      <c r="J34" s="695"/>
      <c r="K34" s="695"/>
      <c r="L34" s="695"/>
      <c r="M34" s="695"/>
      <c r="N34" s="695"/>
      <c r="O34" s="695"/>
      <c r="P34" s="695"/>
      <c r="Q34" s="695"/>
      <c r="R34" s="695"/>
      <c r="S34" s="695"/>
      <c r="T34" s="695"/>
      <c r="U34" s="695"/>
      <c r="V34" s="695"/>
      <c r="W34" s="695"/>
      <c r="X34" s="120">
        <f>SUM(F34:W34)</f>
        <v>0</v>
      </c>
      <c r="Y34" s="586">
        <f>1-X34</f>
        <v>1</v>
      </c>
      <c r="AA34" s="711">
        <f>+COUNT(F34:W34)</f>
        <v>0</v>
      </c>
    </row>
    <row r="35" spans="1:27" s="119" customFormat="1" ht="18" hidden="1" customHeight="1" x14ac:dyDescent="0.15">
      <c r="A35" s="2501"/>
      <c r="B35" s="2504"/>
      <c r="C35" s="1665">
        <f>Orçamento_Não_Deson!N19</f>
        <v>0</v>
      </c>
      <c r="D35" s="1694" t="s">
        <v>141</v>
      </c>
      <c r="E35" s="1695">
        <f>D$92</f>
        <v>1</v>
      </c>
      <c r="F35" s="870">
        <f t="shared" ref="F35:W35" si="106">IF($D34=0,0,IF(F34=0,0,($E35*$D34*F34)+$AA$96))</f>
        <v>0</v>
      </c>
      <c r="G35" s="870">
        <f t="shared" si="106"/>
        <v>0</v>
      </c>
      <c r="H35" s="870">
        <f t="shared" si="106"/>
        <v>0</v>
      </c>
      <c r="I35" s="870">
        <f t="shared" si="106"/>
        <v>0</v>
      </c>
      <c r="J35" s="870">
        <f t="shared" si="106"/>
        <v>0</v>
      </c>
      <c r="K35" s="870">
        <f t="shared" si="106"/>
        <v>0</v>
      </c>
      <c r="L35" s="870">
        <f t="shared" si="106"/>
        <v>0</v>
      </c>
      <c r="M35" s="870">
        <f t="shared" si="106"/>
        <v>0</v>
      </c>
      <c r="N35" s="870">
        <f t="shared" si="106"/>
        <v>0</v>
      </c>
      <c r="O35" s="870">
        <f t="shared" si="106"/>
        <v>0</v>
      </c>
      <c r="P35" s="870">
        <f t="shared" si="106"/>
        <v>0</v>
      </c>
      <c r="Q35" s="870">
        <f t="shared" si="106"/>
        <v>0</v>
      </c>
      <c r="R35" s="870">
        <f t="shared" si="106"/>
        <v>0</v>
      </c>
      <c r="S35" s="870">
        <f t="shared" si="106"/>
        <v>0</v>
      </c>
      <c r="T35" s="870">
        <f t="shared" si="106"/>
        <v>0</v>
      </c>
      <c r="U35" s="870">
        <f t="shared" si="106"/>
        <v>0</v>
      </c>
      <c r="V35" s="870">
        <f t="shared" si="106"/>
        <v>0</v>
      </c>
      <c r="W35" s="870">
        <f t="shared" si="106"/>
        <v>0</v>
      </c>
      <c r="X35" s="121">
        <f>SUM(F35:W35)</f>
        <v>0</v>
      </c>
      <c r="Y35" s="118">
        <f>TRUNC(X35-D34*E35,2)</f>
        <v>0</v>
      </c>
      <c r="Z35" s="710" t="e">
        <f>+X35/D34</f>
        <v>#DIV/0!</v>
      </c>
    </row>
    <row r="36" spans="1:27" s="119" customFormat="1" ht="18" hidden="1" customHeight="1" thickBot="1" x14ac:dyDescent="0.2">
      <c r="A36" s="2502"/>
      <c r="B36" s="2505"/>
      <c r="C36" s="1664"/>
      <c r="D36" s="1658" t="s">
        <v>142</v>
      </c>
      <c r="E36" s="709">
        <f>1-E35</f>
        <v>0</v>
      </c>
      <c r="F36" s="869">
        <f>($D34*F34-F35)</f>
        <v>0</v>
      </c>
      <c r="G36" s="869">
        <f t="shared" ref="G36" si="107">($D34*G34-G35)</f>
        <v>0</v>
      </c>
      <c r="H36" s="869">
        <f t="shared" ref="H36" si="108">($D34*H34-H35)</f>
        <v>0</v>
      </c>
      <c r="I36" s="869">
        <f t="shared" ref="I36" si="109">($D34*I34-I35)</f>
        <v>0</v>
      </c>
      <c r="J36" s="869">
        <f t="shared" ref="J36" si="110">($D34*J34-J35)</f>
        <v>0</v>
      </c>
      <c r="K36" s="869">
        <f t="shared" ref="K36" si="111">($D34*K34-K35)</f>
        <v>0</v>
      </c>
      <c r="L36" s="869">
        <f t="shared" ref="L36" si="112">($D34*L34-L35)</f>
        <v>0</v>
      </c>
      <c r="M36" s="869">
        <f t="shared" ref="M36" si="113">($D34*M34-M35)</f>
        <v>0</v>
      </c>
      <c r="N36" s="869">
        <f t="shared" ref="N36" si="114">($D34*N34-N35)</f>
        <v>0</v>
      </c>
      <c r="O36" s="869">
        <f t="shared" ref="O36" si="115">($D34*O34-O35)</f>
        <v>0</v>
      </c>
      <c r="P36" s="869">
        <f t="shared" ref="P36" si="116">($D34*P34-P35)</f>
        <v>0</v>
      </c>
      <c r="Q36" s="869">
        <f t="shared" ref="Q36" si="117">($D34*Q34-Q35)</f>
        <v>0</v>
      </c>
      <c r="R36" s="869">
        <f t="shared" ref="R36" si="118">($D34*R34-R35)</f>
        <v>0</v>
      </c>
      <c r="S36" s="869">
        <f t="shared" ref="S36" si="119">($D34*S34-S35)</f>
        <v>0</v>
      </c>
      <c r="T36" s="869">
        <f t="shared" ref="T36" si="120">($D34*T34-T35)</f>
        <v>0</v>
      </c>
      <c r="U36" s="869">
        <f t="shared" ref="U36" si="121">($D34*U34-U35)</f>
        <v>0</v>
      </c>
      <c r="V36" s="869">
        <f t="shared" ref="V36" si="122">($D34*V34-V35)</f>
        <v>0</v>
      </c>
      <c r="W36" s="869">
        <f t="shared" ref="W36" si="123">($D34*W34-W35)</f>
        <v>0</v>
      </c>
      <c r="X36" s="122">
        <f>SUM(F36:W36)</f>
        <v>0</v>
      </c>
      <c r="Y36" s="118">
        <f>+D34-X35-X36</f>
        <v>0</v>
      </c>
    </row>
    <row r="37" spans="1:27" s="119" customFormat="1" ht="9.9499999999999993" hidden="1" customHeight="1" x14ac:dyDescent="0.15">
      <c r="A37" s="2500">
        <f ca="1">Orçamento_Não_Deson!B20</f>
        <v>5</v>
      </c>
      <c r="B37" s="2503" t="str">
        <f>Orçamento_Não_Deson!C20</f>
        <v>DRENAGEM DE LENÇOL FREÁTICO</v>
      </c>
      <c r="C37" s="1663"/>
      <c r="D37" s="1659"/>
      <c r="E37" s="116"/>
      <c r="F37" s="871">
        <f t="shared" ref="F37:M37" si="124">F38</f>
        <v>0.02</v>
      </c>
      <c r="G37" s="871">
        <f t="shared" si="124"/>
        <v>0.06</v>
      </c>
      <c r="H37" s="871">
        <f t="shared" si="124"/>
        <v>0.08</v>
      </c>
      <c r="I37" s="871">
        <f t="shared" si="124"/>
        <v>0.1</v>
      </c>
      <c r="J37" s="871">
        <f t="shared" si="124"/>
        <v>0</v>
      </c>
      <c r="K37" s="871">
        <f t="shared" si="124"/>
        <v>0</v>
      </c>
      <c r="L37" s="871">
        <f t="shared" si="124"/>
        <v>0</v>
      </c>
      <c r="M37" s="871">
        <f t="shared" si="124"/>
        <v>0</v>
      </c>
      <c r="N37" s="871">
        <f>N38</f>
        <v>0</v>
      </c>
      <c r="O37" s="871">
        <f t="shared" ref="O37:W37" si="125">O38</f>
        <v>0</v>
      </c>
      <c r="P37" s="871">
        <f t="shared" si="125"/>
        <v>0</v>
      </c>
      <c r="Q37" s="871">
        <f t="shared" si="125"/>
        <v>0</v>
      </c>
      <c r="R37" s="871">
        <f t="shared" si="125"/>
        <v>0</v>
      </c>
      <c r="S37" s="871">
        <f t="shared" si="125"/>
        <v>0</v>
      </c>
      <c r="T37" s="871">
        <f t="shared" si="125"/>
        <v>0</v>
      </c>
      <c r="U37" s="871">
        <f t="shared" si="125"/>
        <v>0</v>
      </c>
      <c r="V37" s="871">
        <f t="shared" si="125"/>
        <v>0</v>
      </c>
      <c r="W37" s="871">
        <f t="shared" si="125"/>
        <v>0</v>
      </c>
      <c r="X37" s="117"/>
      <c r="Y37" s="708">
        <f>+D38-X39-X40</f>
        <v>0</v>
      </c>
    </row>
    <row r="38" spans="1:27" s="119" customFormat="1" ht="18" hidden="1" customHeight="1" x14ac:dyDescent="0.15">
      <c r="A38" s="2501"/>
      <c r="B38" s="2504"/>
      <c r="C38" s="1663" t="str">
        <f>CONCATENATE(Orçamento_Não_Deson!H20," ",Orçamento_Não_Deson!I20)</f>
        <v>0 M</v>
      </c>
      <c r="D38" s="2522">
        <f>Orçamento_Não_Deson!J20</f>
        <v>0</v>
      </c>
      <c r="E38" s="2523"/>
      <c r="F38" s="695">
        <v>0.02</v>
      </c>
      <c r="G38" s="695">
        <v>0.06</v>
      </c>
      <c r="H38" s="695">
        <v>0.08</v>
      </c>
      <c r="I38" s="695">
        <v>0.1</v>
      </c>
      <c r="J38" s="695"/>
      <c r="K38" s="695"/>
      <c r="L38" s="695"/>
      <c r="M38" s="695"/>
      <c r="N38" s="695"/>
      <c r="O38" s="695"/>
      <c r="P38" s="695"/>
      <c r="Q38" s="695"/>
      <c r="R38" s="695"/>
      <c r="S38" s="695"/>
      <c r="T38" s="695"/>
      <c r="U38" s="695"/>
      <c r="V38" s="695"/>
      <c r="W38" s="695"/>
      <c r="X38" s="120">
        <f>SUM(F38:W38)</f>
        <v>0.26</v>
      </c>
      <c r="Y38" s="586">
        <f>1-X38</f>
        <v>0.74</v>
      </c>
      <c r="AA38" s="711">
        <f>+COUNT(F38:W38)</f>
        <v>4</v>
      </c>
    </row>
    <row r="39" spans="1:27" s="119" customFormat="1" ht="18" hidden="1" customHeight="1" x14ac:dyDescent="0.15">
      <c r="A39" s="2501"/>
      <c r="B39" s="2504"/>
      <c r="C39" s="1665">
        <f>ROUND(SUM(Orçamento_Não_Deson!O414:O423)/240,1)</f>
        <v>0</v>
      </c>
      <c r="D39" s="1694" t="s">
        <v>141</v>
      </c>
      <c r="E39" s="1695">
        <f>D$92</f>
        <v>1</v>
      </c>
      <c r="F39" s="870">
        <f t="shared" ref="F39:W39" si="126">IF($D38=0,0,IF(F38=0,0,($E39*$D38*F38)+$AA$96))</f>
        <v>0</v>
      </c>
      <c r="G39" s="870">
        <f t="shared" si="126"/>
        <v>0</v>
      </c>
      <c r="H39" s="870">
        <f t="shared" si="126"/>
        <v>0</v>
      </c>
      <c r="I39" s="870">
        <f t="shared" si="126"/>
        <v>0</v>
      </c>
      <c r="J39" s="870">
        <f t="shared" si="126"/>
        <v>0</v>
      </c>
      <c r="K39" s="870">
        <f t="shared" si="126"/>
        <v>0</v>
      </c>
      <c r="L39" s="870">
        <f t="shared" si="126"/>
        <v>0</v>
      </c>
      <c r="M39" s="870">
        <f t="shared" si="126"/>
        <v>0</v>
      </c>
      <c r="N39" s="870">
        <f t="shared" si="126"/>
        <v>0</v>
      </c>
      <c r="O39" s="870">
        <f t="shared" si="126"/>
        <v>0</v>
      </c>
      <c r="P39" s="870">
        <f t="shared" si="126"/>
        <v>0</v>
      </c>
      <c r="Q39" s="870">
        <f t="shared" si="126"/>
        <v>0</v>
      </c>
      <c r="R39" s="870">
        <f t="shared" si="126"/>
        <v>0</v>
      </c>
      <c r="S39" s="870">
        <f t="shared" si="126"/>
        <v>0</v>
      </c>
      <c r="T39" s="870">
        <f t="shared" si="126"/>
        <v>0</v>
      </c>
      <c r="U39" s="870">
        <f t="shared" si="126"/>
        <v>0</v>
      </c>
      <c r="V39" s="870">
        <f t="shared" si="126"/>
        <v>0</v>
      </c>
      <c r="W39" s="870">
        <f t="shared" si="126"/>
        <v>0</v>
      </c>
      <c r="X39" s="121">
        <f>SUM(F39:W39)</f>
        <v>0</v>
      </c>
      <c r="Y39" s="118">
        <f>TRUNC(X39-D38*E39,2)</f>
        <v>0</v>
      </c>
      <c r="Z39" s="710" t="e">
        <f>+X39/D38</f>
        <v>#DIV/0!</v>
      </c>
    </row>
    <row r="40" spans="1:27" s="119" customFormat="1" ht="18" hidden="1" customHeight="1" thickBot="1" x14ac:dyDescent="0.2">
      <c r="A40" s="2502"/>
      <c r="B40" s="2505"/>
      <c r="C40" s="1664"/>
      <c r="D40" s="1658" t="s">
        <v>142</v>
      </c>
      <c r="E40" s="709">
        <f>1-E39</f>
        <v>0</v>
      </c>
      <c r="F40" s="869">
        <f>($D38*F38-F39)</f>
        <v>0</v>
      </c>
      <c r="G40" s="869">
        <f t="shared" ref="G40" si="127">($D38*G38-G39)</f>
        <v>0</v>
      </c>
      <c r="H40" s="869">
        <f t="shared" ref="H40" si="128">($D38*H38-H39)</f>
        <v>0</v>
      </c>
      <c r="I40" s="869">
        <f t="shared" ref="I40" si="129">($D38*I38-I39)</f>
        <v>0</v>
      </c>
      <c r="J40" s="869">
        <f t="shared" ref="J40" si="130">($D38*J38-J39)</f>
        <v>0</v>
      </c>
      <c r="K40" s="869">
        <f t="shared" ref="K40" si="131">($D38*K38-K39)</f>
        <v>0</v>
      </c>
      <c r="L40" s="869">
        <f t="shared" ref="L40" si="132">($D38*L38-L39)</f>
        <v>0</v>
      </c>
      <c r="M40" s="869">
        <f t="shared" ref="M40" si="133">($D38*M38-M39)</f>
        <v>0</v>
      </c>
      <c r="N40" s="869">
        <f t="shared" ref="N40" si="134">($D38*N38-N39)</f>
        <v>0</v>
      </c>
      <c r="O40" s="869">
        <f t="shared" ref="O40" si="135">($D38*O38-O39)</f>
        <v>0</v>
      </c>
      <c r="P40" s="869">
        <f t="shared" ref="P40" si="136">($D38*P38-P39)</f>
        <v>0</v>
      </c>
      <c r="Q40" s="869">
        <f t="shared" ref="Q40" si="137">($D38*Q38-Q39)</f>
        <v>0</v>
      </c>
      <c r="R40" s="869">
        <f t="shared" ref="R40" si="138">($D38*R38-R39)</f>
        <v>0</v>
      </c>
      <c r="S40" s="869">
        <f t="shared" ref="S40" si="139">($D38*S38-S39)</f>
        <v>0</v>
      </c>
      <c r="T40" s="869">
        <f t="shared" ref="T40" si="140">($D38*T38-T39)</f>
        <v>0</v>
      </c>
      <c r="U40" s="869">
        <f t="shared" ref="U40" si="141">($D38*U38-U39)</f>
        <v>0</v>
      </c>
      <c r="V40" s="869">
        <f t="shared" ref="V40" si="142">($D38*V38-V39)</f>
        <v>0</v>
      </c>
      <c r="W40" s="869">
        <f t="shared" ref="W40" si="143">($D38*W38-W39)</f>
        <v>0</v>
      </c>
      <c r="X40" s="122">
        <f>SUM(F40:W40)</f>
        <v>0</v>
      </c>
      <c r="Y40" s="118">
        <f>+D38-X39-X40</f>
        <v>0</v>
      </c>
    </row>
    <row r="41" spans="1:27" s="119" customFormat="1" ht="9.9499999999999993" customHeight="1" x14ac:dyDescent="0.15">
      <c r="A41" s="2500">
        <f ca="1">Orçamento_Não_Deson!B21</f>
        <v>6</v>
      </c>
      <c r="B41" s="2503" t="str">
        <f>Orçamento_Não_Deson!C21</f>
        <v>MICRODRENAGEM - RECOMPOSIÇÃO DO PAVIMENTO</v>
      </c>
      <c r="C41" s="1663"/>
      <c r="D41" s="1659"/>
      <c r="E41" s="116"/>
      <c r="F41" s="871">
        <f t="shared" ref="F41:M41" si="144">F42</f>
        <v>0</v>
      </c>
      <c r="G41" s="871">
        <f t="shared" si="144"/>
        <v>0</v>
      </c>
      <c r="H41" s="871">
        <f t="shared" si="144"/>
        <v>0</v>
      </c>
      <c r="I41" s="871">
        <f t="shared" si="144"/>
        <v>0</v>
      </c>
      <c r="J41" s="871">
        <f t="shared" si="144"/>
        <v>0</v>
      </c>
      <c r="K41" s="871">
        <f t="shared" si="144"/>
        <v>0.3</v>
      </c>
      <c r="L41" s="871">
        <f t="shared" si="144"/>
        <v>0.3</v>
      </c>
      <c r="M41" s="871">
        <f t="shared" si="144"/>
        <v>0.2</v>
      </c>
      <c r="N41" s="871">
        <f>N42</f>
        <v>0.2</v>
      </c>
      <c r="O41" s="871">
        <f t="shared" ref="O41:W41" si="145">O42</f>
        <v>0</v>
      </c>
      <c r="P41" s="871">
        <f t="shared" si="145"/>
        <v>0</v>
      </c>
      <c r="Q41" s="871">
        <f t="shared" si="145"/>
        <v>0</v>
      </c>
      <c r="R41" s="871">
        <f t="shared" si="145"/>
        <v>0</v>
      </c>
      <c r="S41" s="871">
        <f t="shared" si="145"/>
        <v>0</v>
      </c>
      <c r="T41" s="871">
        <f t="shared" si="145"/>
        <v>0</v>
      </c>
      <c r="U41" s="871">
        <f t="shared" si="145"/>
        <v>0</v>
      </c>
      <c r="V41" s="871">
        <f t="shared" si="145"/>
        <v>0</v>
      </c>
      <c r="W41" s="871">
        <f t="shared" si="145"/>
        <v>0</v>
      </c>
      <c r="X41" s="117"/>
      <c r="Y41" s="708">
        <f ca="1">+D42-X43-X44</f>
        <v>0</v>
      </c>
    </row>
    <row r="42" spans="1:27" s="119" customFormat="1" ht="18" customHeight="1" x14ac:dyDescent="0.15">
      <c r="A42" s="2501"/>
      <c r="B42" s="2504"/>
      <c r="C42" s="1663" t="str">
        <f ca="1">CONCATENATE(Orçamento_Não_Deson!H21," ",Orçamento_Não_Deson!I21)</f>
        <v>182,08 M2</v>
      </c>
      <c r="D42" s="2512">
        <f ca="1">Orçamento_Não_Deson!J21</f>
        <v>19737.57</v>
      </c>
      <c r="E42" s="2513"/>
      <c r="F42" s="2089"/>
      <c r="G42" s="2089"/>
      <c r="H42" s="2089"/>
      <c r="I42" s="2089"/>
      <c r="J42" s="2089"/>
      <c r="K42" s="2089">
        <v>0.3</v>
      </c>
      <c r="L42" s="695">
        <v>0.3</v>
      </c>
      <c r="M42" s="695">
        <v>0.2</v>
      </c>
      <c r="N42" s="695">
        <v>0.2</v>
      </c>
      <c r="O42" s="695"/>
      <c r="P42" s="695"/>
      <c r="Q42" s="695"/>
      <c r="R42" s="695"/>
      <c r="S42" s="695"/>
      <c r="T42" s="695"/>
      <c r="U42" s="695"/>
      <c r="V42" s="695"/>
      <c r="W42" s="695"/>
      <c r="X42" s="120">
        <f>SUM(F42:W42)</f>
        <v>1</v>
      </c>
      <c r="Y42" s="586">
        <f>1-X42</f>
        <v>0</v>
      </c>
      <c r="AA42" s="711">
        <f>+COUNT(F42:W42)</f>
        <v>4</v>
      </c>
    </row>
    <row r="43" spans="1:27" s="119" customFormat="1" ht="18" customHeight="1" thickBot="1" x14ac:dyDescent="0.2">
      <c r="A43" s="2501"/>
      <c r="B43" s="2504"/>
      <c r="C43" s="1663"/>
      <c r="D43" s="1694" t="s">
        <v>141</v>
      </c>
      <c r="E43" s="1695">
        <f>D$92</f>
        <v>1</v>
      </c>
      <c r="F43" s="870">
        <f t="shared" ref="F43:W43" ca="1" si="146">IF($D42=0,0,IF(F42=0,0,($E43*$D42*F42)+$AA$96))</f>
        <v>0</v>
      </c>
      <c r="G43" s="870">
        <f t="shared" ca="1" si="146"/>
        <v>0</v>
      </c>
      <c r="H43" s="870">
        <f t="shared" ca="1" si="146"/>
        <v>0</v>
      </c>
      <c r="I43" s="870">
        <f t="shared" ca="1" si="146"/>
        <v>0</v>
      </c>
      <c r="J43" s="870">
        <f t="shared" ca="1" si="146"/>
        <v>0</v>
      </c>
      <c r="K43" s="870">
        <f t="shared" ca="1" si="146"/>
        <v>5921.2709999999997</v>
      </c>
      <c r="L43" s="870">
        <f t="shared" ca="1" si="146"/>
        <v>5921.2709999999997</v>
      </c>
      <c r="M43" s="870">
        <f t="shared" ca="1" si="146"/>
        <v>3947.5140000000001</v>
      </c>
      <c r="N43" s="870">
        <f t="shared" ca="1" si="146"/>
        <v>3947.5140000000001</v>
      </c>
      <c r="O43" s="870">
        <f t="shared" ca="1" si="146"/>
        <v>0</v>
      </c>
      <c r="P43" s="870">
        <f t="shared" ca="1" si="146"/>
        <v>0</v>
      </c>
      <c r="Q43" s="870">
        <f t="shared" ca="1" si="146"/>
        <v>0</v>
      </c>
      <c r="R43" s="870">
        <f t="shared" ca="1" si="146"/>
        <v>0</v>
      </c>
      <c r="S43" s="870">
        <f t="shared" ca="1" si="146"/>
        <v>0</v>
      </c>
      <c r="T43" s="870">
        <f t="shared" ca="1" si="146"/>
        <v>0</v>
      </c>
      <c r="U43" s="870">
        <f t="shared" ca="1" si="146"/>
        <v>0</v>
      </c>
      <c r="V43" s="870">
        <f t="shared" ca="1" si="146"/>
        <v>0</v>
      </c>
      <c r="W43" s="870">
        <f t="shared" ca="1" si="146"/>
        <v>0</v>
      </c>
      <c r="X43" s="121">
        <f ca="1">SUM(F43:W43)</f>
        <v>19737.57</v>
      </c>
      <c r="Y43" s="118">
        <f ca="1">TRUNC(X43-D42*E43,2)</f>
        <v>0</v>
      </c>
      <c r="Z43" s="710">
        <f ca="1">+X43/D42</f>
        <v>1</v>
      </c>
    </row>
    <row r="44" spans="1:27" s="119" customFormat="1" ht="18" hidden="1" customHeight="1" thickBot="1" x14ac:dyDescent="0.2">
      <c r="A44" s="2502"/>
      <c r="B44" s="2505"/>
      <c r="C44" s="1664"/>
      <c r="D44" s="1660" t="s">
        <v>142</v>
      </c>
      <c r="E44" s="709">
        <f>1-E43</f>
        <v>0</v>
      </c>
      <c r="F44" s="869">
        <f ca="1">($D42*F42-F43)</f>
        <v>0</v>
      </c>
      <c r="G44" s="869">
        <f t="shared" ref="G44" ca="1" si="147">($D42*G42-G43)</f>
        <v>0</v>
      </c>
      <c r="H44" s="869">
        <f t="shared" ref="H44" ca="1" si="148">($D42*H42-H43)</f>
        <v>0</v>
      </c>
      <c r="I44" s="869">
        <f t="shared" ref="I44" ca="1" si="149">($D42*I42-I43)</f>
        <v>0</v>
      </c>
      <c r="J44" s="869">
        <f t="shared" ref="J44" ca="1" si="150">($D42*J42-J43)</f>
        <v>0</v>
      </c>
      <c r="K44" s="869">
        <f t="shared" ref="K44" ca="1" si="151">($D42*K42-K43)</f>
        <v>0</v>
      </c>
      <c r="L44" s="869">
        <f t="shared" ref="L44" ca="1" si="152">($D42*L42-L43)</f>
        <v>0</v>
      </c>
      <c r="M44" s="869">
        <f t="shared" ref="M44" ca="1" si="153">($D42*M42-M43)</f>
        <v>0</v>
      </c>
      <c r="N44" s="869">
        <f t="shared" ref="N44" ca="1" si="154">($D42*N42-N43)</f>
        <v>0</v>
      </c>
      <c r="O44" s="869">
        <f t="shared" ref="O44" ca="1" si="155">($D42*O42-O43)</f>
        <v>0</v>
      </c>
      <c r="P44" s="869">
        <f t="shared" ref="P44" ca="1" si="156">($D42*P42-P43)</f>
        <v>0</v>
      </c>
      <c r="Q44" s="869">
        <f t="shared" ref="Q44" ca="1" si="157">($D42*Q42-Q43)</f>
        <v>0</v>
      </c>
      <c r="R44" s="869">
        <f t="shared" ref="R44" ca="1" si="158">($D42*R42-R43)</f>
        <v>0</v>
      </c>
      <c r="S44" s="869">
        <f t="shared" ref="S44" ca="1" si="159">($D42*S42-S43)</f>
        <v>0</v>
      </c>
      <c r="T44" s="869">
        <f t="shared" ref="T44" ca="1" si="160">($D42*T42-T43)</f>
        <v>0</v>
      </c>
      <c r="U44" s="869">
        <f t="shared" ref="U44" ca="1" si="161">($D42*U42-U43)</f>
        <v>0</v>
      </c>
      <c r="V44" s="869">
        <f t="shared" ref="V44" ca="1" si="162">($D42*V42-V43)</f>
        <v>0</v>
      </c>
      <c r="W44" s="869">
        <f t="shared" ref="W44" ca="1" si="163">($D42*W42-W43)</f>
        <v>0</v>
      </c>
      <c r="X44" s="122">
        <f ca="1">SUM(F44:W44)</f>
        <v>0</v>
      </c>
      <c r="Y44" s="118">
        <f ca="1">+D42-X43-X44</f>
        <v>0</v>
      </c>
    </row>
    <row r="45" spans="1:27" s="119" customFormat="1" ht="9.9499999999999993" hidden="1" customHeight="1" x14ac:dyDescent="0.15">
      <c r="A45" s="2500">
        <f ca="1">Orçamento_Não_Deson!B22</f>
        <v>6</v>
      </c>
      <c r="B45" s="2503" t="str">
        <f>Orçamento_Não_Deson!C22</f>
        <v>RESTAURAÇÃO DO PAVIMENTO - RECUPERAÇÃO PRÉVIA DO PAVIMENTO</v>
      </c>
      <c r="C45" s="1663"/>
      <c r="D45" s="1659"/>
      <c r="E45" s="116"/>
      <c r="F45" s="871">
        <f t="shared" ref="F45:M45" si="164">F46</f>
        <v>0</v>
      </c>
      <c r="G45" s="871">
        <f t="shared" si="164"/>
        <v>0</v>
      </c>
      <c r="H45" s="871">
        <f t="shared" si="164"/>
        <v>0</v>
      </c>
      <c r="I45" s="871">
        <f t="shared" si="164"/>
        <v>0</v>
      </c>
      <c r="J45" s="871">
        <f t="shared" si="164"/>
        <v>0</v>
      </c>
      <c r="K45" s="871">
        <f t="shared" si="164"/>
        <v>0</v>
      </c>
      <c r="L45" s="871">
        <f t="shared" si="164"/>
        <v>0</v>
      </c>
      <c r="M45" s="871">
        <f t="shared" si="164"/>
        <v>0</v>
      </c>
      <c r="N45" s="871">
        <f>N46</f>
        <v>0</v>
      </c>
      <c r="O45" s="871">
        <f t="shared" ref="O45:W45" si="165">O46</f>
        <v>0</v>
      </c>
      <c r="P45" s="871">
        <f t="shared" si="165"/>
        <v>0</v>
      </c>
      <c r="Q45" s="871">
        <f t="shared" si="165"/>
        <v>0</v>
      </c>
      <c r="R45" s="871">
        <f t="shared" si="165"/>
        <v>0</v>
      </c>
      <c r="S45" s="871">
        <f t="shared" si="165"/>
        <v>0</v>
      </c>
      <c r="T45" s="871">
        <f t="shared" si="165"/>
        <v>0</v>
      </c>
      <c r="U45" s="871">
        <f t="shared" si="165"/>
        <v>0</v>
      </c>
      <c r="V45" s="871">
        <f t="shared" si="165"/>
        <v>0</v>
      </c>
      <c r="W45" s="871">
        <f t="shared" si="165"/>
        <v>0</v>
      </c>
      <c r="X45" s="117"/>
      <c r="Y45" s="708">
        <f>+D46-X47-X48</f>
        <v>0</v>
      </c>
    </row>
    <row r="46" spans="1:27" s="119" customFormat="1" ht="18" hidden="1" customHeight="1" x14ac:dyDescent="0.15">
      <c r="A46" s="2501"/>
      <c r="B46" s="2504"/>
      <c r="C46" s="1663" t="str">
        <f>CONCATENATE(Orçamento_Não_Deson!H22," ",Orçamento_Não_Deson!I22)</f>
        <v>0 M2</v>
      </c>
      <c r="D46" s="2512">
        <f>Orçamento_Não_Deson!J22</f>
        <v>0</v>
      </c>
      <c r="E46" s="2513"/>
      <c r="F46" s="2089"/>
      <c r="G46" s="2089"/>
      <c r="H46" s="2089"/>
      <c r="I46" s="2089"/>
      <c r="J46" s="2089"/>
      <c r="K46" s="2089"/>
      <c r="L46" s="2089"/>
      <c r="M46" s="2089"/>
      <c r="N46" s="2089"/>
      <c r="O46" s="695"/>
      <c r="P46" s="695"/>
      <c r="Q46" s="695"/>
      <c r="R46" s="695"/>
      <c r="S46" s="695"/>
      <c r="T46" s="695"/>
      <c r="U46" s="695"/>
      <c r="V46" s="695"/>
      <c r="W46" s="695"/>
      <c r="X46" s="120">
        <f>SUM(F46:W46)</f>
        <v>0</v>
      </c>
      <c r="Y46" s="586">
        <f>1-X46</f>
        <v>1</v>
      </c>
      <c r="AA46" s="711">
        <f>+COUNT(F46:W46)</f>
        <v>0</v>
      </c>
    </row>
    <row r="47" spans="1:27" s="119" customFormat="1" ht="18" hidden="1" customHeight="1" x14ac:dyDescent="0.15">
      <c r="A47" s="2501"/>
      <c r="B47" s="2504"/>
      <c r="C47" s="1663"/>
      <c r="D47" s="1694" t="s">
        <v>141</v>
      </c>
      <c r="E47" s="1695">
        <f>D$92</f>
        <v>1</v>
      </c>
      <c r="F47" s="870">
        <f t="shared" ref="F47:W47" si="166">IF($D46=0,0,IF(F46=0,0,($E47*$D46*F46)+$AA$96))</f>
        <v>0</v>
      </c>
      <c r="G47" s="870">
        <f t="shared" si="166"/>
        <v>0</v>
      </c>
      <c r="H47" s="870">
        <f t="shared" si="166"/>
        <v>0</v>
      </c>
      <c r="I47" s="870">
        <f t="shared" si="166"/>
        <v>0</v>
      </c>
      <c r="J47" s="870">
        <f t="shared" si="166"/>
        <v>0</v>
      </c>
      <c r="K47" s="870">
        <f t="shared" si="166"/>
        <v>0</v>
      </c>
      <c r="L47" s="870">
        <f t="shared" si="166"/>
        <v>0</v>
      </c>
      <c r="M47" s="870">
        <f t="shared" si="166"/>
        <v>0</v>
      </c>
      <c r="N47" s="870">
        <f t="shared" si="166"/>
        <v>0</v>
      </c>
      <c r="O47" s="870">
        <f t="shared" si="166"/>
        <v>0</v>
      </c>
      <c r="P47" s="870">
        <f t="shared" si="166"/>
        <v>0</v>
      </c>
      <c r="Q47" s="870">
        <f t="shared" si="166"/>
        <v>0</v>
      </c>
      <c r="R47" s="870">
        <f t="shared" si="166"/>
        <v>0</v>
      </c>
      <c r="S47" s="870">
        <f t="shared" si="166"/>
        <v>0</v>
      </c>
      <c r="T47" s="870">
        <f t="shared" si="166"/>
        <v>0</v>
      </c>
      <c r="U47" s="870">
        <f t="shared" si="166"/>
        <v>0</v>
      </c>
      <c r="V47" s="870">
        <f t="shared" si="166"/>
        <v>0</v>
      </c>
      <c r="W47" s="870">
        <f t="shared" si="166"/>
        <v>0</v>
      </c>
      <c r="X47" s="121">
        <f>SUM(F47:W47)</f>
        <v>0</v>
      </c>
      <c r="Y47" s="118">
        <f>TRUNC(X47-D46*E47,2)</f>
        <v>0</v>
      </c>
      <c r="Z47" s="710" t="e">
        <f>+X47/D46</f>
        <v>#DIV/0!</v>
      </c>
    </row>
    <row r="48" spans="1:27" s="119" customFormat="1" ht="18" hidden="1" customHeight="1" thickBot="1" x14ac:dyDescent="0.2">
      <c r="A48" s="2502"/>
      <c r="B48" s="2505"/>
      <c r="C48" s="1664"/>
      <c r="D48" s="1660" t="s">
        <v>142</v>
      </c>
      <c r="E48" s="709">
        <f>1-E47</f>
        <v>0</v>
      </c>
      <c r="F48" s="869">
        <f>($D46*F46-F47)</f>
        <v>0</v>
      </c>
      <c r="G48" s="869">
        <f t="shared" ref="G48" si="167">($D46*G46-G47)</f>
        <v>0</v>
      </c>
      <c r="H48" s="869">
        <f t="shared" ref="H48" si="168">($D46*H46-H47)</f>
        <v>0</v>
      </c>
      <c r="I48" s="869">
        <f t="shared" ref="I48" si="169">($D46*I46-I47)</f>
        <v>0</v>
      </c>
      <c r="J48" s="869">
        <f t="shared" ref="J48" si="170">($D46*J46-J47)</f>
        <v>0</v>
      </c>
      <c r="K48" s="869">
        <f t="shared" ref="K48" si="171">($D46*K46-K47)</f>
        <v>0</v>
      </c>
      <c r="L48" s="869">
        <f t="shared" ref="L48" si="172">($D46*L46-L47)</f>
        <v>0</v>
      </c>
      <c r="M48" s="869">
        <f t="shared" ref="M48" si="173">($D46*M46-M47)</f>
        <v>0</v>
      </c>
      <c r="N48" s="869">
        <f t="shared" ref="N48" si="174">($D46*N46-N47)</f>
        <v>0</v>
      </c>
      <c r="O48" s="869">
        <f t="shared" ref="O48" si="175">($D46*O46-O47)</f>
        <v>0</v>
      </c>
      <c r="P48" s="869">
        <f t="shared" ref="P48" si="176">($D46*P46-P47)</f>
        <v>0</v>
      </c>
      <c r="Q48" s="869">
        <f t="shared" ref="Q48" si="177">($D46*Q46-Q47)</f>
        <v>0</v>
      </c>
      <c r="R48" s="869">
        <f t="shared" ref="R48" si="178">($D46*R46-R47)</f>
        <v>0</v>
      </c>
      <c r="S48" s="869">
        <f t="shared" ref="S48" si="179">($D46*S46-S47)</f>
        <v>0</v>
      </c>
      <c r="T48" s="869">
        <f t="shared" ref="T48" si="180">($D46*T46-T47)</f>
        <v>0</v>
      </c>
      <c r="U48" s="869">
        <f t="shared" ref="U48" si="181">($D46*U46-U47)</f>
        <v>0</v>
      </c>
      <c r="V48" s="869">
        <f t="shared" ref="V48" si="182">($D46*V46-V47)</f>
        <v>0</v>
      </c>
      <c r="W48" s="869">
        <f t="shared" ref="W48" si="183">($D46*W46-W47)</f>
        <v>0</v>
      </c>
      <c r="X48" s="122">
        <f>SUM(F48:W48)</f>
        <v>0</v>
      </c>
      <c r="Y48" s="118">
        <f>+D46-X47-X48</f>
        <v>0</v>
      </c>
    </row>
    <row r="49" spans="1:27" s="119" customFormat="1" ht="9.9499999999999993" hidden="1" customHeight="1" x14ac:dyDescent="0.15">
      <c r="A49" s="2500">
        <f ca="1">Orçamento_Não_Deson!B23</f>
        <v>6</v>
      </c>
      <c r="B49" s="2503" t="str">
        <f>Orçamento_Não_Deson!C23</f>
        <v>RESTAURAÇÃO DO PAVIMENTO - RECAPEAMENTO ASFÁLTICO</v>
      </c>
      <c r="C49" s="1663"/>
      <c r="D49" s="1659"/>
      <c r="E49" s="116"/>
      <c r="F49" s="871">
        <f t="shared" ref="F49:M49" si="184">F50</f>
        <v>0</v>
      </c>
      <c r="G49" s="871">
        <f t="shared" si="184"/>
        <v>0</v>
      </c>
      <c r="H49" s="871">
        <f t="shared" si="184"/>
        <v>0</v>
      </c>
      <c r="I49" s="871">
        <f t="shared" si="184"/>
        <v>0</v>
      </c>
      <c r="J49" s="871">
        <f t="shared" si="184"/>
        <v>0</v>
      </c>
      <c r="K49" s="871">
        <f t="shared" si="184"/>
        <v>0</v>
      </c>
      <c r="L49" s="871">
        <f t="shared" si="184"/>
        <v>0</v>
      </c>
      <c r="M49" s="871">
        <f t="shared" si="184"/>
        <v>0</v>
      </c>
      <c r="N49" s="871">
        <f>N50</f>
        <v>0</v>
      </c>
      <c r="O49" s="871">
        <f t="shared" ref="O49:W49" si="185">O50</f>
        <v>0</v>
      </c>
      <c r="P49" s="871">
        <f t="shared" si="185"/>
        <v>0</v>
      </c>
      <c r="Q49" s="871">
        <f t="shared" si="185"/>
        <v>0</v>
      </c>
      <c r="R49" s="871">
        <f t="shared" si="185"/>
        <v>0</v>
      </c>
      <c r="S49" s="871">
        <f t="shared" si="185"/>
        <v>0</v>
      </c>
      <c r="T49" s="871">
        <f t="shared" si="185"/>
        <v>0</v>
      </c>
      <c r="U49" s="871">
        <f t="shared" si="185"/>
        <v>0</v>
      </c>
      <c r="V49" s="871">
        <f t="shared" si="185"/>
        <v>0</v>
      </c>
      <c r="W49" s="871">
        <f t="shared" si="185"/>
        <v>0</v>
      </c>
      <c r="X49" s="117"/>
      <c r="Y49" s="708">
        <f>+D50-X51-X52</f>
        <v>0</v>
      </c>
    </row>
    <row r="50" spans="1:27" s="119" customFormat="1" ht="18" hidden="1" customHeight="1" x14ac:dyDescent="0.15">
      <c r="A50" s="2501"/>
      <c r="B50" s="2504"/>
      <c r="C50" s="1663" t="str">
        <f>CONCATENATE(Orçamento_Não_Deson!H23," ",Orçamento_Não_Deson!I23)</f>
        <v>0 M2</v>
      </c>
      <c r="D50" s="2512">
        <f>Orçamento_Não_Deson!J23</f>
        <v>0</v>
      </c>
      <c r="E50" s="2513"/>
      <c r="F50" s="2089"/>
      <c r="G50" s="2089"/>
      <c r="H50" s="2089"/>
      <c r="I50" s="2089"/>
      <c r="J50" s="2089"/>
      <c r="K50" s="2089"/>
      <c r="L50" s="695"/>
      <c r="M50" s="695"/>
      <c r="N50" s="695"/>
      <c r="O50" s="695"/>
      <c r="P50" s="695"/>
      <c r="Q50" s="695"/>
      <c r="R50" s="695"/>
      <c r="S50" s="695"/>
      <c r="T50" s="695"/>
      <c r="U50" s="695"/>
      <c r="V50" s="695"/>
      <c r="W50" s="695"/>
      <c r="X50" s="120">
        <f>SUM(F50:W50)</f>
        <v>0</v>
      </c>
      <c r="Y50" s="586">
        <f>1-X50</f>
        <v>1</v>
      </c>
      <c r="AA50" s="711">
        <f>+COUNT(F50:W50)</f>
        <v>0</v>
      </c>
    </row>
    <row r="51" spans="1:27" s="119" customFormat="1" ht="18" hidden="1" customHeight="1" x14ac:dyDescent="0.15">
      <c r="A51" s="2501"/>
      <c r="B51" s="2504"/>
      <c r="C51" s="1665">
        <f>INT(+Orçamento_Não_Deson!H23/C52)+1</f>
        <v>1</v>
      </c>
      <c r="D51" s="1694" t="s">
        <v>141</v>
      </c>
      <c r="E51" s="1695">
        <f>D$92</f>
        <v>1</v>
      </c>
      <c r="F51" s="870">
        <f t="shared" ref="F51:W51" si="186">IF($D50=0,0,IF(F50=0,0,($E51*$D50*F50)+$AA$96))</f>
        <v>0</v>
      </c>
      <c r="G51" s="870">
        <f t="shared" si="186"/>
        <v>0</v>
      </c>
      <c r="H51" s="870">
        <f t="shared" si="186"/>
        <v>0</v>
      </c>
      <c r="I51" s="870">
        <f t="shared" si="186"/>
        <v>0</v>
      </c>
      <c r="J51" s="870">
        <f t="shared" si="186"/>
        <v>0</v>
      </c>
      <c r="K51" s="870">
        <f t="shared" si="186"/>
        <v>0</v>
      </c>
      <c r="L51" s="870">
        <f t="shared" si="186"/>
        <v>0</v>
      </c>
      <c r="M51" s="870">
        <f t="shared" si="186"/>
        <v>0</v>
      </c>
      <c r="N51" s="870">
        <f t="shared" si="186"/>
        <v>0</v>
      </c>
      <c r="O51" s="870">
        <f t="shared" si="186"/>
        <v>0</v>
      </c>
      <c r="P51" s="870">
        <f t="shared" si="186"/>
        <v>0</v>
      </c>
      <c r="Q51" s="870">
        <f t="shared" si="186"/>
        <v>0</v>
      </c>
      <c r="R51" s="870">
        <f t="shared" si="186"/>
        <v>0</v>
      </c>
      <c r="S51" s="870">
        <f t="shared" si="186"/>
        <v>0</v>
      </c>
      <c r="T51" s="870">
        <f t="shared" si="186"/>
        <v>0</v>
      </c>
      <c r="U51" s="870">
        <f t="shared" si="186"/>
        <v>0</v>
      </c>
      <c r="V51" s="870">
        <f t="shared" si="186"/>
        <v>0</v>
      </c>
      <c r="W51" s="870">
        <f t="shared" si="186"/>
        <v>0</v>
      </c>
      <c r="X51" s="121">
        <f>SUM(F51:W51)</f>
        <v>0</v>
      </c>
      <c r="Y51" s="118">
        <f>TRUNC(X51-D50*E51,2)</f>
        <v>0</v>
      </c>
      <c r="Z51" s="710" t="e">
        <f>+X51/D50</f>
        <v>#DIV/0!</v>
      </c>
    </row>
    <row r="52" spans="1:27" s="119" customFormat="1" ht="18" hidden="1" customHeight="1" thickBot="1" x14ac:dyDescent="0.2">
      <c r="A52" s="2502"/>
      <c r="B52" s="2505"/>
      <c r="C52" s="1666">
        <v>30000</v>
      </c>
      <c r="D52" s="1660" t="s">
        <v>142</v>
      </c>
      <c r="E52" s="709">
        <f>1-E51</f>
        <v>0</v>
      </c>
      <c r="F52" s="869">
        <f>($D50*F50-F51)</f>
        <v>0</v>
      </c>
      <c r="G52" s="869">
        <f t="shared" ref="G52" si="187">($D50*G50-G51)</f>
        <v>0</v>
      </c>
      <c r="H52" s="869">
        <f t="shared" ref="H52" si="188">($D50*H50-H51)</f>
        <v>0</v>
      </c>
      <c r="I52" s="869">
        <f t="shared" ref="I52" si="189">($D50*I50-I51)</f>
        <v>0</v>
      </c>
      <c r="J52" s="869">
        <f t="shared" ref="J52" si="190">($D50*J50-J51)</f>
        <v>0</v>
      </c>
      <c r="K52" s="869">
        <f t="shared" ref="K52" si="191">($D50*K50-K51)</f>
        <v>0</v>
      </c>
      <c r="L52" s="869">
        <f t="shared" ref="L52" si="192">($D50*L50-L51)</f>
        <v>0</v>
      </c>
      <c r="M52" s="869">
        <f t="shared" ref="M52" si="193">($D50*M50-M51)</f>
        <v>0</v>
      </c>
      <c r="N52" s="869">
        <f t="shared" ref="N52" si="194">($D50*N50-N51)</f>
        <v>0</v>
      </c>
      <c r="O52" s="869">
        <f t="shared" ref="O52" si="195">($D50*O50-O51)</f>
        <v>0</v>
      </c>
      <c r="P52" s="869">
        <f t="shared" ref="P52" si="196">($D50*P50-P51)</f>
        <v>0</v>
      </c>
      <c r="Q52" s="869">
        <f t="shared" ref="Q52" si="197">($D50*Q50-Q51)</f>
        <v>0</v>
      </c>
      <c r="R52" s="869">
        <f t="shared" ref="R52" si="198">($D50*R50-R51)</f>
        <v>0</v>
      </c>
      <c r="S52" s="869">
        <f t="shared" ref="S52" si="199">($D50*S50-S51)</f>
        <v>0</v>
      </c>
      <c r="T52" s="869">
        <f t="shared" ref="T52" si="200">($D50*T50-T51)</f>
        <v>0</v>
      </c>
      <c r="U52" s="869">
        <f t="shared" ref="U52" si="201">($D50*U50-U51)</f>
        <v>0</v>
      </c>
      <c r="V52" s="869">
        <f t="shared" ref="V52" si="202">($D50*V50-V51)</f>
        <v>0</v>
      </c>
      <c r="W52" s="869">
        <f t="shared" ref="W52" si="203">($D50*W50-W51)</f>
        <v>0</v>
      </c>
      <c r="X52" s="122">
        <f>SUM(F52:W52)</f>
        <v>0</v>
      </c>
      <c r="Y52" s="118">
        <f>+D50-X51-X52</f>
        <v>0</v>
      </c>
    </row>
    <row r="53" spans="1:27" s="119" customFormat="1" ht="9.9499999999999993" customHeight="1" x14ac:dyDescent="0.15">
      <c r="A53" s="2500">
        <f ca="1">Orçamento_Não_Deson!B24</f>
        <v>7</v>
      </c>
      <c r="B53" s="2503" t="str">
        <f>Orçamento_Não_Deson!C24</f>
        <v>IMPLANTAÇÃO ASFÁLTICA - TERRAPLENAGEM</v>
      </c>
      <c r="C53" s="1663"/>
      <c r="D53" s="1659"/>
      <c r="E53" s="116"/>
      <c r="F53" s="871">
        <f t="shared" ref="F53:M53" si="204">F54</f>
        <v>0.03</v>
      </c>
      <c r="G53" s="871">
        <f t="shared" si="204"/>
        <v>0.04</v>
      </c>
      <c r="H53" s="871">
        <f t="shared" si="204"/>
        <v>0.08</v>
      </c>
      <c r="I53" s="871">
        <f t="shared" si="204"/>
        <v>0.09</v>
      </c>
      <c r="J53" s="871">
        <f t="shared" si="204"/>
        <v>0.1</v>
      </c>
      <c r="K53" s="871">
        <f t="shared" si="204"/>
        <v>0.1</v>
      </c>
      <c r="L53" s="871">
        <f t="shared" si="204"/>
        <v>0.1</v>
      </c>
      <c r="M53" s="871">
        <f t="shared" si="204"/>
        <v>0.1</v>
      </c>
      <c r="N53" s="871">
        <f>N54</f>
        <v>0.1</v>
      </c>
      <c r="O53" s="871">
        <f t="shared" ref="O53:W53" si="205">O54</f>
        <v>0.1</v>
      </c>
      <c r="P53" s="871">
        <f t="shared" si="205"/>
        <v>0.1</v>
      </c>
      <c r="Q53" s="871">
        <f t="shared" si="205"/>
        <v>0.06</v>
      </c>
      <c r="R53" s="871">
        <f t="shared" si="205"/>
        <v>0</v>
      </c>
      <c r="S53" s="871">
        <f t="shared" si="205"/>
        <v>0</v>
      </c>
      <c r="T53" s="871">
        <f t="shared" si="205"/>
        <v>0</v>
      </c>
      <c r="U53" s="871">
        <f t="shared" si="205"/>
        <v>0</v>
      </c>
      <c r="V53" s="871">
        <f t="shared" si="205"/>
        <v>0</v>
      </c>
      <c r="W53" s="871">
        <f t="shared" si="205"/>
        <v>0</v>
      </c>
      <c r="X53" s="117"/>
      <c r="Y53" s="708">
        <f>+D54-X55-X56</f>
        <v>-5.8207660913467407E-11</v>
      </c>
    </row>
    <row r="54" spans="1:27" s="119" customFormat="1" ht="18" customHeight="1" x14ac:dyDescent="0.15">
      <c r="A54" s="2501"/>
      <c r="B54" s="2504"/>
      <c r="C54" s="1663" t="str">
        <f>CONCATENATE(Orçamento_Não_Deson!H24," ",Orçamento_Não_Deson!I24)</f>
        <v>11025,85 M3</v>
      </c>
      <c r="D54" s="2512">
        <f>Orçamento_Não_Deson!J24</f>
        <v>306380.45999999996</v>
      </c>
      <c r="E54" s="2513"/>
      <c r="F54" s="695">
        <v>0.03</v>
      </c>
      <c r="G54" s="695">
        <v>0.04</v>
      </c>
      <c r="H54" s="695">
        <v>0.08</v>
      </c>
      <c r="I54" s="695">
        <v>0.09</v>
      </c>
      <c r="J54" s="695">
        <v>0.1</v>
      </c>
      <c r="K54" s="695">
        <v>0.1</v>
      </c>
      <c r="L54" s="695">
        <v>0.1</v>
      </c>
      <c r="M54" s="695">
        <v>0.1</v>
      </c>
      <c r="N54" s="695">
        <v>0.1</v>
      </c>
      <c r="O54" s="695">
        <v>0.1</v>
      </c>
      <c r="P54" s="695">
        <v>0.1</v>
      </c>
      <c r="Q54" s="695">
        <v>0.06</v>
      </c>
      <c r="R54" s="695"/>
      <c r="S54" s="695"/>
      <c r="T54" s="695"/>
      <c r="U54" s="695"/>
      <c r="V54" s="695"/>
      <c r="W54" s="695"/>
      <c r="X54" s="120">
        <f>SUM(F54:W54)</f>
        <v>1</v>
      </c>
      <c r="Y54" s="586">
        <f>1-X54</f>
        <v>0</v>
      </c>
      <c r="AA54" s="711">
        <f>+COUNT(F54:W54)</f>
        <v>12</v>
      </c>
    </row>
    <row r="55" spans="1:27" s="119" customFormat="1" ht="18" customHeight="1" thickBot="1" x14ac:dyDescent="0.2">
      <c r="A55" s="2501"/>
      <c r="B55" s="2504"/>
      <c r="C55" s="1665">
        <f>Orçamento_Não_Deson!N24</f>
        <v>1</v>
      </c>
      <c r="D55" s="1694" t="s">
        <v>141</v>
      </c>
      <c r="E55" s="1695">
        <f>D$92</f>
        <v>1</v>
      </c>
      <c r="F55" s="870">
        <f t="shared" ref="F55:W55" si="206">IF($D54=0,0,IF(F54=0,0,($E55*$D54*F54)+$AA$96))</f>
        <v>9191.4137999999984</v>
      </c>
      <c r="G55" s="870">
        <f t="shared" si="206"/>
        <v>12255.218399999998</v>
      </c>
      <c r="H55" s="870">
        <f t="shared" si="206"/>
        <v>24510.436799999996</v>
      </c>
      <c r="I55" s="870">
        <f t="shared" si="206"/>
        <v>27574.241399999995</v>
      </c>
      <c r="J55" s="870">
        <f t="shared" si="206"/>
        <v>30638.045999999998</v>
      </c>
      <c r="K55" s="870">
        <f t="shared" si="206"/>
        <v>30638.045999999998</v>
      </c>
      <c r="L55" s="870">
        <f t="shared" si="206"/>
        <v>30638.045999999998</v>
      </c>
      <c r="M55" s="870">
        <f t="shared" si="206"/>
        <v>30638.045999999998</v>
      </c>
      <c r="N55" s="870">
        <f t="shared" si="206"/>
        <v>30638.045999999998</v>
      </c>
      <c r="O55" s="870">
        <f t="shared" si="206"/>
        <v>30638.045999999998</v>
      </c>
      <c r="P55" s="870">
        <f t="shared" si="206"/>
        <v>30638.045999999998</v>
      </c>
      <c r="Q55" s="870">
        <f t="shared" si="206"/>
        <v>18382.827599999997</v>
      </c>
      <c r="R55" s="870">
        <f t="shared" si="206"/>
        <v>0</v>
      </c>
      <c r="S55" s="870">
        <f t="shared" si="206"/>
        <v>0</v>
      </c>
      <c r="T55" s="870">
        <f t="shared" si="206"/>
        <v>0</v>
      </c>
      <c r="U55" s="870">
        <f t="shared" si="206"/>
        <v>0</v>
      </c>
      <c r="V55" s="870">
        <f t="shared" si="206"/>
        <v>0</v>
      </c>
      <c r="W55" s="870">
        <f t="shared" si="206"/>
        <v>0</v>
      </c>
      <c r="X55" s="121">
        <f>SUM(F55:W55)</f>
        <v>306380.46000000002</v>
      </c>
      <c r="Y55" s="118">
        <f>TRUNC(X55-D54*E55,2)</f>
        <v>0</v>
      </c>
      <c r="Z55" s="710">
        <f>+X55/D54</f>
        <v>1.0000000000000002</v>
      </c>
    </row>
    <row r="56" spans="1:27" s="119" customFormat="1" ht="18" hidden="1" customHeight="1" thickBot="1" x14ac:dyDescent="0.2">
      <c r="A56" s="2502"/>
      <c r="B56" s="2505"/>
      <c r="C56" s="1664"/>
      <c r="D56" s="1660" t="s">
        <v>142</v>
      </c>
      <c r="E56" s="709">
        <f>1-E55</f>
        <v>0</v>
      </c>
      <c r="F56" s="869">
        <f>($D54*F54-F55)</f>
        <v>0</v>
      </c>
      <c r="G56" s="869">
        <f t="shared" ref="G56" si="207">($D54*G54-G55)</f>
        <v>0</v>
      </c>
      <c r="H56" s="869">
        <f t="shared" ref="H56" si="208">($D54*H54-H55)</f>
        <v>0</v>
      </c>
      <c r="I56" s="869">
        <f t="shared" ref="I56" si="209">($D54*I54-I55)</f>
        <v>0</v>
      </c>
      <c r="J56" s="869">
        <f t="shared" ref="J56" si="210">($D54*J54-J55)</f>
        <v>0</v>
      </c>
      <c r="K56" s="869">
        <f t="shared" ref="K56" si="211">($D54*K54-K55)</f>
        <v>0</v>
      </c>
      <c r="L56" s="869">
        <f t="shared" ref="L56" si="212">($D54*L54-L55)</f>
        <v>0</v>
      </c>
      <c r="M56" s="869">
        <f t="shared" ref="M56" si="213">($D54*M54-M55)</f>
        <v>0</v>
      </c>
      <c r="N56" s="869">
        <f t="shared" ref="N56" si="214">($D54*N54-N55)</f>
        <v>0</v>
      </c>
      <c r="O56" s="869">
        <f t="shared" ref="O56" si="215">($D54*O54-O55)</f>
        <v>0</v>
      </c>
      <c r="P56" s="869">
        <f t="shared" ref="P56" si="216">($D54*P54-P55)</f>
        <v>0</v>
      </c>
      <c r="Q56" s="869">
        <f t="shared" ref="Q56" si="217">($D54*Q54-Q55)</f>
        <v>0</v>
      </c>
      <c r="R56" s="869">
        <f t="shared" ref="R56" si="218">($D54*R54-R55)</f>
        <v>0</v>
      </c>
      <c r="S56" s="869">
        <f t="shared" ref="S56" si="219">($D54*S54-S55)</f>
        <v>0</v>
      </c>
      <c r="T56" s="869">
        <f t="shared" ref="T56" si="220">($D54*T54-T55)</f>
        <v>0</v>
      </c>
      <c r="U56" s="869">
        <f t="shared" ref="U56" si="221">($D54*U54-U55)</f>
        <v>0</v>
      </c>
      <c r="V56" s="869">
        <f t="shared" ref="V56" si="222">($D54*V54-V55)</f>
        <v>0</v>
      </c>
      <c r="W56" s="869">
        <f t="shared" ref="W56" si="223">($D54*W54-W55)</f>
        <v>0</v>
      </c>
      <c r="X56" s="122">
        <f>SUM(F56:W56)</f>
        <v>0</v>
      </c>
      <c r="Y56" s="118">
        <f>+D54-X55-X56</f>
        <v>-5.8207660913467407E-11</v>
      </c>
    </row>
    <row r="57" spans="1:27" s="119" customFormat="1" ht="9.9499999999999993" customHeight="1" x14ac:dyDescent="0.15">
      <c r="A57" s="2500">
        <f ca="1">Orçamento_Não_Deson!B25</f>
        <v>8</v>
      </c>
      <c r="B57" s="2503" t="str">
        <f>Orçamento_Não_Deson!C25</f>
        <v>IMPLANTAÇÃO ASFÁLTICA - PAVIMENTAÇÃO</v>
      </c>
      <c r="C57" s="1663"/>
      <c r="D57" s="1659"/>
      <c r="E57" s="116"/>
      <c r="F57" s="871">
        <f t="shared" ref="F57:M57" si="224">F58</f>
        <v>0.03</v>
      </c>
      <c r="G57" s="871">
        <f t="shared" si="224"/>
        <v>0.04</v>
      </c>
      <c r="H57" s="871">
        <f t="shared" si="224"/>
        <v>0.08</v>
      </c>
      <c r="I57" s="871">
        <f t="shared" si="224"/>
        <v>0.09</v>
      </c>
      <c r="J57" s="871">
        <f t="shared" si="224"/>
        <v>0.1</v>
      </c>
      <c r="K57" s="871">
        <f t="shared" si="224"/>
        <v>0.1</v>
      </c>
      <c r="L57" s="871">
        <f t="shared" si="224"/>
        <v>0.1</v>
      </c>
      <c r="M57" s="871">
        <f t="shared" si="224"/>
        <v>0.1</v>
      </c>
      <c r="N57" s="871">
        <f>N58</f>
        <v>0.1</v>
      </c>
      <c r="O57" s="871">
        <f t="shared" ref="O57:W57" si="225">O58</f>
        <v>0.1</v>
      </c>
      <c r="P57" s="871">
        <f t="shared" si="225"/>
        <v>0.1</v>
      </c>
      <c r="Q57" s="871">
        <f t="shared" si="225"/>
        <v>0.06</v>
      </c>
      <c r="R57" s="871">
        <f t="shared" si="225"/>
        <v>0</v>
      </c>
      <c r="S57" s="871">
        <f t="shared" si="225"/>
        <v>0</v>
      </c>
      <c r="T57" s="871">
        <f t="shared" si="225"/>
        <v>0</v>
      </c>
      <c r="U57" s="871">
        <f t="shared" si="225"/>
        <v>0</v>
      </c>
      <c r="V57" s="871">
        <f t="shared" si="225"/>
        <v>0</v>
      </c>
      <c r="W57" s="871">
        <f t="shared" si="225"/>
        <v>0</v>
      </c>
      <c r="X57" s="117"/>
      <c r="Y57" s="708">
        <f>+D58-X59-X60</f>
        <v>-9.3132257461547852E-10</v>
      </c>
    </row>
    <row r="58" spans="1:27" s="119" customFormat="1" ht="18" customHeight="1" x14ac:dyDescent="0.15">
      <c r="A58" s="2501"/>
      <c r="B58" s="2504"/>
      <c r="C58" s="1663" t="str">
        <f>CONCATENATE(Orçamento_Não_Deson!H25," ",Orçamento_Não_Deson!I25)</f>
        <v>56628,68 M2</v>
      </c>
      <c r="D58" s="2512">
        <f>Orçamento_Não_Deson!J25</f>
        <v>7068471.54</v>
      </c>
      <c r="E58" s="2513"/>
      <c r="F58" s="695">
        <v>0.03</v>
      </c>
      <c r="G58" s="695">
        <v>0.04</v>
      </c>
      <c r="H58" s="695">
        <v>0.08</v>
      </c>
      <c r="I58" s="695">
        <v>0.09</v>
      </c>
      <c r="J58" s="695">
        <v>0.1</v>
      </c>
      <c r="K58" s="695">
        <v>0.1</v>
      </c>
      <c r="L58" s="695">
        <v>0.1</v>
      </c>
      <c r="M58" s="695">
        <v>0.1</v>
      </c>
      <c r="N58" s="695">
        <v>0.1</v>
      </c>
      <c r="O58" s="695">
        <v>0.1</v>
      </c>
      <c r="P58" s="695">
        <v>0.1</v>
      </c>
      <c r="Q58" s="695">
        <v>0.06</v>
      </c>
      <c r="R58" s="695"/>
      <c r="S58" s="695"/>
      <c r="T58" s="695"/>
      <c r="U58" s="695"/>
      <c r="V58" s="695"/>
      <c r="W58" s="695"/>
      <c r="X58" s="120">
        <f>SUM(F58:W58)</f>
        <v>1</v>
      </c>
      <c r="Y58" s="586">
        <f>1-X58</f>
        <v>0</v>
      </c>
      <c r="AA58" s="711">
        <f>+COUNT(F58:W58)</f>
        <v>12</v>
      </c>
    </row>
    <row r="59" spans="1:27" s="119" customFormat="1" ht="18" customHeight="1" thickBot="1" x14ac:dyDescent="0.2">
      <c r="A59" s="2501"/>
      <c r="B59" s="2504"/>
      <c r="C59" s="1665">
        <f>Orçamento_Não_Deson!N25</f>
        <v>2</v>
      </c>
      <c r="D59" s="1694" t="s">
        <v>141</v>
      </c>
      <c r="E59" s="1695">
        <f>D$92</f>
        <v>1</v>
      </c>
      <c r="F59" s="870">
        <f t="shared" ref="F59:W59" si="226">IF($D58=0,0,IF(F58=0,0,($E59*$D58*F58)+$AA$96))</f>
        <v>212054.14619999999</v>
      </c>
      <c r="G59" s="870">
        <f t="shared" si="226"/>
        <v>282738.8616</v>
      </c>
      <c r="H59" s="870">
        <f t="shared" si="226"/>
        <v>565477.72320000001</v>
      </c>
      <c r="I59" s="870">
        <f t="shared" si="226"/>
        <v>636162.43859999999</v>
      </c>
      <c r="J59" s="870">
        <f t="shared" si="226"/>
        <v>706847.1540000001</v>
      </c>
      <c r="K59" s="870">
        <f t="shared" si="226"/>
        <v>706847.1540000001</v>
      </c>
      <c r="L59" s="870">
        <f t="shared" si="226"/>
        <v>706847.1540000001</v>
      </c>
      <c r="M59" s="870">
        <f t="shared" si="226"/>
        <v>706847.1540000001</v>
      </c>
      <c r="N59" s="870">
        <f t="shared" si="226"/>
        <v>706847.1540000001</v>
      </c>
      <c r="O59" s="870">
        <f t="shared" si="226"/>
        <v>706847.1540000001</v>
      </c>
      <c r="P59" s="870">
        <f t="shared" si="226"/>
        <v>706847.1540000001</v>
      </c>
      <c r="Q59" s="870">
        <f t="shared" si="226"/>
        <v>424108.29239999998</v>
      </c>
      <c r="R59" s="870">
        <f t="shared" si="226"/>
        <v>0</v>
      </c>
      <c r="S59" s="870">
        <f t="shared" si="226"/>
        <v>0</v>
      </c>
      <c r="T59" s="870">
        <f t="shared" si="226"/>
        <v>0</v>
      </c>
      <c r="U59" s="870">
        <f t="shared" si="226"/>
        <v>0</v>
      </c>
      <c r="V59" s="870">
        <f t="shared" si="226"/>
        <v>0</v>
      </c>
      <c r="W59" s="870">
        <f t="shared" si="226"/>
        <v>0</v>
      </c>
      <c r="X59" s="121">
        <f>SUM(F59:W59)</f>
        <v>7068471.540000001</v>
      </c>
      <c r="Y59" s="118">
        <f>+X59-D58*E59</f>
        <v>0</v>
      </c>
      <c r="Z59" s="710">
        <f>+X59/D58</f>
        <v>1.0000000000000002</v>
      </c>
    </row>
    <row r="60" spans="1:27" s="119" customFormat="1" ht="18" hidden="1" customHeight="1" thickBot="1" x14ac:dyDescent="0.2">
      <c r="A60" s="2502"/>
      <c r="B60" s="2505"/>
      <c r="C60" s="1666">
        <v>15000</v>
      </c>
      <c r="D60" s="1660" t="s">
        <v>142</v>
      </c>
      <c r="E60" s="709">
        <f>1-E59</f>
        <v>0</v>
      </c>
      <c r="F60" s="869">
        <f>($D58*F58-F59)</f>
        <v>0</v>
      </c>
      <c r="G60" s="869">
        <f t="shared" ref="G60" si="227">($D58*G58-G59)</f>
        <v>0</v>
      </c>
      <c r="H60" s="869">
        <f t="shared" ref="H60" si="228">($D58*H58-H59)</f>
        <v>0</v>
      </c>
      <c r="I60" s="869">
        <f t="shared" ref="I60" si="229">($D58*I58-I59)</f>
        <v>0</v>
      </c>
      <c r="J60" s="869">
        <f t="shared" ref="J60" si="230">($D58*J58-J59)</f>
        <v>0</v>
      </c>
      <c r="K60" s="869">
        <f t="shared" ref="K60" si="231">($D58*K58-K59)</f>
        <v>0</v>
      </c>
      <c r="L60" s="869">
        <f t="shared" ref="L60" si="232">($D58*L58-L59)</f>
        <v>0</v>
      </c>
      <c r="M60" s="869">
        <f t="shared" ref="M60" si="233">($D58*M58-M59)</f>
        <v>0</v>
      </c>
      <c r="N60" s="869">
        <f t="shared" ref="N60" si="234">($D58*N58-N59)</f>
        <v>0</v>
      </c>
      <c r="O60" s="869">
        <f t="shared" ref="O60" si="235">($D58*O58-O59)</f>
        <v>0</v>
      </c>
      <c r="P60" s="869">
        <f t="shared" ref="P60" si="236">($D58*P58-P59)</f>
        <v>0</v>
      </c>
      <c r="Q60" s="869">
        <f t="shared" ref="Q60" si="237">($D58*Q58-Q59)</f>
        <v>0</v>
      </c>
      <c r="R60" s="869">
        <f t="shared" ref="R60" si="238">($D58*R58-R59)</f>
        <v>0</v>
      </c>
      <c r="S60" s="869">
        <f t="shared" ref="S60" si="239">($D58*S58-S59)</f>
        <v>0</v>
      </c>
      <c r="T60" s="869">
        <f t="shared" ref="T60" si="240">($D58*T58-T59)</f>
        <v>0</v>
      </c>
      <c r="U60" s="869">
        <f t="shared" ref="U60" si="241">($D58*U58-U59)</f>
        <v>0</v>
      </c>
      <c r="V60" s="869">
        <f t="shared" ref="V60" si="242">($D58*V58-V59)</f>
        <v>0</v>
      </c>
      <c r="W60" s="869">
        <f t="shared" ref="W60" si="243">($D58*W58-W59)</f>
        <v>0</v>
      </c>
      <c r="X60" s="122">
        <f>SUM(F60:W60)</f>
        <v>0</v>
      </c>
      <c r="Y60" s="118">
        <f>+X60-E60*D58</f>
        <v>0</v>
      </c>
    </row>
    <row r="61" spans="1:27" s="119" customFormat="1" ht="9.9499999999999993" customHeight="1" x14ac:dyDescent="0.15">
      <c r="A61" s="2500">
        <f ca="1">Orçamento_Não_Deson!B26</f>
        <v>9</v>
      </c>
      <c r="B61" s="2503" t="str">
        <f>Orçamento_Não_Deson!C26</f>
        <v>SERVIÇOS COMPLEMENTARES</v>
      </c>
      <c r="C61" s="1663"/>
      <c r="D61" s="1659"/>
      <c r="E61" s="116"/>
      <c r="F61" s="871">
        <f t="shared" ref="F61:M61" si="244">F62</f>
        <v>0</v>
      </c>
      <c r="G61" s="871">
        <f t="shared" si="244"/>
        <v>0</v>
      </c>
      <c r="H61" s="871">
        <f t="shared" si="244"/>
        <v>0</v>
      </c>
      <c r="I61" s="871">
        <f t="shared" si="244"/>
        <v>0.02</v>
      </c>
      <c r="J61" s="871">
        <f t="shared" si="244"/>
        <v>0.03</v>
      </c>
      <c r="K61" s="871">
        <f t="shared" si="244"/>
        <v>0.05</v>
      </c>
      <c r="L61" s="871">
        <f t="shared" si="244"/>
        <v>0.05</v>
      </c>
      <c r="M61" s="871">
        <f t="shared" si="244"/>
        <v>0.2</v>
      </c>
      <c r="N61" s="871">
        <f>N62</f>
        <v>0.2</v>
      </c>
      <c r="O61" s="871">
        <f t="shared" ref="O61:W61" si="245">O62</f>
        <v>0.15</v>
      </c>
      <c r="P61" s="871">
        <f t="shared" si="245"/>
        <v>0.15</v>
      </c>
      <c r="Q61" s="871">
        <f t="shared" si="245"/>
        <v>0.15</v>
      </c>
      <c r="R61" s="871">
        <f t="shared" si="245"/>
        <v>0</v>
      </c>
      <c r="S61" s="871">
        <f t="shared" si="245"/>
        <v>0</v>
      </c>
      <c r="T61" s="871">
        <f t="shared" si="245"/>
        <v>0</v>
      </c>
      <c r="U61" s="871">
        <f t="shared" si="245"/>
        <v>0</v>
      </c>
      <c r="V61" s="871">
        <f t="shared" si="245"/>
        <v>0</v>
      </c>
      <c r="W61" s="871">
        <f t="shared" si="245"/>
        <v>0</v>
      </c>
      <c r="X61" s="117"/>
      <c r="Y61" s="708">
        <f ca="1">+D62-X63-X64</f>
        <v>1.1641532182693481E-10</v>
      </c>
    </row>
    <row r="62" spans="1:27" s="119" customFormat="1" ht="18" customHeight="1" x14ac:dyDescent="0.15">
      <c r="A62" s="2501"/>
      <c r="B62" s="2504"/>
      <c r="C62" s="1663" t="str">
        <f ca="1">CONCATENATE(Orçamento_Não_Deson!H26," ",Orçamento_Não_Deson!I26)</f>
        <v>14501,96 M</v>
      </c>
      <c r="D62" s="2512">
        <f ca="1">Orçamento_Não_Deson!J26</f>
        <v>988204.42</v>
      </c>
      <c r="E62" s="2513"/>
      <c r="F62" s="695"/>
      <c r="G62" s="695"/>
      <c r="H62" s="695"/>
      <c r="I62" s="695">
        <v>0.02</v>
      </c>
      <c r="J62" s="695">
        <v>0.03</v>
      </c>
      <c r="K62" s="695">
        <v>0.05</v>
      </c>
      <c r="L62" s="695">
        <v>0.05</v>
      </c>
      <c r="M62" s="695">
        <v>0.2</v>
      </c>
      <c r="N62" s="695">
        <v>0.2</v>
      </c>
      <c r="O62" s="695">
        <v>0.15</v>
      </c>
      <c r="P62" s="695">
        <v>0.15</v>
      </c>
      <c r="Q62" s="695">
        <v>0.15</v>
      </c>
      <c r="R62" s="695"/>
      <c r="S62" s="695"/>
      <c r="T62" s="695"/>
      <c r="U62" s="695"/>
      <c r="V62" s="695"/>
      <c r="W62" s="695"/>
      <c r="X62" s="120">
        <f>SUM(F62:W62)</f>
        <v>1</v>
      </c>
      <c r="Y62" s="586">
        <f>1-X62</f>
        <v>0</v>
      </c>
      <c r="AA62" s="711">
        <f>+COUNT(F62:W62)</f>
        <v>9</v>
      </c>
    </row>
    <row r="63" spans="1:27" s="119" customFormat="1" ht="18" customHeight="1" thickBot="1" x14ac:dyDescent="0.2">
      <c r="A63" s="2501"/>
      <c r="B63" s="2504"/>
      <c r="C63" s="1665">
        <f ca="1">ROUND(SUM(Orçamento_Não_Deson!O720:O726)/240,1)</f>
        <v>5.2</v>
      </c>
      <c r="D63" s="1694" t="s">
        <v>141</v>
      </c>
      <c r="E63" s="1695">
        <f>D$92</f>
        <v>1</v>
      </c>
      <c r="F63" s="870">
        <f t="shared" ref="F63:W63" ca="1" si="246">IF($D62=0,0,IF(F62=0,0,($E63*$D62*F62)+$AA$96))</f>
        <v>0</v>
      </c>
      <c r="G63" s="870">
        <f t="shared" ca="1" si="246"/>
        <v>0</v>
      </c>
      <c r="H63" s="870">
        <f t="shared" ca="1" si="246"/>
        <v>0</v>
      </c>
      <c r="I63" s="870">
        <f t="shared" ca="1" si="246"/>
        <v>19764.088400000001</v>
      </c>
      <c r="J63" s="870">
        <f t="shared" ca="1" si="246"/>
        <v>29646.132600000001</v>
      </c>
      <c r="K63" s="870">
        <f t="shared" ca="1" si="246"/>
        <v>49410.221000000005</v>
      </c>
      <c r="L63" s="870">
        <f t="shared" ca="1" si="246"/>
        <v>49410.221000000005</v>
      </c>
      <c r="M63" s="870">
        <f t="shared" ca="1" si="246"/>
        <v>197640.88400000002</v>
      </c>
      <c r="N63" s="870">
        <f t="shared" ca="1" si="246"/>
        <v>197640.88400000002</v>
      </c>
      <c r="O63" s="870">
        <f t="shared" ca="1" si="246"/>
        <v>148230.663</v>
      </c>
      <c r="P63" s="870">
        <f t="shared" ca="1" si="246"/>
        <v>148230.663</v>
      </c>
      <c r="Q63" s="870">
        <f t="shared" ca="1" si="246"/>
        <v>148230.663</v>
      </c>
      <c r="R63" s="870">
        <f t="shared" ca="1" si="246"/>
        <v>0</v>
      </c>
      <c r="S63" s="870">
        <f t="shared" ca="1" si="246"/>
        <v>0</v>
      </c>
      <c r="T63" s="870">
        <f t="shared" ca="1" si="246"/>
        <v>0</v>
      </c>
      <c r="U63" s="870">
        <f t="shared" ca="1" si="246"/>
        <v>0</v>
      </c>
      <c r="V63" s="870">
        <f t="shared" ca="1" si="246"/>
        <v>0</v>
      </c>
      <c r="W63" s="870">
        <f t="shared" ca="1" si="246"/>
        <v>0</v>
      </c>
      <c r="X63" s="121">
        <f ca="1">SUM(F63:W63)</f>
        <v>988204.41999999993</v>
      </c>
      <c r="Y63" s="118">
        <f ca="1">TRUNC(X63-D62*E63,2)</f>
        <v>0</v>
      </c>
      <c r="Z63" s="710">
        <f ca="1">+X63/D62</f>
        <v>0.99999999999999989</v>
      </c>
    </row>
    <row r="64" spans="1:27" s="119" customFormat="1" ht="18" hidden="1" customHeight="1" thickBot="1" x14ac:dyDescent="0.2">
      <c r="A64" s="2502"/>
      <c r="B64" s="2505"/>
      <c r="C64" s="1664"/>
      <c r="D64" s="1660" t="s">
        <v>142</v>
      </c>
      <c r="E64" s="709">
        <f>1-E63</f>
        <v>0</v>
      </c>
      <c r="F64" s="869">
        <f ca="1">($D62*F62-F63)</f>
        <v>0</v>
      </c>
      <c r="G64" s="869">
        <f t="shared" ref="G64" ca="1" si="247">($D62*G62-G63)</f>
        <v>0</v>
      </c>
      <c r="H64" s="869">
        <f t="shared" ref="H64" ca="1" si="248">($D62*H62-H63)</f>
        <v>0</v>
      </c>
      <c r="I64" s="869">
        <f t="shared" ref="I64" ca="1" si="249">($D62*I62-I63)</f>
        <v>0</v>
      </c>
      <c r="J64" s="869">
        <f t="shared" ref="J64" ca="1" si="250">($D62*J62-J63)</f>
        <v>0</v>
      </c>
      <c r="K64" s="869">
        <f t="shared" ref="K64" ca="1" si="251">($D62*K62-K63)</f>
        <v>0</v>
      </c>
      <c r="L64" s="869">
        <f t="shared" ref="L64" ca="1" si="252">($D62*L62-L63)</f>
        <v>0</v>
      </c>
      <c r="M64" s="869">
        <f t="shared" ref="M64" ca="1" si="253">($D62*M62-M63)</f>
        <v>0</v>
      </c>
      <c r="N64" s="869">
        <f t="shared" ref="N64" ca="1" si="254">($D62*N62-N63)</f>
        <v>0</v>
      </c>
      <c r="O64" s="869">
        <f t="shared" ref="O64" ca="1" si="255">($D62*O62-O63)</f>
        <v>0</v>
      </c>
      <c r="P64" s="869">
        <f t="shared" ref="P64" ca="1" si="256">($D62*P62-P63)</f>
        <v>0</v>
      </c>
      <c r="Q64" s="869">
        <f t="shared" ref="Q64" ca="1" si="257">($D62*Q62-Q63)</f>
        <v>0</v>
      </c>
      <c r="R64" s="869">
        <f t="shared" ref="R64" ca="1" si="258">($D62*R62-R63)</f>
        <v>0</v>
      </c>
      <c r="S64" s="869">
        <f t="shared" ref="S64" ca="1" si="259">($D62*S62-S63)</f>
        <v>0</v>
      </c>
      <c r="T64" s="869">
        <f t="shared" ref="T64" ca="1" si="260">($D62*T62-T63)</f>
        <v>0</v>
      </c>
      <c r="U64" s="869">
        <f t="shared" ref="U64" ca="1" si="261">($D62*U62-U63)</f>
        <v>0</v>
      </c>
      <c r="V64" s="869">
        <f t="shared" ref="V64" ca="1" si="262">($D62*V62-V63)</f>
        <v>0</v>
      </c>
      <c r="W64" s="869">
        <f t="shared" ref="W64" ca="1" si="263">($D62*W62-W63)</f>
        <v>0</v>
      </c>
      <c r="X64" s="122">
        <f ca="1">SUM(F64:W64)</f>
        <v>0</v>
      </c>
      <c r="Y64" s="118">
        <f ca="1">+D62-X63-X64</f>
        <v>1.1641532182693481E-10</v>
      </c>
    </row>
    <row r="65" spans="1:27" s="119" customFormat="1" ht="9.9499999999999993" customHeight="1" x14ac:dyDescent="0.15">
      <c r="A65" s="2500">
        <f ca="1">Orçamento_Não_Deson!B27</f>
        <v>10</v>
      </c>
      <c r="B65" s="2503" t="str">
        <f>Orçamento_Não_Deson!C27</f>
        <v>PASSEIO COM ACESSIBILIDADE</v>
      </c>
      <c r="C65" s="1663"/>
      <c r="D65" s="1659"/>
      <c r="E65" s="116"/>
      <c r="F65" s="871">
        <f t="shared" ref="F65:M65" si="264">F66</f>
        <v>0</v>
      </c>
      <c r="G65" s="871">
        <f t="shared" si="264"/>
        <v>0</v>
      </c>
      <c r="H65" s="871">
        <f t="shared" si="264"/>
        <v>0</v>
      </c>
      <c r="I65" s="871">
        <f t="shared" si="264"/>
        <v>0.02</v>
      </c>
      <c r="J65" s="871">
        <f t="shared" si="264"/>
        <v>0.03</v>
      </c>
      <c r="K65" s="871">
        <f t="shared" si="264"/>
        <v>0.05</v>
      </c>
      <c r="L65" s="871">
        <f t="shared" si="264"/>
        <v>0.05</v>
      </c>
      <c r="M65" s="871">
        <f t="shared" si="264"/>
        <v>0.2</v>
      </c>
      <c r="N65" s="871">
        <f>N66</f>
        <v>0.2</v>
      </c>
      <c r="O65" s="871">
        <f t="shared" ref="O65:W65" si="265">O66</f>
        <v>0.15</v>
      </c>
      <c r="P65" s="871">
        <f t="shared" si="265"/>
        <v>0.15</v>
      </c>
      <c r="Q65" s="871">
        <f t="shared" si="265"/>
        <v>0.15</v>
      </c>
      <c r="R65" s="871">
        <f t="shared" si="265"/>
        <v>0</v>
      </c>
      <c r="S65" s="871">
        <f t="shared" si="265"/>
        <v>0</v>
      </c>
      <c r="T65" s="871">
        <f t="shared" si="265"/>
        <v>0</v>
      </c>
      <c r="U65" s="871">
        <f t="shared" si="265"/>
        <v>0</v>
      </c>
      <c r="V65" s="871">
        <f t="shared" si="265"/>
        <v>0</v>
      </c>
      <c r="W65" s="871">
        <f t="shared" si="265"/>
        <v>0</v>
      </c>
      <c r="X65" s="117"/>
      <c r="Y65" s="708">
        <f>+D66-X67-X68</f>
        <v>0</v>
      </c>
    </row>
    <row r="66" spans="1:27" s="119" customFormat="1" ht="18" customHeight="1" x14ac:dyDescent="0.15">
      <c r="A66" s="2501"/>
      <c r="B66" s="2504"/>
      <c r="C66" s="1663" t="str">
        <f>CONCATENATE(Orçamento_Não_Deson!H27," ",Orçamento_Não_Deson!I27)</f>
        <v>15489,17 M2</v>
      </c>
      <c r="D66" s="2512">
        <f>Orçamento_Não_Deson!J27</f>
        <v>1060978.94</v>
      </c>
      <c r="E66" s="2513"/>
      <c r="F66" s="695"/>
      <c r="G66" s="695"/>
      <c r="H66" s="695"/>
      <c r="I66" s="695">
        <v>0.02</v>
      </c>
      <c r="J66" s="695">
        <v>0.03</v>
      </c>
      <c r="K66" s="695">
        <v>0.05</v>
      </c>
      <c r="L66" s="695">
        <v>0.05</v>
      </c>
      <c r="M66" s="695">
        <v>0.2</v>
      </c>
      <c r="N66" s="695">
        <v>0.2</v>
      </c>
      <c r="O66" s="695">
        <v>0.15</v>
      </c>
      <c r="P66" s="695">
        <v>0.15</v>
      </c>
      <c r="Q66" s="695">
        <v>0.15</v>
      </c>
      <c r="R66" s="695"/>
      <c r="S66" s="695"/>
      <c r="T66" s="695"/>
      <c r="U66" s="695"/>
      <c r="V66" s="695"/>
      <c r="W66" s="695"/>
      <c r="X66" s="120">
        <f>SUM(F66:W66)</f>
        <v>1</v>
      </c>
      <c r="Y66" s="586">
        <f>1-X66</f>
        <v>0</v>
      </c>
      <c r="AA66" s="711">
        <f>+COUNT(F66:W66)</f>
        <v>9</v>
      </c>
    </row>
    <row r="67" spans="1:27" s="119" customFormat="1" ht="18" customHeight="1" thickBot="1" x14ac:dyDescent="0.2">
      <c r="A67" s="2501"/>
      <c r="B67" s="2504"/>
      <c r="C67" s="1665">
        <f>Orçamento_Não_Deson!N27</f>
        <v>1</v>
      </c>
      <c r="D67" s="1694" t="s">
        <v>141</v>
      </c>
      <c r="E67" s="1695">
        <f>D$92</f>
        <v>1</v>
      </c>
      <c r="F67" s="870">
        <f t="shared" ref="F67:W67" si="266">IF($D66=0,0,IF(F66=0,0,($E67*$D66*F66)+$AA$96))</f>
        <v>0</v>
      </c>
      <c r="G67" s="870">
        <f t="shared" si="266"/>
        <v>0</v>
      </c>
      <c r="H67" s="870">
        <f t="shared" si="266"/>
        <v>0</v>
      </c>
      <c r="I67" s="870">
        <f t="shared" si="266"/>
        <v>21219.578799999999</v>
      </c>
      <c r="J67" s="870">
        <f t="shared" si="266"/>
        <v>31829.368199999997</v>
      </c>
      <c r="K67" s="870">
        <f t="shared" si="266"/>
        <v>53048.947</v>
      </c>
      <c r="L67" s="870">
        <f t="shared" si="266"/>
        <v>53048.947</v>
      </c>
      <c r="M67" s="870">
        <f t="shared" si="266"/>
        <v>212195.788</v>
      </c>
      <c r="N67" s="870">
        <f t="shared" si="266"/>
        <v>212195.788</v>
      </c>
      <c r="O67" s="870">
        <f t="shared" si="266"/>
        <v>159146.84099999999</v>
      </c>
      <c r="P67" s="870">
        <f t="shared" si="266"/>
        <v>159146.84099999999</v>
      </c>
      <c r="Q67" s="870">
        <f t="shared" si="266"/>
        <v>159146.84099999999</v>
      </c>
      <c r="R67" s="870">
        <f t="shared" si="266"/>
        <v>0</v>
      </c>
      <c r="S67" s="870">
        <f t="shared" si="266"/>
        <v>0</v>
      </c>
      <c r="T67" s="870">
        <f t="shared" si="266"/>
        <v>0</v>
      </c>
      <c r="U67" s="870">
        <f t="shared" si="266"/>
        <v>0</v>
      </c>
      <c r="V67" s="870">
        <f t="shared" si="266"/>
        <v>0</v>
      </c>
      <c r="W67" s="870">
        <f t="shared" si="266"/>
        <v>0</v>
      </c>
      <c r="X67" s="121">
        <f>SUM(F67:W67)</f>
        <v>1060978.94</v>
      </c>
      <c r="Y67" s="118">
        <f>TRUNC(X67-D66*E67,2)</f>
        <v>0</v>
      </c>
      <c r="Z67" s="710">
        <f>+X67/D66</f>
        <v>1</v>
      </c>
    </row>
    <row r="68" spans="1:27" s="119" customFormat="1" ht="18" hidden="1" customHeight="1" thickBot="1" x14ac:dyDescent="0.2">
      <c r="A68" s="2502"/>
      <c r="B68" s="2505"/>
      <c r="C68" s="1664"/>
      <c r="D68" s="1660" t="s">
        <v>142</v>
      </c>
      <c r="E68" s="709">
        <f>1-E67</f>
        <v>0</v>
      </c>
      <c r="F68" s="869">
        <f>($D66*F66-F67)</f>
        <v>0</v>
      </c>
      <c r="G68" s="869">
        <f t="shared" ref="G68" si="267">($D66*G66-G67)</f>
        <v>0</v>
      </c>
      <c r="H68" s="869">
        <f t="shared" ref="H68" si="268">($D66*H66-H67)</f>
        <v>0</v>
      </c>
      <c r="I68" s="869">
        <f t="shared" ref="I68" si="269">($D66*I66-I67)</f>
        <v>0</v>
      </c>
      <c r="J68" s="869">
        <f t="shared" ref="J68" si="270">($D66*J66-J67)</f>
        <v>0</v>
      </c>
      <c r="K68" s="869">
        <f t="shared" ref="K68" si="271">($D66*K66-K67)</f>
        <v>0</v>
      </c>
      <c r="L68" s="869">
        <f t="shared" ref="L68" si="272">($D66*L66-L67)</f>
        <v>0</v>
      </c>
      <c r="M68" s="869">
        <f t="shared" ref="M68" si="273">($D66*M66-M67)</f>
        <v>0</v>
      </c>
      <c r="N68" s="869">
        <f t="shared" ref="N68" si="274">($D66*N66-N67)</f>
        <v>0</v>
      </c>
      <c r="O68" s="869">
        <f t="shared" ref="O68" si="275">($D66*O66-O67)</f>
        <v>0</v>
      </c>
      <c r="P68" s="869">
        <f t="shared" ref="P68" si="276">($D66*P66-P67)</f>
        <v>0</v>
      </c>
      <c r="Q68" s="869">
        <f t="shared" ref="Q68" si="277">($D66*Q66-Q67)</f>
        <v>0</v>
      </c>
      <c r="R68" s="869">
        <f t="shared" ref="R68" si="278">($D66*R66-R67)</f>
        <v>0</v>
      </c>
      <c r="S68" s="869">
        <f t="shared" ref="S68" si="279">($D66*S66-S67)</f>
        <v>0</v>
      </c>
      <c r="T68" s="869">
        <f t="shared" ref="T68" si="280">($D66*T66-T67)</f>
        <v>0</v>
      </c>
      <c r="U68" s="869">
        <f t="shared" ref="U68" si="281">($D66*U66-U67)</f>
        <v>0</v>
      </c>
      <c r="V68" s="869">
        <f t="shared" ref="V68" si="282">($D66*V66-V67)</f>
        <v>0</v>
      </c>
      <c r="W68" s="869">
        <f t="shared" ref="W68" si="283">($D66*W66-W67)</f>
        <v>0</v>
      </c>
      <c r="X68" s="122">
        <f>SUM(F68:W68)</f>
        <v>0</v>
      </c>
      <c r="Y68" s="118">
        <f>+D66-X67-X68</f>
        <v>0</v>
      </c>
    </row>
    <row r="69" spans="1:27" s="119" customFormat="1" ht="9.9499999999999993" hidden="1" customHeight="1" x14ac:dyDescent="0.15">
      <c r="A69" s="2500">
        <f ca="1">Orçamento_Não_Deson!B28</f>
        <v>10</v>
      </c>
      <c r="B69" s="2503" t="str">
        <f>Orçamento_Não_Deson!C28</f>
        <v>PARADA DE ÔNIBUS - PAVIMENTO RÍGIDO E PLATAFORMA</v>
      </c>
      <c r="C69" s="1663"/>
      <c r="D69" s="1659"/>
      <c r="E69" s="116"/>
      <c r="F69" s="871">
        <f t="shared" ref="F69:M69" si="284">F70</f>
        <v>0</v>
      </c>
      <c r="G69" s="871">
        <f t="shared" si="284"/>
        <v>0</v>
      </c>
      <c r="H69" s="871">
        <f t="shared" si="284"/>
        <v>0</v>
      </c>
      <c r="I69" s="871">
        <f t="shared" si="284"/>
        <v>0</v>
      </c>
      <c r="J69" s="871">
        <f t="shared" si="284"/>
        <v>0</v>
      </c>
      <c r="K69" s="871">
        <f t="shared" si="284"/>
        <v>0</v>
      </c>
      <c r="L69" s="871">
        <f t="shared" si="284"/>
        <v>0</v>
      </c>
      <c r="M69" s="871">
        <f t="shared" si="284"/>
        <v>0</v>
      </c>
      <c r="N69" s="871">
        <f>N70</f>
        <v>0</v>
      </c>
      <c r="O69" s="871">
        <f>O70</f>
        <v>0</v>
      </c>
      <c r="P69" s="871">
        <f>P70</f>
        <v>0</v>
      </c>
      <c r="Q69" s="871">
        <f>Q70</f>
        <v>0</v>
      </c>
      <c r="R69" s="871">
        <f>R70</f>
        <v>0</v>
      </c>
      <c r="S69" s="871">
        <f>+S70</f>
        <v>0</v>
      </c>
      <c r="T69" s="871">
        <f>+T70</f>
        <v>0</v>
      </c>
      <c r="U69" s="871">
        <f>+U70</f>
        <v>0</v>
      </c>
      <c r="V69" s="871">
        <f>+V70</f>
        <v>0</v>
      </c>
      <c r="W69" s="871">
        <f>+W70</f>
        <v>0</v>
      </c>
      <c r="X69" s="117"/>
      <c r="Y69" s="708">
        <f>+D70-X71-X72</f>
        <v>0</v>
      </c>
    </row>
    <row r="70" spans="1:27" s="119" customFormat="1" ht="18" hidden="1" customHeight="1" x14ac:dyDescent="0.15">
      <c r="A70" s="2501"/>
      <c r="B70" s="2504"/>
      <c r="C70" s="1663" t="str">
        <f>CONCATENATE(Orçamento_Não_Deson!H28," ",Orçamento_Não_Deson!I28)</f>
        <v xml:space="preserve">0 UN </v>
      </c>
      <c r="D70" s="2512">
        <f>Orçamento_Não_Deson!J28</f>
        <v>0</v>
      </c>
      <c r="E70" s="2513"/>
      <c r="F70" s="695"/>
      <c r="G70" s="695"/>
      <c r="H70" s="695"/>
      <c r="I70" s="695"/>
      <c r="J70" s="695"/>
      <c r="K70" s="695"/>
      <c r="L70" s="695"/>
      <c r="M70" s="695"/>
      <c r="N70" s="695"/>
      <c r="O70" s="695"/>
      <c r="P70" s="695"/>
      <c r="Q70" s="695"/>
      <c r="R70" s="695"/>
      <c r="S70" s="695"/>
      <c r="T70" s="695"/>
      <c r="U70" s="695"/>
      <c r="V70" s="695"/>
      <c r="W70" s="695"/>
      <c r="X70" s="120">
        <f>SUM(F70:W70)</f>
        <v>0</v>
      </c>
      <c r="Y70" s="586">
        <f>1-X70</f>
        <v>1</v>
      </c>
      <c r="AA70" s="711">
        <f>+COUNT(F70:W70)</f>
        <v>0</v>
      </c>
    </row>
    <row r="71" spans="1:27" s="119" customFormat="1" ht="18" hidden="1" customHeight="1" x14ac:dyDescent="0.15">
      <c r="A71" s="2501"/>
      <c r="B71" s="2504"/>
      <c r="C71" s="1665" t="e">
        <f>INT(SUM(Orçamento_Não_Deson!O797:O808)/240)+1</f>
        <v>#VALUE!</v>
      </c>
      <c r="D71" s="1694" t="s">
        <v>141</v>
      </c>
      <c r="E71" s="1695">
        <f>D$92</f>
        <v>1</v>
      </c>
      <c r="F71" s="870">
        <f>IF($D70=0,0,IF(F70=0,0,($E71*$D70*F70)+$AA$96))</f>
        <v>0</v>
      </c>
      <c r="G71" s="870">
        <f t="shared" ref="G71" si="285">IF($D70=0,0,IF(G70=0,0,($E71*$D70*G70)+$AA$96))</f>
        <v>0</v>
      </c>
      <c r="H71" s="870">
        <f t="shared" ref="H71" si="286">IF($D70=0,0,IF(H70=0,0,($E71*$D70*H70)+$AA$96))</f>
        <v>0</v>
      </c>
      <c r="I71" s="870">
        <f t="shared" ref="I71" si="287">IF($D70=0,0,IF(I70=0,0,($E71*$D70*I70)+$AA$96))</f>
        <v>0</v>
      </c>
      <c r="J71" s="870">
        <f t="shared" ref="J71" si="288">IF($D70=0,0,IF(J70=0,0,($E71*$D70*J70)+$AA$96))</f>
        <v>0</v>
      </c>
      <c r="K71" s="870">
        <f t="shared" ref="K71" si="289">IF($D70=0,0,IF(K70=0,0,($E71*$D70*K70)+$AA$96))</f>
        <v>0</v>
      </c>
      <c r="L71" s="870">
        <f t="shared" ref="L71" si="290">IF($D70=0,0,IF(L70=0,0,($E71*$D70*L70)+$AA$96))</f>
        <v>0</v>
      </c>
      <c r="M71" s="870">
        <f t="shared" ref="M71" si="291">IF($D70=0,0,IF(M70=0,0,($E71*$D70*M70)+$AA$96))</f>
        <v>0</v>
      </c>
      <c r="N71" s="870">
        <f t="shared" ref="N71" si="292">IF($D70=0,0,IF(N70=0,0,($E71*$D70*N70)+$AA$96))</f>
        <v>0</v>
      </c>
      <c r="O71" s="870">
        <f t="shared" ref="O71" si="293">IF($D70=0,0,IF(O70=0,0,($E71*$D70*O70)+$AA$96))</f>
        <v>0</v>
      </c>
      <c r="P71" s="870">
        <f t="shared" ref="P71" si="294">IF($D70=0,0,IF(P70=0,0,($E71*$D70*P70)+$AA$96))</f>
        <v>0</v>
      </c>
      <c r="Q71" s="870">
        <f t="shared" ref="Q71" si="295">IF($D70=0,0,IF(Q70=0,0,($E71*$D70*Q70)+$AA$96))</f>
        <v>0</v>
      </c>
      <c r="R71" s="870">
        <f t="shared" ref="R71" si="296">IF($D70=0,0,IF(R70=0,0,($E71*$D70*R70)+$AA$96))</f>
        <v>0</v>
      </c>
      <c r="S71" s="870">
        <f t="shared" ref="S71" si="297">IF($D70=0,0,IF(S70=0,0,($E71*$D70*S70)+$AA$96))</f>
        <v>0</v>
      </c>
      <c r="T71" s="870">
        <f t="shared" ref="T71" si="298">IF($D70=0,0,IF(T70=0,0,($E71*$D70*T70)+$AA$96))</f>
        <v>0</v>
      </c>
      <c r="U71" s="870">
        <f t="shared" ref="U71" si="299">IF($D70=0,0,IF(U70=0,0,($E71*$D70*U70)+$AA$96))</f>
        <v>0</v>
      </c>
      <c r="V71" s="870">
        <f t="shared" ref="V71" si="300">IF($D70=0,0,IF(V70=0,0,($E71*$D70*V70)+$AA$96))</f>
        <v>0</v>
      </c>
      <c r="W71" s="870">
        <f t="shared" ref="W71" si="301">IF($D70=0,0,IF(W70=0,0,($E71*$D70*W70)+$AA$96))</f>
        <v>0</v>
      </c>
      <c r="X71" s="121">
        <f>SUM(F71:W71)</f>
        <v>0</v>
      </c>
      <c r="Y71" s="118">
        <f>+X71-D70*E71</f>
        <v>0</v>
      </c>
      <c r="Z71" s="710" t="e">
        <f>+X71/D70</f>
        <v>#DIV/0!</v>
      </c>
    </row>
    <row r="72" spans="1:27" s="119" customFormat="1" ht="18" hidden="1" customHeight="1" thickBot="1" x14ac:dyDescent="0.2">
      <c r="A72" s="2502"/>
      <c r="B72" s="2505"/>
      <c r="C72" s="1664"/>
      <c r="D72" s="1660" t="s">
        <v>142</v>
      </c>
      <c r="E72" s="709">
        <f>1-E71</f>
        <v>0</v>
      </c>
      <c r="F72" s="869">
        <f>($D70*F70-F71)</f>
        <v>0</v>
      </c>
      <c r="G72" s="869">
        <f t="shared" ref="G72" si="302">($D70*G70-G71)</f>
        <v>0</v>
      </c>
      <c r="H72" s="869">
        <f t="shared" ref="H72" si="303">($D70*H70-H71)</f>
        <v>0</v>
      </c>
      <c r="I72" s="869">
        <f t="shared" ref="I72" si="304">($D70*I70-I71)</f>
        <v>0</v>
      </c>
      <c r="J72" s="869">
        <f t="shared" ref="J72" si="305">($D70*J70-J71)</f>
        <v>0</v>
      </c>
      <c r="K72" s="869">
        <f t="shared" ref="K72" si="306">($D70*K70-K71)</f>
        <v>0</v>
      </c>
      <c r="L72" s="869">
        <f t="shared" ref="L72" si="307">($D70*L70-L71)</f>
        <v>0</v>
      </c>
      <c r="M72" s="869">
        <f t="shared" ref="M72" si="308">($D70*M70-M71)</f>
        <v>0</v>
      </c>
      <c r="N72" s="869">
        <f t="shared" ref="N72" si="309">($D70*N70-N71)</f>
        <v>0</v>
      </c>
      <c r="O72" s="869">
        <f t="shared" ref="O72" si="310">($D70*O70-O71)</f>
        <v>0</v>
      </c>
      <c r="P72" s="869">
        <f t="shared" ref="P72" si="311">($D70*P70-P71)</f>
        <v>0</v>
      </c>
      <c r="Q72" s="869">
        <f t="shared" ref="Q72" si="312">($D70*Q70-Q71)</f>
        <v>0</v>
      </c>
      <c r="R72" s="869">
        <f t="shared" ref="R72" si="313">($D70*R70-R71)</f>
        <v>0</v>
      </c>
      <c r="S72" s="869">
        <f t="shared" ref="S72" si="314">($D70*S70-S71)</f>
        <v>0</v>
      </c>
      <c r="T72" s="869">
        <f t="shared" ref="T72" si="315">($D70*T70-T71)</f>
        <v>0</v>
      </c>
      <c r="U72" s="869">
        <f t="shared" ref="U72" si="316">($D70*U70-U71)</f>
        <v>0</v>
      </c>
      <c r="V72" s="869">
        <f t="shared" ref="V72" si="317">($D70*V70-V71)</f>
        <v>0</v>
      </c>
      <c r="W72" s="869">
        <f t="shared" ref="W72" si="318">($D70*W70-W71)</f>
        <v>0</v>
      </c>
      <c r="X72" s="122">
        <f>SUM(F72:W72)</f>
        <v>0</v>
      </c>
      <c r="Y72" s="118">
        <f>+X72-E72*D70</f>
        <v>0</v>
      </c>
    </row>
    <row r="73" spans="1:27" s="119" customFormat="1" ht="9.9499999999999993" hidden="1" customHeight="1" x14ac:dyDescent="0.15">
      <c r="A73" s="2500">
        <f ca="1">Orçamento_Não_Deson!B29</f>
        <v>10</v>
      </c>
      <c r="B73" s="2503" t="str">
        <f>Orçamento_Não_Deson!C29</f>
        <v>IMPLANTAÇÃO / ADEQUAÇÃO GEOMÉTRICA DE CICLOVIA</v>
      </c>
      <c r="C73" s="1663"/>
      <c r="D73" s="1659"/>
      <c r="E73" s="116"/>
      <c r="F73" s="871">
        <f t="shared" ref="F73:M73" si="319">F74</f>
        <v>0</v>
      </c>
      <c r="G73" s="871">
        <f t="shared" si="319"/>
        <v>0</v>
      </c>
      <c r="H73" s="871">
        <f t="shared" si="319"/>
        <v>0</v>
      </c>
      <c r="I73" s="871">
        <f t="shared" si="319"/>
        <v>0</v>
      </c>
      <c r="J73" s="871">
        <f t="shared" si="319"/>
        <v>0</v>
      </c>
      <c r="K73" s="871">
        <f t="shared" si="319"/>
        <v>0</v>
      </c>
      <c r="L73" s="871">
        <f t="shared" si="319"/>
        <v>0</v>
      </c>
      <c r="M73" s="871">
        <f t="shared" si="319"/>
        <v>0</v>
      </c>
      <c r="N73" s="871">
        <f>N74</f>
        <v>0</v>
      </c>
      <c r="O73" s="871">
        <f t="shared" ref="O73:W73" si="320">O74</f>
        <v>0</v>
      </c>
      <c r="P73" s="871">
        <f t="shared" si="320"/>
        <v>0</v>
      </c>
      <c r="Q73" s="871">
        <f t="shared" si="320"/>
        <v>0</v>
      </c>
      <c r="R73" s="871">
        <f t="shared" si="320"/>
        <v>0</v>
      </c>
      <c r="S73" s="871">
        <f t="shared" si="320"/>
        <v>0</v>
      </c>
      <c r="T73" s="871">
        <f t="shared" si="320"/>
        <v>0</v>
      </c>
      <c r="U73" s="871">
        <f t="shared" si="320"/>
        <v>0</v>
      </c>
      <c r="V73" s="871">
        <f t="shared" si="320"/>
        <v>0</v>
      </c>
      <c r="W73" s="871">
        <f t="shared" si="320"/>
        <v>0</v>
      </c>
      <c r="X73" s="117"/>
      <c r="Y73" s="708">
        <f>+D74-X75-X76</f>
        <v>0</v>
      </c>
    </row>
    <row r="74" spans="1:27" s="119" customFormat="1" ht="18" hidden="1" customHeight="1" x14ac:dyDescent="0.15">
      <c r="A74" s="2501"/>
      <c r="B74" s="2504"/>
      <c r="C74" s="1663" t="str">
        <f>CONCATENATE(Orçamento_Não_Deson!H29," ",Orçamento_Não_Deson!I29)</f>
        <v>0 M</v>
      </c>
      <c r="D74" s="2512">
        <f>Orçamento_Não_Deson!J29</f>
        <v>0</v>
      </c>
      <c r="E74" s="2513"/>
      <c r="F74" s="695"/>
      <c r="G74" s="695"/>
      <c r="H74" s="695"/>
      <c r="I74" s="695"/>
      <c r="J74" s="695"/>
      <c r="K74" s="695"/>
      <c r="L74" s="695"/>
      <c r="M74" s="695"/>
      <c r="N74" s="695"/>
      <c r="O74" s="695"/>
      <c r="P74" s="695"/>
      <c r="Q74" s="695"/>
      <c r="R74" s="695"/>
      <c r="S74" s="695"/>
      <c r="T74" s="695"/>
      <c r="U74" s="695"/>
      <c r="V74" s="695"/>
      <c r="W74" s="695"/>
      <c r="X74" s="120">
        <f>SUM(F74:W74)</f>
        <v>0</v>
      </c>
      <c r="Y74" s="586">
        <f>1-X74</f>
        <v>1</v>
      </c>
      <c r="AA74" s="711">
        <f>+COUNT(F74:W74)</f>
        <v>0</v>
      </c>
    </row>
    <row r="75" spans="1:27" s="119" customFormat="1" ht="18" hidden="1" customHeight="1" x14ac:dyDescent="0.15">
      <c r="A75" s="2501"/>
      <c r="B75" s="2504"/>
      <c r="C75" s="1665">
        <f>Orçamento_Não_Deson!N29</f>
        <v>0</v>
      </c>
      <c r="D75" s="1694" t="s">
        <v>141</v>
      </c>
      <c r="E75" s="1695">
        <f>D$92</f>
        <v>1</v>
      </c>
      <c r="F75" s="870">
        <f>IF($D74=0,0,IF(F74=0,0,($E75*$D74*F74)+$AA$96))</f>
        <v>0</v>
      </c>
      <c r="G75" s="870">
        <f t="shared" ref="G75" si="321">IF($D74=0,0,IF(G74=0,0,($E75*$D74*G74)+$AA$96))</f>
        <v>0</v>
      </c>
      <c r="H75" s="870">
        <f t="shared" ref="H75" si="322">IF($D74=0,0,IF(H74=0,0,($E75*$D74*H74)+$AA$96))</f>
        <v>0</v>
      </c>
      <c r="I75" s="870">
        <f t="shared" ref="I75" si="323">IF($D74=0,0,IF(I74=0,0,($E75*$D74*I74)+$AA$96))</f>
        <v>0</v>
      </c>
      <c r="J75" s="870">
        <f t="shared" ref="J75" si="324">IF($D74=0,0,IF(J74=0,0,($E75*$D74*J74)+$AA$96))</f>
        <v>0</v>
      </c>
      <c r="K75" s="870">
        <f t="shared" ref="K75" si="325">IF($D74=0,0,IF(K74=0,0,($E75*$D74*K74)+$AA$96))</f>
        <v>0</v>
      </c>
      <c r="L75" s="870">
        <f t="shared" ref="L75" si="326">IF($D74=0,0,IF(L74=0,0,($E75*$D74*L74)+$AA$96))</f>
        <v>0</v>
      </c>
      <c r="M75" s="870">
        <f t="shared" ref="M75" si="327">IF($D74=0,0,IF(M74=0,0,($E75*$D74*M74)+$AA$96))</f>
        <v>0</v>
      </c>
      <c r="N75" s="870">
        <f t="shared" ref="N75" si="328">IF($D74=0,0,IF(N74=0,0,($E75*$D74*N74)+$AA$96))</f>
        <v>0</v>
      </c>
      <c r="O75" s="870">
        <f t="shared" ref="O75" si="329">IF($D74=0,0,IF(O74=0,0,($E75*$D74*O74)+$AA$96))</f>
        <v>0</v>
      </c>
      <c r="P75" s="870">
        <f t="shared" ref="P75" si="330">IF($D74=0,0,IF(P74=0,0,($E75*$D74*P74)+$AA$96))</f>
        <v>0</v>
      </c>
      <c r="Q75" s="870">
        <f t="shared" ref="Q75" si="331">IF($D74=0,0,IF(Q74=0,0,($E75*$D74*Q74)+$AA$96))</f>
        <v>0</v>
      </c>
      <c r="R75" s="870">
        <f t="shared" ref="R75" si="332">IF($D74=0,0,IF(R74=0,0,($E75*$D74*R74)+$AA$96))</f>
        <v>0</v>
      </c>
      <c r="S75" s="870">
        <f t="shared" ref="S75" si="333">IF($D74=0,0,IF(S74=0,0,($E75*$D74*S74)+$AA$96))</f>
        <v>0</v>
      </c>
      <c r="T75" s="870">
        <f t="shared" ref="T75" si="334">IF($D74=0,0,IF(T74=0,0,($E75*$D74*T74)+$AA$96))</f>
        <v>0</v>
      </c>
      <c r="U75" s="870">
        <f t="shared" ref="U75" si="335">IF($D74=0,0,IF(U74=0,0,($E75*$D74*U74)+$AA$96))</f>
        <v>0</v>
      </c>
      <c r="V75" s="870">
        <f t="shared" ref="V75" si="336">IF($D74=0,0,IF(V74=0,0,($E75*$D74*V74)+$AA$96))</f>
        <v>0</v>
      </c>
      <c r="W75" s="870">
        <f t="shared" ref="W75" si="337">IF($D74=0,0,IF(W74=0,0,($E75*$D74*W74)+$AA$96))</f>
        <v>0</v>
      </c>
      <c r="X75" s="121">
        <f>SUM(F75:W75)</f>
        <v>0</v>
      </c>
      <c r="Y75" s="118">
        <f>+X75-D74*E75</f>
        <v>0</v>
      </c>
      <c r="Z75" s="710" t="e">
        <f>+X75/D74</f>
        <v>#DIV/0!</v>
      </c>
    </row>
    <row r="76" spans="1:27" s="119" customFormat="1" ht="18" hidden="1" customHeight="1" thickBot="1" x14ac:dyDescent="0.2">
      <c r="A76" s="2502"/>
      <c r="B76" s="2505"/>
      <c r="C76" s="1664"/>
      <c r="D76" s="1660" t="s">
        <v>142</v>
      </c>
      <c r="E76" s="709">
        <f>1-E75</f>
        <v>0</v>
      </c>
      <c r="F76" s="869">
        <f>($D74*F74-F75)</f>
        <v>0</v>
      </c>
      <c r="G76" s="869">
        <f t="shared" ref="G76" si="338">($D74*G74-G75)</f>
        <v>0</v>
      </c>
      <c r="H76" s="869">
        <f t="shared" ref="H76" si="339">($D74*H74-H75)</f>
        <v>0</v>
      </c>
      <c r="I76" s="869">
        <f t="shared" ref="I76" si="340">($D74*I74-I75)</f>
        <v>0</v>
      </c>
      <c r="J76" s="869">
        <f t="shared" ref="J76" si="341">($D74*J74-J75)</f>
        <v>0</v>
      </c>
      <c r="K76" s="869">
        <f t="shared" ref="K76" si="342">($D74*K74-K75)</f>
        <v>0</v>
      </c>
      <c r="L76" s="869">
        <f t="shared" ref="L76" si="343">($D74*L74-L75)</f>
        <v>0</v>
      </c>
      <c r="M76" s="869">
        <f t="shared" ref="M76" si="344">($D74*M74-M75)</f>
        <v>0</v>
      </c>
      <c r="N76" s="869">
        <f t="shared" ref="N76" si="345">($D74*N74-N75)</f>
        <v>0</v>
      </c>
      <c r="O76" s="869">
        <f t="shared" ref="O76" si="346">($D74*O74-O75)</f>
        <v>0</v>
      </c>
      <c r="P76" s="869">
        <f t="shared" ref="P76" si="347">($D74*P74-P75)</f>
        <v>0</v>
      </c>
      <c r="Q76" s="869">
        <f t="shared" ref="Q76" si="348">($D74*Q74-Q75)</f>
        <v>0</v>
      </c>
      <c r="R76" s="869">
        <f t="shared" ref="R76" si="349">($D74*R74-R75)</f>
        <v>0</v>
      </c>
      <c r="S76" s="869">
        <f t="shared" ref="S76" si="350">($D74*S74-S75)</f>
        <v>0</v>
      </c>
      <c r="T76" s="869">
        <f t="shared" ref="T76" si="351">($D74*T74-T75)</f>
        <v>0</v>
      </c>
      <c r="U76" s="869">
        <f t="shared" ref="U76" si="352">($D74*U74-U75)</f>
        <v>0</v>
      </c>
      <c r="V76" s="869">
        <f t="shared" ref="V76" si="353">($D74*V74-V75)</f>
        <v>0</v>
      </c>
      <c r="W76" s="869">
        <f t="shared" ref="W76" si="354">($D74*W74-W75)</f>
        <v>0</v>
      </c>
      <c r="X76" s="122">
        <f>SUM(F76:W76)</f>
        <v>0</v>
      </c>
      <c r="Y76" s="118">
        <f>+X76-E76*D74</f>
        <v>0</v>
      </c>
    </row>
    <row r="77" spans="1:27" s="119" customFormat="1" ht="9.9499999999999993" customHeight="1" x14ac:dyDescent="0.15">
      <c r="A77" s="2500">
        <f ca="1">Orçamento_Não_Deson!B30</f>
        <v>11</v>
      </c>
      <c r="B77" s="2503" t="str">
        <f>Orçamento_Não_Deson!C30</f>
        <v>SINALIZAÇÃO VIÁRIA DEFINITIVA HORIZONTAL E VERTICAL E DISPOSITIVOS DE SEGURANÇA</v>
      </c>
      <c r="C77" s="1663"/>
      <c r="D77" s="1659"/>
      <c r="E77" s="116"/>
      <c r="F77" s="871">
        <f t="shared" ref="F77:M77" si="355">F78</f>
        <v>0</v>
      </c>
      <c r="G77" s="871">
        <f t="shared" si="355"/>
        <v>0</v>
      </c>
      <c r="H77" s="871">
        <f t="shared" si="355"/>
        <v>0</v>
      </c>
      <c r="I77" s="871">
        <f t="shared" si="355"/>
        <v>0.02</v>
      </c>
      <c r="J77" s="871">
        <f t="shared" si="355"/>
        <v>0.03</v>
      </c>
      <c r="K77" s="871">
        <f t="shared" si="355"/>
        <v>0.05</v>
      </c>
      <c r="L77" s="871">
        <f t="shared" si="355"/>
        <v>0.05</v>
      </c>
      <c r="M77" s="871">
        <f t="shared" si="355"/>
        <v>0.2</v>
      </c>
      <c r="N77" s="871">
        <f>N78</f>
        <v>0.2</v>
      </c>
      <c r="O77" s="871">
        <f t="shared" ref="O77:W77" si="356">O78</f>
        <v>0.15</v>
      </c>
      <c r="P77" s="871">
        <f t="shared" si="356"/>
        <v>0.15</v>
      </c>
      <c r="Q77" s="871">
        <f t="shared" si="356"/>
        <v>0.15</v>
      </c>
      <c r="R77" s="871">
        <f t="shared" si="356"/>
        <v>0</v>
      </c>
      <c r="S77" s="871">
        <f t="shared" si="356"/>
        <v>0</v>
      </c>
      <c r="T77" s="871">
        <f t="shared" si="356"/>
        <v>0</v>
      </c>
      <c r="U77" s="871">
        <f t="shared" si="356"/>
        <v>0</v>
      </c>
      <c r="V77" s="871">
        <f t="shared" si="356"/>
        <v>0</v>
      </c>
      <c r="W77" s="871">
        <f t="shared" si="356"/>
        <v>0</v>
      </c>
      <c r="X77" s="117"/>
      <c r="Y77" s="708">
        <f>+D78-X79-X80</f>
        <v>0</v>
      </c>
    </row>
    <row r="78" spans="1:27" s="119" customFormat="1" ht="18" customHeight="1" x14ac:dyDescent="0.15">
      <c r="A78" s="2501"/>
      <c r="B78" s="2504"/>
      <c r="C78" s="1663"/>
      <c r="D78" s="2512">
        <f>Orçamento_Não_Deson!J30</f>
        <v>299266.14</v>
      </c>
      <c r="E78" s="2513"/>
      <c r="F78" s="695"/>
      <c r="G78" s="695"/>
      <c r="H78" s="695"/>
      <c r="I78" s="695">
        <v>0.02</v>
      </c>
      <c r="J78" s="695">
        <v>0.03</v>
      </c>
      <c r="K78" s="695">
        <v>0.05</v>
      </c>
      <c r="L78" s="695">
        <v>0.05</v>
      </c>
      <c r="M78" s="695">
        <v>0.2</v>
      </c>
      <c r="N78" s="695">
        <v>0.2</v>
      </c>
      <c r="O78" s="695">
        <v>0.15</v>
      </c>
      <c r="P78" s="695">
        <v>0.15</v>
      </c>
      <c r="Q78" s="695">
        <v>0.15</v>
      </c>
      <c r="R78" s="695"/>
      <c r="S78" s="695"/>
      <c r="T78" s="695"/>
      <c r="U78" s="695"/>
      <c r="V78" s="695"/>
      <c r="W78" s="695"/>
      <c r="X78" s="120">
        <f>SUM(F78:W78)</f>
        <v>1</v>
      </c>
      <c r="Y78" s="586">
        <f>1-X78</f>
        <v>0</v>
      </c>
      <c r="AA78" s="711">
        <f>+COUNT(F78:W78)</f>
        <v>9</v>
      </c>
    </row>
    <row r="79" spans="1:27" s="119" customFormat="1" ht="18" customHeight="1" thickBot="1" x14ac:dyDescent="0.2">
      <c r="A79" s="2501"/>
      <c r="B79" s="2504"/>
      <c r="C79" s="1663"/>
      <c r="D79" s="1694" t="s">
        <v>141</v>
      </c>
      <c r="E79" s="1695">
        <f>D$92</f>
        <v>1</v>
      </c>
      <c r="F79" s="870">
        <f>IF($D78=0,0,IF(F78=0,0,($E79*$D78*F78)+$AA$96))</f>
        <v>0</v>
      </c>
      <c r="G79" s="870">
        <f t="shared" ref="G79" si="357">IF($D78=0,0,IF(G78=0,0,($E79*$D78*G78)+$AA$96))</f>
        <v>0</v>
      </c>
      <c r="H79" s="870">
        <f t="shared" ref="H79" si="358">IF($D78=0,0,IF(H78=0,0,($E79*$D78*H78)+$AA$96))</f>
        <v>0</v>
      </c>
      <c r="I79" s="870">
        <f t="shared" ref="I79" si="359">IF($D78=0,0,IF(I78=0,0,($E79*$D78*I78)+$AA$96))</f>
        <v>5985.3228000000008</v>
      </c>
      <c r="J79" s="870">
        <f t="shared" ref="J79" si="360">IF($D78=0,0,IF(J78=0,0,($E79*$D78*J78)+$AA$96))</f>
        <v>8977.9842000000008</v>
      </c>
      <c r="K79" s="870">
        <f t="shared" ref="K79" si="361">IF($D78=0,0,IF(K78=0,0,($E79*$D78*K78)+$AA$96))</f>
        <v>14963.307000000001</v>
      </c>
      <c r="L79" s="870">
        <f t="shared" ref="L79" si="362">IF($D78=0,0,IF(L78=0,0,($E79*$D78*L78)+$AA$96))</f>
        <v>14963.307000000001</v>
      </c>
      <c r="M79" s="870">
        <f t="shared" ref="M79" si="363">IF($D78=0,0,IF(M78=0,0,($E79*$D78*M78)+$AA$96))</f>
        <v>59853.228000000003</v>
      </c>
      <c r="N79" s="870">
        <f t="shared" ref="N79" si="364">IF($D78=0,0,IF(N78=0,0,($E79*$D78*N78)+$AA$96))</f>
        <v>59853.228000000003</v>
      </c>
      <c r="O79" s="870">
        <f t="shared" ref="O79" si="365">IF($D78=0,0,IF(O78=0,0,($E79*$D78*O78)+$AA$96))</f>
        <v>44889.921000000002</v>
      </c>
      <c r="P79" s="870">
        <f t="shared" ref="P79" si="366">IF($D78=0,0,IF(P78=0,0,($E79*$D78*P78)+$AA$96))</f>
        <v>44889.921000000002</v>
      </c>
      <c r="Q79" s="870">
        <f t="shared" ref="Q79" si="367">IF($D78=0,0,IF(Q78=0,0,($E79*$D78*Q78)+$AA$96))</f>
        <v>44889.921000000002</v>
      </c>
      <c r="R79" s="870">
        <f t="shared" ref="R79" si="368">IF($D78=0,0,IF(R78=0,0,($E79*$D78*R78)+$AA$96))</f>
        <v>0</v>
      </c>
      <c r="S79" s="870">
        <f t="shared" ref="S79" si="369">IF($D78=0,0,IF(S78=0,0,($E79*$D78*S78)+$AA$96))</f>
        <v>0</v>
      </c>
      <c r="T79" s="870">
        <f t="shared" ref="T79" si="370">IF($D78=0,0,IF(T78=0,0,($E79*$D78*T78)+$AA$96))</f>
        <v>0</v>
      </c>
      <c r="U79" s="870">
        <f t="shared" ref="U79" si="371">IF($D78=0,0,IF(U78=0,0,($E79*$D78*U78)+$AA$96))</f>
        <v>0</v>
      </c>
      <c r="V79" s="870">
        <f t="shared" ref="V79" si="372">IF($D78=0,0,IF(V78=0,0,($E79*$D78*V78)+$AA$96))</f>
        <v>0</v>
      </c>
      <c r="W79" s="870">
        <f t="shared" ref="W79" si="373">IF($D78=0,0,IF(W78=0,0,($E79*$D78*W78)+$AA$96))</f>
        <v>0</v>
      </c>
      <c r="X79" s="121">
        <f>SUM(F79:W79)</f>
        <v>299266.14</v>
      </c>
      <c r="Y79" s="118">
        <f>+X79-D78*E79</f>
        <v>0</v>
      </c>
      <c r="Z79" s="710">
        <f>+X79/D78</f>
        <v>1</v>
      </c>
    </row>
    <row r="80" spans="1:27" s="119" customFormat="1" ht="18" hidden="1" customHeight="1" thickBot="1" x14ac:dyDescent="0.2">
      <c r="A80" s="2502"/>
      <c r="B80" s="2505"/>
      <c r="C80" s="1664"/>
      <c r="D80" s="1660" t="s">
        <v>142</v>
      </c>
      <c r="E80" s="709">
        <f>1-E79</f>
        <v>0</v>
      </c>
      <c r="F80" s="869">
        <f>($D78*F78-F79)</f>
        <v>0</v>
      </c>
      <c r="G80" s="869">
        <f t="shared" ref="G80" si="374">($D78*G78-G79)</f>
        <v>0</v>
      </c>
      <c r="H80" s="869">
        <f t="shared" ref="H80" si="375">($D78*H78-H79)</f>
        <v>0</v>
      </c>
      <c r="I80" s="869">
        <f t="shared" ref="I80" si="376">($D78*I78-I79)</f>
        <v>0</v>
      </c>
      <c r="J80" s="869">
        <f t="shared" ref="J80" si="377">($D78*J78-J79)</f>
        <v>0</v>
      </c>
      <c r="K80" s="869">
        <f t="shared" ref="K80" si="378">($D78*K78-K79)</f>
        <v>0</v>
      </c>
      <c r="L80" s="869">
        <f t="shared" ref="L80" si="379">($D78*L78-L79)</f>
        <v>0</v>
      </c>
      <c r="M80" s="869">
        <f t="shared" ref="M80" si="380">($D78*M78-M79)</f>
        <v>0</v>
      </c>
      <c r="N80" s="869">
        <f t="shared" ref="N80" si="381">($D78*N78-N79)</f>
        <v>0</v>
      </c>
      <c r="O80" s="869">
        <f t="shared" ref="O80" si="382">($D78*O78-O79)</f>
        <v>0</v>
      </c>
      <c r="P80" s="869">
        <f t="shared" ref="P80" si="383">($D78*P78-P79)</f>
        <v>0</v>
      </c>
      <c r="Q80" s="869">
        <f t="shared" ref="Q80" si="384">($D78*Q78-Q79)</f>
        <v>0</v>
      </c>
      <c r="R80" s="869">
        <f t="shared" ref="R80" si="385">($D78*R78-R79)</f>
        <v>0</v>
      </c>
      <c r="S80" s="869">
        <f t="shared" ref="S80" si="386">($D78*S78-S79)</f>
        <v>0</v>
      </c>
      <c r="T80" s="869">
        <f t="shared" ref="T80" si="387">($D78*T78-T79)</f>
        <v>0</v>
      </c>
      <c r="U80" s="869">
        <f t="shared" ref="U80" si="388">($D78*U78-U79)</f>
        <v>0</v>
      </c>
      <c r="V80" s="869">
        <f t="shared" ref="V80" si="389">($D78*V78-V79)</f>
        <v>0</v>
      </c>
      <c r="W80" s="869">
        <f t="shared" ref="W80" si="390">($D78*W78-W79)</f>
        <v>0</v>
      </c>
      <c r="X80" s="122">
        <f>SUM(F80:W80)</f>
        <v>0</v>
      </c>
      <c r="Y80" s="118">
        <f>+X80-E80*D78</f>
        <v>0</v>
      </c>
    </row>
    <row r="81" spans="1:27" s="119" customFormat="1" ht="9.9499999999999993" customHeight="1" x14ac:dyDescent="0.15">
      <c r="A81" s="2500">
        <f ca="1">Orçamento_Não_Deson!B31</f>
        <v>12</v>
      </c>
      <c r="B81" s="2503" t="str">
        <f>Orçamento_Não_Deson!C31</f>
        <v>ADMINISTRAÇÃO LOCAL</v>
      </c>
      <c r="C81" s="1663"/>
      <c r="D81" s="1659"/>
      <c r="E81" s="116"/>
      <c r="F81" s="871">
        <f t="shared" ref="F81:M81" si="391">F82</f>
        <v>7.847574604670482E-2</v>
      </c>
      <c r="G81" s="871">
        <f t="shared" si="391"/>
        <v>6.9416177078240951E-2</v>
      </c>
      <c r="H81" s="871">
        <f t="shared" si="391"/>
        <v>9.3430335951916785E-2</v>
      </c>
      <c r="I81" s="871">
        <f t="shared" si="391"/>
        <v>7.5672715883151206E-2</v>
      </c>
      <c r="J81" s="871">
        <f t="shared" si="391"/>
        <v>8.2419575146354576E-2</v>
      </c>
      <c r="K81" s="871">
        <f t="shared" si="391"/>
        <v>8.593863736015428E-2</v>
      </c>
      <c r="L81" s="871">
        <f t="shared" si="391"/>
        <v>7.3742648959879031E-2</v>
      </c>
      <c r="M81" s="871">
        <f t="shared" si="391"/>
        <v>9.7830861057288013E-2</v>
      </c>
      <c r="N81" s="871">
        <f>N82</f>
        <v>9.9894039579089669E-2</v>
      </c>
      <c r="O81" s="871">
        <f t="shared" ref="O81:W81" si="392">O82</f>
        <v>8.9196596993619967E-2</v>
      </c>
      <c r="P81" s="871">
        <f t="shared" si="392"/>
        <v>8.9196596993619967E-2</v>
      </c>
      <c r="Q81" s="871">
        <f t="shared" si="392"/>
        <v>6.4786068949980832E-2</v>
      </c>
      <c r="R81" s="871">
        <f t="shared" si="392"/>
        <v>0</v>
      </c>
      <c r="S81" s="871">
        <f t="shared" si="392"/>
        <v>0</v>
      </c>
      <c r="T81" s="871">
        <f t="shared" si="392"/>
        <v>0</v>
      </c>
      <c r="U81" s="871">
        <f t="shared" si="392"/>
        <v>0</v>
      </c>
      <c r="V81" s="871">
        <f t="shared" si="392"/>
        <v>0</v>
      </c>
      <c r="W81" s="871">
        <f t="shared" si="392"/>
        <v>0</v>
      </c>
      <c r="X81" s="117"/>
      <c r="Y81" s="708">
        <f>+D82-X83-X84</f>
        <v>1.1641532182693481E-10</v>
      </c>
    </row>
    <row r="82" spans="1:27" s="119" customFormat="1" ht="18" customHeight="1" x14ac:dyDescent="0.15">
      <c r="A82" s="2501"/>
      <c r="B82" s="2504"/>
      <c r="C82" s="1663" t="str">
        <f>CONCATENATE(Orçamento_Não_Deson!H31," ",Orçamento_Não_Deson!I31)</f>
        <v>12 MÊS</v>
      </c>
      <c r="D82" s="2512">
        <f>Orçamento_Não_Deson!J31</f>
        <v>625998.32999999996</v>
      </c>
      <c r="E82" s="2513"/>
      <c r="F82" s="2336">
        <v>7.847574604670482E-2</v>
      </c>
      <c r="G82" s="2336">
        <v>6.9416177078240951E-2</v>
      </c>
      <c r="H82" s="2336">
        <v>9.3430335951916785E-2</v>
      </c>
      <c r="I82" s="2336">
        <v>7.5672715883151206E-2</v>
      </c>
      <c r="J82" s="2336">
        <v>8.2419575146354576E-2</v>
      </c>
      <c r="K82" s="2336">
        <v>8.593863736015428E-2</v>
      </c>
      <c r="L82" s="2336">
        <v>7.3742648959879031E-2</v>
      </c>
      <c r="M82" s="2336">
        <v>9.7830861057288013E-2</v>
      </c>
      <c r="N82" s="2336">
        <v>9.9894039579089669E-2</v>
      </c>
      <c r="O82" s="2336">
        <v>8.9196596993619967E-2</v>
      </c>
      <c r="P82" s="2336">
        <v>8.9196596993619967E-2</v>
      </c>
      <c r="Q82" s="2336">
        <v>6.4786068949980832E-2</v>
      </c>
      <c r="R82" s="2089"/>
      <c r="S82" s="2089"/>
      <c r="T82" s="2089"/>
      <c r="U82" s="2089"/>
      <c r="V82" s="2089"/>
      <c r="W82" s="2089"/>
      <c r="X82" s="120">
        <f>SUM(F82:W82)</f>
        <v>1</v>
      </c>
      <c r="Y82" s="586">
        <f>1-X82</f>
        <v>0</v>
      </c>
      <c r="AA82" s="711">
        <f>+COUNT(F82:W82)</f>
        <v>12</v>
      </c>
    </row>
    <row r="83" spans="1:27" s="119" customFormat="1" ht="18" customHeight="1" thickBot="1" x14ac:dyDescent="0.2">
      <c r="A83" s="2501"/>
      <c r="B83" s="2504"/>
      <c r="C83" s="1663"/>
      <c r="D83" s="1694" t="s">
        <v>141</v>
      </c>
      <c r="E83" s="1695">
        <f>D$92</f>
        <v>1</v>
      </c>
      <c r="F83" s="870">
        <f>IF($D82=0,0,IF(F82=0,0,($E83*$D82*F82)+$AA$96))</f>
        <v>49125.685970741317</v>
      </c>
      <c r="G83" s="870">
        <f t="shared" ref="G83" si="393">IF($D82=0,0,IF(G82=0,0,($E83*$D82*G82)+$AA$96))</f>
        <v>43454.410925963115</v>
      </c>
      <c r="H83" s="870">
        <f t="shared" ref="H83" si="394">IF($D82=0,0,IF(H82=0,0,($E83*$D82*H82)+$AA$96))</f>
        <v>58487.234277238866</v>
      </c>
      <c r="I83" s="870">
        <f t="shared" ref="I83" si="395">IF($D82=0,0,IF(I82=0,0,($E83*$D82*I82)+$AA$96))</f>
        <v>47370.993769417124</v>
      </c>
      <c r="J83" s="870">
        <f t="shared" ref="J83" si="396">IF($D82=0,0,IF(J82=0,0,($E83*$D82*J82)+$AA$96))</f>
        <v>51594.516400927467</v>
      </c>
      <c r="K83" s="870">
        <f t="shared" ref="K83" si="397">IF($D82=0,0,IF(K82=0,0,($E83*$D82*K82)+$AA$96))</f>
        <v>53797.443469932186</v>
      </c>
      <c r="L83" s="870">
        <f t="shared" ref="L83" si="398">IF($D82=0,0,IF(L82=0,0,($E83*$D82*L82)+$AA$96))</f>
        <v>46162.77509866051</v>
      </c>
      <c r="M83" s="870">
        <f t="shared" ref="M83" si="399">IF($D82=0,0,IF(M82=0,0,($E83*$D82*M82)+$AA$96))</f>
        <v>61241.955644324327</v>
      </c>
      <c r="N83" s="870">
        <f t="shared" ref="N83" si="400">IF($D82=0,0,IF(N82=0,0,($E83*$D82*N82)+$AA$96))</f>
        <v>62533.501953464031</v>
      </c>
      <c r="O83" s="870">
        <f t="shared" ref="O83" si="401">IF($D82=0,0,IF(O82=0,0,($E83*$D82*O82)+$AA$96))</f>
        <v>55836.920759689114</v>
      </c>
      <c r="P83" s="870">
        <f t="shared" ref="P83" si="402">IF($D82=0,0,IF(P82=0,0,($E83*$D82*P82)+$AA$96))</f>
        <v>55836.920759689114</v>
      </c>
      <c r="Q83" s="870">
        <f t="shared" ref="Q83" si="403">IF($D82=0,0,IF(Q82=0,0,($E83*$D82*Q82)+$AA$96))</f>
        <v>40555.970969952854</v>
      </c>
      <c r="R83" s="870">
        <f t="shared" ref="R83" si="404">IF($D82=0,0,IF(R82=0,0,($E83*$D82*R82)+$AA$96))</f>
        <v>0</v>
      </c>
      <c r="S83" s="870">
        <f t="shared" ref="S83" si="405">IF($D82=0,0,IF(S82=0,0,($E83*$D82*S82)+$AA$96))</f>
        <v>0</v>
      </c>
      <c r="T83" s="870">
        <f t="shared" ref="T83" si="406">IF($D82=0,0,IF(T82=0,0,($E83*$D82*T82)+$AA$96))</f>
        <v>0</v>
      </c>
      <c r="U83" s="870">
        <f t="shared" ref="U83" si="407">IF($D82=0,0,IF(U82=0,0,($E83*$D82*U82)+$AA$96))</f>
        <v>0</v>
      </c>
      <c r="V83" s="870">
        <f t="shared" ref="V83" si="408">IF($D82=0,0,IF(V82=0,0,($E83*$D82*V82)+$AA$96))</f>
        <v>0</v>
      </c>
      <c r="W83" s="870">
        <f t="shared" ref="W83" si="409">IF($D82=0,0,IF(W82=0,0,($E83*$D82*W82)+$AA$96))</f>
        <v>0</v>
      </c>
      <c r="X83" s="121">
        <f>SUM(F83:W83)</f>
        <v>625998.32999999984</v>
      </c>
      <c r="Y83" s="118">
        <f>TRUNC(X83-D82*E83,2)</f>
        <v>0</v>
      </c>
      <c r="Z83" s="710">
        <f>+X83/D82</f>
        <v>0.99999999999999978</v>
      </c>
    </row>
    <row r="84" spans="1:27" s="119" customFormat="1" ht="18" hidden="1" customHeight="1" thickBot="1" x14ac:dyDescent="0.2">
      <c r="A84" s="2502"/>
      <c r="B84" s="2505"/>
      <c r="C84" s="1664"/>
      <c r="D84" s="1660" t="s">
        <v>142</v>
      </c>
      <c r="E84" s="709">
        <f>1-E83</f>
        <v>0</v>
      </c>
      <c r="F84" s="869">
        <f>($D82*F82-F83)</f>
        <v>0</v>
      </c>
      <c r="G84" s="869">
        <f t="shared" ref="G84" si="410">($D82*G82-G83)</f>
        <v>0</v>
      </c>
      <c r="H84" s="869">
        <f t="shared" ref="H84" si="411">($D82*H82-H83)</f>
        <v>0</v>
      </c>
      <c r="I84" s="869">
        <f t="shared" ref="I84" si="412">($D82*I82-I83)</f>
        <v>0</v>
      </c>
      <c r="J84" s="869">
        <f t="shared" ref="J84" si="413">($D82*J82-J83)</f>
        <v>0</v>
      </c>
      <c r="K84" s="869">
        <f t="shared" ref="K84" si="414">($D82*K82-K83)</f>
        <v>0</v>
      </c>
      <c r="L84" s="869">
        <f t="shared" ref="L84" si="415">($D82*L82-L83)</f>
        <v>0</v>
      </c>
      <c r="M84" s="869">
        <f t="shared" ref="M84" si="416">($D82*M82-M83)</f>
        <v>0</v>
      </c>
      <c r="N84" s="869">
        <f t="shared" ref="N84" si="417">($D82*N82-N83)</f>
        <v>0</v>
      </c>
      <c r="O84" s="869">
        <f t="shared" ref="O84" si="418">($D82*O82-O83)</f>
        <v>0</v>
      </c>
      <c r="P84" s="869">
        <f t="shared" ref="P84" si="419">($D82*P82-P83)</f>
        <v>0</v>
      </c>
      <c r="Q84" s="869">
        <f t="shared" ref="Q84" si="420">($D82*Q82-Q83)</f>
        <v>0</v>
      </c>
      <c r="R84" s="869">
        <f t="shared" ref="R84" si="421">($D82*R82-R83)</f>
        <v>0</v>
      </c>
      <c r="S84" s="869">
        <f t="shared" ref="S84" si="422">($D82*S82-S83)</f>
        <v>0</v>
      </c>
      <c r="T84" s="869">
        <f t="shared" ref="T84" si="423">($D82*T82-T83)</f>
        <v>0</v>
      </c>
      <c r="U84" s="869">
        <f t="shared" ref="U84" si="424">($D82*U82-U83)</f>
        <v>0</v>
      </c>
      <c r="V84" s="869">
        <f t="shared" ref="V84" si="425">($D82*V82-V83)</f>
        <v>0</v>
      </c>
      <c r="W84" s="869">
        <f t="shared" ref="W84" si="426">($D82*W82-W83)</f>
        <v>0</v>
      </c>
      <c r="X84" s="122">
        <f>SUM(F84:W84)</f>
        <v>0</v>
      </c>
      <c r="Y84" s="118">
        <f>+D82-X83-X84</f>
        <v>1.1641532182693481E-10</v>
      </c>
    </row>
    <row r="85" spans="1:27" s="119" customFormat="1" ht="9.9499999999999993" hidden="1" customHeight="1" x14ac:dyDescent="0.15">
      <c r="A85" s="2500">
        <f ca="1">Orçamento_Não_Deson!B32</f>
        <v>12</v>
      </c>
      <c r="B85" s="2503" t="str">
        <f>Orçamento_Não_Deson!C32</f>
        <v>SERVIÇOS DE ENGENHARIA</v>
      </c>
      <c r="C85" s="1667"/>
      <c r="D85" s="1659"/>
      <c r="E85" s="116"/>
      <c r="F85" s="871">
        <f t="shared" ref="F85:M85" si="427">F86</f>
        <v>0.3</v>
      </c>
      <c r="G85" s="871">
        <f t="shared" si="427"/>
        <v>0.3</v>
      </c>
      <c r="H85" s="871">
        <f t="shared" si="427"/>
        <v>0.4</v>
      </c>
      <c r="I85" s="871">
        <f t="shared" si="427"/>
        <v>0</v>
      </c>
      <c r="J85" s="871">
        <f t="shared" si="427"/>
        <v>0</v>
      </c>
      <c r="K85" s="871">
        <f t="shared" si="427"/>
        <v>0</v>
      </c>
      <c r="L85" s="871">
        <f t="shared" si="427"/>
        <v>0</v>
      </c>
      <c r="M85" s="871">
        <f t="shared" si="427"/>
        <v>0</v>
      </c>
      <c r="N85" s="871">
        <f>N86</f>
        <v>0</v>
      </c>
      <c r="O85" s="871">
        <f t="shared" ref="O85:W85" si="428">O86</f>
        <v>0</v>
      </c>
      <c r="P85" s="871">
        <f t="shared" si="428"/>
        <v>0</v>
      </c>
      <c r="Q85" s="871">
        <f t="shared" si="428"/>
        <v>0</v>
      </c>
      <c r="R85" s="871">
        <f t="shared" si="428"/>
        <v>0</v>
      </c>
      <c r="S85" s="871">
        <f t="shared" si="428"/>
        <v>0</v>
      </c>
      <c r="T85" s="871">
        <f t="shared" si="428"/>
        <v>0</v>
      </c>
      <c r="U85" s="871">
        <f t="shared" si="428"/>
        <v>0</v>
      </c>
      <c r="V85" s="871">
        <f t="shared" si="428"/>
        <v>0</v>
      </c>
      <c r="W85" s="871">
        <f t="shared" si="428"/>
        <v>0</v>
      </c>
      <c r="X85" s="117"/>
      <c r="Y85" s="708">
        <f>+D86-X87-X88</f>
        <v>0</v>
      </c>
    </row>
    <row r="86" spans="1:27" s="119" customFormat="1" ht="18" hidden="1" customHeight="1" x14ac:dyDescent="0.15">
      <c r="A86" s="2501"/>
      <c r="B86" s="2504"/>
      <c r="C86" s="1663" t="str">
        <f>CONCATENATE(Orçamento_Não_Deson!H32," ",Orçamento_Não_Deson!I32)</f>
        <v>0 m²</v>
      </c>
      <c r="D86" s="2512">
        <f>Orçamento_Não_Deson!J32</f>
        <v>0</v>
      </c>
      <c r="E86" s="2513"/>
      <c r="F86" s="695">
        <v>0.3</v>
      </c>
      <c r="G86" s="695">
        <v>0.3</v>
      </c>
      <c r="H86" s="695">
        <v>0.4</v>
      </c>
      <c r="I86" s="695"/>
      <c r="J86" s="695"/>
      <c r="K86" s="695"/>
      <c r="L86" s="695"/>
      <c r="M86" s="695"/>
      <c r="N86" s="695"/>
      <c r="O86" s="695"/>
      <c r="P86" s="695"/>
      <c r="Q86" s="695"/>
      <c r="R86" s="695"/>
      <c r="S86" s="695"/>
      <c r="T86" s="695"/>
      <c r="U86" s="695"/>
      <c r="V86" s="695"/>
      <c r="W86" s="695"/>
      <c r="X86" s="120">
        <f>SUM(F86:W86)</f>
        <v>1</v>
      </c>
      <c r="Y86" s="586">
        <f>1-X86</f>
        <v>0</v>
      </c>
      <c r="AA86" s="711">
        <f>+COUNT(F86:W86)</f>
        <v>3</v>
      </c>
    </row>
    <row r="87" spans="1:27" s="119" customFormat="1" ht="18" hidden="1" customHeight="1" x14ac:dyDescent="0.15">
      <c r="A87" s="2501"/>
      <c r="B87" s="2504"/>
      <c r="C87" s="1663"/>
      <c r="D87" s="1694" t="s">
        <v>141</v>
      </c>
      <c r="E87" s="1695">
        <f>D$92</f>
        <v>1</v>
      </c>
      <c r="F87" s="870">
        <f>IF($D86=0,0,IF(F86=0,0,($E87*$D86*F86)+$AA$96))</f>
        <v>0</v>
      </c>
      <c r="G87" s="870">
        <f t="shared" ref="G87" si="429">IF($D86=0,0,IF(G86=0,0,($E87*$D86*G86)+$AA$96))</f>
        <v>0</v>
      </c>
      <c r="H87" s="870">
        <f t="shared" ref="H87" si="430">IF($D86=0,0,IF(H86=0,0,($E87*$D86*H86)+$AA$96))</f>
        <v>0</v>
      </c>
      <c r="I87" s="870">
        <f t="shared" ref="I87" si="431">IF($D86=0,0,IF(I86=0,0,($E87*$D86*I86)+$AA$96))</f>
        <v>0</v>
      </c>
      <c r="J87" s="870">
        <f t="shared" ref="J87" si="432">IF($D86=0,0,IF(J86=0,0,($E87*$D86*J86)+$AA$96))</f>
        <v>0</v>
      </c>
      <c r="K87" s="870">
        <f t="shared" ref="K87" si="433">IF($D86=0,0,IF(K86=0,0,($E87*$D86*K86)+$AA$96))</f>
        <v>0</v>
      </c>
      <c r="L87" s="870">
        <f t="shared" ref="L87" si="434">IF($D86=0,0,IF(L86=0,0,($E87*$D86*L86)+$AA$96))</f>
        <v>0</v>
      </c>
      <c r="M87" s="870">
        <f t="shared" ref="M87" si="435">IF($D86=0,0,IF(M86=0,0,($E87*$D86*M86)+$AA$96))</f>
        <v>0</v>
      </c>
      <c r="N87" s="870">
        <f t="shared" ref="N87" si="436">IF($D86=0,0,IF(N86=0,0,($E87*$D86*N86)+$AA$96))</f>
        <v>0</v>
      </c>
      <c r="O87" s="870">
        <f t="shared" ref="O87" si="437">IF($D86=0,0,IF(O86=0,0,($E87*$D86*O86)+$AA$96))</f>
        <v>0</v>
      </c>
      <c r="P87" s="870">
        <f t="shared" ref="P87" si="438">IF($D86=0,0,IF(P86=0,0,($E87*$D86*P86)+$AA$96))</f>
        <v>0</v>
      </c>
      <c r="Q87" s="870">
        <f t="shared" ref="Q87" si="439">IF($D86=0,0,IF(Q86=0,0,($E87*$D86*Q86)+$AA$96))</f>
        <v>0</v>
      </c>
      <c r="R87" s="870">
        <f t="shared" ref="R87" si="440">IF($D86=0,0,IF(R86=0,0,($E87*$D86*R86)+$AA$96))</f>
        <v>0</v>
      </c>
      <c r="S87" s="870">
        <f t="shared" ref="S87" si="441">IF($D86=0,0,IF(S86=0,0,($E87*$D86*S86)+$AA$96))</f>
        <v>0</v>
      </c>
      <c r="T87" s="870">
        <f t="shared" ref="T87" si="442">IF($D86=0,0,IF(T86=0,0,($E87*$D86*T86)+$AA$96))</f>
        <v>0</v>
      </c>
      <c r="U87" s="870">
        <f t="shared" ref="U87" si="443">IF($D86=0,0,IF(U86=0,0,($E87*$D86*U86)+$AA$96))</f>
        <v>0</v>
      </c>
      <c r="V87" s="870">
        <f t="shared" ref="V87" si="444">IF($D86=0,0,IF(V86=0,0,($E87*$D86*V86)+$AA$96))</f>
        <v>0</v>
      </c>
      <c r="W87" s="870">
        <f t="shared" ref="W87" si="445">IF($D86=0,0,IF(W86=0,0,($E87*$D86*W86)+$AA$96))</f>
        <v>0</v>
      </c>
      <c r="X87" s="121">
        <f>SUM(F87:W87)</f>
        <v>0</v>
      </c>
      <c r="Y87" s="118">
        <f>TRUNC(X87-D86*E87,2)</f>
        <v>0</v>
      </c>
      <c r="Z87" s="710" t="e">
        <f>+X87/D86</f>
        <v>#DIV/0!</v>
      </c>
    </row>
    <row r="88" spans="1:27" s="119" customFormat="1" ht="18" hidden="1" customHeight="1" thickBot="1" x14ac:dyDescent="0.2">
      <c r="A88" s="2502"/>
      <c r="B88" s="2505"/>
      <c r="C88" s="1664"/>
      <c r="D88" s="1660" t="s">
        <v>142</v>
      </c>
      <c r="E88" s="709">
        <f>1-E87</f>
        <v>0</v>
      </c>
      <c r="F88" s="869">
        <f>($D86*F86-F87)</f>
        <v>0</v>
      </c>
      <c r="G88" s="869">
        <f t="shared" ref="G88" si="446">($D86*G86-G87)</f>
        <v>0</v>
      </c>
      <c r="H88" s="869">
        <f t="shared" ref="H88" si="447">($D86*H86-H87)</f>
        <v>0</v>
      </c>
      <c r="I88" s="869">
        <f t="shared" ref="I88" si="448">($D86*I86-I87)</f>
        <v>0</v>
      </c>
      <c r="J88" s="869">
        <f t="shared" ref="J88" si="449">($D86*J86-J87)</f>
        <v>0</v>
      </c>
      <c r="K88" s="869">
        <f t="shared" ref="K88" si="450">($D86*K86-K87)</f>
        <v>0</v>
      </c>
      <c r="L88" s="869">
        <f t="shared" ref="L88" si="451">($D86*L86-L87)</f>
        <v>0</v>
      </c>
      <c r="M88" s="869">
        <f t="shared" ref="M88" si="452">($D86*M86-M87)</f>
        <v>0</v>
      </c>
      <c r="N88" s="869">
        <f t="shared" ref="N88" si="453">($D86*N86-N87)</f>
        <v>0</v>
      </c>
      <c r="O88" s="869">
        <f t="shared" ref="O88" si="454">($D86*O86-O87)</f>
        <v>0</v>
      </c>
      <c r="P88" s="869">
        <f t="shared" ref="P88" si="455">($D86*P86-P87)</f>
        <v>0</v>
      </c>
      <c r="Q88" s="869">
        <f t="shared" ref="Q88" si="456">($D86*Q86-Q87)</f>
        <v>0</v>
      </c>
      <c r="R88" s="869">
        <f t="shared" ref="R88" si="457">($D86*R86-R87)</f>
        <v>0</v>
      </c>
      <c r="S88" s="869">
        <f t="shared" ref="S88" si="458">($D86*S86-S87)</f>
        <v>0</v>
      </c>
      <c r="T88" s="869">
        <f t="shared" ref="T88" si="459">($D86*T86-T87)</f>
        <v>0</v>
      </c>
      <c r="U88" s="869">
        <f t="shared" ref="U88" si="460">($D86*U86-U87)</f>
        <v>0</v>
      </c>
      <c r="V88" s="869">
        <f t="shared" ref="V88" si="461">($D86*V86-V87)</f>
        <v>0</v>
      </c>
      <c r="W88" s="869">
        <f t="shared" ref="W88" si="462">($D86*W86-W87)</f>
        <v>0</v>
      </c>
      <c r="X88" s="122">
        <f>SUM(F88:W88)</f>
        <v>0</v>
      </c>
      <c r="Y88" s="118">
        <f>+D86-X87-X88</f>
        <v>0</v>
      </c>
    </row>
    <row r="89" spans="1:27" s="123" customFormat="1" ht="18" customHeight="1" x14ac:dyDescent="0.15">
      <c r="A89" s="178"/>
      <c r="B89" s="2514" t="s">
        <v>70</v>
      </c>
      <c r="C89" s="1688"/>
      <c r="D89" s="2516">
        <f ca="1">SUM(D10:D88)</f>
        <v>13400657.84</v>
      </c>
      <c r="E89" s="2517"/>
      <c r="F89" s="131">
        <f t="shared" ref="F89" ca="1" si="463">F91+F93</f>
        <v>867396.04297074128</v>
      </c>
      <c r="G89" s="131">
        <f t="shared" ref="G89:W89" ca="1" si="464">G91+G93</f>
        <v>802782.40142596315</v>
      </c>
      <c r="H89" s="131">
        <f t="shared" ca="1" si="464"/>
        <v>1095653.2377772389</v>
      </c>
      <c r="I89" s="131">
        <f t="shared" ca="1" si="464"/>
        <v>1027432.9792694171</v>
      </c>
      <c r="J89" s="131">
        <f t="shared" ca="1" si="464"/>
        <v>1128889.5169009275</v>
      </c>
      <c r="K89" s="131">
        <f t="shared" ca="1" si="464"/>
        <v>1183982.7049699323</v>
      </c>
      <c r="L89" s="131">
        <f t="shared" ca="1" si="464"/>
        <v>1049994.7095986607</v>
      </c>
      <c r="M89" s="131">
        <f t="shared" ca="1" si="464"/>
        <v>1415367.5581443245</v>
      </c>
      <c r="N89" s="131">
        <f t="shared" ca="1" si="464"/>
        <v>1413329.1721534641</v>
      </c>
      <c r="O89" s="131">
        <f t="shared" ca="1" si="464"/>
        <v>1259991.9365596892</v>
      </c>
      <c r="P89" s="131">
        <f t="shared" ca="1" si="464"/>
        <v>1259991.9365596892</v>
      </c>
      <c r="Q89" s="131">
        <f t="shared" ca="1" si="464"/>
        <v>895845.64366995275</v>
      </c>
      <c r="R89" s="131">
        <f t="shared" ca="1" si="464"/>
        <v>0</v>
      </c>
      <c r="S89" s="131">
        <f t="shared" ca="1" si="464"/>
        <v>0</v>
      </c>
      <c r="T89" s="131">
        <f t="shared" ca="1" si="464"/>
        <v>0</v>
      </c>
      <c r="U89" s="131">
        <f t="shared" ca="1" si="464"/>
        <v>0</v>
      </c>
      <c r="V89" s="131">
        <f t="shared" ca="1" si="464"/>
        <v>0</v>
      </c>
      <c r="W89" s="131">
        <f t="shared" ca="1" si="464"/>
        <v>0</v>
      </c>
      <c r="X89" s="181">
        <f t="shared" ref="X89:X94" ca="1" si="465">SUM(F89:W89)</f>
        <v>13400657.840000002</v>
      </c>
      <c r="Y89" s="118">
        <f ca="1">+X89-D89</f>
        <v>0</v>
      </c>
    </row>
    <row r="90" spans="1:27" s="123" customFormat="1" ht="18" customHeight="1" x14ac:dyDescent="0.15">
      <c r="A90" s="179"/>
      <c r="B90" s="2515"/>
      <c r="C90" s="1689"/>
      <c r="D90" s="2510">
        <v>1</v>
      </c>
      <c r="E90" s="2511"/>
      <c r="F90" s="186">
        <f t="shared" ref="F90" ca="1" si="466">F89/$D89</f>
        <v>6.4727870327501866E-2</v>
      </c>
      <c r="G90" s="186">
        <f t="shared" ref="G90:W90" ca="1" si="467">G89/$D89</f>
        <v>5.9906193487734266E-2</v>
      </c>
      <c r="H90" s="186">
        <f t="shared" ca="1" si="467"/>
        <v>8.17611531358403E-2</v>
      </c>
      <c r="I90" s="186">
        <f t="shared" ca="1" si="467"/>
        <v>7.6670338989075867E-2</v>
      </c>
      <c r="J90" s="186">
        <f t="shared" ca="1" si="467"/>
        <v>8.4241350714236843E-2</v>
      </c>
      <c r="K90" s="186">
        <f t="shared" ca="1" si="467"/>
        <v>8.8352580828967145E-2</v>
      </c>
      <c r="L90" s="186">
        <f t="shared" ca="1" si="467"/>
        <v>7.8353967554077975E-2</v>
      </c>
      <c r="M90" s="186">
        <f t="shared" ca="1" si="467"/>
        <v>0.10561925952019714</v>
      </c>
      <c r="N90" s="186">
        <f t="shared" ca="1" si="467"/>
        <v>0.10546714863017979</v>
      </c>
      <c r="O90" s="186">
        <f t="shared" ca="1" si="467"/>
        <v>9.4024633089183421E-2</v>
      </c>
      <c r="P90" s="186">
        <f t="shared" ca="1" si="467"/>
        <v>9.4024633089183421E-2</v>
      </c>
      <c r="Q90" s="186">
        <f t="shared" ca="1" si="467"/>
        <v>6.6850870633822015E-2</v>
      </c>
      <c r="R90" s="186">
        <f t="shared" ca="1" si="467"/>
        <v>0</v>
      </c>
      <c r="S90" s="186">
        <f t="shared" ca="1" si="467"/>
        <v>0</v>
      </c>
      <c r="T90" s="186">
        <f t="shared" ca="1" si="467"/>
        <v>0</v>
      </c>
      <c r="U90" s="186">
        <f t="shared" ca="1" si="467"/>
        <v>0</v>
      </c>
      <c r="V90" s="186">
        <f t="shared" ca="1" si="467"/>
        <v>0</v>
      </c>
      <c r="W90" s="186">
        <f t="shared" ca="1" si="467"/>
        <v>0</v>
      </c>
      <c r="X90" s="182">
        <f t="shared" ca="1" si="465"/>
        <v>1</v>
      </c>
      <c r="Y90" s="118"/>
    </row>
    <row r="91" spans="1:27" s="123" customFormat="1" ht="18" hidden="1" customHeight="1" x14ac:dyDescent="0.15">
      <c r="A91" s="180"/>
      <c r="B91" s="2508" t="s">
        <v>68</v>
      </c>
      <c r="C91" s="1690"/>
      <c r="D91" s="2506">
        <f ca="1">TRUNC(D89*D92,2)</f>
        <v>13400657.84</v>
      </c>
      <c r="E91" s="2507"/>
      <c r="F91" s="177">
        <f ca="1">+F11+F15+F19+F23+F27+F31+F35+F39+F43+F47+F51+F55+F59+F63+F67+F71+F75+F79+F83+F87</f>
        <v>867396.04297074128</v>
      </c>
      <c r="G91" s="177">
        <f t="shared" ref="G91:Q91" ca="1" si="468">+G11+G15+G19+G23+G27+G31+G35+G39+G43+G47+G51+G55+G59+G63+G67+G71+G75+G79+G83+G87</f>
        <v>802782.40142596315</v>
      </c>
      <c r="H91" s="177">
        <f t="shared" ca="1" si="468"/>
        <v>1095653.2377772389</v>
      </c>
      <c r="I91" s="177">
        <f t="shared" ca="1" si="468"/>
        <v>1027432.9792694171</v>
      </c>
      <c r="J91" s="177">
        <f t="shared" ca="1" si="468"/>
        <v>1128889.5169009275</v>
      </c>
      <c r="K91" s="177">
        <f t="shared" ca="1" si="468"/>
        <v>1183982.7049699323</v>
      </c>
      <c r="L91" s="177">
        <f t="shared" ca="1" si="468"/>
        <v>1049994.7095986607</v>
      </c>
      <c r="M91" s="177">
        <f t="shared" ca="1" si="468"/>
        <v>1415367.5581443245</v>
      </c>
      <c r="N91" s="177">
        <f t="shared" ca="1" si="468"/>
        <v>1413329.1721534641</v>
      </c>
      <c r="O91" s="177">
        <f t="shared" ca="1" si="468"/>
        <v>1259991.9365596892</v>
      </c>
      <c r="P91" s="177">
        <f t="shared" ca="1" si="468"/>
        <v>1259991.9365596892</v>
      </c>
      <c r="Q91" s="177">
        <f t="shared" ca="1" si="468"/>
        <v>895845.64366995275</v>
      </c>
      <c r="R91" s="177">
        <f t="shared" ref="R91:W91" ca="1" si="469">+R11+R15+R19+R23+R27+R31+R35+R39+R43+R47+R51+R55+R59+R63+R67+R71+R75+R79+R83+R87</f>
        <v>0</v>
      </c>
      <c r="S91" s="177">
        <f t="shared" ca="1" si="469"/>
        <v>0</v>
      </c>
      <c r="T91" s="177">
        <f t="shared" ca="1" si="469"/>
        <v>0</v>
      </c>
      <c r="U91" s="177">
        <f t="shared" ca="1" si="469"/>
        <v>0</v>
      </c>
      <c r="V91" s="177">
        <f t="shared" ca="1" si="469"/>
        <v>0</v>
      </c>
      <c r="W91" s="177">
        <f t="shared" ca="1" si="469"/>
        <v>0</v>
      </c>
      <c r="X91" s="124">
        <f t="shared" ca="1" si="465"/>
        <v>13400657.840000002</v>
      </c>
      <c r="Y91" s="118">
        <f ca="1">+X91-D91</f>
        <v>0</v>
      </c>
      <c r="Z91" s="710">
        <f ca="1">+X91/X89</f>
        <v>1</v>
      </c>
      <c r="AA91" s="712">
        <f>SUM(AA10:AA87)</f>
        <v>129</v>
      </c>
    </row>
    <row r="92" spans="1:27" s="123" customFormat="1" ht="18" hidden="1" customHeight="1" x14ac:dyDescent="0.15">
      <c r="A92" s="179"/>
      <c r="B92" s="2509"/>
      <c r="C92" s="1691"/>
      <c r="D92" s="2532">
        <v>1</v>
      </c>
      <c r="E92" s="2533"/>
      <c r="F92" s="186">
        <f t="shared" ref="F92:W92" ca="1" si="470">F91/$D91</f>
        <v>6.4727870327501866E-2</v>
      </c>
      <c r="G92" s="186">
        <f t="shared" ca="1" si="470"/>
        <v>5.9906193487734266E-2</v>
      </c>
      <c r="H92" s="186">
        <f t="shared" ca="1" si="470"/>
        <v>8.17611531358403E-2</v>
      </c>
      <c r="I92" s="186">
        <f t="shared" ca="1" si="470"/>
        <v>7.6670338989075867E-2</v>
      </c>
      <c r="J92" s="186">
        <f t="shared" ca="1" si="470"/>
        <v>8.4241350714236843E-2</v>
      </c>
      <c r="K92" s="186">
        <f t="shared" ca="1" si="470"/>
        <v>8.8352580828967145E-2</v>
      </c>
      <c r="L92" s="186">
        <f t="shared" ca="1" si="470"/>
        <v>7.8353967554077975E-2</v>
      </c>
      <c r="M92" s="186">
        <f t="shared" ca="1" si="470"/>
        <v>0.10561925952019714</v>
      </c>
      <c r="N92" s="186">
        <f t="shared" ca="1" si="470"/>
        <v>0.10546714863017979</v>
      </c>
      <c r="O92" s="186">
        <f t="shared" ca="1" si="470"/>
        <v>9.4024633089183421E-2</v>
      </c>
      <c r="P92" s="186">
        <f t="shared" ca="1" si="470"/>
        <v>9.4024633089183421E-2</v>
      </c>
      <c r="Q92" s="186">
        <f t="shared" ca="1" si="470"/>
        <v>6.6850870633822015E-2</v>
      </c>
      <c r="R92" s="186">
        <f t="shared" ca="1" si="470"/>
        <v>0</v>
      </c>
      <c r="S92" s="186">
        <f t="shared" ca="1" si="470"/>
        <v>0</v>
      </c>
      <c r="T92" s="186">
        <f t="shared" ca="1" si="470"/>
        <v>0</v>
      </c>
      <c r="U92" s="186">
        <f t="shared" ca="1" si="470"/>
        <v>0</v>
      </c>
      <c r="V92" s="186">
        <f t="shared" ca="1" si="470"/>
        <v>0</v>
      </c>
      <c r="W92" s="186">
        <f t="shared" ca="1" si="470"/>
        <v>0</v>
      </c>
      <c r="X92" s="182">
        <f t="shared" ca="1" si="465"/>
        <v>1</v>
      </c>
      <c r="Y92" s="118"/>
      <c r="Z92" s="713">
        <f ca="1">+Y91/AA91</f>
        <v>0</v>
      </c>
      <c r="AA92" s="712"/>
    </row>
    <row r="93" spans="1:27" s="123" customFormat="1" ht="18" hidden="1" customHeight="1" x14ac:dyDescent="0.15">
      <c r="A93" s="180"/>
      <c r="B93" s="2508" t="s">
        <v>67</v>
      </c>
      <c r="C93" s="1690"/>
      <c r="D93" s="2506">
        <f ca="1">D89-D91</f>
        <v>0</v>
      </c>
      <c r="E93" s="2507"/>
      <c r="F93" s="177">
        <f ca="1">+F12+F16+F20+F24+F28+F32+F36+F40+F44+F48+F52+F56+F60+F64+F68+F72+F76+F80+F84+F88</f>
        <v>0</v>
      </c>
      <c r="G93" s="177">
        <f t="shared" ref="G93:Q93" ca="1" si="471">+G12+G16+G20+G24+G28+G32+G36+G40+G44+G48+G52+G56+G60+G64+G68+G72+G76+G80+G84+G88</f>
        <v>0</v>
      </c>
      <c r="H93" s="177">
        <f t="shared" ca="1" si="471"/>
        <v>0</v>
      </c>
      <c r="I93" s="177">
        <f t="shared" ca="1" si="471"/>
        <v>0</v>
      </c>
      <c r="J93" s="177">
        <f t="shared" ca="1" si="471"/>
        <v>0</v>
      </c>
      <c r="K93" s="177">
        <f t="shared" ca="1" si="471"/>
        <v>0</v>
      </c>
      <c r="L93" s="177">
        <f t="shared" ca="1" si="471"/>
        <v>0</v>
      </c>
      <c r="M93" s="177">
        <f t="shared" ca="1" si="471"/>
        <v>0</v>
      </c>
      <c r="N93" s="177">
        <f t="shared" ca="1" si="471"/>
        <v>0</v>
      </c>
      <c r="O93" s="177">
        <f t="shared" ca="1" si="471"/>
        <v>0</v>
      </c>
      <c r="P93" s="177">
        <f t="shared" ca="1" si="471"/>
        <v>0</v>
      </c>
      <c r="Q93" s="177">
        <f t="shared" ca="1" si="471"/>
        <v>0</v>
      </c>
      <c r="R93" s="177">
        <f t="shared" ref="R93:W93" ca="1" si="472">+R12+R16+R20+R24+R28+R32+R36+R40+R44+R48+R52+R56+R60+R64+R68+R72+R76+R80+R84+R88</f>
        <v>0</v>
      </c>
      <c r="S93" s="177">
        <f t="shared" ca="1" si="472"/>
        <v>0</v>
      </c>
      <c r="T93" s="177">
        <f t="shared" ca="1" si="472"/>
        <v>0</v>
      </c>
      <c r="U93" s="177">
        <f t="shared" ca="1" si="472"/>
        <v>0</v>
      </c>
      <c r="V93" s="177">
        <f t="shared" ca="1" si="472"/>
        <v>0</v>
      </c>
      <c r="W93" s="177">
        <f t="shared" ca="1" si="472"/>
        <v>0</v>
      </c>
      <c r="X93" s="124">
        <f t="shared" ca="1" si="465"/>
        <v>0</v>
      </c>
      <c r="Y93" s="118">
        <f ca="1">+X93-D93</f>
        <v>0</v>
      </c>
    </row>
    <row r="94" spans="1:27" s="123" customFormat="1" ht="18" hidden="1" customHeight="1" x14ac:dyDescent="0.15">
      <c r="A94" s="179"/>
      <c r="B94" s="2509"/>
      <c r="C94" s="1691"/>
      <c r="D94" s="2532">
        <f>D90-D92</f>
        <v>0</v>
      </c>
      <c r="E94" s="2533"/>
      <c r="F94" s="186">
        <f t="shared" ref="F94" ca="1" si="473">IF(F93=0,0,F93/$D93)</f>
        <v>0</v>
      </c>
      <c r="G94" s="186">
        <f t="shared" ref="G94:W94" ca="1" si="474">IF(G93=0,0,G93/$D93)</f>
        <v>0</v>
      </c>
      <c r="H94" s="186">
        <f t="shared" ca="1" si="474"/>
        <v>0</v>
      </c>
      <c r="I94" s="186">
        <f t="shared" ca="1" si="474"/>
        <v>0</v>
      </c>
      <c r="J94" s="186">
        <f t="shared" ca="1" si="474"/>
        <v>0</v>
      </c>
      <c r="K94" s="186">
        <f t="shared" ca="1" si="474"/>
        <v>0</v>
      </c>
      <c r="L94" s="186">
        <f t="shared" ca="1" si="474"/>
        <v>0</v>
      </c>
      <c r="M94" s="186">
        <f t="shared" ca="1" si="474"/>
        <v>0</v>
      </c>
      <c r="N94" s="186">
        <f t="shared" ca="1" si="474"/>
        <v>0</v>
      </c>
      <c r="O94" s="186">
        <f t="shared" ca="1" si="474"/>
        <v>0</v>
      </c>
      <c r="P94" s="186">
        <f t="shared" ca="1" si="474"/>
        <v>0</v>
      </c>
      <c r="Q94" s="186">
        <f t="shared" ca="1" si="474"/>
        <v>0</v>
      </c>
      <c r="R94" s="186">
        <f t="shared" ca="1" si="474"/>
        <v>0</v>
      </c>
      <c r="S94" s="186">
        <f t="shared" ca="1" si="474"/>
        <v>0</v>
      </c>
      <c r="T94" s="186">
        <f t="shared" ca="1" si="474"/>
        <v>0</v>
      </c>
      <c r="U94" s="186">
        <f t="shared" ca="1" si="474"/>
        <v>0</v>
      </c>
      <c r="V94" s="186">
        <f t="shared" ca="1" si="474"/>
        <v>0</v>
      </c>
      <c r="W94" s="186">
        <f t="shared" ca="1" si="474"/>
        <v>0</v>
      </c>
      <c r="X94" s="182">
        <f t="shared" ca="1" si="465"/>
        <v>0</v>
      </c>
      <c r="Y94" s="118"/>
    </row>
    <row r="95" spans="1:27" s="123" customFormat="1" ht="18" customHeight="1" thickBot="1" x14ac:dyDescent="0.2">
      <c r="A95" s="180"/>
      <c r="B95" s="2508" t="s">
        <v>69</v>
      </c>
      <c r="C95" s="1692"/>
      <c r="D95" s="125"/>
      <c r="E95" s="184" t="s">
        <v>199</v>
      </c>
      <c r="F95" s="177">
        <f ca="1">F89</f>
        <v>867396.04297074128</v>
      </c>
      <c r="G95" s="177">
        <f t="shared" ref="G95:W95" ca="1" si="475">G89</f>
        <v>802782.40142596315</v>
      </c>
      <c r="H95" s="177">
        <f t="shared" ca="1" si="475"/>
        <v>1095653.2377772389</v>
      </c>
      <c r="I95" s="177">
        <f t="shared" ca="1" si="475"/>
        <v>1027432.9792694171</v>
      </c>
      <c r="J95" s="177">
        <f t="shared" ca="1" si="475"/>
        <v>1128889.5169009275</v>
      </c>
      <c r="K95" s="177">
        <f t="shared" ca="1" si="475"/>
        <v>1183982.7049699323</v>
      </c>
      <c r="L95" s="177">
        <f t="shared" ca="1" si="475"/>
        <v>1049994.7095986607</v>
      </c>
      <c r="M95" s="177">
        <f t="shared" ca="1" si="475"/>
        <v>1415367.5581443245</v>
      </c>
      <c r="N95" s="177">
        <f t="shared" ca="1" si="475"/>
        <v>1413329.1721534641</v>
      </c>
      <c r="O95" s="177">
        <f t="shared" ca="1" si="475"/>
        <v>1259991.9365596892</v>
      </c>
      <c r="P95" s="177">
        <f t="shared" ca="1" si="475"/>
        <v>1259991.9365596892</v>
      </c>
      <c r="Q95" s="177">
        <f t="shared" ca="1" si="475"/>
        <v>895845.64366995275</v>
      </c>
      <c r="R95" s="177">
        <f t="shared" ca="1" si="475"/>
        <v>0</v>
      </c>
      <c r="S95" s="177">
        <f t="shared" ca="1" si="475"/>
        <v>0</v>
      </c>
      <c r="T95" s="177">
        <f t="shared" ca="1" si="475"/>
        <v>0</v>
      </c>
      <c r="U95" s="177">
        <f t="shared" ca="1" si="475"/>
        <v>0</v>
      </c>
      <c r="V95" s="177">
        <f t="shared" ca="1" si="475"/>
        <v>0</v>
      </c>
      <c r="W95" s="177">
        <f t="shared" ca="1" si="475"/>
        <v>0</v>
      </c>
      <c r="X95" s="126"/>
      <c r="Y95" s="118">
        <f ca="1">+X93+X91-X89</f>
        <v>0</v>
      </c>
    </row>
    <row r="96" spans="1:27" ht="18" customHeight="1" thickBot="1" x14ac:dyDescent="0.2">
      <c r="A96" s="183"/>
      <c r="B96" s="2534"/>
      <c r="C96" s="1693"/>
      <c r="D96" s="125"/>
      <c r="E96" s="185" t="s">
        <v>200</v>
      </c>
      <c r="F96" s="2261">
        <f t="shared" ref="F96" ca="1" si="476">F95/$D89</f>
        <v>6.4727870327501866E-2</v>
      </c>
      <c r="G96" s="2261">
        <f t="shared" ref="G96:W96" ca="1" si="477">G95/$D89</f>
        <v>5.9906193487734266E-2</v>
      </c>
      <c r="H96" s="2261">
        <f t="shared" ca="1" si="477"/>
        <v>8.17611531358403E-2</v>
      </c>
      <c r="I96" s="2261">
        <f t="shared" ca="1" si="477"/>
        <v>7.6670338989075867E-2</v>
      </c>
      <c r="J96" s="2261">
        <f t="shared" ca="1" si="477"/>
        <v>8.4241350714236843E-2</v>
      </c>
      <c r="K96" s="2261">
        <f t="shared" ca="1" si="477"/>
        <v>8.8352580828967145E-2</v>
      </c>
      <c r="L96" s="2261">
        <f t="shared" ca="1" si="477"/>
        <v>7.8353967554077975E-2</v>
      </c>
      <c r="M96" s="2261">
        <f t="shared" ca="1" si="477"/>
        <v>0.10561925952019714</v>
      </c>
      <c r="N96" s="2261">
        <f t="shared" ca="1" si="477"/>
        <v>0.10546714863017979</v>
      </c>
      <c r="O96" s="2261">
        <f t="shared" ca="1" si="477"/>
        <v>9.4024633089183421E-2</v>
      </c>
      <c r="P96" s="2261">
        <f t="shared" ca="1" si="477"/>
        <v>9.4024633089183421E-2</v>
      </c>
      <c r="Q96" s="2261">
        <f t="shared" ca="1" si="477"/>
        <v>6.6850870633822015E-2</v>
      </c>
      <c r="R96" s="2261">
        <f t="shared" ca="1" si="477"/>
        <v>0</v>
      </c>
      <c r="S96" s="2261">
        <f t="shared" ca="1" si="477"/>
        <v>0</v>
      </c>
      <c r="T96" s="2261">
        <f t="shared" ca="1" si="477"/>
        <v>0</v>
      </c>
      <c r="U96" s="2261">
        <f t="shared" ca="1" si="477"/>
        <v>0</v>
      </c>
      <c r="V96" s="2261">
        <f t="shared" ca="1" si="477"/>
        <v>0</v>
      </c>
      <c r="W96" s="2261">
        <f t="shared" ca="1" si="477"/>
        <v>0</v>
      </c>
      <c r="X96" s="126"/>
    </row>
    <row r="97" spans="1:25" s="110" customFormat="1" ht="18" hidden="1" customHeight="1" x14ac:dyDescent="0.15">
      <c r="A97" s="109"/>
      <c r="B97" s="109"/>
      <c r="C97" s="109"/>
      <c r="D97" s="109"/>
      <c r="E97" s="127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18"/>
    </row>
    <row r="98" spans="1:25" s="110" customFormat="1" ht="18" hidden="1" customHeight="1" x14ac:dyDescent="0.15">
      <c r="A98" s="109"/>
      <c r="B98" s="109"/>
      <c r="C98" s="109"/>
      <c r="D98" s="109"/>
      <c r="E98" s="127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18"/>
    </row>
    <row r="99" spans="1:25" s="110" customFormat="1" ht="18" hidden="1" customHeight="1" x14ac:dyDescent="0.15">
      <c r="F99" s="2524" t="s">
        <v>669</v>
      </c>
      <c r="G99" s="2524"/>
      <c r="H99" s="2524"/>
      <c r="I99" s="2524"/>
      <c r="J99" s="2525" t="s">
        <v>201</v>
      </c>
      <c r="K99" s="2525"/>
      <c r="L99" s="2525"/>
      <c r="M99" s="2525"/>
    </row>
    <row r="100" spans="1:25" s="110" customFormat="1" ht="18" hidden="1" customHeight="1" x14ac:dyDescent="0.15">
      <c r="B100" s="163" t="str">
        <f>IF(B99=B88,"PLANILHA CORRETA","PLANILHA ERRADA")</f>
        <v>PLANILHA CORRETA</v>
      </c>
      <c r="C100" s="163"/>
      <c r="D100" s="123">
        <f ca="1">Orçamento_Não_Deson!J12</f>
        <v>13400657.84</v>
      </c>
      <c r="F100" s="2524"/>
      <c r="G100" s="2524"/>
      <c r="H100" s="2524"/>
      <c r="I100" s="2524"/>
      <c r="J100" s="2525"/>
      <c r="K100" s="2525"/>
      <c r="L100" s="2525"/>
      <c r="M100" s="2525"/>
    </row>
    <row r="101" spans="1:25" s="110" customFormat="1" ht="18" hidden="1" customHeight="1" x14ac:dyDescent="0.15"/>
    <row r="102" spans="1:25" ht="18" hidden="1" customHeight="1" x14ac:dyDescent="0.15">
      <c r="E102" s="104"/>
    </row>
    <row r="103" spans="1:25" ht="18" hidden="1" customHeight="1" x14ac:dyDescent="0.15">
      <c r="E103" s="104"/>
    </row>
    <row r="104" spans="1:25" x14ac:dyDescent="0.15">
      <c r="E104" s="104"/>
    </row>
    <row r="105" spans="1:25" x14ac:dyDescent="0.15">
      <c r="E105" s="104"/>
    </row>
    <row r="106" spans="1:25" x14ac:dyDescent="0.15">
      <c r="E106" s="104"/>
    </row>
    <row r="107" spans="1:25" x14ac:dyDescent="0.15">
      <c r="E107" s="104"/>
    </row>
    <row r="108" spans="1:25" x14ac:dyDescent="0.15">
      <c r="D108" s="1657"/>
    </row>
    <row r="109" spans="1:25" x14ac:dyDescent="0.15">
      <c r="D109" s="1657"/>
    </row>
    <row r="110" spans="1:25" ht="12.75" x14ac:dyDescent="0.15">
      <c r="E110" s="851"/>
    </row>
    <row r="111" spans="1:25" ht="12.75" x14ac:dyDescent="0.15">
      <c r="D111" s="851"/>
      <c r="E111" s="851"/>
    </row>
    <row r="112" spans="1:25" ht="12.75" x14ac:dyDescent="0.15">
      <c r="D112" s="851"/>
      <c r="E112" s="851"/>
    </row>
    <row r="113" spans="4:5" ht="12.75" x14ac:dyDescent="0.15">
      <c r="D113" s="851"/>
      <c r="E113" s="851"/>
    </row>
    <row r="114" spans="4:5" ht="12.75" x14ac:dyDescent="0.15">
      <c r="E114" s="851"/>
    </row>
    <row r="115" spans="4:5" ht="12.75" x14ac:dyDescent="0.15">
      <c r="D115" s="851"/>
      <c r="E115" s="851"/>
    </row>
    <row r="116" spans="4:5" ht="12.75" x14ac:dyDescent="0.15">
      <c r="D116" s="851"/>
      <c r="E116" s="851"/>
    </row>
    <row r="117" spans="4:5" ht="12.75" x14ac:dyDescent="0.15">
      <c r="D117" s="851"/>
      <c r="E117" s="851"/>
    </row>
    <row r="118" spans="4:5" ht="12.75" x14ac:dyDescent="0.15">
      <c r="D118" s="833"/>
      <c r="E118" s="816"/>
    </row>
    <row r="119" spans="4:5" ht="12.75" x14ac:dyDescent="0.15">
      <c r="D119" s="833"/>
      <c r="E119" s="816"/>
    </row>
    <row r="120" spans="4:5" ht="12.75" x14ac:dyDescent="0.15">
      <c r="D120" s="833"/>
      <c r="E120" s="816"/>
    </row>
    <row r="121" spans="4:5" ht="12.75" x14ac:dyDescent="0.15">
      <c r="D121" s="833"/>
      <c r="E121" s="816"/>
    </row>
    <row r="122" spans="4:5" ht="12.75" x14ac:dyDescent="0.15">
      <c r="E122" s="816"/>
    </row>
    <row r="123" spans="4:5" ht="12.75" x14ac:dyDescent="0.15">
      <c r="D123" s="851"/>
      <c r="E123" s="816"/>
    </row>
    <row r="124" spans="4:5" ht="12.75" x14ac:dyDescent="0.15">
      <c r="D124" s="851"/>
      <c r="E124" s="816"/>
    </row>
    <row r="125" spans="4:5" ht="12.75" x14ac:dyDescent="0.15">
      <c r="D125" s="851"/>
      <c r="E125" s="816"/>
    </row>
    <row r="126" spans="4:5" ht="12.75" x14ac:dyDescent="0.15">
      <c r="D126" s="816"/>
      <c r="E126" s="816"/>
    </row>
    <row r="127" spans="4:5" ht="12.75" x14ac:dyDescent="0.15">
      <c r="D127" s="816"/>
      <c r="E127" s="816"/>
    </row>
    <row r="128" spans="4:5" ht="12.75" x14ac:dyDescent="0.15">
      <c r="D128" s="816"/>
      <c r="E128" s="816"/>
    </row>
    <row r="129" spans="4:5" ht="12.75" x14ac:dyDescent="0.15">
      <c r="D129" s="816"/>
      <c r="E129" s="816"/>
    </row>
    <row r="130" spans="4:5" ht="12.75" x14ac:dyDescent="0.15">
      <c r="D130" s="816"/>
      <c r="E130" s="816"/>
    </row>
    <row r="131" spans="4:5" ht="12.75" x14ac:dyDescent="0.15">
      <c r="D131" s="816"/>
      <c r="E131" s="816"/>
    </row>
    <row r="132" spans="4:5" ht="12.75" x14ac:dyDescent="0.15">
      <c r="D132" s="816"/>
      <c r="E132" s="816"/>
    </row>
    <row r="133" spans="4:5" ht="12.75" x14ac:dyDescent="0.15">
      <c r="D133" s="816"/>
      <c r="E133" s="816"/>
    </row>
    <row r="134" spans="4:5" x14ac:dyDescent="0.15">
      <c r="E134" s="104"/>
    </row>
    <row r="135" spans="4:5" ht="12.75" x14ac:dyDescent="0.15">
      <c r="D135" s="852"/>
      <c r="E135" s="851"/>
    </row>
    <row r="136" spans="4:5" ht="12.75" x14ac:dyDescent="0.15">
      <c r="D136" s="852"/>
      <c r="E136" s="851"/>
    </row>
    <row r="137" spans="4:5" ht="12.75" x14ac:dyDescent="0.15">
      <c r="D137" s="852"/>
      <c r="E137" s="851"/>
    </row>
    <row r="138" spans="4:5" ht="12.75" x14ac:dyDescent="0.15">
      <c r="D138" s="816"/>
      <c r="E138" s="816"/>
    </row>
    <row r="139" spans="4:5" ht="12.75" x14ac:dyDescent="0.15">
      <c r="D139" s="816"/>
      <c r="E139" s="816"/>
    </row>
    <row r="140" spans="4:5" ht="12.75" x14ac:dyDescent="0.15">
      <c r="D140" s="816"/>
      <c r="E140" s="816"/>
    </row>
    <row r="141" spans="4:5" ht="12.75" x14ac:dyDescent="0.15">
      <c r="D141" s="816"/>
      <c r="E141" s="816"/>
    </row>
    <row r="142" spans="4:5" x14ac:dyDescent="0.15">
      <c r="E142" s="104"/>
    </row>
    <row r="143" spans="4:5" ht="12.75" x14ac:dyDescent="0.15">
      <c r="D143" s="852"/>
      <c r="E143" s="851"/>
    </row>
    <row r="144" spans="4:5" ht="12.75" x14ac:dyDescent="0.15">
      <c r="D144" s="852"/>
      <c r="E144" s="851"/>
    </row>
    <row r="145" spans="4:5" ht="12.75" x14ac:dyDescent="0.15">
      <c r="D145" s="852"/>
      <c r="E145" s="851"/>
    </row>
    <row r="146" spans="4:5" x14ac:dyDescent="0.15">
      <c r="D146" s="1621"/>
    </row>
    <row r="147" spans="4:5" x14ac:dyDescent="0.15">
      <c r="D147" s="1621"/>
    </row>
    <row r="148" spans="4:5" x14ac:dyDescent="0.15">
      <c r="D148" s="1621"/>
    </row>
    <row r="149" spans="4:5" x14ac:dyDescent="0.15">
      <c r="D149" s="1621"/>
    </row>
    <row r="150" spans="4:5" x14ac:dyDescent="0.15">
      <c r="D150" s="1621"/>
    </row>
    <row r="151" spans="4:5" x14ac:dyDescent="0.15">
      <c r="D151" s="1621"/>
    </row>
    <row r="152" spans="4:5" x14ac:dyDescent="0.15">
      <c r="D152" s="1621"/>
    </row>
    <row r="153" spans="4:5" x14ac:dyDescent="0.15">
      <c r="D153" s="1621"/>
    </row>
    <row r="154" spans="4:5" x14ac:dyDescent="0.15">
      <c r="D154" s="1621"/>
    </row>
    <row r="155" spans="4:5" x14ac:dyDescent="0.15">
      <c r="D155" s="1621"/>
    </row>
    <row r="156" spans="4:5" x14ac:dyDescent="0.15">
      <c r="D156" s="1621"/>
    </row>
    <row r="157" spans="4:5" x14ac:dyDescent="0.15">
      <c r="D157" s="1621"/>
    </row>
    <row r="158" spans="4:5" x14ac:dyDescent="0.15">
      <c r="D158" s="1621"/>
    </row>
    <row r="159" spans="4:5" x14ac:dyDescent="0.15">
      <c r="D159" s="1621"/>
    </row>
    <row r="160" spans="4:5" x14ac:dyDescent="0.15">
      <c r="D160" s="1621"/>
    </row>
    <row r="161" spans="4:4" x14ac:dyDescent="0.15">
      <c r="D161" s="1621"/>
    </row>
    <row r="162" spans="4:4" x14ac:dyDescent="0.15">
      <c r="D162" s="1621"/>
    </row>
    <row r="163" spans="4:4" x14ac:dyDescent="0.15">
      <c r="D163" s="1621"/>
    </row>
    <row r="164" spans="4:4" x14ac:dyDescent="0.15">
      <c r="D164" s="1621"/>
    </row>
    <row r="165" spans="4:4" x14ac:dyDescent="0.15">
      <c r="D165" s="1621"/>
    </row>
    <row r="166" spans="4:4" x14ac:dyDescent="0.15">
      <c r="D166" s="1621"/>
    </row>
    <row r="167" spans="4:4" x14ac:dyDescent="0.15">
      <c r="D167" s="1621"/>
    </row>
  </sheetData>
  <mergeCells count="77">
    <mergeCell ref="A41:A44"/>
    <mergeCell ref="B41:B44"/>
    <mergeCell ref="A25:A28"/>
    <mergeCell ref="B25:B28"/>
    <mergeCell ref="A37:A40"/>
    <mergeCell ref="B37:B40"/>
    <mergeCell ref="D26:E26"/>
    <mergeCell ref="A33:A36"/>
    <mergeCell ref="B33:B36"/>
    <mergeCell ref="D34:E34"/>
    <mergeCell ref="A29:A32"/>
    <mergeCell ref="B29:B32"/>
    <mergeCell ref="F99:I100"/>
    <mergeCell ref="J99:M100"/>
    <mergeCell ref="A7:A8"/>
    <mergeCell ref="B7:B8"/>
    <mergeCell ref="D7:E7"/>
    <mergeCell ref="D54:E54"/>
    <mergeCell ref="D22:E22"/>
    <mergeCell ref="D30:E30"/>
    <mergeCell ref="D38:E38"/>
    <mergeCell ref="D50:E50"/>
    <mergeCell ref="A21:A24"/>
    <mergeCell ref="D94:E94"/>
    <mergeCell ref="B21:B24"/>
    <mergeCell ref="B95:B96"/>
    <mergeCell ref="D92:E92"/>
    <mergeCell ref="B91:B92"/>
    <mergeCell ref="X7:X8"/>
    <mergeCell ref="D8:E8"/>
    <mergeCell ref="D10:E10"/>
    <mergeCell ref="D14:E14"/>
    <mergeCell ref="D18:E18"/>
    <mergeCell ref="D93:E93"/>
    <mergeCell ref="B93:B94"/>
    <mergeCell ref="D90:E90"/>
    <mergeCell ref="D42:E42"/>
    <mergeCell ref="D46:E46"/>
    <mergeCell ref="D82:E82"/>
    <mergeCell ref="B89:B90"/>
    <mergeCell ref="D91:E91"/>
    <mergeCell ref="D89:E89"/>
    <mergeCell ref="D86:E86"/>
    <mergeCell ref="D70:E70"/>
    <mergeCell ref="D74:E74"/>
    <mergeCell ref="D78:E78"/>
    <mergeCell ref="D58:E58"/>
    <mergeCell ref="D62:E62"/>
    <mergeCell ref="D66:E66"/>
    <mergeCell ref="A9:A12"/>
    <mergeCell ref="B9:B12"/>
    <mergeCell ref="A13:A16"/>
    <mergeCell ref="B13:B16"/>
    <mergeCell ref="A17:A20"/>
    <mergeCell ref="B17:B20"/>
    <mergeCell ref="B53:B56"/>
    <mergeCell ref="A45:A48"/>
    <mergeCell ref="A49:A52"/>
    <mergeCell ref="B49:B52"/>
    <mergeCell ref="B45:B48"/>
    <mergeCell ref="A53:A56"/>
    <mergeCell ref="A57:A60"/>
    <mergeCell ref="B57:B60"/>
    <mergeCell ref="A61:A64"/>
    <mergeCell ref="B61:B64"/>
    <mergeCell ref="A65:A68"/>
    <mergeCell ref="B65:B68"/>
    <mergeCell ref="A85:A88"/>
    <mergeCell ref="B85:B88"/>
    <mergeCell ref="A81:A84"/>
    <mergeCell ref="B81:B84"/>
    <mergeCell ref="A69:A72"/>
    <mergeCell ref="B69:B72"/>
    <mergeCell ref="A73:A76"/>
    <mergeCell ref="B73:B76"/>
    <mergeCell ref="A77:A80"/>
    <mergeCell ref="B77:B80"/>
  </mergeCells>
  <conditionalFormatting sqref="F9:W9">
    <cfRule type="cellIs" dxfId="460" priority="5" operator="greaterThan">
      <formula>0</formula>
    </cfRule>
  </conditionalFormatting>
  <conditionalFormatting sqref="F13:W13">
    <cfRule type="cellIs" dxfId="459" priority="6" operator="greaterThan">
      <formula>0</formula>
    </cfRule>
  </conditionalFormatting>
  <conditionalFormatting sqref="F17:W17">
    <cfRule type="cellIs" dxfId="458" priority="7" operator="greaterThan">
      <formula>0</formula>
    </cfRule>
  </conditionalFormatting>
  <conditionalFormatting sqref="F21:W21">
    <cfRule type="cellIs" dxfId="457" priority="8" operator="greaterThan">
      <formula>0</formula>
    </cfRule>
  </conditionalFormatting>
  <conditionalFormatting sqref="F25:W25">
    <cfRule type="cellIs" dxfId="456" priority="9" operator="greaterThan">
      <formula>0</formula>
    </cfRule>
  </conditionalFormatting>
  <conditionalFormatting sqref="F29:W29">
    <cfRule type="cellIs" dxfId="455" priority="10" operator="greaterThan">
      <formula>0</formula>
    </cfRule>
  </conditionalFormatting>
  <conditionalFormatting sqref="F33:W33">
    <cfRule type="cellIs" dxfId="454" priority="11" operator="greaterThan">
      <formula>0</formula>
    </cfRule>
  </conditionalFormatting>
  <conditionalFormatting sqref="F37:W37">
    <cfRule type="cellIs" dxfId="453" priority="12" operator="greaterThan">
      <formula>0</formula>
    </cfRule>
  </conditionalFormatting>
  <conditionalFormatting sqref="F41:W41">
    <cfRule type="cellIs" dxfId="452" priority="13" operator="greaterThan">
      <formula>0</formula>
    </cfRule>
  </conditionalFormatting>
  <conditionalFormatting sqref="F45:W45">
    <cfRule type="cellIs" dxfId="451" priority="14" operator="greaterThan">
      <formula>0</formula>
    </cfRule>
  </conditionalFormatting>
  <conditionalFormatting sqref="F49:W49">
    <cfRule type="cellIs" dxfId="450" priority="15" operator="greaterThan">
      <formula>0</formula>
    </cfRule>
  </conditionalFormatting>
  <conditionalFormatting sqref="F53:W53">
    <cfRule type="cellIs" dxfId="449" priority="16" operator="greaterThan">
      <formula>0</formula>
    </cfRule>
  </conditionalFormatting>
  <conditionalFormatting sqref="F57:W57">
    <cfRule type="cellIs" dxfId="448" priority="17" operator="greaterThan">
      <formula>0</formula>
    </cfRule>
  </conditionalFormatting>
  <conditionalFormatting sqref="F61:W61">
    <cfRule type="cellIs" dxfId="447" priority="18" operator="greaterThan">
      <formula>0</formula>
    </cfRule>
  </conditionalFormatting>
  <conditionalFormatting sqref="F65:W65">
    <cfRule type="cellIs" dxfId="446" priority="19" operator="greaterThan">
      <formula>0</formula>
    </cfRule>
  </conditionalFormatting>
  <conditionalFormatting sqref="F69:W69">
    <cfRule type="cellIs" dxfId="445" priority="61" operator="greaterThan">
      <formula>0</formula>
    </cfRule>
  </conditionalFormatting>
  <conditionalFormatting sqref="F73:W73">
    <cfRule type="cellIs" dxfId="444" priority="21" operator="greaterThan">
      <formula>0</formula>
    </cfRule>
  </conditionalFormatting>
  <conditionalFormatting sqref="F77:W77">
    <cfRule type="cellIs" dxfId="443" priority="22" operator="greaterThan">
      <formula>0</formula>
    </cfRule>
  </conditionalFormatting>
  <conditionalFormatting sqref="F81:W81">
    <cfRule type="cellIs" dxfId="442" priority="23" operator="greaterThan">
      <formula>0</formula>
    </cfRule>
  </conditionalFormatting>
  <conditionalFormatting sqref="F85:W85">
    <cfRule type="cellIs" dxfId="441" priority="24" operator="greaterThan">
      <formula>0</formula>
    </cfRule>
  </conditionalFormatting>
  <conditionalFormatting sqref="Y12 Y16 Y20 Y24 Y32 Y40 Y44 Y48 Y52 Y56 Y60 Y64 Y68 Y72 Y84 Y88">
    <cfRule type="cellIs" dxfId="440" priority="157" operator="lessThan">
      <formula>0</formula>
    </cfRule>
    <cfRule type="cellIs" dxfId="439" priority="158" operator="greaterThan">
      <formula>0</formula>
    </cfRule>
  </conditionalFormatting>
  <conditionalFormatting sqref="Y28">
    <cfRule type="cellIs" dxfId="438" priority="55" operator="lessThan">
      <formula>0</formula>
    </cfRule>
    <cfRule type="cellIs" dxfId="437" priority="56" operator="greaterThan">
      <formula>0</formula>
    </cfRule>
  </conditionalFormatting>
  <conditionalFormatting sqref="Y36">
    <cfRule type="cellIs" dxfId="436" priority="51" operator="lessThan">
      <formula>0</formula>
    </cfRule>
    <cfRule type="cellIs" dxfId="435" priority="52" operator="greaterThan">
      <formula>0</formula>
    </cfRule>
  </conditionalFormatting>
  <conditionalFormatting sqref="Y76">
    <cfRule type="cellIs" dxfId="434" priority="96" operator="lessThan">
      <formula>0</formula>
    </cfRule>
    <cfRule type="cellIs" dxfId="433" priority="97" operator="greaterThan">
      <formula>0</formula>
    </cfRule>
  </conditionalFormatting>
  <conditionalFormatting sqref="Y80">
    <cfRule type="cellIs" dxfId="432" priority="94" operator="lessThan">
      <formula>0</formula>
    </cfRule>
    <cfRule type="cellIs" dxfId="431" priority="95" operator="greaterThan">
      <formula>0</formula>
    </cfRule>
  </conditionalFormatting>
  <hyperlinks>
    <hyperlink ref="A7:A8" location="PAINEL!A1" display="ITEM" xr:uid="{00000000-0004-0000-0600-000000000000}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60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X91 R91:W91" 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>
    <tabColor rgb="FF92D050"/>
    <pageSetUpPr fitToPage="1"/>
  </sheetPr>
  <dimension ref="A1:Q70"/>
  <sheetViews>
    <sheetView showZeros="0" zoomScaleNormal="100" zoomScaleSheetLayoutView="100" workbookViewId="0">
      <selection activeCell="N25" sqref="N25"/>
    </sheetView>
  </sheetViews>
  <sheetFormatPr defaultColWidth="10" defaultRowHeight="12.75" x14ac:dyDescent="0.2"/>
  <cols>
    <col min="1" max="1" width="9.875" style="378" customWidth="1"/>
    <col min="2" max="2" width="41.5" style="375" customWidth="1"/>
    <col min="3" max="3" width="7.875" style="409" customWidth="1"/>
    <col min="4" max="4" width="11.625" style="409" customWidth="1"/>
    <col min="5" max="5" width="8.5" style="410" customWidth="1"/>
    <col min="6" max="6" width="9.875" style="375" customWidth="1"/>
    <col min="7" max="7" width="9.875" style="409" customWidth="1"/>
    <col min="8" max="8" width="12.875" style="409" customWidth="1"/>
    <col min="9" max="44" width="10" style="375" customWidth="1"/>
    <col min="45" max="16384" width="10" style="375"/>
  </cols>
  <sheetData>
    <row r="1" spans="1:17" s="35" customFormat="1" ht="21.95" customHeight="1" x14ac:dyDescent="0.15">
      <c r="A1" s="369" t="s">
        <v>520</v>
      </c>
      <c r="B1" s="369"/>
      <c r="C1" s="369"/>
      <c r="D1" s="369"/>
      <c r="E1" s="369"/>
      <c r="F1" s="369"/>
      <c r="G1" s="369"/>
      <c r="H1" s="369"/>
    </row>
    <row r="2" spans="1:17" s="35" customFormat="1" ht="18" customHeight="1" x14ac:dyDescent="0.15">
      <c r="A2" s="35" t="s">
        <v>596</v>
      </c>
      <c r="B2" s="35" t="s">
        <v>597</v>
      </c>
      <c r="C2" s="370"/>
      <c r="D2" s="370"/>
      <c r="E2" s="371"/>
    </row>
    <row r="3" spans="1:17" s="35" customFormat="1" ht="18" customHeight="1" x14ac:dyDescent="0.15">
      <c r="A3" s="35" t="s">
        <v>595</v>
      </c>
      <c r="B3" s="35" t="s">
        <v>2782</v>
      </c>
      <c r="C3" s="2538" t="str">
        <f>Orçamento_Não_Deson!J2</f>
        <v>NÃO DESONERADA</v>
      </c>
      <c r="D3" s="2538"/>
      <c r="E3" s="2538"/>
    </row>
    <row r="4" spans="1:17" s="35" customFormat="1" ht="18" customHeight="1" x14ac:dyDescent="0.15">
      <c r="A4" s="35" t="s">
        <v>594</v>
      </c>
      <c r="B4" s="1698" t="str">
        <f>Orçamento_Não_Deson!$J$1</f>
        <v>Junho/2023</v>
      </c>
      <c r="C4" s="47"/>
      <c r="D4" s="372" t="s">
        <v>521</v>
      </c>
      <c r="E4" s="373">
        <f>Orçamento_Não_Deson!J3</f>
        <v>1.1544000000000001</v>
      </c>
    </row>
    <row r="5" spans="1:17" s="35" customFormat="1" ht="18" customHeight="1" thickBot="1" x14ac:dyDescent="0.2">
      <c r="D5" s="372" t="s">
        <v>699</v>
      </c>
      <c r="E5" s="373">
        <f>Orçamento_Não_Deson!J4</f>
        <v>0.71260000000000001</v>
      </c>
    </row>
    <row r="6" spans="1:17" s="377" customFormat="1" ht="18" customHeight="1" thickTop="1" x14ac:dyDescent="0.15">
      <c r="A6" s="374" t="s">
        <v>186</v>
      </c>
      <c r="B6" s="2539" t="s">
        <v>522</v>
      </c>
      <c r="C6" s="2540"/>
      <c r="D6" s="2541"/>
      <c r="E6" s="2547" t="s">
        <v>523</v>
      </c>
      <c r="F6" s="2548"/>
      <c r="G6" s="2549"/>
      <c r="H6" s="857" t="s">
        <v>536</v>
      </c>
      <c r="J6" s="35"/>
      <c r="K6" s="35"/>
      <c r="L6" s="35"/>
      <c r="M6" s="35"/>
      <c r="N6" s="35"/>
      <c r="O6" s="35"/>
      <c r="P6" s="35"/>
      <c r="Q6" s="35"/>
    </row>
    <row r="7" spans="1:17" s="377" customFormat="1" ht="35.1" customHeight="1" thickBot="1" x14ac:dyDescent="0.2">
      <c r="A7" s="413" t="s">
        <v>535</v>
      </c>
      <c r="B7" s="2542" t="s">
        <v>537</v>
      </c>
      <c r="C7" s="2543"/>
      <c r="D7" s="2544"/>
      <c r="E7" s="2550" t="s">
        <v>534</v>
      </c>
      <c r="F7" s="2551"/>
      <c r="G7" s="411">
        <f>S_Preliminares!N4</f>
        <v>12</v>
      </c>
      <c r="H7" s="376" t="s">
        <v>205</v>
      </c>
      <c r="J7" s="35"/>
      <c r="K7" s="35"/>
      <c r="L7" s="35"/>
      <c r="M7" s="35"/>
      <c r="N7" s="35"/>
      <c r="O7" s="35"/>
      <c r="P7" s="35"/>
      <c r="Q7" s="35"/>
    </row>
    <row r="8" spans="1:17" ht="18" customHeight="1" thickTop="1" thickBot="1" x14ac:dyDescent="0.25">
      <c r="C8" s="375"/>
      <c r="D8" s="375"/>
      <c r="E8" s="375"/>
      <c r="G8" s="375"/>
      <c r="H8" s="375"/>
      <c r="J8" s="35"/>
      <c r="K8" s="35"/>
      <c r="L8" s="35"/>
      <c r="M8" s="35"/>
      <c r="N8" s="35"/>
      <c r="O8" s="35"/>
      <c r="P8" s="35"/>
      <c r="Q8" s="35"/>
    </row>
    <row r="9" spans="1:17" s="35" customFormat="1" ht="18" customHeight="1" thickTop="1" x14ac:dyDescent="0.15">
      <c r="A9" s="2556" t="s">
        <v>186</v>
      </c>
      <c r="B9" s="2552" t="s">
        <v>524</v>
      </c>
      <c r="C9" s="2553"/>
      <c r="D9" s="2545" t="s">
        <v>187</v>
      </c>
      <c r="E9" s="2545" t="s">
        <v>33</v>
      </c>
      <c r="F9" s="2545" t="s">
        <v>526</v>
      </c>
      <c r="G9" s="2571" t="s">
        <v>336</v>
      </c>
      <c r="H9" s="2568" t="s">
        <v>920</v>
      </c>
    </row>
    <row r="10" spans="1:17" s="35" customFormat="1" ht="18" customHeight="1" x14ac:dyDescent="0.15">
      <c r="A10" s="2557"/>
      <c r="B10" s="2554"/>
      <c r="C10" s="2555"/>
      <c r="D10" s="2546"/>
      <c r="E10" s="2546"/>
      <c r="F10" s="2546"/>
      <c r="G10" s="2546"/>
      <c r="H10" s="2569"/>
    </row>
    <row r="11" spans="1:17" s="382" customFormat="1" ht="30" hidden="1" customHeight="1" x14ac:dyDescent="0.15">
      <c r="A11" s="412" t="s">
        <v>2616</v>
      </c>
      <c r="B11" s="802" t="str">
        <f>VLOOKUP($A11,[4]BOLETIM_SEL!$A:$G,4,0)</f>
        <v xml:space="preserve"> VEÍCULO LEVE - 53 KW (SEM MOTORISTA) (116,49h CPI + 66h CHP - 182,49h MDO)(REF. SICRO COD. E9512)</v>
      </c>
      <c r="C11" s="803"/>
      <c r="D11" s="806" t="str">
        <f>VLOOKUP($A11,[4]BOLETIM_SEL!$A:$G,2,0)</f>
        <v>COMPOSIÇÃO</v>
      </c>
      <c r="E11" s="805" t="str">
        <f>VLOOKUP($A11,[4]BOLETIM_SEL!$A:$G,6,0)</f>
        <v>UN.MÊS</v>
      </c>
      <c r="F11" s="805">
        <f>VLOOKUP($A11,[4]BOLETIM_SEL!$A:$G,7,0)</f>
        <v>2914.22</v>
      </c>
      <c r="G11" s="805">
        <f>G22</f>
        <v>0</v>
      </c>
      <c r="H11" s="663">
        <f>F11*G11</f>
        <v>0</v>
      </c>
    </row>
    <row r="12" spans="1:17" s="382" customFormat="1" ht="30" customHeight="1" x14ac:dyDescent="0.15">
      <c r="A12" s="412" t="s">
        <v>2617</v>
      </c>
      <c r="B12" s="802" t="str">
        <f>VLOOKUP($A12,[4]BOLETIM_SEL!$A:$G,4,0)</f>
        <v xml:space="preserve"> CAMINHONETE - 71 A 115 CV (SEM MOTORISTA) (116,49h CPI + 66h CHP - 182,49h MDO)(REF. SINAPI COD. 92145)</v>
      </c>
      <c r="C12" s="803"/>
      <c r="D12" s="806" t="str">
        <f>VLOOKUP($A12,[4]BOLETIM_SEL!$A:$G,2,0)</f>
        <v>COMPOSIÇÃO</v>
      </c>
      <c r="E12" s="805" t="str">
        <f>VLOOKUP($A12,[4]BOLETIM_SEL!$A:$G,6,0)</f>
        <v>UN.MÊS</v>
      </c>
      <c r="F12" s="805">
        <f>VLOOKUP($A12,[4]BOLETIM_SEL!$A:$G,7,0)</f>
        <v>3809.44</v>
      </c>
      <c r="G12" s="805">
        <v>1</v>
      </c>
      <c r="H12" s="663">
        <f t="shared" ref="H12:H13" si="0">F12*G12</f>
        <v>3809.44</v>
      </c>
    </row>
    <row r="13" spans="1:17" s="382" customFormat="1" ht="30" hidden="1" customHeight="1" x14ac:dyDescent="0.15">
      <c r="A13" s="412" t="s">
        <v>2618</v>
      </c>
      <c r="B13" s="802" t="str">
        <f>VLOOKUP($A13,[4]BOLETIM_SEL!$A:$G,4,0)</f>
        <v xml:space="preserve"> VAN - 120 A 140 CV (COM MOTORISTA) (116,49h CPI + 66h CHP) (REF. SICRO COD. E9125)</v>
      </c>
      <c r="C13" s="803"/>
      <c r="D13" s="806" t="str">
        <f>VLOOKUP($A13,[4]BOLETIM_SEL!$A:$G,2,0)</f>
        <v>COMPOSIÇÃO</v>
      </c>
      <c r="E13" s="805" t="str">
        <f>VLOOKUP($A13,[4]BOLETIM_SEL!$A:$G,6,0)</f>
        <v>UN.MÊS</v>
      </c>
      <c r="F13" s="805">
        <f>VLOOKUP($A13,[4]BOLETIM_SEL!$A:$G,7,0)</f>
        <v>9997.76</v>
      </c>
      <c r="G13" s="805"/>
      <c r="H13" s="663">
        <f t="shared" si="0"/>
        <v>0</v>
      </c>
    </row>
    <row r="14" spans="1:17" s="382" customFormat="1" ht="30" customHeight="1" x14ac:dyDescent="0.15">
      <c r="A14" s="412" t="s">
        <v>2462</v>
      </c>
      <c r="B14" s="802" t="str">
        <f>VLOOKUP($A14,[4]BOLETIM_SEL!$A:$G,4,0)</f>
        <v xml:space="preserve">Topografia </v>
      </c>
      <c r="C14" s="803"/>
      <c r="D14" s="806" t="str">
        <f>VLOOKUP($A14,[4]BOLETIM_SEL!$A:$G,2,0)</f>
        <v>DNIT/Consultoria</v>
      </c>
      <c r="E14" s="805" t="str">
        <f>VLOOKUP($A14,[4]BOLETIM_SEL!$A:$G,6,0)</f>
        <v>mês</v>
      </c>
      <c r="F14" s="805">
        <f>VLOOKUP($A14,[4]BOLETIM_SEL!$A:$G,7,0)</f>
        <v>3200.23</v>
      </c>
      <c r="G14" s="805">
        <f>G27</f>
        <v>12</v>
      </c>
      <c r="H14" s="663">
        <f>F14*G14</f>
        <v>38402.76</v>
      </c>
    </row>
    <row r="15" spans="1:17" s="382" customFormat="1" ht="30" customHeight="1" x14ac:dyDescent="0.15">
      <c r="A15" s="412" t="s">
        <v>2463</v>
      </c>
      <c r="B15" s="802" t="str">
        <f>VLOOKUP($A15,[4]BOLETIM_SEL!$A:$G,4,0)</f>
        <v xml:space="preserve">Laboratório de solos </v>
      </c>
      <c r="C15" s="803"/>
      <c r="D15" s="806" t="str">
        <f>VLOOKUP($A15,[4]BOLETIM_SEL!$A:$G,2,0)</f>
        <v>DNIT/Consultoria</v>
      </c>
      <c r="E15" s="805" t="str">
        <f>VLOOKUP($A15,[4]BOLETIM_SEL!$A:$G,6,0)</f>
        <v>mês</v>
      </c>
      <c r="F15" s="805">
        <f>VLOOKUP($A15,[4]BOLETIM_SEL!$A:$G,7,0)</f>
        <v>4402.2299999999996</v>
      </c>
      <c r="G15" s="805">
        <f>G28</f>
        <v>12</v>
      </c>
      <c r="H15" s="663">
        <f>F15*G15</f>
        <v>52826.759999999995</v>
      </c>
    </row>
    <row r="16" spans="1:17" s="35" customFormat="1" ht="15.95" customHeight="1" thickBot="1" x14ac:dyDescent="0.2">
      <c r="A16" s="384"/>
      <c r="B16" s="385"/>
      <c r="C16" s="1700"/>
      <c r="D16" s="1701"/>
      <c r="E16" s="386"/>
      <c r="F16" s="387"/>
      <c r="G16" s="388"/>
      <c r="H16" s="389"/>
    </row>
    <row r="17" spans="1:15" s="35" customFormat="1" ht="18" customHeight="1" thickTop="1" x14ac:dyDescent="0.15">
      <c r="A17" s="390"/>
      <c r="B17" s="391"/>
      <c r="C17" s="31"/>
      <c r="D17" s="31" t="s">
        <v>527</v>
      </c>
      <c r="E17" s="393"/>
      <c r="F17" s="393"/>
      <c r="G17" s="392"/>
      <c r="H17" s="392">
        <f>SUM(H11:H16)</f>
        <v>95038.959999999992</v>
      </c>
    </row>
    <row r="18" spans="1:15" s="35" customFormat="1" ht="18" customHeight="1" thickBot="1" x14ac:dyDescent="0.2">
      <c r="A18" s="394"/>
      <c r="B18" s="371"/>
      <c r="C18" s="31"/>
      <c r="D18" s="31"/>
      <c r="G18" s="31"/>
      <c r="H18" s="31"/>
    </row>
    <row r="19" spans="1:15" s="35" customFormat="1" ht="18" customHeight="1" thickTop="1" x14ac:dyDescent="0.15">
      <c r="A19" s="2556" t="s">
        <v>186</v>
      </c>
      <c r="B19" s="2558" t="s">
        <v>528</v>
      </c>
      <c r="C19" s="2559"/>
      <c r="D19" s="2560"/>
      <c r="E19" s="2571" t="s">
        <v>33</v>
      </c>
      <c r="F19" s="2570" t="s">
        <v>919</v>
      </c>
      <c r="G19" s="2571" t="s">
        <v>336</v>
      </c>
      <c r="H19" s="2568" t="s">
        <v>918</v>
      </c>
      <c r="J19" s="515">
        <f ca="1">Orçamento_Não_Deson!K926</f>
        <v>4.6713999974795251E-2</v>
      </c>
    </row>
    <row r="20" spans="1:15" s="35" customFormat="1" ht="18" customHeight="1" x14ac:dyDescent="0.15">
      <c r="A20" s="2557"/>
      <c r="B20" s="2561"/>
      <c r="C20" s="2562"/>
      <c r="D20" s="2563"/>
      <c r="E20" s="2546"/>
      <c r="F20" s="2546"/>
      <c r="G20" s="2546"/>
      <c r="H20" s="2569"/>
      <c r="I20" s="382"/>
      <c r="J20" s="382"/>
      <c r="K20" s="382"/>
      <c r="L20" s="382"/>
      <c r="M20" s="395"/>
      <c r="N20" s="396"/>
      <c r="O20" s="397"/>
    </row>
    <row r="21" spans="1:15" s="382" customFormat="1" ht="18" customHeight="1" x14ac:dyDescent="0.15">
      <c r="A21" s="379">
        <v>93567</v>
      </c>
      <c r="B21" s="2564" t="str">
        <f>VLOOKUP($A21,[4]BOLETIM_SEL!$A:$G,4,0)</f>
        <v>Engenheiro civil de obra pleno com encargos complementares (mensalista)</v>
      </c>
      <c r="C21" s="2565"/>
      <c r="D21" s="2565"/>
      <c r="E21" s="805" t="str">
        <f>VLOOKUP($A21,[4]BOLETIM_SEL!$A:$G,6,0)</f>
        <v>MES</v>
      </c>
      <c r="F21" s="380">
        <f>VLOOKUP(A21,[4]BOLETIM_SEL!$A:$G,7,0)</f>
        <v>22490.49</v>
      </c>
      <c r="G21" s="380">
        <v>1</v>
      </c>
      <c r="H21" s="581">
        <f t="shared" ref="H21:H31" si="1">F21*G21</f>
        <v>22490.49</v>
      </c>
      <c r="I21" s="692"/>
      <c r="J21" s="692"/>
      <c r="K21" s="692"/>
      <c r="L21" s="692"/>
    </row>
    <row r="22" spans="1:15" s="382" customFormat="1" ht="18" hidden="1" customHeight="1" x14ac:dyDescent="0.15">
      <c r="A22" s="379">
        <v>93565</v>
      </c>
      <c r="B22" s="2535" t="str">
        <f>VLOOKUP($A22,[4]BOLETIM_SEL!$A:$G,4,0)</f>
        <v>Engenheiro civil de obra júnior com encargos complementares (mensalista)</v>
      </c>
      <c r="C22" s="2536"/>
      <c r="D22" s="2537"/>
      <c r="E22" s="805" t="str">
        <f>VLOOKUP($A22,[4]BOLETIM_SEL!$A:$G,6,0)</f>
        <v>MES</v>
      </c>
      <c r="F22" s="380">
        <f>VLOOKUP(A22,[4]BOLETIM_SEL!$A:$G,7,0)</f>
        <v>19803.86</v>
      </c>
      <c r="G22" s="380"/>
      <c r="H22" s="381">
        <f t="shared" si="1"/>
        <v>0</v>
      </c>
      <c r="I22" s="692"/>
      <c r="J22" s="692"/>
      <c r="K22" s="692"/>
      <c r="L22" s="692"/>
    </row>
    <row r="23" spans="1:15" s="382" customFormat="1" ht="18" customHeight="1" x14ac:dyDescent="0.15">
      <c r="A23" s="379">
        <v>93563</v>
      </c>
      <c r="B23" s="2535" t="str">
        <f>VLOOKUP($A23,[4]BOLETIM_SEL!$A:$G,4,0)</f>
        <v>Almoxarife com encargos complementares (mensalista)</v>
      </c>
      <c r="C23" s="2536"/>
      <c r="D23" s="2537"/>
      <c r="E23" s="805" t="str">
        <f>VLOOKUP($A23,[4]BOLETIM_SEL!$A:$G,6,0)</f>
        <v>MES</v>
      </c>
      <c r="F23" s="380">
        <f>VLOOKUP(A23,[4]BOLETIM_SEL!$A:$G,7,0)</f>
        <v>3576.25</v>
      </c>
      <c r="G23" s="380">
        <v>10</v>
      </c>
      <c r="H23" s="381">
        <f t="shared" si="1"/>
        <v>35762.5</v>
      </c>
      <c r="I23" s="692"/>
      <c r="J23" s="692"/>
      <c r="K23" s="692"/>
      <c r="L23" s="692"/>
    </row>
    <row r="24" spans="1:15" s="382" customFormat="1" ht="18" customHeight="1" x14ac:dyDescent="0.15">
      <c r="A24" s="379">
        <v>93564</v>
      </c>
      <c r="B24" s="2535" t="str">
        <f>VLOOKUP($A24,[4]BOLETIM_SEL!$A:$G,4,0)</f>
        <v>Apontador ou apropriador com encargos complementares (mensalista)</v>
      </c>
      <c r="C24" s="2536"/>
      <c r="D24" s="2537"/>
      <c r="E24" s="805" t="str">
        <f>VLOOKUP($A24,[4]BOLETIM_SEL!$A:$G,6,0)</f>
        <v>MES</v>
      </c>
      <c r="F24" s="380">
        <f>VLOOKUP(A24,[4]BOLETIM_SEL!$A:$G,7,0)</f>
        <v>3495.31</v>
      </c>
      <c r="G24" s="380">
        <v>10</v>
      </c>
      <c r="H24" s="381">
        <f t="shared" si="1"/>
        <v>34953.1</v>
      </c>
      <c r="I24" s="692"/>
      <c r="J24" s="692"/>
      <c r="K24" s="692"/>
      <c r="L24" s="692"/>
    </row>
    <row r="25" spans="1:15" s="382" customFormat="1" ht="18" customHeight="1" x14ac:dyDescent="0.15">
      <c r="A25" s="379">
        <v>94295</v>
      </c>
      <c r="B25" s="2535" t="str">
        <f>VLOOKUP($A25,[4]BOLETIM_SEL!$A:$G,4,0)</f>
        <v>Mestre de obras com encargos complementares (mensalista)</v>
      </c>
      <c r="C25" s="2536"/>
      <c r="D25" s="2537"/>
      <c r="E25" s="805" t="str">
        <f>VLOOKUP($A25,[4]BOLETIM_SEL!$A:$G,6,0)</f>
        <v>MES</v>
      </c>
      <c r="F25" s="380">
        <f>VLOOKUP(A25,[4]BOLETIM_SEL!$A:$G,7,0)</f>
        <v>5988.56</v>
      </c>
      <c r="G25" s="380">
        <v>10</v>
      </c>
      <c r="H25" s="381">
        <f t="shared" si="1"/>
        <v>59885.600000000006</v>
      </c>
      <c r="I25" s="692"/>
      <c r="J25" s="692"/>
      <c r="K25" s="692"/>
      <c r="L25" s="692"/>
    </row>
    <row r="26" spans="1:15" s="382" customFormat="1" ht="18" customHeight="1" x14ac:dyDescent="0.15">
      <c r="A26" s="379">
        <v>100321</v>
      </c>
      <c r="B26" s="2535" t="str">
        <f>VLOOKUP($A26,[4]BOLETIM_SEL!$A:$G,4,0)</f>
        <v>Técnico de segurança do trabalho com encargos complementares (mensalista)</v>
      </c>
      <c r="C26" s="2536"/>
      <c r="D26" s="2537"/>
      <c r="E26" s="805" t="str">
        <f>VLOOKUP($A26,[4]BOLETIM_SEL!$A:$G,6,0)</f>
        <v>MES</v>
      </c>
      <c r="F26" s="380">
        <f>VLOOKUP(A26,[4]BOLETIM_SEL!$A:$G,7,0)</f>
        <v>5056.24</v>
      </c>
      <c r="G26" s="380">
        <v>10</v>
      </c>
      <c r="H26" s="381">
        <f>F26*G26</f>
        <v>50562.399999999994</v>
      </c>
      <c r="I26" s="692"/>
      <c r="J26" s="692"/>
      <c r="K26" s="692"/>
      <c r="L26" s="692"/>
    </row>
    <row r="27" spans="1:15" s="382" customFormat="1" ht="18" customHeight="1" x14ac:dyDescent="0.15">
      <c r="A27" s="379">
        <v>94296</v>
      </c>
      <c r="B27" s="2535" t="str">
        <f>VLOOKUP($A27,[4]BOLETIM_SEL!$A:$G,4,0)</f>
        <v>Topografo com encargos complementares (mensalista)</v>
      </c>
      <c r="C27" s="2536"/>
      <c r="D27" s="2537"/>
      <c r="E27" s="805" t="str">
        <f>VLOOKUP($A27,[4]BOLETIM_SEL!$A:$G,6,0)</f>
        <v>MES</v>
      </c>
      <c r="F27" s="380">
        <f>VLOOKUP(A27,[4]BOLETIM_SEL!$A:$G,7,0)</f>
        <v>4329.66</v>
      </c>
      <c r="G27" s="380">
        <v>12</v>
      </c>
      <c r="H27" s="381">
        <f t="shared" si="1"/>
        <v>51955.92</v>
      </c>
      <c r="I27" s="692"/>
      <c r="J27" s="692"/>
      <c r="K27" s="692"/>
      <c r="L27" s="692"/>
      <c r="O27" s="382">
        <f>N27*G7</f>
        <v>0</v>
      </c>
    </row>
    <row r="28" spans="1:15" s="382" customFormat="1" ht="18" customHeight="1" x14ac:dyDescent="0.15">
      <c r="A28" s="379">
        <v>101456</v>
      </c>
      <c r="B28" s="2535" t="str">
        <f>VLOOKUP($A28,[4]BOLETIM_SEL!$A:$G,4,0)</f>
        <v>Técnico de laboratório e campo de construção com encargos complementares (mensalista)</v>
      </c>
      <c r="C28" s="2536"/>
      <c r="D28" s="2537"/>
      <c r="E28" s="805" t="str">
        <f>VLOOKUP($A28,[4]BOLETIM_SEL!$A:$G,6,0)</f>
        <v>MES</v>
      </c>
      <c r="F28" s="380">
        <f>VLOOKUP(A28,[4]BOLETIM_SEL!$A:$G,7,0)</f>
        <v>5206.72</v>
      </c>
      <c r="G28" s="380">
        <v>12</v>
      </c>
      <c r="H28" s="381">
        <f t="shared" si="1"/>
        <v>62480.639999999999</v>
      </c>
      <c r="I28" s="692"/>
      <c r="J28" s="692"/>
      <c r="K28" s="692"/>
      <c r="L28" s="692"/>
      <c r="O28" s="382">
        <f>N28*G8</f>
        <v>0</v>
      </c>
    </row>
    <row r="29" spans="1:15" s="382" customFormat="1" ht="18" customHeight="1" x14ac:dyDescent="0.15">
      <c r="A29" s="379">
        <v>101389</v>
      </c>
      <c r="B29" s="2535" t="str">
        <f>VLOOKUP($A29,[4]BOLETIM_SEL!$A:$G,4,0)</f>
        <v>Auxiliar de topógrafo com encargos complementares (mensalista)</v>
      </c>
      <c r="C29" s="2536"/>
      <c r="D29" s="2537"/>
      <c r="E29" s="805" t="str">
        <f>VLOOKUP($A29,[4]BOLETIM_SEL!$A:$G,6,0)</f>
        <v>MES</v>
      </c>
      <c r="F29" s="380">
        <f>VLOOKUP(A29,[4]BOLETIM_SEL!$A:$G,7,0)</f>
        <v>2152.13</v>
      </c>
      <c r="G29" s="380">
        <v>10</v>
      </c>
      <c r="H29" s="381">
        <f t="shared" si="1"/>
        <v>21521.300000000003</v>
      </c>
      <c r="I29" s="692"/>
      <c r="J29" s="692"/>
      <c r="K29" s="692"/>
      <c r="L29" s="692"/>
    </row>
    <row r="30" spans="1:15" s="382" customFormat="1" ht="18" customHeight="1" x14ac:dyDescent="0.15">
      <c r="A30" s="379">
        <v>101385</v>
      </c>
      <c r="B30" s="2535" t="str">
        <f>VLOOKUP($A30,[4]BOLETIM_SEL!$A:$G,4,0)</f>
        <v>Auxiliar de laboratorista de solos e de concreto com encargos complementares (mensalista)</v>
      </c>
      <c r="C30" s="2536"/>
      <c r="D30" s="2537"/>
      <c r="E30" s="805" t="str">
        <f>VLOOKUP($A30,[4]BOLETIM_SEL!$A:$G,6,0)</f>
        <v>MES</v>
      </c>
      <c r="F30" s="380">
        <f>VLOOKUP(A30,[4]BOLETIM_SEL!$A:$G,7,0)</f>
        <v>4385.53</v>
      </c>
      <c r="G30" s="380">
        <v>10</v>
      </c>
      <c r="H30" s="381">
        <f t="shared" si="1"/>
        <v>43855.299999999996</v>
      </c>
      <c r="I30" s="692"/>
      <c r="J30" s="692"/>
      <c r="K30" s="692"/>
      <c r="L30" s="692"/>
      <c r="O30" s="382">
        <f>N30*G10</f>
        <v>0</v>
      </c>
    </row>
    <row r="31" spans="1:15" s="382" customFormat="1" ht="18" customHeight="1" x14ac:dyDescent="0.15">
      <c r="A31" s="383">
        <v>101460</v>
      </c>
      <c r="B31" s="2535" t="str">
        <f>VLOOKUP($A31,[4]BOLETIM_SEL!$A:$G,4,0)</f>
        <v>Vigia Diurno com encargos complementares (mensalista)</v>
      </c>
      <c r="C31" s="2572"/>
      <c r="D31" s="2572"/>
      <c r="E31" s="805" t="str">
        <f>VLOOKUP($A31,[4]BOLETIM_SEL!$A:$G,6,0)</f>
        <v>MES</v>
      </c>
      <c r="F31" s="380">
        <f>VLOOKUP(A31,[4]BOLETIM_SEL!$A:$G,7,0)</f>
        <v>3344.48</v>
      </c>
      <c r="G31" s="380">
        <v>12</v>
      </c>
      <c r="H31" s="381">
        <f t="shared" si="1"/>
        <v>40133.760000000002</v>
      </c>
      <c r="I31" s="692"/>
      <c r="J31" s="692"/>
      <c r="K31" s="692"/>
      <c r="L31" s="692"/>
    </row>
    <row r="32" spans="1:15" s="382" customFormat="1" ht="18" hidden="1" customHeight="1" x14ac:dyDescent="0.15">
      <c r="A32" s="383"/>
      <c r="B32" s="2021"/>
      <c r="C32" s="2026"/>
      <c r="D32" s="2026"/>
      <c r="E32" s="804"/>
      <c r="F32" s="380"/>
      <c r="G32" s="380"/>
      <c r="H32" s="381"/>
      <c r="I32" s="692"/>
      <c r="J32" s="692"/>
      <c r="K32" s="692"/>
      <c r="L32" s="692"/>
    </row>
    <row r="33" spans="1:12" s="382" customFormat="1" ht="18" hidden="1" customHeight="1" x14ac:dyDescent="0.15">
      <c r="A33" s="383"/>
      <c r="B33" s="2021"/>
      <c r="C33" s="2026"/>
      <c r="D33" s="2026"/>
      <c r="E33" s="804"/>
      <c r="F33" s="380"/>
      <c r="G33" s="380"/>
      <c r="H33" s="381"/>
      <c r="I33" s="692"/>
      <c r="J33" s="692"/>
      <c r="K33" s="692"/>
      <c r="L33" s="692"/>
    </row>
    <row r="34" spans="1:12" s="382" customFormat="1" ht="18" hidden="1" customHeight="1" x14ac:dyDescent="0.15">
      <c r="A34" s="383"/>
      <c r="B34" s="2021"/>
      <c r="C34" s="2026"/>
      <c r="D34" s="2026"/>
      <c r="E34" s="804"/>
      <c r="F34" s="380"/>
      <c r="G34" s="380"/>
      <c r="H34" s="381"/>
      <c r="I34" s="692"/>
      <c r="J34" s="692"/>
      <c r="K34" s="692"/>
      <c r="L34" s="692"/>
    </row>
    <row r="35" spans="1:12" s="382" customFormat="1" ht="18" hidden="1" customHeight="1" x14ac:dyDescent="0.15">
      <c r="A35" s="383"/>
      <c r="B35" s="2021"/>
      <c r="C35" s="2026"/>
      <c r="D35" s="2026"/>
      <c r="E35" s="804"/>
      <c r="F35" s="380"/>
      <c r="G35" s="380"/>
      <c r="H35" s="381"/>
      <c r="I35" s="692"/>
      <c r="J35" s="692"/>
      <c r="K35" s="692"/>
      <c r="L35" s="692"/>
    </row>
    <row r="36" spans="1:12" s="382" customFormat="1" ht="18" hidden="1" customHeight="1" x14ac:dyDescent="0.15">
      <c r="A36" s="383"/>
      <c r="B36" s="2021"/>
      <c r="C36" s="2026"/>
      <c r="D36" s="2026"/>
      <c r="E36" s="804"/>
      <c r="F36" s="380"/>
      <c r="G36" s="380"/>
      <c r="H36" s="381"/>
      <c r="I36" s="692"/>
      <c r="J36" s="692"/>
      <c r="K36" s="692"/>
      <c r="L36" s="692"/>
    </row>
    <row r="37" spans="1:12" s="382" customFormat="1" ht="18" hidden="1" customHeight="1" x14ac:dyDescent="0.15">
      <c r="A37" s="383"/>
      <c r="B37" s="2021"/>
      <c r="C37" s="2026"/>
      <c r="D37" s="2026"/>
      <c r="E37" s="804"/>
      <c r="F37" s="380"/>
      <c r="G37" s="380"/>
      <c r="H37" s="381"/>
      <c r="I37" s="692"/>
      <c r="J37" s="692"/>
      <c r="K37" s="692"/>
      <c r="L37" s="692"/>
    </row>
    <row r="38" spans="1:12" s="382" customFormat="1" ht="18" hidden="1" customHeight="1" x14ac:dyDescent="0.15">
      <c r="A38" s="383"/>
      <c r="B38" s="2021"/>
      <c r="C38" s="2026"/>
      <c r="D38" s="2026"/>
      <c r="E38" s="804"/>
      <c r="F38" s="380"/>
      <c r="G38" s="380"/>
      <c r="H38" s="381"/>
      <c r="I38" s="692"/>
      <c r="J38" s="692"/>
      <c r="K38" s="692"/>
      <c r="L38" s="692"/>
    </row>
    <row r="39" spans="1:12" s="382" customFormat="1" ht="18" hidden="1" customHeight="1" x14ac:dyDescent="0.15">
      <c r="A39" s="383"/>
      <c r="B39" s="2021"/>
      <c r="C39" s="2026"/>
      <c r="D39" s="2026"/>
      <c r="E39" s="804"/>
      <c r="F39" s="380"/>
      <c r="G39" s="380"/>
      <c r="H39" s="381"/>
      <c r="I39" s="692"/>
      <c r="J39" s="692"/>
      <c r="K39" s="692"/>
      <c r="L39" s="692"/>
    </row>
    <row r="40" spans="1:12" s="382" customFormat="1" ht="18" hidden="1" customHeight="1" x14ac:dyDescent="0.15">
      <c r="A40" s="383"/>
      <c r="B40" s="2021"/>
      <c r="C40" s="2026"/>
      <c r="D40" s="2026"/>
      <c r="E40" s="804"/>
      <c r="F40" s="380"/>
      <c r="G40" s="380"/>
      <c r="H40" s="381"/>
      <c r="I40" s="692"/>
      <c r="J40" s="692"/>
      <c r="K40" s="692"/>
      <c r="L40" s="692"/>
    </row>
    <row r="41" spans="1:12" s="382" customFormat="1" ht="18" hidden="1" customHeight="1" x14ac:dyDescent="0.15">
      <c r="A41" s="383"/>
      <c r="B41" s="2021"/>
      <c r="C41" s="2026"/>
      <c r="D41" s="2026"/>
      <c r="E41" s="804"/>
      <c r="F41" s="380"/>
      <c r="G41" s="380"/>
      <c r="H41" s="381"/>
      <c r="I41" s="692"/>
      <c r="J41" s="692"/>
      <c r="K41" s="692"/>
      <c r="L41" s="692"/>
    </row>
    <row r="42" spans="1:12" s="382" customFormat="1" ht="18" hidden="1" customHeight="1" x14ac:dyDescent="0.15">
      <c r="A42" s="383"/>
      <c r="B42" s="2021"/>
      <c r="C42" s="2026"/>
      <c r="D42" s="2026"/>
      <c r="E42" s="804"/>
      <c r="F42" s="380"/>
      <c r="G42" s="380"/>
      <c r="H42" s="381"/>
      <c r="I42" s="692"/>
      <c r="J42" s="692"/>
      <c r="K42" s="692"/>
      <c r="L42" s="692"/>
    </row>
    <row r="43" spans="1:12" s="382" customFormat="1" ht="18" hidden="1" customHeight="1" x14ac:dyDescent="0.15">
      <c r="A43" s="383"/>
      <c r="B43" s="2021"/>
      <c r="C43" s="2026"/>
      <c r="D43" s="2026"/>
      <c r="E43" s="804"/>
      <c r="F43" s="380"/>
      <c r="G43" s="380"/>
      <c r="H43" s="381"/>
      <c r="I43" s="692"/>
      <c r="J43" s="692"/>
      <c r="K43" s="692"/>
      <c r="L43" s="692"/>
    </row>
    <row r="44" spans="1:12" s="382" customFormat="1" ht="18" hidden="1" customHeight="1" x14ac:dyDescent="0.15">
      <c r="A44" s="383"/>
      <c r="B44" s="2021"/>
      <c r="C44" s="2026"/>
      <c r="D44" s="2026"/>
      <c r="E44" s="804"/>
      <c r="F44" s="380"/>
      <c r="G44" s="380"/>
      <c r="H44" s="381"/>
      <c r="I44" s="692"/>
      <c r="J44" s="692"/>
      <c r="K44" s="692"/>
      <c r="L44" s="692"/>
    </row>
    <row r="45" spans="1:12" s="382" customFormat="1" ht="18" hidden="1" customHeight="1" x14ac:dyDescent="0.15">
      <c r="A45" s="383"/>
      <c r="B45" s="2021"/>
      <c r="C45" s="2026"/>
      <c r="D45" s="2026"/>
      <c r="E45" s="804"/>
      <c r="F45" s="380"/>
      <c r="G45" s="380"/>
      <c r="H45" s="381"/>
      <c r="I45" s="692"/>
      <c r="J45" s="692"/>
      <c r="K45" s="692"/>
      <c r="L45" s="692"/>
    </row>
    <row r="46" spans="1:12" s="382" customFormat="1" ht="18" hidden="1" customHeight="1" x14ac:dyDescent="0.15">
      <c r="A46" s="383"/>
      <c r="B46" s="2021"/>
      <c r="C46" s="2026"/>
      <c r="D46" s="2026"/>
      <c r="E46" s="804"/>
      <c r="F46" s="380"/>
      <c r="G46" s="380"/>
      <c r="H46" s="381"/>
      <c r="I46" s="692"/>
      <c r="J46" s="692"/>
      <c r="K46" s="692"/>
      <c r="L46" s="692"/>
    </row>
    <row r="47" spans="1:12" s="382" customFormat="1" ht="18" hidden="1" customHeight="1" x14ac:dyDescent="0.15">
      <c r="A47" s="383"/>
      <c r="B47" s="2021"/>
      <c r="C47" s="2026"/>
      <c r="D47" s="2026"/>
      <c r="E47" s="804"/>
      <c r="F47" s="380"/>
      <c r="G47" s="380"/>
      <c r="H47" s="381"/>
      <c r="I47" s="692"/>
      <c r="J47" s="692"/>
      <c r="K47" s="692"/>
      <c r="L47" s="692"/>
    </row>
    <row r="48" spans="1:12" s="382" customFormat="1" ht="18" hidden="1" customHeight="1" x14ac:dyDescent="0.15">
      <c r="A48" s="383"/>
      <c r="B48" s="2021"/>
      <c r="C48" s="2026"/>
      <c r="D48" s="2026"/>
      <c r="E48" s="804"/>
      <c r="F48" s="380"/>
      <c r="G48" s="380"/>
      <c r="H48" s="381"/>
      <c r="I48" s="692"/>
      <c r="J48" s="692"/>
      <c r="K48" s="692"/>
      <c r="L48" s="692"/>
    </row>
    <row r="49" spans="1:12" s="382" customFormat="1" ht="18" hidden="1" customHeight="1" x14ac:dyDescent="0.15">
      <c r="A49" s="383"/>
      <c r="B49" s="2021"/>
      <c r="C49" s="2026"/>
      <c r="D49" s="2026"/>
      <c r="E49" s="804"/>
      <c r="F49" s="380"/>
      <c r="G49" s="380"/>
      <c r="H49" s="381"/>
      <c r="I49" s="692"/>
      <c r="J49" s="692"/>
      <c r="K49" s="692"/>
      <c r="L49" s="692"/>
    </row>
    <row r="50" spans="1:12" s="382" customFormat="1" ht="18" hidden="1" customHeight="1" x14ac:dyDescent="0.15">
      <c r="A50" s="383"/>
      <c r="B50" s="2021"/>
      <c r="C50" s="2026"/>
      <c r="D50" s="2026"/>
      <c r="E50" s="804"/>
      <c r="F50" s="380"/>
      <c r="G50" s="380"/>
      <c r="H50" s="381"/>
      <c r="I50" s="692"/>
      <c r="J50" s="692"/>
      <c r="K50" s="692"/>
      <c r="L50" s="692"/>
    </row>
    <row r="51" spans="1:12" s="382" customFormat="1" ht="18" hidden="1" customHeight="1" x14ac:dyDescent="0.15">
      <c r="A51" s="383"/>
      <c r="B51" s="2021"/>
      <c r="C51" s="2026"/>
      <c r="D51" s="2026"/>
      <c r="E51" s="804"/>
      <c r="F51" s="380"/>
      <c r="G51" s="380"/>
      <c r="H51" s="381"/>
      <c r="I51" s="692"/>
      <c r="J51" s="692"/>
      <c r="K51" s="692"/>
      <c r="L51" s="692"/>
    </row>
    <row r="52" spans="1:12" s="382" customFormat="1" ht="18" hidden="1" customHeight="1" x14ac:dyDescent="0.15">
      <c r="A52" s="383"/>
      <c r="B52" s="2021"/>
      <c r="C52" s="2026"/>
      <c r="D52" s="2026"/>
      <c r="E52" s="804"/>
      <c r="F52" s="380"/>
      <c r="G52" s="380"/>
      <c r="H52" s="381"/>
      <c r="I52" s="692"/>
      <c r="J52" s="692"/>
      <c r="K52" s="692"/>
      <c r="L52" s="692"/>
    </row>
    <row r="53" spans="1:12" s="382" customFormat="1" ht="18" hidden="1" customHeight="1" x14ac:dyDescent="0.15">
      <c r="A53" s="383"/>
      <c r="B53" s="2021"/>
      <c r="C53" s="2026"/>
      <c r="D53" s="2026"/>
      <c r="E53" s="804"/>
      <c r="F53" s="380"/>
      <c r="G53" s="380"/>
      <c r="H53" s="381"/>
      <c r="I53" s="692"/>
      <c r="J53" s="692"/>
      <c r="K53" s="692"/>
      <c r="L53" s="692"/>
    </row>
    <row r="54" spans="1:12" s="382" customFormat="1" ht="18" hidden="1" customHeight="1" x14ac:dyDescent="0.15">
      <c r="A54" s="383"/>
      <c r="B54" s="2021"/>
      <c r="C54" s="2026"/>
      <c r="D54" s="2026"/>
      <c r="E54" s="804"/>
      <c r="F54" s="380"/>
      <c r="G54" s="380"/>
      <c r="H54" s="381"/>
      <c r="I54" s="692"/>
      <c r="J54" s="692"/>
      <c r="K54" s="692"/>
      <c r="L54" s="692"/>
    </row>
    <row r="55" spans="1:12" s="382" customFormat="1" ht="18" hidden="1" customHeight="1" x14ac:dyDescent="0.15">
      <c r="A55" s="383"/>
      <c r="B55" s="2021"/>
      <c r="C55" s="2026"/>
      <c r="D55" s="2026"/>
      <c r="E55" s="804"/>
      <c r="F55" s="380"/>
      <c r="G55" s="380"/>
      <c r="H55" s="381"/>
      <c r="I55" s="692"/>
      <c r="J55" s="692"/>
      <c r="K55" s="692"/>
      <c r="L55" s="692"/>
    </row>
    <row r="56" spans="1:12" s="382" customFormat="1" ht="18" hidden="1" customHeight="1" x14ac:dyDescent="0.15">
      <c r="A56" s="383"/>
      <c r="B56" s="2021"/>
      <c r="C56" s="2026"/>
      <c r="D56" s="2026"/>
      <c r="E56" s="804"/>
      <c r="F56" s="380"/>
      <c r="G56" s="380"/>
      <c r="H56" s="381"/>
      <c r="I56" s="692"/>
      <c r="J56" s="692"/>
      <c r="K56" s="692"/>
      <c r="L56" s="692"/>
    </row>
    <row r="57" spans="1:12" s="382" customFormat="1" ht="18" hidden="1" customHeight="1" x14ac:dyDescent="0.15">
      <c r="A57" s="383"/>
      <c r="B57" s="2021"/>
      <c r="C57" s="2026"/>
      <c r="D57" s="2026"/>
      <c r="E57" s="804"/>
      <c r="F57" s="380"/>
      <c r="G57" s="380"/>
      <c r="H57" s="381"/>
      <c r="I57" s="692"/>
      <c r="J57" s="692"/>
      <c r="K57" s="692"/>
      <c r="L57" s="692"/>
    </row>
    <row r="58" spans="1:12" s="382" customFormat="1" ht="18" hidden="1" customHeight="1" x14ac:dyDescent="0.15">
      <c r="A58" s="383"/>
      <c r="B58" s="2021"/>
      <c r="C58" s="2026"/>
      <c r="D58" s="2026"/>
      <c r="E58" s="804"/>
      <c r="F58" s="380"/>
      <c r="G58" s="380"/>
      <c r="H58" s="381"/>
      <c r="I58" s="692"/>
      <c r="J58" s="692"/>
      <c r="K58" s="692"/>
      <c r="L58" s="692"/>
    </row>
    <row r="59" spans="1:12" s="382" customFormat="1" ht="18" hidden="1" customHeight="1" x14ac:dyDescent="0.15">
      <c r="A59" s="383"/>
      <c r="B59" s="2021"/>
      <c r="C59" s="2026"/>
      <c r="D59" s="2026"/>
      <c r="E59" s="804"/>
      <c r="F59" s="380"/>
      <c r="G59" s="380"/>
      <c r="H59" s="381"/>
      <c r="I59" s="692"/>
      <c r="J59" s="692"/>
      <c r="K59" s="692"/>
      <c r="L59" s="692"/>
    </row>
    <row r="60" spans="1:12" s="382" customFormat="1" ht="18" hidden="1" customHeight="1" x14ac:dyDescent="0.15">
      <c r="A60" s="383"/>
      <c r="B60" s="2021"/>
      <c r="C60" s="2026"/>
      <c r="D60" s="2026"/>
      <c r="E60" s="804"/>
      <c r="F60" s="380"/>
      <c r="G60" s="380"/>
      <c r="H60" s="381"/>
      <c r="I60" s="692"/>
      <c r="J60" s="692"/>
      <c r="K60" s="692"/>
      <c r="L60" s="692"/>
    </row>
    <row r="61" spans="1:12" s="382" customFormat="1" ht="18" hidden="1" customHeight="1" x14ac:dyDescent="0.15">
      <c r="A61" s="383"/>
      <c r="B61" s="2021"/>
      <c r="C61" s="2026"/>
      <c r="D61" s="2026"/>
      <c r="E61" s="804"/>
      <c r="F61" s="380"/>
      <c r="G61" s="380"/>
      <c r="H61" s="381"/>
      <c r="I61" s="692"/>
      <c r="J61" s="692"/>
      <c r="K61" s="692"/>
      <c r="L61" s="692"/>
    </row>
    <row r="62" spans="1:12" s="382" customFormat="1" ht="18" hidden="1" customHeight="1" x14ac:dyDescent="0.15">
      <c r="A62" s="383"/>
      <c r="B62" s="2021"/>
      <c r="C62" s="2026"/>
      <c r="D62" s="2026"/>
      <c r="E62" s="804"/>
      <c r="F62" s="380"/>
      <c r="G62" s="380"/>
      <c r="H62" s="381"/>
      <c r="I62" s="692"/>
      <c r="J62" s="692"/>
      <c r="K62" s="692"/>
      <c r="L62" s="692"/>
    </row>
    <row r="63" spans="1:12" s="382" customFormat="1" ht="18" customHeight="1" thickBot="1" x14ac:dyDescent="0.2">
      <c r="A63" s="398"/>
      <c r="B63" s="2566"/>
      <c r="C63" s="2567"/>
      <c r="D63" s="2567"/>
      <c r="E63" s="1702"/>
      <c r="F63" s="1703"/>
      <c r="G63" s="1703"/>
      <c r="H63" s="1704"/>
      <c r="I63" s="692"/>
      <c r="J63" s="692"/>
      <c r="K63" s="692"/>
      <c r="L63" s="692"/>
    </row>
    <row r="64" spans="1:12" s="35" customFormat="1" ht="18" customHeight="1" thickTop="1" x14ac:dyDescent="0.15">
      <c r="A64" s="203"/>
      <c r="B64" s="371"/>
      <c r="C64" s="399"/>
      <c r="D64" s="400" t="s">
        <v>529</v>
      </c>
      <c r="G64" s="399"/>
      <c r="H64" s="370">
        <f>SUM(H21:H63)</f>
        <v>423601.01</v>
      </c>
      <c r="I64" s="382"/>
      <c r="J64" s="382"/>
      <c r="K64" s="382"/>
      <c r="L64" s="382"/>
    </row>
    <row r="65" spans="1:12" s="35" customFormat="1" ht="18" customHeight="1" x14ac:dyDescent="0.15">
      <c r="A65" s="394"/>
      <c r="B65" s="371"/>
      <c r="D65" s="46" t="s">
        <v>530</v>
      </c>
      <c r="G65" s="370"/>
      <c r="H65" s="370">
        <f>H17+H64</f>
        <v>518639.97</v>
      </c>
      <c r="I65" s="382"/>
      <c r="J65" s="382"/>
      <c r="K65" s="382"/>
      <c r="L65" s="382"/>
    </row>
    <row r="66" spans="1:12" s="35" customFormat="1" ht="18" customHeight="1" x14ac:dyDescent="0.2">
      <c r="A66" s="203"/>
      <c r="B66" s="371"/>
      <c r="C66" s="401"/>
      <c r="D66" s="46" t="s">
        <v>531</v>
      </c>
      <c r="H66" s="402">
        <f>H65/G7</f>
        <v>43219.997499999998</v>
      </c>
      <c r="I66" s="382"/>
      <c r="J66" s="382"/>
      <c r="K66" s="382"/>
      <c r="L66" s="382"/>
    </row>
    <row r="67" spans="1:12" s="35" customFormat="1" ht="19.5" customHeight="1" thickBot="1" x14ac:dyDescent="0.2">
      <c r="A67" s="203"/>
      <c r="B67" s="2027"/>
      <c r="C67" s="2027"/>
      <c r="D67" s="2027"/>
      <c r="E67" s="2027"/>
      <c r="F67" s="2027"/>
      <c r="G67" s="1705"/>
      <c r="H67" s="1706"/>
    </row>
    <row r="68" spans="1:12" s="35" customFormat="1" ht="18" customHeight="1" thickTop="1" thickBot="1" x14ac:dyDescent="0.2">
      <c r="A68" s="403" t="s">
        <v>754</v>
      </c>
      <c r="B68" s="404"/>
      <c r="C68" s="405"/>
      <c r="D68" s="405"/>
      <c r="E68" s="405"/>
      <c r="F68" s="406"/>
      <c r="G68" s="407" t="s">
        <v>199</v>
      </c>
      <c r="H68" s="408">
        <f>TRUNC(H66,2)</f>
        <v>43219.99</v>
      </c>
    </row>
    <row r="69" spans="1:12" s="35" customFormat="1" ht="18" customHeight="1" thickTop="1" thickBot="1" x14ac:dyDescent="0.2">
      <c r="A69" s="403" t="str">
        <f>CONCATENATE("CUSTO DIRETO TOTAL PARA ",G7," MESES DE OBRA:")</f>
        <v>CUSTO DIRETO TOTAL PARA 12 MESES DE OBRA:</v>
      </c>
      <c r="B69" s="404"/>
      <c r="C69" s="405"/>
      <c r="D69" s="405"/>
      <c r="E69" s="405"/>
      <c r="F69" s="406"/>
      <c r="G69" s="407" t="s">
        <v>199</v>
      </c>
      <c r="H69" s="408">
        <f>TRUNC(+H68*G7,2)</f>
        <v>518639.88</v>
      </c>
    </row>
    <row r="70" spans="1:12" s="35" customFormat="1" ht="18" customHeight="1" thickTop="1" x14ac:dyDescent="0.15">
      <c r="A70" s="856" t="s">
        <v>533</v>
      </c>
      <c r="C70" s="370"/>
      <c r="D70" s="370"/>
      <c r="E70" s="371"/>
      <c r="G70" s="370"/>
      <c r="H70" s="370"/>
    </row>
  </sheetData>
  <mergeCells count="30">
    <mergeCell ref="B63:D63"/>
    <mergeCell ref="H9:H10"/>
    <mergeCell ref="H19:H20"/>
    <mergeCell ref="F19:F20"/>
    <mergeCell ref="F9:F10"/>
    <mergeCell ref="G9:G10"/>
    <mergeCell ref="G19:G20"/>
    <mergeCell ref="E19:E20"/>
    <mergeCell ref="B23:D23"/>
    <mergeCell ref="B24:D24"/>
    <mergeCell ref="B25:D25"/>
    <mergeCell ref="B27:D27"/>
    <mergeCell ref="B31:D31"/>
    <mergeCell ref="B26:D26"/>
    <mergeCell ref="B28:D28"/>
    <mergeCell ref="B29:D29"/>
    <mergeCell ref="A9:A10"/>
    <mergeCell ref="A19:A20"/>
    <mergeCell ref="B19:D20"/>
    <mergeCell ref="B21:D21"/>
    <mergeCell ref="B22:D22"/>
    <mergeCell ref="B30:D30"/>
    <mergeCell ref="C3:E3"/>
    <mergeCell ref="B6:D6"/>
    <mergeCell ref="B7:D7"/>
    <mergeCell ref="E9:E10"/>
    <mergeCell ref="E6:G6"/>
    <mergeCell ref="E7:F7"/>
    <mergeCell ref="D9:D10"/>
    <mergeCell ref="B9:C10"/>
  </mergeCells>
  <printOptions horizontalCentered="1"/>
  <pageMargins left="0.39370078740157483" right="0.39370078740157483" top="0.59055118110236227" bottom="0.59055118110236227" header="0.23622047244094491" footer="0.23622047244094491"/>
  <pageSetup paperSize="9" scale="80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2" filterMode="1">
    <tabColor rgb="FF00B0F0"/>
  </sheetPr>
  <dimension ref="A1:Y1519"/>
  <sheetViews>
    <sheetView showZeros="0" tabSelected="1" topLeftCell="A644" zoomScaleNormal="100" zoomScaleSheetLayoutView="100" workbookViewId="0">
      <selection activeCell="U668" sqref="U668"/>
    </sheetView>
  </sheetViews>
  <sheetFormatPr defaultColWidth="9" defaultRowHeight="25.5" x14ac:dyDescent="0.15"/>
  <cols>
    <col min="1" max="1" width="7.625" style="845" customWidth="1"/>
    <col min="2" max="2" width="15.625" style="845" customWidth="1"/>
    <col min="3" max="3" width="13.5" style="845" customWidth="1"/>
    <col min="4" max="4" width="90.625" style="845" customWidth="1"/>
    <col min="5" max="5" width="5.375" style="845" customWidth="1"/>
    <col min="6" max="6" width="7.625" style="845" customWidth="1"/>
    <col min="7" max="7" width="14.75" style="847" hidden="1" customWidth="1"/>
    <col min="8" max="8" width="12.625" style="845" customWidth="1"/>
    <col min="9" max="9" width="14.375" style="845" customWidth="1"/>
    <col min="10" max="10" width="17.625" style="845" bestFit="1" customWidth="1"/>
    <col min="11" max="11" width="9.25" style="1617" customWidth="1"/>
    <col min="12" max="12" width="12.5" style="1575" hidden="1" customWidth="1"/>
    <col min="13" max="13" width="29" style="853" hidden="1" customWidth="1"/>
    <col min="14" max="14" width="14.25" style="853" hidden="1" customWidth="1"/>
    <col min="15" max="15" width="13.75" style="853" hidden="1" customWidth="1"/>
    <col min="16" max="16" width="8.75" style="853" hidden="1" customWidth="1"/>
    <col min="17" max="17" width="12.75" style="853" hidden="1" customWidth="1"/>
    <col min="18" max="18" width="3.25" style="853" bestFit="1" customWidth="1"/>
    <col min="19" max="19" width="12.75" style="853" customWidth="1"/>
    <col min="20" max="20" width="3.25" style="853" bestFit="1" customWidth="1"/>
    <col min="21" max="21" width="12.75" style="853" customWidth="1"/>
    <col min="22" max="22" width="3.25" style="853" bestFit="1" customWidth="1"/>
    <col min="23" max="23" width="12.75" style="853" customWidth="1"/>
    <col min="24" max="24" width="3.25" style="853" bestFit="1" customWidth="1"/>
    <col min="25" max="25" width="14.5" style="845" customWidth="1"/>
    <col min="26" max="26" width="12.625" style="845" customWidth="1"/>
    <col min="27" max="27" width="13.25" style="845" customWidth="1"/>
    <col min="28" max="28" width="9" style="845" customWidth="1"/>
    <col min="29" max="32" width="9" style="845"/>
    <col min="33" max="33" width="13.375" style="845" customWidth="1"/>
    <col min="34" max="16384" width="9" style="845"/>
  </cols>
  <sheetData>
    <row r="1" spans="1:19" s="813" customFormat="1" ht="24.95" customHeight="1" x14ac:dyDescent="0.15">
      <c r="A1" s="811"/>
      <c r="B1" s="854" t="str">
        <f>+Orçamento_Não_Deson!B1</f>
        <v>PREFEITURA MUNICIPAL DE RIBAS DO RIO PARDO / MS</v>
      </c>
      <c r="C1" s="811"/>
      <c r="D1" s="811"/>
      <c r="E1" s="811"/>
      <c r="F1" s="814"/>
      <c r="I1" s="1685" t="s">
        <v>114</v>
      </c>
      <c r="J1" s="1698" t="str">
        <f>[5]BOLETIM_SEL!$B$1</f>
        <v>Junho/2023</v>
      </c>
      <c r="K1" s="1615"/>
      <c r="L1" s="2490" t="s">
        <v>445</v>
      </c>
      <c r="M1" s="2490"/>
      <c r="N1" s="1962" t="s">
        <v>707</v>
      </c>
      <c r="O1" s="1423"/>
    </row>
    <row r="2" spans="1:19" s="813" customFormat="1" ht="24.95" customHeight="1" x14ac:dyDescent="0.15">
      <c r="A2" s="817"/>
      <c r="B2" s="460" t="str">
        <f>+Orçamento_Não_Deson!B2</f>
        <v>ESTADO DE MATO GROSSO DO SUL</v>
      </c>
      <c r="C2" s="817"/>
      <c r="D2" s="817"/>
      <c r="E2" s="817"/>
      <c r="F2" s="818"/>
      <c r="I2" s="1685" t="s">
        <v>420</v>
      </c>
      <c r="J2" s="48" t="str">
        <f>[5]BOLETIM_SEL!$D$2</f>
        <v>DESONERADA</v>
      </c>
      <c r="K2" s="1615"/>
      <c r="L2" s="1961" t="s">
        <v>446</v>
      </c>
      <c r="M2" s="1971" t="str">
        <f ca="1">IF(J12=J967,"OK","ERRO")</f>
        <v>OK</v>
      </c>
      <c r="N2" s="1963" t="s">
        <v>705</v>
      </c>
      <c r="O2" s="849" t="s">
        <v>706</v>
      </c>
    </row>
    <row r="3" spans="1:19" s="813" customFormat="1" ht="24.95" customHeight="1" x14ac:dyDescent="0.15">
      <c r="A3" s="819"/>
      <c r="B3" s="460">
        <f>+Orçamento_Não_Deson!B3</f>
        <v>0</v>
      </c>
      <c r="C3" s="819"/>
      <c r="D3" s="819"/>
      <c r="E3" s="818"/>
      <c r="F3" s="818"/>
      <c r="H3" s="1685"/>
      <c r="I3" s="1685" t="s">
        <v>270</v>
      </c>
      <c r="J3" s="1696">
        <f>[5]BOLETIM_SEL!$G$3</f>
        <v>0.8528</v>
      </c>
      <c r="K3" s="1615"/>
      <c r="L3" s="1573"/>
    </row>
    <row r="4" spans="1:19" s="813" customFormat="1" ht="24.95" customHeight="1" x14ac:dyDescent="0.15">
      <c r="B4" s="866">
        <f>Orçamento_Não_Deson!B4</f>
        <v>0</v>
      </c>
      <c r="C4" s="875">
        <f>Orçamento_Não_Deson!C4</f>
        <v>0</v>
      </c>
      <c r="E4" s="815"/>
      <c r="F4" s="820"/>
      <c r="I4" s="1685" t="s">
        <v>269</v>
      </c>
      <c r="J4" s="1696">
        <f>[5]BOLETIM_SEL!$G$4</f>
        <v>0.4723</v>
      </c>
      <c r="K4" s="1615"/>
      <c r="L4" s="1573"/>
    </row>
    <row r="5" spans="1:19" s="813" customFormat="1" ht="24.95" customHeight="1" x14ac:dyDescent="0.15">
      <c r="A5" s="822"/>
      <c r="B5" s="866" t="str">
        <f>Orçamento_Não_Deson!B5</f>
        <v>OBRA :</v>
      </c>
      <c r="C5" s="875" t="s">
        <v>2672</v>
      </c>
      <c r="D5" s="895"/>
      <c r="E5" s="895"/>
      <c r="F5" s="895"/>
      <c r="I5" s="1685" t="s">
        <v>421</v>
      </c>
      <c r="J5" s="1697">
        <v>0.26740000000000003</v>
      </c>
      <c r="K5" s="1615"/>
      <c r="L5" s="1573"/>
    </row>
    <row r="6" spans="1:19" s="813" customFormat="1" ht="24.95" customHeight="1" x14ac:dyDescent="0.15">
      <c r="A6" s="822"/>
      <c r="B6" s="866" t="str">
        <f>Orçamento_Não_Deson!B6</f>
        <v>LOCAL :</v>
      </c>
      <c r="C6" s="875" t="str">
        <f>Orçamento_Não_Deson!C6</f>
        <v>PARQUE ESTORIL - ETAPAS 03 E 04</v>
      </c>
      <c r="D6" s="822"/>
      <c r="E6" s="823"/>
      <c r="F6" s="823"/>
      <c r="I6" s="1685" t="s">
        <v>940</v>
      </c>
      <c r="J6" s="2110">
        <v>0.1527</v>
      </c>
      <c r="K6" s="1615"/>
      <c r="L6" s="1573"/>
    </row>
    <row r="7" spans="1:19" s="813" customFormat="1" ht="24.95" customHeight="1" x14ac:dyDescent="0.15">
      <c r="A7" s="822"/>
      <c r="B7" s="866" t="str">
        <f>Orçamento_Não_Deson!B7</f>
        <v>MUNICÍPIO :</v>
      </c>
      <c r="C7" s="875" t="str">
        <f>Orçamento_Não_Deson!C7</f>
        <v>RIBAS DO RIO PARDO / MS</v>
      </c>
      <c r="D7" s="822"/>
      <c r="E7" s="824"/>
      <c r="F7" s="824"/>
      <c r="G7" s="820"/>
      <c r="K7" s="1616"/>
      <c r="L7" s="1573"/>
    </row>
    <row r="8" spans="1:19" s="813" customFormat="1" ht="24.95" customHeight="1" x14ac:dyDescent="0.15">
      <c r="A8" s="825"/>
      <c r="B8" s="866" t="str">
        <f>Orçamento_Não_Deson!B8</f>
        <v>COORDENADAS :</v>
      </c>
      <c r="C8" s="875" t="str">
        <f>Orçamento_Não_Deson!C8</f>
        <v>(20°27'47.87"S ; 54°45'55.28"O) ; (20°27'47.27"S ; 54°45'17.28"O) ; (20°28'02.85"S ; 54°45'35.04"O)</v>
      </c>
      <c r="D8" s="825"/>
      <c r="E8" s="825"/>
      <c r="F8" s="825"/>
      <c r="G8" s="821"/>
      <c r="K8" s="815"/>
      <c r="L8" s="1687"/>
    </row>
    <row r="9" spans="1:19" s="813" customFormat="1" ht="24.95" customHeight="1" x14ac:dyDescent="0.15">
      <c r="A9" s="825"/>
      <c r="B9" s="866"/>
      <c r="C9" s="875"/>
      <c r="D9" s="825"/>
      <c r="E9" s="825"/>
      <c r="F9" s="825"/>
      <c r="G9" s="821"/>
      <c r="K9" s="815"/>
      <c r="L9" s="1687"/>
    </row>
    <row r="10" spans="1:19" s="813" customFormat="1" ht="24.95" customHeight="1" x14ac:dyDescent="0.15">
      <c r="A10" s="826"/>
      <c r="B10" s="826"/>
      <c r="C10" s="812"/>
      <c r="D10" s="904" t="str">
        <f>CONCATENATE("PLANILHA ORÇAMENTÁRIA ",J2)</f>
        <v>PLANILHA ORÇAMENTÁRIA DESONERADA</v>
      </c>
      <c r="E10" s="826"/>
      <c r="F10" s="826"/>
      <c r="G10" s="827"/>
      <c r="K10" s="815"/>
      <c r="L10" s="1573"/>
    </row>
    <row r="11" spans="1:19" s="813" customFormat="1" ht="24.95" customHeight="1" thickBot="1" x14ac:dyDescent="0.2">
      <c r="A11" s="825"/>
      <c r="C11" s="825"/>
      <c r="D11" s="825"/>
      <c r="E11" s="825"/>
      <c r="F11" s="825"/>
      <c r="G11" s="821"/>
      <c r="K11" s="815"/>
      <c r="L11" s="1687"/>
    </row>
    <row r="12" spans="1:19" s="833" customFormat="1" ht="30" customHeight="1" thickTop="1" thickBot="1" x14ac:dyDescent="0.2">
      <c r="A12" s="826"/>
      <c r="B12" s="1682" t="s">
        <v>31</v>
      </c>
      <c r="C12" s="2494" t="s">
        <v>38</v>
      </c>
      <c r="D12" s="2495"/>
      <c r="E12" s="2495"/>
      <c r="F12" s="2495"/>
      <c r="G12" s="2495"/>
      <c r="H12" s="666" t="s">
        <v>336</v>
      </c>
      <c r="I12" s="830" t="s">
        <v>33</v>
      </c>
      <c r="J12" s="2123">
        <f ca="1">SUM(J13:J32)</f>
        <v>13731837.84</v>
      </c>
      <c r="K12" s="1632">
        <f ca="1">SUM(K13:K32)</f>
        <v>0.99999999999999967</v>
      </c>
      <c r="L12" s="1683" t="s">
        <v>1965</v>
      </c>
      <c r="M12" s="1684" t="s">
        <v>200</v>
      </c>
      <c r="N12" s="205" t="s">
        <v>2031</v>
      </c>
      <c r="O12" s="850"/>
      <c r="S12" s="842"/>
    </row>
    <row r="13" spans="1:19" s="3" customFormat="1" ht="24.95" customHeight="1" thickTop="1" x14ac:dyDescent="0.15">
      <c r="B13" s="1670">
        <f>A35</f>
        <v>1</v>
      </c>
      <c r="C13" s="1671" t="str">
        <f>D35</f>
        <v>SERVIÇOS PRELIMINARES</v>
      </c>
      <c r="E13" s="1675"/>
      <c r="F13" s="866"/>
      <c r="G13" s="1670"/>
      <c r="H13" s="1672">
        <f>H36</f>
        <v>8</v>
      </c>
      <c r="I13" s="894" t="str">
        <f>F36</f>
        <v>M2</v>
      </c>
      <c r="J13" s="1673">
        <f ca="1">J35</f>
        <v>341683.5</v>
      </c>
      <c r="K13" s="1674">
        <f ca="1">K35</f>
        <v>2.4882576096602081E-2</v>
      </c>
      <c r="L13" s="1679" t="str">
        <f ca="1">IF(SUBTOTAL(109,J36:J63)=J13,"OK","ERRO")</f>
        <v>OK</v>
      </c>
      <c r="M13" s="1972" t="str">
        <f t="shared" ref="M13:M32" ca="1" si="0">IF(K13=J13/J$967,"OK","ERRO")</f>
        <v>OK</v>
      </c>
      <c r="N13" s="1764">
        <f>S_Preliminares!N4</f>
        <v>12</v>
      </c>
      <c r="O13" s="205"/>
    </row>
    <row r="14" spans="1:19" s="3" customFormat="1" ht="24.95" customHeight="1" x14ac:dyDescent="0.15">
      <c r="B14" s="1670">
        <f ca="1">A64</f>
        <v>2</v>
      </c>
      <c r="C14" s="1671" t="str">
        <f>D64</f>
        <v>REMOÇÕES, DEMOLIÇÕES E SUPRESSÕES</v>
      </c>
      <c r="E14" s="1675"/>
      <c r="F14" s="1676"/>
      <c r="G14" s="205"/>
      <c r="H14" s="1677">
        <f>+H74</f>
        <v>3859.97</v>
      </c>
      <c r="I14" s="894" t="str">
        <f>+F74</f>
        <v>M</v>
      </c>
      <c r="J14" s="1673">
        <f ca="1">J64</f>
        <v>171817.56000000003</v>
      </c>
      <c r="K14" s="1674">
        <f ca="1">K64</f>
        <v>1.251234991280672E-2</v>
      </c>
      <c r="L14" s="1679" t="str">
        <f ca="1">IF(SUBTOTAL(109,J65:J98)=J14,"OK","ERRO")</f>
        <v>OK</v>
      </c>
      <c r="M14" s="1972" t="str">
        <f t="shared" ca="1" si="0"/>
        <v>OK</v>
      </c>
      <c r="N14" s="1764">
        <f ca="1">ROUND(SUM(O65:O74)/240,0)</f>
        <v>3</v>
      </c>
      <c r="O14" s="1678"/>
    </row>
    <row r="15" spans="1:19" s="3" customFormat="1" ht="24.95" customHeight="1" x14ac:dyDescent="0.15">
      <c r="B15" s="1670">
        <f ca="1">A100</f>
        <v>3</v>
      </c>
      <c r="C15" s="1671" t="str">
        <f>D100</f>
        <v>MICRODRENAGEM - TERRAPLENAGEM</v>
      </c>
      <c r="E15" s="1675"/>
      <c r="F15" s="1676"/>
      <c r="G15" s="2496" t="s">
        <v>444</v>
      </c>
      <c r="H15" s="1677">
        <f>SUM(I104:I123)+I125</f>
        <v>759.82</v>
      </c>
      <c r="I15" s="894" t="str">
        <f>F104</f>
        <v>M3</v>
      </c>
      <c r="J15" s="1673">
        <f ca="1">J100</f>
        <v>659020.42000000004</v>
      </c>
      <c r="K15" s="1674">
        <f ca="1">K100</f>
        <v>4.7992149898560113E-2</v>
      </c>
      <c r="L15" s="1681" t="str">
        <f ca="1">IF(SUBTOTAL(109,J101:J181)=J15,"OK","ERRO")</f>
        <v>OK</v>
      </c>
      <c r="M15" s="1972" t="str">
        <f t="shared" ca="1" si="0"/>
        <v>OK</v>
      </c>
      <c r="N15" s="1764">
        <f ca="1">ROUND(SUM(O104:O125)/240,0)</f>
        <v>3</v>
      </c>
    </row>
    <row r="16" spans="1:19" s="3" customFormat="1" ht="24.95" customHeight="1" x14ac:dyDescent="0.15">
      <c r="B16" s="1670">
        <f ca="1">A183</f>
        <v>4</v>
      </c>
      <c r="C16" s="1671" t="str">
        <f>D183</f>
        <v>MICRODRENAGEM - GALERIAS</v>
      </c>
      <c r="E16" s="1675"/>
      <c r="F16" s="866"/>
      <c r="G16" s="2496"/>
      <c r="H16" s="1672">
        <f ca="1">SUM(H196:H216)+SUM(H235:H241)</f>
        <v>2926.8700000000003</v>
      </c>
      <c r="I16" s="894" t="str">
        <f>F196</f>
        <v>M</v>
      </c>
      <c r="J16" s="1673">
        <f ca="1">J183</f>
        <v>1127683.8500000001</v>
      </c>
      <c r="K16" s="1674">
        <f ca="1">K183</f>
        <v>8.2121844369231201E-2</v>
      </c>
      <c r="L16" s="1679" t="str">
        <f ca="1">IF(SUBTOTAL(109,J184:J242)=J16,"OK","ERRO")</f>
        <v>OK</v>
      </c>
      <c r="M16" s="1972" t="str">
        <f t="shared" ca="1" si="0"/>
        <v>OK</v>
      </c>
      <c r="N16" s="1764" t="e">
        <f>ROUND(SUM(O196:O242)/240,0)</f>
        <v>#VALUE!</v>
      </c>
    </row>
    <row r="17" spans="2:15" s="3" customFormat="1" ht="24.95" customHeight="1" x14ac:dyDescent="0.15">
      <c r="B17" s="1670">
        <f ca="1">A244</f>
        <v>5</v>
      </c>
      <c r="C17" s="1671" t="str">
        <f>D244</f>
        <v>MICRODRENAGEM - DISPOSITIVOS AUXILIARES</v>
      </c>
      <c r="E17" s="1675"/>
      <c r="F17" s="866"/>
      <c r="G17" s="2496"/>
      <c r="H17" s="1672">
        <f>SUM(H245:H251)+SUM(H261:H281)</f>
        <v>110</v>
      </c>
      <c r="I17" s="894" t="str">
        <f>F245</f>
        <v>UN</v>
      </c>
      <c r="J17" s="1673">
        <f ca="1">J244</f>
        <v>747257.42999999993</v>
      </c>
      <c r="K17" s="1674">
        <f ca="1">K244</f>
        <v>5.4417874628790393E-2</v>
      </c>
      <c r="L17" s="1679" t="str">
        <f ca="1">IF(SUBTOTAL(109,J245:J292)=J17,"OK","ERRO")</f>
        <v>OK</v>
      </c>
      <c r="M17" s="1972" t="str">
        <f t="shared" ca="1" si="0"/>
        <v>OK</v>
      </c>
      <c r="N17" s="1764" t="e">
        <f>ROUND(SUM(O245:O271)/240,0)</f>
        <v>#VALUE!</v>
      </c>
    </row>
    <row r="18" spans="2:15" s="3" customFormat="1" ht="24.95" hidden="1" customHeight="1" x14ac:dyDescent="0.15">
      <c r="B18" s="1670">
        <f ca="1">A294</f>
        <v>5</v>
      </c>
      <c r="C18" s="1671" t="str">
        <f>D294</f>
        <v>MICRODRENAGEM - SERVIÇOS DE ESTRUTURAS</v>
      </c>
      <c r="E18" s="1675"/>
      <c r="F18" s="1676"/>
      <c r="G18" s="2496"/>
      <c r="H18" s="1677">
        <f>SUM(H299:H300)</f>
        <v>0</v>
      </c>
      <c r="I18" s="894" t="str">
        <f>F299</f>
        <v>M3</v>
      </c>
      <c r="J18" s="1673">
        <f>J294</f>
        <v>0</v>
      </c>
      <c r="K18" s="1674">
        <f ca="1">K294</f>
        <v>0</v>
      </c>
      <c r="L18" s="1681" t="str">
        <f>IF(SUBTOTAL(109,J295:J312)=J18,"OK","ERRO")</f>
        <v>OK</v>
      </c>
      <c r="M18" s="1972" t="str">
        <f t="shared" ca="1" si="0"/>
        <v>OK</v>
      </c>
      <c r="N18" s="1764"/>
    </row>
    <row r="19" spans="2:15" s="3" customFormat="1" ht="24.95" hidden="1" customHeight="1" x14ac:dyDescent="0.15">
      <c r="B19" s="1670">
        <f ca="1">A314</f>
        <v>5</v>
      </c>
      <c r="C19" s="1671" t="str">
        <f>D314</f>
        <v>MICRODRENAGEM - BACIA DE AMORTECIMENTO</v>
      </c>
      <c r="E19" s="1675"/>
      <c r="F19" s="1676"/>
      <c r="G19" s="2496"/>
      <c r="H19" s="1677">
        <f>SUM(H323:H324)</f>
        <v>0</v>
      </c>
      <c r="I19" s="894" t="str">
        <f>F323</f>
        <v>M3</v>
      </c>
      <c r="J19" s="1673">
        <f>J314</f>
        <v>0</v>
      </c>
      <c r="K19" s="1674">
        <f ca="1">K314</f>
        <v>0</v>
      </c>
      <c r="L19" s="1681" t="str">
        <f>IF(SUBTOTAL(109,J316:J411)=J19,"OK","ERRO")</f>
        <v>OK</v>
      </c>
      <c r="M19" s="1972" t="str">
        <f t="shared" ca="1" si="0"/>
        <v>OK</v>
      </c>
      <c r="N19" s="1764">
        <f>ROUND(O323/240,0)</f>
        <v>0</v>
      </c>
    </row>
    <row r="20" spans="2:15" s="3" customFormat="1" ht="24.95" hidden="1" customHeight="1" x14ac:dyDescent="0.15">
      <c r="B20" s="1670">
        <f ca="1">A413</f>
        <v>5</v>
      </c>
      <c r="C20" s="1671" t="str">
        <f>D413</f>
        <v>DRENAGEM DE LENÇOL FREÁTICO</v>
      </c>
      <c r="E20" s="1675"/>
      <c r="F20" s="866"/>
      <c r="G20" s="2496"/>
      <c r="H20" s="1672">
        <f>Dre_Profunda!I3+Dre_Profunda!I15</f>
        <v>0</v>
      </c>
      <c r="I20" s="894" t="str">
        <f>F414</f>
        <v>M</v>
      </c>
      <c r="J20" s="1673">
        <f>J413</f>
        <v>0</v>
      </c>
      <c r="K20" s="1674">
        <f ca="1">K413</f>
        <v>0</v>
      </c>
      <c r="L20" s="1679" t="str">
        <f>IF(SUBTOTAL(109,J414:J446)=J20,"OK","ERRO")</f>
        <v>OK</v>
      </c>
      <c r="M20" s="1972" t="str">
        <f t="shared" ca="1" si="0"/>
        <v>OK</v>
      </c>
      <c r="N20" s="1764">
        <f>ROUND(O416/240,0)</f>
        <v>0</v>
      </c>
    </row>
    <row r="21" spans="2:15" s="3" customFormat="1" ht="24.95" customHeight="1" x14ac:dyDescent="0.15">
      <c r="B21" s="1670">
        <f ca="1">A448</f>
        <v>6</v>
      </c>
      <c r="C21" s="1671" t="str">
        <f>D448</f>
        <v>MICRODRENAGEM - RECOMPOSIÇÃO DO PAVIMENTO</v>
      </c>
      <c r="E21" s="1675"/>
      <c r="F21" s="866"/>
      <c r="G21" s="2496"/>
      <c r="H21" s="1672">
        <f ca="1">H460</f>
        <v>182.08</v>
      </c>
      <c r="I21" s="894" t="str">
        <f>F460</f>
        <v>M2</v>
      </c>
      <c r="J21" s="1673">
        <f ca="1">J448</f>
        <v>20442.95</v>
      </c>
      <c r="K21" s="1674">
        <f ca="1">K448</f>
        <v>1.4887264354703448E-3</v>
      </c>
      <c r="L21" s="1679" t="str">
        <f ca="1">IF(SUBTOTAL(109,J449:J504)=J21,"OK","ERRO")</f>
        <v>OK</v>
      </c>
      <c r="M21" s="1972" t="str">
        <f t="shared" ca="1" si="0"/>
        <v>OK</v>
      </c>
      <c r="N21" s="1764">
        <f>ROUND(SUM(O414:O423)/240,0)</f>
        <v>0</v>
      </c>
    </row>
    <row r="22" spans="2:15" s="3" customFormat="1" ht="24.95" hidden="1" customHeight="1" x14ac:dyDescent="0.15">
      <c r="B22" s="1670">
        <f ca="1">A506</f>
        <v>6</v>
      </c>
      <c r="C22" s="1671" t="str">
        <f>D506</f>
        <v>RESTAURAÇÃO DO PAVIMENTO - RECUPERAÇÃO PRÉVIA DO PAVIMENTO</v>
      </c>
      <c r="E22" s="1675"/>
      <c r="F22" s="1676"/>
      <c r="G22" s="2496"/>
      <c r="H22" s="1677">
        <f>H532+H533</f>
        <v>0</v>
      </c>
      <c r="I22" s="894" t="str">
        <f>F532</f>
        <v>M2</v>
      </c>
      <c r="J22" s="1673">
        <f>J506</f>
        <v>0</v>
      </c>
      <c r="K22" s="1674">
        <f ca="1">K506</f>
        <v>0</v>
      </c>
      <c r="L22" s="1681" t="str">
        <f>IF(SUBTOTAL(109,J507:J580)=J22,"OK","ERRO")</f>
        <v>OK</v>
      </c>
      <c r="M22" s="1972" t="str">
        <f t="shared" ca="1" si="0"/>
        <v>OK</v>
      </c>
      <c r="N22" s="1764"/>
    </row>
    <row r="23" spans="2:15" s="3" customFormat="1" ht="24.95" hidden="1" customHeight="1" x14ac:dyDescent="0.15">
      <c r="B23" s="1670">
        <f ca="1">A582</f>
        <v>6</v>
      </c>
      <c r="C23" s="1671" t="str">
        <f>D582</f>
        <v>RESTAURAÇÃO DO PAVIMENTO - RECAPEAMENTO ASFÁLTICO</v>
      </c>
      <c r="E23" s="1675"/>
      <c r="F23" s="866"/>
      <c r="G23" s="2496"/>
      <c r="H23" s="1672">
        <f>H587</f>
        <v>0</v>
      </c>
      <c r="I23" s="894" t="str">
        <f>F587</f>
        <v>M2</v>
      </c>
      <c r="J23" s="1673">
        <f>J582</f>
        <v>0</v>
      </c>
      <c r="K23" s="1674">
        <f ca="1">K582</f>
        <v>0</v>
      </c>
      <c r="L23" s="1679" t="str">
        <f>IF(SUBTOTAL(109,J583:J622)=J23,"OK","ERRO")</f>
        <v>OK</v>
      </c>
      <c r="M23" s="1972" t="str">
        <f t="shared" ca="1" si="0"/>
        <v>OK</v>
      </c>
      <c r="N23" s="1764"/>
    </row>
    <row r="24" spans="2:15" s="3" customFormat="1" ht="24.95" customHeight="1" x14ac:dyDescent="0.15">
      <c r="B24" s="1670">
        <f ca="1">A624</f>
        <v>7</v>
      </c>
      <c r="C24" s="1671" t="str">
        <f>D624</f>
        <v>IMPLANTAÇÃO ASFÁLTICA - TERRAPLENAGEM</v>
      </c>
      <c r="E24" s="1675"/>
      <c r="F24" s="1676"/>
      <c r="G24" s="2496"/>
      <c r="H24" s="1677">
        <f>H626+H627+H630</f>
        <v>11025.85</v>
      </c>
      <c r="I24" s="894" t="str">
        <f>F626</f>
        <v>M3</v>
      </c>
      <c r="J24" s="1673">
        <f>J624</f>
        <v>312810.52999999997</v>
      </c>
      <c r="K24" s="1674">
        <f ca="1">K624</f>
        <v>2.2779946402279969E-2</v>
      </c>
      <c r="L24" s="1681" t="str">
        <f>IF(SUBTOTAL(109,J625:J643)=J24,"OK","ERRO")</f>
        <v>OK</v>
      </c>
      <c r="M24" s="1972" t="str">
        <f t="shared" ca="1" si="0"/>
        <v>OK</v>
      </c>
      <c r="N24" s="1764">
        <f>ROUND(O626/240,0)</f>
        <v>1</v>
      </c>
    </row>
    <row r="25" spans="2:15" s="3" customFormat="1" ht="24.95" customHeight="1" x14ac:dyDescent="0.15">
      <c r="B25" s="1670">
        <f ca="1">A645</f>
        <v>8</v>
      </c>
      <c r="C25" s="1671" t="str">
        <f>D645</f>
        <v>IMPLANTAÇÃO ASFÁLTICA - PAVIMENTAÇÃO</v>
      </c>
      <c r="E25" s="1675"/>
      <c r="F25" s="866"/>
      <c r="G25" s="2496"/>
      <c r="H25" s="1672">
        <f>H655</f>
        <v>56628.68</v>
      </c>
      <c r="I25" s="894" t="str">
        <f>F655</f>
        <v>M2</v>
      </c>
      <c r="J25" s="1673">
        <f>J645</f>
        <v>7307917.4499999993</v>
      </c>
      <c r="K25" s="1674">
        <f ca="1">K645</f>
        <v>0.53218786408272922</v>
      </c>
      <c r="L25" s="1679" t="str">
        <f>IF(SUBTOTAL(109,J646:J717)=J25,"OK","ERRO")</f>
        <v>OK</v>
      </c>
      <c r="M25" s="1972" t="str">
        <f t="shared" ca="1" si="0"/>
        <v>OK</v>
      </c>
      <c r="N25" s="1764">
        <f>ROUND(O646/240,0)</f>
        <v>2</v>
      </c>
    </row>
    <row r="26" spans="2:15" s="3" customFormat="1" ht="24.95" customHeight="1" x14ac:dyDescent="0.15">
      <c r="B26" s="1670">
        <f ca="1">A719</f>
        <v>9</v>
      </c>
      <c r="C26" s="1671" t="str">
        <f>D719</f>
        <v>SERVIÇOS COMPLEMENTARES</v>
      </c>
      <c r="E26" s="1675"/>
      <c r="F26" s="1676"/>
      <c r="G26" s="2496"/>
      <c r="H26" s="1677">
        <f ca="1">SUM(H720:H726)</f>
        <v>14501.96</v>
      </c>
      <c r="I26" s="894" t="str">
        <f>F720</f>
        <v>M</v>
      </c>
      <c r="J26" s="1673">
        <f ca="1">J719</f>
        <v>987498.49</v>
      </c>
      <c r="K26" s="1674">
        <f ca="1">K719</f>
        <v>7.1913060837601614E-2</v>
      </c>
      <c r="L26" s="1681" t="str">
        <f ca="1">IF(SUBTOTAL(109,J720:J750)=J26,"OK","ERRO")</f>
        <v>OK</v>
      </c>
      <c r="M26" s="1972" t="str">
        <f t="shared" ca="1" si="0"/>
        <v>OK</v>
      </c>
      <c r="N26" s="1764">
        <f ca="1">ROUND(SUM(O720:O726)/240,0)</f>
        <v>5</v>
      </c>
      <c r="O26" s="205"/>
    </row>
    <row r="27" spans="2:15" s="3" customFormat="1" ht="24.95" customHeight="1" x14ac:dyDescent="0.15">
      <c r="B27" s="1670">
        <f ca="1">A752</f>
        <v>10</v>
      </c>
      <c r="C27" s="1671" t="str">
        <f>D752</f>
        <v>PASSEIO COM ACESSIBILIDADE</v>
      </c>
      <c r="E27" s="1675"/>
      <c r="F27" s="866"/>
      <c r="G27" s="2496"/>
      <c r="H27" s="1672">
        <f>H759</f>
        <v>15489.17</v>
      </c>
      <c r="I27" s="894" t="str">
        <f>F759</f>
        <v>M2</v>
      </c>
      <c r="J27" s="1673">
        <f>J752</f>
        <v>1100122.74</v>
      </c>
      <c r="K27" s="1674">
        <f ca="1">K752</f>
        <v>8.0114748864526339E-2</v>
      </c>
      <c r="L27" s="1681" t="str">
        <f>IF(SUBTOTAL(109,J753:J794)=J27,"OK","ERRO")</f>
        <v>OK</v>
      </c>
      <c r="M27" s="1972" t="str">
        <f t="shared" ca="1" si="0"/>
        <v>OK</v>
      </c>
      <c r="N27" s="1764" t="e">
        <f>ROUND(SUM(O759:O763)/240,0)</f>
        <v>#DIV/0!</v>
      </c>
      <c r="O27" s="1678"/>
    </row>
    <row r="28" spans="2:15" s="3" customFormat="1" ht="24.95" hidden="1" customHeight="1" x14ac:dyDescent="0.15">
      <c r="B28" s="1670">
        <f ca="1">A796</f>
        <v>10</v>
      </c>
      <c r="C28" s="1671" t="str">
        <f>D796</f>
        <v>PARADA DE ÔNIBUS - PAVIMENTO RÍGIDO E PLATAFORMA</v>
      </c>
      <c r="E28" s="1675"/>
      <c r="F28" s="866"/>
      <c r="G28" s="2497"/>
      <c r="H28" s="1672">
        <f>COUNTA(Ponto_Onibus!F2:H2)</f>
        <v>0</v>
      </c>
      <c r="I28" s="894" t="s">
        <v>525</v>
      </c>
      <c r="J28" s="1673">
        <f>J796</f>
        <v>0</v>
      </c>
      <c r="K28" s="1674">
        <f ca="1">K796</f>
        <v>0</v>
      </c>
      <c r="L28" s="1679" t="str">
        <f>IF(SUBTOTAL(109,J797:J831)=J28,"OK","ERRO")</f>
        <v>OK</v>
      </c>
      <c r="M28" s="1972" t="str">
        <f t="shared" ca="1" si="0"/>
        <v>OK</v>
      </c>
      <c r="N28" s="1764"/>
      <c r="O28" s="205"/>
    </row>
    <row r="29" spans="2:15" s="3" customFormat="1" ht="24.95" hidden="1" customHeight="1" x14ac:dyDescent="0.15">
      <c r="B29" s="1670">
        <f ca="1">A833</f>
        <v>10</v>
      </c>
      <c r="C29" s="1671" t="str">
        <f>D833</f>
        <v>IMPLANTAÇÃO / ADEQUAÇÃO GEOMÉTRICA DE CICLOVIA</v>
      </c>
      <c r="E29" s="1675"/>
      <c r="F29" s="1676"/>
      <c r="G29" s="205"/>
      <c r="H29" s="1677">
        <f>Ciclovia!J2</f>
        <v>0</v>
      </c>
      <c r="I29" s="894" t="s">
        <v>956</v>
      </c>
      <c r="J29" s="1673">
        <f>J833</f>
        <v>0</v>
      </c>
      <c r="K29" s="1674">
        <f ca="1">K833</f>
        <v>0</v>
      </c>
      <c r="L29" s="1681" t="str">
        <f>IF(SUBTOTAL(109,J834:J893)=J29,"OK","ERRO")</f>
        <v>OK</v>
      </c>
      <c r="M29" s="1972" t="str">
        <f t="shared" ca="1" si="0"/>
        <v>OK</v>
      </c>
      <c r="N29" s="1764" t="e">
        <f>ROUND(SUM(O835:O857)/240,0)</f>
        <v>#VALUE!</v>
      </c>
      <c r="O29" s="205"/>
    </row>
    <row r="30" spans="2:15" s="3" customFormat="1" ht="24.95" customHeight="1" x14ac:dyDescent="0.15">
      <c r="B30" s="1670">
        <f ca="1">A895</f>
        <v>11</v>
      </c>
      <c r="C30" s="1671" t="str">
        <f>D895</f>
        <v>SINALIZAÇÃO VIÁRIA DEFINITIVA HORIZONTAL E VERTICAL E DISPOSITIVOS DE SEGURANÇA</v>
      </c>
      <c r="E30" s="1675"/>
      <c r="F30" s="1676"/>
      <c r="G30" s="205"/>
      <c r="H30" s="1677">
        <f>SUM(H896:H906)</f>
        <v>1067.4099999999999</v>
      </c>
      <c r="I30" s="894" t="str">
        <f>F896</f>
        <v>M2</v>
      </c>
      <c r="J30" s="1673">
        <f>J895</f>
        <v>312419.95999999996</v>
      </c>
      <c r="K30" s="1674">
        <f ca="1">K895</f>
        <v>2.2751503741905529E-2</v>
      </c>
      <c r="L30" s="1679" t="str">
        <f>IF(SUBTOTAL(109,J896:J923)=J30,"OK","ERRO")</f>
        <v>OK</v>
      </c>
      <c r="M30" s="1972" t="str">
        <f t="shared" ca="1" si="0"/>
        <v>OK</v>
      </c>
      <c r="N30" s="1764"/>
      <c r="O30" s="205"/>
    </row>
    <row r="31" spans="2:15" s="3" customFormat="1" ht="24.95" customHeight="1" x14ac:dyDescent="0.15">
      <c r="B31" s="1670">
        <f ca="1">A925</f>
        <v>12</v>
      </c>
      <c r="C31" s="1671" t="str">
        <f>D925</f>
        <v>ADMINISTRAÇÃO LOCAL</v>
      </c>
      <c r="E31" s="1675"/>
      <c r="F31" s="866"/>
      <c r="G31" s="1670"/>
      <c r="H31" s="1672">
        <f>S_Preliminares!N4</f>
        <v>12</v>
      </c>
      <c r="I31" s="894" t="s">
        <v>1958</v>
      </c>
      <c r="J31" s="1673">
        <f>J925</f>
        <v>643162.96</v>
      </c>
      <c r="K31" s="1674">
        <f ca="1">K925</f>
        <v>4.6837354729496274E-2</v>
      </c>
      <c r="L31" s="1679" t="str">
        <f>IF(SUBTOTAL(109,J926:J926)=J31,"OK","ERRO")</f>
        <v>OK</v>
      </c>
      <c r="M31" s="1972" t="str">
        <f t="shared" ca="1" si="0"/>
        <v>OK</v>
      </c>
      <c r="N31" s="1764"/>
      <c r="O31" s="1678"/>
    </row>
    <row r="32" spans="2:15" s="3" customFormat="1" ht="24.95" hidden="1" customHeight="1" x14ac:dyDescent="0.15">
      <c r="B32" s="1670">
        <f ca="1">A928</f>
        <v>12</v>
      </c>
      <c r="C32" s="1671" t="str">
        <f>D928</f>
        <v>SERVIÇOS DE ENGENHARIA</v>
      </c>
      <c r="E32" s="1675"/>
      <c r="F32" s="1676"/>
      <c r="G32" s="205"/>
      <c r="H32" s="1677">
        <f>H948+H955</f>
        <v>0</v>
      </c>
      <c r="I32" s="894" t="str">
        <f>F948</f>
        <v>m²</v>
      </c>
      <c r="J32" s="1673">
        <f>J928</f>
        <v>0</v>
      </c>
      <c r="K32" s="1674">
        <f ca="1">K928</f>
        <v>0</v>
      </c>
      <c r="L32" s="1681" t="str">
        <f>IF(SUBTOTAL(109,J929:J965)=J32,"OK","ERRO")</f>
        <v>OK</v>
      </c>
      <c r="M32" s="1972" t="str">
        <f t="shared" ca="1" si="0"/>
        <v>OK</v>
      </c>
      <c r="N32" s="1764"/>
      <c r="O32" s="205"/>
    </row>
    <row r="33" spans="1:25" s="833" customFormat="1" ht="24.95" customHeight="1" thickBot="1" x14ac:dyDescent="0.2">
      <c r="A33" s="892"/>
      <c r="C33" s="846"/>
      <c r="D33" s="822"/>
      <c r="E33" s="893"/>
      <c r="F33" s="893"/>
      <c r="G33" s="816"/>
      <c r="H33" s="907"/>
      <c r="I33" s="905"/>
      <c r="J33" s="906"/>
      <c r="K33" s="1618"/>
      <c r="L33" s="1681"/>
      <c r="M33" s="1972"/>
      <c r="N33" s="816"/>
      <c r="O33" s="816"/>
    </row>
    <row r="34" spans="1:25" s="833" customFormat="1" ht="50.1" customHeight="1" thickTop="1" thickBot="1" x14ac:dyDescent="0.2">
      <c r="A34" s="828" t="s">
        <v>31</v>
      </c>
      <c r="B34" s="829" t="s">
        <v>186</v>
      </c>
      <c r="C34" s="829" t="s">
        <v>187</v>
      </c>
      <c r="D34" s="830" t="s">
        <v>40</v>
      </c>
      <c r="E34" s="830" t="s">
        <v>32</v>
      </c>
      <c r="F34" s="830" t="s">
        <v>33</v>
      </c>
      <c r="G34" s="1813" t="s">
        <v>443</v>
      </c>
      <c r="H34" s="666" t="s">
        <v>336</v>
      </c>
      <c r="I34" s="831" t="s">
        <v>665</v>
      </c>
      <c r="J34" s="831" t="s">
        <v>666</v>
      </c>
      <c r="K34" s="832" t="s">
        <v>34</v>
      </c>
      <c r="L34" s="1631"/>
      <c r="M34" s="1973" t="s">
        <v>441</v>
      </c>
    </row>
    <row r="35" spans="1:25" s="833" customFormat="1" ht="24.95" customHeight="1" thickTop="1" x14ac:dyDescent="0.15">
      <c r="A35" s="2080">
        <v>1</v>
      </c>
      <c r="B35" s="1633"/>
      <c r="C35" s="1633"/>
      <c r="D35" s="1634" t="s">
        <v>35</v>
      </c>
      <c r="E35" s="1828"/>
      <c r="F35" s="1635"/>
      <c r="G35" s="1820" t="s">
        <v>644</v>
      </c>
      <c r="H35" s="1637"/>
      <c r="I35" s="1638" t="str">
        <f>CONCATENATE("SUB-TOTAL ",A35)</f>
        <v>SUB-TOTAL 1</v>
      </c>
      <c r="J35" s="1639">
        <f ca="1">SUM(J36:J62)</f>
        <v>341683.5</v>
      </c>
      <c r="K35" s="2077">
        <f t="shared" ref="K35:K58" ca="1" si="1">J35/J$967</f>
        <v>2.4882576096602081E-2</v>
      </c>
      <c r="L35" s="1610">
        <f t="shared" ref="L35:L58" ca="1" si="2">J35/J$35</f>
        <v>1</v>
      </c>
      <c r="O35" s="813"/>
      <c r="P35" s="813"/>
      <c r="Q35" s="813"/>
      <c r="R35" s="813"/>
      <c r="S35" s="813"/>
      <c r="T35" s="813"/>
      <c r="U35" s="813"/>
      <c r="V35" s="813"/>
      <c r="W35" s="813"/>
      <c r="X35" s="813"/>
      <c r="Y35" s="813"/>
    </row>
    <row r="36" spans="1:25" s="813" customFormat="1" ht="39.950000000000003" customHeight="1" x14ac:dyDescent="0.15">
      <c r="A36" s="2081">
        <f>Orçamento_Não_Deson!A36</f>
        <v>1.01</v>
      </c>
      <c r="B36" s="834" t="str">
        <f>Orçamento_Não_Deson!B36</f>
        <v>SP/0001</v>
      </c>
      <c r="C36" s="2" t="str">
        <f>VLOOKUP($B36,[5]BOLETIM_SEL!$A:$H,2,0)</f>
        <v>COMPOSIÇÃO</v>
      </c>
      <c r="D36" s="315" t="str">
        <f>VLOOKUP($B36,[5]BOLETIM_SEL!$A:$H,4,0)</f>
        <v>Placa de identificação de obra pública, inclusive pintura e adesivos, estrutura e suporte de madeira. Incluso fornecimento de material e instalação. Ref SINAPI, CÓD 74209/001, DB 01/2020</v>
      </c>
      <c r="E36" s="2"/>
      <c r="F36" s="2" t="str">
        <f>VLOOKUP($B36,[5]BOLETIM_SEL!$A:$H,6,0)</f>
        <v>M2</v>
      </c>
      <c r="G36" s="1407">
        <f>VLOOKUP($B36,[5]BOLETIM_SEL!$A:$H,7,0)</f>
        <v>350.19</v>
      </c>
      <c r="H36" s="1613">
        <f>Orçamento_Não_Deson!H36</f>
        <v>8</v>
      </c>
      <c r="I36" s="877">
        <f t="shared" ref="I36:I58" si="3">TRUNC(G36*(1+$J$5),2)</f>
        <v>443.83</v>
      </c>
      <c r="J36" s="1612">
        <f>TRUNC(H36*I36,2)</f>
        <v>3550.64</v>
      </c>
      <c r="K36" s="2078">
        <f t="shared" ca="1" si="1"/>
        <v>2.5856990458023054E-4</v>
      </c>
      <c r="L36" s="1574">
        <f t="shared" ca="1" si="2"/>
        <v>1.039160509652939E-2</v>
      </c>
      <c r="M36" s="1974"/>
    </row>
    <row r="37" spans="1:25" s="813" customFormat="1" ht="39.950000000000003" hidden="1" customHeight="1" x14ac:dyDescent="0.15">
      <c r="A37" s="2081">
        <f>+Orçamento_Não_Deson!A37</f>
        <v>1.01</v>
      </c>
      <c r="B37" s="834">
        <f>+Orçamento_Não_Deson!B37</f>
        <v>93207</v>
      </c>
      <c r="C37" s="2" t="str">
        <f>VLOOKUP($B37,[5]BOLETIM_SEL!$A:$H,2,0)</f>
        <v>SINAPI</v>
      </c>
      <c r="D37" s="315" t="str">
        <f>VLOOKUP($B37,[5]BOLETIM_SEL!$A:$H,4,0)</f>
        <v>Barracão de obra - Execução de escritório em canteiro de obra em chapa de madeira compensada, não incluso mobiliário e equipamentos. AF_02/2016</v>
      </c>
      <c r="E37" s="2"/>
      <c r="F37" s="2" t="str">
        <f>VLOOKUP($B37,[5]BOLETIM_SEL!$A:$H,6,0)</f>
        <v>M2</v>
      </c>
      <c r="G37" s="1407">
        <f>VLOOKUP($B37,[5]BOLETIM_SEL!$A:$H,7,0)</f>
        <v>1163.28</v>
      </c>
      <c r="H37" s="1613">
        <f>+Orçamento_Não_Deson!H37</f>
        <v>0</v>
      </c>
      <c r="I37" s="877">
        <f t="shared" si="3"/>
        <v>1474.34</v>
      </c>
      <c r="J37" s="1612">
        <f t="shared" ref="J37:J58" si="4">TRUNC(H37*I37,2)</f>
        <v>0</v>
      </c>
      <c r="K37" s="2078">
        <f t="shared" ca="1" si="1"/>
        <v>0</v>
      </c>
      <c r="L37" s="1574">
        <f t="shared" ca="1" si="2"/>
        <v>0</v>
      </c>
      <c r="M37" s="1974"/>
    </row>
    <row r="38" spans="1:25" s="813" customFormat="1" ht="39.950000000000003" hidden="1" customHeight="1" x14ac:dyDescent="0.15">
      <c r="A38" s="2081">
        <f>+Orçamento_Não_Deson!A38</f>
        <v>1.01</v>
      </c>
      <c r="B38" s="834">
        <f>+Orçamento_Não_Deson!B38</f>
        <v>93584</v>
      </c>
      <c r="C38" s="2" t="str">
        <f>VLOOKUP($B38,[5]BOLETIM_SEL!$A:$H,2,0)</f>
        <v>SINAPI</v>
      </c>
      <c r="D38" s="315" t="str">
        <f>VLOOKUP($B38,[5]BOLETIM_SEL!$A:$H,4,0)</f>
        <v>Barracão de obra - Execução de depósito em canteiro de obra em chapa de madeira compensada, não incluso mobiliário. AF_04/2016</v>
      </c>
      <c r="E38" s="2"/>
      <c r="F38" s="2" t="str">
        <f>VLOOKUP($B38,[5]BOLETIM_SEL!$A:$H,6,0)</f>
        <v>M2</v>
      </c>
      <c r="G38" s="1407">
        <f>VLOOKUP($B38,[5]BOLETIM_SEL!$A:$H,7,0)</f>
        <v>920.25</v>
      </c>
      <c r="H38" s="1613">
        <f>+Orçamento_Não_Deson!H38</f>
        <v>0</v>
      </c>
      <c r="I38" s="877">
        <f t="shared" si="3"/>
        <v>1166.32</v>
      </c>
      <c r="J38" s="1612">
        <f t="shared" si="4"/>
        <v>0</v>
      </c>
      <c r="K38" s="2078">
        <f t="shared" ca="1" si="1"/>
        <v>0</v>
      </c>
      <c r="L38" s="1574">
        <f t="shared" ca="1" si="2"/>
        <v>0</v>
      </c>
      <c r="M38" s="1974"/>
    </row>
    <row r="39" spans="1:25" s="813" customFormat="1" ht="39.950000000000003" hidden="1" customHeight="1" x14ac:dyDescent="0.15">
      <c r="A39" s="2081">
        <f>+Orçamento_Não_Deson!A39</f>
        <v>1.01</v>
      </c>
      <c r="B39" s="834">
        <f>+Orçamento_Não_Deson!B39</f>
        <v>93212</v>
      </c>
      <c r="C39" s="2" t="str">
        <f>VLOOKUP($B39,[5]BOLETIM_SEL!$A:$H,2,0)</f>
        <v>SINAPI</v>
      </c>
      <c r="D39" s="315" t="str">
        <f>VLOOKUP($B39,[5]BOLETIM_SEL!$A:$H,4,0)</f>
        <v>Barracão de obra - Execução de sanitário e vestiário em canteiro de obra em chapa de madeira compensada, não incluso mobiliário. AF_02/2016</v>
      </c>
      <c r="E39" s="2"/>
      <c r="F39" s="2" t="str">
        <f>VLOOKUP($B39,[5]BOLETIM_SEL!$A:$H,6,0)</f>
        <v>M2</v>
      </c>
      <c r="G39" s="1407">
        <f>VLOOKUP($B39,[5]BOLETIM_SEL!$A:$H,7,0)</f>
        <v>998.18</v>
      </c>
      <c r="H39" s="1613">
        <f>+Orçamento_Não_Deson!H39</f>
        <v>0</v>
      </c>
      <c r="I39" s="877">
        <f t="shared" si="3"/>
        <v>1265.0899999999999</v>
      </c>
      <c r="J39" s="1612">
        <f t="shared" si="4"/>
        <v>0</v>
      </c>
      <c r="K39" s="2078">
        <f t="shared" ca="1" si="1"/>
        <v>0</v>
      </c>
      <c r="L39" s="1574">
        <f t="shared" ca="1" si="2"/>
        <v>0</v>
      </c>
      <c r="M39" s="1974"/>
    </row>
    <row r="40" spans="1:25" s="813" customFormat="1" ht="30" customHeight="1" x14ac:dyDescent="0.15">
      <c r="A40" s="2081">
        <f ca="1">Orçamento_Não_Deson!A40</f>
        <v>1.02</v>
      </c>
      <c r="B40" s="834">
        <f>Orçamento_Não_Deson!B40</f>
        <v>10775</v>
      </c>
      <c r="C40" s="2" t="str">
        <f>VLOOKUP($B40,[5]BOLETIM_SEL!$A:$H,2,0)</f>
        <v>SINAPI</v>
      </c>
      <c r="D40" s="315" t="str">
        <f>VLOOKUP($B40,[5]BOLETIM_SEL!$A:$H,4,0)</f>
        <v>Locação de container 2,30  x  6,00 m, alt. 2,50 m, com 1 sanitário, para escritório, completo, sem divisórias internas</v>
      </c>
      <c r="E40" s="2"/>
      <c r="F40" s="2" t="str">
        <f>VLOOKUP($B40,[5]BOLETIM_SEL!$A:$H,6,0)</f>
        <v xml:space="preserve">MES   </v>
      </c>
      <c r="G40" s="1407">
        <f>VLOOKUP($B40,[5]BOLETIM_SEL!$A:$H,7,0)</f>
        <v>843</v>
      </c>
      <c r="H40" s="1613">
        <f ca="1">Orçamento_Não_Deson!H40</f>
        <v>12</v>
      </c>
      <c r="I40" s="877">
        <f t="shared" si="3"/>
        <v>1068.4100000000001</v>
      </c>
      <c r="J40" s="1612">
        <f t="shared" ca="1" si="4"/>
        <v>12820.92</v>
      </c>
      <c r="K40" s="2078">
        <f t="shared" ca="1" si="1"/>
        <v>9.3366380737860489E-4</v>
      </c>
      <c r="L40" s="1574">
        <f t="shared" ca="1" si="2"/>
        <v>3.7522795218381921E-2</v>
      </c>
      <c r="M40" s="1974"/>
    </row>
    <row r="41" spans="1:25" s="813" customFormat="1" ht="30" customHeight="1" x14ac:dyDescent="0.15">
      <c r="A41" s="2081">
        <f ca="1">Orçamento_Não_Deson!A41</f>
        <v>1.03</v>
      </c>
      <c r="B41" s="834">
        <f>Orçamento_Não_Deson!B41</f>
        <v>10776</v>
      </c>
      <c r="C41" s="2" t="str">
        <f>VLOOKUP($B41,[5]BOLETIM_SEL!$A:$H,2,0)</f>
        <v>SINAPI</v>
      </c>
      <c r="D41" s="315" t="str">
        <f>VLOOKUP($B41,[5]BOLETIM_SEL!$A:$H,4,0)</f>
        <v>Locação de container 2,30  x  6,00 m, alt. 2,50 m, para escritório, sem divisórias internas e sem sanitário</v>
      </c>
      <c r="E41" s="2"/>
      <c r="F41" s="2" t="str">
        <f>VLOOKUP($B41,[5]BOLETIM_SEL!$A:$H,6,0)</f>
        <v xml:space="preserve">MES   </v>
      </c>
      <c r="G41" s="1407">
        <f>VLOOKUP($B41,[5]BOLETIM_SEL!$A:$H,7,0)</f>
        <v>658.59</v>
      </c>
      <c r="H41" s="1613">
        <f ca="1">Orçamento_Não_Deson!H41</f>
        <v>24</v>
      </c>
      <c r="I41" s="877">
        <f t="shared" si="3"/>
        <v>834.69</v>
      </c>
      <c r="J41" s="1612">
        <f t="shared" ca="1" si="4"/>
        <v>20032.560000000001</v>
      </c>
      <c r="K41" s="2078">
        <f t="shared" ca="1" si="1"/>
        <v>1.4588404140373973E-3</v>
      </c>
      <c r="L41" s="1574">
        <f t="shared" ca="1" si="2"/>
        <v>5.862899437637463E-2</v>
      </c>
      <c r="M41" s="1974"/>
    </row>
    <row r="42" spans="1:25" s="813" customFormat="1" ht="30" customHeight="1" x14ac:dyDescent="0.15">
      <c r="A42" s="2081">
        <f ca="1">Orçamento_Não_Deson!A42</f>
        <v>1.04</v>
      </c>
      <c r="B42" s="834">
        <f>Orçamento_Não_Deson!B42</f>
        <v>10777</v>
      </c>
      <c r="C42" s="2" t="str">
        <f>VLOOKUP($B42,[5]BOLETIM_SEL!$A:$H,2,0)</f>
        <v>SINAPI</v>
      </c>
      <c r="D42" s="315" t="str">
        <f>VLOOKUP($B42,[5]BOLETIM_SEL!$A:$H,4,0)</f>
        <v>Locação de container 2,30 x 4,30 m, alt. 2,50 m, para sanitário, com 3 bacias, 4 chuveiros, 1 lavatório e 1 mictório</v>
      </c>
      <c r="E42" s="2"/>
      <c r="F42" s="2" t="str">
        <f>VLOOKUP($B42,[5]BOLETIM_SEL!$A:$H,6,0)</f>
        <v xml:space="preserve">MES   </v>
      </c>
      <c r="G42" s="1407">
        <f>VLOOKUP($B42,[5]BOLETIM_SEL!$A:$H,7,0)</f>
        <v>957.15</v>
      </c>
      <c r="H42" s="1613">
        <f ca="1">Orçamento_Não_Deson!H42</f>
        <v>12</v>
      </c>
      <c r="I42" s="877">
        <f t="shared" si="3"/>
        <v>1213.0899999999999</v>
      </c>
      <c r="J42" s="1612">
        <f t="shared" ca="1" si="4"/>
        <v>14557.08</v>
      </c>
      <c r="K42" s="2078">
        <f t="shared" ca="1" si="1"/>
        <v>1.0600969928144736E-3</v>
      </c>
      <c r="L42" s="1574">
        <f t="shared" ca="1" si="2"/>
        <v>4.260398877908942E-2</v>
      </c>
      <c r="M42" s="1974"/>
    </row>
    <row r="43" spans="1:25" s="813" customFormat="1" ht="30" customHeight="1" x14ac:dyDescent="0.15">
      <c r="A43" s="2081">
        <f ca="1">Orçamento_Não_Deson!A43</f>
        <v>1.05</v>
      </c>
      <c r="B43" s="834">
        <f>Orçamento_Não_Deson!B43</f>
        <v>93585</v>
      </c>
      <c r="C43" s="2" t="str">
        <f>VLOOKUP($B43,[5]BOLETIM_SEL!$A:$H,2,0)</f>
        <v>SINAPI</v>
      </c>
      <c r="D43" s="315" t="str">
        <f>VLOOKUP($B43,[5]BOLETIM_SEL!$A:$H,4,0)</f>
        <v>Execução de guarita em canteiro de obra em chapa de madeira compensada, não incluso mobiliário. AF_04/2016</v>
      </c>
      <c r="E43" s="2"/>
      <c r="F43" s="2" t="str">
        <f>VLOOKUP($B43,[5]BOLETIM_SEL!$A:$H,6,0)</f>
        <v>M2</v>
      </c>
      <c r="G43" s="1407">
        <f>VLOOKUP($B43,[5]BOLETIM_SEL!$A:$H,7,0)</f>
        <v>1279.58</v>
      </c>
      <c r="H43" s="1613">
        <f>Orçamento_Não_Deson!H43</f>
        <v>4</v>
      </c>
      <c r="I43" s="877">
        <f t="shared" si="3"/>
        <v>1621.73</v>
      </c>
      <c r="J43" s="1612">
        <f t="shared" si="4"/>
        <v>6486.92</v>
      </c>
      <c r="K43" s="2078">
        <f t="shared" ca="1" si="1"/>
        <v>4.7239998575456519E-4</v>
      </c>
      <c r="L43" s="1574">
        <f t="shared" ca="1" si="2"/>
        <v>1.89851719500649E-2</v>
      </c>
      <c r="M43" s="1974"/>
    </row>
    <row r="44" spans="1:25" s="813" customFormat="1" ht="39.950000000000003" customHeight="1" x14ac:dyDescent="0.15">
      <c r="A44" s="2081">
        <f ca="1">Orçamento_Não_Deson!A44</f>
        <v>1.06</v>
      </c>
      <c r="B44" s="834" t="str">
        <f>Orçamento_Não_Deson!B44</f>
        <v>SP/0004</v>
      </c>
      <c r="C44" s="2" t="str">
        <f>VLOOKUP($B44,[5]BOLETIM_SEL!$A:$H,2,0)</f>
        <v>COMPOSIÇÃO</v>
      </c>
      <c r="D44" s="315" t="str">
        <f>VLOOKUP($B44,[5]BOLETIM_SEL!$A:$H,4,0)</f>
        <v>Aluguel de banheiro quimico, incluindo transporte de ida e volta, manutencao e higienizacao 3 vezes por semana. Modelo Luxo, dimensões 2,31 x 1,15 x 1,15m. Cidade: Campo Grande/MS</v>
      </c>
      <c r="E44" s="2"/>
      <c r="F44" s="2" t="str">
        <f>VLOOKUP($B44,[5]BOLETIM_SEL!$A:$H,6,0)</f>
        <v>UN.MÊS</v>
      </c>
      <c r="G44" s="1407">
        <f>VLOOKUP($B44,[5]BOLETIM_SEL!$A:$H,7,0)</f>
        <v>2000</v>
      </c>
      <c r="H44" s="1613">
        <f>Orçamento_Não_Deson!H44</f>
        <v>12</v>
      </c>
      <c r="I44" s="877">
        <f t="shared" si="3"/>
        <v>2534.8000000000002</v>
      </c>
      <c r="J44" s="1612">
        <f t="shared" si="4"/>
        <v>30417.599999999999</v>
      </c>
      <c r="K44" s="2078">
        <f t="shared" ca="1" si="1"/>
        <v>2.2151150016784639E-3</v>
      </c>
      <c r="L44" s="1574">
        <f t="shared" ca="1" si="2"/>
        <v>8.9022735953009136E-2</v>
      </c>
      <c r="M44" s="1974"/>
    </row>
    <row r="45" spans="1:25" s="813" customFormat="1" ht="30" customHeight="1" x14ac:dyDescent="0.15">
      <c r="A45" s="2081">
        <f ca="1">Orçamento_Não_Deson!A45</f>
        <v>1.07</v>
      </c>
      <c r="B45" s="834">
        <f>Orçamento_Não_Deson!B45</f>
        <v>98459</v>
      </c>
      <c r="C45" s="2" t="str">
        <f>VLOOKUP($B45,[5]BOLETIM_SEL!$A:$H,2,0)</f>
        <v>SINAPI</v>
      </c>
      <c r="D45" s="315" t="str">
        <f>VLOOKUP($B45,[5]BOLETIM_SEL!$A:$H,4,0)</f>
        <v>Tapume com telha metálica, sem pintura, trapezoidal espessura 0,5 mm, colunas, bases e parafusos</v>
      </c>
      <c r="E45" s="2"/>
      <c r="F45" s="2" t="str">
        <f>VLOOKUP($B45,[5]BOLETIM_SEL!$A:$H,6,0)</f>
        <v>M2</v>
      </c>
      <c r="G45" s="1407">
        <f>VLOOKUP($B45,[5]BOLETIM_SEL!$A:$H,7,0)</f>
        <v>119.88</v>
      </c>
      <c r="H45" s="1613">
        <f>Orçamento_Não_Deson!H45</f>
        <v>400</v>
      </c>
      <c r="I45" s="877">
        <f t="shared" si="3"/>
        <v>151.93</v>
      </c>
      <c r="J45" s="1612">
        <f t="shared" si="4"/>
        <v>60772</v>
      </c>
      <c r="K45" s="2078">
        <f t="shared" ca="1" si="1"/>
        <v>4.4256275604256622E-3</v>
      </c>
      <c r="L45" s="1574">
        <f t="shared" ca="1" si="2"/>
        <v>0.17786050540924569</v>
      </c>
      <c r="M45" s="1974"/>
    </row>
    <row r="46" spans="1:25" s="813" customFormat="1" ht="39.950000000000003" customHeight="1" x14ac:dyDescent="0.15">
      <c r="A46" s="2081">
        <f ca="1">Orçamento_Não_Deson!A46</f>
        <v>1.08</v>
      </c>
      <c r="B46" s="834">
        <f>Orçamento_Não_Deson!B46</f>
        <v>98525</v>
      </c>
      <c r="C46" s="2" t="str">
        <f>VLOOKUP($B46,[5]BOLETIM_SEL!$A:$H,2,0)</f>
        <v>SINAPI</v>
      </c>
      <c r="D46" s="315" t="str">
        <f>VLOOKUP($B46,[5]BOLETIM_SEL!$A:$H,4,0)</f>
        <v>Limpeza mecanizada de camada vegetal, vegetação e pequenas árvores (diâmetro nominal de tronco menor que 0,20 m), com trator de esteiras. AF_05/2018</v>
      </c>
      <c r="E46" s="2"/>
      <c r="F46" s="2" t="str">
        <f>VLOOKUP($B46,[5]BOLETIM_SEL!$A:$H,6,0)</f>
        <v>M2</v>
      </c>
      <c r="G46" s="1407">
        <f>VLOOKUP($B46,[5]BOLETIM_SEL!$A:$H,7,0)</f>
        <v>0.32</v>
      </c>
      <c r="H46" s="1613">
        <f>Orçamento_Não_Deson!H46</f>
        <v>10000</v>
      </c>
      <c r="I46" s="877">
        <f t="shared" si="3"/>
        <v>0.4</v>
      </c>
      <c r="J46" s="1612">
        <f t="shared" si="4"/>
        <v>4000</v>
      </c>
      <c r="K46" s="2078">
        <f t="shared" ca="1" si="1"/>
        <v>2.912938564092452E-4</v>
      </c>
      <c r="L46" s="1574">
        <f t="shared" ca="1" si="2"/>
        <v>1.1706740302063166E-2</v>
      </c>
      <c r="M46" s="1974"/>
    </row>
    <row r="47" spans="1:25" s="813" customFormat="1" ht="39.950000000000003" customHeight="1" x14ac:dyDescent="0.15">
      <c r="A47" s="2081">
        <f ca="1">Orçamento_Não_Deson!A47</f>
        <v>1.0900000000000001</v>
      </c>
      <c r="B47" s="834" t="str">
        <f>Orçamento_Não_Deson!B47</f>
        <v>SC/0068</v>
      </c>
      <c r="C47" s="2" t="str">
        <f>VLOOKUP($B47,[5]BOLETIM_SEL!$A:$H,2,0)</f>
        <v>COMPOSIÇÃO</v>
      </c>
      <c r="D47" s="315" t="str">
        <f>VLOOKUP($B47,[5]BOLETIM_SEL!$A:$H,4,0)</f>
        <v>Revestimento de pátio com pedra britada com espessura de 5 cm com regularização do terreno com motoniveladora. Exclusive transporte. (REF SINAPI COD 100575)</v>
      </c>
      <c r="E47" s="2"/>
      <c r="F47" s="2" t="str">
        <f>VLOOKUP($B47,[5]BOLETIM_SEL!$A:$H,6,0)</f>
        <v>M2</v>
      </c>
      <c r="G47" s="1407">
        <f>VLOOKUP($B47,[5]BOLETIM_SEL!$A:$H,7,0)</f>
        <v>5.05</v>
      </c>
      <c r="H47" s="1613">
        <f>Orçamento_Não_Deson!H47</f>
        <v>2500</v>
      </c>
      <c r="I47" s="877">
        <f t="shared" si="3"/>
        <v>6.4</v>
      </c>
      <c r="J47" s="1612">
        <f t="shared" si="4"/>
        <v>16000</v>
      </c>
      <c r="K47" s="2078">
        <f t="shared" ca="1" si="1"/>
        <v>1.1651754256369808E-3</v>
      </c>
      <c r="L47" s="1574">
        <f t="shared" ca="1" si="2"/>
        <v>4.6826961208252665E-2</v>
      </c>
      <c r="M47" s="1974"/>
      <c r="O47" s="833"/>
      <c r="P47" s="833"/>
      <c r="Q47" s="833"/>
      <c r="R47" s="833"/>
      <c r="S47" s="833"/>
      <c r="T47" s="833"/>
      <c r="U47" s="833"/>
      <c r="V47" s="833"/>
      <c r="W47" s="833"/>
      <c r="X47" s="833"/>
    </row>
    <row r="48" spans="1:25" s="813" customFormat="1" ht="39.950000000000003" customHeight="1" x14ac:dyDescent="0.15">
      <c r="A48" s="2081">
        <f ca="1">Orçamento_Não_Deson!A48</f>
        <v>1.1000000000000001</v>
      </c>
      <c r="B48" s="834" t="str">
        <f>Orçamento_Não_Deson!B48</f>
        <v>SC/0110</v>
      </c>
      <c r="C48" s="2" t="str">
        <f>VLOOKUP($B48,[5]BOLETIM_SEL!$A:$H,2,0)</f>
        <v>COMPOSIÇÃO</v>
      </c>
      <c r="D48" s="315" t="str">
        <f>VLOOKUP($B48,[5]BOLETIM_SEL!$A:$H,4,0)</f>
        <v>Cerca com mourões de madeira roliça Ø 11cm, espaçamento de 2,00m, altura livre de 1,50m, cravado 0,50m, com 5 fios de arame liso ovalado 15x17, conforme projeto</v>
      </c>
      <c r="E48" s="2"/>
      <c r="F48" s="2" t="str">
        <f>VLOOKUP($B48,[5]BOLETIM_SEL!$A:$H,6,0)</f>
        <v>M</v>
      </c>
      <c r="G48" s="1407">
        <f>VLOOKUP($B48,[5]BOLETIM_SEL!$A:$H,7,0)</f>
        <v>34.28</v>
      </c>
      <c r="H48" s="1613">
        <f>Orçamento_Não_Deson!H48</f>
        <v>400</v>
      </c>
      <c r="I48" s="877">
        <f t="shared" si="3"/>
        <v>43.44</v>
      </c>
      <c r="J48" s="1612">
        <f t="shared" si="4"/>
        <v>17376</v>
      </c>
      <c r="K48" s="2078">
        <f t="shared" ca="1" si="1"/>
        <v>1.2653805122417611E-3</v>
      </c>
      <c r="L48" s="1574">
        <f t="shared" ca="1" si="2"/>
        <v>5.0854079872162394E-2</v>
      </c>
      <c r="M48" s="1974"/>
      <c r="O48" s="833"/>
      <c r="P48" s="833"/>
      <c r="Q48" s="833"/>
      <c r="R48" s="833"/>
      <c r="S48" s="833"/>
      <c r="T48" s="833"/>
      <c r="U48" s="833"/>
      <c r="V48" s="833"/>
      <c r="W48" s="833"/>
      <c r="X48" s="833"/>
    </row>
    <row r="49" spans="1:24" s="813" customFormat="1" ht="39.950000000000003" customHeight="1" x14ac:dyDescent="0.15">
      <c r="A49" s="2081">
        <f ca="1">Orçamento_Não_Deson!A49</f>
        <v>1.1100000000000001</v>
      </c>
      <c r="B49" s="834" t="str">
        <f>Orçamento_Não_Deson!B49</f>
        <v>SC/0120</v>
      </c>
      <c r="C49" s="2" t="str">
        <f>VLOOKUP($B49,[5]BOLETIM_SEL!$A:$H,2,0)</f>
        <v>COMPOSIÇÃO</v>
      </c>
      <c r="D49" s="315" t="str">
        <f>VLOOKUP($B49,[5]BOLETIM_SEL!$A:$H,4,0)</f>
        <v>Portão para veículos em tela arame galvanizado n.12 malha 2" e moldura em tubos de aco com duas folhas de abrir, incluso ferragens (REF. SINAPI COD. 74238/2 - Descontinuado)</v>
      </c>
      <c r="E49" s="2"/>
      <c r="F49" s="2" t="str">
        <f>VLOOKUP($B49,[5]BOLETIM_SEL!$A:$H,6,0)</f>
        <v>M2</v>
      </c>
      <c r="G49" s="1407">
        <f>VLOOKUP($B49,[5]BOLETIM_SEL!$A:$H,7,0)</f>
        <v>975.13</v>
      </c>
      <c r="H49" s="1613">
        <f>Orçamento_Não_Deson!H49</f>
        <v>14.4</v>
      </c>
      <c r="I49" s="877">
        <f t="shared" si="3"/>
        <v>1235.8699999999999</v>
      </c>
      <c r="J49" s="1612">
        <f t="shared" si="4"/>
        <v>17796.52</v>
      </c>
      <c r="K49" s="2078">
        <f t="shared" ca="1" si="1"/>
        <v>1.2960042353660651E-3</v>
      </c>
      <c r="L49" s="1574">
        <f t="shared" ca="1" si="2"/>
        <v>5.2084809480118295E-2</v>
      </c>
      <c r="M49" s="1974"/>
      <c r="O49" s="833"/>
      <c r="P49" s="833"/>
      <c r="Q49" s="833"/>
      <c r="R49" s="833"/>
      <c r="S49" s="833"/>
      <c r="T49" s="833"/>
      <c r="U49" s="833"/>
      <c r="V49" s="833"/>
      <c r="W49" s="833"/>
      <c r="X49" s="833"/>
    </row>
    <row r="50" spans="1:24" s="813" customFormat="1" ht="50.1" customHeight="1" x14ac:dyDescent="0.15">
      <c r="A50" s="2081">
        <f ca="1">Orçamento_Não_Deson!A50</f>
        <v>1.1200000000000001</v>
      </c>
      <c r="B50" s="834" t="str">
        <f>Orçamento_Não_Deson!B50</f>
        <v>SP/0020</v>
      </c>
      <c r="C50" s="2" t="str">
        <f>VLOOKUP($B50,[5]BOLETIM_SEL!$A:$H,2,0)</f>
        <v>COMPOSIÇÃO</v>
      </c>
      <c r="D50" s="315" t="str">
        <f>VLOOKUP($B50,[5]BOLETIM_SEL!$A:$H,4,0)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50" s="2"/>
      <c r="F50" s="2" t="str">
        <f>VLOOKUP($B50,[5]BOLETIM_SEL!$A:$H,6,0)</f>
        <v>M2</v>
      </c>
      <c r="G50" s="1407">
        <f>VLOOKUP($B50,[5]BOLETIM_SEL!$A:$H,7,0)</f>
        <v>130.25</v>
      </c>
      <c r="H50" s="1613">
        <f ca="1">Orçamento_Não_Deson!H50</f>
        <v>62</v>
      </c>
      <c r="I50" s="877">
        <f t="shared" si="3"/>
        <v>165.07</v>
      </c>
      <c r="J50" s="1612">
        <f t="shared" ca="1" si="4"/>
        <v>10234.34</v>
      </c>
      <c r="K50" s="2078">
        <f t="shared" ca="1" si="1"/>
        <v>7.4530009160084861E-4</v>
      </c>
      <c r="L50" s="1574">
        <f t="shared" ca="1" si="2"/>
        <v>2.9952690135754287E-2</v>
      </c>
      <c r="M50" s="1974"/>
      <c r="O50" s="833"/>
      <c r="P50" s="833"/>
      <c r="Q50" s="833"/>
      <c r="R50" s="833"/>
      <c r="S50" s="833"/>
      <c r="X50" s="816"/>
    </row>
    <row r="51" spans="1:24" s="813" customFormat="1" ht="30" customHeight="1" x14ac:dyDescent="0.15">
      <c r="A51" s="2081">
        <f ca="1">Orçamento_Não_Deson!A51</f>
        <v>1.1300000000000001</v>
      </c>
      <c r="B51" s="834" t="str">
        <f>Orçamento_Não_Deson!B51</f>
        <v>SP/0025</v>
      </c>
      <c r="C51" s="2" t="str">
        <f>VLOOKUP($B51,[5]BOLETIM_SEL!$A:$H,2,0)</f>
        <v>COMPOSIÇÃO</v>
      </c>
      <c r="D51" s="315" t="str">
        <f>VLOOKUP($B51,[5]BOLETIM_SEL!$A:$H,4,0)</f>
        <v>Segurança de trânsito - sinalização de advertência de obra com elemento luminoso (balde vermelho)</v>
      </c>
      <c r="E51" s="2"/>
      <c r="F51" s="2" t="str">
        <f>VLOOKUP($B51,[5]BOLETIM_SEL!$A:$H,6,0)</f>
        <v>M</v>
      </c>
      <c r="G51" s="1407">
        <f>VLOOKUP($B51,[5]BOLETIM_SEL!$A:$H,7,0)</f>
        <v>3.13</v>
      </c>
      <c r="H51" s="1613">
        <f ca="1">Orçamento_Não_Deson!H51</f>
        <v>1463.44</v>
      </c>
      <c r="I51" s="877">
        <f t="shared" si="3"/>
        <v>3.96</v>
      </c>
      <c r="J51" s="1612">
        <f t="shared" ca="1" si="4"/>
        <v>5795.22</v>
      </c>
      <c r="K51" s="2078">
        <f t="shared" ca="1" si="1"/>
        <v>4.2202799563499649E-4</v>
      </c>
      <c r="L51" s="1574">
        <f t="shared" ca="1" si="2"/>
        <v>1.6960783883330628E-2</v>
      </c>
      <c r="M51" s="1974"/>
      <c r="O51" s="833"/>
      <c r="P51" s="833"/>
      <c r="Q51" s="833"/>
      <c r="R51" s="833"/>
      <c r="S51" s="833"/>
      <c r="X51" s="833"/>
    </row>
    <row r="52" spans="1:24" s="813" customFormat="1" ht="39.950000000000003" hidden="1" customHeight="1" x14ac:dyDescent="0.15">
      <c r="A52" s="2081">
        <f ca="1">+Orçamento_Não_Deson!A52</f>
        <v>1.1300000000000001</v>
      </c>
      <c r="B52" s="834">
        <f>+Orçamento_Não_Deson!B52</f>
        <v>98458</v>
      </c>
      <c r="C52" s="2" t="str">
        <f>VLOOKUP($B52,[5]BOLETIM_SEL!$A:$H,2,0)</f>
        <v>SINAPI</v>
      </c>
      <c r="D52" s="315" t="str">
        <f>VLOOKUP($B52,[5]BOLETIM_SEL!$A:$H,4,0)</f>
        <v>Segurança de trânsito - tapume baixo removível de proteção para valas com chapas compensadas (6 mm). Exclusive pintura de sinalização de advertência</v>
      </c>
      <c r="E52" s="2"/>
      <c r="F52" s="2" t="str">
        <f>VLOOKUP($B52,[5]BOLETIM_SEL!$A:$H,6,0)</f>
        <v>M2</v>
      </c>
      <c r="G52" s="1407">
        <f>VLOOKUP($B52,[5]BOLETIM_SEL!$A:$H,7,0)</f>
        <v>152.86000000000001</v>
      </c>
      <c r="H52" s="1613">
        <f>+Orçamento_Não_Deson!H52</f>
        <v>0</v>
      </c>
      <c r="I52" s="877">
        <f t="shared" si="3"/>
        <v>193.73</v>
      </c>
      <c r="J52" s="1612">
        <f t="shared" si="4"/>
        <v>0</v>
      </c>
      <c r="K52" s="2078">
        <f t="shared" ca="1" si="1"/>
        <v>0</v>
      </c>
      <c r="L52" s="1574">
        <f t="shared" ca="1" si="2"/>
        <v>0</v>
      </c>
      <c r="M52" s="1974"/>
      <c r="O52" s="833"/>
      <c r="P52" s="833"/>
      <c r="Q52" s="833"/>
      <c r="R52" s="833"/>
      <c r="S52" s="833"/>
      <c r="X52" s="833"/>
    </row>
    <row r="53" spans="1:24" s="813" customFormat="1" ht="50.1" customHeight="1" x14ac:dyDescent="0.15">
      <c r="A53" s="2081">
        <f ca="1">Orçamento_Não_Deson!A53</f>
        <v>1.1400000000000001</v>
      </c>
      <c r="B53" s="834" t="str">
        <f>Orçamento_Não_Deson!B53</f>
        <v>SP/0030</v>
      </c>
      <c r="C53" s="2" t="str">
        <f>VLOOKUP($B53,[5]BOLETIM_SEL!$A:$H,2,0)</f>
        <v>COMPOSIÇÃO</v>
      </c>
      <c r="D53" s="315" t="str">
        <f>VLOOKUP($B53,[5]BOLETIM_SEL!$A:$H,4,0)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E53" s="2"/>
      <c r="F53" s="2" t="str">
        <f>VLOOKUP($B53,[5]BOLETIM_SEL!$A:$H,6,0)</f>
        <v>M</v>
      </c>
      <c r="G53" s="1407">
        <f>VLOOKUP($B53,[5]BOLETIM_SEL!$A:$H,7,0)</f>
        <v>10.09</v>
      </c>
      <c r="H53" s="1613">
        <f ca="1">Orçamento_Não_Deson!H53</f>
        <v>2949.66</v>
      </c>
      <c r="I53" s="877">
        <f t="shared" si="3"/>
        <v>12.78</v>
      </c>
      <c r="J53" s="1612">
        <f ca="1">TRUNC(H53*I53,2)</f>
        <v>37696.65</v>
      </c>
      <c r="K53" s="2078">
        <f t="shared" ca="1" si="1"/>
        <v>2.7452006380523932E-3</v>
      </c>
      <c r="L53" s="1574">
        <f t="shared" ca="1" si="2"/>
        <v>0.11032622295194237</v>
      </c>
      <c r="M53" s="1974"/>
      <c r="O53" s="833"/>
      <c r="X53" s="833"/>
    </row>
    <row r="54" spans="1:24" s="813" customFormat="1" ht="30" customHeight="1" x14ac:dyDescent="0.15">
      <c r="A54" s="2081">
        <f ca="1">Orçamento_Não_Deson!A54</f>
        <v>1.1500000000000001</v>
      </c>
      <c r="B54" s="834">
        <f>Orçamento_Não_Deson!B54</f>
        <v>13244</v>
      </c>
      <c r="C54" s="2" t="str">
        <f>VLOOKUP($B54,[5]BOLETIM_SEL!$A:$H,2,0)</f>
        <v>SINAPI</v>
      </c>
      <c r="D54" s="315" t="str">
        <f>VLOOKUP($B54,[5]BOLETIM_SEL!$A:$H,4,0)</f>
        <v>Segurança de trânsito - cone de sinalização em pvc rígido com faixa refletiva, h = 70 / 76 cm</v>
      </c>
      <c r="E54" s="2"/>
      <c r="F54" s="2" t="str">
        <f>VLOOKUP($B54,[5]BOLETIM_SEL!$A:$H,6,0)</f>
        <v xml:space="preserve">UN    </v>
      </c>
      <c r="G54" s="1407">
        <f>VLOOKUP($B54,[5]BOLETIM_SEL!$A:$H,7,0)</f>
        <v>51.9</v>
      </c>
      <c r="H54" s="1613">
        <f ca="1">Orçamento_Não_Deson!H54</f>
        <v>126</v>
      </c>
      <c r="I54" s="877">
        <f t="shared" si="3"/>
        <v>65.77</v>
      </c>
      <c r="J54" s="1612">
        <f ca="1">TRUNC(H54*I54,2)</f>
        <v>8287.02</v>
      </c>
      <c r="K54" s="2078">
        <f t="shared" ca="1" si="1"/>
        <v>6.0348950348513577E-4</v>
      </c>
      <c r="L54" s="1574">
        <f t="shared" ca="1" si="2"/>
        <v>2.4253497754500877E-2</v>
      </c>
      <c r="M54" s="1974"/>
      <c r="O54" s="833"/>
      <c r="X54" s="833"/>
    </row>
    <row r="55" spans="1:24" s="813" customFormat="1" ht="30" customHeight="1" x14ac:dyDescent="0.15">
      <c r="A55" s="2081">
        <f ca="1">Orçamento_Não_Deson!A55</f>
        <v>1.1600000000000001</v>
      </c>
      <c r="B55" s="834" t="str">
        <f>Orçamento_Não_Deson!B55</f>
        <v>SP/0050</v>
      </c>
      <c r="C55" s="2" t="str">
        <f>VLOOKUP($B55,[5]BOLETIM_SEL!$A:$H,2,0)</f>
        <v>COMPOSIÇÃO</v>
      </c>
      <c r="D55" s="315" t="str">
        <f>VLOOKUP($B55,[5]BOLETIM_SEL!$A:$H,4,0)</f>
        <v>Sondagem de investigação de interferências subterrâneas, incluindo escavações mecânica e manual e reaterro</v>
      </c>
      <c r="E55" s="2"/>
      <c r="F55" s="2" t="str">
        <f>VLOOKUP($B55,[5]BOLETIM_SEL!$A:$H,6,0)</f>
        <v xml:space="preserve">UN </v>
      </c>
      <c r="G55" s="1407">
        <f>VLOOKUP($B55,[5]BOLETIM_SEL!$A:$H,7,0)</f>
        <v>281.04000000000002</v>
      </c>
      <c r="H55" s="1613">
        <f ca="1">Orçamento_Não_Deson!H55</f>
        <v>26</v>
      </c>
      <c r="I55" s="877">
        <f t="shared" si="3"/>
        <v>356.19</v>
      </c>
      <c r="J55" s="1612">
        <f ca="1">TRUNC(H55*I55,2)</f>
        <v>9260.94</v>
      </c>
      <c r="K55" s="2078">
        <f t="shared" ca="1" si="1"/>
        <v>6.7441373164365875E-4</v>
      </c>
      <c r="L55" s="1574">
        <f t="shared" ca="1" si="2"/>
        <v>2.7103854883247219E-2</v>
      </c>
      <c r="M55" s="1974"/>
      <c r="O55" s="833"/>
      <c r="X55" s="833"/>
    </row>
    <row r="56" spans="1:24" s="813" customFormat="1" ht="30" customHeight="1" x14ac:dyDescent="0.15">
      <c r="A56" s="2081">
        <f ca="1">Orçamento_Não_Deson!A56</f>
        <v>1.1700000000000002</v>
      </c>
      <c r="B56" s="834" t="str">
        <f>Orçamento_Não_Deson!B56</f>
        <v>SP/0060</v>
      </c>
      <c r="C56" s="2" t="str">
        <f>VLOOKUP($B56,[5]BOLETIM_SEL!$A:$H,2,0)</f>
        <v>COMPOSIÇÃO</v>
      </c>
      <c r="D56" s="315" t="str">
        <f>VLOOKUP($B56,[5]BOLETIM_SEL!$A:$H,4,0)</f>
        <v>Reparo em ramal de ligação predial de água</v>
      </c>
      <c r="E56" s="2"/>
      <c r="F56" s="2" t="str">
        <f>VLOOKUP($B56,[5]BOLETIM_SEL!$A:$H,6,0)</f>
        <v xml:space="preserve">UN </v>
      </c>
      <c r="G56" s="1407">
        <f>VLOOKUP($B56,[5]BOLETIM_SEL!$A:$H,7,0)</f>
        <v>240.98</v>
      </c>
      <c r="H56" s="1613">
        <f ca="1">Orçamento_Não_Deson!H56</f>
        <v>52</v>
      </c>
      <c r="I56" s="877">
        <f t="shared" si="3"/>
        <v>305.41000000000003</v>
      </c>
      <c r="J56" s="1612">
        <f ca="1">TRUNC(H56*I56,2)</f>
        <v>15881.32</v>
      </c>
      <c r="K56" s="2078">
        <f t="shared" ca="1" si="1"/>
        <v>1.1565327369173184E-3</v>
      </c>
      <c r="L56" s="1574">
        <f t="shared" ca="1" si="2"/>
        <v>4.6479622223490454E-2</v>
      </c>
      <c r="M56" s="1974"/>
      <c r="O56" s="833"/>
      <c r="P56" s="833"/>
      <c r="Q56" s="833"/>
      <c r="R56" s="833"/>
      <c r="S56" s="833"/>
      <c r="T56" s="833"/>
      <c r="U56" s="833"/>
      <c r="V56" s="833"/>
      <c r="W56" s="833"/>
      <c r="X56" s="833"/>
    </row>
    <row r="57" spans="1:24" s="813" customFormat="1" ht="30" customHeight="1" x14ac:dyDescent="0.15">
      <c r="A57" s="2081">
        <f ca="1">Orçamento_Não_Deson!A57</f>
        <v>1.1800000000000002</v>
      </c>
      <c r="B57" s="834">
        <f>Orçamento_Não_Deson!B57</f>
        <v>100575</v>
      </c>
      <c r="C57" s="2" t="str">
        <f>VLOOKUP($B57,[5]BOLETIM_SEL!$A:$H,2,0)</f>
        <v>SINAPI</v>
      </c>
      <c r="D57" s="315" t="str">
        <f>VLOOKUP($B57,[5]BOLETIM_SEL!$A:$H,4,0)</f>
        <v>Regularização de superfícies com motoniveladora. AF_11/2019</v>
      </c>
      <c r="E57" s="2"/>
      <c r="F57" s="2" t="str">
        <f>VLOOKUP($B57,[5]BOLETIM_SEL!$A:$H,6,0)</f>
        <v>M2</v>
      </c>
      <c r="G57" s="1407">
        <f>VLOOKUP($B57,[5]BOLETIM_SEL!$A:$H,7,0)</f>
        <v>0.11</v>
      </c>
      <c r="H57" s="1613">
        <f ca="1">Orçamento_Não_Deson!H57</f>
        <v>14153.09</v>
      </c>
      <c r="I57" s="877">
        <f t="shared" si="3"/>
        <v>0.13</v>
      </c>
      <c r="J57" s="1612">
        <f ca="1">TRUNC(H57*I57,2)</f>
        <v>1839.9</v>
      </c>
      <c r="K57" s="2078">
        <f t="shared" ca="1" si="1"/>
        <v>1.3398789160184256E-4</v>
      </c>
      <c r="L57" s="1574">
        <f t="shared" ca="1" si="2"/>
        <v>5.3848078704415055E-3</v>
      </c>
      <c r="M57" s="1974"/>
      <c r="O57" s="833"/>
      <c r="P57" s="833"/>
      <c r="Q57" s="833"/>
      <c r="R57" s="833"/>
      <c r="S57" s="833"/>
      <c r="T57" s="833"/>
      <c r="U57" s="833"/>
      <c r="V57" s="833"/>
      <c r="W57" s="833"/>
      <c r="X57" s="833"/>
    </row>
    <row r="58" spans="1:24" s="813" customFormat="1" ht="39.950000000000003" customHeight="1" x14ac:dyDescent="0.15">
      <c r="A58" s="2081">
        <f ca="1">Orçamento_Não_Deson!A58</f>
        <v>1.1900000000000002</v>
      </c>
      <c r="B58" s="834">
        <f>Orçamento_Não_Deson!B58</f>
        <v>100979</v>
      </c>
      <c r="C58" s="2" t="str">
        <f>VLOOKUP($B58,[5]BOLETIM_SEL!$A:$H,2,0)</f>
        <v>SINAPI</v>
      </c>
      <c r="D58" s="315" t="str">
        <f>VLOOKUP($B58,[5]BOLETIM_SEL!$A:$H,4,0)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58" s="2"/>
      <c r="F58" s="2" t="str">
        <f>VLOOKUP($B58,[5]BOLETIM_SEL!$A:$H,6,0)</f>
        <v>M3</v>
      </c>
      <c r="G58" s="1407">
        <f>VLOOKUP($B58,[5]BOLETIM_SEL!$A:$H,7,0)</f>
        <v>5.91</v>
      </c>
      <c r="H58" s="1613">
        <f>Orçamento_Não_Deson!H58</f>
        <v>2000</v>
      </c>
      <c r="I58" s="877">
        <f t="shared" si="3"/>
        <v>7.49</v>
      </c>
      <c r="J58" s="1612">
        <f t="shared" si="4"/>
        <v>14980</v>
      </c>
      <c r="K58" s="2078">
        <f t="shared" ca="1" si="1"/>
        <v>1.0908954922526231E-3</v>
      </c>
      <c r="L58" s="1574">
        <f t="shared" ca="1" si="2"/>
        <v>4.3841742431226557E-2</v>
      </c>
      <c r="M58" s="1975" t="str">
        <f>Orçamento_Não_Deson!M58</f>
        <v>ESCAVADEIRA</v>
      </c>
      <c r="O58" s="833"/>
      <c r="P58" s="833"/>
      <c r="Q58" s="833"/>
      <c r="R58" s="833"/>
      <c r="S58" s="833"/>
      <c r="T58" s="833"/>
      <c r="U58" s="833"/>
      <c r="V58" s="833"/>
      <c r="W58" s="833"/>
      <c r="X58" s="833"/>
    </row>
    <row r="59" spans="1:24" s="813" customFormat="1" ht="24.95" customHeight="1" x14ac:dyDescent="0.15">
      <c r="A59" s="2081">
        <f>Orçamento_Não_Deson!A59</f>
        <v>0</v>
      </c>
      <c r="B59" s="834">
        <f>Orçamento_Não_Deson!B59</f>
        <v>0</v>
      </c>
      <c r="C59" s="2"/>
      <c r="D59" s="1452" t="s">
        <v>1806</v>
      </c>
      <c r="E59" s="2"/>
      <c r="F59" s="2"/>
      <c r="G59" s="1407"/>
      <c r="H59" s="2"/>
      <c r="I59" s="2"/>
      <c r="J59" s="839" t="str">
        <f>IF(J60=0,"-","")</f>
        <v/>
      </c>
      <c r="K59" s="2078"/>
      <c r="L59" s="1574"/>
      <c r="M59" s="1974" t="str">
        <f>Orçamento_Não_Deson!M59</f>
        <v>Depósito de expurgo SEM reciclagem: 1</v>
      </c>
      <c r="O59" s="833"/>
      <c r="P59" s="833"/>
      <c r="Q59" s="833"/>
      <c r="R59" s="833"/>
      <c r="S59" s="833"/>
      <c r="T59" s="833"/>
      <c r="U59" s="833"/>
      <c r="V59" s="833"/>
      <c r="W59" s="833"/>
      <c r="X59" s="833"/>
    </row>
    <row r="60" spans="1:24" s="813" customFormat="1" ht="39.950000000000003" customHeight="1" x14ac:dyDescent="0.15">
      <c r="A60" s="2081">
        <f ca="1">Orçamento_Não_Deson!A60</f>
        <v>1.2000000000000002</v>
      </c>
      <c r="B60" s="834">
        <f>Orçamento_Não_Deson!B60</f>
        <v>95876</v>
      </c>
      <c r="C60" s="2" t="str">
        <f>VLOOKUP($B60,[5]BOLETIM_SEL!$A:$H,2,0)</f>
        <v>SINAPI</v>
      </c>
      <c r="D60" s="315" t="str">
        <f>VLOOKUP($B60,[5]BOLETIM_SEL!$A:$H,4,0)</f>
        <v>Transporte com caminhão basculante de 14 m3, em via urbana pavimentada, DMT até 30,00 km (unidade: m3xkm). AF_07/2020</v>
      </c>
      <c r="E60" s="2">
        <f>Orçamento_Não_Deson!E60</f>
        <v>4</v>
      </c>
      <c r="F60" s="2" t="str">
        <f>VLOOKUP($B60,[5]BOLETIM_SEL!$A:$H,6,0)</f>
        <v>M3XKM</v>
      </c>
      <c r="G60" s="1407">
        <f>VLOOKUP($B60,[5]BOLETIM_SEL!$A:$H,7,0)</f>
        <v>1.91</v>
      </c>
      <c r="H60" s="1613">
        <f>ROUND(H58*E60,2)</f>
        <v>8000</v>
      </c>
      <c r="I60" s="877">
        <f>TRUNC(G60*(1+$J$5),2)</f>
        <v>2.42</v>
      </c>
      <c r="J60" s="1612">
        <f>TRUNC(H60*I60,2)</f>
        <v>19360</v>
      </c>
      <c r="K60" s="2078">
        <f ca="1">J60/J$967</f>
        <v>1.4098622650207467E-3</v>
      </c>
      <c r="L60" s="1574">
        <f ca="1">J60/J$35</f>
        <v>5.6660623061985729E-2</v>
      </c>
      <c r="M60" s="1976">
        <f>Orçamento_Não_Deson!M60</f>
        <v>2000</v>
      </c>
      <c r="O60" s="1414"/>
      <c r="P60" s="833"/>
      <c r="Q60" s="833"/>
      <c r="R60" s="833"/>
      <c r="S60" s="833"/>
      <c r="T60" s="833"/>
      <c r="U60" s="833"/>
      <c r="V60" s="833"/>
      <c r="W60" s="833"/>
      <c r="X60" s="833"/>
    </row>
    <row r="61" spans="1:24" s="813" customFormat="1" ht="24.95" customHeight="1" x14ac:dyDescent="0.15">
      <c r="A61" s="2081">
        <f>Orçamento_Não_Deson!A61</f>
        <v>0</v>
      </c>
      <c r="B61" s="834">
        <f>Orçamento_Não_Deson!B61</f>
        <v>0</v>
      </c>
      <c r="C61" s="2"/>
      <c r="D61" s="1452" t="s">
        <v>2190</v>
      </c>
      <c r="E61" s="2"/>
      <c r="F61" s="2"/>
      <c r="G61" s="1407"/>
      <c r="H61" s="2"/>
      <c r="I61" s="2"/>
      <c r="J61" s="839" t="str">
        <f>IF(J62=0,"-","")</f>
        <v/>
      </c>
      <c r="K61" s="2078"/>
      <c r="L61" s="1574"/>
      <c r="M61" s="1974" t="str">
        <f>Orçamento_Não_Deson!M61</f>
        <v>Depósito de expurgo SEM reciclagem: 1</v>
      </c>
      <c r="O61" s="833"/>
      <c r="P61" s="833"/>
      <c r="Q61" s="833"/>
      <c r="R61" s="833"/>
      <c r="S61" s="833"/>
      <c r="T61" s="833"/>
      <c r="U61" s="833"/>
      <c r="V61" s="833"/>
      <c r="W61" s="833"/>
      <c r="X61" s="833"/>
    </row>
    <row r="62" spans="1:24" s="813" customFormat="1" ht="39.950000000000003" customHeight="1" x14ac:dyDescent="0.15">
      <c r="A62" s="2081">
        <f ca="1">Orçamento_Não_Deson!A62</f>
        <v>1.2100000000000002</v>
      </c>
      <c r="B62" s="834">
        <f>Orçamento_Não_Deson!B62</f>
        <v>93593</v>
      </c>
      <c r="C62" s="2" t="str">
        <f>VLOOKUP($B62,[5]BOLETIM_SEL!$A:$H,2,0)</f>
        <v>SINAPI</v>
      </c>
      <c r="D62" s="315" t="str">
        <f>VLOOKUP($B62,[5]BOLETIM_SEL!$A:$H,4,0)</f>
        <v>Transporte com caminhão basculante de 14 m3, em via urbana pavimentada, adicional para DMT excedente a 30,00 km (unidade: m3xkm). AF_07/2020</v>
      </c>
      <c r="E62" s="2">
        <f>Orçamento_Não_Deson!E62</f>
        <v>109</v>
      </c>
      <c r="F62" s="2" t="str">
        <f>VLOOKUP($B62,[5]BOLETIM_SEL!$A:$H,6,0)</f>
        <v>M3XKM</v>
      </c>
      <c r="G62" s="1407">
        <f>VLOOKUP($B62,[5]BOLETIM_SEL!$A:$H,7,0)</f>
        <v>0.77</v>
      </c>
      <c r="H62" s="1613">
        <f>ROUND(S_Preliminares!N17*1.1*E62,2)</f>
        <v>14987.5</v>
      </c>
      <c r="I62" s="877">
        <f>TRUNC(G62*(1+$J$5),2)</f>
        <v>0.97</v>
      </c>
      <c r="J62" s="1612">
        <f>TRUNC(H62*I62,2)</f>
        <v>14537.87</v>
      </c>
      <c r="K62" s="2078">
        <f ca="1">J62/J$967</f>
        <v>1.0586980540690683E-3</v>
      </c>
      <c r="L62" s="1574">
        <f ca="1">J62/J$35</f>
        <v>4.2547767158788767E-2</v>
      </c>
      <c r="M62" s="1976">
        <f>Orçamento_Não_Deson!M62</f>
        <v>137.5</v>
      </c>
      <c r="O62" s="1414"/>
      <c r="P62" s="833"/>
      <c r="Q62" s="833"/>
      <c r="R62" s="833"/>
      <c r="S62" s="833"/>
      <c r="T62" s="833"/>
      <c r="U62" s="833"/>
      <c r="V62" s="833"/>
      <c r="W62" s="833"/>
      <c r="X62" s="833"/>
    </row>
    <row r="63" spans="1:24" s="813" customFormat="1" ht="39.950000000000003" customHeight="1" x14ac:dyDescent="0.15">
      <c r="A63" s="2081"/>
      <c r="B63" s="834"/>
      <c r="C63" s="834"/>
      <c r="D63" s="835"/>
      <c r="E63" s="2"/>
      <c r="F63" s="834"/>
      <c r="G63" s="1821"/>
      <c r="H63" s="1"/>
      <c r="I63" s="877"/>
      <c r="J63" s="839" t="str">
        <f ca="1">IF(J35=0,0,"")</f>
        <v/>
      </c>
      <c r="K63" s="2078"/>
      <c r="L63" s="1574"/>
      <c r="M63" s="1833"/>
      <c r="O63" s="833"/>
      <c r="P63" s="833"/>
      <c r="Q63" s="833"/>
      <c r="R63" s="833"/>
      <c r="S63" s="833"/>
      <c r="T63" s="833"/>
      <c r="U63" s="833"/>
      <c r="V63" s="833"/>
      <c r="W63" s="833"/>
      <c r="X63" s="833"/>
    </row>
    <row r="64" spans="1:24" s="833" customFormat="1" ht="30" customHeight="1" x14ac:dyDescent="0.15">
      <c r="A64" s="2082">
        <f ca="1">IF(J64&gt;0,INT(A60)+1,IF(J64=0,INT(A60),0))</f>
        <v>2</v>
      </c>
      <c r="B64" s="1633"/>
      <c r="C64" s="1633"/>
      <c r="D64" s="1634" t="s">
        <v>1653</v>
      </c>
      <c r="E64" s="1828"/>
      <c r="F64" s="1635"/>
      <c r="G64" s="1820" t="s">
        <v>1675</v>
      </c>
      <c r="H64" s="1637"/>
      <c r="I64" s="1640" t="str">
        <f ca="1">CONCATENATE("SUB-TOTAL ",A64)</f>
        <v>SUB-TOTAL 2</v>
      </c>
      <c r="J64" s="1639">
        <f ca="1">SUM(J65:J98)</f>
        <v>171817.56000000003</v>
      </c>
      <c r="K64" s="2079">
        <f t="shared" ref="K64:K90" ca="1" si="5">J64/J$967</f>
        <v>1.251234991280672E-2</v>
      </c>
      <c r="L64" s="1610">
        <f t="shared" ref="L64:L90" ca="1" si="6">J64/$J$64</f>
        <v>1</v>
      </c>
      <c r="N64" s="1964" t="s">
        <v>1962</v>
      </c>
      <c r="O64" s="1655" t="s">
        <v>1988</v>
      </c>
    </row>
    <row r="65" spans="1:24" s="813" customFormat="1" ht="39.950000000000003" hidden="1" customHeight="1" x14ac:dyDescent="0.15">
      <c r="A65" s="2081">
        <f ca="1">+Orçamento_Não_Deson!A65</f>
        <v>2</v>
      </c>
      <c r="B65" s="834" t="str">
        <f>+Orçamento_Não_Deson!B65</f>
        <v>SR/0010</v>
      </c>
      <c r="C65" s="2" t="str">
        <f>VLOOKUP($B65,[5]BOLETIM_SEL!$A:$H,2,0)</f>
        <v>COMPOSIÇÃO</v>
      </c>
      <c r="D65" s="315" t="str">
        <f>VLOOKUP($B65,[5]BOLETIM_SEL!$A:$H,4,0)</f>
        <v>Demolição de concreto simples, de forma manual, sem reaproveitamento (REF. SICRO COD. 1600436)</v>
      </c>
      <c r="E65" s="2">
        <f>+Orçamento_Não_Deson!E65</f>
        <v>0</v>
      </c>
      <c r="F65" s="2" t="str">
        <f>VLOOKUP($B65,[5]BOLETIM_SEL!$A:$H,6,0)</f>
        <v>M3</v>
      </c>
      <c r="G65" s="1407">
        <f>VLOOKUP($B65,[5]BOLETIM_SEL!$A:$H,7,0)</f>
        <v>239.43</v>
      </c>
      <c r="H65" s="1613">
        <f>+Orçamento_Não_Deson!H65</f>
        <v>0</v>
      </c>
      <c r="I65" s="877">
        <f t="shared" ref="I65:I90" si="7">TRUNC(G65*(1+$J$5),2)</f>
        <v>303.45</v>
      </c>
      <c r="J65" s="1612">
        <f t="shared" ref="J65:J87" si="8">TRUNC(H65*I65,2)</f>
        <v>0</v>
      </c>
      <c r="K65" s="2078">
        <f t="shared" ca="1" si="5"/>
        <v>0</v>
      </c>
      <c r="L65" s="1574">
        <f t="shared" ca="1" si="6"/>
        <v>0</v>
      </c>
      <c r="M65" s="1833"/>
      <c r="N65" s="1965">
        <f>VLOOKUP($B65,[5]BOLETIM_SEL!$A:$H,3,0)</f>
        <v>0.08</v>
      </c>
      <c r="O65" s="1652">
        <f t="shared" ref="O65:O73" si="9">+H65/N65</f>
        <v>0</v>
      </c>
      <c r="Q65" s="833"/>
      <c r="R65" s="833"/>
      <c r="S65" s="833"/>
      <c r="T65" s="833"/>
      <c r="U65" s="833"/>
      <c r="V65" s="833"/>
      <c r="W65" s="833"/>
      <c r="X65" s="833"/>
    </row>
    <row r="66" spans="1:24" s="813" customFormat="1" ht="39.950000000000003" customHeight="1" x14ac:dyDescent="0.15">
      <c r="A66" s="2081">
        <f ca="1">Orçamento_Não_Deson!A66</f>
        <v>2.0099999999999998</v>
      </c>
      <c r="B66" s="834" t="str">
        <f>Orçamento_Não_Deson!B66</f>
        <v>SR/0020</v>
      </c>
      <c r="C66" s="2" t="str">
        <f>VLOOKUP($B66,[5]BOLETIM_SEL!$A:$H,2,0)</f>
        <v>COMPOSIÇÃO</v>
      </c>
      <c r="D66" s="315" t="str">
        <f>VLOOKUP($B66,[5]BOLETIM_SEL!$A:$H,4,0)</f>
        <v>Demolição de concreto simples, de forma mecanizada, sem reaproveitamento (REF. SICRO COD. 1600989, db 01-2023)</v>
      </c>
      <c r="E66" s="2">
        <f>Orçamento_Não_Deson!E66</f>
        <v>0</v>
      </c>
      <c r="F66" s="2" t="str">
        <f>VLOOKUP($B66,[5]BOLETIM_SEL!$A:$H,6,0)</f>
        <v>M3</v>
      </c>
      <c r="G66" s="1407">
        <f>VLOOKUP($B66,[5]BOLETIM_SEL!$A:$H,7,0)</f>
        <v>229.39</v>
      </c>
      <c r="H66" s="1613">
        <f>Orçamento_Não_Deson!H66</f>
        <v>251.09</v>
      </c>
      <c r="I66" s="877">
        <f t="shared" si="7"/>
        <v>290.72000000000003</v>
      </c>
      <c r="J66" s="1612">
        <f t="shared" si="8"/>
        <v>72996.88</v>
      </c>
      <c r="K66" s="2078">
        <f t="shared" ca="1" si="5"/>
        <v>5.3158856702607256E-3</v>
      </c>
      <c r="L66" s="1574">
        <f t="shared" ca="1" si="6"/>
        <v>0.42485110369394136</v>
      </c>
      <c r="M66" s="1833"/>
      <c r="N66" s="1965">
        <f>VLOOKUP($B66,[5]BOLETIM_SEL!$A:$H,3,0)</f>
        <v>0.6</v>
      </c>
      <c r="O66" s="1652">
        <f>H66/N66</f>
        <v>418.48333333333335</v>
      </c>
      <c r="Q66" s="833"/>
      <c r="R66" s="833"/>
      <c r="S66" s="833"/>
      <c r="T66" s="833"/>
      <c r="U66" s="833"/>
      <c r="V66" s="833"/>
      <c r="W66" s="833"/>
      <c r="X66" s="833"/>
    </row>
    <row r="67" spans="1:24" s="813" customFormat="1" ht="39.950000000000003" hidden="1" customHeight="1" x14ac:dyDescent="0.15">
      <c r="A67" s="2081">
        <f ca="1">+Orçamento_Não_Deson!A67</f>
        <v>2.0099999999999998</v>
      </c>
      <c r="B67" s="834" t="str">
        <f>+Orçamento_Não_Deson!B67</f>
        <v>SR/0030</v>
      </c>
      <c r="C67" s="2" t="str">
        <f>VLOOKUP($B67,[5]BOLETIM_SEL!$A:$H,2,0)</f>
        <v>COMPOSIÇÃO</v>
      </c>
      <c r="D67" s="315" t="str">
        <f>VLOOKUP($B67,[5]BOLETIM_SEL!$A:$H,4,0)</f>
        <v>Demolição de concreto armado, de forma manual, sem reaproveitamento (REF. SICRO COD. 1600438)</v>
      </c>
      <c r="E67" s="2">
        <f>+Orçamento_Não_Deson!E67</f>
        <v>0</v>
      </c>
      <c r="F67" s="2" t="str">
        <f>VLOOKUP($B67,[5]BOLETIM_SEL!$A:$H,6,0)</f>
        <v>M3</v>
      </c>
      <c r="G67" s="1407">
        <f>VLOOKUP($B67,[5]BOLETIM_SEL!$A:$H,7,0)</f>
        <v>383.1</v>
      </c>
      <c r="H67" s="1613">
        <f>+Orçamento_Não_Deson!H67</f>
        <v>0</v>
      </c>
      <c r="I67" s="877">
        <f t="shared" si="7"/>
        <v>485.54</v>
      </c>
      <c r="J67" s="1612">
        <f t="shared" si="8"/>
        <v>0</v>
      </c>
      <c r="K67" s="2078">
        <f t="shared" ca="1" si="5"/>
        <v>0</v>
      </c>
      <c r="L67" s="1574">
        <f t="shared" ca="1" si="6"/>
        <v>0</v>
      </c>
      <c r="M67" s="1833"/>
      <c r="N67" s="1965">
        <f>VLOOKUP($B67,[5]BOLETIM_SEL!$A:$H,3,0)</f>
        <v>0.05</v>
      </c>
      <c r="O67" s="1652">
        <f t="shared" si="9"/>
        <v>0</v>
      </c>
      <c r="Q67" s="833"/>
      <c r="R67" s="833"/>
      <c r="S67" s="833"/>
      <c r="T67" s="833"/>
      <c r="U67" s="833"/>
      <c r="V67" s="833"/>
      <c r="W67" s="833"/>
      <c r="X67" s="833"/>
    </row>
    <row r="68" spans="1:24" s="813" customFormat="1" ht="39.950000000000003" hidden="1" customHeight="1" x14ac:dyDescent="0.15">
      <c r="A68" s="2081">
        <f ca="1">+Orçamento_Não_Deson!A68</f>
        <v>2.0099999999999998</v>
      </c>
      <c r="B68" s="834" t="str">
        <f>+Orçamento_Não_Deson!B68</f>
        <v>SR/0040</v>
      </c>
      <c r="C68" s="2" t="str">
        <f>VLOOKUP($B68,[5]BOLETIM_SEL!$A:$H,2,0)</f>
        <v>COMPOSIÇÃO</v>
      </c>
      <c r="D68" s="315" t="str">
        <f>VLOOKUP($B68,[5]BOLETIM_SEL!$A:$H,4,0)</f>
        <v>Demolição de concreto armado, de forma mecanizada, sem reaproveitamento (REF. SICRO COD. 1619003)</v>
      </c>
      <c r="E68" s="2">
        <f>+Orçamento_Não_Deson!E68</f>
        <v>0</v>
      </c>
      <c r="F68" s="2" t="str">
        <f>VLOOKUP($B68,[5]BOLETIM_SEL!$A:$H,6,0)</f>
        <v>M3</v>
      </c>
      <c r="G68" s="1407">
        <f>VLOOKUP($B68,[5]BOLETIM_SEL!$A:$H,7,0)</f>
        <v>156.53</v>
      </c>
      <c r="H68" s="1613">
        <f>+Orçamento_Não_Deson!H68</f>
        <v>0</v>
      </c>
      <c r="I68" s="877">
        <f t="shared" si="7"/>
        <v>198.38</v>
      </c>
      <c r="J68" s="1612">
        <f t="shared" si="8"/>
        <v>0</v>
      </c>
      <c r="K68" s="2078">
        <f t="shared" ca="1" si="5"/>
        <v>0</v>
      </c>
      <c r="L68" s="1574">
        <f t="shared" ca="1" si="6"/>
        <v>0</v>
      </c>
      <c r="M68" s="1833"/>
      <c r="N68" s="1965">
        <f>VLOOKUP($B68,[5]BOLETIM_SEL!$A:$H,3,0)</f>
        <v>4.7699999999999996</v>
      </c>
      <c r="O68" s="1652">
        <f t="shared" si="9"/>
        <v>0</v>
      </c>
      <c r="Q68" s="833"/>
      <c r="R68" s="833"/>
      <c r="S68" s="833"/>
      <c r="T68" s="833"/>
      <c r="U68" s="833"/>
      <c r="V68" s="833"/>
      <c r="W68" s="833"/>
      <c r="X68" s="833"/>
    </row>
    <row r="69" spans="1:24" s="813" customFormat="1" ht="39.950000000000003" hidden="1" customHeight="1" x14ac:dyDescent="0.15">
      <c r="A69" s="2081">
        <f ca="1">+Orçamento_Não_Deson!A69</f>
        <v>2.0099999999999998</v>
      </c>
      <c r="B69" s="834">
        <f>+Orçamento_Não_Deson!B69</f>
        <v>97624</v>
      </c>
      <c r="C69" s="2" t="str">
        <f>VLOOKUP($B69,[5]BOLETIM_SEL!$A:$H,2,0)</f>
        <v>SINAPI</v>
      </c>
      <c r="D69" s="315" t="str">
        <f>VLOOKUP($B69,[5]BOLETIM_SEL!$A:$H,4,0)</f>
        <v>Demolição de alvenaria de tijolo maciço, de forma manual, sem reaproveitamento. AF_12/2017</v>
      </c>
      <c r="E69" s="2">
        <f>+Orçamento_Não_Deson!E69</f>
        <v>0</v>
      </c>
      <c r="F69" s="2" t="str">
        <f>VLOOKUP($B69,[5]BOLETIM_SEL!$A:$H,6,0)</f>
        <v>M3</v>
      </c>
      <c r="G69" s="1407">
        <f>VLOOKUP($B69,[5]BOLETIM_SEL!$A:$H,7,0)</f>
        <v>83.41</v>
      </c>
      <c r="H69" s="1613">
        <f>+Orçamento_Não_Deson!H69</f>
        <v>0</v>
      </c>
      <c r="I69" s="877">
        <f t="shared" si="7"/>
        <v>105.71</v>
      </c>
      <c r="J69" s="1612">
        <f t="shared" si="8"/>
        <v>0</v>
      </c>
      <c r="K69" s="2078">
        <f t="shared" ca="1" si="5"/>
        <v>0</v>
      </c>
      <c r="L69" s="1574">
        <f t="shared" ca="1" si="6"/>
        <v>0</v>
      </c>
      <c r="M69" s="1833"/>
      <c r="N69" s="1965">
        <f>VLOOKUP($B69,[5]BOLETIM_SEL!$A:$H,3,0)</f>
        <v>2.36</v>
      </c>
      <c r="O69" s="1652">
        <f t="shared" si="9"/>
        <v>0</v>
      </c>
      <c r="Q69" s="833"/>
      <c r="R69" s="833"/>
      <c r="S69" s="833"/>
      <c r="T69" s="833"/>
      <c r="U69" s="833"/>
      <c r="V69" s="833"/>
      <c r="W69" s="833"/>
      <c r="X69" s="833"/>
    </row>
    <row r="70" spans="1:24" s="813" customFormat="1" ht="39.950000000000003" hidden="1" customHeight="1" x14ac:dyDescent="0.15">
      <c r="A70" s="2081">
        <f ca="1">+Orçamento_Não_Deson!A70</f>
        <v>2.0099999999999998</v>
      </c>
      <c r="B70" s="834" t="str">
        <f>+Orçamento_Não_Deson!B70</f>
        <v>SR/0070</v>
      </c>
      <c r="C70" s="2" t="str">
        <f>VLOOKUP($B70,[5]BOLETIM_SEL!$A:$H,2,0)</f>
        <v>COMPOSIÇÃO</v>
      </c>
      <c r="D70" s="315" t="str">
        <f>VLOOKUP($B70,[5]BOLETIM_SEL!$A:$H,4,0)</f>
        <v>Demolição de alvenaria de pedra, de forma manual, com reaproveitamento</v>
      </c>
      <c r="E70" s="2">
        <f>+Orçamento_Não_Deson!E70</f>
        <v>0</v>
      </c>
      <c r="F70" s="2" t="str">
        <f>VLOOKUP($B70,[5]BOLETIM_SEL!$A:$H,6,0)</f>
        <v>M3</v>
      </c>
      <c r="G70" s="1407">
        <f>VLOOKUP($B70,[5]BOLETIM_SEL!$A:$H,7,0)</f>
        <v>76.62</v>
      </c>
      <c r="H70" s="1613">
        <f>+Orçamento_Não_Deson!H70</f>
        <v>0</v>
      </c>
      <c r="I70" s="877">
        <f t="shared" si="7"/>
        <v>97.1</v>
      </c>
      <c r="J70" s="1612">
        <f t="shared" si="8"/>
        <v>0</v>
      </c>
      <c r="K70" s="2078">
        <f t="shared" ca="1" si="5"/>
        <v>0</v>
      </c>
      <c r="L70" s="1574">
        <f t="shared" ca="1" si="6"/>
        <v>0</v>
      </c>
      <c r="M70" s="1833"/>
      <c r="N70" s="1965">
        <f>VLOOKUP($B70,[5]BOLETIM_SEL!$A:$H,3,0)</f>
        <v>2.5</v>
      </c>
      <c r="O70" s="1652">
        <f t="shared" si="9"/>
        <v>0</v>
      </c>
      <c r="Q70" s="833"/>
      <c r="R70" s="833"/>
      <c r="S70" s="833"/>
      <c r="T70" s="833"/>
      <c r="U70" s="833"/>
      <c r="V70" s="833"/>
      <c r="W70" s="833"/>
      <c r="X70" s="833"/>
    </row>
    <row r="71" spans="1:24" s="813" customFormat="1" ht="39.950000000000003" hidden="1" customHeight="1" x14ac:dyDescent="0.15">
      <c r="A71" s="2081">
        <f ca="1">+Orçamento_Não_Deson!A71</f>
        <v>2.0099999999999998</v>
      </c>
      <c r="B71" s="834" t="str">
        <f>+Orçamento_Não_Deson!B71</f>
        <v>SR/0050</v>
      </c>
      <c r="C71" s="2" t="str">
        <f>VLOOKUP($B71,[5]BOLETIM_SEL!$A:$H,2,0)</f>
        <v>COMPOSIÇÃO</v>
      </c>
      <c r="D71" s="315" t="str">
        <f>VLOOKUP($B71,[5]BOLETIM_SEL!$A:$H,4,0)</f>
        <v>Demolição de piso em ladrilho, de forma mecanizada, sem reaproveitamento (REF. SINAPI COD. 97634)</v>
      </c>
      <c r="E71" s="2">
        <f>+Orçamento_Não_Deson!E71</f>
        <v>0</v>
      </c>
      <c r="F71" s="2" t="str">
        <f>VLOOKUP($B71,[5]BOLETIM_SEL!$A:$H,6,0)</f>
        <v>M2</v>
      </c>
      <c r="G71" s="1407">
        <f>VLOOKUP($B71,[5]BOLETIM_SEL!$A:$H,7,0)</f>
        <v>10.59</v>
      </c>
      <c r="H71" s="1613">
        <f>+Orçamento_Não_Deson!H71</f>
        <v>0</v>
      </c>
      <c r="I71" s="877">
        <f t="shared" si="7"/>
        <v>13.42</v>
      </c>
      <c r="J71" s="1612">
        <f t="shared" si="8"/>
        <v>0</v>
      </c>
      <c r="K71" s="2078">
        <f t="shared" ca="1" si="5"/>
        <v>0</v>
      </c>
      <c r="L71" s="1574">
        <f t="shared" ca="1" si="6"/>
        <v>0</v>
      </c>
      <c r="M71" s="1833"/>
      <c r="N71" s="1966">
        <f>VLOOKUP($B71,[5]BOLETIM_SEL!$A:$H,3,0)</f>
        <v>7.15</v>
      </c>
      <c r="O71" s="1652">
        <f t="shared" si="9"/>
        <v>0</v>
      </c>
      <c r="Q71" s="833"/>
      <c r="R71" s="833"/>
      <c r="S71" s="833"/>
      <c r="T71" s="833"/>
      <c r="U71" s="833"/>
      <c r="V71" s="833"/>
      <c r="W71" s="833"/>
      <c r="X71" s="833"/>
    </row>
    <row r="72" spans="1:24" s="813" customFormat="1" ht="30" customHeight="1" x14ac:dyDescent="0.15">
      <c r="A72" s="2081">
        <f ca="1">Orçamento_Não_Deson!A72</f>
        <v>2.0199999999999996</v>
      </c>
      <c r="B72" s="834">
        <f>Orçamento_Não_Deson!B72</f>
        <v>97636</v>
      </c>
      <c r="C72" s="2" t="str">
        <f>VLOOKUP($B72,[5]BOLETIM_SEL!$A:$H,2,0)</f>
        <v>SINAPI</v>
      </c>
      <c r="D72" s="315" t="str">
        <f>VLOOKUP($B72,[5]BOLETIM_SEL!$A:$H,4,0)</f>
        <v>Demolição parcial de pavimento asfáltico, de forma mecanizada, sem reaproveitamento. AF_12/2017</v>
      </c>
      <c r="E72" s="2">
        <f>Orçamento_Não_Deson!E72</f>
        <v>0</v>
      </c>
      <c r="F72" s="2" t="str">
        <f>VLOOKUP($B72,[5]BOLETIM_SEL!$A:$H,6,0)</f>
        <v>M2</v>
      </c>
      <c r="G72" s="1407">
        <f>VLOOKUP($B72,[5]BOLETIM_SEL!$A:$H,7,0)</f>
        <v>16.88</v>
      </c>
      <c r="H72" s="1613">
        <f ca="1">Orçamento_Não_Deson!H72</f>
        <v>712.25</v>
      </c>
      <c r="I72" s="877">
        <f t="shared" si="7"/>
        <v>21.39</v>
      </c>
      <c r="J72" s="1612">
        <f ca="1">TRUNC(H72*I72,2)</f>
        <v>15235.02</v>
      </c>
      <c r="K72" s="2078">
        <f t="shared" ca="1" si="5"/>
        <v>1.1094669320679948E-3</v>
      </c>
      <c r="L72" s="1574">
        <f t="shared" ca="1" si="6"/>
        <v>8.8669749471474268E-2</v>
      </c>
      <c r="M72" s="1833"/>
      <c r="N72" s="1965">
        <f>VLOOKUP($B72,[5]BOLETIM_SEL!$A:$H,3,0)</f>
        <v>8.18</v>
      </c>
      <c r="O72" s="1652">
        <f ca="1">H72/N72</f>
        <v>87.072127139364312</v>
      </c>
      <c r="Q72" s="833"/>
      <c r="R72" s="833"/>
      <c r="S72" s="833"/>
      <c r="T72" s="833"/>
      <c r="U72" s="833"/>
      <c r="V72" s="833"/>
      <c r="W72" s="833"/>
      <c r="X72" s="833"/>
    </row>
    <row r="73" spans="1:24" s="813" customFormat="1" ht="39.950000000000003" hidden="1" customHeight="1" x14ac:dyDescent="0.15">
      <c r="A73" s="2081">
        <f ca="1">+Orçamento_Não_Deson!A73</f>
        <v>2.0199999999999996</v>
      </c>
      <c r="B73" s="834" t="str">
        <f>+Orçamento_Não_Deson!B73</f>
        <v>SR/0060</v>
      </c>
      <c r="C73" s="2" t="str">
        <f>VLOOKUP($B73,[5]BOLETIM_SEL!$A:$H,2,0)</f>
        <v>COMPOSIÇÃO</v>
      </c>
      <c r="D73" s="315" t="str">
        <f>VLOOKUP($B73,[5]BOLETIM_SEL!$A:$H,4,0)</f>
        <v>Remoção de piso em bloco de concreto, de forma mecanizada, sem reaproveitamento</v>
      </c>
      <c r="E73" s="2">
        <f>+Orçamento_Não_Deson!E73</f>
        <v>0</v>
      </c>
      <c r="F73" s="2" t="str">
        <f>VLOOKUP($B73,[5]BOLETIM_SEL!$A:$H,6,0)</f>
        <v>M2</v>
      </c>
      <c r="G73" s="1407">
        <f>VLOOKUP($B73,[5]BOLETIM_SEL!$A:$H,7,0)</f>
        <v>11.47</v>
      </c>
      <c r="H73" s="1613">
        <f>+Orçamento_Não_Deson!H73</f>
        <v>0</v>
      </c>
      <c r="I73" s="877">
        <f t="shared" si="7"/>
        <v>14.53</v>
      </c>
      <c r="J73" s="1612">
        <f t="shared" si="8"/>
        <v>0</v>
      </c>
      <c r="K73" s="2078">
        <f t="shared" ca="1" si="5"/>
        <v>0</v>
      </c>
      <c r="L73" s="1574">
        <f t="shared" ca="1" si="6"/>
        <v>0</v>
      </c>
      <c r="M73" s="1833"/>
      <c r="N73" s="1965">
        <f>VLOOKUP($B73,[5]BOLETIM_SEL!$A:$H,3,0)</f>
        <v>21.78</v>
      </c>
      <c r="O73" s="1652">
        <f t="shared" si="9"/>
        <v>0</v>
      </c>
      <c r="Q73" s="833"/>
      <c r="R73" s="833"/>
      <c r="S73" s="833"/>
      <c r="T73" s="833"/>
      <c r="U73" s="833"/>
      <c r="V73" s="833"/>
      <c r="W73" s="833"/>
      <c r="X73" s="833"/>
    </row>
    <row r="74" spans="1:24" s="813" customFormat="1" ht="30" customHeight="1" x14ac:dyDescent="0.15">
      <c r="A74" s="2081">
        <f ca="1">Orçamento_Não_Deson!A74</f>
        <v>2.0299999999999994</v>
      </c>
      <c r="B74" s="834" t="str">
        <f>Orçamento_Não_Deson!B74</f>
        <v>SR/0100</v>
      </c>
      <c r="C74" s="2" t="str">
        <f>VLOOKUP($B74,[5]BOLETIM_SEL!$A:$H,2,0)</f>
        <v>COMPOSIÇÃO</v>
      </c>
      <c r="D74" s="315" t="str">
        <f>VLOOKUP($B74,[5]BOLETIM_SEL!$A:$H,4,0)</f>
        <v>Recorte mecânico de pavimento asfáltico ou piso de concreto, com serra de disco diamantado para piso/asfalto</v>
      </c>
      <c r="E74" s="2">
        <f>Orçamento_Não_Deson!E74</f>
        <v>0</v>
      </c>
      <c r="F74" s="2" t="str">
        <f>VLOOKUP($B74,[5]BOLETIM_SEL!$A:$H,6,0)</f>
        <v>M</v>
      </c>
      <c r="G74" s="1407">
        <f>VLOOKUP($B74,[5]BOLETIM_SEL!$A:$H,7,0)</f>
        <v>3.14</v>
      </c>
      <c r="H74" s="1613">
        <f>Orçamento_Não_Deson!H74</f>
        <v>3859.97</v>
      </c>
      <c r="I74" s="877">
        <f t="shared" si="7"/>
        <v>3.97</v>
      </c>
      <c r="J74" s="1612">
        <f>TRUNC(H74*I74,2)</f>
        <v>15324.08</v>
      </c>
      <c r="K74" s="2078">
        <f t="shared" ca="1" si="5"/>
        <v>1.1159525897809464E-3</v>
      </c>
      <c r="L74" s="1574">
        <f t="shared" ca="1" si="6"/>
        <v>8.9188089971711834E-2</v>
      </c>
      <c r="M74" s="1833"/>
      <c r="N74" s="1965">
        <f>VLOOKUP($B74,[5]BOLETIM_SEL!$A:$H,3,0)</f>
        <v>12</v>
      </c>
      <c r="O74" s="1652">
        <f>H74/N74</f>
        <v>321.66416666666663</v>
      </c>
      <c r="Q74" s="833"/>
      <c r="R74" s="833"/>
      <c r="S74" s="833"/>
      <c r="T74" s="833"/>
      <c r="U74" s="833"/>
      <c r="V74" s="833"/>
      <c r="W74" s="833"/>
      <c r="X74" s="833"/>
    </row>
    <row r="75" spans="1:24" s="813" customFormat="1" ht="39.950000000000003" hidden="1" customHeight="1" x14ac:dyDescent="0.15">
      <c r="A75" s="2081">
        <f ca="1">Orçamento_Não_Deson!A75</f>
        <v>2.0299999999999994</v>
      </c>
      <c r="B75" s="834" t="str">
        <f>Orçamento_Não_Deson!B75</f>
        <v>SR/0080</v>
      </c>
      <c r="C75" s="2" t="str">
        <f>VLOOKUP($B75,[5]BOLETIM_SEL!$A:$H,2,0)</f>
        <v>COMPOSIÇÃO</v>
      </c>
      <c r="D75" s="315" t="str">
        <f>VLOOKUP($B75,[5]BOLETIM_SEL!$A:$H,4,0)</f>
        <v>Demolição de boca de lobo, incluindo carga e bota-fora do entulho e reaterro da cava</v>
      </c>
      <c r="E75" s="2">
        <f>Orçamento_Não_Deson!E75</f>
        <v>0</v>
      </c>
      <c r="F75" s="2" t="str">
        <f>VLOOKUP($B75,[5]BOLETIM_SEL!$A:$H,6,0)</f>
        <v xml:space="preserve">UN </v>
      </c>
      <c r="G75" s="1407">
        <f>VLOOKUP($B75,[5]BOLETIM_SEL!$A:$H,7,0)</f>
        <v>422.36</v>
      </c>
      <c r="H75" s="1613">
        <f>Orçamento_Não_Deson!H75</f>
        <v>0</v>
      </c>
      <c r="I75" s="877">
        <f t="shared" si="7"/>
        <v>535.29</v>
      </c>
      <c r="J75" s="1612">
        <f t="shared" si="8"/>
        <v>0</v>
      </c>
      <c r="K75" s="2078">
        <f t="shared" ca="1" si="5"/>
        <v>0</v>
      </c>
      <c r="L75" s="1574">
        <f t="shared" ca="1" si="6"/>
        <v>0</v>
      </c>
      <c r="M75" s="1833"/>
      <c r="N75" s="833"/>
      <c r="O75" s="833"/>
      <c r="Q75" s="833"/>
      <c r="R75" s="833"/>
      <c r="S75" s="833"/>
      <c r="T75" s="833"/>
      <c r="U75" s="833"/>
      <c r="V75" s="833"/>
      <c r="W75" s="833"/>
      <c r="X75" s="833"/>
    </row>
    <row r="76" spans="1:24" s="813" customFormat="1" ht="39.950000000000003" hidden="1" customHeight="1" x14ac:dyDescent="0.15">
      <c r="A76" s="2081">
        <f ca="1">+Orçamento_Não_Deson!A76</f>
        <v>2.0299999999999994</v>
      </c>
      <c r="B76" s="834" t="str">
        <f>+Orçamento_Não_Deson!B76</f>
        <v>SR/0090</v>
      </c>
      <c r="C76" s="2" t="str">
        <f>VLOOKUP($B76,[5]BOLETIM_SEL!$A:$H,2,0)</f>
        <v>COMPOSIÇÃO</v>
      </c>
      <c r="D76" s="315" t="str">
        <f>VLOOKUP($B76,[5]BOLETIM_SEL!$A:$H,4,0)</f>
        <v>Demolição de poço de visita, inclusive carga e bota-fora do entulho</v>
      </c>
      <c r="E76" s="2">
        <f>+Orçamento_Não_Deson!E76</f>
        <v>0</v>
      </c>
      <c r="F76" s="2" t="str">
        <f>VLOOKUP($B76,[5]BOLETIM_SEL!$A:$H,6,0)</f>
        <v xml:space="preserve">UN </v>
      </c>
      <c r="G76" s="1407">
        <f>VLOOKUP($B76,[5]BOLETIM_SEL!$A:$H,7,0)</f>
        <v>853.09</v>
      </c>
      <c r="H76" s="1613">
        <f>+Orçamento_Não_Deson!H76</f>
        <v>0</v>
      </c>
      <c r="I76" s="877">
        <f t="shared" si="7"/>
        <v>1081.2</v>
      </c>
      <c r="J76" s="1612">
        <f t="shared" si="8"/>
        <v>0</v>
      </c>
      <c r="K76" s="2078">
        <f t="shared" ca="1" si="5"/>
        <v>0</v>
      </c>
      <c r="L76" s="1574">
        <f t="shared" ca="1" si="6"/>
        <v>0</v>
      </c>
      <c r="M76" s="1833"/>
      <c r="N76" s="833"/>
      <c r="O76" s="833"/>
      <c r="Q76" s="833"/>
      <c r="R76" s="833"/>
      <c r="S76" s="833"/>
      <c r="T76" s="833"/>
      <c r="U76" s="833"/>
      <c r="V76" s="833"/>
      <c r="W76" s="833"/>
      <c r="X76" s="833"/>
    </row>
    <row r="77" spans="1:24" s="813" customFormat="1" ht="39.950000000000003" customHeight="1" x14ac:dyDescent="0.15">
      <c r="A77" s="2081">
        <f ca="1">Orçamento_Não_Deson!A77</f>
        <v>2.0399999999999991</v>
      </c>
      <c r="B77" s="834">
        <f>Orçamento_Não_Deson!B77</f>
        <v>98526</v>
      </c>
      <c r="C77" s="2" t="str">
        <f>VLOOKUP($B77,[5]BOLETIM_SEL!$A:$H,2,0)</f>
        <v>SINAPI</v>
      </c>
      <c r="D77" s="315" t="str">
        <f>VLOOKUP($B77,[5]BOLETIM_SEL!$A:$H,4,0)</f>
        <v>Remoção de raízes remanescentes de tronco de árvore com diâmetro maior ou igual a 0,20 m e menor que 0,40 m. AF_05/2018</v>
      </c>
      <c r="E77" s="2">
        <f>Orçamento_Não_Deson!E77</f>
        <v>0</v>
      </c>
      <c r="F77" s="2" t="str">
        <f>VLOOKUP($B77,[5]BOLETIM_SEL!$A:$H,6,0)</f>
        <v>UN</v>
      </c>
      <c r="G77" s="1407">
        <f>VLOOKUP($B77,[5]BOLETIM_SEL!$A:$H,7,0)</f>
        <v>71.52</v>
      </c>
      <c r="H77" s="1613">
        <f>Orçamento_Não_Deson!H77</f>
        <v>104</v>
      </c>
      <c r="I77" s="877">
        <f t="shared" si="7"/>
        <v>90.64</v>
      </c>
      <c r="J77" s="1612">
        <f t="shared" si="8"/>
        <v>9426.56</v>
      </c>
      <c r="K77" s="2078">
        <f t="shared" ca="1" si="5"/>
        <v>6.8647475376828354E-4</v>
      </c>
      <c r="L77" s="1574">
        <f t="shared" ca="1" si="6"/>
        <v>5.4863775274191985E-2</v>
      </c>
      <c r="M77" s="1833"/>
      <c r="N77" s="833"/>
      <c r="O77" s="833"/>
      <c r="Q77" s="833"/>
      <c r="R77" s="833"/>
      <c r="S77" s="833"/>
      <c r="T77" s="833"/>
      <c r="U77" s="833"/>
      <c r="V77" s="833"/>
      <c r="W77" s="833"/>
      <c r="X77" s="833"/>
    </row>
    <row r="78" spans="1:24" s="813" customFormat="1" ht="39.950000000000003" customHeight="1" x14ac:dyDescent="0.15">
      <c r="A78" s="2081">
        <f ca="1">Orçamento_Não_Deson!A78</f>
        <v>2.0499999999999989</v>
      </c>
      <c r="B78" s="834">
        <f>Orçamento_Não_Deson!B78</f>
        <v>98527</v>
      </c>
      <c r="C78" s="2" t="str">
        <f>VLOOKUP($B78,[5]BOLETIM_SEL!$A:$H,2,0)</f>
        <v>SINAPI</v>
      </c>
      <c r="D78" s="315" t="str">
        <f>VLOOKUP($B78,[5]BOLETIM_SEL!$A:$H,4,0)</f>
        <v>Remoção de raízes remanescentes de tronco de árvore com diâmetro maior ou igual a 0,40 m e menor que 0,60 m. AF_05/2018</v>
      </c>
      <c r="E78" s="2">
        <f>Orçamento_Não_Deson!E78</f>
        <v>0</v>
      </c>
      <c r="F78" s="2" t="str">
        <f>VLOOKUP($B78,[5]BOLETIM_SEL!$A:$H,6,0)</f>
        <v>UN</v>
      </c>
      <c r="G78" s="1407">
        <f>VLOOKUP($B78,[5]BOLETIM_SEL!$A:$H,7,0)</f>
        <v>153.97999999999999</v>
      </c>
      <c r="H78" s="1613">
        <f>Orçamento_Não_Deson!H78</f>
        <v>3</v>
      </c>
      <c r="I78" s="877">
        <f t="shared" si="7"/>
        <v>195.15</v>
      </c>
      <c r="J78" s="1612">
        <f t="shared" si="8"/>
        <v>585.45000000000005</v>
      </c>
      <c r="K78" s="2078">
        <f t="shared" ca="1" si="5"/>
        <v>4.2634497058698148E-5</v>
      </c>
      <c r="L78" s="1574">
        <f t="shared" ca="1" si="6"/>
        <v>3.4073932838995032E-3</v>
      </c>
      <c r="M78" s="1833"/>
      <c r="N78" s="833"/>
      <c r="O78" s="833"/>
      <c r="Q78" s="833"/>
      <c r="R78" s="833"/>
      <c r="S78" s="833"/>
      <c r="T78" s="833"/>
      <c r="U78" s="833"/>
      <c r="V78" s="833"/>
      <c r="W78" s="833"/>
      <c r="X78" s="833"/>
    </row>
    <row r="79" spans="1:24" s="813" customFormat="1" ht="39.950000000000003" hidden="1" customHeight="1" x14ac:dyDescent="0.15">
      <c r="A79" s="2081">
        <f ca="1">Orçamento_Não_Deson!A79</f>
        <v>2.0499999999999989</v>
      </c>
      <c r="B79" s="834">
        <f>Orçamento_Não_Deson!B79</f>
        <v>98528</v>
      </c>
      <c r="C79" s="2" t="str">
        <f>VLOOKUP($B79,[5]BOLETIM_SEL!$A:$H,2,0)</f>
        <v>SINAPI</v>
      </c>
      <c r="D79" s="315" t="str">
        <f>VLOOKUP($B79,[5]BOLETIM_SEL!$A:$H,4,0)</f>
        <v>Remoção de raízes remanescentes de tronco de árvore com diâmetro maior ou igual a 0,60 m. AF_05/2018</v>
      </c>
      <c r="E79" s="2">
        <f>Orçamento_Não_Deson!E79</f>
        <v>0</v>
      </c>
      <c r="F79" s="2" t="str">
        <f>VLOOKUP($B79,[5]BOLETIM_SEL!$A:$H,6,0)</f>
        <v>UN</v>
      </c>
      <c r="G79" s="1407">
        <f>VLOOKUP($B79,[5]BOLETIM_SEL!$A:$H,7,0)</f>
        <v>225.18</v>
      </c>
      <c r="H79" s="1613">
        <f>Orçamento_Não_Deson!H79</f>
        <v>0</v>
      </c>
      <c r="I79" s="877">
        <f t="shared" si="7"/>
        <v>285.39</v>
      </c>
      <c r="J79" s="1612">
        <f t="shared" si="8"/>
        <v>0</v>
      </c>
      <c r="K79" s="2078">
        <f t="shared" ca="1" si="5"/>
        <v>0</v>
      </c>
      <c r="L79" s="1574">
        <f t="shared" ca="1" si="6"/>
        <v>0</v>
      </c>
      <c r="M79" s="1833"/>
      <c r="N79" s="833"/>
      <c r="O79" s="833"/>
      <c r="Q79" s="833"/>
      <c r="R79" s="833"/>
      <c r="S79" s="833"/>
      <c r="T79" s="833"/>
      <c r="U79" s="833"/>
      <c r="V79" s="833"/>
      <c r="W79" s="833"/>
      <c r="X79" s="833"/>
    </row>
    <row r="80" spans="1:24" s="813" customFormat="1" ht="39.950000000000003" customHeight="1" x14ac:dyDescent="0.15">
      <c r="A80" s="2081">
        <f ca="1">Orçamento_Não_Deson!A80</f>
        <v>2.0599999999999987</v>
      </c>
      <c r="B80" s="834">
        <f>Orçamento_Não_Deson!B80</f>
        <v>98529</v>
      </c>
      <c r="C80" s="2" t="str">
        <f>VLOOKUP($B80,[5]BOLETIM_SEL!$A:$H,2,0)</f>
        <v>SINAPI</v>
      </c>
      <c r="D80" s="315" t="str">
        <f>VLOOKUP($B80,[5]BOLETIM_SEL!$A:$H,4,0)</f>
        <v>Corte raso e recorte de árvore com diâmetro nominal de tronco maior ou igual a 0,20 m e menor que 0,40 m. AF_05/2018</v>
      </c>
      <c r="E80" s="2">
        <f>Orçamento_Não_Deson!E80</f>
        <v>0</v>
      </c>
      <c r="F80" s="2" t="str">
        <f>VLOOKUP($B80,[5]BOLETIM_SEL!$A:$H,6,0)</f>
        <v>UN</v>
      </c>
      <c r="G80" s="1407">
        <f>VLOOKUP($B80,[5]BOLETIM_SEL!$A:$H,7,0)</f>
        <v>54.72</v>
      </c>
      <c r="H80" s="1613">
        <f>Orçamento_Não_Deson!H80</f>
        <v>104</v>
      </c>
      <c r="I80" s="877">
        <f t="shared" si="7"/>
        <v>69.349999999999994</v>
      </c>
      <c r="J80" s="1612">
        <f t="shared" si="8"/>
        <v>7212.4</v>
      </c>
      <c r="K80" s="2078">
        <f t="shared" ca="1" si="5"/>
        <v>5.2523195249150995E-4</v>
      </c>
      <c r="L80" s="1574">
        <f t="shared" ca="1" si="6"/>
        <v>4.1977083133993981E-2</v>
      </c>
      <c r="M80" s="1833"/>
      <c r="N80" s="833"/>
      <c r="O80" s="833"/>
      <c r="Q80" s="833"/>
      <c r="R80" s="833"/>
      <c r="S80" s="833"/>
      <c r="T80" s="833"/>
      <c r="U80" s="833"/>
      <c r="V80" s="833"/>
      <c r="W80" s="833"/>
      <c r="X80" s="833"/>
    </row>
    <row r="81" spans="1:24" s="813" customFormat="1" ht="39.950000000000003" customHeight="1" x14ac:dyDescent="0.15">
      <c r="A81" s="2081">
        <f ca="1">Orçamento_Não_Deson!A81</f>
        <v>2.0699999999999985</v>
      </c>
      <c r="B81" s="834">
        <f>Orçamento_Não_Deson!B81</f>
        <v>98530</v>
      </c>
      <c r="C81" s="2" t="str">
        <f>VLOOKUP($B81,[5]BOLETIM_SEL!$A:$H,2,0)</f>
        <v>SINAPI</v>
      </c>
      <c r="D81" s="315" t="str">
        <f>VLOOKUP($B81,[5]BOLETIM_SEL!$A:$H,4,0)</f>
        <v>Corte raso e recorte de árvore com diâmetro nominal de tronco maior ou igual a 0,40 m e menor que 0,60 m. AF_05/2018</v>
      </c>
      <c r="E81" s="2">
        <f>Orçamento_Não_Deson!E81</f>
        <v>0</v>
      </c>
      <c r="F81" s="2" t="str">
        <f>VLOOKUP($B81,[5]BOLETIM_SEL!$A:$H,6,0)</f>
        <v>UN</v>
      </c>
      <c r="G81" s="1407">
        <f>VLOOKUP($B81,[5]BOLETIM_SEL!$A:$H,7,0)</f>
        <v>97.49</v>
      </c>
      <c r="H81" s="1613">
        <f>Orçamento_Não_Deson!H81</f>
        <v>3</v>
      </c>
      <c r="I81" s="877">
        <f t="shared" si="7"/>
        <v>123.55</v>
      </c>
      <c r="J81" s="1612">
        <f t="shared" si="8"/>
        <v>370.65</v>
      </c>
      <c r="K81" s="2078">
        <f t="shared" ca="1" si="5"/>
        <v>2.6992016969521679E-5</v>
      </c>
      <c r="L81" s="1574">
        <f t="shared" ca="1" si="6"/>
        <v>2.1572300293404233E-3</v>
      </c>
      <c r="M81" s="1833"/>
      <c r="N81" s="833"/>
      <c r="O81" s="833"/>
      <c r="Q81" s="833"/>
      <c r="R81" s="833"/>
      <c r="S81" s="833"/>
      <c r="T81" s="833"/>
      <c r="U81" s="833"/>
      <c r="V81" s="833"/>
      <c r="W81" s="833"/>
      <c r="X81" s="833"/>
    </row>
    <row r="82" spans="1:24" s="813" customFormat="1" ht="39.950000000000003" hidden="1" customHeight="1" x14ac:dyDescent="0.15">
      <c r="A82" s="2081">
        <f ca="1">Orçamento_Não_Deson!A82</f>
        <v>2.0699999999999985</v>
      </c>
      <c r="B82" s="834">
        <f>Orçamento_Não_Deson!B82</f>
        <v>98531</v>
      </c>
      <c r="C82" s="2" t="str">
        <f>VLOOKUP($B82,[5]BOLETIM_SEL!$A:$H,2,0)</f>
        <v>SINAPI</v>
      </c>
      <c r="D82" s="315" t="str">
        <f>VLOOKUP($B82,[5]BOLETIM_SEL!$A:$H,4,0)</f>
        <v>Corte raso e recorte de árvore com diâmetro nominal de tronco maior ou igual a 0,60 m. AF_05/2018</v>
      </c>
      <c r="E82" s="2">
        <f>Orçamento_Não_Deson!E82</f>
        <v>0</v>
      </c>
      <c r="F82" s="2" t="str">
        <f>VLOOKUP($B82,[5]BOLETIM_SEL!$A:$H,6,0)</f>
        <v>UN</v>
      </c>
      <c r="G82" s="1407">
        <f>VLOOKUP($B82,[5]BOLETIM_SEL!$A:$H,7,0)</f>
        <v>239.24</v>
      </c>
      <c r="H82" s="1613">
        <f>Orçamento_Não_Deson!H82</f>
        <v>0</v>
      </c>
      <c r="I82" s="877">
        <f t="shared" si="7"/>
        <v>303.20999999999998</v>
      </c>
      <c r="J82" s="1612">
        <f t="shared" si="8"/>
        <v>0</v>
      </c>
      <c r="K82" s="2078">
        <f t="shared" ca="1" si="5"/>
        <v>0</v>
      </c>
      <c r="L82" s="1574">
        <f t="shared" ca="1" si="6"/>
        <v>0</v>
      </c>
      <c r="M82" s="1833"/>
      <c r="N82" s="833"/>
      <c r="O82" s="833"/>
      <c r="Q82" s="833"/>
      <c r="R82" s="833"/>
      <c r="S82" s="833"/>
      <c r="T82" s="833"/>
      <c r="U82" s="833"/>
      <c r="V82" s="833"/>
      <c r="W82" s="833"/>
      <c r="X82" s="833"/>
    </row>
    <row r="83" spans="1:24" s="813" customFormat="1" ht="39.950000000000003" hidden="1" customHeight="1" x14ac:dyDescent="0.15">
      <c r="A83" s="2081">
        <f ca="1">+Orçamento_Não_Deson!A83</f>
        <v>2.0699999999999985</v>
      </c>
      <c r="B83" s="834">
        <f>+Orçamento_Não_Deson!B83</f>
        <v>98532</v>
      </c>
      <c r="C83" s="2" t="str">
        <f>VLOOKUP($B83,[5]BOLETIM_SEL!$A:$H,2,0)</f>
        <v>SINAPI</v>
      </c>
      <c r="D83" s="315" t="str">
        <f>VLOOKUP($B83,[5]BOLETIM_SEL!$A:$H,4,0)</f>
        <v>Poda em altura de árvore com diâmetro nominal de tronco menor que 0,20 m. AF_05/2018</v>
      </c>
      <c r="E83" s="2">
        <f>+Orçamento_Não_Deson!E83</f>
        <v>0</v>
      </c>
      <c r="F83" s="2" t="str">
        <f>VLOOKUP($B83,[5]BOLETIM_SEL!$A:$H,6,0)</f>
        <v>UN</v>
      </c>
      <c r="G83" s="1407">
        <f>VLOOKUP($B83,[5]BOLETIM_SEL!$A:$H,7,0)</f>
        <v>101.66</v>
      </c>
      <c r="H83" s="1613">
        <f>+Orçamento_Não_Deson!H83</f>
        <v>0</v>
      </c>
      <c r="I83" s="877">
        <f t="shared" si="7"/>
        <v>128.84</v>
      </c>
      <c r="J83" s="1612">
        <f t="shared" si="8"/>
        <v>0</v>
      </c>
      <c r="K83" s="2078">
        <f t="shared" ca="1" si="5"/>
        <v>0</v>
      </c>
      <c r="L83" s="1574">
        <f t="shared" ca="1" si="6"/>
        <v>0</v>
      </c>
      <c r="M83" s="1833"/>
      <c r="N83" s="833"/>
      <c r="O83" s="833"/>
      <c r="Q83" s="833"/>
      <c r="R83" s="833"/>
      <c r="S83" s="833"/>
      <c r="T83" s="833"/>
      <c r="U83" s="833"/>
      <c r="V83" s="833"/>
      <c r="W83" s="833"/>
      <c r="X83" s="833"/>
    </row>
    <row r="84" spans="1:24" s="813" customFormat="1" ht="30" customHeight="1" x14ac:dyDescent="0.15">
      <c r="A84" s="2081">
        <f ca="1">Orçamento_Não_Deson!A84</f>
        <v>2.0799999999999983</v>
      </c>
      <c r="B84" s="834">
        <f>Orçamento_Não_Deson!B84</f>
        <v>98533</v>
      </c>
      <c r="C84" s="2" t="str">
        <f>VLOOKUP($B84,[5]BOLETIM_SEL!$A:$H,2,0)</f>
        <v>SINAPI</v>
      </c>
      <c r="D84" s="315" t="str">
        <f>VLOOKUP($B84,[5]BOLETIM_SEL!$A:$H,4,0)</f>
        <v>Poda em altura de árvore com diâmetro nominal de tronco maior ou igual a 0,20 m e menor que 0,40 m. AF_05/2018</v>
      </c>
      <c r="E84" s="2">
        <f>Orçamento_Não_Deson!E84</f>
        <v>0</v>
      </c>
      <c r="F84" s="2" t="str">
        <f>VLOOKUP($B84,[5]BOLETIM_SEL!$A:$H,6,0)</f>
        <v>UN</v>
      </c>
      <c r="G84" s="1407">
        <f>VLOOKUP($B84,[5]BOLETIM_SEL!$A:$H,7,0)</f>
        <v>275.93</v>
      </c>
      <c r="H84" s="1613">
        <f>Orçamento_Não_Deson!H84</f>
        <v>104</v>
      </c>
      <c r="I84" s="877">
        <f t="shared" si="7"/>
        <v>349.71</v>
      </c>
      <c r="J84" s="1612">
        <f t="shared" si="8"/>
        <v>36369.839999999997</v>
      </c>
      <c r="K84" s="2078">
        <f t="shared" ca="1" si="5"/>
        <v>2.6485777376468052E-3</v>
      </c>
      <c r="L84" s="1574">
        <f t="shared" ca="1" si="6"/>
        <v>0.21167708352976256</v>
      </c>
      <c r="M84" s="1833"/>
      <c r="N84" s="833"/>
      <c r="O84" s="833"/>
      <c r="Q84" s="833"/>
      <c r="R84" s="833"/>
      <c r="S84" s="833"/>
      <c r="T84" s="833"/>
      <c r="U84" s="833"/>
      <c r="V84" s="833"/>
      <c r="W84" s="833"/>
      <c r="X84" s="833"/>
    </row>
    <row r="85" spans="1:24" s="813" customFormat="1" ht="30" customHeight="1" x14ac:dyDescent="0.15">
      <c r="A85" s="2081">
        <f ca="1">Orçamento_Não_Deson!A85</f>
        <v>2.0899999999999981</v>
      </c>
      <c r="B85" s="834">
        <f>Orçamento_Não_Deson!B85</f>
        <v>98534</v>
      </c>
      <c r="C85" s="2" t="str">
        <f>VLOOKUP($B85,[5]BOLETIM_SEL!$A:$H,2,0)</f>
        <v>SINAPI</v>
      </c>
      <c r="D85" s="315" t="str">
        <f>VLOOKUP($B85,[5]BOLETIM_SEL!$A:$H,4,0)</f>
        <v>Poda em altura de árvore com diâmetro nominal de tronco maior ou igual a 0,40 m e menor que 0,60 m. AF_05/2018</v>
      </c>
      <c r="E85" s="2">
        <f>Orçamento_Não_Deson!E85</f>
        <v>0</v>
      </c>
      <c r="F85" s="2" t="str">
        <f>VLOOKUP($B85,[5]BOLETIM_SEL!$A:$H,6,0)</f>
        <v>UN</v>
      </c>
      <c r="G85" s="1407">
        <f>VLOOKUP($B85,[5]BOLETIM_SEL!$A:$H,7,0)</f>
        <v>709.84</v>
      </c>
      <c r="H85" s="1613">
        <f>Orçamento_Não_Deson!H85</f>
        <v>3</v>
      </c>
      <c r="I85" s="877">
        <f t="shared" si="7"/>
        <v>899.65</v>
      </c>
      <c r="J85" s="1612">
        <f t="shared" si="8"/>
        <v>2698.95</v>
      </c>
      <c r="K85" s="2078">
        <f t="shared" ca="1" si="5"/>
        <v>1.9654688843893307E-4</v>
      </c>
      <c r="L85" s="1574">
        <f t="shared" ca="1" si="6"/>
        <v>1.5708231452012236E-2</v>
      </c>
      <c r="M85" s="1833"/>
      <c r="N85" s="833"/>
      <c r="O85" s="833"/>
      <c r="Q85" s="833"/>
      <c r="R85" s="833"/>
      <c r="S85" s="833"/>
      <c r="T85" s="833"/>
      <c r="U85" s="833"/>
      <c r="V85" s="833"/>
      <c r="W85" s="833"/>
      <c r="X85" s="833"/>
    </row>
    <row r="86" spans="1:24" s="813" customFormat="1" ht="39.950000000000003" hidden="1" customHeight="1" x14ac:dyDescent="0.15">
      <c r="A86" s="2081">
        <f ca="1">Orçamento_Não_Deson!A86</f>
        <v>2.0899999999999981</v>
      </c>
      <c r="B86" s="834">
        <f>Orçamento_Não_Deson!B86</f>
        <v>98535</v>
      </c>
      <c r="C86" s="2" t="str">
        <f>VLOOKUP($B86,[5]BOLETIM_SEL!$A:$H,2,0)</f>
        <v>SINAPI</v>
      </c>
      <c r="D86" s="315" t="str">
        <f>VLOOKUP($B86,[5]BOLETIM_SEL!$A:$H,4,0)</f>
        <v>Poda em altura de árvore com diâmetro nominal de tronco maior ou igual a 0,60 m. AF_05/2018</v>
      </c>
      <c r="E86" s="2">
        <f>Orçamento_Não_Deson!E86</f>
        <v>0</v>
      </c>
      <c r="F86" s="2" t="str">
        <f>VLOOKUP($B86,[5]BOLETIM_SEL!$A:$H,6,0)</f>
        <v>UN</v>
      </c>
      <c r="G86" s="1407">
        <f>VLOOKUP($B86,[5]BOLETIM_SEL!$A:$H,7,0)</f>
        <v>1118.48</v>
      </c>
      <c r="H86" s="1613">
        <f>Orçamento_Não_Deson!H86</f>
        <v>0</v>
      </c>
      <c r="I86" s="877">
        <f t="shared" si="7"/>
        <v>1417.56</v>
      </c>
      <c r="J86" s="1612">
        <f t="shared" si="8"/>
        <v>0</v>
      </c>
      <c r="K86" s="2078">
        <f t="shared" ca="1" si="5"/>
        <v>0</v>
      </c>
      <c r="L86" s="1574">
        <f t="shared" ca="1" si="6"/>
        <v>0</v>
      </c>
      <c r="M86" s="1833"/>
      <c r="N86" s="833"/>
      <c r="O86" s="833"/>
      <c r="Q86" s="833"/>
      <c r="R86" s="833"/>
      <c r="S86" s="833"/>
      <c r="T86" s="833"/>
      <c r="U86" s="833"/>
      <c r="V86" s="833"/>
      <c r="W86" s="833"/>
      <c r="X86" s="833"/>
    </row>
    <row r="87" spans="1:24" s="813" customFormat="1" ht="39.950000000000003" hidden="1" customHeight="1" x14ac:dyDescent="0.15">
      <c r="A87" s="2081">
        <f ca="1">+Orçamento_Não_Deson!A87</f>
        <v>2.0899999999999981</v>
      </c>
      <c r="B87" s="834" t="str">
        <f>+Orçamento_Não_Deson!B87</f>
        <v>ST/0020</v>
      </c>
      <c r="C87" s="2" t="str">
        <f>VLOOKUP($B87,[5]BOLETIM_SEL!$A:$H,2,0)</f>
        <v>COMPOSIÇÃO</v>
      </c>
      <c r="D87" s="315" t="str">
        <f>VLOOKUP($B87,[5]BOLETIM_SEL!$A:$H,4,0)</f>
        <v>Carga manual, manobra e descarga de entulho em caminhão basculante 6m3 (REF. SICRO COD. 72897)</v>
      </c>
      <c r="E87" s="2">
        <f>+Orçamento_Não_Deson!E87</f>
        <v>0</v>
      </c>
      <c r="F87" s="2" t="str">
        <f>VLOOKUP($B87,[5]BOLETIM_SEL!$A:$H,6,0)</f>
        <v>M3</v>
      </c>
      <c r="G87" s="1407">
        <f>VLOOKUP($B87,[5]BOLETIM_SEL!$A:$H,7,0)</f>
        <v>24.69</v>
      </c>
      <c r="H87" s="1613">
        <f>+Orçamento_Não_Deson!H87</f>
        <v>0</v>
      </c>
      <c r="I87" s="877">
        <f t="shared" si="7"/>
        <v>31.29</v>
      </c>
      <c r="J87" s="1612">
        <f t="shared" si="8"/>
        <v>0</v>
      </c>
      <c r="K87" s="2078">
        <f t="shared" ca="1" si="5"/>
        <v>0</v>
      </c>
      <c r="L87" s="1574">
        <f t="shared" ca="1" si="6"/>
        <v>0</v>
      </c>
      <c r="M87" s="1833"/>
      <c r="N87" s="833"/>
      <c r="O87" s="833"/>
      <c r="Q87" s="833"/>
      <c r="R87" s="833"/>
      <c r="S87" s="833"/>
      <c r="T87" s="833"/>
      <c r="U87" s="833"/>
      <c r="V87" s="833"/>
      <c r="W87" s="833"/>
      <c r="X87" s="833"/>
    </row>
    <row r="88" spans="1:24" s="813" customFormat="1" ht="39.950000000000003" customHeight="1" x14ac:dyDescent="0.15">
      <c r="A88" s="2081">
        <f ca="1">Orçamento_Não_Deson!A88</f>
        <v>2.0999999999999979</v>
      </c>
      <c r="B88" s="834">
        <f>Orçamento_Não_Deson!B88</f>
        <v>100983</v>
      </c>
      <c r="C88" s="2" t="str">
        <f>VLOOKUP($B88,[5]BOLETIM_SEL!$A:$H,2,0)</f>
        <v>SINAPI</v>
      </c>
      <c r="D88" s="315" t="str">
        <f>VLOOKUP($B88,[5]BOLETIM_SEL!$A:$H,4,0)</f>
        <v>Carga, manobra e descarga de entulho em caminhão basculante 14 m3 - carga com escavadeira hidráulica  (capacidade da caçamba: 0,80 m3 / potência: 111 HP) e descarga livre (unidade: m3). AF_07/2020</v>
      </c>
      <c r="E88" s="2">
        <f>Orçamento_Não_Deson!E88</f>
        <v>0</v>
      </c>
      <c r="F88" s="2" t="str">
        <f>VLOOKUP($B88,[5]BOLETIM_SEL!$A:$H,6,0)</f>
        <v>M3</v>
      </c>
      <c r="G88" s="1407">
        <f>VLOOKUP($B88,[5]BOLETIM_SEL!$A:$H,7,0)</f>
        <v>8.01</v>
      </c>
      <c r="H88" s="1613">
        <f ca="1">Orçamento_Não_Deson!H88</f>
        <v>345.12</v>
      </c>
      <c r="I88" s="877">
        <f t="shared" si="7"/>
        <v>10.15</v>
      </c>
      <c r="J88" s="1612">
        <f ca="1">TRUNC(H88*I88,2)</f>
        <v>3502.96</v>
      </c>
      <c r="K88" s="2078">
        <f t="shared" ca="1" si="5"/>
        <v>2.5509768181183239E-4</v>
      </c>
      <c r="L88" s="1574">
        <f t="shared" ca="1" si="6"/>
        <v>2.0387671667552489E-2</v>
      </c>
      <c r="M88" s="1833"/>
      <c r="N88" s="833"/>
      <c r="O88" s="833"/>
      <c r="Q88" s="833"/>
      <c r="R88" s="833"/>
      <c r="S88" s="833"/>
      <c r="T88" s="833"/>
      <c r="U88" s="833"/>
      <c r="V88" s="833"/>
      <c r="W88" s="833"/>
      <c r="X88" s="833"/>
    </row>
    <row r="89" spans="1:24" s="813" customFormat="1" ht="39.950000000000003" hidden="1" customHeight="1" x14ac:dyDescent="0.15">
      <c r="A89" s="2081">
        <f ca="1">+Orçamento_Não_Deson!A89</f>
        <v>2.0999999999999979</v>
      </c>
      <c r="B89" s="834">
        <f>+Orçamento_Não_Deson!B89</f>
        <v>100983</v>
      </c>
      <c r="C89" s="2" t="str">
        <f>VLOOKUP($B89,[5]BOLETIM_SEL!$A:$H,2,0)</f>
        <v>SINAPI</v>
      </c>
      <c r="D89" s="315" t="str">
        <f>VLOOKUP($B89,[5]BOLETIM_SEL!$A:$H,4,0)</f>
        <v>Carga, manobra e descarga de entulho em caminhão basculante 14 m3 - carga com escavadeira hidráulica  (capacidade da caçamba: 0,80 m3 / potência: 111 HP) e descarga livre (unidade: m3). AF_07/2020</v>
      </c>
      <c r="E89" s="2">
        <f>+Orçamento_Não_Deson!E89</f>
        <v>0</v>
      </c>
      <c r="F89" s="2" t="str">
        <f>VLOOKUP($B89,[5]BOLETIM_SEL!$A:$H,6,0)</f>
        <v>M3</v>
      </c>
      <c r="G89" s="1407">
        <f>VLOOKUP($B89,[5]BOLETIM_SEL!$A:$H,7,0)</f>
        <v>8.01</v>
      </c>
      <c r="H89" s="1613">
        <f>+Orçamento_Não_Deson!H89</f>
        <v>0</v>
      </c>
      <c r="I89" s="877">
        <f t="shared" si="7"/>
        <v>10.15</v>
      </c>
      <c r="J89" s="1612">
        <f>TRUNC(H89*I89,2)</f>
        <v>0</v>
      </c>
      <c r="K89" s="2078">
        <f t="shared" ca="1" si="5"/>
        <v>0</v>
      </c>
      <c r="L89" s="1574">
        <f t="shared" ca="1" si="6"/>
        <v>0</v>
      </c>
      <c r="M89" s="1833"/>
      <c r="N89" s="833"/>
      <c r="O89" s="833"/>
      <c r="Q89" s="833"/>
      <c r="R89" s="833"/>
      <c r="S89" s="833"/>
      <c r="T89" s="833"/>
      <c r="U89" s="833"/>
      <c r="V89" s="833"/>
      <c r="W89" s="833"/>
      <c r="X89" s="833"/>
    </row>
    <row r="90" spans="1:24" s="813" customFormat="1" ht="39.950000000000003" customHeight="1" x14ac:dyDescent="0.15">
      <c r="A90" s="2081">
        <f ca="1">Orçamento_Não_Deson!A90</f>
        <v>2.1099999999999977</v>
      </c>
      <c r="B90" s="834" t="str">
        <f>Orçamento_Não_Deson!B90</f>
        <v>ST/0070</v>
      </c>
      <c r="C90" s="2" t="str">
        <f>VLOOKUP($B90,[5]BOLETIM_SEL!$A:$H,2,0)</f>
        <v>COMPOSIÇÃO</v>
      </c>
      <c r="D90" s="315" t="str">
        <f>VLOOKUP($B90,[5]BOLETIM_SEL!$A:$H,4,0)</f>
        <v>Carga, manobra e descarga de materiais diversos em caminhão carroceria - carga e descaga manuais (REF. SICRO COD. 5915474)</v>
      </c>
      <c r="E90" s="2">
        <f>Orçamento_Não_Deson!E90</f>
        <v>0</v>
      </c>
      <c r="F90" s="2" t="str">
        <f>VLOOKUP($B90,[5]BOLETIM_SEL!$A:$H,6,0)</f>
        <v>T</v>
      </c>
      <c r="G90" s="1407">
        <f>VLOOKUP($B90,[5]BOLETIM_SEL!$A:$H,7,0)</f>
        <v>27.36</v>
      </c>
      <c r="H90" s="1613">
        <f>Orçamento_Não_Deson!H90</f>
        <v>107</v>
      </c>
      <c r="I90" s="877">
        <f t="shared" si="7"/>
        <v>34.67</v>
      </c>
      <c r="J90" s="1612">
        <f>TRUNC(H90*I90,2)</f>
        <v>3709.69</v>
      </c>
      <c r="K90" s="2078">
        <f t="shared" ca="1" si="5"/>
        <v>2.7015247654570319E-4</v>
      </c>
      <c r="L90" s="1574">
        <f t="shared" ca="1" si="6"/>
        <v>2.1590866498162348E-2</v>
      </c>
      <c r="M90" s="1833"/>
      <c r="N90" s="833"/>
      <c r="O90" s="833"/>
      <c r="Q90" s="833"/>
      <c r="R90" s="833"/>
      <c r="S90" s="833"/>
      <c r="T90" s="833"/>
      <c r="U90" s="833"/>
      <c r="V90" s="833"/>
      <c r="W90" s="833"/>
      <c r="X90" s="833"/>
    </row>
    <row r="91" spans="1:24" s="813" customFormat="1" ht="39.950000000000003" hidden="1" customHeight="1" x14ac:dyDescent="0.15">
      <c r="A91" s="2081"/>
      <c r="B91" s="834"/>
      <c r="C91" s="2"/>
      <c r="D91" s="1452" t="s">
        <v>1814</v>
      </c>
      <c r="E91" s="1445"/>
      <c r="F91" s="1445"/>
      <c r="G91" s="1822"/>
      <c r="H91" s="1445"/>
      <c r="I91" s="1445"/>
      <c r="J91" s="1561" t="str">
        <f>IF(J92=0,"-","")</f>
        <v>-</v>
      </c>
      <c r="K91" s="1943"/>
      <c r="L91" s="1574"/>
      <c r="M91" s="1974" t="str">
        <f>+Orçamento_Não_Deson!M91</f>
        <v>Depósito provisório</v>
      </c>
      <c r="N91" s="833"/>
      <c r="O91" s="833"/>
      <c r="Q91" s="833"/>
      <c r="R91" s="833"/>
      <c r="S91" s="833"/>
      <c r="T91" s="833"/>
      <c r="U91" s="833"/>
      <c r="V91" s="833"/>
      <c r="W91" s="833"/>
      <c r="X91" s="833"/>
    </row>
    <row r="92" spans="1:24" s="813" customFormat="1" ht="39.950000000000003" hidden="1" customHeight="1" x14ac:dyDescent="0.15">
      <c r="A92" s="2081">
        <f ca="1">+Orçamento_Não_Deson!A92</f>
        <v>2.1099999999999977</v>
      </c>
      <c r="B92" s="834">
        <f>+Orçamento_Não_Deson!B92</f>
        <v>100938</v>
      </c>
      <c r="C92" s="2" t="str">
        <f>VLOOKUP($B92,[5]BOLETIM_SEL!$A:$H,2,0)</f>
        <v>SINAPI</v>
      </c>
      <c r="D92" s="315" t="str">
        <f>VLOOKUP($B92,[5]BOLETIM_SEL!$A:$H,4,0)</f>
        <v>Transporte com caminhão basculante de 10 m3, em via interna (dentro do canteiro - unidade: m3xkm). AF_07/2020</v>
      </c>
      <c r="E92" s="2">
        <f>+Orçamento_Não_Deson!E92</f>
        <v>1</v>
      </c>
      <c r="F92" s="2" t="str">
        <f>VLOOKUP($B92,[5]BOLETIM_SEL!$A:$H,6,0)</f>
        <v>M3XKM</v>
      </c>
      <c r="G92" s="1407">
        <f>VLOOKUP($B92,[5]BOLETIM_SEL!$A:$H,7,0)</f>
        <v>6.49</v>
      </c>
      <c r="H92" s="1613">
        <f>+Orçamento_Não_Deson!H92</f>
        <v>0</v>
      </c>
      <c r="I92" s="877">
        <f>TRUNC(G92*(1+$J$5),2)</f>
        <v>8.2200000000000006</v>
      </c>
      <c r="J92" s="1612">
        <f>TRUNC(H92*I92,2)</f>
        <v>0</v>
      </c>
      <c r="K92" s="2078">
        <f ca="1">J92/J$967</f>
        <v>0</v>
      </c>
      <c r="L92" s="1574">
        <f ca="1">J92/$J$64</f>
        <v>0</v>
      </c>
      <c r="M92" s="1974"/>
      <c r="N92" s="833"/>
      <c r="O92" s="833"/>
      <c r="Q92" s="833"/>
      <c r="R92" s="833"/>
      <c r="S92" s="833"/>
      <c r="T92" s="833"/>
      <c r="U92" s="833"/>
      <c r="V92" s="833"/>
      <c r="W92" s="833"/>
      <c r="X92" s="833"/>
    </row>
    <row r="93" spans="1:24" s="813" customFormat="1" ht="24.95" customHeight="1" x14ac:dyDescent="0.15">
      <c r="A93" s="2081"/>
      <c r="B93" s="834"/>
      <c r="C93" s="2"/>
      <c r="D93" s="1452" t="s">
        <v>1854</v>
      </c>
      <c r="E93" s="1445"/>
      <c r="F93" s="1445"/>
      <c r="G93" s="1822"/>
      <c r="H93" s="1445"/>
      <c r="I93" s="1445"/>
      <c r="J93" s="1561" t="str">
        <f ca="1">IF(J94=0,"-","")</f>
        <v/>
      </c>
      <c r="K93" s="1943"/>
      <c r="L93" s="1574"/>
      <c r="M93" s="1974" t="str">
        <f>Orçamento_Não_Deson!M93</f>
        <v>Depósito de expurgo SEM reciclagem: 1</v>
      </c>
      <c r="N93" s="833"/>
      <c r="O93" s="833"/>
      <c r="Q93" s="833"/>
      <c r="R93" s="833"/>
      <c r="S93" s="833"/>
      <c r="T93" s="833"/>
      <c r="U93" s="833"/>
      <c r="V93" s="833"/>
      <c r="W93" s="833"/>
      <c r="X93" s="833"/>
    </row>
    <row r="94" spans="1:24" s="813" customFormat="1" ht="39.950000000000003" customHeight="1" x14ac:dyDescent="0.15">
      <c r="A94" s="2081">
        <f ca="1">Orçamento_Não_Deson!A94</f>
        <v>2.1199999999999974</v>
      </c>
      <c r="B94" s="834">
        <f ca="1">Orçamento_Não_Deson!B94</f>
        <v>95876</v>
      </c>
      <c r="C94" s="2" t="str">
        <f ca="1">VLOOKUP($B94,[5]BOLETIM_SEL!$A:$H,2,0)</f>
        <v>SINAPI</v>
      </c>
      <c r="D94" s="315" t="str">
        <f ca="1">VLOOKUP($B94,[5]BOLETIM_SEL!$A:$H,4,0)</f>
        <v>Transporte com caminhão basculante de 14 m3, em via urbana pavimentada, DMT até 30,00 km (unidade: m3xkm). AF_07/2020</v>
      </c>
      <c r="E94" s="2">
        <f>Orçamento_Não_Deson!E94</f>
        <v>4</v>
      </c>
      <c r="F94" s="2" t="str">
        <f ca="1">VLOOKUP($B94,[5]BOLETIM_SEL!$A:$H,6,0)</f>
        <v>M3XKM</v>
      </c>
      <c r="G94" s="1407">
        <f ca="1">VLOOKUP($B94,[5]BOLETIM_SEL!$A:$H,7,0)</f>
        <v>1.91</v>
      </c>
      <c r="H94" s="1613">
        <f ca="1">Orçamento_Não_Deson!H94</f>
        <v>1380.48</v>
      </c>
      <c r="I94" s="877">
        <f ca="1">TRUNC(G94*(1+$J$5),2)</f>
        <v>2.42</v>
      </c>
      <c r="J94" s="1612">
        <f ca="1">TRUNC(H94*I94,2)</f>
        <v>3340.76</v>
      </c>
      <c r="K94" s="2078">
        <f ca="1">J94/J$967</f>
        <v>2.4328571593443751E-4</v>
      </c>
      <c r="L94" s="1574">
        <f ca="1">J94/$J$64</f>
        <v>1.9443647087061415E-2</v>
      </c>
      <c r="M94" s="1976">
        <f ca="1">Orçamento_Não_Deson!M94</f>
        <v>345.12</v>
      </c>
      <c r="N94" s="833"/>
      <c r="O94" s="833"/>
      <c r="Q94" s="833"/>
      <c r="R94" s="833"/>
      <c r="S94" s="833"/>
      <c r="T94" s="833"/>
      <c r="U94" s="833"/>
      <c r="V94" s="833"/>
      <c r="W94" s="833"/>
      <c r="X94" s="833"/>
    </row>
    <row r="95" spans="1:24" s="813" customFormat="1" ht="39.950000000000003" hidden="1" customHeight="1" x14ac:dyDescent="0.15">
      <c r="A95" s="2081"/>
      <c r="B95" s="834"/>
      <c r="C95" s="2"/>
      <c r="D95" s="1452" t="s">
        <v>1851</v>
      </c>
      <c r="E95" s="1445"/>
      <c r="F95" s="1445"/>
      <c r="G95" s="1822"/>
      <c r="H95" s="1445"/>
      <c r="I95" s="1445"/>
      <c r="J95" s="1561" t="str">
        <f>IF(J96=0,"-","")</f>
        <v>-</v>
      </c>
      <c r="K95" s="1943"/>
      <c r="L95" s="1574"/>
      <c r="M95" s="1974" t="str">
        <f>+Orçamento_Não_Deson!M95</f>
        <v>Definir depósito reciclável: 2, 3 ou 4</v>
      </c>
      <c r="N95" s="833"/>
      <c r="O95" s="833"/>
      <c r="Q95" s="833"/>
      <c r="R95" s="833"/>
      <c r="S95" s="833"/>
      <c r="T95" s="833"/>
      <c r="U95" s="833"/>
      <c r="V95" s="833"/>
      <c r="W95" s="833"/>
      <c r="X95" s="833"/>
    </row>
    <row r="96" spans="1:24" s="813" customFormat="1" ht="39.950000000000003" hidden="1" customHeight="1" x14ac:dyDescent="0.15">
      <c r="A96" s="2081">
        <f ca="1">+Orçamento_Não_Deson!A96</f>
        <v>2.1199999999999974</v>
      </c>
      <c r="B96" s="834">
        <f>+Orçamento_Não_Deson!B96</f>
        <v>95875</v>
      </c>
      <c r="C96" s="2" t="str">
        <f>VLOOKUP($B96,[5]BOLETIM_SEL!$A:$H,2,0)</f>
        <v>SINAPI</v>
      </c>
      <c r="D96" s="315" t="str">
        <f>VLOOKUP($B96,[5]BOLETIM_SEL!$A:$H,4,0)</f>
        <v>Transporte com caminhão basculante de 10 m3, em via urbana pavimentada, DMT até 30,00 km (unidade: m3xkm). AF_07/2020</v>
      </c>
      <c r="E96" s="2">
        <f>+Orçamento_Não_Deson!E96</f>
        <v>0</v>
      </c>
      <c r="F96" s="2" t="str">
        <f>VLOOKUP($B96,[5]BOLETIM_SEL!$A:$H,6,0)</f>
        <v>M3XKM</v>
      </c>
      <c r="G96" s="1407">
        <f>VLOOKUP($B96,[5]BOLETIM_SEL!$A:$H,7,0)</f>
        <v>2.15</v>
      </c>
      <c r="H96" s="1613">
        <f>+Orçamento_Não_Deson!H96</f>
        <v>0</v>
      </c>
      <c r="I96" s="877">
        <f>TRUNC(G96*(1+$J$5),2)</f>
        <v>2.72</v>
      </c>
      <c r="J96" s="1612">
        <f>TRUNC(H96*I96,2)</f>
        <v>0</v>
      </c>
      <c r="K96" s="2078">
        <f ca="1">J96/J$967</f>
        <v>0</v>
      </c>
      <c r="L96" s="1574">
        <f ca="1">J96/$J$64</f>
        <v>0</v>
      </c>
      <c r="M96" s="1976">
        <f>+Orçamento_Não_Deson!M96</f>
        <v>0</v>
      </c>
      <c r="N96" s="833"/>
      <c r="O96" s="833"/>
      <c r="Q96" s="833"/>
      <c r="R96" s="833"/>
      <c r="S96" s="833"/>
      <c r="T96" s="833"/>
      <c r="U96" s="833"/>
      <c r="V96" s="833"/>
      <c r="W96" s="833"/>
      <c r="X96" s="833"/>
    </row>
    <row r="97" spans="1:24" s="813" customFormat="1" ht="24.95" customHeight="1" x14ac:dyDescent="0.15">
      <c r="A97" s="2081"/>
      <c r="B97" s="834"/>
      <c r="C97" s="2"/>
      <c r="D97" s="1452" t="s">
        <v>1855</v>
      </c>
      <c r="E97" s="1445"/>
      <c r="F97" s="1445"/>
      <c r="G97" s="1822"/>
      <c r="H97" s="1445"/>
      <c r="I97" s="1445"/>
      <c r="J97" s="1561" t="str">
        <f>IF(J98=0,"-","")</f>
        <v/>
      </c>
      <c r="K97" s="1943"/>
      <c r="L97" s="1574"/>
      <c r="M97" s="1974" t="str">
        <f>Orçamento_Não_Deson!M97</f>
        <v xml:space="preserve">Definir depósito expurgo:1 </v>
      </c>
      <c r="N97" s="833"/>
      <c r="O97" s="833"/>
      <c r="Q97" s="833"/>
      <c r="R97" s="833"/>
      <c r="S97" s="833"/>
      <c r="T97" s="833"/>
      <c r="U97" s="833"/>
      <c r="V97" s="833"/>
      <c r="W97" s="833"/>
      <c r="X97" s="833"/>
    </row>
    <row r="98" spans="1:24" s="813" customFormat="1" ht="30" customHeight="1" x14ac:dyDescent="0.15">
      <c r="A98" s="2081">
        <f ca="1">Orçamento_Não_Deson!A98</f>
        <v>2.1299999999999972</v>
      </c>
      <c r="B98" s="834">
        <f>Orçamento_Não_Deson!B98</f>
        <v>100947</v>
      </c>
      <c r="C98" s="2" t="str">
        <f>VLOOKUP($B98,[5]BOLETIM_SEL!$A:$H,2,0)</f>
        <v>SINAPI</v>
      </c>
      <c r="D98" s="315" t="str">
        <f>VLOOKUP($B98,[5]BOLETIM_SEL!$A:$H,4,0)</f>
        <v>Transporte com caminhão carroceria 9t, em via urbana pavimentada, DMT até 30,00 km (unidade: txkm). AF_07/2020</v>
      </c>
      <c r="E98" s="2">
        <f>Orçamento_Não_Deson!E98</f>
        <v>4</v>
      </c>
      <c r="F98" s="2" t="str">
        <f>VLOOKUP($B98,[5]BOLETIM_SEL!$A:$H,6,0)</f>
        <v>TXKM</v>
      </c>
      <c r="G98" s="1407">
        <f>VLOOKUP($B98,[5]BOLETIM_SEL!$A:$H,7,0)</f>
        <v>1.93</v>
      </c>
      <c r="H98" s="1613">
        <f>Orçamento_Não_Deson!H98</f>
        <v>428</v>
      </c>
      <c r="I98" s="877">
        <f>TRUNC(G98*(1+$J$5),2)</f>
        <v>2.44</v>
      </c>
      <c r="J98" s="1612">
        <f>TRUNC(H98*I98,2)</f>
        <v>1044.32</v>
      </c>
      <c r="K98" s="2078">
        <f ca="1">J98/J$967</f>
        <v>7.6051000031325725E-5</v>
      </c>
      <c r="L98" s="1574">
        <f ca="1">J98/$J$64</f>
        <v>6.0780749068954287E-3</v>
      </c>
      <c r="M98" s="4"/>
      <c r="N98" s="833"/>
      <c r="O98" s="833"/>
      <c r="Q98" s="833"/>
      <c r="R98" s="833"/>
      <c r="S98" s="833"/>
      <c r="T98" s="833"/>
      <c r="U98" s="833"/>
      <c r="V98" s="833"/>
      <c r="W98" s="833"/>
      <c r="X98" s="833"/>
    </row>
    <row r="99" spans="1:24" s="813" customFormat="1" ht="39.950000000000003" customHeight="1" x14ac:dyDescent="0.15">
      <c r="A99" s="2081"/>
      <c r="B99" s="834"/>
      <c r="C99" s="834"/>
      <c r="D99" s="835"/>
      <c r="E99" s="2"/>
      <c r="F99" s="834"/>
      <c r="G99" s="1821"/>
      <c r="H99" s="1"/>
      <c r="I99" s="877"/>
      <c r="J99" s="839" t="str">
        <f ca="1">IF(J64=0,0,"")</f>
        <v/>
      </c>
      <c r="K99" s="2078"/>
      <c r="L99" s="1574"/>
      <c r="M99" s="1833"/>
      <c r="N99" s="833"/>
      <c r="O99" s="833"/>
      <c r="Q99" s="833"/>
      <c r="R99" s="833"/>
      <c r="S99" s="833"/>
      <c r="T99" s="833"/>
      <c r="U99" s="833"/>
      <c r="V99" s="833"/>
      <c r="W99" s="833"/>
      <c r="X99" s="833"/>
    </row>
    <row r="100" spans="1:24" s="833" customFormat="1" ht="30" customHeight="1" x14ac:dyDescent="0.15">
      <c r="A100" s="2082">
        <f ca="1">IF(J100&gt;0,INT(A98)+1,IF(J100=0,INT(A98),0))</f>
        <v>3</v>
      </c>
      <c r="B100" s="1633"/>
      <c r="C100" s="1633"/>
      <c r="D100" s="1634" t="s">
        <v>744</v>
      </c>
      <c r="E100" s="1828"/>
      <c r="F100" s="1635"/>
      <c r="G100" s="1820" t="s">
        <v>645</v>
      </c>
      <c r="H100" s="1637"/>
      <c r="I100" s="1640" t="str">
        <f ca="1">CONCATENATE("SUB-TOTAL ",A100)</f>
        <v>SUB-TOTAL 3</v>
      </c>
      <c r="J100" s="1639">
        <f ca="1">SUM(J101:J181)</f>
        <v>659020.42000000004</v>
      </c>
      <c r="K100" s="2079">
        <f t="shared" ref="K100:K131" ca="1" si="10">J100/J$967</f>
        <v>4.7992149898560113E-2</v>
      </c>
      <c r="L100" s="1610">
        <f t="shared" ref="L100:L153" ca="1" si="11">J100/J$100</f>
        <v>1</v>
      </c>
    </row>
    <row r="101" spans="1:24" s="813" customFormat="1" ht="39.950000000000003" hidden="1" customHeight="1" x14ac:dyDescent="0.15">
      <c r="A101" s="2081">
        <f ca="1">Orçamento_Não_Deson!A101</f>
        <v>3</v>
      </c>
      <c r="B101" s="834" t="str">
        <f>Orçamento_Não_Deson!B101</f>
        <v>DR/0050</v>
      </c>
      <c r="C101" s="2" t="str">
        <f>VLOOKUP($B101,[5]BOLETIM_SEL!$A:$H,2,0)</f>
        <v>COMPOSIÇÃO</v>
      </c>
      <c r="D101" s="315" t="str">
        <f>VLOOKUP($B101,[5]BOLETIM_SEL!$A:$H,4,0)</f>
        <v>Esgotamento de água com bomba submersa (REF. SICRO COD. 2003864)</v>
      </c>
      <c r="E101" s="2">
        <f>Orçamento_Não_Deson!E101</f>
        <v>0</v>
      </c>
      <c r="F101" s="2" t="str">
        <f>VLOOKUP($B101,[5]BOLETIM_SEL!$A:$H,6,0)</f>
        <v>H</v>
      </c>
      <c r="G101" s="1407">
        <f>VLOOKUP($B101,[5]BOLETIM_SEL!$A:$H,7,0)</f>
        <v>21.96</v>
      </c>
      <c r="H101" s="1613">
        <f>Orçamento_Não_Deson!H101</f>
        <v>0</v>
      </c>
      <c r="I101" s="877">
        <f t="shared" ref="I101:I154" si="12">TRUNC(G101*(1+$J$5),2)</f>
        <v>27.83</v>
      </c>
      <c r="J101" s="1612">
        <f t="shared" ref="J101:J154" si="13">TRUNC(H101*I101,2)</f>
        <v>0</v>
      </c>
      <c r="K101" s="2078">
        <f t="shared" ca="1" si="10"/>
        <v>0</v>
      </c>
      <c r="L101" s="1574">
        <f t="shared" ca="1" si="11"/>
        <v>0</v>
      </c>
      <c r="M101" s="1833"/>
      <c r="N101" s="833"/>
      <c r="O101" s="833"/>
      <c r="Q101" s="833"/>
      <c r="R101" s="833"/>
      <c r="S101" s="833"/>
      <c r="T101" s="833"/>
      <c r="U101" s="833"/>
      <c r="V101" s="833"/>
      <c r="W101" s="833"/>
      <c r="X101" s="833"/>
    </row>
    <row r="102" spans="1:24" s="813" customFormat="1" ht="30" customHeight="1" x14ac:dyDescent="0.15">
      <c r="A102" s="2081">
        <f ca="1">+Orçamento_Não_Deson!A102</f>
        <v>3.01</v>
      </c>
      <c r="B102" s="834" t="str">
        <f>+Orçamento_Não_Deson!B102</f>
        <v>DR/0040</v>
      </c>
      <c r="C102" s="2" t="str">
        <f>VLOOKUP($B102,[5]BOLETIM_SEL!$A:$H,2,0)</f>
        <v>COMPOSIÇÃO</v>
      </c>
      <c r="D102" s="315" t="str">
        <f>VLOOKUP($B102,[5]BOLETIM_SEL!$A:$H,4,0)</f>
        <v>Arrancamento e remoção de canalização, Ø ≤ 60 cm. Exclusive bota-fora</v>
      </c>
      <c r="E102" s="2">
        <f>+Orçamento_Não_Deson!E102</f>
        <v>0</v>
      </c>
      <c r="F102" s="2" t="str">
        <f>VLOOKUP($B102,[5]BOLETIM_SEL!$A:$H,6,0)</f>
        <v>M</v>
      </c>
      <c r="G102" s="1407">
        <f>VLOOKUP($B102,[5]BOLETIM_SEL!$A:$H,7,0)</f>
        <v>67.84</v>
      </c>
      <c r="H102" s="1613">
        <f>+Orçamento_Não_Deson!H102</f>
        <v>24.93</v>
      </c>
      <c r="I102" s="877">
        <f t="shared" si="12"/>
        <v>85.98</v>
      </c>
      <c r="J102" s="1612">
        <f t="shared" si="13"/>
        <v>2143.48</v>
      </c>
      <c r="K102" s="2078">
        <f t="shared" ca="1" si="10"/>
        <v>1.5609563883402222E-4</v>
      </c>
      <c r="L102" s="1574">
        <f t="shared" ca="1" si="11"/>
        <v>3.2525244058446623E-3</v>
      </c>
      <c r="M102" s="1833"/>
      <c r="N102" s="833"/>
      <c r="O102" s="833"/>
      <c r="Q102" s="833"/>
      <c r="R102" s="833"/>
      <c r="S102" s="833"/>
      <c r="T102" s="833"/>
      <c r="U102" s="833"/>
      <c r="V102" s="833"/>
      <c r="W102" s="833"/>
      <c r="X102" s="833"/>
    </row>
    <row r="103" spans="1:24" s="813" customFormat="1" ht="39.950000000000003" hidden="1" customHeight="1" x14ac:dyDescent="0.15">
      <c r="A103" s="2081">
        <f ca="1">+Orçamento_Não_Deson!A103</f>
        <v>3.01</v>
      </c>
      <c r="B103" s="834" t="str">
        <f>+Orçamento_Não_Deson!B103</f>
        <v>DR/0045</v>
      </c>
      <c r="C103" s="2" t="str">
        <f>VLOOKUP($B103,[5]BOLETIM_SEL!$A:$H,2,0)</f>
        <v>COMPOSIÇÃO</v>
      </c>
      <c r="D103" s="315" t="str">
        <f>VLOOKUP($B103,[5]BOLETIM_SEL!$A:$H,4,0)</f>
        <v>Arrancamento e remoção de canalização, Ø &gt; 60 cm. Exclusive bota-fora</v>
      </c>
      <c r="E103" s="2">
        <f>+Orçamento_Não_Deson!E103</f>
        <v>0</v>
      </c>
      <c r="F103" s="2" t="str">
        <f>VLOOKUP($B103,[5]BOLETIM_SEL!$A:$H,6,0)</f>
        <v>M</v>
      </c>
      <c r="G103" s="1407">
        <f>VLOOKUP($B103,[5]BOLETIM_SEL!$A:$H,7,0)</f>
        <v>115.94</v>
      </c>
      <c r="H103" s="1613">
        <f>+Orçamento_Não_Deson!H103</f>
        <v>0</v>
      </c>
      <c r="I103" s="877">
        <f t="shared" si="12"/>
        <v>146.94</v>
      </c>
      <c r="J103" s="1612">
        <f t="shared" si="13"/>
        <v>0</v>
      </c>
      <c r="K103" s="2078">
        <f t="shared" ca="1" si="10"/>
        <v>0</v>
      </c>
      <c r="L103" s="1574">
        <f t="shared" ca="1" si="11"/>
        <v>0</v>
      </c>
      <c r="M103" s="1833"/>
      <c r="N103" s="1964" t="s">
        <v>1962</v>
      </c>
      <c r="O103" s="1655" t="s">
        <v>1988</v>
      </c>
      <c r="Q103" s="833"/>
      <c r="R103" s="833"/>
      <c r="S103" s="833"/>
      <c r="T103" s="833"/>
      <c r="U103" s="833"/>
      <c r="V103" s="833"/>
      <c r="W103" s="833"/>
      <c r="X103" s="833"/>
    </row>
    <row r="104" spans="1:24" s="813" customFormat="1" ht="39.950000000000003" hidden="1" customHeight="1" x14ac:dyDescent="0.15">
      <c r="A104" s="2081">
        <f ca="1">+Orçamento_Não_Deson!A104</f>
        <v>3.01</v>
      </c>
      <c r="B104" s="834">
        <f>+Orçamento_Não_Deson!B104</f>
        <v>90099</v>
      </c>
      <c r="C104" s="2" t="str">
        <f>VLOOKUP($B104,[5]BOLETIM_SEL!$A:$H,2,0)</f>
        <v>SINAPI</v>
      </c>
      <c r="D104" s="315" t="str">
        <f>VLOOKUP($B104,[5]BOLETIM_SEL!$A:$H,4,0)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4" s="2">
        <f>+Orçamento_Não_Deson!E104</f>
        <v>0</v>
      </c>
      <c r="F104" s="2" t="str">
        <f>VLOOKUP($B104,[5]BOLETIM_SEL!$A:$H,6,0)</f>
        <v>M3</v>
      </c>
      <c r="G104" s="1407">
        <f>VLOOKUP($B104,[5]BOLETIM_SEL!$A:$H,7,0)</f>
        <v>13.81</v>
      </c>
      <c r="H104" s="1613">
        <f ca="1">+Orçamento_Não_Deson!H104</f>
        <v>0</v>
      </c>
      <c r="I104" s="877">
        <f t="shared" si="12"/>
        <v>17.5</v>
      </c>
      <c r="J104" s="1612">
        <f t="shared" ca="1" si="13"/>
        <v>0</v>
      </c>
      <c r="K104" s="2078">
        <f t="shared" ca="1" si="10"/>
        <v>0</v>
      </c>
      <c r="L104" s="1574">
        <f t="shared" ca="1" si="11"/>
        <v>0</v>
      </c>
      <c r="M104" s="2574" t="str">
        <f>VLOOKUP($B104,[5]BOLETIM_SEL!$A:$H,5,0)</f>
        <v>H &lt; 1,50
alta Interferência</v>
      </c>
      <c r="N104" s="1965">
        <f>VLOOKUP($B104,[5]BOLETIM_SEL!$A:$H,3,0)</f>
        <v>7.62</v>
      </c>
      <c r="O104" s="1652">
        <f t="shared" ref="O104:O123" ca="1" si="14">+H104/N104</f>
        <v>0</v>
      </c>
      <c r="Q104" s="833"/>
      <c r="R104" s="833"/>
      <c r="S104" s="833"/>
      <c r="T104" s="833"/>
      <c r="U104" s="833"/>
      <c r="V104" s="833"/>
      <c r="W104" s="833"/>
      <c r="X104" s="833"/>
    </row>
    <row r="105" spans="1:24" s="813" customFormat="1" ht="50.1" customHeight="1" x14ac:dyDescent="0.15">
      <c r="A105" s="2081">
        <f ca="1">+Orçamento_Não_Deson!A105</f>
        <v>3.0199999999999996</v>
      </c>
      <c r="B105" s="834">
        <f>+Orçamento_Não_Deson!B105</f>
        <v>90100</v>
      </c>
      <c r="C105" s="2" t="str">
        <f>VLOOKUP($B105,[5]BOLETIM_SEL!$A:$H,2,0)</f>
        <v>SINAPI</v>
      </c>
      <c r="D105" s="315" t="str">
        <f>VLOOKUP($B105,[5]BOLETIM_SEL!$A:$H,4,0)</f>
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5" s="2">
        <f>+Orçamento_Não_Deson!E105</f>
        <v>0</v>
      </c>
      <c r="F105" s="2" t="str">
        <f>VLOOKUP($B105,[5]BOLETIM_SEL!$A:$H,6,0)</f>
        <v>M3</v>
      </c>
      <c r="G105" s="1407">
        <f>VLOOKUP($B105,[5]BOLETIM_SEL!$A:$H,7,0)</f>
        <v>11.72</v>
      </c>
      <c r="H105" s="1613">
        <f ca="1">+Orçamento_Não_Deson!H105</f>
        <v>1141.33</v>
      </c>
      <c r="I105" s="877">
        <f t="shared" si="12"/>
        <v>14.85</v>
      </c>
      <c r="J105" s="1612">
        <f t="shared" ca="1" si="13"/>
        <v>16948.75</v>
      </c>
      <c r="K105" s="2078">
        <f t="shared" ca="1" si="10"/>
        <v>1.2342666872040486E-3</v>
      </c>
      <c r="L105" s="1574">
        <f t="shared" ca="1" si="11"/>
        <v>2.5718095351279099E-2</v>
      </c>
      <c r="M105" s="2574"/>
      <c r="N105" s="1965">
        <f>VLOOKUP($B105,[5]BOLETIM_SEL!$A:$H,3,0)</f>
        <v>8.9600000000000009</v>
      </c>
      <c r="O105" s="1652">
        <f t="shared" ca="1" si="14"/>
        <v>127.38058035714283</v>
      </c>
      <c r="Q105" s="833"/>
      <c r="R105" s="833"/>
      <c r="S105" s="833"/>
      <c r="T105" s="833"/>
      <c r="U105" s="833"/>
      <c r="V105" s="833"/>
      <c r="W105" s="833"/>
      <c r="X105" s="833"/>
    </row>
    <row r="106" spans="1:24" s="813" customFormat="1" ht="39.950000000000003" hidden="1" customHeight="1" x14ac:dyDescent="0.15">
      <c r="A106" s="2081">
        <f ca="1">Orçamento_Não_Deson!A106</f>
        <v>3.0199999999999996</v>
      </c>
      <c r="B106" s="834">
        <f>Orçamento_Não_Deson!B106</f>
        <v>90082</v>
      </c>
      <c r="C106" s="2" t="str">
        <f>VLOOKUP($B106,[5]BOLETIM_SEL!$A:$H,2,0)</f>
        <v>SINAPI</v>
      </c>
      <c r="D106" s="315" t="str">
        <f>VLOOKUP($B106,[5]BOLETIM_SEL!$A:$H,4,0)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</c>
      <c r="E106" s="2">
        <f>Orçamento_Não_Deson!E106</f>
        <v>0</v>
      </c>
      <c r="F106" s="2" t="str">
        <f>VLOOKUP($B106,[5]BOLETIM_SEL!$A:$H,6,0)</f>
        <v>M3</v>
      </c>
      <c r="G106" s="1407">
        <f>VLOOKUP($B106,[5]BOLETIM_SEL!$A:$H,7,0)</f>
        <v>9.9499999999999993</v>
      </c>
      <c r="H106" s="1613">
        <f ca="1">Orçamento_Não_Deson!H106</f>
        <v>0</v>
      </c>
      <c r="I106" s="877">
        <f t="shared" si="12"/>
        <v>12.61</v>
      </c>
      <c r="J106" s="1612">
        <f t="shared" ca="1" si="13"/>
        <v>0</v>
      </c>
      <c r="K106" s="2078">
        <f t="shared" ca="1" si="10"/>
        <v>0</v>
      </c>
      <c r="L106" s="1574">
        <f t="shared" ca="1" si="11"/>
        <v>0</v>
      </c>
      <c r="M106" s="2574"/>
      <c r="N106" s="1965">
        <f>VLOOKUP($B106,[5]BOLETIM_SEL!$A:$H,3,0)</f>
        <v>13.46</v>
      </c>
      <c r="O106" s="1652">
        <f ca="1">H106/N106</f>
        <v>0</v>
      </c>
      <c r="Q106" s="833"/>
      <c r="R106" s="833"/>
      <c r="S106" s="833"/>
      <c r="T106" s="833"/>
      <c r="U106" s="833"/>
      <c r="V106" s="833"/>
      <c r="W106" s="833"/>
      <c r="X106" s="833"/>
    </row>
    <row r="107" spans="1:24" s="813" customFormat="1" ht="39.950000000000003" hidden="1" customHeight="1" x14ac:dyDescent="0.15">
      <c r="A107" s="2081">
        <f ca="1">+Orçamento_Não_Deson!A107</f>
        <v>3.0199999999999996</v>
      </c>
      <c r="B107" s="834">
        <f>+Orçamento_Não_Deson!B107</f>
        <v>90101</v>
      </c>
      <c r="C107" s="2" t="str">
        <f>VLOOKUP($B107,[5]BOLETIM_SEL!$A:$H,2,0)</f>
        <v>SINAPI</v>
      </c>
      <c r="D107" s="315" t="str">
        <f>VLOOKUP($B107,[5]BOLETIM_SEL!$A:$H,4,0)</f>
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7" s="2">
        <f>+Orçamento_Não_Deson!E107</f>
        <v>0</v>
      </c>
      <c r="F107" s="2" t="str">
        <f>VLOOKUP($B107,[5]BOLETIM_SEL!$A:$H,6,0)</f>
        <v>M3</v>
      </c>
      <c r="G107" s="1407">
        <f>VLOOKUP($B107,[5]BOLETIM_SEL!$A:$H,7,0)</f>
        <v>11.58</v>
      </c>
      <c r="H107" s="1613">
        <f ca="1">+Orçamento_Não_Deson!H107</f>
        <v>0</v>
      </c>
      <c r="I107" s="877">
        <f t="shared" si="12"/>
        <v>14.67</v>
      </c>
      <c r="J107" s="1612">
        <f t="shared" ca="1" si="13"/>
        <v>0</v>
      </c>
      <c r="K107" s="2078">
        <f t="shared" ca="1" si="10"/>
        <v>0</v>
      </c>
      <c r="L107" s="1574">
        <f t="shared" ca="1" si="11"/>
        <v>0</v>
      </c>
      <c r="M107" s="2575" t="str">
        <f>VLOOKUP($B107,[5]BOLETIM_SEL!$A:$H,5,0)</f>
        <v>1,51 &lt; H &lt; 3,00
alta Interferência</v>
      </c>
      <c r="N107" s="1965">
        <f>VLOOKUP($B107,[5]BOLETIM_SEL!$A:$H,3,0)</f>
        <v>9.07</v>
      </c>
      <c r="O107" s="1652">
        <f t="shared" ca="1" si="14"/>
        <v>0</v>
      </c>
      <c r="Q107" s="833"/>
      <c r="R107" s="833"/>
      <c r="S107" s="833"/>
      <c r="T107" s="833"/>
      <c r="U107" s="833"/>
      <c r="V107" s="833"/>
      <c r="W107" s="833"/>
      <c r="X107" s="833"/>
    </row>
    <row r="108" spans="1:24" s="813" customFormat="1" ht="50.1" customHeight="1" x14ac:dyDescent="0.15">
      <c r="A108" s="2081">
        <f ca="1">Orçamento_Não_Deson!A108</f>
        <v>3.0299999999999994</v>
      </c>
      <c r="B108" s="834">
        <f>Orçamento_Não_Deson!B108</f>
        <v>90102</v>
      </c>
      <c r="C108" s="2" t="str">
        <f>VLOOKUP($B108,[5]BOLETIM_SEL!$A:$H,2,0)</f>
        <v>SINAPI</v>
      </c>
      <c r="D108" s="315" t="str">
        <f>VLOOKUP($B108,[5]BOLETIM_SEL!$A:$H,4,0)</f>
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8" s="2">
        <f>Orçamento_Não_Deson!E108</f>
        <v>0</v>
      </c>
      <c r="F108" s="2" t="str">
        <f>VLOOKUP($B108,[5]BOLETIM_SEL!$A:$H,6,0)</f>
        <v>M3</v>
      </c>
      <c r="G108" s="1407">
        <f>VLOOKUP($B108,[5]BOLETIM_SEL!$A:$H,7,0)</f>
        <v>10.53</v>
      </c>
      <c r="H108" s="1613">
        <f ca="1">Orçamento_Não_Deson!H108</f>
        <v>3278.74</v>
      </c>
      <c r="I108" s="877">
        <f t="shared" si="12"/>
        <v>13.34</v>
      </c>
      <c r="J108" s="1612">
        <f t="shared" ca="1" si="13"/>
        <v>43738.39</v>
      </c>
      <c r="K108" s="2078">
        <f t="shared" ca="1" si="10"/>
        <v>3.1851810740578914E-3</v>
      </c>
      <c r="L108" s="1574">
        <f t="shared" ca="1" si="11"/>
        <v>6.6368793246194102E-2</v>
      </c>
      <c r="M108" s="2575"/>
      <c r="N108" s="1965">
        <f>VLOOKUP($B108,[5]BOLETIM_SEL!$A:$H,3,0)</f>
        <v>9.9700000000000006</v>
      </c>
      <c r="O108" s="1652">
        <f ca="1">H108/N108</f>
        <v>328.86058174523566</v>
      </c>
      <c r="Q108" s="833"/>
      <c r="R108" s="833"/>
      <c r="S108" s="833"/>
      <c r="T108" s="833"/>
      <c r="U108" s="833"/>
      <c r="V108" s="833"/>
      <c r="W108" s="833"/>
      <c r="X108" s="833"/>
    </row>
    <row r="109" spans="1:24" s="813" customFormat="1" ht="50.1" customHeight="1" x14ac:dyDescent="0.15">
      <c r="A109" s="2081">
        <f ca="1">Orçamento_Não_Deson!A109</f>
        <v>3.0399999999999991</v>
      </c>
      <c r="B109" s="834">
        <f>Orçamento_Não_Deson!B109</f>
        <v>102278</v>
      </c>
      <c r="C109" s="2" t="str">
        <f>VLOOKUP($B109,[5]BOLETIM_SEL!$A:$H,2,0)</f>
        <v>SINAPI</v>
      </c>
      <c r="D109" s="315" t="str">
        <f>VLOOKUP($B109,[5]BOLETIM_SEL!$A:$H,4,0)</f>
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</c>
      <c r="E109" s="2">
        <f>Orçamento_Não_Deson!E109</f>
        <v>0</v>
      </c>
      <c r="F109" s="2" t="str">
        <f>VLOOKUP($B109,[5]BOLETIM_SEL!$A:$H,6,0)</f>
        <v>M3</v>
      </c>
      <c r="G109" s="1407">
        <f>VLOOKUP($B109,[5]BOLETIM_SEL!$A:$H,7,0)</f>
        <v>8.65</v>
      </c>
      <c r="H109" s="1613">
        <f ca="1">Orçamento_Não_Deson!H109</f>
        <v>4953.38</v>
      </c>
      <c r="I109" s="877">
        <f t="shared" si="12"/>
        <v>10.96</v>
      </c>
      <c r="J109" s="1612">
        <f t="shared" ca="1" si="13"/>
        <v>54289.04</v>
      </c>
      <c r="K109" s="2078">
        <f t="shared" ca="1" si="10"/>
        <v>3.9535159555889416E-3</v>
      </c>
      <c r="L109" s="1574">
        <f t="shared" ca="1" si="11"/>
        <v>8.2378388214434994E-2</v>
      </c>
      <c r="M109" s="2575"/>
      <c r="N109" s="1965">
        <v>14.75</v>
      </c>
      <c r="O109" s="1652">
        <f ca="1">H109/N109</f>
        <v>335.82237288135593</v>
      </c>
      <c r="Q109" s="833"/>
      <c r="R109" s="833"/>
      <c r="S109" s="833"/>
      <c r="T109" s="833"/>
      <c r="U109" s="833"/>
      <c r="V109" s="833"/>
      <c r="W109" s="833"/>
      <c r="X109" s="833"/>
    </row>
    <row r="110" spans="1:24" s="813" customFormat="1" ht="39.950000000000003" hidden="1" customHeight="1" x14ac:dyDescent="0.15">
      <c r="A110" s="2081">
        <f ca="1">+Orçamento_Não_Deson!A110</f>
        <v>3.0399999999999991</v>
      </c>
      <c r="B110" s="834">
        <f>+Orçamento_Não_Deson!B110</f>
        <v>90086</v>
      </c>
      <c r="C110" s="2" t="str">
        <f>VLOOKUP($B110,[5]BOLETIM_SEL!$A:$H,2,0)</f>
        <v>SINAPI</v>
      </c>
      <c r="D110" s="315" t="str">
        <f>VLOOKUP($B110,[5]BOLETIM_SEL!$A:$H,4,0)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</c>
      <c r="E110" s="2">
        <f>+Orçamento_Não_Deson!E110</f>
        <v>0</v>
      </c>
      <c r="F110" s="2" t="str">
        <f>VLOOKUP($B110,[5]BOLETIM_SEL!$A:$H,6,0)</f>
        <v>M3</v>
      </c>
      <c r="G110" s="1407">
        <f>VLOOKUP($B110,[5]BOLETIM_SEL!$A:$H,7,0)</f>
        <v>9.1</v>
      </c>
      <c r="H110" s="1613">
        <f ca="1">+Orçamento_Não_Deson!H110</f>
        <v>0</v>
      </c>
      <c r="I110" s="877">
        <f t="shared" si="12"/>
        <v>11.53</v>
      </c>
      <c r="J110" s="1612">
        <f t="shared" ca="1" si="13"/>
        <v>0</v>
      </c>
      <c r="K110" s="2078">
        <f t="shared" ca="1" si="10"/>
        <v>0</v>
      </c>
      <c r="L110" s="1574">
        <f t="shared" ca="1" si="11"/>
        <v>0</v>
      </c>
      <c r="M110" s="2576" t="str">
        <f>VLOOKUP($B110,[5]BOLETIM_SEL!$A:$H,5,0)</f>
        <v>3,01 &lt; H &lt; 4,50
alta Interferência</v>
      </c>
      <c r="N110" s="1965">
        <f>VLOOKUP($B110,[5]BOLETIM_SEL!$A:$H,3,0)</f>
        <v>14.58</v>
      </c>
      <c r="O110" s="1652">
        <f t="shared" ca="1" si="14"/>
        <v>0</v>
      </c>
      <c r="Q110" s="833"/>
      <c r="R110" s="833"/>
      <c r="S110" s="833"/>
      <c r="T110" s="833"/>
      <c r="U110" s="833"/>
      <c r="V110" s="833"/>
      <c r="W110" s="833"/>
      <c r="X110" s="833"/>
    </row>
    <row r="111" spans="1:24" s="813" customFormat="1" ht="50.1" customHeight="1" x14ac:dyDescent="0.15">
      <c r="A111" s="2081">
        <f ca="1">Orçamento_Não_Deson!A111</f>
        <v>3.0499999999999989</v>
      </c>
      <c r="B111" s="834">
        <f>Orçamento_Não_Deson!B111</f>
        <v>90087</v>
      </c>
      <c r="C111" s="2" t="str">
        <f>VLOOKUP($B111,[5]BOLETIM_SEL!$A:$H,2,0)</f>
        <v>SINAPI</v>
      </c>
      <c r="D111" s="315" t="str">
        <f>VLOOKUP($B111,[5]BOLETIM_SEL!$A:$H,4,0)</f>
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1" s="2">
        <f>Orçamento_Não_Deson!E111</f>
        <v>0</v>
      </c>
      <c r="F111" s="2" t="str">
        <f>VLOOKUP($B111,[5]BOLETIM_SEL!$A:$H,6,0)</f>
        <v>M3</v>
      </c>
      <c r="G111" s="1407">
        <f>VLOOKUP($B111,[5]BOLETIM_SEL!$A:$H,7,0)</f>
        <v>8.3000000000000007</v>
      </c>
      <c r="H111" s="1613">
        <f ca="1">Orçamento_Não_Deson!H111</f>
        <v>515.21</v>
      </c>
      <c r="I111" s="877">
        <f t="shared" si="12"/>
        <v>10.51</v>
      </c>
      <c r="J111" s="1612">
        <f t="shared" ca="1" si="13"/>
        <v>5414.85</v>
      </c>
      <c r="K111" s="2078">
        <f t="shared" ca="1" si="10"/>
        <v>3.9432813459440035E-4</v>
      </c>
      <c r="L111" s="1574">
        <f t="shared" ca="1" si="11"/>
        <v>8.216513230348766E-3</v>
      </c>
      <c r="M111" s="2576"/>
      <c r="N111" s="1965">
        <f>VLOOKUP($B111,[5]BOLETIM_SEL!$A:$H,3,0)</f>
        <v>19.12</v>
      </c>
      <c r="O111" s="1652">
        <f ca="1">H111/N111</f>
        <v>26.94612970711297</v>
      </c>
      <c r="Q111" s="833"/>
      <c r="R111" s="833"/>
      <c r="S111" s="833"/>
      <c r="T111" s="833"/>
      <c r="U111" s="833"/>
      <c r="V111" s="833"/>
      <c r="W111" s="833"/>
      <c r="X111" s="833"/>
    </row>
    <row r="112" spans="1:24" s="813" customFormat="1" ht="39.950000000000003" hidden="1" customHeight="1" x14ac:dyDescent="0.15">
      <c r="A112" s="2081">
        <f ca="1">+Orçamento_Não_Deson!A112</f>
        <v>3.0499999999999989</v>
      </c>
      <c r="B112" s="834">
        <f>+Orçamento_Não_Deson!B112</f>
        <v>102277</v>
      </c>
      <c r="C112" s="2" t="str">
        <f>VLOOKUP($B112,[5]BOLETIM_SEL!$A:$H,2,0)</f>
        <v>SINAPI</v>
      </c>
      <c r="D112" s="315" t="str">
        <f>VLOOKUP($B112,[5]BOLETIM_SEL!$A:$H,4,0)</f>
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</c>
      <c r="E112" s="2">
        <f>+Orçamento_Não_Deson!E112</f>
        <v>0</v>
      </c>
      <c r="F112" s="2" t="str">
        <f>VLOOKUP($B112,[5]BOLETIM_SEL!$A:$H,6,0)</f>
        <v>M3</v>
      </c>
      <c r="G112" s="1407">
        <f>VLOOKUP($B112,[5]BOLETIM_SEL!$A:$H,7,0)</f>
        <v>8.83</v>
      </c>
      <c r="H112" s="1613">
        <f ca="1">+Orçamento_Não_Deson!H112</f>
        <v>0</v>
      </c>
      <c r="I112" s="877">
        <f t="shared" si="12"/>
        <v>11.19</v>
      </c>
      <c r="J112" s="1612">
        <f t="shared" ca="1" si="13"/>
        <v>0</v>
      </c>
      <c r="K112" s="2078">
        <f t="shared" ca="1" si="10"/>
        <v>0</v>
      </c>
      <c r="L112" s="1574">
        <f t="shared" ca="1" si="11"/>
        <v>0</v>
      </c>
      <c r="M112" s="2573" t="str">
        <f>VLOOKUP($B112,[5]BOLETIM_SEL!$A:$H,5,0)</f>
        <v>H &gt; 4,51
alta Interferência</v>
      </c>
      <c r="N112" s="1965">
        <v>18.73</v>
      </c>
      <c r="O112" s="1652">
        <f t="shared" ca="1" si="14"/>
        <v>0</v>
      </c>
      <c r="Q112" s="833"/>
      <c r="R112" s="833"/>
      <c r="S112" s="833"/>
      <c r="T112" s="833"/>
      <c r="U112" s="833"/>
      <c r="V112" s="833"/>
      <c r="W112" s="833"/>
      <c r="X112" s="833"/>
    </row>
    <row r="113" spans="1:24" s="813" customFormat="1" ht="39.950000000000003" hidden="1" customHeight="1" x14ac:dyDescent="0.15">
      <c r="A113" s="2081">
        <f ca="1">+Orçamento_Não_Deson!A113</f>
        <v>3.0499999999999989</v>
      </c>
      <c r="B113" s="834">
        <f>+Orçamento_Não_Deson!B113</f>
        <v>90090</v>
      </c>
      <c r="C113" s="2" t="str">
        <f>VLOOKUP($B113,[5]BOLETIM_SEL!$A:$H,2,0)</f>
        <v>SINAPI</v>
      </c>
      <c r="D113" s="315" t="str">
        <f>VLOOKUP($B113,[5]BOLETIM_SEL!$A:$H,4,0)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3" s="2">
        <f>+Orçamento_Não_Deson!E113</f>
        <v>0</v>
      </c>
      <c r="F113" s="2" t="str">
        <f>VLOOKUP($B113,[5]BOLETIM_SEL!$A:$H,6,0)</f>
        <v>M3</v>
      </c>
      <c r="G113" s="1407">
        <f>VLOOKUP($B113,[5]BOLETIM_SEL!$A:$H,7,0)</f>
        <v>8.1199999999999992</v>
      </c>
      <c r="H113" s="1613">
        <f ca="1">+Orçamento_Não_Deson!H113</f>
        <v>0</v>
      </c>
      <c r="I113" s="877">
        <f t="shared" si="12"/>
        <v>10.29</v>
      </c>
      <c r="J113" s="1612">
        <f t="shared" ca="1" si="13"/>
        <v>0</v>
      </c>
      <c r="K113" s="2078">
        <f t="shared" ca="1" si="10"/>
        <v>0</v>
      </c>
      <c r="L113" s="1574">
        <f t="shared" ca="1" si="11"/>
        <v>0</v>
      </c>
      <c r="M113" s="2573"/>
      <c r="N113" s="1965">
        <f>VLOOKUP($B113,[5]BOLETIM_SEL!$A:$H,3,0)</f>
        <v>19.489999999999998</v>
      </c>
      <c r="O113" s="1652">
        <f t="shared" ca="1" si="14"/>
        <v>0</v>
      </c>
      <c r="Q113" s="833"/>
      <c r="R113" s="833"/>
      <c r="S113" s="833"/>
      <c r="T113" s="833"/>
      <c r="U113" s="833"/>
      <c r="V113" s="833"/>
      <c r="W113" s="833"/>
      <c r="X113" s="833"/>
    </row>
    <row r="114" spans="1:24" s="813" customFormat="1" ht="39.950000000000003" hidden="1" customHeight="1" x14ac:dyDescent="0.15">
      <c r="A114" s="2081">
        <f ca="1">+Orçamento_Não_Deson!A114</f>
        <v>3.0499999999999989</v>
      </c>
      <c r="B114" s="834">
        <f>+Orçamento_Não_Deson!B114</f>
        <v>90105</v>
      </c>
      <c r="C114" s="2" t="str">
        <f>VLOOKUP($B114,[5]BOLETIM_SEL!$A:$H,2,0)</f>
        <v>SINAPI</v>
      </c>
      <c r="D114" s="315" t="str">
        <f>VLOOKUP($B114,[5]BOLETIM_SEL!$A:$H,4,0)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114" s="2">
        <f>+Orçamento_Não_Deson!E114</f>
        <v>0</v>
      </c>
      <c r="F114" s="2" t="str">
        <f>VLOOKUP($B114,[5]BOLETIM_SEL!$A:$H,6,0)</f>
        <v>M3</v>
      </c>
      <c r="G114" s="1407">
        <f>VLOOKUP($B114,[5]BOLETIM_SEL!$A:$H,7,0)</f>
        <v>7.61</v>
      </c>
      <c r="H114" s="1613">
        <f>+Orçamento_Não_Deson!H114</f>
        <v>0</v>
      </c>
      <c r="I114" s="877">
        <f t="shared" si="12"/>
        <v>9.64</v>
      </c>
      <c r="J114" s="1612">
        <f t="shared" si="13"/>
        <v>0</v>
      </c>
      <c r="K114" s="2078">
        <f t="shared" ca="1" si="10"/>
        <v>0</v>
      </c>
      <c r="L114" s="1574">
        <f t="shared" ca="1" si="11"/>
        <v>0</v>
      </c>
      <c r="M114" s="2574" t="str">
        <f>VLOOKUP($B114,[5]BOLETIM_SEL!$A:$H,5,0)</f>
        <v>H &lt; 1,50
baixa Interferência</v>
      </c>
      <c r="N114" s="1965">
        <f>VLOOKUP($B114,[5]BOLETIM_SEL!$A:$H,3,0)</f>
        <v>12.76</v>
      </c>
      <c r="O114" s="1652">
        <f t="shared" si="14"/>
        <v>0</v>
      </c>
      <c r="Q114" s="833"/>
      <c r="R114" s="833"/>
      <c r="S114" s="833"/>
      <c r="T114" s="833"/>
      <c r="U114" s="833"/>
      <c r="V114" s="833"/>
      <c r="W114" s="833"/>
      <c r="X114" s="833"/>
    </row>
    <row r="115" spans="1:24" s="813" customFormat="1" ht="39.950000000000003" hidden="1" customHeight="1" x14ac:dyDescent="0.15">
      <c r="A115" s="2081">
        <f ca="1">+Orçamento_Não_Deson!A115</f>
        <v>3.0499999999999989</v>
      </c>
      <c r="B115" s="834">
        <f>+Orçamento_Não_Deson!B115</f>
        <v>90106</v>
      </c>
      <c r="C115" s="2" t="str">
        <f>VLOOKUP($B115,[5]BOLETIM_SEL!$A:$H,2,0)</f>
        <v>SINAPI</v>
      </c>
      <c r="D115" s="315" t="str">
        <f>VLOOKUP($B115,[5]BOLETIM_SEL!$A:$H,4,0)</f>
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5" s="2">
        <f>+Orçamento_Não_Deson!E115</f>
        <v>0</v>
      </c>
      <c r="F115" s="2" t="str">
        <f>VLOOKUP($B115,[5]BOLETIM_SEL!$A:$H,6,0)</f>
        <v>M3</v>
      </c>
      <c r="G115" s="1407">
        <f>VLOOKUP($B115,[5]BOLETIM_SEL!$A:$H,7,0)</f>
        <v>6.46</v>
      </c>
      <c r="H115" s="1613">
        <f>+Orçamento_Não_Deson!H115</f>
        <v>0</v>
      </c>
      <c r="I115" s="877">
        <f t="shared" si="12"/>
        <v>8.18</v>
      </c>
      <c r="J115" s="1612">
        <f t="shared" si="13"/>
        <v>0</v>
      </c>
      <c r="K115" s="2078">
        <f t="shared" ca="1" si="10"/>
        <v>0</v>
      </c>
      <c r="L115" s="1574">
        <f t="shared" ca="1" si="11"/>
        <v>0</v>
      </c>
      <c r="M115" s="2574"/>
      <c r="N115" s="1965">
        <f>VLOOKUP($B115,[5]BOLETIM_SEL!$A:$H,3,0)</f>
        <v>14.99</v>
      </c>
      <c r="O115" s="1652">
        <f t="shared" si="14"/>
        <v>0</v>
      </c>
      <c r="Q115" s="833"/>
      <c r="R115" s="833"/>
      <c r="S115" s="833"/>
      <c r="T115" s="833"/>
      <c r="U115" s="833"/>
      <c r="V115" s="833"/>
      <c r="W115" s="833"/>
      <c r="X115" s="833"/>
    </row>
    <row r="116" spans="1:24" s="813" customFormat="1" ht="39.950000000000003" hidden="1" customHeight="1" x14ac:dyDescent="0.15">
      <c r="A116" s="2081">
        <f ca="1">+Orçamento_Não_Deson!A116</f>
        <v>3.0499999999999989</v>
      </c>
      <c r="B116" s="834">
        <f>+Orçamento_Não_Deson!B116</f>
        <v>90091</v>
      </c>
      <c r="C116" s="2" t="str">
        <f>VLOOKUP($B116,[5]BOLETIM_SEL!$A:$H,2,0)</f>
        <v>SINAPI</v>
      </c>
      <c r="D116" s="315" t="str">
        <f>VLOOKUP($B116,[5]BOLETIM_SEL!$A:$H,4,0)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</c>
      <c r="E116" s="2">
        <f>+Orçamento_Não_Deson!E116</f>
        <v>0</v>
      </c>
      <c r="F116" s="2" t="str">
        <f>VLOOKUP($B116,[5]BOLETIM_SEL!$A:$H,6,0)</f>
        <v>M3</v>
      </c>
      <c r="G116" s="1407">
        <f>VLOOKUP($B116,[5]BOLETIM_SEL!$A:$H,7,0)</f>
        <v>5.38</v>
      </c>
      <c r="H116" s="1613">
        <f>+Orçamento_Não_Deson!H116</f>
        <v>0</v>
      </c>
      <c r="I116" s="877">
        <f t="shared" si="12"/>
        <v>6.81</v>
      </c>
      <c r="J116" s="1612">
        <f t="shared" si="13"/>
        <v>0</v>
      </c>
      <c r="K116" s="2078">
        <f t="shared" ca="1" si="10"/>
        <v>0</v>
      </c>
      <c r="L116" s="1574">
        <f t="shared" ca="1" si="11"/>
        <v>0</v>
      </c>
      <c r="M116" s="2574"/>
      <c r="N116" s="1965">
        <f>VLOOKUP($B116,[5]BOLETIM_SEL!$A:$H,3,0)</f>
        <v>22.52</v>
      </c>
      <c r="O116" s="1652">
        <f t="shared" si="14"/>
        <v>0</v>
      </c>
      <c r="Q116" s="833"/>
      <c r="R116" s="833"/>
      <c r="S116" s="833"/>
      <c r="T116" s="833"/>
      <c r="U116" s="833"/>
      <c r="V116" s="833"/>
      <c r="W116" s="833"/>
      <c r="X116" s="833"/>
    </row>
    <row r="117" spans="1:24" s="813" customFormat="1" ht="39.950000000000003" hidden="1" customHeight="1" x14ac:dyDescent="0.15">
      <c r="A117" s="2081">
        <f ca="1">+Orçamento_Não_Deson!A117</f>
        <v>3.0499999999999989</v>
      </c>
      <c r="B117" s="834">
        <f>+Orçamento_Não_Deson!B117</f>
        <v>90107</v>
      </c>
      <c r="C117" s="2" t="str">
        <f>VLOOKUP($B117,[5]BOLETIM_SEL!$A:$H,2,0)</f>
        <v>SINAPI</v>
      </c>
      <c r="D117" s="315" t="str">
        <f>VLOOKUP($B117,[5]BOLETIM_SEL!$A:$H,4,0)</f>
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</c>
      <c r="E117" s="2">
        <f>+Orçamento_Não_Deson!E117</f>
        <v>0</v>
      </c>
      <c r="F117" s="2" t="str">
        <f>VLOOKUP($B117,[5]BOLETIM_SEL!$A:$H,6,0)</f>
        <v>M3</v>
      </c>
      <c r="G117" s="1407">
        <f>VLOOKUP($B117,[5]BOLETIM_SEL!$A:$H,7,0)</f>
        <v>6.38</v>
      </c>
      <c r="H117" s="1613">
        <f>+Orçamento_Não_Deson!H117</f>
        <v>0</v>
      </c>
      <c r="I117" s="877">
        <f t="shared" si="12"/>
        <v>8.08</v>
      </c>
      <c r="J117" s="1612">
        <f t="shared" si="13"/>
        <v>0</v>
      </c>
      <c r="K117" s="2078">
        <f t="shared" ca="1" si="10"/>
        <v>0</v>
      </c>
      <c r="L117" s="1574">
        <f t="shared" ca="1" si="11"/>
        <v>0</v>
      </c>
      <c r="M117" s="2575" t="str">
        <f>VLOOKUP($B117,[5]BOLETIM_SEL!$A:$H,5,0)</f>
        <v>1,51 &lt; H &lt; 3,00
baixa Interferência</v>
      </c>
      <c r="N117" s="1965">
        <f>VLOOKUP($B117,[5]BOLETIM_SEL!$A:$H,3,0)</f>
        <v>15.2</v>
      </c>
      <c r="O117" s="1652">
        <f t="shared" si="14"/>
        <v>0</v>
      </c>
      <c r="Q117" s="833"/>
      <c r="R117" s="833"/>
      <c r="S117" s="833"/>
      <c r="T117" s="833"/>
      <c r="U117" s="833"/>
      <c r="V117" s="833"/>
      <c r="W117" s="833"/>
      <c r="X117" s="833"/>
    </row>
    <row r="118" spans="1:24" s="813" customFormat="1" ht="39.950000000000003" hidden="1" customHeight="1" x14ac:dyDescent="0.15">
      <c r="A118" s="2081">
        <f ca="1">+Orçamento_Não_Deson!A118</f>
        <v>3.0499999999999989</v>
      </c>
      <c r="B118" s="834">
        <f>+Orçamento_Não_Deson!B118</f>
        <v>90108</v>
      </c>
      <c r="C118" s="2" t="str">
        <f>VLOOKUP($B118,[5]BOLETIM_SEL!$A:$H,2,0)</f>
        <v>SINAPI</v>
      </c>
      <c r="D118" s="315" t="str">
        <f>VLOOKUP($B118,[5]BOLETIM_SEL!$A:$H,4,0)</f>
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8" s="2">
        <f>+Orçamento_Não_Deson!E118</f>
        <v>0</v>
      </c>
      <c r="F118" s="2" t="str">
        <f>VLOOKUP($B118,[5]BOLETIM_SEL!$A:$H,6,0)</f>
        <v>M3</v>
      </c>
      <c r="G118" s="1407">
        <f>VLOOKUP($B118,[5]BOLETIM_SEL!$A:$H,7,0)</f>
        <v>5.82</v>
      </c>
      <c r="H118" s="1613">
        <f>+Orçamento_Não_Deson!H118</f>
        <v>0</v>
      </c>
      <c r="I118" s="877">
        <f t="shared" si="12"/>
        <v>7.37</v>
      </c>
      <c r="J118" s="1612">
        <f t="shared" si="13"/>
        <v>0</v>
      </c>
      <c r="K118" s="2078">
        <f t="shared" ca="1" si="10"/>
        <v>0</v>
      </c>
      <c r="L118" s="1574">
        <f t="shared" ca="1" si="11"/>
        <v>0</v>
      </c>
      <c r="M118" s="2575"/>
      <c r="N118" s="1965">
        <f>VLOOKUP($B118,[5]BOLETIM_SEL!$A:$H,3,0)</f>
        <v>16.690000000000001</v>
      </c>
      <c r="O118" s="1652">
        <f t="shared" si="14"/>
        <v>0</v>
      </c>
      <c r="Q118" s="833"/>
      <c r="R118" s="833"/>
      <c r="S118" s="833"/>
      <c r="T118" s="833"/>
      <c r="U118" s="833"/>
      <c r="V118" s="833"/>
      <c r="W118" s="833"/>
      <c r="X118" s="833"/>
    </row>
    <row r="119" spans="1:24" s="813" customFormat="1" ht="39.950000000000003" hidden="1" customHeight="1" x14ac:dyDescent="0.15">
      <c r="A119" s="2081">
        <f ca="1">Orçamento_Não_Deson!A119</f>
        <v>3.0499999999999989</v>
      </c>
      <c r="B119" s="834">
        <f>Orçamento_Não_Deson!B119</f>
        <v>102281</v>
      </c>
      <c r="C119" s="2" t="str">
        <f>VLOOKUP($B119,[5]BOLETIM_SEL!$A:$H,2,0)</f>
        <v>SINAPI</v>
      </c>
      <c r="D119" s="315" t="str">
        <f>VLOOKUP($B119,[5]BOLETIM_SEL!$A:$H,4,0)</f>
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</c>
      <c r="E119" s="2">
        <f>Orçamento_Não_Deson!E119</f>
        <v>0</v>
      </c>
      <c r="F119" s="2" t="str">
        <f>VLOOKUP($B119,[5]BOLETIM_SEL!$A:$H,6,0)</f>
        <v>M3</v>
      </c>
      <c r="G119" s="1407">
        <f>VLOOKUP($B119,[5]BOLETIM_SEL!$A:$H,7,0)</f>
        <v>4.7699999999999996</v>
      </c>
      <c r="H119" s="1613">
        <f>Orçamento_Não_Deson!H119</f>
        <v>0</v>
      </c>
      <c r="I119" s="877">
        <f t="shared" si="12"/>
        <v>6.04</v>
      </c>
      <c r="J119" s="1612">
        <f t="shared" si="13"/>
        <v>0</v>
      </c>
      <c r="K119" s="2078">
        <f t="shared" ca="1" si="10"/>
        <v>0</v>
      </c>
      <c r="L119" s="1574">
        <f t="shared" ca="1" si="11"/>
        <v>0</v>
      </c>
      <c r="M119" s="2575"/>
      <c r="N119" s="1965">
        <v>24.69</v>
      </c>
      <c r="O119" s="1652">
        <f>H119/N119</f>
        <v>0</v>
      </c>
      <c r="Q119" s="833"/>
      <c r="R119" s="833"/>
      <c r="S119" s="833"/>
      <c r="T119" s="833"/>
      <c r="U119" s="833"/>
      <c r="V119" s="833"/>
      <c r="W119" s="833"/>
      <c r="X119" s="833"/>
    </row>
    <row r="120" spans="1:24" s="813" customFormat="1" ht="39.950000000000003" hidden="1" customHeight="1" x14ac:dyDescent="0.15">
      <c r="A120" s="2081">
        <f ca="1">+Orçamento_Não_Deson!A120</f>
        <v>3.0499999999999989</v>
      </c>
      <c r="B120" s="834">
        <f>+Orçamento_Não_Deson!B120</f>
        <v>90094</v>
      </c>
      <c r="C120" s="2" t="str">
        <f>VLOOKUP($B120,[5]BOLETIM_SEL!$A:$H,2,0)</f>
        <v>SINAPI</v>
      </c>
      <c r="D120" s="315" t="str">
        <f>VLOOKUP($B120,[5]BOLETIM_SEL!$A:$H,4,0)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</c>
      <c r="E120" s="2">
        <f>+Orçamento_Não_Deson!E120</f>
        <v>0</v>
      </c>
      <c r="F120" s="2" t="str">
        <f>VLOOKUP($B120,[5]BOLETIM_SEL!$A:$H,6,0)</f>
        <v>M3</v>
      </c>
      <c r="G120" s="1407">
        <f>VLOOKUP($B120,[5]BOLETIM_SEL!$A:$H,7,0)</f>
        <v>5.0199999999999996</v>
      </c>
      <c r="H120" s="1613">
        <f>+Orçamento_Não_Deson!H120</f>
        <v>0</v>
      </c>
      <c r="I120" s="877">
        <f t="shared" si="12"/>
        <v>6.36</v>
      </c>
      <c r="J120" s="1612">
        <f t="shared" si="13"/>
        <v>0</v>
      </c>
      <c r="K120" s="2078">
        <f t="shared" ca="1" si="10"/>
        <v>0</v>
      </c>
      <c r="L120" s="1574">
        <f t="shared" ca="1" si="11"/>
        <v>0</v>
      </c>
      <c r="M120" s="2576" t="str">
        <f>VLOOKUP($B120,[5]BOLETIM_SEL!$A:$H,5,0)</f>
        <v>3,01 &lt; H &lt; 4,50
baixa Interferência</v>
      </c>
      <c r="N120" s="1965">
        <f>VLOOKUP($B120,[5]BOLETIM_SEL!$A:$H,3,0)</f>
        <v>24.45</v>
      </c>
      <c r="O120" s="1652">
        <f t="shared" si="14"/>
        <v>0</v>
      </c>
      <c r="Q120" s="833"/>
      <c r="R120" s="833"/>
      <c r="S120" s="833"/>
      <c r="T120" s="833"/>
      <c r="U120" s="833"/>
      <c r="V120" s="833"/>
      <c r="W120" s="833"/>
      <c r="X120" s="833"/>
    </row>
    <row r="121" spans="1:24" s="813" customFormat="1" ht="39.950000000000003" hidden="1" customHeight="1" x14ac:dyDescent="0.15">
      <c r="A121" s="2081">
        <f ca="1">Orçamento_Não_Deson!A121</f>
        <v>3.0499999999999989</v>
      </c>
      <c r="B121" s="834">
        <f>Orçamento_Não_Deson!B121</f>
        <v>90095</v>
      </c>
      <c r="C121" s="2" t="str">
        <f>VLOOKUP($B121,[5]BOLETIM_SEL!$A:$H,2,0)</f>
        <v>SINAPI</v>
      </c>
      <c r="D121" s="315" t="str">
        <f>VLOOKUP($B121,[5]BOLETIM_SEL!$A:$H,4,0)</f>
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</c>
      <c r="E121" s="2">
        <f>Orçamento_Não_Deson!E121</f>
        <v>0</v>
      </c>
      <c r="F121" s="2" t="str">
        <f>VLOOKUP($B121,[5]BOLETIM_SEL!$A:$H,6,0)</f>
        <v>M3</v>
      </c>
      <c r="G121" s="1407">
        <f>VLOOKUP($B121,[5]BOLETIM_SEL!$A:$H,7,0)</f>
        <v>4.5599999999999996</v>
      </c>
      <c r="H121" s="1613">
        <f>Orçamento_Não_Deson!H121</f>
        <v>0</v>
      </c>
      <c r="I121" s="877">
        <f t="shared" si="12"/>
        <v>5.77</v>
      </c>
      <c r="J121" s="1612">
        <f t="shared" si="13"/>
        <v>0</v>
      </c>
      <c r="K121" s="2078">
        <f t="shared" ca="1" si="10"/>
        <v>0</v>
      </c>
      <c r="L121" s="1574">
        <f t="shared" ca="1" si="11"/>
        <v>0</v>
      </c>
      <c r="M121" s="2576"/>
      <c r="N121" s="1965">
        <f>VLOOKUP($B121,[5]BOLETIM_SEL!$A:$H,3,0)</f>
        <v>21.65</v>
      </c>
      <c r="O121" s="1652">
        <f>H121/N121</f>
        <v>0</v>
      </c>
      <c r="Q121" s="833"/>
      <c r="R121" s="833"/>
      <c r="S121" s="833"/>
      <c r="T121" s="833"/>
      <c r="U121" s="833"/>
      <c r="V121" s="833"/>
      <c r="W121" s="833"/>
      <c r="X121" s="833"/>
    </row>
    <row r="122" spans="1:24" s="813" customFormat="1" ht="39.950000000000003" hidden="1" customHeight="1" x14ac:dyDescent="0.15">
      <c r="A122" s="2081">
        <f ca="1">+Orçamento_Não_Deson!A122</f>
        <v>3.0499999999999989</v>
      </c>
      <c r="B122" s="834">
        <f>+Orçamento_Não_Deson!B122</f>
        <v>102280</v>
      </c>
      <c r="C122" s="2" t="str">
        <f>VLOOKUP($B122,[5]BOLETIM_SEL!$A:$H,2,0)</f>
        <v>SINAPI</v>
      </c>
      <c r="D122" s="315" t="str">
        <f>VLOOKUP($B122,[5]BOLETIM_SEL!$A:$H,4,0)</f>
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</c>
      <c r="E122" s="2">
        <f>+Orçamento_Não_Deson!E122</f>
        <v>0</v>
      </c>
      <c r="F122" s="2" t="str">
        <f>VLOOKUP($B122,[5]BOLETIM_SEL!$A:$H,6,0)</f>
        <v>M3</v>
      </c>
      <c r="G122" s="1407">
        <f>VLOOKUP($B122,[5]BOLETIM_SEL!$A:$H,7,0)</f>
        <v>4.87</v>
      </c>
      <c r="H122" s="1613">
        <f>+Orçamento_Não_Deson!H122</f>
        <v>0</v>
      </c>
      <c r="I122" s="877">
        <f t="shared" si="12"/>
        <v>6.17</v>
      </c>
      <c r="J122" s="1612">
        <f t="shared" si="13"/>
        <v>0</v>
      </c>
      <c r="K122" s="2078">
        <f t="shared" ca="1" si="10"/>
        <v>0</v>
      </c>
      <c r="L122" s="1574">
        <f t="shared" ca="1" si="11"/>
        <v>0</v>
      </c>
      <c r="M122" s="2573" t="str">
        <f>VLOOKUP($B122,[5]BOLETIM_SEL!$A:$H,5,0)</f>
        <v>H &gt; 4,51
baixa Interferência</v>
      </c>
      <c r="N122" s="1965">
        <v>21.19</v>
      </c>
      <c r="O122" s="1652">
        <f t="shared" si="14"/>
        <v>0</v>
      </c>
      <c r="Q122" s="833"/>
      <c r="R122" s="833"/>
      <c r="S122" s="833"/>
      <c r="T122" s="833"/>
      <c r="U122" s="833"/>
      <c r="V122" s="833"/>
      <c r="W122" s="833"/>
      <c r="X122" s="833"/>
    </row>
    <row r="123" spans="1:24" s="813" customFormat="1" ht="39.950000000000003" hidden="1" customHeight="1" x14ac:dyDescent="0.15">
      <c r="A123" s="2081">
        <f ca="1">+Orçamento_Não_Deson!A123</f>
        <v>3.0499999999999989</v>
      </c>
      <c r="B123" s="834">
        <f>+Orçamento_Não_Deson!B123</f>
        <v>90098</v>
      </c>
      <c r="C123" s="2" t="str">
        <f>VLOOKUP($B123,[5]BOLETIM_SEL!$A:$H,2,0)</f>
        <v>SINAPI</v>
      </c>
      <c r="D123" s="315" t="str">
        <f>VLOOKUP($B123,[5]BOLETIM_SEL!$A:$H,4,0)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</c>
      <c r="E123" s="2">
        <f>+Orçamento_Não_Deson!E123</f>
        <v>0</v>
      </c>
      <c r="F123" s="2" t="str">
        <f>VLOOKUP($B123,[5]BOLETIM_SEL!$A:$H,6,0)</f>
        <v>M3</v>
      </c>
      <c r="G123" s="1407">
        <f>VLOOKUP($B123,[5]BOLETIM_SEL!$A:$H,7,0)</f>
        <v>4.49</v>
      </c>
      <c r="H123" s="1613">
        <f>+Orçamento_Não_Deson!H123</f>
        <v>0</v>
      </c>
      <c r="I123" s="877">
        <f t="shared" si="12"/>
        <v>5.69</v>
      </c>
      <c r="J123" s="1612">
        <f t="shared" si="13"/>
        <v>0</v>
      </c>
      <c r="K123" s="2078">
        <f t="shared" ca="1" si="10"/>
        <v>0</v>
      </c>
      <c r="L123" s="1574">
        <f t="shared" ca="1" si="11"/>
        <v>0</v>
      </c>
      <c r="M123" s="2573"/>
      <c r="N123" s="1965">
        <f>VLOOKUP($B123,[5]BOLETIM_SEL!$A:$H,3,0)</f>
        <v>22.08</v>
      </c>
      <c r="O123" s="1652">
        <f t="shared" si="14"/>
        <v>0</v>
      </c>
      <c r="Q123" s="833"/>
      <c r="R123" s="833"/>
      <c r="S123" s="833"/>
      <c r="T123" s="833"/>
      <c r="U123" s="833"/>
      <c r="V123" s="833"/>
      <c r="W123" s="833"/>
      <c r="X123" s="833"/>
    </row>
    <row r="124" spans="1:24" s="813" customFormat="1" ht="30" customHeight="1" x14ac:dyDescent="0.15">
      <c r="A124" s="2081">
        <f ca="1">Orçamento_Não_Deson!A124</f>
        <v>3.0599999999999987</v>
      </c>
      <c r="B124" s="834">
        <f>Orçamento_Não_Deson!B124</f>
        <v>93358</v>
      </c>
      <c r="C124" s="2" t="str">
        <f>VLOOKUP($B124,[5]BOLETIM_SEL!$A:$H,2,0)</f>
        <v>SINAPI</v>
      </c>
      <c r="D124" s="315" t="str">
        <f>VLOOKUP($B124,[5]BOLETIM_SEL!$A:$H,4,0)</f>
        <v>Escavação manual de vala com profundidade menor ou igual a 1,30 m. AF_03/2016</v>
      </c>
      <c r="E124" s="2">
        <f>Orçamento_Não_Deson!E124</f>
        <v>0</v>
      </c>
      <c r="F124" s="2" t="str">
        <f>VLOOKUP($B124,[5]BOLETIM_SEL!$A:$H,6,0)</f>
        <v>M3</v>
      </c>
      <c r="G124" s="1407">
        <f>VLOOKUP($B124,[5]BOLETIM_SEL!$A:$H,7,0)</f>
        <v>67.41</v>
      </c>
      <c r="H124" s="1613">
        <f ca="1">Orçamento_Não_Deson!H124</f>
        <v>494.43</v>
      </c>
      <c r="I124" s="877">
        <f t="shared" si="12"/>
        <v>85.43</v>
      </c>
      <c r="J124" s="1612">
        <f ca="1">TRUNC(H124*I124,2)</f>
        <v>42239.15</v>
      </c>
      <c r="K124" s="2078">
        <f t="shared" ca="1" si="10"/>
        <v>3.0760012237371422E-3</v>
      </c>
      <c r="L124" s="1574">
        <f t="shared" ca="1" si="11"/>
        <v>6.4093840976885058E-2</v>
      </c>
      <c r="M124" s="1974"/>
      <c r="N124" s="1965"/>
      <c r="O124" s="1652"/>
      <c r="Q124" s="833"/>
      <c r="R124" s="833"/>
      <c r="S124" s="833"/>
      <c r="T124" s="833"/>
      <c r="U124" s="833"/>
      <c r="V124" s="833"/>
      <c r="W124" s="833"/>
      <c r="X124" s="833"/>
    </row>
    <row r="125" spans="1:24" s="813" customFormat="1" ht="39.950000000000003" hidden="1" customHeight="1" x14ac:dyDescent="0.15">
      <c r="A125" s="2081">
        <f ca="1">+Orçamento_Não_Deson!A125</f>
        <v>3.0599999999999987</v>
      </c>
      <c r="B125" s="834" t="str">
        <f>+Orçamento_Não_Deson!B125</f>
        <v>DR/0020</v>
      </c>
      <c r="C125" s="2" t="str">
        <f>VLOOKUP($B125,[5]BOLETIM_SEL!$A:$H,2,0)</f>
        <v>COMPOSIÇÃO</v>
      </c>
      <c r="D125" s="315" t="str">
        <f>VLOOKUP($B125,[5]BOLETIM_SEL!$A:$H,4,0)</f>
        <v>Escavação de vala em rocha - 3a categoria, com uso de explosivos e perfuração mecânica, em locais com alto nível de interferência. Inclusive carga</v>
      </c>
      <c r="E125" s="2">
        <f>+Orçamento_Não_Deson!E125</f>
        <v>0</v>
      </c>
      <c r="F125" s="2" t="str">
        <f>VLOOKUP($B125,[5]BOLETIM_SEL!$A:$H,6,0)</f>
        <v>M3</v>
      </c>
      <c r="G125" s="1407">
        <f>VLOOKUP($B125,[5]BOLETIM_SEL!$A:$H,7,0)</f>
        <v>443.64</v>
      </c>
      <c r="H125" s="1613">
        <f>+Orçamento_Não_Deson!H125</f>
        <v>0</v>
      </c>
      <c r="I125" s="877">
        <f t="shared" si="12"/>
        <v>562.26</v>
      </c>
      <c r="J125" s="1612">
        <f t="shared" si="13"/>
        <v>0</v>
      </c>
      <c r="K125" s="2078">
        <f t="shared" ca="1" si="10"/>
        <v>0</v>
      </c>
      <c r="L125" s="1574">
        <f t="shared" ca="1" si="11"/>
        <v>0</v>
      </c>
      <c r="M125" s="1974"/>
      <c r="N125" s="1965">
        <f>VLOOKUP($B125,[5]BOLETIM_SEL!$A:$H,3,0)</f>
        <v>3</v>
      </c>
      <c r="O125" s="1652">
        <f>+H125/N125</f>
        <v>0</v>
      </c>
      <c r="Q125" s="833"/>
      <c r="R125" s="833"/>
      <c r="S125" s="833"/>
      <c r="T125" s="833"/>
      <c r="U125" s="833"/>
      <c r="V125" s="833"/>
      <c r="W125" s="833"/>
      <c r="X125" s="833"/>
    </row>
    <row r="126" spans="1:24" s="813" customFormat="1" ht="39.950000000000003" customHeight="1" x14ac:dyDescent="0.15">
      <c r="A126" s="2081">
        <f ca="1">+Orçamento_Não_Deson!A126</f>
        <v>3.0699999999999985</v>
      </c>
      <c r="B126" s="834">
        <f>+Orçamento_Não_Deson!B126</f>
        <v>101570</v>
      </c>
      <c r="C126" s="2" t="str">
        <f>VLOOKUP($B126,[5]BOLETIM_SEL!$A:$H,2,0)</f>
        <v>SINAPI</v>
      </c>
      <c r="D126" s="315" t="str">
        <f>VLOOKUP($B126,[5]BOLETIM_SEL!$A:$H,4,0)</f>
        <v>Escoramento de vala, tipo pontaleteamento, com profundidade de 0,00 a 1,50 m, largura menor que 1,50 m. AF_08/2020</v>
      </c>
      <c r="E126" s="2">
        <f>+Orçamento_Não_Deson!E126</f>
        <v>0</v>
      </c>
      <c r="F126" s="2" t="str">
        <f>VLOOKUP($B126,[5]BOLETIM_SEL!$A:$H,6,0)</f>
        <v>M2</v>
      </c>
      <c r="G126" s="1407">
        <f>VLOOKUP($B126,[5]BOLETIM_SEL!$A:$H,7,0)</f>
        <v>20.51</v>
      </c>
      <c r="H126" s="1613">
        <f ca="1">+Orçamento_Não_Deson!H126</f>
        <v>2139.73</v>
      </c>
      <c r="I126" s="877">
        <f t="shared" si="12"/>
        <v>25.99</v>
      </c>
      <c r="J126" s="1612">
        <f t="shared" ca="1" si="13"/>
        <v>55611.58</v>
      </c>
      <c r="K126" s="2078">
        <f t="shared" ca="1" si="10"/>
        <v>4.0498278998028128E-3</v>
      </c>
      <c r="L126" s="1574">
        <f t="shared" ca="1" si="11"/>
        <v>8.43852152563042E-2</v>
      </c>
      <c r="M126" s="2575" t="str">
        <f>VLOOKUP($B126,[5]BOLETIM_SEL!$A:$H,5,0)</f>
        <v>PONTALETEAMENTO</v>
      </c>
      <c r="N126" s="833"/>
      <c r="O126" s="842"/>
      <c r="Q126" s="833"/>
      <c r="R126" s="833"/>
      <c r="S126" s="833"/>
      <c r="T126" s="833"/>
      <c r="U126" s="833"/>
      <c r="V126" s="833"/>
      <c r="W126" s="833"/>
      <c r="X126" s="833"/>
    </row>
    <row r="127" spans="1:24" s="813" customFormat="1" ht="39.950000000000003" hidden="1" customHeight="1" x14ac:dyDescent="0.15">
      <c r="A127" s="2081">
        <f ca="1">+Orçamento_Não_Deson!A127</f>
        <v>3.0699999999999985</v>
      </c>
      <c r="B127" s="834">
        <f>+Orçamento_Não_Deson!B127</f>
        <v>101571</v>
      </c>
      <c r="C127" s="2" t="str">
        <f>VLOOKUP($B127,[5]BOLETIM_SEL!$A:$H,2,0)</f>
        <v>SINAPI</v>
      </c>
      <c r="D127" s="315" t="str">
        <f>VLOOKUP($B127,[5]BOLETIM_SEL!$A:$H,4,0)</f>
        <v>Escoramento de vala, tipo pontaleteamento, com profundidade de 0,00 a 1,50 m, largura maior ou igual a 1,50 m e menor que 2,50 m. AF_08/2020</v>
      </c>
      <c r="E127" s="2">
        <f>+Orçamento_Não_Deson!E127</f>
        <v>0</v>
      </c>
      <c r="F127" s="2" t="str">
        <f>VLOOKUP($B127,[5]BOLETIM_SEL!$A:$H,6,0)</f>
        <v>M2</v>
      </c>
      <c r="G127" s="1407">
        <f>VLOOKUP($B127,[5]BOLETIM_SEL!$A:$H,7,0)</f>
        <v>27.4</v>
      </c>
      <c r="H127" s="1613">
        <f ca="1">+Orçamento_Não_Deson!H127</f>
        <v>0</v>
      </c>
      <c r="I127" s="877">
        <f t="shared" si="12"/>
        <v>34.72</v>
      </c>
      <c r="J127" s="1612">
        <f t="shared" ca="1" si="13"/>
        <v>0</v>
      </c>
      <c r="K127" s="2078">
        <f t="shared" ca="1" si="10"/>
        <v>0</v>
      </c>
      <c r="L127" s="1574">
        <f t="shared" ca="1" si="11"/>
        <v>0</v>
      </c>
      <c r="M127" s="2575"/>
      <c r="N127" s="833"/>
      <c r="O127" s="833"/>
      <c r="Q127" s="833"/>
      <c r="R127" s="833"/>
      <c r="S127" s="833"/>
      <c r="T127" s="833"/>
      <c r="U127" s="833"/>
      <c r="V127" s="833"/>
      <c r="W127" s="833"/>
      <c r="X127" s="833"/>
    </row>
    <row r="128" spans="1:24" s="813" customFormat="1" ht="39.950000000000003" hidden="1" customHeight="1" x14ac:dyDescent="0.15">
      <c r="A128" s="2081">
        <f ca="1">+Orçamento_Não_Deson!A128</f>
        <v>3.0699999999999985</v>
      </c>
      <c r="B128" s="834">
        <f>+Orçamento_Não_Deson!B128</f>
        <v>101572</v>
      </c>
      <c r="C128" s="2" t="str">
        <f>VLOOKUP($B128,[5]BOLETIM_SEL!$A:$H,2,0)</f>
        <v>SINAPI</v>
      </c>
      <c r="D128" s="315" t="str">
        <f>VLOOKUP($B128,[5]BOLETIM_SEL!$A:$H,4,0)</f>
        <v>Escoramento de vala, tipo pontaleteamento, com profundidade de 1,50 a 3,00 m, largura menor que 1,50 m. AF_08/2020</v>
      </c>
      <c r="E128" s="2">
        <f>+Orçamento_Não_Deson!E128</f>
        <v>0</v>
      </c>
      <c r="F128" s="2" t="str">
        <f>VLOOKUP($B128,[5]BOLETIM_SEL!$A:$H,6,0)</f>
        <v>M2</v>
      </c>
      <c r="G128" s="1407">
        <f>VLOOKUP($B128,[5]BOLETIM_SEL!$A:$H,7,0)</f>
        <v>16.329999999999998</v>
      </c>
      <c r="H128" s="1613">
        <f ca="1">+Orçamento_Não_Deson!H128</f>
        <v>0</v>
      </c>
      <c r="I128" s="877">
        <f t="shared" si="12"/>
        <v>20.69</v>
      </c>
      <c r="J128" s="1612">
        <f t="shared" ca="1" si="13"/>
        <v>0</v>
      </c>
      <c r="K128" s="2078">
        <f t="shared" ca="1" si="10"/>
        <v>0</v>
      </c>
      <c r="L128" s="1574">
        <f t="shared" ca="1" si="11"/>
        <v>0</v>
      </c>
      <c r="M128" s="2575"/>
      <c r="N128" s="833"/>
      <c r="O128" s="833"/>
      <c r="Q128" s="833"/>
      <c r="R128" s="833"/>
      <c r="S128" s="833"/>
      <c r="T128" s="833"/>
      <c r="U128" s="833"/>
      <c r="V128" s="833"/>
      <c r="W128" s="833"/>
      <c r="X128" s="833"/>
    </row>
    <row r="129" spans="1:24" s="813" customFormat="1" ht="39.950000000000003" customHeight="1" x14ac:dyDescent="0.15">
      <c r="A129" s="2081">
        <f ca="1">+Orçamento_Não_Deson!A129</f>
        <v>3.0799999999999983</v>
      </c>
      <c r="B129" s="834">
        <f>+Orçamento_Não_Deson!B129</f>
        <v>101573</v>
      </c>
      <c r="C129" s="2" t="str">
        <f>VLOOKUP($B129,[5]BOLETIM_SEL!$A:$H,2,0)</f>
        <v>SINAPI</v>
      </c>
      <c r="D129" s="315" t="str">
        <f>VLOOKUP($B129,[5]BOLETIM_SEL!$A:$H,4,0)</f>
        <v>Escoramento de vala, tipo pontaleteamento, com profundidade de 1,50 a 3,00 m, largura maior ou igual a 1,50 m e menor que 2,50 m. AF_08/2020</v>
      </c>
      <c r="E129" s="2">
        <f>+Orçamento_Não_Deson!E129</f>
        <v>0</v>
      </c>
      <c r="F129" s="2" t="str">
        <f>VLOOKUP($B129,[5]BOLETIM_SEL!$A:$H,6,0)</f>
        <v>M2</v>
      </c>
      <c r="G129" s="1407">
        <f>VLOOKUP($B129,[5]BOLETIM_SEL!$A:$H,7,0)</f>
        <v>23.22</v>
      </c>
      <c r="H129" s="1613">
        <f ca="1">+Orçamento_Não_Deson!H129</f>
        <v>201.43</v>
      </c>
      <c r="I129" s="877">
        <f t="shared" si="12"/>
        <v>29.42</v>
      </c>
      <c r="J129" s="1612">
        <f t="shared" ca="1" si="13"/>
        <v>5926.07</v>
      </c>
      <c r="K129" s="2078">
        <f t="shared" ca="1" si="10"/>
        <v>4.3155694591278385E-4</v>
      </c>
      <c r="L129" s="1574">
        <f t="shared" ca="1" si="11"/>
        <v>8.99224033149079E-3</v>
      </c>
      <c r="M129" s="2575"/>
      <c r="N129" s="833"/>
      <c r="O129" s="833"/>
      <c r="Q129" s="833"/>
      <c r="R129" s="833"/>
      <c r="S129" s="833"/>
      <c r="T129" s="833"/>
      <c r="U129" s="833"/>
      <c r="V129" s="833"/>
      <c r="W129" s="833"/>
      <c r="X129" s="833"/>
    </row>
    <row r="130" spans="1:24" s="813" customFormat="1" ht="39.950000000000003" hidden="1" customHeight="1" x14ac:dyDescent="0.15">
      <c r="A130" s="2081">
        <f ca="1">+Orçamento_Não_Deson!A130</f>
        <v>3.0799999999999983</v>
      </c>
      <c r="B130" s="834">
        <f>+Orçamento_Não_Deson!B130</f>
        <v>101578</v>
      </c>
      <c r="C130" s="2" t="str">
        <f>VLOOKUP($B130,[5]BOLETIM_SEL!$A:$H,2,0)</f>
        <v>SINAPI</v>
      </c>
      <c r="D130" s="315" t="str">
        <f>VLOOKUP($B130,[5]BOLETIM_SEL!$A:$H,4,0)</f>
        <v>Escoramento de vala, tipo descontínuo, com profundidade de 1,50 m a 3,00 m, largura menor que 1,50 m. AF_08/2020</v>
      </c>
      <c r="E130" s="2">
        <f>+Orçamento_Não_Deson!E130</f>
        <v>0</v>
      </c>
      <c r="F130" s="2" t="str">
        <f>VLOOKUP($B130,[5]BOLETIM_SEL!$A:$H,6,0)</f>
        <v>M2</v>
      </c>
      <c r="G130" s="1407">
        <f>VLOOKUP($B130,[5]BOLETIM_SEL!$A:$H,7,0)</f>
        <v>32.71</v>
      </c>
      <c r="H130" s="1613">
        <f ca="1">+Orçamento_Não_Deson!H130</f>
        <v>0</v>
      </c>
      <c r="I130" s="877">
        <f t="shared" ref="I130:I133" si="15">TRUNC(G130*(1+$J$5),2)</f>
        <v>41.45</v>
      </c>
      <c r="J130" s="1612">
        <f t="shared" ref="J130:J133" ca="1" si="16">TRUNC(H130*I130,2)</f>
        <v>0</v>
      </c>
      <c r="K130" s="2078">
        <f t="shared" ca="1" si="10"/>
        <v>0</v>
      </c>
      <c r="L130" s="1574">
        <f t="shared" ref="L130:L133" ca="1" si="17">J130/J$100</f>
        <v>0</v>
      </c>
      <c r="M130" s="2108"/>
      <c r="N130" s="833"/>
      <c r="O130" s="833"/>
      <c r="Q130" s="833"/>
      <c r="R130" s="833"/>
      <c r="S130" s="833"/>
      <c r="T130" s="833"/>
      <c r="U130" s="833"/>
      <c r="V130" s="833"/>
      <c r="W130" s="833"/>
      <c r="X130" s="833"/>
    </row>
    <row r="131" spans="1:24" s="813" customFormat="1" ht="39.950000000000003" hidden="1" customHeight="1" x14ac:dyDescent="0.15">
      <c r="A131" s="2081">
        <f ca="1">+Orçamento_Não_Deson!A131</f>
        <v>3.0799999999999983</v>
      </c>
      <c r="B131" s="834">
        <f>+Orçamento_Não_Deson!B131</f>
        <v>101579</v>
      </c>
      <c r="C131" s="2" t="str">
        <f>VLOOKUP($B131,[5]BOLETIM_SEL!$A:$H,2,0)</f>
        <v>SINAPI</v>
      </c>
      <c r="D131" s="315" t="str">
        <f>VLOOKUP($B131,[5]BOLETIM_SEL!$A:$H,4,0)</f>
        <v>Escoramento de vala, tipo descontínuo, com profundidade de 1,50 a 3,00 m, largura maior ou igual a 1,50 m e menor que 2,50 m. AF_08/2020</v>
      </c>
      <c r="E131" s="2">
        <f>+Orçamento_Não_Deson!E131</f>
        <v>0</v>
      </c>
      <c r="F131" s="2" t="str">
        <f>VLOOKUP($B131,[5]BOLETIM_SEL!$A:$H,6,0)</f>
        <v>M2</v>
      </c>
      <c r="G131" s="1407">
        <f>VLOOKUP($B131,[5]BOLETIM_SEL!$A:$H,7,0)</f>
        <v>41.43</v>
      </c>
      <c r="H131" s="1613">
        <f ca="1">+Orçamento_Não_Deson!H131</f>
        <v>0</v>
      </c>
      <c r="I131" s="877">
        <f t="shared" si="15"/>
        <v>52.5</v>
      </c>
      <c r="J131" s="1612">
        <f t="shared" ca="1" si="16"/>
        <v>0</v>
      </c>
      <c r="K131" s="2078">
        <f t="shared" ca="1" si="10"/>
        <v>0</v>
      </c>
      <c r="L131" s="1574">
        <f t="shared" ca="1" si="17"/>
        <v>0</v>
      </c>
      <c r="M131" s="2108"/>
      <c r="N131" s="833"/>
      <c r="O131" s="833"/>
      <c r="Q131" s="833"/>
      <c r="R131" s="833"/>
      <c r="S131" s="833"/>
      <c r="T131" s="833"/>
      <c r="U131" s="833"/>
      <c r="V131" s="833"/>
      <c r="W131" s="833"/>
      <c r="X131" s="833"/>
    </row>
    <row r="132" spans="1:24" s="813" customFormat="1" ht="39.950000000000003" hidden="1" customHeight="1" x14ac:dyDescent="0.15">
      <c r="A132" s="2081">
        <f ca="1">+Orçamento_Não_Deson!A132</f>
        <v>3.0799999999999983</v>
      </c>
      <c r="B132" s="834">
        <f>+Orçamento_Não_Deson!B132</f>
        <v>101586</v>
      </c>
      <c r="C132" s="2" t="str">
        <f>VLOOKUP($B132,[5]BOLETIM_SEL!$A:$H,2,0)</f>
        <v>SINAPI</v>
      </c>
      <c r="D132" s="315" t="str">
        <f>VLOOKUP($B132,[5]BOLETIM_SEL!$A:$H,4,0)</f>
        <v>Escoramento de vala, tipo contínuo, com profundidade de 3,00 a 4,50 m, largura menor que 1,50 m. AF_08/2020</v>
      </c>
      <c r="E132" s="2">
        <f>+Orçamento_Não_Deson!E132</f>
        <v>0</v>
      </c>
      <c r="F132" s="2" t="str">
        <f>VLOOKUP($B132,[5]BOLETIM_SEL!$A:$H,6,0)</f>
        <v>M2</v>
      </c>
      <c r="G132" s="1407">
        <f>VLOOKUP($B132,[5]BOLETIM_SEL!$A:$H,7,0)</f>
        <v>47.94</v>
      </c>
      <c r="H132" s="1613">
        <f>+Orçamento_Não_Deson!H132</f>
        <v>0</v>
      </c>
      <c r="I132" s="877">
        <f t="shared" si="15"/>
        <v>60.75</v>
      </c>
      <c r="J132" s="1612">
        <f t="shared" si="16"/>
        <v>0</v>
      </c>
      <c r="K132" s="2078">
        <f t="shared" ref="K132:K163" ca="1" si="18">J132/J$967</f>
        <v>0</v>
      </c>
      <c r="L132" s="1574">
        <f t="shared" ca="1" si="17"/>
        <v>0</v>
      </c>
      <c r="M132" s="2108"/>
      <c r="N132" s="833"/>
      <c r="O132" s="833"/>
      <c r="Q132" s="833"/>
      <c r="R132" s="833"/>
      <c r="S132" s="833"/>
      <c r="T132" s="833"/>
      <c r="U132" s="833"/>
      <c r="V132" s="833"/>
      <c r="W132" s="833"/>
      <c r="X132" s="833"/>
    </row>
    <row r="133" spans="1:24" s="813" customFormat="1" ht="39.950000000000003" hidden="1" customHeight="1" x14ac:dyDescent="0.15">
      <c r="A133" s="2081">
        <f ca="1">+Orçamento_Não_Deson!A133</f>
        <v>3.0799999999999983</v>
      </c>
      <c r="B133" s="834">
        <f>+Orçamento_Não_Deson!B133</f>
        <v>101587</v>
      </c>
      <c r="C133" s="2" t="str">
        <f>VLOOKUP($B133,[5]BOLETIM_SEL!$A:$H,2,0)</f>
        <v>SINAPI</v>
      </c>
      <c r="D133" s="315" t="str">
        <f>VLOOKUP($B133,[5]BOLETIM_SEL!$A:$H,4,0)</f>
        <v>Escoramento de vala, tipo contínuo, com profundidade de 3,00 a 4,50 m, largura maior ou igual a 1,50 e menor que 2,50 m. AF_08/2020</v>
      </c>
      <c r="E133" s="2">
        <f>+Orçamento_Não_Deson!E133</f>
        <v>0</v>
      </c>
      <c r="F133" s="2" t="str">
        <f>VLOOKUP($B133,[5]BOLETIM_SEL!$A:$H,6,0)</f>
        <v>M2</v>
      </c>
      <c r="G133" s="1407">
        <f>VLOOKUP($B133,[5]BOLETIM_SEL!$A:$H,7,0)</f>
        <v>61.6</v>
      </c>
      <c r="H133" s="1613">
        <f ca="1">+Orçamento_Não_Deson!H133</f>
        <v>0</v>
      </c>
      <c r="I133" s="877">
        <f t="shared" si="15"/>
        <v>78.069999999999993</v>
      </c>
      <c r="J133" s="1612">
        <f t="shared" ca="1" si="16"/>
        <v>0</v>
      </c>
      <c r="K133" s="2078">
        <f t="shared" ca="1" si="18"/>
        <v>0</v>
      </c>
      <c r="L133" s="1574">
        <f t="shared" ca="1" si="17"/>
        <v>0</v>
      </c>
      <c r="M133" s="2108"/>
      <c r="N133" s="833"/>
      <c r="O133" s="833"/>
      <c r="Q133" s="833"/>
      <c r="R133" s="833"/>
      <c r="S133" s="833"/>
      <c r="T133" s="833"/>
      <c r="U133" s="833"/>
      <c r="V133" s="833"/>
      <c r="W133" s="833"/>
      <c r="X133" s="833"/>
    </row>
    <row r="134" spans="1:24" s="813" customFormat="1" ht="50.1" customHeight="1" x14ac:dyDescent="0.15">
      <c r="A134" s="2081">
        <f ca="1">+Orçamento_Não_Deson!A134</f>
        <v>3.0899999999999981</v>
      </c>
      <c r="B134" s="834" t="str">
        <f>+Orçamento_Não_Deson!B134</f>
        <v>ES/0010</v>
      </c>
      <c r="C134" s="2" t="str">
        <f>VLOOKUP($B134,[5]BOLETIM_SEL!$A:$H,2,0)</f>
        <v>COMPOSIÇÃO</v>
      </c>
      <c r="D134" s="315" t="str">
        <f>VLOOKUP($B134,[5]BOLETIM_SEL!$A:$H,4,0)</f>
        <v>Escoramento de vala, tipo blindado, com profundidade de 1,5 a 3,0 m, largura maior ou igual a 1,5 m e menor que 2,5 m. Altura do escoramento igual a 2,4 m.  Execução e fornecimento, inclui material. (REF. SINAPI COD. 03.ESCO.VALA.040/01)</v>
      </c>
      <c r="E134" s="2">
        <f>+Orçamento_Não_Deson!E134</f>
        <v>0</v>
      </c>
      <c r="F134" s="2" t="str">
        <f>VLOOKUP($B134,[5]BOLETIM_SEL!$A:$H,6,0)</f>
        <v>M2</v>
      </c>
      <c r="G134" s="1407">
        <f>VLOOKUP($B134,[5]BOLETIM_SEL!$A:$H,7,0)</f>
        <v>20.99</v>
      </c>
      <c r="H134" s="1613">
        <f ca="1">+Orçamento_Não_Deson!H134</f>
        <v>9535.8700000000008</v>
      </c>
      <c r="I134" s="877">
        <f t="shared" si="12"/>
        <v>26.6</v>
      </c>
      <c r="J134" s="1612">
        <f t="shared" ca="1" si="13"/>
        <v>253654.14</v>
      </c>
      <c r="K134" s="2078">
        <f t="shared" ca="1" si="18"/>
        <v>1.8471973158692645E-2</v>
      </c>
      <c r="L134" s="1574">
        <f t="shared" ca="1" si="11"/>
        <v>0.3848957214406194</v>
      </c>
      <c r="M134" s="1977">
        <f>VLOOKUP($B134,[5]BOLETIM_SEL!$A:$H,5,0)</f>
        <v>0</v>
      </c>
      <c r="N134" s="833"/>
      <c r="O134" s="833"/>
      <c r="Q134" s="833"/>
      <c r="R134" s="833"/>
      <c r="S134" s="833"/>
      <c r="T134" s="833"/>
      <c r="U134" s="833"/>
      <c r="V134" s="833"/>
      <c r="W134" s="833"/>
      <c r="X134" s="833"/>
    </row>
    <row r="135" spans="1:24" s="813" customFormat="1" ht="50.1" customHeight="1" x14ac:dyDescent="0.15">
      <c r="A135" s="2081">
        <f ca="1">Orçamento_Não_Deson!A135</f>
        <v>3.0999999999999979</v>
      </c>
      <c r="B135" s="834" t="str">
        <f>Orçamento_Não_Deson!B135</f>
        <v>ES/0015</v>
      </c>
      <c r="C135" s="2" t="str">
        <f>VLOOKUP($B135,[5]BOLETIM_SEL!$A:$H,2,0)</f>
        <v>COMPOSIÇÃO</v>
      </c>
      <c r="D135" s="315" t="str">
        <f>VLOOKUP($B135,[5]BOLETIM_SEL!$A:$H,4,0)</f>
        <v>Escoramento de vala, tipo blindado, com profundidade de 3,0 a 4,5 m, largura maior ou igual a 1,5 m e menor que 2,5 m. Altura do escoramento igual a 2,4 m.  Execução e fornecimento, inclui material. (REF. SINAPI COD. 03.ESCO.VALA.042/01)</v>
      </c>
      <c r="E135" s="2">
        <f>Orçamento_Não_Deson!E135</f>
        <v>0</v>
      </c>
      <c r="F135" s="2" t="str">
        <f>VLOOKUP($B135,[5]BOLETIM_SEL!$A:$H,6,0)</f>
        <v>M2</v>
      </c>
      <c r="G135" s="1407">
        <f>VLOOKUP($B135,[5]BOLETIM_SEL!$A:$H,7,0)</f>
        <v>18.12</v>
      </c>
      <c r="H135" s="1613">
        <f ca="1">Orçamento_Não_Deson!H135</f>
        <v>346.7</v>
      </c>
      <c r="I135" s="877">
        <f t="shared" si="12"/>
        <v>22.96</v>
      </c>
      <c r="J135" s="1612">
        <f t="shared" ca="1" si="13"/>
        <v>7960.23</v>
      </c>
      <c r="K135" s="2078">
        <f t="shared" ca="1" si="18"/>
        <v>5.7969152365114145E-4</v>
      </c>
      <c r="L135" s="1574">
        <f t="shared" ca="1" si="11"/>
        <v>1.207888216878014E-2</v>
      </c>
      <c r="M135" s="1977">
        <f>VLOOKUP($B135,[5]BOLETIM_SEL!$A:$H,5,0)</f>
        <v>0</v>
      </c>
      <c r="N135" s="833"/>
      <c r="O135" s="833"/>
      <c r="Q135" s="833"/>
      <c r="R135" s="833"/>
      <c r="S135" s="833"/>
      <c r="T135" s="833"/>
      <c r="U135" s="833"/>
      <c r="V135" s="833"/>
      <c r="W135" s="833"/>
      <c r="X135" s="833"/>
    </row>
    <row r="136" spans="1:24" s="813" customFormat="1" ht="30" customHeight="1" x14ac:dyDescent="0.15">
      <c r="A136" s="2081">
        <f ca="1">Orçamento_Não_Deson!A136</f>
        <v>3.1099999999999977</v>
      </c>
      <c r="B136" s="834">
        <f>Orçamento_Não_Deson!B136</f>
        <v>101616</v>
      </c>
      <c r="C136" s="2" t="str">
        <f>VLOOKUP($B136,[5]BOLETIM_SEL!$A:$H,2,0)</f>
        <v>SINAPI</v>
      </c>
      <c r="D136" s="315" t="str">
        <f>VLOOKUP($B136,[5]BOLETIM_SEL!$A:$H,4,0)</f>
        <v>Preparo de fundo de vala com largura menor que 1,50 m (acerto do solo natural). AF_08/2020</v>
      </c>
      <c r="E136" s="2">
        <f>Orçamento_Não_Deson!E136</f>
        <v>0</v>
      </c>
      <c r="F136" s="2" t="str">
        <f>VLOOKUP($B136,[5]BOLETIM_SEL!$A:$H,6,0)</f>
        <v>M2</v>
      </c>
      <c r="G136" s="1407">
        <f>VLOOKUP($B136,[5]BOLETIM_SEL!$A:$H,7,0)</f>
        <v>4.93</v>
      </c>
      <c r="H136" s="1613">
        <f ca="1">Orçamento_Não_Deson!H136</f>
        <v>2173.7399999999998</v>
      </c>
      <c r="I136" s="877">
        <f t="shared" si="12"/>
        <v>6.24</v>
      </c>
      <c r="J136" s="1612">
        <f t="shared" ca="1" si="13"/>
        <v>13564.13</v>
      </c>
      <c r="K136" s="2078">
        <f t="shared" ca="1" si="18"/>
        <v>9.8778693413408372E-4</v>
      </c>
      <c r="L136" s="1574">
        <f t="shared" ca="1" si="11"/>
        <v>2.0582260561819919E-2</v>
      </c>
      <c r="M136" s="2578" t="str">
        <f>VLOOKUP($B136,[5]BOLETIM_SEL!$A:$H,5,0)</f>
        <v>SOLO NATURAL</v>
      </c>
      <c r="N136" s="833"/>
      <c r="O136" s="833"/>
      <c r="Q136" s="833"/>
      <c r="R136" s="833"/>
      <c r="S136" s="833"/>
      <c r="T136" s="833"/>
      <c r="U136" s="833"/>
      <c r="V136" s="833"/>
      <c r="W136" s="833"/>
      <c r="X136" s="833"/>
    </row>
    <row r="137" spans="1:24" s="813" customFormat="1" ht="30" customHeight="1" x14ac:dyDescent="0.15">
      <c r="A137" s="2081">
        <f ca="1">+Orçamento_Não_Deson!A137</f>
        <v>3.1199999999999974</v>
      </c>
      <c r="B137" s="834">
        <f>+Orçamento_Não_Deson!B137</f>
        <v>101617</v>
      </c>
      <c r="C137" s="2" t="str">
        <f>VLOOKUP($B137,[5]BOLETIM_SEL!$A:$H,2,0)</f>
        <v>SINAPI</v>
      </c>
      <c r="D137" s="315" t="str">
        <f>VLOOKUP($B137,[5]BOLETIM_SEL!$A:$H,4,0)</f>
        <v>Preparo de fundo de vala com largura maior ou igual a 1,50 m e menor que 2,50 m (acerto do solo natural). AF_08/2020</v>
      </c>
      <c r="E137" s="2">
        <f>+Orçamento_Não_Deson!E137</f>
        <v>0</v>
      </c>
      <c r="F137" s="2" t="str">
        <f>VLOOKUP($B137,[5]BOLETIM_SEL!$A:$H,6,0)</f>
        <v>M2</v>
      </c>
      <c r="G137" s="1407">
        <f>VLOOKUP($B137,[5]BOLETIM_SEL!$A:$H,7,0)</f>
        <v>2.4300000000000002</v>
      </c>
      <c r="H137" s="1613">
        <f ca="1">+Orçamento_Não_Deson!H137</f>
        <v>1978.65</v>
      </c>
      <c r="I137" s="877">
        <f t="shared" si="12"/>
        <v>3.07</v>
      </c>
      <c r="J137" s="1612">
        <f t="shared" ca="1" si="13"/>
        <v>6074.45</v>
      </c>
      <c r="K137" s="2078">
        <f t="shared" ca="1" si="18"/>
        <v>4.4236249151628483E-4</v>
      </c>
      <c r="L137" s="1574">
        <f t="shared" ca="1" si="11"/>
        <v>9.2173926871643823E-3</v>
      </c>
      <c r="M137" s="2578"/>
      <c r="N137" s="833"/>
      <c r="O137" s="833"/>
      <c r="Q137" s="833"/>
      <c r="R137" s="833"/>
      <c r="S137" s="833"/>
      <c r="T137" s="833"/>
      <c r="U137" s="833"/>
      <c r="V137" s="833"/>
      <c r="W137" s="833"/>
      <c r="X137" s="833"/>
    </row>
    <row r="138" spans="1:24" s="813" customFormat="1" ht="39.950000000000003" hidden="1" customHeight="1" x14ac:dyDescent="0.15">
      <c r="A138" s="2081">
        <f ca="1">Orçamento_Não_Deson!A138</f>
        <v>3.1199999999999974</v>
      </c>
      <c r="B138" s="834">
        <f>Orçamento_Não_Deson!B138</f>
        <v>101623</v>
      </c>
      <c r="C138" s="2" t="str">
        <f>VLOOKUP($B138,[5]BOLETIM_SEL!$A:$H,2,0)</f>
        <v>SINAPI</v>
      </c>
      <c r="D138" s="315" t="str">
        <f>VLOOKUP($B138,[5]BOLETIM_SEL!$A:$H,4,0)</f>
        <v>Preparo de fundo de vala com largura menor que 1,50 m, com camada de brita, lançamento mecanizado. AF_08/2020</v>
      </c>
      <c r="E138" s="2">
        <f>Orçamento_Não_Deson!E138</f>
        <v>0</v>
      </c>
      <c r="F138" s="2" t="str">
        <f>VLOOKUP($B138,[5]BOLETIM_SEL!$A:$H,6,0)</f>
        <v>M3</v>
      </c>
      <c r="G138" s="1407">
        <f>VLOOKUP($B138,[5]BOLETIM_SEL!$A:$H,7,0)</f>
        <v>222.02</v>
      </c>
      <c r="H138" s="1613">
        <f>Orçamento_Não_Deson!H138</f>
        <v>0</v>
      </c>
      <c r="I138" s="877">
        <f t="shared" si="12"/>
        <v>281.38</v>
      </c>
      <c r="J138" s="1612">
        <f t="shared" si="13"/>
        <v>0</v>
      </c>
      <c r="K138" s="2078">
        <f t="shared" ca="1" si="18"/>
        <v>0</v>
      </c>
      <c r="L138" s="1574">
        <f t="shared" ca="1" si="11"/>
        <v>0</v>
      </c>
      <c r="M138" s="2573">
        <f>VLOOKUP($B138,[5]BOLETIM_SEL!$A:$H,5,0)</f>
        <v>0</v>
      </c>
      <c r="N138" s="833"/>
      <c r="O138" s="833"/>
      <c r="Q138" s="833"/>
      <c r="R138" s="833"/>
      <c r="S138" s="833"/>
      <c r="T138" s="833"/>
      <c r="U138" s="833"/>
      <c r="V138" s="833"/>
      <c r="W138" s="833"/>
      <c r="X138" s="833"/>
    </row>
    <row r="139" spans="1:24" s="813" customFormat="1" ht="39.950000000000003" hidden="1" customHeight="1" x14ac:dyDescent="0.15">
      <c r="A139" s="2081">
        <f ca="1">Orçamento_Não_Deson!A139</f>
        <v>3.1199999999999974</v>
      </c>
      <c r="B139" s="834">
        <f>Orçamento_Não_Deson!B139</f>
        <v>101624</v>
      </c>
      <c r="C139" s="2" t="str">
        <f>VLOOKUP($B139,[5]BOLETIM_SEL!$A:$H,2,0)</f>
        <v>SINAPI</v>
      </c>
      <c r="D139" s="315" t="str">
        <f>VLOOKUP($B139,[5]BOLETIM_SEL!$A:$H,4,0)</f>
        <v>Preparo de fundo de vala com largura maior ou igual a 1,50 m e menor que 2,50 m, com camada de brita, lançamento mecanizado. AF_08/2020</v>
      </c>
      <c r="E139" s="2">
        <f>Orçamento_Não_Deson!E139</f>
        <v>0</v>
      </c>
      <c r="F139" s="2" t="str">
        <f>VLOOKUP($B139,[5]BOLETIM_SEL!$A:$H,6,0)</f>
        <v>M3</v>
      </c>
      <c r="G139" s="1407">
        <f>VLOOKUP($B139,[5]BOLETIM_SEL!$A:$H,7,0)</f>
        <v>183.87</v>
      </c>
      <c r="H139" s="1613">
        <f>Orçamento_Não_Deson!H139</f>
        <v>0</v>
      </c>
      <c r="I139" s="877">
        <f t="shared" si="12"/>
        <v>233.03</v>
      </c>
      <c r="J139" s="1612">
        <f t="shared" si="13"/>
        <v>0</v>
      </c>
      <c r="K139" s="2078">
        <f t="shared" ca="1" si="18"/>
        <v>0</v>
      </c>
      <c r="L139" s="1574">
        <f t="shared" ca="1" si="11"/>
        <v>0</v>
      </c>
      <c r="M139" s="2573"/>
      <c r="N139" s="833"/>
      <c r="O139" s="833"/>
      <c r="Q139" s="833"/>
      <c r="R139" s="833"/>
      <c r="S139" s="833"/>
      <c r="T139" s="833"/>
      <c r="U139" s="833"/>
      <c r="V139" s="833"/>
      <c r="W139" s="833"/>
      <c r="X139" s="833"/>
    </row>
    <row r="140" spans="1:24" s="813" customFormat="1" ht="39.950000000000003" hidden="1" customHeight="1" x14ac:dyDescent="0.15">
      <c r="A140" s="2081">
        <f ca="1">Orçamento_Não_Deson!A140</f>
        <v>3.1199999999999974</v>
      </c>
      <c r="B140" s="834">
        <f>Orçamento_Não_Deson!B140</f>
        <v>101622</v>
      </c>
      <c r="C140" s="2" t="str">
        <f>VLOOKUP($B140,[5]BOLETIM_SEL!$A:$H,2,0)</f>
        <v>SINAPI</v>
      </c>
      <c r="D140" s="315" t="str">
        <f>VLOOKUP($B140,[5]BOLETIM_SEL!$A:$H,4,0)</f>
        <v>Preparo de fundo de vala com largura menor que 1,50 m, com camada de areia, lançamento mecanizado. AF_08/2020</v>
      </c>
      <c r="E140" s="2">
        <f>Orçamento_Não_Deson!E140</f>
        <v>0</v>
      </c>
      <c r="F140" s="2" t="str">
        <f>VLOOKUP($B140,[5]BOLETIM_SEL!$A:$H,6,0)</f>
        <v>M3</v>
      </c>
      <c r="G140" s="1407">
        <f>VLOOKUP($B140,[5]BOLETIM_SEL!$A:$H,7,0)</f>
        <v>179.85</v>
      </c>
      <c r="H140" s="1613">
        <f>Orçamento_Não_Deson!H140</f>
        <v>0</v>
      </c>
      <c r="I140" s="877">
        <f t="shared" si="12"/>
        <v>227.94</v>
      </c>
      <c r="J140" s="1612">
        <f t="shared" si="13"/>
        <v>0</v>
      </c>
      <c r="K140" s="2078">
        <f t="shared" ca="1" si="18"/>
        <v>0</v>
      </c>
      <c r="L140" s="1574">
        <f t="shared" ca="1" si="11"/>
        <v>0</v>
      </c>
      <c r="M140" s="2573"/>
      <c r="N140" s="833"/>
      <c r="O140" s="833"/>
      <c r="Q140" s="833"/>
      <c r="R140" s="833"/>
      <c r="S140" s="833"/>
      <c r="T140" s="833"/>
      <c r="U140" s="833"/>
      <c r="V140" s="833"/>
      <c r="W140" s="833"/>
      <c r="X140" s="833"/>
    </row>
    <row r="141" spans="1:24" s="813" customFormat="1" ht="39.950000000000003" hidden="1" customHeight="1" x14ac:dyDescent="0.15">
      <c r="A141" s="2081">
        <f ca="1">Orçamento_Não_Deson!A141</f>
        <v>3.1199999999999974</v>
      </c>
      <c r="B141" s="834">
        <f>Orçamento_Não_Deson!B141</f>
        <v>101625</v>
      </c>
      <c r="C141" s="2" t="str">
        <f>VLOOKUP($B141,[5]BOLETIM_SEL!$A:$H,2,0)</f>
        <v>SINAPI</v>
      </c>
      <c r="D141" s="315" t="str">
        <f>VLOOKUP($B141,[5]BOLETIM_SEL!$A:$H,4,0)</f>
        <v>Preparo de fundo de vala com largura maior ou igual a 1,50 m e menor que 2,50 m, com camada de areia, lançamento mecanizado. AF_08/2020</v>
      </c>
      <c r="E141" s="2">
        <f>Orçamento_Não_Deson!E141</f>
        <v>0</v>
      </c>
      <c r="F141" s="2" t="str">
        <f>VLOOKUP($B141,[5]BOLETIM_SEL!$A:$H,6,0)</f>
        <v>M3</v>
      </c>
      <c r="G141" s="1407">
        <f>VLOOKUP($B141,[5]BOLETIM_SEL!$A:$H,7,0)</f>
        <v>146.52000000000001</v>
      </c>
      <c r="H141" s="1613">
        <f>Orçamento_Não_Deson!H141</f>
        <v>0</v>
      </c>
      <c r="I141" s="877">
        <f t="shared" si="12"/>
        <v>185.69</v>
      </c>
      <c r="J141" s="1612">
        <f t="shared" si="13"/>
        <v>0</v>
      </c>
      <c r="K141" s="2078">
        <f t="shared" ca="1" si="18"/>
        <v>0</v>
      </c>
      <c r="L141" s="1574">
        <f t="shared" ca="1" si="11"/>
        <v>0</v>
      </c>
      <c r="M141" s="2573"/>
      <c r="N141" s="833"/>
      <c r="O141" s="833"/>
      <c r="Q141" s="833"/>
      <c r="R141" s="833"/>
      <c r="S141" s="833"/>
      <c r="T141" s="833"/>
      <c r="U141" s="833"/>
      <c r="V141" s="833"/>
      <c r="W141" s="833"/>
      <c r="X141" s="833"/>
    </row>
    <row r="142" spans="1:24" s="813" customFormat="1" ht="39.950000000000003" hidden="1" customHeight="1" x14ac:dyDescent="0.15">
      <c r="A142" s="2081">
        <f ca="1">+Orçamento_Não_Deson!A142</f>
        <v>3.1199999999999974</v>
      </c>
      <c r="B142" s="834">
        <f>+Orçamento_Não_Deson!B142</f>
        <v>96616</v>
      </c>
      <c r="C142" s="2" t="str">
        <f>VLOOKUP($B142,[5]BOLETIM_SEL!$A:$H,2,0)</f>
        <v>SINAPI</v>
      </c>
      <c r="D142" s="315" t="str">
        <f>VLOOKUP($B142,[5]BOLETIM_SEL!$A:$H,4,0)</f>
        <v>Lastro de concreto magro, aplicado em blocos de coroamento ou sapatas. AF_08/2017</v>
      </c>
      <c r="E142" s="2">
        <f>+Orçamento_Não_Deson!E142</f>
        <v>0</v>
      </c>
      <c r="F142" s="2" t="str">
        <f>VLOOKUP($B142,[5]BOLETIM_SEL!$A:$H,6,0)</f>
        <v>M3</v>
      </c>
      <c r="G142" s="1407">
        <f>VLOOKUP($B142,[5]BOLETIM_SEL!$A:$H,7,0)</f>
        <v>579.01</v>
      </c>
      <c r="H142" s="1613">
        <f ca="1">+Orçamento_Não_Deson!H142</f>
        <v>0</v>
      </c>
      <c r="I142" s="877">
        <f t="shared" ref="I142" si="19">TRUNC(G142*(1+$J$5),2)</f>
        <v>733.83</v>
      </c>
      <c r="J142" s="1612">
        <f t="shared" ref="J142" ca="1" si="20">TRUNC(H142*I142,2)</f>
        <v>0</v>
      </c>
      <c r="K142" s="2078">
        <f t="shared" ca="1" si="18"/>
        <v>0</v>
      </c>
      <c r="L142" s="1574">
        <f t="shared" ref="L142" ca="1" si="21">J142/J$100</f>
        <v>0</v>
      </c>
      <c r="M142" s="2030"/>
      <c r="N142" s="833"/>
      <c r="O142" s="833"/>
      <c r="Q142" s="833"/>
      <c r="R142" s="833"/>
      <c r="S142" s="833"/>
      <c r="T142" s="833"/>
      <c r="U142" s="833"/>
      <c r="V142" s="833"/>
      <c r="W142" s="833"/>
      <c r="X142" s="833"/>
    </row>
    <row r="143" spans="1:24" s="813" customFormat="1" ht="39.950000000000003" hidden="1" customHeight="1" x14ac:dyDescent="0.15">
      <c r="A143" s="2081">
        <f ca="1">Orçamento_Não_Deson!A143</f>
        <v>3.1199999999999974</v>
      </c>
      <c r="B143" s="834" t="str">
        <f>Orçamento_Não_Deson!B143</f>
        <v>DR/0032</v>
      </c>
      <c r="C143" s="2" t="str">
        <f>VLOOKUP($B143,[5]BOLETIM_SEL!$A:$H,2,0)</f>
        <v>COMPOSIÇÃO</v>
      </c>
      <c r="D143" s="315" t="str">
        <f>VLOOKUP($B143,[5]BOLETIM_SEL!$A:$H,4,0)</f>
        <v>Lastro ou enrocamento de pedra-de-mão ou rachão lançado, fornecimento e apiloamento. Exclusive transporte, ref SINAPI 73697, data 01/2020 e SINAPI 92744.</v>
      </c>
      <c r="E143" s="2">
        <f>Orçamento_Não_Deson!E143</f>
        <v>0</v>
      </c>
      <c r="F143" s="2" t="str">
        <f>VLOOKUP($B143,[5]BOLETIM_SEL!$A:$H,6,0)</f>
        <v>M3</v>
      </c>
      <c r="G143" s="1407">
        <f>VLOOKUP($B143,[5]BOLETIM_SEL!$A:$H,7,0)</f>
        <v>237.76</v>
      </c>
      <c r="H143" s="1613">
        <f>Orçamento_Não_Deson!H143</f>
        <v>0</v>
      </c>
      <c r="I143" s="877">
        <f t="shared" si="12"/>
        <v>301.33</v>
      </c>
      <c r="J143" s="1612">
        <f t="shared" si="13"/>
        <v>0</v>
      </c>
      <c r="K143" s="2078">
        <f t="shared" ca="1" si="18"/>
        <v>0</v>
      </c>
      <c r="L143" s="1574">
        <f t="shared" ca="1" si="11"/>
        <v>0</v>
      </c>
      <c r="M143" s="1833"/>
      <c r="N143" s="833"/>
      <c r="O143" s="833"/>
      <c r="Q143" s="833"/>
      <c r="R143" s="833"/>
      <c r="S143" s="833"/>
      <c r="T143" s="833"/>
      <c r="U143" s="833"/>
      <c r="V143" s="833"/>
      <c r="W143" s="833"/>
      <c r="X143" s="833"/>
    </row>
    <row r="144" spans="1:24" s="813" customFormat="1" ht="39.950000000000003" hidden="1" customHeight="1" x14ac:dyDescent="0.15">
      <c r="A144" s="2081">
        <f ca="1">+Orçamento_Não_Deson!A144</f>
        <v>3.1199999999999974</v>
      </c>
      <c r="B144" s="834">
        <f>+Orçamento_Não_Deson!B144</f>
        <v>93374</v>
      </c>
      <c r="C144" s="2" t="str">
        <f>VLOOKUP($B144,[5]BOLETIM_SEL!$A:$H,2,0)</f>
        <v>SINAPI</v>
      </c>
      <c r="D144" s="315" t="str">
        <f>VLOOKUP($B144,[5]BOLETIM_SEL!$A:$H,4,0)</f>
        <v>Reaterro mecanizado de vala com retroescavadeira (capacidade da caçamba da retro: 0,26 m3 / potência: 88 HP), largura até 0,80 m, profundidade até 1,50 m, com solo (sem substituição) de 1a categoria em locais com alto nível de interferência. AF_04/2016</v>
      </c>
      <c r="E144" s="2">
        <f>+Orçamento_Não_Deson!E144</f>
        <v>0</v>
      </c>
      <c r="F144" s="2" t="str">
        <f>VLOOKUP($B144,[5]BOLETIM_SEL!$A:$H,6,0)</f>
        <v>M3</v>
      </c>
      <c r="G144" s="1407">
        <f>VLOOKUP($B144,[5]BOLETIM_SEL!$A:$H,7,0)</f>
        <v>23.3</v>
      </c>
      <c r="H144" s="1613">
        <f ca="1">+Orçamento_Não_Deson!H144</f>
        <v>0</v>
      </c>
      <c r="I144" s="877">
        <f t="shared" si="12"/>
        <v>29.53</v>
      </c>
      <c r="J144" s="1612">
        <f t="shared" ca="1" si="13"/>
        <v>0</v>
      </c>
      <c r="K144" s="2078">
        <f t="shared" ca="1" si="18"/>
        <v>0</v>
      </c>
      <c r="L144" s="1574">
        <f t="shared" ca="1" si="11"/>
        <v>0</v>
      </c>
      <c r="M144" s="2574" t="str">
        <f>VLOOKUP($B144,[5]BOLETIM_SEL!$A:$H,5,0)</f>
        <v>H &lt; 1,50
alta Interferência</v>
      </c>
      <c r="N144" s="833"/>
      <c r="O144" s="833"/>
      <c r="Q144" s="833"/>
      <c r="R144" s="833"/>
      <c r="S144" s="833"/>
      <c r="T144" s="833"/>
      <c r="U144" s="833"/>
      <c r="V144" s="833"/>
      <c r="W144" s="833"/>
      <c r="X144" s="833"/>
    </row>
    <row r="145" spans="1:24" s="813" customFormat="1" ht="50.1" customHeight="1" x14ac:dyDescent="0.15">
      <c r="A145" s="2081">
        <f ca="1">+Orçamento_Não_Deson!A145</f>
        <v>3.1299999999999972</v>
      </c>
      <c r="B145" s="834">
        <f>+Orçamento_Não_Deson!B145</f>
        <v>93375</v>
      </c>
      <c r="C145" s="2" t="str">
        <f>VLOOKUP($B145,[5]BOLETIM_SEL!$A:$H,2,0)</f>
        <v>SINAPI</v>
      </c>
      <c r="D145" s="315" t="str">
        <f>VLOOKUP($B145,[5]BOLETIM_SEL!$A:$H,4,0)</f>
        <v>Reaterro mecanizado de vala com retroescavadeira (capacidade da caçamba da retro: 0,26 m3 / potência: 88 HP), largura de 0,80 a 1,50 m, profundidade até 1,50 m, com solo (sem substituição) de 1a categoria em locais com alto nível de interferência. AF_04/2016</v>
      </c>
      <c r="E145" s="2">
        <f>+Orçamento_Não_Deson!E145</f>
        <v>0</v>
      </c>
      <c r="F145" s="2" t="str">
        <f>VLOOKUP($B145,[5]BOLETIM_SEL!$A:$H,6,0)</f>
        <v>M3</v>
      </c>
      <c r="G145" s="1407">
        <f>VLOOKUP($B145,[5]BOLETIM_SEL!$A:$H,7,0)</f>
        <v>17.98</v>
      </c>
      <c r="H145" s="1613">
        <f ca="1">+Orçamento_Não_Deson!H145</f>
        <v>996.2</v>
      </c>
      <c r="I145" s="877">
        <f t="shared" si="12"/>
        <v>22.78</v>
      </c>
      <c r="J145" s="1612">
        <f t="shared" ca="1" si="13"/>
        <v>22693.43</v>
      </c>
      <c r="K145" s="2078">
        <f t="shared" ca="1" si="18"/>
        <v>1.6526141849633141E-3</v>
      </c>
      <c r="L145" s="1574">
        <f t="shared" ca="1" si="11"/>
        <v>3.4435093832145595E-2</v>
      </c>
      <c r="M145" s="2574"/>
      <c r="N145" s="833"/>
      <c r="O145" s="833"/>
      <c r="Q145" s="833"/>
      <c r="R145" s="833"/>
      <c r="S145" s="833"/>
      <c r="T145" s="833"/>
      <c r="U145" s="833"/>
      <c r="V145" s="833"/>
      <c r="W145" s="833"/>
      <c r="X145" s="833"/>
    </row>
    <row r="146" spans="1:24" s="813" customFormat="1" ht="39.950000000000003" hidden="1" customHeight="1" x14ac:dyDescent="0.15">
      <c r="A146" s="2081">
        <f ca="1">Orçamento_Não_Deson!A146</f>
        <v>3.1299999999999972</v>
      </c>
      <c r="B146" s="834">
        <f>Orçamento_Não_Deson!B146</f>
        <v>93360</v>
      </c>
      <c r="C146" s="2" t="str">
        <f>VLOOKUP($B146,[5]BOLETIM_SEL!$A:$H,2,0)</f>
        <v>SINAPI</v>
      </c>
      <c r="D146" s="315" t="str">
        <f>VLOOKUP($B146,[5]BOLETIM_SEL!$A:$H,4,0)</f>
        <v>Reaterro mecanizado de vala com escavadeira hidráulica (capacidade da caçamba: 0,80 m3 / potência: 111 HP), largura de 1,50 a 2,50 m, profundidade até 1,50 m, com solo (sem substituição) de 1a categoria em locais com alto nível de interferência. AF_04/2016</v>
      </c>
      <c r="E146" s="2">
        <f>Orçamento_Não_Deson!E146</f>
        <v>0</v>
      </c>
      <c r="F146" s="2" t="str">
        <f>VLOOKUP($B146,[5]BOLETIM_SEL!$A:$H,6,0)</f>
        <v>M3</v>
      </c>
      <c r="G146" s="1407">
        <f>VLOOKUP($B146,[5]BOLETIM_SEL!$A:$H,7,0)</f>
        <v>20.23</v>
      </c>
      <c r="H146" s="1613">
        <f ca="1">Orçamento_Não_Deson!H146</f>
        <v>0</v>
      </c>
      <c r="I146" s="877">
        <f t="shared" si="12"/>
        <v>25.63</v>
      </c>
      <c r="J146" s="1612">
        <f t="shared" ca="1" si="13"/>
        <v>0</v>
      </c>
      <c r="K146" s="2078">
        <f t="shared" ca="1" si="18"/>
        <v>0</v>
      </c>
      <c r="L146" s="1574">
        <f t="shared" ca="1" si="11"/>
        <v>0</v>
      </c>
      <c r="M146" s="2574"/>
      <c r="N146" s="833"/>
      <c r="O146" s="833"/>
      <c r="Q146" s="833"/>
      <c r="R146" s="833"/>
      <c r="S146" s="833"/>
      <c r="T146" s="833"/>
      <c r="U146" s="833"/>
      <c r="V146" s="833"/>
      <c r="W146" s="833"/>
      <c r="X146" s="833"/>
    </row>
    <row r="147" spans="1:24" s="813" customFormat="1" ht="39.950000000000003" hidden="1" customHeight="1" x14ac:dyDescent="0.15">
      <c r="A147" s="2081">
        <f ca="1">+Orçamento_Não_Deson!A147</f>
        <v>3.1299999999999972</v>
      </c>
      <c r="B147" s="834">
        <f>+Orçamento_Não_Deson!B147</f>
        <v>93376</v>
      </c>
      <c r="C147" s="2" t="str">
        <f>VLOOKUP($B147,[5]BOLETIM_SEL!$A:$H,2,0)</f>
        <v>SINAPI</v>
      </c>
      <c r="D147" s="315" t="str">
        <f>VLOOKUP($B147,[5]BOLETIM_SEL!$A:$H,4,0)</f>
        <v>Reaterro mecanizado de vala com retroescavadeira (capacidade da caçamba da retro: 0,26 m3 / potência: 88 HP), largura até 0,80 m, profundidade de 1,50 a 3,00 m, com solo (sem substituição) de 1a categoria em locais com alto nível de interferência. AF_04/2016</v>
      </c>
      <c r="E147" s="2">
        <f>+Orçamento_Não_Deson!E147</f>
        <v>0</v>
      </c>
      <c r="F147" s="2" t="str">
        <f>VLOOKUP($B147,[5]BOLETIM_SEL!$A:$H,6,0)</f>
        <v>M3</v>
      </c>
      <c r="G147" s="1407">
        <f>VLOOKUP($B147,[5]BOLETIM_SEL!$A:$H,7,0)</f>
        <v>14.73</v>
      </c>
      <c r="H147" s="1613">
        <f ca="1">+Orçamento_Não_Deson!H147</f>
        <v>0</v>
      </c>
      <c r="I147" s="877">
        <f t="shared" si="12"/>
        <v>18.66</v>
      </c>
      <c r="J147" s="1612">
        <f t="shared" ca="1" si="13"/>
        <v>0</v>
      </c>
      <c r="K147" s="2078">
        <f t="shared" ca="1" si="18"/>
        <v>0</v>
      </c>
      <c r="L147" s="1574">
        <f t="shared" ca="1" si="11"/>
        <v>0</v>
      </c>
      <c r="M147" s="2575" t="str">
        <f>VLOOKUP($B147,[5]BOLETIM_SEL!$A:$H,5,0)</f>
        <v>1,51 &lt; H &lt; 3,00
alta Interferência</v>
      </c>
      <c r="N147" s="833"/>
      <c r="O147" s="833"/>
      <c r="Q147" s="833"/>
      <c r="R147" s="833"/>
      <c r="S147" s="833"/>
      <c r="T147" s="833"/>
      <c r="U147" s="833"/>
      <c r="V147" s="833"/>
      <c r="W147" s="833"/>
      <c r="X147" s="833"/>
    </row>
    <row r="148" spans="1:24" s="813" customFormat="1" ht="50.1" customHeight="1" x14ac:dyDescent="0.15">
      <c r="A148" s="2081">
        <f ca="1">Orçamento_Não_Deson!A148</f>
        <v>3.139999999999997</v>
      </c>
      <c r="B148" s="834">
        <f>Orçamento_Não_Deson!B148</f>
        <v>93377</v>
      </c>
      <c r="C148" s="2" t="str">
        <f>VLOOKUP($B148,[5]BOLETIM_SEL!$A:$H,2,0)</f>
        <v>SINAPI</v>
      </c>
      <c r="D148" s="315" t="str">
        <f>VLOOKUP($B148,[5]BOLETIM_SEL!$A:$H,4,0)</f>
        <v>Reaterro mecanizado de vala com retroescavadeira (capacidade da caçamba da retro: 0,26 m3 / potência: 88 HP), largura de 0,80 a 1,50 m, profundidade de 1,50 a 3,00 m, com solo (sem substituição) de 1a categoria em locais com alto nível de interferência. AF_04/2016</v>
      </c>
      <c r="E148" s="2">
        <f>Orçamento_Não_Deson!E148</f>
        <v>0</v>
      </c>
      <c r="F148" s="2" t="str">
        <f>VLOOKUP($B148,[5]BOLETIM_SEL!$A:$H,6,0)</f>
        <v>M3</v>
      </c>
      <c r="G148" s="1407">
        <f>VLOOKUP($B148,[5]BOLETIM_SEL!$A:$H,7,0)</f>
        <v>9.9</v>
      </c>
      <c r="H148" s="1613">
        <f ca="1">Orçamento_Não_Deson!H148</f>
        <v>2884.36</v>
      </c>
      <c r="I148" s="877">
        <f t="shared" si="12"/>
        <v>12.54</v>
      </c>
      <c r="J148" s="1612">
        <f t="shared" ca="1" si="13"/>
        <v>36169.870000000003</v>
      </c>
      <c r="K148" s="2078">
        <f t="shared" ca="1" si="18"/>
        <v>2.6340152295302663E-3</v>
      </c>
      <c r="L148" s="1574">
        <f t="shared" ca="1" si="11"/>
        <v>5.4884293266663879E-2</v>
      </c>
      <c r="M148" s="2575"/>
      <c r="N148" s="833"/>
      <c r="O148" s="833"/>
      <c r="Q148" s="833"/>
      <c r="R148" s="833"/>
      <c r="S148" s="833"/>
      <c r="T148" s="833"/>
      <c r="U148" s="833"/>
      <c r="V148" s="833"/>
      <c r="W148" s="833"/>
      <c r="X148" s="833"/>
    </row>
    <row r="149" spans="1:24" s="813" customFormat="1" ht="50.1" customHeight="1" x14ac:dyDescent="0.15">
      <c r="A149" s="2081">
        <f ca="1">Orçamento_Não_Deson!A149</f>
        <v>3.1499999999999968</v>
      </c>
      <c r="B149" s="834">
        <f>Orçamento_Não_Deson!B149</f>
        <v>93362</v>
      </c>
      <c r="C149" s="2" t="str">
        <f>VLOOKUP($B149,[5]BOLETIM_SEL!$A:$H,2,0)</f>
        <v>SINAPI</v>
      </c>
      <c r="D149" s="315" t="str">
        <f>VLOOKUP($B149,[5]BOLETIM_SEL!$A:$H,4,0)</f>
        <v>Reaterro mecanizado de vala com escavadeira hidráulica (capacidade da caçamba: 0,80 m3 / potência: 111 HP), largura de 1,50 a 2,50 m, profundidade de 1,50 a 3,00 m, com solo (sem substituição) de 1a categoria em locais com alto nível de interferência. AF_04/2016</v>
      </c>
      <c r="E149" s="2">
        <f>Orçamento_Não_Deson!E149</f>
        <v>0</v>
      </c>
      <c r="F149" s="2" t="str">
        <f>VLOOKUP($B149,[5]BOLETIM_SEL!$A:$H,6,0)</f>
        <v>M3</v>
      </c>
      <c r="G149" s="1407">
        <f>VLOOKUP($B149,[5]BOLETIM_SEL!$A:$H,7,0)</f>
        <v>12.27</v>
      </c>
      <c r="H149" s="1613">
        <f ca="1">Orçamento_Não_Deson!H149</f>
        <v>3980.6</v>
      </c>
      <c r="I149" s="877">
        <f t="shared" si="12"/>
        <v>15.55</v>
      </c>
      <c r="J149" s="1612">
        <f t="shared" ca="1" si="13"/>
        <v>61898.33</v>
      </c>
      <c r="K149" s="2078">
        <f t="shared" ca="1" si="18"/>
        <v>4.5076508127480184E-3</v>
      </c>
      <c r="L149" s="1574">
        <f t="shared" ca="1" si="11"/>
        <v>9.3924752741349038E-2</v>
      </c>
      <c r="M149" s="2575"/>
      <c r="N149" s="833"/>
      <c r="O149" s="833"/>
      <c r="Q149" s="833"/>
      <c r="R149" s="833"/>
      <c r="S149" s="833"/>
      <c r="T149" s="833"/>
      <c r="U149" s="833"/>
      <c r="V149" s="833"/>
      <c r="W149" s="833"/>
      <c r="X149" s="833"/>
    </row>
    <row r="150" spans="1:24" s="813" customFormat="1" ht="39.950000000000003" hidden="1" customHeight="1" x14ac:dyDescent="0.15">
      <c r="A150" s="2081">
        <f ca="1">+Orçamento_Não_Deson!A150</f>
        <v>3.1499999999999968</v>
      </c>
      <c r="B150" s="834">
        <f>+Orçamento_Não_Deson!B150</f>
        <v>93363</v>
      </c>
      <c r="C150" s="2" t="str">
        <f>VLOOKUP($B150,[5]BOLETIM_SEL!$A:$H,2,0)</f>
        <v>SINAPI</v>
      </c>
      <c r="D150" s="315" t="str">
        <f>VLOOKUP($B150,[5]BOLETIM_SEL!$A:$H,4,0)</f>
        <v>Reaterro mecanizado de vala com escavadeira hidráulica (capacidade da caçamba: 0,80 m3 / potência: 111 HP), largura até 1,50 m, profundidade de 3,00 a 4,50 m com solo (sem substituição) de 1a categoria em locais com alto nível de interferência. AF_04/2016</v>
      </c>
      <c r="E150" s="2">
        <f>+Orçamento_Não_Deson!E150</f>
        <v>0</v>
      </c>
      <c r="F150" s="2" t="str">
        <f>VLOOKUP($B150,[5]BOLETIM_SEL!$A:$H,6,0)</f>
        <v>M3</v>
      </c>
      <c r="G150" s="1407">
        <f>VLOOKUP($B150,[5]BOLETIM_SEL!$A:$H,7,0)</f>
        <v>13.28</v>
      </c>
      <c r="H150" s="1613">
        <f ca="1">+Orçamento_Não_Deson!H150</f>
        <v>0</v>
      </c>
      <c r="I150" s="877">
        <f t="shared" si="12"/>
        <v>16.829999999999998</v>
      </c>
      <c r="J150" s="1612">
        <f t="shared" ca="1" si="13"/>
        <v>0</v>
      </c>
      <c r="K150" s="2078">
        <f t="shared" ca="1" si="18"/>
        <v>0</v>
      </c>
      <c r="L150" s="1574">
        <f t="shared" ca="1" si="11"/>
        <v>0</v>
      </c>
      <c r="M150" s="2576" t="str">
        <f>VLOOKUP($B150,[5]BOLETIM_SEL!$A:$H,5,0)</f>
        <v>3,01 &lt; H &lt; 4,50
alta Interferência</v>
      </c>
      <c r="N150" s="833"/>
      <c r="O150" s="833"/>
      <c r="Q150" s="833"/>
      <c r="R150" s="833"/>
      <c r="S150" s="833"/>
      <c r="T150" s="833"/>
      <c r="U150" s="833"/>
      <c r="V150" s="833"/>
      <c r="W150" s="833"/>
      <c r="X150" s="833"/>
    </row>
    <row r="151" spans="1:24" s="813" customFormat="1" ht="50.1" customHeight="1" x14ac:dyDescent="0.15">
      <c r="A151" s="2081">
        <f ca="1">Orçamento_Não_Deson!A151</f>
        <v>3.1599999999999966</v>
      </c>
      <c r="B151" s="834">
        <f>Orçamento_Não_Deson!B151</f>
        <v>93364</v>
      </c>
      <c r="C151" s="2" t="str">
        <f>VLOOKUP($B151,[5]BOLETIM_SEL!$A:$H,2,0)</f>
        <v>SINAPI</v>
      </c>
      <c r="D151" s="315" t="str">
        <f>VLOOKUP($B151,[5]BOLETIM_SEL!$A:$H,4,0)</f>
        <v>Reaterro mecanizado de vala com escavadeira hidráulica (capacidade da caçamba: 0,80 m3 / potência: 111 HP), largura de 1,50 a 2,50 m, profundidade de 3,00  a 4,50 m, com solo (sem substituição) de 1a categoria em locais com alto nível de interferência. AF_04/2016</v>
      </c>
      <c r="E151" s="2">
        <f>Orçamento_Não_Deson!E151</f>
        <v>0</v>
      </c>
      <c r="F151" s="2" t="str">
        <f>VLOOKUP($B151,[5]BOLETIM_SEL!$A:$H,6,0)</f>
        <v>M3</v>
      </c>
      <c r="G151" s="1407">
        <f>VLOOKUP($B151,[5]BOLETIM_SEL!$A:$H,7,0)</f>
        <v>10.52</v>
      </c>
      <c r="H151" s="1613">
        <f ca="1">Orçamento_Não_Deson!H151</f>
        <v>433.52</v>
      </c>
      <c r="I151" s="877">
        <f t="shared" si="12"/>
        <v>13.33</v>
      </c>
      <c r="J151" s="1612">
        <f t="shared" ca="1" si="13"/>
        <v>5778.82</v>
      </c>
      <c r="K151" s="2078">
        <f t="shared" ca="1" si="18"/>
        <v>4.2083369082371856E-4</v>
      </c>
      <c r="L151" s="1574">
        <f t="shared" ca="1" si="11"/>
        <v>8.7688026419575887E-3</v>
      </c>
      <c r="M151" s="2576"/>
      <c r="N151" s="833"/>
      <c r="O151" s="833"/>
      <c r="Q151" s="833"/>
      <c r="R151" s="833"/>
      <c r="S151" s="833"/>
      <c r="T151" s="833"/>
      <c r="U151" s="833"/>
      <c r="V151" s="833"/>
      <c r="W151" s="833"/>
      <c r="X151" s="833"/>
    </row>
    <row r="152" spans="1:24" s="813" customFormat="1" ht="39.950000000000003" hidden="1" customHeight="1" x14ac:dyDescent="0.15">
      <c r="A152" s="2081">
        <f ca="1">+Orçamento_Não_Deson!A152</f>
        <v>3.1599999999999966</v>
      </c>
      <c r="B152" s="834">
        <f>+Orçamento_Não_Deson!B152</f>
        <v>93365</v>
      </c>
      <c r="C152" s="2" t="str">
        <f>VLOOKUP($B152,[5]BOLETIM_SEL!$A:$H,2,0)</f>
        <v>SINAPI</v>
      </c>
      <c r="D152" s="315" t="str">
        <f>VLOOKUP($B152,[5]BOLETIM_SEL!$A:$H,4,0)</f>
        <v>Reaterro mecanizado de vala com escavadeira hidráulica (capacidade da caçamba: 0,80 m3 / potência: 111 HP), largura até 1,50 m, profundidade de 4,50 a 6,00 m, com solo (sem substituição) de 1a categoria em locais com alto nível de interferência. AF_04/2016</v>
      </c>
      <c r="E152" s="2">
        <f>+Orçamento_Não_Deson!E152</f>
        <v>0</v>
      </c>
      <c r="F152" s="2" t="str">
        <f>VLOOKUP($B152,[5]BOLETIM_SEL!$A:$H,6,0)</f>
        <v>M3</v>
      </c>
      <c r="G152" s="1407">
        <f>VLOOKUP($B152,[5]BOLETIM_SEL!$A:$H,7,0)</f>
        <v>11.71</v>
      </c>
      <c r="H152" s="1613">
        <f ca="1">+Orçamento_Não_Deson!H152</f>
        <v>0</v>
      </c>
      <c r="I152" s="877">
        <f t="shared" si="12"/>
        <v>14.84</v>
      </c>
      <c r="J152" s="1612">
        <f t="shared" ca="1" si="13"/>
        <v>0</v>
      </c>
      <c r="K152" s="2078">
        <f t="shared" ca="1" si="18"/>
        <v>0</v>
      </c>
      <c r="L152" s="1574">
        <f t="shared" ca="1" si="11"/>
        <v>0</v>
      </c>
      <c r="M152" s="2573" t="str">
        <f>VLOOKUP($B152,[5]BOLETIM_SEL!$A:$H,5,0)</f>
        <v>H &gt; 4,51
alta Interferência</v>
      </c>
      <c r="N152" s="833"/>
      <c r="O152" s="833"/>
      <c r="Q152" s="833"/>
      <c r="R152" s="833"/>
      <c r="S152" s="833"/>
      <c r="T152" s="833"/>
      <c r="U152" s="833"/>
      <c r="V152" s="833"/>
      <c r="W152" s="833"/>
      <c r="X152" s="833"/>
    </row>
    <row r="153" spans="1:24" s="813" customFormat="1" ht="39.950000000000003" hidden="1" customHeight="1" x14ac:dyDescent="0.15">
      <c r="A153" s="2081">
        <f ca="1">+Orçamento_Não_Deson!A153</f>
        <v>3.1599999999999966</v>
      </c>
      <c r="B153" s="834">
        <f>+Orçamento_Não_Deson!B153</f>
        <v>93366</v>
      </c>
      <c r="C153" s="2" t="str">
        <f>VLOOKUP($B153,[5]BOLETIM_SEL!$A:$H,2,0)</f>
        <v>SINAPI</v>
      </c>
      <c r="D153" s="315" t="str">
        <f>VLOOKUP($B153,[5]BOLETIM_SEL!$A:$H,4,0)</f>
        <v>Reaterro mecanizado de vala com escavadeira hidráulica (capacidade da caçamba: 0,80 m3 / potência: 111 HP), largura de 1,50 a 2,50 m, profundidade de 4,50 a 6,00 m, com solo (sem substituição) de 1a categoria em locais com alto nível de interferência. AF_04/2016</v>
      </c>
      <c r="E153" s="2">
        <f>+Orçamento_Não_Deson!E153</f>
        <v>0</v>
      </c>
      <c r="F153" s="2" t="str">
        <f>VLOOKUP($B153,[5]BOLETIM_SEL!$A:$H,6,0)</f>
        <v>M3</v>
      </c>
      <c r="G153" s="1407">
        <f>VLOOKUP($B153,[5]BOLETIM_SEL!$A:$H,7,0)</f>
        <v>9.67</v>
      </c>
      <c r="H153" s="1613">
        <f ca="1">+Orçamento_Não_Deson!H153</f>
        <v>0</v>
      </c>
      <c r="I153" s="877">
        <f t="shared" si="12"/>
        <v>12.25</v>
      </c>
      <c r="J153" s="1612">
        <f t="shared" ca="1" si="13"/>
        <v>0</v>
      </c>
      <c r="K153" s="2078">
        <f t="shared" ca="1" si="18"/>
        <v>0</v>
      </c>
      <c r="L153" s="1574">
        <f t="shared" ca="1" si="11"/>
        <v>0</v>
      </c>
      <c r="M153" s="2573"/>
      <c r="N153" s="833"/>
      <c r="O153" s="833"/>
      <c r="Q153" s="833"/>
      <c r="R153" s="833"/>
      <c r="S153" s="833"/>
      <c r="T153" s="833"/>
      <c r="U153" s="833"/>
      <c r="V153" s="833"/>
      <c r="W153" s="833"/>
      <c r="X153" s="833"/>
    </row>
    <row r="154" spans="1:24" s="813" customFormat="1" ht="39.950000000000003" hidden="1" customHeight="1" x14ac:dyDescent="0.15">
      <c r="A154" s="2081">
        <f ca="1">+Orçamento_Não_Deson!A154</f>
        <v>3.1599999999999966</v>
      </c>
      <c r="B154" s="834">
        <f>+Orçamento_Não_Deson!B154</f>
        <v>93378</v>
      </c>
      <c r="C154" s="2" t="str">
        <f>VLOOKUP($B154,[5]BOLETIM_SEL!$A:$H,2,0)</f>
        <v>SINAPI</v>
      </c>
      <c r="D154" s="315" t="str">
        <f>VLOOKUP($B154,[5]BOLETIM_SEL!$A:$H,4,0)</f>
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</c>
      <c r="E154" s="2">
        <f>+Orçamento_Não_Deson!E154</f>
        <v>0</v>
      </c>
      <c r="F154" s="2" t="str">
        <f>VLOOKUP($B154,[5]BOLETIM_SEL!$A:$H,6,0)</f>
        <v>M3</v>
      </c>
      <c r="G154" s="1407">
        <f>VLOOKUP($B154,[5]BOLETIM_SEL!$A:$H,7,0)</f>
        <v>21.8</v>
      </c>
      <c r="H154" s="1613">
        <f>+Orçamento_Não_Deson!H154</f>
        <v>0</v>
      </c>
      <c r="I154" s="877">
        <f t="shared" si="12"/>
        <v>27.62</v>
      </c>
      <c r="J154" s="1612">
        <f t="shared" si="13"/>
        <v>0</v>
      </c>
      <c r="K154" s="2078">
        <f t="shared" ca="1" si="18"/>
        <v>0</v>
      </c>
      <c r="L154" s="1574">
        <f t="shared" ref="L154:L169" ca="1" si="22">J154/J$100</f>
        <v>0</v>
      </c>
      <c r="M154" s="2574" t="str">
        <f>VLOOKUP($B154,[5]BOLETIM_SEL!$A:$H,5,0)</f>
        <v>H &lt; 1,50
baixa Interferência</v>
      </c>
      <c r="N154" s="833"/>
      <c r="O154" s="833"/>
      <c r="Q154" s="833"/>
      <c r="R154" s="833"/>
      <c r="S154" s="833"/>
      <c r="T154" s="833"/>
      <c r="U154" s="833"/>
      <c r="V154" s="833"/>
      <c r="W154" s="833"/>
      <c r="X154" s="833"/>
    </row>
    <row r="155" spans="1:24" s="813" customFormat="1" ht="39.950000000000003" hidden="1" customHeight="1" x14ac:dyDescent="0.15">
      <c r="A155" s="2081">
        <f ca="1">+Orçamento_Não_Deson!A155</f>
        <v>3.1599999999999966</v>
      </c>
      <c r="B155" s="834">
        <f>+Orçamento_Não_Deson!B155</f>
        <v>93379</v>
      </c>
      <c r="C155" s="2" t="str">
        <f>VLOOKUP($B155,[5]BOLETIM_SEL!$A:$H,2,0)</f>
        <v>SINAPI</v>
      </c>
      <c r="D155" s="315" t="str">
        <f>VLOOKUP($B155,[5]BOLETIM_SEL!$A:$H,4,0)</f>
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</c>
      <c r="E155" s="2">
        <f>+Orçamento_Não_Deson!E155</f>
        <v>0</v>
      </c>
      <c r="F155" s="2" t="str">
        <f>VLOOKUP($B155,[5]BOLETIM_SEL!$A:$H,6,0)</f>
        <v>M3</v>
      </c>
      <c r="G155" s="1407">
        <f>VLOOKUP($B155,[5]BOLETIM_SEL!$A:$H,7,0)</f>
        <v>16.84</v>
      </c>
      <c r="H155" s="1613">
        <f>+Orçamento_Não_Deson!H155</f>
        <v>0</v>
      </c>
      <c r="I155" s="877">
        <f t="shared" ref="I155:I165" si="23">TRUNC(G155*(1+$J$5),2)</f>
        <v>21.34</v>
      </c>
      <c r="J155" s="1612">
        <f t="shared" ref="J155:J164" si="24">TRUNC(H155*I155,2)</f>
        <v>0</v>
      </c>
      <c r="K155" s="2078">
        <f t="shared" ca="1" si="18"/>
        <v>0</v>
      </c>
      <c r="L155" s="1574">
        <f t="shared" ca="1" si="22"/>
        <v>0</v>
      </c>
      <c r="M155" s="2574"/>
      <c r="N155" s="833"/>
      <c r="O155" s="833"/>
      <c r="Q155" s="833"/>
      <c r="R155" s="833"/>
      <c r="S155" s="833"/>
      <c r="T155" s="833"/>
      <c r="U155" s="833"/>
      <c r="V155" s="833"/>
      <c r="W155" s="833"/>
      <c r="X155" s="833"/>
    </row>
    <row r="156" spans="1:24" s="813" customFormat="1" ht="39.950000000000003" hidden="1" customHeight="1" x14ac:dyDescent="0.15">
      <c r="A156" s="2081">
        <f ca="1">+Orçamento_Não_Deson!A156</f>
        <v>3.1599999999999966</v>
      </c>
      <c r="B156" s="834">
        <f>+Orçamento_Não_Deson!B156</f>
        <v>93367</v>
      </c>
      <c r="C156" s="2" t="str">
        <f>VLOOKUP($B156,[5]BOLETIM_SEL!$A:$H,2,0)</f>
        <v>SINAPI</v>
      </c>
      <c r="D156" s="315" t="str">
        <f>VLOOKUP($B156,[5]BOLETIM_SEL!$A:$H,4,0)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156" s="2">
        <f>+Orçamento_Não_Deson!E156</f>
        <v>0</v>
      </c>
      <c r="F156" s="2" t="str">
        <f>VLOOKUP($B156,[5]BOLETIM_SEL!$A:$H,6,0)</f>
        <v>M3</v>
      </c>
      <c r="G156" s="1407">
        <f>VLOOKUP($B156,[5]BOLETIM_SEL!$A:$H,7,0)</f>
        <v>18.899999999999999</v>
      </c>
      <c r="H156" s="1613">
        <f>+Orçamento_Não_Deson!H156</f>
        <v>0</v>
      </c>
      <c r="I156" s="877">
        <f t="shared" si="23"/>
        <v>23.95</v>
      </c>
      <c r="J156" s="1612">
        <f t="shared" si="24"/>
        <v>0</v>
      </c>
      <c r="K156" s="2078">
        <f t="shared" ca="1" si="18"/>
        <v>0</v>
      </c>
      <c r="L156" s="1574">
        <f t="shared" ca="1" si="22"/>
        <v>0</v>
      </c>
      <c r="M156" s="2574"/>
      <c r="N156" s="833"/>
      <c r="O156" s="833"/>
      <c r="Q156" s="833"/>
      <c r="R156" s="833"/>
      <c r="S156" s="833"/>
      <c r="T156" s="833"/>
      <c r="U156" s="833"/>
      <c r="V156" s="833"/>
      <c r="W156" s="833"/>
      <c r="X156" s="833"/>
    </row>
    <row r="157" spans="1:24" s="813" customFormat="1" ht="39.950000000000003" hidden="1" customHeight="1" x14ac:dyDescent="0.15">
      <c r="A157" s="2081">
        <f ca="1">+Orçamento_Não_Deson!A157</f>
        <v>3.1599999999999966</v>
      </c>
      <c r="B157" s="834">
        <f>+Orçamento_Não_Deson!B157</f>
        <v>93380</v>
      </c>
      <c r="C157" s="2" t="str">
        <f>VLOOKUP($B157,[5]BOLETIM_SEL!$A:$H,2,0)</f>
        <v>SINAPI</v>
      </c>
      <c r="D157" s="315" t="str">
        <f>VLOOKUP($B157,[5]BOLETIM_SEL!$A:$H,4,0)</f>
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</c>
      <c r="E157" s="2">
        <f>+Orçamento_Não_Deson!E157</f>
        <v>0</v>
      </c>
      <c r="F157" s="2" t="str">
        <f>VLOOKUP($B157,[5]BOLETIM_SEL!$A:$H,6,0)</f>
        <v>M3</v>
      </c>
      <c r="G157" s="1407">
        <f>VLOOKUP($B157,[5]BOLETIM_SEL!$A:$H,7,0)</f>
        <v>13.84</v>
      </c>
      <c r="H157" s="1613">
        <f>+Orçamento_Não_Deson!H157</f>
        <v>0</v>
      </c>
      <c r="I157" s="877">
        <f t="shared" si="23"/>
        <v>17.54</v>
      </c>
      <c r="J157" s="1612">
        <f t="shared" si="24"/>
        <v>0</v>
      </c>
      <c r="K157" s="2078">
        <f t="shared" ca="1" si="18"/>
        <v>0</v>
      </c>
      <c r="L157" s="1574">
        <f t="shared" ca="1" si="22"/>
        <v>0</v>
      </c>
      <c r="M157" s="2575" t="str">
        <f>VLOOKUP($B157,[5]BOLETIM_SEL!$A:$H,5,0)</f>
        <v>1,51 &lt; H &lt; 3,00
baixa Interferência</v>
      </c>
      <c r="N157" s="833"/>
      <c r="O157" s="833"/>
      <c r="Q157" s="833"/>
      <c r="R157" s="833"/>
      <c r="S157" s="833"/>
      <c r="T157" s="833"/>
      <c r="U157" s="833"/>
      <c r="V157" s="833"/>
      <c r="W157" s="833"/>
      <c r="X157" s="833"/>
    </row>
    <row r="158" spans="1:24" s="813" customFormat="1" ht="39.950000000000003" hidden="1" customHeight="1" x14ac:dyDescent="0.15">
      <c r="A158" s="2081">
        <f ca="1">+Orçamento_Não_Deson!A158</f>
        <v>3.1599999999999966</v>
      </c>
      <c r="B158" s="834">
        <f>+Orçamento_Não_Deson!B158</f>
        <v>93381</v>
      </c>
      <c r="C158" s="2" t="str">
        <f>VLOOKUP($B158,[5]BOLETIM_SEL!$A:$H,2,0)</f>
        <v>SINAPI</v>
      </c>
      <c r="D158" s="315" t="str">
        <f>VLOOKUP($B158,[5]BOLETIM_SEL!$A:$H,4,0)</f>
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</c>
      <c r="E158" s="2">
        <f>+Orçamento_Não_Deson!E158</f>
        <v>0</v>
      </c>
      <c r="F158" s="2" t="str">
        <f>VLOOKUP($B158,[5]BOLETIM_SEL!$A:$H,6,0)</f>
        <v>M3</v>
      </c>
      <c r="G158" s="1407">
        <f>VLOOKUP($B158,[5]BOLETIM_SEL!$A:$H,7,0)</f>
        <v>9.2799999999999994</v>
      </c>
      <c r="H158" s="1613">
        <f>+Orçamento_Não_Deson!H158</f>
        <v>0</v>
      </c>
      <c r="I158" s="877">
        <f t="shared" si="23"/>
        <v>11.76</v>
      </c>
      <c r="J158" s="1612">
        <f t="shared" si="24"/>
        <v>0</v>
      </c>
      <c r="K158" s="2078">
        <f t="shared" ca="1" si="18"/>
        <v>0</v>
      </c>
      <c r="L158" s="1574">
        <f t="shared" ca="1" si="22"/>
        <v>0</v>
      </c>
      <c r="M158" s="2575"/>
      <c r="N158" s="833"/>
      <c r="O158" s="833"/>
      <c r="Q158" s="833"/>
      <c r="R158" s="833"/>
      <c r="S158" s="833"/>
      <c r="T158" s="833"/>
      <c r="U158" s="833"/>
      <c r="V158" s="833"/>
      <c r="W158" s="833"/>
      <c r="X158" s="833"/>
    </row>
    <row r="159" spans="1:24" s="813" customFormat="1" ht="39.950000000000003" hidden="1" customHeight="1" x14ac:dyDescent="0.15">
      <c r="A159" s="2081">
        <f ca="1">Orçamento_Não_Deson!A159</f>
        <v>3.1599999999999966</v>
      </c>
      <c r="B159" s="834">
        <f>Orçamento_Não_Deson!B159</f>
        <v>93369</v>
      </c>
      <c r="C159" s="2" t="str">
        <f>VLOOKUP($B159,[5]BOLETIM_SEL!$A:$H,2,0)</f>
        <v>SINAPI</v>
      </c>
      <c r="D159" s="315" t="str">
        <f>VLOOKUP($B159,[5]BOLETIM_SEL!$A:$H,4,0)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159" s="2">
        <f>Orçamento_Não_Deson!E159</f>
        <v>0</v>
      </c>
      <c r="F159" s="2" t="str">
        <f>VLOOKUP($B159,[5]BOLETIM_SEL!$A:$H,6,0)</f>
        <v>M3</v>
      </c>
      <c r="G159" s="1407">
        <f>VLOOKUP($B159,[5]BOLETIM_SEL!$A:$H,7,0)</f>
        <v>10.95</v>
      </c>
      <c r="H159" s="1613">
        <f>Orçamento_Não_Deson!H159</f>
        <v>0</v>
      </c>
      <c r="I159" s="877">
        <f t="shared" si="23"/>
        <v>13.87</v>
      </c>
      <c r="J159" s="1612">
        <f t="shared" si="24"/>
        <v>0</v>
      </c>
      <c r="K159" s="2078">
        <f t="shared" ca="1" si="18"/>
        <v>0</v>
      </c>
      <c r="L159" s="1574">
        <f t="shared" ca="1" si="22"/>
        <v>0</v>
      </c>
      <c r="M159" s="2575"/>
      <c r="N159" s="833"/>
      <c r="O159" s="833"/>
      <c r="Q159" s="833"/>
      <c r="R159" s="833"/>
      <c r="S159" s="833"/>
      <c r="T159" s="833"/>
      <c r="U159" s="833"/>
      <c r="V159" s="833"/>
      <c r="W159" s="833"/>
      <c r="X159" s="833"/>
    </row>
    <row r="160" spans="1:24" s="813" customFormat="1" ht="39.950000000000003" hidden="1" customHeight="1" x14ac:dyDescent="0.15">
      <c r="A160" s="2081">
        <f ca="1">+Orçamento_Não_Deson!A160</f>
        <v>3.1599999999999966</v>
      </c>
      <c r="B160" s="834">
        <f>+Orçamento_Não_Deson!B160</f>
        <v>93370</v>
      </c>
      <c r="C160" s="2" t="str">
        <f>VLOOKUP($B160,[5]BOLETIM_SEL!$A:$H,2,0)</f>
        <v>SINAPI</v>
      </c>
      <c r="D160" s="315" t="str">
        <f>VLOOKUP($B160,[5]BOLETIM_SEL!$A:$H,4,0)</f>
        <v>Reaterro mecanizado de vala com escavadeira hidráulica (capacidade da caçamba: 0,80 m3 / potência: 111 HP), largura até 1,50 m, profundidade de 3,00 a 4,50 m com solo (sem substituição) de 1a categoria em locais com baixo nível de interferência. AF_04/2016</v>
      </c>
      <c r="E160" s="2">
        <f>+Orçamento_Não_Deson!E160</f>
        <v>0</v>
      </c>
      <c r="F160" s="2" t="str">
        <f>VLOOKUP($B160,[5]BOLETIM_SEL!$A:$H,6,0)</f>
        <v>M3</v>
      </c>
      <c r="G160" s="1407">
        <f>VLOOKUP($B160,[5]BOLETIM_SEL!$A:$H,7,0)</f>
        <v>11.97</v>
      </c>
      <c r="H160" s="1613">
        <f>+Orçamento_Não_Deson!H160</f>
        <v>0</v>
      </c>
      <c r="I160" s="877">
        <f t="shared" si="23"/>
        <v>15.17</v>
      </c>
      <c r="J160" s="1612">
        <f t="shared" si="24"/>
        <v>0</v>
      </c>
      <c r="K160" s="2078">
        <f t="shared" ca="1" si="18"/>
        <v>0</v>
      </c>
      <c r="L160" s="1574">
        <f t="shared" ca="1" si="22"/>
        <v>0</v>
      </c>
      <c r="M160" s="2576" t="str">
        <f>VLOOKUP($B160,[5]BOLETIM_SEL!$A:$H,5,0)</f>
        <v>3,01 &lt; H &lt; 4,50
baixa Interferência</v>
      </c>
      <c r="N160" s="833"/>
      <c r="O160" s="833"/>
      <c r="Q160" s="833"/>
      <c r="R160" s="833"/>
      <c r="S160" s="833"/>
      <c r="T160" s="833"/>
      <c r="U160" s="833"/>
      <c r="V160" s="833"/>
      <c r="W160" s="833"/>
      <c r="X160" s="833"/>
    </row>
    <row r="161" spans="1:24" s="813" customFormat="1" ht="39.950000000000003" hidden="1" customHeight="1" x14ac:dyDescent="0.15">
      <c r="A161" s="2081">
        <f ca="1">Orçamento_Não_Deson!A161</f>
        <v>3.1599999999999966</v>
      </c>
      <c r="B161" s="834">
        <f>Orçamento_Não_Deson!B161</f>
        <v>93371</v>
      </c>
      <c r="C161" s="2" t="str">
        <f>VLOOKUP($B161,[5]BOLETIM_SEL!$A:$H,2,0)</f>
        <v>SINAPI</v>
      </c>
      <c r="D161" s="315" t="str">
        <f>VLOOKUP($B161,[5]BOLETIM_SEL!$A:$H,4,0)</f>
        <v>Reaterro mecanizado de vala com escavadeira hidráulica (capacidade da caçamba: 0,80 m3 / potência: 111 HP), largura de 1,50 a 2,50 m, profundidade de 3,00  a 4,50 m, com solo (sem substituição) de 1a categoria em locais com baixo nível de interferência. AF_04/2016</v>
      </c>
      <c r="E161" s="2">
        <f>Orçamento_Não_Deson!E161</f>
        <v>0</v>
      </c>
      <c r="F161" s="2" t="str">
        <f>VLOOKUP($B161,[5]BOLETIM_SEL!$A:$H,6,0)</f>
        <v>M3</v>
      </c>
      <c r="G161" s="1407">
        <f>VLOOKUP($B161,[5]BOLETIM_SEL!$A:$H,7,0)</f>
        <v>9.2200000000000006</v>
      </c>
      <c r="H161" s="1613">
        <f>Orçamento_Não_Deson!H161</f>
        <v>0</v>
      </c>
      <c r="I161" s="877">
        <f t="shared" si="23"/>
        <v>11.68</v>
      </c>
      <c r="J161" s="1612">
        <f t="shared" si="24"/>
        <v>0</v>
      </c>
      <c r="K161" s="2078">
        <f t="shared" ca="1" si="18"/>
        <v>0</v>
      </c>
      <c r="L161" s="1574">
        <f t="shared" ca="1" si="22"/>
        <v>0</v>
      </c>
      <c r="M161" s="2576"/>
      <c r="N161" s="833"/>
      <c r="O161" s="833"/>
      <c r="Q161" s="833"/>
      <c r="R161" s="833"/>
      <c r="S161" s="833"/>
      <c r="T161" s="833"/>
      <c r="U161" s="833"/>
      <c r="V161" s="833"/>
      <c r="W161" s="833"/>
      <c r="X161" s="833"/>
    </row>
    <row r="162" spans="1:24" s="813" customFormat="1" ht="39.950000000000003" hidden="1" customHeight="1" x14ac:dyDescent="0.15">
      <c r="A162" s="2081">
        <f ca="1">+Orçamento_Não_Deson!A162</f>
        <v>3.1599999999999966</v>
      </c>
      <c r="B162" s="834">
        <f>+Orçamento_Não_Deson!B162</f>
        <v>93372</v>
      </c>
      <c r="C162" s="2" t="str">
        <f>VLOOKUP($B162,[5]BOLETIM_SEL!$A:$H,2,0)</f>
        <v>SINAPI</v>
      </c>
      <c r="D162" s="315" t="str">
        <f>VLOOKUP($B162,[5]BOLETIM_SEL!$A:$H,4,0)</f>
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</c>
      <c r="E162" s="2">
        <f>+Orçamento_Não_Deson!E162</f>
        <v>0</v>
      </c>
      <c r="F162" s="2" t="str">
        <f>VLOOKUP($B162,[5]BOLETIM_SEL!$A:$H,6,0)</f>
        <v>M3</v>
      </c>
      <c r="G162" s="1407">
        <f>VLOOKUP($B162,[5]BOLETIM_SEL!$A:$H,7,0)</f>
        <v>10.48</v>
      </c>
      <c r="H162" s="1613">
        <f>+Orçamento_Não_Deson!H162</f>
        <v>0</v>
      </c>
      <c r="I162" s="877">
        <f t="shared" si="23"/>
        <v>13.28</v>
      </c>
      <c r="J162" s="1612">
        <f t="shared" si="24"/>
        <v>0</v>
      </c>
      <c r="K162" s="2078">
        <f t="shared" ca="1" si="18"/>
        <v>0</v>
      </c>
      <c r="L162" s="1574">
        <f t="shared" ca="1" si="22"/>
        <v>0</v>
      </c>
      <c r="M162" s="2573" t="str">
        <f>VLOOKUP($B162,[5]BOLETIM_SEL!$A:$H,5,0)</f>
        <v>H &gt; 4,51
baixa Interferência</v>
      </c>
      <c r="N162" s="833"/>
      <c r="O162" s="833"/>
      <c r="Q162" s="833"/>
      <c r="R162" s="833"/>
      <c r="S162" s="833"/>
      <c r="T162" s="833"/>
      <c r="U162" s="833"/>
      <c r="V162" s="833"/>
      <c r="W162" s="833"/>
      <c r="X162" s="833"/>
    </row>
    <row r="163" spans="1:24" s="813" customFormat="1" ht="39.950000000000003" hidden="1" customHeight="1" x14ac:dyDescent="0.15">
      <c r="A163" s="2081">
        <f ca="1">+Orçamento_Não_Deson!A163</f>
        <v>3.1599999999999966</v>
      </c>
      <c r="B163" s="834">
        <f>+Orçamento_Não_Deson!B163</f>
        <v>93373</v>
      </c>
      <c r="C163" s="2" t="str">
        <f>VLOOKUP($B163,[5]BOLETIM_SEL!$A:$H,2,0)</f>
        <v>SINAPI</v>
      </c>
      <c r="D163" s="315" t="str">
        <f>VLOOKUP($B163,[5]BOLETIM_SEL!$A:$H,4,0)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163" s="2">
        <f>+Orçamento_Não_Deson!E163</f>
        <v>0</v>
      </c>
      <c r="F163" s="2" t="str">
        <f>VLOOKUP($B163,[5]BOLETIM_SEL!$A:$H,6,0)</f>
        <v>M3</v>
      </c>
      <c r="G163" s="1407">
        <f>VLOOKUP($B163,[5]BOLETIM_SEL!$A:$H,7,0)</f>
        <v>8.3699999999999992</v>
      </c>
      <c r="H163" s="1613">
        <f>+Orçamento_Não_Deson!H163</f>
        <v>0</v>
      </c>
      <c r="I163" s="877">
        <f t="shared" si="23"/>
        <v>10.6</v>
      </c>
      <c r="J163" s="1612">
        <f t="shared" si="24"/>
        <v>0</v>
      </c>
      <c r="K163" s="2078">
        <f t="shared" ca="1" si="18"/>
        <v>0</v>
      </c>
      <c r="L163" s="1574">
        <f t="shared" ca="1" si="22"/>
        <v>0</v>
      </c>
      <c r="M163" s="2573"/>
      <c r="N163" s="833"/>
      <c r="O163" s="833"/>
      <c r="Q163" s="833"/>
      <c r="R163" s="833"/>
      <c r="S163" s="833"/>
      <c r="T163" s="833"/>
      <c r="U163" s="833"/>
      <c r="V163" s="833"/>
      <c r="W163" s="833"/>
      <c r="X163" s="833"/>
    </row>
    <row r="164" spans="1:24" s="813" customFormat="1" ht="39.950000000000003" hidden="1" customHeight="1" x14ac:dyDescent="0.15">
      <c r="A164" s="2081">
        <f ca="1">+Orçamento_Não_Deson!A164</f>
        <v>3.1599999999999966</v>
      </c>
      <c r="B164" s="834">
        <f>+Orçamento_Não_Deson!B164</f>
        <v>94342</v>
      </c>
      <c r="C164" s="2" t="str">
        <f>VLOOKUP($B164,[5]BOLETIM_SEL!$A:$H,2,0)</f>
        <v>SINAPI</v>
      </c>
      <c r="D164" s="315" t="str">
        <f>VLOOKUP($B164,[5]BOLETIM_SEL!$A:$H,4,0)</f>
        <v>Aterro manual de valas com areia para aterro e compactação mecanizada (adensamento hidráulico e inclusive aquisição). AF_05/2016</v>
      </c>
      <c r="E164" s="2">
        <f>+Orçamento_Não_Deson!E164</f>
        <v>0</v>
      </c>
      <c r="F164" s="2" t="str">
        <f>VLOOKUP($B164,[5]BOLETIM_SEL!$A:$H,6,0)</f>
        <v>M3</v>
      </c>
      <c r="G164" s="1407">
        <f>VLOOKUP($B164,[5]BOLETIM_SEL!$A:$H,7,0)</f>
        <v>83.72</v>
      </c>
      <c r="H164" s="1613">
        <f>+Orçamento_Não_Deson!H164</f>
        <v>0</v>
      </c>
      <c r="I164" s="877">
        <f t="shared" si="23"/>
        <v>106.1</v>
      </c>
      <c r="J164" s="1612">
        <f t="shared" si="24"/>
        <v>0</v>
      </c>
      <c r="K164" s="2078">
        <f t="shared" ref="K164:K169" ca="1" si="25">J164/J$967</f>
        <v>0</v>
      </c>
      <c r="L164" s="1574">
        <f t="shared" ca="1" si="22"/>
        <v>0</v>
      </c>
      <c r="M164" s="1974"/>
      <c r="N164" s="833"/>
      <c r="O164" s="833"/>
      <c r="Q164" s="833"/>
      <c r="R164" s="833"/>
      <c r="S164" s="833"/>
      <c r="T164" s="833"/>
      <c r="U164" s="833"/>
      <c r="V164" s="833"/>
      <c r="W164" s="833"/>
      <c r="X164" s="833"/>
    </row>
    <row r="165" spans="1:24" s="813" customFormat="1" ht="39.950000000000003" hidden="1" customHeight="1" x14ac:dyDescent="0.15">
      <c r="A165" s="2081">
        <f ca="1">+Orçamento_Não_Deson!A165</f>
        <v>3.1599999999999966</v>
      </c>
      <c r="B165" s="834">
        <f>+Orçamento_Não_Deson!B165</f>
        <v>101230</v>
      </c>
      <c r="C165" s="2" t="str">
        <f>VLOOKUP($B165,[5]BOLETIM_SEL!$A:$H,2,0)</f>
        <v>SINAPI</v>
      </c>
      <c r="D165" s="315" t="str">
        <f>VLOOKUP($B165,[5]BOLETIM_SEL!$A:$H,4,0)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165" s="2">
        <f>+Orçamento_Não_Deson!E165</f>
        <v>0</v>
      </c>
      <c r="F165" s="2" t="str">
        <f>VLOOKUP($B165,[5]BOLETIM_SEL!$A:$H,6,0)</f>
        <v>M3</v>
      </c>
      <c r="G165" s="1407">
        <f>VLOOKUP($B165,[5]BOLETIM_SEL!$A:$H,7,0)</f>
        <v>9.8699999999999992</v>
      </c>
      <c r="H165" s="1613">
        <f ca="1">+Orçamento_Não_Deson!H165</f>
        <v>0</v>
      </c>
      <c r="I165" s="877">
        <f t="shared" si="23"/>
        <v>12.5</v>
      </c>
      <c r="J165" s="1612">
        <f ca="1">TRUNC(H165*I165,2)</f>
        <v>0</v>
      </c>
      <c r="K165" s="2078">
        <f t="shared" ca="1" si="25"/>
        <v>0</v>
      </c>
      <c r="L165" s="1574">
        <f t="shared" ca="1" si="22"/>
        <v>0</v>
      </c>
      <c r="M165" s="1974"/>
      <c r="N165" s="833"/>
      <c r="O165" s="833"/>
      <c r="Q165" s="833"/>
      <c r="R165" s="833"/>
      <c r="S165" s="833"/>
      <c r="T165" s="833"/>
      <c r="U165" s="833"/>
      <c r="V165" s="833"/>
      <c r="W165" s="833"/>
      <c r="X165" s="833"/>
    </row>
    <row r="166" spans="1:24" s="813" customFormat="1" ht="39.950000000000003" hidden="1" customHeight="1" x14ac:dyDescent="0.15">
      <c r="A166" s="2081">
        <f ca="1">+Orçamento_Não_Deson!A166</f>
        <v>3.1599999999999966</v>
      </c>
      <c r="B166" s="834">
        <f>+Orçamento_Não_Deson!B166</f>
        <v>368</v>
      </c>
      <c r="C166" s="2" t="str">
        <f>VLOOKUP($B166,[5]BOLETIM_SEL!$A:$H,2,0)</f>
        <v>COTAÇÃO - SINAPI</v>
      </c>
      <c r="D166" s="315" t="str">
        <f>VLOOKUP($B166,[5]BOLETIM_SEL!$A:$H,4,0)</f>
        <v>Areia para aterro - posto jazida/fornecedor (retirado na jazida, sem transporte)</v>
      </c>
      <c r="E166" s="2" t="str">
        <f>+Orçamento_Não_Deson!E166</f>
        <v>BDI insumo</v>
      </c>
      <c r="F166" s="2" t="str">
        <f>VLOOKUP($B166,[5]BOLETIM_SEL!$A:$H,6,0)</f>
        <v xml:space="preserve">M3    </v>
      </c>
      <c r="G166" s="1407">
        <f>VLOOKUP($B166,[5]BOLETIM_SEL!$A:$H,7,0)</f>
        <v>45</v>
      </c>
      <c r="H166" s="1613">
        <f>+Orçamento_Não_Deson!H166</f>
        <v>0</v>
      </c>
      <c r="I166" s="1614">
        <f>TRUNC(G166*(1+$J$6),2)</f>
        <v>51.87</v>
      </c>
      <c r="J166" s="1612">
        <f>TRUNC(H166*I166,2)</f>
        <v>0</v>
      </c>
      <c r="K166" s="2078">
        <f t="shared" ca="1" si="25"/>
        <v>0</v>
      </c>
      <c r="L166" s="1574">
        <f t="shared" ca="1" si="22"/>
        <v>0</v>
      </c>
      <c r="M166" s="1974"/>
      <c r="N166" s="833"/>
      <c r="O166" s="833"/>
      <c r="Q166" s="833"/>
      <c r="R166" s="833"/>
      <c r="S166" s="833"/>
      <c r="T166" s="833"/>
      <c r="U166" s="833"/>
      <c r="V166" s="833"/>
      <c r="W166" s="833"/>
      <c r="X166" s="833"/>
    </row>
    <row r="167" spans="1:24" s="813" customFormat="1" ht="39.950000000000003" hidden="1" customHeight="1" x14ac:dyDescent="0.15">
      <c r="A167" s="2081">
        <f ca="1">+Orçamento_Não_Deson!A167</f>
        <v>3.1599999999999966</v>
      </c>
      <c r="B167" s="834">
        <f>+Orçamento_Não_Deson!B167</f>
        <v>6079</v>
      </c>
      <c r="C167" s="2" t="str">
        <f>VLOOKUP($B167,[5]BOLETIM_SEL!$A:$H,2,0)</f>
        <v>COTAÇÃO - SINAPI</v>
      </c>
      <c r="D167" s="315" t="str">
        <f>VLOOKUP($B167,[5]BOLETIM_SEL!$A:$H,4,0)</f>
        <v>Argila, argila vermelha ou argila arenosa (retirada na jazida, sem transporte)</v>
      </c>
      <c r="E167" s="2" t="str">
        <f>+Orçamento_Não_Deson!E167</f>
        <v>BDI insumo</v>
      </c>
      <c r="F167" s="2" t="str">
        <f>VLOOKUP($B167,[5]BOLETIM_SEL!$A:$H,6,0)</f>
        <v xml:space="preserve">M3    </v>
      </c>
      <c r="G167" s="1407">
        <f>VLOOKUP($B167,[5]BOLETIM_SEL!$A:$H,7,0)</f>
        <v>33.700000000000003</v>
      </c>
      <c r="H167" s="1613">
        <f>+Orçamento_Não_Deson!H167</f>
        <v>0</v>
      </c>
      <c r="I167" s="1614">
        <f>TRUNC(G167*(1+$J$6),2)</f>
        <v>38.840000000000003</v>
      </c>
      <c r="J167" s="1612">
        <f>TRUNC(H167*I167,2)</f>
        <v>0</v>
      </c>
      <c r="K167" s="2078">
        <f t="shared" ca="1" si="25"/>
        <v>0</v>
      </c>
      <c r="L167" s="1574">
        <f t="shared" ca="1" si="22"/>
        <v>0</v>
      </c>
      <c r="M167" s="1975" t="str">
        <f>+Orçamento_Não_Deson!M167</f>
        <v>LOCAL</v>
      </c>
      <c r="N167" s="833"/>
      <c r="O167" s="833"/>
      <c r="Q167" s="833"/>
      <c r="R167" s="833"/>
      <c r="S167" s="833"/>
      <c r="T167" s="833"/>
      <c r="U167" s="833"/>
      <c r="V167" s="833"/>
      <c r="W167" s="833"/>
      <c r="X167" s="833"/>
    </row>
    <row r="168" spans="1:24" s="813" customFormat="1" ht="39.950000000000003" hidden="1" customHeight="1" x14ac:dyDescent="0.15">
      <c r="A168" s="2081">
        <f ca="1">+Orçamento_Não_Deson!A168</f>
        <v>3.1599999999999966</v>
      </c>
      <c r="B168" s="834" t="str">
        <f>+Orçamento_Não_Deson!B168</f>
        <v>SC/0082</v>
      </c>
      <c r="C168" s="2" t="str">
        <f>VLOOKUP($B168,[5]BOLETIM_SEL!$A:$H,2,0)</f>
        <v>COMPOSIÇÃO</v>
      </c>
      <c r="D168" s="315" t="str">
        <f>VLOOKUP($B168,[5]BOLETIM_SEL!$A:$H,4,0)</f>
        <v>Grama em placas, tipo esmeralda, incluindo plantio, adubo, fertilizante, calcário, terra orgânica e irrigação</v>
      </c>
      <c r="E168" s="2">
        <f>+Orçamento_Não_Deson!E168</f>
        <v>0</v>
      </c>
      <c r="F168" s="2" t="str">
        <f>VLOOKUP($B168,[5]BOLETIM_SEL!$A:$H,6,0)</f>
        <v>M2</v>
      </c>
      <c r="G168" s="1407">
        <f>VLOOKUP($B168,[5]BOLETIM_SEL!$A:$H,7,0)</f>
        <v>21.88</v>
      </c>
      <c r="H168" s="1613">
        <f>+Orçamento_Não_Deson!H168</f>
        <v>0</v>
      </c>
      <c r="I168" s="877">
        <f>TRUNC(G168*(1+$J$5),2)</f>
        <v>27.73</v>
      </c>
      <c r="J168" s="1612">
        <f>TRUNC(H168*I168,2)</f>
        <v>0</v>
      </c>
      <c r="K168" s="2078">
        <f t="shared" ca="1" si="25"/>
        <v>0</v>
      </c>
      <c r="L168" s="1574">
        <f t="shared" ca="1" si="22"/>
        <v>0</v>
      </c>
      <c r="M168" s="1975" t="str">
        <f>+Orçamento_Não_Deson!M168</f>
        <v>ESMERALDA</v>
      </c>
      <c r="N168" s="833"/>
      <c r="O168" s="833"/>
      <c r="Q168" s="833"/>
      <c r="R168" s="833"/>
      <c r="S168" s="833"/>
      <c r="T168" s="833"/>
      <c r="U168" s="833"/>
      <c r="V168" s="833"/>
      <c r="W168" s="833"/>
      <c r="X168" s="833"/>
    </row>
    <row r="169" spans="1:24" s="813" customFormat="1" ht="39.950000000000003" customHeight="1" x14ac:dyDescent="0.15">
      <c r="A169" s="2081">
        <f ca="1">Orçamento_Não_Deson!A169</f>
        <v>3.1699999999999964</v>
      </c>
      <c r="B169" s="834">
        <f>Orçamento_Não_Deson!B169</f>
        <v>100979</v>
      </c>
      <c r="C169" s="2" t="str">
        <f>VLOOKUP($B169,[5]BOLETIM_SEL!$A:$H,2,0)</f>
        <v>SINAPI</v>
      </c>
      <c r="D169" s="315" t="str">
        <f>VLOOKUP($B169,[5]BOLETIM_SEL!$A:$H,4,0)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169" s="2">
        <f>Orçamento_Não_Deson!E169</f>
        <v>0</v>
      </c>
      <c r="F169" s="2" t="str">
        <f>VLOOKUP($B169,[5]BOLETIM_SEL!$A:$H,6,0)</f>
        <v>M3</v>
      </c>
      <c r="G169" s="1407">
        <f>VLOOKUP($B169,[5]BOLETIM_SEL!$A:$H,7,0)</f>
        <v>5.91</v>
      </c>
      <c r="H169" s="1613">
        <f ca="1">Orçamento_Não_Deson!H169</f>
        <v>270.95</v>
      </c>
      <c r="I169" s="877">
        <f>TRUNC(G169*(1+$J$5),2)</f>
        <v>7.49</v>
      </c>
      <c r="J169" s="1612">
        <f ca="1">TRUNC(H169*I169,2)</f>
        <v>2029.41</v>
      </c>
      <c r="K169" s="2078">
        <f t="shared" ca="1" si="25"/>
        <v>1.4778866628387157E-4</v>
      </c>
      <c r="L169" s="1574">
        <f t="shared" ca="1" si="22"/>
        <v>3.0794341698850546E-3</v>
      </c>
      <c r="M169" s="1975" t="str">
        <f>Orçamento_Não_Deson!M169</f>
        <v>ESCAVADEIRA</v>
      </c>
      <c r="N169" s="833"/>
      <c r="O169" s="833"/>
      <c r="Q169" s="833"/>
      <c r="R169" s="833"/>
      <c r="S169" s="833"/>
      <c r="T169" s="833"/>
      <c r="U169" s="833"/>
      <c r="V169" s="833"/>
      <c r="W169" s="833"/>
      <c r="X169" s="833"/>
    </row>
    <row r="170" spans="1:24" s="813" customFormat="1" ht="24.95" customHeight="1" x14ac:dyDescent="0.15">
      <c r="A170" s="2081"/>
      <c r="B170" s="834"/>
      <c r="C170" s="2"/>
      <c r="D170" s="1452" t="s">
        <v>1814</v>
      </c>
      <c r="E170" s="2"/>
      <c r="F170" s="2"/>
      <c r="G170" s="1407"/>
      <c r="H170" s="2"/>
      <c r="I170" s="2"/>
      <c r="J170" s="839" t="str">
        <f ca="1">IF(J171=0,"-","")</f>
        <v/>
      </c>
      <c r="K170" s="2078"/>
      <c r="L170" s="1574"/>
      <c r="M170" s="1974" t="str">
        <f>Orçamento_Não_Deson!M170</f>
        <v>Depósito provisório</v>
      </c>
      <c r="N170" s="833"/>
      <c r="O170" s="833"/>
      <c r="Q170" s="833"/>
      <c r="R170" s="833"/>
      <c r="S170" s="833"/>
      <c r="T170" s="833"/>
      <c r="U170" s="833"/>
      <c r="V170" s="833"/>
      <c r="W170" s="833"/>
      <c r="X170" s="833"/>
    </row>
    <row r="171" spans="1:24" s="813" customFormat="1" ht="30" customHeight="1" x14ac:dyDescent="0.15">
      <c r="A171" s="2081">
        <f ca="1">Orçamento_Não_Deson!A171</f>
        <v>3.1799999999999962</v>
      </c>
      <c r="B171" s="834">
        <f>Orçamento_Não_Deson!B171</f>
        <v>100939</v>
      </c>
      <c r="C171" s="2" t="str">
        <f>VLOOKUP($B171,[5]BOLETIM_SEL!$A:$H,2,0)</f>
        <v>SINAPI</v>
      </c>
      <c r="D171" s="315" t="str">
        <f>VLOOKUP($B171,[5]BOLETIM_SEL!$A:$H,4,0)</f>
        <v>Transporte com caminhão basculante de 14 m3, em via interna (dentro do canteiro - unidade:m3xkm). AF_07/2020</v>
      </c>
      <c r="E171" s="2">
        <f>Orçamento_Não_Deson!E171</f>
        <v>1</v>
      </c>
      <c r="F171" s="2" t="str">
        <f>VLOOKUP($B171,[5]BOLETIM_SEL!$A:$H,6,0)</f>
        <v>M3XKM</v>
      </c>
      <c r="G171" s="1407">
        <f>VLOOKUP($B171,[5]BOLETIM_SEL!$A:$H,7,0)</f>
        <v>5.83</v>
      </c>
      <c r="H171" s="1613">
        <f ca="1">Orçamento_Não_Deson!H171</f>
        <v>487.71</v>
      </c>
      <c r="I171" s="877">
        <f>TRUNC(G171*(1+$J$5),2)</f>
        <v>7.38</v>
      </c>
      <c r="J171" s="1612">
        <f ca="1">TRUNC(H171*I171,2)</f>
        <v>3599.29</v>
      </c>
      <c r="K171" s="2078">
        <f ca="1">J171/J$967</f>
        <v>2.6211276610880801E-4</v>
      </c>
      <c r="L171" s="1574">
        <f ca="1">J171/J$100</f>
        <v>5.4615758340234733E-3</v>
      </c>
      <c r="M171" s="1974"/>
      <c r="N171" s="833"/>
      <c r="O171" s="833"/>
      <c r="Q171" s="833"/>
      <c r="R171" s="833"/>
      <c r="S171" s="833"/>
      <c r="T171" s="833"/>
      <c r="U171" s="833"/>
      <c r="V171" s="833"/>
      <c r="W171" s="833"/>
      <c r="X171" s="833"/>
    </row>
    <row r="172" spans="1:24" s="813" customFormat="1" ht="39.950000000000003" hidden="1" customHeight="1" x14ac:dyDescent="0.15">
      <c r="A172" s="2081"/>
      <c r="B172" s="834"/>
      <c r="C172" s="2"/>
      <c r="D172" s="1452" t="s">
        <v>1802</v>
      </c>
      <c r="E172" s="2"/>
      <c r="F172" s="2"/>
      <c r="G172" s="1407"/>
      <c r="H172" s="2"/>
      <c r="I172" s="2"/>
      <c r="J172" s="839" t="str">
        <f>IF(J173=0,"-","")</f>
        <v>-</v>
      </c>
      <c r="K172" s="2078"/>
      <c r="L172" s="1574"/>
      <c r="M172" s="1974" t="str">
        <f>+Orçamento_Não_Deson!M172</f>
        <v>Definir depósito reciclável: 2, 3 ou 4</v>
      </c>
      <c r="N172" s="833"/>
      <c r="O172" s="833"/>
      <c r="Q172" s="833"/>
      <c r="R172" s="833"/>
      <c r="S172" s="833"/>
      <c r="T172" s="833"/>
      <c r="U172" s="833"/>
      <c r="V172" s="833"/>
      <c r="W172" s="833"/>
      <c r="X172" s="833"/>
    </row>
    <row r="173" spans="1:24" s="813" customFormat="1" ht="39.950000000000003" hidden="1" customHeight="1" x14ac:dyDescent="0.15">
      <c r="A173" s="2081">
        <f ca="1">+Orçamento_Não_Deson!A173</f>
        <v>3.1799999999999962</v>
      </c>
      <c r="B173" s="834">
        <f>+Orçamento_Não_Deson!B173</f>
        <v>95875</v>
      </c>
      <c r="C173" s="2" t="str">
        <f>VLOOKUP($B173,[5]BOLETIM_SEL!$A:$H,2,0)</f>
        <v>SINAPI</v>
      </c>
      <c r="D173" s="315" t="str">
        <f>VLOOKUP($B173,[5]BOLETIM_SEL!$A:$H,4,0)</f>
        <v>Transporte com caminhão basculante de 10 m3, em via urbana pavimentada, DMT até 30,00 km (unidade: m3xkm). AF_07/2020</v>
      </c>
      <c r="E173" s="2">
        <f>+Orçamento_Não_Deson!E173</f>
        <v>0</v>
      </c>
      <c r="F173" s="2" t="str">
        <f>VLOOKUP($B173,[5]BOLETIM_SEL!$A:$H,6,0)</f>
        <v>M3XKM</v>
      </c>
      <c r="G173" s="1407">
        <f>VLOOKUP($B173,[5]BOLETIM_SEL!$A:$H,7,0)</f>
        <v>2.15</v>
      </c>
      <c r="H173" s="1613">
        <f>+Orçamento_Não_Deson!H173</f>
        <v>0</v>
      </c>
      <c r="I173" s="877">
        <f>TRUNC(G173*(1+$J$5),2)</f>
        <v>2.72</v>
      </c>
      <c r="J173" s="1612">
        <f>TRUNC(H173*I173,2)</f>
        <v>0</v>
      </c>
      <c r="K173" s="2078">
        <f ca="1">J173/J$967</f>
        <v>0</v>
      </c>
      <c r="L173" s="1574">
        <f ca="1">J173/J$100</f>
        <v>0</v>
      </c>
      <c r="M173" s="1976">
        <f>IF(H173=0,0,H173/E173)</f>
        <v>0</v>
      </c>
      <c r="N173" s="833"/>
      <c r="O173" s="833"/>
      <c r="Q173" s="833"/>
      <c r="R173" s="833"/>
      <c r="S173" s="833"/>
      <c r="T173" s="833"/>
      <c r="U173" s="833"/>
      <c r="V173" s="833"/>
      <c r="W173" s="833"/>
      <c r="X173" s="833"/>
    </row>
    <row r="174" spans="1:24" s="813" customFormat="1" ht="24.95" customHeight="1" x14ac:dyDescent="0.15">
      <c r="A174" s="2081"/>
      <c r="B174" s="2"/>
      <c r="C174" s="2"/>
      <c r="D174" s="1452" t="s">
        <v>1803</v>
      </c>
      <c r="E174" s="2"/>
      <c r="F174" s="2"/>
      <c r="G174" s="1407"/>
      <c r="H174" s="2"/>
      <c r="I174" s="2"/>
      <c r="J174" s="839" t="str">
        <f ca="1">IF(J175=0,"-","")</f>
        <v/>
      </c>
      <c r="K174" s="2078"/>
      <c r="L174" s="1574"/>
      <c r="M174" s="1974" t="str">
        <f>Orçamento_Não_Deson!M174</f>
        <v>Definir depósito:                                     1, 2, 3 ou 4</v>
      </c>
      <c r="N174" s="833"/>
      <c r="O174" s="833"/>
      <c r="Q174" s="833"/>
      <c r="R174" s="833"/>
      <c r="S174" s="833"/>
      <c r="T174" s="833"/>
      <c r="U174" s="833"/>
      <c r="V174" s="833"/>
      <c r="W174" s="833"/>
      <c r="X174" s="833"/>
    </row>
    <row r="175" spans="1:24" s="813" customFormat="1" ht="39.950000000000003" customHeight="1" x14ac:dyDescent="0.15">
      <c r="A175" s="2081">
        <f ca="1">Orçamento_Não_Deson!A175</f>
        <v>3.1899999999999959</v>
      </c>
      <c r="B175" s="834">
        <f ca="1">Orçamento_Não_Deson!B175</f>
        <v>95876</v>
      </c>
      <c r="C175" s="2" t="str">
        <f ca="1">VLOOKUP($B175,[5]BOLETIM_SEL!$A:$H,2,0)</f>
        <v>SINAPI</v>
      </c>
      <c r="D175" s="315" t="str">
        <f ca="1">VLOOKUP($B175,[5]BOLETIM_SEL!$A:$H,4,0)</f>
        <v>Transporte com caminhão basculante de 14 m3, em via urbana pavimentada, DMT até 30,00 km (unidade: m3xkm). AF_07/2020</v>
      </c>
      <c r="E175" s="2">
        <f>Orçamento_Não_Deson!E175</f>
        <v>4</v>
      </c>
      <c r="F175" s="2" t="str">
        <f ca="1">VLOOKUP($B175,[5]BOLETIM_SEL!$A:$H,6,0)</f>
        <v>M3XKM</v>
      </c>
      <c r="G175" s="1407">
        <f ca="1">VLOOKUP($B175,[5]BOLETIM_SEL!$A:$H,7,0)</f>
        <v>1.91</v>
      </c>
      <c r="H175" s="1613">
        <f ca="1">Orçamento_Não_Deson!H175</f>
        <v>7969.84</v>
      </c>
      <c r="I175" s="877">
        <f ca="1">TRUNC(G175*(1+$J$5),2)</f>
        <v>2.42</v>
      </c>
      <c r="J175" s="1612">
        <f ca="1">TRUNC(H175*I175,2)</f>
        <v>19287.009999999998</v>
      </c>
      <c r="K175" s="2078">
        <f ca="1">J175/J$967</f>
        <v>1.4045468803759189E-3</v>
      </c>
      <c r="L175" s="1574">
        <f ca="1">J175/J$100</f>
        <v>2.926617964280985E-2</v>
      </c>
      <c r="M175" s="1976">
        <f ca="1">Orçamento_Não_Deson!M175</f>
        <v>1992.46</v>
      </c>
      <c r="N175" s="833"/>
      <c r="O175" s="833"/>
      <c r="Q175" s="833"/>
      <c r="R175" s="833"/>
      <c r="S175" s="833"/>
      <c r="T175" s="833"/>
      <c r="U175" s="833"/>
      <c r="V175" s="833"/>
      <c r="W175" s="833"/>
      <c r="X175" s="833"/>
    </row>
    <row r="176" spans="1:24" s="813" customFormat="1" ht="39.950000000000003" hidden="1" customHeight="1" x14ac:dyDescent="0.15">
      <c r="A176" s="2081"/>
      <c r="B176" s="2"/>
      <c r="C176" s="2"/>
      <c r="D176" s="1452" t="s">
        <v>1816</v>
      </c>
      <c r="E176" s="2"/>
      <c r="F176" s="2"/>
      <c r="G176" s="1407"/>
      <c r="H176" s="2"/>
      <c r="I176" s="2"/>
      <c r="J176" s="839" t="str">
        <f ca="1">IF(J177=0,"-","")</f>
        <v>-</v>
      </c>
      <c r="K176" s="2078"/>
      <c r="L176" s="1574"/>
      <c r="M176" s="1974"/>
      <c r="N176" s="833"/>
      <c r="O176" s="833"/>
      <c r="Q176" s="833"/>
      <c r="R176" s="833"/>
      <c r="S176" s="833"/>
      <c r="T176" s="833"/>
      <c r="U176" s="833"/>
      <c r="V176" s="833"/>
      <c r="W176" s="833"/>
      <c r="X176" s="833"/>
    </row>
    <row r="177" spans="1:24" s="813" customFormat="1" ht="39.950000000000003" hidden="1" customHeight="1" x14ac:dyDescent="0.15">
      <c r="A177" s="2081">
        <f ca="1">+Orçamento_Não_Deson!A177</f>
        <v>3.1899999999999959</v>
      </c>
      <c r="B177" s="834">
        <f ca="1">+Orçamento_Não_Deson!B177</f>
        <v>95875</v>
      </c>
      <c r="C177" s="2" t="str">
        <f ca="1">VLOOKUP($B177,[5]BOLETIM_SEL!$A:$H,2,0)</f>
        <v>SINAPI</v>
      </c>
      <c r="D177" s="315" t="str">
        <f ca="1">VLOOKUP($B177,[5]BOLETIM_SEL!$A:$H,4,0)</f>
        <v>Transporte com caminhão basculante de 10 m3, em via urbana pavimentada, DMT até 30,00 km (unidade: m3xkm). AF_07/2020</v>
      </c>
      <c r="E177" s="2">
        <f>+Orçamento_Não_Deson!E177</f>
        <v>4</v>
      </c>
      <c r="F177" s="2" t="str">
        <f ca="1">VLOOKUP($B177,[5]BOLETIM_SEL!$A:$H,6,0)</f>
        <v>M3XKM</v>
      </c>
      <c r="G177" s="1407">
        <f ca="1">VLOOKUP($B177,[5]BOLETIM_SEL!$A:$H,7,0)</f>
        <v>2.15</v>
      </c>
      <c r="H177" s="1613">
        <f ca="1">+Orçamento_Não_Deson!H177</f>
        <v>0</v>
      </c>
      <c r="I177" s="877">
        <f ca="1">TRUNC(G177*(1+$J$5),2)</f>
        <v>2.72</v>
      </c>
      <c r="J177" s="1612">
        <f ca="1">TRUNC(H177*I177,2)</f>
        <v>0</v>
      </c>
      <c r="K177" s="2078">
        <f ca="1">J177/J$967</f>
        <v>0</v>
      </c>
      <c r="L177" s="1574">
        <f ca="1">J177/J$100</f>
        <v>0</v>
      </c>
      <c r="M177" s="1976">
        <f ca="1">+Orçamento_Não_Deson!M177</f>
        <v>0</v>
      </c>
      <c r="N177" s="833"/>
      <c r="O177" s="833"/>
      <c r="Q177" s="833"/>
      <c r="R177" s="833"/>
      <c r="S177" s="833"/>
      <c r="T177" s="833"/>
      <c r="U177" s="833"/>
      <c r="V177" s="833"/>
      <c r="W177" s="833"/>
      <c r="X177" s="833"/>
    </row>
    <row r="178" spans="1:24" s="813" customFormat="1" ht="39.950000000000003" hidden="1" customHeight="1" x14ac:dyDescent="0.15">
      <c r="A178" s="2081"/>
      <c r="B178" s="2"/>
      <c r="C178" s="2"/>
      <c r="D178" s="1452" t="s">
        <v>1813</v>
      </c>
      <c r="E178" s="2"/>
      <c r="F178" s="2"/>
      <c r="G178" s="1407"/>
      <c r="H178" s="2"/>
      <c r="I178" s="2"/>
      <c r="J178" s="839" t="str">
        <f>IF(J179=0,"-","")</f>
        <v>-</v>
      </c>
      <c r="K178" s="2078"/>
      <c r="L178" s="1574"/>
      <c r="M178" s="1974"/>
      <c r="N178" s="833"/>
      <c r="O178" s="833"/>
      <c r="Q178" s="833"/>
      <c r="R178" s="833"/>
      <c r="S178" s="833"/>
      <c r="T178" s="833"/>
      <c r="U178" s="833"/>
      <c r="V178" s="833"/>
      <c r="W178" s="833"/>
      <c r="X178" s="833"/>
    </row>
    <row r="179" spans="1:24" s="813" customFormat="1" ht="39.950000000000003" hidden="1" customHeight="1" x14ac:dyDescent="0.15">
      <c r="A179" s="2081">
        <f ca="1">Orçamento_Não_Deson!A179</f>
        <v>3.1899999999999959</v>
      </c>
      <c r="B179" s="834">
        <f>Orçamento_Não_Deson!B179</f>
        <v>95875</v>
      </c>
      <c r="C179" s="2" t="str">
        <f>VLOOKUP($B179,[5]BOLETIM_SEL!$A:$H,2,0)</f>
        <v>SINAPI</v>
      </c>
      <c r="D179" s="315" t="str">
        <f>VLOOKUP($B179,[5]BOLETIM_SEL!$A:$H,4,0)</f>
        <v>Transporte com caminhão basculante de 10 m3, em via urbana pavimentada, DMT até 30,00 km (unidade: m3xkm). AF_07/2020</v>
      </c>
      <c r="E179" s="2">
        <f>Orçamento_Não_Deson!E179</f>
        <v>0</v>
      </c>
      <c r="F179" s="2" t="str">
        <f>VLOOKUP($B179,[5]BOLETIM_SEL!$A:$H,6,0)</f>
        <v>M3XKM</v>
      </c>
      <c r="G179" s="1407">
        <f>VLOOKUP($B179,[5]BOLETIM_SEL!$A:$H,7,0)</f>
        <v>2.15</v>
      </c>
      <c r="H179" s="1613">
        <f>Orçamento_Não_Deson!H179</f>
        <v>0</v>
      </c>
      <c r="I179" s="877">
        <f>TRUNC(G179*(1+$J$5),2)</f>
        <v>2.72</v>
      </c>
      <c r="J179" s="1612">
        <f>TRUNC(H179*I179,2)</f>
        <v>0</v>
      </c>
      <c r="K179" s="2078">
        <f ca="1">J179/J$967</f>
        <v>0</v>
      </c>
      <c r="L179" s="1574">
        <f ca="1">J179/J$100</f>
        <v>0</v>
      </c>
      <c r="M179" s="1976">
        <f>Orçamento_Não_Deson!M179</f>
        <v>0</v>
      </c>
      <c r="N179" s="833"/>
      <c r="O179" s="833"/>
      <c r="Q179" s="833"/>
      <c r="R179" s="833"/>
      <c r="S179" s="833"/>
      <c r="T179" s="833"/>
      <c r="U179" s="833"/>
      <c r="V179" s="833"/>
      <c r="W179" s="833"/>
      <c r="X179" s="833"/>
    </row>
    <row r="180" spans="1:24" s="813" customFormat="1" ht="39.950000000000003" hidden="1" customHeight="1" x14ac:dyDescent="0.15">
      <c r="A180" s="2081"/>
      <c r="B180" s="2"/>
      <c r="C180" s="2"/>
      <c r="D180" s="1452" t="s">
        <v>2190</v>
      </c>
      <c r="E180" s="2"/>
      <c r="F180" s="2"/>
      <c r="G180" s="1407"/>
      <c r="H180" s="2"/>
      <c r="I180" s="2"/>
      <c r="J180" s="839" t="str">
        <f>IF(J181=0,"-","")</f>
        <v>-</v>
      </c>
      <c r="K180" s="2078"/>
      <c r="L180" s="1574"/>
      <c r="M180" s="1974"/>
      <c r="N180" s="833"/>
      <c r="O180" s="833"/>
      <c r="Q180" s="833"/>
      <c r="R180" s="833"/>
      <c r="S180" s="833"/>
      <c r="T180" s="833"/>
      <c r="U180" s="833"/>
      <c r="V180" s="833"/>
      <c r="W180" s="833"/>
      <c r="X180" s="833"/>
    </row>
    <row r="181" spans="1:24" s="813" customFormat="1" ht="39.950000000000003" hidden="1" customHeight="1" x14ac:dyDescent="0.15">
      <c r="A181" s="2081">
        <f ca="1">Orçamento_Não_Deson!A181</f>
        <v>3.1899999999999959</v>
      </c>
      <c r="B181" s="834">
        <f>Orçamento_Não_Deson!B181</f>
        <v>93590</v>
      </c>
      <c r="C181" s="2" t="str">
        <f>VLOOKUP($B181,[5]BOLETIM_SEL!$A:$H,2,0)</f>
        <v>SINAPI</v>
      </c>
      <c r="D181" s="315" t="str">
        <f>VLOOKUP($B181,[5]BOLETIM_SEL!$A:$H,4,0)</f>
        <v>Transporte com caminhão basculante de 10 m3, em via urbana pavimentada, adicional para DMT excedente a 30,00 km (unidade: m3xkm). AF_07/2020</v>
      </c>
      <c r="E181" s="2">
        <f>Orçamento_Não_Deson!E181</f>
        <v>109</v>
      </c>
      <c r="F181" s="2" t="str">
        <f>VLOOKUP($B181,[5]BOLETIM_SEL!$A:$H,6,0)</f>
        <v>M3XKM</v>
      </c>
      <c r="G181" s="1407">
        <f>VLOOKUP($B181,[5]BOLETIM_SEL!$A:$H,7,0)</f>
        <v>0.85</v>
      </c>
      <c r="H181" s="1613">
        <f>Orçamento_Não_Deson!H181</f>
        <v>0</v>
      </c>
      <c r="I181" s="877">
        <f>TRUNC(G181*(1+$J$5),2)</f>
        <v>1.07</v>
      </c>
      <c r="J181" s="1612">
        <f>TRUNC(H181*I181,2)</f>
        <v>0</v>
      </c>
      <c r="K181" s="2078">
        <f ca="1">J181/J$967</f>
        <v>0</v>
      </c>
      <c r="L181" s="1574">
        <f ca="1">J181/J$100</f>
        <v>0</v>
      </c>
      <c r="M181" s="1976">
        <f>Orçamento_Não_Deson!M181</f>
        <v>0</v>
      </c>
      <c r="N181" s="833"/>
      <c r="O181" s="833"/>
      <c r="Q181" s="833"/>
      <c r="R181" s="833"/>
      <c r="S181" s="833"/>
      <c r="T181" s="833"/>
      <c r="U181" s="833"/>
      <c r="V181" s="833"/>
      <c r="W181" s="833"/>
      <c r="X181" s="833"/>
    </row>
    <row r="182" spans="1:24" s="813" customFormat="1" ht="39.950000000000003" customHeight="1" thickBot="1" x14ac:dyDescent="0.2">
      <c r="A182" s="2081"/>
      <c r="B182" s="834"/>
      <c r="C182" s="834"/>
      <c r="D182" s="835"/>
      <c r="E182" s="2"/>
      <c r="F182" s="834"/>
      <c r="G182" s="1821"/>
      <c r="H182" s="834"/>
      <c r="I182" s="877"/>
      <c r="J182" s="839" t="str">
        <f ca="1">IF(J100=0,0,"")</f>
        <v/>
      </c>
      <c r="K182" s="2078"/>
      <c r="L182" s="1574"/>
      <c r="M182" s="1978"/>
      <c r="N182" s="833"/>
      <c r="O182" s="833"/>
      <c r="Q182" s="833"/>
      <c r="R182" s="833"/>
      <c r="S182" s="833"/>
      <c r="T182" s="833"/>
      <c r="U182" s="833"/>
      <c r="V182" s="833"/>
      <c r="W182" s="833"/>
      <c r="X182" s="833"/>
    </row>
    <row r="183" spans="1:24" s="833" customFormat="1" ht="30" customHeight="1" thickTop="1" thickBot="1" x14ac:dyDescent="0.2">
      <c r="A183" s="2082">
        <f ca="1">IF(J183&gt;0,INT(A181)+1,IF(J183=0,INT(A181),0))</f>
        <v>4</v>
      </c>
      <c r="B183" s="1633"/>
      <c r="C183" s="1633"/>
      <c r="D183" s="1641" t="s">
        <v>2253</v>
      </c>
      <c r="E183" s="1828"/>
      <c r="F183" s="1635"/>
      <c r="G183" s="1823" t="s">
        <v>646</v>
      </c>
      <c r="H183" s="1635"/>
      <c r="I183" s="1640" t="str">
        <f ca="1">CONCATENATE("SUB-TOTAL ",A183)</f>
        <v>SUB-TOTAL 4</v>
      </c>
      <c r="J183" s="1639">
        <f ca="1">SUM(J184:J242)</f>
        <v>1127683.8500000001</v>
      </c>
      <c r="K183" s="2079">
        <f t="shared" ref="K183:K214" ca="1" si="26">J183/J$967</f>
        <v>8.2121844369231201E-2</v>
      </c>
      <c r="L183" s="1610">
        <f t="shared" ref="L183:L250" ca="1" si="27">J183/J$183</f>
        <v>1</v>
      </c>
      <c r="M183" s="1979" t="s">
        <v>912</v>
      </c>
      <c r="N183" s="1967" t="str">
        <f ca="1">IF(SUMPRODUCT(Dren_Quantificacao!D3:CG3,Dren_Quantificacao!D4:CG4)=SUM(H184:H195)+SUM(H208:H216)+SUM(H235:H241),"OK","Erro")</f>
        <v>OK</v>
      </c>
    </row>
    <row r="184" spans="1:24" s="813" customFormat="1" ht="39.950000000000003" customHeight="1" thickTop="1" x14ac:dyDescent="0.15">
      <c r="A184" s="2081">
        <f ca="1">Orçamento_Não_Deson!A184</f>
        <v>4.01</v>
      </c>
      <c r="B184" s="834">
        <f>Orçamento_Não_Deson!B184</f>
        <v>7781</v>
      </c>
      <c r="C184" s="2" t="str">
        <f>VLOOKUP($B184,[5]BOLETIM_SEL!$A:$H,2,0)</f>
        <v>SINAPI</v>
      </c>
      <c r="D184" s="315" t="str">
        <f>VLOOKUP($B184,[5]BOLETIM_SEL!$A:$H,4,0)</f>
        <v>Aquisição de tubo de concreto simples para aguas pluviais, classe PS-1, com encaixe ponta e bolsa, diâmetro nominal de 0,40 m (180 kg/m) - Aquisição</v>
      </c>
      <c r="E184" s="2" t="str">
        <f>Orçamento_Não_Deson!E184</f>
        <v>BDI insumo</v>
      </c>
      <c r="F184" s="2" t="str">
        <f>VLOOKUP($B184,[5]BOLETIM_SEL!$A:$H,6,0)</f>
        <v xml:space="preserve">M     </v>
      </c>
      <c r="G184" s="1407">
        <f>VLOOKUP($B184,[5]BOLETIM_SEL!$A:$H,7,0)</f>
        <v>70.900000000000006</v>
      </c>
      <c r="H184" s="1613">
        <f>Orçamento_Não_Deson!H184</f>
        <v>802</v>
      </c>
      <c r="I184" s="2231">
        <f t="shared" ref="I184:I195" si="28">TRUNC(G184*(1+$J$6),2)</f>
        <v>81.72</v>
      </c>
      <c r="J184" s="1612">
        <f t="shared" ref="J184:J251" si="29">TRUNC(H184*I184,2)</f>
        <v>65539.44</v>
      </c>
      <c r="K184" s="2078">
        <f t="shared" ca="1" si="26"/>
        <v>4.7728090561255853E-3</v>
      </c>
      <c r="L184" s="1574">
        <f t="shared" ca="1" si="27"/>
        <v>5.8118629614142298E-2</v>
      </c>
      <c r="M184" s="1980"/>
      <c r="N184" s="1818">
        <f ca="1">SUMPRODUCT(Dren_Quantificacao!D3:BH3,Dren_Quantificacao!D4:BH4)</f>
        <v>2926.87</v>
      </c>
      <c r="O184" s="1819"/>
      <c r="Q184" s="833"/>
      <c r="R184" s="833"/>
      <c r="S184" s="833"/>
      <c r="T184" s="833"/>
      <c r="U184" s="833"/>
      <c r="V184" s="833"/>
      <c r="W184" s="833"/>
      <c r="X184" s="833"/>
    </row>
    <row r="185" spans="1:24" s="813" customFormat="1" ht="39.950000000000003" customHeight="1" x14ac:dyDescent="0.15">
      <c r="A185" s="2081">
        <f ca="1">Orçamento_Não_Deson!A185</f>
        <v>4.0199999999999996</v>
      </c>
      <c r="B185" s="834">
        <f>Orçamento_Não_Deson!B185</f>
        <v>7791</v>
      </c>
      <c r="C185" s="2" t="str">
        <f>VLOOKUP($B185,[5]BOLETIM_SEL!$A:$H,2,0)</f>
        <v>SINAPI</v>
      </c>
      <c r="D185" s="315" t="str">
        <f>VLOOKUP($B185,[5]BOLETIM_SEL!$A:$H,4,0)</f>
        <v>Aquisição de tubo de concreto simples para aguas pluviais, classe PS-1, com encaixe ponta e bolsa, diâmetro nominal de 0,60 m (347 kg/m) - Aquisição</v>
      </c>
      <c r="E185" s="2" t="str">
        <f>Orçamento_Não_Deson!E185</f>
        <v>BDI insumo</v>
      </c>
      <c r="F185" s="2" t="str">
        <f>VLOOKUP($B185,[5]BOLETIM_SEL!$A:$H,6,0)</f>
        <v xml:space="preserve">M     </v>
      </c>
      <c r="G185" s="1407">
        <f>VLOOKUP($B185,[5]BOLETIM_SEL!$A:$H,7,0)</f>
        <v>126.32</v>
      </c>
      <c r="H185" s="1613">
        <f ca="1">Orçamento_Não_Deson!H185</f>
        <v>1034.6300000000001</v>
      </c>
      <c r="I185" s="2231">
        <f t="shared" si="28"/>
        <v>145.6</v>
      </c>
      <c r="J185" s="1612">
        <f t="shared" ca="1" si="29"/>
        <v>150642.12</v>
      </c>
      <c r="K185" s="2078">
        <f t="shared" ca="1" si="26"/>
        <v>1.097028101811607E-2</v>
      </c>
      <c r="L185" s="1574">
        <f t="shared" ca="1" si="27"/>
        <v>0.13358541935312809</v>
      </c>
      <c r="M185" s="1980"/>
      <c r="N185" s="1818">
        <f ca="1">SUM(H184:H195)</f>
        <v>2926.8700000000003</v>
      </c>
      <c r="O185" s="1819"/>
      <c r="Q185" s="833"/>
      <c r="R185" s="833"/>
      <c r="S185" s="833"/>
      <c r="T185" s="833"/>
      <c r="U185" s="833"/>
      <c r="V185" s="833"/>
      <c r="W185" s="833"/>
      <c r="X185" s="833"/>
    </row>
    <row r="186" spans="1:24" s="813" customFormat="1" ht="39.950000000000003" hidden="1" customHeight="1" x14ac:dyDescent="0.15">
      <c r="A186" s="2081">
        <f ca="1">+Orçamento_Não_Deson!A186</f>
        <v>4.0199999999999996</v>
      </c>
      <c r="B186" s="834">
        <f>+Orçamento_Não_Deson!B186</f>
        <v>7725</v>
      </c>
      <c r="C186" s="2" t="str">
        <f>VLOOKUP($B186,[5]BOLETIM_SEL!$A:$H,2,0)</f>
        <v>SINAPI</v>
      </c>
      <c r="D186" s="315" t="str">
        <f>VLOOKUP($B186,[5]BOLETIM_SEL!$A:$H,4,0)</f>
        <v>Aquisição de tubo de concreto armado para aguas pluviais, classe PA-1, com encaixe ponta e bolsa, diâmetro nominal de 0,60 m (360 kg/m) - Aquisição</v>
      </c>
      <c r="E186" s="2" t="str">
        <f>+Orçamento_Não_Deson!E186</f>
        <v>BDI insumo</v>
      </c>
      <c r="F186" s="2" t="str">
        <f>VLOOKUP($B186,[5]BOLETIM_SEL!$A:$H,6,0)</f>
        <v xml:space="preserve">M     </v>
      </c>
      <c r="G186" s="1407">
        <f>VLOOKUP($B186,[5]BOLETIM_SEL!$A:$H,7,0)</f>
        <v>247</v>
      </c>
      <c r="H186" s="1613">
        <f ca="1">+Orçamento_Não_Deson!H186</f>
        <v>0</v>
      </c>
      <c r="I186" s="2231">
        <f t="shared" si="28"/>
        <v>284.70999999999998</v>
      </c>
      <c r="J186" s="1612">
        <f t="shared" ca="1" si="29"/>
        <v>0</v>
      </c>
      <c r="K186" s="2078">
        <f t="shared" ca="1" si="26"/>
        <v>0</v>
      </c>
      <c r="L186" s="1574">
        <f t="shared" ca="1" si="27"/>
        <v>0</v>
      </c>
      <c r="M186" s="1980"/>
      <c r="N186" s="1818">
        <f ca="1">SUM(H208:H216)</f>
        <v>0</v>
      </c>
      <c r="O186" s="1818">
        <f ca="1">SUM(H217:H234)</f>
        <v>0</v>
      </c>
      <c r="Q186" s="833"/>
      <c r="R186" s="833"/>
      <c r="S186" s="833"/>
      <c r="T186" s="833"/>
      <c r="U186" s="833"/>
      <c r="V186" s="833"/>
      <c r="W186" s="833"/>
      <c r="X186" s="833"/>
    </row>
    <row r="187" spans="1:24" s="813" customFormat="1" ht="39.950000000000003" customHeight="1" x14ac:dyDescent="0.15">
      <c r="A187" s="2081">
        <f ca="1">Orçamento_Não_Deson!A187</f>
        <v>4.0299999999999994</v>
      </c>
      <c r="B187" s="834">
        <f>Orçamento_Não_Deson!B187</f>
        <v>7750</v>
      </c>
      <c r="C187" s="2" t="str">
        <f>VLOOKUP($B187,[5]BOLETIM_SEL!$A:$H,2,0)</f>
        <v>SINAPI</v>
      </c>
      <c r="D187" s="315" t="str">
        <f>VLOOKUP($B187,[5]BOLETIM_SEL!$A:$H,4,0)</f>
        <v>Tubo de concreto armado para aguas pluviais, classe PA-1, com encaixe ponta e bolsa, diâmetro nominal de 0,80 m (533,00 kg/m) - Aquisição</v>
      </c>
      <c r="E187" s="2" t="str">
        <f>Orçamento_Não_Deson!E187</f>
        <v>BDI insumo</v>
      </c>
      <c r="F187" s="2" t="str">
        <f>VLOOKUP($B187,[5]BOLETIM_SEL!$A:$H,6,0)</f>
        <v xml:space="preserve">M     </v>
      </c>
      <c r="G187" s="1407">
        <f>VLOOKUP($B187,[5]BOLETIM_SEL!$A:$H,7,0)</f>
        <v>410.97</v>
      </c>
      <c r="H187" s="1613">
        <f ca="1">Orçamento_Não_Deson!H187</f>
        <v>504.57</v>
      </c>
      <c r="I187" s="2231">
        <f t="shared" si="28"/>
        <v>473.72</v>
      </c>
      <c r="J187" s="1612">
        <f t="shared" ca="1" si="29"/>
        <v>239024.9</v>
      </c>
      <c r="K187" s="2078">
        <f t="shared" ca="1" si="26"/>
        <v>1.7406621224708548E-2</v>
      </c>
      <c r="L187" s="1574">
        <f t="shared" ca="1" si="27"/>
        <v>0.21196091439990028</v>
      </c>
      <c r="M187" s="1980"/>
      <c r="N187" s="1818">
        <f ca="1">SUM(H235:H241)</f>
        <v>0</v>
      </c>
      <c r="O187" s="1819"/>
      <c r="Q187" s="833"/>
      <c r="R187" s="833"/>
      <c r="S187" s="833"/>
      <c r="T187" s="833"/>
      <c r="U187" s="833"/>
      <c r="V187" s="833"/>
      <c r="W187" s="833"/>
      <c r="X187" s="833"/>
    </row>
    <row r="188" spans="1:24" s="2484" customFormat="1" ht="39.950000000000003" customHeight="1" x14ac:dyDescent="0.15">
      <c r="A188" s="1407">
        <f ca="1">Orçamento_Não_Deson!A188</f>
        <v>4.0399999999999991</v>
      </c>
      <c r="B188" s="1821">
        <f>Orçamento_Não_Deson!B188</f>
        <v>7753</v>
      </c>
      <c r="C188" s="1821" t="str">
        <f>VLOOKUP($B188,[5]BOLETIM_SEL!$A:$H,2,0)</f>
        <v>SINAPI</v>
      </c>
      <c r="D188" s="2475" t="str">
        <f>VLOOKUP($B188,[5]BOLETIM_SEL!$A:$H,4,0)</f>
        <v>Tubo de concreto armado para aguas pluviais, classe PA-1, com encaixe ponta e bolsa, diâmetro nominal de 1,00 m (800,00 kg/m) - Aquisição</v>
      </c>
      <c r="E188" s="1821" t="str">
        <f>Orçamento_Não_Deson!E188</f>
        <v>BDI insumo</v>
      </c>
      <c r="F188" s="1821" t="str">
        <f>VLOOKUP($B188,[5]BOLETIM_SEL!$A:$H,6,0)</f>
        <v xml:space="preserve">M     </v>
      </c>
      <c r="G188" s="1407">
        <f>VLOOKUP($B188,[5]BOLETIM_SEL!$A:$H,7,0)</f>
        <v>481.54</v>
      </c>
      <c r="H188" s="2478">
        <f ca="1">Orçamento_Não_Deson!H188</f>
        <v>585.66999999999996</v>
      </c>
      <c r="I188" s="2486">
        <f t="shared" si="28"/>
        <v>555.07000000000005</v>
      </c>
      <c r="J188" s="2480">
        <f t="shared" ca="1" si="29"/>
        <v>325087.84000000003</v>
      </c>
      <c r="K188" s="2481">
        <f t="shared" ca="1" si="26"/>
        <v>2.367402264633792E-2</v>
      </c>
      <c r="L188" s="1574">
        <f t="shared" ca="1" si="27"/>
        <v>0.28827923712838488</v>
      </c>
      <c r="M188" s="1980"/>
      <c r="N188" s="842"/>
      <c r="O188" s="833"/>
      <c r="P188" s="813"/>
      <c r="Q188" s="833"/>
      <c r="R188" s="2483"/>
      <c r="S188" s="2487"/>
      <c r="T188" s="2483"/>
      <c r="U188" s="2483"/>
      <c r="V188" s="2483"/>
      <c r="W188" s="2483"/>
      <c r="X188" s="2483"/>
    </row>
    <row r="189" spans="1:24" s="813" customFormat="1" ht="39.950000000000003" hidden="1" customHeight="1" x14ac:dyDescent="0.15">
      <c r="A189" s="2081">
        <f ca="1">Orçamento_Não_Deson!A189</f>
        <v>4.0399999999999991</v>
      </c>
      <c r="B189" s="834">
        <f>Orçamento_Não_Deson!B189</f>
        <v>7757</v>
      </c>
      <c r="C189" s="2" t="str">
        <f>VLOOKUP($B189,[5]BOLETIM_SEL!$A:$H,2,0)</f>
        <v>SINAPI</v>
      </c>
      <c r="D189" s="315" t="str">
        <f>VLOOKUP($B189,[5]BOLETIM_SEL!$A:$H,4,0)</f>
        <v>Tubo de concreto armado para aguas pluviais, classe PA-1, com encaixe ponta e bolsa, diâmetro nominal de 1,20 m (1.133,00 kg/m) - Aquisição</v>
      </c>
      <c r="E189" s="2" t="str">
        <f>Orçamento_Não_Deson!E189</f>
        <v>BDI insumo</v>
      </c>
      <c r="F189" s="2" t="str">
        <f>VLOOKUP($B189,[5]BOLETIM_SEL!$A:$H,6,0)</f>
        <v xml:space="preserve">M     </v>
      </c>
      <c r="G189" s="1407">
        <f>VLOOKUP($B189,[5]BOLETIM_SEL!$A:$H,7,0)</f>
        <v>719.2</v>
      </c>
      <c r="H189" s="1613">
        <f ca="1">Orçamento_Não_Deson!H189</f>
        <v>0</v>
      </c>
      <c r="I189" s="2231">
        <f t="shared" si="28"/>
        <v>829.02</v>
      </c>
      <c r="J189" s="1612">
        <f t="shared" ca="1" si="29"/>
        <v>0</v>
      </c>
      <c r="K189" s="2078">
        <f t="shared" ca="1" si="26"/>
        <v>0</v>
      </c>
      <c r="L189" s="1574">
        <f t="shared" ca="1" si="27"/>
        <v>0</v>
      </c>
      <c r="M189" s="1980"/>
      <c r="N189" s="1816"/>
      <c r="O189" s="833"/>
      <c r="Q189" s="833"/>
      <c r="R189" s="833"/>
      <c r="S189" s="833"/>
      <c r="T189" s="833"/>
      <c r="U189" s="833"/>
      <c r="V189" s="833"/>
      <c r="W189" s="833"/>
      <c r="X189" s="833"/>
    </row>
    <row r="190" spans="1:24" s="813" customFormat="1" ht="39.950000000000003" hidden="1" customHeight="1" x14ac:dyDescent="0.15">
      <c r="A190" s="2081">
        <f ca="1">Orçamento_Não_Deson!A190</f>
        <v>4.0399999999999991</v>
      </c>
      <c r="B190" s="834">
        <f>Orçamento_Não_Deson!B190</f>
        <v>7758</v>
      </c>
      <c r="C190" s="2" t="str">
        <f>VLOOKUP($B190,[5]BOLETIM_SEL!$A:$H,2,0)</f>
        <v>SINAPI</v>
      </c>
      <c r="D190" s="315" t="str">
        <f>VLOOKUP($B190,[5]BOLETIM_SEL!$A:$H,4,0)</f>
        <v>Tubo de concreto armado para aguas pluviais, classe PA-1, com encaixe ponta e bolsa, diâmetro nominal de 1,50 m (1.933,00 kg/m) - Aquisição</v>
      </c>
      <c r="E190" s="2" t="str">
        <f>Orçamento_Não_Deson!E190</f>
        <v>BDI insumo</v>
      </c>
      <c r="F190" s="2" t="str">
        <f>VLOOKUP($B190,[5]BOLETIM_SEL!$A:$H,6,0)</f>
        <v xml:space="preserve">M     </v>
      </c>
      <c r="G190" s="1407">
        <f>VLOOKUP($B190,[5]BOLETIM_SEL!$A:$H,7,0)</f>
        <v>1041.96</v>
      </c>
      <c r="H190" s="1613">
        <f ca="1">Orçamento_Não_Deson!H190</f>
        <v>0</v>
      </c>
      <c r="I190" s="2231">
        <f t="shared" si="28"/>
        <v>1201.06</v>
      </c>
      <c r="J190" s="1612">
        <f t="shared" ca="1" si="29"/>
        <v>0</v>
      </c>
      <c r="K190" s="2078">
        <f t="shared" ca="1" si="26"/>
        <v>0</v>
      </c>
      <c r="L190" s="1574">
        <f t="shared" ca="1" si="27"/>
        <v>0</v>
      </c>
      <c r="M190" s="1980"/>
      <c r="N190" s="833"/>
      <c r="O190" s="833"/>
      <c r="Q190" s="833"/>
      <c r="R190" s="833"/>
      <c r="S190" s="833"/>
      <c r="T190" s="833"/>
      <c r="U190" s="833"/>
      <c r="V190" s="833"/>
      <c r="W190" s="833"/>
      <c r="X190" s="833"/>
    </row>
    <row r="191" spans="1:24" s="813" customFormat="1" ht="39.950000000000003" hidden="1" customHeight="1" x14ac:dyDescent="0.15">
      <c r="A191" s="2081">
        <f ca="1">+Orçamento_Não_Deson!A191</f>
        <v>4.0399999999999991</v>
      </c>
      <c r="B191" s="834">
        <f>+Orçamento_Não_Deson!B191</f>
        <v>7762</v>
      </c>
      <c r="C191" s="2" t="str">
        <f>VLOOKUP($B191,[5]BOLETIM_SEL!$A:$H,2,0)</f>
        <v>SINAPI</v>
      </c>
      <c r="D191" s="315" t="str">
        <f>VLOOKUP($B191,[5]BOLETIM_SEL!$A:$H,4,0)</f>
        <v>Tubo de concreto armado para aguas pluviais, classe PA-2, com encaixe ponta e bolsa, diâmetro nominal de 0,60 m (373,00 kg/m) - Aquisição</v>
      </c>
      <c r="E191" s="2" t="str">
        <f>+Orçamento_Não_Deson!E191</f>
        <v>BDI insumo</v>
      </c>
      <c r="F191" s="2" t="str">
        <f>VLOOKUP($B191,[5]BOLETIM_SEL!$A:$H,6,0)</f>
        <v xml:space="preserve">M     </v>
      </c>
      <c r="G191" s="1407">
        <f>VLOOKUP($B191,[5]BOLETIM_SEL!$A:$H,7,0)</f>
        <v>214.3</v>
      </c>
      <c r="H191" s="1613">
        <f ca="1">+Orçamento_Não_Deson!H191</f>
        <v>0</v>
      </c>
      <c r="I191" s="2231">
        <f t="shared" si="28"/>
        <v>247.02</v>
      </c>
      <c r="J191" s="1612">
        <f t="shared" ca="1" si="29"/>
        <v>0</v>
      </c>
      <c r="K191" s="2078">
        <f t="shared" ca="1" si="26"/>
        <v>0</v>
      </c>
      <c r="L191" s="1574">
        <f t="shared" ca="1" si="27"/>
        <v>0</v>
      </c>
      <c r="M191" s="1980"/>
      <c r="N191" s="833"/>
      <c r="O191" s="833"/>
      <c r="Q191" s="833"/>
      <c r="R191" s="833"/>
      <c r="S191" s="833"/>
      <c r="T191" s="833"/>
      <c r="U191" s="833"/>
      <c r="V191" s="833"/>
      <c r="W191" s="833"/>
      <c r="X191" s="833"/>
    </row>
    <row r="192" spans="1:24" s="813" customFormat="1" ht="39.950000000000003" hidden="1" customHeight="1" x14ac:dyDescent="0.15">
      <c r="A192" s="2081">
        <f ca="1">+Orçamento_Não_Deson!A192</f>
        <v>4.0399999999999991</v>
      </c>
      <c r="B192" s="834">
        <f>+Orçamento_Não_Deson!B192</f>
        <v>7763</v>
      </c>
      <c r="C192" s="2" t="str">
        <f>VLOOKUP($B192,[5]BOLETIM_SEL!$A:$H,2,0)</f>
        <v>SINAPI</v>
      </c>
      <c r="D192" s="315" t="str">
        <f>VLOOKUP($B192,[5]BOLETIM_SEL!$A:$H,4,0)</f>
        <v>Tubo de concreto armado para aguas pluviais, classe PA-2, com encaixe ponta e bolsa, diâmetro nominal de 0,80 m (620,00 kg/m) - Aquisição</v>
      </c>
      <c r="E192" s="2" t="str">
        <f>+Orçamento_Não_Deson!E192</f>
        <v>BDI insumo</v>
      </c>
      <c r="F192" s="2" t="str">
        <f>VLOOKUP($B192,[5]BOLETIM_SEL!$A:$H,6,0)</f>
        <v xml:space="preserve">M     </v>
      </c>
      <c r="G192" s="1407">
        <f>VLOOKUP($B192,[5]BOLETIM_SEL!$A:$H,7,0)</f>
        <v>399.55</v>
      </c>
      <c r="H192" s="1613">
        <f ca="1">+Orçamento_Não_Deson!H192</f>
        <v>0</v>
      </c>
      <c r="I192" s="2231">
        <f t="shared" si="28"/>
        <v>460.56</v>
      </c>
      <c r="J192" s="1612">
        <f t="shared" ca="1" si="29"/>
        <v>0</v>
      </c>
      <c r="K192" s="2078">
        <f t="shared" ca="1" si="26"/>
        <v>0</v>
      </c>
      <c r="L192" s="1574">
        <f t="shared" ca="1" si="27"/>
        <v>0</v>
      </c>
      <c r="M192" s="1980"/>
      <c r="N192" s="833"/>
      <c r="O192" s="833"/>
      <c r="Q192" s="833"/>
      <c r="R192" s="833"/>
      <c r="S192" s="833"/>
      <c r="T192" s="833"/>
      <c r="U192" s="833"/>
      <c r="V192" s="833"/>
      <c r="W192" s="833"/>
      <c r="X192" s="833"/>
    </row>
    <row r="193" spans="1:24" s="813" customFormat="1" ht="39.950000000000003" hidden="1" customHeight="1" x14ac:dyDescent="0.15">
      <c r="A193" s="2081">
        <f ca="1">+Orçamento_Não_Deson!A193</f>
        <v>4.0399999999999991</v>
      </c>
      <c r="B193" s="834">
        <f>+Orçamento_Não_Deson!B193</f>
        <v>7765</v>
      </c>
      <c r="C193" s="2" t="str">
        <f>VLOOKUP($B193,[5]BOLETIM_SEL!$A:$H,2,0)</f>
        <v>SINAPI</v>
      </c>
      <c r="D193" s="315" t="str">
        <f>VLOOKUP($B193,[5]BOLETIM_SEL!$A:$H,4,0)</f>
        <v>Tubo de concreto armado para aguas pluviais, classe PA-2, com encaixe ponta e bolsa, diâmetro nominal de 1,00 m (900,00 kg/m) - Aquisição</v>
      </c>
      <c r="E193" s="2" t="str">
        <f>+Orçamento_Não_Deson!E193</f>
        <v>BDI insumo</v>
      </c>
      <c r="F193" s="2" t="str">
        <f>VLOOKUP($B193,[5]BOLETIM_SEL!$A:$H,6,0)</f>
        <v xml:space="preserve">M     </v>
      </c>
      <c r="G193" s="1407">
        <f>VLOOKUP($B193,[5]BOLETIM_SEL!$A:$H,7,0)</f>
        <v>529.28</v>
      </c>
      <c r="H193" s="1613">
        <f ca="1">+Orçamento_Não_Deson!H193</f>
        <v>0</v>
      </c>
      <c r="I193" s="2231">
        <f t="shared" si="28"/>
        <v>610.1</v>
      </c>
      <c r="J193" s="1612">
        <f t="shared" ca="1" si="29"/>
        <v>0</v>
      </c>
      <c r="K193" s="2078">
        <f t="shared" ca="1" si="26"/>
        <v>0</v>
      </c>
      <c r="L193" s="1574">
        <f t="shared" ca="1" si="27"/>
        <v>0</v>
      </c>
      <c r="M193" s="1980"/>
      <c r="N193" s="833"/>
      <c r="O193" s="833"/>
      <c r="Q193" s="833"/>
      <c r="R193" s="833"/>
      <c r="S193" s="833"/>
      <c r="T193" s="833"/>
      <c r="U193" s="833"/>
      <c r="V193" s="833"/>
      <c r="W193" s="833"/>
      <c r="X193" s="833"/>
    </row>
    <row r="194" spans="1:24" s="813" customFormat="1" ht="39.950000000000003" hidden="1" customHeight="1" x14ac:dyDescent="0.15">
      <c r="A194" s="2081">
        <f ca="1">+Orçamento_Não_Deson!A194</f>
        <v>4.0399999999999991</v>
      </c>
      <c r="B194" s="834">
        <f>+Orçamento_Não_Deson!B194</f>
        <v>7766</v>
      </c>
      <c r="C194" s="2" t="str">
        <f>VLOOKUP($B194,[5]BOLETIM_SEL!$A:$H,2,0)</f>
        <v>SINAPI</v>
      </c>
      <c r="D194" s="315" t="str">
        <f>VLOOKUP($B194,[5]BOLETIM_SEL!$A:$H,4,0)</f>
        <v>Tubo de concreto armado para aguas pluviais, classe PA-2, com encaixe ponta e bolsa, diâmetro nominal de 1,20 m (1.333,00 kg/m) - Aquisição</v>
      </c>
      <c r="E194" s="2" t="str">
        <f>+Orçamento_Não_Deson!E194</f>
        <v>BDI insumo</v>
      </c>
      <c r="F194" s="2" t="str">
        <f>VLOOKUP($B194,[5]BOLETIM_SEL!$A:$H,6,0)</f>
        <v xml:space="preserve">M     </v>
      </c>
      <c r="G194" s="1407">
        <f>VLOOKUP($B194,[5]BOLETIM_SEL!$A:$H,7,0)</f>
        <v>776.28</v>
      </c>
      <c r="H194" s="1613">
        <f ca="1">+Orçamento_Não_Deson!H194</f>
        <v>0</v>
      </c>
      <c r="I194" s="2231">
        <f t="shared" si="28"/>
        <v>894.81</v>
      </c>
      <c r="J194" s="1612">
        <f t="shared" ca="1" si="29"/>
        <v>0</v>
      </c>
      <c r="K194" s="2078">
        <f t="shared" ca="1" si="26"/>
        <v>0</v>
      </c>
      <c r="L194" s="1574">
        <f t="shared" ca="1" si="27"/>
        <v>0</v>
      </c>
      <c r="M194" s="1980"/>
      <c r="N194" s="833"/>
      <c r="O194" s="833"/>
      <c r="Q194" s="833"/>
      <c r="R194" s="833"/>
      <c r="S194" s="833"/>
      <c r="T194" s="833"/>
      <c r="U194" s="833"/>
      <c r="V194" s="833"/>
      <c r="W194" s="833"/>
      <c r="X194" s="833"/>
    </row>
    <row r="195" spans="1:24" s="813" customFormat="1" ht="39.950000000000003" hidden="1" customHeight="1" x14ac:dyDescent="0.15">
      <c r="A195" s="2081">
        <f ca="1">+Orçamento_Não_Deson!A195</f>
        <v>4.0399999999999991</v>
      </c>
      <c r="B195" s="834">
        <f>+Orçamento_Não_Deson!B195</f>
        <v>7767</v>
      </c>
      <c r="C195" s="2" t="str">
        <f>VLOOKUP($B195,[5]BOLETIM_SEL!$A:$H,2,0)</f>
        <v>SINAPI</v>
      </c>
      <c r="D195" s="315" t="str">
        <f>VLOOKUP($B195,[5]BOLETIM_SEL!$A:$H,4,0)</f>
        <v>Tubo de concreto armado para aguas pluviais, classe PA-2, com encaixe ponta e bolsa, diâmetro nominal de 1,50 m (2.253,00 kg/m) - Aquisição</v>
      </c>
      <c r="E195" s="2" t="str">
        <f>+Orçamento_Não_Deson!E195</f>
        <v>BDI insumo</v>
      </c>
      <c r="F195" s="2" t="str">
        <f>VLOOKUP($B195,[5]BOLETIM_SEL!$A:$H,6,0)</f>
        <v xml:space="preserve">M     </v>
      </c>
      <c r="G195" s="1407">
        <f>VLOOKUP($B195,[5]BOLETIM_SEL!$A:$H,7,0)</f>
        <v>1114.6099999999999</v>
      </c>
      <c r="H195" s="1613">
        <f ca="1">+Orçamento_Não_Deson!H195</f>
        <v>0</v>
      </c>
      <c r="I195" s="2231">
        <f t="shared" si="28"/>
        <v>1284.81</v>
      </c>
      <c r="J195" s="1612">
        <f t="shared" ca="1" si="29"/>
        <v>0</v>
      </c>
      <c r="K195" s="2078">
        <f t="shared" ca="1" si="26"/>
        <v>0</v>
      </c>
      <c r="L195" s="1574">
        <f t="shared" ca="1" si="27"/>
        <v>0</v>
      </c>
      <c r="M195" s="1980"/>
      <c r="N195" s="1964" t="s">
        <v>1962</v>
      </c>
      <c r="O195" s="1655" t="s">
        <v>1988</v>
      </c>
      <c r="Q195" s="833"/>
      <c r="R195" s="833"/>
      <c r="S195" s="833"/>
      <c r="T195" s="833"/>
      <c r="U195" s="833"/>
      <c r="V195" s="833"/>
      <c r="W195" s="833"/>
      <c r="X195" s="833"/>
    </row>
    <row r="196" spans="1:24" s="813" customFormat="1" ht="50.1" customHeight="1" x14ac:dyDescent="0.15">
      <c r="A196" s="2081">
        <f ca="1">Orçamento_Não_Deson!A196</f>
        <v>4.0499999999999989</v>
      </c>
      <c r="B196" s="834">
        <f>Orçamento_Não_Deson!B196</f>
        <v>92821</v>
      </c>
      <c r="C196" s="2" t="str">
        <f>VLOOKUP($B196,[5]BOLETIM_SEL!$A:$H,2,0)</f>
        <v>SINAPI</v>
      </c>
      <c r="D196" s="315" t="str">
        <f>VLOOKUP($B196,[5]BOLETIM_SEL!$A:$H,4,0)</f>
        <v>Assentamento de tubo de concreto para redes coletoras de águas pluviais, diâmetro nominal de 0,40 m, junta rígida em argamassa 1:3 cimento:areia, instalado em local com alto nível de interferências (não inclui fornecimento). AF_12/2015</v>
      </c>
      <c r="E196" s="2">
        <f>Orçamento_Não_Deson!E196</f>
        <v>0</v>
      </c>
      <c r="F196" s="2" t="str">
        <f>VLOOKUP($B196,[5]BOLETIM_SEL!$A:$H,6,0)</f>
        <v>M</v>
      </c>
      <c r="G196" s="1407">
        <f>VLOOKUP($B196,[5]BOLETIM_SEL!$A:$H,7,0)</f>
        <v>57.42</v>
      </c>
      <c r="H196" s="1613">
        <f>Orçamento_Não_Deson!H196</f>
        <v>802</v>
      </c>
      <c r="I196" s="877">
        <f t="shared" ref="I196:I207" si="30">TRUNC(G196*(1+$J$5),2)</f>
        <v>72.77</v>
      </c>
      <c r="J196" s="1612">
        <f t="shared" si="29"/>
        <v>58361.54</v>
      </c>
      <c r="K196" s="2078">
        <f t="shared" ca="1" si="26"/>
        <v>4.2500895131456044E-3</v>
      </c>
      <c r="L196" s="1574">
        <f t="shared" ca="1" si="27"/>
        <v>5.1753459092280157E-2</v>
      </c>
      <c r="M196" s="1980"/>
      <c r="N196" s="1968" t="str">
        <f>VLOOKUP($B196,[5]BOLETIM_SEL!$A:$H,5,0)</f>
        <v xml:space="preserve">TUBO DE CONCRETO
alta Interferência </v>
      </c>
      <c r="O196" s="1656" t="e">
        <f>H196/N196</f>
        <v>#VALUE!</v>
      </c>
      <c r="Q196" s="833"/>
      <c r="R196" s="833"/>
      <c r="S196" s="833"/>
      <c r="T196" s="833"/>
      <c r="U196" s="833"/>
      <c r="V196" s="833"/>
      <c r="W196" s="833"/>
      <c r="X196" s="833"/>
    </row>
    <row r="197" spans="1:24" s="813" customFormat="1" ht="50.1" customHeight="1" x14ac:dyDescent="0.15">
      <c r="A197" s="2081">
        <f ca="1">+Orçamento_Não_Deson!A197</f>
        <v>4.0599999999999987</v>
      </c>
      <c r="B197" s="834">
        <f>+Orçamento_Não_Deson!B197</f>
        <v>92824</v>
      </c>
      <c r="C197" s="2" t="str">
        <f>VLOOKUP($B197,[5]BOLETIM_SEL!$A:$H,2,0)</f>
        <v>SINAPI</v>
      </c>
      <c r="D197" s="315" t="str">
        <f>VLOOKUP($B197,[5]BOLETIM_SEL!$A:$H,4,0)</f>
        <v>Assentamento de tubo de concreto para redes coletoras de águas pluviais, diâmetro nominal de 0,60 m, junta rígida em argamassa 1:3 cimento:areia, instalado em local com alto nível de interferências (não inclui fornecimento). AF_12/2015</v>
      </c>
      <c r="E197" s="2">
        <f>+Orçamento_Não_Deson!E197</f>
        <v>0</v>
      </c>
      <c r="F197" s="2" t="str">
        <f>VLOOKUP($B197,[5]BOLETIM_SEL!$A:$H,6,0)</f>
        <v>M</v>
      </c>
      <c r="G197" s="1407">
        <f>VLOOKUP($B197,[5]BOLETIM_SEL!$A:$H,7,0)</f>
        <v>83.37</v>
      </c>
      <c r="H197" s="1613">
        <f ca="1">+Orçamento_Não_Deson!H197</f>
        <v>1034.6300000000001</v>
      </c>
      <c r="I197" s="877">
        <f t="shared" si="30"/>
        <v>105.66</v>
      </c>
      <c r="J197" s="1612">
        <f ca="1">TRUNC(H197*I197,2)</f>
        <v>109319</v>
      </c>
      <c r="K197" s="2078">
        <f t="shared" ca="1" si="26"/>
        <v>7.9609882722005681E-3</v>
      </c>
      <c r="L197" s="1574">
        <f t="shared" ca="1" si="27"/>
        <v>9.6941177263467945E-2</v>
      </c>
      <c r="M197" s="1980"/>
      <c r="N197" s="1968">
        <f>VLOOKUP($B197,[5]BOLETIM_SEL!$A:$H,5,0)</f>
        <v>0</v>
      </c>
      <c r="O197" s="1656" t="e">
        <f t="shared" ref="O197:O201" ca="1" si="31">+H197/N197</f>
        <v>#DIV/0!</v>
      </c>
      <c r="Q197" s="833"/>
      <c r="R197" s="833"/>
      <c r="S197" s="833"/>
      <c r="T197" s="833"/>
      <c r="U197" s="833"/>
      <c r="V197" s="833"/>
      <c r="W197" s="833"/>
      <c r="X197" s="833"/>
    </row>
    <row r="198" spans="1:24" s="813" customFormat="1" ht="50.1" customHeight="1" x14ac:dyDescent="0.15">
      <c r="A198" s="2081">
        <f ca="1">+Orçamento_Não_Deson!A198</f>
        <v>4.0699999999999985</v>
      </c>
      <c r="B198" s="834">
        <f>+Orçamento_Não_Deson!B198</f>
        <v>92826</v>
      </c>
      <c r="C198" s="2" t="str">
        <f>VLOOKUP($B198,[5]BOLETIM_SEL!$A:$H,2,0)</f>
        <v>SINAPI</v>
      </c>
      <c r="D198" s="315" t="str">
        <f>VLOOKUP($B198,[5]BOLETIM_SEL!$A:$H,4,0)</f>
        <v>Assentamento de tubo de concreto para redes coletoras de águas pluviais, diâmetro nominal de 0,80 m, junta rígida em argamassa 1:3 cimento:areia, instalado em local com alto nível de interferências (não inclui fornecimento). AF_12/2015</v>
      </c>
      <c r="E198" s="2">
        <f>+Orçamento_Não_Deson!E198</f>
        <v>0</v>
      </c>
      <c r="F198" s="2" t="str">
        <f>VLOOKUP($B198,[5]BOLETIM_SEL!$A:$H,6,0)</f>
        <v>M</v>
      </c>
      <c r="G198" s="1407">
        <f>VLOOKUP($B198,[5]BOLETIM_SEL!$A:$H,7,0)</f>
        <v>111.72</v>
      </c>
      <c r="H198" s="1613">
        <f ca="1">+Orçamento_Não_Deson!H198</f>
        <v>504.57</v>
      </c>
      <c r="I198" s="877">
        <f t="shared" si="30"/>
        <v>141.59</v>
      </c>
      <c r="J198" s="1612">
        <f ca="1">TRUNC(H198*I198,2)</f>
        <v>71442.06</v>
      </c>
      <c r="K198" s="2078">
        <f t="shared" ca="1" si="26"/>
        <v>5.2026582918051692E-3</v>
      </c>
      <c r="L198" s="1574">
        <f t="shared" ca="1" si="27"/>
        <v>6.335291580171161E-2</v>
      </c>
      <c r="M198" s="1980"/>
      <c r="N198" s="1968">
        <f>VLOOKUP($B198,[5]BOLETIM_SEL!$A:$H,5,0)</f>
        <v>0</v>
      </c>
      <c r="O198" s="1656" t="e">
        <f t="shared" ca="1" si="31"/>
        <v>#DIV/0!</v>
      </c>
      <c r="Q198" s="833"/>
      <c r="R198" s="833"/>
      <c r="S198" s="833"/>
      <c r="T198" s="833"/>
      <c r="U198" s="833"/>
      <c r="V198" s="833"/>
      <c r="W198" s="833"/>
      <c r="X198" s="833"/>
    </row>
    <row r="199" spans="1:24" s="813" customFormat="1" ht="50.1" customHeight="1" x14ac:dyDescent="0.15">
      <c r="A199" s="2081">
        <f ca="1">+Orçamento_Não_Deson!A199</f>
        <v>4.0799999999999983</v>
      </c>
      <c r="B199" s="834">
        <f>+Orçamento_Não_Deson!B199</f>
        <v>92828</v>
      </c>
      <c r="C199" s="2" t="str">
        <f>VLOOKUP($B199,[5]BOLETIM_SEL!$A:$H,2,0)</f>
        <v>SINAPI</v>
      </c>
      <c r="D199" s="315" t="str">
        <f>VLOOKUP($B199,[5]BOLETIM_SEL!$A:$H,4,0)</f>
        <v>Assentamento de tubo de concreto para redes coletoras de águas pluviais, diâmetro nominal de 1,00 m, junta rígida em argamassa 1:3 cimento:areia, instalado em local com alto nível de interferências (não inclui fornecimento). AF_12/2015</v>
      </c>
      <c r="E199" s="2">
        <f>+Orçamento_Não_Deson!E199</f>
        <v>0</v>
      </c>
      <c r="F199" s="2" t="str">
        <f>VLOOKUP($B199,[5]BOLETIM_SEL!$A:$H,6,0)</f>
        <v>M</v>
      </c>
      <c r="G199" s="1407">
        <f>VLOOKUP($B199,[5]BOLETIM_SEL!$A:$H,7,0)</f>
        <v>145.86000000000001</v>
      </c>
      <c r="H199" s="1613">
        <f ca="1">+Orçamento_Não_Deson!H199</f>
        <v>585.66999999999996</v>
      </c>
      <c r="I199" s="877">
        <f t="shared" si="30"/>
        <v>184.86</v>
      </c>
      <c r="J199" s="1612">
        <f ca="1">TRUNC(H199*I199,2)</f>
        <v>108266.95</v>
      </c>
      <c r="K199" s="2078">
        <f t="shared" ca="1" si="26"/>
        <v>7.884374346791732E-3</v>
      </c>
      <c r="L199" s="1574">
        <f t="shared" ca="1" si="27"/>
        <v>9.6008247346984696E-2</v>
      </c>
      <c r="M199" s="1980"/>
      <c r="N199" s="1968">
        <f>VLOOKUP($B199,[5]BOLETIM_SEL!$A:$H,5,0)</f>
        <v>0</v>
      </c>
      <c r="O199" s="1656" t="e">
        <f t="shared" ca="1" si="31"/>
        <v>#DIV/0!</v>
      </c>
      <c r="Q199" s="833"/>
      <c r="R199" s="833"/>
      <c r="S199" s="833"/>
      <c r="T199" s="833"/>
      <c r="U199" s="833"/>
      <c r="V199" s="833"/>
      <c r="W199" s="833"/>
      <c r="X199" s="833"/>
    </row>
    <row r="200" spans="1:24" s="813" customFormat="1" ht="39.950000000000003" hidden="1" customHeight="1" x14ac:dyDescent="0.15">
      <c r="A200" s="2081">
        <f ca="1">+Orçamento_Não_Deson!A200</f>
        <v>4.0799999999999983</v>
      </c>
      <c r="B200" s="834">
        <f>+Orçamento_Não_Deson!B200</f>
        <v>92830</v>
      </c>
      <c r="C200" s="2" t="str">
        <f>VLOOKUP($B200,[5]BOLETIM_SEL!$A:$H,2,0)</f>
        <v>SINAPI</v>
      </c>
      <c r="D200" s="315" t="str">
        <f>VLOOKUP($B200,[5]BOLETIM_SEL!$A:$H,4,0)</f>
        <v>Assentamento de tubo de concreto para redes coletoras de águas pluviais, diâmetro nominal de 1,20 m, junta rígida em argamassa 1:3 cimento:areia, instalado em local com alto nível de interferências (não inclui fornecimento). AF_12/2015</v>
      </c>
      <c r="E200" s="2">
        <f>+Orçamento_Não_Deson!E200</f>
        <v>0</v>
      </c>
      <c r="F200" s="2" t="str">
        <f>VLOOKUP($B200,[5]BOLETIM_SEL!$A:$H,6,0)</f>
        <v>M</v>
      </c>
      <c r="G200" s="1407">
        <f>VLOOKUP($B200,[5]BOLETIM_SEL!$A:$H,7,0)</f>
        <v>180.95</v>
      </c>
      <c r="H200" s="1613">
        <f ca="1">+Orçamento_Não_Deson!H200</f>
        <v>0</v>
      </c>
      <c r="I200" s="877">
        <f t="shared" si="30"/>
        <v>229.33</v>
      </c>
      <c r="J200" s="1612">
        <f ca="1">TRUNC(H200*I200,2)</f>
        <v>0</v>
      </c>
      <c r="K200" s="2078">
        <f t="shared" ca="1" si="26"/>
        <v>0</v>
      </c>
      <c r="L200" s="1574">
        <f t="shared" ca="1" si="27"/>
        <v>0</v>
      </c>
      <c r="M200" s="1980"/>
      <c r="N200" s="1968">
        <f>VLOOKUP($B200,[5]BOLETIM_SEL!$A:$H,5,0)</f>
        <v>0</v>
      </c>
      <c r="O200" s="1656" t="e">
        <f t="shared" ca="1" si="31"/>
        <v>#DIV/0!</v>
      </c>
      <c r="Q200" s="833"/>
      <c r="R200" s="833"/>
      <c r="S200" s="833"/>
      <c r="T200" s="833"/>
      <c r="U200" s="833"/>
      <c r="V200" s="833"/>
      <c r="W200" s="833"/>
      <c r="X200" s="833"/>
    </row>
    <row r="201" spans="1:24" s="813" customFormat="1" ht="39.950000000000003" hidden="1" customHeight="1" x14ac:dyDescent="0.15">
      <c r="A201" s="2081">
        <f ca="1">+Orçamento_Não_Deson!A201</f>
        <v>4.0799999999999983</v>
      </c>
      <c r="B201" s="834">
        <f>+Orçamento_Não_Deson!B201</f>
        <v>92832</v>
      </c>
      <c r="C201" s="2" t="str">
        <f>VLOOKUP($B201,[5]BOLETIM_SEL!$A:$H,2,0)</f>
        <v>SINAPI</v>
      </c>
      <c r="D201" s="315" t="str">
        <f>VLOOKUP($B201,[5]BOLETIM_SEL!$A:$H,4,0)</f>
        <v>Assentamento de tubo de concreto para redes coletoras de águas pluviais, diâmetro nominal de 1,50 m, junta rígida em argamassa 1:3 cimento:areia, instalado em local com alto nível de interferências (não inclui fornecimento). AF_12/2015</v>
      </c>
      <c r="E201" s="2">
        <f>+Orçamento_Não_Deson!E201</f>
        <v>0</v>
      </c>
      <c r="F201" s="2" t="str">
        <f>VLOOKUP($B201,[5]BOLETIM_SEL!$A:$H,6,0)</f>
        <v>M</v>
      </c>
      <c r="G201" s="1407">
        <f>VLOOKUP($B201,[5]BOLETIM_SEL!$A:$H,7,0)</f>
        <v>240.54</v>
      </c>
      <c r="H201" s="1613">
        <f ca="1">+Orçamento_Não_Deson!H201</f>
        <v>0</v>
      </c>
      <c r="I201" s="877">
        <f t="shared" si="30"/>
        <v>304.86</v>
      </c>
      <c r="J201" s="1612">
        <f ca="1">TRUNC(H201*I201,2)</f>
        <v>0</v>
      </c>
      <c r="K201" s="2078">
        <f t="shared" ca="1" si="26"/>
        <v>0</v>
      </c>
      <c r="L201" s="1574">
        <f t="shared" ca="1" si="27"/>
        <v>0</v>
      </c>
      <c r="M201" s="1980"/>
      <c r="N201" s="1968">
        <f>VLOOKUP($B201,[5]BOLETIM_SEL!$A:$H,5,0)</f>
        <v>0</v>
      </c>
      <c r="O201" s="1656" t="e">
        <f t="shared" ca="1" si="31"/>
        <v>#DIV/0!</v>
      </c>
      <c r="Q201" s="833"/>
      <c r="R201" s="833"/>
      <c r="S201" s="833"/>
      <c r="T201" s="833"/>
      <c r="U201" s="833"/>
      <c r="V201" s="833"/>
      <c r="W201" s="833"/>
      <c r="X201" s="833"/>
    </row>
    <row r="202" spans="1:24" s="813" customFormat="1" ht="39.950000000000003" hidden="1" customHeight="1" x14ac:dyDescent="0.15">
      <c r="A202" s="2081">
        <f ca="1">Orçamento_Não_Deson!A202</f>
        <v>4.0799999999999983</v>
      </c>
      <c r="B202" s="834">
        <f>Orçamento_Não_Deson!B202</f>
        <v>92809</v>
      </c>
      <c r="C202" s="2" t="str">
        <f>VLOOKUP($B202,[5]BOLETIM_SEL!$A:$H,2,0)</f>
        <v>SINAPI</v>
      </c>
      <c r="D202" s="315" t="str">
        <f>VLOOKUP($B202,[5]BOLETIM_SEL!$A:$H,4,0)</f>
        <v>Assentamento de tubo de concreto para redes coletoras de águas pluviais, diâmetro nominal de 0,40 m, junta rígida em argamassa 1:3 cimento:areia, instalado em local com baixo nível de interferências (não inclui fornecimento). AF_12/2015</v>
      </c>
      <c r="E202" s="2">
        <f>Orçamento_Não_Deson!E202</f>
        <v>0</v>
      </c>
      <c r="F202" s="2" t="str">
        <f>VLOOKUP($B202,[5]BOLETIM_SEL!$A:$H,6,0)</f>
        <v>M</v>
      </c>
      <c r="G202" s="1407">
        <f>VLOOKUP($B202,[5]BOLETIM_SEL!$A:$H,7,0)</f>
        <v>48.18</v>
      </c>
      <c r="H202" s="1613">
        <f>Orçamento_Não_Deson!H202</f>
        <v>0</v>
      </c>
      <c r="I202" s="877">
        <f t="shared" si="30"/>
        <v>61.06</v>
      </c>
      <c r="J202" s="1612">
        <f t="shared" si="29"/>
        <v>0</v>
      </c>
      <c r="K202" s="2078">
        <f t="shared" ca="1" si="26"/>
        <v>0</v>
      </c>
      <c r="L202" s="1574">
        <f t="shared" ca="1" si="27"/>
        <v>0</v>
      </c>
      <c r="M202" s="1980"/>
      <c r="N202" s="1968" t="str">
        <f>VLOOKUP($B202,[5]BOLETIM_SEL!$A:$H,5,0)</f>
        <v>TUBO DE CONCRETO
baixa Interferência</v>
      </c>
      <c r="O202" s="1656" t="e">
        <f t="shared" ref="O202:O207" si="32">H202/N202</f>
        <v>#VALUE!</v>
      </c>
      <c r="Q202" s="833"/>
      <c r="R202" s="833"/>
      <c r="S202" s="833"/>
      <c r="T202" s="833"/>
      <c r="U202" s="833"/>
      <c r="V202" s="833"/>
      <c r="W202" s="833"/>
      <c r="X202" s="833"/>
    </row>
    <row r="203" spans="1:24" s="813" customFormat="1" ht="39.950000000000003" hidden="1" customHeight="1" x14ac:dyDescent="0.15">
      <c r="A203" s="2081">
        <f ca="1">Orçamento_Não_Deson!A203</f>
        <v>4.0799999999999983</v>
      </c>
      <c r="B203" s="834">
        <f>Orçamento_Não_Deson!B203</f>
        <v>92811</v>
      </c>
      <c r="C203" s="2" t="str">
        <f>VLOOKUP($B203,[5]BOLETIM_SEL!$A:$H,2,0)</f>
        <v>SINAPI</v>
      </c>
      <c r="D203" s="315" t="str">
        <f>VLOOKUP($B203,[5]BOLETIM_SEL!$A:$H,4,0)</f>
        <v>Assentamento de tubo de concreto para redes coletoras de águas pluviais, diâmetro nominal de 0,60 m, junta rígida em argamassa 1:3 cimento:areia, instalado em local com baixo nível de interferências (não inclui fornecimento). AF_12/2015</v>
      </c>
      <c r="E203" s="2">
        <f>Orçamento_Não_Deson!E203</f>
        <v>0</v>
      </c>
      <c r="F203" s="2" t="str">
        <f>VLOOKUP($B203,[5]BOLETIM_SEL!$A:$H,6,0)</f>
        <v>M</v>
      </c>
      <c r="G203" s="1407">
        <f>VLOOKUP($B203,[5]BOLETIM_SEL!$A:$H,7,0)</f>
        <v>69.959999999999994</v>
      </c>
      <c r="H203" s="1613">
        <f ca="1">Orçamento_Não_Deson!H203</f>
        <v>0</v>
      </c>
      <c r="I203" s="877">
        <f t="shared" si="30"/>
        <v>88.66</v>
      </c>
      <c r="J203" s="1612">
        <f ca="1">TRUNC(H203*I203,2)</f>
        <v>0</v>
      </c>
      <c r="K203" s="2078">
        <f t="shared" ca="1" si="26"/>
        <v>0</v>
      </c>
      <c r="L203" s="1574">
        <f t="shared" ca="1" si="27"/>
        <v>0</v>
      </c>
      <c r="M203" s="1980"/>
      <c r="N203" s="1968">
        <f>VLOOKUP($B203,[5]BOLETIM_SEL!$A:$H,5,0)</f>
        <v>0</v>
      </c>
      <c r="O203" s="1656" t="e">
        <f t="shared" ca="1" si="32"/>
        <v>#DIV/0!</v>
      </c>
      <c r="Q203" s="833"/>
      <c r="R203" s="833"/>
      <c r="S203" s="833"/>
      <c r="T203" s="833"/>
      <c r="U203" s="833"/>
      <c r="V203" s="833"/>
      <c r="W203" s="833"/>
      <c r="X203" s="833"/>
    </row>
    <row r="204" spans="1:24" s="813" customFormat="1" ht="39.950000000000003" hidden="1" customHeight="1" x14ac:dyDescent="0.15">
      <c r="A204" s="2081">
        <f ca="1">Orçamento_Não_Deson!A204</f>
        <v>4.0799999999999983</v>
      </c>
      <c r="B204" s="834">
        <f>Orçamento_Não_Deson!B204</f>
        <v>92813</v>
      </c>
      <c r="C204" s="2" t="str">
        <f>VLOOKUP($B204,[5]BOLETIM_SEL!$A:$H,2,0)</f>
        <v>SINAPI</v>
      </c>
      <c r="D204" s="315" t="str">
        <f>VLOOKUP($B204,[5]BOLETIM_SEL!$A:$H,4,0)</f>
        <v>Assentamento de tubo de concreto para redes coletoras de águas pluviais, diâmetro nominal de 0,80 m, junta rígida em argamassa 1:3 cimento:areia, instalado em local com baixo nível de interferências (não inclui fornecimento). AF_12/2015</v>
      </c>
      <c r="E204" s="2">
        <f>Orçamento_Não_Deson!E204</f>
        <v>0</v>
      </c>
      <c r="F204" s="2" t="str">
        <f>VLOOKUP($B204,[5]BOLETIM_SEL!$A:$H,6,0)</f>
        <v>M</v>
      </c>
      <c r="G204" s="1407">
        <f>VLOOKUP($B204,[5]BOLETIM_SEL!$A:$H,7,0)</f>
        <v>94.28</v>
      </c>
      <c r="H204" s="1613">
        <f ca="1">Orçamento_Não_Deson!H204</f>
        <v>0</v>
      </c>
      <c r="I204" s="877">
        <f t="shared" si="30"/>
        <v>119.49</v>
      </c>
      <c r="J204" s="1612">
        <f ca="1">TRUNC(H204*I204,2)</f>
        <v>0</v>
      </c>
      <c r="K204" s="2078">
        <f t="shared" ca="1" si="26"/>
        <v>0</v>
      </c>
      <c r="L204" s="1574">
        <f t="shared" ca="1" si="27"/>
        <v>0</v>
      </c>
      <c r="M204" s="1980"/>
      <c r="N204" s="1968">
        <f>VLOOKUP($B204,[5]BOLETIM_SEL!$A:$H,5,0)</f>
        <v>0</v>
      </c>
      <c r="O204" s="1656" t="e">
        <f t="shared" ca="1" si="32"/>
        <v>#DIV/0!</v>
      </c>
      <c r="Q204" s="833"/>
      <c r="R204" s="833"/>
      <c r="S204" s="833"/>
      <c r="T204" s="833"/>
      <c r="U204" s="833"/>
      <c r="V204" s="833"/>
      <c r="W204" s="833"/>
      <c r="X204" s="833"/>
    </row>
    <row r="205" spans="1:24" s="813" customFormat="1" ht="39.950000000000003" hidden="1" customHeight="1" x14ac:dyDescent="0.15">
      <c r="A205" s="2081">
        <f ca="1">Orçamento_Não_Deson!A205</f>
        <v>4.0799999999999983</v>
      </c>
      <c r="B205" s="834">
        <f>Orçamento_Não_Deson!B205</f>
        <v>92815</v>
      </c>
      <c r="C205" s="2" t="str">
        <f>VLOOKUP($B205,[5]BOLETIM_SEL!$A:$H,2,0)</f>
        <v>SINAPI</v>
      </c>
      <c r="D205" s="315" t="str">
        <f>VLOOKUP($B205,[5]BOLETIM_SEL!$A:$H,4,0)</f>
        <v>Assentamento de tubo de concreto para redes coletoras de águas pluviais, diâmetro nominal de 1,00 m, junta rígida em argamassa 1:3 cimento:areia, instalado em local com baixo nível de interferências (não inclui fornecimento). AF_12/2015</v>
      </c>
      <c r="E205" s="2">
        <f>Orçamento_Não_Deson!E205</f>
        <v>0</v>
      </c>
      <c r="F205" s="2" t="str">
        <f>VLOOKUP($B205,[5]BOLETIM_SEL!$A:$H,6,0)</f>
        <v>M</v>
      </c>
      <c r="G205" s="1407">
        <f>VLOOKUP($B205,[5]BOLETIM_SEL!$A:$H,7,0)</f>
        <v>124.19</v>
      </c>
      <c r="H205" s="1613">
        <f ca="1">Orçamento_Não_Deson!H205</f>
        <v>0</v>
      </c>
      <c r="I205" s="877">
        <f t="shared" si="30"/>
        <v>157.38999999999999</v>
      </c>
      <c r="J205" s="1612">
        <f ca="1">TRUNC(H205*I205,2)</f>
        <v>0</v>
      </c>
      <c r="K205" s="2078">
        <f t="shared" ca="1" si="26"/>
        <v>0</v>
      </c>
      <c r="L205" s="1574">
        <f t="shared" ca="1" si="27"/>
        <v>0</v>
      </c>
      <c r="M205" s="1980"/>
      <c r="N205" s="1968">
        <f>VLOOKUP($B205,[5]BOLETIM_SEL!$A:$H,5,0)</f>
        <v>0</v>
      </c>
      <c r="O205" s="1656" t="e">
        <f t="shared" ca="1" si="32"/>
        <v>#DIV/0!</v>
      </c>
      <c r="Q205" s="833"/>
      <c r="R205" s="833"/>
      <c r="S205" s="833"/>
      <c r="T205" s="833"/>
      <c r="U205" s="833"/>
      <c r="V205" s="833"/>
      <c r="W205" s="833"/>
      <c r="X205" s="833"/>
    </row>
    <row r="206" spans="1:24" s="813" customFormat="1" ht="39.950000000000003" hidden="1" customHeight="1" x14ac:dyDescent="0.15">
      <c r="A206" s="2081">
        <f ca="1">Orçamento_Não_Deson!A206</f>
        <v>4.0799999999999983</v>
      </c>
      <c r="B206" s="834">
        <f>Orçamento_Não_Deson!B206</f>
        <v>92817</v>
      </c>
      <c r="C206" s="2" t="str">
        <f>VLOOKUP($B206,[5]BOLETIM_SEL!$A:$H,2,0)</f>
        <v>SINAPI</v>
      </c>
      <c r="D206" s="315" t="str">
        <f>VLOOKUP($B206,[5]BOLETIM_SEL!$A:$H,4,0)</f>
        <v>Assentamento de tubo de concreto para redes coletoras de águas pluviais, diâmetro nominal de 1,20 m, junta rígida em argamassa 1:3 cimento:areia, instalado em local com baixo nível de interferências (não inclui fornecimento). AF_12/2015</v>
      </c>
      <c r="E206" s="2">
        <f>Orçamento_Não_Deson!E206</f>
        <v>0</v>
      </c>
      <c r="F206" s="2" t="str">
        <f>VLOOKUP($B206,[5]BOLETIM_SEL!$A:$H,6,0)</f>
        <v>M</v>
      </c>
      <c r="G206" s="1407">
        <f>VLOOKUP($B206,[5]BOLETIM_SEL!$A:$H,7,0)</f>
        <v>155.41</v>
      </c>
      <c r="H206" s="1613">
        <f ca="1">Orçamento_Não_Deson!H206</f>
        <v>0</v>
      </c>
      <c r="I206" s="877">
        <f t="shared" si="30"/>
        <v>196.96</v>
      </c>
      <c r="J206" s="1612">
        <f ca="1">TRUNC(H206*I206,2)</f>
        <v>0</v>
      </c>
      <c r="K206" s="2078">
        <f t="shared" ca="1" si="26"/>
        <v>0</v>
      </c>
      <c r="L206" s="1574">
        <f t="shared" ca="1" si="27"/>
        <v>0</v>
      </c>
      <c r="M206" s="1980"/>
      <c r="N206" s="1968">
        <f>VLOOKUP($B206,[5]BOLETIM_SEL!$A:$H,5,0)</f>
        <v>0</v>
      </c>
      <c r="O206" s="1656" t="e">
        <f t="shared" ca="1" si="32"/>
        <v>#DIV/0!</v>
      </c>
      <c r="Q206" s="833"/>
      <c r="R206" s="833"/>
      <c r="S206" s="833"/>
      <c r="T206" s="833"/>
      <c r="U206" s="833"/>
      <c r="V206" s="833"/>
      <c r="W206" s="833"/>
      <c r="X206" s="833"/>
    </row>
    <row r="207" spans="1:24" s="813" customFormat="1" ht="39.950000000000003" hidden="1" customHeight="1" x14ac:dyDescent="0.15">
      <c r="A207" s="2081">
        <f ca="1">Orçamento_Não_Deson!A207</f>
        <v>4.0799999999999983</v>
      </c>
      <c r="B207" s="834">
        <f>Orçamento_Não_Deson!B207</f>
        <v>92819</v>
      </c>
      <c r="C207" s="2" t="str">
        <f>VLOOKUP($B207,[5]BOLETIM_SEL!$A:$H,2,0)</f>
        <v>SINAPI</v>
      </c>
      <c r="D207" s="315" t="str">
        <f>VLOOKUP($B207,[5]BOLETIM_SEL!$A:$H,4,0)</f>
        <v>Assentamento de tubo de concreto para redes coletoras de águas pluviais, diâmetro nominal de 1,50 m, junta rígida em argamassa 1:3 cimento:areia, instalado em local com baixo nível de interferências (não inclui fornecimento). AF_12/2015</v>
      </c>
      <c r="E207" s="2">
        <f>Orçamento_Não_Deson!E207</f>
        <v>0</v>
      </c>
      <c r="F207" s="2" t="str">
        <f>VLOOKUP($B207,[5]BOLETIM_SEL!$A:$H,6,0)</f>
        <v>M</v>
      </c>
      <c r="G207" s="1407">
        <f>VLOOKUP($B207,[5]BOLETIM_SEL!$A:$H,7,0)</f>
        <v>209.19</v>
      </c>
      <c r="H207" s="1613">
        <f ca="1">Orçamento_Não_Deson!H207</f>
        <v>0</v>
      </c>
      <c r="I207" s="877">
        <f t="shared" si="30"/>
        <v>265.12</v>
      </c>
      <c r="J207" s="1612">
        <f ca="1">TRUNC(H207*I207,2)</f>
        <v>0</v>
      </c>
      <c r="K207" s="2078">
        <f t="shared" ca="1" si="26"/>
        <v>0</v>
      </c>
      <c r="L207" s="1574">
        <f t="shared" ca="1" si="27"/>
        <v>0</v>
      </c>
      <c r="M207" s="1980"/>
      <c r="N207" s="1968">
        <f>VLOOKUP($B207,[5]BOLETIM_SEL!$A:$H,5,0)</f>
        <v>0</v>
      </c>
      <c r="O207" s="1656" t="e">
        <f t="shared" ca="1" si="32"/>
        <v>#DIV/0!</v>
      </c>
      <c r="Q207" s="833"/>
      <c r="R207" s="833"/>
      <c r="S207" s="833"/>
      <c r="T207" s="833"/>
      <c r="U207" s="833"/>
      <c r="V207" s="833"/>
      <c r="W207" s="833"/>
      <c r="X207" s="833"/>
    </row>
    <row r="208" spans="1:24" s="813" customFormat="1" ht="39.950000000000003" hidden="1" customHeight="1" x14ac:dyDescent="0.15">
      <c r="A208" s="2081">
        <f ca="1">+Orçamento_Não_Deson!A208</f>
        <v>4.0799999999999983</v>
      </c>
      <c r="B208" s="834" t="str">
        <f>+Orçamento_Não_Deson!B208</f>
        <v>DR/0700</v>
      </c>
      <c r="C208" s="2" t="str">
        <f>VLOOKUP($B208,[5]BOLETIM_SEL!$A:$H,2,0)</f>
        <v>COTAÇÃO - SICRO</v>
      </c>
      <c r="D208" s="315" t="str">
        <f>VLOOKUP($B208,[5]BOLETIM_SEL!$A:$H,4,0)</f>
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</c>
      <c r="E208" s="2" t="str">
        <f>+Orçamento_Não_Deson!E208</f>
        <v>BDI insumo</v>
      </c>
      <c r="F208" s="2" t="str">
        <f>VLOOKUP($B208,[5]BOLETIM_SEL!$A:$H,6,0)</f>
        <v>m</v>
      </c>
      <c r="G208" s="1407">
        <f>VLOOKUP($B208,[5]BOLETIM_SEL!$A:$H,7,0)</f>
        <v>205.90530000000001</v>
      </c>
      <c r="H208" s="1613">
        <f>+Orçamento_Não_Deson!H208</f>
        <v>0</v>
      </c>
      <c r="I208" s="2231">
        <f t="shared" ref="I208:I216" si="33">TRUNC(G208*(1+$J$6),2)</f>
        <v>237.34</v>
      </c>
      <c r="J208" s="1612">
        <f t="shared" si="29"/>
        <v>0</v>
      </c>
      <c r="K208" s="2078">
        <f t="shared" ca="1" si="26"/>
        <v>0</v>
      </c>
      <c r="L208" s="1574">
        <f t="shared" ca="1" si="27"/>
        <v>0</v>
      </c>
      <c r="M208" s="1981" t="str">
        <f>VLOOKUP($B208,[5]BOLETIM_SEL!$A:$H,5,0)</f>
        <v>M0131</v>
      </c>
      <c r="N208" s="833"/>
      <c r="O208" s="833"/>
      <c r="Q208" s="833"/>
      <c r="R208" s="833"/>
      <c r="S208" s="833"/>
      <c r="T208" s="833"/>
      <c r="U208" s="833"/>
      <c r="V208" s="833"/>
      <c r="W208" s="833"/>
      <c r="X208" s="833"/>
    </row>
    <row r="209" spans="1:24" s="813" customFormat="1" ht="39.950000000000003" hidden="1" customHeight="1" x14ac:dyDescent="0.15">
      <c r="A209" s="2081">
        <f ca="1">+Orçamento_Não_Deson!A209</f>
        <v>4.0799999999999983</v>
      </c>
      <c r="B209" s="834" t="str">
        <f>+Orçamento_Não_Deson!B209</f>
        <v>DR/0710</v>
      </c>
      <c r="C209" s="2" t="str">
        <f>VLOOKUP($B209,[5]BOLETIM_SEL!$A:$H,2,0)</f>
        <v>COTAÇÃO - SICRO</v>
      </c>
      <c r="D209" s="315" t="str">
        <f>VLOOKUP($B209,[5]BOLETIM_SEL!$A:$H,4,0)</f>
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</c>
      <c r="E209" s="2" t="str">
        <f>+Orçamento_Não_Deson!E209</f>
        <v>BDI insumo</v>
      </c>
      <c r="F209" s="2" t="str">
        <f>VLOOKUP($B209,[5]BOLETIM_SEL!$A:$H,6,0)</f>
        <v>m</v>
      </c>
      <c r="G209" s="1407">
        <f>VLOOKUP($B209,[5]BOLETIM_SEL!$A:$H,7,0)</f>
        <v>338.03089999999997</v>
      </c>
      <c r="H209" s="1613">
        <f ca="1">+Orçamento_Não_Deson!H209</f>
        <v>0</v>
      </c>
      <c r="I209" s="2231">
        <f t="shared" si="33"/>
        <v>389.64</v>
      </c>
      <c r="J209" s="1612">
        <f t="shared" ca="1" si="29"/>
        <v>0</v>
      </c>
      <c r="K209" s="2078">
        <f t="shared" ca="1" si="26"/>
        <v>0</v>
      </c>
      <c r="L209" s="1574">
        <f t="shared" ca="1" si="27"/>
        <v>0</v>
      </c>
      <c r="M209" s="1981" t="str">
        <f>VLOOKUP($B209,[5]BOLETIM_SEL!$A:$H,5,0)</f>
        <v>M0133</v>
      </c>
      <c r="N209" s="833"/>
      <c r="O209" s="833"/>
      <c r="Q209" s="833"/>
      <c r="R209" s="833"/>
      <c r="S209" s="833"/>
      <c r="T209" s="833"/>
      <c r="U209" s="833"/>
      <c r="V209" s="833"/>
      <c r="W209" s="833"/>
      <c r="X209" s="833"/>
    </row>
    <row r="210" spans="1:24" s="813" customFormat="1" ht="39.950000000000003" hidden="1" customHeight="1" x14ac:dyDescent="0.15">
      <c r="A210" s="2081">
        <f ca="1">Orçamento_Não_Deson!A210</f>
        <v>4.0799999999999983</v>
      </c>
      <c r="B210" s="834" t="str">
        <f>Orçamento_Não_Deson!B210</f>
        <v>DR/0720</v>
      </c>
      <c r="C210" s="2" t="str">
        <f>VLOOKUP($B210,[5]BOLETIM_SEL!$A:$H,2,0)</f>
        <v>COTAÇÃO - SICRO</v>
      </c>
      <c r="D210" s="315" t="str">
        <f>VLOOKUP($B210,[5]BOLETIM_SEL!$A:$H,4,0)</f>
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</c>
      <c r="E210" s="2" t="str">
        <f>Orçamento_Não_Deson!E210</f>
        <v>BDI insumo</v>
      </c>
      <c r="F210" s="2" t="str">
        <f>VLOOKUP($B210,[5]BOLETIM_SEL!$A:$H,6,0)</f>
        <v>m</v>
      </c>
      <c r="G210" s="1407">
        <f>VLOOKUP($B210,[5]BOLETIM_SEL!$A:$H,7,0)</f>
        <v>493.61329999999998</v>
      </c>
      <c r="H210" s="1613">
        <f ca="1">Orçamento_Não_Deson!H210</f>
        <v>0</v>
      </c>
      <c r="I210" s="2231">
        <f t="shared" si="33"/>
        <v>568.98</v>
      </c>
      <c r="J210" s="1612">
        <f t="shared" ca="1" si="29"/>
        <v>0</v>
      </c>
      <c r="K210" s="2078">
        <f t="shared" ca="1" si="26"/>
        <v>0</v>
      </c>
      <c r="L210" s="1574">
        <f t="shared" ca="1" si="27"/>
        <v>0</v>
      </c>
      <c r="M210" s="1981" t="str">
        <f>VLOOKUP($B210,[5]BOLETIM_SEL!$A:$H,5,0)</f>
        <v>M0134</v>
      </c>
      <c r="N210" s="833"/>
      <c r="O210" s="833"/>
      <c r="Q210" s="833"/>
      <c r="R210" s="833"/>
      <c r="S210" s="833"/>
      <c r="T210" s="833"/>
      <c r="U210" s="833"/>
      <c r="V210" s="833"/>
      <c r="W210" s="833"/>
      <c r="X210" s="833"/>
    </row>
    <row r="211" spans="1:24" s="813" customFormat="1" ht="39.950000000000003" hidden="1" customHeight="1" x14ac:dyDescent="0.15">
      <c r="A211" s="2081">
        <f ca="1">Orçamento_Não_Deson!A211</f>
        <v>4.0799999999999983</v>
      </c>
      <c r="B211" s="834" t="str">
        <f>Orçamento_Não_Deson!B211</f>
        <v>DR/0730</v>
      </c>
      <c r="C211" s="2" t="str">
        <f>VLOOKUP($B211,[5]BOLETIM_SEL!$A:$H,2,0)</f>
        <v>COTAÇÃO - SICRO</v>
      </c>
      <c r="D211" s="315" t="str">
        <f>VLOOKUP($B211,[5]BOLETIM_SEL!$A:$H,4,0)</f>
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</c>
      <c r="E211" s="2" t="str">
        <f>Orçamento_Não_Deson!E211</f>
        <v>BDI insumo</v>
      </c>
      <c r="F211" s="2" t="str">
        <f>VLOOKUP($B211,[5]BOLETIM_SEL!$A:$H,6,0)</f>
        <v>m</v>
      </c>
      <c r="G211" s="1407">
        <f>VLOOKUP($B211,[5]BOLETIM_SEL!$A:$H,7,0)</f>
        <v>683.87049999999999</v>
      </c>
      <c r="H211" s="1613">
        <f ca="1">Orçamento_Não_Deson!H211</f>
        <v>0</v>
      </c>
      <c r="I211" s="2231">
        <f t="shared" si="33"/>
        <v>788.29</v>
      </c>
      <c r="J211" s="1612">
        <f t="shared" ca="1" si="29"/>
        <v>0</v>
      </c>
      <c r="K211" s="2078">
        <f t="shared" ca="1" si="26"/>
        <v>0</v>
      </c>
      <c r="L211" s="1574">
        <f t="shared" ca="1" si="27"/>
        <v>0</v>
      </c>
      <c r="M211" s="1981" t="str">
        <f>VLOOKUP($B211,[5]BOLETIM_SEL!$A:$H,5,0)</f>
        <v>M0135</v>
      </c>
      <c r="N211" s="833"/>
      <c r="O211" s="833"/>
      <c r="Q211" s="833"/>
      <c r="R211" s="833"/>
      <c r="S211" s="833"/>
      <c r="T211" s="833"/>
      <c r="U211" s="833"/>
      <c r="V211" s="833"/>
      <c r="W211" s="833"/>
      <c r="X211" s="833"/>
    </row>
    <row r="212" spans="1:24" s="813" customFormat="1" ht="39.950000000000003" hidden="1" customHeight="1" x14ac:dyDescent="0.15">
      <c r="A212" s="2081">
        <f ca="1">+Orçamento_Não_Deson!A212</f>
        <v>4.0799999999999983</v>
      </c>
      <c r="B212" s="834" t="str">
        <f>+Orçamento_Não_Deson!B212</f>
        <v>DR/0735</v>
      </c>
      <c r="C212" s="2" t="str">
        <f>VLOOKUP($B212,[5]BOLETIM_SEL!$A:$H,2,0)</f>
        <v>COTAÇÃO - SICRO</v>
      </c>
      <c r="D212" s="315" t="str">
        <f>VLOOKUP($B212,[5]BOLETIM_SEL!$A:$H,4,0)</f>
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</c>
      <c r="E212" s="2" t="str">
        <f>+Orçamento_Não_Deson!E212</f>
        <v>BDI insumo</v>
      </c>
      <c r="F212" s="2" t="str">
        <f>VLOOKUP($B212,[5]BOLETIM_SEL!$A:$H,6,0)</f>
        <v>m</v>
      </c>
      <c r="G212" s="1407">
        <f>VLOOKUP($B212,[5]BOLETIM_SEL!$A:$H,7,0)</f>
        <v>721.16010000000006</v>
      </c>
      <c r="H212" s="1613">
        <f ca="1">+Orçamento_Não_Deson!H212</f>
        <v>0</v>
      </c>
      <c r="I212" s="2231">
        <f t="shared" si="33"/>
        <v>831.28</v>
      </c>
      <c r="J212" s="1612">
        <f t="shared" ca="1" si="29"/>
        <v>0</v>
      </c>
      <c r="K212" s="2078">
        <f t="shared" ca="1" si="26"/>
        <v>0</v>
      </c>
      <c r="L212" s="1574">
        <f t="shared" ca="1" si="27"/>
        <v>0</v>
      </c>
      <c r="M212" s="1981" t="str">
        <f>VLOOKUP($B212,[5]BOLETIM_SEL!$A:$H,5,0)</f>
        <v>M0136</v>
      </c>
      <c r="N212" s="833"/>
      <c r="O212" s="833"/>
      <c r="Q212" s="833"/>
      <c r="R212" s="833"/>
      <c r="S212" s="833"/>
      <c r="T212" s="833"/>
      <c r="U212" s="833"/>
      <c r="V212" s="833"/>
      <c r="W212" s="833"/>
      <c r="X212" s="833"/>
    </row>
    <row r="213" spans="1:24" s="813" customFormat="1" ht="39.950000000000003" hidden="1" customHeight="1" x14ac:dyDescent="0.15">
      <c r="A213" s="2081">
        <f ca="1">Orçamento_Não_Deson!A213</f>
        <v>4.0799999999999983</v>
      </c>
      <c r="B213" s="834" t="str">
        <f>Orçamento_Não_Deson!B213</f>
        <v>DR/0740</v>
      </c>
      <c r="C213" s="2" t="str">
        <f>VLOOKUP($B213,[5]BOLETIM_SEL!$A:$H,2,0)</f>
        <v>COTAÇÃO - SICRO</v>
      </c>
      <c r="D213" s="315" t="str">
        <f>VLOOKUP($B213,[5]BOLETIM_SEL!$A:$H,4,0)</f>
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</c>
      <c r="E213" s="2" t="str">
        <f>Orçamento_Não_Deson!E213</f>
        <v>BDI insumo</v>
      </c>
      <c r="F213" s="2" t="str">
        <f>VLOOKUP($B213,[5]BOLETIM_SEL!$A:$H,6,0)</f>
        <v>m</v>
      </c>
      <c r="G213" s="1407">
        <f>VLOOKUP($B213,[5]BOLETIM_SEL!$A:$H,7,0)</f>
        <v>923.12440000000004</v>
      </c>
      <c r="H213" s="1613">
        <f ca="1">Orçamento_Não_Deson!H213</f>
        <v>0</v>
      </c>
      <c r="I213" s="2231">
        <f t="shared" si="33"/>
        <v>1064.08</v>
      </c>
      <c r="J213" s="1612">
        <f t="shared" ca="1" si="29"/>
        <v>0</v>
      </c>
      <c r="K213" s="2078">
        <f t="shared" ca="1" si="26"/>
        <v>0</v>
      </c>
      <c r="L213" s="1574">
        <f t="shared" ca="1" si="27"/>
        <v>0</v>
      </c>
      <c r="M213" s="1981" t="str">
        <f>VLOOKUP($B213,[5]BOLETIM_SEL!$A:$H,5,0)</f>
        <v>M0137</v>
      </c>
      <c r="N213" s="833"/>
      <c r="O213" s="833"/>
      <c r="Q213" s="833"/>
      <c r="R213" s="833"/>
      <c r="S213" s="833"/>
      <c r="T213" s="833"/>
      <c r="U213" s="833"/>
      <c r="V213" s="833"/>
      <c r="W213" s="833"/>
      <c r="X213" s="833"/>
    </row>
    <row r="214" spans="1:24" s="813" customFormat="1" ht="39.950000000000003" hidden="1" customHeight="1" x14ac:dyDescent="0.15">
      <c r="A214" s="2081">
        <f ca="1">Orçamento_Não_Deson!A214</f>
        <v>4.0799999999999983</v>
      </c>
      <c r="B214" s="834" t="str">
        <f>Orçamento_Não_Deson!B214</f>
        <v>DR/0750</v>
      </c>
      <c r="C214" s="2" t="str">
        <f>VLOOKUP($B214,[5]BOLETIM_SEL!$A:$H,2,0)</f>
        <v>COTAÇÃO - SICRO</v>
      </c>
      <c r="D214" s="315" t="str">
        <f>VLOOKUP($B214,[5]BOLETIM_SEL!$A:$H,4,0)</f>
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</c>
      <c r="E214" s="2" t="str">
        <f>Orçamento_Não_Deson!E214</f>
        <v>BDI insumo</v>
      </c>
      <c r="F214" s="2" t="str">
        <f>VLOOKUP($B214,[5]BOLETIM_SEL!$A:$H,6,0)</f>
        <v>m</v>
      </c>
      <c r="G214" s="1407">
        <f>VLOOKUP($B214,[5]BOLETIM_SEL!$A:$H,7,0)</f>
        <v>1285.0968</v>
      </c>
      <c r="H214" s="1613">
        <f ca="1">Orçamento_Não_Deson!H214</f>
        <v>0</v>
      </c>
      <c r="I214" s="2231">
        <f t="shared" si="33"/>
        <v>1481.33</v>
      </c>
      <c r="J214" s="1612">
        <f t="shared" ca="1" si="29"/>
        <v>0</v>
      </c>
      <c r="K214" s="2078">
        <f t="shared" ca="1" si="26"/>
        <v>0</v>
      </c>
      <c r="L214" s="1574">
        <f t="shared" ca="1" si="27"/>
        <v>0</v>
      </c>
      <c r="M214" s="1981" t="str">
        <f>VLOOKUP($B214,[5]BOLETIM_SEL!$A:$H,5,0)</f>
        <v>M0139</v>
      </c>
      <c r="N214" s="833"/>
      <c r="O214" s="833"/>
      <c r="Q214" s="833"/>
      <c r="R214" s="833"/>
      <c r="S214" s="833"/>
      <c r="T214" s="833"/>
      <c r="U214" s="833"/>
      <c r="V214" s="833"/>
      <c r="W214" s="833"/>
      <c r="X214" s="833"/>
    </row>
    <row r="215" spans="1:24" s="813" customFormat="1" ht="39.950000000000003" hidden="1" customHeight="1" x14ac:dyDescent="0.15">
      <c r="A215" s="2081">
        <f ca="1">+Orçamento_Não_Deson!A215</f>
        <v>4.0799999999999983</v>
      </c>
      <c r="B215" s="834" t="str">
        <f>+Orçamento_Não_Deson!B215</f>
        <v>DR/0760</v>
      </c>
      <c r="C215" s="2" t="str">
        <f>VLOOKUP($B215,[5]BOLETIM_SEL!$A:$H,2,0)</f>
        <v>COTAÇÃO - SICRO</v>
      </c>
      <c r="D215" s="315" t="str">
        <f>VLOOKUP($B215,[5]BOLETIM_SEL!$A:$H,4,0)</f>
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</c>
      <c r="E215" s="2" t="str">
        <f>+Orçamento_Não_Deson!E215</f>
        <v>BDI insumo</v>
      </c>
      <c r="F215" s="2" t="str">
        <f>VLOOKUP($B215,[5]BOLETIM_SEL!$A:$H,6,0)</f>
        <v>m</v>
      </c>
      <c r="G215" s="1407">
        <f>VLOOKUP($B215,[5]BOLETIM_SEL!$A:$H,7,0)</f>
        <v>1705.635</v>
      </c>
      <c r="H215" s="1613">
        <f ca="1">+Orçamento_Não_Deson!H215</f>
        <v>0</v>
      </c>
      <c r="I215" s="2231">
        <f t="shared" si="33"/>
        <v>1966.08</v>
      </c>
      <c r="J215" s="1612">
        <f t="shared" ca="1" si="29"/>
        <v>0</v>
      </c>
      <c r="K215" s="2078">
        <f t="shared" ref="K215:K242" ca="1" si="34">J215/J$967</f>
        <v>0</v>
      </c>
      <c r="L215" s="1574">
        <f t="shared" ca="1" si="27"/>
        <v>0</v>
      </c>
      <c r="M215" s="1981" t="str">
        <f>VLOOKUP($B215,[5]BOLETIM_SEL!$A:$H,5,0)</f>
        <v>M0142</v>
      </c>
      <c r="N215" s="833"/>
      <c r="O215" s="833"/>
      <c r="Q215" s="833"/>
      <c r="R215" s="833"/>
      <c r="S215" s="833"/>
      <c r="T215" s="833"/>
      <c r="U215" s="833"/>
      <c r="V215" s="833"/>
      <c r="W215" s="833"/>
      <c r="X215" s="833"/>
    </row>
    <row r="216" spans="1:24" s="813" customFormat="1" ht="39.950000000000003" hidden="1" customHeight="1" x14ac:dyDescent="0.15">
      <c r="A216" s="2081">
        <f ca="1">Orçamento_Não_Deson!A216</f>
        <v>4.0799999999999983</v>
      </c>
      <c r="B216" s="834" t="str">
        <f>Orçamento_Não_Deson!B216</f>
        <v>DR/0770</v>
      </c>
      <c r="C216" s="2" t="str">
        <f>VLOOKUP($B216,[5]BOLETIM_SEL!$A:$H,2,0)</f>
        <v>COTAÇÃO - SICRO</v>
      </c>
      <c r="D216" s="315" t="str">
        <f>VLOOKUP($B216,[5]BOLETIM_SEL!$A:$H,4,0)</f>
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</c>
      <c r="E216" s="2" t="str">
        <f>Orçamento_Não_Deson!E216</f>
        <v>BDI insumo</v>
      </c>
      <c r="F216" s="2" t="str">
        <f>VLOOKUP($B216,[5]BOLETIM_SEL!$A:$H,6,0)</f>
        <v>m</v>
      </c>
      <c r="G216" s="1407">
        <f>VLOOKUP($B216,[5]BOLETIM_SEL!$A:$H,7,0)</f>
        <v>2204.8613999999998</v>
      </c>
      <c r="H216" s="1613">
        <f ca="1">Orçamento_Não_Deson!H216</f>
        <v>0</v>
      </c>
      <c r="I216" s="2231">
        <f t="shared" si="33"/>
        <v>2541.54</v>
      </c>
      <c r="J216" s="1612">
        <f t="shared" ca="1" si="29"/>
        <v>0</v>
      </c>
      <c r="K216" s="2078">
        <f t="shared" ca="1" si="34"/>
        <v>0</v>
      </c>
      <c r="L216" s="1574">
        <f t="shared" ca="1" si="27"/>
        <v>0</v>
      </c>
      <c r="M216" s="1981" t="str">
        <f>VLOOKUP($B216,[5]BOLETIM_SEL!$A:$H,5,0)</f>
        <v>M0143</v>
      </c>
      <c r="N216" s="1964" t="s">
        <v>1962</v>
      </c>
      <c r="O216" s="1655" t="s">
        <v>1988</v>
      </c>
      <c r="Q216" s="833"/>
      <c r="R216" s="833"/>
      <c r="S216" s="833"/>
      <c r="T216" s="833"/>
      <c r="U216" s="833"/>
      <c r="V216" s="833"/>
      <c r="W216" s="833"/>
      <c r="X216" s="833"/>
    </row>
    <row r="217" spans="1:24" s="813" customFormat="1" ht="39.950000000000003" hidden="1" customHeight="1" x14ac:dyDescent="0.15">
      <c r="A217" s="2081">
        <f ca="1">+Orçamento_Não_Deson!A217</f>
        <v>4.0799999999999983</v>
      </c>
      <c r="B217" s="834" t="str">
        <f>+Orçamento_Não_Deson!B217</f>
        <v>DR/0060</v>
      </c>
      <c r="C217" s="2" t="str">
        <f>VLOOKUP($B217,[5]BOLETIM_SEL!$A:$H,2,0)</f>
        <v>COMPOSIÇÃO</v>
      </c>
      <c r="D217" s="315" t="str">
        <f>VLOOKUP($B217,[5]BOLETIM_SEL!$A:$H,4,0)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17" s="2">
        <f>+Orçamento_Não_Deson!E217</f>
        <v>0</v>
      </c>
      <c r="F217" s="2" t="str">
        <f>VLOOKUP($B217,[5]BOLETIM_SEL!$A:$H,6,0)</f>
        <v>M</v>
      </c>
      <c r="G217" s="1407">
        <f>VLOOKUP($B217,[5]BOLETIM_SEL!$A:$H,7,0)</f>
        <v>2.66</v>
      </c>
      <c r="H217" s="1613">
        <f>+Orçamento_Não_Deson!H217</f>
        <v>0</v>
      </c>
      <c r="I217" s="877">
        <f t="shared" ref="I217:I284" si="35">TRUNC(G217*(1+$J$5),2)</f>
        <v>3.37</v>
      </c>
      <c r="J217" s="1612">
        <f t="shared" si="29"/>
        <v>0</v>
      </c>
      <c r="K217" s="2078">
        <f t="shared" ca="1" si="34"/>
        <v>0</v>
      </c>
      <c r="L217" s="1574">
        <f t="shared" ca="1" si="27"/>
        <v>0</v>
      </c>
      <c r="M217" s="1980"/>
      <c r="N217" s="1968">
        <f>VLOOKUP($B217,[5]BOLETIM_SEL!$A:$H,5,0)</f>
        <v>0</v>
      </c>
      <c r="O217" s="1656" t="e">
        <f t="shared" ref="O217:O241" si="36">+H217/N217</f>
        <v>#DIV/0!</v>
      </c>
      <c r="Q217" s="833"/>
      <c r="R217" s="833"/>
      <c r="S217" s="833"/>
      <c r="T217" s="833"/>
      <c r="U217" s="833"/>
      <c r="V217" s="833"/>
      <c r="W217" s="833"/>
      <c r="X217" s="833"/>
    </row>
    <row r="218" spans="1:24" s="813" customFormat="1" ht="39.950000000000003" hidden="1" customHeight="1" x14ac:dyDescent="0.15">
      <c r="A218" s="2081">
        <f ca="1">+Orçamento_Não_Deson!A218</f>
        <v>4.0799999999999983</v>
      </c>
      <c r="B218" s="834" t="str">
        <f>+Orçamento_Não_Deson!B218</f>
        <v>DR/0070</v>
      </c>
      <c r="C218" s="2" t="str">
        <f>VLOOKUP($B218,[5]BOLETIM_SEL!$A:$H,2,0)</f>
        <v>COMPOSIÇÃO</v>
      </c>
      <c r="D218" s="315" t="str">
        <f>VLOOKUP($B218,[5]BOLETIM_SEL!$A:$H,4,0)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18" s="2">
        <f>+Orçamento_Não_Deson!E218</f>
        <v>0</v>
      </c>
      <c r="F218" s="2" t="str">
        <f>VLOOKUP($B218,[5]BOLETIM_SEL!$A:$H,6,0)</f>
        <v>M</v>
      </c>
      <c r="G218" s="1407">
        <f>VLOOKUP($B218,[5]BOLETIM_SEL!$A:$H,7,0)</f>
        <v>4.58</v>
      </c>
      <c r="H218" s="1613">
        <f ca="1">+Orçamento_Não_Deson!H218</f>
        <v>0</v>
      </c>
      <c r="I218" s="877">
        <f t="shared" si="35"/>
        <v>5.8</v>
      </c>
      <c r="J218" s="1612">
        <f t="shared" ca="1" si="29"/>
        <v>0</v>
      </c>
      <c r="K218" s="2078">
        <f t="shared" ca="1" si="34"/>
        <v>0</v>
      </c>
      <c r="L218" s="1574">
        <f t="shared" ca="1" si="27"/>
        <v>0</v>
      </c>
      <c r="M218" s="1980"/>
      <c r="N218" s="1968">
        <f>VLOOKUP($B218,[5]BOLETIM_SEL!$A:$H,5,0)</f>
        <v>0</v>
      </c>
      <c r="O218" s="1656" t="e">
        <f t="shared" ca="1" si="36"/>
        <v>#DIV/0!</v>
      </c>
      <c r="Q218" s="833"/>
      <c r="R218" s="833"/>
      <c r="S218" s="833"/>
      <c r="T218" s="833"/>
      <c r="U218" s="833"/>
      <c r="V218" s="833"/>
      <c r="W218" s="833"/>
      <c r="X218" s="833"/>
    </row>
    <row r="219" spans="1:24" s="813" customFormat="1" ht="39.950000000000003" hidden="1" customHeight="1" x14ac:dyDescent="0.15">
      <c r="A219" s="2081">
        <f ca="1">Orçamento_Não_Deson!A219</f>
        <v>4.0799999999999983</v>
      </c>
      <c r="B219" s="834">
        <f>Orçamento_Não_Deson!B219</f>
        <v>90747</v>
      </c>
      <c r="C219" s="2" t="str">
        <f>VLOOKUP($B219,[5]BOLETIM_SEL!$A:$H,2,0)</f>
        <v>SINAPI</v>
      </c>
      <c r="D219" s="315" t="str">
        <f>VLOOKUP($B219,[5]BOLETIM_SEL!$A:$H,4,0)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19" s="2">
        <f>Orçamento_Não_Deson!E219</f>
        <v>0</v>
      </c>
      <c r="F219" s="2" t="str">
        <f>VLOOKUP($B219,[5]BOLETIM_SEL!$A:$H,6,0)</f>
        <v>M</v>
      </c>
      <c r="G219" s="1407">
        <f>VLOOKUP($B219,[5]BOLETIM_SEL!$A:$H,7,0)</f>
        <v>15.64</v>
      </c>
      <c r="H219" s="1613">
        <f ca="1">Orçamento_Não_Deson!H219</f>
        <v>0</v>
      </c>
      <c r="I219" s="877">
        <f t="shared" si="35"/>
        <v>19.82</v>
      </c>
      <c r="J219" s="1612">
        <f t="shared" ca="1" si="29"/>
        <v>0</v>
      </c>
      <c r="K219" s="2078">
        <f t="shared" ca="1" si="34"/>
        <v>0</v>
      </c>
      <c r="L219" s="1574">
        <f t="shared" ca="1" si="27"/>
        <v>0</v>
      </c>
      <c r="M219" s="1980"/>
      <c r="N219" s="1968">
        <f>VLOOKUP($B219,[5]BOLETIM_SEL!$A:$H,5,0)</f>
        <v>0</v>
      </c>
      <c r="O219" s="1656" t="e">
        <f ca="1">H219/N219</f>
        <v>#DIV/0!</v>
      </c>
      <c r="Q219" s="833"/>
      <c r="R219" s="833"/>
      <c r="S219" s="833"/>
      <c r="T219" s="833"/>
      <c r="U219" s="833"/>
      <c r="V219" s="833"/>
      <c r="W219" s="833"/>
      <c r="X219" s="833"/>
    </row>
    <row r="220" spans="1:24" s="813" customFormat="1" ht="39.950000000000003" hidden="1" customHeight="1" x14ac:dyDescent="0.15">
      <c r="A220" s="2081">
        <f ca="1">Orçamento_Não_Deson!A220</f>
        <v>4.0799999999999983</v>
      </c>
      <c r="B220" s="834" t="str">
        <f>Orçamento_Não_Deson!B220</f>
        <v>DR/0080</v>
      </c>
      <c r="C220" s="2" t="str">
        <f>VLOOKUP($B220,[5]BOLETIM_SEL!$A:$H,2,0)</f>
        <v>COMPOSIÇÃO</v>
      </c>
      <c r="D220" s="315" t="str">
        <f>VLOOKUP($B220,[5]BOLETIM_SEL!$A:$H,4,0)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20" s="2">
        <f>Orçamento_Não_Deson!E220</f>
        <v>0</v>
      </c>
      <c r="F220" s="2" t="str">
        <f>VLOOKUP($B220,[5]BOLETIM_SEL!$A:$H,6,0)</f>
        <v>M</v>
      </c>
      <c r="G220" s="1407">
        <f>VLOOKUP($B220,[5]BOLETIM_SEL!$A:$H,7,0)</f>
        <v>25.75</v>
      </c>
      <c r="H220" s="1613">
        <f ca="1">Orçamento_Não_Deson!H220</f>
        <v>0</v>
      </c>
      <c r="I220" s="877">
        <f t="shared" si="35"/>
        <v>32.630000000000003</v>
      </c>
      <c r="J220" s="1612">
        <f t="shared" ca="1" si="29"/>
        <v>0</v>
      </c>
      <c r="K220" s="2078">
        <f t="shared" ca="1" si="34"/>
        <v>0</v>
      </c>
      <c r="L220" s="1574">
        <f t="shared" ca="1" si="27"/>
        <v>0</v>
      </c>
      <c r="M220" s="1980"/>
      <c r="N220" s="1968">
        <f>VLOOKUP($B220,[5]BOLETIM_SEL!$A:$H,5,0)</f>
        <v>0</v>
      </c>
      <c r="O220" s="1656" t="e">
        <f ca="1">H220/N220</f>
        <v>#DIV/0!</v>
      </c>
      <c r="Q220" s="833"/>
      <c r="R220" s="833"/>
      <c r="S220" s="833"/>
      <c r="T220" s="833"/>
      <c r="U220" s="833"/>
      <c r="V220" s="833"/>
      <c r="W220" s="833"/>
      <c r="X220" s="833"/>
    </row>
    <row r="221" spans="1:24" s="813" customFormat="1" ht="39.950000000000003" hidden="1" customHeight="1" x14ac:dyDescent="0.15">
      <c r="A221" s="2081">
        <f ca="1">+Orçamento_Não_Deson!A221</f>
        <v>4.0799999999999983</v>
      </c>
      <c r="B221" s="834">
        <f>+Orçamento_Não_Deson!B221</f>
        <v>94876</v>
      </c>
      <c r="C221" s="2" t="str">
        <f>VLOOKUP($B221,[5]BOLETIM_SEL!$A:$H,2,0)</f>
        <v>SINAPI</v>
      </c>
      <c r="D221" s="315" t="str">
        <f>VLOOKUP($B221,[5]BOLETIM_SEL!$A:$H,4,0)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21" s="2">
        <f>+Orçamento_Não_Deson!E221</f>
        <v>0</v>
      </c>
      <c r="F221" s="2" t="str">
        <f>VLOOKUP($B221,[5]BOLETIM_SEL!$A:$H,6,0)</f>
        <v>M</v>
      </c>
      <c r="G221" s="1407">
        <f>VLOOKUP($B221,[5]BOLETIM_SEL!$A:$H,7,0)</f>
        <v>26.82</v>
      </c>
      <c r="H221" s="1613">
        <f ca="1">+Orçamento_Não_Deson!H221</f>
        <v>0</v>
      </c>
      <c r="I221" s="877">
        <f t="shared" si="35"/>
        <v>33.99</v>
      </c>
      <c r="J221" s="1612">
        <f t="shared" ca="1" si="29"/>
        <v>0</v>
      </c>
      <c r="K221" s="2078">
        <f t="shared" ca="1" si="34"/>
        <v>0</v>
      </c>
      <c r="L221" s="1574">
        <f t="shared" ca="1" si="27"/>
        <v>0</v>
      </c>
      <c r="M221" s="1980"/>
      <c r="N221" s="1968">
        <f>VLOOKUP($B221,[5]BOLETIM_SEL!$A:$H,5,0)</f>
        <v>0</v>
      </c>
      <c r="O221" s="1656" t="e">
        <f t="shared" ca="1" si="36"/>
        <v>#DIV/0!</v>
      </c>
      <c r="Q221" s="833"/>
      <c r="R221" s="833"/>
      <c r="S221" s="833"/>
      <c r="T221" s="833"/>
      <c r="U221" s="833"/>
      <c r="V221" s="833"/>
      <c r="W221" s="833"/>
      <c r="X221" s="833"/>
    </row>
    <row r="222" spans="1:24" s="813" customFormat="1" ht="39.950000000000003" hidden="1" customHeight="1" x14ac:dyDescent="0.15">
      <c r="A222" s="2081">
        <f ca="1">Orçamento_Não_Deson!A222</f>
        <v>4.0799999999999983</v>
      </c>
      <c r="B222" s="834">
        <f>Orçamento_Não_Deson!B222</f>
        <v>94878</v>
      </c>
      <c r="C222" s="2" t="str">
        <f>VLOOKUP($B222,[5]BOLETIM_SEL!$A:$H,2,0)</f>
        <v>SINAPI</v>
      </c>
      <c r="D222" s="315" t="str">
        <f>VLOOKUP($B222,[5]BOLETIM_SEL!$A:$H,4,0)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22" s="2">
        <f>Orçamento_Não_Deson!E222</f>
        <v>0</v>
      </c>
      <c r="F222" s="2" t="str">
        <f>VLOOKUP($B222,[5]BOLETIM_SEL!$A:$H,6,0)</f>
        <v>M</v>
      </c>
      <c r="G222" s="1407">
        <f>VLOOKUP($B222,[5]BOLETIM_SEL!$A:$H,7,0)</f>
        <v>30.93</v>
      </c>
      <c r="H222" s="1613">
        <f ca="1">Orçamento_Não_Deson!H222</f>
        <v>0</v>
      </c>
      <c r="I222" s="877">
        <f t="shared" si="35"/>
        <v>39.200000000000003</v>
      </c>
      <c r="J222" s="1612">
        <f t="shared" ca="1" si="29"/>
        <v>0</v>
      </c>
      <c r="K222" s="2078">
        <f t="shared" ca="1" si="34"/>
        <v>0</v>
      </c>
      <c r="L222" s="1574">
        <f t="shared" ca="1" si="27"/>
        <v>0</v>
      </c>
      <c r="M222" s="1980"/>
      <c r="N222" s="1968">
        <f>VLOOKUP($B222,[5]BOLETIM_SEL!$A:$H,5,0)</f>
        <v>0</v>
      </c>
      <c r="O222" s="1656" t="e">
        <f ca="1">H222/N222</f>
        <v>#DIV/0!</v>
      </c>
      <c r="Q222" s="833"/>
      <c r="R222" s="833"/>
      <c r="S222" s="833"/>
      <c r="T222" s="833"/>
      <c r="U222" s="833"/>
      <c r="V222" s="833"/>
      <c r="W222" s="833"/>
      <c r="X222" s="833"/>
    </row>
    <row r="223" spans="1:24" s="813" customFormat="1" ht="39.950000000000003" hidden="1" customHeight="1" x14ac:dyDescent="0.15">
      <c r="A223" s="2081">
        <f ca="1">Orçamento_Não_Deson!A223</f>
        <v>4.0799999999999983</v>
      </c>
      <c r="B223" s="834">
        <f>Orçamento_Não_Deson!B223</f>
        <v>94880</v>
      </c>
      <c r="C223" s="2" t="str">
        <f>VLOOKUP($B223,[5]BOLETIM_SEL!$A:$H,2,0)</f>
        <v>SINAPI</v>
      </c>
      <c r="D223" s="315" t="str">
        <f>VLOOKUP($B223,[5]BOLETIM_SEL!$A:$H,4,0)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23" s="2">
        <f>Orçamento_Não_Deson!E223</f>
        <v>0</v>
      </c>
      <c r="F223" s="2" t="str">
        <f>VLOOKUP($B223,[5]BOLETIM_SEL!$A:$H,6,0)</f>
        <v>M</v>
      </c>
      <c r="G223" s="1407">
        <f>VLOOKUP($B223,[5]BOLETIM_SEL!$A:$H,7,0)</f>
        <v>40.31</v>
      </c>
      <c r="H223" s="1613">
        <f ca="1">Orçamento_Não_Deson!H223</f>
        <v>0</v>
      </c>
      <c r="I223" s="877">
        <f t="shared" si="35"/>
        <v>51.08</v>
      </c>
      <c r="J223" s="1612">
        <f t="shared" ca="1" si="29"/>
        <v>0</v>
      </c>
      <c r="K223" s="2078">
        <f t="shared" ca="1" si="34"/>
        <v>0</v>
      </c>
      <c r="L223" s="1574">
        <f t="shared" ca="1" si="27"/>
        <v>0</v>
      </c>
      <c r="M223" s="1980"/>
      <c r="N223" s="1968">
        <f>VLOOKUP($B223,[5]BOLETIM_SEL!$A:$H,5,0)</f>
        <v>0</v>
      </c>
      <c r="O223" s="1656" t="e">
        <f ca="1">H223/N223</f>
        <v>#DIV/0!</v>
      </c>
      <c r="Q223" s="833"/>
      <c r="R223" s="833"/>
      <c r="S223" s="833"/>
      <c r="T223" s="833"/>
      <c r="U223" s="833"/>
      <c r="V223" s="833"/>
      <c r="W223" s="833"/>
      <c r="X223" s="833"/>
    </row>
    <row r="224" spans="1:24" s="813" customFormat="1" ht="39.950000000000003" hidden="1" customHeight="1" x14ac:dyDescent="0.15">
      <c r="A224" s="2081">
        <f ca="1">+Orçamento_Não_Deson!A224</f>
        <v>4.0799999999999983</v>
      </c>
      <c r="B224" s="834">
        <f>+Orçamento_Não_Deson!B224</f>
        <v>94882</v>
      </c>
      <c r="C224" s="2" t="str">
        <f>VLOOKUP($B224,[5]BOLETIM_SEL!$A:$H,2,0)</f>
        <v>SINAPI</v>
      </c>
      <c r="D224" s="315" t="str">
        <f>VLOOKUP($B224,[5]BOLETIM_SEL!$A:$H,4,0)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24" s="2">
        <f>+Orçamento_Não_Deson!E224</f>
        <v>0</v>
      </c>
      <c r="F224" s="2" t="str">
        <f>VLOOKUP($B224,[5]BOLETIM_SEL!$A:$H,6,0)</f>
        <v>M</v>
      </c>
      <c r="G224" s="1407">
        <f>VLOOKUP($B224,[5]BOLETIM_SEL!$A:$H,7,0)</f>
        <v>46.64</v>
      </c>
      <c r="H224" s="1613">
        <f ca="1">+Orçamento_Não_Deson!H224</f>
        <v>0</v>
      </c>
      <c r="I224" s="877">
        <f t="shared" si="35"/>
        <v>59.11</v>
      </c>
      <c r="J224" s="1612">
        <f t="shared" ca="1" si="29"/>
        <v>0</v>
      </c>
      <c r="K224" s="2078">
        <f t="shared" ca="1" si="34"/>
        <v>0</v>
      </c>
      <c r="L224" s="1574">
        <f t="shared" ca="1" si="27"/>
        <v>0</v>
      </c>
      <c r="M224" s="1980"/>
      <c r="N224" s="1968">
        <f>VLOOKUP($B224,[5]BOLETIM_SEL!$A:$H,5,0)</f>
        <v>0</v>
      </c>
      <c r="O224" s="1656" t="e">
        <f t="shared" ca="1" si="36"/>
        <v>#DIV/0!</v>
      </c>
      <c r="Q224" s="833"/>
      <c r="R224" s="833"/>
      <c r="S224" s="833"/>
      <c r="T224" s="833"/>
      <c r="U224" s="833"/>
      <c r="V224" s="833"/>
      <c r="W224" s="833"/>
      <c r="X224" s="833"/>
    </row>
    <row r="225" spans="1:24" s="813" customFormat="1" ht="39.950000000000003" hidden="1" customHeight="1" x14ac:dyDescent="0.15">
      <c r="A225" s="2081">
        <f ca="1">+Orçamento_Não_Deson!A225</f>
        <v>4.0799999999999983</v>
      </c>
      <c r="B225" s="834">
        <f>+Orçamento_Não_Deson!B225</f>
        <v>94884</v>
      </c>
      <c r="C225" s="2" t="str">
        <f>VLOOKUP($B225,[5]BOLETIM_SEL!$A:$H,2,0)</f>
        <v>SINAPI</v>
      </c>
      <c r="D225" s="315" t="str">
        <f>VLOOKUP($B225,[5]BOLETIM_SEL!$A:$H,4,0)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25" s="2">
        <f>+Orçamento_Não_Deson!E225</f>
        <v>0</v>
      </c>
      <c r="F225" s="2" t="str">
        <f>VLOOKUP($B225,[5]BOLETIM_SEL!$A:$H,6,0)</f>
        <v>M</v>
      </c>
      <c r="G225" s="1407">
        <f>VLOOKUP($B225,[5]BOLETIM_SEL!$A:$H,7,0)</f>
        <v>59.49</v>
      </c>
      <c r="H225" s="1613">
        <f ca="1">+Orçamento_Não_Deson!H225</f>
        <v>0</v>
      </c>
      <c r="I225" s="877">
        <f t="shared" si="35"/>
        <v>75.39</v>
      </c>
      <c r="J225" s="1612">
        <f t="shared" ca="1" si="29"/>
        <v>0</v>
      </c>
      <c r="K225" s="2078">
        <f t="shared" ca="1" si="34"/>
        <v>0</v>
      </c>
      <c r="L225" s="1574">
        <f t="shared" ca="1" si="27"/>
        <v>0</v>
      </c>
      <c r="M225" s="1980"/>
      <c r="N225" s="1968">
        <f>VLOOKUP($B225,[5]BOLETIM_SEL!$A:$H,5,0)</f>
        <v>0</v>
      </c>
      <c r="O225" s="1656" t="e">
        <f t="shared" ca="1" si="36"/>
        <v>#DIV/0!</v>
      </c>
      <c r="Q225" s="833"/>
      <c r="R225" s="833"/>
      <c r="S225" s="833"/>
      <c r="T225" s="833"/>
      <c r="U225" s="833"/>
      <c r="V225" s="833"/>
      <c r="W225" s="833"/>
      <c r="X225" s="833"/>
    </row>
    <row r="226" spans="1:24" s="813" customFormat="1" ht="39.950000000000003" hidden="1" customHeight="1" x14ac:dyDescent="0.15">
      <c r="A226" s="2081">
        <f ca="1">+Orçamento_Não_Deson!A226</f>
        <v>4.0799999999999983</v>
      </c>
      <c r="B226" s="834" t="str">
        <f>+Orçamento_Não_Deson!B226</f>
        <v>DR/0060</v>
      </c>
      <c r="C226" s="2" t="str">
        <f>VLOOKUP($B226,[5]BOLETIM_SEL!$A:$H,2,0)</f>
        <v>COMPOSIÇÃO</v>
      </c>
      <c r="D226" s="315" t="str">
        <f>VLOOKUP($B226,[5]BOLETIM_SEL!$A:$H,4,0)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26" s="2">
        <f>+Orçamento_Não_Deson!E226</f>
        <v>0</v>
      </c>
      <c r="F226" s="2" t="str">
        <f>VLOOKUP($B226,[5]BOLETIM_SEL!$A:$H,6,0)</f>
        <v>M</v>
      </c>
      <c r="G226" s="1407">
        <f>VLOOKUP($B226,[5]BOLETIM_SEL!$A:$H,7,0)</f>
        <v>2.66</v>
      </c>
      <c r="H226" s="1613">
        <f>+Orçamento_Não_Deson!H226</f>
        <v>0</v>
      </c>
      <c r="I226" s="877">
        <f t="shared" si="35"/>
        <v>3.37</v>
      </c>
      <c r="J226" s="1612">
        <f t="shared" si="29"/>
        <v>0</v>
      </c>
      <c r="K226" s="2078">
        <f t="shared" ca="1" si="34"/>
        <v>0</v>
      </c>
      <c r="L226" s="1574">
        <f t="shared" ca="1" si="27"/>
        <v>0</v>
      </c>
      <c r="M226" s="1980"/>
      <c r="N226" s="1968">
        <f>VLOOKUP($B226,[5]BOLETIM_SEL!$A:$H,5,0)</f>
        <v>0</v>
      </c>
      <c r="O226" s="1656" t="e">
        <f t="shared" si="36"/>
        <v>#DIV/0!</v>
      </c>
      <c r="Q226" s="833"/>
      <c r="R226" s="833"/>
      <c r="S226" s="833"/>
      <c r="T226" s="833"/>
      <c r="U226" s="833"/>
      <c r="V226" s="833"/>
      <c r="W226" s="833"/>
      <c r="X226" s="833"/>
    </row>
    <row r="227" spans="1:24" s="813" customFormat="1" ht="39.950000000000003" hidden="1" customHeight="1" x14ac:dyDescent="0.15">
      <c r="A227" s="2081">
        <f ca="1">+Orçamento_Não_Deson!A227</f>
        <v>4.0799999999999983</v>
      </c>
      <c r="B227" s="834" t="str">
        <f>+Orçamento_Não_Deson!B227</f>
        <v>DR/0070</v>
      </c>
      <c r="C227" s="2" t="str">
        <f>VLOOKUP($B227,[5]BOLETIM_SEL!$A:$H,2,0)</f>
        <v>COMPOSIÇÃO</v>
      </c>
      <c r="D227" s="315" t="str">
        <f>VLOOKUP($B227,[5]BOLETIM_SEL!$A:$H,4,0)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27" s="2">
        <f>+Orçamento_Não_Deson!E227</f>
        <v>0</v>
      </c>
      <c r="F227" s="2" t="str">
        <f>VLOOKUP($B227,[5]BOLETIM_SEL!$A:$H,6,0)</f>
        <v>M</v>
      </c>
      <c r="G227" s="1407">
        <f>VLOOKUP($B227,[5]BOLETIM_SEL!$A:$H,7,0)</f>
        <v>4.58</v>
      </c>
      <c r="H227" s="1613">
        <f ca="1">+Orçamento_Não_Deson!H227</f>
        <v>0</v>
      </c>
      <c r="I227" s="877">
        <f t="shared" si="35"/>
        <v>5.8</v>
      </c>
      <c r="J227" s="1612">
        <f t="shared" ca="1" si="29"/>
        <v>0</v>
      </c>
      <c r="K227" s="2078">
        <f t="shared" ca="1" si="34"/>
        <v>0</v>
      </c>
      <c r="L227" s="1574">
        <f t="shared" ca="1" si="27"/>
        <v>0</v>
      </c>
      <c r="M227" s="1980"/>
      <c r="N227" s="1968">
        <f>VLOOKUP($B227,[5]BOLETIM_SEL!$A:$H,5,0)</f>
        <v>0</v>
      </c>
      <c r="O227" s="1656" t="e">
        <f t="shared" ca="1" si="36"/>
        <v>#DIV/0!</v>
      </c>
      <c r="Q227" s="833"/>
      <c r="R227" s="833"/>
      <c r="S227" s="833"/>
      <c r="T227" s="833"/>
      <c r="U227" s="833"/>
      <c r="V227" s="833"/>
      <c r="W227" s="833"/>
      <c r="X227" s="833"/>
    </row>
    <row r="228" spans="1:24" s="813" customFormat="1" ht="39.950000000000003" hidden="1" customHeight="1" x14ac:dyDescent="0.15">
      <c r="A228" s="2081">
        <f ca="1">+Orçamento_Não_Deson!A228</f>
        <v>4.0799999999999983</v>
      </c>
      <c r="B228" s="834">
        <f>+Orçamento_Não_Deson!B228</f>
        <v>90747</v>
      </c>
      <c r="C228" s="2" t="str">
        <f>VLOOKUP($B228,[5]BOLETIM_SEL!$A:$H,2,0)</f>
        <v>SINAPI</v>
      </c>
      <c r="D228" s="315" t="str">
        <f>VLOOKUP($B228,[5]BOLETIM_SEL!$A:$H,4,0)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28" s="2">
        <f>+Orçamento_Não_Deson!E228</f>
        <v>0</v>
      </c>
      <c r="F228" s="2" t="str">
        <f>VLOOKUP($B228,[5]BOLETIM_SEL!$A:$H,6,0)</f>
        <v>M</v>
      </c>
      <c r="G228" s="1407">
        <f>VLOOKUP($B228,[5]BOLETIM_SEL!$A:$H,7,0)</f>
        <v>15.64</v>
      </c>
      <c r="H228" s="1613">
        <f ca="1">+Orçamento_Não_Deson!H228</f>
        <v>0</v>
      </c>
      <c r="I228" s="877">
        <f t="shared" si="35"/>
        <v>19.82</v>
      </c>
      <c r="J228" s="1612">
        <f t="shared" ca="1" si="29"/>
        <v>0</v>
      </c>
      <c r="K228" s="2078">
        <f t="shared" ca="1" si="34"/>
        <v>0</v>
      </c>
      <c r="L228" s="1574">
        <f t="shared" ca="1" si="27"/>
        <v>0</v>
      </c>
      <c r="M228" s="1980"/>
      <c r="N228" s="1968">
        <f>VLOOKUP($B228,[5]BOLETIM_SEL!$A:$H,5,0)</f>
        <v>0</v>
      </c>
      <c r="O228" s="1656" t="e">
        <f t="shared" ca="1" si="36"/>
        <v>#DIV/0!</v>
      </c>
      <c r="Q228" s="833"/>
      <c r="R228" s="833"/>
      <c r="S228" s="833"/>
      <c r="T228" s="833"/>
      <c r="U228" s="833"/>
      <c r="V228" s="833"/>
      <c r="W228" s="833"/>
      <c r="X228" s="833"/>
    </row>
    <row r="229" spans="1:24" s="813" customFormat="1" ht="39.950000000000003" hidden="1" customHeight="1" x14ac:dyDescent="0.15">
      <c r="A229" s="2081">
        <f ca="1">+Orçamento_Não_Deson!A229</f>
        <v>4.0799999999999983</v>
      </c>
      <c r="B229" s="834">
        <f>+Orçamento_Não_Deson!B229</f>
        <v>94876</v>
      </c>
      <c r="C229" s="2" t="str">
        <f>VLOOKUP($B229,[5]BOLETIM_SEL!$A:$H,2,0)</f>
        <v>SINAPI</v>
      </c>
      <c r="D229" s="315" t="str">
        <f>VLOOKUP($B229,[5]BOLETIM_SEL!$A:$H,4,0)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29" s="2">
        <f>+Orçamento_Não_Deson!E229</f>
        <v>0</v>
      </c>
      <c r="F229" s="2" t="str">
        <f>VLOOKUP($B229,[5]BOLETIM_SEL!$A:$H,6,0)</f>
        <v>M</v>
      </c>
      <c r="G229" s="1407">
        <f>VLOOKUP($B229,[5]BOLETIM_SEL!$A:$H,7,0)</f>
        <v>26.82</v>
      </c>
      <c r="H229" s="1613">
        <f ca="1">+Orçamento_Não_Deson!H229</f>
        <v>0</v>
      </c>
      <c r="I229" s="877">
        <f t="shared" si="35"/>
        <v>33.99</v>
      </c>
      <c r="J229" s="1612">
        <f t="shared" ca="1" si="29"/>
        <v>0</v>
      </c>
      <c r="K229" s="2078">
        <f t="shared" ca="1" si="34"/>
        <v>0</v>
      </c>
      <c r="L229" s="1574">
        <f t="shared" ca="1" si="27"/>
        <v>0</v>
      </c>
      <c r="M229" s="1980"/>
      <c r="N229" s="1968">
        <f>VLOOKUP($B229,[5]BOLETIM_SEL!$A:$H,5,0)</f>
        <v>0</v>
      </c>
      <c r="O229" s="1656" t="e">
        <f t="shared" ca="1" si="36"/>
        <v>#DIV/0!</v>
      </c>
      <c r="Q229" s="833"/>
      <c r="R229" s="833"/>
      <c r="S229" s="833"/>
      <c r="T229" s="833"/>
      <c r="U229" s="833"/>
      <c r="V229" s="833"/>
      <c r="W229" s="833"/>
      <c r="X229" s="833"/>
    </row>
    <row r="230" spans="1:24" s="813" customFormat="1" ht="39.950000000000003" hidden="1" customHeight="1" x14ac:dyDescent="0.15">
      <c r="A230" s="2081">
        <f ca="1">+Orçamento_Não_Deson!A230</f>
        <v>4.0799999999999983</v>
      </c>
      <c r="B230" s="834" t="str">
        <f>+Orçamento_Não_Deson!B230</f>
        <v>DR/0080</v>
      </c>
      <c r="C230" s="2" t="str">
        <f>VLOOKUP($B230,[5]BOLETIM_SEL!$A:$H,2,0)</f>
        <v>COMPOSIÇÃO</v>
      </c>
      <c r="D230" s="315" t="str">
        <f>VLOOKUP($B230,[5]BOLETIM_SEL!$A:$H,4,0)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30" s="2">
        <f>+Orçamento_Não_Deson!E230</f>
        <v>0</v>
      </c>
      <c r="F230" s="2" t="str">
        <f>VLOOKUP($B230,[5]BOLETIM_SEL!$A:$H,6,0)</f>
        <v>M</v>
      </c>
      <c r="G230" s="1407">
        <f>VLOOKUP($B230,[5]BOLETIM_SEL!$A:$H,7,0)</f>
        <v>25.75</v>
      </c>
      <c r="H230" s="1613">
        <f ca="1">+Orçamento_Não_Deson!H230</f>
        <v>0</v>
      </c>
      <c r="I230" s="877">
        <f t="shared" si="35"/>
        <v>32.630000000000003</v>
      </c>
      <c r="J230" s="1612">
        <f t="shared" ca="1" si="29"/>
        <v>0</v>
      </c>
      <c r="K230" s="2078">
        <f t="shared" ca="1" si="34"/>
        <v>0</v>
      </c>
      <c r="L230" s="1574">
        <f t="shared" ca="1" si="27"/>
        <v>0</v>
      </c>
      <c r="M230" s="1980"/>
      <c r="N230" s="1968">
        <f>VLOOKUP($B230,[5]BOLETIM_SEL!$A:$H,5,0)</f>
        <v>0</v>
      </c>
      <c r="O230" s="1656" t="e">
        <f t="shared" ca="1" si="36"/>
        <v>#DIV/0!</v>
      </c>
      <c r="Q230" s="833"/>
      <c r="R230" s="833"/>
      <c r="S230" s="833"/>
      <c r="T230" s="833"/>
      <c r="U230" s="833"/>
      <c r="V230" s="833"/>
      <c r="W230" s="833"/>
      <c r="X230" s="833"/>
    </row>
    <row r="231" spans="1:24" s="813" customFormat="1" ht="39.950000000000003" hidden="1" customHeight="1" x14ac:dyDescent="0.15">
      <c r="A231" s="2081">
        <f ca="1">+Orçamento_Não_Deson!A231</f>
        <v>4.0799999999999983</v>
      </c>
      <c r="B231" s="834">
        <f>+Orçamento_Não_Deson!B231</f>
        <v>94878</v>
      </c>
      <c r="C231" s="2" t="str">
        <f>VLOOKUP($B231,[5]BOLETIM_SEL!$A:$H,2,0)</f>
        <v>SINAPI</v>
      </c>
      <c r="D231" s="315" t="str">
        <f>VLOOKUP($B231,[5]BOLETIM_SEL!$A:$H,4,0)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31" s="2">
        <f>+Orçamento_Não_Deson!E231</f>
        <v>0</v>
      </c>
      <c r="F231" s="2" t="str">
        <f>VLOOKUP($B231,[5]BOLETIM_SEL!$A:$H,6,0)</f>
        <v>M</v>
      </c>
      <c r="G231" s="1407">
        <f>VLOOKUP($B231,[5]BOLETIM_SEL!$A:$H,7,0)</f>
        <v>30.93</v>
      </c>
      <c r="H231" s="1613">
        <f ca="1">+Orçamento_Não_Deson!H231</f>
        <v>0</v>
      </c>
      <c r="I231" s="877">
        <f t="shared" si="35"/>
        <v>39.200000000000003</v>
      </c>
      <c r="J231" s="1612">
        <f t="shared" ca="1" si="29"/>
        <v>0</v>
      </c>
      <c r="K231" s="2078">
        <f t="shared" ca="1" si="34"/>
        <v>0</v>
      </c>
      <c r="L231" s="1574">
        <f t="shared" ca="1" si="27"/>
        <v>0</v>
      </c>
      <c r="M231" s="1980"/>
      <c r="N231" s="1968">
        <f>VLOOKUP($B231,[5]BOLETIM_SEL!$A:$H,5,0)</f>
        <v>0</v>
      </c>
      <c r="O231" s="1656" t="e">
        <f t="shared" ca="1" si="36"/>
        <v>#DIV/0!</v>
      </c>
      <c r="Q231" s="833"/>
      <c r="R231" s="833"/>
      <c r="S231" s="833"/>
      <c r="T231" s="833"/>
      <c r="U231" s="833"/>
      <c r="V231" s="833"/>
      <c r="W231" s="833"/>
      <c r="X231" s="833"/>
    </row>
    <row r="232" spans="1:24" s="813" customFormat="1" ht="39.950000000000003" hidden="1" customHeight="1" x14ac:dyDescent="0.15">
      <c r="A232" s="2081">
        <f ca="1">+Orçamento_Não_Deson!A232</f>
        <v>4.0799999999999983</v>
      </c>
      <c r="B232" s="834">
        <f>+Orçamento_Não_Deson!B232</f>
        <v>94880</v>
      </c>
      <c r="C232" s="2" t="str">
        <f>VLOOKUP($B232,[5]BOLETIM_SEL!$A:$H,2,0)</f>
        <v>SINAPI</v>
      </c>
      <c r="D232" s="315" t="str">
        <f>VLOOKUP($B232,[5]BOLETIM_SEL!$A:$H,4,0)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32" s="2">
        <f>+Orçamento_Não_Deson!E232</f>
        <v>0</v>
      </c>
      <c r="F232" s="2" t="str">
        <f>VLOOKUP($B232,[5]BOLETIM_SEL!$A:$H,6,0)</f>
        <v>M</v>
      </c>
      <c r="G232" s="1407">
        <f>VLOOKUP($B232,[5]BOLETIM_SEL!$A:$H,7,0)</f>
        <v>40.31</v>
      </c>
      <c r="H232" s="1613">
        <f ca="1">+Orçamento_Não_Deson!H232</f>
        <v>0</v>
      </c>
      <c r="I232" s="877">
        <f t="shared" si="35"/>
        <v>51.08</v>
      </c>
      <c r="J232" s="1612">
        <f t="shared" ca="1" si="29"/>
        <v>0</v>
      </c>
      <c r="K232" s="2078">
        <f t="shared" ca="1" si="34"/>
        <v>0</v>
      </c>
      <c r="L232" s="1574">
        <f t="shared" ca="1" si="27"/>
        <v>0</v>
      </c>
      <c r="M232" s="1980"/>
      <c r="N232" s="1968">
        <f>VLOOKUP($B232,[5]BOLETIM_SEL!$A:$H,5,0)</f>
        <v>0</v>
      </c>
      <c r="O232" s="1656" t="e">
        <f t="shared" ca="1" si="36"/>
        <v>#DIV/0!</v>
      </c>
      <c r="Q232" s="833"/>
      <c r="R232" s="833"/>
      <c r="S232" s="833"/>
      <c r="T232" s="833"/>
      <c r="U232" s="833"/>
      <c r="V232" s="833"/>
      <c r="W232" s="833"/>
      <c r="X232" s="833"/>
    </row>
    <row r="233" spans="1:24" s="813" customFormat="1" ht="39.950000000000003" hidden="1" customHeight="1" x14ac:dyDescent="0.15">
      <c r="A233" s="2081">
        <f ca="1">+Orçamento_Não_Deson!A233</f>
        <v>4.0799999999999983</v>
      </c>
      <c r="B233" s="834">
        <f>+Orçamento_Não_Deson!B233</f>
        <v>94882</v>
      </c>
      <c r="C233" s="2" t="str">
        <f>VLOOKUP($B233,[5]BOLETIM_SEL!$A:$H,2,0)</f>
        <v>SINAPI</v>
      </c>
      <c r="D233" s="315" t="str">
        <f>VLOOKUP($B233,[5]BOLETIM_SEL!$A:$H,4,0)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33" s="2">
        <f>+Orçamento_Não_Deson!E233</f>
        <v>0</v>
      </c>
      <c r="F233" s="2" t="str">
        <f>VLOOKUP($B233,[5]BOLETIM_SEL!$A:$H,6,0)</f>
        <v>M</v>
      </c>
      <c r="G233" s="1407">
        <f>VLOOKUP($B233,[5]BOLETIM_SEL!$A:$H,7,0)</f>
        <v>46.64</v>
      </c>
      <c r="H233" s="1613">
        <f ca="1">+Orçamento_Não_Deson!H233</f>
        <v>0</v>
      </c>
      <c r="I233" s="877">
        <f t="shared" si="35"/>
        <v>59.11</v>
      </c>
      <c r="J233" s="1612">
        <f t="shared" ca="1" si="29"/>
        <v>0</v>
      </c>
      <c r="K233" s="2078">
        <f t="shared" ca="1" si="34"/>
        <v>0</v>
      </c>
      <c r="L233" s="1574">
        <f t="shared" ca="1" si="27"/>
        <v>0</v>
      </c>
      <c r="M233" s="1980"/>
      <c r="N233" s="1968">
        <f>VLOOKUP($B233,[5]BOLETIM_SEL!$A:$H,5,0)</f>
        <v>0</v>
      </c>
      <c r="O233" s="1656" t="e">
        <f t="shared" ca="1" si="36"/>
        <v>#DIV/0!</v>
      </c>
      <c r="Q233" s="833"/>
      <c r="R233" s="833"/>
      <c r="S233" s="833"/>
      <c r="T233" s="833"/>
      <c r="U233" s="833"/>
      <c r="V233" s="833"/>
      <c r="W233" s="833"/>
      <c r="X233" s="833"/>
    </row>
    <row r="234" spans="1:24" s="813" customFormat="1" ht="39.950000000000003" hidden="1" customHeight="1" x14ac:dyDescent="0.15">
      <c r="A234" s="2081">
        <f ca="1">Orçamento_Não_Deson!A234</f>
        <v>4.0799999999999983</v>
      </c>
      <c r="B234" s="834">
        <f>Orçamento_Não_Deson!B234</f>
        <v>94884</v>
      </c>
      <c r="C234" s="2" t="str">
        <f>VLOOKUP($B234,[5]BOLETIM_SEL!$A:$H,2,0)</f>
        <v>SINAPI</v>
      </c>
      <c r="D234" s="315" t="str">
        <f>VLOOKUP($B234,[5]BOLETIM_SEL!$A:$H,4,0)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34" s="2">
        <f>Orçamento_Não_Deson!E234</f>
        <v>0</v>
      </c>
      <c r="F234" s="2" t="str">
        <f>VLOOKUP($B234,[5]BOLETIM_SEL!$A:$H,6,0)</f>
        <v>M</v>
      </c>
      <c r="G234" s="1407">
        <f>VLOOKUP($B234,[5]BOLETIM_SEL!$A:$H,7,0)</f>
        <v>59.49</v>
      </c>
      <c r="H234" s="1613">
        <f ca="1">Orçamento_Não_Deson!H234</f>
        <v>0</v>
      </c>
      <c r="I234" s="877">
        <f t="shared" si="35"/>
        <v>75.39</v>
      </c>
      <c r="J234" s="1612">
        <f t="shared" ca="1" si="29"/>
        <v>0</v>
      </c>
      <c r="K234" s="2078">
        <f t="shared" ca="1" si="34"/>
        <v>0</v>
      </c>
      <c r="L234" s="1574">
        <f t="shared" ca="1" si="27"/>
        <v>0</v>
      </c>
      <c r="M234" s="1980"/>
      <c r="N234" s="1968">
        <f>VLOOKUP($B234,[5]BOLETIM_SEL!$A:$H,5,0)</f>
        <v>0</v>
      </c>
      <c r="O234" s="1656" t="e">
        <f ca="1">H234/N234</f>
        <v>#DIV/0!</v>
      </c>
      <c r="Q234" s="833"/>
      <c r="R234" s="833"/>
      <c r="S234" s="833"/>
      <c r="T234" s="833"/>
      <c r="U234" s="833"/>
      <c r="V234" s="833"/>
      <c r="W234" s="833"/>
      <c r="X234" s="833"/>
    </row>
    <row r="235" spans="1:24" s="813" customFormat="1" ht="39.950000000000003" hidden="1" customHeight="1" x14ac:dyDescent="0.15">
      <c r="A235" s="2081">
        <f ca="1">+Orçamento_Não_Deson!A235</f>
        <v>4.0799999999999983</v>
      </c>
      <c r="B235" s="834" t="str">
        <f>+Orçamento_Não_Deson!B235</f>
        <v>DR/0091</v>
      </c>
      <c r="C235" s="2" t="str">
        <f>VLOOKUP($B235,[5]BOLETIM_SEL!$A:$H,2,0)</f>
        <v>COMPOSIÇÃO</v>
      </c>
      <c r="D235" s="315" t="str">
        <f>VLOOKUP($B235,[5]BOLETIM_SEL!$A:$H,4,0)</f>
        <v>Galeria celular em aduela pré-moldada em concreto armado, 1,50m x 1,50m (2950kg/m), assentamento e rejuntamento. Exclusive aquisição e transporte.</v>
      </c>
      <c r="E235" s="2">
        <f>+Orçamento_Não_Deson!E235</f>
        <v>0</v>
      </c>
      <c r="F235" s="2" t="str">
        <f>VLOOKUP($B235,[5]BOLETIM_SEL!$A:$H,6,0)</f>
        <v>M</v>
      </c>
      <c r="G235" s="1407">
        <f>VLOOKUP($B235,[5]BOLETIM_SEL!$A:$H,7,0)</f>
        <v>103.81</v>
      </c>
      <c r="H235" s="1613">
        <f ca="1">+Orçamento_Não_Deson!H235</f>
        <v>0</v>
      </c>
      <c r="I235" s="877">
        <f t="shared" si="35"/>
        <v>131.56</v>
      </c>
      <c r="J235" s="1612">
        <f t="shared" ca="1" si="29"/>
        <v>0</v>
      </c>
      <c r="K235" s="2078">
        <f t="shared" ca="1" si="34"/>
        <v>0</v>
      </c>
      <c r="L235" s="1574">
        <f t="shared" ca="1" si="27"/>
        <v>0</v>
      </c>
      <c r="M235" s="1980"/>
      <c r="N235" s="1968">
        <f>VLOOKUP($B235,[5]BOLETIM_SEL!$A:$H,5,0)</f>
        <v>3.32</v>
      </c>
      <c r="O235" s="1656">
        <f t="shared" ca="1" si="36"/>
        <v>0</v>
      </c>
      <c r="Q235" s="833"/>
      <c r="R235" s="833"/>
      <c r="S235" s="833"/>
      <c r="T235" s="833"/>
      <c r="U235" s="833"/>
      <c r="V235" s="833"/>
      <c r="W235" s="833"/>
      <c r="X235" s="833"/>
    </row>
    <row r="236" spans="1:24" s="813" customFormat="1" ht="39.950000000000003" hidden="1" customHeight="1" x14ac:dyDescent="0.15">
      <c r="A236" s="2081">
        <f ca="1">+Orçamento_Não_Deson!A236</f>
        <v>4.0799999999999983</v>
      </c>
      <c r="B236" s="834">
        <f>+Orçamento_Não_Deson!B236</f>
        <v>37476</v>
      </c>
      <c r="C236" s="2" t="str">
        <f>VLOOKUP($B236,[5]BOLETIM_SEL!$A:$H,2,0)</f>
        <v>SINAPI</v>
      </c>
      <c r="D236" s="315" t="str">
        <f>VLOOKUP($B236,[5]BOLETIM_SEL!$A:$H,4,0)</f>
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6" s="2">
        <f>+Orçamento_Não_Deson!E236</f>
        <v>0</v>
      </c>
      <c r="F236" s="2" t="str">
        <f>VLOOKUP($B236,[5]BOLETIM_SEL!$A:$H,6,0)</f>
        <v xml:space="preserve">UN    </v>
      </c>
      <c r="G236" s="1407">
        <f>VLOOKUP($B236,[5]BOLETIM_SEL!$A:$H,7,0)</f>
        <v>4109.74</v>
      </c>
      <c r="H236" s="1613">
        <f ca="1">+Orçamento_Não_Deson!H236</f>
        <v>0</v>
      </c>
      <c r="I236" s="877">
        <f t="shared" ref="I236" si="37">TRUNC(G236*(1+$J$5),2)</f>
        <v>5208.68</v>
      </c>
      <c r="J236" s="1612">
        <f t="shared" ref="J236" ca="1" si="38">TRUNC(H236*I236,2)</f>
        <v>0</v>
      </c>
      <c r="K236" s="2078">
        <f t="shared" ca="1" si="34"/>
        <v>0</v>
      </c>
      <c r="L236" s="1574">
        <f t="shared" ref="L236" ca="1" si="39">J236/J$183</f>
        <v>0</v>
      </c>
      <c r="M236" s="1980"/>
      <c r="N236" s="1968">
        <f>VLOOKUP($B236,[5]BOLETIM_SEL!$A:$H,5,0)</f>
        <v>0</v>
      </c>
      <c r="O236" s="1656" t="e">
        <f t="shared" ref="O236" ca="1" si="40">+H236/N236</f>
        <v>#DIV/0!</v>
      </c>
      <c r="Q236" s="833"/>
      <c r="R236" s="833"/>
      <c r="S236" s="833"/>
      <c r="T236" s="833"/>
      <c r="U236" s="833"/>
      <c r="V236" s="833"/>
      <c r="W236" s="833"/>
      <c r="X236" s="833"/>
    </row>
    <row r="237" spans="1:24" s="813" customFormat="1" ht="39.950000000000003" hidden="1" customHeight="1" x14ac:dyDescent="0.15">
      <c r="A237" s="2081">
        <f ca="1">+Orçamento_Não_Deson!A237</f>
        <v>4.0799999999999983</v>
      </c>
      <c r="B237" s="834" t="str">
        <f>+Orçamento_Não_Deson!B237</f>
        <v>DR/0096</v>
      </c>
      <c r="C237" s="2" t="str">
        <f>VLOOKUP($B237,[5]BOLETIM_SEL!$A:$H,2,0)</f>
        <v>COMPOSIÇÃO</v>
      </c>
      <c r="D237" s="315" t="str">
        <f>VLOOKUP($B237,[5]BOLETIM_SEL!$A:$H,4,0)</f>
        <v>Galeria celular em aduela pré-moldada em concreto armado, 2,00m x 2,00m (4080kg/m), assentamento e rejuntamento. Exclusive aquisição e transporte.</v>
      </c>
      <c r="E237" s="2">
        <f>+Orçamento_Não_Deson!E237</f>
        <v>0</v>
      </c>
      <c r="F237" s="2" t="str">
        <f>VLOOKUP($B237,[5]BOLETIM_SEL!$A:$H,6,0)</f>
        <v>M</v>
      </c>
      <c r="G237" s="1407">
        <f>VLOOKUP($B237,[5]BOLETIM_SEL!$A:$H,7,0)</f>
        <v>137.66999999999999</v>
      </c>
      <c r="H237" s="1613">
        <f ca="1">+Orçamento_Não_Deson!H237</f>
        <v>0</v>
      </c>
      <c r="I237" s="877">
        <f t="shared" si="35"/>
        <v>174.48</v>
      </c>
      <c r="J237" s="1612">
        <f t="shared" ca="1" si="29"/>
        <v>0</v>
      </c>
      <c r="K237" s="2078">
        <f t="shared" ca="1" si="34"/>
        <v>0</v>
      </c>
      <c r="L237" s="1574">
        <f t="shared" ca="1" si="27"/>
        <v>0</v>
      </c>
      <c r="M237" s="1980"/>
      <c r="N237" s="1968">
        <f>VLOOKUP($B237,[5]BOLETIM_SEL!$A:$H,5,0)</f>
        <v>2.85</v>
      </c>
      <c r="O237" s="1656">
        <f t="shared" ca="1" si="36"/>
        <v>0</v>
      </c>
      <c r="Q237" s="833"/>
      <c r="R237" s="833"/>
      <c r="S237" s="833"/>
      <c r="T237" s="833"/>
      <c r="U237" s="833"/>
      <c r="V237" s="833"/>
      <c r="W237" s="833"/>
      <c r="X237" s="833"/>
    </row>
    <row r="238" spans="1:24" s="813" customFormat="1" ht="39.950000000000003" hidden="1" customHeight="1" x14ac:dyDescent="0.15">
      <c r="A238" s="2081">
        <f ca="1">+Orçamento_Não_Deson!A238</f>
        <v>4.0799999999999983</v>
      </c>
      <c r="B238" s="834">
        <f>+Orçamento_Não_Deson!B238</f>
        <v>37478</v>
      </c>
      <c r="C238" s="2" t="str">
        <f>VLOOKUP($B238,[5]BOLETIM_SEL!$A:$H,2,0)</f>
        <v>SINAPI</v>
      </c>
      <c r="D238" s="315" t="str">
        <f>VLOOKUP($B238,[5]BOLETIM_SEL!$A:$H,4,0)</f>
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8" s="2">
        <f>+Orçamento_Não_Deson!E238</f>
        <v>0</v>
      </c>
      <c r="F238" s="2" t="str">
        <f>VLOOKUP($B238,[5]BOLETIM_SEL!$A:$H,6,0)</f>
        <v xml:space="preserve">UN    </v>
      </c>
      <c r="G238" s="1407">
        <f>VLOOKUP($B238,[5]BOLETIM_SEL!$A:$H,7,0)</f>
        <v>5147.5600000000004</v>
      </c>
      <c r="H238" s="1613">
        <f ca="1">+Orçamento_Não_Deson!H238</f>
        <v>0</v>
      </c>
      <c r="I238" s="877">
        <f t="shared" ref="I238" si="41">TRUNC(G238*(1+$J$5),2)</f>
        <v>6524.01</v>
      </c>
      <c r="J238" s="1612">
        <f t="shared" ref="J238" ca="1" si="42">TRUNC(H238*I238,2)</f>
        <v>0</v>
      </c>
      <c r="K238" s="2078">
        <f t="shared" ca="1" si="34"/>
        <v>0</v>
      </c>
      <c r="L238" s="1574">
        <f t="shared" ref="L238" ca="1" si="43">J238/J$183</f>
        <v>0</v>
      </c>
      <c r="M238" s="1980"/>
      <c r="N238" s="1968">
        <f>VLOOKUP($B238,[5]BOLETIM_SEL!$A:$H,5,0)</f>
        <v>0</v>
      </c>
      <c r="O238" s="1656" t="e">
        <f t="shared" ref="O238" ca="1" si="44">+H238/N238</f>
        <v>#DIV/0!</v>
      </c>
      <c r="Q238" s="833"/>
      <c r="R238" s="833"/>
      <c r="S238" s="833"/>
      <c r="T238" s="833"/>
      <c r="U238" s="833"/>
      <c r="V238" s="833"/>
      <c r="W238" s="833"/>
      <c r="X238" s="833"/>
    </row>
    <row r="239" spans="1:24" s="813" customFormat="1" ht="39.950000000000003" hidden="1" customHeight="1" x14ac:dyDescent="0.15">
      <c r="A239" s="2081">
        <f ca="1">+Orçamento_Não_Deson!A239</f>
        <v>4.0799999999999983</v>
      </c>
      <c r="B239" s="834" t="str">
        <f>+Orçamento_Não_Deson!B239</f>
        <v>DR/0101</v>
      </c>
      <c r="C239" s="2" t="str">
        <f>VLOOKUP($B239,[5]BOLETIM_SEL!$A:$H,2,0)</f>
        <v>COMPOSIÇÃO</v>
      </c>
      <c r="D239" s="315" t="str">
        <f>VLOOKUP($B239,[5]BOLETIM_SEL!$A:$H,4,0)</f>
        <v>Galeria celular em aduela pré-moldada em concreto armado, 2,50m x 2,50m (5000kg/m), assentamento e rejuntamento. Exclusive aquisição e transporte.</v>
      </c>
      <c r="E239" s="2">
        <f>+Orçamento_Não_Deson!E239</f>
        <v>0</v>
      </c>
      <c r="F239" s="2" t="str">
        <f>VLOOKUP($B239,[5]BOLETIM_SEL!$A:$H,6,0)</f>
        <v>M</v>
      </c>
      <c r="G239" s="1407">
        <f>VLOOKUP($B239,[5]BOLETIM_SEL!$A:$H,7,0)</f>
        <v>207.32</v>
      </c>
      <c r="H239" s="1613">
        <f ca="1">+Orçamento_Não_Deson!H239</f>
        <v>0</v>
      </c>
      <c r="I239" s="877">
        <f t="shared" si="35"/>
        <v>262.75</v>
      </c>
      <c r="J239" s="1612">
        <f t="shared" ca="1" si="29"/>
        <v>0</v>
      </c>
      <c r="K239" s="2078">
        <f t="shared" ca="1" si="34"/>
        <v>0</v>
      </c>
      <c r="L239" s="1574">
        <f t="shared" ca="1" si="27"/>
        <v>0</v>
      </c>
      <c r="M239" s="1980"/>
      <c r="N239" s="1968">
        <f>VLOOKUP($B239,[5]BOLETIM_SEL!$A:$H,5,0)</f>
        <v>2.4900000000000002</v>
      </c>
      <c r="O239" s="1656">
        <f t="shared" ca="1" si="36"/>
        <v>0</v>
      </c>
      <c r="Q239" s="833"/>
      <c r="R239" s="833"/>
      <c r="S239" s="833"/>
      <c r="T239" s="833"/>
      <c r="U239" s="833"/>
      <c r="V239" s="833"/>
      <c r="W239" s="833"/>
      <c r="X239" s="833"/>
    </row>
    <row r="240" spans="1:24" s="813" customFormat="1" ht="39.950000000000003" hidden="1" customHeight="1" x14ac:dyDescent="0.15">
      <c r="A240" s="2081">
        <f ca="1">+Orçamento_Não_Deson!A240</f>
        <v>4.0799999999999983</v>
      </c>
      <c r="B240" s="834">
        <f>+Orçamento_Não_Deson!B240</f>
        <v>37477</v>
      </c>
      <c r="C240" s="2" t="str">
        <f>VLOOKUP($B240,[5]BOLETIM_SEL!$A:$H,2,0)</f>
        <v>SINAPI</v>
      </c>
      <c r="D240" s="315" t="str">
        <f>VLOOKUP($B240,[5]BOLETIM_SEL!$A:$H,4,0)</f>
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0" s="2">
        <f>+Orçamento_Não_Deson!E240</f>
        <v>0</v>
      </c>
      <c r="F240" s="2" t="str">
        <f>VLOOKUP($B240,[5]BOLETIM_SEL!$A:$H,6,0)</f>
        <v xml:space="preserve">UN    </v>
      </c>
      <c r="G240" s="1407">
        <f>VLOOKUP($B240,[5]BOLETIM_SEL!$A:$H,7,0)</f>
        <v>6974.11</v>
      </c>
      <c r="H240" s="1613">
        <f ca="1">+Orçamento_Não_Deson!H240</f>
        <v>0</v>
      </c>
      <c r="I240" s="877">
        <f t="shared" ref="I240" si="45">TRUNC(G240*(1+$J$5),2)</f>
        <v>8838.98</v>
      </c>
      <c r="J240" s="1612">
        <f t="shared" ref="J240" ca="1" si="46">TRUNC(H240*I240,2)</f>
        <v>0</v>
      </c>
      <c r="K240" s="2078">
        <f t="shared" ca="1" si="34"/>
        <v>0</v>
      </c>
      <c r="L240" s="1574">
        <f t="shared" ref="L240" ca="1" si="47">J240/J$183</f>
        <v>0</v>
      </c>
      <c r="M240" s="1980"/>
      <c r="N240" s="1968">
        <f>VLOOKUP($B240,[5]BOLETIM_SEL!$A:$H,5,0)</f>
        <v>0</v>
      </c>
      <c r="O240" s="1656" t="e">
        <f t="shared" ref="O240" ca="1" si="48">+H240/N240</f>
        <v>#DIV/0!</v>
      </c>
      <c r="Q240" s="833"/>
      <c r="R240" s="833"/>
      <c r="S240" s="833"/>
      <c r="T240" s="833"/>
      <c r="U240" s="833"/>
      <c r="V240" s="833"/>
      <c r="W240" s="833"/>
      <c r="X240" s="833"/>
    </row>
    <row r="241" spans="1:24" s="813" customFormat="1" ht="39.950000000000003" hidden="1" customHeight="1" x14ac:dyDescent="0.15">
      <c r="A241" s="2081">
        <f ca="1">+Orçamento_Não_Deson!A241</f>
        <v>4.0799999999999983</v>
      </c>
      <c r="B241" s="834" t="str">
        <f>+Orçamento_Não_Deson!B241</f>
        <v>DR/0106</v>
      </c>
      <c r="C241" s="2" t="str">
        <f>VLOOKUP($B241,[5]BOLETIM_SEL!$A:$H,2,0)</f>
        <v>COMPOSIÇÃO</v>
      </c>
      <c r="D241" s="315" t="str">
        <f>VLOOKUP($B241,[5]BOLETIM_SEL!$A:$H,4,0)</f>
        <v>Galeria celular em aduela pré-moldada em concreto armado, 3,00m x 3,00m (6700kg/m), assentamento e rejuntamento. Exclusive aquisição e transporte.</v>
      </c>
      <c r="E241" s="2">
        <f>+Orçamento_Não_Deson!E241</f>
        <v>0</v>
      </c>
      <c r="F241" s="2" t="str">
        <f>VLOOKUP($B241,[5]BOLETIM_SEL!$A:$H,6,0)</f>
        <v>M</v>
      </c>
      <c r="G241" s="1407">
        <f>VLOOKUP($B241,[5]BOLETIM_SEL!$A:$H,7,0)</f>
        <v>277.60000000000002</v>
      </c>
      <c r="H241" s="1613">
        <f ca="1">+Orçamento_Não_Deson!H241</f>
        <v>0</v>
      </c>
      <c r="I241" s="877">
        <f t="shared" si="35"/>
        <v>351.83</v>
      </c>
      <c r="J241" s="1612">
        <f t="shared" ca="1" si="29"/>
        <v>0</v>
      </c>
      <c r="K241" s="2078">
        <f t="shared" ca="1" si="34"/>
        <v>0</v>
      </c>
      <c r="L241" s="1574">
        <f t="shared" ca="1" si="27"/>
        <v>0</v>
      </c>
      <c r="M241" s="1980"/>
      <c r="N241" s="1968">
        <f>VLOOKUP($B241,[5]BOLETIM_SEL!$A:$H,5,0)</f>
        <v>1.99</v>
      </c>
      <c r="O241" s="1656">
        <f t="shared" ca="1" si="36"/>
        <v>0</v>
      </c>
      <c r="Q241" s="833"/>
      <c r="R241" s="833"/>
      <c r="S241" s="833"/>
      <c r="T241" s="833"/>
      <c r="U241" s="833"/>
      <c r="V241" s="833"/>
      <c r="W241" s="833"/>
      <c r="X241" s="833"/>
    </row>
    <row r="242" spans="1:24" s="813" customFormat="1" ht="39.950000000000003" hidden="1" customHeight="1" x14ac:dyDescent="0.15">
      <c r="A242" s="2081">
        <f ca="1">+Orçamento_Não_Deson!A242</f>
        <v>4.0799999999999983</v>
      </c>
      <c r="B242" s="834">
        <f>+Orçamento_Não_Deson!B242</f>
        <v>37479</v>
      </c>
      <c r="C242" s="2" t="str">
        <f>VLOOKUP($B242,[5]BOLETIM_SEL!$A:$H,2,0)</f>
        <v>SINAPI</v>
      </c>
      <c r="D242" s="315" t="str">
        <f>VLOOKUP($B242,[5]BOLETIM_SEL!$A:$H,4,0)</f>
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2" s="2">
        <f>+Orçamento_Não_Deson!E242</f>
        <v>0</v>
      </c>
      <c r="F242" s="2" t="str">
        <f>VLOOKUP($B242,[5]BOLETIM_SEL!$A:$H,6,0)</f>
        <v xml:space="preserve">UN    </v>
      </c>
      <c r="G242" s="1407">
        <f>VLOOKUP($B242,[5]BOLETIM_SEL!$A:$H,7,0)</f>
        <v>8271.3799999999992</v>
      </c>
      <c r="H242" s="1613">
        <f ca="1">+Orçamento_Não_Deson!H242</f>
        <v>0</v>
      </c>
      <c r="I242" s="877">
        <f t="shared" ref="I242" si="49">TRUNC(G242*(1+$J$5),2)</f>
        <v>10483.14</v>
      </c>
      <c r="J242" s="1612">
        <f t="shared" ref="J242" ca="1" si="50">TRUNC(H242*I242,2)</f>
        <v>0</v>
      </c>
      <c r="K242" s="2078">
        <f t="shared" ca="1" si="34"/>
        <v>0</v>
      </c>
      <c r="L242" s="1574">
        <f t="shared" ref="L242" ca="1" si="51">J242/J$183</f>
        <v>0</v>
      </c>
      <c r="M242" s="1980"/>
      <c r="N242" s="1968">
        <f>VLOOKUP($B242,[5]BOLETIM_SEL!$A:$H,5,0)</f>
        <v>0</v>
      </c>
      <c r="O242" s="1656" t="e">
        <f t="shared" ref="O242" ca="1" si="52">+H242/N242</f>
        <v>#DIV/0!</v>
      </c>
      <c r="Q242" s="833"/>
      <c r="R242" s="833"/>
      <c r="S242" s="833"/>
      <c r="T242" s="833"/>
      <c r="U242" s="833"/>
      <c r="V242" s="833"/>
      <c r="W242" s="833"/>
      <c r="X242" s="833"/>
    </row>
    <row r="243" spans="1:24" s="813" customFormat="1" ht="39.950000000000003" customHeight="1" x14ac:dyDescent="0.15">
      <c r="A243" s="2081"/>
      <c r="B243" s="834"/>
      <c r="C243" s="834"/>
      <c r="D243" s="835"/>
      <c r="E243" s="2"/>
      <c r="F243" s="834"/>
      <c r="G243" s="1821"/>
      <c r="H243" s="834"/>
      <c r="I243" s="877"/>
      <c r="J243" s="839" t="str">
        <f ca="1">IF(J183=0,0,"")</f>
        <v/>
      </c>
      <c r="K243" s="2078"/>
      <c r="L243" s="1574"/>
      <c r="M243" s="1978"/>
      <c r="N243" s="833"/>
      <c r="O243" s="833"/>
      <c r="Q243" s="833"/>
      <c r="R243" s="833"/>
      <c r="S243" s="833"/>
      <c r="T243" s="833"/>
      <c r="U243" s="833"/>
      <c r="V243" s="833"/>
      <c r="W243" s="833"/>
      <c r="X243" s="833"/>
    </row>
    <row r="244" spans="1:24" s="833" customFormat="1" ht="30" customHeight="1" x14ac:dyDescent="0.15">
      <c r="A244" s="2082">
        <f ca="1">IF(J244&gt;0,INT(A241)+1,IF(J244=0,INT(A241),0))</f>
        <v>5</v>
      </c>
      <c r="B244" s="1633"/>
      <c r="C244" s="1633"/>
      <c r="D244" s="1634" t="s">
        <v>745</v>
      </c>
      <c r="E244" s="1828"/>
      <c r="F244" s="1635"/>
      <c r="G244" s="1823" t="s">
        <v>646</v>
      </c>
      <c r="H244" s="1635"/>
      <c r="I244" s="1640" t="str">
        <f ca="1">CONCATENATE("SUB-TOTAL ",A244)</f>
        <v>SUB-TOTAL 5</v>
      </c>
      <c r="J244" s="1639">
        <f ca="1">SUM(J245:J292)</f>
        <v>747257.42999999993</v>
      </c>
      <c r="K244" s="2079">
        <f t="shared" ref="K244:K288" ca="1" si="53">J244/J$967</f>
        <v>5.4417874628790393E-2</v>
      </c>
      <c r="L244" s="1610">
        <f t="shared" ref="L244" ca="1" si="54">J244/J$183</f>
        <v>0.66264798418457427</v>
      </c>
      <c r="M244" s="1974"/>
      <c r="N244" s="1964" t="s">
        <v>1962</v>
      </c>
      <c r="O244" s="1655" t="s">
        <v>1988</v>
      </c>
    </row>
    <row r="245" spans="1:24" s="813" customFormat="1" ht="39.950000000000003" customHeight="1" x14ac:dyDescent="0.15">
      <c r="A245" s="2081">
        <f ca="1">Orçamento_Não_Deson!A245</f>
        <v>5.01</v>
      </c>
      <c r="B245" s="834" t="str">
        <f>Orçamento_Não_Deson!B245</f>
        <v>DR/0135</v>
      </c>
      <c r="C245" s="2" t="str">
        <f>VLOOKUP($B245,[5]BOLETIM_SEL!$A:$H,2,0)</f>
        <v>COMPOSIÇÃO</v>
      </c>
      <c r="D245" s="315" t="str">
        <f>VLOOKUP($B245,[5]BOLETIM_SEL!$A:$H,4,0)</f>
        <v>PV-1 - Poço de Visita, com dimensões internas de 1,98m x 1,98m x 1,50m (bxbxh), em alvenaria de bloco de concreto estrutural FBK 14mpa, conforme projeto tipo. Exclusive pescoço e tampão</v>
      </c>
      <c r="E245" s="2">
        <f>Orçamento_Não_Deson!E245</f>
        <v>0</v>
      </c>
      <c r="F245" s="2" t="str">
        <f>VLOOKUP($B245,[5]BOLETIM_SEL!$A:$H,6,0)</f>
        <v>UN</v>
      </c>
      <c r="G245" s="1407">
        <f>VLOOKUP($B245,[5]BOLETIM_SEL!$A:$H,7,0)</f>
        <v>6450.94</v>
      </c>
      <c r="H245" s="1613">
        <f>Orçamento_Não_Deson!H245</f>
        <v>29</v>
      </c>
      <c r="I245" s="877">
        <f t="shared" si="35"/>
        <v>8175.92</v>
      </c>
      <c r="J245" s="1612">
        <f t="shared" si="29"/>
        <v>237101.68</v>
      </c>
      <c r="K245" s="2078">
        <f t="shared" ca="1" si="53"/>
        <v>1.7266565682077701E-2</v>
      </c>
      <c r="L245" s="1574">
        <f t="shared" ca="1" si="27"/>
        <v>0.21025545413282276</v>
      </c>
      <c r="M245" s="1974"/>
      <c r="N245" s="1969" t="str">
        <f>VLOOKUP($B245,[5]BOLETIM_SEL!$A:$H,3,0)</f>
        <v>DR/145</v>
      </c>
      <c r="O245" s="1656" t="e">
        <f>N245*H245</f>
        <v>#VALUE!</v>
      </c>
      <c r="Q245" s="833"/>
      <c r="R245" s="833"/>
      <c r="S245" s="833"/>
      <c r="T245" s="833"/>
      <c r="U245" s="833"/>
      <c r="V245" s="833"/>
      <c r="W245" s="833"/>
      <c r="X245" s="833"/>
    </row>
    <row r="246" spans="1:24" s="813" customFormat="1" ht="39.950000000000003" hidden="1" customHeight="1" x14ac:dyDescent="0.15">
      <c r="A246" s="2081">
        <f ca="1">Orçamento_Não_Deson!A246</f>
        <v>5.01</v>
      </c>
      <c r="B246" s="834" t="str">
        <f>Orçamento_Não_Deson!B246</f>
        <v>DR/0140</v>
      </c>
      <c r="C246" s="2" t="str">
        <f>VLOOKUP($B246,[5]BOLETIM_SEL!$A:$H,2,0)</f>
        <v>COMPOSIÇÃO</v>
      </c>
      <c r="D246" s="315" t="str">
        <f>VLOOKUP($B246,[5]BOLETIM_SEL!$A:$H,4,0)</f>
        <v>PV-2 - Poço de Visita, com dimensões internas de 1,98m x 2,68m x 2,00m (bxbxh), em alvenaria de bloco de concreto estrutural FBK 14mpa, conforme projeto tipo. Exclusive pescoço e tampão</v>
      </c>
      <c r="E246" s="2">
        <f>Orçamento_Não_Deson!E246</f>
        <v>0</v>
      </c>
      <c r="F246" s="2" t="str">
        <f>VLOOKUP($B246,[5]BOLETIM_SEL!$A:$H,6,0)</f>
        <v>UN</v>
      </c>
      <c r="G246" s="1407">
        <f>VLOOKUP($B246,[5]BOLETIM_SEL!$A:$H,7,0)</f>
        <v>8714.2000000000007</v>
      </c>
      <c r="H246" s="1613">
        <f>Orçamento_Não_Deson!H246</f>
        <v>0</v>
      </c>
      <c r="I246" s="877">
        <f t="shared" si="35"/>
        <v>11044.37</v>
      </c>
      <c r="J246" s="1612">
        <f t="shared" si="29"/>
        <v>0</v>
      </c>
      <c r="K246" s="2078">
        <f t="shared" ca="1" si="53"/>
        <v>0</v>
      </c>
      <c r="L246" s="1574">
        <f t="shared" ca="1" si="27"/>
        <v>0</v>
      </c>
      <c r="M246" s="1974"/>
      <c r="N246" s="1969">
        <f>VLOOKUP($B246,[5]BOLETIM_SEL!$A:$H,3,0)</f>
        <v>0</v>
      </c>
      <c r="O246" s="1656">
        <f>N246*H246</f>
        <v>0</v>
      </c>
      <c r="Q246" s="833"/>
      <c r="R246" s="833"/>
      <c r="S246" s="833"/>
      <c r="T246" s="833"/>
      <c r="U246" s="833"/>
      <c r="V246" s="833"/>
      <c r="W246" s="833"/>
      <c r="X246" s="833"/>
    </row>
    <row r="247" spans="1:24" s="813" customFormat="1" ht="39.950000000000003" hidden="1" customHeight="1" x14ac:dyDescent="0.15">
      <c r="A247" s="2081">
        <f ca="1">Orçamento_Não_Deson!A247</f>
        <v>5.01</v>
      </c>
      <c r="B247" s="834" t="str">
        <f>Orçamento_Não_Deson!B247</f>
        <v>DR/0145</v>
      </c>
      <c r="C247" s="2" t="str">
        <f>VLOOKUP($B247,[5]BOLETIM_SEL!$A:$H,2,0)</f>
        <v>COMPOSIÇÃO</v>
      </c>
      <c r="D247" s="315" t="str">
        <f>VLOOKUP($B247,[5]BOLETIM_SEL!$A:$H,4,0)</f>
        <v>PV-3 - Poço de Visita, com dimensões internas de 1,98m x 3,48m x 2,00m (bxbxh), em alvenaria de bloco de concreto estrutural FBK 14mpa, conforme projeto tipo. Exclusive pescoço e tampão</v>
      </c>
      <c r="E247" s="2">
        <f>Orçamento_Não_Deson!E247</f>
        <v>0</v>
      </c>
      <c r="F247" s="2" t="str">
        <f>VLOOKUP($B247,[5]BOLETIM_SEL!$A:$H,6,0)</f>
        <v>UN</v>
      </c>
      <c r="G247" s="1407">
        <f>VLOOKUP($B247,[5]BOLETIM_SEL!$A:$H,7,0)</f>
        <v>10455.530000000001</v>
      </c>
      <c r="H247" s="1613">
        <f>Orçamento_Não_Deson!H247</f>
        <v>0</v>
      </c>
      <c r="I247" s="877">
        <f t="shared" si="35"/>
        <v>13251.33</v>
      </c>
      <c r="J247" s="1612">
        <f t="shared" si="29"/>
        <v>0</v>
      </c>
      <c r="K247" s="2078">
        <f t="shared" ca="1" si="53"/>
        <v>0</v>
      </c>
      <c r="L247" s="1574">
        <f t="shared" ca="1" si="27"/>
        <v>0</v>
      </c>
      <c r="M247" s="1974"/>
      <c r="N247" s="1969">
        <f>VLOOKUP($B247,[5]BOLETIM_SEL!$A:$H,3,0)</f>
        <v>0</v>
      </c>
      <c r="O247" s="1656">
        <f>N247*H247</f>
        <v>0</v>
      </c>
      <c r="Q247" s="833"/>
      <c r="R247" s="833"/>
      <c r="S247" s="833"/>
      <c r="T247" s="833"/>
      <c r="U247" s="833"/>
      <c r="V247" s="833"/>
      <c r="W247" s="833"/>
      <c r="X247" s="833"/>
    </row>
    <row r="248" spans="1:24" s="813" customFormat="1" ht="39.950000000000003" hidden="1" customHeight="1" x14ac:dyDescent="0.15">
      <c r="A248" s="2081">
        <f ca="1">Orçamento_Não_Deson!A248</f>
        <v>5.01</v>
      </c>
      <c r="B248" s="834" t="str">
        <f>Orçamento_Não_Deson!B248</f>
        <v>DR/0150</v>
      </c>
      <c r="C248" s="2" t="str">
        <f>VLOOKUP($B248,[5]BOLETIM_SEL!$A:$H,2,0)</f>
        <v>COMPOSIÇÃO</v>
      </c>
      <c r="D248" s="315" t="str">
        <f>VLOOKUP($B248,[5]BOLETIM_SEL!$A:$H,4,0)</f>
        <v>PV-4 - Poço de Visita, com dimensões internas de 1,98m x 4,98m x 2,00m (bxbxh), em alvenaria de bloco de concreto estrutural FBK 14mpa, conforme projeto tipo. Exclusive pescoço e tampão</v>
      </c>
      <c r="E248" s="2">
        <f>Orçamento_Não_Deson!E248</f>
        <v>0</v>
      </c>
      <c r="F248" s="2" t="str">
        <f>VLOOKUP($B248,[5]BOLETIM_SEL!$A:$H,6,0)</f>
        <v>UN</v>
      </c>
      <c r="G248" s="1407">
        <f>VLOOKUP($B248,[5]BOLETIM_SEL!$A:$H,7,0)</f>
        <v>13720.53</v>
      </c>
      <c r="H248" s="1613">
        <f>Orçamento_Não_Deson!H248</f>
        <v>0</v>
      </c>
      <c r="I248" s="877">
        <f t="shared" si="35"/>
        <v>17389.39</v>
      </c>
      <c r="J248" s="1612">
        <f t="shared" si="29"/>
        <v>0</v>
      </c>
      <c r="K248" s="2078">
        <f t="shared" ca="1" si="53"/>
        <v>0</v>
      </c>
      <c r="L248" s="1574">
        <f t="shared" ca="1" si="27"/>
        <v>0</v>
      </c>
      <c r="M248" s="1974"/>
      <c r="N248" s="1969">
        <f>VLOOKUP($B248,[5]BOLETIM_SEL!$A:$H,3,0)</f>
        <v>0</v>
      </c>
      <c r="O248" s="1656">
        <f>N248*H248</f>
        <v>0</v>
      </c>
      <c r="Q248" s="833"/>
      <c r="R248" s="833"/>
      <c r="S248" s="833"/>
      <c r="T248" s="833"/>
      <c r="U248" s="833"/>
      <c r="V248" s="833"/>
      <c r="W248" s="833"/>
      <c r="X248" s="833"/>
    </row>
    <row r="249" spans="1:24" s="813" customFormat="1" ht="39.950000000000003" hidden="1" customHeight="1" x14ac:dyDescent="0.15">
      <c r="A249" s="2081">
        <f ca="1">+Orçamento_Não_Deson!A249</f>
        <v>5.01</v>
      </c>
      <c r="B249" s="834" t="str">
        <f>+Orçamento_Não_Deson!B249</f>
        <v>DR/0155</v>
      </c>
      <c r="C249" s="2" t="str">
        <f>VLOOKUP($B249,[5]BOLETIM_SEL!$A:$H,2,0)</f>
        <v>COMPOSIÇÃO</v>
      </c>
      <c r="D249" s="315" t="str">
        <f>VLOOKUP($B249,[5]BOLETIM_SEL!$A:$H,4,0)</f>
        <v>PV-5 - Poço de Visita, com dimensões internas de 1,98m x 6,58m x 2,00m (bxbxh), em alvenaria de bloco de concreto estrutural FBK 14mpa, conforme projeto tipo. Exclusive pescoço e tampão</v>
      </c>
      <c r="E249" s="2">
        <f>+Orçamento_Não_Deson!E249</f>
        <v>0</v>
      </c>
      <c r="F249" s="2" t="str">
        <f>VLOOKUP($B249,[5]BOLETIM_SEL!$A:$H,6,0)</f>
        <v>UN</v>
      </c>
      <c r="G249" s="1407">
        <f>VLOOKUP($B249,[5]BOLETIM_SEL!$A:$H,7,0)</f>
        <v>17203.2</v>
      </c>
      <c r="H249" s="1613">
        <f>+Orçamento_Não_Deson!H249</f>
        <v>0</v>
      </c>
      <c r="I249" s="877">
        <f t="shared" si="35"/>
        <v>21803.33</v>
      </c>
      <c r="J249" s="1612">
        <f t="shared" si="29"/>
        <v>0</v>
      </c>
      <c r="K249" s="2078">
        <f t="shared" ca="1" si="53"/>
        <v>0</v>
      </c>
      <c r="L249" s="1574">
        <f t="shared" ca="1" si="27"/>
        <v>0</v>
      </c>
      <c r="M249" s="1974"/>
      <c r="N249" s="1969">
        <f>VLOOKUP($B249,[5]BOLETIM_SEL!$A:$H,3,0)</f>
        <v>0</v>
      </c>
      <c r="O249" s="1656">
        <f t="shared" ref="O249:O268" si="55">+N249*H249</f>
        <v>0</v>
      </c>
      <c r="Q249" s="833"/>
      <c r="R249" s="833"/>
      <c r="S249" s="833"/>
      <c r="T249" s="833"/>
      <c r="U249" s="833"/>
      <c r="V249" s="833"/>
      <c r="W249" s="833"/>
      <c r="X249" s="833"/>
    </row>
    <row r="250" spans="1:24" s="813" customFormat="1" ht="39.950000000000003" hidden="1" customHeight="1" x14ac:dyDescent="0.15">
      <c r="A250" s="2081">
        <f ca="1">+Orçamento_Não_Deson!A250</f>
        <v>5.01</v>
      </c>
      <c r="B250" s="834" t="str">
        <f>+Orçamento_Não_Deson!B250</f>
        <v>DR/0160</v>
      </c>
      <c r="C250" s="2" t="str">
        <f>VLOOKUP($B250,[5]BOLETIM_SEL!$A:$H,2,0)</f>
        <v>COMPOSIÇÃO</v>
      </c>
      <c r="D250" s="315" t="str">
        <f>VLOOKUP($B250,[5]BOLETIM_SEL!$A:$H,4,0)</f>
        <v>PV-6 - Poço de Visita, com dimensões internas de 1,98m x 8,78m x 2,00m (bxbxh), em alvenaria de bloco de concreto estrutural FBK 14mpa, conforme projeto tipo. Exclusive pescoço e tampão</v>
      </c>
      <c r="E250" s="2">
        <f>+Orçamento_Não_Deson!E250</f>
        <v>0</v>
      </c>
      <c r="F250" s="2" t="str">
        <f>VLOOKUP($B250,[5]BOLETIM_SEL!$A:$H,6,0)</f>
        <v>UN</v>
      </c>
      <c r="G250" s="1407">
        <f>VLOOKUP($B250,[5]BOLETIM_SEL!$A:$H,7,0)</f>
        <v>21991.87</v>
      </c>
      <c r="H250" s="1613">
        <f>+Orçamento_Não_Deson!H250</f>
        <v>0</v>
      </c>
      <c r="I250" s="877">
        <f t="shared" si="35"/>
        <v>27872.49</v>
      </c>
      <c r="J250" s="1612">
        <f t="shared" si="29"/>
        <v>0</v>
      </c>
      <c r="K250" s="2078">
        <f t="shared" ca="1" si="53"/>
        <v>0</v>
      </c>
      <c r="L250" s="1574">
        <f t="shared" ca="1" si="27"/>
        <v>0</v>
      </c>
      <c r="M250" s="1974"/>
      <c r="N250" s="1969">
        <f>VLOOKUP($B250,[5]BOLETIM_SEL!$A:$H,3,0)</f>
        <v>0</v>
      </c>
      <c r="O250" s="1656">
        <f t="shared" si="55"/>
        <v>0</v>
      </c>
      <c r="Q250" s="833"/>
      <c r="R250" s="833"/>
      <c r="S250" s="833"/>
      <c r="T250" s="833"/>
      <c r="U250" s="833"/>
      <c r="V250" s="833"/>
      <c r="W250" s="833"/>
      <c r="X250" s="833"/>
    </row>
    <row r="251" spans="1:24" s="813" customFormat="1" ht="39.950000000000003" hidden="1" customHeight="1" x14ac:dyDescent="0.15">
      <c r="A251" s="2081">
        <f ca="1">+Orçamento_Não_Deson!A251</f>
        <v>5.01</v>
      </c>
      <c r="B251" s="834" t="str">
        <f>+Orçamento_Não_Deson!B251</f>
        <v>DR/0165</v>
      </c>
      <c r="C251" s="2" t="str">
        <f>VLOOKUP($B251,[5]BOLETIM_SEL!$A:$H,2,0)</f>
        <v>COMPOSIÇÃO</v>
      </c>
      <c r="D251" s="315" t="str">
        <f>VLOOKUP($B251,[5]BOLETIM_SEL!$A:$H,4,0)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251" s="2">
        <f>+Orçamento_Não_Deson!E251</f>
        <v>0</v>
      </c>
      <c r="F251" s="2" t="str">
        <f>VLOOKUP($B251,[5]BOLETIM_SEL!$A:$H,6,0)</f>
        <v>UN</v>
      </c>
      <c r="G251" s="1407">
        <f>VLOOKUP($B251,[5]BOLETIM_SEL!$A:$H,7,0)</f>
        <v>1703.74</v>
      </c>
      <c r="H251" s="1613">
        <f>+Orçamento_Não_Deson!H251</f>
        <v>0</v>
      </c>
      <c r="I251" s="877">
        <f t="shared" si="35"/>
        <v>2159.3200000000002</v>
      </c>
      <c r="J251" s="1612">
        <f t="shared" si="29"/>
        <v>0</v>
      </c>
      <c r="K251" s="2078">
        <f t="shared" ca="1" si="53"/>
        <v>0</v>
      </c>
      <c r="L251" s="1574">
        <f t="shared" ref="L251:L288" ca="1" si="56">J251/J$183</f>
        <v>0</v>
      </c>
      <c r="M251" s="1974"/>
      <c r="N251" s="1968">
        <f>VLOOKUP($B251,[5]BOLETIM_SEL!$A:$H,3,0)</f>
        <v>0</v>
      </c>
      <c r="O251" s="1656">
        <f t="shared" si="55"/>
        <v>0</v>
      </c>
      <c r="Q251" s="833"/>
      <c r="R251" s="833"/>
      <c r="S251" s="833"/>
      <c r="T251" s="833"/>
      <c r="U251" s="833"/>
      <c r="V251" s="833"/>
      <c r="W251" s="833"/>
      <c r="X251" s="833"/>
    </row>
    <row r="252" spans="1:24" s="813" customFormat="1" ht="39.950000000000003" customHeight="1" x14ac:dyDescent="0.15">
      <c r="A252" s="2081">
        <f ca="1">Orçamento_Não_Deson!A252</f>
        <v>5.0199999999999996</v>
      </c>
      <c r="B252" s="834" t="str">
        <f>Orçamento_Não_Deson!B252</f>
        <v>DR/0170</v>
      </c>
      <c r="C252" s="2" t="str">
        <f>VLOOKUP($B252,[5]BOLETIM_SEL!$A:$H,2,0)</f>
        <v>COMPOSIÇÃO</v>
      </c>
      <c r="D252" s="315" t="str">
        <f>VLOOKUP($B252,[5]BOLETIM_SEL!$A:$H,4,0)</f>
        <v>APV-1 - Acréscimo para Poço de Visita, com dimensões internas de 1,98m x 1,98m, em alvenaria de bloco de concreto estrutural FBK 14mpa, conforme projeto tipo</v>
      </c>
      <c r="E252" s="2">
        <f>Orçamento_Não_Deson!E252</f>
        <v>0</v>
      </c>
      <c r="F252" s="2" t="str">
        <f>VLOOKUP($B252,[5]BOLETIM_SEL!$A:$H,6,0)</f>
        <v>M</v>
      </c>
      <c r="G252" s="1407">
        <f>VLOOKUP($B252,[5]BOLETIM_SEL!$A:$H,7,0)</f>
        <v>1597.57</v>
      </c>
      <c r="H252" s="1613">
        <f ca="1">Orçamento_Não_Deson!H252</f>
        <v>0.96</v>
      </c>
      <c r="I252" s="877">
        <f t="shared" si="35"/>
        <v>2024.76</v>
      </c>
      <c r="J252" s="1612">
        <f ca="1">TRUNC(H252*I252,2)</f>
        <v>1943.76</v>
      </c>
      <c r="K252" s="2078">
        <f t="shared" ca="1" si="53"/>
        <v>1.4155133658350861E-4</v>
      </c>
      <c r="L252" s="1574">
        <f t="shared" ca="1" si="56"/>
        <v>1.7236745919523453E-3</v>
      </c>
      <c r="M252" s="1974"/>
      <c r="N252" s="1968">
        <f>VLOOKUP($B252,[5]BOLETIM_SEL!$A:$H,3,0)</f>
        <v>0</v>
      </c>
      <c r="O252" s="1656">
        <f ca="1">N252*H252</f>
        <v>0</v>
      </c>
      <c r="Q252" s="833"/>
      <c r="R252" s="833"/>
      <c r="S252" s="833"/>
      <c r="T252" s="833"/>
      <c r="U252" s="833"/>
      <c r="V252" s="833"/>
      <c r="W252" s="833"/>
      <c r="X252" s="833"/>
    </row>
    <row r="253" spans="1:24" s="813" customFormat="1" ht="39.950000000000003" hidden="1" customHeight="1" x14ac:dyDescent="0.15">
      <c r="A253" s="2081">
        <f ca="1">Orçamento_Não_Deson!A253</f>
        <v>5.0199999999999996</v>
      </c>
      <c r="B253" s="834" t="str">
        <f>Orçamento_Não_Deson!B253</f>
        <v>DR/0175</v>
      </c>
      <c r="C253" s="2" t="str">
        <f>VLOOKUP($B253,[5]BOLETIM_SEL!$A:$H,2,0)</f>
        <v>COMPOSIÇÃO</v>
      </c>
      <c r="D253" s="315" t="str">
        <f>VLOOKUP($B253,[5]BOLETIM_SEL!$A:$H,4,0)</f>
        <v>APV-2 - Acréscimo para Poço de Visita, com dimensões internas de 1,98m x 2,68m, em alvenaria de bloco de concreto estrutural FBK 14mpa, conforme projeto tipo</v>
      </c>
      <c r="E253" s="2">
        <f>Orçamento_Não_Deson!E253</f>
        <v>0</v>
      </c>
      <c r="F253" s="2" t="str">
        <f>VLOOKUP($B253,[5]BOLETIM_SEL!$A:$H,6,0)</f>
        <v>M</v>
      </c>
      <c r="G253" s="1407">
        <f>VLOOKUP($B253,[5]BOLETIM_SEL!$A:$H,7,0)</f>
        <v>1847.43</v>
      </c>
      <c r="H253" s="1613">
        <f>Orçamento_Não_Deson!H253</f>
        <v>0</v>
      </c>
      <c r="I253" s="877">
        <f t="shared" si="35"/>
        <v>2341.4299999999998</v>
      </c>
      <c r="J253" s="1612">
        <f>TRUNC(H253*I253,2)</f>
        <v>0</v>
      </c>
      <c r="K253" s="2078">
        <f t="shared" ca="1" si="53"/>
        <v>0</v>
      </c>
      <c r="L253" s="1574">
        <f t="shared" ca="1" si="56"/>
        <v>0</v>
      </c>
      <c r="M253" s="1974"/>
      <c r="N253" s="1968">
        <f>VLOOKUP($B253,[5]BOLETIM_SEL!$A:$H,3,0)</f>
        <v>0</v>
      </c>
      <c r="O253" s="1656">
        <f>N253*H253</f>
        <v>0</v>
      </c>
      <c r="Q253" s="833"/>
      <c r="R253" s="833"/>
      <c r="S253" s="833"/>
      <c r="T253" s="833"/>
      <c r="U253" s="833"/>
      <c r="V253" s="833"/>
      <c r="W253" s="833"/>
      <c r="X253" s="833"/>
    </row>
    <row r="254" spans="1:24" s="813" customFormat="1" ht="39.950000000000003" hidden="1" customHeight="1" x14ac:dyDescent="0.15">
      <c r="A254" s="2081">
        <f ca="1">+Orçamento_Não_Deson!A254</f>
        <v>5.0199999999999996</v>
      </c>
      <c r="B254" s="834" t="str">
        <f>+Orçamento_Não_Deson!B254</f>
        <v>DR/0180</v>
      </c>
      <c r="C254" s="2" t="str">
        <f>VLOOKUP($B254,[5]BOLETIM_SEL!$A:$H,2,0)</f>
        <v>COMPOSIÇÃO</v>
      </c>
      <c r="D254" s="315" t="str">
        <f>VLOOKUP($B254,[5]BOLETIM_SEL!$A:$H,4,0)</f>
        <v>APV-3 - Acréscimo para Poço de Visita, com dimensões internas de 1,98m x 3,48m, em alvenaria de bloco de concreto estrutural FBK 14mpa, conforme projeto tipo</v>
      </c>
      <c r="E254" s="2">
        <f>+Orçamento_Não_Deson!E254</f>
        <v>0</v>
      </c>
      <c r="F254" s="2" t="str">
        <f>VLOOKUP($B254,[5]BOLETIM_SEL!$A:$H,6,0)</f>
        <v>M</v>
      </c>
      <c r="G254" s="1407">
        <f>VLOOKUP($B254,[5]BOLETIM_SEL!$A:$H,7,0)</f>
        <v>2132.98</v>
      </c>
      <c r="H254" s="1613">
        <f>+Orçamento_Não_Deson!H254</f>
        <v>0</v>
      </c>
      <c r="I254" s="877">
        <f t="shared" si="35"/>
        <v>2703.33</v>
      </c>
      <c r="J254" s="1612">
        <f t="shared" ref="J254:J312" si="57">TRUNC(H254*I254,2)</f>
        <v>0</v>
      </c>
      <c r="K254" s="2078">
        <f t="shared" ca="1" si="53"/>
        <v>0</v>
      </c>
      <c r="L254" s="1574">
        <f t="shared" ca="1" si="56"/>
        <v>0</v>
      </c>
      <c r="M254" s="1974"/>
      <c r="N254" s="1968">
        <f>VLOOKUP($B254,[5]BOLETIM_SEL!$A:$H,3,0)</f>
        <v>0</v>
      </c>
      <c r="O254" s="1656">
        <f t="shared" si="55"/>
        <v>0</v>
      </c>
      <c r="Q254" s="833"/>
      <c r="R254" s="833"/>
      <c r="S254" s="833"/>
      <c r="T254" s="833"/>
      <c r="U254" s="833"/>
      <c r="V254" s="833"/>
      <c r="W254" s="833"/>
      <c r="X254" s="833"/>
    </row>
    <row r="255" spans="1:24" s="813" customFormat="1" ht="39.950000000000003" hidden="1" customHeight="1" x14ac:dyDescent="0.15">
      <c r="A255" s="2081">
        <f ca="1">Orçamento_Não_Deson!A255</f>
        <v>5.0199999999999996</v>
      </c>
      <c r="B255" s="834" t="str">
        <f>Orçamento_Não_Deson!B255</f>
        <v>DR/0185</v>
      </c>
      <c r="C255" s="2" t="str">
        <f>VLOOKUP($B255,[5]BOLETIM_SEL!$A:$H,2,0)</f>
        <v>COMPOSIÇÃO</v>
      </c>
      <c r="D255" s="315" t="str">
        <f>VLOOKUP($B255,[5]BOLETIM_SEL!$A:$H,4,0)</f>
        <v>APV-4 - Acréscimo para Poço de Visita, com dimensões internas de 1,98m x 4,98m, em alvenaria de bloco de concreto estrutural FBK 14mpa, conforme projeto tipo</v>
      </c>
      <c r="E255" s="2">
        <f>Orçamento_Não_Deson!E255</f>
        <v>0</v>
      </c>
      <c r="F255" s="2" t="str">
        <f>VLOOKUP($B255,[5]BOLETIM_SEL!$A:$H,6,0)</f>
        <v>M</v>
      </c>
      <c r="G255" s="1407">
        <f>VLOOKUP($B255,[5]BOLETIM_SEL!$A:$H,7,0)</f>
        <v>2668.39</v>
      </c>
      <c r="H255" s="1613">
        <f>Orçamento_Não_Deson!H255</f>
        <v>0</v>
      </c>
      <c r="I255" s="877">
        <f t="shared" si="35"/>
        <v>3381.91</v>
      </c>
      <c r="J255" s="1612">
        <f t="shared" si="57"/>
        <v>0</v>
      </c>
      <c r="K255" s="2078">
        <f t="shared" ca="1" si="53"/>
        <v>0</v>
      </c>
      <c r="L255" s="1574">
        <f t="shared" ca="1" si="56"/>
        <v>0</v>
      </c>
      <c r="M255" s="1974"/>
      <c r="N255" s="1968">
        <f>VLOOKUP($B255,[5]BOLETIM_SEL!$A:$H,3,0)</f>
        <v>0</v>
      </c>
      <c r="O255" s="1656">
        <f>N255*H255</f>
        <v>0</v>
      </c>
      <c r="Q255" s="833"/>
      <c r="R255" s="833"/>
      <c r="S255" s="833"/>
      <c r="T255" s="833"/>
      <c r="U255" s="833"/>
      <c r="V255" s="833"/>
      <c r="W255" s="833"/>
      <c r="X255" s="833"/>
    </row>
    <row r="256" spans="1:24" s="813" customFormat="1" ht="39.950000000000003" hidden="1" customHeight="1" x14ac:dyDescent="0.15">
      <c r="A256" s="2081">
        <f ca="1">+Orçamento_Não_Deson!A256</f>
        <v>5.0199999999999996</v>
      </c>
      <c r="B256" s="834" t="str">
        <f>+Orçamento_Não_Deson!B256</f>
        <v>DR/0190</v>
      </c>
      <c r="C256" s="2" t="str">
        <f>VLOOKUP($B256,[5]BOLETIM_SEL!$A:$H,2,0)</f>
        <v>COMPOSIÇÃO</v>
      </c>
      <c r="D256" s="315" t="str">
        <f>VLOOKUP($B256,[5]BOLETIM_SEL!$A:$H,4,0)</f>
        <v>APV-5 - Acréscimo para Poço de Visita, com dimensões internas de 1,98m x 6,58m, em alvenaria de bloco de concreto estrutural FBK 14mpa, conforme projeto tipo</v>
      </c>
      <c r="E256" s="2">
        <f>+Orçamento_Não_Deson!E256</f>
        <v>0</v>
      </c>
      <c r="F256" s="2" t="str">
        <f>VLOOKUP($B256,[5]BOLETIM_SEL!$A:$H,6,0)</f>
        <v>M</v>
      </c>
      <c r="G256" s="1407">
        <f>VLOOKUP($B256,[5]BOLETIM_SEL!$A:$H,7,0)</f>
        <v>3239.5</v>
      </c>
      <c r="H256" s="1613">
        <f>+Orçamento_Não_Deson!H256</f>
        <v>0</v>
      </c>
      <c r="I256" s="877">
        <f t="shared" si="35"/>
        <v>4105.74</v>
      </c>
      <c r="J256" s="1612">
        <f t="shared" si="57"/>
        <v>0</v>
      </c>
      <c r="K256" s="2078">
        <f t="shared" ca="1" si="53"/>
        <v>0</v>
      </c>
      <c r="L256" s="1574">
        <f t="shared" ca="1" si="56"/>
        <v>0</v>
      </c>
      <c r="M256" s="1974"/>
      <c r="N256" s="1968">
        <f>VLOOKUP($B256,[5]BOLETIM_SEL!$A:$H,3,0)</f>
        <v>0</v>
      </c>
      <c r="O256" s="1656">
        <f t="shared" si="55"/>
        <v>0</v>
      </c>
      <c r="Q256" s="833"/>
      <c r="R256" s="833"/>
      <c r="S256" s="833"/>
      <c r="T256" s="833"/>
      <c r="U256" s="833"/>
      <c r="V256" s="833"/>
      <c r="W256" s="833"/>
      <c r="X256" s="833"/>
    </row>
    <row r="257" spans="1:24" s="813" customFormat="1" ht="39.950000000000003" hidden="1" customHeight="1" x14ac:dyDescent="0.15">
      <c r="A257" s="2081">
        <f ca="1">+Orçamento_Não_Deson!A257</f>
        <v>5.0199999999999996</v>
      </c>
      <c r="B257" s="834" t="str">
        <f>+Orçamento_Não_Deson!B257</f>
        <v>DR/0195</v>
      </c>
      <c r="C257" s="2" t="str">
        <f>VLOOKUP($B257,[5]BOLETIM_SEL!$A:$H,2,0)</f>
        <v>COMPOSIÇÃO</v>
      </c>
      <c r="D257" s="315" t="str">
        <f>VLOOKUP($B257,[5]BOLETIM_SEL!$A:$H,4,0)</f>
        <v>APV-6 - Acréscimo para Poço de Visita, com dimensões internas de 1,98m x 8,78m, em alvenaria de bloco de concreto estrutural FBK 14mpa, conforme projeto tipo</v>
      </c>
      <c r="E257" s="2">
        <f>+Orçamento_Não_Deson!E257</f>
        <v>0</v>
      </c>
      <c r="F257" s="2" t="str">
        <f>VLOOKUP($B257,[5]BOLETIM_SEL!$A:$H,6,0)</f>
        <v>M</v>
      </c>
      <c r="G257" s="1407">
        <f>VLOOKUP($B257,[5]BOLETIM_SEL!$A:$H,7,0)</f>
        <v>4024.77</v>
      </c>
      <c r="H257" s="1613">
        <f>+Orçamento_Não_Deson!H257</f>
        <v>0</v>
      </c>
      <c r="I257" s="877">
        <f t="shared" si="35"/>
        <v>5100.99</v>
      </c>
      <c r="J257" s="1612">
        <f t="shared" si="57"/>
        <v>0</v>
      </c>
      <c r="K257" s="2078">
        <f t="shared" ca="1" si="53"/>
        <v>0</v>
      </c>
      <c r="L257" s="1574">
        <f t="shared" ca="1" si="56"/>
        <v>0</v>
      </c>
      <c r="M257" s="1974"/>
      <c r="N257" s="1968">
        <f>VLOOKUP($B257,[5]BOLETIM_SEL!$A:$H,3,0)</f>
        <v>0</v>
      </c>
      <c r="O257" s="1656">
        <f t="shared" si="55"/>
        <v>0</v>
      </c>
      <c r="Q257" s="833"/>
      <c r="R257" s="833"/>
      <c r="S257" s="833"/>
      <c r="T257" s="833"/>
      <c r="U257" s="833"/>
      <c r="V257" s="833"/>
      <c r="W257" s="833"/>
      <c r="X257" s="833"/>
    </row>
    <row r="258" spans="1:24" s="813" customFormat="1" ht="39.950000000000003" hidden="1" customHeight="1" x14ac:dyDescent="0.15">
      <c r="A258" s="2081">
        <f ca="1">+Orçamento_Não_Deson!A258</f>
        <v>5.0199999999999996</v>
      </c>
      <c r="B258" s="834" t="str">
        <f>+Orçamento_Não_Deson!B258</f>
        <v>DR/0200</v>
      </c>
      <c r="C258" s="2" t="str">
        <f>VLOOKUP($B258,[5]BOLETIM_SEL!$A:$H,2,0)</f>
        <v>COMPOSIÇÃO</v>
      </c>
      <c r="D258" s="315" t="str">
        <f>VLOOKUP($B258,[5]BOLETIM_SEL!$A:$H,4,0)</f>
        <v>Antecâmara para poço de visita, com dimensões internas de 1,98m x 1,00m x 1,50m (bxbxh), em alvenaria de bloco de concreto estrutural FBK 14mpa, conforme projeto tipo</v>
      </c>
      <c r="E258" s="2">
        <f>+Orçamento_Não_Deson!E258</f>
        <v>0</v>
      </c>
      <c r="F258" s="2" t="str">
        <f>VLOOKUP($B258,[5]BOLETIM_SEL!$A:$H,6,0)</f>
        <v>UN</v>
      </c>
      <c r="G258" s="1407">
        <f>VLOOKUP($B258,[5]BOLETIM_SEL!$A:$H,7,0)</f>
        <v>2574.4899999999998</v>
      </c>
      <c r="H258" s="1613">
        <f ca="1">+Orçamento_Não_Deson!H258</f>
        <v>0</v>
      </c>
      <c r="I258" s="877">
        <f t="shared" si="35"/>
        <v>3262.9</v>
      </c>
      <c r="J258" s="1612">
        <f ca="1">TRUNC(H258*I258,2)</f>
        <v>0</v>
      </c>
      <c r="K258" s="2078">
        <f t="shared" ca="1" si="53"/>
        <v>0</v>
      </c>
      <c r="L258" s="1574">
        <f t="shared" ca="1" si="56"/>
        <v>0</v>
      </c>
      <c r="M258" s="1974"/>
      <c r="N258" s="1969">
        <f>VLOOKUP($B258,[5]BOLETIM_SEL!$A:$H,3,0)</f>
        <v>0</v>
      </c>
      <c r="O258" s="1656">
        <f t="shared" ca="1" si="55"/>
        <v>0</v>
      </c>
      <c r="Q258" s="833"/>
      <c r="R258" s="833"/>
      <c r="S258" s="833"/>
      <c r="T258" s="833"/>
      <c r="U258" s="833"/>
      <c r="V258" s="833"/>
      <c r="W258" s="833"/>
      <c r="X258" s="833"/>
    </row>
    <row r="259" spans="1:24" s="813" customFormat="1" ht="39.950000000000003" customHeight="1" x14ac:dyDescent="0.15">
      <c r="A259" s="2081">
        <f ca="1">Orçamento_Não_Deson!A259</f>
        <v>5.0299999999999994</v>
      </c>
      <c r="B259" s="834">
        <f>Orçamento_Não_Deson!B259</f>
        <v>98051</v>
      </c>
      <c r="C259" s="2" t="str">
        <f>VLOOKUP($B259,[5]BOLETIM_SEL!$A:$H,2,0)</f>
        <v>SINAPI</v>
      </c>
      <c r="D259" s="315" t="str">
        <f>VLOOKUP($B259,[5]BOLETIM_SEL!$A:$H,4,0)</f>
        <v>Chaminé circular para poço de visita para esgoto, em alvenaria com tijolos cerâmicos maciços, diâmetro interno = 0,6 m. af_12/2020</v>
      </c>
      <c r="E259" s="2">
        <f>Orçamento_Não_Deson!E259</f>
        <v>0</v>
      </c>
      <c r="F259" s="2" t="str">
        <f>VLOOKUP($B259,[5]BOLETIM_SEL!$A:$H,6,0)</f>
        <v>M</v>
      </c>
      <c r="G259" s="1407">
        <f>VLOOKUP($B259,[5]BOLETIM_SEL!$A:$H,7,0)</f>
        <v>886.57</v>
      </c>
      <c r="H259" s="1613">
        <f ca="1">Orçamento_Não_Deson!H259</f>
        <v>10.84</v>
      </c>
      <c r="I259" s="877">
        <f t="shared" si="35"/>
        <v>1123.6300000000001</v>
      </c>
      <c r="J259" s="1612">
        <f ca="1">TRUNC(H259*I259,2)</f>
        <v>12180.14</v>
      </c>
      <c r="K259" s="2078">
        <f t="shared" ca="1" si="53"/>
        <v>8.869999880511258E-4</v>
      </c>
      <c r="L259" s="1574">
        <f t="shared" ca="1" si="56"/>
        <v>1.0801023708905646E-2</v>
      </c>
      <c r="M259" s="1974"/>
      <c r="N259" s="1968">
        <f>VLOOKUP($B259,[5]BOLETIM_SEL!$A:$H,3,0)</f>
        <v>0</v>
      </c>
      <c r="O259" s="1656">
        <f ca="1">N259*H259</f>
        <v>0</v>
      </c>
      <c r="Q259" s="833"/>
      <c r="R259" s="833"/>
      <c r="S259" s="833"/>
      <c r="T259" s="833"/>
      <c r="U259" s="833"/>
      <c r="V259" s="833"/>
      <c r="W259" s="833"/>
      <c r="X259" s="833"/>
    </row>
    <row r="260" spans="1:24" s="813" customFormat="1" ht="39.950000000000003" customHeight="1" x14ac:dyDescent="0.15">
      <c r="A260" s="2081">
        <f ca="1">Orçamento_Não_Deson!A260</f>
        <v>5.0399999999999991</v>
      </c>
      <c r="B260" s="834" t="str">
        <f>Orçamento_Não_Deson!B260</f>
        <v>DR/0355</v>
      </c>
      <c r="C260" s="2" t="str">
        <f>VLOOKUP($B260,[5]BOLETIM_SEL!$A:$H,2,0)</f>
        <v>COMPOSIÇÃO</v>
      </c>
      <c r="D260" s="315" t="str">
        <f>VLOOKUP($B260,[5]BOLETIM_SEL!$A:$H,4,0)</f>
        <v>Tampão F°F° articulado, classe D400, carga máxima 40 T, redondo tampa 600 mm para rede pluvial/esgoto. Incluindo fornecimento, assentamento e requadro em concreto FCK 20mpa, de 1,00m x 1,00m x 0,20m</v>
      </c>
      <c r="E260" s="2">
        <f>Orçamento_Não_Deson!E260</f>
        <v>0</v>
      </c>
      <c r="F260" s="2" t="str">
        <f>VLOOKUP($B260,[5]BOLETIM_SEL!$A:$H,6,0)</f>
        <v xml:space="preserve">UN </v>
      </c>
      <c r="G260" s="1407">
        <f>VLOOKUP($B260,[5]BOLETIM_SEL!$A:$H,7,0)</f>
        <v>753.76</v>
      </c>
      <c r="H260" s="1613">
        <f ca="1">Orçamento_Não_Deson!H260</f>
        <v>29</v>
      </c>
      <c r="I260" s="877">
        <f t="shared" si="35"/>
        <v>955.31</v>
      </c>
      <c r="J260" s="1612">
        <f ca="1">TRUNC(H260*I260,2)</f>
        <v>27703.99</v>
      </c>
      <c r="K260" s="2078">
        <f t="shared" ca="1" si="53"/>
        <v>2.0175005212557913E-3</v>
      </c>
      <c r="L260" s="1574">
        <f t="shared" ca="1" si="56"/>
        <v>2.4567160379214439E-2</v>
      </c>
      <c r="M260" s="1982"/>
      <c r="N260" s="1969">
        <f>VLOOKUP($B260,[5]BOLETIM_SEL!$A:$H,3,0)</f>
        <v>53</v>
      </c>
      <c r="O260" s="1656">
        <f ca="1">N260*H260</f>
        <v>1537</v>
      </c>
      <c r="Q260" s="833"/>
      <c r="R260" s="833"/>
      <c r="S260" s="833"/>
      <c r="T260" s="833"/>
      <c r="U260" s="833"/>
      <c r="V260" s="833"/>
      <c r="W260" s="833"/>
      <c r="X260" s="833"/>
    </row>
    <row r="261" spans="1:24" s="813" customFormat="1" ht="39.950000000000003" customHeight="1" x14ac:dyDescent="0.15">
      <c r="A261" s="2081">
        <f ca="1">Orçamento_Não_Deson!A261</f>
        <v>5.0499999999999989</v>
      </c>
      <c r="B261" s="834" t="str">
        <f>Orçamento_Não_Deson!B261</f>
        <v>DR/0205</v>
      </c>
      <c r="C261" s="2" t="str">
        <f>VLOOKUP($B261,[5]BOLETIM_SEL!$A:$H,2,0)</f>
        <v>COMPOSIÇÃO</v>
      </c>
      <c r="D261" s="315" t="str">
        <f>VLOOKUP($B261,[5]BOLETIM_SEL!$A:$H,4,0)</f>
        <v>CP-1 - Caixa de Passagem, com dimensões internas de  1,92m x 1,92m x 1,60m (bxbxh), em alvenaria de bloco de concreto estrutural FBK 8 MPa, conforme projeto tipo</v>
      </c>
      <c r="E261" s="2">
        <f>Orçamento_Não_Deson!E261</f>
        <v>0</v>
      </c>
      <c r="F261" s="2" t="str">
        <f>VLOOKUP($B261,[5]BOLETIM_SEL!$A:$H,6,0)</f>
        <v>UN</v>
      </c>
      <c r="G261" s="1407">
        <f>VLOOKUP($B261,[5]BOLETIM_SEL!$A:$H,7,0)</f>
        <v>6144.05</v>
      </c>
      <c r="H261" s="1613">
        <f>Orçamento_Não_Deson!H261</f>
        <v>5</v>
      </c>
      <c r="I261" s="877">
        <f t="shared" si="35"/>
        <v>7786.96</v>
      </c>
      <c r="J261" s="1612">
        <f t="shared" si="57"/>
        <v>38934.800000000003</v>
      </c>
      <c r="K261" s="2078">
        <f t="shared" ca="1" si="53"/>
        <v>2.8353670101306698E-3</v>
      </c>
      <c r="L261" s="1574">
        <f t="shared" ca="1" si="56"/>
        <v>3.4526343531478258E-2</v>
      </c>
      <c r="M261" s="1974"/>
      <c r="N261" s="1969">
        <f>VLOOKUP($B261,[5]BOLETIM_SEL!$A:$H,3,0)</f>
        <v>0</v>
      </c>
      <c r="O261" s="1656">
        <f>N261*H261</f>
        <v>0</v>
      </c>
      <c r="Q261" s="833"/>
      <c r="R261" s="833"/>
      <c r="S261" s="833"/>
      <c r="T261" s="833"/>
      <c r="U261" s="833"/>
      <c r="V261" s="833"/>
      <c r="W261" s="833"/>
      <c r="X261" s="833"/>
    </row>
    <row r="262" spans="1:24" s="813" customFormat="1" ht="39.950000000000003" hidden="1" customHeight="1" x14ac:dyDescent="0.15">
      <c r="A262" s="2081">
        <f ca="1">+Orçamento_Não_Deson!A262</f>
        <v>5.0499999999999989</v>
      </c>
      <c r="B262" s="834" t="str">
        <f>+Orçamento_Não_Deson!B262</f>
        <v>DR/0210</v>
      </c>
      <c r="C262" s="2" t="str">
        <f>VLOOKUP($B262,[5]BOLETIM_SEL!$A:$H,2,0)</f>
        <v>COMPOSIÇÃO</v>
      </c>
      <c r="D262" s="315" t="str">
        <f>VLOOKUP($B262,[5]BOLETIM_SEL!$A:$H,4,0)</f>
        <v>CP-2 - Caixa de Passagem, com dimensões internas de  1,92m x 2,82m x 2,00m (bxbxh), em alvenaria de bloco de concreto estrutural FBK 8 MPa, conforme projeto tipo</v>
      </c>
      <c r="E262" s="2">
        <f>+Orçamento_Não_Deson!E262</f>
        <v>0</v>
      </c>
      <c r="F262" s="2" t="str">
        <f>VLOOKUP($B262,[5]BOLETIM_SEL!$A:$H,6,0)</f>
        <v>UN</v>
      </c>
      <c r="G262" s="1407">
        <f>VLOOKUP($B262,[5]BOLETIM_SEL!$A:$H,7,0)</f>
        <v>8795.73</v>
      </c>
      <c r="H262" s="1613">
        <f>+Orçamento_Não_Deson!H262</f>
        <v>0</v>
      </c>
      <c r="I262" s="877">
        <f t="shared" si="35"/>
        <v>11147.7</v>
      </c>
      <c r="J262" s="1612">
        <f t="shared" si="57"/>
        <v>0</v>
      </c>
      <c r="K262" s="2078">
        <f t="shared" ca="1" si="53"/>
        <v>0</v>
      </c>
      <c r="L262" s="1574">
        <f t="shared" ca="1" si="56"/>
        <v>0</v>
      </c>
      <c r="M262" s="1974"/>
      <c r="N262" s="1969">
        <f>VLOOKUP($B262,[5]BOLETIM_SEL!$A:$H,3,0)</f>
        <v>0</v>
      </c>
      <c r="O262" s="1656">
        <f t="shared" si="55"/>
        <v>0</v>
      </c>
      <c r="Q262" s="833"/>
      <c r="R262" s="833"/>
      <c r="S262" s="833"/>
      <c r="T262" s="833"/>
      <c r="U262" s="833"/>
      <c r="V262" s="833"/>
      <c r="W262" s="833"/>
      <c r="X262" s="833"/>
    </row>
    <row r="263" spans="1:24" s="813" customFormat="1" ht="39.950000000000003" hidden="1" customHeight="1" x14ac:dyDescent="0.15">
      <c r="A263" s="2081">
        <f ca="1">+Orçamento_Não_Deson!A263</f>
        <v>5.0499999999999989</v>
      </c>
      <c r="B263" s="834" t="str">
        <f>+Orçamento_Não_Deson!B263</f>
        <v>DR/0215</v>
      </c>
      <c r="C263" s="2" t="str">
        <f>VLOOKUP($B263,[5]BOLETIM_SEL!$A:$H,2,0)</f>
        <v>COMPOSIÇÃO</v>
      </c>
      <c r="D263" s="315" t="str">
        <f>VLOOKUP($B263,[5]BOLETIM_SEL!$A:$H,4,0)</f>
        <v>CP-3 - Caixa de Passagem, com dimensões internas de 1,98m x 3,48m x 2,00m (bxbxh), em alvenaria de bloco de concreto estrutural FBK 14mpa, conforme projeto tipo</v>
      </c>
      <c r="E263" s="2">
        <f>+Orçamento_Não_Deson!E263</f>
        <v>0</v>
      </c>
      <c r="F263" s="2" t="str">
        <f>VLOOKUP($B263,[5]BOLETIM_SEL!$A:$H,6,0)</f>
        <v>UN</v>
      </c>
      <c r="G263" s="1407">
        <f>VLOOKUP($B263,[5]BOLETIM_SEL!$A:$H,7,0)</f>
        <v>10292.299999999999</v>
      </c>
      <c r="H263" s="1613">
        <f>+Orçamento_Não_Deson!H263</f>
        <v>0</v>
      </c>
      <c r="I263" s="877">
        <f t="shared" si="35"/>
        <v>13044.46</v>
      </c>
      <c r="J263" s="1612">
        <f t="shared" si="57"/>
        <v>0</v>
      </c>
      <c r="K263" s="2078">
        <f t="shared" ca="1" si="53"/>
        <v>0</v>
      </c>
      <c r="L263" s="1574">
        <f t="shared" ca="1" si="56"/>
        <v>0</v>
      </c>
      <c r="M263" s="1974"/>
      <c r="N263" s="1969">
        <f>VLOOKUP($B263,[5]BOLETIM_SEL!$A:$H,3,0)</f>
        <v>0</v>
      </c>
      <c r="O263" s="1656">
        <f t="shared" si="55"/>
        <v>0</v>
      </c>
      <c r="Q263" s="833"/>
      <c r="R263" s="833"/>
      <c r="S263" s="833"/>
      <c r="T263" s="833"/>
      <c r="U263" s="833"/>
      <c r="V263" s="833"/>
      <c r="W263" s="833"/>
      <c r="X263" s="833"/>
    </row>
    <row r="264" spans="1:24" s="813" customFormat="1" ht="39.950000000000003" hidden="1" customHeight="1" x14ac:dyDescent="0.15">
      <c r="A264" s="2081">
        <f ca="1">Orçamento_Não_Deson!A264</f>
        <v>5.0499999999999989</v>
      </c>
      <c r="B264" s="834" t="str">
        <f>Orçamento_Não_Deson!B264</f>
        <v>DR/0235</v>
      </c>
      <c r="C264" s="2" t="str">
        <f>VLOOKUP($B264,[5]BOLETIM_SEL!$A:$H,2,0)</f>
        <v>COMPOSIÇÃO</v>
      </c>
      <c r="D264" s="315" t="str">
        <f>VLOOKUP($B264,[5]BOLETIM_SEL!$A:$H,4,0)</f>
        <v>CC 1 - Caixa Coletora  2,32x2,32m, com dimensões internas de 2,32m x 2,32m x 1,50m (bxbxh), em alvenaria de bloco de concreto estrutural FBK 14mpa, inclusive grelha (0,60X0,6)m no centro, conforme projeto tipo. Exclusive pescoço.</v>
      </c>
      <c r="E264" s="2">
        <f>Orçamento_Não_Deson!E264</f>
        <v>0</v>
      </c>
      <c r="F264" s="2" t="str">
        <f>VLOOKUP($B264,[5]BOLETIM_SEL!$A:$H,6,0)</f>
        <v>UN</v>
      </c>
      <c r="G264" s="1407">
        <f>VLOOKUP($B264,[5]BOLETIM_SEL!$A:$H,7,0)</f>
        <v>4680.1899999999996</v>
      </c>
      <c r="H264" s="1613">
        <f>Orçamento_Não_Deson!H264</f>
        <v>0</v>
      </c>
      <c r="I264" s="877">
        <f t="shared" si="35"/>
        <v>5931.67</v>
      </c>
      <c r="J264" s="1612">
        <f t="shared" si="57"/>
        <v>0</v>
      </c>
      <c r="K264" s="2078">
        <f t="shared" ca="1" si="53"/>
        <v>0</v>
      </c>
      <c r="L264" s="1574">
        <f t="shared" ca="1" si="56"/>
        <v>0</v>
      </c>
      <c r="M264" s="1974"/>
      <c r="N264" s="1969">
        <f>VLOOKUP($B264,[5]BOLETIM_SEL!$A:$H,3,0)</f>
        <v>0</v>
      </c>
      <c r="O264" s="1656">
        <f>N264*H264</f>
        <v>0</v>
      </c>
      <c r="Q264" s="833"/>
      <c r="R264" s="833"/>
      <c r="S264" s="833"/>
      <c r="T264" s="833"/>
      <c r="U264" s="833"/>
      <c r="V264" s="833"/>
      <c r="W264" s="833"/>
      <c r="X264" s="833"/>
    </row>
    <row r="265" spans="1:24" s="813" customFormat="1" ht="39.950000000000003" hidden="1" customHeight="1" x14ac:dyDescent="0.15">
      <c r="A265" s="2081">
        <f ca="1">+Orçamento_Não_Deson!A265</f>
        <v>5.0499999999999989</v>
      </c>
      <c r="B265" s="834" t="str">
        <f>+Orçamento_Não_Deson!B265</f>
        <v>DR/0240</v>
      </c>
      <c r="C265" s="2" t="str">
        <f>VLOOKUP($B265,[5]BOLETIM_SEL!$A:$H,2,0)</f>
        <v>CRIAR COMPOSIÇÃO</v>
      </c>
      <c r="D265" s="315" t="str">
        <f>VLOOKUP($B265,[5]BOLETIM_SEL!$A:$H,4,0)</f>
        <v>CC 2 - Caixa Coletora  1,70 x 1,70m, inclusive grelha, conforme projeto tipo</v>
      </c>
      <c r="E265" s="2">
        <f>+Orçamento_Não_Deson!E265</f>
        <v>0</v>
      </c>
      <c r="F265" s="2" t="str">
        <f>VLOOKUP($B265,[5]BOLETIM_SEL!$A:$H,6,0)</f>
        <v>-</v>
      </c>
      <c r="G265" s="1407"/>
      <c r="H265" s="1613">
        <f>+Orçamento_Não_Deson!H265</f>
        <v>0</v>
      </c>
      <c r="I265" s="877">
        <f t="shared" si="35"/>
        <v>0</v>
      </c>
      <c r="J265" s="1612">
        <f t="shared" si="57"/>
        <v>0</v>
      </c>
      <c r="K265" s="2078">
        <f t="shared" ca="1" si="53"/>
        <v>0</v>
      </c>
      <c r="L265" s="1574">
        <f t="shared" ca="1" si="56"/>
        <v>0</v>
      </c>
      <c r="M265" s="1974"/>
      <c r="N265" s="1969">
        <f>VLOOKUP($B265,[5]BOLETIM_SEL!$A:$H,3,0)</f>
        <v>0</v>
      </c>
      <c r="O265" s="1656">
        <f t="shared" si="55"/>
        <v>0</v>
      </c>
      <c r="Q265" s="833"/>
      <c r="R265" s="833"/>
      <c r="S265" s="833"/>
      <c r="T265" s="833"/>
      <c r="U265" s="833"/>
      <c r="V265" s="833"/>
      <c r="W265" s="833"/>
      <c r="X265" s="833"/>
    </row>
    <row r="266" spans="1:24" s="813" customFormat="1" ht="39.950000000000003" hidden="1" customHeight="1" x14ac:dyDescent="0.15">
      <c r="A266" s="2081">
        <f ca="1">+Orçamento_Não_Deson!A266</f>
        <v>5.0499999999999989</v>
      </c>
      <c r="B266" s="834" t="str">
        <f>+Orçamento_Não_Deson!B266</f>
        <v>DR/0250</v>
      </c>
      <c r="C266" s="2" t="str">
        <f>VLOOKUP($B266,[5]BOLETIM_SEL!$A:$H,2,0)</f>
        <v>COMPOSIÇÃO</v>
      </c>
      <c r="D266" s="315" t="str">
        <f>VLOOKUP($B266,[5]BOLETIM_SEL!$A:$H,4,0)</f>
        <v xml:space="preserve">BLSP - Boca-de-lobo simples com caixa no passeio, em concreto simples FCK 20 mpa, incluindo forma, escavação, laje e tampão em F°F° para passeio 47 x 70cm, conforme projeto </v>
      </c>
      <c r="E266" s="2">
        <f>+Orçamento_Não_Deson!E266</f>
        <v>0</v>
      </c>
      <c r="F266" s="2" t="str">
        <f>VLOOKUP($B266,[5]BOLETIM_SEL!$A:$H,6,0)</f>
        <v>UN</v>
      </c>
      <c r="G266" s="1407">
        <f>VLOOKUP($B266,[5]BOLETIM_SEL!$A:$H,7,0)</f>
        <v>1417.45</v>
      </c>
      <c r="H266" s="1613">
        <f>+Orçamento_Não_Deson!H266</f>
        <v>0</v>
      </c>
      <c r="I266" s="877">
        <f t="shared" si="35"/>
        <v>1796.47</v>
      </c>
      <c r="J266" s="1612">
        <f t="shared" si="57"/>
        <v>0</v>
      </c>
      <c r="K266" s="2078">
        <f t="shared" ca="1" si="53"/>
        <v>0</v>
      </c>
      <c r="L266" s="1574">
        <f t="shared" ca="1" si="56"/>
        <v>0</v>
      </c>
      <c r="M266" s="2579" t="str">
        <f>VLOOKUP($B266,[5]BOLETIM_SEL!$A:$H,5,0)</f>
        <v>BOCA DE LOBO
no passeio</v>
      </c>
      <c r="N266" s="1969">
        <f>VLOOKUP($B266,[5]BOLETIM_SEL!$A:$H,3,0)</f>
        <v>0</v>
      </c>
      <c r="O266" s="1656">
        <f t="shared" si="55"/>
        <v>0</v>
      </c>
      <c r="Q266" s="833"/>
      <c r="R266" s="833"/>
      <c r="S266" s="833"/>
      <c r="T266" s="833"/>
      <c r="U266" s="833"/>
      <c r="V266" s="833"/>
      <c r="W266" s="833"/>
      <c r="X266" s="833"/>
    </row>
    <row r="267" spans="1:24" s="813" customFormat="1" ht="39.950000000000003" hidden="1" customHeight="1" x14ac:dyDescent="0.15">
      <c r="A267" s="2081">
        <f ca="1">+Orçamento_Não_Deson!A267</f>
        <v>5.0499999999999989</v>
      </c>
      <c r="B267" s="834" t="str">
        <f>+Orçamento_Não_Deson!B267</f>
        <v>DR/0255</v>
      </c>
      <c r="C267" s="2" t="str">
        <f>VLOOKUP($B267,[5]BOLETIM_SEL!$A:$H,2,0)</f>
        <v>COMPOSIÇÃO</v>
      </c>
      <c r="D267" s="315" t="str">
        <f>VLOOKUP($B267,[5]BOLETIM_SEL!$A:$H,4,0)</f>
        <v xml:space="preserve">BLDP - Boca-de-lobo dupla com caixa no passeio, em concreto simples FCK 20 mpa, incluindo forma, escavação, laje e tampão em F°F° para passeio 47 x 70cm, conforme projeto </v>
      </c>
      <c r="E267" s="2">
        <f>+Orçamento_Não_Deson!E267</f>
        <v>0</v>
      </c>
      <c r="F267" s="2" t="str">
        <f>VLOOKUP($B267,[5]BOLETIM_SEL!$A:$H,6,0)</f>
        <v>UN</v>
      </c>
      <c r="G267" s="1407">
        <f>VLOOKUP($B267,[5]BOLETIM_SEL!$A:$H,7,0)</f>
        <v>2372.15</v>
      </c>
      <c r="H267" s="1613">
        <f>+Orçamento_Não_Deson!H267</f>
        <v>0</v>
      </c>
      <c r="I267" s="877">
        <f t="shared" si="35"/>
        <v>3006.46</v>
      </c>
      <c r="J267" s="1612">
        <f t="shared" si="57"/>
        <v>0</v>
      </c>
      <c r="K267" s="2078">
        <f t="shared" ca="1" si="53"/>
        <v>0</v>
      </c>
      <c r="L267" s="1574">
        <f t="shared" ca="1" si="56"/>
        <v>0</v>
      </c>
      <c r="M267" s="2579"/>
      <c r="N267" s="1969">
        <f>VLOOKUP($B267,[5]BOLETIM_SEL!$A:$H,3,0)</f>
        <v>0</v>
      </c>
      <c r="O267" s="1656">
        <f t="shared" si="55"/>
        <v>0</v>
      </c>
      <c r="Q267" s="833"/>
      <c r="R267" s="833"/>
      <c r="S267" s="833"/>
      <c r="T267" s="833"/>
      <c r="U267" s="833"/>
      <c r="V267" s="833"/>
      <c r="W267" s="833"/>
      <c r="X267" s="833"/>
    </row>
    <row r="268" spans="1:24" s="813" customFormat="1" ht="39.950000000000003" hidden="1" customHeight="1" x14ac:dyDescent="0.15">
      <c r="A268" s="2081">
        <f ca="1">+Orçamento_Não_Deson!A268</f>
        <v>5.0499999999999989</v>
      </c>
      <c r="B268" s="834" t="str">
        <f>+Orçamento_Não_Deson!B268</f>
        <v>DR/0260</v>
      </c>
      <c r="C268" s="2" t="str">
        <f>VLOOKUP($B268,[5]BOLETIM_SEL!$A:$H,2,0)</f>
        <v>COMPOSIÇÃO</v>
      </c>
      <c r="D268" s="315" t="str">
        <f>VLOOKUP($B268,[5]BOLETIM_SEL!$A:$H,4,0)</f>
        <v xml:space="preserve">BLTP - Boca-de-lobo tripla com caixa no passeio, em concreto simples FCK 20 mpa, incluindo forma, escavação, laje e tampão em F°F° para passeio 47 x 70cm, conforme projeto </v>
      </c>
      <c r="E268" s="2">
        <f>+Orçamento_Não_Deson!E268</f>
        <v>0</v>
      </c>
      <c r="F268" s="2" t="str">
        <f>VLOOKUP($B268,[5]BOLETIM_SEL!$A:$H,6,0)</f>
        <v>UN</v>
      </c>
      <c r="G268" s="1407">
        <f>VLOOKUP($B268,[5]BOLETIM_SEL!$A:$H,7,0)</f>
        <v>3326.24</v>
      </c>
      <c r="H268" s="1613">
        <f>+Orçamento_Não_Deson!H268</f>
        <v>0</v>
      </c>
      <c r="I268" s="877">
        <f t="shared" si="35"/>
        <v>4215.67</v>
      </c>
      <c r="J268" s="1612">
        <f t="shared" si="57"/>
        <v>0</v>
      </c>
      <c r="K268" s="2078">
        <f t="shared" ca="1" si="53"/>
        <v>0</v>
      </c>
      <c r="L268" s="1574">
        <f t="shared" ca="1" si="56"/>
        <v>0</v>
      </c>
      <c r="M268" s="2579"/>
      <c r="N268" s="1969">
        <f>VLOOKUP($B268,[5]BOLETIM_SEL!$A:$H,3,0)</f>
        <v>0</v>
      </c>
      <c r="O268" s="1656">
        <f t="shared" si="55"/>
        <v>0</v>
      </c>
      <c r="Q268" s="833"/>
      <c r="R268" s="833"/>
      <c r="S268" s="833"/>
      <c r="T268" s="833"/>
      <c r="U268" s="833"/>
      <c r="V268" s="833"/>
      <c r="W268" s="833"/>
      <c r="X268" s="833"/>
    </row>
    <row r="269" spans="1:24" s="813" customFormat="1" ht="39.950000000000003" customHeight="1" x14ac:dyDescent="0.15">
      <c r="A269" s="2081">
        <f ca="1">Orçamento_Não_Deson!A269</f>
        <v>5.0599999999999987</v>
      </c>
      <c r="B269" s="834" t="str">
        <f>Orçamento_Não_Deson!B269</f>
        <v>DR/0265</v>
      </c>
      <c r="C269" s="2" t="str">
        <f>VLOOKUP($B269,[5]BOLETIM_SEL!$A:$H,2,0)</f>
        <v>COMPOSIÇÃO</v>
      </c>
      <c r="D269" s="315" t="str">
        <f>VLOOKUP($B269,[5]BOLETIM_SEL!$A:$H,4,0)</f>
        <v xml:space="preserve">BLSC - Boca-de-lobo simples em concreto simples FCK 20 mpa, incluindo forma, escavação, sarjeta de contorno (chama) em concreto e grelha em F°F° tipo pesada, conforme projeto </v>
      </c>
      <c r="E269" s="2">
        <f>Orçamento_Não_Deson!E269</f>
        <v>0</v>
      </c>
      <c r="F269" s="2" t="str">
        <f>VLOOKUP($B269,[5]BOLETIM_SEL!$A:$H,6,0)</f>
        <v>UN</v>
      </c>
      <c r="G269" s="1407">
        <f>VLOOKUP($B269,[5]BOLETIM_SEL!$A:$H,7,0)</f>
        <v>1679.55</v>
      </c>
      <c r="H269" s="1613">
        <f>Orçamento_Não_Deson!H269</f>
        <v>49</v>
      </c>
      <c r="I269" s="877">
        <f t="shared" si="35"/>
        <v>2128.66</v>
      </c>
      <c r="J269" s="1612">
        <f t="shared" si="57"/>
        <v>104304.34</v>
      </c>
      <c r="K269" s="2078">
        <f t="shared" ca="1" si="53"/>
        <v>7.5958033597052716E-3</v>
      </c>
      <c r="L269" s="1574">
        <f t="shared" ca="1" si="56"/>
        <v>9.2494310351256687E-2</v>
      </c>
      <c r="M269" s="2577" t="str">
        <f>VLOOKUP($B269,[5]BOLETIM_SEL!$A:$H,5,0)</f>
        <v>BOCA DE LOBO
em concreto</v>
      </c>
      <c r="N269" s="1969">
        <f>VLOOKUP($B269,[5]BOLETIM_SEL!$A:$H,3,0)</f>
        <v>0</v>
      </c>
      <c r="O269" s="1656">
        <f>N269*H269</f>
        <v>0</v>
      </c>
      <c r="Q269" s="833"/>
      <c r="R269" s="833"/>
      <c r="S269" s="833"/>
      <c r="T269" s="833"/>
      <c r="U269" s="833"/>
      <c r="V269" s="833"/>
      <c r="W269" s="833"/>
      <c r="X269" s="833"/>
    </row>
    <row r="270" spans="1:24" s="813" customFormat="1" ht="39.950000000000003" hidden="1" customHeight="1" x14ac:dyDescent="0.15">
      <c r="A270" s="2081">
        <f ca="1">Orçamento_Não_Deson!A270</f>
        <v>5.0599999999999987</v>
      </c>
      <c r="B270" s="834" t="str">
        <f>Orçamento_Não_Deson!B270</f>
        <v>DR/0270</v>
      </c>
      <c r="C270" s="2" t="str">
        <f>VLOOKUP($B270,[5]BOLETIM_SEL!$A:$H,2,0)</f>
        <v>COMPOSIÇÃO</v>
      </c>
      <c r="D270" s="315" t="str">
        <f>VLOOKUP($B270,[5]BOLETIM_SEL!$A:$H,4,0)</f>
        <v xml:space="preserve">BLDC - Boca-de-lobo dupla em concreto simples FCK 20 mpa, incluindo forma, escavação, sarjeta de contorno (chama) em concreto e grelhas em F°F° tipo pesada, conforme projeto </v>
      </c>
      <c r="E270" s="2">
        <f>Orçamento_Não_Deson!E270</f>
        <v>0</v>
      </c>
      <c r="F270" s="2" t="str">
        <f>VLOOKUP($B270,[5]BOLETIM_SEL!$A:$H,6,0)</f>
        <v>UN</v>
      </c>
      <c r="G270" s="1407">
        <f>VLOOKUP($B270,[5]BOLETIM_SEL!$A:$H,7,0)</f>
        <v>3154.14</v>
      </c>
      <c r="H270" s="1613">
        <f>Orçamento_Não_Deson!H270</f>
        <v>0</v>
      </c>
      <c r="I270" s="877">
        <f t="shared" si="35"/>
        <v>3997.55</v>
      </c>
      <c r="J270" s="1612">
        <f t="shared" si="57"/>
        <v>0</v>
      </c>
      <c r="K270" s="2078">
        <f t="shared" ca="1" si="53"/>
        <v>0</v>
      </c>
      <c r="L270" s="1574">
        <f t="shared" ca="1" si="56"/>
        <v>0</v>
      </c>
      <c r="M270" s="2577"/>
      <c r="N270" s="1969">
        <f>VLOOKUP($B270,[5]BOLETIM_SEL!$A:$H,3,0)</f>
        <v>0</v>
      </c>
      <c r="O270" s="1656">
        <f>N270*H270</f>
        <v>0</v>
      </c>
      <c r="Q270" s="833"/>
      <c r="R270" s="833"/>
      <c r="S270" s="833"/>
      <c r="T270" s="833"/>
      <c r="U270" s="833"/>
      <c r="V270" s="833"/>
      <c r="W270" s="833"/>
      <c r="X270" s="833"/>
    </row>
    <row r="271" spans="1:24" s="813" customFormat="1" ht="39.950000000000003" customHeight="1" x14ac:dyDescent="0.15">
      <c r="A271" s="2081">
        <f ca="1">Orçamento_Não_Deson!A271</f>
        <v>5.0699999999999985</v>
      </c>
      <c r="B271" s="834" t="str">
        <f>Orçamento_Não_Deson!B271</f>
        <v>DR/0275</v>
      </c>
      <c r="C271" s="2" t="str">
        <f>VLOOKUP($B271,[5]BOLETIM_SEL!$A:$H,2,0)</f>
        <v>COMPOSIÇÃO</v>
      </c>
      <c r="D271" s="315" t="str">
        <f>VLOOKUP($B271,[5]BOLETIM_SEL!$A:$H,4,0)</f>
        <v xml:space="preserve">BLTC - Boca-de-lobo tripla em concreto simples FCK 20 mpa, incluindo forma, escavação, sarjeta de contorno (chama) em concreto e grelhas em F°F° tipo pesada, conforme projeto </v>
      </c>
      <c r="E271" s="2">
        <f>Orçamento_Não_Deson!E271</f>
        <v>0</v>
      </c>
      <c r="F271" s="2" t="str">
        <f>VLOOKUP($B271,[5]BOLETIM_SEL!$A:$H,6,0)</f>
        <v>UN</v>
      </c>
      <c r="G271" s="1407">
        <f>VLOOKUP($B271,[5]BOLETIM_SEL!$A:$H,7,0)</f>
        <v>4628.8900000000003</v>
      </c>
      <c r="H271" s="1613">
        <f>Orçamento_Não_Deson!H271</f>
        <v>27</v>
      </c>
      <c r="I271" s="877">
        <f t="shared" si="35"/>
        <v>5866.65</v>
      </c>
      <c r="J271" s="1612">
        <f t="shared" si="57"/>
        <v>158399.54999999999</v>
      </c>
      <c r="K271" s="2078">
        <f t="shared" ca="1" si="53"/>
        <v>1.1535203943247262E-2</v>
      </c>
      <c r="L271" s="1574">
        <f t="shared" ca="1" si="56"/>
        <v>0.14046450164201604</v>
      </c>
      <c r="M271" s="2577"/>
      <c r="N271" s="1969">
        <f>VLOOKUP($B271,[5]BOLETIM_SEL!$A:$H,3,0)</f>
        <v>0</v>
      </c>
      <c r="O271" s="1656">
        <f>N271*H271</f>
        <v>0</v>
      </c>
      <c r="Q271" s="833"/>
      <c r="R271" s="833"/>
      <c r="S271" s="833"/>
      <c r="T271" s="833"/>
      <c r="U271" s="833"/>
      <c r="V271" s="833"/>
      <c r="W271" s="833"/>
      <c r="X271" s="833"/>
    </row>
    <row r="272" spans="1:24" s="813" customFormat="1" ht="39.950000000000003" hidden="1" customHeight="1" x14ac:dyDescent="0.15">
      <c r="A272" s="2081">
        <f ca="1">Orçamento_Não_Deson!A272</f>
        <v>5.0699999999999985</v>
      </c>
      <c r="B272" s="834" t="str">
        <f>Orçamento_Não_Deson!B272</f>
        <v>DR/0305</v>
      </c>
      <c r="C272" s="2" t="str">
        <f>VLOOKUP($B272,[5]BOLETIM_SEL!$A:$H,2,0)</f>
        <v>COMPOSIÇÃO</v>
      </c>
      <c r="D272" s="315" t="str">
        <f>VLOOKUP($B272,[5]BOLETIM_SEL!$A:$H,4,0)</f>
        <v>Boca-de-bueiro simples tubular - BBST  D = 0,40m, em concreto ciclópico com 30% de pedra-de-mão, conforme projeto tipo (0,66m³/un)</v>
      </c>
      <c r="E272" s="2">
        <f>Orçamento_Não_Deson!E272</f>
        <v>0</v>
      </c>
      <c r="F272" s="2" t="str">
        <f>VLOOKUP($B272,[5]BOLETIM_SEL!$A:$H,6,0)</f>
        <v xml:space="preserve">UN </v>
      </c>
      <c r="G272" s="1407">
        <f>VLOOKUP($B272,[5]BOLETIM_SEL!$A:$H,7,0)</f>
        <v>1187.46</v>
      </c>
      <c r="H272" s="1613">
        <f>Orçamento_Não_Deson!H272</f>
        <v>0</v>
      </c>
      <c r="I272" s="877">
        <f t="shared" si="35"/>
        <v>1504.98</v>
      </c>
      <c r="J272" s="1612">
        <f t="shared" si="57"/>
        <v>0</v>
      </c>
      <c r="K272" s="2078">
        <f t="shared" ca="1" si="53"/>
        <v>0</v>
      </c>
      <c r="L272" s="1574">
        <f t="shared" ca="1" si="56"/>
        <v>0</v>
      </c>
      <c r="M272" s="1974"/>
      <c r="N272" s="833"/>
      <c r="O272" s="833"/>
      <c r="Q272" s="833"/>
      <c r="R272" s="833"/>
      <c r="S272" s="833"/>
      <c r="T272" s="833"/>
      <c r="U272" s="833"/>
      <c r="V272" s="833"/>
      <c r="W272" s="833"/>
      <c r="X272" s="833"/>
    </row>
    <row r="273" spans="1:24" s="813" customFormat="1" ht="39.950000000000003" hidden="1" customHeight="1" x14ac:dyDescent="0.15">
      <c r="A273" s="2081">
        <f ca="1">Orçamento_Não_Deson!A273</f>
        <v>5.0699999999999985</v>
      </c>
      <c r="B273" s="834" t="str">
        <f>Orçamento_Não_Deson!B273</f>
        <v>DR/0310</v>
      </c>
      <c r="C273" s="2" t="str">
        <f>VLOOKUP($B273,[5]BOLETIM_SEL!$A:$H,2,0)</f>
        <v>COMPOSIÇÃO</v>
      </c>
      <c r="D273" s="315" t="str">
        <f>VLOOKUP($B273,[5]BOLETIM_SEL!$A:$H,4,0)</f>
        <v>Boca-de-bueiro simples tubular - BBST  D = 0,60m, em concreto ciclópico com 30% de pedra-de-mão, conforme projeto tipo (1,24m³/un)</v>
      </c>
      <c r="E273" s="2">
        <f>Orçamento_Não_Deson!E273</f>
        <v>0</v>
      </c>
      <c r="F273" s="2" t="str">
        <f>VLOOKUP($B273,[5]BOLETIM_SEL!$A:$H,6,0)</f>
        <v xml:space="preserve">UN </v>
      </c>
      <c r="G273" s="1407">
        <f>VLOOKUP($B273,[5]BOLETIM_SEL!$A:$H,7,0)</f>
        <v>1918.03</v>
      </c>
      <c r="H273" s="1613">
        <f>Orçamento_Não_Deson!H273</f>
        <v>0</v>
      </c>
      <c r="I273" s="877">
        <f t="shared" si="35"/>
        <v>2430.91</v>
      </c>
      <c r="J273" s="1612">
        <f t="shared" si="57"/>
        <v>0</v>
      </c>
      <c r="K273" s="2078">
        <f t="shared" ca="1" si="53"/>
        <v>0</v>
      </c>
      <c r="L273" s="1574">
        <f t="shared" ca="1" si="56"/>
        <v>0</v>
      </c>
      <c r="M273" s="1974"/>
      <c r="N273" s="833"/>
      <c r="O273" s="833"/>
      <c r="Q273" s="833"/>
      <c r="R273" s="833"/>
      <c r="S273" s="833"/>
      <c r="T273" s="833"/>
      <c r="U273" s="833"/>
      <c r="V273" s="833"/>
      <c r="W273" s="833"/>
      <c r="X273" s="833"/>
    </row>
    <row r="274" spans="1:24" s="813" customFormat="1" ht="39.950000000000003" hidden="1" customHeight="1" x14ac:dyDescent="0.15">
      <c r="A274" s="2081">
        <f ca="1">+Orçamento_Não_Deson!A274</f>
        <v>5.0699999999999985</v>
      </c>
      <c r="B274" s="834" t="str">
        <f>+Orçamento_Não_Deson!B274</f>
        <v>DR/0315</v>
      </c>
      <c r="C274" s="2" t="str">
        <f>VLOOKUP($B274,[5]BOLETIM_SEL!$A:$H,2,0)</f>
        <v>COMPOSIÇÃO</v>
      </c>
      <c r="D274" s="315" t="str">
        <f>VLOOKUP($B274,[5]BOLETIM_SEL!$A:$H,4,0)</f>
        <v>Boca-de-bueiro simples tubular - BBST  D = 0,80m, em concreto ciclópico com 30% de pedra-de-mão, conforme projeto tipo (2,23m³/un)</v>
      </c>
      <c r="E274" s="2">
        <f>+Orçamento_Não_Deson!E274</f>
        <v>0</v>
      </c>
      <c r="F274" s="2" t="str">
        <f>VLOOKUP($B274,[5]BOLETIM_SEL!$A:$H,6,0)</f>
        <v xml:space="preserve">UN </v>
      </c>
      <c r="G274" s="1407">
        <f>VLOOKUP($B274,[5]BOLETIM_SEL!$A:$H,7,0)</f>
        <v>3035.5</v>
      </c>
      <c r="H274" s="1613">
        <f>+Orçamento_Não_Deson!H274</f>
        <v>0</v>
      </c>
      <c r="I274" s="877">
        <f t="shared" si="35"/>
        <v>3847.19</v>
      </c>
      <c r="J274" s="1612">
        <f t="shared" si="57"/>
        <v>0</v>
      </c>
      <c r="K274" s="2078">
        <f t="shared" ca="1" si="53"/>
        <v>0</v>
      </c>
      <c r="L274" s="1574">
        <f t="shared" ca="1" si="56"/>
        <v>0</v>
      </c>
      <c r="M274" s="1974"/>
      <c r="N274" s="833"/>
      <c r="O274" s="833"/>
      <c r="Q274" s="833"/>
      <c r="R274" s="833"/>
      <c r="S274" s="833"/>
      <c r="T274" s="833"/>
      <c r="U274" s="833"/>
      <c r="V274" s="833"/>
      <c r="W274" s="833"/>
      <c r="X274" s="833"/>
    </row>
    <row r="275" spans="1:24" s="813" customFormat="1" ht="39.950000000000003" hidden="1" customHeight="1" x14ac:dyDescent="0.15">
      <c r="A275" s="2081">
        <f ca="1">+Orçamento_Não_Deson!A275</f>
        <v>5.0699999999999985</v>
      </c>
      <c r="B275" s="834" t="str">
        <f>+Orçamento_Não_Deson!B275</f>
        <v>DR/0320</v>
      </c>
      <c r="C275" s="2" t="str">
        <f>VLOOKUP($B275,[5]BOLETIM_SEL!$A:$H,2,0)</f>
        <v>COMPOSIÇÃO</v>
      </c>
      <c r="D275" s="315" t="str">
        <f>VLOOKUP($B275,[5]BOLETIM_SEL!$A:$H,4,0)</f>
        <v>Boca-de-bueiro simples tubular - BBST  D = 1,00m, em concreto ciclópico com 30% de pedra-de-mão, conforme projeto tipo (3,63m³/un)</v>
      </c>
      <c r="E275" s="2">
        <f>+Orçamento_Não_Deson!E275</f>
        <v>0</v>
      </c>
      <c r="F275" s="2" t="str">
        <f>VLOOKUP($B275,[5]BOLETIM_SEL!$A:$H,6,0)</f>
        <v xml:space="preserve">UN </v>
      </c>
      <c r="G275" s="1407">
        <f>VLOOKUP($B275,[5]BOLETIM_SEL!$A:$H,7,0)</f>
        <v>4474.6899999999996</v>
      </c>
      <c r="H275" s="1613">
        <f>+Orçamento_Não_Deson!H275</f>
        <v>0</v>
      </c>
      <c r="I275" s="877">
        <f t="shared" si="35"/>
        <v>5671.22</v>
      </c>
      <c r="J275" s="1612">
        <f t="shared" si="57"/>
        <v>0</v>
      </c>
      <c r="K275" s="2078">
        <f t="shared" ca="1" si="53"/>
        <v>0</v>
      </c>
      <c r="L275" s="1574">
        <f t="shared" ca="1" si="56"/>
        <v>0</v>
      </c>
      <c r="M275" s="1974"/>
      <c r="N275" s="833"/>
      <c r="O275" s="833"/>
      <c r="Q275" s="833"/>
      <c r="R275" s="833"/>
      <c r="S275" s="833"/>
      <c r="T275" s="833"/>
      <c r="U275" s="833"/>
      <c r="V275" s="833"/>
      <c r="W275" s="833"/>
      <c r="X275" s="833"/>
    </row>
    <row r="276" spans="1:24" s="813" customFormat="1" ht="39.950000000000003" hidden="1" customHeight="1" x14ac:dyDescent="0.15">
      <c r="A276" s="2081">
        <f ca="1">+Orçamento_Não_Deson!A276</f>
        <v>5.0699999999999985</v>
      </c>
      <c r="B276" s="834" t="str">
        <f>+Orçamento_Não_Deson!B276</f>
        <v>DR/0325</v>
      </c>
      <c r="C276" s="2" t="str">
        <f>VLOOKUP($B276,[5]BOLETIM_SEL!$A:$H,2,0)</f>
        <v>COMPOSIÇÃO</v>
      </c>
      <c r="D276" s="315" t="str">
        <f>VLOOKUP($B276,[5]BOLETIM_SEL!$A:$H,4,0)</f>
        <v>Boca-de-bueiro simples tubular - BBST  D = 1,20m, em concreto ciclópico com 30% de pedra-de-mão, conforme projeto tipo (5,40m³/un)</v>
      </c>
      <c r="E276" s="2">
        <f>+Orçamento_Não_Deson!E276</f>
        <v>0</v>
      </c>
      <c r="F276" s="2" t="str">
        <f>VLOOKUP($B276,[5]BOLETIM_SEL!$A:$H,6,0)</f>
        <v xml:space="preserve">UN </v>
      </c>
      <c r="G276" s="1407">
        <f>VLOOKUP($B276,[5]BOLETIM_SEL!$A:$H,7,0)</f>
        <v>6168.49</v>
      </c>
      <c r="H276" s="1613">
        <f>+Orçamento_Não_Deson!H276</f>
        <v>0</v>
      </c>
      <c r="I276" s="877">
        <f t="shared" si="35"/>
        <v>7817.94</v>
      </c>
      <c r="J276" s="1612">
        <f t="shared" si="57"/>
        <v>0</v>
      </c>
      <c r="K276" s="2078">
        <f t="shared" ca="1" si="53"/>
        <v>0</v>
      </c>
      <c r="L276" s="1574">
        <f t="shared" ca="1" si="56"/>
        <v>0</v>
      </c>
      <c r="M276" s="1974"/>
      <c r="N276" s="833"/>
      <c r="O276" s="833"/>
      <c r="Q276" s="833"/>
      <c r="R276" s="833"/>
      <c r="S276" s="833"/>
      <c r="T276" s="833"/>
      <c r="U276" s="833"/>
      <c r="V276" s="833"/>
      <c r="W276" s="833"/>
      <c r="X276" s="833"/>
    </row>
    <row r="277" spans="1:24" s="813" customFormat="1" ht="39.950000000000003" hidden="1" customHeight="1" x14ac:dyDescent="0.15">
      <c r="A277" s="2081">
        <f ca="1">Orçamento_Não_Deson!A277</f>
        <v>5.0699999999999985</v>
      </c>
      <c r="B277" s="834" t="str">
        <f>Orçamento_Não_Deson!B277</f>
        <v>DR/0330</v>
      </c>
      <c r="C277" s="2" t="str">
        <f>VLOOKUP($B277,[5]BOLETIM_SEL!$A:$H,2,0)</f>
        <v>COMPOSIÇÃO</v>
      </c>
      <c r="D277" s="315" t="str">
        <f>VLOOKUP($B277,[5]BOLETIM_SEL!$A:$H,4,0)</f>
        <v>Boca-de-bueiro simples tubular - BBST  D = 1,50m, em concreto ciclópico com 30% de pedra-de-mão, conforme projeto tipo (8,95m³/un)</v>
      </c>
      <c r="E277" s="2">
        <f>Orçamento_Não_Deson!E277</f>
        <v>0</v>
      </c>
      <c r="F277" s="2" t="str">
        <f>VLOOKUP($B277,[5]BOLETIM_SEL!$A:$H,6,0)</f>
        <v xml:space="preserve">UN </v>
      </c>
      <c r="G277" s="1407">
        <f>VLOOKUP($B277,[5]BOLETIM_SEL!$A:$H,7,0)</f>
        <v>9343.9699999999993</v>
      </c>
      <c r="H277" s="1613">
        <f>Orçamento_Não_Deson!H277</f>
        <v>0</v>
      </c>
      <c r="I277" s="877">
        <f t="shared" si="35"/>
        <v>11842.54</v>
      </c>
      <c r="J277" s="1612">
        <f t="shared" si="57"/>
        <v>0</v>
      </c>
      <c r="K277" s="2078">
        <f t="shared" ca="1" si="53"/>
        <v>0</v>
      </c>
      <c r="L277" s="1574">
        <f t="shared" ca="1" si="56"/>
        <v>0</v>
      </c>
      <c r="M277" s="1974"/>
      <c r="N277" s="833"/>
      <c r="O277" s="833"/>
      <c r="Q277" s="833"/>
      <c r="R277" s="833"/>
      <c r="S277" s="833"/>
      <c r="T277" s="833"/>
      <c r="U277" s="833"/>
      <c r="V277" s="833"/>
      <c r="W277" s="833"/>
      <c r="X277" s="833"/>
    </row>
    <row r="278" spans="1:24" s="813" customFormat="1" ht="39.950000000000003" hidden="1" customHeight="1" x14ac:dyDescent="0.15">
      <c r="A278" s="2081">
        <f ca="1">+Orçamento_Não_Deson!A278</f>
        <v>5.0699999999999985</v>
      </c>
      <c r="B278" s="834" t="str">
        <f>+Orçamento_Não_Deson!B278</f>
        <v>DR/0335</v>
      </c>
      <c r="C278" s="2" t="str">
        <f>VLOOKUP($B278,[5]BOLETIM_SEL!$A:$H,2,0)</f>
        <v>COMPOSIÇÃO</v>
      </c>
      <c r="D278" s="315" t="str">
        <f>VLOOKUP($B278,[5]BOLETIM_SEL!$A:$H,4,0)</f>
        <v>Boca-de-bueiro simples celular - 1,50m x 1,50m, em concreto armado FCK 20 mpa, conforme projeto tipo (REF. SICRO COD. 0705225)</v>
      </c>
      <c r="E278" s="2">
        <f>+Orçamento_Não_Deson!E278</f>
        <v>0</v>
      </c>
      <c r="F278" s="2" t="str">
        <f>VLOOKUP($B278,[5]BOLETIM_SEL!$A:$H,6,0)</f>
        <v xml:space="preserve">UN </v>
      </c>
      <c r="G278" s="1407">
        <f>VLOOKUP($B278,[5]BOLETIM_SEL!$A:$H,7,0)</f>
        <v>18765.240000000002</v>
      </c>
      <c r="H278" s="1613">
        <f>+Orçamento_Não_Deson!H278</f>
        <v>0</v>
      </c>
      <c r="I278" s="877">
        <f t="shared" si="35"/>
        <v>23783.06</v>
      </c>
      <c r="J278" s="1612">
        <f t="shared" si="57"/>
        <v>0</v>
      </c>
      <c r="K278" s="2078">
        <f t="shared" ca="1" si="53"/>
        <v>0</v>
      </c>
      <c r="L278" s="1574">
        <f t="shared" ca="1" si="56"/>
        <v>0</v>
      </c>
      <c r="M278" s="1974"/>
      <c r="N278" s="833"/>
      <c r="O278" s="833"/>
      <c r="Q278" s="833"/>
      <c r="R278" s="833"/>
      <c r="S278" s="833"/>
      <c r="T278" s="833"/>
      <c r="U278" s="833"/>
      <c r="V278" s="833"/>
      <c r="W278" s="833"/>
      <c r="X278" s="833"/>
    </row>
    <row r="279" spans="1:24" s="813" customFormat="1" ht="39.950000000000003" hidden="1" customHeight="1" x14ac:dyDescent="0.15">
      <c r="A279" s="2081">
        <f ca="1">+Orçamento_Não_Deson!A279</f>
        <v>5.0699999999999985</v>
      </c>
      <c r="B279" s="834" t="str">
        <f>+Orçamento_Não_Deson!B279</f>
        <v>DR/0340</v>
      </c>
      <c r="C279" s="2" t="str">
        <f>VLOOKUP($B279,[5]BOLETIM_SEL!$A:$H,2,0)</f>
        <v>COMPOSIÇÃO</v>
      </c>
      <c r="D279" s="315" t="str">
        <f>VLOOKUP($B279,[5]BOLETIM_SEL!$A:$H,4,0)</f>
        <v>Boca-de-bueiro simples celular - 2,00m x 2,00m, em concreto armado FCK 20 mpa, conforme projeto tipo (REF. SICRO COD. 0705233)</v>
      </c>
      <c r="E279" s="2">
        <f>+Orçamento_Não_Deson!E279</f>
        <v>0</v>
      </c>
      <c r="F279" s="2" t="str">
        <f>VLOOKUP($B279,[5]BOLETIM_SEL!$A:$H,6,0)</f>
        <v xml:space="preserve">UN </v>
      </c>
      <c r="G279" s="1407">
        <f>VLOOKUP($B279,[5]BOLETIM_SEL!$A:$H,7,0)</f>
        <v>28405.47</v>
      </c>
      <c r="H279" s="1613">
        <f>+Orçamento_Não_Deson!H279</f>
        <v>0</v>
      </c>
      <c r="I279" s="877">
        <f t="shared" si="35"/>
        <v>36001.089999999997</v>
      </c>
      <c r="J279" s="1612">
        <f t="shared" si="57"/>
        <v>0</v>
      </c>
      <c r="K279" s="2078">
        <f t="shared" ca="1" si="53"/>
        <v>0</v>
      </c>
      <c r="L279" s="1574">
        <f t="shared" ca="1" si="56"/>
        <v>0</v>
      </c>
      <c r="M279" s="1974"/>
      <c r="N279" s="833"/>
      <c r="O279" s="833"/>
      <c r="Q279" s="833"/>
      <c r="R279" s="833"/>
      <c r="S279" s="833"/>
      <c r="T279" s="833"/>
      <c r="U279" s="833"/>
      <c r="V279" s="833"/>
      <c r="W279" s="833"/>
      <c r="X279" s="833"/>
    </row>
    <row r="280" spans="1:24" s="813" customFormat="1" ht="39.950000000000003" hidden="1" customHeight="1" x14ac:dyDescent="0.15">
      <c r="A280" s="2081">
        <f ca="1">+Orçamento_Não_Deson!A280</f>
        <v>5.0699999999999985</v>
      </c>
      <c r="B280" s="834" t="str">
        <f>+Orçamento_Não_Deson!B280</f>
        <v>DR/0345</v>
      </c>
      <c r="C280" s="2" t="str">
        <f>VLOOKUP($B280,[5]BOLETIM_SEL!$A:$H,2,0)</f>
        <v>COMPOSIÇÃO</v>
      </c>
      <c r="D280" s="315" t="str">
        <f>VLOOKUP($B280,[5]BOLETIM_SEL!$A:$H,4,0)</f>
        <v>Boca-de-bueiro simples celular - 2,50m x 2,50m, em concreto armado FCK 20 mpa, conforme projeto tipo (REF. SICRO COD. 0705238)</v>
      </c>
      <c r="E280" s="2">
        <f>+Orçamento_Não_Deson!E280</f>
        <v>0</v>
      </c>
      <c r="F280" s="2" t="str">
        <f>VLOOKUP($B280,[5]BOLETIM_SEL!$A:$H,6,0)</f>
        <v xml:space="preserve">UN </v>
      </c>
      <c r="G280" s="1407">
        <f>VLOOKUP($B280,[5]BOLETIM_SEL!$A:$H,7,0)</f>
        <v>37769</v>
      </c>
      <c r="H280" s="1613">
        <f>+Orçamento_Não_Deson!H280</f>
        <v>0</v>
      </c>
      <c r="I280" s="877">
        <f t="shared" si="35"/>
        <v>47868.43</v>
      </c>
      <c r="J280" s="1612">
        <f t="shared" si="57"/>
        <v>0</v>
      </c>
      <c r="K280" s="2078">
        <f t="shared" ca="1" si="53"/>
        <v>0</v>
      </c>
      <c r="L280" s="1574">
        <f t="shared" ca="1" si="56"/>
        <v>0</v>
      </c>
      <c r="M280" s="1974"/>
      <c r="N280" s="833"/>
      <c r="O280" s="833"/>
      <c r="Q280" s="833"/>
      <c r="R280" s="833"/>
      <c r="S280" s="833"/>
      <c r="T280" s="833"/>
      <c r="U280" s="833"/>
      <c r="V280" s="833"/>
      <c r="W280" s="833"/>
      <c r="X280" s="833"/>
    </row>
    <row r="281" spans="1:24" s="813" customFormat="1" ht="39.950000000000003" hidden="1" customHeight="1" x14ac:dyDescent="0.15">
      <c r="A281" s="2081">
        <f ca="1">+Orçamento_Não_Deson!A281</f>
        <v>5.0699999999999985</v>
      </c>
      <c r="B281" s="834" t="str">
        <f>+Orçamento_Não_Deson!B281</f>
        <v>DR/0350</v>
      </c>
      <c r="C281" s="2" t="str">
        <f>VLOOKUP($B281,[5]BOLETIM_SEL!$A:$H,2,0)</f>
        <v>COMPOSIÇÃO</v>
      </c>
      <c r="D281" s="315" t="str">
        <f>VLOOKUP($B281,[5]BOLETIM_SEL!$A:$H,4,0)</f>
        <v>Boca-de-bueiro simples celular - 3,00m x 3,00m, em concreto armado FCK 20 mpa, conforme projeto tipo (REF. SICRO COD. 0705249)</v>
      </c>
      <c r="E281" s="2">
        <f>+Orçamento_Não_Deson!E281</f>
        <v>0</v>
      </c>
      <c r="F281" s="2" t="str">
        <f>VLOOKUP($B281,[5]BOLETIM_SEL!$A:$H,6,0)</f>
        <v xml:space="preserve">UN </v>
      </c>
      <c r="G281" s="1407">
        <f>VLOOKUP($B281,[5]BOLETIM_SEL!$A:$H,7,0)</f>
        <v>52289.93</v>
      </c>
      <c r="H281" s="1613">
        <f>+Orçamento_Não_Deson!H281</f>
        <v>0</v>
      </c>
      <c r="I281" s="877">
        <f t="shared" si="35"/>
        <v>66272.25</v>
      </c>
      <c r="J281" s="1612">
        <f t="shared" si="57"/>
        <v>0</v>
      </c>
      <c r="K281" s="2078">
        <f t="shared" ca="1" si="53"/>
        <v>0</v>
      </c>
      <c r="L281" s="1574">
        <f t="shared" ca="1" si="56"/>
        <v>0</v>
      </c>
      <c r="M281" s="1974"/>
      <c r="N281" s="833"/>
      <c r="O281" s="833"/>
      <c r="Q281" s="833"/>
      <c r="R281" s="833"/>
      <c r="S281" s="833"/>
      <c r="T281" s="833"/>
      <c r="U281" s="833"/>
      <c r="V281" s="833"/>
      <c r="W281" s="833"/>
      <c r="X281" s="833"/>
    </row>
    <row r="282" spans="1:24" s="813" customFormat="1" ht="39.950000000000003" hidden="1" customHeight="1" x14ac:dyDescent="0.15">
      <c r="A282" s="2081">
        <f ca="1">+Orçamento_Não_Deson!A282</f>
        <v>5.0699999999999985</v>
      </c>
      <c r="B282" s="834" t="str">
        <f>+Orçamento_Não_Deson!B282</f>
        <v>DR/0280</v>
      </c>
      <c r="C282" s="2" t="str">
        <f>VLOOKUP($B282,[5]BOLETIM_SEL!$A:$H,2,0)</f>
        <v>COMPOSIÇÃO</v>
      </c>
      <c r="D282" s="315" t="str">
        <f>VLOOKUP($B282,[5]BOLETIM_SEL!$A:$H,4,0)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2" s="2">
        <f>+Orçamento_Não_Deson!E282</f>
        <v>0</v>
      </c>
      <c r="F282" s="2" t="str">
        <f>VLOOKUP($B282,[5]BOLETIM_SEL!$A:$H,6,0)</f>
        <v>UN</v>
      </c>
      <c r="G282" s="1407">
        <f>VLOOKUP($B282,[5]BOLETIM_SEL!$A:$H,7,0)</f>
        <v>963.05</v>
      </c>
      <c r="H282" s="1613">
        <f>+Orçamento_Não_Deson!H282</f>
        <v>0</v>
      </c>
      <c r="I282" s="877">
        <f t="shared" si="35"/>
        <v>1220.56</v>
      </c>
      <c r="J282" s="1612">
        <f t="shared" si="57"/>
        <v>0</v>
      </c>
      <c r="K282" s="2078">
        <f t="shared" ca="1" si="53"/>
        <v>0</v>
      </c>
      <c r="L282" s="1574">
        <f t="shared" ca="1" si="56"/>
        <v>0</v>
      </c>
      <c r="M282" s="1974"/>
      <c r="N282" s="833"/>
      <c r="O282" s="833"/>
      <c r="Q282" s="833"/>
      <c r="R282" s="833"/>
      <c r="S282" s="833"/>
      <c r="T282" s="833"/>
      <c r="U282" s="833"/>
      <c r="V282" s="833"/>
      <c r="W282" s="833"/>
      <c r="X282" s="833"/>
    </row>
    <row r="283" spans="1:24" s="813" customFormat="1" ht="39.950000000000003" hidden="1" customHeight="1" x14ac:dyDescent="0.15">
      <c r="A283" s="2081">
        <f ca="1">+Orçamento_Não_Deson!A283</f>
        <v>5.0699999999999985</v>
      </c>
      <c r="B283" s="834" t="str">
        <f>+Orçamento_Não_Deson!B283</f>
        <v>DR/0285</v>
      </c>
      <c r="C283" s="2" t="str">
        <f>VLOOKUP($B283,[5]BOLETIM_SEL!$A:$H,2,0)</f>
        <v>COMPOSIÇÃO</v>
      </c>
      <c r="D283" s="315" t="str">
        <f>VLOOKUP($B283,[5]BOLETIM_SEL!$A:$H,4,0)</f>
        <v>Reforma de boca de lobo dupla, incluindo demolições, reconstrução da sarjeta de contorno (chama) em concreto simples FCK 20mpa, duas guias chapéu pré-moldadas e duas grelhas articuladas em F°F° tipo pesada, conforme projeto tipo</v>
      </c>
      <c r="E283" s="2">
        <f>+Orçamento_Não_Deson!E283</f>
        <v>0</v>
      </c>
      <c r="F283" s="2" t="str">
        <f>VLOOKUP($B283,[5]BOLETIM_SEL!$A:$H,6,0)</f>
        <v>UN</v>
      </c>
      <c r="G283" s="1407">
        <f>VLOOKUP($B283,[5]BOLETIM_SEL!$A:$H,7,0)</f>
        <v>1806.99</v>
      </c>
      <c r="H283" s="1613">
        <f>+Orçamento_Não_Deson!H283</f>
        <v>0</v>
      </c>
      <c r="I283" s="877">
        <f t="shared" si="35"/>
        <v>2290.17</v>
      </c>
      <c r="J283" s="1612">
        <f t="shared" si="57"/>
        <v>0</v>
      </c>
      <c r="K283" s="2078">
        <f t="shared" ca="1" si="53"/>
        <v>0</v>
      </c>
      <c r="L283" s="1574">
        <f t="shared" ca="1" si="56"/>
        <v>0</v>
      </c>
      <c r="M283" s="1974"/>
      <c r="N283" s="833"/>
      <c r="O283" s="833"/>
      <c r="Q283" s="833"/>
      <c r="R283" s="833"/>
      <c r="S283" s="833"/>
      <c r="T283" s="833"/>
      <c r="U283" s="833"/>
      <c r="V283" s="833"/>
      <c r="W283" s="833"/>
      <c r="X283" s="833"/>
    </row>
    <row r="284" spans="1:24" s="813" customFormat="1" ht="39.950000000000003" hidden="1" customHeight="1" x14ac:dyDescent="0.15">
      <c r="A284" s="2081">
        <f ca="1">+Orçamento_Não_Deson!A284</f>
        <v>5.0699999999999985</v>
      </c>
      <c r="B284" s="834" t="str">
        <f>+Orçamento_Não_Deson!B284</f>
        <v>DR/0290</v>
      </c>
      <c r="C284" s="2" t="str">
        <f>VLOOKUP($B284,[5]BOLETIM_SEL!$A:$H,2,0)</f>
        <v>COMPOSIÇÃO</v>
      </c>
      <c r="D284" s="315" t="str">
        <f>VLOOKUP($B284,[5]BOLETIM_SEL!$A:$H,4,0)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4" s="2">
        <f>+Orçamento_Não_Deson!E284</f>
        <v>0</v>
      </c>
      <c r="F284" s="2" t="str">
        <f>VLOOKUP($B284,[5]BOLETIM_SEL!$A:$H,6,0)</f>
        <v>UN</v>
      </c>
      <c r="G284" s="1407">
        <f>VLOOKUP($B284,[5]BOLETIM_SEL!$A:$H,7,0)</f>
        <v>2650.83</v>
      </c>
      <c r="H284" s="1613">
        <f>+Orçamento_Não_Deson!H284</f>
        <v>0</v>
      </c>
      <c r="I284" s="877">
        <f t="shared" si="35"/>
        <v>3359.66</v>
      </c>
      <c r="J284" s="1612">
        <f t="shared" si="57"/>
        <v>0</v>
      </c>
      <c r="K284" s="2078">
        <f t="shared" ca="1" si="53"/>
        <v>0</v>
      </c>
      <c r="L284" s="1574">
        <f t="shared" ca="1" si="56"/>
        <v>0</v>
      </c>
      <c r="M284" s="1974"/>
      <c r="N284" s="833"/>
      <c r="O284" s="833"/>
      <c r="Q284" s="833"/>
      <c r="R284" s="833"/>
      <c r="S284" s="833"/>
      <c r="T284" s="833"/>
      <c r="U284" s="833"/>
      <c r="V284" s="833"/>
      <c r="W284" s="833"/>
      <c r="X284" s="833"/>
    </row>
    <row r="285" spans="1:24" s="813" customFormat="1" ht="39.950000000000003" hidden="1" customHeight="1" x14ac:dyDescent="0.15">
      <c r="A285" s="2081">
        <f ca="1">+Orçamento_Não_Deson!A285</f>
        <v>5.0699999999999985</v>
      </c>
      <c r="B285" s="834" t="str">
        <f>+Orçamento_Não_Deson!B285</f>
        <v>DR/0385</v>
      </c>
      <c r="C285" s="2" t="str">
        <f>VLOOKUP($B285,[5]BOLETIM_SEL!$A:$H,2,0)</f>
        <v>COMPOSIÇÃO</v>
      </c>
      <c r="D285" s="315" t="str">
        <f>VLOOKUP($B285,[5]BOLETIM_SEL!$A:$H,4,0)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285" s="2">
        <f>+Orçamento_Não_Deson!E285</f>
        <v>0</v>
      </c>
      <c r="F285" s="2" t="str">
        <f>VLOOKUP($B285,[5]BOLETIM_SEL!$A:$H,6,0)</f>
        <v xml:space="preserve">UN </v>
      </c>
      <c r="G285" s="1407">
        <f>VLOOKUP($B285,[5]BOLETIM_SEL!$A:$H,7,0)</f>
        <v>930.91</v>
      </c>
      <c r="H285" s="1613">
        <f>+Orçamento_Não_Deson!H285</f>
        <v>0</v>
      </c>
      <c r="I285" s="877">
        <f t="shared" ref="I285:I288" si="58">TRUNC(G285*(1+$J$5),2)</f>
        <v>1179.83</v>
      </c>
      <c r="J285" s="1612">
        <f t="shared" si="57"/>
        <v>0</v>
      </c>
      <c r="K285" s="2078">
        <f t="shared" ca="1" si="53"/>
        <v>0</v>
      </c>
      <c r="L285" s="1574">
        <f t="shared" ca="1" si="56"/>
        <v>0</v>
      </c>
      <c r="M285" s="1974"/>
      <c r="N285" s="833"/>
      <c r="O285" s="833"/>
      <c r="Q285" s="833"/>
      <c r="R285" s="833"/>
      <c r="S285" s="833"/>
      <c r="T285" s="833"/>
      <c r="U285" s="833"/>
      <c r="V285" s="833"/>
      <c r="W285" s="833"/>
      <c r="X285" s="833"/>
    </row>
    <row r="286" spans="1:24" s="813" customFormat="1" ht="39.950000000000003" hidden="1" customHeight="1" x14ac:dyDescent="0.15">
      <c r="A286" s="2081">
        <f ca="1">+Orçamento_Não_Deson!A286</f>
        <v>5.0699999999999985</v>
      </c>
      <c r="B286" s="834" t="str">
        <f>+Orçamento_Não_Deson!B286</f>
        <v>DR/0390</v>
      </c>
      <c r="C286" s="2" t="str">
        <f>VLOOKUP($B286,[5]BOLETIM_SEL!$A:$H,2,0)</f>
        <v>COMPOSIÇÃO</v>
      </c>
      <c r="D286" s="315" t="str">
        <f>VLOOKUP($B286,[5]BOLETIM_SEL!$A:$H,4,0)</f>
        <v>Remoção e reassentamento de quadro e grelha articulada em F°F° para boca de lobo, incluindo demolição e implantação da sarjeta de contorno (chama) em concreto FCK = 20 Mpa</v>
      </c>
      <c r="E286" s="2">
        <f>+Orçamento_Não_Deson!E286</f>
        <v>0</v>
      </c>
      <c r="F286" s="2" t="str">
        <f>VLOOKUP($B286,[5]BOLETIM_SEL!$A:$H,6,0)</f>
        <v xml:space="preserve">UN </v>
      </c>
      <c r="G286" s="1407">
        <f>VLOOKUP($B286,[5]BOLETIM_SEL!$A:$H,7,0)</f>
        <v>198.04</v>
      </c>
      <c r="H286" s="1613">
        <f>+Orçamento_Não_Deson!H286</f>
        <v>0</v>
      </c>
      <c r="I286" s="877">
        <f t="shared" si="58"/>
        <v>250.99</v>
      </c>
      <c r="J286" s="1612">
        <f t="shared" si="57"/>
        <v>0</v>
      </c>
      <c r="K286" s="2078">
        <f t="shared" ca="1" si="53"/>
        <v>0</v>
      </c>
      <c r="L286" s="1574">
        <f t="shared" ca="1" si="56"/>
        <v>0</v>
      </c>
      <c r="M286" s="1974"/>
      <c r="N286" s="833"/>
      <c r="O286" s="833"/>
      <c r="Q286" s="833"/>
      <c r="R286" s="833"/>
      <c r="S286" s="833"/>
      <c r="T286" s="833"/>
      <c r="U286" s="833"/>
      <c r="V286" s="833"/>
      <c r="W286" s="833"/>
      <c r="X286" s="833"/>
    </row>
    <row r="287" spans="1:24" s="813" customFormat="1" ht="39.950000000000003" hidden="1" customHeight="1" x14ac:dyDescent="0.15">
      <c r="A287" s="2081">
        <f ca="1">+Orçamento_Não_Deson!A287</f>
        <v>5.0699999999999985</v>
      </c>
      <c r="B287" s="834" t="str">
        <f>+Orçamento_Não_Deson!B287</f>
        <v>DR/0365</v>
      </c>
      <c r="C287" s="2" t="str">
        <f>VLOOKUP($B287,[5]BOLETIM_SEL!$A:$H,2,0)</f>
        <v>COMPOSIÇÃO</v>
      </c>
      <c r="D287" s="315" t="str">
        <f>VLOOKUP($B287,[5]BOLETIM_SEL!$A:$H,4,0)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287" s="2">
        <f>+Orçamento_Não_Deson!E287</f>
        <v>0</v>
      </c>
      <c r="F287" s="2" t="str">
        <f>VLOOKUP($B287,[5]BOLETIM_SEL!$A:$H,6,0)</f>
        <v xml:space="preserve">UN </v>
      </c>
      <c r="G287" s="1407">
        <f>VLOOKUP($B287,[5]BOLETIM_SEL!$A:$H,7,0)</f>
        <v>816.13</v>
      </c>
      <c r="H287" s="1613">
        <f>+Orçamento_Não_Deson!H287</f>
        <v>0</v>
      </c>
      <c r="I287" s="877">
        <f t="shared" si="58"/>
        <v>1034.3599999999999</v>
      </c>
      <c r="J287" s="1612">
        <f t="shared" si="57"/>
        <v>0</v>
      </c>
      <c r="K287" s="2078">
        <f t="shared" ca="1" si="53"/>
        <v>0</v>
      </c>
      <c r="L287" s="1574">
        <f t="shared" ca="1" si="56"/>
        <v>0</v>
      </c>
      <c r="M287" s="1974"/>
      <c r="N287" s="833"/>
      <c r="O287" s="833"/>
      <c r="Q287" s="833"/>
      <c r="R287" s="833"/>
      <c r="S287" s="833"/>
      <c r="T287" s="833"/>
      <c r="U287" s="833"/>
      <c r="V287" s="833"/>
      <c r="W287" s="833"/>
      <c r="X287" s="833"/>
    </row>
    <row r="288" spans="1:24" s="813" customFormat="1" ht="39.950000000000003" hidden="1" customHeight="1" x14ac:dyDescent="0.15">
      <c r="A288" s="2081">
        <f ca="1">+Orçamento_Não_Deson!A288</f>
        <v>5.0699999999999985</v>
      </c>
      <c r="B288" s="834" t="str">
        <f>+Orçamento_Não_Deson!B288</f>
        <v>DR/0370</v>
      </c>
      <c r="C288" s="2" t="str">
        <f>VLOOKUP($B288,[5]BOLETIM_SEL!$A:$H,2,0)</f>
        <v>COMPOSIÇÃO</v>
      </c>
      <c r="D288" s="315" t="str">
        <f>VLOOKUP($B288,[5]BOLETIM_SEL!$A:$H,4,0)</f>
        <v>Remoção e reassentamento de tampão em F°F° para PV, com  reaproveitamento, incluindo recorte, demolição e requadro em concreto simples FCK 20mpa, de 1,00m x 1,00m x 0,20m</v>
      </c>
      <c r="E288" s="2">
        <f>+Orçamento_Não_Deson!E288</f>
        <v>0</v>
      </c>
      <c r="F288" s="2" t="str">
        <f>VLOOKUP($B288,[5]BOLETIM_SEL!$A:$H,6,0)</f>
        <v xml:space="preserve">UN </v>
      </c>
      <c r="G288" s="1407">
        <f>VLOOKUP($B288,[5]BOLETIM_SEL!$A:$H,7,0)</f>
        <v>204.61</v>
      </c>
      <c r="H288" s="1613">
        <f>+Orçamento_Não_Deson!H288</f>
        <v>0</v>
      </c>
      <c r="I288" s="877">
        <f t="shared" si="58"/>
        <v>259.32</v>
      </c>
      <c r="J288" s="1612">
        <f t="shared" si="57"/>
        <v>0</v>
      </c>
      <c r="K288" s="2078">
        <f t="shared" ca="1" si="53"/>
        <v>0</v>
      </c>
      <c r="L288" s="1574">
        <f t="shared" ca="1" si="56"/>
        <v>0</v>
      </c>
      <c r="M288" s="1974"/>
      <c r="N288" s="833"/>
      <c r="O288" s="833"/>
      <c r="Q288" s="833"/>
      <c r="R288" s="833"/>
      <c r="S288" s="833"/>
      <c r="T288" s="833"/>
      <c r="U288" s="833"/>
      <c r="V288" s="833"/>
      <c r="W288" s="833"/>
      <c r="X288" s="833"/>
    </row>
    <row r="289" spans="1:24" s="813" customFormat="1" ht="24.95" customHeight="1" x14ac:dyDescent="0.15">
      <c r="A289" s="2081"/>
      <c r="B289" s="834"/>
      <c r="C289" s="2"/>
      <c r="D289" s="1452" t="s">
        <v>2190</v>
      </c>
      <c r="E289" s="2"/>
      <c r="F289" s="2"/>
      <c r="G289" s="1821"/>
      <c r="H289" s="2"/>
      <c r="I289" s="2"/>
      <c r="J289" s="839" t="str">
        <f ca="1">IF(J290=0,"-","")</f>
        <v/>
      </c>
      <c r="K289" s="2078"/>
      <c r="L289" s="1574"/>
      <c r="M289" s="1974"/>
      <c r="N289" s="833"/>
      <c r="O289" s="833"/>
      <c r="Q289" s="833"/>
      <c r="R289" s="833"/>
      <c r="S289" s="833"/>
      <c r="T289" s="833"/>
      <c r="U289" s="833"/>
      <c r="V289" s="833"/>
      <c r="W289" s="833"/>
      <c r="X289" s="833"/>
    </row>
    <row r="290" spans="1:24" s="813" customFormat="1" ht="39.950000000000003" customHeight="1" x14ac:dyDescent="0.15">
      <c r="A290" s="2081">
        <f ca="1">Orçamento_Não_Deson!A290</f>
        <v>5.0799999999999983</v>
      </c>
      <c r="B290" s="834">
        <f ca="1">Orçamento_Não_Deson!B290</f>
        <v>93593</v>
      </c>
      <c r="C290" s="2" t="str">
        <f ca="1">VLOOKUP($B290,[5]BOLETIM_SEL!$A:$H,2,0)</f>
        <v>SINAPI</v>
      </c>
      <c r="D290" s="315" t="str">
        <f ca="1">VLOOKUP($B290,[5]BOLETIM_SEL!$A:$H,4,0)</f>
        <v>Transporte com caminhão basculante de 14 m3, em via urbana pavimentada, adicional para DMT excedente a 30,00 km (unidade: m3xkm). AF_07/2020</v>
      </c>
      <c r="E290" s="2">
        <f>Orçamento_Não_Deson!E290</f>
        <v>109</v>
      </c>
      <c r="F290" s="2" t="str">
        <f ca="1">VLOOKUP($B290,[5]BOLETIM_SEL!$A:$H,6,0)</f>
        <v>M3XKM</v>
      </c>
      <c r="G290" s="1407">
        <f ca="1">VLOOKUP($B290,[5]BOLETIM_SEL!$A:$H,7,0)</f>
        <v>0.77</v>
      </c>
      <c r="H290" s="1613">
        <f ca="1">Orçamento_Não_Deson!H290</f>
        <v>15778.84</v>
      </c>
      <c r="I290" s="877">
        <f ca="1">TRUNC(G290*(1+$J$5),2)</f>
        <v>0.97</v>
      </c>
      <c r="J290" s="1612">
        <f ca="1">TRUNC(H290*I290,2)</f>
        <v>15305.47</v>
      </c>
      <c r="K290" s="2078">
        <f ca="1">J290/J$967</f>
        <v>1.1145973451140024E-3</v>
      </c>
      <c r="L290" s="1574">
        <f ca="1">J290/J$183</f>
        <v>1.3572483103309494E-2</v>
      </c>
      <c r="M290" s="1974"/>
      <c r="N290" s="833"/>
      <c r="O290" s="833"/>
      <c r="Q290" s="833"/>
      <c r="R290" s="833"/>
      <c r="S290" s="833"/>
      <c r="T290" s="833"/>
      <c r="U290" s="833"/>
      <c r="V290" s="833"/>
      <c r="W290" s="833"/>
      <c r="X290" s="833"/>
    </row>
    <row r="291" spans="1:24" s="813" customFormat="1" ht="24.95" customHeight="1" x14ac:dyDescent="0.15">
      <c r="A291" s="2081"/>
      <c r="B291" s="834"/>
      <c r="C291" s="2"/>
      <c r="D291" s="1452" t="s">
        <v>1828</v>
      </c>
      <c r="E291" s="2"/>
      <c r="F291" s="2"/>
      <c r="G291" s="1821"/>
      <c r="H291" s="2"/>
      <c r="I291" s="2"/>
      <c r="J291" s="839" t="str">
        <f ca="1">IF(J292=0,"-","")</f>
        <v/>
      </c>
      <c r="K291" s="2078"/>
      <c r="L291" s="1574"/>
      <c r="M291" s="1974"/>
      <c r="N291" s="833"/>
      <c r="O291" s="833"/>
      <c r="Q291" s="833"/>
      <c r="R291" s="833"/>
      <c r="S291" s="833"/>
      <c r="T291" s="833"/>
      <c r="U291" s="833"/>
      <c r="V291" s="833"/>
      <c r="W291" s="833"/>
      <c r="X291" s="833"/>
    </row>
    <row r="292" spans="1:24" s="813" customFormat="1" ht="39.950000000000003" customHeight="1" x14ac:dyDescent="0.15">
      <c r="A292" s="2081">
        <f ca="1">Orçamento_Não_Deson!A292</f>
        <v>5.0899999999999981</v>
      </c>
      <c r="B292" s="834">
        <f>Orçamento_Não_Deson!B292</f>
        <v>100953</v>
      </c>
      <c r="C292" s="2" t="str">
        <f>VLOOKUP($B292,[5]BOLETIM_SEL!$A:$H,2,0)</f>
        <v>SINAPI</v>
      </c>
      <c r="D292" s="315" t="str">
        <f>VLOOKUP($B292,[5]BOLETIM_SEL!$A:$H,4,0)</f>
        <v>Transporte com caminhão carroceria com guindauto (munck), momento máximo de carga 11,7 tm, em via urbana pavimentada, adicional para DMT excedente a 30,00 km (unidade: txkm). AF_07/2020</v>
      </c>
      <c r="E292" s="2">
        <f>Orçamento_Não_Deson!E292</f>
        <v>100</v>
      </c>
      <c r="F292" s="2" t="str">
        <f>VLOOKUP($B292,[5]BOLETIM_SEL!$A:$H,6,0)</f>
        <v>TXKM</v>
      </c>
      <c r="G292" s="1407">
        <f>VLOOKUP($B292,[5]BOLETIM_SEL!$A:$H,7,0)</f>
        <v>0.97</v>
      </c>
      <c r="H292" s="1613">
        <f ca="1">Orçamento_Não_Deson!H292</f>
        <v>124085</v>
      </c>
      <c r="I292" s="877">
        <f>TRUNC(G292*(1+$J$5),2)</f>
        <v>1.22</v>
      </c>
      <c r="J292" s="1612">
        <f ca="1">TRUNC(H292*I292,2)</f>
        <v>151383.70000000001</v>
      </c>
      <c r="K292" s="2078">
        <f ca="1">J292/J$967</f>
        <v>1.1024285442625063E-2</v>
      </c>
      <c r="L292" s="1574">
        <f ca="1">J292/J$183</f>
        <v>0.13424303274361871</v>
      </c>
      <c r="M292" s="1974"/>
      <c r="N292" s="833"/>
      <c r="O292" s="833"/>
      <c r="Q292" s="833"/>
      <c r="R292" s="833"/>
      <c r="S292" s="833"/>
      <c r="T292" s="833"/>
      <c r="U292" s="833"/>
      <c r="V292" s="833"/>
      <c r="W292" s="833"/>
      <c r="X292" s="833"/>
    </row>
    <row r="293" spans="1:24" s="813" customFormat="1" ht="39.950000000000003" customHeight="1" x14ac:dyDescent="0.15">
      <c r="A293" s="2081"/>
      <c r="B293" s="834"/>
      <c r="C293" s="834"/>
      <c r="D293" s="835"/>
      <c r="E293" s="2"/>
      <c r="F293" s="834"/>
      <c r="G293" s="1821"/>
      <c r="H293" s="1"/>
      <c r="I293" s="877"/>
      <c r="J293" s="839" t="str">
        <f ca="1">IF(J183=0,0,"")</f>
        <v/>
      </c>
      <c r="K293" s="2078"/>
      <c r="L293" s="1574"/>
      <c r="M293" s="1833"/>
      <c r="N293" s="833"/>
      <c r="O293" s="833"/>
      <c r="Q293" s="833"/>
      <c r="R293" s="833"/>
      <c r="S293" s="833"/>
      <c r="T293" s="833"/>
      <c r="U293" s="833"/>
      <c r="V293" s="833"/>
      <c r="W293" s="833"/>
      <c r="X293" s="833"/>
    </row>
    <row r="294" spans="1:24" s="833" customFormat="1" ht="39.950000000000003" hidden="1" customHeight="1" x14ac:dyDescent="0.15">
      <c r="A294" s="2082">
        <f ca="1">IF(J294&gt;0,INT(A292)+1,IF(J294=0,INT(A292),0))</f>
        <v>5</v>
      </c>
      <c r="B294" s="1633"/>
      <c r="C294" s="1633"/>
      <c r="D294" s="1634" t="s">
        <v>746</v>
      </c>
      <c r="E294" s="1828"/>
      <c r="F294" s="1635"/>
      <c r="G294" s="1820" t="s">
        <v>646</v>
      </c>
      <c r="H294" s="1637"/>
      <c r="I294" s="1640" t="str">
        <f ca="1">CONCATENATE("SUB-TOTAL ",A294)</f>
        <v>SUB-TOTAL 5</v>
      </c>
      <c r="J294" s="1639">
        <f>SUM(J295:J312)</f>
        <v>0</v>
      </c>
      <c r="K294" s="2079">
        <f t="shared" ref="K294:K312" ca="1" si="59">J294/J$967</f>
        <v>0</v>
      </c>
      <c r="L294" s="1610" t="e">
        <f>J294/$J$294</f>
        <v>#DIV/0!</v>
      </c>
    </row>
    <row r="295" spans="1:24" s="813" customFormat="1" ht="39.950000000000003" hidden="1" customHeight="1" x14ac:dyDescent="0.15">
      <c r="A295" s="2081">
        <f ca="1">Orçamento_Não_Deson!A295</f>
        <v>5</v>
      </c>
      <c r="B295" s="834">
        <f>Orçamento_Não_Deson!B295</f>
        <v>94962</v>
      </c>
      <c r="C295" s="2" t="str">
        <f>VLOOKUP($B295,[5]BOLETIM_SEL!$A:$H,2,0)</f>
        <v>SINAPI</v>
      </c>
      <c r="D295" s="315" t="str">
        <f>VLOOKUP($B295,[5]BOLETIM_SEL!$A:$H,4,0)</f>
        <v>Concreto magro para lastro, traço 1:4,5:4,5 (cimento/ areia média/ brita 1) - preparo mecânico com betoneira 400 l. AF_07/2016</v>
      </c>
      <c r="E295" s="2">
        <f>Orçamento_Não_Deson!E295</f>
        <v>0</v>
      </c>
      <c r="F295" s="2" t="str">
        <f>VLOOKUP($B295,[5]BOLETIM_SEL!$A:$H,6,0)</f>
        <v>M3</v>
      </c>
      <c r="G295" s="1407">
        <f>VLOOKUP($B295,[5]BOLETIM_SEL!$A:$H,7,0)</f>
        <v>372.79</v>
      </c>
      <c r="H295" s="1613">
        <f>Orçamento_Não_Deson!H295</f>
        <v>0</v>
      </c>
      <c r="I295" s="877">
        <f t="shared" ref="I295:I312" si="60">TRUNC(G295*(1+$J$5),2)</f>
        <v>472.47</v>
      </c>
      <c r="J295" s="1612">
        <f t="shared" si="57"/>
        <v>0</v>
      </c>
      <c r="K295" s="2078">
        <f t="shared" ca="1" si="59"/>
        <v>0</v>
      </c>
      <c r="L295" s="1574" t="e">
        <f t="shared" ref="L295:L312" si="61">J295/$J$294</f>
        <v>#DIV/0!</v>
      </c>
      <c r="M295" s="1974"/>
      <c r="N295" s="833"/>
      <c r="O295" s="833"/>
      <c r="Q295" s="833"/>
      <c r="R295" s="833"/>
      <c r="S295" s="833"/>
      <c r="T295" s="833"/>
      <c r="U295" s="833"/>
      <c r="V295" s="833"/>
      <c r="W295" s="833"/>
      <c r="X295" s="833"/>
    </row>
    <row r="296" spans="1:24" s="813" customFormat="1" ht="39.950000000000003" hidden="1" customHeight="1" x14ac:dyDescent="0.15">
      <c r="A296" s="2081">
        <f ca="1">Orçamento_Não_Deson!A296</f>
        <v>5</v>
      </c>
      <c r="B296" s="834">
        <f>Orçamento_Não_Deson!B296</f>
        <v>103670</v>
      </c>
      <c r="C296" s="2" t="str">
        <f>VLOOKUP($B296,[5]BOLETIM_SEL!$A:$H,2,0)</f>
        <v>SINAPI</v>
      </c>
      <c r="D296" s="315" t="str">
        <f>VLOOKUP($B296,[5]BOLETIM_SEL!$A:$H,4,0)</f>
        <v>Lançamento com uso de baldes, adensamento e acabamento de concreto em estruturas. AF_12/2015</v>
      </c>
      <c r="E296" s="2">
        <f>Orçamento_Não_Deson!E296</f>
        <v>0</v>
      </c>
      <c r="F296" s="2" t="str">
        <f>VLOOKUP($B296,[5]BOLETIM_SEL!$A:$H,6,0)</f>
        <v>M3</v>
      </c>
      <c r="G296" s="1407">
        <f>VLOOKUP($B296,[5]BOLETIM_SEL!$A:$H,7,0)</f>
        <v>231.03</v>
      </c>
      <c r="H296" s="1613">
        <f>Orçamento_Não_Deson!H296</f>
        <v>0</v>
      </c>
      <c r="I296" s="877">
        <f t="shared" si="60"/>
        <v>292.8</v>
      </c>
      <c r="J296" s="1612">
        <f t="shared" si="57"/>
        <v>0</v>
      </c>
      <c r="K296" s="2078">
        <f t="shared" ca="1" si="59"/>
        <v>0</v>
      </c>
      <c r="L296" s="1574" t="e">
        <f t="shared" si="61"/>
        <v>#DIV/0!</v>
      </c>
      <c r="M296" s="1974"/>
      <c r="N296" s="833"/>
      <c r="O296" s="833"/>
      <c r="Q296" s="833"/>
      <c r="R296" s="833"/>
      <c r="S296" s="833"/>
      <c r="T296" s="833"/>
      <c r="U296" s="833"/>
      <c r="V296" s="833"/>
      <c r="W296" s="833"/>
      <c r="X296" s="833"/>
    </row>
    <row r="297" spans="1:24" s="813" customFormat="1" ht="39.950000000000003" hidden="1" customHeight="1" x14ac:dyDescent="0.15">
      <c r="A297" s="2081">
        <f ca="1">+Orçamento_Não_Deson!A297</f>
        <v>5</v>
      </c>
      <c r="B297" s="834">
        <f>+Orçamento_Não_Deson!B297</f>
        <v>94964</v>
      </c>
      <c r="C297" s="2" t="str">
        <f>VLOOKUP($B297,[5]BOLETIM_SEL!$A:$H,2,0)</f>
        <v>SINAPI</v>
      </c>
      <c r="D297" s="315" t="str">
        <f>VLOOKUP($B297,[5]BOLETIM_SEL!$A:$H,4,0)</f>
        <v>Concreto FCK = 20 MPA, traço 1:2,7:3 (cimento/ areia média/ brita 1) - preparo mecânico com betoneira 400 l. AF_07/2016</v>
      </c>
      <c r="E297" s="2">
        <f>+Orçamento_Não_Deson!E297</f>
        <v>0</v>
      </c>
      <c r="F297" s="2" t="str">
        <f>VLOOKUP($B297,[5]BOLETIM_SEL!$A:$H,6,0)</f>
        <v>M3</v>
      </c>
      <c r="G297" s="1407">
        <f>VLOOKUP($B297,[5]BOLETIM_SEL!$A:$H,7,0)</f>
        <v>462.95</v>
      </c>
      <c r="H297" s="1613">
        <f>+Orçamento_Não_Deson!H297</f>
        <v>0</v>
      </c>
      <c r="I297" s="877">
        <f t="shared" si="60"/>
        <v>586.74</v>
      </c>
      <c r="J297" s="1612">
        <f t="shared" si="57"/>
        <v>0</v>
      </c>
      <c r="K297" s="2078">
        <f t="shared" ca="1" si="59"/>
        <v>0</v>
      </c>
      <c r="L297" s="1574" t="e">
        <f t="shared" si="61"/>
        <v>#DIV/0!</v>
      </c>
      <c r="M297" s="1974"/>
      <c r="N297" s="833"/>
      <c r="O297" s="833"/>
      <c r="Q297" s="833"/>
      <c r="R297" s="833"/>
      <c r="S297" s="833"/>
      <c r="T297" s="833"/>
      <c r="U297" s="833"/>
      <c r="V297" s="833"/>
      <c r="W297" s="833"/>
      <c r="X297" s="833"/>
    </row>
    <row r="298" spans="1:24" s="813" customFormat="1" ht="39.950000000000003" hidden="1" customHeight="1" x14ac:dyDescent="0.15">
      <c r="A298" s="2081">
        <f ca="1">Orçamento_Não_Deson!A298</f>
        <v>5</v>
      </c>
      <c r="B298" s="834">
        <f>Orçamento_Não_Deson!B298</f>
        <v>34493</v>
      </c>
      <c r="C298" s="2" t="str">
        <f>VLOOKUP($B298,[5]BOLETIM_SEL!$A:$H,2,0)</f>
        <v>SINAPI</v>
      </c>
      <c r="D298" s="315" t="str">
        <f>VLOOKUP($B298,[5]BOLETIM_SEL!$A:$H,4,0)</f>
        <v>Concreto usinado bombeável, classe de resistência C25, com brita 0,00 e 1, slump = 100 +/- 20 mm, exclui serviço de bombeamento (NBR 8953)</v>
      </c>
      <c r="E298" s="2">
        <f>Orçamento_Não_Deson!E298</f>
        <v>0</v>
      </c>
      <c r="F298" s="2" t="str">
        <f>VLOOKUP($B298,[5]BOLETIM_SEL!$A:$H,6,0)</f>
        <v xml:space="preserve">M3    </v>
      </c>
      <c r="G298" s="1407">
        <f>VLOOKUP($B298,[5]BOLETIM_SEL!$A:$H,7,0)</f>
        <v>560.36</v>
      </c>
      <c r="H298" s="1613">
        <f>Orçamento_Não_Deson!H298</f>
        <v>0</v>
      </c>
      <c r="I298" s="877">
        <f t="shared" si="60"/>
        <v>710.2</v>
      </c>
      <c r="J298" s="1612">
        <f t="shared" si="57"/>
        <v>0</v>
      </c>
      <c r="K298" s="2078">
        <f t="shared" ca="1" si="59"/>
        <v>0</v>
      </c>
      <c r="L298" s="1574" t="e">
        <f t="shared" si="61"/>
        <v>#DIV/0!</v>
      </c>
      <c r="M298" s="1974"/>
      <c r="N298" s="833"/>
      <c r="O298" s="833"/>
      <c r="Q298" s="833"/>
      <c r="R298" s="833"/>
      <c r="S298" s="833"/>
      <c r="T298" s="833"/>
      <c r="U298" s="833"/>
      <c r="V298" s="833"/>
      <c r="W298" s="833"/>
      <c r="X298" s="833"/>
    </row>
    <row r="299" spans="1:24" s="813" customFormat="1" ht="39.950000000000003" hidden="1" customHeight="1" x14ac:dyDescent="0.15">
      <c r="A299" s="2081">
        <f ca="1">Orçamento_Não_Deson!A299</f>
        <v>5</v>
      </c>
      <c r="B299" s="834">
        <f>Orçamento_Não_Deson!B299</f>
        <v>103673</v>
      </c>
      <c r="C299" s="2" t="str">
        <f>VLOOKUP($B299,[5]BOLETIM_SEL!$A:$H,2,0)</f>
        <v>SINAPI</v>
      </c>
      <c r="D299" s="315" t="str">
        <f>VLOOKUP($B299,[5]BOLETIM_SEL!$A:$H,4,0)</f>
        <v>Lançamento com uso de bomba, adensamento e acabamento de concreto em estruturas. AF_12/2015</v>
      </c>
      <c r="E299" s="2">
        <f>Orçamento_Não_Deson!E299</f>
        <v>0</v>
      </c>
      <c r="F299" s="2" t="str">
        <f>VLOOKUP($B299,[5]BOLETIM_SEL!$A:$H,6,0)</f>
        <v>M3</v>
      </c>
      <c r="G299" s="1407">
        <f>VLOOKUP($B299,[5]BOLETIM_SEL!$A:$H,7,0)</f>
        <v>32.49</v>
      </c>
      <c r="H299" s="1613">
        <f>Orçamento_Não_Deson!H299</f>
        <v>0</v>
      </c>
      <c r="I299" s="877">
        <f t="shared" si="60"/>
        <v>41.17</v>
      </c>
      <c r="J299" s="1612">
        <f t="shared" si="57"/>
        <v>0</v>
      </c>
      <c r="K299" s="2078">
        <f t="shared" ca="1" si="59"/>
        <v>0</v>
      </c>
      <c r="L299" s="1574" t="e">
        <f t="shared" si="61"/>
        <v>#DIV/0!</v>
      </c>
      <c r="M299" s="1974"/>
      <c r="N299" s="833"/>
      <c r="O299" s="833"/>
      <c r="Q299" s="833"/>
      <c r="R299" s="833"/>
      <c r="S299" s="833"/>
      <c r="T299" s="833"/>
      <c r="U299" s="833"/>
      <c r="V299" s="833"/>
      <c r="W299" s="833"/>
      <c r="X299" s="833"/>
    </row>
    <row r="300" spans="1:24" s="813" customFormat="1" ht="39.950000000000003" hidden="1" customHeight="1" x14ac:dyDescent="0.15">
      <c r="A300" s="2081">
        <f ca="1">+Orçamento_Não_Deson!A300</f>
        <v>5</v>
      </c>
      <c r="B300" s="834">
        <f>+Orçamento_Não_Deson!B300</f>
        <v>102487</v>
      </c>
      <c r="C300" s="2" t="str">
        <f>VLOOKUP($B300,[5]BOLETIM_SEL!$A:$H,2,0)</f>
        <v>SINAPI</v>
      </c>
      <c r="D300" s="315" t="str">
        <f>VLOOKUP($B300,[5]BOLETIM_SEL!$A:$H,4,0)</f>
        <v>Concreto ciclópico FCK = 15 MPA, 30% pedra de mão em volume real, inclusive lançamento</v>
      </c>
      <c r="E300" s="2">
        <f>+Orçamento_Não_Deson!E300</f>
        <v>0</v>
      </c>
      <c r="F300" s="2" t="str">
        <f>VLOOKUP($B300,[5]BOLETIM_SEL!$A:$H,6,0)</f>
        <v>M3</v>
      </c>
      <c r="G300" s="1407">
        <f>VLOOKUP($B300,[5]BOLETIM_SEL!$A:$H,7,0)</f>
        <v>525.52</v>
      </c>
      <c r="H300" s="1613">
        <f>+Orçamento_Não_Deson!H300</f>
        <v>0</v>
      </c>
      <c r="I300" s="877">
        <f t="shared" si="60"/>
        <v>666.04</v>
      </c>
      <c r="J300" s="1612">
        <f t="shared" si="57"/>
        <v>0</v>
      </c>
      <c r="K300" s="2078">
        <f t="shared" ca="1" si="59"/>
        <v>0</v>
      </c>
      <c r="L300" s="1574" t="e">
        <f t="shared" si="61"/>
        <v>#DIV/0!</v>
      </c>
      <c r="M300" s="1974"/>
      <c r="N300" s="833"/>
      <c r="O300" s="833"/>
      <c r="Q300" s="833"/>
      <c r="R300" s="833"/>
      <c r="S300" s="833"/>
      <c r="T300" s="833"/>
      <c r="U300" s="833"/>
      <c r="V300" s="833"/>
      <c r="W300" s="833"/>
      <c r="X300" s="833"/>
    </row>
    <row r="301" spans="1:24" s="813" customFormat="1" ht="39.950000000000003" hidden="1" customHeight="1" x14ac:dyDescent="0.15">
      <c r="A301" s="2081">
        <f ca="1">Orçamento_Não_Deson!A301</f>
        <v>5</v>
      </c>
      <c r="B301" s="834">
        <f>Orçamento_Não_Deson!B301</f>
        <v>92415</v>
      </c>
      <c r="C301" s="2" t="str">
        <f>VLOOKUP($B301,[5]BOLETIM_SEL!$A:$H,2,0)</f>
        <v>SINAPI</v>
      </c>
      <c r="D301" s="315" t="str">
        <f>VLOOKUP($B301,[5]BOLETIM_SEL!$A:$H,4,0)</f>
        <v>Montagem e desmontagem de fôrma de pilares retangulares e estruturas similares, pé-direito simples, em chapa de madeira compensada resinada, 2 utilizações. AF_09/2020</v>
      </c>
      <c r="E301" s="2">
        <f>Orçamento_Não_Deson!E301</f>
        <v>0</v>
      </c>
      <c r="F301" s="2" t="str">
        <f>VLOOKUP($B301,[5]BOLETIM_SEL!$A:$H,6,0)</f>
        <v>M2</v>
      </c>
      <c r="G301" s="1407">
        <f>VLOOKUP($B301,[5]BOLETIM_SEL!$A:$H,7,0)</f>
        <v>129.94</v>
      </c>
      <c r="H301" s="1613">
        <f>Orçamento_Não_Deson!H301</f>
        <v>0</v>
      </c>
      <c r="I301" s="877">
        <f t="shared" si="60"/>
        <v>164.68</v>
      </c>
      <c r="J301" s="1612">
        <f t="shared" si="57"/>
        <v>0</v>
      </c>
      <c r="K301" s="2078">
        <f t="shared" ca="1" si="59"/>
        <v>0</v>
      </c>
      <c r="L301" s="1574" t="e">
        <f t="shared" si="61"/>
        <v>#DIV/0!</v>
      </c>
      <c r="M301" s="1974"/>
      <c r="N301" s="833"/>
      <c r="O301" s="833"/>
      <c r="Q301" s="833"/>
      <c r="R301" s="833"/>
      <c r="S301" s="833"/>
      <c r="T301" s="833"/>
      <c r="U301" s="833"/>
      <c r="V301" s="833"/>
      <c r="W301" s="833"/>
      <c r="X301" s="833"/>
    </row>
    <row r="302" spans="1:24" s="813" customFormat="1" ht="39.950000000000003" hidden="1" customHeight="1" x14ac:dyDescent="0.15">
      <c r="A302" s="2081">
        <f ca="1">+Orçamento_Não_Deson!A302</f>
        <v>5</v>
      </c>
      <c r="B302" s="834">
        <f>+Orçamento_Não_Deson!B302</f>
        <v>92423</v>
      </c>
      <c r="C302" s="2" t="str">
        <f>VLOOKUP($B302,[5]BOLETIM_SEL!$A:$H,2,0)</f>
        <v>SINAPI</v>
      </c>
      <c r="D302" s="315" t="str">
        <f>VLOOKUP($B302,[5]BOLETIM_SEL!$A:$H,4,0)</f>
        <v>Montagem e desmontagem de fôrma de pilares retangulares e estruturas similares, pé-direito simples, em chapa de madeira compensada resinada, 6 utilizações. AF_09/2020</v>
      </c>
      <c r="E302" s="2">
        <f>+Orçamento_Não_Deson!E302</f>
        <v>0</v>
      </c>
      <c r="F302" s="2" t="str">
        <f>VLOOKUP($B302,[5]BOLETIM_SEL!$A:$H,6,0)</f>
        <v>M2</v>
      </c>
      <c r="G302" s="1407">
        <f>VLOOKUP($B302,[5]BOLETIM_SEL!$A:$H,7,0)</f>
        <v>65.790000000000006</v>
      </c>
      <c r="H302" s="1613">
        <f>+Orçamento_Não_Deson!H302</f>
        <v>0</v>
      </c>
      <c r="I302" s="877">
        <f t="shared" si="60"/>
        <v>83.38</v>
      </c>
      <c r="J302" s="1612">
        <f t="shared" si="57"/>
        <v>0</v>
      </c>
      <c r="K302" s="2078">
        <f t="shared" ca="1" si="59"/>
        <v>0</v>
      </c>
      <c r="L302" s="1574" t="e">
        <f t="shared" si="61"/>
        <v>#DIV/0!</v>
      </c>
      <c r="M302" s="1974"/>
      <c r="N302" s="833"/>
      <c r="O302" s="833"/>
      <c r="Q302" s="833"/>
      <c r="R302" s="833"/>
      <c r="S302" s="833"/>
      <c r="T302" s="833"/>
      <c r="U302" s="833"/>
      <c r="V302" s="833"/>
      <c r="W302" s="833"/>
      <c r="X302" s="833"/>
    </row>
    <row r="303" spans="1:24" s="813" customFormat="1" ht="39.950000000000003" hidden="1" customHeight="1" x14ac:dyDescent="0.15">
      <c r="A303" s="2081">
        <f ca="1">+Orçamento_Não_Deson!A303</f>
        <v>5</v>
      </c>
      <c r="B303" s="834">
        <f>+Orçamento_Não_Deson!B303</f>
        <v>92411</v>
      </c>
      <c r="C303" s="2" t="str">
        <f>VLOOKUP($B303,[5]BOLETIM_SEL!$A:$H,2,0)</f>
        <v>SINAPI</v>
      </c>
      <c r="D303" s="315" t="str">
        <f>VLOOKUP($B303,[5]BOLETIM_SEL!$A:$H,4,0)</f>
        <v>Montagem e desmontagem de fôrma de pilares retangulares e estruturas similares, pé-direito simples, em madeira serrada, 2 utilizações. AF_09/2020</v>
      </c>
      <c r="E303" s="2">
        <f>+Orçamento_Não_Deson!E303</f>
        <v>0</v>
      </c>
      <c r="F303" s="2" t="str">
        <f>VLOOKUP($B303,[5]BOLETIM_SEL!$A:$H,6,0)</f>
        <v>M2</v>
      </c>
      <c r="G303" s="1407">
        <f>VLOOKUP($B303,[5]BOLETIM_SEL!$A:$H,7,0)</f>
        <v>190.7</v>
      </c>
      <c r="H303" s="1613">
        <f>+Orçamento_Não_Deson!H303</f>
        <v>0</v>
      </c>
      <c r="I303" s="877">
        <f t="shared" si="60"/>
        <v>241.69</v>
      </c>
      <c r="J303" s="1612">
        <f t="shared" si="57"/>
        <v>0</v>
      </c>
      <c r="K303" s="2078">
        <f t="shared" ca="1" si="59"/>
        <v>0</v>
      </c>
      <c r="L303" s="1574" t="e">
        <f t="shared" si="61"/>
        <v>#DIV/0!</v>
      </c>
      <c r="M303" s="1974"/>
      <c r="N303" s="833"/>
      <c r="O303" s="833"/>
      <c r="Q303" s="833"/>
      <c r="R303" s="833"/>
      <c r="S303" s="833"/>
      <c r="T303" s="833"/>
      <c r="U303" s="833"/>
      <c r="V303" s="833"/>
      <c r="W303" s="833"/>
      <c r="X303" s="833"/>
    </row>
    <row r="304" spans="1:24" s="813" customFormat="1" ht="39.950000000000003" hidden="1" customHeight="1" x14ac:dyDescent="0.15">
      <c r="A304" s="2081">
        <f ca="1">+Orçamento_Não_Deson!A304</f>
        <v>5</v>
      </c>
      <c r="B304" s="834">
        <f>+Orçamento_Não_Deson!B304</f>
        <v>92413</v>
      </c>
      <c r="C304" s="2" t="str">
        <f>VLOOKUP($B304,[5]BOLETIM_SEL!$A:$H,2,0)</f>
        <v>SINAPI</v>
      </c>
      <c r="D304" s="315" t="str">
        <f>VLOOKUP($B304,[5]BOLETIM_SEL!$A:$H,4,0)</f>
        <v>Montagem e desmontagem de fôrma de pilares retangulares e estruturas similares, pé-direito simples, em madeira serrada, 4 utilizações. AF_09/2020</v>
      </c>
      <c r="E304" s="2">
        <f>+Orçamento_Não_Deson!E304</f>
        <v>0</v>
      </c>
      <c r="F304" s="2" t="str">
        <f>VLOOKUP($B304,[5]BOLETIM_SEL!$A:$H,6,0)</f>
        <v>M2</v>
      </c>
      <c r="G304" s="1407">
        <f>VLOOKUP($B304,[5]BOLETIM_SEL!$A:$H,7,0)</f>
        <v>115.45</v>
      </c>
      <c r="H304" s="1613">
        <f>+Orçamento_Não_Deson!H304</f>
        <v>0</v>
      </c>
      <c r="I304" s="877">
        <f t="shared" si="60"/>
        <v>146.32</v>
      </c>
      <c r="J304" s="1612">
        <f t="shared" si="57"/>
        <v>0</v>
      </c>
      <c r="K304" s="2078">
        <f t="shared" ca="1" si="59"/>
        <v>0</v>
      </c>
      <c r="L304" s="1574" t="e">
        <f t="shared" si="61"/>
        <v>#DIV/0!</v>
      </c>
      <c r="M304" s="1974"/>
      <c r="N304" s="833"/>
      <c r="O304" s="833"/>
      <c r="Q304" s="833"/>
      <c r="R304" s="833"/>
      <c r="S304" s="833"/>
      <c r="T304" s="833"/>
      <c r="U304" s="833"/>
      <c r="V304" s="833"/>
      <c r="W304" s="833"/>
      <c r="X304" s="833"/>
    </row>
    <row r="305" spans="1:24" s="813" customFormat="1" ht="39.950000000000003" hidden="1" customHeight="1" x14ac:dyDescent="0.15">
      <c r="A305" s="2081">
        <f ca="1">+Orçamento_Não_Deson!A305</f>
        <v>5</v>
      </c>
      <c r="B305" s="834">
        <f>+Orçamento_Não_Deson!B305</f>
        <v>96543</v>
      </c>
      <c r="C305" s="2" t="str">
        <f>VLOOKUP($B305,[5]BOLETIM_SEL!$A:$H,2,0)</f>
        <v>SINAPI</v>
      </c>
      <c r="D305" s="315" t="str">
        <f>VLOOKUP($B305,[5]BOLETIM_SEL!$A:$H,4,0)</f>
        <v>Armação de bloco, viga baldrame e sapata utilizando aço CA-60 de 5 mm - montagem. AF_06/2017</v>
      </c>
      <c r="E305" s="2">
        <f>+Orçamento_Não_Deson!E305</f>
        <v>0</v>
      </c>
      <c r="F305" s="2" t="str">
        <f>VLOOKUP($B305,[5]BOLETIM_SEL!$A:$H,6,0)</f>
        <v>KG</v>
      </c>
      <c r="G305" s="1407">
        <f>VLOOKUP($B305,[5]BOLETIM_SEL!$A:$H,7,0)</f>
        <v>17.07</v>
      </c>
      <c r="H305" s="1613">
        <f>+Orçamento_Não_Deson!H305</f>
        <v>0</v>
      </c>
      <c r="I305" s="877">
        <f t="shared" si="60"/>
        <v>21.63</v>
      </c>
      <c r="J305" s="1612">
        <f t="shared" si="57"/>
        <v>0</v>
      </c>
      <c r="K305" s="2078">
        <f t="shared" ca="1" si="59"/>
        <v>0</v>
      </c>
      <c r="L305" s="1574" t="e">
        <f t="shared" si="61"/>
        <v>#DIV/0!</v>
      </c>
      <c r="M305" s="1974"/>
      <c r="N305" s="833"/>
      <c r="O305" s="833"/>
      <c r="Q305" s="833"/>
      <c r="R305" s="833"/>
      <c r="S305" s="833"/>
      <c r="T305" s="833"/>
      <c r="U305" s="833"/>
      <c r="V305" s="833"/>
      <c r="W305" s="833"/>
      <c r="X305" s="833"/>
    </row>
    <row r="306" spans="1:24" s="813" customFormat="1" ht="39.950000000000003" hidden="1" customHeight="1" x14ac:dyDescent="0.15">
      <c r="A306" s="2081">
        <f ca="1">Orçamento_Não_Deson!A306</f>
        <v>5</v>
      </c>
      <c r="B306" s="834">
        <f>Orçamento_Não_Deson!B306</f>
        <v>100342</v>
      </c>
      <c r="C306" s="2" t="str">
        <f>VLOOKUP($B306,[5]BOLETIM_SEL!$A:$H,2,0)</f>
        <v>SINAPI</v>
      </c>
      <c r="D306" s="315" t="str">
        <f>VLOOKUP($B306,[5]BOLETIM_SEL!$A:$H,4,0)</f>
        <v>Armação de cortina de contenção em concreto armado, com aço CA-50 de 6,3 mm - montagem. AF_07/2019</v>
      </c>
      <c r="E306" s="2">
        <f>Orçamento_Não_Deson!E306</f>
        <v>0</v>
      </c>
      <c r="F306" s="2" t="str">
        <f>VLOOKUP($B306,[5]BOLETIM_SEL!$A:$H,6,0)</f>
        <v>KG</v>
      </c>
      <c r="G306" s="1407">
        <f>VLOOKUP($B306,[5]BOLETIM_SEL!$A:$H,7,0)</f>
        <v>14.68</v>
      </c>
      <c r="H306" s="1613">
        <f>Orçamento_Não_Deson!H306</f>
        <v>0</v>
      </c>
      <c r="I306" s="877">
        <f t="shared" si="60"/>
        <v>18.600000000000001</v>
      </c>
      <c r="J306" s="1612">
        <f t="shared" si="57"/>
        <v>0</v>
      </c>
      <c r="K306" s="2078">
        <f t="shared" ca="1" si="59"/>
        <v>0</v>
      </c>
      <c r="L306" s="1574" t="e">
        <f t="shared" si="61"/>
        <v>#DIV/0!</v>
      </c>
      <c r="M306" s="1974"/>
      <c r="N306" s="833"/>
      <c r="O306" s="833"/>
      <c r="Q306" s="833"/>
      <c r="R306" s="833"/>
      <c r="S306" s="833"/>
      <c r="T306" s="833"/>
      <c r="U306" s="833"/>
      <c r="V306" s="833"/>
      <c r="W306" s="833"/>
      <c r="X306" s="833"/>
    </row>
    <row r="307" spans="1:24" s="813" customFormat="1" ht="39.950000000000003" hidden="1" customHeight="1" x14ac:dyDescent="0.15">
      <c r="A307" s="2081">
        <f ca="1">+Orçamento_Não_Deson!A307</f>
        <v>5</v>
      </c>
      <c r="B307" s="834">
        <f>+Orçamento_Não_Deson!B307</f>
        <v>100343</v>
      </c>
      <c r="C307" s="2" t="str">
        <f>VLOOKUP($B307,[5]BOLETIM_SEL!$A:$H,2,0)</f>
        <v>SINAPI</v>
      </c>
      <c r="D307" s="315" t="str">
        <f>VLOOKUP($B307,[5]BOLETIM_SEL!$A:$H,4,0)</f>
        <v>Armação de cortina de contenção em concreto armado, com aço CA-50 de 8 mm - montagem. AF_07/2019</v>
      </c>
      <c r="E307" s="2">
        <f>+Orçamento_Não_Deson!E307</f>
        <v>0</v>
      </c>
      <c r="F307" s="2" t="str">
        <f>VLOOKUP($B307,[5]BOLETIM_SEL!$A:$H,6,0)</f>
        <v>KG</v>
      </c>
      <c r="G307" s="1407">
        <f>VLOOKUP($B307,[5]BOLETIM_SEL!$A:$H,7,0)</f>
        <v>14.1</v>
      </c>
      <c r="H307" s="1613">
        <f>+Orçamento_Não_Deson!H307</f>
        <v>0</v>
      </c>
      <c r="I307" s="877">
        <f t="shared" si="60"/>
        <v>17.87</v>
      </c>
      <c r="J307" s="1612">
        <f t="shared" si="57"/>
        <v>0</v>
      </c>
      <c r="K307" s="2078">
        <f t="shared" ca="1" si="59"/>
        <v>0</v>
      </c>
      <c r="L307" s="1574" t="e">
        <f t="shared" si="61"/>
        <v>#DIV/0!</v>
      </c>
      <c r="M307" s="1974"/>
      <c r="N307" s="833"/>
      <c r="O307" s="833"/>
      <c r="Q307" s="833"/>
      <c r="R307" s="833"/>
      <c r="S307" s="833"/>
      <c r="T307" s="833"/>
      <c r="U307" s="833"/>
      <c r="V307" s="833"/>
      <c r="W307" s="833"/>
      <c r="X307" s="833"/>
    </row>
    <row r="308" spans="1:24" s="813" customFormat="1" ht="39.950000000000003" hidden="1" customHeight="1" x14ac:dyDescent="0.15">
      <c r="A308" s="2081">
        <f ca="1">+Orçamento_Não_Deson!A308</f>
        <v>5</v>
      </c>
      <c r="B308" s="834">
        <f>+Orçamento_Não_Deson!B308</f>
        <v>100344</v>
      </c>
      <c r="C308" s="2" t="str">
        <f>VLOOKUP($B308,[5]BOLETIM_SEL!$A:$H,2,0)</f>
        <v>SINAPI</v>
      </c>
      <c r="D308" s="315" t="str">
        <f>VLOOKUP($B308,[5]BOLETIM_SEL!$A:$H,4,0)</f>
        <v>Armação de cortina de contenção em concreto armado, com aço CA-50 de 10 mm - montagem. AF_07/2019</v>
      </c>
      <c r="E308" s="2">
        <f>+Orçamento_Não_Deson!E308</f>
        <v>0</v>
      </c>
      <c r="F308" s="2" t="str">
        <f>VLOOKUP($B308,[5]BOLETIM_SEL!$A:$H,6,0)</f>
        <v>KG</v>
      </c>
      <c r="G308" s="1407">
        <f>VLOOKUP($B308,[5]BOLETIM_SEL!$A:$H,7,0)</f>
        <v>12.76</v>
      </c>
      <c r="H308" s="1613">
        <f>+Orçamento_Não_Deson!H308</f>
        <v>0</v>
      </c>
      <c r="I308" s="877">
        <f t="shared" si="60"/>
        <v>16.170000000000002</v>
      </c>
      <c r="J308" s="1612">
        <f t="shared" si="57"/>
        <v>0</v>
      </c>
      <c r="K308" s="2078">
        <f t="shared" ca="1" si="59"/>
        <v>0</v>
      </c>
      <c r="L308" s="1574" t="e">
        <f t="shared" si="61"/>
        <v>#DIV/0!</v>
      </c>
      <c r="M308" s="1974"/>
      <c r="N308" s="833"/>
      <c r="O308" s="833"/>
      <c r="Q308" s="833"/>
      <c r="R308" s="833"/>
      <c r="S308" s="833"/>
      <c r="T308" s="833"/>
      <c r="U308" s="833"/>
      <c r="V308" s="833"/>
      <c r="W308" s="833"/>
      <c r="X308" s="833"/>
    </row>
    <row r="309" spans="1:24" s="813" customFormat="1" ht="39.950000000000003" hidden="1" customHeight="1" x14ac:dyDescent="0.15">
      <c r="A309" s="2081">
        <f ca="1">+Orçamento_Não_Deson!A309</f>
        <v>5</v>
      </c>
      <c r="B309" s="834">
        <f>+Orçamento_Não_Deson!B309</f>
        <v>100345</v>
      </c>
      <c r="C309" s="2" t="str">
        <f>VLOOKUP($B309,[5]BOLETIM_SEL!$A:$H,2,0)</f>
        <v>SINAPI</v>
      </c>
      <c r="D309" s="315" t="str">
        <f>VLOOKUP($B309,[5]BOLETIM_SEL!$A:$H,4,0)</f>
        <v>Armação de cortina de contenção em concreto armado, com aço CA-50 de 12,5 mm - montagem. AF_07/2019</v>
      </c>
      <c r="E309" s="2">
        <f>+Orçamento_Não_Deson!E309</f>
        <v>0</v>
      </c>
      <c r="F309" s="2" t="str">
        <f>VLOOKUP($B309,[5]BOLETIM_SEL!$A:$H,6,0)</f>
        <v>KG</v>
      </c>
      <c r="G309" s="1407">
        <f>VLOOKUP($B309,[5]BOLETIM_SEL!$A:$H,7,0)</f>
        <v>10.86</v>
      </c>
      <c r="H309" s="1613">
        <f>+Orçamento_Não_Deson!H309</f>
        <v>0</v>
      </c>
      <c r="I309" s="877">
        <f t="shared" si="60"/>
        <v>13.76</v>
      </c>
      <c r="J309" s="1612">
        <f t="shared" si="57"/>
        <v>0</v>
      </c>
      <c r="K309" s="2078">
        <f t="shared" ca="1" si="59"/>
        <v>0</v>
      </c>
      <c r="L309" s="1574" t="e">
        <f t="shared" si="61"/>
        <v>#DIV/0!</v>
      </c>
      <c r="M309" s="1974"/>
      <c r="N309" s="833"/>
      <c r="O309" s="833"/>
      <c r="Q309" s="833"/>
      <c r="R309" s="833"/>
      <c r="S309" s="833"/>
      <c r="T309" s="833"/>
      <c r="U309" s="833"/>
      <c r="V309" s="833"/>
      <c r="W309" s="833"/>
      <c r="X309" s="833"/>
    </row>
    <row r="310" spans="1:24" s="813" customFormat="1" ht="39.950000000000003" hidden="1" customHeight="1" x14ac:dyDescent="0.15">
      <c r="A310" s="2081">
        <f ca="1">+Orçamento_Não_Deson!A310</f>
        <v>5</v>
      </c>
      <c r="B310" s="834">
        <f>+Orçamento_Não_Deson!B310</f>
        <v>91593</v>
      </c>
      <c r="C310" s="2" t="str">
        <f>VLOOKUP($B310,[5]BOLETIM_SEL!$A:$H,2,0)</f>
        <v>SINAPI</v>
      </c>
      <c r="D310" s="315" t="str">
        <f>VLOOKUP($B310,[5]BOLETIM_SEL!$A:$H,4,0)</f>
        <v>Armação do sistema de paredes de concreto, executada em paredes de edificações de múltiplos pavimentos, tela Q-138. AF_06/2019</v>
      </c>
      <c r="E310" s="2">
        <f>+Orçamento_Não_Deson!E310</f>
        <v>0</v>
      </c>
      <c r="F310" s="2" t="str">
        <f>VLOOKUP($B310,[5]BOLETIM_SEL!$A:$H,6,0)</f>
        <v>KG</v>
      </c>
      <c r="G310" s="1407">
        <f>VLOOKUP($B310,[5]BOLETIM_SEL!$A:$H,7,0)</f>
        <v>10.73</v>
      </c>
      <c r="H310" s="1613">
        <f>+Orçamento_Não_Deson!H310</f>
        <v>0</v>
      </c>
      <c r="I310" s="877">
        <f t="shared" si="60"/>
        <v>13.59</v>
      </c>
      <c r="J310" s="1612">
        <f t="shared" si="57"/>
        <v>0</v>
      </c>
      <c r="K310" s="2078">
        <f t="shared" ca="1" si="59"/>
        <v>0</v>
      </c>
      <c r="L310" s="1574" t="e">
        <f t="shared" si="61"/>
        <v>#DIV/0!</v>
      </c>
      <c r="M310" s="1974"/>
      <c r="N310" s="833"/>
      <c r="O310" s="833"/>
      <c r="Q310" s="833"/>
      <c r="R310" s="833"/>
      <c r="S310" s="833"/>
      <c r="T310" s="833"/>
      <c r="U310" s="833"/>
      <c r="V310" s="833"/>
      <c r="W310" s="833"/>
      <c r="X310" s="833"/>
    </row>
    <row r="311" spans="1:24" s="813" customFormat="1" ht="39.950000000000003" hidden="1" customHeight="1" x14ac:dyDescent="0.15">
      <c r="A311" s="2081">
        <f ca="1">+Orçamento_Não_Deson!A311</f>
        <v>5</v>
      </c>
      <c r="B311" s="834">
        <f>+Orçamento_Não_Deson!B311</f>
        <v>91594</v>
      </c>
      <c r="C311" s="2" t="str">
        <f>VLOOKUP($B311,[5]BOLETIM_SEL!$A:$H,2,0)</f>
        <v>SINAPI</v>
      </c>
      <c r="D311" s="315" t="str">
        <f>VLOOKUP($B311,[5]BOLETIM_SEL!$A:$H,4,0)</f>
        <v>Armação em tela soldada nervurada Q-92 (15x15cm) #4,2x4,2mm (1,48kg/m²), aço CA-60, para estrutura, fornecimento e aplicação</v>
      </c>
      <c r="E311" s="2">
        <f>+Orçamento_Não_Deson!E311</f>
        <v>0</v>
      </c>
      <c r="F311" s="2" t="str">
        <f>VLOOKUP($B311,[5]BOLETIM_SEL!$A:$H,6,0)</f>
        <v>KG</v>
      </c>
      <c r="G311" s="1407">
        <f>VLOOKUP($B311,[5]BOLETIM_SEL!$A:$H,7,0)</f>
        <v>11.09</v>
      </c>
      <c r="H311" s="1613">
        <f>+Orçamento_Não_Deson!H311</f>
        <v>0</v>
      </c>
      <c r="I311" s="877">
        <f t="shared" si="60"/>
        <v>14.05</v>
      </c>
      <c r="J311" s="1612">
        <f t="shared" si="57"/>
        <v>0</v>
      </c>
      <c r="K311" s="2078">
        <f t="shared" ca="1" si="59"/>
        <v>0</v>
      </c>
      <c r="L311" s="1574" t="e">
        <f t="shared" si="61"/>
        <v>#DIV/0!</v>
      </c>
      <c r="M311" s="1974"/>
      <c r="N311" s="833"/>
      <c r="O311" s="833"/>
      <c r="Q311" s="833"/>
      <c r="R311" s="833"/>
      <c r="S311" s="833"/>
      <c r="T311" s="833"/>
      <c r="U311" s="833"/>
      <c r="V311" s="833"/>
      <c r="W311" s="833"/>
      <c r="X311" s="833"/>
    </row>
    <row r="312" spans="1:24" s="813" customFormat="1" ht="39.950000000000003" hidden="1" customHeight="1" x14ac:dyDescent="0.15">
      <c r="A312" s="2081">
        <f ca="1">Orçamento_Não_Deson!A312</f>
        <v>5</v>
      </c>
      <c r="B312" s="834">
        <f>Orçamento_Não_Deson!B312</f>
        <v>101792</v>
      </c>
      <c r="C312" s="2" t="str">
        <f>VLOOKUP($B312,[5]BOLETIM_SEL!$A:$H,2,0)</f>
        <v>SINAPI</v>
      </c>
      <c r="D312" s="315" t="str">
        <f>VLOOKUP($B312,[5]BOLETIM_SEL!$A:$H,4,0)</f>
        <v>Escoramento de fôrmas de laje em madeira não aparelhada, pé-direito simples, incluso travamento, 4 utilizações. AF_09/2020</v>
      </c>
      <c r="E312" s="2">
        <f>Orçamento_Não_Deson!E312</f>
        <v>0</v>
      </c>
      <c r="F312" s="2" t="str">
        <f>VLOOKUP($B312,[5]BOLETIM_SEL!$A:$H,6,0)</f>
        <v>M3</v>
      </c>
      <c r="G312" s="1407">
        <f>VLOOKUP($B312,[5]BOLETIM_SEL!$A:$H,7,0)</f>
        <v>15.07</v>
      </c>
      <c r="H312" s="1613">
        <f>Orçamento_Não_Deson!H312</f>
        <v>0</v>
      </c>
      <c r="I312" s="877">
        <f t="shared" si="60"/>
        <v>19.09</v>
      </c>
      <c r="J312" s="1612">
        <f t="shared" si="57"/>
        <v>0</v>
      </c>
      <c r="K312" s="2078">
        <f t="shared" ca="1" si="59"/>
        <v>0</v>
      </c>
      <c r="L312" s="1574" t="e">
        <f t="shared" si="61"/>
        <v>#DIV/0!</v>
      </c>
      <c r="M312" s="1974"/>
      <c r="N312" s="833"/>
      <c r="O312" s="833"/>
      <c r="Q312" s="833"/>
      <c r="R312" s="833"/>
      <c r="S312" s="833"/>
      <c r="T312" s="833"/>
      <c r="U312" s="833"/>
      <c r="V312" s="833"/>
      <c r="W312" s="833"/>
      <c r="X312" s="833"/>
    </row>
    <row r="313" spans="1:24" s="813" customFormat="1" ht="39.950000000000003" hidden="1" customHeight="1" x14ac:dyDescent="0.15">
      <c r="A313" s="2081"/>
      <c r="B313" s="834"/>
      <c r="C313" s="834"/>
      <c r="D313" s="835"/>
      <c r="E313" s="2"/>
      <c r="F313" s="834"/>
      <c r="G313" s="1821"/>
      <c r="H313" s="1"/>
      <c r="I313" s="877"/>
      <c r="J313" s="839">
        <f>IF(J294=0,0,"")</f>
        <v>0</v>
      </c>
      <c r="K313" s="2078"/>
      <c r="L313" s="1574"/>
      <c r="M313" s="1833"/>
      <c r="N313" s="833"/>
      <c r="O313" s="833"/>
      <c r="Q313" s="833"/>
      <c r="R313" s="833"/>
      <c r="S313" s="833"/>
      <c r="T313" s="833"/>
      <c r="U313" s="833"/>
      <c r="V313" s="833"/>
      <c r="W313" s="833"/>
      <c r="X313" s="833"/>
    </row>
    <row r="314" spans="1:24" s="833" customFormat="1" ht="39.950000000000003" hidden="1" customHeight="1" x14ac:dyDescent="0.15">
      <c r="A314" s="2082">
        <f ca="1">IF(J314&gt;0,INT(A312)+1,IF(J314=0,INT(A312),0))</f>
        <v>5</v>
      </c>
      <c r="B314" s="1633"/>
      <c r="C314" s="1633"/>
      <c r="D314" s="1641" t="s">
        <v>2107</v>
      </c>
      <c r="E314" s="1828"/>
      <c r="F314" s="1635"/>
      <c r="G314" s="1835" t="s">
        <v>2120</v>
      </c>
      <c r="H314" s="1637"/>
      <c r="I314" s="1640" t="str">
        <f ca="1">CONCATENATE("SUB-TOTAL ",A314)</f>
        <v>SUB-TOTAL 5</v>
      </c>
      <c r="J314" s="1639">
        <f>SUM(J315:J411)</f>
        <v>0</v>
      </c>
      <c r="K314" s="2079">
        <f ca="1">J314/J$967</f>
        <v>0</v>
      </c>
      <c r="L314" s="1574" t="e">
        <f>J314/$J$314</f>
        <v>#DIV/0!</v>
      </c>
    </row>
    <row r="315" spans="1:24" s="813" customFormat="1" ht="39.950000000000003" hidden="1" customHeight="1" x14ac:dyDescent="0.15">
      <c r="A315" s="2081"/>
      <c r="B315" s="834"/>
      <c r="C315" s="2"/>
      <c r="D315" s="1452" t="s">
        <v>35</v>
      </c>
      <c r="E315" s="2"/>
      <c r="F315" s="2"/>
      <c r="G315" s="1821"/>
      <c r="H315" s="2"/>
      <c r="I315" s="2"/>
      <c r="J315" s="839" t="str">
        <f>IF(J316=0,"-","")</f>
        <v>-</v>
      </c>
      <c r="K315" s="2078"/>
      <c r="L315" s="1574"/>
      <c r="M315" s="1974"/>
      <c r="N315" s="833"/>
      <c r="O315" s="833"/>
      <c r="Q315" s="833"/>
      <c r="R315" s="833"/>
      <c r="S315" s="833"/>
      <c r="T315" s="833"/>
      <c r="U315" s="833"/>
      <c r="V315" s="833"/>
      <c r="W315" s="833"/>
      <c r="X315" s="833"/>
    </row>
    <row r="316" spans="1:24" s="813" customFormat="1" ht="39.950000000000003" hidden="1" customHeight="1" x14ac:dyDescent="0.15">
      <c r="A316" s="2081">
        <f ca="1">+Orçamento_Não_Deson!A316</f>
        <v>5</v>
      </c>
      <c r="B316" s="834">
        <f>+Orçamento_Não_Deson!B316</f>
        <v>98525</v>
      </c>
      <c r="C316" s="2" t="str">
        <f>VLOOKUP($B316,[5]BOLETIM_SEL!$A:$H,2,0)</f>
        <v>SINAPI</v>
      </c>
      <c r="D316" s="315" t="str">
        <f>VLOOKUP($B316,[5]BOLETIM_SEL!$A:$H,4,0)</f>
        <v>Limpeza mecanizada de camada vegetal, vegetação e pequenas árvores (diâmetro nominal de tronco menor que 0,20 m), com trator de esteiras. AF_05/2018</v>
      </c>
      <c r="E316" s="2">
        <f>+Orçamento_Não_Deson!E316</f>
        <v>0</v>
      </c>
      <c r="F316" s="2" t="str">
        <f>VLOOKUP($B316,[5]BOLETIM_SEL!$A:$H,6,0)</f>
        <v>M2</v>
      </c>
      <c r="G316" s="1407">
        <f>VLOOKUP($B316,[5]BOLETIM_SEL!$A:$H,7,0)</f>
        <v>0.32</v>
      </c>
      <c r="H316" s="1613">
        <f>+Orçamento_Não_Deson!H316</f>
        <v>0</v>
      </c>
      <c r="I316" s="877">
        <f t="shared" ref="I316:I321" si="62">TRUNC(G316*(1+$J$5),2)</f>
        <v>0.4</v>
      </c>
      <c r="J316" s="1612">
        <f t="shared" ref="J316:J321" si="63">TRUNC(H316*I316,2)</f>
        <v>0</v>
      </c>
      <c r="K316" s="2078">
        <f t="shared" ref="K316:K321" ca="1" si="64">J316/J$967</f>
        <v>0</v>
      </c>
      <c r="L316" s="1574" t="e">
        <f>J316/$J$314</f>
        <v>#DIV/0!</v>
      </c>
      <c r="M316" s="1974"/>
      <c r="N316" s="833"/>
      <c r="O316" s="833"/>
    </row>
    <row r="317" spans="1:24" s="813" customFormat="1" ht="39.950000000000003" hidden="1" customHeight="1" x14ac:dyDescent="0.15">
      <c r="A317" s="2081">
        <f ca="1">+Orçamento_Não_Deson!A317</f>
        <v>5</v>
      </c>
      <c r="B317" s="834" t="str">
        <f>+Orçamento_Não_Deson!B317</f>
        <v>SC/0068</v>
      </c>
      <c r="C317" s="2" t="str">
        <f>VLOOKUP($B317,[5]BOLETIM_SEL!$A:$H,2,0)</f>
        <v>COMPOSIÇÃO</v>
      </c>
      <c r="D317" s="315" t="str">
        <f>VLOOKUP($B317,[5]BOLETIM_SEL!$A:$H,4,0)</f>
        <v>Revestimento de pátio com pedra britada com espessura de 5 cm com regularização do terreno com motoniveladora. Exclusive transporte. (REF SINAPI COD 100575)</v>
      </c>
      <c r="E317" s="2">
        <f>+Orçamento_Não_Deson!E317</f>
        <v>0</v>
      </c>
      <c r="F317" s="2" t="str">
        <f>VLOOKUP($B317,[5]BOLETIM_SEL!$A:$H,6,0)</f>
        <v>M2</v>
      </c>
      <c r="G317" s="1407">
        <f>VLOOKUP($B317,[5]BOLETIM_SEL!$A:$H,7,0)</f>
        <v>5.05</v>
      </c>
      <c r="H317" s="1613">
        <f>+Orçamento_Não_Deson!H317</f>
        <v>0</v>
      </c>
      <c r="I317" s="877">
        <f t="shared" si="62"/>
        <v>6.4</v>
      </c>
      <c r="J317" s="1612">
        <f t="shared" si="63"/>
        <v>0</v>
      </c>
      <c r="K317" s="2078">
        <f t="shared" ca="1" si="64"/>
        <v>0</v>
      </c>
      <c r="L317" s="1574" t="e">
        <f t="shared" ref="L317:L321" si="65">J317/$J$314</f>
        <v>#DIV/0!</v>
      </c>
      <c r="M317" s="1974"/>
      <c r="N317" s="833"/>
      <c r="O317" s="833"/>
      <c r="P317" s="833"/>
      <c r="Q317" s="833"/>
      <c r="R317" s="833"/>
      <c r="S317" s="833"/>
      <c r="T317" s="833"/>
      <c r="U317" s="833"/>
      <c r="V317" s="833"/>
      <c r="W317" s="833"/>
      <c r="X317" s="833"/>
    </row>
    <row r="318" spans="1:24" s="813" customFormat="1" ht="39.950000000000003" hidden="1" customHeight="1" x14ac:dyDescent="0.15">
      <c r="A318" s="2081">
        <f ca="1">+Orçamento_Não_Deson!A318</f>
        <v>5</v>
      </c>
      <c r="B318" s="834" t="str">
        <f>+Orçamento_Não_Deson!B318</f>
        <v>SP/0020</v>
      </c>
      <c r="C318" s="2" t="str">
        <f>VLOOKUP($B318,[5]BOLETIM_SEL!$A:$H,2,0)</f>
        <v>COMPOSIÇÃO</v>
      </c>
      <c r="D318" s="315" t="str">
        <f>VLOOKUP($B318,[5]BOLETIM_SEL!$A:$H,4,0)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318" s="2">
        <f>+Orçamento_Não_Deson!E318</f>
        <v>0</v>
      </c>
      <c r="F318" s="2" t="str">
        <f>VLOOKUP($B318,[5]BOLETIM_SEL!$A:$H,6,0)</f>
        <v>M2</v>
      </c>
      <c r="G318" s="1407">
        <f>VLOOKUP($B318,[5]BOLETIM_SEL!$A:$H,7,0)</f>
        <v>130.25</v>
      </c>
      <c r="H318" s="1613">
        <f>+Orçamento_Não_Deson!H318</f>
        <v>0</v>
      </c>
      <c r="I318" s="877">
        <f t="shared" si="62"/>
        <v>165.07</v>
      </c>
      <c r="J318" s="1612">
        <f t="shared" si="63"/>
        <v>0</v>
      </c>
      <c r="K318" s="2078">
        <f t="shared" ca="1" si="64"/>
        <v>0</v>
      </c>
      <c r="L318" s="1574" t="e">
        <f t="shared" si="65"/>
        <v>#DIV/0!</v>
      </c>
      <c r="M318" s="1974"/>
      <c r="N318" s="833"/>
      <c r="O318" s="833"/>
      <c r="P318" s="833"/>
      <c r="Q318" s="833"/>
      <c r="R318" s="833"/>
      <c r="S318" s="833"/>
      <c r="X318" s="816"/>
    </row>
    <row r="319" spans="1:24" s="813" customFormat="1" ht="39.950000000000003" hidden="1" customHeight="1" x14ac:dyDescent="0.15">
      <c r="A319" s="2081">
        <f ca="1">+Orçamento_Não_Deson!A319</f>
        <v>5</v>
      </c>
      <c r="B319" s="834" t="str">
        <f>+Orçamento_Não_Deson!B319</f>
        <v>SP/0030</v>
      </c>
      <c r="C319" s="2" t="str">
        <f>VLOOKUP($B319,[5]BOLETIM_SEL!$A:$H,2,0)</f>
        <v>COMPOSIÇÃO</v>
      </c>
      <c r="D319" s="315" t="str">
        <f>VLOOKUP($B319,[5]BOLETIM_SEL!$A:$H,4,0)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E319" s="2">
        <f>+Orçamento_Não_Deson!E319</f>
        <v>0</v>
      </c>
      <c r="F319" s="2" t="str">
        <f>VLOOKUP($B319,[5]BOLETIM_SEL!$A:$H,6,0)</f>
        <v>M</v>
      </c>
      <c r="G319" s="1407">
        <f>VLOOKUP($B319,[5]BOLETIM_SEL!$A:$H,7,0)</f>
        <v>10.09</v>
      </c>
      <c r="H319" s="1613">
        <f>+Orçamento_Não_Deson!H319</f>
        <v>0</v>
      </c>
      <c r="I319" s="877">
        <f t="shared" si="62"/>
        <v>12.78</v>
      </c>
      <c r="J319" s="1612">
        <f t="shared" si="63"/>
        <v>0</v>
      </c>
      <c r="K319" s="2078">
        <f t="shared" ca="1" si="64"/>
        <v>0</v>
      </c>
      <c r="L319" s="1574" t="e">
        <f t="shared" si="65"/>
        <v>#DIV/0!</v>
      </c>
      <c r="M319" s="1974"/>
      <c r="N319" s="833"/>
      <c r="O319" s="833"/>
      <c r="X319" s="833"/>
    </row>
    <row r="320" spans="1:24" s="813" customFormat="1" ht="39.950000000000003" hidden="1" customHeight="1" x14ac:dyDescent="0.15">
      <c r="A320" s="2081">
        <f ca="1">+Orçamento_Não_Deson!A320</f>
        <v>5</v>
      </c>
      <c r="B320" s="834">
        <f>+Orçamento_Não_Deson!B320</f>
        <v>13244</v>
      </c>
      <c r="C320" s="2" t="str">
        <f>VLOOKUP($B320,[5]BOLETIM_SEL!$A:$H,2,0)</f>
        <v>SINAPI</v>
      </c>
      <c r="D320" s="315" t="str">
        <f>VLOOKUP($B320,[5]BOLETIM_SEL!$A:$H,4,0)</f>
        <v>Segurança de trânsito - cone de sinalização em pvc rígido com faixa refletiva, h = 70 / 76 cm</v>
      </c>
      <c r="E320" s="2">
        <f>+Orçamento_Não_Deson!E320</f>
        <v>0</v>
      </c>
      <c r="F320" s="2" t="str">
        <f>VLOOKUP($B320,[5]BOLETIM_SEL!$A:$H,6,0)</f>
        <v xml:space="preserve">UN    </v>
      </c>
      <c r="G320" s="1407">
        <f>VLOOKUP($B320,[5]BOLETIM_SEL!$A:$H,7,0)</f>
        <v>51.9</v>
      </c>
      <c r="H320" s="1613">
        <f>+Orçamento_Não_Deson!H320</f>
        <v>0</v>
      </c>
      <c r="I320" s="877">
        <f t="shared" si="62"/>
        <v>65.77</v>
      </c>
      <c r="J320" s="1612">
        <f t="shared" si="63"/>
        <v>0</v>
      </c>
      <c r="K320" s="2078">
        <f t="shared" ca="1" si="64"/>
        <v>0</v>
      </c>
      <c r="L320" s="1574" t="e">
        <f t="shared" si="65"/>
        <v>#DIV/0!</v>
      </c>
      <c r="M320" s="1974"/>
      <c r="N320" s="833"/>
      <c r="O320" s="833"/>
      <c r="X320" s="833"/>
    </row>
    <row r="321" spans="1:24" s="813" customFormat="1" ht="39.950000000000003" hidden="1" customHeight="1" x14ac:dyDescent="0.15">
      <c r="A321" s="2081">
        <f ca="1">+Orçamento_Não_Deson!A321</f>
        <v>5</v>
      </c>
      <c r="B321" s="834">
        <f>+Orçamento_Não_Deson!B321</f>
        <v>100978</v>
      </c>
      <c r="C321" s="2" t="str">
        <f>VLOOKUP($B321,[5]BOLETIM_SEL!$A:$H,2,0)</f>
        <v>SINAPI</v>
      </c>
      <c r="D321" s="315" t="str">
        <f>VLOOKUP($B321,[5]BOLETIM_SEL!$A:$H,4,0)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321" s="2">
        <f>+Orçamento_Não_Deson!E321</f>
        <v>0</v>
      </c>
      <c r="F321" s="2" t="str">
        <f>VLOOKUP($B321,[5]BOLETIM_SEL!$A:$H,6,0)</f>
        <v>M3</v>
      </c>
      <c r="G321" s="1407">
        <f>VLOOKUP($B321,[5]BOLETIM_SEL!$A:$H,7,0)</f>
        <v>6.04</v>
      </c>
      <c r="H321" s="1613">
        <f>+Orçamento_Não_Deson!H321</f>
        <v>0</v>
      </c>
      <c r="I321" s="877">
        <f t="shared" si="62"/>
        <v>7.65</v>
      </c>
      <c r="J321" s="1612">
        <f t="shared" si="63"/>
        <v>0</v>
      </c>
      <c r="K321" s="2078">
        <f t="shared" ca="1" si="64"/>
        <v>0</v>
      </c>
      <c r="L321" s="1574" t="e">
        <f t="shared" si="65"/>
        <v>#DIV/0!</v>
      </c>
      <c r="M321" s="1975" t="str">
        <f>+Orçamento_Não_Deson!M321</f>
        <v>ESCAVADEIRA</v>
      </c>
      <c r="N321" s="833"/>
      <c r="O321" s="833"/>
      <c r="P321" s="833"/>
      <c r="Q321" s="833"/>
      <c r="R321" s="833"/>
      <c r="S321" s="833"/>
      <c r="T321" s="833"/>
      <c r="U321" s="833"/>
      <c r="V321" s="833"/>
      <c r="W321" s="833"/>
      <c r="X321" s="833"/>
    </row>
    <row r="322" spans="1:24" s="813" customFormat="1" ht="39.950000000000003" hidden="1" customHeight="1" x14ac:dyDescent="0.15">
      <c r="A322" s="2081"/>
      <c r="B322" s="834"/>
      <c r="C322" s="2"/>
      <c r="D322" s="1452" t="s">
        <v>2110</v>
      </c>
      <c r="E322" s="2"/>
      <c r="F322" s="2"/>
      <c r="G322" s="1821"/>
      <c r="H322" s="2"/>
      <c r="I322" s="2"/>
      <c r="J322" s="839" t="str">
        <f>IF(J323=0,"-","")</f>
        <v>-</v>
      </c>
      <c r="K322" s="2078"/>
      <c r="L322" s="1574"/>
      <c r="M322" s="1974"/>
      <c r="N322" s="1964" t="s">
        <v>1962</v>
      </c>
      <c r="O322" s="1655" t="s">
        <v>1988</v>
      </c>
      <c r="Q322" s="833"/>
      <c r="R322" s="833"/>
      <c r="S322" s="833"/>
      <c r="T322" s="833"/>
      <c r="U322" s="833"/>
      <c r="V322" s="833"/>
      <c r="W322" s="833"/>
      <c r="X322" s="833"/>
    </row>
    <row r="323" spans="1:24" s="813" customFormat="1" ht="39.950000000000003" hidden="1" customHeight="1" x14ac:dyDescent="0.15">
      <c r="A323" s="2081">
        <f ca="1">Orçamento_Não_Deson!A323</f>
        <v>5</v>
      </c>
      <c r="B323" s="834">
        <f>Orçamento_Não_Deson!B323</f>
        <v>101266</v>
      </c>
      <c r="C323" s="2" t="str">
        <f>VLOOKUP($B323,[5]BOLETIM_SEL!$A:$H,2,0)</f>
        <v>SINAPI</v>
      </c>
      <c r="D323" s="315" t="str">
        <f>VLOOKUP($B323,[5]BOLETIM_SEL!$A:$H,4,0)</f>
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</c>
      <c r="E323" s="2">
        <f>Orçamento_Não_Deson!E323</f>
        <v>0</v>
      </c>
      <c r="F323" s="2" t="str">
        <f>VLOOKUP($B323,[5]BOLETIM_SEL!$A:$H,6,0)</f>
        <v>M3</v>
      </c>
      <c r="G323" s="1407">
        <f>VLOOKUP($B323,[5]BOLETIM_SEL!$A:$H,7,0)</f>
        <v>9.93</v>
      </c>
      <c r="H323" s="1613">
        <f>Orçamento_Não_Deson!H323</f>
        <v>0</v>
      </c>
      <c r="I323" s="877">
        <f t="shared" ref="I323:I342" si="66">TRUNC(G323*(1+$J$5),2)</f>
        <v>12.58</v>
      </c>
      <c r="J323" s="1612">
        <f t="shared" ref="J323:J342" si="67">TRUNC(H323*I323,2)</f>
        <v>0</v>
      </c>
      <c r="K323" s="2078">
        <f t="shared" ref="K323:K344" ca="1" si="68">J323/J$967</f>
        <v>0</v>
      </c>
      <c r="L323" s="1574" t="e">
        <f t="shared" ref="L323:L342" si="69">J323/$J$314</f>
        <v>#DIV/0!</v>
      </c>
      <c r="M323" s="1974"/>
      <c r="N323" s="1968">
        <f>VLOOKUP($B323,[5]BOLETIM_SEL!$A:$H,3,0)</f>
        <v>74.63</v>
      </c>
      <c r="O323" s="1656">
        <f>H323/N323</f>
        <v>0</v>
      </c>
      <c r="P323" s="4"/>
      <c r="X323" s="833"/>
    </row>
    <row r="324" spans="1:24" s="813" customFormat="1" ht="39.950000000000003" hidden="1" customHeight="1" x14ac:dyDescent="0.15">
      <c r="A324" s="2081">
        <f ca="1">+Orçamento_Não_Deson!A324</f>
        <v>5</v>
      </c>
      <c r="B324" s="834" t="str">
        <f>+Orçamento_Não_Deson!B324</f>
        <v>DR/0020</v>
      </c>
      <c r="C324" s="2" t="str">
        <f>VLOOKUP($B324,[5]BOLETIM_SEL!$A:$H,2,0)</f>
        <v>COMPOSIÇÃO</v>
      </c>
      <c r="D324" s="315" t="str">
        <f>VLOOKUP($B324,[5]BOLETIM_SEL!$A:$H,4,0)</f>
        <v>Escavação de vala em rocha - 3a categoria, com uso de explosivos e perfuração mecânica, em locais com alto nível de interferência. Inclusive carga</v>
      </c>
      <c r="E324" s="2">
        <f>+Orçamento_Não_Deson!E324</f>
        <v>0</v>
      </c>
      <c r="F324" s="2" t="str">
        <f>VLOOKUP($B324,[5]BOLETIM_SEL!$A:$H,6,0)</f>
        <v>M3</v>
      </c>
      <c r="G324" s="1407">
        <f>VLOOKUP($B324,[5]BOLETIM_SEL!$A:$H,7,0)</f>
        <v>443.64</v>
      </c>
      <c r="H324" s="1613">
        <f>+Orçamento_Não_Deson!H324</f>
        <v>0</v>
      </c>
      <c r="I324" s="877">
        <f t="shared" si="66"/>
        <v>562.26</v>
      </c>
      <c r="J324" s="1612">
        <f t="shared" si="67"/>
        <v>0</v>
      </c>
      <c r="K324" s="2078">
        <f t="shared" ca="1" si="68"/>
        <v>0</v>
      </c>
      <c r="L324" s="1574" t="e">
        <f t="shared" si="69"/>
        <v>#DIV/0!</v>
      </c>
      <c r="M324" s="1974"/>
      <c r="N324" s="1968">
        <f>VLOOKUP($B324,[5]BOLETIM_SEL!$A:$H,3,0)</f>
        <v>3</v>
      </c>
      <c r="O324" s="1656">
        <f t="shared" ref="O324" si="70">+H324/N324</f>
        <v>0</v>
      </c>
      <c r="P324" s="833"/>
      <c r="Q324" s="833"/>
      <c r="R324" s="833"/>
      <c r="S324" s="833"/>
      <c r="T324" s="833"/>
      <c r="U324" s="833"/>
      <c r="V324" s="833"/>
      <c r="W324" s="833"/>
      <c r="X324" s="833"/>
    </row>
    <row r="325" spans="1:24" s="813" customFormat="1" ht="39.950000000000003" hidden="1" customHeight="1" x14ac:dyDescent="0.15">
      <c r="A325" s="2081">
        <f ca="1">+Orçamento_Não_Deson!A325</f>
        <v>5</v>
      </c>
      <c r="B325" s="834" t="str">
        <f>+Orçamento_Não_Deson!B325</f>
        <v>DR/0007</v>
      </c>
      <c r="C325" s="2" t="str">
        <f>VLOOKUP($B325,[5]BOLETIM_SEL!$A:$H,2,0)</f>
        <v>COMPOSIÇÃO</v>
      </c>
      <c r="D325" s="315" t="str">
        <f>VLOOKUP($B325,[5]BOLETIM_SEL!$A:$H,4,0)</f>
        <v>Escavação mecânica para acerto de taludes em material de 1a categoria,com escavadeira hidráulica (REF. SINAPI. COD. 83336)</v>
      </c>
      <c r="E325" s="2">
        <f>+Orçamento_Não_Deson!E325</f>
        <v>0</v>
      </c>
      <c r="F325" s="2" t="str">
        <f>VLOOKUP($B325,[5]BOLETIM_SEL!$A:$H,6,0)</f>
        <v>M3</v>
      </c>
      <c r="G325" s="1407">
        <f>VLOOKUP($B325,[5]BOLETIM_SEL!$A:$H,7,0)</f>
        <v>5.58</v>
      </c>
      <c r="H325" s="1613">
        <f>+Orçamento_Não_Deson!H325</f>
        <v>0</v>
      </c>
      <c r="I325" s="877">
        <f t="shared" si="66"/>
        <v>7.07</v>
      </c>
      <c r="J325" s="1612">
        <f t="shared" si="67"/>
        <v>0</v>
      </c>
      <c r="K325" s="2078">
        <f t="shared" ca="1" si="68"/>
        <v>0</v>
      </c>
      <c r="L325" s="1574" t="e">
        <f t="shared" si="69"/>
        <v>#DIV/0!</v>
      </c>
      <c r="M325" s="1974"/>
      <c r="O325" s="833"/>
      <c r="P325" s="833"/>
      <c r="Q325" s="833"/>
      <c r="R325" s="833"/>
      <c r="S325" s="833"/>
      <c r="T325" s="833"/>
      <c r="U325" s="833"/>
      <c r="V325" s="833"/>
      <c r="W325" s="833"/>
      <c r="X325" s="833"/>
    </row>
    <row r="326" spans="1:24" s="813" customFormat="1" ht="39.950000000000003" hidden="1" customHeight="1" x14ac:dyDescent="0.15">
      <c r="A326" s="2081">
        <f ca="1">Orçamento_Não_Deson!A326</f>
        <v>5</v>
      </c>
      <c r="B326" s="834">
        <f>Orçamento_Não_Deson!B326</f>
        <v>100575</v>
      </c>
      <c r="C326" s="2" t="str">
        <f>VLOOKUP($B326,[5]BOLETIM_SEL!$A:$H,2,0)</f>
        <v>SINAPI</v>
      </c>
      <c r="D326" s="315" t="str">
        <f>VLOOKUP($B326,[5]BOLETIM_SEL!$A:$H,4,0)</f>
        <v>Regularização de superfícies com motoniveladora. AF_11/2019</v>
      </c>
      <c r="E326" s="2">
        <f>Orçamento_Não_Deson!E326</f>
        <v>0</v>
      </c>
      <c r="F326" s="2" t="str">
        <f>VLOOKUP($B326,[5]BOLETIM_SEL!$A:$H,6,0)</f>
        <v>M2</v>
      </c>
      <c r="G326" s="1407">
        <f>VLOOKUP($B326,[5]BOLETIM_SEL!$A:$H,7,0)</f>
        <v>0.11</v>
      </c>
      <c r="H326" s="1613">
        <f>Orçamento_Não_Deson!H326</f>
        <v>0</v>
      </c>
      <c r="I326" s="877">
        <f t="shared" si="66"/>
        <v>0.13</v>
      </c>
      <c r="J326" s="1612">
        <f t="shared" si="67"/>
        <v>0</v>
      </c>
      <c r="K326" s="2078">
        <f t="shared" ca="1" si="68"/>
        <v>0</v>
      </c>
      <c r="L326" s="1574" t="e">
        <f t="shared" si="69"/>
        <v>#DIV/0!</v>
      </c>
      <c r="M326" s="1974"/>
      <c r="O326" s="833"/>
      <c r="P326" s="833"/>
      <c r="Q326" s="833"/>
      <c r="R326" s="833"/>
      <c r="S326" s="833"/>
      <c r="T326" s="833"/>
      <c r="U326" s="833"/>
      <c r="V326" s="833"/>
      <c r="W326" s="833"/>
      <c r="X326" s="833"/>
    </row>
    <row r="327" spans="1:24" s="813" customFormat="1" ht="39.950000000000003" hidden="1" customHeight="1" x14ac:dyDescent="0.15">
      <c r="A327" s="2081">
        <f ca="1">+Orçamento_Não_Deson!A327</f>
        <v>5</v>
      </c>
      <c r="B327" s="834">
        <f>+Orçamento_Não_Deson!B327</f>
        <v>101617</v>
      </c>
      <c r="C327" s="2" t="str">
        <f>VLOOKUP($B327,[5]BOLETIM_SEL!$A:$H,2,0)</f>
        <v>SINAPI</v>
      </c>
      <c r="D327" s="315" t="str">
        <f>VLOOKUP($B327,[5]BOLETIM_SEL!$A:$H,4,0)</f>
        <v>Preparo de fundo de vala com largura maior ou igual a 1,50 m e menor que 2,50 m (acerto do solo natural). AF_08/2020</v>
      </c>
      <c r="E327" s="2">
        <f>+Orçamento_Não_Deson!E327</f>
        <v>0</v>
      </c>
      <c r="F327" s="2" t="str">
        <f>VLOOKUP($B327,[5]BOLETIM_SEL!$A:$H,6,0)</f>
        <v>M2</v>
      </c>
      <c r="G327" s="1407">
        <f>VLOOKUP($B327,[5]BOLETIM_SEL!$A:$H,7,0)</f>
        <v>2.4300000000000002</v>
      </c>
      <c r="H327" s="1613">
        <f>+Orçamento_Não_Deson!H327</f>
        <v>0</v>
      </c>
      <c r="I327" s="877">
        <f t="shared" si="66"/>
        <v>3.07</v>
      </c>
      <c r="J327" s="1612">
        <f t="shared" si="67"/>
        <v>0</v>
      </c>
      <c r="K327" s="2078">
        <f t="shared" ca="1" si="68"/>
        <v>0</v>
      </c>
      <c r="L327" s="1574" t="e">
        <f t="shared" si="69"/>
        <v>#DIV/0!</v>
      </c>
      <c r="M327" s="1974"/>
      <c r="O327" s="833"/>
      <c r="P327" s="833"/>
      <c r="Q327" s="833"/>
      <c r="R327" s="833"/>
      <c r="S327" s="833"/>
      <c r="T327" s="833"/>
      <c r="U327" s="833"/>
      <c r="V327" s="833"/>
      <c r="W327" s="833"/>
      <c r="X327" s="833"/>
    </row>
    <row r="328" spans="1:24" s="813" customFormat="1" ht="39.950000000000003" hidden="1" customHeight="1" x14ac:dyDescent="0.15">
      <c r="A328" s="2081">
        <f ca="1">+Orçamento_Não_Deson!A328</f>
        <v>5</v>
      </c>
      <c r="B328" s="834">
        <f>+Orçamento_Não_Deson!B328</f>
        <v>101624</v>
      </c>
      <c r="C328" s="2" t="str">
        <f>VLOOKUP($B328,[5]BOLETIM_SEL!$A:$H,2,0)</f>
        <v>SINAPI</v>
      </c>
      <c r="D328" s="315" t="str">
        <f>VLOOKUP($B328,[5]BOLETIM_SEL!$A:$H,4,0)</f>
        <v>Preparo de fundo de vala com largura maior ou igual a 1,50 m e menor que 2,50 m, com camada de brita, lançamento mecanizado. AF_08/2020</v>
      </c>
      <c r="E328" s="2">
        <f>+Orçamento_Não_Deson!E328</f>
        <v>0</v>
      </c>
      <c r="F328" s="2" t="str">
        <f>VLOOKUP($B328,[5]BOLETIM_SEL!$A:$H,6,0)</f>
        <v>M3</v>
      </c>
      <c r="G328" s="1407">
        <f>VLOOKUP($B328,[5]BOLETIM_SEL!$A:$H,7,0)</f>
        <v>183.87</v>
      </c>
      <c r="H328" s="1613">
        <f>+Orçamento_Não_Deson!H328</f>
        <v>0</v>
      </c>
      <c r="I328" s="877">
        <f t="shared" si="66"/>
        <v>233.03</v>
      </c>
      <c r="J328" s="1612">
        <f t="shared" si="67"/>
        <v>0</v>
      </c>
      <c r="K328" s="2078">
        <f t="shared" ca="1" si="68"/>
        <v>0</v>
      </c>
      <c r="L328" s="1574" t="e">
        <f t="shared" si="69"/>
        <v>#DIV/0!</v>
      </c>
      <c r="M328" s="1974"/>
      <c r="O328" s="833"/>
      <c r="P328" s="833"/>
      <c r="Q328" s="833"/>
      <c r="R328" s="833"/>
      <c r="S328" s="833"/>
      <c r="T328" s="833"/>
      <c r="U328" s="833"/>
      <c r="V328" s="833"/>
      <c r="W328" s="833"/>
      <c r="X328" s="833"/>
    </row>
    <row r="329" spans="1:24" s="813" customFormat="1" ht="39.950000000000003" hidden="1" customHeight="1" x14ac:dyDescent="0.15">
      <c r="A329" s="2081">
        <f ca="1">+Orçamento_Não_Deson!A329</f>
        <v>5</v>
      </c>
      <c r="B329" s="834" t="str">
        <f>+Orçamento_Não_Deson!B329</f>
        <v>DR/0032</v>
      </c>
      <c r="C329" s="2" t="str">
        <f>VLOOKUP($B329,[5]BOLETIM_SEL!$A:$H,2,0)</f>
        <v>COMPOSIÇÃO</v>
      </c>
      <c r="D329" s="315" t="str">
        <f>VLOOKUP($B329,[5]BOLETIM_SEL!$A:$H,4,0)</f>
        <v>Lastro ou enrocamento de pedra-de-mão ou rachão lançado, fornecimento e apiloamento. Exclusive transporte, ref SINAPI 73697, data 01/2020 e SINAPI 92744.</v>
      </c>
      <c r="E329" s="2">
        <f>+Orçamento_Não_Deson!E329</f>
        <v>0</v>
      </c>
      <c r="F329" s="2" t="str">
        <f>VLOOKUP($B329,[5]BOLETIM_SEL!$A:$H,6,0)</f>
        <v>M3</v>
      </c>
      <c r="G329" s="1407">
        <f>VLOOKUP($B329,[5]BOLETIM_SEL!$A:$H,7,0)</f>
        <v>237.76</v>
      </c>
      <c r="H329" s="1613">
        <f>+Orçamento_Não_Deson!H329</f>
        <v>0</v>
      </c>
      <c r="I329" s="877">
        <f t="shared" si="66"/>
        <v>301.33</v>
      </c>
      <c r="J329" s="1612">
        <f t="shared" si="67"/>
        <v>0</v>
      </c>
      <c r="K329" s="2078">
        <f t="shared" ca="1" si="68"/>
        <v>0</v>
      </c>
      <c r="L329" s="1574" t="e">
        <f t="shared" si="69"/>
        <v>#DIV/0!</v>
      </c>
      <c r="M329" s="1974"/>
      <c r="O329" s="833"/>
      <c r="P329" s="833"/>
      <c r="Q329" s="833"/>
      <c r="R329" s="833"/>
      <c r="S329" s="833"/>
      <c r="T329" s="833"/>
      <c r="U329" s="833"/>
      <c r="V329" s="833"/>
      <c r="W329" s="833"/>
      <c r="X329" s="833"/>
    </row>
    <row r="330" spans="1:24" s="813" customFormat="1" ht="39.950000000000003" hidden="1" customHeight="1" x14ac:dyDescent="0.15">
      <c r="A330" s="2081">
        <f ca="1">Orçamento_Não_Deson!A330</f>
        <v>5</v>
      </c>
      <c r="B330" s="834">
        <f>Orçamento_Não_Deson!B330</f>
        <v>93367</v>
      </c>
      <c r="C330" s="2" t="str">
        <f>VLOOKUP($B330,[5]BOLETIM_SEL!$A:$H,2,0)</f>
        <v>SINAPI</v>
      </c>
      <c r="D330" s="315" t="str">
        <f>VLOOKUP($B330,[5]BOLETIM_SEL!$A:$H,4,0)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330" s="2">
        <f>Orçamento_Não_Deson!E330</f>
        <v>0</v>
      </c>
      <c r="F330" s="2" t="str">
        <f>VLOOKUP($B330,[5]BOLETIM_SEL!$A:$H,6,0)</f>
        <v>M3</v>
      </c>
      <c r="G330" s="1407">
        <f>VLOOKUP($B330,[5]BOLETIM_SEL!$A:$H,7,0)</f>
        <v>18.899999999999999</v>
      </c>
      <c r="H330" s="1613">
        <f>Orçamento_Não_Deson!H330</f>
        <v>0</v>
      </c>
      <c r="I330" s="877">
        <f t="shared" si="66"/>
        <v>23.95</v>
      </c>
      <c r="J330" s="1612">
        <f t="shared" si="67"/>
        <v>0</v>
      </c>
      <c r="K330" s="2078">
        <f t="shared" ca="1" si="68"/>
        <v>0</v>
      </c>
      <c r="L330" s="1574" t="e">
        <f t="shared" si="69"/>
        <v>#DIV/0!</v>
      </c>
      <c r="M330" s="1974"/>
      <c r="O330" s="833"/>
      <c r="P330" s="833"/>
      <c r="Q330" s="833"/>
      <c r="R330" s="833"/>
      <c r="S330" s="833"/>
      <c r="T330" s="833"/>
      <c r="U330" s="833"/>
      <c r="V330" s="833"/>
      <c r="W330" s="833"/>
      <c r="X330" s="833"/>
    </row>
    <row r="331" spans="1:24" s="813" customFormat="1" ht="39.950000000000003" hidden="1" customHeight="1" x14ac:dyDescent="0.15">
      <c r="A331" s="2081">
        <f ca="1">+Orçamento_Não_Deson!A331</f>
        <v>5</v>
      </c>
      <c r="B331" s="834">
        <f>+Orçamento_Não_Deson!B331</f>
        <v>93369</v>
      </c>
      <c r="C331" s="2" t="str">
        <f>VLOOKUP($B331,[5]BOLETIM_SEL!$A:$H,2,0)</f>
        <v>SINAPI</v>
      </c>
      <c r="D331" s="315" t="str">
        <f>VLOOKUP($B331,[5]BOLETIM_SEL!$A:$H,4,0)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331" s="2">
        <f>+Orçamento_Não_Deson!E331</f>
        <v>0</v>
      </c>
      <c r="F331" s="2" t="str">
        <f>VLOOKUP($B331,[5]BOLETIM_SEL!$A:$H,6,0)</f>
        <v>M3</v>
      </c>
      <c r="G331" s="1407">
        <f>VLOOKUP($B331,[5]BOLETIM_SEL!$A:$H,7,0)</f>
        <v>10.95</v>
      </c>
      <c r="H331" s="1613">
        <f>+Orçamento_Não_Deson!H331</f>
        <v>0</v>
      </c>
      <c r="I331" s="877">
        <f t="shared" si="66"/>
        <v>13.87</v>
      </c>
      <c r="J331" s="1612">
        <f t="shared" si="67"/>
        <v>0</v>
      </c>
      <c r="K331" s="2078">
        <f t="shared" ca="1" si="68"/>
        <v>0</v>
      </c>
      <c r="L331" s="1574" t="e">
        <f t="shared" si="69"/>
        <v>#DIV/0!</v>
      </c>
      <c r="M331" s="1974"/>
      <c r="O331" s="833"/>
      <c r="P331" s="833"/>
      <c r="Q331" s="833"/>
      <c r="R331" s="833"/>
      <c r="S331" s="833"/>
      <c r="T331" s="833"/>
      <c r="U331" s="833"/>
      <c r="V331" s="833"/>
      <c r="W331" s="833"/>
      <c r="X331" s="833"/>
    </row>
    <row r="332" spans="1:24" s="813" customFormat="1" ht="39.950000000000003" hidden="1" customHeight="1" x14ac:dyDescent="0.15">
      <c r="A332" s="2081">
        <f ca="1">+Orçamento_Não_Deson!A332</f>
        <v>5</v>
      </c>
      <c r="B332" s="834">
        <f>+Orçamento_Não_Deson!B332</f>
        <v>93371</v>
      </c>
      <c r="C332" s="2" t="str">
        <f>VLOOKUP($B332,[5]BOLETIM_SEL!$A:$H,2,0)</f>
        <v>SINAPI</v>
      </c>
      <c r="D332" s="315" t="str">
        <f>VLOOKUP($B332,[5]BOLETIM_SEL!$A:$H,4,0)</f>
        <v>Reaterro mecanizado de vala com escavadeira hidráulica (capacidade da caçamba: 0,80 m3 / potência: 111 HP), largura de 1,50 a 2,50 m, profundidade de 3,00  a 4,50 m, com solo (sem substituição) de 1a categoria em locais com baixo nível de interferência. AF_04/2016</v>
      </c>
      <c r="E332" s="2">
        <f>+Orçamento_Não_Deson!E332</f>
        <v>0</v>
      </c>
      <c r="F332" s="2" t="str">
        <f>VLOOKUP($B332,[5]BOLETIM_SEL!$A:$H,6,0)</f>
        <v>M3</v>
      </c>
      <c r="G332" s="1407">
        <f>VLOOKUP($B332,[5]BOLETIM_SEL!$A:$H,7,0)</f>
        <v>9.2200000000000006</v>
      </c>
      <c r="H332" s="1613">
        <f>+Orçamento_Não_Deson!H332</f>
        <v>0</v>
      </c>
      <c r="I332" s="877">
        <f t="shared" si="66"/>
        <v>11.68</v>
      </c>
      <c r="J332" s="1612">
        <f t="shared" si="67"/>
        <v>0</v>
      </c>
      <c r="K332" s="2078">
        <f t="shared" ca="1" si="68"/>
        <v>0</v>
      </c>
      <c r="L332" s="1574" t="e">
        <f t="shared" si="69"/>
        <v>#DIV/0!</v>
      </c>
      <c r="M332" s="1974"/>
      <c r="O332" s="833"/>
      <c r="P332" s="833"/>
      <c r="Q332" s="833"/>
      <c r="R332" s="833"/>
      <c r="S332" s="833"/>
      <c r="T332" s="833"/>
      <c r="U332" s="833"/>
      <c r="V332" s="833"/>
      <c r="W332" s="833"/>
      <c r="X332" s="833"/>
    </row>
    <row r="333" spans="1:24" s="813" customFormat="1" ht="39.950000000000003" hidden="1" customHeight="1" x14ac:dyDescent="0.15">
      <c r="A333" s="2081">
        <f ca="1">+Orçamento_Não_Deson!A333</f>
        <v>5</v>
      </c>
      <c r="B333" s="834">
        <f>+Orçamento_Não_Deson!B333</f>
        <v>93373</v>
      </c>
      <c r="C333" s="2" t="str">
        <f>VLOOKUP($B333,[5]BOLETIM_SEL!$A:$H,2,0)</f>
        <v>SINAPI</v>
      </c>
      <c r="D333" s="315" t="str">
        <f>VLOOKUP($B333,[5]BOLETIM_SEL!$A:$H,4,0)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333" s="2">
        <f>+Orçamento_Não_Deson!E333</f>
        <v>0</v>
      </c>
      <c r="F333" s="2" t="str">
        <f>VLOOKUP($B333,[5]BOLETIM_SEL!$A:$H,6,0)</f>
        <v>M3</v>
      </c>
      <c r="G333" s="1407">
        <f>VLOOKUP($B333,[5]BOLETIM_SEL!$A:$H,7,0)</f>
        <v>8.3699999999999992</v>
      </c>
      <c r="H333" s="1613">
        <f>+Orçamento_Não_Deson!H333</f>
        <v>0</v>
      </c>
      <c r="I333" s="877">
        <f t="shared" si="66"/>
        <v>10.6</v>
      </c>
      <c r="J333" s="1612">
        <f t="shared" si="67"/>
        <v>0</v>
      </c>
      <c r="K333" s="2078">
        <f t="shared" ca="1" si="68"/>
        <v>0</v>
      </c>
      <c r="L333" s="1574" t="e">
        <f t="shared" si="69"/>
        <v>#DIV/0!</v>
      </c>
      <c r="M333" s="1974"/>
      <c r="O333" s="833"/>
      <c r="P333" s="833"/>
      <c r="Q333" s="833"/>
      <c r="R333" s="833"/>
      <c r="S333" s="833"/>
      <c r="T333" s="833"/>
      <c r="U333" s="833"/>
      <c r="V333" s="833"/>
      <c r="W333" s="833"/>
      <c r="X333" s="833"/>
    </row>
    <row r="334" spans="1:24" s="813" customFormat="1" ht="39.950000000000003" hidden="1" customHeight="1" x14ac:dyDescent="0.15">
      <c r="A334" s="2081">
        <f ca="1">+Orçamento_Não_Deson!A334</f>
        <v>5</v>
      </c>
      <c r="B334" s="834">
        <f>+Orçamento_Não_Deson!B334</f>
        <v>96385</v>
      </c>
      <c r="C334" s="2" t="str">
        <f>VLOOKUP($B334,[5]BOLETIM_SEL!$A:$H,2,0)</f>
        <v>SINAPI</v>
      </c>
      <c r="D334" s="315" t="str">
        <f>VLOOKUP($B334,[5]BOLETIM_SEL!$A:$H,4,0)</f>
        <v>Execução e compactação de aterro com solo predominantemente argiloso - exclusive solo, escavação, carga e transporte. AF_11/2019</v>
      </c>
      <c r="E334" s="2">
        <f>+Orçamento_Não_Deson!E334</f>
        <v>0</v>
      </c>
      <c r="F334" s="2" t="str">
        <f>VLOOKUP($B334,[5]BOLETIM_SEL!$A:$H,6,0)</f>
        <v>M3</v>
      </c>
      <c r="G334" s="1407">
        <f>VLOOKUP($B334,[5]BOLETIM_SEL!$A:$H,7,0)</f>
        <v>10.47</v>
      </c>
      <c r="H334" s="1613">
        <f>+Orçamento_Não_Deson!H334</f>
        <v>0</v>
      </c>
      <c r="I334" s="877">
        <f t="shared" si="66"/>
        <v>13.26</v>
      </c>
      <c r="J334" s="1612">
        <f t="shared" si="67"/>
        <v>0</v>
      </c>
      <c r="K334" s="2078">
        <f t="shared" ca="1" si="68"/>
        <v>0</v>
      </c>
      <c r="L334" s="1574" t="e">
        <f t="shared" si="69"/>
        <v>#DIV/0!</v>
      </c>
      <c r="M334" s="1975" t="str">
        <f>+Orçamento_Não_Deson!M334</f>
        <v>argiloso</v>
      </c>
      <c r="N334" s="833"/>
      <c r="O334" s="833"/>
      <c r="Q334" s="833"/>
      <c r="R334" s="833"/>
      <c r="S334" s="833"/>
      <c r="T334" s="833"/>
      <c r="U334" s="833"/>
      <c r="V334" s="833"/>
      <c r="W334" s="833"/>
      <c r="X334" s="833"/>
    </row>
    <row r="335" spans="1:24" s="813" customFormat="1" ht="39.950000000000003" hidden="1" customHeight="1" x14ac:dyDescent="0.15">
      <c r="A335" s="2081">
        <f ca="1">+Orçamento_Não_Deson!A335</f>
        <v>5</v>
      </c>
      <c r="B335" s="834">
        <f>+Orçamento_Não_Deson!B335</f>
        <v>101230</v>
      </c>
      <c r="C335" s="2" t="str">
        <f>VLOOKUP($B335,[5]BOLETIM_SEL!$A:$H,2,0)</f>
        <v>SINAPI</v>
      </c>
      <c r="D335" s="315" t="str">
        <f>VLOOKUP($B335,[5]BOLETIM_SEL!$A:$H,4,0)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335" s="2">
        <f>+Orçamento_Não_Deson!E335</f>
        <v>0</v>
      </c>
      <c r="F335" s="2" t="str">
        <f>VLOOKUP($B335,[5]BOLETIM_SEL!$A:$H,6,0)</f>
        <v>M3</v>
      </c>
      <c r="G335" s="1407">
        <f>VLOOKUP($B335,[5]BOLETIM_SEL!$A:$H,7,0)</f>
        <v>9.8699999999999992</v>
      </c>
      <c r="H335" s="1613">
        <f>+Orçamento_Não_Deson!H335</f>
        <v>0</v>
      </c>
      <c r="I335" s="877">
        <f t="shared" si="66"/>
        <v>12.5</v>
      </c>
      <c r="J335" s="1612">
        <f t="shared" si="67"/>
        <v>0</v>
      </c>
      <c r="K335" s="2078">
        <f t="shared" ca="1" si="68"/>
        <v>0</v>
      </c>
      <c r="L335" s="1574" t="e">
        <f t="shared" si="69"/>
        <v>#DIV/0!</v>
      </c>
      <c r="M335" s="1974"/>
      <c r="N335" s="833"/>
      <c r="O335" s="833"/>
      <c r="Q335" s="833"/>
      <c r="R335" s="833"/>
      <c r="S335" s="833"/>
      <c r="T335" s="833"/>
      <c r="U335" s="833"/>
      <c r="V335" s="833"/>
      <c r="W335" s="833"/>
      <c r="X335" s="833"/>
    </row>
    <row r="336" spans="1:24" s="813" customFormat="1" ht="39.950000000000003" hidden="1" customHeight="1" x14ac:dyDescent="0.15">
      <c r="A336" s="2081">
        <f ca="1">+Orçamento_Não_Deson!A336</f>
        <v>5</v>
      </c>
      <c r="B336" s="834">
        <f>+Orçamento_Não_Deson!B336</f>
        <v>6079</v>
      </c>
      <c r="C336" s="2" t="str">
        <f>VLOOKUP($B336,[5]BOLETIM_SEL!$A:$H,2,0)</f>
        <v>COTAÇÃO - SINAPI</v>
      </c>
      <c r="D336" s="315" t="str">
        <f>VLOOKUP($B336,[5]BOLETIM_SEL!$A:$H,4,0)</f>
        <v>Argila, argila vermelha ou argila arenosa (retirada na jazida, sem transporte)</v>
      </c>
      <c r="E336" s="2">
        <f>+Orçamento_Não_Deson!E336</f>
        <v>0</v>
      </c>
      <c r="F336" s="2" t="str">
        <f>VLOOKUP($B336,[5]BOLETIM_SEL!$A:$H,6,0)</f>
        <v xml:space="preserve">M3    </v>
      </c>
      <c r="G336" s="1407">
        <f>VLOOKUP($B336,[5]BOLETIM_SEL!$A:$H,7,0)</f>
        <v>33.700000000000003</v>
      </c>
      <c r="H336" s="1613">
        <f>+Orçamento_Não_Deson!H336</f>
        <v>0</v>
      </c>
      <c r="I336" s="877">
        <f t="shared" si="66"/>
        <v>42.71</v>
      </c>
      <c r="J336" s="1612">
        <f t="shared" si="67"/>
        <v>0</v>
      </c>
      <c r="K336" s="2078">
        <f t="shared" ca="1" si="68"/>
        <v>0</v>
      </c>
      <c r="L336" s="1574" t="e">
        <f t="shared" si="69"/>
        <v>#DIV/0!</v>
      </c>
      <c r="M336" s="1975" t="str">
        <f>+Orçamento_Não_Deson!M336</f>
        <v>LOCAL</v>
      </c>
      <c r="N336" s="833"/>
      <c r="O336" s="833"/>
      <c r="Q336" s="833"/>
      <c r="R336" s="833"/>
      <c r="S336" s="833"/>
      <c r="T336" s="833"/>
      <c r="U336" s="833"/>
      <c r="V336" s="833"/>
      <c r="W336" s="833"/>
      <c r="X336" s="833"/>
    </row>
    <row r="337" spans="1:24" s="813" customFormat="1" ht="39.950000000000003" hidden="1" customHeight="1" x14ac:dyDescent="0.15">
      <c r="A337" s="2081">
        <f ca="1">+Orçamento_Não_Deson!A337</f>
        <v>5</v>
      </c>
      <c r="B337" s="834">
        <f>+Orçamento_Não_Deson!B337</f>
        <v>100574</v>
      </c>
      <c r="C337" s="2" t="str">
        <f>VLOOKUP($B337,[5]BOLETIM_SEL!$A:$H,2,0)</f>
        <v>SINAPI</v>
      </c>
      <c r="D337" s="315" t="str">
        <f>VLOOKUP($B337,[5]BOLETIM_SEL!$A:$H,4,0)</f>
        <v>Espalhamento de material com trator de esteiras. AF_11/2019</v>
      </c>
      <c r="E337" s="2">
        <f>+Orçamento_Não_Deson!E337</f>
        <v>0</v>
      </c>
      <c r="F337" s="2" t="str">
        <f>VLOOKUP($B337,[5]BOLETIM_SEL!$A:$H,6,0)</f>
        <v>M3</v>
      </c>
      <c r="G337" s="1407">
        <f>VLOOKUP($B337,[5]BOLETIM_SEL!$A:$H,7,0)</f>
        <v>1.17</v>
      </c>
      <c r="H337" s="1613">
        <f>+Orçamento_Não_Deson!H337</f>
        <v>0</v>
      </c>
      <c r="I337" s="877">
        <f t="shared" si="66"/>
        <v>1.48</v>
      </c>
      <c r="J337" s="1612">
        <f t="shared" si="67"/>
        <v>0</v>
      </c>
      <c r="K337" s="2078">
        <f t="shared" ca="1" si="68"/>
        <v>0</v>
      </c>
      <c r="L337" s="1574" t="e">
        <f t="shared" si="69"/>
        <v>#DIV/0!</v>
      </c>
      <c r="M337" s="1974"/>
      <c r="O337" s="833"/>
      <c r="P337" s="833"/>
      <c r="Q337" s="833"/>
      <c r="R337" s="833"/>
      <c r="S337" s="833"/>
      <c r="T337" s="833"/>
      <c r="U337" s="833"/>
      <c r="V337" s="833"/>
      <c r="W337" s="833"/>
      <c r="X337" s="833"/>
    </row>
    <row r="338" spans="1:24" s="813" customFormat="1" ht="39.950000000000003" hidden="1" customHeight="1" x14ac:dyDescent="0.15">
      <c r="A338" s="2081">
        <f ca="1">+Orçamento_Não_Deson!A338</f>
        <v>5</v>
      </c>
      <c r="B338" s="834">
        <f>+Orçamento_Não_Deson!B338</f>
        <v>93358</v>
      </c>
      <c r="C338" s="2" t="str">
        <f>VLOOKUP($B338,[5]BOLETIM_SEL!$A:$H,2,0)</f>
        <v>SINAPI</v>
      </c>
      <c r="D338" s="315" t="str">
        <f>VLOOKUP($B338,[5]BOLETIM_SEL!$A:$H,4,0)</f>
        <v>Escavação manual de vala com profundidade menor ou igual a 1,30 m. AF_03/2016</v>
      </c>
      <c r="E338" s="2">
        <f>+Orçamento_Não_Deson!E338</f>
        <v>0</v>
      </c>
      <c r="F338" s="2" t="str">
        <f>VLOOKUP($B338,[5]BOLETIM_SEL!$A:$H,6,0)</f>
        <v>M3</v>
      </c>
      <c r="G338" s="1407">
        <f>VLOOKUP($B338,[5]BOLETIM_SEL!$A:$H,7,0)</f>
        <v>67.41</v>
      </c>
      <c r="H338" s="1613">
        <f>+Orçamento_Não_Deson!H338</f>
        <v>0</v>
      </c>
      <c r="I338" s="877">
        <f t="shared" si="66"/>
        <v>85.43</v>
      </c>
      <c r="J338" s="1612">
        <f t="shared" si="67"/>
        <v>0</v>
      </c>
      <c r="K338" s="2078">
        <f t="shared" ca="1" si="68"/>
        <v>0</v>
      </c>
      <c r="L338" s="1574" t="e">
        <f t="shared" si="69"/>
        <v>#DIV/0!</v>
      </c>
      <c r="M338" s="1974"/>
      <c r="O338" s="833"/>
      <c r="P338" s="833"/>
      <c r="Q338" s="833"/>
      <c r="R338" s="833"/>
      <c r="S338" s="833"/>
      <c r="T338" s="833"/>
      <c r="U338" s="833"/>
      <c r="V338" s="833"/>
      <c r="W338" s="833"/>
      <c r="X338" s="833"/>
    </row>
    <row r="339" spans="1:24" s="813" customFormat="1" ht="39.950000000000003" hidden="1" customHeight="1" x14ac:dyDescent="0.15">
      <c r="A339" s="2081">
        <f ca="1">+Orçamento_Não_Deson!A339</f>
        <v>5</v>
      </c>
      <c r="B339" s="834">
        <f>+Orçamento_Não_Deson!B339</f>
        <v>90105</v>
      </c>
      <c r="C339" s="2" t="str">
        <f>VLOOKUP($B339,[5]BOLETIM_SEL!$A:$H,2,0)</f>
        <v>SINAPI</v>
      </c>
      <c r="D339" s="315" t="str">
        <f>VLOOKUP($B339,[5]BOLETIM_SEL!$A:$H,4,0)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339" s="2">
        <f>+Orçamento_Não_Deson!E339</f>
        <v>0</v>
      </c>
      <c r="F339" s="2" t="str">
        <f>VLOOKUP($B339,[5]BOLETIM_SEL!$A:$H,6,0)</f>
        <v>M3</v>
      </c>
      <c r="G339" s="1407">
        <f>VLOOKUP($B339,[5]BOLETIM_SEL!$A:$H,7,0)</f>
        <v>7.61</v>
      </c>
      <c r="H339" s="1613">
        <f>+Orçamento_Não_Deson!H339</f>
        <v>0</v>
      </c>
      <c r="I339" s="877">
        <f t="shared" si="66"/>
        <v>9.64</v>
      </c>
      <c r="J339" s="1612">
        <f t="shared" si="67"/>
        <v>0</v>
      </c>
      <c r="K339" s="2078">
        <f t="shared" ca="1" si="68"/>
        <v>0</v>
      </c>
      <c r="L339" s="1574" t="e">
        <f t="shared" si="69"/>
        <v>#DIV/0!</v>
      </c>
      <c r="M339" s="1974"/>
      <c r="O339" s="833"/>
      <c r="P339" s="833"/>
      <c r="Q339" s="833"/>
      <c r="R339" s="833"/>
      <c r="S339" s="833"/>
      <c r="T339" s="833"/>
      <c r="U339" s="833"/>
      <c r="V339" s="833"/>
      <c r="W339" s="833"/>
      <c r="X339" s="833"/>
    </row>
    <row r="340" spans="1:24" s="813" customFormat="1" ht="39.950000000000003" hidden="1" customHeight="1" x14ac:dyDescent="0.15">
      <c r="A340" s="2081">
        <f ca="1">+Orçamento_Não_Deson!A340</f>
        <v>5</v>
      </c>
      <c r="B340" s="834">
        <f>+Orçamento_Não_Deson!B340</f>
        <v>102712</v>
      </c>
      <c r="C340" s="2" t="str">
        <f>VLOOKUP($B340,[5]BOLETIM_SEL!$A:$H,2,0)</f>
        <v>SINAPI</v>
      </c>
      <c r="D340" s="315" t="str">
        <f>VLOOKUP($B340,[5]BOLETIM_SEL!$A:$H,4,0)</f>
        <v>Geotêxtil não tecido 100% poliéster, resistência a tração de 9 kn/m (RT - 9), instalado em dreno - fornecimento e instalação. AF_07/2021</v>
      </c>
      <c r="E340" s="2">
        <f>+Orçamento_Não_Deson!E340</f>
        <v>0</v>
      </c>
      <c r="F340" s="2" t="str">
        <f>VLOOKUP($B340,[5]BOLETIM_SEL!$A:$H,6,0)</f>
        <v>M2</v>
      </c>
      <c r="G340" s="1407">
        <f>VLOOKUP($B340,[5]BOLETIM_SEL!$A:$H,7,0)</f>
        <v>13.9</v>
      </c>
      <c r="H340" s="1613">
        <f>+Orçamento_Não_Deson!H340</f>
        <v>0</v>
      </c>
      <c r="I340" s="877">
        <f t="shared" si="66"/>
        <v>17.61</v>
      </c>
      <c r="J340" s="1612">
        <f t="shared" si="67"/>
        <v>0</v>
      </c>
      <c r="K340" s="2078">
        <f t="shared" ca="1" si="68"/>
        <v>0</v>
      </c>
      <c r="L340" s="1574" t="e">
        <f t="shared" si="69"/>
        <v>#DIV/0!</v>
      </c>
      <c r="M340" s="1974"/>
      <c r="N340" s="833"/>
      <c r="O340" s="833"/>
      <c r="Q340" s="833"/>
      <c r="R340" s="833"/>
      <c r="S340" s="833"/>
      <c r="T340" s="833"/>
      <c r="U340" s="833"/>
      <c r="V340" s="833"/>
      <c r="W340" s="833"/>
      <c r="X340" s="833"/>
    </row>
    <row r="341" spans="1:24" s="813" customFormat="1" ht="39.950000000000003" hidden="1" customHeight="1" x14ac:dyDescent="0.15">
      <c r="A341" s="2081">
        <f ca="1">+Orçamento_Não_Deson!A341</f>
        <v>5</v>
      </c>
      <c r="B341" s="834" t="str">
        <f>+Orçamento_Não_Deson!B341</f>
        <v>LF/0007</v>
      </c>
      <c r="C341" s="2" t="str">
        <f>VLOOKUP($B341,[5]BOLETIM_SEL!$A:$H,2,0)</f>
        <v>COMPOSIÇÃO</v>
      </c>
      <c r="D341" s="315" t="str">
        <f>VLOOKUP($B341,[5]BOLETIM_SEL!$A:$H,4,0)</f>
        <v>Brita n. 2 para dreno, lançamento manual, em local com nível baixo de interferência. Fornecimento, exclusive transporte</v>
      </c>
      <c r="E341" s="2">
        <f>+Orçamento_Não_Deson!E341</f>
        <v>0</v>
      </c>
      <c r="F341" s="2" t="str">
        <f>VLOOKUP($B341,[5]BOLETIM_SEL!$A:$H,6,0)</f>
        <v>M3</v>
      </c>
      <c r="G341" s="1407">
        <f>VLOOKUP($B341,[5]BOLETIM_SEL!$A:$H,7,0)</f>
        <v>172.32</v>
      </c>
      <c r="H341" s="1613">
        <f>+Orçamento_Não_Deson!H341</f>
        <v>0</v>
      </c>
      <c r="I341" s="877">
        <f t="shared" si="66"/>
        <v>218.39</v>
      </c>
      <c r="J341" s="1612">
        <f t="shared" si="67"/>
        <v>0</v>
      </c>
      <c r="K341" s="2078">
        <f t="shared" ca="1" si="68"/>
        <v>0</v>
      </c>
      <c r="L341" s="1574" t="e">
        <f t="shared" si="69"/>
        <v>#DIV/0!</v>
      </c>
      <c r="M341" s="1974"/>
      <c r="N341" s="833"/>
      <c r="O341" s="833"/>
      <c r="Q341" s="833"/>
      <c r="R341" s="833"/>
      <c r="S341" s="833"/>
      <c r="T341" s="833"/>
      <c r="U341" s="833"/>
      <c r="V341" s="833"/>
      <c r="W341" s="833"/>
      <c r="X341" s="833"/>
    </row>
    <row r="342" spans="1:24" s="813" customFormat="1" ht="39.950000000000003" hidden="1" customHeight="1" x14ac:dyDescent="0.15">
      <c r="A342" s="2081">
        <f ca="1">+Orçamento_Não_Deson!A342</f>
        <v>5</v>
      </c>
      <c r="B342" s="834" t="str">
        <f>+Orçamento_Não_Deson!B342</f>
        <v>LF/0040</v>
      </c>
      <c r="C342" s="2" t="str">
        <f>VLOOKUP($B342,[5]BOLETIM_SEL!$A:$H,2,0)</f>
        <v>COMPOSIÇÃO</v>
      </c>
      <c r="D342" s="315" t="str">
        <f>VLOOKUP($B342,[5]BOLETIM_SEL!$A:$H,4,0)</f>
        <v>Tubo dreno, corrugado, espiralado, flexível, perfurado, em polietileno de alta densidade (PEAD), DN 100 mm para drenagem – fornecimento e assentamento em vala</v>
      </c>
      <c r="E342" s="2">
        <f>+Orçamento_Não_Deson!E342</f>
        <v>0</v>
      </c>
      <c r="F342" s="2" t="str">
        <f>VLOOKUP($B342,[5]BOLETIM_SEL!$A:$H,6,0)</f>
        <v>M</v>
      </c>
      <c r="G342" s="1407">
        <f>VLOOKUP($B342,[5]BOLETIM_SEL!$A:$H,7,0)</f>
        <v>29.96</v>
      </c>
      <c r="H342" s="1613">
        <f>+Orçamento_Não_Deson!H342</f>
        <v>0</v>
      </c>
      <c r="I342" s="877">
        <f t="shared" si="66"/>
        <v>37.97</v>
      </c>
      <c r="J342" s="1612">
        <f t="shared" si="67"/>
        <v>0</v>
      </c>
      <c r="K342" s="2078">
        <f t="shared" ca="1" si="68"/>
        <v>0</v>
      </c>
      <c r="L342" s="1574" t="e">
        <f t="shared" si="69"/>
        <v>#DIV/0!</v>
      </c>
      <c r="M342" s="1974"/>
      <c r="N342" s="1970"/>
      <c r="O342" s="1652"/>
      <c r="Q342" s="833"/>
      <c r="R342" s="833"/>
      <c r="S342" s="833"/>
      <c r="T342" s="833"/>
      <c r="U342" s="833"/>
      <c r="V342" s="833"/>
      <c r="W342" s="833"/>
      <c r="X342" s="833"/>
    </row>
    <row r="343" spans="1:24" s="813" customFormat="1" ht="39.950000000000003" hidden="1" customHeight="1" x14ac:dyDescent="0.15">
      <c r="A343" s="2081">
        <f ca="1">+Orçamento_Não_Deson!A343</f>
        <v>5</v>
      </c>
      <c r="B343" s="834" t="str">
        <f>+Orçamento_Não_Deson!B343</f>
        <v>DR/0296</v>
      </c>
      <c r="C343" s="2" t="str">
        <f>VLOOKUP($B343,[5]BOLETIM_SEL!$A:$H,2,0)</f>
        <v>COMPOSIÇÃO</v>
      </c>
      <c r="D343" s="315" t="str">
        <f>VLOOKUP($B343,[5]BOLETIM_SEL!$A:$H,4,0)</f>
        <v>Meia cana em concreto simples, D = 0,60m (174kg/m), PB, Classe P-1, fornecimento, assentamento e rejuntamento, ref SINAPI 73882/005, data: 01/2020</v>
      </c>
      <c r="E343" s="2">
        <f>+Orçamento_Não_Deson!E343</f>
        <v>0</v>
      </c>
      <c r="F343" s="2" t="str">
        <f>VLOOKUP($B343,[5]BOLETIM_SEL!$A:$H,6,0)</f>
        <v>M</v>
      </c>
      <c r="G343" s="1407">
        <f>VLOOKUP($B343,[5]BOLETIM_SEL!$A:$H,7,0)</f>
        <v>119.6</v>
      </c>
      <c r="H343" s="1613">
        <f>+Orçamento_Não_Deson!H343</f>
        <v>0</v>
      </c>
      <c r="I343" s="877">
        <f t="shared" ref="I343:I344" si="71">TRUNC(G343*(1+$J$5),2)</f>
        <v>151.58000000000001</v>
      </c>
      <c r="J343" s="1612">
        <f t="shared" ref="J343:J344" si="72">TRUNC(H343*I343,2)</f>
        <v>0</v>
      </c>
      <c r="K343" s="2078">
        <f t="shared" ca="1" si="68"/>
        <v>0</v>
      </c>
      <c r="L343" s="1574" t="e">
        <f t="shared" ref="L343:L344" si="73">J343/$J$314</f>
        <v>#DIV/0!</v>
      </c>
      <c r="M343" s="1974"/>
      <c r="N343" s="1970"/>
      <c r="O343" s="1652"/>
      <c r="Q343" s="833"/>
      <c r="R343" s="833"/>
      <c r="S343" s="833"/>
      <c r="T343" s="833"/>
      <c r="U343" s="833"/>
      <c r="V343" s="833"/>
      <c r="W343" s="833"/>
      <c r="X343" s="833"/>
    </row>
    <row r="344" spans="1:24" s="813" customFormat="1" ht="39.950000000000003" hidden="1" customHeight="1" x14ac:dyDescent="0.15">
      <c r="A344" s="2081">
        <f ca="1">+Orçamento_Não_Deson!A344</f>
        <v>5</v>
      </c>
      <c r="B344" s="834" t="str">
        <f>+Orçamento_Não_Deson!B344</f>
        <v>DR/0300</v>
      </c>
      <c r="C344" s="2" t="str">
        <f>VLOOKUP($B344,[5]BOLETIM_SEL!$A:$H,2,0)</f>
        <v>COMPOSIÇÃO</v>
      </c>
      <c r="D344" s="315" t="str">
        <f>VLOOKUP($B344,[5]BOLETIM_SEL!$A:$H,4,0)</f>
        <v>Valeta de concreto com concreto moldado in loco, acabamento convencional, armado, com seção trapezoidal 1,00m x 0,30m (b x h), espessura 6cm, com junta seca de dilatação a cada 3m</v>
      </c>
      <c r="E344" s="2">
        <f>+Orçamento_Não_Deson!E344</f>
        <v>0</v>
      </c>
      <c r="F344" s="2" t="str">
        <f>VLOOKUP($B344,[5]BOLETIM_SEL!$A:$H,6,0)</f>
        <v>M</v>
      </c>
      <c r="G344" s="1407">
        <f>VLOOKUP($B344,[5]BOLETIM_SEL!$A:$H,7,0)</f>
        <v>123.31</v>
      </c>
      <c r="H344" s="1613">
        <f>+Orçamento_Não_Deson!H344</f>
        <v>0</v>
      </c>
      <c r="I344" s="877">
        <f t="shared" si="71"/>
        <v>156.28</v>
      </c>
      <c r="J344" s="1612">
        <f t="shared" si="72"/>
        <v>0</v>
      </c>
      <c r="K344" s="2078">
        <f t="shared" ca="1" si="68"/>
        <v>0</v>
      </c>
      <c r="L344" s="1574" t="e">
        <f t="shared" si="73"/>
        <v>#DIV/0!</v>
      </c>
      <c r="M344" s="1974"/>
      <c r="N344" s="1970"/>
      <c r="O344" s="1652"/>
      <c r="Q344" s="833"/>
      <c r="R344" s="833"/>
      <c r="S344" s="833"/>
      <c r="T344" s="833"/>
      <c r="U344" s="833"/>
      <c r="V344" s="833"/>
      <c r="W344" s="833"/>
      <c r="X344" s="833"/>
    </row>
    <row r="345" spans="1:24" s="813" customFormat="1" ht="39.950000000000003" hidden="1" customHeight="1" x14ac:dyDescent="0.15">
      <c r="A345" s="2081"/>
      <c r="B345" s="834"/>
      <c r="C345" s="2"/>
      <c r="D345" s="1452" t="s">
        <v>2112</v>
      </c>
      <c r="E345" s="2"/>
      <c r="F345" s="2"/>
      <c r="G345" s="1821"/>
      <c r="H345" s="2"/>
      <c r="I345" s="2"/>
      <c r="J345" s="839" t="str">
        <f>IF(J346=0,"-","")</f>
        <v>-</v>
      </c>
      <c r="K345" s="2078"/>
      <c r="L345" s="1574"/>
      <c r="M345" s="1974"/>
      <c r="N345" s="833"/>
      <c r="O345" s="833"/>
      <c r="Q345" s="833"/>
      <c r="R345" s="833"/>
      <c r="S345" s="833"/>
      <c r="T345" s="833"/>
      <c r="U345" s="833"/>
      <c r="V345" s="833"/>
      <c r="W345" s="833"/>
      <c r="X345" s="833"/>
    </row>
    <row r="346" spans="1:24" s="813" customFormat="1" ht="39.950000000000003" hidden="1" customHeight="1" x14ac:dyDescent="0.15">
      <c r="A346" s="2081">
        <f ca="1">+Orçamento_Não_Deson!A346</f>
        <v>5</v>
      </c>
      <c r="B346" s="834">
        <f>+Orçamento_Não_Deson!B346</f>
        <v>94962</v>
      </c>
      <c r="C346" s="2" t="str">
        <f>VLOOKUP($B346,[5]BOLETIM_SEL!$A:$H,2,0)</f>
        <v>SINAPI</v>
      </c>
      <c r="D346" s="315" t="str">
        <f>VLOOKUP($B346,[5]BOLETIM_SEL!$A:$H,4,0)</f>
        <v>Concreto magro para lastro, traço 1:4,5:4,5 (cimento/ areia média/ brita 1) - preparo mecânico com betoneira 400 l. AF_07/2016</v>
      </c>
      <c r="E346" s="2">
        <f>+Orçamento_Não_Deson!E346</f>
        <v>0</v>
      </c>
      <c r="F346" s="2" t="str">
        <f>VLOOKUP($B346,[5]BOLETIM_SEL!$A:$H,6,0)</f>
        <v>M3</v>
      </c>
      <c r="G346" s="1407">
        <f>VLOOKUP($B346,[5]BOLETIM_SEL!$A:$H,7,0)</f>
        <v>372.79</v>
      </c>
      <c r="H346" s="1613">
        <f>+Orçamento_Não_Deson!H346</f>
        <v>0</v>
      </c>
      <c r="I346" s="877">
        <f t="shared" ref="I346:I385" si="74">TRUNC(G346*(1+$J$5),2)</f>
        <v>472.47</v>
      </c>
      <c r="J346" s="1612">
        <f t="shared" ref="J346:J385" si="75">TRUNC(H346*I346,2)</f>
        <v>0</v>
      </c>
      <c r="K346" s="2078">
        <f t="shared" ref="K346:K385" ca="1" si="76">J346/J$967</f>
        <v>0</v>
      </c>
      <c r="L346" s="1574" t="e">
        <f t="shared" ref="L346:L385" si="77">J346/$J$314</f>
        <v>#DIV/0!</v>
      </c>
      <c r="M346" s="1974"/>
      <c r="N346" s="833"/>
      <c r="O346" s="833"/>
      <c r="Q346" s="833"/>
      <c r="R346" s="833"/>
      <c r="S346" s="833"/>
      <c r="T346" s="833"/>
      <c r="U346" s="833"/>
      <c r="V346" s="833"/>
      <c r="W346" s="833"/>
      <c r="X346" s="833"/>
    </row>
    <row r="347" spans="1:24" s="813" customFormat="1" ht="39.950000000000003" hidden="1" customHeight="1" x14ac:dyDescent="0.15">
      <c r="A347" s="2081">
        <f ca="1">+Orçamento_Não_Deson!A347</f>
        <v>5</v>
      </c>
      <c r="B347" s="834">
        <f>+Orçamento_Não_Deson!B347</f>
        <v>94964</v>
      </c>
      <c r="C347" s="2" t="str">
        <f>VLOOKUP($B347,[5]BOLETIM_SEL!$A:$H,2,0)</f>
        <v>SINAPI</v>
      </c>
      <c r="D347" s="315" t="str">
        <f>VLOOKUP($B347,[5]BOLETIM_SEL!$A:$H,4,0)</f>
        <v>Concreto FCK = 20 MPA, traço 1:2,7:3 (cimento/ areia média/ brita 1) - preparo mecânico com betoneira 400 l. AF_07/2016</v>
      </c>
      <c r="E347" s="2">
        <f>+Orçamento_Não_Deson!E347</f>
        <v>0</v>
      </c>
      <c r="F347" s="2" t="str">
        <f>VLOOKUP($B347,[5]BOLETIM_SEL!$A:$H,6,0)</f>
        <v>M3</v>
      </c>
      <c r="G347" s="1407">
        <f>VLOOKUP($B347,[5]BOLETIM_SEL!$A:$H,7,0)</f>
        <v>462.95</v>
      </c>
      <c r="H347" s="1613">
        <f>+Orçamento_Não_Deson!H347</f>
        <v>0</v>
      </c>
      <c r="I347" s="877">
        <f t="shared" si="74"/>
        <v>586.74</v>
      </c>
      <c r="J347" s="1612">
        <f t="shared" si="75"/>
        <v>0</v>
      </c>
      <c r="K347" s="2078">
        <f t="shared" ca="1" si="76"/>
        <v>0</v>
      </c>
      <c r="L347" s="1574" t="e">
        <f t="shared" si="77"/>
        <v>#DIV/0!</v>
      </c>
      <c r="M347" s="1975" t="str">
        <f>+Orçamento_Não_Deson!M347</f>
        <v>betoneira</v>
      </c>
      <c r="N347" s="833"/>
      <c r="O347" s="833"/>
      <c r="Q347" s="833"/>
      <c r="R347" s="833"/>
      <c r="S347" s="833"/>
      <c r="T347" s="833"/>
      <c r="U347" s="833"/>
      <c r="V347" s="833"/>
      <c r="W347" s="833"/>
      <c r="X347" s="833"/>
    </row>
    <row r="348" spans="1:24" s="813" customFormat="1" ht="39.950000000000003" hidden="1" customHeight="1" x14ac:dyDescent="0.15">
      <c r="A348" s="2081">
        <f ca="1">+Orçamento_Não_Deson!A348</f>
        <v>5</v>
      </c>
      <c r="B348" s="834">
        <f>+Orçamento_Não_Deson!B348</f>
        <v>94965</v>
      </c>
      <c r="C348" s="2" t="str">
        <f>VLOOKUP($B348,[5]BOLETIM_SEL!$A:$H,2,0)</f>
        <v>SINAPI</v>
      </c>
      <c r="D348" s="315" t="str">
        <f>VLOOKUP($B348,[5]BOLETIM_SEL!$A:$H,4,0)</f>
        <v>Concreto FCK = 25 MPA, traço 1:2,3:2,7 (cimento/ areia média/ brita 1) - preparo mecânico com betoneira 400 l. AF_07/2016</v>
      </c>
      <c r="E348" s="2">
        <f>+Orçamento_Não_Deson!E348</f>
        <v>0</v>
      </c>
      <c r="F348" s="2" t="str">
        <f>VLOOKUP($B348,[5]BOLETIM_SEL!$A:$H,6,0)</f>
        <v>M3</v>
      </c>
      <c r="G348" s="1407">
        <f>VLOOKUP($B348,[5]BOLETIM_SEL!$A:$H,7,0)</f>
        <v>486.04</v>
      </c>
      <c r="H348" s="1613">
        <f>+Orçamento_Não_Deson!H348</f>
        <v>0</v>
      </c>
      <c r="I348" s="877">
        <f t="shared" si="74"/>
        <v>616</v>
      </c>
      <c r="J348" s="1612">
        <f t="shared" si="75"/>
        <v>0</v>
      </c>
      <c r="K348" s="2078">
        <f t="shared" ca="1" si="76"/>
        <v>0</v>
      </c>
      <c r="L348" s="1574" t="e">
        <f t="shared" si="77"/>
        <v>#DIV/0!</v>
      </c>
      <c r="M348" s="1975" t="str">
        <f>+Orçamento_Não_Deson!M348</f>
        <v>USINADO</v>
      </c>
      <c r="N348" s="833"/>
      <c r="O348" s="833"/>
      <c r="Q348" s="833"/>
      <c r="R348" s="833"/>
      <c r="S348" s="833"/>
      <c r="T348" s="833"/>
      <c r="U348" s="833"/>
      <c r="V348" s="833"/>
      <c r="W348" s="833"/>
      <c r="X348" s="833"/>
    </row>
    <row r="349" spans="1:24" s="813" customFormat="1" ht="39.950000000000003" hidden="1" customHeight="1" x14ac:dyDescent="0.15">
      <c r="A349" s="2081">
        <f ca="1">+Orçamento_Não_Deson!A349</f>
        <v>5</v>
      </c>
      <c r="B349" s="834">
        <f>+Orçamento_Não_Deson!B349</f>
        <v>94966</v>
      </c>
      <c r="C349" s="2" t="str">
        <f>VLOOKUP($B349,[5]BOLETIM_SEL!$A:$H,2,0)</f>
        <v>SINAPI</v>
      </c>
      <c r="D349" s="315" t="str">
        <f>VLOOKUP($B349,[5]BOLETIM_SEL!$A:$H,4,0)</f>
        <v>Concreto FCK = 30 MPA, traço 1:2,1:2,5 (cimento/ areia média/ brita 1) - preparo mecânico com betoneira 400 l. AF_07/2016</v>
      </c>
      <c r="E349" s="2">
        <f>+Orçamento_Não_Deson!E349</f>
        <v>0</v>
      </c>
      <c r="F349" s="2" t="str">
        <f>VLOOKUP($B349,[5]BOLETIM_SEL!$A:$H,6,0)</f>
        <v>M3</v>
      </c>
      <c r="G349" s="1407">
        <f>VLOOKUP($B349,[5]BOLETIM_SEL!$A:$H,7,0)</f>
        <v>504.93</v>
      </c>
      <c r="H349" s="1613">
        <f>+Orçamento_Não_Deson!H349</f>
        <v>0</v>
      </c>
      <c r="I349" s="877">
        <f t="shared" si="74"/>
        <v>639.94000000000005</v>
      </c>
      <c r="J349" s="1612">
        <f t="shared" si="75"/>
        <v>0</v>
      </c>
      <c r="K349" s="2078">
        <f t="shared" ca="1" si="76"/>
        <v>0</v>
      </c>
      <c r="L349" s="1574" t="e">
        <f t="shared" si="77"/>
        <v>#DIV/0!</v>
      </c>
      <c r="M349" s="1975" t="str">
        <f>+Orçamento_Não_Deson!M349</f>
        <v>USINADO</v>
      </c>
      <c r="N349" s="833"/>
      <c r="O349" s="833"/>
      <c r="Q349" s="833"/>
      <c r="R349" s="833"/>
      <c r="S349" s="833"/>
      <c r="T349" s="833"/>
      <c r="U349" s="833"/>
      <c r="V349" s="833"/>
      <c r="W349" s="833"/>
      <c r="X349" s="833"/>
    </row>
    <row r="350" spans="1:24" s="813" customFormat="1" ht="39.950000000000003" hidden="1" customHeight="1" x14ac:dyDescent="0.15">
      <c r="A350" s="2081">
        <f ca="1">+Orçamento_Não_Deson!A350</f>
        <v>5</v>
      </c>
      <c r="B350" s="834">
        <f>+Orçamento_Não_Deson!B350</f>
        <v>34495</v>
      </c>
      <c r="C350" s="2" t="str">
        <f>VLOOKUP($B350,[5]BOLETIM_SEL!$A:$H,2,0)</f>
        <v>SINAPI</v>
      </c>
      <c r="D350" s="315" t="str">
        <f>VLOOKUP($B350,[5]BOLETIM_SEL!$A:$H,4,0)</f>
        <v>Concreto usinado bombeável, classe de resistência C35, com brita 0,00 e 1, slump = 100 +/- 20 mm, exclui serviço de bombeamento (NBR 8953)</v>
      </c>
      <c r="E350" s="2">
        <f>+Orçamento_Não_Deson!E350</f>
        <v>0</v>
      </c>
      <c r="F350" s="2" t="str">
        <f>VLOOKUP($B350,[5]BOLETIM_SEL!$A:$H,6,0)</f>
        <v xml:space="preserve">M3    </v>
      </c>
      <c r="G350" s="1407">
        <f>VLOOKUP($B350,[5]BOLETIM_SEL!$A:$H,7,0)</f>
        <v>597.71</v>
      </c>
      <c r="H350" s="1613">
        <f>+Orçamento_Não_Deson!H350</f>
        <v>0</v>
      </c>
      <c r="I350" s="877">
        <f t="shared" si="74"/>
        <v>757.53</v>
      </c>
      <c r="J350" s="1612">
        <f t="shared" si="75"/>
        <v>0</v>
      </c>
      <c r="K350" s="2078">
        <f t="shared" ca="1" si="76"/>
        <v>0</v>
      </c>
      <c r="L350" s="1574" t="e">
        <f t="shared" si="77"/>
        <v>#DIV/0!</v>
      </c>
      <c r="M350" s="1974"/>
      <c r="N350" s="833"/>
      <c r="O350" s="833"/>
      <c r="Q350" s="833"/>
      <c r="R350" s="833"/>
      <c r="S350" s="833"/>
      <c r="T350" s="833"/>
      <c r="U350" s="833"/>
      <c r="V350" s="833"/>
      <c r="W350" s="833"/>
      <c r="X350" s="833"/>
    </row>
    <row r="351" spans="1:24" s="813" customFormat="1" ht="39.950000000000003" hidden="1" customHeight="1" x14ac:dyDescent="0.15">
      <c r="A351" s="2081">
        <f ca="1">+Orçamento_Não_Deson!A351</f>
        <v>5</v>
      </c>
      <c r="B351" s="834">
        <f>+Orçamento_Não_Deson!B351</f>
        <v>103670</v>
      </c>
      <c r="C351" s="2" t="str">
        <f>VLOOKUP($B351,[5]BOLETIM_SEL!$A:$H,2,0)</f>
        <v>SINAPI</v>
      </c>
      <c r="D351" s="315" t="str">
        <f>VLOOKUP($B351,[5]BOLETIM_SEL!$A:$H,4,0)</f>
        <v>Lançamento com uso de baldes, adensamento e acabamento de concreto em estruturas. AF_12/2015</v>
      </c>
      <c r="E351" s="2">
        <f>+Orçamento_Não_Deson!E351</f>
        <v>0</v>
      </c>
      <c r="F351" s="2" t="str">
        <f>VLOOKUP($B351,[5]BOLETIM_SEL!$A:$H,6,0)</f>
        <v>M3</v>
      </c>
      <c r="G351" s="1407">
        <f>VLOOKUP($B351,[5]BOLETIM_SEL!$A:$H,7,0)</f>
        <v>231.03</v>
      </c>
      <c r="H351" s="1613">
        <f>+Orçamento_Não_Deson!H351</f>
        <v>0</v>
      </c>
      <c r="I351" s="877">
        <f t="shared" ref="I351:I352" si="78">TRUNC(G351*(1+$J$5),2)</f>
        <v>292.8</v>
      </c>
      <c r="J351" s="1612">
        <f t="shared" ref="J351:J352" si="79">TRUNC(H351*I351,2)</f>
        <v>0</v>
      </c>
      <c r="K351" s="2078">
        <f t="shared" ca="1" si="76"/>
        <v>0</v>
      </c>
      <c r="L351" s="1574" t="e">
        <f t="shared" ref="L351:L352" si="80">J351/$J$314</f>
        <v>#DIV/0!</v>
      </c>
      <c r="M351" s="1974"/>
      <c r="N351" s="833"/>
      <c r="O351" s="833"/>
      <c r="Q351" s="833"/>
      <c r="R351" s="833"/>
      <c r="S351" s="833"/>
      <c r="T351" s="833"/>
      <c r="U351" s="833"/>
      <c r="V351" s="833"/>
      <c r="W351" s="833"/>
      <c r="X351" s="833"/>
    </row>
    <row r="352" spans="1:24" s="813" customFormat="1" ht="39.950000000000003" hidden="1" customHeight="1" x14ac:dyDescent="0.15">
      <c r="A352" s="2081">
        <f ca="1">+Orçamento_Não_Deson!A352</f>
        <v>5</v>
      </c>
      <c r="B352" s="834">
        <f>+Orçamento_Não_Deson!B352</f>
        <v>103673</v>
      </c>
      <c r="C352" s="2" t="str">
        <f>VLOOKUP($B352,[5]BOLETIM_SEL!$A:$H,2,0)</f>
        <v>SINAPI</v>
      </c>
      <c r="D352" s="315" t="str">
        <f>VLOOKUP($B352,[5]BOLETIM_SEL!$A:$H,4,0)</f>
        <v>Lançamento com uso de bomba, adensamento e acabamento de concreto em estruturas. AF_12/2015</v>
      </c>
      <c r="E352" s="2">
        <f>+Orçamento_Não_Deson!E352</f>
        <v>0</v>
      </c>
      <c r="F352" s="2" t="str">
        <f>VLOOKUP($B352,[5]BOLETIM_SEL!$A:$H,6,0)</f>
        <v>M3</v>
      </c>
      <c r="G352" s="1407">
        <f>VLOOKUP($B352,[5]BOLETIM_SEL!$A:$H,7,0)</f>
        <v>32.49</v>
      </c>
      <c r="H352" s="1613">
        <f>+Orçamento_Não_Deson!H352</f>
        <v>0</v>
      </c>
      <c r="I352" s="877">
        <f t="shared" si="78"/>
        <v>41.17</v>
      </c>
      <c r="J352" s="1612">
        <f t="shared" si="79"/>
        <v>0</v>
      </c>
      <c r="K352" s="2078">
        <f t="shared" ca="1" si="76"/>
        <v>0</v>
      </c>
      <c r="L352" s="1574" t="e">
        <f t="shared" si="80"/>
        <v>#DIV/0!</v>
      </c>
      <c r="M352" s="1974"/>
      <c r="N352" s="833"/>
      <c r="O352" s="833"/>
      <c r="Q352" s="833"/>
      <c r="R352" s="833"/>
      <c r="S352" s="833"/>
      <c r="T352" s="833"/>
      <c r="U352" s="833"/>
      <c r="V352" s="833"/>
      <c r="W352" s="833"/>
      <c r="X352" s="833"/>
    </row>
    <row r="353" spans="1:24" s="813" customFormat="1" ht="39.950000000000003" hidden="1" customHeight="1" x14ac:dyDescent="0.15">
      <c r="A353" s="2081">
        <f ca="1">+Orçamento_Não_Deson!A353</f>
        <v>5</v>
      </c>
      <c r="B353" s="834">
        <f>+Orçamento_Não_Deson!B353</f>
        <v>102487</v>
      </c>
      <c r="C353" s="2" t="str">
        <f>VLOOKUP($B353,[5]BOLETIM_SEL!$A:$H,2,0)</f>
        <v>SINAPI</v>
      </c>
      <c r="D353" s="315" t="str">
        <f>VLOOKUP($B353,[5]BOLETIM_SEL!$A:$H,4,0)</f>
        <v>Concreto ciclópico FCK = 15 MPA, 30% pedra de mão em volume real, inclusive lançamento</v>
      </c>
      <c r="E353" s="2">
        <f>+Orçamento_Não_Deson!E353</f>
        <v>0</v>
      </c>
      <c r="F353" s="2" t="str">
        <f>VLOOKUP($B353,[5]BOLETIM_SEL!$A:$H,6,0)</f>
        <v>M3</v>
      </c>
      <c r="G353" s="1407">
        <f>VLOOKUP($B353,[5]BOLETIM_SEL!$A:$H,7,0)</f>
        <v>525.52</v>
      </c>
      <c r="H353" s="1613">
        <f>+Orçamento_Não_Deson!H353</f>
        <v>0</v>
      </c>
      <c r="I353" s="877">
        <f t="shared" si="74"/>
        <v>666.04</v>
      </c>
      <c r="J353" s="1612">
        <f t="shared" si="75"/>
        <v>0</v>
      </c>
      <c r="K353" s="2078">
        <f t="shared" ca="1" si="76"/>
        <v>0</v>
      </c>
      <c r="L353" s="1574" t="e">
        <f t="shared" si="77"/>
        <v>#DIV/0!</v>
      </c>
      <c r="M353" s="1974"/>
      <c r="N353" s="833"/>
      <c r="O353" s="833"/>
      <c r="Q353" s="833"/>
      <c r="R353" s="833"/>
      <c r="S353" s="833"/>
      <c r="T353" s="833"/>
      <c r="U353" s="833"/>
      <c r="V353" s="833"/>
      <c r="W353" s="833"/>
      <c r="X353" s="833"/>
    </row>
    <row r="354" spans="1:24" s="813" customFormat="1" ht="39.950000000000003" hidden="1" customHeight="1" x14ac:dyDescent="0.15">
      <c r="A354" s="2081">
        <f ca="1">+Orçamento_Não_Deson!A354</f>
        <v>5</v>
      </c>
      <c r="B354" s="834">
        <f>+Orçamento_Não_Deson!B354</f>
        <v>93959</v>
      </c>
      <c r="C354" s="2" t="str">
        <f>VLOOKUP($B354,[5]BOLETIM_SEL!$A:$H,2,0)</f>
        <v>SINAPI</v>
      </c>
      <c r="D354" s="315" t="str">
        <f>VLOOKUP($B354,[5]BOLETIM_SEL!$A:$H,4,0)</f>
        <v>Execução de grampo para solo grampeado com comprimento maior que 6 m e menor ou igual a 8 m, diâmetro nominal de 10 cm, perfuração com equipamento manual e armadura com diâmetro nominal de 20 mm. AF_05/2016</v>
      </c>
      <c r="E354" s="2">
        <f>+Orçamento_Não_Deson!E354</f>
        <v>0</v>
      </c>
      <c r="F354" s="2" t="str">
        <f>VLOOKUP($B354,[5]BOLETIM_SEL!$A:$H,6,0)</f>
        <v>M</v>
      </c>
      <c r="G354" s="1407">
        <f>VLOOKUP($B354,[5]BOLETIM_SEL!$A:$H,7,0)</f>
        <v>208.11</v>
      </c>
      <c r="H354" s="1613">
        <f>+Orçamento_Não_Deson!H354</f>
        <v>0</v>
      </c>
      <c r="I354" s="877">
        <f t="shared" si="74"/>
        <v>263.75</v>
      </c>
      <c r="J354" s="1612">
        <f t="shared" si="75"/>
        <v>0</v>
      </c>
      <c r="K354" s="2078">
        <f t="shared" ca="1" si="76"/>
        <v>0</v>
      </c>
      <c r="L354" s="1574" t="e">
        <f t="shared" si="77"/>
        <v>#DIV/0!</v>
      </c>
      <c r="M354" s="1974"/>
      <c r="N354" s="833"/>
      <c r="O354" s="833"/>
      <c r="Q354" s="833"/>
      <c r="R354" s="833"/>
      <c r="S354" s="833"/>
      <c r="T354" s="833"/>
      <c r="U354" s="833"/>
      <c r="V354" s="833"/>
      <c r="W354" s="833"/>
      <c r="X354" s="833"/>
    </row>
    <row r="355" spans="1:24" s="813" customFormat="1" ht="39.950000000000003" hidden="1" customHeight="1" x14ac:dyDescent="0.15">
      <c r="A355" s="2081">
        <f ca="1">+Orçamento_Não_Deson!A355</f>
        <v>5</v>
      </c>
      <c r="B355" s="834">
        <f>+Orçamento_Não_Deson!B355</f>
        <v>93960</v>
      </c>
      <c r="C355" s="2" t="str">
        <f>VLOOKUP($B355,[5]BOLETIM_SEL!$A:$H,2,0)</f>
        <v>SINAPI</v>
      </c>
      <c r="D355" s="315" t="str">
        <f>VLOOKUP($B355,[5]BOLETIM_SEL!$A:$H,4,0)</f>
        <v>Execução de grampo para solo grampeado com comprimento maior que 8 m e menor ou igual a 10 m, diâmetro nominal de 10 cm, perfuração com equipamento manual e armadura com diâmetro nominal de 20 mm. AF_05/2016</v>
      </c>
      <c r="E355" s="2">
        <f>+Orçamento_Não_Deson!E355</f>
        <v>0</v>
      </c>
      <c r="F355" s="2" t="str">
        <f>VLOOKUP($B355,[5]BOLETIM_SEL!$A:$H,6,0)</f>
        <v>M</v>
      </c>
      <c r="G355" s="1407">
        <f>VLOOKUP($B355,[5]BOLETIM_SEL!$A:$H,7,0)</f>
        <v>201.76</v>
      </c>
      <c r="H355" s="1613">
        <f>+Orçamento_Não_Deson!H355</f>
        <v>0</v>
      </c>
      <c r="I355" s="877">
        <f t="shared" si="74"/>
        <v>255.71</v>
      </c>
      <c r="J355" s="1612">
        <f t="shared" si="75"/>
        <v>0</v>
      </c>
      <c r="K355" s="2078">
        <f t="shared" ca="1" si="76"/>
        <v>0</v>
      </c>
      <c r="L355" s="1574" t="e">
        <f t="shared" si="77"/>
        <v>#DIV/0!</v>
      </c>
      <c r="M355" s="1974"/>
      <c r="N355" s="833"/>
      <c r="O355" s="833"/>
      <c r="Q355" s="833"/>
      <c r="R355" s="833"/>
      <c r="S355" s="833"/>
      <c r="T355" s="833"/>
      <c r="U355" s="833"/>
      <c r="V355" s="833"/>
      <c r="W355" s="833"/>
      <c r="X355" s="833"/>
    </row>
    <row r="356" spans="1:24" s="813" customFormat="1" ht="39.950000000000003" hidden="1" customHeight="1" x14ac:dyDescent="0.15">
      <c r="A356" s="2081">
        <f ca="1">+Orçamento_Não_Deson!A356</f>
        <v>5</v>
      </c>
      <c r="B356" s="834">
        <f>+Orçamento_Não_Deson!B356</f>
        <v>91074</v>
      </c>
      <c r="C356" s="2" t="str">
        <f>VLOOKUP($B356,[5]BOLETIM_SEL!$A:$H,2,0)</f>
        <v>SINAPI</v>
      </c>
      <c r="D356" s="315" t="str">
        <f>VLOOKUP($B356,[5]BOLETIM_SEL!$A:$H,4,0)</f>
        <v>Execução de revestimento de concreto projetado com espessura de 10 cm, armado com tela, inclinação menor que 90°, aplicação contínua, utilizando equipamento de projeção com 3 m³/h de capacidade. AF_01/2016</v>
      </c>
      <c r="E356" s="2">
        <f>+Orçamento_Não_Deson!E356</f>
        <v>0</v>
      </c>
      <c r="F356" s="2" t="str">
        <f>VLOOKUP($B356,[5]BOLETIM_SEL!$A:$H,6,0)</f>
        <v>M2</v>
      </c>
      <c r="G356" s="1407">
        <f>VLOOKUP($B356,[5]BOLETIM_SEL!$A:$H,7,0)</f>
        <v>141.05000000000001</v>
      </c>
      <c r="H356" s="1613">
        <f>+Orçamento_Não_Deson!H356</f>
        <v>0</v>
      </c>
      <c r="I356" s="877">
        <f t="shared" si="74"/>
        <v>178.76</v>
      </c>
      <c r="J356" s="1612">
        <f t="shared" si="75"/>
        <v>0</v>
      </c>
      <c r="K356" s="2078">
        <f t="shared" ca="1" si="76"/>
        <v>0</v>
      </c>
      <c r="L356" s="1574" t="e">
        <f t="shared" si="77"/>
        <v>#DIV/0!</v>
      </c>
      <c r="M356" s="1974"/>
      <c r="N356" s="833"/>
      <c r="O356" s="833"/>
      <c r="Q356" s="833"/>
      <c r="R356" s="833"/>
      <c r="S356" s="833"/>
      <c r="T356" s="833"/>
      <c r="U356" s="833"/>
      <c r="V356" s="833"/>
      <c r="W356" s="833"/>
      <c r="X356" s="833"/>
    </row>
    <row r="357" spans="1:24" s="813" customFormat="1" ht="39.950000000000003" hidden="1" customHeight="1" x14ac:dyDescent="0.15">
      <c r="A357" s="2081">
        <f ca="1">+Orçamento_Não_Deson!A357</f>
        <v>5</v>
      </c>
      <c r="B357" s="834">
        <f>+Orçamento_Não_Deson!B357</f>
        <v>91099</v>
      </c>
      <c r="C357" s="2" t="str">
        <f>VLOOKUP($B357,[5]BOLETIM_SEL!$A:$H,2,0)</f>
        <v>SINAPI</v>
      </c>
      <c r="D357" s="315" t="str">
        <f>VLOOKUP($B357,[5]BOLETIM_SEL!$A:$H,4,0)</f>
        <v>Execução de revestimento de concreto projetado com espessura de 10 cm, armado com fibras de aço, inclinação menor que 90°, aplicação descontínua, utilizando equipamento de projeção com 3 m³/h de capacidade. AF_01/2016</v>
      </c>
      <c r="E357" s="2">
        <f>+Orçamento_Não_Deson!E357</f>
        <v>0</v>
      </c>
      <c r="F357" s="2" t="str">
        <f>VLOOKUP($B357,[5]BOLETIM_SEL!$A:$H,6,0)</f>
        <v>M2</v>
      </c>
      <c r="G357" s="1407">
        <f>VLOOKUP($B357,[5]BOLETIM_SEL!$A:$H,7,0)</f>
        <v>176.31</v>
      </c>
      <c r="H357" s="1613">
        <f>+Orçamento_Não_Deson!H357</f>
        <v>0</v>
      </c>
      <c r="I357" s="877">
        <f t="shared" si="74"/>
        <v>223.45</v>
      </c>
      <c r="J357" s="1612">
        <f t="shared" si="75"/>
        <v>0</v>
      </c>
      <c r="K357" s="2078">
        <f t="shared" ca="1" si="76"/>
        <v>0</v>
      </c>
      <c r="L357" s="1574" t="e">
        <f t="shared" si="77"/>
        <v>#DIV/0!</v>
      </c>
      <c r="M357" s="1974"/>
      <c r="N357" s="833"/>
      <c r="O357" s="833"/>
      <c r="Q357" s="833"/>
      <c r="R357" s="833"/>
      <c r="S357" s="833"/>
      <c r="T357" s="833"/>
      <c r="U357" s="833"/>
      <c r="V357" s="833"/>
      <c r="W357" s="833"/>
      <c r="X357" s="833"/>
    </row>
    <row r="358" spans="1:24" s="813" customFormat="1" ht="39.950000000000003" hidden="1" customHeight="1" x14ac:dyDescent="0.15">
      <c r="A358" s="2081">
        <f ca="1">+Orçamento_Não_Deson!A358</f>
        <v>5</v>
      </c>
      <c r="B358" s="834">
        <f>+Orçamento_Não_Deson!B358</f>
        <v>92415</v>
      </c>
      <c r="C358" s="2" t="str">
        <f>VLOOKUP($B358,[5]BOLETIM_SEL!$A:$H,2,0)</f>
        <v>SINAPI</v>
      </c>
      <c r="D358" s="315" t="str">
        <f>VLOOKUP($B358,[5]BOLETIM_SEL!$A:$H,4,0)</f>
        <v>Montagem e desmontagem de fôrma de pilares retangulares e estruturas similares, pé-direito simples, em chapa de madeira compensada resinada, 2 utilizações. AF_09/2020</v>
      </c>
      <c r="E358" s="2">
        <f>+Orçamento_Não_Deson!E358</f>
        <v>0</v>
      </c>
      <c r="F358" s="2" t="str">
        <f>VLOOKUP($B358,[5]BOLETIM_SEL!$A:$H,6,0)</f>
        <v>M2</v>
      </c>
      <c r="G358" s="1407">
        <f>VLOOKUP($B358,[5]BOLETIM_SEL!$A:$H,7,0)</f>
        <v>129.94</v>
      </c>
      <c r="H358" s="1613">
        <f>+Orçamento_Não_Deson!H358</f>
        <v>0</v>
      </c>
      <c r="I358" s="877">
        <f t="shared" si="74"/>
        <v>164.68</v>
      </c>
      <c r="J358" s="1612">
        <f t="shared" si="75"/>
        <v>0</v>
      </c>
      <c r="K358" s="2078">
        <f t="shared" ca="1" si="76"/>
        <v>0</v>
      </c>
      <c r="L358" s="1574" t="e">
        <f t="shared" si="77"/>
        <v>#DIV/0!</v>
      </c>
      <c r="M358" s="1974"/>
      <c r="N358" s="833"/>
      <c r="O358" s="833"/>
      <c r="Q358" s="833"/>
      <c r="R358" s="833"/>
      <c r="S358" s="833"/>
      <c r="T358" s="833"/>
      <c r="U358" s="833"/>
      <c r="V358" s="833"/>
      <c r="W358" s="833"/>
      <c r="X358" s="833"/>
    </row>
    <row r="359" spans="1:24" s="813" customFormat="1" ht="39.950000000000003" hidden="1" customHeight="1" x14ac:dyDescent="0.15">
      <c r="A359" s="2081">
        <f ca="1">+Orçamento_Não_Deson!A359</f>
        <v>5</v>
      </c>
      <c r="B359" s="834">
        <f>+Orçamento_Não_Deson!B359</f>
        <v>92423</v>
      </c>
      <c r="C359" s="2" t="str">
        <f>VLOOKUP($B359,[5]BOLETIM_SEL!$A:$H,2,0)</f>
        <v>SINAPI</v>
      </c>
      <c r="D359" s="315" t="str">
        <f>VLOOKUP($B359,[5]BOLETIM_SEL!$A:$H,4,0)</f>
        <v>Montagem e desmontagem de fôrma de pilares retangulares e estruturas similares, pé-direito simples, em chapa de madeira compensada resinada, 6 utilizações. AF_09/2020</v>
      </c>
      <c r="E359" s="2">
        <f>+Orçamento_Não_Deson!E359</f>
        <v>0</v>
      </c>
      <c r="F359" s="2" t="str">
        <f>VLOOKUP($B359,[5]BOLETIM_SEL!$A:$H,6,0)</f>
        <v>M2</v>
      </c>
      <c r="G359" s="1407">
        <f>VLOOKUP($B359,[5]BOLETIM_SEL!$A:$H,7,0)</f>
        <v>65.790000000000006</v>
      </c>
      <c r="H359" s="1613">
        <f>+Orçamento_Não_Deson!H359</f>
        <v>0</v>
      </c>
      <c r="I359" s="877">
        <f t="shared" si="74"/>
        <v>83.38</v>
      </c>
      <c r="J359" s="1612">
        <f t="shared" si="75"/>
        <v>0</v>
      </c>
      <c r="K359" s="2078">
        <f t="shared" ca="1" si="76"/>
        <v>0</v>
      </c>
      <c r="L359" s="1574" t="e">
        <f t="shared" si="77"/>
        <v>#DIV/0!</v>
      </c>
      <c r="M359" s="1974"/>
      <c r="N359" s="833"/>
      <c r="O359" s="833"/>
      <c r="Q359" s="833"/>
      <c r="R359" s="833"/>
      <c r="S359" s="833"/>
      <c r="T359" s="833"/>
      <c r="U359" s="833"/>
      <c r="V359" s="833"/>
      <c r="W359" s="833"/>
      <c r="X359" s="833"/>
    </row>
    <row r="360" spans="1:24" s="813" customFormat="1" ht="39.950000000000003" hidden="1" customHeight="1" x14ac:dyDescent="0.15">
      <c r="A360" s="2081">
        <f ca="1">+Orçamento_Não_Deson!A360</f>
        <v>5</v>
      </c>
      <c r="B360" s="834">
        <f>+Orçamento_Não_Deson!B360</f>
        <v>92413</v>
      </c>
      <c r="C360" s="2" t="str">
        <f>VLOOKUP($B360,[5]BOLETIM_SEL!$A:$H,2,0)</f>
        <v>SINAPI</v>
      </c>
      <c r="D360" s="315" t="str">
        <f>VLOOKUP($B360,[5]BOLETIM_SEL!$A:$H,4,0)</f>
        <v>Montagem e desmontagem de fôrma de pilares retangulares e estruturas similares, pé-direito simples, em madeira serrada, 4 utilizações. AF_09/2020</v>
      </c>
      <c r="E360" s="2">
        <f>+Orçamento_Não_Deson!E360</f>
        <v>0</v>
      </c>
      <c r="F360" s="2" t="str">
        <f>VLOOKUP($B360,[5]BOLETIM_SEL!$A:$H,6,0)</f>
        <v>M2</v>
      </c>
      <c r="G360" s="1407">
        <f>VLOOKUP($B360,[5]BOLETIM_SEL!$A:$H,7,0)</f>
        <v>115.45</v>
      </c>
      <c r="H360" s="1613">
        <f>+Orçamento_Não_Deson!H360</f>
        <v>0</v>
      </c>
      <c r="I360" s="877">
        <f t="shared" si="74"/>
        <v>146.32</v>
      </c>
      <c r="J360" s="1612">
        <f t="shared" si="75"/>
        <v>0</v>
      </c>
      <c r="K360" s="2078">
        <f t="shared" ca="1" si="76"/>
        <v>0</v>
      </c>
      <c r="L360" s="1574" t="e">
        <f t="shared" si="77"/>
        <v>#DIV/0!</v>
      </c>
      <c r="M360" s="1974"/>
      <c r="N360" s="833"/>
      <c r="O360" s="833"/>
      <c r="Q360" s="833"/>
      <c r="R360" s="833"/>
      <c r="S360" s="833"/>
      <c r="T360" s="833"/>
      <c r="U360" s="833"/>
      <c r="V360" s="833"/>
      <c r="W360" s="833"/>
      <c r="X360" s="833"/>
    </row>
    <row r="361" spans="1:24" s="813" customFormat="1" ht="39.950000000000003" hidden="1" customHeight="1" x14ac:dyDescent="0.15">
      <c r="A361" s="2081">
        <f ca="1">+Orçamento_Não_Deson!A361</f>
        <v>5</v>
      </c>
      <c r="B361" s="834">
        <f>+Orçamento_Não_Deson!B361</f>
        <v>101792</v>
      </c>
      <c r="C361" s="2" t="str">
        <f>VLOOKUP($B361,[5]BOLETIM_SEL!$A:$H,2,0)</f>
        <v>SINAPI</v>
      </c>
      <c r="D361" s="315" t="str">
        <f>VLOOKUP($B361,[5]BOLETIM_SEL!$A:$H,4,0)</f>
        <v>Escoramento de fôrmas de laje em madeira não aparelhada, pé-direito simples, incluso travamento, 4 utilizações. AF_09/2020</v>
      </c>
      <c r="E361" s="2">
        <f>+Orçamento_Não_Deson!E361</f>
        <v>0</v>
      </c>
      <c r="F361" s="2" t="str">
        <f>VLOOKUP($B361,[5]BOLETIM_SEL!$A:$H,6,0)</f>
        <v>M3</v>
      </c>
      <c r="G361" s="1407">
        <f>VLOOKUP($B361,[5]BOLETIM_SEL!$A:$H,7,0)</f>
        <v>15.07</v>
      </c>
      <c r="H361" s="1613">
        <f>+Orçamento_Não_Deson!H361</f>
        <v>0</v>
      </c>
      <c r="I361" s="877">
        <f t="shared" si="74"/>
        <v>19.09</v>
      </c>
      <c r="J361" s="1612">
        <f t="shared" si="75"/>
        <v>0</v>
      </c>
      <c r="K361" s="2078">
        <f t="shared" ca="1" si="76"/>
        <v>0</v>
      </c>
      <c r="L361" s="1574" t="e">
        <f t="shared" si="77"/>
        <v>#DIV/0!</v>
      </c>
      <c r="M361" s="1974"/>
      <c r="N361" s="833"/>
      <c r="O361" s="833"/>
      <c r="Q361" s="833"/>
      <c r="R361" s="833"/>
      <c r="S361" s="833"/>
      <c r="T361" s="833"/>
      <c r="U361" s="833"/>
      <c r="V361" s="833"/>
      <c r="W361" s="833"/>
      <c r="X361" s="833"/>
    </row>
    <row r="362" spans="1:24" s="813" customFormat="1" ht="39.950000000000003" hidden="1" customHeight="1" x14ac:dyDescent="0.15">
      <c r="A362" s="2081">
        <f ca="1">+Orçamento_Não_Deson!A362</f>
        <v>5</v>
      </c>
      <c r="B362" s="834">
        <f>+Orçamento_Não_Deson!B362</f>
        <v>96543</v>
      </c>
      <c r="C362" s="2" t="str">
        <f>VLOOKUP($B362,[5]BOLETIM_SEL!$A:$H,2,0)</f>
        <v>SINAPI</v>
      </c>
      <c r="D362" s="315" t="str">
        <f>VLOOKUP($B362,[5]BOLETIM_SEL!$A:$H,4,0)</f>
        <v>Armação de bloco, viga baldrame e sapata utilizando aço CA-60 de 5 mm - montagem. AF_06/2017</v>
      </c>
      <c r="E362" s="2">
        <f>+Orçamento_Não_Deson!E362</f>
        <v>0</v>
      </c>
      <c r="F362" s="2" t="str">
        <f>VLOOKUP($B362,[5]BOLETIM_SEL!$A:$H,6,0)</f>
        <v>KG</v>
      </c>
      <c r="G362" s="1407">
        <f>VLOOKUP($B362,[5]BOLETIM_SEL!$A:$H,7,0)</f>
        <v>17.07</v>
      </c>
      <c r="H362" s="1613">
        <f>+Orçamento_Não_Deson!H362</f>
        <v>0</v>
      </c>
      <c r="I362" s="877">
        <f t="shared" si="74"/>
        <v>21.63</v>
      </c>
      <c r="J362" s="1612">
        <f t="shared" si="75"/>
        <v>0</v>
      </c>
      <c r="K362" s="2078">
        <f t="shared" ca="1" si="76"/>
        <v>0</v>
      </c>
      <c r="L362" s="1574" t="e">
        <f t="shared" si="77"/>
        <v>#DIV/0!</v>
      </c>
      <c r="M362" s="1974"/>
      <c r="N362" s="833"/>
      <c r="O362" s="833"/>
      <c r="Q362" s="833"/>
      <c r="R362" s="833"/>
      <c r="S362" s="833"/>
      <c r="T362" s="833"/>
      <c r="U362" s="833"/>
      <c r="V362" s="833"/>
      <c r="W362" s="833"/>
      <c r="X362" s="833"/>
    </row>
    <row r="363" spans="1:24" s="813" customFormat="1" ht="39.950000000000003" hidden="1" customHeight="1" x14ac:dyDescent="0.15">
      <c r="A363" s="2081">
        <f ca="1">+Orçamento_Não_Deson!A363</f>
        <v>5</v>
      </c>
      <c r="B363" s="834">
        <f>+Orçamento_Não_Deson!B363</f>
        <v>100342</v>
      </c>
      <c r="C363" s="2" t="str">
        <f>VLOOKUP($B363,[5]BOLETIM_SEL!$A:$H,2,0)</f>
        <v>SINAPI</v>
      </c>
      <c r="D363" s="315" t="str">
        <f>VLOOKUP($B363,[5]BOLETIM_SEL!$A:$H,4,0)</f>
        <v>Armação de cortina de contenção em concreto armado, com aço CA-50 de 6,3 mm - montagem. AF_07/2019</v>
      </c>
      <c r="E363" s="2">
        <f>+Orçamento_Não_Deson!E363</f>
        <v>0</v>
      </c>
      <c r="F363" s="2" t="str">
        <f>VLOOKUP($B363,[5]BOLETIM_SEL!$A:$H,6,0)</f>
        <v>KG</v>
      </c>
      <c r="G363" s="1407">
        <f>VLOOKUP($B363,[5]BOLETIM_SEL!$A:$H,7,0)</f>
        <v>14.68</v>
      </c>
      <c r="H363" s="1613">
        <f>+Orçamento_Não_Deson!H363</f>
        <v>0</v>
      </c>
      <c r="I363" s="877">
        <f t="shared" si="74"/>
        <v>18.600000000000001</v>
      </c>
      <c r="J363" s="1612">
        <f t="shared" si="75"/>
        <v>0</v>
      </c>
      <c r="K363" s="2078">
        <f t="shared" ca="1" si="76"/>
        <v>0</v>
      </c>
      <c r="L363" s="1574" t="e">
        <f t="shared" si="77"/>
        <v>#DIV/0!</v>
      </c>
      <c r="M363" s="1974"/>
      <c r="N363" s="833"/>
      <c r="O363" s="833"/>
      <c r="Q363" s="833"/>
      <c r="R363" s="833"/>
      <c r="S363" s="833"/>
      <c r="T363" s="833"/>
      <c r="U363" s="833"/>
      <c r="V363" s="833"/>
      <c r="W363" s="833"/>
      <c r="X363" s="833"/>
    </row>
    <row r="364" spans="1:24" s="813" customFormat="1" ht="39.950000000000003" hidden="1" customHeight="1" x14ac:dyDescent="0.15">
      <c r="A364" s="2081">
        <f ca="1">+Orçamento_Não_Deson!A364</f>
        <v>5</v>
      </c>
      <c r="B364" s="834">
        <f>+Orçamento_Não_Deson!B364</f>
        <v>100343</v>
      </c>
      <c r="C364" s="2" t="str">
        <f>VLOOKUP($B364,[5]BOLETIM_SEL!$A:$H,2,0)</f>
        <v>SINAPI</v>
      </c>
      <c r="D364" s="315" t="str">
        <f>VLOOKUP($B364,[5]BOLETIM_SEL!$A:$H,4,0)</f>
        <v>Armação de cortina de contenção em concreto armado, com aço CA-50 de 8 mm - montagem. AF_07/2019</v>
      </c>
      <c r="E364" s="2">
        <f>+Orçamento_Não_Deson!E364</f>
        <v>0</v>
      </c>
      <c r="F364" s="2" t="str">
        <f>VLOOKUP($B364,[5]BOLETIM_SEL!$A:$H,6,0)</f>
        <v>KG</v>
      </c>
      <c r="G364" s="1407">
        <f>VLOOKUP($B364,[5]BOLETIM_SEL!$A:$H,7,0)</f>
        <v>14.1</v>
      </c>
      <c r="H364" s="1613">
        <f>+Orçamento_Não_Deson!H364</f>
        <v>0</v>
      </c>
      <c r="I364" s="877">
        <f t="shared" si="74"/>
        <v>17.87</v>
      </c>
      <c r="J364" s="1612">
        <f t="shared" si="75"/>
        <v>0</v>
      </c>
      <c r="K364" s="2078">
        <f t="shared" ca="1" si="76"/>
        <v>0</v>
      </c>
      <c r="L364" s="1574" t="e">
        <f t="shared" si="77"/>
        <v>#DIV/0!</v>
      </c>
      <c r="M364" s="1974"/>
      <c r="N364" s="833"/>
      <c r="O364" s="833"/>
      <c r="Q364" s="833"/>
      <c r="R364" s="833"/>
      <c r="S364" s="833"/>
      <c r="T364" s="833"/>
      <c r="U364" s="833"/>
      <c r="V364" s="833"/>
      <c r="W364" s="833"/>
      <c r="X364" s="833"/>
    </row>
    <row r="365" spans="1:24" s="813" customFormat="1" ht="39.950000000000003" hidden="1" customHeight="1" x14ac:dyDescent="0.15">
      <c r="A365" s="2081">
        <f ca="1">+Orçamento_Não_Deson!A365</f>
        <v>5</v>
      </c>
      <c r="B365" s="834">
        <f>+Orçamento_Não_Deson!B365</f>
        <v>100344</v>
      </c>
      <c r="C365" s="2" t="str">
        <f>VLOOKUP($B365,[5]BOLETIM_SEL!$A:$H,2,0)</f>
        <v>SINAPI</v>
      </c>
      <c r="D365" s="315" t="str">
        <f>VLOOKUP($B365,[5]BOLETIM_SEL!$A:$H,4,0)</f>
        <v>Armação de cortina de contenção em concreto armado, com aço CA-50 de 10 mm - montagem. AF_07/2019</v>
      </c>
      <c r="E365" s="2">
        <f>+Orçamento_Não_Deson!E365</f>
        <v>0</v>
      </c>
      <c r="F365" s="2" t="str">
        <f>VLOOKUP($B365,[5]BOLETIM_SEL!$A:$H,6,0)</f>
        <v>KG</v>
      </c>
      <c r="G365" s="1407">
        <f>VLOOKUP($B365,[5]BOLETIM_SEL!$A:$H,7,0)</f>
        <v>12.76</v>
      </c>
      <c r="H365" s="1613">
        <f>+Orçamento_Não_Deson!H365</f>
        <v>0</v>
      </c>
      <c r="I365" s="877">
        <f t="shared" si="74"/>
        <v>16.170000000000002</v>
      </c>
      <c r="J365" s="1612">
        <f t="shared" si="75"/>
        <v>0</v>
      </c>
      <c r="K365" s="2078">
        <f t="shared" ca="1" si="76"/>
        <v>0</v>
      </c>
      <c r="L365" s="1574" t="e">
        <f t="shared" si="77"/>
        <v>#DIV/0!</v>
      </c>
      <c r="M365" s="1974"/>
      <c r="N365" s="833"/>
      <c r="O365" s="833"/>
      <c r="Q365" s="833"/>
      <c r="R365" s="833"/>
      <c r="S365" s="833"/>
      <c r="T365" s="833"/>
      <c r="U365" s="833"/>
      <c r="V365" s="833"/>
      <c r="W365" s="833"/>
      <c r="X365" s="833"/>
    </row>
    <row r="366" spans="1:24" s="813" customFormat="1" ht="39.950000000000003" hidden="1" customHeight="1" x14ac:dyDescent="0.15">
      <c r="A366" s="2081">
        <f ca="1">+Orçamento_Não_Deson!A366</f>
        <v>5</v>
      </c>
      <c r="B366" s="834">
        <f>+Orçamento_Não_Deson!B366</f>
        <v>100345</v>
      </c>
      <c r="C366" s="2" t="str">
        <f>VLOOKUP($B366,[5]BOLETIM_SEL!$A:$H,2,0)</f>
        <v>SINAPI</v>
      </c>
      <c r="D366" s="315" t="str">
        <f>VLOOKUP($B366,[5]BOLETIM_SEL!$A:$H,4,0)</f>
        <v>Armação de cortina de contenção em concreto armado, com aço CA-50 de 12,5 mm - montagem. AF_07/2019</v>
      </c>
      <c r="E366" s="2">
        <f>+Orçamento_Não_Deson!E366</f>
        <v>0</v>
      </c>
      <c r="F366" s="2" t="str">
        <f>VLOOKUP($B366,[5]BOLETIM_SEL!$A:$H,6,0)</f>
        <v>KG</v>
      </c>
      <c r="G366" s="1407">
        <f>VLOOKUP($B366,[5]BOLETIM_SEL!$A:$H,7,0)</f>
        <v>10.86</v>
      </c>
      <c r="H366" s="1613">
        <f>+Orçamento_Não_Deson!H366</f>
        <v>0</v>
      </c>
      <c r="I366" s="877">
        <f t="shared" si="74"/>
        <v>13.76</v>
      </c>
      <c r="J366" s="1612">
        <f t="shared" si="75"/>
        <v>0</v>
      </c>
      <c r="K366" s="2078">
        <f t="shared" ca="1" si="76"/>
        <v>0</v>
      </c>
      <c r="L366" s="1574" t="e">
        <f t="shared" si="77"/>
        <v>#DIV/0!</v>
      </c>
      <c r="M366" s="1974"/>
      <c r="N366" s="833"/>
      <c r="O366" s="833"/>
      <c r="Q366" s="833"/>
      <c r="R366" s="833"/>
      <c r="S366" s="833"/>
      <c r="T366" s="833"/>
      <c r="U366" s="833"/>
      <c r="V366" s="833"/>
      <c r="W366" s="833"/>
      <c r="X366" s="833"/>
    </row>
    <row r="367" spans="1:24" s="813" customFormat="1" ht="39.950000000000003" hidden="1" customHeight="1" x14ac:dyDescent="0.15">
      <c r="A367" s="2081">
        <f ca="1">+Orçamento_Não_Deson!A367</f>
        <v>5</v>
      </c>
      <c r="B367" s="834">
        <f>+Orçamento_Não_Deson!B367</f>
        <v>92922</v>
      </c>
      <c r="C367" s="2" t="str">
        <f>VLOOKUP($B367,[5]BOLETIM_SEL!$A:$H,2,0)</f>
        <v>SINAPI</v>
      </c>
      <c r="D367" s="315" t="str">
        <f>VLOOKUP($B367,[5]BOLETIM_SEL!$A:$H,4,0)</f>
        <v>Armação de estruturas de concreto armado, exceto vigas, pilares, lajes e fundações, utilizando aço CA-50 de 16,0 mm - montagem. AF_12/2015</v>
      </c>
      <c r="E367" s="2">
        <f>+Orçamento_Não_Deson!E367</f>
        <v>0</v>
      </c>
      <c r="F367" s="2" t="str">
        <f>VLOOKUP($B367,[5]BOLETIM_SEL!$A:$H,6,0)</f>
        <v>KG</v>
      </c>
      <c r="G367" s="1407">
        <f>VLOOKUP($B367,[5]BOLETIM_SEL!$A:$H,7,0)</f>
        <v>10.53</v>
      </c>
      <c r="H367" s="1613">
        <f>+Orçamento_Não_Deson!H367</f>
        <v>0</v>
      </c>
      <c r="I367" s="877">
        <f t="shared" si="74"/>
        <v>13.34</v>
      </c>
      <c r="J367" s="1612">
        <f t="shared" si="75"/>
        <v>0</v>
      </c>
      <c r="K367" s="2078">
        <f t="shared" ca="1" si="76"/>
        <v>0</v>
      </c>
      <c r="L367" s="1574" t="e">
        <f t="shared" si="77"/>
        <v>#DIV/0!</v>
      </c>
      <c r="M367" s="1974"/>
      <c r="N367" s="833"/>
      <c r="O367" s="833"/>
      <c r="Q367" s="833"/>
      <c r="R367" s="833"/>
      <c r="S367" s="833"/>
      <c r="T367" s="833"/>
      <c r="U367" s="833"/>
      <c r="V367" s="833"/>
      <c r="W367" s="833"/>
      <c r="X367" s="833"/>
    </row>
    <row r="368" spans="1:24" s="813" customFormat="1" ht="39.950000000000003" hidden="1" customHeight="1" x14ac:dyDescent="0.15">
      <c r="A368" s="2081">
        <f ca="1">+Orçamento_Não_Deson!A368</f>
        <v>5</v>
      </c>
      <c r="B368" s="834">
        <f>+Orçamento_Não_Deson!B368</f>
        <v>92923</v>
      </c>
      <c r="C368" s="2" t="str">
        <f>VLOOKUP($B368,[5]BOLETIM_SEL!$A:$H,2,0)</f>
        <v>SINAPI</v>
      </c>
      <c r="D368" s="315" t="str">
        <f>VLOOKUP($B368,[5]BOLETIM_SEL!$A:$H,4,0)</f>
        <v>Armação de estruturas de concreto armado, exceto vigas, pilares, lajes e fundações, utilizando aço CA-50 de 20,0 mm - montagem. AF_12/2015</v>
      </c>
      <c r="E368" s="2">
        <f>+Orçamento_Não_Deson!E368</f>
        <v>0</v>
      </c>
      <c r="F368" s="2" t="str">
        <f>VLOOKUP($B368,[5]BOLETIM_SEL!$A:$H,6,0)</f>
        <v>KG</v>
      </c>
      <c r="G368" s="1407">
        <f>VLOOKUP($B368,[5]BOLETIM_SEL!$A:$H,7,0)</f>
        <v>11.97</v>
      </c>
      <c r="H368" s="1613">
        <f>+Orçamento_Não_Deson!H368</f>
        <v>0</v>
      </c>
      <c r="I368" s="877">
        <f t="shared" si="74"/>
        <v>15.17</v>
      </c>
      <c r="J368" s="1612">
        <f t="shared" si="75"/>
        <v>0</v>
      </c>
      <c r="K368" s="2078">
        <f t="shared" ca="1" si="76"/>
        <v>0</v>
      </c>
      <c r="L368" s="1574" t="e">
        <f t="shared" si="77"/>
        <v>#DIV/0!</v>
      </c>
      <c r="M368" s="1974"/>
      <c r="N368" s="833"/>
      <c r="O368" s="833"/>
      <c r="Q368" s="833"/>
      <c r="R368" s="833"/>
      <c r="S368" s="833"/>
      <c r="T368" s="833"/>
      <c r="U368" s="833"/>
      <c r="V368" s="833"/>
      <c r="W368" s="833"/>
      <c r="X368" s="833"/>
    </row>
    <row r="369" spans="1:24" s="813" customFormat="1" ht="39.950000000000003" hidden="1" customHeight="1" x14ac:dyDescent="0.15">
      <c r="A369" s="2081">
        <f ca="1">+Orçamento_Não_Deson!A369</f>
        <v>5</v>
      </c>
      <c r="B369" s="834">
        <f>+Orçamento_Não_Deson!B369</f>
        <v>92924</v>
      </c>
      <c r="C369" s="2" t="str">
        <f>VLOOKUP($B369,[5]BOLETIM_SEL!$A:$H,2,0)</f>
        <v>SINAPI</v>
      </c>
      <c r="D369" s="315" t="str">
        <f>VLOOKUP($B369,[5]BOLETIM_SEL!$A:$H,4,0)</f>
        <v>Armação de estruturas de concreto armado, exceto vigas, pilares, lajes e fundações, utilizando aço CA-50 de 25,0 mm - montagem. AF_12/2015</v>
      </c>
      <c r="E369" s="2">
        <f>+Orçamento_Não_Deson!E369</f>
        <v>0</v>
      </c>
      <c r="F369" s="2" t="str">
        <f>VLOOKUP($B369,[5]BOLETIM_SEL!$A:$H,6,0)</f>
        <v>KG</v>
      </c>
      <c r="G369" s="1407">
        <f>VLOOKUP($B369,[5]BOLETIM_SEL!$A:$H,7,0)</f>
        <v>11.82</v>
      </c>
      <c r="H369" s="1613">
        <f>+Orçamento_Não_Deson!H369</f>
        <v>0</v>
      </c>
      <c r="I369" s="877">
        <f t="shared" si="74"/>
        <v>14.98</v>
      </c>
      <c r="J369" s="1612">
        <f t="shared" si="75"/>
        <v>0</v>
      </c>
      <c r="K369" s="2078">
        <f t="shared" ca="1" si="76"/>
        <v>0</v>
      </c>
      <c r="L369" s="1574" t="e">
        <f t="shared" si="77"/>
        <v>#DIV/0!</v>
      </c>
      <c r="M369" s="1974"/>
      <c r="N369" s="833"/>
      <c r="O369" s="833"/>
      <c r="Q369" s="833"/>
      <c r="R369" s="833"/>
      <c r="S369" s="833"/>
      <c r="T369" s="833"/>
      <c r="U369" s="833"/>
      <c r="V369" s="833"/>
      <c r="W369" s="833"/>
      <c r="X369" s="833"/>
    </row>
    <row r="370" spans="1:24" s="813" customFormat="1" ht="39.950000000000003" hidden="1" customHeight="1" x14ac:dyDescent="0.15">
      <c r="A370" s="2081">
        <f ca="1">+Orçamento_Não_Deson!A370</f>
        <v>5</v>
      </c>
      <c r="B370" s="834">
        <f>+Orçamento_Não_Deson!B370</f>
        <v>91593</v>
      </c>
      <c r="C370" s="2" t="str">
        <f>VLOOKUP($B370,[5]BOLETIM_SEL!$A:$H,2,0)</f>
        <v>SINAPI</v>
      </c>
      <c r="D370" s="315" t="str">
        <f>VLOOKUP($B370,[5]BOLETIM_SEL!$A:$H,4,0)</f>
        <v>Armação do sistema de paredes de concreto, executada em paredes de edificações de múltiplos pavimentos, tela Q-138. AF_06/2019</v>
      </c>
      <c r="E370" s="2">
        <f>+Orçamento_Não_Deson!E370</f>
        <v>0</v>
      </c>
      <c r="F370" s="2" t="str">
        <f>VLOOKUP($B370,[5]BOLETIM_SEL!$A:$H,6,0)</f>
        <v>KG</v>
      </c>
      <c r="G370" s="1407">
        <f>VLOOKUP($B370,[5]BOLETIM_SEL!$A:$H,7,0)</f>
        <v>10.73</v>
      </c>
      <c r="H370" s="1613">
        <f>+Orçamento_Não_Deson!H370</f>
        <v>0</v>
      </c>
      <c r="I370" s="877">
        <f t="shared" si="74"/>
        <v>13.59</v>
      </c>
      <c r="J370" s="1612">
        <f t="shared" si="75"/>
        <v>0</v>
      </c>
      <c r="K370" s="2078">
        <f t="shared" ca="1" si="76"/>
        <v>0</v>
      </c>
      <c r="L370" s="1574" t="e">
        <f t="shared" si="77"/>
        <v>#DIV/0!</v>
      </c>
      <c r="M370" s="1974"/>
      <c r="N370" s="833"/>
      <c r="O370" s="833"/>
      <c r="Q370" s="833"/>
      <c r="R370" s="833"/>
      <c r="S370" s="833"/>
      <c r="T370" s="833"/>
      <c r="U370" s="833"/>
      <c r="V370" s="833"/>
      <c r="W370" s="833"/>
      <c r="X370" s="833"/>
    </row>
    <row r="371" spans="1:24" s="813" customFormat="1" ht="39.950000000000003" hidden="1" customHeight="1" x14ac:dyDescent="0.15">
      <c r="A371" s="2081">
        <f ca="1">+Orçamento_Não_Deson!A371</f>
        <v>5</v>
      </c>
      <c r="B371" s="834">
        <f>+Orçamento_Não_Deson!B371</f>
        <v>91594</v>
      </c>
      <c r="C371" s="2" t="str">
        <f>VLOOKUP($B371,[5]BOLETIM_SEL!$A:$H,2,0)</f>
        <v>SINAPI</v>
      </c>
      <c r="D371" s="315" t="str">
        <f>VLOOKUP($B371,[5]BOLETIM_SEL!$A:$H,4,0)</f>
        <v>Armação em tela soldada nervurada Q-92 (15x15cm) #4,2x4,2mm (1,48kg/m²), aço CA-60, para estrutura, fornecimento e aplicação</v>
      </c>
      <c r="E371" s="2">
        <f>+Orçamento_Não_Deson!E371</f>
        <v>0</v>
      </c>
      <c r="F371" s="2" t="str">
        <f>VLOOKUP($B371,[5]BOLETIM_SEL!$A:$H,6,0)</f>
        <v>KG</v>
      </c>
      <c r="G371" s="1407">
        <f>VLOOKUP($B371,[5]BOLETIM_SEL!$A:$H,7,0)</f>
        <v>11.09</v>
      </c>
      <c r="H371" s="1613">
        <f>+Orçamento_Não_Deson!H371</f>
        <v>0</v>
      </c>
      <c r="I371" s="877">
        <f t="shared" si="74"/>
        <v>14.05</v>
      </c>
      <c r="J371" s="1612">
        <f t="shared" si="75"/>
        <v>0</v>
      </c>
      <c r="K371" s="2078">
        <f t="shared" ca="1" si="76"/>
        <v>0</v>
      </c>
      <c r="L371" s="1574" t="e">
        <f t="shared" si="77"/>
        <v>#DIV/0!</v>
      </c>
      <c r="M371" s="1974"/>
      <c r="N371" s="833"/>
      <c r="O371" s="833"/>
      <c r="Q371" s="833"/>
      <c r="R371" s="833"/>
      <c r="S371" s="833"/>
      <c r="T371" s="833"/>
      <c r="U371" s="833"/>
      <c r="V371" s="833"/>
      <c r="W371" s="833"/>
      <c r="X371" s="833"/>
    </row>
    <row r="372" spans="1:24" s="813" customFormat="1" ht="39.950000000000003" hidden="1" customHeight="1" x14ac:dyDescent="0.15">
      <c r="A372" s="2081">
        <f ca="1">Orçamento_Não_Deson!A372</f>
        <v>5</v>
      </c>
      <c r="B372" s="834" t="str">
        <f>Orçamento_Não_Deson!B372</f>
        <v>EC/0020</v>
      </c>
      <c r="C372" s="2" t="str">
        <f>VLOOKUP($B372,[5]BOLETIM_SEL!$A:$H,2,0)</f>
        <v>COMPOSIÇÃO</v>
      </c>
      <c r="D372" s="315" t="str">
        <f>VLOOKUP($B372,[5]BOLETIM_SEL!$A:$H,4,0)</f>
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</c>
      <c r="E372" s="2">
        <f>Orçamento_Não_Deson!E372</f>
        <v>0</v>
      </c>
      <c r="F372" s="2" t="str">
        <f>VLOOKUP($B372,[5]BOLETIM_SEL!$A:$H,6,0)</f>
        <v>M3</v>
      </c>
      <c r="G372" s="1407">
        <f>VLOOKUP($B372,[5]BOLETIM_SEL!$A:$H,7,0)</f>
        <v>708.08</v>
      </c>
      <c r="H372" s="1613">
        <f>Orçamento_Não_Deson!H372</f>
        <v>0</v>
      </c>
      <c r="I372" s="877">
        <f t="shared" si="74"/>
        <v>897.42</v>
      </c>
      <c r="J372" s="1612">
        <f t="shared" si="75"/>
        <v>0</v>
      </c>
      <c r="K372" s="2078">
        <f t="shared" ca="1" si="76"/>
        <v>0</v>
      </c>
      <c r="L372" s="1574" t="e">
        <f t="shared" si="77"/>
        <v>#DIV/0!</v>
      </c>
      <c r="M372" s="1974"/>
      <c r="N372" s="833"/>
      <c r="O372" s="833"/>
      <c r="Q372" s="833"/>
      <c r="R372" s="833"/>
      <c r="S372" s="833"/>
      <c r="T372" s="833"/>
      <c r="U372" s="833"/>
      <c r="V372" s="833"/>
      <c r="W372" s="833"/>
      <c r="X372" s="833"/>
    </row>
    <row r="373" spans="1:24" s="813" customFormat="1" ht="39.950000000000003" hidden="1" customHeight="1" x14ac:dyDescent="0.15">
      <c r="A373" s="2081">
        <f ca="1">+Orçamento_Não_Deson!A373</f>
        <v>5</v>
      </c>
      <c r="B373" s="834" t="str">
        <f>+Orçamento_Não_Deson!B373</f>
        <v>EC/0025</v>
      </c>
      <c r="C373" s="2" t="str">
        <f>VLOOKUP($B373,[5]BOLETIM_SEL!$A:$H,2,0)</f>
        <v>COMPOSIÇÃO</v>
      </c>
      <c r="D373" s="315" t="str">
        <f>VLOOKUP($B373,[5]BOLETIM_SEL!$A:$H,4,0)</f>
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</c>
      <c r="E373" s="2">
        <f>+Orçamento_Não_Deson!E373</f>
        <v>0</v>
      </c>
      <c r="F373" s="2" t="str">
        <f>VLOOKUP($B373,[5]BOLETIM_SEL!$A:$H,6,0)</f>
        <v>M3</v>
      </c>
      <c r="G373" s="1407">
        <f>VLOOKUP($B373,[5]BOLETIM_SEL!$A:$H,7,0)</f>
        <v>829.66</v>
      </c>
      <c r="H373" s="1613">
        <f>+Orçamento_Não_Deson!H373</f>
        <v>0</v>
      </c>
      <c r="I373" s="877">
        <f t="shared" si="74"/>
        <v>1051.51</v>
      </c>
      <c r="J373" s="1612">
        <f t="shared" si="75"/>
        <v>0</v>
      </c>
      <c r="K373" s="2078">
        <f t="shared" ca="1" si="76"/>
        <v>0</v>
      </c>
      <c r="L373" s="1574" t="e">
        <f t="shared" si="77"/>
        <v>#DIV/0!</v>
      </c>
      <c r="M373" s="1974"/>
      <c r="N373" s="833"/>
      <c r="O373" s="833"/>
      <c r="Q373" s="833"/>
      <c r="R373" s="833"/>
      <c r="S373" s="833"/>
      <c r="T373" s="833"/>
      <c r="U373" s="833"/>
      <c r="V373" s="833"/>
      <c r="W373" s="833"/>
      <c r="X373" s="833"/>
    </row>
    <row r="374" spans="1:24" s="813" customFormat="1" ht="39.950000000000003" hidden="1" customHeight="1" x14ac:dyDescent="0.15">
      <c r="A374" s="2081">
        <f ca="1">+Orçamento_Não_Deson!A374</f>
        <v>5</v>
      </c>
      <c r="B374" s="834" t="str">
        <f>+Orçamento_Não_Deson!B374</f>
        <v>EC/0030</v>
      </c>
      <c r="C374" s="2" t="str">
        <f>VLOOKUP($B374,[5]BOLETIM_SEL!$A:$H,2,0)</f>
        <v>COMPOSIÇÃO</v>
      </c>
      <c r="D374" s="315" t="str">
        <f>VLOOKUP($B374,[5]BOLETIM_SEL!$A:$H,4,0)</f>
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</c>
      <c r="E374" s="2">
        <f>+Orçamento_Não_Deson!E374</f>
        <v>0</v>
      </c>
      <c r="F374" s="2" t="str">
        <f>VLOOKUP($B374,[5]BOLETIM_SEL!$A:$H,6,0)</f>
        <v>M3</v>
      </c>
      <c r="G374" s="1407">
        <f>VLOOKUP($B374,[5]BOLETIM_SEL!$A:$H,7,0)</f>
        <v>897.81</v>
      </c>
      <c r="H374" s="1613">
        <f>+Orçamento_Não_Deson!H374</f>
        <v>0</v>
      </c>
      <c r="I374" s="877">
        <f t="shared" si="74"/>
        <v>1137.8800000000001</v>
      </c>
      <c r="J374" s="1612">
        <f t="shared" si="75"/>
        <v>0</v>
      </c>
      <c r="K374" s="2078">
        <f t="shared" ca="1" si="76"/>
        <v>0</v>
      </c>
      <c r="L374" s="1574" t="e">
        <f t="shared" si="77"/>
        <v>#DIV/0!</v>
      </c>
      <c r="M374" s="1974"/>
      <c r="N374" s="833"/>
      <c r="O374" s="833"/>
      <c r="Q374" s="833"/>
      <c r="R374" s="833"/>
      <c r="S374" s="833"/>
      <c r="T374" s="833"/>
      <c r="U374" s="833"/>
      <c r="V374" s="833"/>
      <c r="W374" s="833"/>
      <c r="X374" s="833"/>
    </row>
    <row r="375" spans="1:24" s="813" customFormat="1" ht="39.950000000000003" hidden="1" customHeight="1" x14ac:dyDescent="0.15">
      <c r="A375" s="2081">
        <f ca="1">+Orçamento_Não_Deson!A375</f>
        <v>5</v>
      </c>
      <c r="B375" s="834">
        <f>+Orçamento_Não_Deson!B375</f>
        <v>92749</v>
      </c>
      <c r="C375" s="2" t="str">
        <f>VLOOKUP($B375,[5]BOLETIM_SEL!$A:$H,2,0)</f>
        <v>SINAPI</v>
      </c>
      <c r="D375" s="315" t="str">
        <f>VLOOKUP($B375,[5]BOLETIM_SEL!$A:$H,4,0)</f>
        <v>Muro de gabião, enchimento com pedra de mão tipo rachão, com solo reforçado, para muros com altura menor ou igual a 4 m fornecimento e execução. AF_12/2015</v>
      </c>
      <c r="E375" s="2">
        <f>+Orçamento_Não_Deson!E375</f>
        <v>0</v>
      </c>
      <c r="F375" s="2" t="str">
        <f>VLOOKUP($B375,[5]BOLETIM_SEL!$A:$H,6,0)</f>
        <v>M3</v>
      </c>
      <c r="G375" s="1407">
        <f>VLOOKUP($B375,[5]BOLETIM_SEL!$A:$H,7,0)</f>
        <v>815.8</v>
      </c>
      <c r="H375" s="1613">
        <f>+Orçamento_Não_Deson!H375</f>
        <v>0</v>
      </c>
      <c r="I375" s="877">
        <f t="shared" si="74"/>
        <v>1033.94</v>
      </c>
      <c r="J375" s="1612">
        <f t="shared" si="75"/>
        <v>0</v>
      </c>
      <c r="K375" s="2078">
        <f t="shared" ca="1" si="76"/>
        <v>0</v>
      </c>
      <c r="L375" s="1574" t="e">
        <f t="shared" si="77"/>
        <v>#DIV/0!</v>
      </c>
      <c r="M375" s="1974"/>
      <c r="N375" s="833"/>
      <c r="O375" s="833"/>
      <c r="Q375" s="833"/>
      <c r="R375" s="833"/>
      <c r="S375" s="833"/>
      <c r="T375" s="833"/>
      <c r="U375" s="833"/>
      <c r="V375" s="833"/>
      <c r="W375" s="833"/>
      <c r="X375" s="833"/>
    </row>
    <row r="376" spans="1:24" s="813" customFormat="1" ht="39.950000000000003" hidden="1" customHeight="1" x14ac:dyDescent="0.15">
      <c r="A376" s="2081">
        <f ca="1">+Orçamento_Não_Deson!A376</f>
        <v>5</v>
      </c>
      <c r="B376" s="834" t="str">
        <f>+Orçamento_Não_Deson!B376</f>
        <v>EC-0033</v>
      </c>
      <c r="C376" s="2" t="str">
        <f>VLOOKUP($B376,[5]BOLETIM_SEL!$A:$H,2,0)</f>
        <v>COMPOSIÇÃO</v>
      </c>
      <c r="D376" s="315" t="str">
        <f>VLOOKUP($B376,[5]BOLETIM_SEL!$A:$H,4,0)</f>
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</c>
      <c r="E376" s="2">
        <f>+Orçamento_Não_Deson!E376</f>
        <v>0</v>
      </c>
      <c r="F376" s="2" t="str">
        <f>VLOOKUP($B376,[5]BOLETIM_SEL!$A:$H,6,0)</f>
        <v>M3</v>
      </c>
      <c r="G376" s="1407">
        <f>VLOOKUP($B376,[5]BOLETIM_SEL!$A:$H,7,0)</f>
        <v>857.96</v>
      </c>
      <c r="H376" s="1613">
        <f>+Orçamento_Não_Deson!H376</f>
        <v>0</v>
      </c>
      <c r="I376" s="877">
        <f t="shared" si="74"/>
        <v>1087.3699999999999</v>
      </c>
      <c r="J376" s="1612">
        <f t="shared" si="75"/>
        <v>0</v>
      </c>
      <c r="K376" s="2078">
        <f t="shared" ca="1" si="76"/>
        <v>0</v>
      </c>
      <c r="L376" s="1574" t="e">
        <f t="shared" si="77"/>
        <v>#DIV/0!</v>
      </c>
      <c r="M376" s="1974"/>
      <c r="N376" s="833"/>
      <c r="O376" s="833"/>
      <c r="Q376" s="833"/>
      <c r="R376" s="833"/>
      <c r="S376" s="833"/>
      <c r="T376" s="833"/>
      <c r="U376" s="833"/>
      <c r="V376" s="833"/>
      <c r="W376" s="833"/>
      <c r="X376" s="833"/>
    </row>
    <row r="377" spans="1:24" s="813" customFormat="1" ht="39.950000000000003" hidden="1" customHeight="1" x14ac:dyDescent="0.15">
      <c r="A377" s="2081">
        <f ca="1">+Orçamento_Não_Deson!A377</f>
        <v>5</v>
      </c>
      <c r="B377" s="834">
        <f>+Orçamento_Não_Deson!B377</f>
        <v>92750</v>
      </c>
      <c r="C377" s="2" t="str">
        <f>VLOOKUP($B377,[5]BOLETIM_SEL!$A:$H,2,0)</f>
        <v>SINAPI</v>
      </c>
      <c r="D377" s="315" t="str">
        <f>VLOOKUP($B377,[5]BOLETIM_SEL!$A:$H,4,0)</f>
        <v>Muro de gabião, enchimento com pedra de mão tipo rachão, com solo reforçado, para muros com altura maior que 4 m e menor ou igual a 12 m fornecimento e execução. AF_12/2015</v>
      </c>
      <c r="E377" s="2">
        <f>+Orçamento_Não_Deson!E377</f>
        <v>0</v>
      </c>
      <c r="F377" s="2" t="str">
        <f>VLOOKUP($B377,[5]BOLETIM_SEL!$A:$H,6,0)</f>
        <v>M3</v>
      </c>
      <c r="G377" s="1407">
        <f>VLOOKUP($B377,[5]BOLETIM_SEL!$A:$H,7,0)</f>
        <v>1374.47</v>
      </c>
      <c r="H377" s="1613">
        <f>+Orçamento_Não_Deson!H377</f>
        <v>0</v>
      </c>
      <c r="I377" s="877">
        <f t="shared" si="74"/>
        <v>1742</v>
      </c>
      <c r="J377" s="1612">
        <f t="shared" si="75"/>
        <v>0</v>
      </c>
      <c r="K377" s="2078">
        <f t="shared" ca="1" si="76"/>
        <v>0</v>
      </c>
      <c r="L377" s="1574" t="e">
        <f t="shared" si="77"/>
        <v>#DIV/0!</v>
      </c>
      <c r="M377" s="1974"/>
      <c r="N377" s="833"/>
      <c r="O377" s="833"/>
      <c r="Q377" s="833"/>
      <c r="R377" s="833"/>
      <c r="S377" s="833"/>
      <c r="T377" s="833"/>
      <c r="U377" s="833"/>
      <c r="V377" s="833"/>
      <c r="W377" s="833"/>
      <c r="X377" s="833"/>
    </row>
    <row r="378" spans="1:24" s="813" customFormat="1" ht="39.950000000000003" hidden="1" customHeight="1" x14ac:dyDescent="0.15">
      <c r="A378" s="2081">
        <f ca="1">+Orçamento_Não_Deson!A378</f>
        <v>5</v>
      </c>
      <c r="B378" s="834" t="str">
        <f>+Orçamento_Não_Deson!B378</f>
        <v>EC/0035</v>
      </c>
      <c r="C378" s="2" t="str">
        <f>VLOOKUP($B378,[5]BOLETIM_SEL!$A:$H,2,0)</f>
        <v>COMPOSIÇÃO</v>
      </c>
      <c r="D378" s="315" t="str">
        <f>VLOOKUP($B378,[5]BOLETIM_SEL!$A:$H,4,0)</f>
        <v>Muro de gabião, enchimento com pedra de mão tipo rachão, para solo reforçado com gaiolas com painel de ancoragem de 5 m (ZN/AL+PVC # 8x10cm Ø2.7mm), altura do muro acima de 4 e até 12 metros, geotêxtil RT10 - fornecimento e execução. Exclusive transporte</v>
      </c>
      <c r="E378" s="2">
        <f>+Orçamento_Não_Deson!E378</f>
        <v>0</v>
      </c>
      <c r="F378" s="2" t="str">
        <f>VLOOKUP($B378,[5]BOLETIM_SEL!$A:$H,6,0)</f>
        <v>M3</v>
      </c>
      <c r="G378" s="1407">
        <f>VLOOKUP($B378,[5]BOLETIM_SEL!$A:$H,7,0)</f>
        <v>1062.81</v>
      </c>
      <c r="H378" s="1613">
        <f>+Orçamento_Não_Deson!H378</f>
        <v>0</v>
      </c>
      <c r="I378" s="877">
        <f t="shared" si="74"/>
        <v>1347</v>
      </c>
      <c r="J378" s="1612">
        <f t="shared" si="75"/>
        <v>0</v>
      </c>
      <c r="K378" s="2078">
        <f t="shared" ca="1" si="76"/>
        <v>0</v>
      </c>
      <c r="L378" s="1574" t="e">
        <f t="shared" si="77"/>
        <v>#DIV/0!</v>
      </c>
      <c r="M378" s="1974"/>
      <c r="N378" s="833"/>
      <c r="O378" s="833"/>
      <c r="Q378" s="833"/>
      <c r="R378" s="833"/>
      <c r="S378" s="833"/>
      <c r="T378" s="833"/>
      <c r="U378" s="833"/>
      <c r="V378" s="833"/>
      <c r="W378" s="833"/>
      <c r="X378" s="833"/>
    </row>
    <row r="379" spans="1:24" s="813" customFormat="1" ht="39.950000000000003" hidden="1" customHeight="1" x14ac:dyDescent="0.15">
      <c r="A379" s="2081">
        <f ca="1">+Orçamento_Não_Deson!A379</f>
        <v>5</v>
      </c>
      <c r="B379" s="834" t="str">
        <f>+Orçamento_Não_Deson!B379</f>
        <v>EC/0040</v>
      </c>
      <c r="C379" s="2" t="str">
        <f>VLOOKUP($B379,[5]BOLETIM_SEL!$A:$H,2,0)</f>
        <v>COMPOSIÇÃO</v>
      </c>
      <c r="D379" s="315" t="str">
        <f>VLOOKUP($B379,[5]BOLETIM_SEL!$A:$H,4,0)</f>
        <v>Muro de gabião, enchimento com pedra de mão tipo rachão, para solo reforçado com gaiolas com painel de ancoragem de 6 m (ZN/AL+PVC # 8x10cm Ø2.7mm), altura do muro acima de 4 e até 12 metros, geotêxtil RT10 - fornecimento e execução. Exclusive transporte</v>
      </c>
      <c r="E379" s="2">
        <f>+Orçamento_Não_Deson!E379</f>
        <v>0</v>
      </c>
      <c r="F379" s="2" t="str">
        <f>VLOOKUP($B379,[5]BOLETIM_SEL!$A:$H,6,0)</f>
        <v>M3</v>
      </c>
      <c r="G379" s="1407">
        <f>VLOOKUP($B379,[5]BOLETIM_SEL!$A:$H,7,0)</f>
        <v>1128.1500000000001</v>
      </c>
      <c r="H379" s="1613">
        <f>+Orçamento_Não_Deson!H379</f>
        <v>0</v>
      </c>
      <c r="I379" s="877">
        <f t="shared" si="74"/>
        <v>1429.81</v>
      </c>
      <c r="J379" s="1612">
        <f t="shared" si="75"/>
        <v>0</v>
      </c>
      <c r="K379" s="2078">
        <f t="shared" ca="1" si="76"/>
        <v>0</v>
      </c>
      <c r="L379" s="1574" t="e">
        <f t="shared" si="77"/>
        <v>#DIV/0!</v>
      </c>
      <c r="M379" s="1974"/>
      <c r="N379" s="833"/>
      <c r="O379" s="833"/>
      <c r="Q379" s="833"/>
      <c r="R379" s="833"/>
      <c r="S379" s="833"/>
      <c r="T379" s="833"/>
      <c r="U379" s="833"/>
      <c r="V379" s="833"/>
      <c r="W379" s="833"/>
      <c r="X379" s="833"/>
    </row>
    <row r="380" spans="1:24" s="813" customFormat="1" ht="39.950000000000003" hidden="1" customHeight="1" x14ac:dyDescent="0.15">
      <c r="A380" s="2081">
        <f ca="1">+Orçamento_Não_Deson!A380</f>
        <v>5</v>
      </c>
      <c r="B380" s="834">
        <f>+Orçamento_Não_Deson!B380</f>
        <v>92755</v>
      </c>
      <c r="C380" s="2" t="str">
        <f>VLOOKUP($B380,[5]BOLETIM_SEL!$A:$H,2,0)</f>
        <v>SINAPI</v>
      </c>
      <c r="D380" s="315" t="str">
        <f>VLOOKUP($B380,[5]BOLETIM_SEL!$A:$H,4,0)</f>
        <v>Proteção superficial de canal em gabião tipo colchão, altura de 17 centímetros, enchimento com pedra de mão tipo rachão - fornecimento e execução. AF_12/2015</v>
      </c>
      <c r="E380" s="2">
        <f>+Orçamento_Não_Deson!E380</f>
        <v>0</v>
      </c>
      <c r="F380" s="2" t="str">
        <f>VLOOKUP($B380,[5]BOLETIM_SEL!$A:$H,6,0)</f>
        <v>M2</v>
      </c>
      <c r="G380" s="1407">
        <f>VLOOKUP($B380,[5]BOLETIM_SEL!$A:$H,7,0)</f>
        <v>211.13</v>
      </c>
      <c r="H380" s="1613">
        <f>+Orçamento_Não_Deson!H380</f>
        <v>0</v>
      </c>
      <c r="I380" s="877">
        <f t="shared" si="74"/>
        <v>267.58</v>
      </c>
      <c r="J380" s="1612">
        <f t="shared" si="75"/>
        <v>0</v>
      </c>
      <c r="K380" s="2078">
        <f t="shared" ca="1" si="76"/>
        <v>0</v>
      </c>
      <c r="L380" s="1574" t="e">
        <f t="shared" si="77"/>
        <v>#DIV/0!</v>
      </c>
      <c r="M380" s="1974"/>
      <c r="N380" s="833"/>
      <c r="O380" s="833"/>
      <c r="Q380" s="833"/>
      <c r="R380" s="833"/>
      <c r="S380" s="833"/>
      <c r="T380" s="833"/>
      <c r="U380" s="833"/>
      <c r="V380" s="833"/>
      <c r="W380" s="833"/>
      <c r="X380" s="833"/>
    </row>
    <row r="381" spans="1:24" s="813" customFormat="1" ht="39.950000000000003" hidden="1" customHeight="1" x14ac:dyDescent="0.15">
      <c r="A381" s="2081">
        <f ca="1">+Orçamento_Não_Deson!A381</f>
        <v>5</v>
      </c>
      <c r="B381" s="834">
        <f>+Orçamento_Não_Deson!B381</f>
        <v>92756</v>
      </c>
      <c r="C381" s="2" t="str">
        <f>VLOOKUP($B381,[5]BOLETIM_SEL!$A:$H,2,0)</f>
        <v>SINAPI</v>
      </c>
      <c r="D381" s="315" t="str">
        <f>VLOOKUP($B381,[5]BOLETIM_SEL!$A:$H,4,0)</f>
        <v>Proteção superficial de canal em gabião tipo colchão, altura de 23 centímetros, enchimento com pedra de mão tipo rachão - fornecimento e execução. AF_12/2015</v>
      </c>
      <c r="E381" s="2">
        <f>+Orçamento_Não_Deson!E381</f>
        <v>0</v>
      </c>
      <c r="F381" s="2" t="str">
        <f>VLOOKUP($B381,[5]BOLETIM_SEL!$A:$H,6,0)</f>
        <v>M2</v>
      </c>
      <c r="G381" s="1407">
        <f>VLOOKUP($B381,[5]BOLETIM_SEL!$A:$H,7,0)</f>
        <v>239.8</v>
      </c>
      <c r="H381" s="1613">
        <f>+Orçamento_Não_Deson!H381</f>
        <v>0</v>
      </c>
      <c r="I381" s="877">
        <f t="shared" si="74"/>
        <v>303.92</v>
      </c>
      <c r="J381" s="1612">
        <f t="shared" si="75"/>
        <v>0</v>
      </c>
      <c r="K381" s="2078">
        <f t="shared" ca="1" si="76"/>
        <v>0</v>
      </c>
      <c r="L381" s="1574" t="e">
        <f t="shared" si="77"/>
        <v>#DIV/0!</v>
      </c>
      <c r="M381" s="1974"/>
      <c r="O381" s="833"/>
      <c r="P381" s="833"/>
      <c r="Q381" s="833"/>
      <c r="R381" s="833"/>
      <c r="S381" s="833"/>
      <c r="T381" s="833"/>
      <c r="U381" s="833"/>
      <c r="V381" s="833"/>
      <c r="W381" s="833"/>
      <c r="X381" s="833"/>
    </row>
    <row r="382" spans="1:24" s="813" customFormat="1" ht="39.950000000000003" hidden="1" customHeight="1" x14ac:dyDescent="0.15">
      <c r="A382" s="2081">
        <f ca="1">+Orçamento_Não_Deson!A382</f>
        <v>5</v>
      </c>
      <c r="B382" s="834">
        <f>+Orçamento_Não_Deson!B382</f>
        <v>92757</v>
      </c>
      <c r="C382" s="2" t="str">
        <f>VLOOKUP($B382,[5]BOLETIM_SEL!$A:$H,2,0)</f>
        <v>SINAPI</v>
      </c>
      <c r="D382" s="315" t="str">
        <f>VLOOKUP($B382,[5]BOLETIM_SEL!$A:$H,4,0)</f>
        <v>Proteção superficial de canal em gabião tipo colchão, altura de 30 centímetros, enchimento com pedra de mão tipo rachão - fornecimento e execução. AF_12/2015</v>
      </c>
      <c r="E382" s="2">
        <f>+Orçamento_Não_Deson!E382</f>
        <v>0</v>
      </c>
      <c r="F382" s="2" t="str">
        <f>VLOOKUP($B382,[5]BOLETIM_SEL!$A:$H,6,0)</f>
        <v>M2</v>
      </c>
      <c r="G382" s="1407">
        <f>VLOOKUP($B382,[5]BOLETIM_SEL!$A:$H,7,0)</f>
        <v>274.54000000000002</v>
      </c>
      <c r="H382" s="1613">
        <f>+Orçamento_Não_Deson!H382</f>
        <v>0</v>
      </c>
      <c r="I382" s="877">
        <f t="shared" si="74"/>
        <v>347.95</v>
      </c>
      <c r="J382" s="1612">
        <f t="shared" si="75"/>
        <v>0</v>
      </c>
      <c r="K382" s="2078">
        <f t="shared" ca="1" si="76"/>
        <v>0</v>
      </c>
      <c r="L382" s="1574" t="e">
        <f t="shared" si="77"/>
        <v>#DIV/0!</v>
      </c>
      <c r="M382" s="1974"/>
      <c r="O382" s="833"/>
      <c r="P382" s="833"/>
      <c r="Q382" s="833"/>
      <c r="R382" s="833"/>
      <c r="S382" s="833"/>
      <c r="T382" s="833"/>
      <c r="U382" s="833"/>
      <c r="V382" s="833"/>
      <c r="W382" s="833"/>
      <c r="X382" s="833"/>
    </row>
    <row r="383" spans="1:24" s="813" customFormat="1" ht="39.950000000000003" hidden="1" customHeight="1" x14ac:dyDescent="0.15">
      <c r="A383" s="2081">
        <f ca="1">+Orçamento_Não_Deson!A383</f>
        <v>5</v>
      </c>
      <c r="B383" s="834">
        <f>+Orçamento_Não_Deson!B383</f>
        <v>92758</v>
      </c>
      <c r="C383" s="2" t="str">
        <f>VLOOKUP($B383,[5]BOLETIM_SEL!$A:$H,2,0)</f>
        <v>SINAPI</v>
      </c>
      <c r="D383" s="315" t="str">
        <f>VLOOKUP($B383,[5]BOLETIM_SEL!$A:$H,4,0)</f>
        <v>Proteção superficial de canal em gabião tipo saco (ZN/AL+PVC # 8x10cm Ø2,4mm), diâmetro de 65 centímetros, enchimento manual com pedra de mão tipo rachão - fornecimento e execução. Exclusive transporte AF_12/2015</v>
      </c>
      <c r="E383" s="2">
        <f>+Orçamento_Não_Deson!E383</f>
        <v>0</v>
      </c>
      <c r="F383" s="2" t="str">
        <f>VLOOKUP($B383,[5]BOLETIM_SEL!$A:$H,6,0)</f>
        <v>M3</v>
      </c>
      <c r="G383" s="1407">
        <f>VLOOKUP($B383,[5]BOLETIM_SEL!$A:$H,7,0)</f>
        <v>625.66</v>
      </c>
      <c r="H383" s="1613">
        <f>+Orçamento_Não_Deson!H383</f>
        <v>0</v>
      </c>
      <c r="I383" s="877">
        <f t="shared" si="74"/>
        <v>792.96</v>
      </c>
      <c r="J383" s="1612">
        <f t="shared" si="75"/>
        <v>0</v>
      </c>
      <c r="K383" s="2078">
        <f t="shared" ca="1" si="76"/>
        <v>0</v>
      </c>
      <c r="L383" s="1574" t="e">
        <f t="shared" si="77"/>
        <v>#DIV/0!</v>
      </c>
      <c r="M383" s="1974"/>
      <c r="O383" s="833"/>
      <c r="P383" s="833"/>
      <c r="Q383" s="833"/>
      <c r="R383" s="833"/>
      <c r="S383" s="833"/>
      <c r="T383" s="833"/>
      <c r="U383" s="833"/>
      <c r="V383" s="833"/>
      <c r="W383" s="833"/>
      <c r="X383" s="833"/>
    </row>
    <row r="384" spans="1:24" s="813" customFormat="1" ht="39.950000000000003" hidden="1" customHeight="1" x14ac:dyDescent="0.15">
      <c r="A384" s="2081">
        <f ca="1">+Orçamento_Não_Deson!A384</f>
        <v>5</v>
      </c>
      <c r="B384" s="834" t="str">
        <f>+Orçamento_Não_Deson!B384</f>
        <v>SC/0100</v>
      </c>
      <c r="C384" s="2" t="str">
        <f>VLOOKUP($B384,[5]BOLETIM_SEL!$A:$H,2,0)</f>
        <v>COMPOSIÇÃO</v>
      </c>
      <c r="D384" s="315" t="str">
        <f>VLOOKUP($B384,[5]BOLETIM_SEL!$A:$H,4,0)</f>
        <v>Tubo aço galvanizado com costura para guarda-corpo, classe leve, DN 40 mm (1 1/2"),  DIN 2440 / NBR 5580 classe leve, espessura 3,00 mm, *3,48* kg/m</v>
      </c>
      <c r="E384" s="2">
        <f>+Orçamento_Não_Deson!E384</f>
        <v>0</v>
      </c>
      <c r="F384" s="2" t="str">
        <f>VLOOKUP($B384,[5]BOLETIM_SEL!$A:$H,6,0)</f>
        <v>M</v>
      </c>
      <c r="G384" s="1407">
        <f>VLOOKUP($B384,[5]BOLETIM_SEL!$A:$H,7,0)</f>
        <v>60.71</v>
      </c>
      <c r="H384" s="1613">
        <f>+Orçamento_Não_Deson!H384</f>
        <v>0</v>
      </c>
      <c r="I384" s="877">
        <f t="shared" si="74"/>
        <v>76.94</v>
      </c>
      <c r="J384" s="1612">
        <f t="shared" si="75"/>
        <v>0</v>
      </c>
      <c r="K384" s="2078">
        <f t="shared" ca="1" si="76"/>
        <v>0</v>
      </c>
      <c r="L384" s="1574" t="e">
        <f t="shared" si="77"/>
        <v>#DIV/0!</v>
      </c>
      <c r="M384" s="1974"/>
      <c r="O384" s="833"/>
      <c r="P384" s="833"/>
      <c r="Q384" s="833"/>
      <c r="R384" s="833"/>
      <c r="S384" s="833"/>
      <c r="T384" s="833"/>
      <c r="U384" s="833"/>
      <c r="V384" s="833"/>
      <c r="W384" s="833"/>
      <c r="X384" s="833"/>
    </row>
    <row r="385" spans="1:24" s="813" customFormat="1" ht="39.950000000000003" hidden="1" customHeight="1" x14ac:dyDescent="0.15">
      <c r="A385" s="2081">
        <f ca="1">+Orçamento_Não_Deson!A385</f>
        <v>5</v>
      </c>
      <c r="B385" s="834" t="str">
        <f>+Orçamento_Não_Deson!B385</f>
        <v>SC/0105</v>
      </c>
      <c r="C385" s="2" t="str">
        <f>VLOOKUP($B385,[5]BOLETIM_SEL!$A:$H,2,0)</f>
        <v>COMPOSIÇÃO</v>
      </c>
      <c r="D385" s="315" t="str">
        <f>VLOOKUP($B385,[5]BOLETIM_SEL!$A:$H,4,0)</f>
        <v>Tubo aço galvanizado com costura para guarda-corpo, classe leve, DN 50 mm (2"),  DIN 2440 / NBR 5580 classe leve, espessura 3,00 mm, *4,40* kg/m</v>
      </c>
      <c r="E385" s="2">
        <f>+Orçamento_Não_Deson!E385</f>
        <v>0</v>
      </c>
      <c r="F385" s="2" t="str">
        <f>VLOOKUP($B385,[5]BOLETIM_SEL!$A:$H,6,0)</f>
        <v>M</v>
      </c>
      <c r="G385" s="1407">
        <f>VLOOKUP($B385,[5]BOLETIM_SEL!$A:$H,7,0)</f>
        <v>79.260000000000005</v>
      </c>
      <c r="H385" s="1613">
        <f>+Orçamento_Não_Deson!H385</f>
        <v>0</v>
      </c>
      <c r="I385" s="877">
        <f t="shared" si="74"/>
        <v>100.45</v>
      </c>
      <c r="J385" s="1612">
        <f t="shared" si="75"/>
        <v>0</v>
      </c>
      <c r="K385" s="2078">
        <f t="shared" ca="1" si="76"/>
        <v>0</v>
      </c>
      <c r="L385" s="1574" t="e">
        <f t="shared" si="77"/>
        <v>#DIV/0!</v>
      </c>
      <c r="M385" s="1974"/>
      <c r="O385" s="833"/>
      <c r="P385" s="833"/>
      <c r="Q385" s="833"/>
      <c r="R385" s="833"/>
      <c r="S385" s="833"/>
      <c r="T385" s="833"/>
      <c r="U385" s="833"/>
      <c r="V385" s="833"/>
      <c r="W385" s="833"/>
      <c r="X385" s="833"/>
    </row>
    <row r="386" spans="1:24" s="813" customFormat="1" ht="39.950000000000003" hidden="1" customHeight="1" x14ac:dyDescent="0.15">
      <c r="A386" s="2081"/>
      <c r="B386" s="834"/>
      <c r="C386" s="2"/>
      <c r="D386" s="1452" t="s">
        <v>2119</v>
      </c>
      <c r="E386" s="2"/>
      <c r="F386" s="2"/>
      <c r="G386" s="1407"/>
      <c r="H386" s="2"/>
      <c r="I386" s="2"/>
      <c r="J386" s="839" t="str">
        <f>IF(J387=0,"-","")</f>
        <v>-</v>
      </c>
      <c r="K386" s="2078"/>
      <c r="L386" s="1574"/>
      <c r="M386" s="1974"/>
      <c r="O386" s="833"/>
      <c r="P386" s="833"/>
      <c r="Q386" s="833"/>
      <c r="R386" s="833"/>
      <c r="S386" s="833"/>
      <c r="T386" s="833"/>
      <c r="U386" s="833"/>
      <c r="V386" s="833"/>
      <c r="W386" s="833"/>
      <c r="X386" s="833"/>
    </row>
    <row r="387" spans="1:24" s="813" customFormat="1" ht="39.950000000000003" hidden="1" customHeight="1" x14ac:dyDescent="0.15">
      <c r="A387" s="2081">
        <f ca="1">+Orçamento_Não_Deson!A387</f>
        <v>5</v>
      </c>
      <c r="B387" s="834" t="str">
        <f>+Orçamento_Não_Deson!B387</f>
        <v>SC/0115</v>
      </c>
      <c r="C387" s="2" t="str">
        <f>VLOOKUP($B387,[5]BOLETIM_SEL!$A:$H,2,0)</f>
        <v>COMPOSIÇÃO</v>
      </c>
      <c r="D387" s="315" t="str">
        <f>VLOOKUP($B387,[5]BOLETIM_SEL!$A:$H,4,0)</f>
        <v>Alambrado com tela de aço galvanizado, fio 14, malha 1½" , três fios de arame liso, poste curvo de concreto com altura livre de 1,80m, mureta de alvenaria com altura de 30cm, conforme projeto</v>
      </c>
      <c r="E387" s="2">
        <f>+Orçamento_Não_Deson!E387</f>
        <v>0</v>
      </c>
      <c r="F387" s="2" t="str">
        <f>VLOOKUP($B387,[5]BOLETIM_SEL!$A:$H,6,0)</f>
        <v>M</v>
      </c>
      <c r="G387" s="1407">
        <f>VLOOKUP($B387,[5]BOLETIM_SEL!$A:$H,7,0)</f>
        <v>199.79</v>
      </c>
      <c r="H387" s="1613">
        <f>+Orçamento_Não_Deson!H387</f>
        <v>0</v>
      </c>
      <c r="I387" s="877">
        <f t="shared" ref="I387:I399" si="81">TRUNC(G387*(1+$J$5),2)</f>
        <v>253.21</v>
      </c>
      <c r="J387" s="1612">
        <f t="shared" ref="J387:J399" si="82">TRUNC(H387*I387,2)</f>
        <v>0</v>
      </c>
      <c r="K387" s="2078">
        <f t="shared" ref="K387:K399" ca="1" si="83">J387/J$967</f>
        <v>0</v>
      </c>
      <c r="L387" s="1574" t="e">
        <f t="shared" ref="L387:L401" si="84">J387/$J$314</f>
        <v>#DIV/0!</v>
      </c>
      <c r="M387" s="1675"/>
      <c r="N387" s="833"/>
      <c r="O387" s="833"/>
      <c r="Q387" s="833"/>
      <c r="R387" s="833"/>
      <c r="S387" s="833"/>
      <c r="T387" s="833"/>
      <c r="U387" s="833"/>
      <c r="V387" s="833"/>
      <c r="W387" s="833"/>
      <c r="X387" s="833"/>
    </row>
    <row r="388" spans="1:24" s="813" customFormat="1" ht="39.950000000000003" hidden="1" customHeight="1" x14ac:dyDescent="0.15">
      <c r="A388" s="2081">
        <f ca="1">+Orçamento_Não_Deson!A388</f>
        <v>5</v>
      </c>
      <c r="B388" s="834">
        <f>+Orçamento_Não_Deson!B388</f>
        <v>101199</v>
      </c>
      <c r="C388" s="2" t="str">
        <f>VLOOKUP($B388,[5]BOLETIM_SEL!$A:$H,2,0)</f>
        <v>SINAPI</v>
      </c>
      <c r="D388" s="315" t="str">
        <f>VLOOKUP($B388,[5]BOLETIM_SEL!$A:$H,4,0)</f>
        <v>Cerca com mourões de concreto, seção "t" ponta inclinada, 10x10cm, espaçamento de 2,5m, cravados 0,5m, com 11 fios de arame misto - fornecimento e instalação. AF_05/2020</v>
      </c>
      <c r="E388" s="2">
        <f>+Orçamento_Não_Deson!E388</f>
        <v>0</v>
      </c>
      <c r="F388" s="2" t="str">
        <f>VLOOKUP($B388,[5]BOLETIM_SEL!$A:$H,6,0)</f>
        <v>M</v>
      </c>
      <c r="G388" s="1407">
        <f>VLOOKUP($B388,[5]BOLETIM_SEL!$A:$H,7,0)</f>
        <v>78.930000000000007</v>
      </c>
      <c r="H388" s="1613">
        <f>+Orçamento_Não_Deson!H388</f>
        <v>0</v>
      </c>
      <c r="I388" s="877">
        <f t="shared" si="81"/>
        <v>100.03</v>
      </c>
      <c r="J388" s="1612">
        <f t="shared" si="82"/>
        <v>0</v>
      </c>
      <c r="K388" s="2078">
        <f t="shared" ca="1" si="83"/>
        <v>0</v>
      </c>
      <c r="L388" s="1574" t="e">
        <f t="shared" si="84"/>
        <v>#DIV/0!</v>
      </c>
      <c r="M388" s="1675"/>
      <c r="N388" s="833"/>
      <c r="O388" s="833"/>
      <c r="Q388" s="833"/>
      <c r="R388" s="833"/>
      <c r="S388" s="833"/>
      <c r="T388" s="833"/>
      <c r="U388" s="833"/>
      <c r="V388" s="833"/>
      <c r="W388" s="833"/>
      <c r="X388" s="833"/>
    </row>
    <row r="389" spans="1:24" s="813" customFormat="1" ht="39.950000000000003" hidden="1" customHeight="1" x14ac:dyDescent="0.15">
      <c r="A389" s="2081">
        <f ca="1">+Orçamento_Não_Deson!A389</f>
        <v>5</v>
      </c>
      <c r="B389" s="834" t="str">
        <f>+Orçamento_Não_Deson!B389</f>
        <v>SC/0120</v>
      </c>
      <c r="C389" s="2" t="str">
        <f>VLOOKUP($B389,[5]BOLETIM_SEL!$A:$H,2,0)</f>
        <v>COMPOSIÇÃO</v>
      </c>
      <c r="D389" s="315" t="str">
        <f>VLOOKUP($B389,[5]BOLETIM_SEL!$A:$H,4,0)</f>
        <v>Portão para veículos em tela arame galvanizado n.12 malha 2" e moldura em tubos de aco com duas folhas de abrir, incluso ferragens (REF. SINAPI COD. 74238/2 - Descontinuado)</v>
      </c>
      <c r="E389" s="2">
        <f>+Orçamento_Não_Deson!E389</f>
        <v>0</v>
      </c>
      <c r="F389" s="2" t="str">
        <f>VLOOKUP($B389,[5]BOLETIM_SEL!$A:$H,6,0)</f>
        <v>M2</v>
      </c>
      <c r="G389" s="1407">
        <f>VLOOKUP($B389,[5]BOLETIM_SEL!$A:$H,7,0)</f>
        <v>975.13</v>
      </c>
      <c r="H389" s="1613">
        <f>+Orçamento_Não_Deson!H389</f>
        <v>0</v>
      </c>
      <c r="I389" s="877">
        <f t="shared" si="81"/>
        <v>1235.8699999999999</v>
      </c>
      <c r="J389" s="1612">
        <f t="shared" si="82"/>
        <v>0</v>
      </c>
      <c r="K389" s="2078">
        <f t="shared" ca="1" si="83"/>
        <v>0</v>
      </c>
      <c r="L389" s="1574" t="e">
        <f t="shared" si="84"/>
        <v>#DIV/0!</v>
      </c>
      <c r="M389" s="1675"/>
      <c r="N389" s="833"/>
      <c r="O389" s="833"/>
      <c r="Q389" s="833"/>
      <c r="R389" s="833"/>
      <c r="S389" s="833"/>
      <c r="T389" s="833"/>
      <c r="U389" s="833"/>
      <c r="V389" s="833"/>
      <c r="W389" s="833"/>
      <c r="X389" s="833"/>
    </row>
    <row r="390" spans="1:24" s="813" customFormat="1" ht="39.950000000000003" hidden="1" customHeight="1" x14ac:dyDescent="0.15">
      <c r="A390" s="2081">
        <f ca="1">+Orçamento_Não_Deson!A390</f>
        <v>5</v>
      </c>
      <c r="B390" s="834">
        <f>+Orçamento_Não_Deson!B390</f>
        <v>98504</v>
      </c>
      <c r="C390" s="2" t="str">
        <f>VLOOKUP($B390,[5]BOLETIM_SEL!$A:$H,2,0)</f>
        <v>SINAPI</v>
      </c>
      <c r="D390" s="315" t="str">
        <f>VLOOKUP($B390,[5]BOLETIM_SEL!$A:$H,4,0)</f>
        <v>Plantio de grama em placas. AF_05/2018</v>
      </c>
      <c r="E390" s="2">
        <f>+Orçamento_Não_Deson!E390</f>
        <v>0</v>
      </c>
      <c r="F390" s="2" t="str">
        <f>VLOOKUP($B390,[5]BOLETIM_SEL!$A:$H,6,0)</f>
        <v>M2</v>
      </c>
      <c r="G390" s="1407">
        <f>VLOOKUP($B390,[5]BOLETIM_SEL!$A:$H,7,0)</f>
        <v>9.5399999999999991</v>
      </c>
      <c r="H390" s="1613">
        <f>+Orçamento_Não_Deson!H390</f>
        <v>0</v>
      </c>
      <c r="I390" s="877">
        <f t="shared" si="81"/>
        <v>12.09</v>
      </c>
      <c r="J390" s="1612">
        <f t="shared" si="82"/>
        <v>0</v>
      </c>
      <c r="K390" s="2078">
        <f t="shared" ca="1" si="83"/>
        <v>0</v>
      </c>
      <c r="L390" s="1574" t="e">
        <f t="shared" si="84"/>
        <v>#DIV/0!</v>
      </c>
      <c r="M390" s="1975" t="str">
        <f>+Orçamento_Não_Deson!M390</f>
        <v>BATATAIS</v>
      </c>
      <c r="N390" s="833"/>
      <c r="O390" s="833"/>
      <c r="Q390" s="833"/>
      <c r="R390" s="833"/>
      <c r="S390" s="833"/>
      <c r="T390" s="833"/>
      <c r="U390" s="833"/>
      <c r="V390" s="833"/>
      <c r="W390" s="833"/>
      <c r="X390" s="833"/>
    </row>
    <row r="391" spans="1:24" s="813" customFormat="1" ht="39.950000000000003" hidden="1" customHeight="1" x14ac:dyDescent="0.15">
      <c r="A391" s="2081">
        <f ca="1">+Orçamento_Não_Deson!A391</f>
        <v>5</v>
      </c>
      <c r="B391" s="834" t="str">
        <f>+Orçamento_Não_Deson!B391</f>
        <v>SC/0250</v>
      </c>
      <c r="C391" s="2" t="str">
        <f>VLOOKUP($B391,[5]BOLETIM_SEL!$A:$H,2,0)</f>
        <v>COMPOSIÇÃO</v>
      </c>
      <c r="D391" s="315" t="str">
        <f>VLOOKUP($B391,[5]BOLETIM_SEL!$A:$H,4,0)</f>
        <v>Hidrossemeadura. Ref SICRO CÓD  4413905, DB 04-2021</v>
      </c>
      <c r="E391" s="2">
        <f>+Orçamento_Não_Deson!E391</f>
        <v>0</v>
      </c>
      <c r="F391" s="2" t="str">
        <f>VLOOKUP($B391,[5]BOLETIM_SEL!$A:$H,6,0)</f>
        <v>M2</v>
      </c>
      <c r="G391" s="1407">
        <f>VLOOKUP($B391,[5]BOLETIM_SEL!$A:$H,7,0)</f>
        <v>6.55</v>
      </c>
      <c r="H391" s="1613">
        <f>+Orçamento_Não_Deson!H391</f>
        <v>0</v>
      </c>
      <c r="I391" s="877">
        <f t="shared" ref="I391" si="85">TRUNC(G391*(1+$J$5),2)</f>
        <v>8.3000000000000007</v>
      </c>
      <c r="J391" s="1612">
        <f t="shared" ref="J391" si="86">TRUNC(H391*I391,2)</f>
        <v>0</v>
      </c>
      <c r="K391" s="2078">
        <f t="shared" ca="1" si="83"/>
        <v>0</v>
      </c>
      <c r="L391" s="1574" t="e">
        <f t="shared" ref="L391" si="87">J391/$J$314</f>
        <v>#DIV/0!</v>
      </c>
      <c r="M391" s="1975">
        <f>+Orçamento_Não_Deson!M391</f>
        <v>0</v>
      </c>
      <c r="N391" s="833"/>
      <c r="O391" s="833"/>
      <c r="Q391" s="833"/>
      <c r="R391" s="833"/>
      <c r="S391" s="833"/>
      <c r="T391" s="833"/>
      <c r="U391" s="833"/>
      <c r="V391" s="833"/>
      <c r="W391" s="833"/>
      <c r="X391" s="833"/>
    </row>
    <row r="392" spans="1:24" s="813" customFormat="1" ht="39.950000000000003" hidden="1" customHeight="1" x14ac:dyDescent="0.15">
      <c r="A392" s="2081">
        <f ca="1">+Orçamento_Não_Deson!A392</f>
        <v>5</v>
      </c>
      <c r="B392" s="834">
        <f>+Orçamento_Não_Deson!B392</f>
        <v>98510</v>
      </c>
      <c r="C392" s="2" t="str">
        <f>VLOOKUP($B392,[5]BOLETIM_SEL!$A:$H,2,0)</f>
        <v>SINAPI</v>
      </c>
      <c r="D392" s="315" t="str">
        <f>VLOOKUP($B392,[5]BOLETIM_SEL!$A:$H,4,0)</f>
        <v>Plantio de árvore ornamental com altura de muda menor ou igual a 2,00 m. AF_05/2018</v>
      </c>
      <c r="E392" s="2">
        <f>+Orçamento_Não_Deson!E392</f>
        <v>0</v>
      </c>
      <c r="F392" s="2" t="str">
        <f>VLOOKUP($B392,[5]BOLETIM_SEL!$A:$H,6,0)</f>
        <v>UN</v>
      </c>
      <c r="G392" s="1407">
        <f>VLOOKUP($B392,[5]BOLETIM_SEL!$A:$H,7,0)</f>
        <v>66.760000000000005</v>
      </c>
      <c r="H392" s="1613">
        <f>+Orçamento_Não_Deson!H392</f>
        <v>0</v>
      </c>
      <c r="I392" s="877">
        <f t="shared" si="81"/>
        <v>84.61</v>
      </c>
      <c r="J392" s="1612">
        <f t="shared" si="82"/>
        <v>0</v>
      </c>
      <c r="K392" s="2078">
        <f t="shared" ca="1" si="83"/>
        <v>0</v>
      </c>
      <c r="L392" s="1574" t="e">
        <f t="shared" si="84"/>
        <v>#DIV/0!</v>
      </c>
      <c r="M392" s="1975" t="str">
        <f>+Orçamento_Não_Deson!M392</f>
        <v>MENOR</v>
      </c>
      <c r="N392" s="833"/>
      <c r="O392" s="833"/>
      <c r="Q392" s="833"/>
      <c r="R392" s="833"/>
      <c r="S392" s="833"/>
      <c r="T392" s="833"/>
      <c r="U392" s="833"/>
      <c r="V392" s="833"/>
      <c r="W392" s="833"/>
      <c r="X392" s="833"/>
    </row>
    <row r="393" spans="1:24" s="813" customFormat="1" ht="39.950000000000003" hidden="1" customHeight="1" x14ac:dyDescent="0.15">
      <c r="A393" s="2081">
        <f ca="1">+Orçamento_Não_Deson!A393</f>
        <v>5</v>
      </c>
      <c r="B393" s="834">
        <f>+Orçamento_Não_Deson!B393</f>
        <v>98516</v>
      </c>
      <c r="C393" s="2" t="str">
        <f>VLOOKUP($B393,[5]BOLETIM_SEL!$A:$H,2,0)</f>
        <v>SINAPI</v>
      </c>
      <c r="D393" s="315" t="str">
        <f>VLOOKUP($B393,[5]BOLETIM_SEL!$A:$H,4,0)</f>
        <v>Plantio de palmeira com altura de muda menor ou igual a 2,00 m. AF_05/2018</v>
      </c>
      <c r="E393" s="2">
        <f>+Orçamento_Não_Deson!E393</f>
        <v>0</v>
      </c>
      <c r="F393" s="2" t="str">
        <f>VLOOKUP($B393,[5]BOLETIM_SEL!$A:$H,6,0)</f>
        <v>UN</v>
      </c>
      <c r="G393" s="1407">
        <f>VLOOKUP($B393,[5]BOLETIM_SEL!$A:$H,7,0)</f>
        <v>320</v>
      </c>
      <c r="H393" s="1613">
        <f>+Orçamento_Não_Deson!H393</f>
        <v>0</v>
      </c>
      <c r="I393" s="877">
        <f t="shared" si="81"/>
        <v>405.56</v>
      </c>
      <c r="J393" s="1612">
        <f t="shared" si="82"/>
        <v>0</v>
      </c>
      <c r="K393" s="2078">
        <f t="shared" ca="1" si="83"/>
        <v>0</v>
      </c>
      <c r="L393" s="1574" t="e">
        <f t="shared" si="84"/>
        <v>#DIV/0!</v>
      </c>
      <c r="M393" s="1974"/>
      <c r="N393" s="833"/>
      <c r="O393" s="833"/>
      <c r="Q393" s="833"/>
      <c r="R393" s="833"/>
      <c r="S393" s="833"/>
      <c r="T393" s="833"/>
      <c r="U393" s="833"/>
      <c r="V393" s="833"/>
      <c r="W393" s="833"/>
      <c r="X393" s="833"/>
    </row>
    <row r="394" spans="1:24" s="813" customFormat="1" ht="39.950000000000003" hidden="1" customHeight="1" x14ac:dyDescent="0.15">
      <c r="A394" s="2081">
        <f ca="1">+Orçamento_Não_Deson!A394</f>
        <v>5</v>
      </c>
      <c r="B394" s="834" t="str">
        <f>+Orçamento_Não_Deson!B394</f>
        <v>SC/0075</v>
      </c>
      <c r="C394" s="2" t="str">
        <f>VLOOKUP($B394,[5]BOLETIM_SEL!$A:$H,2,0)</f>
        <v>COMPOSIÇÃO</v>
      </c>
      <c r="D394" s="315" t="str">
        <f>VLOOKUP($B394,[5]BOLETIM_SEL!$A:$H,4,0)</f>
        <v>Piso tátil de alerta ou direcional com lajota cimentícia  25x25x2cm, nas cores da NBR 16537, assentado com argamassa de cimento e areia 1:3</v>
      </c>
      <c r="E394" s="2">
        <f>+Orçamento_Não_Deson!E394</f>
        <v>0</v>
      </c>
      <c r="F394" s="2" t="str">
        <f>VLOOKUP($B394,[5]BOLETIM_SEL!$A:$H,6,0)</f>
        <v>M</v>
      </c>
      <c r="G394" s="1407">
        <f>VLOOKUP($B394,[5]BOLETIM_SEL!$A:$H,7,0)</f>
        <v>35.97</v>
      </c>
      <c r="H394" s="1613">
        <f>+Orçamento_Não_Deson!H394</f>
        <v>0</v>
      </c>
      <c r="I394" s="877">
        <f t="shared" si="81"/>
        <v>45.58</v>
      </c>
      <c r="J394" s="1612">
        <f t="shared" si="82"/>
        <v>0</v>
      </c>
      <c r="K394" s="2078">
        <f t="shared" ca="1" si="83"/>
        <v>0</v>
      </c>
      <c r="L394" s="1574" t="e">
        <f t="shared" si="84"/>
        <v>#DIV/0!</v>
      </c>
      <c r="M394" s="1974"/>
      <c r="N394" s="833"/>
      <c r="O394" s="833"/>
      <c r="Q394" s="833"/>
      <c r="R394" s="833"/>
      <c r="S394" s="833"/>
      <c r="T394" s="833"/>
      <c r="U394" s="833"/>
      <c r="V394" s="833"/>
      <c r="W394" s="833"/>
      <c r="X394" s="833"/>
    </row>
    <row r="395" spans="1:24" s="813" customFormat="1" ht="39.950000000000003" hidden="1" customHeight="1" x14ac:dyDescent="0.15">
      <c r="A395" s="2081">
        <f ca="1">+Orçamento_Não_Deson!A395</f>
        <v>5</v>
      </c>
      <c r="B395" s="834">
        <f>+Orçamento_Não_Deson!B395</f>
        <v>94962</v>
      </c>
      <c r="C395" s="2" t="str">
        <f>VLOOKUP($B395,[5]BOLETIM_SEL!$A:$H,2,0)</f>
        <v>SINAPI</v>
      </c>
      <c r="D395" s="315" t="str">
        <f>VLOOKUP($B395,[5]BOLETIM_SEL!$A:$H,4,0)</f>
        <v>Concreto magro para lastro, traço 1:4,5:4,5 (cimento/ areia média/ brita 1) - preparo mecânico com betoneira 400 l. AF_07/2016</v>
      </c>
      <c r="E395" s="2">
        <f>+Orçamento_Não_Deson!E395</f>
        <v>0</v>
      </c>
      <c r="F395" s="2" t="str">
        <f>VLOOKUP($B395,[5]BOLETIM_SEL!$A:$H,6,0)</f>
        <v>M3</v>
      </c>
      <c r="G395" s="1407">
        <f>VLOOKUP($B395,[5]BOLETIM_SEL!$A:$H,7,0)</f>
        <v>372.79</v>
      </c>
      <c r="H395" s="1613">
        <f>+Orçamento_Não_Deson!H395</f>
        <v>0</v>
      </c>
      <c r="I395" s="877">
        <f t="shared" si="81"/>
        <v>472.47</v>
      </c>
      <c r="J395" s="1612">
        <f t="shared" si="82"/>
        <v>0</v>
      </c>
      <c r="K395" s="2078">
        <f t="shared" ca="1" si="83"/>
        <v>0</v>
      </c>
      <c r="L395" s="1574" t="e">
        <f t="shared" si="84"/>
        <v>#DIV/0!</v>
      </c>
      <c r="M395" s="1974"/>
      <c r="N395" s="833"/>
      <c r="O395" s="833"/>
      <c r="Q395" s="833"/>
      <c r="R395" s="833"/>
      <c r="S395" s="833"/>
      <c r="T395" s="833"/>
      <c r="U395" s="833"/>
      <c r="V395" s="833"/>
      <c r="W395" s="833"/>
      <c r="X395" s="833"/>
    </row>
    <row r="396" spans="1:24" s="813" customFormat="1" ht="39.950000000000003" hidden="1" customHeight="1" x14ac:dyDescent="0.15">
      <c r="A396" s="2081">
        <f ca="1">+Orçamento_Não_Deson!A396</f>
        <v>5</v>
      </c>
      <c r="B396" s="834">
        <f>+Orçamento_Não_Deson!B396</f>
        <v>94991</v>
      </c>
      <c r="C396" s="2" t="str">
        <f>VLOOKUP($B396,[5]BOLETIM_SEL!$A:$H,2,0)</f>
        <v>SINAPI</v>
      </c>
      <c r="D396" s="315" t="str">
        <f>VLOOKUP($B396,[5]BOLETIM_SEL!$A:$H,4,0)</f>
        <v>Execução de passeio (calçada) ou piso de concreto com concreto moldado in loco, usinado, acabamento convencional, não armado. AF_07/2016</v>
      </c>
      <c r="E396" s="2">
        <f>+Orçamento_Não_Deson!E396</f>
        <v>0</v>
      </c>
      <c r="F396" s="2" t="str">
        <f>VLOOKUP($B396,[5]BOLETIM_SEL!$A:$H,6,0)</f>
        <v>M3</v>
      </c>
      <c r="G396" s="1407">
        <f>VLOOKUP($B396,[5]BOLETIM_SEL!$A:$H,7,0)</f>
        <v>764.5</v>
      </c>
      <c r="H396" s="1613">
        <f>+Orçamento_Não_Deson!H396</f>
        <v>0</v>
      </c>
      <c r="I396" s="877">
        <f t="shared" si="81"/>
        <v>968.92</v>
      </c>
      <c r="J396" s="1612">
        <f t="shared" si="82"/>
        <v>0</v>
      </c>
      <c r="K396" s="2078">
        <f t="shared" ca="1" si="83"/>
        <v>0</v>
      </c>
      <c r="L396" s="1574" t="e">
        <f t="shared" si="84"/>
        <v>#DIV/0!</v>
      </c>
      <c r="M396" s="1975" t="str">
        <f>+Orçamento_Não_Deson!M396</f>
        <v>USINADO</v>
      </c>
      <c r="N396" s="833"/>
      <c r="O396" s="842"/>
      <c r="Q396" s="842"/>
      <c r="R396" s="842"/>
      <c r="S396" s="842"/>
      <c r="T396" s="842"/>
      <c r="U396" s="842"/>
      <c r="V396" s="842"/>
      <c r="W396" s="842"/>
      <c r="X396" s="833"/>
    </row>
    <row r="397" spans="1:24" s="813" customFormat="1" ht="39.950000000000003" hidden="1" customHeight="1" x14ac:dyDescent="0.15">
      <c r="A397" s="2081">
        <f ca="1">+Orçamento_Não_Deson!A397</f>
        <v>5</v>
      </c>
      <c r="B397" s="834">
        <f>+Orçamento_Não_Deson!B397</f>
        <v>94994</v>
      </c>
      <c r="C397" s="2" t="str">
        <f>VLOOKUP($B397,[5]BOLETIM_SEL!$A:$H,2,0)</f>
        <v>SINAPI</v>
      </c>
      <c r="D397" s="315" t="str">
        <f>VLOOKUP($B397,[5]BOLETIM_SEL!$A:$H,4,0)</f>
        <v>Execução de passeio (calçada) ou piso de concreto com concreto moldado in loco, feito em obra, acabamento convencional, espessura 8 cm, armado. AF_07/2016</v>
      </c>
      <c r="E397" s="2">
        <f>+Orçamento_Não_Deson!E397</f>
        <v>0</v>
      </c>
      <c r="F397" s="2" t="str">
        <f>VLOOKUP($B397,[5]BOLETIM_SEL!$A:$H,6,0)</f>
        <v>M2</v>
      </c>
      <c r="G397" s="1407">
        <f>VLOOKUP($B397,[5]BOLETIM_SEL!$A:$H,7,0)</f>
        <v>91.14</v>
      </c>
      <c r="H397" s="1613">
        <f>+Orçamento_Não_Deson!H397</f>
        <v>0</v>
      </c>
      <c r="I397" s="877">
        <f t="shared" si="81"/>
        <v>115.51</v>
      </c>
      <c r="J397" s="1612">
        <f t="shared" si="82"/>
        <v>0</v>
      </c>
      <c r="K397" s="2078">
        <f t="shared" ca="1" si="83"/>
        <v>0</v>
      </c>
      <c r="L397" s="1574" t="e">
        <f t="shared" si="84"/>
        <v>#DIV/0!</v>
      </c>
      <c r="M397" s="1975" t="str">
        <f>+Orçamento_Não_Deson!M397</f>
        <v>BETONEIRA</v>
      </c>
      <c r="N397" s="833"/>
      <c r="O397" s="842"/>
      <c r="Q397" s="842"/>
      <c r="R397" s="842"/>
      <c r="S397" s="842"/>
      <c r="T397" s="842"/>
      <c r="U397" s="842"/>
      <c r="V397" s="842"/>
      <c r="W397" s="842"/>
      <c r="X397" s="833"/>
    </row>
    <row r="398" spans="1:24" s="813" customFormat="1" ht="39.950000000000003" hidden="1" customHeight="1" x14ac:dyDescent="0.15">
      <c r="A398" s="2081">
        <f ca="1">+Orçamento_Não_Deson!A398</f>
        <v>5</v>
      </c>
      <c r="B398" s="834">
        <f>+Orçamento_Não_Deson!B398</f>
        <v>100324</v>
      </c>
      <c r="C398" s="2" t="str">
        <f>VLOOKUP($B398,[5]BOLETIM_SEL!$A:$H,2,0)</f>
        <v>SINAPI</v>
      </c>
      <c r="D398" s="315" t="str">
        <f>VLOOKUP($B398,[5]BOLETIM_SEL!$A:$H,4,0)</f>
        <v>Lastro com material granular (pedra britada n.1 e pedra britada n.2), aplicado em pisos ou radiers, espessura de *10 cm*. AF_07/2019</v>
      </c>
      <c r="E398" s="2">
        <f>+Orçamento_Não_Deson!E398</f>
        <v>0</v>
      </c>
      <c r="F398" s="2" t="str">
        <f>VLOOKUP($B398,[5]BOLETIM_SEL!$A:$H,6,0)</f>
        <v>M3</v>
      </c>
      <c r="G398" s="1407">
        <f>VLOOKUP($B398,[5]BOLETIM_SEL!$A:$H,7,0)</f>
        <v>137.78</v>
      </c>
      <c r="H398" s="1613">
        <f>+Orçamento_Não_Deson!H398</f>
        <v>0</v>
      </c>
      <c r="I398" s="877">
        <f t="shared" si="81"/>
        <v>174.62</v>
      </c>
      <c r="J398" s="1612">
        <f t="shared" si="82"/>
        <v>0</v>
      </c>
      <c r="K398" s="2078">
        <f t="shared" ca="1" si="83"/>
        <v>0</v>
      </c>
      <c r="L398" s="1574" t="e">
        <f t="shared" si="84"/>
        <v>#DIV/0!</v>
      </c>
      <c r="M398" s="1975" t="str">
        <f>+Orçamento_Não_Deson!M398</f>
        <v>BETONEIRA</v>
      </c>
      <c r="N398" s="833"/>
      <c r="O398" s="842"/>
      <c r="Q398" s="842"/>
      <c r="R398" s="842"/>
      <c r="S398" s="842"/>
      <c r="T398" s="842"/>
      <c r="U398" s="842"/>
      <c r="V398" s="842"/>
      <c r="W398" s="842"/>
      <c r="X398" s="833"/>
    </row>
    <row r="399" spans="1:24" s="813" customFormat="1" ht="39.950000000000003" hidden="1" customHeight="1" x14ac:dyDescent="0.15">
      <c r="A399" s="2081">
        <f ca="1">+Orçamento_Não_Deson!A399</f>
        <v>5</v>
      </c>
      <c r="B399" s="834">
        <f>+Orçamento_Não_Deson!B399</f>
        <v>92396</v>
      </c>
      <c r="C399" s="2" t="str">
        <f>VLOOKUP($B399,[5]BOLETIM_SEL!$A:$H,2,0)</f>
        <v>SINAPI</v>
      </c>
      <c r="D399" s="315" t="str">
        <f>VLOOKUP($B399,[5]BOLETIM_SEL!$A:$H,4,0)</f>
        <v>Execução de passeio em piso intertravado, com bloco retangular cor natural de 20 x 10 cm, espessura 6 cm. AF_12/2015</v>
      </c>
      <c r="E399" s="2">
        <f>+Orçamento_Não_Deson!E399</f>
        <v>0</v>
      </c>
      <c r="F399" s="2" t="str">
        <f>VLOOKUP($B399,[5]BOLETIM_SEL!$A:$H,6,0)</f>
        <v>M2</v>
      </c>
      <c r="G399" s="1407">
        <f>VLOOKUP($B399,[5]BOLETIM_SEL!$A:$H,7,0)</f>
        <v>73.7</v>
      </c>
      <c r="H399" s="1613">
        <f>+Orçamento_Não_Deson!H399</f>
        <v>0</v>
      </c>
      <c r="I399" s="877">
        <f t="shared" si="81"/>
        <v>93.4</v>
      </c>
      <c r="J399" s="1612">
        <f t="shared" si="82"/>
        <v>0</v>
      </c>
      <c r="K399" s="2078">
        <f t="shared" ca="1" si="83"/>
        <v>0</v>
      </c>
      <c r="L399" s="1574" t="e">
        <f t="shared" si="84"/>
        <v>#DIV/0!</v>
      </c>
      <c r="M399" s="1975" t="str">
        <f>+Orçamento_Não_Deson!M399</f>
        <v>RETANGULAR</v>
      </c>
      <c r="N399" s="833"/>
      <c r="O399" s="842"/>
      <c r="Q399" s="842"/>
      <c r="R399" s="842"/>
      <c r="S399" s="842"/>
      <c r="T399" s="842"/>
      <c r="U399" s="842"/>
      <c r="V399" s="842"/>
      <c r="W399" s="842"/>
      <c r="X399" s="833"/>
    </row>
    <row r="400" spans="1:24" s="813" customFormat="1" ht="39.950000000000003" hidden="1" customHeight="1" x14ac:dyDescent="0.15">
      <c r="A400" s="2081"/>
      <c r="B400" s="834"/>
      <c r="C400" s="2"/>
      <c r="D400" s="1452" t="s">
        <v>1806</v>
      </c>
      <c r="E400" s="2"/>
      <c r="F400" s="2"/>
      <c r="G400" s="1407"/>
      <c r="H400" s="2"/>
      <c r="I400" s="2"/>
      <c r="J400" s="839" t="str">
        <f>IF(J401=0,"-","")</f>
        <v>-</v>
      </c>
      <c r="K400" s="2078"/>
      <c r="L400" s="1574"/>
      <c r="M400" s="1974" t="str">
        <f>+Orçamento_Não_Deson!M400</f>
        <v>Depósito de expurgo SEM reciclagem: 1</v>
      </c>
      <c r="O400" s="833"/>
      <c r="P400" s="833"/>
      <c r="Q400" s="833"/>
      <c r="R400" s="833"/>
      <c r="S400" s="833"/>
      <c r="T400" s="833"/>
      <c r="U400" s="833"/>
      <c r="V400" s="833"/>
      <c r="W400" s="833"/>
      <c r="X400" s="833"/>
    </row>
    <row r="401" spans="1:24" s="813" customFormat="1" ht="39.950000000000003" hidden="1" customHeight="1" x14ac:dyDescent="0.15">
      <c r="A401" s="2081">
        <f ca="1">+Orçamento_Não_Deson!A401</f>
        <v>5</v>
      </c>
      <c r="B401" s="834">
        <f>+Orçamento_Não_Deson!B401</f>
        <v>95876</v>
      </c>
      <c r="C401" s="2" t="str">
        <f>VLOOKUP($B401,[5]BOLETIM_SEL!$A:$H,2,0)</f>
        <v>SINAPI</v>
      </c>
      <c r="D401" s="315" t="str">
        <f>VLOOKUP($B401,[5]BOLETIM_SEL!$A:$H,4,0)</f>
        <v>Transporte com caminhão basculante de 14 m3, em via urbana pavimentada, DMT até 30,00 km (unidade: m3xkm). AF_07/2020</v>
      </c>
      <c r="E401" s="2">
        <f>+Orçamento_Não_Deson!E401</f>
        <v>4</v>
      </c>
      <c r="F401" s="2" t="str">
        <f>VLOOKUP($B401,[5]BOLETIM_SEL!$A:$H,6,0)</f>
        <v>M3XKM</v>
      </c>
      <c r="G401" s="1407">
        <f>VLOOKUP($B401,[5]BOLETIM_SEL!$A:$H,7,0)</f>
        <v>1.91</v>
      </c>
      <c r="H401" s="1613">
        <f>+Orçamento_Não_Deson!H401</f>
        <v>0</v>
      </c>
      <c r="I401" s="877">
        <f>TRUNC(G401*(1+$J$5),2)</f>
        <v>2.42</v>
      </c>
      <c r="J401" s="1612">
        <f>TRUNC(H401*I401,2)</f>
        <v>0</v>
      </c>
      <c r="K401" s="2078">
        <f ca="1">J401/J$967</f>
        <v>0</v>
      </c>
      <c r="L401" s="1574" t="e">
        <f t="shared" si="84"/>
        <v>#DIV/0!</v>
      </c>
      <c r="M401" s="1976">
        <f>+Orçamento_Não_Deson!M401</f>
        <v>2000</v>
      </c>
      <c r="O401" s="1414"/>
      <c r="P401" s="833"/>
      <c r="Q401" s="833"/>
      <c r="R401" s="833"/>
      <c r="S401" s="833"/>
      <c r="T401" s="833"/>
      <c r="U401" s="833"/>
      <c r="V401" s="833"/>
      <c r="W401" s="833"/>
      <c r="X401" s="833"/>
    </row>
    <row r="402" spans="1:24" s="813" customFormat="1" ht="39.950000000000003" hidden="1" customHeight="1" x14ac:dyDescent="0.15">
      <c r="A402" s="2081"/>
      <c r="B402" s="2"/>
      <c r="C402" s="2"/>
      <c r="D402" s="1452" t="s">
        <v>1803</v>
      </c>
      <c r="E402" s="2"/>
      <c r="F402" s="2"/>
      <c r="G402" s="1407"/>
      <c r="H402" s="2"/>
      <c r="I402" s="2"/>
      <c r="J402" s="839" t="str">
        <f>IF(J403=0,"-","")</f>
        <v>-</v>
      </c>
      <c r="K402" s="2078"/>
      <c r="L402" s="1574"/>
      <c r="M402" s="1974" t="str">
        <f>+Orçamento_Não_Deson!M402</f>
        <v>Definir depósito:                                     1, 2, 3 ou 4</v>
      </c>
      <c r="N402" s="833"/>
      <c r="O402" s="833"/>
      <c r="Q402" s="833"/>
      <c r="R402" s="833"/>
      <c r="S402" s="833"/>
      <c r="T402" s="833"/>
      <c r="U402" s="833"/>
      <c r="V402" s="833"/>
      <c r="W402" s="833"/>
      <c r="X402" s="833"/>
    </row>
    <row r="403" spans="1:24" s="813" customFormat="1" ht="39.950000000000003" hidden="1" customHeight="1" x14ac:dyDescent="0.15">
      <c r="A403" s="2081">
        <f ca="1">+Orçamento_Não_Deson!A403</f>
        <v>5</v>
      </c>
      <c r="B403" s="834">
        <f>+Orçamento_Não_Deson!B403</f>
        <v>95875</v>
      </c>
      <c r="C403" s="2" t="str">
        <f>VLOOKUP($B403,[5]BOLETIM_SEL!$A:$H,2,0)</f>
        <v>SINAPI</v>
      </c>
      <c r="D403" s="315" t="str">
        <f>VLOOKUP($B403,[5]BOLETIM_SEL!$A:$H,4,0)</f>
        <v>Transporte com caminhão basculante de 10 m3, em via urbana pavimentada, DMT até 30,00 km (unidade: m3xkm). AF_07/2020</v>
      </c>
      <c r="E403" s="2">
        <f>+Orçamento_Não_Deson!E403</f>
        <v>4</v>
      </c>
      <c r="F403" s="2" t="str">
        <f>VLOOKUP($B403,[5]BOLETIM_SEL!$A:$H,6,0)</f>
        <v>M3XKM</v>
      </c>
      <c r="G403" s="1407">
        <f>VLOOKUP($B403,[5]BOLETIM_SEL!$A:$H,7,0)</f>
        <v>2.15</v>
      </c>
      <c r="H403" s="1613">
        <f>+Orçamento_Não_Deson!H403</f>
        <v>0</v>
      </c>
      <c r="I403" s="877">
        <f>TRUNC(G403*(1+$J$5),2)</f>
        <v>2.72</v>
      </c>
      <c r="J403" s="1612">
        <f>TRUNC(H403*I403,2)</f>
        <v>0</v>
      </c>
      <c r="K403" s="2078">
        <f ca="1">J403/J$967</f>
        <v>0</v>
      </c>
      <c r="L403" s="1574" t="e">
        <f t="shared" ref="L403" si="88">J403/$J$314</f>
        <v>#DIV/0!</v>
      </c>
      <c r="M403" s="1975" t="str">
        <f>+Orçamento_Não_Deson!M403</f>
        <v>pav</v>
      </c>
      <c r="N403" s="833"/>
      <c r="O403" s="833"/>
      <c r="Q403" s="833"/>
      <c r="R403" s="833"/>
      <c r="S403" s="833"/>
      <c r="T403" s="833"/>
      <c r="U403" s="833"/>
      <c r="V403" s="833"/>
      <c r="W403" s="833"/>
      <c r="X403" s="833"/>
    </row>
    <row r="404" spans="1:24" s="813" customFormat="1" ht="39.950000000000003" hidden="1" customHeight="1" x14ac:dyDescent="0.15">
      <c r="A404" s="2081"/>
      <c r="B404" s="834"/>
      <c r="C404" s="2"/>
      <c r="D404" s="1452" t="s">
        <v>1802</v>
      </c>
      <c r="E404" s="2"/>
      <c r="F404" s="2"/>
      <c r="G404" s="1407"/>
      <c r="H404" s="2"/>
      <c r="I404" s="2"/>
      <c r="J404" s="839" t="str">
        <f>IF(J405=0,"-","")</f>
        <v>-</v>
      </c>
      <c r="K404" s="2078"/>
      <c r="L404" s="1574"/>
      <c r="M404" s="1974" t="str">
        <f>+Orçamento_Não_Deson!M404</f>
        <v>Definir depósito reciclável: 2, 3 ou 4</v>
      </c>
      <c r="N404" s="833"/>
      <c r="O404" s="833"/>
      <c r="Q404" s="833"/>
      <c r="R404" s="833"/>
      <c r="S404" s="833"/>
      <c r="T404" s="833"/>
      <c r="U404" s="833"/>
      <c r="V404" s="833"/>
      <c r="W404" s="833"/>
      <c r="X404" s="833"/>
    </row>
    <row r="405" spans="1:24" s="813" customFormat="1" ht="39.950000000000003" hidden="1" customHeight="1" x14ac:dyDescent="0.15">
      <c r="A405" s="2081">
        <f ca="1">+Orçamento_Não_Deson!A405</f>
        <v>5</v>
      </c>
      <c r="B405" s="834">
        <f>+Orçamento_Não_Deson!B405</f>
        <v>95875</v>
      </c>
      <c r="C405" s="2" t="str">
        <f>VLOOKUP($B405,[5]BOLETIM_SEL!$A:$H,2,0)</f>
        <v>SINAPI</v>
      </c>
      <c r="D405" s="315" t="str">
        <f>VLOOKUP($B405,[5]BOLETIM_SEL!$A:$H,4,0)</f>
        <v>Transporte com caminhão basculante de 10 m3, em via urbana pavimentada, DMT até 30,00 km (unidade: m3xkm). AF_07/2020</v>
      </c>
      <c r="E405" s="2">
        <f>+Orçamento_Não_Deson!E405</f>
        <v>0</v>
      </c>
      <c r="F405" s="2" t="str">
        <f>VLOOKUP($B405,[5]BOLETIM_SEL!$A:$H,6,0)</f>
        <v>M3XKM</v>
      </c>
      <c r="G405" s="1407">
        <f>VLOOKUP($B405,[5]BOLETIM_SEL!$A:$H,7,0)</f>
        <v>2.15</v>
      </c>
      <c r="H405" s="1613">
        <f>+Orçamento_Não_Deson!H405</f>
        <v>0</v>
      </c>
      <c r="I405" s="877">
        <f>TRUNC(G405*(1+$J$5),2)</f>
        <v>2.72</v>
      </c>
      <c r="J405" s="1612">
        <f>TRUNC(H405*I405,2)</f>
        <v>0</v>
      </c>
      <c r="K405" s="2078">
        <f ca="1">J405/J$967</f>
        <v>0</v>
      </c>
      <c r="L405" s="1574" t="e">
        <f t="shared" ref="L405" si="89">J405/$J$314</f>
        <v>#DIV/0!</v>
      </c>
      <c r="M405" s="1976">
        <f>+Orçamento_Não_Deson!M405</f>
        <v>0</v>
      </c>
      <c r="N405" s="833"/>
      <c r="O405" s="833"/>
      <c r="Q405" s="833"/>
      <c r="R405" s="833"/>
      <c r="S405" s="833"/>
      <c r="T405" s="833"/>
      <c r="U405" s="833"/>
      <c r="V405" s="833"/>
      <c r="W405" s="833"/>
      <c r="X405" s="833"/>
    </row>
    <row r="406" spans="1:24" s="813" customFormat="1" ht="39.950000000000003" hidden="1" customHeight="1" x14ac:dyDescent="0.15">
      <c r="A406" s="2081"/>
      <c r="B406" s="834"/>
      <c r="C406" s="2"/>
      <c r="D406" s="1452" t="s">
        <v>2134</v>
      </c>
      <c r="E406" s="2"/>
      <c r="F406" s="2"/>
      <c r="G406" s="1407"/>
      <c r="H406" s="2"/>
      <c r="I406" s="2"/>
      <c r="J406" s="839" t="str">
        <f>IF(J407=0,"-","")</f>
        <v>-</v>
      </c>
      <c r="K406" s="2078"/>
      <c r="L406" s="1574"/>
      <c r="M406" s="1974"/>
      <c r="N406" s="833"/>
      <c r="O406" s="833"/>
      <c r="Q406" s="833"/>
      <c r="R406" s="833"/>
      <c r="S406" s="833"/>
      <c r="T406" s="833"/>
      <c r="U406" s="833"/>
      <c r="V406" s="833"/>
      <c r="W406" s="833"/>
      <c r="X406" s="833"/>
    </row>
    <row r="407" spans="1:24" s="813" customFormat="1" ht="39.950000000000003" hidden="1" customHeight="1" x14ac:dyDescent="0.15">
      <c r="A407" s="2081">
        <f ca="1">+Orçamento_Não_Deson!A407</f>
        <v>5</v>
      </c>
      <c r="B407" s="834">
        <f>+Orçamento_Não_Deson!B407</f>
        <v>100939</v>
      </c>
      <c r="C407" s="2" t="str">
        <f>VLOOKUP($B407,[5]BOLETIM_SEL!$A:$H,2,0)</f>
        <v>SINAPI</v>
      </c>
      <c r="D407" s="315" t="str">
        <f>VLOOKUP($B407,[5]BOLETIM_SEL!$A:$H,4,0)</f>
        <v>Transporte com caminhão basculante de 14 m3, em via interna (dentro do canteiro - unidade:m3xkm). AF_07/2020</v>
      </c>
      <c r="E407" s="2">
        <f>+Orçamento_Não_Deson!E407</f>
        <v>1</v>
      </c>
      <c r="F407" s="2" t="str">
        <f>VLOOKUP($B407,[5]BOLETIM_SEL!$A:$H,6,0)</f>
        <v>M3XKM</v>
      </c>
      <c r="G407" s="1407">
        <f>VLOOKUP($B407,[5]BOLETIM_SEL!$A:$H,7,0)</f>
        <v>5.83</v>
      </c>
      <c r="H407" s="1613">
        <f>+Orçamento_Não_Deson!H407</f>
        <v>0</v>
      </c>
      <c r="I407" s="877">
        <f t="shared" ref="I407" si="90">TRUNC(G407*(1+$J$5),2)</f>
        <v>7.38</v>
      </c>
      <c r="J407" s="1612">
        <f t="shared" ref="J407" si="91">TRUNC(H407*I407,2)</f>
        <v>0</v>
      </c>
      <c r="K407" s="2078">
        <f ca="1">J407/J$967</f>
        <v>0</v>
      </c>
      <c r="L407" s="1574" t="e">
        <f t="shared" ref="L407" si="92">J407/$J$314</f>
        <v>#DIV/0!</v>
      </c>
      <c r="M407" s="1976">
        <f>+Orçamento_Não_Deson!M407</f>
        <v>0</v>
      </c>
      <c r="N407" s="833"/>
      <c r="O407" s="833"/>
      <c r="Q407" s="833"/>
      <c r="R407" s="833"/>
      <c r="S407" s="833"/>
      <c r="T407" s="833"/>
      <c r="U407" s="833"/>
      <c r="V407" s="833"/>
      <c r="W407" s="833"/>
      <c r="X407" s="833"/>
    </row>
    <row r="408" spans="1:24" s="813" customFormat="1" ht="39.950000000000003" hidden="1" customHeight="1" x14ac:dyDescent="0.15">
      <c r="A408" s="2081"/>
      <c r="B408" s="834"/>
      <c r="C408" s="2"/>
      <c r="D408" s="1452" t="s">
        <v>1816</v>
      </c>
      <c r="E408" s="2"/>
      <c r="F408" s="2"/>
      <c r="G408" s="1407"/>
      <c r="H408" s="2"/>
      <c r="I408" s="2"/>
      <c r="J408" s="839" t="str">
        <f>IF(J409=0,"-","")</f>
        <v>-</v>
      </c>
      <c r="K408" s="2078"/>
      <c r="L408" s="1574"/>
      <c r="M408" s="1974"/>
      <c r="N408" s="833"/>
      <c r="O408" s="833"/>
      <c r="Q408" s="833"/>
      <c r="R408" s="833"/>
      <c r="S408" s="833"/>
      <c r="T408" s="833"/>
      <c r="U408" s="833"/>
      <c r="V408" s="833"/>
      <c r="W408" s="833"/>
      <c r="X408" s="833"/>
    </row>
    <row r="409" spans="1:24" s="813" customFormat="1" ht="39.950000000000003" hidden="1" customHeight="1" x14ac:dyDescent="0.15">
      <c r="A409" s="2081">
        <f ca="1">+Orçamento_Não_Deson!A409</f>
        <v>5</v>
      </c>
      <c r="B409" s="834">
        <f>+Orçamento_Não_Deson!B409</f>
        <v>95875</v>
      </c>
      <c r="C409" s="2" t="str">
        <f>VLOOKUP($B409,[5]BOLETIM_SEL!$A:$H,2,0)</f>
        <v>SINAPI</v>
      </c>
      <c r="D409" s="315" t="str">
        <f>VLOOKUP($B409,[5]BOLETIM_SEL!$A:$H,4,0)</f>
        <v>Transporte com caminhão basculante de 10 m3, em via urbana pavimentada, DMT até 30,00 km (unidade: m3xkm). AF_07/2020</v>
      </c>
      <c r="E409" s="2">
        <f>+Orçamento_Não_Deson!E409</f>
        <v>4</v>
      </c>
      <c r="F409" s="2" t="str">
        <f>VLOOKUP($B409,[5]BOLETIM_SEL!$A:$H,6,0)</f>
        <v>M3XKM</v>
      </c>
      <c r="G409" s="1407">
        <f>VLOOKUP($B409,[5]BOLETIM_SEL!$A:$H,7,0)</f>
        <v>2.15</v>
      </c>
      <c r="H409" s="1613">
        <f>+Orçamento_Não_Deson!H409</f>
        <v>0</v>
      </c>
      <c r="I409" s="877">
        <f>TRUNC(G409*(1+$J$5),2)</f>
        <v>2.72</v>
      </c>
      <c r="J409" s="1612">
        <f>TRUNC(H409*I409,2)</f>
        <v>0</v>
      </c>
      <c r="K409" s="2078">
        <f ca="1">J409/J$967</f>
        <v>0</v>
      </c>
      <c r="L409" s="1574" t="e">
        <f t="shared" ref="L409" si="93">J409/$J$314</f>
        <v>#DIV/0!</v>
      </c>
      <c r="M409" s="1976">
        <f>+Orçamento_Não_Deson!M409</f>
        <v>0</v>
      </c>
      <c r="N409" s="833"/>
      <c r="O409" s="833"/>
      <c r="Q409" s="833"/>
      <c r="R409" s="833"/>
      <c r="S409" s="833"/>
      <c r="T409" s="833"/>
      <c r="U409" s="833"/>
      <c r="V409" s="833"/>
      <c r="W409" s="833"/>
      <c r="X409" s="833"/>
    </row>
    <row r="410" spans="1:24" s="813" customFormat="1" ht="39.950000000000003" hidden="1" customHeight="1" x14ac:dyDescent="0.15">
      <c r="A410" s="2081"/>
      <c r="B410" s="2"/>
      <c r="C410" s="2"/>
      <c r="D410" s="1452" t="s">
        <v>2190</v>
      </c>
      <c r="E410" s="2"/>
      <c r="F410" s="2"/>
      <c r="G410" s="1407"/>
      <c r="H410" s="2"/>
      <c r="I410" s="2"/>
      <c r="J410" s="839" t="str">
        <f>IF(J411=0,"-","")</f>
        <v>-</v>
      </c>
      <c r="K410" s="2078"/>
      <c r="L410" s="1574"/>
      <c r="M410" s="1974"/>
      <c r="N410" s="833"/>
      <c r="O410" s="833"/>
      <c r="Q410" s="833"/>
      <c r="R410" s="833"/>
      <c r="S410" s="833"/>
      <c r="T410" s="833"/>
      <c r="U410" s="833"/>
      <c r="V410" s="833"/>
      <c r="W410" s="833"/>
      <c r="X410" s="833"/>
    </row>
    <row r="411" spans="1:24" s="813" customFormat="1" ht="39.950000000000003" hidden="1" customHeight="1" x14ac:dyDescent="0.15">
      <c r="A411" s="2081">
        <f ca="1">+Orçamento_Não_Deson!A411</f>
        <v>5</v>
      </c>
      <c r="B411" s="834">
        <f>+Orçamento_Não_Deson!B411</f>
        <v>93590</v>
      </c>
      <c r="C411" s="2" t="str">
        <f>VLOOKUP($B411,[5]BOLETIM_SEL!$A:$H,2,0)</f>
        <v>SINAPI</v>
      </c>
      <c r="D411" s="315" t="str">
        <f>VLOOKUP($B411,[5]BOLETIM_SEL!$A:$H,4,0)</f>
        <v>Transporte com caminhão basculante de 10 m3, em via urbana pavimentada, adicional para DMT excedente a 30,00 km (unidade: m3xkm). AF_07/2020</v>
      </c>
      <c r="E411" s="2">
        <f>+Orçamento_Não_Deson!E411</f>
        <v>109</v>
      </c>
      <c r="F411" s="2" t="str">
        <f>VLOOKUP($B411,[5]BOLETIM_SEL!$A:$H,6,0)</f>
        <v>M3XKM</v>
      </c>
      <c r="G411" s="1407">
        <f>VLOOKUP($B411,[5]BOLETIM_SEL!$A:$H,7,0)</f>
        <v>0.85</v>
      </c>
      <c r="H411" s="1613">
        <f>+Orçamento_Não_Deson!H411</f>
        <v>0</v>
      </c>
      <c r="I411" s="877">
        <f>TRUNC(G411*(1+$J$5),2)</f>
        <v>1.07</v>
      </c>
      <c r="J411" s="1612">
        <f>TRUNC(H411*I411,2)</f>
        <v>0</v>
      </c>
      <c r="K411" s="2078">
        <f ca="1">J411/J$967</f>
        <v>0</v>
      </c>
      <c r="L411" s="1574" t="e">
        <f t="shared" ref="L411" si="94">J411/$J$314</f>
        <v>#DIV/0!</v>
      </c>
      <c r="M411" s="1976">
        <f>+Orçamento_Não_Deson!M411</f>
        <v>0</v>
      </c>
      <c r="N411" s="833"/>
      <c r="O411" s="833"/>
      <c r="Q411" s="833"/>
      <c r="R411" s="833"/>
      <c r="S411" s="833"/>
      <c r="T411" s="833"/>
      <c r="U411" s="833"/>
      <c r="V411" s="833"/>
      <c r="W411" s="833"/>
      <c r="X411" s="833"/>
    </row>
    <row r="412" spans="1:24" s="813" customFormat="1" ht="39.950000000000003" hidden="1" customHeight="1" x14ac:dyDescent="0.15">
      <c r="A412" s="2081"/>
      <c r="B412" s="834"/>
      <c r="C412" s="834"/>
      <c r="D412" s="835"/>
      <c r="E412" s="2"/>
      <c r="F412" s="834"/>
      <c r="G412" s="1821"/>
      <c r="H412" s="1"/>
      <c r="I412" s="877"/>
      <c r="J412" s="839">
        <f>IF(J314=0,0,"")</f>
        <v>0</v>
      </c>
      <c r="K412" s="2078"/>
      <c r="L412" s="1574"/>
      <c r="M412" s="1833"/>
      <c r="N412" s="833"/>
      <c r="O412" s="833"/>
      <c r="Q412" s="833"/>
      <c r="R412" s="833"/>
      <c r="S412" s="833"/>
      <c r="T412" s="833"/>
      <c r="U412" s="833"/>
      <c r="V412" s="833"/>
      <c r="W412" s="833"/>
      <c r="X412" s="833"/>
    </row>
    <row r="413" spans="1:24" s="833" customFormat="1" ht="39.950000000000003" hidden="1" customHeight="1" x14ac:dyDescent="0.15">
      <c r="A413" s="2082">
        <f ca="1">IF(J413&gt;0,INT(A314)+1,IF(J413=0,INT(A314),0))</f>
        <v>5</v>
      </c>
      <c r="B413" s="1633"/>
      <c r="C413" s="1633"/>
      <c r="D413" s="1634" t="s">
        <v>39</v>
      </c>
      <c r="E413" s="1828"/>
      <c r="F413" s="1635"/>
      <c r="G413" s="1820" t="s">
        <v>652</v>
      </c>
      <c r="H413" s="1637"/>
      <c r="I413" s="1640" t="str">
        <f ca="1">CONCATENATE("SUB-TOTAL ",A413)</f>
        <v>SUB-TOTAL 5</v>
      </c>
      <c r="J413" s="1639">
        <f>SUM(J414:J446)</f>
        <v>0</v>
      </c>
      <c r="K413" s="2079">
        <f t="shared" ref="K413:K438" ca="1" si="95">J413/J$967</f>
        <v>0</v>
      </c>
      <c r="L413" s="1610" t="e">
        <f>J413/$J$413</f>
        <v>#DIV/0!</v>
      </c>
      <c r="N413" s="1964" t="s">
        <v>1962</v>
      </c>
      <c r="O413" s="1655" t="s">
        <v>1988</v>
      </c>
    </row>
    <row r="414" spans="1:24" s="813" customFormat="1" ht="39.950000000000003" hidden="1" customHeight="1" x14ac:dyDescent="0.15">
      <c r="A414" s="2081">
        <f ca="1">+Orçamento_Não_Deson!A414</f>
        <v>5</v>
      </c>
      <c r="B414" s="834" t="str">
        <f>+Orçamento_Não_Deson!B414</f>
        <v>LF/0015</v>
      </c>
      <c r="C414" s="2" t="str">
        <f>VLOOKUP($B414,[5]BOLETIM_SEL!$A:$H,2,0)</f>
        <v>COMPOSIÇÃO</v>
      </c>
      <c r="D414" s="315" t="str">
        <f>VLOOKUP($B414,[5]BOLETIM_SEL!$A:$H,4,0)</f>
        <v>Dreno longitudinal de pavimento, Tipo GH040, altura 0,40 m, com brita (20x20cm), geocomposto drenante e tubo PEAD corrugado perfurado DN 100 mm, inclusive escavação e reaterro (REF. SICRO COD. 2004509)</v>
      </c>
      <c r="E414" s="2">
        <f>+Orçamento_Não_Deson!E414</f>
        <v>0</v>
      </c>
      <c r="F414" s="2" t="str">
        <f>VLOOKUP($B414,[5]BOLETIM_SEL!$A:$H,6,0)</f>
        <v>M</v>
      </c>
      <c r="G414" s="1407">
        <f>VLOOKUP($B414,[5]BOLETIM_SEL!$A:$H,7,0)</f>
        <v>35.090000000000003</v>
      </c>
      <c r="H414" s="1613">
        <f>+Orçamento_Não_Deson!H414</f>
        <v>0</v>
      </c>
      <c r="I414" s="877">
        <f t="shared" ref="I414:I429" si="96">+TRUNC(G414*(1+$J$5),2)</f>
        <v>44.47</v>
      </c>
      <c r="J414" s="1612">
        <f>TRUNC(H414*I414,2)</f>
        <v>0</v>
      </c>
      <c r="K414" s="2078">
        <f t="shared" ca="1" si="95"/>
        <v>0</v>
      </c>
      <c r="L414" s="1574" t="e">
        <f>J414/$J$413</f>
        <v>#DIV/0!</v>
      </c>
      <c r="M414" s="1974"/>
      <c r="N414" s="1968">
        <f>VLOOKUP($B414,[5]BOLETIM_SEL!$A:$H,3,0)</f>
        <v>173</v>
      </c>
      <c r="O414" s="1652">
        <f>+H414/N414</f>
        <v>0</v>
      </c>
      <c r="Q414" s="833"/>
      <c r="R414" s="833"/>
      <c r="S414" s="833"/>
      <c r="T414" s="833"/>
      <c r="U414" s="833"/>
      <c r="V414" s="833"/>
      <c r="W414" s="833"/>
      <c r="X414" s="833"/>
    </row>
    <row r="415" spans="1:24" s="813" customFormat="1" ht="39.950000000000003" hidden="1" customHeight="1" x14ac:dyDescent="0.15">
      <c r="A415" s="2081">
        <f ca="1">+Orçamento_Não_Deson!A415</f>
        <v>5</v>
      </c>
      <c r="B415" s="834" t="str">
        <f>+Orçamento_Não_Deson!B415</f>
        <v>LF/0020</v>
      </c>
      <c r="C415" s="2" t="str">
        <f>VLOOKUP($B415,[5]BOLETIM_SEL!$A:$H,2,0)</f>
        <v>COMPOSIÇÃO</v>
      </c>
      <c r="D415" s="315" t="str">
        <f>VLOOKUP($B415,[5]BOLETIM_SEL!$A:$H,4,0)</f>
        <v>Dreno longitudinal de pavimento, Tipo GH100, altura 1,00 m, com brita (20x20cm), geocomposto drenante e tubo PEAD corrugado perfurado DN 100 mm, inclusive escavação e reaterro (REF. SICRO COD. 2004511)</v>
      </c>
      <c r="E415" s="2">
        <f>+Orçamento_Não_Deson!E415</f>
        <v>0</v>
      </c>
      <c r="F415" s="2" t="str">
        <f>VLOOKUP($B415,[5]BOLETIM_SEL!$A:$H,6,0)</f>
        <v>M</v>
      </c>
      <c r="G415" s="1407">
        <f>VLOOKUP($B415,[5]BOLETIM_SEL!$A:$H,7,0)</f>
        <v>61.11</v>
      </c>
      <c r="H415" s="1613">
        <f>+Orçamento_Não_Deson!H415</f>
        <v>0</v>
      </c>
      <c r="I415" s="877">
        <f t="shared" si="96"/>
        <v>77.45</v>
      </c>
      <c r="J415" s="1612">
        <f t="shared" ref="J415:J438" si="97">TRUNC(H415*I415,2)</f>
        <v>0</v>
      </c>
      <c r="K415" s="2078">
        <f t="shared" ca="1" si="95"/>
        <v>0</v>
      </c>
      <c r="L415" s="1574" t="e">
        <f t="shared" ref="L415:L438" si="98">J415/$J$413</f>
        <v>#DIV/0!</v>
      </c>
      <c r="M415" s="1974"/>
      <c r="N415" s="1968">
        <f>VLOOKUP($B415,[5]BOLETIM_SEL!$A:$H,3,0)</f>
        <v>132</v>
      </c>
      <c r="O415" s="1652">
        <f>+H415/N415</f>
        <v>0</v>
      </c>
      <c r="Q415" s="833"/>
      <c r="R415" s="833"/>
      <c r="S415" s="833"/>
      <c r="T415" s="833"/>
      <c r="U415" s="833"/>
      <c r="V415" s="833"/>
      <c r="W415" s="833"/>
      <c r="X415" s="833"/>
    </row>
    <row r="416" spans="1:24" s="813" customFormat="1" ht="39.950000000000003" hidden="1" customHeight="1" x14ac:dyDescent="0.15">
      <c r="A416" s="2081">
        <f ca="1">+Orçamento_Não_Deson!A416</f>
        <v>5</v>
      </c>
      <c r="B416" s="834" t="str">
        <f>+Orçamento_Não_Deson!B416</f>
        <v>LF/0025</v>
      </c>
      <c r="C416" s="2" t="str">
        <f>VLOOKUP($B416,[5]BOLETIM_SEL!$A:$H,2,0)</f>
        <v>COMPOSIÇÃO</v>
      </c>
      <c r="D416" s="315" t="str">
        <f>VLOOKUP($B416,[5]BOLETIM_SEL!$A:$H,4,0)</f>
        <v>Dreno longitudinal de pavimento, Tipo GH150, altura 1,50 m, com brita (20x20cm), geocomposto drenante e tubo PEAD corrugado perfurado DN 100 mm, inclusive escavação e reaterro (REF. SICRO COD. 2004512)</v>
      </c>
      <c r="E416" s="2">
        <f>+Orçamento_Não_Deson!E416</f>
        <v>0</v>
      </c>
      <c r="F416" s="2" t="str">
        <f>VLOOKUP($B416,[5]BOLETIM_SEL!$A:$H,6,0)</f>
        <v>M</v>
      </c>
      <c r="G416" s="1407">
        <f>VLOOKUP($B416,[5]BOLETIM_SEL!$A:$H,7,0)</f>
        <v>82.76</v>
      </c>
      <c r="H416" s="1613">
        <f>+Orçamento_Não_Deson!H416</f>
        <v>0</v>
      </c>
      <c r="I416" s="877">
        <f t="shared" si="96"/>
        <v>104.89</v>
      </c>
      <c r="J416" s="1612">
        <f t="shared" si="97"/>
        <v>0</v>
      </c>
      <c r="K416" s="2078">
        <f t="shared" ca="1" si="95"/>
        <v>0</v>
      </c>
      <c r="L416" s="1574" t="e">
        <f t="shared" si="98"/>
        <v>#DIV/0!</v>
      </c>
      <c r="M416" s="1974"/>
      <c r="N416" s="1968">
        <f>VLOOKUP($B416,[5]BOLETIM_SEL!$A:$H,3,0)</f>
        <v>113</v>
      </c>
      <c r="O416" s="1652">
        <f>+H416/N416</f>
        <v>0</v>
      </c>
      <c r="Q416" s="833"/>
      <c r="R416" s="833"/>
      <c r="S416" s="833"/>
      <c r="T416" s="833"/>
      <c r="U416" s="833"/>
      <c r="V416" s="833"/>
      <c r="W416" s="833"/>
      <c r="X416" s="833"/>
    </row>
    <row r="417" spans="1:24" s="813" customFormat="1" ht="39.950000000000003" hidden="1" customHeight="1" x14ac:dyDescent="0.15">
      <c r="A417" s="2081">
        <f ca="1">+Orçamento_Não_Deson!A417</f>
        <v>5</v>
      </c>
      <c r="B417" s="834" t="str">
        <f>+Orçamento_Não_Deson!B417</f>
        <v>LF/0030</v>
      </c>
      <c r="C417" s="2" t="str">
        <f>VLOOKUP($B417,[5]BOLETIM_SEL!$A:$H,2,0)</f>
        <v>COMPOSIÇÃO</v>
      </c>
      <c r="D417" s="315" t="str">
        <f>VLOOKUP($B417,[5]BOLETIM_SEL!$A:$H,4,0)</f>
        <v>Dreno francês de lençol freático, Tipo FH100, com tubo PEAD Ø 100mm e brita (50x50cm), incluindo escavação (h=100cm), reaterro e geotextil RT-09. Exclusive transporte e bota-fora</v>
      </c>
      <c r="E417" s="2">
        <f>+Orçamento_Não_Deson!E417</f>
        <v>0</v>
      </c>
      <c r="F417" s="2" t="str">
        <f>VLOOKUP($B417,[5]BOLETIM_SEL!$A:$H,6,0)</f>
        <v>M</v>
      </c>
      <c r="G417" s="1407">
        <f>VLOOKUP($B417,[5]BOLETIM_SEL!$A:$H,7,0)</f>
        <v>98.66</v>
      </c>
      <c r="H417" s="1613">
        <f>+Orçamento_Não_Deson!H417</f>
        <v>0</v>
      </c>
      <c r="I417" s="877">
        <f t="shared" si="96"/>
        <v>125.04</v>
      </c>
      <c r="J417" s="1612">
        <f t="shared" si="97"/>
        <v>0</v>
      </c>
      <c r="K417" s="2078">
        <f t="shared" ca="1" si="95"/>
        <v>0</v>
      </c>
      <c r="L417" s="1574" t="e">
        <f t="shared" si="98"/>
        <v>#DIV/0!</v>
      </c>
      <c r="M417" s="1974"/>
      <c r="N417" s="1968">
        <f>VLOOKUP($B417,[5]BOLETIM_SEL!$A:$H,3,0)</f>
        <v>29.98</v>
      </c>
      <c r="O417" s="1652">
        <f>+H417/N417</f>
        <v>0</v>
      </c>
      <c r="Q417" s="833"/>
      <c r="R417" s="833"/>
      <c r="S417" s="833"/>
      <c r="T417" s="833"/>
      <c r="U417" s="833"/>
      <c r="V417" s="833"/>
      <c r="W417" s="833"/>
      <c r="X417" s="833"/>
    </row>
    <row r="418" spans="1:24" s="813" customFormat="1" ht="39.950000000000003" hidden="1" customHeight="1" x14ac:dyDescent="0.15">
      <c r="A418" s="2081">
        <f ca="1">+Orçamento_Não_Deson!A418</f>
        <v>5</v>
      </c>
      <c r="B418" s="834" t="str">
        <f>+Orçamento_Não_Deson!B418</f>
        <v>LF/0035</v>
      </c>
      <c r="C418" s="2" t="str">
        <f>VLOOKUP($B418,[5]BOLETIM_SEL!$A:$H,2,0)</f>
        <v>COMPOSIÇÃO</v>
      </c>
      <c r="D418" s="315" t="str">
        <f>VLOOKUP($B418,[5]BOLETIM_SEL!$A:$H,4,0)</f>
        <v>Dreno francês de lençol freático, Tipo FH150, com tubo PEAD Ø 150mm e brita (50x100cm), incluindo escavação (h=150cm), reaterro e geotextil RT-09. Exclusive transporte e bota-fora</v>
      </c>
      <c r="E418" s="2">
        <f>+Orçamento_Não_Deson!E418</f>
        <v>0</v>
      </c>
      <c r="F418" s="2" t="str">
        <f>VLOOKUP($B418,[5]BOLETIM_SEL!$A:$H,6,0)</f>
        <v>M</v>
      </c>
      <c r="G418" s="1407">
        <f>VLOOKUP($B418,[5]BOLETIM_SEL!$A:$H,7,0)</f>
        <v>173.89</v>
      </c>
      <c r="H418" s="1613">
        <f>+Orçamento_Não_Deson!H418</f>
        <v>0</v>
      </c>
      <c r="I418" s="877">
        <f t="shared" si="96"/>
        <v>220.38</v>
      </c>
      <c r="J418" s="1612">
        <f t="shared" si="97"/>
        <v>0</v>
      </c>
      <c r="K418" s="2078">
        <f t="shared" ca="1" si="95"/>
        <v>0</v>
      </c>
      <c r="L418" s="1574" t="e">
        <f t="shared" si="98"/>
        <v>#DIV/0!</v>
      </c>
      <c r="M418" s="1974"/>
      <c r="N418" s="1968">
        <f>VLOOKUP($B418,[5]BOLETIM_SEL!$A:$H,3,0)</f>
        <v>19.989999999999998</v>
      </c>
      <c r="O418" s="1652">
        <f>+H418/N418</f>
        <v>0</v>
      </c>
      <c r="Q418" s="833"/>
      <c r="R418" s="833"/>
      <c r="S418" s="833"/>
      <c r="T418" s="833"/>
      <c r="U418" s="833"/>
      <c r="V418" s="833"/>
      <c r="W418" s="833"/>
      <c r="X418" s="833"/>
    </row>
    <row r="419" spans="1:24" s="813" customFormat="1" ht="39.950000000000003" hidden="1" customHeight="1" x14ac:dyDescent="0.15">
      <c r="A419" s="2081">
        <f ca="1">+Orçamento_Não_Deson!A419</f>
        <v>5</v>
      </c>
      <c r="B419" s="834" t="str">
        <f>+Orçamento_Não_Deson!B419</f>
        <v>LF/0040</v>
      </c>
      <c r="C419" s="2" t="str">
        <f>VLOOKUP($B419,[5]BOLETIM_SEL!$A:$H,2,0)</f>
        <v>COMPOSIÇÃO</v>
      </c>
      <c r="D419" s="315" t="str">
        <f>VLOOKUP($B419,[5]BOLETIM_SEL!$A:$H,4,0)</f>
        <v>Tubo dreno, corrugado, espiralado, flexível, perfurado, em polietileno de alta densidade (PEAD), DN 100 mm para drenagem – fornecimento e assentamento em vala</v>
      </c>
      <c r="E419" s="2">
        <f>+Orçamento_Não_Deson!E419</f>
        <v>0</v>
      </c>
      <c r="F419" s="2" t="str">
        <f>VLOOKUP($B419,[5]BOLETIM_SEL!$A:$H,6,0)</f>
        <v>M</v>
      </c>
      <c r="G419" s="1407">
        <f>VLOOKUP($B419,[5]BOLETIM_SEL!$A:$H,7,0)</f>
        <v>29.96</v>
      </c>
      <c r="H419" s="1613">
        <f>+Orçamento_Não_Deson!H419</f>
        <v>0</v>
      </c>
      <c r="I419" s="877">
        <f t="shared" si="96"/>
        <v>37.97</v>
      </c>
      <c r="J419" s="1612">
        <f t="shared" si="97"/>
        <v>0</v>
      </c>
      <c r="K419" s="2078">
        <f t="shared" ca="1" si="95"/>
        <v>0</v>
      </c>
      <c r="L419" s="1574" t="e">
        <f t="shared" si="98"/>
        <v>#DIV/0!</v>
      </c>
      <c r="M419" s="1974"/>
      <c r="N419" s="1970"/>
      <c r="O419" s="1652"/>
      <c r="Q419" s="833"/>
      <c r="R419" s="833"/>
      <c r="S419" s="833"/>
      <c r="T419" s="833"/>
      <c r="U419" s="833"/>
      <c r="V419" s="833"/>
      <c r="W419" s="833"/>
      <c r="X419" s="833"/>
    </row>
    <row r="420" spans="1:24" s="813" customFormat="1" ht="39.950000000000003" hidden="1" customHeight="1" x14ac:dyDescent="0.15">
      <c r="A420" s="2081">
        <f ca="1">+Orçamento_Não_Deson!A420</f>
        <v>5</v>
      </c>
      <c r="B420" s="834" t="str">
        <f>+Orçamento_Não_Deson!B420</f>
        <v>LF/0045</v>
      </c>
      <c r="C420" s="2" t="str">
        <f>VLOOKUP($B420,[5]BOLETIM_SEL!$A:$H,2,0)</f>
        <v>COMPOSIÇÃO</v>
      </c>
      <c r="D420" s="315" t="str">
        <f>VLOOKUP($B420,[5]BOLETIM_SEL!$A:$H,4,0)</f>
        <v>Tubo dreno, corrugado, espiralado, flexível, perfurado, em polietileno de alta densidade (PEAD), DN 150 mm para drenagem – fornecimento e assentamento em vala</v>
      </c>
      <c r="E420" s="2">
        <f>+Orçamento_Não_Deson!E420</f>
        <v>0</v>
      </c>
      <c r="F420" s="2" t="str">
        <f>VLOOKUP($B420,[5]BOLETIM_SEL!$A:$H,6,0)</f>
        <v>M</v>
      </c>
      <c r="G420" s="1407">
        <f>VLOOKUP($B420,[5]BOLETIM_SEL!$A:$H,7,0)</f>
        <v>42.67</v>
      </c>
      <c r="H420" s="1613">
        <f>+Orçamento_Não_Deson!H420</f>
        <v>0</v>
      </c>
      <c r="I420" s="877">
        <f t="shared" si="96"/>
        <v>54.07</v>
      </c>
      <c r="J420" s="1612">
        <f t="shared" si="97"/>
        <v>0</v>
      </c>
      <c r="K420" s="2078">
        <f t="shared" ca="1" si="95"/>
        <v>0</v>
      </c>
      <c r="L420" s="1574" t="e">
        <f t="shared" si="98"/>
        <v>#DIV/0!</v>
      </c>
      <c r="M420" s="1974"/>
      <c r="N420" s="1970"/>
      <c r="O420" s="1652"/>
      <c r="Q420" s="833"/>
      <c r="R420" s="833"/>
      <c r="S420" s="833"/>
      <c r="T420" s="833"/>
      <c r="U420" s="833"/>
      <c r="V420" s="833"/>
      <c r="W420" s="833"/>
      <c r="X420" s="833"/>
    </row>
    <row r="421" spans="1:24" s="813" customFormat="1" ht="39.950000000000003" hidden="1" customHeight="1" x14ac:dyDescent="0.15">
      <c r="A421" s="2081">
        <f ca="1">+Orçamento_Não_Deson!A421</f>
        <v>5</v>
      </c>
      <c r="B421" s="834" t="str">
        <f>+Orçamento_Não_Deson!B421</f>
        <v>DR/0020</v>
      </c>
      <c r="C421" s="2" t="str">
        <f>VLOOKUP($B421,[5]BOLETIM_SEL!$A:$H,2,0)</f>
        <v>COMPOSIÇÃO</v>
      </c>
      <c r="D421" s="315" t="str">
        <f>VLOOKUP($B421,[5]BOLETIM_SEL!$A:$H,4,0)</f>
        <v>Escavação de vala em rocha - 3a categoria, com uso de explosivos e perfuração mecânica, em locais com alto nível de interferência. Inclusive carga</v>
      </c>
      <c r="E421" s="2">
        <f>+Orçamento_Não_Deson!E421</f>
        <v>0</v>
      </c>
      <c r="F421" s="2" t="str">
        <f>VLOOKUP($B421,[5]BOLETIM_SEL!$A:$H,6,0)</f>
        <v>M3</v>
      </c>
      <c r="G421" s="1407">
        <f>VLOOKUP($B421,[5]BOLETIM_SEL!$A:$H,7,0)</f>
        <v>443.64</v>
      </c>
      <c r="H421" s="1613">
        <f>+Orçamento_Não_Deson!H421</f>
        <v>0</v>
      </c>
      <c r="I421" s="877">
        <f t="shared" si="96"/>
        <v>562.26</v>
      </c>
      <c r="J421" s="1612">
        <f t="shared" si="97"/>
        <v>0</v>
      </c>
      <c r="K421" s="2078">
        <f t="shared" ca="1" si="95"/>
        <v>0</v>
      </c>
      <c r="L421" s="1574" t="e">
        <f t="shared" si="98"/>
        <v>#DIV/0!</v>
      </c>
      <c r="M421" s="1974"/>
      <c r="N421" s="1965">
        <f>VLOOKUP($B421,[5]BOLETIM_SEL!$A:$H,3,0)</f>
        <v>3</v>
      </c>
      <c r="O421" s="1652">
        <f>+H421/N421</f>
        <v>0</v>
      </c>
      <c r="Q421" s="833"/>
      <c r="R421" s="833"/>
      <c r="S421" s="833"/>
      <c r="T421" s="833"/>
      <c r="U421" s="833"/>
      <c r="V421" s="833"/>
      <c r="W421" s="833"/>
      <c r="X421" s="833"/>
    </row>
    <row r="422" spans="1:24" s="813" customFormat="1" ht="39.950000000000003" hidden="1" customHeight="1" x14ac:dyDescent="0.15">
      <c r="A422" s="2081">
        <f ca="1">+Orçamento_Não_Deson!A422</f>
        <v>5</v>
      </c>
      <c r="B422" s="834">
        <f>+Orçamento_Não_Deson!B422</f>
        <v>90099</v>
      </c>
      <c r="C422" s="2" t="str">
        <f>VLOOKUP($B422,[5]BOLETIM_SEL!$A:$H,2,0)</f>
        <v>SINAPI</v>
      </c>
      <c r="D422" s="315" t="str">
        <f>VLOOKUP($B422,[5]BOLETIM_SEL!$A:$H,4,0)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422" s="2">
        <f>+Orçamento_Não_Deson!E422</f>
        <v>0</v>
      </c>
      <c r="F422" s="2" t="str">
        <f>VLOOKUP($B422,[5]BOLETIM_SEL!$A:$H,6,0)</f>
        <v>M3</v>
      </c>
      <c r="G422" s="1407">
        <f>VLOOKUP($B422,[5]BOLETIM_SEL!$A:$H,7,0)</f>
        <v>13.81</v>
      </c>
      <c r="H422" s="1613">
        <f>+Orçamento_Não_Deson!H422</f>
        <v>0</v>
      </c>
      <c r="I422" s="877">
        <f t="shared" si="96"/>
        <v>17.5</v>
      </c>
      <c r="J422" s="1612">
        <f t="shared" si="97"/>
        <v>0</v>
      </c>
      <c r="K422" s="2078">
        <f t="shared" ca="1" si="95"/>
        <v>0</v>
      </c>
      <c r="L422" s="1574" t="e">
        <f t="shared" si="98"/>
        <v>#DIV/0!</v>
      </c>
      <c r="M422" s="1974" t="str">
        <f>VLOOKUP($B422,[5]BOLETIM_SEL!$A:$H,5,0)</f>
        <v>H &lt; 1,50
alta Interferência</v>
      </c>
      <c r="N422" s="1965">
        <f>VLOOKUP($B422,[5]BOLETIM_SEL!$A:$H,3,0)</f>
        <v>7.62</v>
      </c>
      <c r="O422" s="1652">
        <f>+H422/N422</f>
        <v>0</v>
      </c>
      <c r="Q422" s="833"/>
      <c r="R422" s="833"/>
      <c r="S422" s="833"/>
      <c r="T422" s="833"/>
      <c r="U422" s="833"/>
      <c r="V422" s="833"/>
      <c r="W422" s="833"/>
      <c r="X422" s="833"/>
    </row>
    <row r="423" spans="1:24" s="813" customFormat="1" ht="39.950000000000003" hidden="1" customHeight="1" x14ac:dyDescent="0.15">
      <c r="A423" s="2081">
        <f ca="1">+Orçamento_Não_Deson!A423</f>
        <v>5</v>
      </c>
      <c r="B423" s="834" t="str">
        <f>+Orçamento_Não_Deson!B423</f>
        <v>LF/0005</v>
      </c>
      <c r="C423" s="2" t="str">
        <f>VLOOKUP($B423,[5]BOLETIM_SEL!$A:$H,2,0)</f>
        <v>COMPOSIÇÃO</v>
      </c>
      <c r="D423" s="315" t="str">
        <f>VLOOKUP($B423,[5]BOLETIM_SEL!$A:$H,4,0)</f>
        <v>Escavação mecânica de vala para drenagem com mimiescavadeira em material de 1a categoria (REF. SINAPI COD. 96525)</v>
      </c>
      <c r="E423" s="2">
        <f>+Orçamento_Não_Deson!E423</f>
        <v>0</v>
      </c>
      <c r="F423" s="2" t="str">
        <f>VLOOKUP($B423,[5]BOLETIM_SEL!$A:$H,6,0)</f>
        <v>M3</v>
      </c>
      <c r="G423" s="1407">
        <f>VLOOKUP($B423,[5]BOLETIM_SEL!$A:$H,7,0)</f>
        <v>41.91</v>
      </c>
      <c r="H423" s="1613">
        <f>+Orçamento_Não_Deson!H423</f>
        <v>0</v>
      </c>
      <c r="I423" s="877">
        <f t="shared" si="96"/>
        <v>53.11</v>
      </c>
      <c r="J423" s="1612">
        <f t="shared" si="97"/>
        <v>0</v>
      </c>
      <c r="K423" s="2078">
        <f t="shared" ca="1" si="95"/>
        <v>0</v>
      </c>
      <c r="L423" s="1574" t="e">
        <f t="shared" si="98"/>
        <v>#DIV/0!</v>
      </c>
      <c r="M423" s="1974"/>
      <c r="N423" s="1965">
        <f>VLOOKUP($B423,[5]BOLETIM_SEL!$A:$H,3,0)</f>
        <v>2.33</v>
      </c>
      <c r="O423" s="1652">
        <f>+H423/N423</f>
        <v>0</v>
      </c>
      <c r="Q423" s="833"/>
      <c r="R423" s="833"/>
      <c r="S423" s="833"/>
      <c r="T423" s="833"/>
      <c r="U423" s="833"/>
      <c r="V423" s="833"/>
      <c r="W423" s="833"/>
      <c r="X423" s="833"/>
    </row>
    <row r="424" spans="1:24" s="813" customFormat="1" ht="39.950000000000003" hidden="1" customHeight="1" x14ac:dyDescent="0.15">
      <c r="A424" s="2081">
        <f ca="1">+Orçamento_Não_Deson!A424</f>
        <v>5</v>
      </c>
      <c r="B424" s="834">
        <f>+Orçamento_Não_Deson!B424</f>
        <v>93382</v>
      </c>
      <c r="C424" s="2" t="str">
        <f>VLOOKUP($B424,[5]BOLETIM_SEL!$A:$H,2,0)</f>
        <v>SINAPI</v>
      </c>
      <c r="D424" s="315" t="str">
        <f>VLOOKUP($B424,[5]BOLETIM_SEL!$A:$H,4,0)</f>
        <v>Reaterro manual de valas com compactação mecanizada. AF_04/2016</v>
      </c>
      <c r="E424" s="2">
        <f>+Orçamento_Não_Deson!E424</f>
        <v>0</v>
      </c>
      <c r="F424" s="2" t="str">
        <f>VLOOKUP($B424,[5]BOLETIM_SEL!$A:$H,6,0)</f>
        <v>M3</v>
      </c>
      <c r="G424" s="1407">
        <f>VLOOKUP($B424,[5]BOLETIM_SEL!$A:$H,7,0)</f>
        <v>27.47</v>
      </c>
      <c r="H424" s="1613">
        <f>+Orçamento_Não_Deson!H424</f>
        <v>0</v>
      </c>
      <c r="I424" s="877">
        <f t="shared" si="96"/>
        <v>34.81</v>
      </c>
      <c r="J424" s="1612">
        <f t="shared" si="97"/>
        <v>0</v>
      </c>
      <c r="K424" s="2078">
        <f t="shared" ca="1" si="95"/>
        <v>0</v>
      </c>
      <c r="L424" s="1574" t="e">
        <f t="shared" si="98"/>
        <v>#DIV/0!</v>
      </c>
      <c r="M424" s="1974"/>
      <c r="N424" s="833"/>
      <c r="O424" s="833"/>
      <c r="Q424" s="833"/>
      <c r="R424" s="833"/>
      <c r="S424" s="833"/>
      <c r="T424" s="833"/>
      <c r="U424" s="833"/>
      <c r="V424" s="833"/>
      <c r="W424" s="833"/>
      <c r="X424" s="833"/>
    </row>
    <row r="425" spans="1:24" s="813" customFormat="1" ht="39.950000000000003" hidden="1" customHeight="1" x14ac:dyDescent="0.15">
      <c r="A425" s="2081">
        <f ca="1">+Orçamento_Não_Deson!A425</f>
        <v>5</v>
      </c>
      <c r="B425" s="834">
        <f>+Orçamento_Não_Deson!B425</f>
        <v>101570</v>
      </c>
      <c r="C425" s="2" t="str">
        <f>VLOOKUP($B425,[5]BOLETIM_SEL!$A:$H,2,0)</f>
        <v>SINAPI</v>
      </c>
      <c r="D425" s="315" t="str">
        <f>VLOOKUP($B425,[5]BOLETIM_SEL!$A:$H,4,0)</f>
        <v>Escoramento de vala, tipo pontaleteamento, com profundidade de 0,00 a 1,50 m, largura menor que 1,50 m. AF_08/2020</v>
      </c>
      <c r="E425" s="2">
        <f>+Orçamento_Não_Deson!E425</f>
        <v>0</v>
      </c>
      <c r="F425" s="2" t="str">
        <f>VLOOKUP($B425,[5]BOLETIM_SEL!$A:$H,6,0)</f>
        <v>M2</v>
      </c>
      <c r="G425" s="1407">
        <f>VLOOKUP($B425,[5]BOLETIM_SEL!$A:$H,7,0)</f>
        <v>20.51</v>
      </c>
      <c r="H425" s="1613">
        <f>+Orçamento_Não_Deson!H425</f>
        <v>0</v>
      </c>
      <c r="I425" s="877">
        <f t="shared" si="96"/>
        <v>25.99</v>
      </c>
      <c r="J425" s="1612">
        <f t="shared" si="97"/>
        <v>0</v>
      </c>
      <c r="K425" s="2078">
        <f t="shared" ca="1" si="95"/>
        <v>0</v>
      </c>
      <c r="L425" s="1574" t="e">
        <f t="shared" si="98"/>
        <v>#DIV/0!</v>
      </c>
      <c r="M425" s="1974" t="str">
        <f>VLOOKUP($B425,[5]BOLETIM_SEL!$A:$H,5,0)</f>
        <v>PONTALETEAMENTO</v>
      </c>
      <c r="N425" s="833"/>
      <c r="O425" s="833"/>
      <c r="Q425" s="833"/>
      <c r="R425" s="833"/>
      <c r="S425" s="833"/>
      <c r="T425" s="833"/>
      <c r="U425" s="833"/>
      <c r="V425" s="833"/>
      <c r="W425" s="833"/>
      <c r="X425" s="833"/>
    </row>
    <row r="426" spans="1:24" s="813" customFormat="1" ht="39.950000000000003" hidden="1" customHeight="1" x14ac:dyDescent="0.15">
      <c r="A426" s="2081">
        <f ca="1">+Orçamento_Não_Deson!A426</f>
        <v>5</v>
      </c>
      <c r="B426" s="834">
        <f>+Orçamento_Não_Deson!B426</f>
        <v>102712</v>
      </c>
      <c r="C426" s="2" t="str">
        <f>VLOOKUP($B426,[5]BOLETIM_SEL!$A:$H,2,0)</f>
        <v>SINAPI</v>
      </c>
      <c r="D426" s="315" t="str">
        <f>VLOOKUP($B426,[5]BOLETIM_SEL!$A:$H,4,0)</f>
        <v>Geotêxtil não tecido 100% poliéster, resistência a tração de 9 kn/m (RT - 9), instalado em dreno - fornecimento e instalação. AF_07/2021</v>
      </c>
      <c r="E426" s="2">
        <f>+Orçamento_Não_Deson!E426</f>
        <v>0</v>
      </c>
      <c r="F426" s="2" t="str">
        <f>VLOOKUP($B426,[5]BOLETIM_SEL!$A:$H,6,0)</f>
        <v>M2</v>
      </c>
      <c r="G426" s="1407">
        <f>VLOOKUP($B426,[5]BOLETIM_SEL!$A:$H,7,0)</f>
        <v>13.9</v>
      </c>
      <c r="H426" s="1613">
        <f>+Orçamento_Não_Deson!H426</f>
        <v>0</v>
      </c>
      <c r="I426" s="877">
        <f t="shared" si="96"/>
        <v>17.61</v>
      </c>
      <c r="J426" s="1612">
        <f t="shared" si="97"/>
        <v>0</v>
      </c>
      <c r="K426" s="2078">
        <f t="shared" ca="1" si="95"/>
        <v>0</v>
      </c>
      <c r="L426" s="1574" t="e">
        <f t="shared" si="98"/>
        <v>#DIV/0!</v>
      </c>
      <c r="M426" s="1974"/>
      <c r="N426" s="833"/>
      <c r="O426" s="833"/>
      <c r="Q426" s="833"/>
      <c r="R426" s="833"/>
      <c r="S426" s="833"/>
      <c r="T426" s="833"/>
      <c r="U426" s="833"/>
      <c r="V426" s="833"/>
      <c r="W426" s="833"/>
      <c r="X426" s="833"/>
    </row>
    <row r="427" spans="1:24" s="813" customFormat="1" ht="39.950000000000003" hidden="1" customHeight="1" x14ac:dyDescent="0.15">
      <c r="A427" s="2081">
        <f ca="1">+Orçamento_Não_Deson!A427</f>
        <v>5</v>
      </c>
      <c r="B427" s="834" t="str">
        <f>+Orçamento_Não_Deson!B427</f>
        <v>LF/0007</v>
      </c>
      <c r="C427" s="2" t="str">
        <f>VLOOKUP($B427,[5]BOLETIM_SEL!$A:$H,2,0)</f>
        <v>COMPOSIÇÃO</v>
      </c>
      <c r="D427" s="315" t="str">
        <f>VLOOKUP($B427,[5]BOLETIM_SEL!$A:$H,4,0)</f>
        <v>Brita n. 2 para dreno, lançamento manual, em local com nível baixo de interferência. Fornecimento, exclusive transporte</v>
      </c>
      <c r="E427" s="2">
        <f>+Orçamento_Não_Deson!E427</f>
        <v>0</v>
      </c>
      <c r="F427" s="2" t="str">
        <f>VLOOKUP($B427,[5]BOLETIM_SEL!$A:$H,6,0)</f>
        <v>M3</v>
      </c>
      <c r="G427" s="1407">
        <f>VLOOKUP($B427,[5]BOLETIM_SEL!$A:$H,7,0)</f>
        <v>172.32</v>
      </c>
      <c r="H427" s="1613">
        <f>+Orçamento_Não_Deson!H427</f>
        <v>0</v>
      </c>
      <c r="I427" s="877">
        <f t="shared" si="96"/>
        <v>218.39</v>
      </c>
      <c r="J427" s="1612">
        <f t="shared" si="97"/>
        <v>0</v>
      </c>
      <c r="K427" s="2078">
        <f t="shared" ca="1" si="95"/>
        <v>0</v>
      </c>
      <c r="L427" s="1574" t="e">
        <f t="shared" si="98"/>
        <v>#DIV/0!</v>
      </c>
      <c r="M427" s="1974"/>
      <c r="N427" s="833"/>
      <c r="O427" s="833"/>
      <c r="Q427" s="833"/>
      <c r="R427" s="833"/>
      <c r="S427" s="833"/>
      <c r="T427" s="833"/>
      <c r="U427" s="833"/>
      <c r="V427" s="833"/>
      <c r="W427" s="833"/>
      <c r="X427" s="833"/>
    </row>
    <row r="428" spans="1:24" s="813" customFormat="1" ht="39.950000000000003" hidden="1" customHeight="1" x14ac:dyDescent="0.15">
      <c r="A428" s="2081">
        <f ca="1">+Orçamento_Não_Deson!A428</f>
        <v>5</v>
      </c>
      <c r="B428" s="834">
        <f>+Orçamento_Não_Deson!B428</f>
        <v>93374</v>
      </c>
      <c r="C428" s="2" t="str">
        <f>VLOOKUP($B428,[5]BOLETIM_SEL!$A:$H,2,0)</f>
        <v>SINAPI</v>
      </c>
      <c r="D428" s="315" t="str">
        <f>VLOOKUP($B428,[5]BOLETIM_SEL!$A:$H,4,0)</f>
        <v>Reaterro mecanizado de vala com retroescavadeira (capacidade da caçamba da retro: 0,26 m3 / potência: 88 HP), largura até 0,80 m, profundidade até 1,50 m, com solo (sem substituição) de 1a categoria em locais com alto nível de interferência. AF_04/2016</v>
      </c>
      <c r="E428" s="2">
        <f>+Orçamento_Não_Deson!E428</f>
        <v>0</v>
      </c>
      <c r="F428" s="2" t="str">
        <f>VLOOKUP($B428,[5]BOLETIM_SEL!$A:$H,6,0)</f>
        <v>M3</v>
      </c>
      <c r="G428" s="1407">
        <f>VLOOKUP($B428,[5]BOLETIM_SEL!$A:$H,7,0)</f>
        <v>23.3</v>
      </c>
      <c r="H428" s="1613">
        <f>+Orçamento_Não_Deson!H428</f>
        <v>0</v>
      </c>
      <c r="I428" s="877">
        <f t="shared" si="96"/>
        <v>29.53</v>
      </c>
      <c r="J428" s="1612">
        <f t="shared" si="97"/>
        <v>0</v>
      </c>
      <c r="K428" s="2078">
        <f t="shared" ca="1" si="95"/>
        <v>0</v>
      </c>
      <c r="L428" s="1574" t="e">
        <f t="shared" si="98"/>
        <v>#DIV/0!</v>
      </c>
      <c r="M428" s="1974" t="str">
        <f>VLOOKUP($B428,[5]BOLETIM_SEL!$A:$H,5,0)</f>
        <v>H &lt; 1,50
alta Interferência</v>
      </c>
      <c r="N428" s="833"/>
      <c r="O428" s="833"/>
      <c r="Q428" s="833"/>
      <c r="R428" s="833"/>
      <c r="S428" s="833"/>
      <c r="T428" s="833"/>
      <c r="U428" s="833"/>
      <c r="V428" s="833"/>
      <c r="W428" s="833"/>
      <c r="X428" s="833"/>
    </row>
    <row r="429" spans="1:24" s="813" customFormat="1" ht="39.950000000000003" hidden="1" customHeight="1" x14ac:dyDescent="0.15">
      <c r="A429" s="2081">
        <f ca="1">+Orçamento_Não_Deson!A429</f>
        <v>5</v>
      </c>
      <c r="B429" s="834">
        <f>+Orçamento_Não_Deson!B429</f>
        <v>101230</v>
      </c>
      <c r="C429" s="2" t="str">
        <f>VLOOKUP($B429,[5]BOLETIM_SEL!$A:$H,2,0)</f>
        <v>SINAPI</v>
      </c>
      <c r="D429" s="315" t="str">
        <f>VLOOKUP($B429,[5]BOLETIM_SEL!$A:$H,4,0)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29" s="2">
        <f>+Orçamento_Não_Deson!E429</f>
        <v>0</v>
      </c>
      <c r="F429" s="2" t="str">
        <f>VLOOKUP($B429,[5]BOLETIM_SEL!$A:$H,6,0)</f>
        <v>M3</v>
      </c>
      <c r="G429" s="1407">
        <f>VLOOKUP($B429,[5]BOLETIM_SEL!$A:$H,7,0)</f>
        <v>9.8699999999999992</v>
      </c>
      <c r="H429" s="1613">
        <f>+Orçamento_Não_Deson!H429</f>
        <v>0</v>
      </c>
      <c r="I429" s="877">
        <f t="shared" si="96"/>
        <v>12.5</v>
      </c>
      <c r="J429" s="1612">
        <f t="shared" si="97"/>
        <v>0</v>
      </c>
      <c r="K429" s="2078">
        <f t="shared" ca="1" si="95"/>
        <v>0</v>
      </c>
      <c r="L429" s="1574" t="e">
        <f t="shared" si="98"/>
        <v>#DIV/0!</v>
      </c>
      <c r="M429" s="1974"/>
      <c r="N429" s="833"/>
      <c r="O429" s="833"/>
      <c r="Q429" s="833"/>
      <c r="R429" s="833"/>
      <c r="S429" s="833"/>
      <c r="T429" s="833"/>
      <c r="U429" s="833"/>
      <c r="V429" s="833"/>
      <c r="W429" s="833"/>
      <c r="X429" s="833"/>
    </row>
    <row r="430" spans="1:24" s="813" customFormat="1" ht="39.950000000000003" hidden="1" customHeight="1" x14ac:dyDescent="0.15">
      <c r="A430" s="2081">
        <f ca="1">+Orçamento_Não_Deson!A430</f>
        <v>5</v>
      </c>
      <c r="B430" s="834">
        <f>+Orçamento_Não_Deson!B430</f>
        <v>6079</v>
      </c>
      <c r="C430" s="2" t="str">
        <f>VLOOKUP($B430,[5]BOLETIM_SEL!$A:$H,2,0)</f>
        <v>COTAÇÃO - SINAPI</v>
      </c>
      <c r="D430" s="315" t="str">
        <f>VLOOKUP($B430,[5]BOLETIM_SEL!$A:$H,4,0)</f>
        <v>Argila, argila vermelha ou argila arenosa (retirada na jazida, sem transporte)</v>
      </c>
      <c r="E430" s="2" t="str">
        <f>+Orçamento_Não_Deson!E430</f>
        <v>BDI insumo</v>
      </c>
      <c r="F430" s="2" t="str">
        <f>VLOOKUP($B430,[5]BOLETIM_SEL!$A:$H,6,0)</f>
        <v xml:space="preserve">M3    </v>
      </c>
      <c r="G430" s="1407">
        <f>VLOOKUP($B430,[5]BOLETIM_SEL!$A:$H,7,0)</f>
        <v>33.700000000000003</v>
      </c>
      <c r="H430" s="1613">
        <f>+Orçamento_Não_Deson!H430</f>
        <v>0</v>
      </c>
      <c r="I430" s="1614">
        <f>TRUNC(G430*(1+$J$6),2)</f>
        <v>38.840000000000003</v>
      </c>
      <c r="J430" s="1612">
        <f t="shared" si="97"/>
        <v>0</v>
      </c>
      <c r="K430" s="2078">
        <f t="shared" ca="1" si="95"/>
        <v>0</v>
      </c>
      <c r="L430" s="1574" t="e">
        <f t="shared" si="98"/>
        <v>#DIV/0!</v>
      </c>
      <c r="M430" s="1975" t="str">
        <f>+Orçamento_Não_Deson!M430</f>
        <v>COMERCIAL</v>
      </c>
      <c r="N430" s="833"/>
      <c r="O430" s="833"/>
      <c r="Q430" s="833"/>
      <c r="R430" s="833"/>
      <c r="S430" s="833"/>
      <c r="T430" s="833"/>
      <c r="U430" s="833"/>
      <c r="V430" s="833"/>
      <c r="W430" s="833"/>
      <c r="X430" s="833"/>
    </row>
    <row r="431" spans="1:24" s="813" customFormat="1" ht="39.950000000000003" hidden="1" customHeight="1" x14ac:dyDescent="0.15">
      <c r="A431" s="2081">
        <f ca="1">+Orçamento_Não_Deson!A431</f>
        <v>5</v>
      </c>
      <c r="B431" s="834" t="str">
        <f>+Orçamento_Não_Deson!B431</f>
        <v>DR/0050</v>
      </c>
      <c r="C431" s="2" t="str">
        <f>VLOOKUP($B431,[5]BOLETIM_SEL!$A:$H,2,0)</f>
        <v>COMPOSIÇÃO</v>
      </c>
      <c r="D431" s="315" t="str">
        <f>VLOOKUP($B431,[5]BOLETIM_SEL!$A:$H,4,0)</f>
        <v>Esgotamento de água com bomba submersa (REF. SICRO COD. 2003864)</v>
      </c>
      <c r="E431" s="2">
        <f>+Orçamento_Não_Deson!E431</f>
        <v>0</v>
      </c>
      <c r="F431" s="2" t="str">
        <f>VLOOKUP($B431,[5]BOLETIM_SEL!$A:$H,6,0)</f>
        <v>H</v>
      </c>
      <c r="G431" s="1407">
        <f>VLOOKUP($B431,[5]BOLETIM_SEL!$A:$H,7,0)</f>
        <v>21.96</v>
      </c>
      <c r="H431" s="1613">
        <f>+Orçamento_Não_Deson!H431</f>
        <v>0</v>
      </c>
      <c r="I431" s="877">
        <f t="shared" ref="I431:I446" si="99">+TRUNC(G431*(1+$J$5),2)</f>
        <v>27.83</v>
      </c>
      <c r="J431" s="1612">
        <f t="shared" si="97"/>
        <v>0</v>
      </c>
      <c r="K431" s="2078">
        <f t="shared" ca="1" si="95"/>
        <v>0</v>
      </c>
      <c r="L431" s="1574" t="e">
        <f t="shared" si="98"/>
        <v>#DIV/0!</v>
      </c>
      <c r="M431" s="1974"/>
      <c r="N431" s="833"/>
      <c r="O431" s="833"/>
      <c r="Q431" s="833"/>
      <c r="R431" s="833"/>
      <c r="S431" s="833"/>
      <c r="T431" s="833"/>
      <c r="U431" s="833"/>
      <c r="V431" s="833"/>
      <c r="W431" s="833"/>
      <c r="X431" s="833"/>
    </row>
    <row r="432" spans="1:24" s="813" customFormat="1" ht="39.950000000000003" hidden="1" customHeight="1" x14ac:dyDescent="0.15">
      <c r="A432" s="2081">
        <f ca="1">+Orçamento_Não_Deson!A432</f>
        <v>5</v>
      </c>
      <c r="B432" s="834" t="str">
        <f>+Orçamento_Não_Deson!B432</f>
        <v>DR/0032</v>
      </c>
      <c r="C432" s="2" t="str">
        <f>VLOOKUP($B432,[5]BOLETIM_SEL!$A:$H,2,0)</f>
        <v>COMPOSIÇÃO</v>
      </c>
      <c r="D432" s="315" t="str">
        <f>VLOOKUP($B432,[5]BOLETIM_SEL!$A:$H,4,0)</f>
        <v>Lastro ou enrocamento de pedra-de-mão ou rachão lançado, fornecimento e apiloamento. Exclusive transporte, ref SINAPI 73697, data 01/2020 e SINAPI 92744.</v>
      </c>
      <c r="E432" s="2">
        <f>+Orçamento_Não_Deson!E432</f>
        <v>0</v>
      </c>
      <c r="F432" s="2" t="str">
        <f>VLOOKUP($B432,[5]BOLETIM_SEL!$A:$H,6,0)</f>
        <v>M3</v>
      </c>
      <c r="G432" s="1407">
        <f>VLOOKUP($B432,[5]BOLETIM_SEL!$A:$H,7,0)</f>
        <v>237.76</v>
      </c>
      <c r="H432" s="1613">
        <f>+Orçamento_Não_Deson!H432</f>
        <v>0</v>
      </c>
      <c r="I432" s="877">
        <f t="shared" si="99"/>
        <v>301.33</v>
      </c>
      <c r="J432" s="1612">
        <f t="shared" si="97"/>
        <v>0</v>
      </c>
      <c r="K432" s="2078">
        <f t="shared" ca="1" si="95"/>
        <v>0</v>
      </c>
      <c r="L432" s="1574" t="e">
        <f t="shared" si="98"/>
        <v>#DIV/0!</v>
      </c>
      <c r="M432" s="1974"/>
      <c r="N432" s="833"/>
      <c r="O432" s="833"/>
      <c r="Q432" s="833"/>
      <c r="R432" s="833"/>
      <c r="S432" s="833"/>
      <c r="T432" s="833"/>
      <c r="U432" s="833"/>
      <c r="V432" s="833"/>
      <c r="W432" s="833"/>
      <c r="X432" s="833"/>
    </row>
    <row r="433" spans="1:24" s="813" customFormat="1" ht="39.950000000000003" hidden="1" customHeight="1" x14ac:dyDescent="0.15">
      <c r="A433" s="2081">
        <f ca="1">+Orçamento_Não_Deson!A433</f>
        <v>5</v>
      </c>
      <c r="B433" s="834" t="str">
        <f>+Orçamento_Não_Deson!B433</f>
        <v>DR/0165</v>
      </c>
      <c r="C433" s="2" t="str">
        <f>VLOOKUP($B433,[5]BOLETIM_SEL!$A:$H,2,0)</f>
        <v>COMPOSIÇÃO</v>
      </c>
      <c r="D433" s="315" t="str">
        <f>VLOOKUP($B433,[5]BOLETIM_SEL!$A:$H,4,0)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433" s="2">
        <f>+Orçamento_Não_Deson!E433</f>
        <v>0</v>
      </c>
      <c r="F433" s="2" t="str">
        <f>VLOOKUP($B433,[5]BOLETIM_SEL!$A:$H,6,0)</f>
        <v>UN</v>
      </c>
      <c r="G433" s="1407">
        <f>VLOOKUP($B433,[5]BOLETIM_SEL!$A:$H,7,0)</f>
        <v>1703.74</v>
      </c>
      <c r="H433" s="1613">
        <f>+Orçamento_Não_Deson!H433</f>
        <v>0</v>
      </c>
      <c r="I433" s="877">
        <f t="shared" si="99"/>
        <v>2159.3200000000002</v>
      </c>
      <c r="J433" s="1612">
        <f t="shared" si="97"/>
        <v>0</v>
      </c>
      <c r="K433" s="2078">
        <f t="shared" ca="1" si="95"/>
        <v>0</v>
      </c>
      <c r="L433" s="1574" t="e">
        <f t="shared" si="98"/>
        <v>#DIV/0!</v>
      </c>
      <c r="M433" s="1974"/>
      <c r="N433" s="833"/>
      <c r="O433" s="833"/>
      <c r="Q433" s="833"/>
      <c r="R433" s="833"/>
      <c r="S433" s="833"/>
      <c r="T433" s="833"/>
      <c r="U433" s="833"/>
      <c r="V433" s="833"/>
      <c r="W433" s="833"/>
      <c r="X433" s="833"/>
    </row>
    <row r="434" spans="1:24" s="813" customFormat="1" ht="39.950000000000003" hidden="1" customHeight="1" x14ac:dyDescent="0.15">
      <c r="A434" s="2081">
        <f ca="1">+Orçamento_Não_Deson!A434</f>
        <v>5</v>
      </c>
      <c r="B434" s="834">
        <f>+Orçamento_Não_Deson!B434</f>
        <v>94963</v>
      </c>
      <c r="C434" s="2" t="str">
        <f>VLOOKUP($B434,[5]BOLETIM_SEL!$A:$H,2,0)</f>
        <v>SINAPI</v>
      </c>
      <c r="D434" s="315" t="str">
        <f>VLOOKUP($B434,[5]BOLETIM_SEL!$A:$H,4,0)</f>
        <v>Concreto FCK = 15 MPA, traço 1:3,4:3,5 (cimento/ areia média/ brita 1) - preparo mecânico com betoneira 400 l. AF_07/2016</v>
      </c>
      <c r="E434" s="2">
        <f>+Orçamento_Não_Deson!E434</f>
        <v>0</v>
      </c>
      <c r="F434" s="2" t="str">
        <f>VLOOKUP($B434,[5]BOLETIM_SEL!$A:$H,6,0)</f>
        <v>M3</v>
      </c>
      <c r="G434" s="1407">
        <f>VLOOKUP($B434,[5]BOLETIM_SEL!$A:$H,7,0)</f>
        <v>419.83</v>
      </c>
      <c r="H434" s="1613">
        <f>+Orçamento_Não_Deson!H434</f>
        <v>0</v>
      </c>
      <c r="I434" s="877">
        <f t="shared" si="99"/>
        <v>532.09</v>
      </c>
      <c r="J434" s="1612">
        <f t="shared" si="97"/>
        <v>0</v>
      </c>
      <c r="K434" s="2078">
        <f t="shared" ca="1" si="95"/>
        <v>0</v>
      </c>
      <c r="L434" s="1574" t="e">
        <f t="shared" si="98"/>
        <v>#DIV/0!</v>
      </c>
      <c r="M434" s="1974"/>
      <c r="N434" s="833"/>
      <c r="O434" s="833"/>
      <c r="Q434" s="833"/>
      <c r="R434" s="833"/>
      <c r="S434" s="833"/>
      <c r="T434" s="833"/>
      <c r="U434" s="833"/>
      <c r="V434" s="833"/>
      <c r="W434" s="833"/>
      <c r="X434" s="833"/>
    </row>
    <row r="435" spans="1:24" s="813" customFormat="1" ht="39.950000000000003" hidden="1" customHeight="1" x14ac:dyDescent="0.15">
      <c r="A435" s="2081">
        <f ca="1">+Orçamento_Não_Deson!A435</f>
        <v>5</v>
      </c>
      <c r="B435" s="834">
        <f>+Orçamento_Não_Deson!B435</f>
        <v>103670</v>
      </c>
      <c r="C435" s="2" t="str">
        <f>VLOOKUP($B435,[5]BOLETIM_SEL!$A:$H,2,0)</f>
        <v>SINAPI</v>
      </c>
      <c r="D435" s="315" t="str">
        <f>VLOOKUP($B435,[5]BOLETIM_SEL!$A:$H,4,0)</f>
        <v>Lançamento com uso de baldes, adensamento e acabamento de concreto em estruturas. AF_12/2015</v>
      </c>
      <c r="E435" s="2">
        <f>+Orçamento_Não_Deson!E435</f>
        <v>0</v>
      </c>
      <c r="F435" s="2" t="str">
        <f>VLOOKUP($B435,[5]BOLETIM_SEL!$A:$H,6,0)</f>
        <v>M3</v>
      </c>
      <c r="G435" s="1407">
        <f>VLOOKUP($B435,[5]BOLETIM_SEL!$A:$H,7,0)</f>
        <v>231.03</v>
      </c>
      <c r="H435" s="1613">
        <f>+Orçamento_Não_Deson!H435</f>
        <v>0</v>
      </c>
      <c r="I435" s="877">
        <f t="shared" si="99"/>
        <v>292.8</v>
      </c>
      <c r="J435" s="1612">
        <f t="shared" si="97"/>
        <v>0</v>
      </c>
      <c r="K435" s="2078">
        <f t="shared" ca="1" si="95"/>
        <v>0</v>
      </c>
      <c r="L435" s="1574" t="e">
        <f t="shared" si="98"/>
        <v>#DIV/0!</v>
      </c>
      <c r="M435" s="1974"/>
      <c r="N435" s="833"/>
      <c r="O435" s="833"/>
      <c r="Q435" s="833"/>
      <c r="R435" s="833"/>
      <c r="S435" s="833"/>
      <c r="T435" s="833"/>
      <c r="U435" s="833"/>
      <c r="V435" s="833"/>
      <c r="W435" s="833"/>
      <c r="X435" s="833"/>
    </row>
    <row r="436" spans="1:24" s="813" customFormat="1" ht="39.950000000000003" hidden="1" customHeight="1" x14ac:dyDescent="0.15">
      <c r="A436" s="2081">
        <f ca="1">+Orçamento_Não_Deson!A436</f>
        <v>5</v>
      </c>
      <c r="B436" s="834" t="str">
        <f>+Orçamento_Não_Deson!B436</f>
        <v>EC/0044</v>
      </c>
      <c r="C436" s="2" t="str">
        <f>VLOOKUP($B436,[5]BOLETIM_SEL!$A:$H,2,0)</f>
        <v>COMPOSIÇÃO</v>
      </c>
      <c r="D436" s="315" t="str">
        <f>VLOOKUP($B436,[5]BOLETIM_SEL!$A:$H,4,0)</f>
        <v>Alvenaria em tijolo cerâmico maciço 5x10x20cm 1 vez (espessura 20cm), assentado com argamassa de betoneira, traço 1:2:8 (cimento, cal e areia), REF SINAPI 72131, DATA 04/2020</v>
      </c>
      <c r="E436" s="2">
        <f>+Orçamento_Não_Deson!E436</f>
        <v>0</v>
      </c>
      <c r="F436" s="2" t="str">
        <f>VLOOKUP($B436,[5]BOLETIM_SEL!$A:$H,6,0)</f>
        <v>M2</v>
      </c>
      <c r="G436" s="1407">
        <f>VLOOKUP($B436,[5]BOLETIM_SEL!$A:$H,7,0)</f>
        <v>189.92</v>
      </c>
      <c r="H436" s="1613">
        <f>+Orçamento_Não_Deson!H436</f>
        <v>0</v>
      </c>
      <c r="I436" s="877">
        <f t="shared" si="99"/>
        <v>240.7</v>
      </c>
      <c r="J436" s="1612">
        <f t="shared" si="97"/>
        <v>0</v>
      </c>
      <c r="K436" s="2078">
        <f t="shared" ca="1" si="95"/>
        <v>0</v>
      </c>
      <c r="L436" s="1574" t="e">
        <f t="shared" si="98"/>
        <v>#DIV/0!</v>
      </c>
      <c r="M436" s="1974"/>
      <c r="N436" s="833"/>
      <c r="O436" s="833"/>
      <c r="Q436" s="833"/>
      <c r="R436" s="833"/>
      <c r="S436" s="833"/>
      <c r="T436" s="833"/>
      <c r="U436" s="833"/>
      <c r="V436" s="833"/>
      <c r="W436" s="833"/>
      <c r="X436" s="833"/>
    </row>
    <row r="437" spans="1:24" s="813" customFormat="1" ht="39.950000000000003" hidden="1" customHeight="1" x14ac:dyDescent="0.15">
      <c r="A437" s="2081">
        <f ca="1">+Orçamento_Não_Deson!A437</f>
        <v>5</v>
      </c>
      <c r="B437" s="834">
        <f>+Orçamento_Não_Deson!B437</f>
        <v>87878</v>
      </c>
      <c r="C437" s="2" t="str">
        <f>VLOOKUP($B437,[5]BOLETIM_SEL!$A:$H,2,0)</f>
        <v>SINAPI</v>
      </c>
      <c r="D437" s="315" t="str">
        <f>VLOOKUP($B437,[5]BOLETIM_SEL!$A:$H,4,0)</f>
        <v>Chapisco aplicado em alvenarias e estruturas de concreto internas, com colher de pedreiro. Argamassa traço 1:3 com preparo manual. AF_06/2014</v>
      </c>
      <c r="E437" s="2">
        <f>+Orçamento_Não_Deson!E437</f>
        <v>0</v>
      </c>
      <c r="F437" s="2" t="str">
        <f>VLOOKUP($B437,[5]BOLETIM_SEL!$A:$H,6,0)</f>
        <v>M2</v>
      </c>
      <c r="G437" s="1407">
        <f>VLOOKUP($B437,[5]BOLETIM_SEL!$A:$H,7,0)</f>
        <v>4.1399999999999997</v>
      </c>
      <c r="H437" s="1613">
        <f>+Orçamento_Não_Deson!H437</f>
        <v>0</v>
      </c>
      <c r="I437" s="877">
        <f t="shared" si="99"/>
        <v>5.24</v>
      </c>
      <c r="J437" s="1612">
        <f t="shared" si="97"/>
        <v>0</v>
      </c>
      <c r="K437" s="2078">
        <f t="shared" ca="1" si="95"/>
        <v>0</v>
      </c>
      <c r="L437" s="1574" t="e">
        <f t="shared" si="98"/>
        <v>#DIV/0!</v>
      </c>
      <c r="M437" s="1974"/>
      <c r="N437" s="833"/>
      <c r="O437" s="833"/>
      <c r="Q437" s="833"/>
      <c r="R437" s="833"/>
      <c r="S437" s="833"/>
      <c r="T437" s="833"/>
      <c r="U437" s="833"/>
      <c r="V437" s="833"/>
      <c r="W437" s="833"/>
      <c r="X437" s="833"/>
    </row>
    <row r="438" spans="1:24" s="813" customFormat="1" ht="39.950000000000003" hidden="1" customHeight="1" x14ac:dyDescent="0.15">
      <c r="A438" s="2081">
        <f ca="1">+Orçamento_Não_Deson!A438</f>
        <v>5</v>
      </c>
      <c r="B438" s="834">
        <f>+Orçamento_Não_Deson!B438</f>
        <v>87313</v>
      </c>
      <c r="C438" s="2" t="str">
        <f>VLOOKUP($B438,[5]BOLETIM_SEL!$A:$H,2,0)</f>
        <v>SINAPI</v>
      </c>
      <c r="D438" s="315" t="str">
        <f>VLOOKUP($B438,[5]BOLETIM_SEL!$A:$H,4,0)</f>
        <v>Argamassa traço 1:3 (em volume de cimento e areia grossa úmida) para chapisco convencional, preparo mecânico com betoneira 400 l. AF_08/2019</v>
      </c>
      <c r="E438" s="2">
        <f>+Orçamento_Não_Deson!E438</f>
        <v>0</v>
      </c>
      <c r="F438" s="2" t="str">
        <f>VLOOKUP($B438,[5]BOLETIM_SEL!$A:$H,6,0)</f>
        <v>M3</v>
      </c>
      <c r="G438" s="1407">
        <f>VLOOKUP($B438,[5]BOLETIM_SEL!$A:$H,7,0)</f>
        <v>519.44000000000005</v>
      </c>
      <c r="H438" s="1613">
        <f>+Orçamento_Não_Deson!H438</f>
        <v>0</v>
      </c>
      <c r="I438" s="877">
        <f t="shared" si="99"/>
        <v>658.33</v>
      </c>
      <c r="J438" s="1612">
        <f t="shared" si="97"/>
        <v>0</v>
      </c>
      <c r="K438" s="2078">
        <f t="shared" ca="1" si="95"/>
        <v>0</v>
      </c>
      <c r="L438" s="1574" t="e">
        <f t="shared" si="98"/>
        <v>#DIV/0!</v>
      </c>
      <c r="M438" s="1974"/>
      <c r="N438" s="833"/>
      <c r="O438" s="833"/>
      <c r="Q438" s="833"/>
      <c r="R438" s="833"/>
      <c r="S438" s="833"/>
      <c r="T438" s="833"/>
      <c r="U438" s="833"/>
      <c r="V438" s="833"/>
      <c r="W438" s="833"/>
      <c r="X438" s="833"/>
    </row>
    <row r="439" spans="1:24" s="813" customFormat="1" ht="39.950000000000003" hidden="1" customHeight="1" x14ac:dyDescent="0.15">
      <c r="A439" s="2081"/>
      <c r="B439" s="834"/>
      <c r="C439" s="2"/>
      <c r="D439" s="1452" t="s">
        <v>1802</v>
      </c>
      <c r="E439" s="2"/>
      <c r="F439" s="2"/>
      <c r="G439" s="1407"/>
      <c r="H439" s="2"/>
      <c r="I439" s="2"/>
      <c r="J439" s="839" t="str">
        <f>IF(J440=0,"-","")</f>
        <v>-</v>
      </c>
      <c r="K439" s="2078"/>
      <c r="L439" s="1574"/>
      <c r="M439" s="1974" t="str">
        <f>+Orçamento_Não_Deson!M439</f>
        <v>Definir depósito reciclável: 2, 3 ou 4</v>
      </c>
      <c r="N439" s="833"/>
      <c r="O439" s="833"/>
      <c r="Q439" s="833"/>
      <c r="R439" s="833"/>
      <c r="S439" s="833"/>
      <c r="T439" s="833"/>
      <c r="U439" s="833"/>
      <c r="V439" s="833"/>
      <c r="W439" s="833"/>
      <c r="X439" s="833"/>
    </row>
    <row r="440" spans="1:24" s="813" customFormat="1" ht="39.950000000000003" hidden="1" customHeight="1" x14ac:dyDescent="0.15">
      <c r="A440" s="2081">
        <f ca="1">+Orçamento_Não_Deson!A440</f>
        <v>5</v>
      </c>
      <c r="B440" s="834">
        <f>+Orçamento_Não_Deson!B440</f>
        <v>95875</v>
      </c>
      <c r="C440" s="2" t="str">
        <f>VLOOKUP($B440,[5]BOLETIM_SEL!$A:$H,2,0)</f>
        <v>SINAPI</v>
      </c>
      <c r="D440" s="315" t="str">
        <f>VLOOKUP($B440,[5]BOLETIM_SEL!$A:$H,4,0)</f>
        <v>Transporte com caminhão basculante de 10 m3, em via urbana pavimentada, DMT até 30,00 km (unidade: m3xkm). AF_07/2020</v>
      </c>
      <c r="E440" s="2">
        <f>+Orçamento_Não_Deson!E440</f>
        <v>0</v>
      </c>
      <c r="F440" s="2" t="str">
        <f>VLOOKUP($B440,[5]BOLETIM_SEL!$A:$H,6,0)</f>
        <v>M3XKM</v>
      </c>
      <c r="G440" s="1407">
        <f>VLOOKUP($B440,[5]BOLETIM_SEL!$A:$H,7,0)</f>
        <v>2.15</v>
      </c>
      <c r="H440" s="1613">
        <f>+Orçamento_Não_Deson!H440</f>
        <v>0</v>
      </c>
      <c r="I440" s="877">
        <f t="shared" si="99"/>
        <v>2.72</v>
      </c>
      <c r="J440" s="1612">
        <f>TRUNC(H440*I440,2)</f>
        <v>0</v>
      </c>
      <c r="K440" s="2078">
        <f ca="1">J440/J$967</f>
        <v>0</v>
      </c>
      <c r="L440" s="1574" t="e">
        <f>J440/$J$413</f>
        <v>#DIV/0!</v>
      </c>
      <c r="M440" s="1976">
        <f>+Orçamento_Não_Deson!M440</f>
        <v>0</v>
      </c>
      <c r="N440" s="833"/>
      <c r="O440" s="833"/>
      <c r="Q440" s="833"/>
      <c r="R440" s="833"/>
      <c r="S440" s="833"/>
      <c r="T440" s="833"/>
      <c r="U440" s="833"/>
      <c r="V440" s="833"/>
      <c r="W440" s="833"/>
      <c r="X440" s="833"/>
    </row>
    <row r="441" spans="1:24" s="813" customFormat="1" ht="39.950000000000003" hidden="1" customHeight="1" x14ac:dyDescent="0.15">
      <c r="A441" s="2081"/>
      <c r="B441" s="834"/>
      <c r="C441" s="2"/>
      <c r="D441" s="1452" t="s">
        <v>1803</v>
      </c>
      <c r="E441" s="2"/>
      <c r="F441" s="2"/>
      <c r="G441" s="1407"/>
      <c r="H441" s="2"/>
      <c r="I441" s="2"/>
      <c r="J441" s="839" t="str">
        <f>IF(J442=0,"-","")</f>
        <v>-</v>
      </c>
      <c r="K441" s="2078"/>
      <c r="L441" s="1574"/>
      <c r="M441" s="1974" t="str">
        <f>+Orçamento_Não_Deson!M441</f>
        <v>Definir depósito:                                   1,  2, 3 ou 4</v>
      </c>
      <c r="N441" s="833"/>
      <c r="O441" s="833"/>
      <c r="Q441" s="833"/>
      <c r="R441" s="833"/>
      <c r="S441" s="833"/>
      <c r="T441" s="833"/>
      <c r="U441" s="833"/>
      <c r="V441" s="833"/>
      <c r="W441" s="833"/>
      <c r="X441" s="833"/>
    </row>
    <row r="442" spans="1:24" s="813" customFormat="1" ht="39.950000000000003" hidden="1" customHeight="1" x14ac:dyDescent="0.15">
      <c r="A442" s="2081">
        <f ca="1">+Orçamento_Não_Deson!A442</f>
        <v>5</v>
      </c>
      <c r="B442" s="834">
        <f>+Orçamento_Não_Deson!B442</f>
        <v>95875</v>
      </c>
      <c r="C442" s="2" t="str">
        <f>VLOOKUP($B442,[5]BOLETIM_SEL!$A:$H,2,0)</f>
        <v>SINAPI</v>
      </c>
      <c r="D442" s="315" t="str">
        <f>VLOOKUP($B442,[5]BOLETIM_SEL!$A:$H,4,0)</f>
        <v>Transporte com caminhão basculante de 10 m3, em via urbana pavimentada, DMT até 30,00 km (unidade: m3xkm). AF_07/2020</v>
      </c>
      <c r="E442" s="2">
        <f>+Orçamento_Não_Deson!E442</f>
        <v>4</v>
      </c>
      <c r="F442" s="2" t="str">
        <f>VLOOKUP($B442,[5]BOLETIM_SEL!$A:$H,6,0)</f>
        <v>M3XKM</v>
      </c>
      <c r="G442" s="1407">
        <f>VLOOKUP($B442,[5]BOLETIM_SEL!$A:$H,7,0)</f>
        <v>2.15</v>
      </c>
      <c r="H442" s="1613">
        <f>+Orçamento_Não_Deson!H442</f>
        <v>0</v>
      </c>
      <c r="I442" s="877">
        <f t="shared" si="99"/>
        <v>2.72</v>
      </c>
      <c r="J442" s="1612">
        <f>TRUNC(H442*I442,2)</f>
        <v>0</v>
      </c>
      <c r="K442" s="2078">
        <f ca="1">J442/J$967</f>
        <v>0</v>
      </c>
      <c r="L442" s="1574" t="e">
        <f>J442/$J$413</f>
        <v>#DIV/0!</v>
      </c>
      <c r="M442" s="1976">
        <f>+Orçamento_Não_Deson!M442</f>
        <v>0</v>
      </c>
      <c r="N442" s="833"/>
      <c r="O442" s="833"/>
      <c r="Q442" s="833"/>
      <c r="R442" s="833"/>
      <c r="S442" s="833"/>
      <c r="T442" s="833"/>
      <c r="U442" s="833"/>
      <c r="V442" s="833"/>
      <c r="W442" s="833"/>
      <c r="X442" s="833"/>
    </row>
    <row r="443" spans="1:24" s="813" customFormat="1" ht="39.950000000000003" hidden="1" customHeight="1" x14ac:dyDescent="0.15">
      <c r="A443" s="2081"/>
      <c r="B443" s="834"/>
      <c r="C443" s="2"/>
      <c r="D443" s="1452" t="s">
        <v>1816</v>
      </c>
      <c r="E443" s="2"/>
      <c r="F443" s="2"/>
      <c r="G443" s="1407"/>
      <c r="H443" s="2"/>
      <c r="I443" s="2"/>
      <c r="J443" s="839" t="str">
        <f>IF(J444=0,"-","")</f>
        <v>-</v>
      </c>
      <c r="K443" s="2078"/>
      <c r="L443" s="1574"/>
      <c r="M443" s="1974"/>
      <c r="N443" s="833"/>
      <c r="O443" s="833"/>
      <c r="Q443" s="833"/>
      <c r="R443" s="833"/>
      <c r="S443" s="833"/>
      <c r="T443" s="833"/>
      <c r="U443" s="833"/>
      <c r="V443" s="833"/>
      <c r="W443" s="833"/>
      <c r="X443" s="833"/>
    </row>
    <row r="444" spans="1:24" s="813" customFormat="1" ht="39.950000000000003" hidden="1" customHeight="1" x14ac:dyDescent="0.15">
      <c r="A444" s="2081">
        <f ca="1">+Orçamento_Não_Deson!A444</f>
        <v>5</v>
      </c>
      <c r="B444" s="834">
        <f>+Orçamento_Não_Deson!B444</f>
        <v>95875</v>
      </c>
      <c r="C444" s="2" t="str">
        <f>VLOOKUP($B444,[5]BOLETIM_SEL!$A:$H,2,0)</f>
        <v>SINAPI</v>
      </c>
      <c r="D444" s="315" t="str">
        <f>VLOOKUP($B444,[5]BOLETIM_SEL!$A:$H,4,0)</f>
        <v>Transporte com caminhão basculante de 10 m3, em via urbana pavimentada, DMT até 30,00 km (unidade: m3xkm). AF_07/2020</v>
      </c>
      <c r="E444" s="2">
        <f>+Orçamento_Não_Deson!E444</f>
        <v>4</v>
      </c>
      <c r="F444" s="2" t="str">
        <f>VLOOKUP($B444,[5]BOLETIM_SEL!$A:$H,6,0)</f>
        <v>M3XKM</v>
      </c>
      <c r="G444" s="1407">
        <f>VLOOKUP($B444,[5]BOLETIM_SEL!$A:$H,7,0)</f>
        <v>2.15</v>
      </c>
      <c r="H444" s="1613">
        <f>+Orçamento_Não_Deson!H444</f>
        <v>0</v>
      </c>
      <c r="I444" s="877">
        <f t="shared" si="99"/>
        <v>2.72</v>
      </c>
      <c r="J444" s="1612">
        <f>TRUNC(H444*I444,2)</f>
        <v>0</v>
      </c>
      <c r="K444" s="2078">
        <f ca="1">J444/J$967</f>
        <v>0</v>
      </c>
      <c r="L444" s="1574" t="e">
        <f>J444/$J$413</f>
        <v>#DIV/0!</v>
      </c>
      <c r="M444" s="1976">
        <f>+Orçamento_Não_Deson!M444</f>
        <v>0</v>
      </c>
      <c r="N444" s="833"/>
      <c r="O444" s="833"/>
      <c r="Q444" s="833"/>
      <c r="R444" s="833"/>
      <c r="S444" s="833"/>
      <c r="T444" s="833"/>
      <c r="U444" s="833"/>
      <c r="V444" s="833"/>
      <c r="W444" s="833"/>
      <c r="X444" s="833"/>
    </row>
    <row r="445" spans="1:24" s="813" customFormat="1" ht="39.950000000000003" hidden="1" customHeight="1" x14ac:dyDescent="0.15">
      <c r="A445" s="2081"/>
      <c r="B445" s="834"/>
      <c r="C445" s="2"/>
      <c r="D445" s="1452" t="s">
        <v>2190</v>
      </c>
      <c r="E445" s="2"/>
      <c r="F445" s="2"/>
      <c r="G445" s="1407"/>
      <c r="H445" s="2"/>
      <c r="I445" s="2"/>
      <c r="J445" s="839" t="str">
        <f>IF(J446=0,"-","")</f>
        <v>-</v>
      </c>
      <c r="K445" s="2078"/>
      <c r="L445" s="1574"/>
      <c r="M445" s="1974"/>
      <c r="N445" s="833"/>
      <c r="O445" s="833"/>
      <c r="Q445" s="833"/>
      <c r="R445" s="833"/>
      <c r="S445" s="833"/>
      <c r="T445" s="833"/>
      <c r="U445" s="833"/>
      <c r="V445" s="833"/>
      <c r="W445" s="833"/>
      <c r="X445" s="833"/>
    </row>
    <row r="446" spans="1:24" s="813" customFormat="1" ht="39.950000000000003" hidden="1" customHeight="1" x14ac:dyDescent="0.15">
      <c r="A446" s="2081">
        <f ca="1">+Orçamento_Não_Deson!A446</f>
        <v>5</v>
      </c>
      <c r="B446" s="834">
        <f>+Orçamento_Não_Deson!B446</f>
        <v>93590</v>
      </c>
      <c r="C446" s="2" t="str">
        <f>VLOOKUP($B446,[5]BOLETIM_SEL!$A:$H,2,0)</f>
        <v>SINAPI</v>
      </c>
      <c r="D446" s="315" t="str">
        <f>VLOOKUP($B446,[5]BOLETIM_SEL!$A:$H,4,0)</f>
        <v>Transporte com caminhão basculante de 10 m3, em via urbana pavimentada, adicional para DMT excedente a 30,00 km (unidade: m3xkm). AF_07/2020</v>
      </c>
      <c r="E446" s="2">
        <f>+Orçamento_Não_Deson!E446</f>
        <v>109</v>
      </c>
      <c r="F446" s="2" t="str">
        <f>VLOOKUP($B446,[5]BOLETIM_SEL!$A:$H,6,0)</f>
        <v>M3XKM</v>
      </c>
      <c r="G446" s="1407">
        <f>VLOOKUP($B446,[5]BOLETIM_SEL!$A:$H,7,0)</f>
        <v>0.85</v>
      </c>
      <c r="H446" s="1613">
        <f>+Orçamento_Não_Deson!H446</f>
        <v>0</v>
      </c>
      <c r="I446" s="877">
        <f t="shared" si="99"/>
        <v>1.07</v>
      </c>
      <c r="J446" s="1612">
        <f>TRUNC(H446*I446,2)</f>
        <v>0</v>
      </c>
      <c r="K446" s="2078">
        <f ca="1">J446/J$967</f>
        <v>0</v>
      </c>
      <c r="L446" s="1574" t="e">
        <f>J446/$J$413</f>
        <v>#DIV/0!</v>
      </c>
      <c r="M446" s="1976">
        <f>+Orçamento_Não_Deson!M446</f>
        <v>0</v>
      </c>
      <c r="N446" s="833"/>
      <c r="O446" s="833"/>
      <c r="Q446" s="833"/>
      <c r="R446" s="833"/>
      <c r="S446" s="833"/>
      <c r="T446" s="833"/>
      <c r="U446" s="833"/>
      <c r="V446" s="833"/>
      <c r="W446" s="833"/>
      <c r="X446" s="833"/>
    </row>
    <row r="447" spans="1:24" s="813" customFormat="1" ht="39.950000000000003" hidden="1" customHeight="1" x14ac:dyDescent="0.15">
      <c r="A447" s="2081"/>
      <c r="B447" s="834"/>
      <c r="C447" s="834"/>
      <c r="D447" s="835"/>
      <c r="E447" s="2"/>
      <c r="F447" s="834"/>
      <c r="G447" s="1821"/>
      <c r="H447" s="1"/>
      <c r="I447" s="877"/>
      <c r="J447" s="839">
        <f>IF(J413=0,0,"")</f>
        <v>0</v>
      </c>
      <c r="K447" s="2078"/>
      <c r="L447" s="1574"/>
      <c r="M447" s="1833"/>
      <c r="N447" s="833"/>
      <c r="O447" s="833"/>
      <c r="Q447" s="833"/>
      <c r="R447" s="833"/>
      <c r="S447" s="833"/>
      <c r="T447" s="833"/>
      <c r="U447" s="833"/>
      <c r="V447" s="833"/>
      <c r="W447" s="833"/>
      <c r="X447" s="833"/>
    </row>
    <row r="448" spans="1:24" s="833" customFormat="1" ht="30" customHeight="1" x14ac:dyDescent="0.15">
      <c r="A448" s="2082">
        <f ca="1">IF(J448&gt;0,INT(A446)+1,IF(J448=0,INT(A446),0))</f>
        <v>6</v>
      </c>
      <c r="B448" s="1633"/>
      <c r="C448" s="1633"/>
      <c r="D448" s="1634" t="s">
        <v>747</v>
      </c>
      <c r="E448" s="1828"/>
      <c r="F448" s="1635"/>
      <c r="G448" s="1820" t="s">
        <v>647</v>
      </c>
      <c r="H448" s="1637"/>
      <c r="I448" s="1640" t="str">
        <f ca="1">CONCATENATE("SUB-TOTAL ",A448)</f>
        <v>SUB-TOTAL 6</v>
      </c>
      <c r="J448" s="1639">
        <f ca="1">SUM(J449:J504)</f>
        <v>20442.95</v>
      </c>
      <c r="K448" s="2079">
        <f t="shared" ref="K448:K466" ca="1" si="100">J448/J$967</f>
        <v>1.4887264354703448E-3</v>
      </c>
      <c r="L448" s="1610">
        <f t="shared" ref="L448:L466" ca="1" si="101">J448/$J$448</f>
        <v>1</v>
      </c>
    </row>
    <row r="449" spans="1:24" s="813" customFormat="1" ht="50.1" customHeight="1" x14ac:dyDescent="0.15">
      <c r="A449" s="2081">
        <f ca="1">+Orçamento_Não_Deson!A449</f>
        <v>6.01</v>
      </c>
      <c r="B449" s="834">
        <f>+Orçamento_Não_Deson!B449</f>
        <v>90105</v>
      </c>
      <c r="C449" s="2" t="str">
        <f>VLOOKUP($B449,[5]BOLETIM_SEL!$A:$H,2,0)</f>
        <v>SINAPI</v>
      </c>
      <c r="D449" s="315" t="str">
        <f>VLOOKUP($B449,[5]BOLETIM_SEL!$A:$H,4,0)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449" s="2">
        <f>+Orçamento_Não_Deson!E449</f>
        <v>0</v>
      </c>
      <c r="F449" s="2" t="str">
        <f>VLOOKUP($B449,[5]BOLETIM_SEL!$A:$H,6,0)</f>
        <v>M3</v>
      </c>
      <c r="G449" s="1407">
        <f>VLOOKUP($B449,[5]BOLETIM_SEL!$A:$H,7,0)</f>
        <v>7.61</v>
      </c>
      <c r="H449" s="1613">
        <f ca="1">+Orçamento_Não_Deson!H449</f>
        <v>32.78</v>
      </c>
      <c r="I449" s="877">
        <f>TRUNC(G449*(1+$J$5),2)</f>
        <v>9.64</v>
      </c>
      <c r="J449" s="1612">
        <f t="shared" ref="J449:J466" ca="1" si="102">TRUNC(H449*I449,2)</f>
        <v>315.99</v>
      </c>
      <c r="K449" s="2078">
        <f t="shared" ca="1" si="100"/>
        <v>2.3011486421689345E-5</v>
      </c>
      <c r="L449" s="1574">
        <f t="shared" ca="1" si="101"/>
        <v>1.5457162493671413E-2</v>
      </c>
      <c r="M449" s="1974"/>
      <c r="N449" s="833"/>
      <c r="O449" s="833"/>
      <c r="Q449" s="833"/>
      <c r="R449" s="833"/>
      <c r="S449" s="833"/>
      <c r="T449" s="833"/>
      <c r="U449" s="833"/>
      <c r="V449" s="833"/>
      <c r="W449" s="833"/>
      <c r="X449" s="833"/>
    </row>
    <row r="450" spans="1:24" s="813" customFormat="1" ht="39.950000000000003" hidden="1" customHeight="1" x14ac:dyDescent="0.15">
      <c r="A450" s="2081">
        <f ca="1">+Orçamento_Não_Deson!A450</f>
        <v>6.01</v>
      </c>
      <c r="B450" s="834">
        <f>+Orçamento_Não_Deson!B450</f>
        <v>101230</v>
      </c>
      <c r="C450" s="2" t="str">
        <f>VLOOKUP($B450,[5]BOLETIM_SEL!$A:$H,2,0)</f>
        <v>SINAPI</v>
      </c>
      <c r="D450" s="315" t="str">
        <f>VLOOKUP($B450,[5]BOLETIM_SEL!$A:$H,4,0)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50" s="2">
        <f>+Orçamento_Não_Deson!E450</f>
        <v>0</v>
      </c>
      <c r="F450" s="2" t="str">
        <f>VLOOKUP($B450,[5]BOLETIM_SEL!$A:$H,6,0)</f>
        <v>M3</v>
      </c>
      <c r="G450" s="1407">
        <f>VLOOKUP($B450,[5]BOLETIM_SEL!$A:$H,7,0)</f>
        <v>9.8699999999999992</v>
      </c>
      <c r="H450" s="1613">
        <f ca="1">+Orçamento_Não_Deson!H450</f>
        <v>0</v>
      </c>
      <c r="I450" s="877">
        <f>TRUNC(G450*(1+$J$5),2)</f>
        <v>12.5</v>
      </c>
      <c r="J450" s="1612">
        <f t="shared" ca="1" si="102"/>
        <v>0</v>
      </c>
      <c r="K450" s="2078">
        <f t="shared" ca="1" si="100"/>
        <v>0</v>
      </c>
      <c r="L450" s="1574">
        <f t="shared" ca="1" si="101"/>
        <v>0</v>
      </c>
      <c r="M450" s="1974"/>
      <c r="N450" s="833"/>
      <c r="O450" s="833"/>
      <c r="Q450" s="833"/>
      <c r="R450" s="833"/>
      <c r="S450" s="833"/>
      <c r="T450" s="833"/>
      <c r="U450" s="833"/>
      <c r="V450" s="833"/>
      <c r="W450" s="833"/>
      <c r="X450" s="833"/>
    </row>
    <row r="451" spans="1:24" s="813" customFormat="1" ht="39.950000000000003" customHeight="1" x14ac:dyDescent="0.15">
      <c r="A451" s="2081">
        <f ca="1">+Orçamento_Não_Deson!A451</f>
        <v>6.02</v>
      </c>
      <c r="B451" s="834">
        <f>+Orçamento_Não_Deson!B451</f>
        <v>6079</v>
      </c>
      <c r="C451" s="2" t="str">
        <f>VLOOKUP($B451,[5]BOLETIM_SEL!$A:$H,2,0)</f>
        <v>COTAÇÃO - SINAPI</v>
      </c>
      <c r="D451" s="315" t="str">
        <f>VLOOKUP($B451,[5]BOLETIM_SEL!$A:$H,4,0)</f>
        <v>Argila, argila vermelha ou argila arenosa (retirada na jazida, sem transporte)</v>
      </c>
      <c r="E451" s="2" t="str">
        <f>+Orçamento_Não_Deson!E451</f>
        <v>BDI insumo</v>
      </c>
      <c r="F451" s="2" t="str">
        <f>VLOOKUP($B451,[5]BOLETIM_SEL!$A:$H,6,0)</f>
        <v xml:space="preserve">M3    </v>
      </c>
      <c r="G451" s="1407">
        <f>VLOOKUP($B451,[5]BOLETIM_SEL!$A:$H,7,0)</f>
        <v>33.700000000000003</v>
      </c>
      <c r="H451" s="1613">
        <f ca="1">+Orçamento_Não_Deson!H451</f>
        <v>13.66</v>
      </c>
      <c r="I451" s="1614">
        <f>TRUNC(G451*(1+$J$6),2)</f>
        <v>38.840000000000003</v>
      </c>
      <c r="J451" s="1612">
        <f t="shared" ca="1" si="102"/>
        <v>530.54999999999995</v>
      </c>
      <c r="K451" s="2078">
        <f t="shared" ca="1" si="100"/>
        <v>3.8636488879481257E-5</v>
      </c>
      <c r="L451" s="1574">
        <f t="shared" ca="1" si="101"/>
        <v>2.5952712304241801E-2</v>
      </c>
      <c r="M451" s="1975" t="str">
        <f>+Orçamento_Não_Deson!M451</f>
        <v>COMERCIAL</v>
      </c>
      <c r="N451" s="833"/>
      <c r="O451" s="833"/>
      <c r="Q451" s="833"/>
      <c r="R451" s="833"/>
      <c r="S451" s="833"/>
      <c r="T451" s="833"/>
      <c r="U451" s="833"/>
      <c r="V451" s="833"/>
      <c r="W451" s="833"/>
      <c r="X451" s="833"/>
    </row>
    <row r="452" spans="1:24" s="813" customFormat="1" ht="39.950000000000003" customHeight="1" x14ac:dyDescent="0.15">
      <c r="A452" s="2081">
        <f ca="1">+Orçamento_Não_Deson!A452</f>
        <v>6.0299999999999994</v>
      </c>
      <c r="B452" s="834">
        <f>+Orçamento_Não_Deson!B452</f>
        <v>4721</v>
      </c>
      <c r="C452" s="2" t="str">
        <f>VLOOKUP($B452,[5]BOLETIM_SEL!$A:$H,2,0)</f>
        <v>COTAÇÃO - SINAPI</v>
      </c>
      <c r="D452" s="315" t="str">
        <f>VLOOKUP($B452,[5]BOLETIM_SEL!$A:$H,4,0)</f>
        <v>Pedra britada n. 1 (9,5 A 19 mm) posto pedreira/fornecedor, sem frete</v>
      </c>
      <c r="E452" s="2" t="str">
        <f>+Orçamento_Não_Deson!E452</f>
        <v>BDI insumo</v>
      </c>
      <c r="F452" s="2" t="str">
        <f>VLOOKUP($B452,[5]BOLETIM_SEL!$A:$H,6,0)</f>
        <v xml:space="preserve">M3    </v>
      </c>
      <c r="G452" s="1407">
        <f>VLOOKUP($B452,[5]BOLETIM_SEL!$A:$H,7,0)</f>
        <v>96.99</v>
      </c>
      <c r="H452" s="1613">
        <f ca="1">+Orçamento_Não_Deson!H452</f>
        <v>22.53</v>
      </c>
      <c r="I452" s="1614">
        <f>TRUNC(G452*(1+$J$6),2)</f>
        <v>111.8</v>
      </c>
      <c r="J452" s="1612">
        <f t="shared" ca="1" si="102"/>
        <v>2518.85</v>
      </c>
      <c r="K452" s="2078">
        <f t="shared" ca="1" si="100"/>
        <v>1.8343138255410679E-4</v>
      </c>
      <c r="L452" s="1574">
        <f t="shared" ca="1" si="101"/>
        <v>0.12321362621343787</v>
      </c>
      <c r="M452" s="1974"/>
      <c r="N452" s="833"/>
      <c r="O452" s="833"/>
      <c r="Q452" s="833"/>
      <c r="R452" s="833"/>
      <c r="S452" s="833"/>
      <c r="T452" s="833"/>
      <c r="U452" s="833"/>
      <c r="V452" s="833"/>
      <c r="W452" s="833"/>
      <c r="X452" s="833"/>
    </row>
    <row r="453" spans="1:24" s="813" customFormat="1" ht="39.950000000000003" hidden="1" customHeight="1" x14ac:dyDescent="0.15">
      <c r="A453" s="2081">
        <f ca="1">+Orçamento_Não_Deson!A453</f>
        <v>6.0299999999999994</v>
      </c>
      <c r="B453" s="834">
        <f>+Orçamento_Não_Deson!B453</f>
        <v>4743</v>
      </c>
      <c r="C453" s="2" t="str">
        <f>VLOOKUP($B453,[5]BOLETIM_SEL!$A:$H,2,0)</f>
        <v>COTAÇÃO - SINAPI</v>
      </c>
      <c r="D453" s="315" t="str">
        <f>VLOOKUP($B453,[5]BOLETIM_SEL!$A:$H,4,0)</f>
        <v>Cascalho de cava</v>
      </c>
      <c r="E453" s="2" t="str">
        <f>+Orçamento_Não_Deson!E453</f>
        <v>BDI insumo</v>
      </c>
      <c r="F453" s="2" t="str">
        <f>VLOOKUP($B453,[5]BOLETIM_SEL!$A:$H,6,0)</f>
        <v xml:space="preserve">M3    </v>
      </c>
      <c r="G453" s="1407">
        <f>VLOOKUP($B453,[5]BOLETIM_SEL!$A:$H,7,0)</f>
        <v>56.55</v>
      </c>
      <c r="H453" s="1613">
        <f ca="1">+Orçamento_Não_Deson!H453</f>
        <v>0</v>
      </c>
      <c r="I453" s="1614">
        <f>TRUNC(G453*(1+$J$6),2)</f>
        <v>65.180000000000007</v>
      </c>
      <c r="J453" s="1612">
        <f t="shared" ca="1" si="102"/>
        <v>0</v>
      </c>
      <c r="K453" s="2078">
        <f t="shared" ca="1" si="100"/>
        <v>0</v>
      </c>
      <c r="L453" s="1574">
        <f t="shared" ca="1" si="101"/>
        <v>0</v>
      </c>
      <c r="M453" s="1975" t="str">
        <f>+Orçamento_Não_Deson!M453</f>
        <v>COMERCIAL</v>
      </c>
      <c r="N453" s="833"/>
      <c r="O453" s="833"/>
      <c r="Q453" s="833"/>
      <c r="R453" s="833"/>
      <c r="S453" s="833"/>
      <c r="T453" s="833"/>
      <c r="U453" s="833"/>
      <c r="V453" s="833"/>
      <c r="W453" s="833"/>
      <c r="X453" s="833"/>
    </row>
    <row r="454" spans="1:24" s="813" customFormat="1" ht="39.950000000000003" hidden="1" customHeight="1" x14ac:dyDescent="0.15">
      <c r="A454" s="2081">
        <f ca="1">+Orçamento_Não_Deson!A454</f>
        <v>6.0299999999999994</v>
      </c>
      <c r="B454" s="834">
        <f>+Orçamento_Não_Deson!B454</f>
        <v>4748</v>
      </c>
      <c r="C454" s="2" t="str">
        <f>VLOOKUP($B454,[5]BOLETIM_SEL!$A:$H,2,0)</f>
        <v>COTAÇÃO - SINAPI</v>
      </c>
      <c r="D454" s="315" t="str">
        <f>VLOOKUP($B454,[5]BOLETIM_SEL!$A:$H,4,0)</f>
        <v>Pedra britada ou bica corrida, não classificada (posto pedreira/fornecedor, sem frete)</v>
      </c>
      <c r="E454" s="2" t="str">
        <f>+Orçamento_Não_Deson!E454</f>
        <v>BDI insumo</v>
      </c>
      <c r="F454" s="2" t="str">
        <f>VLOOKUP($B454,[5]BOLETIM_SEL!$A:$H,6,0)</f>
        <v xml:space="preserve">M3    </v>
      </c>
      <c r="G454" s="1407">
        <f>VLOOKUP($B454,[5]BOLETIM_SEL!$A:$H,7,0)</f>
        <v>89.58</v>
      </c>
      <c r="H454" s="1613">
        <f ca="1">+Orçamento_Não_Deson!H454</f>
        <v>0</v>
      </c>
      <c r="I454" s="2109">
        <f>TRUNC(G454*(1+$J$6),2)</f>
        <v>103.25</v>
      </c>
      <c r="J454" s="1612">
        <f t="shared" ca="1" si="102"/>
        <v>0</v>
      </c>
      <c r="K454" s="2078">
        <f t="shared" ca="1" si="100"/>
        <v>0</v>
      </c>
      <c r="L454" s="1574">
        <f t="shared" ca="1" si="101"/>
        <v>0</v>
      </c>
      <c r="M454" s="1974"/>
      <c r="N454" s="833"/>
      <c r="O454" s="833"/>
      <c r="Q454" s="833"/>
      <c r="R454" s="833"/>
      <c r="S454" s="833"/>
      <c r="T454" s="833"/>
      <c r="U454" s="833"/>
      <c r="V454" s="833"/>
      <c r="W454" s="833"/>
      <c r="X454" s="833"/>
    </row>
    <row r="455" spans="1:24" s="813" customFormat="1" ht="39.950000000000003" hidden="1" customHeight="1" x14ac:dyDescent="0.15">
      <c r="A455" s="2081">
        <f ca="1">+Orçamento_Não_Deson!A455</f>
        <v>6.0299999999999994</v>
      </c>
      <c r="B455" s="834">
        <f>+Orçamento_Não_Deson!B455</f>
        <v>4729</v>
      </c>
      <c r="C455" s="2" t="str">
        <f>VLOOKUP($B455,[5]BOLETIM_SEL!$A:$H,2,0)</f>
        <v>COTAÇÃO - SINAPI</v>
      </c>
      <c r="D455" s="315" t="str">
        <f>VLOOKUP($B455,[5]BOLETIM_SEL!$A:$H,4,0)</f>
        <v>Pedra britada graduada, classificada (posto pedreira/fornecedor, sem frete)</v>
      </c>
      <c r="E455" s="2" t="str">
        <f>+Orçamento_Não_Deson!E455</f>
        <v>BDI insumo</v>
      </c>
      <c r="F455" s="2" t="str">
        <f>VLOOKUP($B455,[5]BOLETIM_SEL!$A:$H,6,0)</f>
        <v xml:space="preserve">M3    </v>
      </c>
      <c r="G455" s="1407">
        <f>VLOOKUP($B455,[5]BOLETIM_SEL!$A:$H,7,0)</f>
        <v>97.72</v>
      </c>
      <c r="H455" s="1613">
        <f ca="1">+Orçamento_Não_Deson!H455</f>
        <v>0</v>
      </c>
      <c r="I455" s="1614">
        <f>TRUNC(G455*(1+$J$6),2)</f>
        <v>112.64</v>
      </c>
      <c r="J455" s="1612">
        <f t="shared" ca="1" si="102"/>
        <v>0</v>
      </c>
      <c r="K455" s="2078">
        <f t="shared" ca="1" si="100"/>
        <v>0</v>
      </c>
      <c r="L455" s="1574">
        <f t="shared" ca="1" si="101"/>
        <v>0</v>
      </c>
      <c r="M455" s="1974"/>
      <c r="N455" s="833"/>
      <c r="O455" s="833"/>
      <c r="Q455" s="833"/>
      <c r="R455" s="833"/>
      <c r="S455" s="833"/>
      <c r="T455" s="833"/>
      <c r="U455" s="833"/>
      <c r="V455" s="833"/>
      <c r="W455" s="833"/>
      <c r="X455" s="833"/>
    </row>
    <row r="456" spans="1:24" s="813" customFormat="1" ht="39.950000000000003" customHeight="1" x14ac:dyDescent="0.15">
      <c r="A456" s="2081">
        <f ca="1">+Orçamento_Não_Deson!A456</f>
        <v>6.0399999999999991</v>
      </c>
      <c r="B456" s="834">
        <f>+Orçamento_Não_Deson!B456</f>
        <v>101767</v>
      </c>
      <c r="C456" s="2" t="str">
        <f>VLOOKUP($B456,[5]BOLETIM_SEL!$A:$H,2,0)</f>
        <v>SINAPI</v>
      </c>
      <c r="D456" s="315" t="str">
        <f>VLOOKUP($B456,[5]BOLETIM_SEL!$A:$H,4,0)</f>
        <v>Execução e compactação de base e ou sub base para pavimentação de solos estabilizados granulometricamente com mistura de solos em pista - exclusive solo, escavação, carga e transporte. AF_11/2019</v>
      </c>
      <c r="E456" s="2">
        <f>+Orçamento_Não_Deson!E456</f>
        <v>0</v>
      </c>
      <c r="F456" s="2" t="str">
        <f>VLOOKUP($B456,[5]BOLETIM_SEL!$A:$H,6,0)</f>
        <v>M3</v>
      </c>
      <c r="G456" s="1407">
        <f>VLOOKUP($B456,[5]BOLETIM_SEL!$A:$H,7,0)</f>
        <v>24.96</v>
      </c>
      <c r="H456" s="1613">
        <f ca="1">+Orçamento_Não_Deson!H456</f>
        <v>27.31</v>
      </c>
      <c r="I456" s="877">
        <f t="shared" ref="I456:I466" si="103">TRUNC(G456*(1+$J$5),2)</f>
        <v>31.63</v>
      </c>
      <c r="J456" s="1612">
        <f t="shared" ca="1" si="102"/>
        <v>863.81</v>
      </c>
      <c r="K456" s="2078">
        <f t="shared" ca="1" si="100"/>
        <v>6.2905636526217512E-5</v>
      </c>
      <c r="L456" s="1574">
        <f t="shared" ca="1" si="101"/>
        <v>4.2254664811096243E-2</v>
      </c>
      <c r="M456" s="1974"/>
      <c r="N456" s="833"/>
      <c r="O456" s="833"/>
      <c r="Q456" s="833"/>
      <c r="R456" s="833"/>
      <c r="S456" s="833"/>
      <c r="T456" s="833"/>
      <c r="U456" s="833"/>
      <c r="V456" s="833"/>
      <c r="W456" s="833"/>
      <c r="X456" s="833"/>
    </row>
    <row r="457" spans="1:24" s="813" customFormat="1" ht="39.950000000000003" hidden="1" customHeight="1" x14ac:dyDescent="0.15">
      <c r="A457" s="2081">
        <f ca="1">+Orçamento_Não_Deson!A457</f>
        <v>6.0399999999999991</v>
      </c>
      <c r="B457" s="834" t="str">
        <f>+Orçamento_Não_Deson!B457</f>
        <v>PA/0021</v>
      </c>
      <c r="C457" s="2" t="str">
        <f>VLOOKUP($B457,[5]BOLETIM_SEL!$A:$H,2,0)</f>
        <v>COMPOSIÇÃO</v>
      </c>
      <c r="D457" s="315" t="str">
        <f>VLOOKUP($B457,[5]BOLETIM_SEL!$A:$H,4,0)</f>
        <v>Execução e compactação de base e ou sub-base, estabilizado granulometricamente, sem mistura, com material de jazida. Exclusive fornecimento e transporte (REF. SINAPI COD. 4011219)</v>
      </c>
      <c r="E457" s="2">
        <f>+Orçamento_Não_Deson!E457</f>
        <v>0</v>
      </c>
      <c r="F457" s="2" t="str">
        <f>VLOOKUP($B457,[5]BOLETIM_SEL!$A:$H,6,0)</f>
        <v>M3</v>
      </c>
      <c r="G457" s="1407">
        <f>VLOOKUP($B457,[5]BOLETIM_SEL!$A:$H,7,0)</f>
        <v>17.73</v>
      </c>
      <c r="H457" s="1613">
        <f>+Orçamento_Não_Deson!H457</f>
        <v>0</v>
      </c>
      <c r="I457" s="877">
        <f t="shared" si="103"/>
        <v>22.47</v>
      </c>
      <c r="J457" s="1612">
        <f t="shared" si="102"/>
        <v>0</v>
      </c>
      <c r="K457" s="2078">
        <f t="shared" ca="1" si="100"/>
        <v>0</v>
      </c>
      <c r="L457" s="1574">
        <f t="shared" ca="1" si="101"/>
        <v>0</v>
      </c>
      <c r="M457" s="1974"/>
      <c r="N457" s="833"/>
      <c r="O457" s="833"/>
      <c r="Q457" s="833"/>
      <c r="R457" s="833"/>
      <c r="S457" s="833"/>
      <c r="T457" s="833"/>
      <c r="U457" s="833"/>
      <c r="V457" s="833"/>
      <c r="W457" s="833"/>
      <c r="X457" s="833"/>
    </row>
    <row r="458" spans="1:24" s="813" customFormat="1" ht="39.950000000000003" hidden="1" customHeight="1" x14ac:dyDescent="0.15">
      <c r="A458" s="2081">
        <f ca="1">+Orçamento_Não_Deson!A458</f>
        <v>6.0399999999999991</v>
      </c>
      <c r="B458" s="834" t="str">
        <f>+Orçamento_Não_Deson!B458</f>
        <v>PA/0018</v>
      </c>
      <c r="C458" s="2" t="str">
        <f>VLOOKUP($B458,[5]BOLETIM_SEL!$A:$H,2,0)</f>
        <v>COMPOSIÇÃO</v>
      </c>
      <c r="D458" s="315" t="str">
        <f>VLOOKUP($B458,[5]BOLETIM_SEL!$A:$H,4,0)</f>
        <v>Usinagem de brita graduada simples, exclusive fornecimento de materiais (REF. SINAPI COD. 96393, DB 05-2021)</v>
      </c>
      <c r="E458" s="2">
        <f>+Orçamento_Não_Deson!E458</f>
        <v>0</v>
      </c>
      <c r="F458" s="2" t="str">
        <f>VLOOKUP($B458,[5]BOLETIM_SEL!$A:$H,6,0)</f>
        <v>M3</v>
      </c>
      <c r="G458" s="1407">
        <f>VLOOKUP($B458,[5]BOLETIM_SEL!$A:$H,7,0)</f>
        <v>5.97</v>
      </c>
      <c r="H458" s="1613">
        <f>+Orçamento_Não_Deson!H458</f>
        <v>0</v>
      </c>
      <c r="I458" s="877">
        <f t="shared" ref="I458" si="104">TRUNC(G458*(1+$J$5),2)</f>
        <v>7.56</v>
      </c>
      <c r="J458" s="1612">
        <f t="shared" ref="J458" si="105">TRUNC(H458*I458,2)</f>
        <v>0</v>
      </c>
      <c r="K458" s="2078">
        <f t="shared" ca="1" si="100"/>
        <v>0</v>
      </c>
      <c r="L458" s="1574">
        <f t="shared" ref="L458" ca="1" si="106">J458/$J$448</f>
        <v>0</v>
      </c>
      <c r="M458" s="1974"/>
      <c r="N458" s="833"/>
      <c r="O458" s="833"/>
      <c r="Q458" s="833"/>
      <c r="R458" s="833"/>
      <c r="S458" s="833"/>
      <c r="T458" s="833"/>
      <c r="U458" s="833"/>
      <c r="V458" s="833"/>
      <c r="W458" s="833"/>
      <c r="X458" s="833"/>
    </row>
    <row r="459" spans="1:24" s="813" customFormat="1" ht="39.950000000000003" hidden="1" customHeight="1" x14ac:dyDescent="0.15">
      <c r="A459" s="2081">
        <f ca="1">+Orçamento_Não_Deson!A459</f>
        <v>6.0399999999999991</v>
      </c>
      <c r="B459" s="834" t="str">
        <f>+Orçamento_Não_Deson!B459</f>
        <v>PA/0020</v>
      </c>
      <c r="C459" s="2" t="str">
        <f>VLOOKUP($B459,[5]BOLETIM_SEL!$A:$H,2,0)</f>
        <v>COMPOSIÇÃO</v>
      </c>
      <c r="D459" s="315" t="str">
        <f>VLOOKUP($B459,[5]BOLETIM_SEL!$A:$H,4,0)</f>
        <v>Execução e compactação de base e ou sub-base com material produto de britagem. Exclusive fornecimento e transporte de materiais (REF. SINAPI COD. 96396)</v>
      </c>
      <c r="E459" s="2">
        <f>+Orçamento_Não_Deson!E459</f>
        <v>0</v>
      </c>
      <c r="F459" s="2" t="str">
        <f>VLOOKUP($B459,[5]BOLETIM_SEL!$A:$H,6,0)</f>
        <v>M3</v>
      </c>
      <c r="G459" s="1407">
        <f>VLOOKUP($B459,[5]BOLETIM_SEL!$A:$H,7,0)</f>
        <v>11.99</v>
      </c>
      <c r="H459" s="1613">
        <f ca="1">+Orçamento_Não_Deson!H459</f>
        <v>0</v>
      </c>
      <c r="I459" s="877">
        <f t="shared" si="103"/>
        <v>15.19</v>
      </c>
      <c r="J459" s="1612">
        <f t="shared" ca="1" si="102"/>
        <v>0</v>
      </c>
      <c r="K459" s="2078">
        <f t="shared" ca="1" si="100"/>
        <v>0</v>
      </c>
      <c r="L459" s="1574">
        <f t="shared" ca="1" si="101"/>
        <v>0</v>
      </c>
      <c r="M459" s="1974"/>
      <c r="N459" s="833"/>
      <c r="O459" s="833"/>
      <c r="Q459" s="833"/>
      <c r="R459" s="833"/>
      <c r="S459" s="833"/>
      <c r="T459" s="833"/>
      <c r="U459" s="833"/>
      <c r="V459" s="833"/>
      <c r="W459" s="833"/>
      <c r="X459" s="833"/>
    </row>
    <row r="460" spans="1:24" s="813" customFormat="1" ht="30" customHeight="1" x14ac:dyDescent="0.15">
      <c r="A460" s="2081">
        <f ca="1">+Orçamento_Não_Deson!A460</f>
        <v>6.0499999999999989</v>
      </c>
      <c r="B460" s="834" t="str">
        <f>+Orçamento_Não_Deson!B460</f>
        <v>PA/0025</v>
      </c>
      <c r="C460" s="2" t="str">
        <f>VLOOKUP($B460,[5]BOLETIM_SEL!$A:$H,2,0)</f>
        <v>COMPOSIÇÃO</v>
      </c>
      <c r="D460" s="315" t="str">
        <f>VLOOKUP($B460,[5]BOLETIM_SEL!$A:$H,4,0)</f>
        <v>Imprimação da base, execução e fornecimento de emulsão asfáltica EAI (REF. SINAPI COD. 102470)</v>
      </c>
      <c r="E460" s="2">
        <f>+Orçamento_Não_Deson!E460</f>
        <v>0</v>
      </c>
      <c r="F460" s="2" t="str">
        <f>VLOOKUP($B460,[5]BOLETIM_SEL!$A:$H,6,0)</f>
        <v>M2</v>
      </c>
      <c r="G460" s="1407">
        <f>VLOOKUP($B460,[5]BOLETIM_SEL!$A:$H,7,0)</f>
        <v>5.09</v>
      </c>
      <c r="H460" s="1613">
        <f ca="1">+Orçamento_Não_Deson!H460</f>
        <v>182.08</v>
      </c>
      <c r="I460" s="877">
        <f t="shared" si="103"/>
        <v>6.45</v>
      </c>
      <c r="J460" s="1612">
        <f t="shared" ca="1" si="102"/>
        <v>1174.4100000000001</v>
      </c>
      <c r="K460" s="2078">
        <f t="shared" ca="1" si="100"/>
        <v>8.5524604476395414E-5</v>
      </c>
      <c r="L460" s="1574">
        <f t="shared" ca="1" si="101"/>
        <v>5.7448166727404805E-2</v>
      </c>
      <c r="M460" s="1975" t="str">
        <f>+Orçamento_Não_Deson!M460</f>
        <v>EAI</v>
      </c>
      <c r="N460" s="833"/>
      <c r="O460" s="833"/>
      <c r="Q460" s="833"/>
      <c r="R460" s="833"/>
      <c r="S460" s="833"/>
      <c r="T460" s="833"/>
      <c r="U460" s="833"/>
      <c r="V460" s="833"/>
      <c r="W460" s="833"/>
      <c r="X460" s="833"/>
    </row>
    <row r="461" spans="1:24" s="813" customFormat="1" ht="39.950000000000003" hidden="1" customHeight="1" x14ac:dyDescent="0.15">
      <c r="A461" s="2081">
        <f ca="1">+Orçamento_Não_Deson!A461</f>
        <v>6.0499999999999989</v>
      </c>
      <c r="B461" s="834" t="str">
        <f>+Orçamento_Não_Deson!B461</f>
        <v>PA/0150</v>
      </c>
      <c r="C461" s="2" t="str">
        <f>VLOOKUP($B461,[5]BOLETIM_SEL!$A:$H,2,0)</f>
        <v>COMPOSIÇÃO</v>
      </c>
      <c r="D461" s="315" t="str">
        <f>VLOOKUP($B461,[5]BOLETIM_SEL!$A:$H,4,0)</f>
        <v>PAVIMENTO COM TRATAMENTO SUPERFICIAL DUPLO, COM EMULSÃO ASFÁLTICA RR-2C (REF. SINAPI COD. 03.PAVI.TSUP.005/01-104389 DB 09-21)</v>
      </c>
      <c r="E461" s="2">
        <f>+Orçamento_Não_Deson!E461</f>
        <v>0</v>
      </c>
      <c r="F461" s="2" t="str">
        <f>VLOOKUP($B461,[5]BOLETIM_SEL!$A:$H,6,0)</f>
        <v>M2</v>
      </c>
      <c r="G461" s="1407">
        <f>VLOOKUP($B461,[5]BOLETIM_SEL!$A:$H,7,0)</f>
        <v>15.59</v>
      </c>
      <c r="H461" s="1613">
        <f ca="1">+Orçamento_Não_Deson!H461</f>
        <v>0</v>
      </c>
      <c r="I461" s="877">
        <f t="shared" si="103"/>
        <v>19.75</v>
      </c>
      <c r="J461" s="1612">
        <f t="shared" ca="1" si="102"/>
        <v>0</v>
      </c>
      <c r="K461" s="2078">
        <f t="shared" ca="1" si="100"/>
        <v>0</v>
      </c>
      <c r="L461" s="1574">
        <f t="shared" ca="1" si="101"/>
        <v>0</v>
      </c>
      <c r="M461" s="1974"/>
      <c r="N461" s="833"/>
      <c r="O461" s="833"/>
      <c r="Q461" s="833"/>
      <c r="R461" s="833"/>
      <c r="S461" s="833"/>
      <c r="T461" s="833"/>
      <c r="U461" s="833"/>
      <c r="V461" s="833"/>
      <c r="W461" s="833"/>
      <c r="X461" s="833"/>
    </row>
    <row r="462" spans="1:24" s="813" customFormat="1" ht="39.950000000000003" customHeight="1" x14ac:dyDescent="0.15">
      <c r="A462" s="2081">
        <f ca="1">+Orçamento_Não_Deson!A462</f>
        <v>6.0599999999999987</v>
      </c>
      <c r="B462" s="834" t="str">
        <f>+Orçamento_Não_Deson!B462</f>
        <v>RE/0050</v>
      </c>
      <c r="C462" s="2" t="str">
        <f>VLOOKUP($B462,[5]BOLETIM_SEL!$A:$H,2,0)</f>
        <v>COMPOSIÇÃO</v>
      </c>
      <c r="D462" s="315" t="str">
        <f>VLOOKUP($B462,[5]BOLETIM_SEL!$A:$H,4,0)</f>
        <v>CBUQ (usina comercial) - aplicação manual em fechamento de vala e remendos. Incluindo fornecimento dos materiais e compactação com rolo tandem compacto. Exclusive transporte. Ref BP 09.05.0500 RIO SCO</v>
      </c>
      <c r="E462" s="2">
        <f>+Orçamento_Não_Deson!E462</f>
        <v>0</v>
      </c>
      <c r="F462" s="2" t="str">
        <f>VLOOKUP($B462,[5]BOLETIM_SEL!$A:$H,6,0)</f>
        <v>M3</v>
      </c>
      <c r="G462" s="1407">
        <f>VLOOKUP($B462,[5]BOLETIM_SEL!$A:$H,7,0)</f>
        <v>1516.18</v>
      </c>
      <c r="H462" s="1613">
        <f ca="1">+Orçamento_Não_Deson!H462</f>
        <v>4.63</v>
      </c>
      <c r="I462" s="877">
        <f t="shared" si="103"/>
        <v>1921.6</v>
      </c>
      <c r="J462" s="1612">
        <f t="shared" ca="1" si="102"/>
        <v>8897</v>
      </c>
      <c r="K462" s="2078">
        <f t="shared" ca="1" si="100"/>
        <v>6.4791036011826357E-4</v>
      </c>
      <c r="L462" s="1574">
        <f t="shared" ca="1" si="101"/>
        <v>0.43521116081583133</v>
      </c>
      <c r="M462" s="1975" t="str">
        <f>+Orçamento_Não_Deson!M462</f>
        <v>COMERCIAL</v>
      </c>
      <c r="N462" s="833"/>
      <c r="O462" s="833"/>
      <c r="Q462" s="833"/>
      <c r="R462" s="833"/>
      <c r="S462" s="833"/>
      <c r="T462" s="833"/>
      <c r="U462" s="833"/>
      <c r="V462" s="833"/>
      <c r="W462" s="833"/>
      <c r="X462" s="833"/>
    </row>
    <row r="463" spans="1:24" s="813" customFormat="1" ht="39.950000000000003" customHeight="1" x14ac:dyDescent="0.15">
      <c r="A463" s="2081">
        <f ca="1">+Orçamento_Não_Deson!A463</f>
        <v>6.0699999999999985</v>
      </c>
      <c r="B463" s="834" t="str">
        <f>+Orçamento_Não_Deson!B463</f>
        <v>RE/0055</v>
      </c>
      <c r="C463" s="2" t="str">
        <f>VLOOKUP($B463,[5]BOLETIM_SEL!$A:$H,2,0)</f>
        <v>COMPOSIÇÃO</v>
      </c>
      <c r="D463" s="315" t="str">
        <f>VLOOKUP($B463,[5]BOLETIM_SEL!$A:$H,4,0)</f>
        <v>CBUQ (usina comercial) - aplicação com motoniveladora (reperfilamento). Incluindo fornecimento de materiais. Exclusive transporte</v>
      </c>
      <c r="E463" s="2">
        <f>+Orçamento_Não_Deson!E463</f>
        <v>0</v>
      </c>
      <c r="F463" s="2" t="str">
        <f>VLOOKUP($B463,[5]BOLETIM_SEL!$A:$H,6,0)</f>
        <v>M3</v>
      </c>
      <c r="G463" s="1407">
        <f>VLOOKUP($B463,[5]BOLETIM_SEL!$A:$H,7,0)</f>
        <v>1542.55</v>
      </c>
      <c r="H463" s="1613">
        <f ca="1">+Orçamento_Não_Deson!H463</f>
        <v>0.84</v>
      </c>
      <c r="I463" s="877">
        <f t="shared" si="103"/>
        <v>1955.02</v>
      </c>
      <c r="J463" s="1612">
        <f t="shared" ca="1" si="102"/>
        <v>1642.21</v>
      </c>
      <c r="K463" s="2078">
        <f t="shared" ca="1" si="100"/>
        <v>1.1959142098345663E-4</v>
      </c>
      <c r="L463" s="1574">
        <f t="shared" ca="1" si="101"/>
        <v>8.0331361178303515E-2</v>
      </c>
      <c r="M463" s="1975" t="str">
        <f>+Orçamento_Não_Deson!M463</f>
        <v>COMERCIAL</v>
      </c>
      <c r="N463" s="833"/>
      <c r="O463" s="833"/>
      <c r="Q463" s="833"/>
      <c r="R463" s="833"/>
      <c r="S463" s="833"/>
      <c r="T463" s="833"/>
      <c r="U463" s="833"/>
      <c r="V463" s="833"/>
      <c r="W463" s="833"/>
      <c r="X463" s="833"/>
    </row>
    <row r="464" spans="1:24" s="813" customFormat="1" ht="39.950000000000003" hidden="1" customHeight="1" x14ac:dyDescent="0.15">
      <c r="A464" s="2081">
        <f ca="1">+Orçamento_Não_Deson!A464</f>
        <v>6.0699999999999985</v>
      </c>
      <c r="B464" s="834" t="str">
        <f>+Orçamento_Não_Deson!B464</f>
        <v>RE/0040</v>
      </c>
      <c r="C464" s="2" t="str">
        <f>VLOOKUP($B464,[5]BOLETIM_SEL!$A:$H,2,0)</f>
        <v>COMPOSIÇÃO</v>
      </c>
      <c r="D464" s="315" t="str">
        <f>VLOOKUP($B464,[5]BOLETIM_SEL!$A:$H,4,0)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464" s="2">
        <f>+Orçamento_Não_Deson!E464</f>
        <v>0</v>
      </c>
      <c r="F464" s="2" t="str">
        <f>VLOOKUP($B464,[5]BOLETIM_SEL!$A:$H,6,0)</f>
        <v>M3</v>
      </c>
      <c r="G464" s="1407">
        <f>VLOOKUP($B464,[5]BOLETIM_SEL!$A:$H,7,0)</f>
        <v>994</v>
      </c>
      <c r="H464" s="1613">
        <f ca="1">+Orçamento_Não_Deson!H464</f>
        <v>0</v>
      </c>
      <c r="I464" s="877">
        <f t="shared" si="103"/>
        <v>1259.79</v>
      </c>
      <c r="J464" s="1612">
        <f t="shared" ca="1" si="102"/>
        <v>0</v>
      </c>
      <c r="K464" s="2078">
        <f t="shared" ca="1" si="100"/>
        <v>0</v>
      </c>
      <c r="L464" s="1574">
        <f t="shared" ca="1" si="101"/>
        <v>0</v>
      </c>
      <c r="M464" s="1974"/>
      <c r="N464" s="833"/>
      <c r="O464" s="833"/>
      <c r="Q464" s="833"/>
      <c r="R464" s="833"/>
      <c r="S464" s="833"/>
      <c r="T464" s="833"/>
      <c r="U464" s="833"/>
      <c r="V464" s="833"/>
      <c r="W464" s="833"/>
      <c r="X464" s="833"/>
    </row>
    <row r="465" spans="1:24" s="813" customFormat="1" ht="39.950000000000003" hidden="1" customHeight="1" x14ac:dyDescent="0.15">
      <c r="A465" s="2081">
        <f ca="1">+Orçamento_Não_Deson!A465</f>
        <v>6.0699999999999985</v>
      </c>
      <c r="B465" s="834" t="str">
        <f>+Orçamento_Não_Deson!B465</f>
        <v>RE/0045</v>
      </c>
      <c r="C465" s="2" t="str">
        <f>VLOOKUP($B465,[5]BOLETIM_SEL!$A:$H,2,0)</f>
        <v>COMPOSIÇÃO</v>
      </c>
      <c r="D465" s="315" t="str">
        <f>VLOOKUP($B465,[5]BOLETIM_SEL!$A:$H,4,0)</f>
        <v>Execução de pré-misturado a frio - PMF, faixa C (semidenso), com emulsão asfáltica RL-1C, aplicação com motoniveladora (reperfilamento). Incluindo fornecimento de materiais. Exclusive transporte</v>
      </c>
      <c r="E465" s="2">
        <f>+Orçamento_Não_Deson!E465</f>
        <v>0</v>
      </c>
      <c r="F465" s="2" t="str">
        <f>VLOOKUP($B465,[5]BOLETIM_SEL!$A:$H,6,0)</f>
        <v>M3</v>
      </c>
      <c r="G465" s="1407">
        <f>VLOOKUP($B465,[5]BOLETIM_SEL!$A:$H,7,0)</f>
        <v>1017.88</v>
      </c>
      <c r="H465" s="1613">
        <f ca="1">+Orçamento_Não_Deson!H465</f>
        <v>0</v>
      </c>
      <c r="I465" s="877">
        <f t="shared" si="103"/>
        <v>1290.06</v>
      </c>
      <c r="J465" s="1612">
        <f t="shared" ca="1" si="102"/>
        <v>0</v>
      </c>
      <c r="K465" s="2078">
        <f t="shared" ca="1" si="100"/>
        <v>0</v>
      </c>
      <c r="L465" s="1574">
        <f t="shared" ca="1" si="101"/>
        <v>0</v>
      </c>
      <c r="M465" s="1974"/>
      <c r="N465" s="833"/>
      <c r="O465" s="833"/>
      <c r="Q465" s="833"/>
      <c r="R465" s="833"/>
      <c r="S465" s="833"/>
      <c r="T465" s="833"/>
      <c r="U465" s="833"/>
      <c r="V465" s="833"/>
      <c r="W465" s="833"/>
      <c r="X465" s="833"/>
    </row>
    <row r="466" spans="1:24" s="813" customFormat="1" ht="39.950000000000003" customHeight="1" x14ac:dyDescent="0.15">
      <c r="A466" s="2081">
        <f ca="1">+Orçamento_Não_Deson!A466</f>
        <v>6.0799999999999983</v>
      </c>
      <c r="B466" s="834">
        <f>+Orçamento_Não_Deson!B466</f>
        <v>100978</v>
      </c>
      <c r="C466" s="2" t="str">
        <f>VLOOKUP($B466,[5]BOLETIM_SEL!$A:$H,2,0)</f>
        <v>SINAPI</v>
      </c>
      <c r="D466" s="315" t="str">
        <f>VLOOKUP($B466,[5]BOLETIM_SEL!$A:$H,4,0)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466" s="2">
        <f>+Orçamento_Não_Deson!E466</f>
        <v>0</v>
      </c>
      <c r="F466" s="2" t="str">
        <f>VLOOKUP($B466,[5]BOLETIM_SEL!$A:$H,6,0)</f>
        <v>M3</v>
      </c>
      <c r="G466" s="1407">
        <f>VLOOKUP($B466,[5]BOLETIM_SEL!$A:$H,7,0)</f>
        <v>6.04</v>
      </c>
      <c r="H466" s="1613">
        <f ca="1">+Orçamento_Não_Deson!H466</f>
        <v>37.549999999999997</v>
      </c>
      <c r="I466" s="877">
        <f t="shared" si="103"/>
        <v>7.65</v>
      </c>
      <c r="J466" s="1612">
        <f t="shared" ca="1" si="102"/>
        <v>287.25</v>
      </c>
      <c r="K466" s="2078">
        <f t="shared" ca="1" si="100"/>
        <v>2.0918540063388919E-5</v>
      </c>
      <c r="L466" s="1574">
        <f t="shared" ca="1" si="101"/>
        <v>1.4051298858530691E-2</v>
      </c>
      <c r="M466" s="1975" t="str">
        <f>+Orçamento_Não_Deson!M466</f>
        <v>ESCAVADEIRA</v>
      </c>
      <c r="N466" s="833"/>
      <c r="O466" s="833"/>
      <c r="Q466" s="833"/>
      <c r="R466" s="833"/>
      <c r="S466" s="833"/>
      <c r="T466" s="833"/>
      <c r="U466" s="833"/>
      <c r="V466" s="833"/>
      <c r="W466" s="833"/>
      <c r="X466" s="833"/>
    </row>
    <row r="467" spans="1:24" s="813" customFormat="1" ht="24.95" customHeight="1" x14ac:dyDescent="0.15">
      <c r="A467" s="2081"/>
      <c r="B467" s="834"/>
      <c r="C467" s="2"/>
      <c r="D467" s="1452" t="s">
        <v>1803</v>
      </c>
      <c r="E467" s="2"/>
      <c r="F467" s="2"/>
      <c r="G467" s="1407"/>
      <c r="H467" s="2"/>
      <c r="I467" s="2"/>
      <c r="J467" s="839" t="str">
        <f ca="1">IF(J468=0,"-","")</f>
        <v/>
      </c>
      <c r="K467" s="2078"/>
      <c r="L467" s="1574"/>
      <c r="M467" s="1974" t="str">
        <f>+Orçamento_Não_Deson!M467</f>
        <v>Definir depósito:                                   1,  2, 3 ou 4</v>
      </c>
      <c r="N467" s="833"/>
      <c r="O467" s="833"/>
      <c r="Q467" s="833"/>
      <c r="R467" s="833"/>
      <c r="S467" s="833"/>
      <c r="T467" s="833"/>
      <c r="U467" s="833"/>
      <c r="V467" s="833"/>
      <c r="W467" s="833"/>
      <c r="X467" s="833"/>
    </row>
    <row r="468" spans="1:24" s="813" customFormat="1" ht="39.950000000000003" customHeight="1" x14ac:dyDescent="0.15">
      <c r="A468" s="2081">
        <f ca="1">+Orçamento_Não_Deson!A468</f>
        <v>6.0899999999999981</v>
      </c>
      <c r="B468" s="834">
        <f ca="1">+Orçamento_Não_Deson!B468</f>
        <v>95876</v>
      </c>
      <c r="C468" s="2" t="str">
        <f ca="1">VLOOKUP($B468,[5]BOLETIM_SEL!$A:$H,2,0)</f>
        <v>SINAPI</v>
      </c>
      <c r="D468" s="315" t="str">
        <f ca="1">VLOOKUP($B468,[5]BOLETIM_SEL!$A:$H,4,0)</f>
        <v>Transporte com caminhão basculante de 14 m3, em via urbana pavimentada, DMT até 30,00 km (unidade: m3xkm). AF_07/2020</v>
      </c>
      <c r="E468" s="2">
        <f>+Orçamento_Não_Deson!E468</f>
        <v>4</v>
      </c>
      <c r="F468" s="2" t="str">
        <f ca="1">VLOOKUP($B468,[5]BOLETIM_SEL!$A:$H,6,0)</f>
        <v>M3XKM</v>
      </c>
      <c r="G468" s="1407">
        <f ca="1">VLOOKUP($B468,[5]BOLETIM_SEL!$A:$H,7,0)</f>
        <v>1.91</v>
      </c>
      <c r="H468" s="1613">
        <f ca="1">+Orçamento_Não_Deson!H468</f>
        <v>163.88</v>
      </c>
      <c r="I468" s="877">
        <f ca="1">TRUNC(G468*(1+$J$5),2)</f>
        <v>2.42</v>
      </c>
      <c r="J468" s="1612">
        <f ca="1">TRUNC(H468*I468,2)</f>
        <v>396.58</v>
      </c>
      <c r="K468" s="2078">
        <f ca="1">J468/J$967</f>
        <v>2.8880329393694613E-5</v>
      </c>
      <c r="L468" s="1574">
        <f ca="1">J468/$J$448</f>
        <v>1.939935283312829E-2</v>
      </c>
      <c r="M468" s="1976">
        <f ca="1">+Orçamento_Não_Deson!M468</f>
        <v>40.97</v>
      </c>
      <c r="N468" s="833"/>
      <c r="O468" s="833"/>
      <c r="Q468" s="833"/>
      <c r="R468" s="833"/>
      <c r="S468" s="833"/>
      <c r="T468" s="833"/>
      <c r="U468" s="833"/>
      <c r="V468" s="833"/>
      <c r="W468" s="833"/>
      <c r="X468" s="833"/>
    </row>
    <row r="469" spans="1:24" s="813" customFormat="1" ht="24.95" customHeight="1" x14ac:dyDescent="0.15">
      <c r="A469" s="2083"/>
      <c r="B469" s="834"/>
      <c r="C469" s="2"/>
      <c r="D469" s="1452" t="s">
        <v>1948</v>
      </c>
      <c r="E469" s="2"/>
      <c r="F469" s="2"/>
      <c r="G469" s="1407"/>
      <c r="H469" s="2"/>
      <c r="I469" s="2"/>
      <c r="J469" s="839" t="str">
        <f ca="1">IF(J472=0,"-","")</f>
        <v/>
      </c>
      <c r="K469" s="2078"/>
      <c r="L469" s="1574"/>
      <c r="M469" s="1974"/>
      <c r="N469" s="833"/>
      <c r="O469" s="833"/>
      <c r="Q469" s="833"/>
      <c r="R469" s="833"/>
      <c r="S469" s="833"/>
      <c r="T469" s="833"/>
      <c r="U469" s="833"/>
      <c r="V469" s="833"/>
      <c r="W469" s="833"/>
      <c r="X469" s="833"/>
    </row>
    <row r="470" spans="1:24" s="813" customFormat="1" ht="39.950000000000003" customHeight="1" x14ac:dyDescent="0.15">
      <c r="A470" s="2081">
        <f ca="1">+Orçamento_Não_Deson!A470</f>
        <v>6.0999999999999979</v>
      </c>
      <c r="B470" s="834">
        <f ca="1">+Orçamento_Não_Deson!B470</f>
        <v>95875</v>
      </c>
      <c r="C470" s="2" t="str">
        <f ca="1">VLOOKUP($B470,[5]BOLETIM_SEL!$A:$H,2,0)</f>
        <v>SINAPI</v>
      </c>
      <c r="D470" s="315" t="str">
        <f ca="1">VLOOKUP($B470,[5]BOLETIM_SEL!$A:$H,4,0)</f>
        <v>Transporte com caminhão basculante de 10 m3, em via urbana pavimentada, DMT até 30,00 km (unidade: m3xkm). AF_07/2020</v>
      </c>
      <c r="E470" s="2">
        <f>+Orçamento_Não_Deson!E470</f>
        <v>4</v>
      </c>
      <c r="F470" s="2" t="str">
        <f ca="1">VLOOKUP($B470,[5]BOLETIM_SEL!$A:$H,6,0)</f>
        <v>M3XKM</v>
      </c>
      <c r="G470" s="1407">
        <f ca="1">VLOOKUP($B470,[5]BOLETIM_SEL!$A:$H,7,0)</f>
        <v>2.15</v>
      </c>
      <c r="H470" s="1613">
        <f ca="1">+Orçamento_Não_Deson!H470</f>
        <v>54.64</v>
      </c>
      <c r="I470" s="877">
        <f ca="1">TRUNC(G470*(1+$J$5),2)</f>
        <v>2.72</v>
      </c>
      <c r="J470" s="1612">
        <f ca="1">TRUNC(H470*I470,2)</f>
        <v>148.62</v>
      </c>
      <c r="K470" s="2078">
        <f ca="1">J470/J$967</f>
        <v>1.0823023234885505E-5</v>
      </c>
      <c r="L470" s="1574">
        <f ca="1">J470/$J$448</f>
        <v>7.2699879420533731E-3</v>
      </c>
      <c r="M470" s="1976">
        <f ca="1">+Orçamento_Não_Deson!M470</f>
        <v>13.66</v>
      </c>
      <c r="N470" s="833"/>
      <c r="O470" s="833"/>
      <c r="Q470" s="833"/>
      <c r="R470" s="833"/>
      <c r="S470" s="833"/>
      <c r="T470" s="833"/>
      <c r="U470" s="833"/>
      <c r="V470" s="833"/>
      <c r="W470" s="833"/>
      <c r="X470" s="833"/>
    </row>
    <row r="471" spans="1:24" s="813" customFormat="1" ht="24.95" customHeight="1" x14ac:dyDescent="0.15">
      <c r="A471" s="2083"/>
      <c r="B471" s="834"/>
      <c r="C471" s="2"/>
      <c r="D471" s="1452" t="s">
        <v>1899</v>
      </c>
      <c r="E471" s="2"/>
      <c r="F471" s="836"/>
      <c r="G471" s="1407"/>
      <c r="H471" s="2"/>
      <c r="I471" s="836"/>
      <c r="J471" s="839" t="str">
        <f ca="1">IF(J470=0,"-","")</f>
        <v/>
      </c>
      <c r="K471" s="2078"/>
      <c r="L471" s="1574"/>
      <c r="M471" s="1974"/>
      <c r="N471" s="833"/>
      <c r="O471" s="833"/>
      <c r="Q471" s="833"/>
      <c r="R471" s="833"/>
      <c r="S471" s="833"/>
      <c r="T471" s="833"/>
      <c r="U471" s="833"/>
      <c r="V471" s="833"/>
      <c r="W471" s="833"/>
      <c r="X471" s="833"/>
    </row>
    <row r="472" spans="1:24" s="813" customFormat="1" ht="30" customHeight="1" x14ac:dyDescent="0.15">
      <c r="A472" s="2081">
        <f ca="1">+Orçamento_Não_Deson!A472</f>
        <v>6.1099999999999977</v>
      </c>
      <c r="B472" s="834">
        <f>+Orçamento_Não_Deson!B472</f>
        <v>100939</v>
      </c>
      <c r="C472" s="2" t="str">
        <f>VLOOKUP($B472,[5]BOLETIM_SEL!$A:$H,2,0)</f>
        <v>SINAPI</v>
      </c>
      <c r="D472" s="315" t="str">
        <f>VLOOKUP($B472,[5]BOLETIM_SEL!$A:$H,4,0)</f>
        <v>Transporte com caminhão basculante de 14 m3, em via interna (dentro do canteiro - unidade:m3xkm). AF_07/2020</v>
      </c>
      <c r="E472" s="2">
        <f>+Orçamento_Não_Deson!E472</f>
        <v>1</v>
      </c>
      <c r="F472" s="2" t="str">
        <f>VLOOKUP($B472,[5]BOLETIM_SEL!$A:$H,6,0)</f>
        <v>M3XKM</v>
      </c>
      <c r="G472" s="1407">
        <f>VLOOKUP($B472,[5]BOLETIM_SEL!$A:$H,7,0)</f>
        <v>5.83</v>
      </c>
      <c r="H472" s="1613">
        <f ca="1">+Orçamento_Não_Deson!H472</f>
        <v>37.549999999999997</v>
      </c>
      <c r="I472" s="877">
        <f>TRUNC(G472*(1+$J$5),2)</f>
        <v>7.38</v>
      </c>
      <c r="J472" s="1612">
        <f ca="1">TRUNC(H472*I472,2)</f>
        <v>277.11</v>
      </c>
      <c r="K472" s="2078">
        <f ca="1">J472/J$967</f>
        <v>2.0180110137391482E-5</v>
      </c>
      <c r="L472" s="1574">
        <f ca="1">J472/$J$448</f>
        <v>1.3555284340078119E-2</v>
      </c>
      <c r="M472" s="1974"/>
      <c r="N472" s="833"/>
      <c r="O472" s="833"/>
      <c r="Q472" s="833"/>
      <c r="R472" s="833"/>
      <c r="S472" s="833"/>
      <c r="T472" s="833"/>
      <c r="U472" s="833"/>
      <c r="V472" s="833"/>
      <c r="W472" s="833"/>
      <c r="X472" s="833"/>
    </row>
    <row r="473" spans="1:24" s="813" customFormat="1" ht="39.950000000000003" hidden="1" customHeight="1" x14ac:dyDescent="0.15">
      <c r="A473" s="2083"/>
      <c r="B473" s="834"/>
      <c r="C473" s="2"/>
      <c r="D473" s="1452" t="s">
        <v>1895</v>
      </c>
      <c r="E473" s="2"/>
      <c r="F473" s="2"/>
      <c r="G473" s="1407"/>
      <c r="H473" s="2"/>
      <c r="I473" s="2"/>
      <c r="J473" s="839" t="str">
        <f ca="1">IF(J474=0,"-","")</f>
        <v>-</v>
      </c>
      <c r="K473" s="2078"/>
      <c r="L473" s="1574"/>
      <c r="M473" s="1974"/>
      <c r="N473" s="833"/>
      <c r="O473" s="833"/>
      <c r="Q473" s="833"/>
      <c r="R473" s="833"/>
      <c r="S473" s="833"/>
      <c r="T473" s="833"/>
      <c r="U473" s="833"/>
      <c r="V473" s="833"/>
      <c r="W473" s="833"/>
      <c r="X473" s="833"/>
    </row>
    <row r="474" spans="1:24" s="813" customFormat="1" ht="39.950000000000003" hidden="1" customHeight="1" x14ac:dyDescent="0.15">
      <c r="A474" s="2081">
        <f ca="1">+Orçamento_Não_Deson!A474</f>
        <v>6.1099999999999977</v>
      </c>
      <c r="B474" s="834">
        <f ca="1">+Orçamento_Não_Deson!B474</f>
        <v>95875</v>
      </c>
      <c r="C474" s="2" t="str">
        <f ca="1">VLOOKUP($B474,[5]BOLETIM_SEL!$A:$H,2,0)</f>
        <v>SINAPI</v>
      </c>
      <c r="D474" s="315" t="str">
        <f ca="1">VLOOKUP($B474,[5]BOLETIM_SEL!$A:$H,4,0)</f>
        <v>Transporte com caminhão basculante de 10 m3, em via urbana pavimentada, DMT até 30,00 km (unidade: m3xkm). AF_07/2020</v>
      </c>
      <c r="E474" s="2">
        <f>+Orçamento_Não_Deson!E474</f>
        <v>0</v>
      </c>
      <c r="F474" s="2" t="str">
        <f ca="1">VLOOKUP($B474,[5]BOLETIM_SEL!$A:$H,6,0)</f>
        <v>M3XKM</v>
      </c>
      <c r="G474" s="1407">
        <f ca="1">VLOOKUP($B474,[5]BOLETIM_SEL!$A:$H,7,0)</f>
        <v>2.15</v>
      </c>
      <c r="H474" s="1613">
        <f ca="1">+Orçamento_Não_Deson!H474</f>
        <v>0</v>
      </c>
      <c r="I474" s="877">
        <f ca="1">TRUNC(G474*(1+$J$5),2)</f>
        <v>2.72</v>
      </c>
      <c r="J474" s="1612">
        <f ca="1">TRUNC(H474*I474,2)</f>
        <v>0</v>
      </c>
      <c r="K474" s="2078">
        <f ca="1">J474/J$967</f>
        <v>0</v>
      </c>
      <c r="L474" s="1574">
        <f ca="1">J474/$J$448</f>
        <v>0</v>
      </c>
      <c r="M474" s="1976">
        <f ca="1">+Orçamento_Não_Deson!M474</f>
        <v>0</v>
      </c>
      <c r="N474" s="833"/>
      <c r="O474" s="833"/>
      <c r="Q474" s="833"/>
      <c r="R474" s="833"/>
      <c r="S474" s="833"/>
      <c r="T474" s="833"/>
      <c r="U474" s="833"/>
      <c r="V474" s="833"/>
      <c r="W474" s="833"/>
      <c r="X474" s="833"/>
    </row>
    <row r="475" spans="1:24" s="813" customFormat="1" ht="24.95" customHeight="1" x14ac:dyDescent="0.15">
      <c r="A475" s="2083"/>
      <c r="B475" s="834"/>
      <c r="C475" s="2"/>
      <c r="D475" s="1452" t="s">
        <v>1900</v>
      </c>
      <c r="E475" s="2"/>
      <c r="F475" s="2"/>
      <c r="G475" s="1407"/>
      <c r="H475" s="2"/>
      <c r="I475" s="2"/>
      <c r="J475" s="839" t="str">
        <f ca="1">IF(J476=0,"-","")</f>
        <v/>
      </c>
      <c r="K475" s="2078"/>
      <c r="L475" s="1574"/>
      <c r="M475" s="1974"/>
      <c r="N475" s="833"/>
      <c r="O475" s="833"/>
      <c r="Q475" s="833"/>
      <c r="R475" s="833"/>
      <c r="S475" s="833"/>
      <c r="T475" s="833"/>
      <c r="U475" s="833"/>
      <c r="V475" s="833"/>
      <c r="W475" s="833"/>
      <c r="X475" s="833"/>
    </row>
    <row r="476" spans="1:24" s="813" customFormat="1" ht="39.950000000000003" customHeight="1" x14ac:dyDescent="0.15">
      <c r="A476" s="2081">
        <f ca="1">+Orçamento_Não_Deson!A476</f>
        <v>6.1199999999999974</v>
      </c>
      <c r="B476" s="834">
        <f ca="1">+Orçamento_Não_Deson!B476</f>
        <v>93593</v>
      </c>
      <c r="C476" s="2" t="str">
        <f ca="1">VLOOKUP($B476,[5]BOLETIM_SEL!$A:$H,2,0)</f>
        <v>SINAPI</v>
      </c>
      <c r="D476" s="315" t="str">
        <f ca="1">VLOOKUP($B476,[5]BOLETIM_SEL!$A:$H,4,0)</f>
        <v>Transporte com caminhão basculante de 14 m3, em via urbana pavimentada, adicional para DMT excedente a 30,00 km (unidade: m3xkm). AF_07/2020</v>
      </c>
      <c r="E476" s="2">
        <f>+Orçamento_Não_Deson!E476</f>
        <v>109</v>
      </c>
      <c r="F476" s="2" t="str">
        <f ca="1">VLOOKUP($B476,[5]BOLETIM_SEL!$A:$H,6,0)</f>
        <v>M3XKM</v>
      </c>
      <c r="G476" s="1407">
        <f ca="1">VLOOKUP($B476,[5]BOLETIM_SEL!$A:$H,7,0)</f>
        <v>0.77</v>
      </c>
      <c r="H476" s="1613">
        <f ca="1">+Orçamento_Não_Deson!H476</f>
        <v>2455.77</v>
      </c>
      <c r="I476" s="877">
        <f ca="1">TRUNC(G476*(1+$J$5),2)</f>
        <v>0.97</v>
      </c>
      <c r="J476" s="1612">
        <f ca="1">TRUNC(H476*I476,2)</f>
        <v>2382.09</v>
      </c>
      <c r="K476" s="2078">
        <f ca="1">J476/J$967</f>
        <v>1.7347204560347473E-4</v>
      </c>
      <c r="L476" s="1574">
        <f ca="1">J476/$J$448</f>
        <v>0.11652378937482115</v>
      </c>
      <c r="M476" s="1976">
        <f ca="1">+Orçamento_Não_Deson!M476</f>
        <v>22.53</v>
      </c>
      <c r="N476" s="833"/>
      <c r="O476" s="833"/>
      <c r="Q476" s="833"/>
      <c r="R476" s="833"/>
      <c r="S476" s="833"/>
      <c r="T476" s="833"/>
      <c r="U476" s="833"/>
      <c r="V476" s="833"/>
      <c r="W476" s="833"/>
      <c r="X476" s="833"/>
    </row>
    <row r="477" spans="1:24" s="813" customFormat="1" ht="39.950000000000003" hidden="1" customHeight="1" x14ac:dyDescent="0.15">
      <c r="A477" s="2083"/>
      <c r="B477" s="834"/>
      <c r="C477" s="2"/>
      <c r="D477" s="1452" t="s">
        <v>1896</v>
      </c>
      <c r="E477" s="2"/>
      <c r="F477" s="2"/>
      <c r="G477" s="1407"/>
      <c r="H477" s="2"/>
      <c r="I477" s="2"/>
      <c r="J477" s="839" t="str">
        <f ca="1">IF(J478=0,"-","")</f>
        <v>-</v>
      </c>
      <c r="K477" s="2078"/>
      <c r="L477" s="1574"/>
      <c r="M477" s="1974"/>
      <c r="N477" s="833"/>
      <c r="O477" s="833"/>
      <c r="Q477" s="833"/>
      <c r="R477" s="833"/>
      <c r="S477" s="833"/>
      <c r="T477" s="833"/>
      <c r="U477" s="833"/>
      <c r="V477" s="833"/>
      <c r="W477" s="833"/>
      <c r="X477" s="833"/>
    </row>
    <row r="478" spans="1:24" s="813" customFormat="1" ht="39.950000000000003" hidden="1" customHeight="1" x14ac:dyDescent="0.15">
      <c r="A478" s="2081">
        <f ca="1">+Orçamento_Não_Deson!A478</f>
        <v>6.1199999999999974</v>
      </c>
      <c r="B478" s="834">
        <f ca="1">+Orçamento_Não_Deson!B478</f>
        <v>93590</v>
      </c>
      <c r="C478" s="2" t="str">
        <f ca="1">VLOOKUP($B478,[5]BOLETIM_SEL!$A:$H,2,0)</f>
        <v>SINAPI</v>
      </c>
      <c r="D478" s="315" t="str">
        <f ca="1">VLOOKUP($B478,[5]BOLETIM_SEL!$A:$H,4,0)</f>
        <v>Transporte com caminhão basculante de 10 m3, em via urbana pavimentada, adicional para DMT excedente a 30,00 km (unidade: m3xkm). AF_07/2020</v>
      </c>
      <c r="E478" s="2">
        <f>+Orçamento_Não_Deson!E478</f>
        <v>109</v>
      </c>
      <c r="F478" s="2" t="str">
        <f ca="1">VLOOKUP($B478,[5]BOLETIM_SEL!$A:$H,6,0)</f>
        <v>M3XKM</v>
      </c>
      <c r="G478" s="1407">
        <f ca="1">VLOOKUP($B478,[5]BOLETIM_SEL!$A:$H,7,0)</f>
        <v>0.85</v>
      </c>
      <c r="H478" s="1613">
        <f ca="1">+Orçamento_Não_Deson!H478</f>
        <v>0</v>
      </c>
      <c r="I478" s="877">
        <f ca="1">TRUNC(G478*(1+$J$5),2)</f>
        <v>1.07</v>
      </c>
      <c r="J478" s="1612">
        <f ca="1">TRUNC(H478*I478,2)</f>
        <v>0</v>
      </c>
      <c r="K478" s="2078">
        <f ca="1">J478/J$967</f>
        <v>0</v>
      </c>
      <c r="L478" s="1574">
        <f ca="1">J478/$J$448</f>
        <v>0</v>
      </c>
      <c r="M478" s="1976">
        <f ca="1">+Orçamento_Não_Deson!M478</f>
        <v>0</v>
      </c>
      <c r="N478" s="833"/>
      <c r="O478" s="833"/>
      <c r="Q478" s="833"/>
      <c r="R478" s="833"/>
      <c r="S478" s="833"/>
      <c r="T478" s="833"/>
      <c r="U478" s="833"/>
      <c r="V478" s="833"/>
      <c r="W478" s="833"/>
      <c r="X478" s="833"/>
    </row>
    <row r="479" spans="1:24" s="813" customFormat="1" ht="39.950000000000003" hidden="1" customHeight="1" x14ac:dyDescent="0.15">
      <c r="A479" s="2081"/>
      <c r="B479" s="834"/>
      <c r="C479" s="2"/>
      <c r="D479" s="1452" t="s">
        <v>1897</v>
      </c>
      <c r="E479" s="2"/>
      <c r="F479" s="2"/>
      <c r="G479" s="1407"/>
      <c r="H479" s="2"/>
      <c r="I479" s="2"/>
      <c r="J479" s="839" t="str">
        <f ca="1">IF(J480=0,"-","")</f>
        <v>-</v>
      </c>
      <c r="K479" s="2078"/>
      <c r="L479" s="1574"/>
      <c r="M479" s="1974"/>
      <c r="N479" s="833"/>
      <c r="O479" s="833"/>
      <c r="Q479" s="833"/>
      <c r="R479" s="833"/>
      <c r="S479" s="833"/>
      <c r="T479" s="833"/>
      <c r="U479" s="833"/>
      <c r="V479" s="833"/>
      <c r="W479" s="833"/>
      <c r="X479" s="833"/>
    </row>
    <row r="480" spans="1:24" s="813" customFormat="1" ht="39.950000000000003" hidden="1" customHeight="1" x14ac:dyDescent="0.15">
      <c r="A480" s="2081">
        <f ca="1">+Orçamento_Não_Deson!A480</f>
        <v>6.1199999999999974</v>
      </c>
      <c r="B480" s="834">
        <f ca="1">+Orçamento_Não_Deson!B480</f>
        <v>93590</v>
      </c>
      <c r="C480" s="2" t="str">
        <f ca="1">VLOOKUP($B480,[5]BOLETIM_SEL!$A:$H,2,0)</f>
        <v>SINAPI</v>
      </c>
      <c r="D480" s="315" t="str">
        <f ca="1">VLOOKUP($B480,[5]BOLETIM_SEL!$A:$H,4,0)</f>
        <v>Transporte com caminhão basculante de 10 m3, em via urbana pavimentada, adicional para DMT excedente a 30,00 km (unidade: m3xkm). AF_07/2020</v>
      </c>
      <c r="E480" s="2">
        <f>+Orçamento_Não_Deson!E480</f>
        <v>109</v>
      </c>
      <c r="F480" s="2" t="str">
        <f ca="1">VLOOKUP($B480,[5]BOLETIM_SEL!$A:$H,6,0)</f>
        <v>M3XKM</v>
      </c>
      <c r="G480" s="1407">
        <f ca="1">VLOOKUP($B480,[5]BOLETIM_SEL!$A:$H,7,0)</f>
        <v>0.85</v>
      </c>
      <c r="H480" s="1613">
        <f ca="1">+Orçamento_Não_Deson!H480</f>
        <v>0</v>
      </c>
      <c r="I480" s="877">
        <f ca="1">TRUNC(G480*(1+$J$5),2)</f>
        <v>1.07</v>
      </c>
      <c r="J480" s="1612">
        <f ca="1">TRUNC(H480*I480,2)</f>
        <v>0</v>
      </c>
      <c r="K480" s="2078">
        <f ca="1">J480/J$967</f>
        <v>0</v>
      </c>
      <c r="L480" s="1574">
        <f ca="1">J480/$J$448</f>
        <v>0</v>
      </c>
      <c r="M480" s="1976">
        <f ca="1">+Orçamento_Não_Deson!M480</f>
        <v>0</v>
      </c>
      <c r="N480" s="833"/>
      <c r="O480" s="833"/>
      <c r="Q480" s="833"/>
      <c r="R480" s="833"/>
      <c r="S480" s="833"/>
      <c r="T480" s="833"/>
      <c r="U480" s="833"/>
      <c r="V480" s="833"/>
      <c r="W480" s="833"/>
      <c r="X480" s="833"/>
    </row>
    <row r="481" spans="1:24" s="813" customFormat="1" ht="39.950000000000003" hidden="1" customHeight="1" x14ac:dyDescent="0.15">
      <c r="A481" s="2081"/>
      <c r="B481" s="834"/>
      <c r="C481" s="2"/>
      <c r="D481" s="1452" t="s">
        <v>1903</v>
      </c>
      <c r="E481" s="2"/>
      <c r="F481" s="2"/>
      <c r="G481" s="1407"/>
      <c r="H481" s="2"/>
      <c r="I481" s="2"/>
      <c r="J481" s="839" t="str">
        <f ca="1">IF(J482=0,"-","")</f>
        <v>-</v>
      </c>
      <c r="K481" s="2078"/>
      <c r="L481" s="1574"/>
      <c r="M481" s="1974"/>
      <c r="N481" s="833"/>
      <c r="O481" s="833"/>
      <c r="Q481" s="833"/>
      <c r="R481" s="833"/>
      <c r="S481" s="833"/>
      <c r="T481" s="833"/>
      <c r="U481" s="833"/>
      <c r="V481" s="833"/>
      <c r="W481" s="833"/>
      <c r="X481" s="833"/>
    </row>
    <row r="482" spans="1:24" s="813" customFormat="1" ht="39.950000000000003" hidden="1" customHeight="1" x14ac:dyDescent="0.15">
      <c r="A482" s="2081">
        <f ca="1">+Orçamento_Não_Deson!A482</f>
        <v>6.1199999999999974</v>
      </c>
      <c r="B482" s="834">
        <f ca="1">+Orçamento_Não_Deson!B482</f>
        <v>93590</v>
      </c>
      <c r="C482" s="2" t="str">
        <f ca="1">VLOOKUP($B482,[5]BOLETIM_SEL!$A:$H,2,0)</f>
        <v>SINAPI</v>
      </c>
      <c r="D482" s="315" t="str">
        <f ca="1">VLOOKUP($B482,[5]BOLETIM_SEL!$A:$H,4,0)</f>
        <v>Transporte com caminhão basculante de 10 m3, em via urbana pavimentada, adicional para DMT excedente a 30,00 km (unidade: m3xkm). AF_07/2020</v>
      </c>
      <c r="E482" s="2">
        <f>+Orçamento_Não_Deson!E482</f>
        <v>109</v>
      </c>
      <c r="F482" s="2" t="str">
        <f ca="1">VLOOKUP($B482,[5]BOLETIM_SEL!$A:$H,6,0)</f>
        <v>M3XKM</v>
      </c>
      <c r="G482" s="1407">
        <f ca="1">VLOOKUP($B482,[5]BOLETIM_SEL!$A:$H,7,0)</f>
        <v>0.85</v>
      </c>
      <c r="H482" s="1613">
        <f ca="1">+Orçamento_Não_Deson!H482</f>
        <v>0</v>
      </c>
      <c r="I482" s="877">
        <f ca="1">TRUNC(G482*(1+$J$5),2)</f>
        <v>1.07</v>
      </c>
      <c r="J482" s="1612">
        <f ca="1">TRUNC(H482*I482,2)</f>
        <v>0</v>
      </c>
      <c r="K482" s="2078">
        <f ca="1">J482/J$967</f>
        <v>0</v>
      </c>
      <c r="L482" s="1574">
        <f ca="1">J482/$J$448</f>
        <v>0</v>
      </c>
      <c r="M482" s="1976">
        <f ca="1">+Orçamento_Não_Deson!M482</f>
        <v>0</v>
      </c>
      <c r="N482" s="833"/>
      <c r="O482" s="833"/>
      <c r="Q482" s="833"/>
      <c r="R482" s="833"/>
      <c r="S482" s="833"/>
      <c r="T482" s="833"/>
      <c r="U482" s="833"/>
      <c r="V482" s="833"/>
      <c r="W482" s="833"/>
      <c r="X482" s="833"/>
    </row>
    <row r="483" spans="1:24" s="813" customFormat="1" ht="39.950000000000003" hidden="1" customHeight="1" x14ac:dyDescent="0.15">
      <c r="A483" s="2081"/>
      <c r="B483" s="834"/>
      <c r="C483" s="2"/>
      <c r="D483" s="1452" t="s">
        <v>1902</v>
      </c>
      <c r="E483" s="2"/>
      <c r="F483" s="2"/>
      <c r="G483" s="1407"/>
      <c r="H483" s="2"/>
      <c r="I483" s="2"/>
      <c r="J483" s="839" t="str">
        <f ca="1">IF(J484=0,"-","")</f>
        <v>-</v>
      </c>
      <c r="K483" s="2078"/>
      <c r="L483" s="1574"/>
      <c r="M483" s="1974"/>
      <c r="N483" s="833"/>
      <c r="O483" s="833"/>
      <c r="Q483" s="833"/>
      <c r="R483" s="833"/>
      <c r="S483" s="833"/>
      <c r="T483" s="833"/>
      <c r="U483" s="833"/>
      <c r="V483" s="833"/>
      <c r="W483" s="833"/>
      <c r="X483" s="833"/>
    </row>
    <row r="484" spans="1:24" s="813" customFormat="1" ht="39.950000000000003" hidden="1" customHeight="1" x14ac:dyDescent="0.15">
      <c r="A484" s="2081">
        <f ca="1">+Orçamento_Não_Deson!A484</f>
        <v>6.1199999999999974</v>
      </c>
      <c r="B484" s="834">
        <f ca="1">+Orçamento_Não_Deson!B484</f>
        <v>95875</v>
      </c>
      <c r="C484" s="2" t="str">
        <f ca="1">VLOOKUP($B484,[5]BOLETIM_SEL!$A:$H,2,0)</f>
        <v>SINAPI</v>
      </c>
      <c r="D484" s="315" t="str">
        <f ca="1">VLOOKUP($B484,[5]BOLETIM_SEL!$A:$H,4,0)</f>
        <v>Transporte com caminhão basculante de 10 m3, em via urbana pavimentada, DMT até 30,00 km (unidade: m3xkm). AF_07/2020</v>
      </c>
      <c r="E484" s="2">
        <f>+Orçamento_Não_Deson!E484</f>
        <v>0</v>
      </c>
      <c r="F484" s="2" t="str">
        <f ca="1">VLOOKUP($B484,[5]BOLETIM_SEL!$A:$H,6,0)</f>
        <v>M3XKM</v>
      </c>
      <c r="G484" s="1407">
        <f ca="1">VLOOKUP($B484,[5]BOLETIM_SEL!$A:$H,7,0)</f>
        <v>2.15</v>
      </c>
      <c r="H484" s="1613">
        <f ca="1">+Orçamento_Não_Deson!H484</f>
        <v>0</v>
      </c>
      <c r="I484" s="877">
        <f ca="1">TRUNC(G484*(1+$J$5),2)</f>
        <v>2.72</v>
      </c>
      <c r="J484" s="1612">
        <f ca="1">TRUNC(H484*I484,2)</f>
        <v>0</v>
      </c>
      <c r="K484" s="2078">
        <f ca="1">J484/J$967</f>
        <v>0</v>
      </c>
      <c r="L484" s="1574">
        <f ca="1">J484/$J$448</f>
        <v>0</v>
      </c>
      <c r="M484" s="1976">
        <f ca="1">+Orçamento_Não_Deson!M484</f>
        <v>0</v>
      </c>
      <c r="N484" s="833"/>
      <c r="O484" s="833"/>
      <c r="Q484" s="833"/>
      <c r="R484" s="833"/>
      <c r="S484" s="833"/>
      <c r="T484" s="833"/>
      <c r="U484" s="833"/>
      <c r="V484" s="833"/>
      <c r="W484" s="833"/>
      <c r="X484" s="833"/>
    </row>
    <row r="485" spans="1:24" s="813" customFormat="1" ht="39.950000000000003" hidden="1" customHeight="1" x14ac:dyDescent="0.15">
      <c r="A485" s="2081"/>
      <c r="B485" s="834"/>
      <c r="C485" s="2"/>
      <c r="D485" s="1452" t="s">
        <v>1901</v>
      </c>
      <c r="E485" s="2"/>
      <c r="F485" s="2"/>
      <c r="G485" s="1407"/>
      <c r="H485" s="2"/>
      <c r="I485" s="2"/>
      <c r="J485" s="839" t="str">
        <f ca="1">IF(J486=0,"-","")</f>
        <v>-</v>
      </c>
      <c r="K485" s="2078"/>
      <c r="L485" s="1574"/>
      <c r="M485" s="1974"/>
      <c r="N485" s="833"/>
      <c r="O485" s="833"/>
      <c r="Q485" s="833"/>
      <c r="R485" s="833"/>
      <c r="S485" s="833"/>
      <c r="T485" s="833"/>
      <c r="U485" s="833"/>
      <c r="V485" s="833"/>
      <c r="W485" s="833"/>
      <c r="X485" s="833"/>
    </row>
    <row r="486" spans="1:24" s="813" customFormat="1" ht="39.950000000000003" hidden="1" customHeight="1" x14ac:dyDescent="0.15">
      <c r="A486" s="2081">
        <f ca="1">+Orçamento_Não_Deson!A486</f>
        <v>6.1199999999999974</v>
      </c>
      <c r="B486" s="834">
        <f ca="1">+Orçamento_Não_Deson!B486</f>
        <v>95875</v>
      </c>
      <c r="C486" s="2" t="str">
        <f ca="1">VLOOKUP($B486,[5]BOLETIM_SEL!$A:$H,2,0)</f>
        <v>SINAPI</v>
      </c>
      <c r="D486" s="315" t="str">
        <f ca="1">VLOOKUP($B486,[5]BOLETIM_SEL!$A:$H,4,0)</f>
        <v>Transporte com caminhão basculante de 10 m3, em via urbana pavimentada, DMT até 30,00 km (unidade: m3xkm). AF_07/2020</v>
      </c>
      <c r="E486" s="2">
        <f>+Orçamento_Não_Deson!E486</f>
        <v>0</v>
      </c>
      <c r="F486" s="2" t="str">
        <f ca="1">VLOOKUP($B486,[5]BOLETIM_SEL!$A:$H,6,0)</f>
        <v>M3XKM</v>
      </c>
      <c r="G486" s="1407">
        <f ca="1">VLOOKUP($B486,[5]BOLETIM_SEL!$A:$H,7,0)</f>
        <v>2.15</v>
      </c>
      <c r="H486" s="1613">
        <f ca="1">+Orçamento_Não_Deson!H486</f>
        <v>0</v>
      </c>
      <c r="I486" s="877">
        <f ca="1">TRUNC(G486*(1+$J$5),2)</f>
        <v>2.72</v>
      </c>
      <c r="J486" s="1612">
        <f ca="1">TRUNC(H486*I486,2)</f>
        <v>0</v>
      </c>
      <c r="K486" s="2078">
        <f ca="1">J486/J$967</f>
        <v>0</v>
      </c>
      <c r="L486" s="1574">
        <f ca="1">J486/$J$448</f>
        <v>0</v>
      </c>
      <c r="M486" s="1976">
        <f ca="1">+Orçamento_Não_Deson!M486</f>
        <v>0</v>
      </c>
      <c r="N486" s="833"/>
      <c r="O486" s="833"/>
      <c r="Q486" s="833"/>
      <c r="R486" s="833"/>
      <c r="S486" s="833"/>
      <c r="T486" s="833"/>
      <c r="U486" s="833"/>
      <c r="V486" s="833"/>
      <c r="W486" s="833"/>
      <c r="X486" s="833"/>
    </row>
    <row r="487" spans="1:24" s="813" customFormat="1" ht="39.950000000000003" hidden="1" customHeight="1" x14ac:dyDescent="0.15">
      <c r="A487" s="2081"/>
      <c r="B487" s="834"/>
      <c r="C487" s="2"/>
      <c r="D487" s="1452" t="s">
        <v>1841</v>
      </c>
      <c r="E487" s="2"/>
      <c r="F487" s="2"/>
      <c r="G487" s="1407"/>
      <c r="H487" s="2"/>
      <c r="I487" s="2"/>
      <c r="J487" s="839" t="str">
        <f ca="1">IF(J488=0,"-","")</f>
        <v>-</v>
      </c>
      <c r="K487" s="2078"/>
      <c r="L487" s="1574"/>
      <c r="M487" s="1974"/>
      <c r="N487" s="833"/>
      <c r="O487" s="833"/>
      <c r="Q487" s="833"/>
      <c r="R487" s="833"/>
      <c r="S487" s="833"/>
      <c r="T487" s="833"/>
      <c r="U487" s="833"/>
      <c r="V487" s="833"/>
      <c r="W487" s="833"/>
      <c r="X487" s="833"/>
    </row>
    <row r="488" spans="1:24" s="813" customFormat="1" ht="39.950000000000003" hidden="1" customHeight="1" x14ac:dyDescent="0.15">
      <c r="A488" s="2081">
        <f ca="1">+Orçamento_Não_Deson!A488</f>
        <v>6.1199999999999974</v>
      </c>
      <c r="B488" s="834">
        <f ca="1">+Orçamento_Não_Deson!B488</f>
        <v>95875</v>
      </c>
      <c r="C488" s="2" t="str">
        <f ca="1">VLOOKUP($B488,[5]BOLETIM_SEL!$A:$H,2,0)</f>
        <v>SINAPI</v>
      </c>
      <c r="D488" s="315" t="str">
        <f ca="1">VLOOKUP($B488,[5]BOLETIM_SEL!$A:$H,4,0)</f>
        <v>Transporte com caminhão basculante de 10 m3, em via urbana pavimentada, DMT até 30,00 km (unidade: m3xkm). AF_07/2020</v>
      </c>
      <c r="E488" s="2">
        <f>+Orçamento_Não_Deson!E488</f>
        <v>0</v>
      </c>
      <c r="F488" s="2" t="str">
        <f ca="1">VLOOKUP($B488,[5]BOLETIM_SEL!$A:$H,6,0)</f>
        <v>M3XKM</v>
      </c>
      <c r="G488" s="1407">
        <f ca="1">VLOOKUP($B488,[5]BOLETIM_SEL!$A:$H,7,0)</f>
        <v>2.15</v>
      </c>
      <c r="H488" s="1613">
        <f ca="1">+Orçamento_Não_Deson!H488</f>
        <v>0</v>
      </c>
      <c r="I488" s="877">
        <f ca="1">TRUNC(G488*(1+$J$5),2)</f>
        <v>2.72</v>
      </c>
      <c r="J488" s="1612">
        <f ca="1">TRUNC(H488*I488,2)</f>
        <v>0</v>
      </c>
      <c r="K488" s="2078">
        <f ca="1">J488/J$967</f>
        <v>0</v>
      </c>
      <c r="L488" s="1574">
        <f ca="1">J488/$J$448</f>
        <v>0</v>
      </c>
      <c r="M488" s="1976">
        <f ca="1">+Orçamento_Não_Deson!M488</f>
        <v>0</v>
      </c>
      <c r="N488" s="833"/>
      <c r="O488" s="833"/>
      <c r="Q488" s="833"/>
      <c r="R488" s="833"/>
      <c r="S488" s="833"/>
      <c r="T488" s="833"/>
      <c r="U488" s="833"/>
      <c r="V488" s="833"/>
      <c r="W488" s="833"/>
      <c r="X488" s="833"/>
    </row>
    <row r="489" spans="1:24" s="813" customFormat="1" ht="39.950000000000003" hidden="1" customHeight="1" x14ac:dyDescent="0.15">
      <c r="A489" s="2081"/>
      <c r="B489" s="834"/>
      <c r="C489" s="2"/>
      <c r="D489" s="1452" t="s">
        <v>1764</v>
      </c>
      <c r="E489" s="2"/>
      <c r="F489" s="2"/>
      <c r="G489" s="1407"/>
      <c r="H489" s="2"/>
      <c r="I489" s="2"/>
      <c r="J489" s="839" t="str">
        <f ca="1">IF(J490=0,"-","")</f>
        <v>-</v>
      </c>
      <c r="K489" s="2078"/>
      <c r="L489" s="1574"/>
      <c r="M489" s="1974"/>
      <c r="N489" s="833"/>
      <c r="O489" s="833"/>
      <c r="Q489" s="833"/>
      <c r="R489" s="833"/>
      <c r="S489" s="833"/>
      <c r="T489" s="833"/>
      <c r="U489" s="833"/>
      <c r="V489" s="833"/>
      <c r="W489" s="833"/>
      <c r="X489" s="833"/>
    </row>
    <row r="490" spans="1:24" s="813" customFormat="1" ht="39.950000000000003" hidden="1" customHeight="1" x14ac:dyDescent="0.15">
      <c r="A490" s="2081">
        <f ca="1">+Orçamento_Não_Deson!A490</f>
        <v>6.1199999999999974</v>
      </c>
      <c r="B490" s="834">
        <f ca="1">+Orçamento_Não_Deson!B490</f>
        <v>95875</v>
      </c>
      <c r="C490" s="2" t="str">
        <f ca="1">VLOOKUP($B490,[5]BOLETIM_SEL!$A:$H,2,0)</f>
        <v>SINAPI</v>
      </c>
      <c r="D490" s="315" t="str">
        <f ca="1">VLOOKUP($B490,[5]BOLETIM_SEL!$A:$H,4,0)</f>
        <v>Transporte com caminhão basculante de 10 m3, em via urbana pavimentada, DMT até 30,00 km (unidade: m3xkm). AF_07/2020</v>
      </c>
      <c r="E490" s="2">
        <f>+Orçamento_Não_Deson!E490</f>
        <v>0</v>
      </c>
      <c r="F490" s="2" t="str">
        <f ca="1">VLOOKUP($B490,[5]BOLETIM_SEL!$A:$H,6,0)</f>
        <v>M3XKM</v>
      </c>
      <c r="G490" s="1407">
        <f ca="1">VLOOKUP($B490,[5]BOLETIM_SEL!$A:$H,7,0)</f>
        <v>2.15</v>
      </c>
      <c r="H490" s="1613">
        <f ca="1">+Orçamento_Não_Deson!H490</f>
        <v>0</v>
      </c>
      <c r="I490" s="877">
        <f ca="1">TRUNC(G490*(1+$J$5),2)</f>
        <v>2.72</v>
      </c>
      <c r="J490" s="1612">
        <f ca="1">TRUNC(H490*I490,2)</f>
        <v>0</v>
      </c>
      <c r="K490" s="2078">
        <f ca="1">J490/J$967</f>
        <v>0</v>
      </c>
      <c r="L490" s="1574">
        <f ca="1">J490/$J$448</f>
        <v>0</v>
      </c>
      <c r="M490" s="1976">
        <f ca="1">+Orçamento_Não_Deson!M490</f>
        <v>0</v>
      </c>
      <c r="N490" s="833"/>
      <c r="O490" s="833"/>
      <c r="Q490" s="833"/>
      <c r="R490" s="833"/>
      <c r="S490" s="833"/>
      <c r="T490" s="833"/>
      <c r="U490" s="833"/>
      <c r="V490" s="833"/>
      <c r="W490" s="833"/>
      <c r="X490" s="833"/>
    </row>
    <row r="491" spans="1:24" s="813" customFormat="1" ht="39.950000000000003" hidden="1" customHeight="1" x14ac:dyDescent="0.15">
      <c r="A491" s="2081"/>
      <c r="B491" s="834"/>
      <c r="C491" s="2"/>
      <c r="D491" s="1452" t="s">
        <v>1765</v>
      </c>
      <c r="E491" s="2"/>
      <c r="F491" s="2"/>
      <c r="G491" s="1407"/>
      <c r="H491" s="2"/>
      <c r="I491" s="2"/>
      <c r="J491" s="839" t="str">
        <f ca="1">IF(J492=0,"-","")</f>
        <v>-</v>
      </c>
      <c r="K491" s="2078"/>
      <c r="L491" s="1574"/>
      <c r="M491" s="1974"/>
      <c r="N491" s="833"/>
      <c r="O491" s="833"/>
      <c r="Q491" s="833"/>
      <c r="R491" s="833"/>
      <c r="S491" s="833"/>
      <c r="T491" s="833"/>
      <c r="U491" s="833"/>
      <c r="V491" s="833"/>
      <c r="W491" s="833"/>
      <c r="X491" s="833"/>
    </row>
    <row r="492" spans="1:24" s="813" customFormat="1" ht="39.950000000000003" hidden="1" customHeight="1" x14ac:dyDescent="0.15">
      <c r="A492" s="2081">
        <f ca="1">+Orçamento_Não_Deson!A492</f>
        <v>6.1199999999999974</v>
      </c>
      <c r="B492" s="834">
        <f ca="1">+Orçamento_Não_Deson!B492</f>
        <v>95875</v>
      </c>
      <c r="C492" s="2" t="str">
        <f ca="1">VLOOKUP($B492,[5]BOLETIM_SEL!$A:$H,2,0)</f>
        <v>SINAPI</v>
      </c>
      <c r="D492" s="315" t="str">
        <f ca="1">VLOOKUP($B492,[5]BOLETIM_SEL!$A:$H,4,0)</f>
        <v>Transporte com caminhão basculante de 10 m3, em via urbana pavimentada, DMT até 30,00 km (unidade: m3xkm). AF_07/2020</v>
      </c>
      <c r="E492" s="2">
        <f>+Orçamento_Não_Deson!E492</f>
        <v>0</v>
      </c>
      <c r="F492" s="2" t="str">
        <f ca="1">VLOOKUP($B492,[5]BOLETIM_SEL!$A:$H,6,0)</f>
        <v>M3XKM</v>
      </c>
      <c r="G492" s="1407">
        <f ca="1">VLOOKUP($B492,[5]BOLETIM_SEL!$A:$H,7,0)</f>
        <v>2.15</v>
      </c>
      <c r="H492" s="1613">
        <f ca="1">+Orçamento_Não_Deson!H492</f>
        <v>0</v>
      </c>
      <c r="I492" s="877">
        <f ca="1">TRUNC(G492*(1+$J$5),2)</f>
        <v>2.72</v>
      </c>
      <c r="J492" s="1612">
        <f ca="1">TRUNC(H492*I492,2)</f>
        <v>0</v>
      </c>
      <c r="K492" s="2078">
        <f ca="1">J492/J$967</f>
        <v>0</v>
      </c>
      <c r="L492" s="1574">
        <f ca="1">J492/$J$448</f>
        <v>0</v>
      </c>
      <c r="M492" s="1976">
        <f ca="1">+Orçamento_Não_Deson!M492</f>
        <v>0</v>
      </c>
      <c r="N492" s="833"/>
      <c r="O492" s="833"/>
      <c r="Q492" s="833"/>
      <c r="R492" s="833"/>
      <c r="S492" s="833"/>
      <c r="T492" s="833"/>
      <c r="U492" s="833"/>
      <c r="V492" s="833"/>
      <c r="W492" s="833"/>
      <c r="X492" s="833"/>
    </row>
    <row r="493" spans="1:24" s="813" customFormat="1" ht="39.950000000000003" hidden="1" customHeight="1" x14ac:dyDescent="0.15">
      <c r="A493" s="2081"/>
      <c r="B493" s="834"/>
      <c r="C493" s="2"/>
      <c r="D493" s="1452" t="s">
        <v>1762</v>
      </c>
      <c r="E493" s="2"/>
      <c r="F493" s="2"/>
      <c r="G493" s="1407"/>
      <c r="H493" s="2"/>
      <c r="I493" s="2"/>
      <c r="J493" s="839" t="str">
        <f ca="1">IF(J494=0,"-","")</f>
        <v>-</v>
      </c>
      <c r="K493" s="2078"/>
      <c r="L493" s="1574"/>
      <c r="M493" s="1974"/>
      <c r="N493" s="833"/>
      <c r="O493" s="833"/>
      <c r="Q493" s="833"/>
      <c r="R493" s="833"/>
      <c r="S493" s="833"/>
      <c r="T493" s="833"/>
      <c r="U493" s="833"/>
      <c r="V493" s="833"/>
      <c r="W493" s="833"/>
      <c r="X493" s="833"/>
    </row>
    <row r="494" spans="1:24" s="813" customFormat="1" ht="39.950000000000003" hidden="1" customHeight="1" x14ac:dyDescent="0.15">
      <c r="A494" s="2081">
        <f ca="1">+Orçamento_Não_Deson!A494</f>
        <v>6.1199999999999974</v>
      </c>
      <c r="B494" s="834">
        <f ca="1">+Orçamento_Não_Deson!B494</f>
        <v>95875</v>
      </c>
      <c r="C494" s="2" t="str">
        <f ca="1">VLOOKUP($B494,[5]BOLETIM_SEL!$A:$H,2,0)</f>
        <v>SINAPI</v>
      </c>
      <c r="D494" s="315" t="str">
        <f ca="1">VLOOKUP($B494,[5]BOLETIM_SEL!$A:$H,4,0)</f>
        <v>Transporte com caminhão basculante de 10 m3, em via urbana pavimentada, DMT até 30,00 km (unidade: m3xkm). AF_07/2020</v>
      </c>
      <c r="E494" s="2">
        <f>+Orçamento_Não_Deson!E494</f>
        <v>0</v>
      </c>
      <c r="F494" s="2" t="str">
        <f ca="1">VLOOKUP($B494,[5]BOLETIM_SEL!$A:$H,6,0)</f>
        <v>M3XKM</v>
      </c>
      <c r="G494" s="1407">
        <f ca="1">VLOOKUP($B494,[5]BOLETIM_SEL!$A:$H,7,0)</f>
        <v>2.15</v>
      </c>
      <c r="H494" s="1613">
        <f ca="1">+Orçamento_Não_Deson!H494</f>
        <v>0</v>
      </c>
      <c r="I494" s="877">
        <f ca="1">TRUNC(G494*(1+$J$5),2)</f>
        <v>2.72</v>
      </c>
      <c r="J494" s="1612">
        <f ca="1">TRUNC(H494*I494,2)</f>
        <v>0</v>
      </c>
      <c r="K494" s="2078">
        <f ca="1">J494/J$967</f>
        <v>0</v>
      </c>
      <c r="L494" s="1574">
        <f ca="1">J494/$J$448</f>
        <v>0</v>
      </c>
      <c r="M494" s="1976">
        <f ca="1">+Orçamento_Não_Deson!M494</f>
        <v>0</v>
      </c>
      <c r="N494" s="833"/>
      <c r="O494" s="833"/>
      <c r="Q494" s="833"/>
      <c r="R494" s="833"/>
      <c r="S494" s="833"/>
      <c r="T494" s="833"/>
      <c r="U494" s="833"/>
      <c r="V494" s="833"/>
      <c r="W494" s="833"/>
      <c r="X494" s="833"/>
    </row>
    <row r="495" spans="1:24" s="813" customFormat="1" ht="24.95" customHeight="1" x14ac:dyDescent="0.15">
      <c r="A495" s="2081"/>
      <c r="B495" s="834"/>
      <c r="C495" s="2"/>
      <c r="D495" s="1452" t="s">
        <v>1763</v>
      </c>
      <c r="E495" s="2"/>
      <c r="F495" s="2"/>
      <c r="G495" s="1407"/>
      <c r="H495" s="2"/>
      <c r="I495" s="2"/>
      <c r="J495" s="839" t="str">
        <f ca="1">IF(J496=0,"-","")</f>
        <v/>
      </c>
      <c r="K495" s="2078"/>
      <c r="L495" s="1574"/>
      <c r="M495" s="1974"/>
      <c r="N495" s="833"/>
      <c r="O495" s="833"/>
      <c r="Q495" s="833"/>
      <c r="R495" s="833"/>
      <c r="S495" s="833"/>
      <c r="T495" s="833"/>
      <c r="U495" s="833"/>
      <c r="V495" s="833"/>
      <c r="W495" s="833"/>
      <c r="X495" s="833"/>
    </row>
    <row r="496" spans="1:24" s="813" customFormat="1" ht="39.950000000000003" customHeight="1" x14ac:dyDescent="0.15">
      <c r="A496" s="2081">
        <f ca="1">+Orçamento_Não_Deson!A496</f>
        <v>6.1299999999999972</v>
      </c>
      <c r="B496" s="834">
        <f ca="1">+Orçamento_Não_Deson!B496</f>
        <v>93599</v>
      </c>
      <c r="C496" s="2" t="str">
        <f ca="1">VLOOKUP($B496,[5]BOLETIM_SEL!$A:$H,2,0)</f>
        <v>SINAPI</v>
      </c>
      <c r="D496" s="315" t="str">
        <f ca="1">VLOOKUP($B496,[5]BOLETIM_SEL!$A:$H,4,0)</f>
        <v>Transporte com caminhão basculante de 14 m3, em via urbana pavimentada, adicional para DMT excedente a 30,00 km (unidade: txkm). AF_07/2020</v>
      </c>
      <c r="E496" s="2">
        <f>+Orçamento_Não_Deson!E496</f>
        <v>109</v>
      </c>
      <c r="F496" s="2" t="str">
        <f ca="1">VLOOKUP($B496,[5]BOLETIM_SEL!$A:$H,6,0)</f>
        <v>TXKM</v>
      </c>
      <c r="G496" s="1407">
        <f ca="1">VLOOKUP($B496,[5]BOLETIM_SEL!$A:$H,7,0)</f>
        <v>0.52</v>
      </c>
      <c r="H496" s="1613">
        <f ca="1">+Orçamento_Não_Deson!H496</f>
        <v>1521.64</v>
      </c>
      <c r="I496" s="877">
        <f ca="1">TRUNC(G496*(1+$J$5),2)</f>
        <v>0.65</v>
      </c>
      <c r="J496" s="1612">
        <f ca="1">TRUNC(H496*I496,2)</f>
        <v>989.06</v>
      </c>
      <c r="K496" s="2078">
        <f ca="1">J496/J$967</f>
        <v>7.2026775405032004E-5</v>
      </c>
      <c r="L496" s="1574">
        <f ca="1">J496/$J$448</f>
        <v>4.8381471362988211E-2</v>
      </c>
      <c r="M496" s="1983">
        <f ca="1">+Orçamento_Não_Deson!M496</f>
        <v>13.96</v>
      </c>
      <c r="N496" s="833"/>
      <c r="O496" s="833"/>
      <c r="Q496" s="833"/>
      <c r="R496" s="833"/>
      <c r="S496" s="833"/>
      <c r="T496" s="833"/>
      <c r="U496" s="833"/>
      <c r="V496" s="833"/>
      <c r="W496" s="833"/>
      <c r="X496" s="833"/>
    </row>
    <row r="497" spans="1:24" s="813" customFormat="1" ht="39.950000000000003" hidden="1" customHeight="1" x14ac:dyDescent="0.15">
      <c r="A497" s="2081"/>
      <c r="B497" s="834"/>
      <c r="C497" s="2"/>
      <c r="D497" s="1452" t="s">
        <v>1760</v>
      </c>
      <c r="E497" s="2"/>
      <c r="F497" s="2"/>
      <c r="G497" s="1407"/>
      <c r="H497" s="2"/>
      <c r="I497" s="2"/>
      <c r="J497" s="839" t="str">
        <f>IF(J498=0,"-","")</f>
        <v>-</v>
      </c>
      <c r="K497" s="2078"/>
      <c r="L497" s="1574"/>
      <c r="M497" s="1974"/>
      <c r="N497" s="833"/>
      <c r="O497" s="833"/>
      <c r="Q497" s="833"/>
      <c r="R497" s="833"/>
      <c r="S497" s="833"/>
      <c r="T497" s="833"/>
      <c r="U497" s="833"/>
      <c r="V497" s="833"/>
      <c r="W497" s="833"/>
      <c r="X497" s="833"/>
    </row>
    <row r="498" spans="1:24" s="813" customFormat="1" ht="39.950000000000003" hidden="1" customHeight="1" x14ac:dyDescent="0.15">
      <c r="A498" s="2081">
        <f ca="1">+Orçamento_Não_Deson!A498</f>
        <v>6.1299999999999972</v>
      </c>
      <c r="B498" s="834">
        <f>+Orçamento_Não_Deson!B498</f>
        <v>102332</v>
      </c>
      <c r="C498" s="2" t="str">
        <f>VLOOKUP($B498,[5]BOLETIM_SEL!$A:$H,2,0)</f>
        <v>SINAPI</v>
      </c>
      <c r="D498" s="315" t="str">
        <f>VLOOKUP($B498,[5]BOLETIM_SEL!$A:$H,4,0)</f>
        <v>Transporte com caminhão tanque de transporte de material asfáltico de 20.000 l, em via urbana pavimentada, DMT até 30,00 km (unidade: txkm). AF_07/2020</v>
      </c>
      <c r="E498" s="2">
        <f>+Orçamento_Não_Deson!E498</f>
        <v>109</v>
      </c>
      <c r="F498" s="2" t="str">
        <f>VLOOKUP($B498,[5]BOLETIM_SEL!$A:$H,6,0)</f>
        <v>TXKM</v>
      </c>
      <c r="G498" s="1407">
        <f>VLOOKUP($B498,[5]BOLETIM_SEL!$A:$H,7,0)</f>
        <v>1.62</v>
      </c>
      <c r="H498" s="1613">
        <f>+Orçamento_Não_Deson!H498</f>
        <v>0</v>
      </c>
      <c r="I498" s="877">
        <f>TRUNC(G498*(1+$J$5),2)</f>
        <v>2.0499999999999998</v>
      </c>
      <c r="J498" s="1612">
        <f>TRUNC(H498*I498,2)</f>
        <v>0</v>
      </c>
      <c r="K498" s="2078">
        <f ca="1">J498/J$967</f>
        <v>0</v>
      </c>
      <c r="L498" s="1574">
        <f ca="1">J498/$J$448</f>
        <v>0</v>
      </c>
      <c r="M498" s="1983">
        <f>+Orçamento_Não_Deson!M498</f>
        <v>0</v>
      </c>
      <c r="N498" s="833"/>
      <c r="O498" s="833"/>
      <c r="Q498" s="833"/>
      <c r="R498" s="833"/>
      <c r="S498" s="833"/>
      <c r="T498" s="833"/>
      <c r="U498" s="833"/>
      <c r="V498" s="833"/>
      <c r="W498" s="833"/>
      <c r="X498" s="833"/>
    </row>
    <row r="499" spans="1:24" s="813" customFormat="1" ht="24.95" customHeight="1" x14ac:dyDescent="0.15">
      <c r="A499" s="2081"/>
      <c r="B499" s="834"/>
      <c r="C499" s="2"/>
      <c r="D499" s="1452" t="s">
        <v>1759</v>
      </c>
      <c r="E499" s="2"/>
      <c r="F499" s="2"/>
      <c r="G499" s="1407"/>
      <c r="H499" s="2"/>
      <c r="I499" s="2"/>
      <c r="J499" s="839" t="str">
        <f ca="1">IF(J500=0,"-","")</f>
        <v/>
      </c>
      <c r="K499" s="2078"/>
      <c r="L499" s="1574"/>
      <c r="M499" s="1974"/>
      <c r="N499" s="833"/>
      <c r="O499" s="833"/>
      <c r="Q499" s="833"/>
      <c r="R499" s="833"/>
      <c r="S499" s="833"/>
      <c r="T499" s="833"/>
      <c r="U499" s="833"/>
      <c r="V499" s="833"/>
      <c r="W499" s="833"/>
      <c r="X499" s="833"/>
    </row>
    <row r="500" spans="1:24" s="813" customFormat="1" ht="39.950000000000003" customHeight="1" x14ac:dyDescent="0.15">
      <c r="A500" s="2081">
        <f ca="1">+Orçamento_Não_Deson!A500</f>
        <v>6.139999999999997</v>
      </c>
      <c r="B500" s="834">
        <f>+Orçamento_Não_Deson!B500</f>
        <v>102333</v>
      </c>
      <c r="C500" s="2" t="str">
        <f>VLOOKUP($B500,[5]BOLETIM_SEL!$A:$H,2,0)</f>
        <v>SINAPI</v>
      </c>
      <c r="D500" s="315" t="str">
        <f>VLOOKUP($B500,[5]BOLETIM_SEL!$A:$H,4,0)</f>
        <v>Transporte com caminhão tanque de transporte de material asfáltico de 20.000 l, em via urbana pavimentada, adicional para DMT excedente a 30,00 km (unidade: txkm). AF_07/2020</v>
      </c>
      <c r="E500" s="2">
        <f>+Orçamento_Não_Deson!E500</f>
        <v>109</v>
      </c>
      <c r="F500" s="2" t="str">
        <f>VLOOKUP($B500,[5]BOLETIM_SEL!$A:$H,6,0)</f>
        <v>TXKM</v>
      </c>
      <c r="G500" s="1407">
        <f>VLOOKUP($B500,[5]BOLETIM_SEL!$A:$H,7,0)</f>
        <v>0.64</v>
      </c>
      <c r="H500" s="1613">
        <f ca="1">+Orçamento_Não_Deson!H500</f>
        <v>23.98</v>
      </c>
      <c r="I500" s="877">
        <f>TRUNC(G500*(1+$J$5),2)</f>
        <v>0.81</v>
      </c>
      <c r="J500" s="1612">
        <f ca="1">TRUNC(H500*I500,2)</f>
        <v>19.420000000000002</v>
      </c>
      <c r="K500" s="2078">
        <f ca="1">J500/J$967</f>
        <v>1.4142316728668856E-6</v>
      </c>
      <c r="L500" s="1574">
        <f ca="1">J500/$J$448</f>
        <v>9.4996074441311071E-4</v>
      </c>
      <c r="M500" s="1983">
        <f ca="1">+Orçamento_Não_Deson!M500</f>
        <v>0.22</v>
      </c>
      <c r="N500" s="833"/>
      <c r="O500" s="833"/>
      <c r="Q500" s="833"/>
      <c r="R500" s="833"/>
      <c r="S500" s="833"/>
      <c r="T500" s="833"/>
      <c r="U500" s="833"/>
      <c r="V500" s="833"/>
      <c r="W500" s="833"/>
      <c r="X500" s="833"/>
    </row>
    <row r="501" spans="1:24" s="813" customFormat="1" ht="39.950000000000003" hidden="1" customHeight="1" x14ac:dyDescent="0.15">
      <c r="A501" s="2081"/>
      <c r="B501" s="834"/>
      <c r="C501" s="2"/>
      <c r="D501" s="1452" t="s">
        <v>1794</v>
      </c>
      <c r="E501" s="2"/>
      <c r="F501" s="2"/>
      <c r="G501" s="1407"/>
      <c r="H501" s="2"/>
      <c r="I501" s="2"/>
      <c r="J501" s="839" t="str">
        <f ca="1">IF(J502=0,"-","")</f>
        <v>-</v>
      </c>
      <c r="K501" s="2078"/>
      <c r="L501" s="1574"/>
      <c r="M501" s="1974"/>
      <c r="N501" s="833"/>
      <c r="O501" s="833"/>
      <c r="Q501" s="833"/>
      <c r="R501" s="833"/>
      <c r="S501" s="833"/>
      <c r="T501" s="833"/>
      <c r="U501" s="833"/>
      <c r="V501" s="833"/>
      <c r="W501" s="833"/>
      <c r="X501" s="833"/>
    </row>
    <row r="502" spans="1:24" s="813" customFormat="1" ht="39.950000000000003" hidden="1" customHeight="1" x14ac:dyDescent="0.15">
      <c r="A502" s="2081">
        <f ca="1">+Orçamento_Não_Deson!A502</f>
        <v>6.139999999999997</v>
      </c>
      <c r="B502" s="834">
        <f>+Orçamento_Não_Deson!B502</f>
        <v>102332</v>
      </c>
      <c r="C502" s="2" t="str">
        <f>VLOOKUP($B502,[5]BOLETIM_SEL!$A:$H,2,0)</f>
        <v>SINAPI</v>
      </c>
      <c r="D502" s="315" t="str">
        <f>VLOOKUP($B502,[5]BOLETIM_SEL!$A:$H,4,0)</f>
        <v>Transporte com caminhão tanque de transporte de material asfáltico de 20.000 l, em via urbana pavimentada, DMT até 30,00 km (unidade: txkm). AF_07/2020</v>
      </c>
      <c r="E502" s="2">
        <f>+Orçamento_Não_Deson!E502</f>
        <v>0</v>
      </c>
      <c r="F502" s="2" t="str">
        <f>VLOOKUP($B502,[5]BOLETIM_SEL!$A:$H,6,0)</f>
        <v>TXKM</v>
      </c>
      <c r="G502" s="1407">
        <f>VLOOKUP($B502,[5]BOLETIM_SEL!$A:$H,7,0)</f>
        <v>1.62</v>
      </c>
      <c r="H502" s="1613">
        <f ca="1">+Orçamento_Não_Deson!H502</f>
        <v>0</v>
      </c>
      <c r="I502" s="877">
        <f>TRUNC(G502*(1+$J$5),2)</f>
        <v>2.0499999999999998</v>
      </c>
      <c r="J502" s="1612">
        <f ca="1">TRUNC(H502*I502,2)</f>
        <v>0</v>
      </c>
      <c r="K502" s="2078">
        <f ca="1">J502/J$967</f>
        <v>0</v>
      </c>
      <c r="L502" s="1574">
        <f ca="1">J502/$J$448</f>
        <v>0</v>
      </c>
      <c r="M502" s="1983">
        <f ca="1">+Orçamento_Não_Deson!M502</f>
        <v>0</v>
      </c>
      <c r="N502" s="833"/>
      <c r="O502" s="833"/>
      <c r="Q502" s="833"/>
      <c r="R502" s="833"/>
      <c r="S502" s="833"/>
      <c r="T502" s="833"/>
      <c r="U502" s="833"/>
      <c r="V502" s="833"/>
      <c r="W502" s="833"/>
      <c r="X502" s="833"/>
    </row>
    <row r="503" spans="1:24" s="813" customFormat="1" ht="39.950000000000003" hidden="1" customHeight="1" x14ac:dyDescent="0.15">
      <c r="A503" s="2081"/>
      <c r="B503" s="834"/>
      <c r="C503" s="2"/>
      <c r="D503" s="1452" t="s">
        <v>1761</v>
      </c>
      <c r="E503" s="2"/>
      <c r="F503" s="2"/>
      <c r="G503" s="1407"/>
      <c r="H503" s="2"/>
      <c r="I503" s="2"/>
      <c r="J503" s="839" t="str">
        <f ca="1">IF(J504=0,"-","")</f>
        <v>-</v>
      </c>
      <c r="K503" s="2078"/>
      <c r="L503" s="1574"/>
      <c r="M503" s="1974"/>
      <c r="N503" s="833"/>
      <c r="O503" s="833"/>
      <c r="Q503" s="833"/>
      <c r="R503" s="833"/>
      <c r="S503" s="833"/>
      <c r="T503" s="833"/>
      <c r="U503" s="833"/>
      <c r="V503" s="833"/>
      <c r="W503" s="833"/>
      <c r="X503" s="833"/>
    </row>
    <row r="504" spans="1:24" s="813" customFormat="1" ht="39.950000000000003" hidden="1" customHeight="1" x14ac:dyDescent="0.15">
      <c r="A504" s="2081">
        <f ca="1">+Orçamento_Não_Deson!A504</f>
        <v>6.139999999999997</v>
      </c>
      <c r="B504" s="834">
        <f>+Orçamento_Não_Deson!B504</f>
        <v>102333</v>
      </c>
      <c r="C504" s="2" t="str">
        <f>VLOOKUP($B504,[5]BOLETIM_SEL!$A:$H,2,0)</f>
        <v>SINAPI</v>
      </c>
      <c r="D504" s="315" t="str">
        <f>VLOOKUP($B504,[5]BOLETIM_SEL!$A:$H,4,0)</f>
        <v>Transporte com caminhão tanque de transporte de material asfáltico de 20.000 l, em via urbana pavimentada, adicional para DMT excedente a 30,00 km (unidade: txkm). AF_07/2020</v>
      </c>
      <c r="E504" s="2">
        <f>+Orçamento_Não_Deson!E504</f>
        <v>0</v>
      </c>
      <c r="F504" s="2" t="str">
        <f>VLOOKUP($B504,[5]BOLETIM_SEL!$A:$H,6,0)</f>
        <v>TXKM</v>
      </c>
      <c r="G504" s="1407">
        <f>VLOOKUP($B504,[5]BOLETIM_SEL!$A:$H,7,0)</f>
        <v>0.64</v>
      </c>
      <c r="H504" s="1613">
        <f ca="1">+Orçamento_Não_Deson!H504</f>
        <v>0</v>
      </c>
      <c r="I504" s="877">
        <f>TRUNC(G504*(1+$J$5),2)</f>
        <v>0.81</v>
      </c>
      <c r="J504" s="1612">
        <f ca="1">TRUNC(H504*I504,2)</f>
        <v>0</v>
      </c>
      <c r="K504" s="2078">
        <f ca="1">J504/J$967</f>
        <v>0</v>
      </c>
      <c r="L504" s="1574">
        <f ca="1">J504/$J$448</f>
        <v>0</v>
      </c>
      <c r="M504" s="1983">
        <f ca="1">+Orçamento_Não_Deson!M504</f>
        <v>0</v>
      </c>
      <c r="N504" s="833"/>
      <c r="O504" s="833"/>
      <c r="Q504" s="833"/>
      <c r="R504" s="833"/>
      <c r="S504" s="833"/>
      <c r="T504" s="833"/>
      <c r="U504" s="833"/>
      <c r="V504" s="833"/>
      <c r="W504" s="833"/>
      <c r="X504" s="833"/>
    </row>
    <row r="505" spans="1:24" s="813" customFormat="1" ht="39.950000000000003" customHeight="1" x14ac:dyDescent="0.15">
      <c r="A505" s="2081"/>
      <c r="B505" s="834"/>
      <c r="C505" s="834"/>
      <c r="D505" s="835"/>
      <c r="E505" s="2"/>
      <c r="F505" s="834"/>
      <c r="G505" s="1821"/>
      <c r="H505" s="1"/>
      <c r="I505" s="877"/>
      <c r="J505" s="839" t="str">
        <f ca="1">IF(J448=0,0,"")</f>
        <v/>
      </c>
      <c r="K505" s="2078"/>
      <c r="L505" s="1574"/>
      <c r="M505" s="1833"/>
      <c r="N505" s="833"/>
      <c r="O505" s="833"/>
      <c r="Q505" s="833"/>
      <c r="R505" s="833"/>
      <c r="S505" s="833"/>
      <c r="T505" s="833"/>
      <c r="U505" s="833"/>
      <c r="V505" s="833"/>
      <c r="W505" s="833"/>
      <c r="X505" s="833"/>
    </row>
    <row r="506" spans="1:24" s="833" customFormat="1" ht="39.950000000000003" hidden="1" customHeight="1" x14ac:dyDescent="0.15">
      <c r="A506" s="2082">
        <f ca="1">IF(J506&gt;0,INT(A504)+1,IF(J506=0,INT(A504),0))</f>
        <v>6</v>
      </c>
      <c r="B506" s="1633"/>
      <c r="C506" s="1633"/>
      <c r="D506" s="1641" t="s">
        <v>1010</v>
      </c>
      <c r="E506" s="1828"/>
      <c r="F506" s="1635"/>
      <c r="G506" s="1820" t="s">
        <v>648</v>
      </c>
      <c r="H506" s="1637"/>
      <c r="I506" s="1640" t="str">
        <f ca="1">CONCATENATE("SUB-TOTAL ",A506)</f>
        <v>SUB-TOTAL 6</v>
      </c>
      <c r="J506" s="1639">
        <f>SUM(J507:J580)</f>
        <v>0</v>
      </c>
      <c r="K506" s="2079">
        <f t="shared" ref="K506:K542" ca="1" si="107">J506/J$967</f>
        <v>0</v>
      </c>
      <c r="L506" s="1610" t="e">
        <f>J506/$J$506</f>
        <v>#DIV/0!</v>
      </c>
    </row>
    <row r="507" spans="1:24" s="813" customFormat="1" ht="39.950000000000003" hidden="1" customHeight="1" x14ac:dyDescent="0.15">
      <c r="A507" s="2081">
        <f ca="1">+Orçamento_Não_Deson!A507</f>
        <v>6</v>
      </c>
      <c r="B507" s="834" t="str">
        <f>+Orçamento_Não_Deson!B507</f>
        <v>RE/0010</v>
      </c>
      <c r="C507" s="2" t="str">
        <f>VLOOKUP($B507,[5]BOLETIM_SEL!$A:$H,2,0)</f>
        <v>COMPOSIÇÃO</v>
      </c>
      <c r="D507" s="315" t="str">
        <f>VLOOKUP($B507,[5]BOLETIM_SEL!$A:$H,4,0)</f>
        <v>Correção de defeitos por fresagem descontínua, com emprego de fresadora e minicarregadeira (REF. SICRO COD. 4915705, data 01/2020)</v>
      </c>
      <c r="E507" s="2">
        <f>+Orçamento_Não_Deson!E507</f>
        <v>0</v>
      </c>
      <c r="F507" s="2" t="str">
        <f>VLOOKUP($B507,[5]BOLETIM_SEL!$A:$H,6,0)</f>
        <v>M3</v>
      </c>
      <c r="G507" s="1407">
        <f>VLOOKUP($B507,[5]BOLETIM_SEL!$A:$H,7,0)</f>
        <v>304.73</v>
      </c>
      <c r="H507" s="1613">
        <f>+Orçamento_Não_Deson!H507</f>
        <v>0</v>
      </c>
      <c r="I507" s="877">
        <f t="shared" ref="I507:I526" si="108">TRUNC(G507*(1+$J$5),2)</f>
        <v>386.21</v>
      </c>
      <c r="J507" s="1612">
        <f t="shared" ref="J507:J576" si="109">TRUNC(H507*I507,2)</f>
        <v>0</v>
      </c>
      <c r="K507" s="2078">
        <f t="shared" ca="1" si="107"/>
        <v>0</v>
      </c>
      <c r="L507" s="1574" t="e">
        <f t="shared" ref="L507:L574" si="110">J507/$J$506</f>
        <v>#DIV/0!</v>
      </c>
      <c r="M507" s="1974"/>
      <c r="N507" s="833"/>
      <c r="O507" s="833"/>
      <c r="Q507" s="833"/>
      <c r="R507" s="833"/>
      <c r="S507" s="833"/>
      <c r="T507" s="833"/>
      <c r="U507" s="833"/>
      <c r="V507" s="833"/>
      <c r="W507" s="833"/>
      <c r="X507" s="833"/>
    </row>
    <row r="508" spans="1:24" s="813" customFormat="1" ht="39.950000000000003" hidden="1" customHeight="1" x14ac:dyDescent="0.15">
      <c r="A508" s="2081">
        <f ca="1">+Orçamento_Não_Deson!A508</f>
        <v>6</v>
      </c>
      <c r="B508" s="834" t="str">
        <f>+Orçamento_Não_Deson!B508</f>
        <v>RE/0015</v>
      </c>
      <c r="C508" s="2" t="str">
        <f>VLOOKUP($B508,[5]BOLETIM_SEL!$A:$H,2,0)</f>
        <v>COMPOSIÇÃO</v>
      </c>
      <c r="D508" s="315" t="str">
        <f>VLOOKUP($B508,[5]BOLETIM_SEL!$A:$H,4,0)</f>
        <v>Remendo superfcial (tapa buraco), com requadramento mecânico, escavação, compactação da mistura betuminosa e carga do entulho. Exclusive materiais e bota-fora (REF. SICRO COD. 4915757)</v>
      </c>
      <c r="E508" s="2">
        <f>+Orçamento_Não_Deson!E508</f>
        <v>0</v>
      </c>
      <c r="F508" s="2" t="str">
        <f>VLOOKUP($B508,[5]BOLETIM_SEL!$A:$H,6,0)</f>
        <v>M3</v>
      </c>
      <c r="G508" s="1407">
        <f>VLOOKUP($B508,[5]BOLETIM_SEL!$A:$H,7,0)</f>
        <v>192.16</v>
      </c>
      <c r="H508" s="1613">
        <f>+Orçamento_Não_Deson!H508</f>
        <v>0</v>
      </c>
      <c r="I508" s="877">
        <f t="shared" si="108"/>
        <v>243.54</v>
      </c>
      <c r="J508" s="1612">
        <f t="shared" si="109"/>
        <v>0</v>
      </c>
      <c r="K508" s="2078">
        <f t="shared" ca="1" si="107"/>
        <v>0</v>
      </c>
      <c r="L508" s="1574" t="e">
        <f t="shared" si="110"/>
        <v>#DIV/0!</v>
      </c>
      <c r="M508" s="1974"/>
      <c r="N508" s="833"/>
      <c r="O508" s="833"/>
      <c r="Q508" s="833"/>
      <c r="R508" s="833"/>
      <c r="S508" s="833"/>
      <c r="T508" s="833"/>
      <c r="U508" s="833"/>
      <c r="V508" s="833"/>
      <c r="W508" s="833"/>
      <c r="X508" s="833"/>
    </row>
    <row r="509" spans="1:24" s="813" customFormat="1" ht="39.950000000000003" hidden="1" customHeight="1" x14ac:dyDescent="0.15">
      <c r="A509" s="2081">
        <f ca="1">+Orçamento_Não_Deson!A509</f>
        <v>6</v>
      </c>
      <c r="B509" s="834" t="str">
        <f>+Orçamento_Não_Deson!B509</f>
        <v>RE/0020</v>
      </c>
      <c r="C509" s="2" t="str">
        <f>VLOOKUP($B509,[5]BOLETIM_SEL!$A:$H,2,0)</f>
        <v>COMPOSIÇÃO</v>
      </c>
      <c r="D509" s="315" t="str">
        <f>VLOOKUP($B509,[5]BOLETIM_SEL!$A:$H,4,0)</f>
        <v>Remendo profundo, com requadramento mecânico, escavação, compactação do material de base e da mistura betuminosa e carga do entulho. Exclusive materiais e bota-fora (REF. SICRO COD. 4915746)</v>
      </c>
      <c r="E509" s="2">
        <f>+Orçamento_Não_Deson!E509</f>
        <v>0</v>
      </c>
      <c r="F509" s="2" t="str">
        <f>VLOOKUP($B509,[5]BOLETIM_SEL!$A:$H,6,0)</f>
        <v>M3</v>
      </c>
      <c r="G509" s="1407">
        <f>VLOOKUP($B509,[5]BOLETIM_SEL!$A:$H,7,0)</f>
        <v>111.76</v>
      </c>
      <c r="H509" s="1613">
        <f>+Orçamento_Não_Deson!H509</f>
        <v>0</v>
      </c>
      <c r="I509" s="877">
        <f t="shared" si="108"/>
        <v>141.63999999999999</v>
      </c>
      <c r="J509" s="1612">
        <f t="shared" si="109"/>
        <v>0</v>
      </c>
      <c r="K509" s="2078">
        <f t="shared" ca="1" si="107"/>
        <v>0</v>
      </c>
      <c r="L509" s="1574" t="e">
        <f t="shared" si="110"/>
        <v>#DIV/0!</v>
      </c>
      <c r="M509" s="1974"/>
      <c r="N509" s="833"/>
      <c r="O509" s="833"/>
      <c r="Q509" s="833"/>
      <c r="R509" s="833"/>
      <c r="S509" s="833"/>
      <c r="T509" s="833"/>
      <c r="U509" s="833"/>
      <c r="V509" s="833"/>
      <c r="W509" s="833"/>
      <c r="X509" s="833"/>
    </row>
    <row r="510" spans="1:24" s="813" customFormat="1" ht="39.950000000000003" hidden="1" customHeight="1" x14ac:dyDescent="0.15">
      <c r="A510" s="2081">
        <f ca="1">+Orçamento_Não_Deson!A510</f>
        <v>6</v>
      </c>
      <c r="B510" s="834">
        <f>+Orçamento_Não_Deson!B510</f>
        <v>90105</v>
      </c>
      <c r="C510" s="2" t="str">
        <f>VLOOKUP($B510,[5]BOLETIM_SEL!$A:$H,2,0)</f>
        <v>SINAPI</v>
      </c>
      <c r="D510" s="315" t="str">
        <f>VLOOKUP($B510,[5]BOLETIM_SEL!$A:$H,4,0)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510" s="2">
        <f>+Orçamento_Não_Deson!E510</f>
        <v>0</v>
      </c>
      <c r="F510" s="2" t="str">
        <f>VLOOKUP($B510,[5]BOLETIM_SEL!$A:$H,6,0)</f>
        <v>M3</v>
      </c>
      <c r="G510" s="1407">
        <f>VLOOKUP($B510,[5]BOLETIM_SEL!$A:$H,7,0)</f>
        <v>7.61</v>
      </c>
      <c r="H510" s="1613">
        <f>+Orçamento_Não_Deson!H510</f>
        <v>0</v>
      </c>
      <c r="I510" s="877">
        <f t="shared" si="108"/>
        <v>9.64</v>
      </c>
      <c r="J510" s="1612">
        <f t="shared" si="109"/>
        <v>0</v>
      </c>
      <c r="K510" s="2078">
        <f t="shared" ca="1" si="107"/>
        <v>0</v>
      </c>
      <c r="L510" s="1574" t="e">
        <f t="shared" si="110"/>
        <v>#DIV/0!</v>
      </c>
      <c r="M510" s="1974"/>
      <c r="N510" s="833"/>
      <c r="O510" s="833"/>
      <c r="Q510" s="833"/>
      <c r="R510" s="833"/>
      <c r="S510" s="833"/>
      <c r="T510" s="833"/>
      <c r="U510" s="833"/>
      <c r="V510" s="833"/>
      <c r="W510" s="833"/>
      <c r="X510" s="833"/>
    </row>
    <row r="511" spans="1:24" s="813" customFormat="1" ht="39.950000000000003" hidden="1" customHeight="1" x14ac:dyDescent="0.15">
      <c r="A511" s="2081">
        <f ca="1">+Orçamento_Não_Deson!A511</f>
        <v>6</v>
      </c>
      <c r="B511" s="834" t="str">
        <f>+Orçamento_Não_Deson!B511</f>
        <v>PA/0010</v>
      </c>
      <c r="C511" s="2" t="str">
        <f>VLOOKUP($B511,[5]BOLETIM_SEL!$A:$H,2,0)</f>
        <v>COMPOSIÇÃO</v>
      </c>
      <c r="D511" s="315" t="str">
        <f>VLOOKUP($B511,[5]BOLETIM_SEL!$A:$H,4,0)</f>
        <v>Colchão de rachão e/ou pedra-de-mão, com camada final de pedra brita. Fornecimento e execução. Exclusive transporte da pedra</v>
      </c>
      <c r="E511" s="2">
        <f>+Orçamento_Não_Deson!E511</f>
        <v>0</v>
      </c>
      <c r="F511" s="2" t="str">
        <f>VLOOKUP($B511,[5]BOLETIM_SEL!$A:$H,6,0)</f>
        <v>M3</v>
      </c>
      <c r="G511" s="1407">
        <f>VLOOKUP($B511,[5]BOLETIM_SEL!$A:$H,7,0)</f>
        <v>137.07</v>
      </c>
      <c r="H511" s="1613">
        <f>+Orçamento_Não_Deson!H511</f>
        <v>0</v>
      </c>
      <c r="I511" s="877">
        <f t="shared" si="108"/>
        <v>173.72</v>
      </c>
      <c r="J511" s="1612">
        <f t="shared" si="109"/>
        <v>0</v>
      </c>
      <c r="K511" s="2078">
        <f t="shared" ca="1" si="107"/>
        <v>0</v>
      </c>
      <c r="L511" s="1574" t="e">
        <f t="shared" si="110"/>
        <v>#DIV/0!</v>
      </c>
      <c r="M511" s="1974"/>
      <c r="N511" s="833"/>
      <c r="O511" s="833"/>
      <c r="Q511" s="833"/>
      <c r="R511" s="833"/>
      <c r="S511" s="833"/>
      <c r="T511" s="833"/>
      <c r="U511" s="833"/>
      <c r="V511" s="833"/>
      <c r="W511" s="833"/>
      <c r="X511" s="833"/>
    </row>
    <row r="512" spans="1:24" s="813" customFormat="1" ht="39.950000000000003" hidden="1" customHeight="1" x14ac:dyDescent="0.15">
      <c r="A512" s="2081">
        <f ca="1">+Orçamento_Não_Deson!A512</f>
        <v>6</v>
      </c>
      <c r="B512" s="834" t="str">
        <f>+Orçamento_Não_Deson!B512</f>
        <v>DR/0032</v>
      </c>
      <c r="C512" s="2" t="str">
        <f>VLOOKUP($B512,[5]BOLETIM_SEL!$A:$H,2,0)</f>
        <v>COMPOSIÇÃO</v>
      </c>
      <c r="D512" s="315" t="str">
        <f>VLOOKUP($B512,[5]BOLETIM_SEL!$A:$H,4,0)</f>
        <v>Lastro ou enrocamento de pedra-de-mão ou rachão lançado, fornecimento e apiloamento. Exclusive transporte, ref SINAPI 73697, data 01/2020 e SINAPI 92744.</v>
      </c>
      <c r="E512" s="2">
        <f>+Orçamento_Não_Deson!E512</f>
        <v>0</v>
      </c>
      <c r="F512" s="2" t="str">
        <f>VLOOKUP($B512,[5]BOLETIM_SEL!$A:$H,6,0)</f>
        <v>M3</v>
      </c>
      <c r="G512" s="1407">
        <f>VLOOKUP($B512,[5]BOLETIM_SEL!$A:$H,7,0)</f>
        <v>237.76</v>
      </c>
      <c r="H512" s="1613">
        <f>+Orçamento_Não_Deson!H512</f>
        <v>0</v>
      </c>
      <c r="I512" s="877">
        <f t="shared" si="108"/>
        <v>301.33</v>
      </c>
      <c r="J512" s="1612">
        <f t="shared" si="109"/>
        <v>0</v>
      </c>
      <c r="K512" s="2078">
        <f t="shared" ca="1" si="107"/>
        <v>0</v>
      </c>
      <c r="L512" s="1574" t="e">
        <f t="shared" si="110"/>
        <v>#DIV/0!</v>
      </c>
      <c r="M512" s="1974"/>
      <c r="N512" s="833"/>
      <c r="O512" s="833"/>
      <c r="Q512" s="833"/>
      <c r="R512" s="833"/>
      <c r="S512" s="833"/>
      <c r="T512" s="833"/>
      <c r="U512" s="833"/>
      <c r="V512" s="833"/>
      <c r="W512" s="833"/>
      <c r="X512" s="833"/>
    </row>
    <row r="513" spans="1:24" s="813" customFormat="1" ht="39.950000000000003" hidden="1" customHeight="1" x14ac:dyDescent="0.15">
      <c r="A513" s="2081">
        <f ca="1">+Orçamento_Não_Deson!A513</f>
        <v>6</v>
      </c>
      <c r="B513" s="834">
        <f>+Orçamento_Não_Deson!B513</f>
        <v>101230</v>
      </c>
      <c r="C513" s="2" t="str">
        <f>VLOOKUP($B513,[5]BOLETIM_SEL!$A:$H,2,0)</f>
        <v>SINAPI</v>
      </c>
      <c r="D513" s="315" t="str">
        <f>VLOOKUP($B513,[5]BOLETIM_SEL!$A:$H,4,0)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513" s="2">
        <f>+Orçamento_Não_Deson!E513</f>
        <v>0</v>
      </c>
      <c r="F513" s="2" t="str">
        <f>VLOOKUP($B513,[5]BOLETIM_SEL!$A:$H,6,0)</f>
        <v>M3</v>
      </c>
      <c r="G513" s="1407">
        <f>VLOOKUP($B513,[5]BOLETIM_SEL!$A:$H,7,0)</f>
        <v>9.8699999999999992</v>
      </c>
      <c r="H513" s="1613">
        <f>+Orçamento_Não_Deson!H513</f>
        <v>0</v>
      </c>
      <c r="I513" s="877">
        <f t="shared" si="108"/>
        <v>12.5</v>
      </c>
      <c r="J513" s="1612">
        <f t="shared" si="109"/>
        <v>0</v>
      </c>
      <c r="K513" s="2078">
        <f t="shared" ca="1" si="107"/>
        <v>0</v>
      </c>
      <c r="L513" s="1574" t="e">
        <f t="shared" si="110"/>
        <v>#DIV/0!</v>
      </c>
      <c r="M513" s="1974"/>
      <c r="N513" s="833"/>
      <c r="O513" s="833"/>
      <c r="Q513" s="833"/>
      <c r="R513" s="833"/>
      <c r="S513" s="833"/>
      <c r="T513" s="833"/>
      <c r="U513" s="833"/>
      <c r="V513" s="833"/>
      <c r="W513" s="833"/>
      <c r="X513" s="833"/>
    </row>
    <row r="514" spans="1:24" s="813" customFormat="1" ht="39.950000000000003" hidden="1" customHeight="1" x14ac:dyDescent="0.15">
      <c r="A514" s="2081">
        <f ca="1">+Orçamento_Não_Deson!A514</f>
        <v>6</v>
      </c>
      <c r="B514" s="834">
        <f>+Orçamento_Não_Deson!B514</f>
        <v>6079</v>
      </c>
      <c r="C514" s="2" t="str">
        <f>VLOOKUP($B514,[5]BOLETIM_SEL!$A:$H,2,0)</f>
        <v>COTAÇÃO - SINAPI</v>
      </c>
      <c r="D514" s="315" t="str">
        <f>VLOOKUP($B514,[5]BOLETIM_SEL!$A:$H,4,0)</f>
        <v>Argila, argila vermelha ou argila arenosa (retirada na jazida, sem transporte)</v>
      </c>
      <c r="E514" s="2">
        <f>+Orçamento_Não_Deson!E514</f>
        <v>0</v>
      </c>
      <c r="F514" s="2" t="str">
        <f>VLOOKUP($B514,[5]BOLETIM_SEL!$A:$H,6,0)</f>
        <v xml:space="preserve">M3    </v>
      </c>
      <c r="G514" s="1407">
        <f>VLOOKUP($B514,[5]BOLETIM_SEL!$A:$H,7,0)</f>
        <v>33.700000000000003</v>
      </c>
      <c r="H514" s="1613">
        <f>+Orçamento_Não_Deson!H514</f>
        <v>0</v>
      </c>
      <c r="I514" s="877">
        <f t="shared" si="108"/>
        <v>42.71</v>
      </c>
      <c r="J514" s="1612">
        <f t="shared" si="109"/>
        <v>0</v>
      </c>
      <c r="K514" s="2078">
        <f t="shared" ca="1" si="107"/>
        <v>0</v>
      </c>
      <c r="L514" s="1574" t="e">
        <f t="shared" si="110"/>
        <v>#DIV/0!</v>
      </c>
      <c r="M514" s="1975" t="str">
        <f>+Orçamento_Não_Deson!M514</f>
        <v>COMERCIAL</v>
      </c>
      <c r="N514" s="833"/>
      <c r="O514" s="833"/>
      <c r="Q514" s="833"/>
      <c r="R514" s="833"/>
      <c r="S514" s="833"/>
      <c r="T514" s="833"/>
      <c r="U514" s="833"/>
      <c r="V514" s="833"/>
      <c r="W514" s="833"/>
      <c r="X514" s="833"/>
    </row>
    <row r="515" spans="1:24" s="813" customFormat="1" ht="39.950000000000003" hidden="1" customHeight="1" x14ac:dyDescent="0.15">
      <c r="A515" s="2081">
        <f ca="1">+Orçamento_Não_Deson!A515</f>
        <v>6</v>
      </c>
      <c r="B515" s="834">
        <f>+Orçamento_Não_Deson!B515</f>
        <v>96386</v>
      </c>
      <c r="C515" s="2" t="str">
        <f>VLOOKUP($B515,[5]BOLETIM_SEL!$A:$H,2,0)</f>
        <v>SINAPI</v>
      </c>
      <c r="D515" s="315" t="str">
        <f>VLOOKUP($B515,[5]BOLETIM_SEL!$A:$H,4,0)</f>
        <v>Execução e compactação de aterro com solo predominantemente arenoso - exclusive solo, escavação, carga e transporte. AF_11/2019</v>
      </c>
      <c r="E515" s="2">
        <f>+Orçamento_Não_Deson!E515</f>
        <v>0</v>
      </c>
      <c r="F515" s="2" t="str">
        <f>VLOOKUP($B515,[5]BOLETIM_SEL!$A:$H,6,0)</f>
        <v>M3</v>
      </c>
      <c r="G515" s="1407">
        <f>VLOOKUP($B515,[5]BOLETIM_SEL!$A:$H,7,0)</f>
        <v>7.56</v>
      </c>
      <c r="H515" s="1613">
        <f>+Orçamento_Não_Deson!H515</f>
        <v>0</v>
      </c>
      <c r="I515" s="877">
        <f t="shared" si="108"/>
        <v>9.58</v>
      </c>
      <c r="J515" s="1612">
        <f t="shared" si="109"/>
        <v>0</v>
      </c>
      <c r="K515" s="2078">
        <f t="shared" ca="1" si="107"/>
        <v>0</v>
      </c>
      <c r="L515" s="1574" t="e">
        <f t="shared" si="110"/>
        <v>#DIV/0!</v>
      </c>
      <c r="M515" s="1975" t="str">
        <f>+Orçamento_Não_Deson!M515</f>
        <v>ARENOSO</v>
      </c>
      <c r="N515" s="833"/>
      <c r="O515" s="833"/>
      <c r="Q515" s="833"/>
      <c r="R515" s="833"/>
      <c r="S515" s="833"/>
      <c r="T515" s="833"/>
      <c r="U515" s="833"/>
      <c r="V515" s="833"/>
      <c r="W515" s="833"/>
      <c r="X515" s="833"/>
    </row>
    <row r="516" spans="1:24" s="813" customFormat="1" ht="39.950000000000003" hidden="1" customHeight="1" x14ac:dyDescent="0.15">
      <c r="A516" s="2081">
        <f ca="1">+Orçamento_Não_Deson!A516</f>
        <v>6</v>
      </c>
      <c r="B516" s="834">
        <f>+Orçamento_Não_Deson!B516</f>
        <v>94319</v>
      </c>
      <c r="C516" s="2" t="str">
        <f>VLOOKUP($B516,[5]BOLETIM_SEL!$A:$H,2,0)</f>
        <v>SINAPI</v>
      </c>
      <c r="D516" s="315" t="str">
        <f>VLOOKUP($B516,[5]BOLETIM_SEL!$A:$H,4,0)</f>
        <v>Aterro manual de valas com solo argilo-arenoso e compactação mecanizada. AF_05/2016</v>
      </c>
      <c r="E516" s="2">
        <f>+Orçamento_Não_Deson!E516</f>
        <v>0</v>
      </c>
      <c r="F516" s="2" t="str">
        <f>VLOOKUP($B516,[5]BOLETIM_SEL!$A:$H,6,0)</f>
        <v>M3</v>
      </c>
      <c r="G516" s="1407">
        <f>VLOOKUP($B516,[5]BOLETIM_SEL!$A:$H,7,0)</f>
        <v>69.59</v>
      </c>
      <c r="H516" s="1613">
        <f>+Orçamento_Não_Deson!H516</f>
        <v>0</v>
      </c>
      <c r="I516" s="877">
        <f t="shared" si="108"/>
        <v>88.19</v>
      </c>
      <c r="J516" s="1612">
        <f t="shared" si="109"/>
        <v>0</v>
      </c>
      <c r="K516" s="2078">
        <f t="shared" ca="1" si="107"/>
        <v>0</v>
      </c>
      <c r="L516" s="1574" t="e">
        <f t="shared" si="110"/>
        <v>#DIV/0!</v>
      </c>
      <c r="M516" s="1974"/>
      <c r="N516" s="833"/>
      <c r="O516" s="833"/>
      <c r="Q516" s="833"/>
      <c r="R516" s="833"/>
      <c r="S516" s="833"/>
      <c r="T516" s="833"/>
      <c r="U516" s="833"/>
      <c r="V516" s="833"/>
      <c r="W516" s="833"/>
      <c r="X516" s="833"/>
    </row>
    <row r="517" spans="1:24" s="813" customFormat="1" ht="39.950000000000003" hidden="1" customHeight="1" x14ac:dyDescent="0.15">
      <c r="A517" s="2081">
        <f ca="1">+Orçamento_Não_Deson!A517</f>
        <v>6</v>
      </c>
      <c r="B517" s="834" t="str">
        <f>+Orçamento_Não_Deson!B517</f>
        <v>RE/0025</v>
      </c>
      <c r="C517" s="2" t="str">
        <f>VLOOKUP($B517,[5]BOLETIM_SEL!$A:$H,2,0)</f>
        <v>COMPOSIÇÃO</v>
      </c>
      <c r="D517" s="315" t="str">
        <f>VLOOKUP($B517,[5]BOLETIM_SEL!$A:$H,4,0)</f>
        <v>Remoção mecanizada de revestimento betuminoso, com motoniveladora. Exclusive carga e bota-fora (REF. SICRO COD. 4915667)</v>
      </c>
      <c r="E517" s="2">
        <f>+Orçamento_Não_Deson!E517</f>
        <v>0</v>
      </c>
      <c r="F517" s="2" t="str">
        <f>VLOOKUP($B517,[5]BOLETIM_SEL!$A:$H,6,0)</f>
        <v>M3</v>
      </c>
      <c r="G517" s="1407">
        <f>VLOOKUP($B517,[5]BOLETIM_SEL!$A:$H,7,0)</f>
        <v>14.15</v>
      </c>
      <c r="H517" s="1613">
        <f>+Orçamento_Não_Deson!H517</f>
        <v>0</v>
      </c>
      <c r="I517" s="877">
        <f t="shared" si="108"/>
        <v>17.93</v>
      </c>
      <c r="J517" s="1612">
        <f t="shared" si="109"/>
        <v>0</v>
      </c>
      <c r="K517" s="2078">
        <f t="shared" ca="1" si="107"/>
        <v>0</v>
      </c>
      <c r="L517" s="1574" t="e">
        <f t="shared" si="110"/>
        <v>#DIV/0!</v>
      </c>
      <c r="M517" s="1974"/>
      <c r="N517" s="833"/>
      <c r="O517" s="833"/>
      <c r="Q517" s="833"/>
      <c r="R517" s="833"/>
      <c r="S517" s="833"/>
      <c r="T517" s="833"/>
      <c r="U517" s="833"/>
      <c r="V517" s="833"/>
      <c r="W517" s="833"/>
      <c r="X517" s="833"/>
    </row>
    <row r="518" spans="1:24" s="813" customFormat="1" ht="39.950000000000003" hidden="1" customHeight="1" x14ac:dyDescent="0.15">
      <c r="A518" s="2081">
        <f ca="1">+Orçamento_Não_Deson!A518</f>
        <v>6</v>
      </c>
      <c r="B518" s="834" t="str">
        <f>+Orçamento_Não_Deson!B518</f>
        <v>RE/0030</v>
      </c>
      <c r="C518" s="2" t="str">
        <f>VLOOKUP($B518,[5]BOLETIM_SEL!$A:$H,2,0)</f>
        <v>COMPOSIÇÃO</v>
      </c>
      <c r="D518" s="315" t="str">
        <f>VLOOKUP($B518,[5]BOLETIM_SEL!$A:$H,4,0)</f>
        <v>Remoção mecanizada de camada granular do pavimento, com mototoniveladora. Exclusive carga e bota-fora (REF. SICRO COD. 4915669)</v>
      </c>
      <c r="E518" s="2">
        <f>+Orçamento_Não_Deson!E518</f>
        <v>0</v>
      </c>
      <c r="F518" s="2" t="str">
        <f>VLOOKUP($B518,[5]BOLETIM_SEL!$A:$H,6,0)</f>
        <v>M3</v>
      </c>
      <c r="G518" s="1407">
        <f>VLOOKUP($B518,[5]BOLETIM_SEL!$A:$H,7,0)</f>
        <v>13.79</v>
      </c>
      <c r="H518" s="1613">
        <f>+Orçamento_Não_Deson!H518</f>
        <v>0</v>
      </c>
      <c r="I518" s="877">
        <f t="shared" si="108"/>
        <v>17.47</v>
      </c>
      <c r="J518" s="1612">
        <f t="shared" si="109"/>
        <v>0</v>
      </c>
      <c r="K518" s="2078">
        <f t="shared" ca="1" si="107"/>
        <v>0</v>
      </c>
      <c r="L518" s="1574" t="e">
        <f t="shared" si="110"/>
        <v>#DIV/0!</v>
      </c>
      <c r="M518" s="1974"/>
      <c r="N518" s="833"/>
      <c r="O518" s="833"/>
      <c r="Q518" s="833"/>
      <c r="R518" s="833"/>
      <c r="S518" s="833"/>
      <c r="T518" s="833"/>
      <c r="U518" s="833"/>
      <c r="V518" s="833"/>
      <c r="W518" s="833"/>
      <c r="X518" s="833"/>
    </row>
    <row r="519" spans="1:24" s="813" customFormat="1" ht="39.950000000000003" hidden="1" customHeight="1" x14ac:dyDescent="0.15">
      <c r="A519" s="2081">
        <f ca="1">+Orçamento_Não_Deson!A519</f>
        <v>6</v>
      </c>
      <c r="B519" s="834" t="str">
        <f>+Orçamento_Não_Deson!B519</f>
        <v>RE/0035</v>
      </c>
      <c r="C519" s="2" t="str">
        <f>VLOOKUP($B519,[5]BOLETIM_SEL!$A:$H,2,0)</f>
        <v>COMPOSIÇÃO</v>
      </c>
      <c r="D519" s="315" t="str">
        <f>VLOOKUP($B519,[5]BOLETIM_SEL!$A:$H,4,0)</f>
        <v>Recomposição manual de base para pavimentação - execução. Exclusive fornecimento de material e transporte</v>
      </c>
      <c r="E519" s="2">
        <f>+Orçamento_Não_Deson!E519</f>
        <v>0</v>
      </c>
      <c r="F519" s="2" t="str">
        <f>VLOOKUP($B519,[5]BOLETIM_SEL!$A:$H,6,0)</f>
        <v>M3</v>
      </c>
      <c r="G519" s="1407">
        <f>VLOOKUP($B519,[5]BOLETIM_SEL!$A:$H,7,0)</f>
        <v>32.93</v>
      </c>
      <c r="H519" s="1613">
        <f>+Orçamento_Não_Deson!H519</f>
        <v>0</v>
      </c>
      <c r="I519" s="877">
        <f t="shared" si="108"/>
        <v>41.73</v>
      </c>
      <c r="J519" s="1612">
        <f t="shared" si="109"/>
        <v>0</v>
      </c>
      <c r="K519" s="2078">
        <f t="shared" ca="1" si="107"/>
        <v>0</v>
      </c>
      <c r="L519" s="1574" t="e">
        <f t="shared" si="110"/>
        <v>#DIV/0!</v>
      </c>
      <c r="M519" s="1974"/>
      <c r="N519" s="833"/>
      <c r="O519" s="833"/>
      <c r="Q519" s="833"/>
      <c r="R519" s="833"/>
      <c r="S519" s="833"/>
      <c r="T519" s="833"/>
      <c r="U519" s="833"/>
      <c r="V519" s="833"/>
      <c r="W519" s="833"/>
      <c r="X519" s="833"/>
    </row>
    <row r="520" spans="1:24" s="813" customFormat="1" ht="39.950000000000003" hidden="1" customHeight="1" x14ac:dyDescent="0.15">
      <c r="A520" s="2081">
        <f ca="1">+Orçamento_Não_Deson!A520</f>
        <v>6</v>
      </c>
      <c r="B520" s="834">
        <f>+Orçamento_Não_Deson!B520</f>
        <v>100565</v>
      </c>
      <c r="C520" s="2" t="str">
        <f>VLOOKUP($B520,[5]BOLETIM_SEL!$A:$H,2,0)</f>
        <v>SINAPI</v>
      </c>
      <c r="D520" s="315" t="str">
        <f>VLOOKUP($B520,[5]BOLETIM_SEL!$A:$H,4,0)</f>
        <v>Execução e compactação de base e ou sub-base para pavimentação de solo (predominantemente arenoso) brita - 50/50 - exclusive solo, escavação, carga e transporte. AF_11/2019</v>
      </c>
      <c r="E520" s="2">
        <f>+Orçamento_Não_Deson!E520</f>
        <v>0</v>
      </c>
      <c r="F520" s="2" t="str">
        <f>VLOOKUP($B520,[5]BOLETIM_SEL!$A:$H,6,0)</f>
        <v>M3</v>
      </c>
      <c r="G520" s="1407">
        <f>VLOOKUP($B520,[5]BOLETIM_SEL!$A:$H,7,0)</f>
        <v>86.83</v>
      </c>
      <c r="H520" s="1613">
        <f>+Orçamento_Não_Deson!H520</f>
        <v>0</v>
      </c>
      <c r="I520" s="877">
        <f t="shared" si="108"/>
        <v>110.04</v>
      </c>
      <c r="J520" s="1612">
        <f t="shared" si="109"/>
        <v>0</v>
      </c>
      <c r="K520" s="2078">
        <f t="shared" ca="1" si="107"/>
        <v>0</v>
      </c>
      <c r="L520" s="1574" t="e">
        <f t="shared" si="110"/>
        <v>#DIV/0!</v>
      </c>
      <c r="M520" s="1974"/>
      <c r="N520" s="833"/>
      <c r="O520" s="833"/>
      <c r="Q520" s="833"/>
      <c r="R520" s="833"/>
      <c r="S520" s="833"/>
      <c r="T520" s="833"/>
      <c r="U520" s="833"/>
      <c r="V520" s="833"/>
      <c r="W520" s="833"/>
      <c r="X520" s="833"/>
    </row>
    <row r="521" spans="1:24" s="813" customFormat="1" ht="39.950000000000003" hidden="1" customHeight="1" x14ac:dyDescent="0.15">
      <c r="A521" s="2081">
        <f ca="1">+Orçamento_Não_Deson!A521</f>
        <v>6</v>
      </c>
      <c r="B521" s="834" t="str">
        <f>+Orçamento_Não_Deson!B521</f>
        <v>PA/0021</v>
      </c>
      <c r="C521" s="2" t="str">
        <f>VLOOKUP($B521,[5]BOLETIM_SEL!$A:$H,2,0)</f>
        <v>COMPOSIÇÃO</v>
      </c>
      <c r="D521" s="315" t="str">
        <f>VLOOKUP($B521,[5]BOLETIM_SEL!$A:$H,4,0)</f>
        <v>Execução e compactação de base e ou sub-base, estabilizado granulometricamente, sem mistura, com material de jazida. Exclusive fornecimento e transporte (REF. SINAPI COD. 4011219)</v>
      </c>
      <c r="E521" s="2">
        <f>+Orçamento_Não_Deson!E521</f>
        <v>0</v>
      </c>
      <c r="F521" s="2" t="str">
        <f>VLOOKUP($B521,[5]BOLETIM_SEL!$A:$H,6,0)</f>
        <v>M3</v>
      </c>
      <c r="G521" s="1407">
        <f>VLOOKUP($B521,[5]BOLETIM_SEL!$A:$H,7,0)</f>
        <v>17.73</v>
      </c>
      <c r="H521" s="1613">
        <f>+Orçamento_Não_Deson!H521</f>
        <v>0</v>
      </c>
      <c r="I521" s="877">
        <f t="shared" si="108"/>
        <v>22.47</v>
      </c>
      <c r="J521" s="1612">
        <f t="shared" si="109"/>
        <v>0</v>
      </c>
      <c r="K521" s="2078">
        <f t="shared" ca="1" si="107"/>
        <v>0</v>
      </c>
      <c r="L521" s="1574" t="e">
        <f t="shared" si="110"/>
        <v>#DIV/0!</v>
      </c>
      <c r="M521" s="1974"/>
      <c r="N521" s="833"/>
      <c r="O521" s="833"/>
      <c r="Q521" s="833"/>
      <c r="R521" s="833"/>
      <c r="S521" s="833"/>
      <c r="T521" s="833"/>
      <c r="U521" s="833"/>
      <c r="V521" s="833"/>
      <c r="W521" s="833"/>
      <c r="X521" s="833"/>
    </row>
    <row r="522" spans="1:24" s="813" customFormat="1" ht="39.950000000000003" hidden="1" customHeight="1" x14ac:dyDescent="0.15">
      <c r="A522" s="2081">
        <f ca="1">+Orçamento_Não_Deson!A522</f>
        <v>6</v>
      </c>
      <c r="B522" s="834" t="str">
        <f>+Orçamento_Não_Deson!B522</f>
        <v>PA/0020</v>
      </c>
      <c r="C522" s="2" t="str">
        <f>VLOOKUP($B522,[5]BOLETIM_SEL!$A:$H,2,0)</f>
        <v>COMPOSIÇÃO</v>
      </c>
      <c r="D522" s="315" t="str">
        <f>VLOOKUP($B522,[5]BOLETIM_SEL!$A:$H,4,0)</f>
        <v>Execução e compactação de base e ou sub-base com material produto de britagem. Exclusive fornecimento e transporte de materiais (REF. SINAPI COD. 96396)</v>
      </c>
      <c r="E522" s="2">
        <f>+Orçamento_Não_Deson!E522</f>
        <v>0</v>
      </c>
      <c r="F522" s="2" t="str">
        <f>VLOOKUP($B522,[5]BOLETIM_SEL!$A:$H,6,0)</f>
        <v>M3</v>
      </c>
      <c r="G522" s="1407">
        <f>VLOOKUP($B522,[5]BOLETIM_SEL!$A:$H,7,0)</f>
        <v>11.99</v>
      </c>
      <c r="H522" s="1613">
        <f>+Orçamento_Não_Deson!H522</f>
        <v>0</v>
      </c>
      <c r="I522" s="877">
        <f t="shared" si="108"/>
        <v>15.19</v>
      </c>
      <c r="J522" s="1612">
        <f t="shared" si="109"/>
        <v>0</v>
      </c>
      <c r="K522" s="2078">
        <f t="shared" ca="1" si="107"/>
        <v>0</v>
      </c>
      <c r="L522" s="1574" t="e">
        <f t="shared" si="110"/>
        <v>#DIV/0!</v>
      </c>
      <c r="M522" s="1974"/>
      <c r="N522" s="833"/>
      <c r="O522" s="833"/>
      <c r="Q522" s="833"/>
      <c r="R522" s="833"/>
      <c r="S522" s="833"/>
      <c r="T522" s="833"/>
      <c r="U522" s="833"/>
      <c r="V522" s="833"/>
      <c r="W522" s="833"/>
      <c r="X522" s="833"/>
    </row>
    <row r="523" spans="1:24" s="813" customFormat="1" ht="39.950000000000003" hidden="1" customHeight="1" x14ac:dyDescent="0.15">
      <c r="A523" s="2081">
        <f ca="1">+Orçamento_Não_Deson!A523</f>
        <v>6</v>
      </c>
      <c r="B523" s="834" t="str">
        <f>+Orçamento_Não_Deson!B523</f>
        <v>RE/0060</v>
      </c>
      <c r="C523" s="2" t="str">
        <f>VLOOKUP($B523,[5]BOLETIM_SEL!$A:$H,2,0)</f>
        <v>COMPOSIÇÃO</v>
      </c>
      <c r="D523" s="315" t="str">
        <f>VLOOKUP($B523,[5]BOLETIM_SEL!$A:$H,4,0)</f>
        <v>Reciclagem simples com incorporação do revestimento asfáltico à base (REF. SICRO COD. 4011481)</v>
      </c>
      <c r="E523" s="2">
        <f>+Orçamento_Não_Deson!E523</f>
        <v>0</v>
      </c>
      <c r="F523" s="2" t="str">
        <f>VLOOKUP($B523,[5]BOLETIM_SEL!$A:$H,6,0)</f>
        <v>M3</v>
      </c>
      <c r="G523" s="1407">
        <f>VLOOKUP($B523,[5]BOLETIM_SEL!$A:$H,7,0)</f>
        <v>38.1</v>
      </c>
      <c r="H523" s="1613">
        <f>+Orçamento_Não_Deson!H523</f>
        <v>0</v>
      </c>
      <c r="I523" s="877">
        <f t="shared" si="108"/>
        <v>48.28</v>
      </c>
      <c r="J523" s="1612">
        <f t="shared" si="109"/>
        <v>0</v>
      </c>
      <c r="K523" s="2078">
        <f t="shared" ca="1" si="107"/>
        <v>0</v>
      </c>
      <c r="L523" s="1574" t="e">
        <f t="shared" si="110"/>
        <v>#DIV/0!</v>
      </c>
      <c r="M523" s="1974"/>
      <c r="N523" s="833"/>
      <c r="O523" s="833"/>
      <c r="Q523" s="833"/>
      <c r="R523" s="833"/>
      <c r="S523" s="833"/>
      <c r="T523" s="833"/>
      <c r="U523" s="833"/>
      <c r="V523" s="833"/>
      <c r="W523" s="833"/>
      <c r="X523" s="833"/>
    </row>
    <row r="524" spans="1:24" s="813" customFormat="1" ht="39.950000000000003" hidden="1" customHeight="1" x14ac:dyDescent="0.15">
      <c r="A524" s="2081">
        <f ca="1">+Orçamento_Não_Deson!A524</f>
        <v>6</v>
      </c>
      <c r="B524" s="834" t="str">
        <f>+Orçamento_Não_Deson!B524</f>
        <v>RE/0065</v>
      </c>
      <c r="C524" s="2" t="str">
        <f>VLOOKUP($B524,[5]BOLETIM_SEL!$A:$H,2,0)</f>
        <v>COMPOSIÇÃO</v>
      </c>
      <c r="D524" s="315" t="str">
        <f>VLOOKUP($B524,[5]BOLETIM_SEL!$A:$H,4,0)</f>
        <v>Reciclagem com adição de cimento e incorporação do revestimento asfáltico à base. Exclusive fornecimento de cimento (REF. SICRO COD. 4011482)</v>
      </c>
      <c r="E524" s="2">
        <f>+Orçamento_Não_Deson!E524</f>
        <v>0</v>
      </c>
      <c r="F524" s="2" t="str">
        <f>VLOOKUP($B524,[5]BOLETIM_SEL!$A:$H,6,0)</f>
        <v>M3</v>
      </c>
      <c r="G524" s="1407">
        <f>VLOOKUP($B524,[5]BOLETIM_SEL!$A:$H,7,0)</f>
        <v>39.619999999999997</v>
      </c>
      <c r="H524" s="1613">
        <f>+Orçamento_Não_Deson!H524</f>
        <v>0</v>
      </c>
      <c r="I524" s="877">
        <f t="shared" si="108"/>
        <v>50.21</v>
      </c>
      <c r="J524" s="1612">
        <f t="shared" si="109"/>
        <v>0</v>
      </c>
      <c r="K524" s="2078">
        <f t="shared" ca="1" si="107"/>
        <v>0</v>
      </c>
      <c r="L524" s="1574" t="e">
        <f t="shared" si="110"/>
        <v>#DIV/0!</v>
      </c>
      <c r="M524" s="1974"/>
      <c r="N524" s="833"/>
      <c r="O524" s="833"/>
      <c r="Q524" s="833"/>
      <c r="R524" s="833"/>
      <c r="S524" s="833"/>
      <c r="T524" s="833"/>
      <c r="U524" s="833"/>
      <c r="V524" s="833"/>
      <c r="W524" s="833"/>
      <c r="X524" s="833"/>
    </row>
    <row r="525" spans="1:24" s="813" customFormat="1" ht="39.950000000000003" hidden="1" customHeight="1" x14ac:dyDescent="0.15">
      <c r="A525" s="2081">
        <f ca="1">+Orçamento_Não_Deson!A525</f>
        <v>6</v>
      </c>
      <c r="B525" s="834" t="str">
        <f>+Orçamento_Não_Deson!B525</f>
        <v>RE/0070</v>
      </c>
      <c r="C525" s="2" t="str">
        <f>VLOOKUP($B525,[5]BOLETIM_SEL!$A:$H,2,0)</f>
        <v>COMPOSIÇÃO</v>
      </c>
      <c r="D525" s="315" t="str">
        <f>VLOOKUP($B525,[5]BOLETIM_SEL!$A:$H,4,0)</f>
        <v>Reciclagem com adição de brita e incorporação do revestimento asfáltico à base. Exclusive fornecimento de brita (REF. SICRO COD. 4011484)</v>
      </c>
      <c r="E525" s="2">
        <f>+Orçamento_Não_Deson!E525</f>
        <v>0</v>
      </c>
      <c r="F525" s="2" t="str">
        <f>VLOOKUP($B525,[5]BOLETIM_SEL!$A:$H,6,0)</f>
        <v>M3</v>
      </c>
      <c r="G525" s="1407">
        <f>VLOOKUP($B525,[5]BOLETIM_SEL!$A:$H,7,0)</f>
        <v>40.72</v>
      </c>
      <c r="H525" s="1613">
        <f>+Orçamento_Não_Deson!H525</f>
        <v>0</v>
      </c>
      <c r="I525" s="877">
        <f t="shared" si="108"/>
        <v>51.6</v>
      </c>
      <c r="J525" s="1612">
        <f t="shared" si="109"/>
        <v>0</v>
      </c>
      <c r="K525" s="2078">
        <f t="shared" ca="1" si="107"/>
        <v>0</v>
      </c>
      <c r="L525" s="1574" t="e">
        <f t="shared" si="110"/>
        <v>#DIV/0!</v>
      </c>
      <c r="M525" s="1974"/>
      <c r="N525" s="833"/>
      <c r="O525" s="833"/>
      <c r="Q525" s="833"/>
      <c r="R525" s="833"/>
      <c r="S525" s="833"/>
      <c r="T525" s="833"/>
      <c r="U525" s="833"/>
      <c r="V525" s="833"/>
      <c r="W525" s="833"/>
      <c r="X525" s="833"/>
    </row>
    <row r="526" spans="1:24" s="813" customFormat="1" ht="39.950000000000003" hidden="1" customHeight="1" x14ac:dyDescent="0.15">
      <c r="A526" s="2081">
        <f ca="1">+Orçamento_Não_Deson!A526</f>
        <v>6</v>
      </c>
      <c r="B526" s="834">
        <f>+Orçamento_Não_Deson!B526</f>
        <v>96001</v>
      </c>
      <c r="C526" s="2" t="str">
        <f>VLOOKUP($B526,[5]BOLETIM_SEL!$A:$H,2,0)</f>
        <v>SINAPI</v>
      </c>
      <c r="D526" s="315" t="str">
        <f>VLOOKUP($B526,[5]BOLETIM_SEL!$A:$H,4,0)</f>
        <v>Fresagem de pavimento asfáltico (profundidade até 5,0 cm) - exclusive transporte. AF_11/2019</v>
      </c>
      <c r="E526" s="2">
        <f>+Orçamento_Não_Deson!E526</f>
        <v>0</v>
      </c>
      <c r="F526" s="2" t="str">
        <f>VLOOKUP($B526,[5]BOLETIM_SEL!$A:$H,6,0)</f>
        <v>M2</v>
      </c>
      <c r="G526" s="1407">
        <f>VLOOKUP($B526,[5]BOLETIM_SEL!$A:$H,7,0)</f>
        <v>7.18</v>
      </c>
      <c r="H526" s="1613">
        <f>+Orçamento_Não_Deson!H526</f>
        <v>0</v>
      </c>
      <c r="I526" s="877">
        <f t="shared" si="108"/>
        <v>9.09</v>
      </c>
      <c r="J526" s="1612">
        <f t="shared" si="109"/>
        <v>0</v>
      </c>
      <c r="K526" s="2078">
        <f t="shared" ca="1" si="107"/>
        <v>0</v>
      </c>
      <c r="L526" s="1574" t="e">
        <f t="shared" si="110"/>
        <v>#DIV/0!</v>
      </c>
      <c r="M526" s="1974"/>
      <c r="N526" s="833"/>
      <c r="O526" s="833"/>
      <c r="Q526" s="833"/>
      <c r="R526" s="833"/>
      <c r="S526" s="833"/>
      <c r="T526" s="833"/>
      <c r="U526" s="833"/>
      <c r="V526" s="833"/>
      <c r="W526" s="833"/>
      <c r="X526" s="833"/>
    </row>
    <row r="527" spans="1:24" s="813" customFormat="1" ht="39.950000000000003" hidden="1" customHeight="1" x14ac:dyDescent="0.15">
      <c r="A527" s="2081">
        <f ca="1">+Orçamento_Não_Deson!A527</f>
        <v>6</v>
      </c>
      <c r="B527" s="834">
        <f>+Orçamento_Não_Deson!B527</f>
        <v>4743</v>
      </c>
      <c r="C527" s="2" t="str">
        <f>VLOOKUP($B527,[5]BOLETIM_SEL!$A:$H,2,0)</f>
        <v>COTAÇÃO - SINAPI</v>
      </c>
      <c r="D527" s="315" t="str">
        <f>VLOOKUP($B527,[5]BOLETIM_SEL!$A:$H,4,0)</f>
        <v>Cascalho de cava</v>
      </c>
      <c r="E527" s="2" t="str">
        <f>+Orçamento_Não_Deson!E527</f>
        <v>BDI insumo</v>
      </c>
      <c r="F527" s="2" t="str">
        <f>VLOOKUP($B527,[5]BOLETIM_SEL!$A:$H,6,0)</f>
        <v xml:space="preserve">M3    </v>
      </c>
      <c r="G527" s="1407">
        <f>VLOOKUP($B527,[5]BOLETIM_SEL!$A:$H,7,0)</f>
        <v>56.55</v>
      </c>
      <c r="H527" s="1613">
        <f>+Orçamento_Não_Deson!H527</f>
        <v>0</v>
      </c>
      <c r="I527" s="1614">
        <f>TRUNC(G527*(1+$J$6),2)</f>
        <v>65.180000000000007</v>
      </c>
      <c r="J527" s="1612">
        <f t="shared" si="109"/>
        <v>0</v>
      </c>
      <c r="K527" s="2078">
        <f t="shared" ca="1" si="107"/>
        <v>0</v>
      </c>
      <c r="L527" s="1574" t="e">
        <f t="shared" si="110"/>
        <v>#DIV/0!</v>
      </c>
      <c r="M527" s="1974"/>
      <c r="N527" s="833"/>
      <c r="O527" s="833"/>
      <c r="Q527" s="833"/>
      <c r="R527" s="833"/>
      <c r="S527" s="833"/>
      <c r="T527" s="833"/>
      <c r="U527" s="833"/>
      <c r="V527" s="833"/>
      <c r="W527" s="833"/>
      <c r="X527" s="833"/>
    </row>
    <row r="528" spans="1:24" s="813" customFormat="1" ht="39.950000000000003" hidden="1" customHeight="1" x14ac:dyDescent="0.15">
      <c r="A528" s="2081">
        <f ca="1">+Orçamento_Não_Deson!A528</f>
        <v>6</v>
      </c>
      <c r="B528" s="834">
        <f>+Orçamento_Não_Deson!B528</f>
        <v>4748</v>
      </c>
      <c r="C528" s="2" t="str">
        <f>VLOOKUP($B528,[5]BOLETIM_SEL!$A:$H,2,0)</f>
        <v>COTAÇÃO - SINAPI</v>
      </c>
      <c r="D528" s="315" t="str">
        <f>VLOOKUP($B528,[5]BOLETIM_SEL!$A:$H,4,0)</f>
        <v>Pedra britada ou bica corrida, não classificada (posto pedreira/fornecedor, sem frete)</v>
      </c>
      <c r="E528" s="2" t="str">
        <f>+Orçamento_Não_Deson!E528</f>
        <v>BDI insumo</v>
      </c>
      <c r="F528" s="2" t="str">
        <f>VLOOKUP($B528,[5]BOLETIM_SEL!$A:$H,6,0)</f>
        <v xml:space="preserve">M3    </v>
      </c>
      <c r="G528" s="1407">
        <f>VLOOKUP($B528,[5]BOLETIM_SEL!$A:$H,7,0)</f>
        <v>89.58</v>
      </c>
      <c r="H528" s="1613">
        <f>+Orçamento_Não_Deson!H528</f>
        <v>0</v>
      </c>
      <c r="I528" s="1614">
        <f>TRUNC(G528*(1+$J$6),2)</f>
        <v>103.25</v>
      </c>
      <c r="J528" s="1612">
        <f t="shared" si="109"/>
        <v>0</v>
      </c>
      <c r="K528" s="2078">
        <f t="shared" ca="1" si="107"/>
        <v>0</v>
      </c>
      <c r="L528" s="1574" t="e">
        <f t="shared" si="110"/>
        <v>#DIV/0!</v>
      </c>
      <c r="M528" s="1974"/>
      <c r="N528" s="833"/>
      <c r="O528" s="833"/>
      <c r="Q528" s="833"/>
      <c r="R528" s="833"/>
      <c r="S528" s="833"/>
      <c r="T528" s="833"/>
      <c r="U528" s="833"/>
      <c r="V528" s="833"/>
      <c r="W528" s="833"/>
      <c r="X528" s="833"/>
    </row>
    <row r="529" spans="1:24" s="813" customFormat="1" ht="39.950000000000003" hidden="1" customHeight="1" x14ac:dyDescent="0.15">
      <c r="A529" s="2081">
        <f ca="1">+Orçamento_Não_Deson!A529</f>
        <v>6</v>
      </c>
      <c r="B529" s="834">
        <f>+Orçamento_Não_Deson!B529</f>
        <v>4729</v>
      </c>
      <c r="C529" s="2" t="str">
        <f>VLOOKUP($B529,[5]BOLETIM_SEL!$A:$H,2,0)</f>
        <v>COTAÇÃO - SINAPI</v>
      </c>
      <c r="D529" s="315" t="str">
        <f>VLOOKUP($B529,[5]BOLETIM_SEL!$A:$H,4,0)</f>
        <v>Pedra britada graduada, classificada (posto pedreira/fornecedor, sem frete)</v>
      </c>
      <c r="E529" s="2" t="str">
        <f>+Orçamento_Não_Deson!E529</f>
        <v>BDI insumo</v>
      </c>
      <c r="F529" s="2" t="str">
        <f>VLOOKUP($B529,[5]BOLETIM_SEL!$A:$H,6,0)</f>
        <v xml:space="preserve">M3    </v>
      </c>
      <c r="G529" s="1407">
        <f>VLOOKUP($B529,[5]BOLETIM_SEL!$A:$H,7,0)</f>
        <v>97.72</v>
      </c>
      <c r="H529" s="1613">
        <f>+Orçamento_Não_Deson!H529</f>
        <v>0</v>
      </c>
      <c r="I529" s="1614">
        <f>TRUNC(G529*(1+$J$6),2)</f>
        <v>112.64</v>
      </c>
      <c r="J529" s="1612">
        <f t="shared" si="109"/>
        <v>0</v>
      </c>
      <c r="K529" s="2078">
        <f t="shared" ca="1" si="107"/>
        <v>0</v>
      </c>
      <c r="L529" s="1574" t="e">
        <f t="shared" si="110"/>
        <v>#DIV/0!</v>
      </c>
      <c r="M529" s="1974"/>
      <c r="N529" s="833"/>
      <c r="O529" s="833"/>
      <c r="Q529" s="833"/>
      <c r="R529" s="833"/>
      <c r="S529" s="833"/>
      <c r="T529" s="833"/>
      <c r="U529" s="833"/>
      <c r="V529" s="833"/>
      <c r="W529" s="833"/>
      <c r="X529" s="833"/>
    </row>
    <row r="530" spans="1:24" s="813" customFormat="1" ht="39.950000000000003" hidden="1" customHeight="1" x14ac:dyDescent="0.15">
      <c r="A530" s="2081">
        <f ca="1">+Orçamento_Não_Deson!A530</f>
        <v>6</v>
      </c>
      <c r="B530" s="834">
        <f>+Orçamento_Não_Deson!B530</f>
        <v>4721</v>
      </c>
      <c r="C530" s="2" t="str">
        <f>VLOOKUP($B530,[5]BOLETIM_SEL!$A:$H,2,0)</f>
        <v>COTAÇÃO - SINAPI</v>
      </c>
      <c r="D530" s="315" t="str">
        <f>VLOOKUP($B530,[5]BOLETIM_SEL!$A:$H,4,0)</f>
        <v>Pedra britada n. 1 (9,5 A 19 mm) posto pedreira/fornecedor, sem frete</v>
      </c>
      <c r="E530" s="2" t="str">
        <f>+Orçamento_Não_Deson!E530</f>
        <v>BDI insumo</v>
      </c>
      <c r="F530" s="2" t="str">
        <f>VLOOKUP($B530,[5]BOLETIM_SEL!$A:$H,6,0)</f>
        <v xml:space="preserve">M3    </v>
      </c>
      <c r="G530" s="1407">
        <f>VLOOKUP($B530,[5]BOLETIM_SEL!$A:$H,7,0)</f>
        <v>96.99</v>
      </c>
      <c r="H530" s="1613">
        <f>+Orçamento_Não_Deson!H530</f>
        <v>0</v>
      </c>
      <c r="I530" s="1614">
        <f>TRUNC(G530*(1+$J$6),2)</f>
        <v>111.8</v>
      </c>
      <c r="J530" s="1612">
        <f t="shared" si="109"/>
        <v>0</v>
      </c>
      <c r="K530" s="2078">
        <f t="shared" ca="1" si="107"/>
        <v>0</v>
      </c>
      <c r="L530" s="1574" t="e">
        <f t="shared" si="110"/>
        <v>#DIV/0!</v>
      </c>
      <c r="M530" s="1974"/>
      <c r="N530" s="833"/>
      <c r="O530" s="833"/>
      <c r="Q530" s="833"/>
      <c r="R530" s="833"/>
      <c r="S530" s="833"/>
      <c r="T530" s="833"/>
      <c r="U530" s="833"/>
      <c r="V530" s="833"/>
      <c r="W530" s="833"/>
      <c r="X530" s="833"/>
    </row>
    <row r="531" spans="1:24" s="813" customFormat="1" ht="39.950000000000003" hidden="1" customHeight="1" x14ac:dyDescent="0.15">
      <c r="A531" s="2081">
        <f ca="1">+Orçamento_Não_Deson!A531</f>
        <v>6</v>
      </c>
      <c r="B531" s="834">
        <f>+Orçamento_Não_Deson!B531</f>
        <v>1379</v>
      </c>
      <c r="C531" s="2" t="str">
        <f>VLOOKUP($B531,[5]BOLETIM_SEL!$A:$H,2,0)</f>
        <v>COTAÇÃO - SINAPI</v>
      </c>
      <c r="D531" s="315" t="str">
        <f>VLOOKUP($B531,[5]BOLETIM_SEL!$A:$H,4,0)</f>
        <v>Cimento portland composto CP II-32</v>
      </c>
      <c r="E531" s="2" t="str">
        <f>+Orçamento_Não_Deson!E531</f>
        <v>BDI insumo</v>
      </c>
      <c r="F531" s="2" t="str">
        <f>VLOOKUP($B531,[5]BOLETIM_SEL!$A:$H,6,0)</f>
        <v xml:space="preserve">KG    </v>
      </c>
      <c r="G531" s="1407">
        <f>VLOOKUP($B531,[5]BOLETIM_SEL!$A:$H,7,0)</f>
        <v>0.81</v>
      </c>
      <c r="H531" s="1613">
        <f>+Orçamento_Não_Deson!H531</f>
        <v>0</v>
      </c>
      <c r="I531" s="1614">
        <f>TRUNC(G531*(1+$J$6),2)</f>
        <v>0.93</v>
      </c>
      <c r="J531" s="1612">
        <f t="shared" si="109"/>
        <v>0</v>
      </c>
      <c r="K531" s="2078">
        <f t="shared" ca="1" si="107"/>
        <v>0</v>
      </c>
      <c r="L531" s="1574" t="e">
        <f t="shared" si="110"/>
        <v>#DIV/0!</v>
      </c>
      <c r="M531" s="1974"/>
      <c r="N531" s="833"/>
      <c r="O531" s="833"/>
      <c r="Q531" s="833"/>
      <c r="R531" s="833"/>
      <c r="S531" s="833"/>
      <c r="T531" s="833"/>
      <c r="U531" s="833"/>
      <c r="V531" s="833"/>
      <c r="W531" s="833"/>
      <c r="X531" s="833"/>
    </row>
    <row r="532" spans="1:24" s="813" customFormat="1" ht="39.950000000000003" hidden="1" customHeight="1" x14ac:dyDescent="0.15">
      <c r="A532" s="2081">
        <f ca="1">+Orçamento_Não_Deson!A532</f>
        <v>6</v>
      </c>
      <c r="B532" s="834" t="str">
        <f>+Orçamento_Não_Deson!B532</f>
        <v>PA/0025</v>
      </c>
      <c r="C532" s="2" t="str">
        <f>VLOOKUP($B532,[5]BOLETIM_SEL!$A:$H,2,0)</f>
        <v>COMPOSIÇÃO</v>
      </c>
      <c r="D532" s="315" t="str">
        <f>VLOOKUP($B532,[5]BOLETIM_SEL!$A:$H,4,0)</f>
        <v>Imprimação da base, execução e fornecimento de emulsão asfáltica EAI (REF. SINAPI COD. 102470)</v>
      </c>
      <c r="E532" s="2">
        <f>+Orçamento_Não_Deson!E532</f>
        <v>0</v>
      </c>
      <c r="F532" s="2" t="str">
        <f>VLOOKUP($B532,[5]BOLETIM_SEL!$A:$H,6,0)</f>
        <v>M2</v>
      </c>
      <c r="G532" s="1407">
        <f>VLOOKUP($B532,[5]BOLETIM_SEL!$A:$H,7,0)</f>
        <v>5.09</v>
      </c>
      <c r="H532" s="1613">
        <f>+Orçamento_Não_Deson!H532</f>
        <v>0</v>
      </c>
      <c r="I532" s="877">
        <f t="shared" ref="I532:I542" si="111">TRUNC(G532*(1+$J$5),2)</f>
        <v>6.45</v>
      </c>
      <c r="J532" s="1612">
        <f t="shared" si="109"/>
        <v>0</v>
      </c>
      <c r="K532" s="2078">
        <f t="shared" ca="1" si="107"/>
        <v>0</v>
      </c>
      <c r="L532" s="1574" t="e">
        <f t="shared" si="110"/>
        <v>#DIV/0!</v>
      </c>
      <c r="M532" s="1975" t="str">
        <f>+Orçamento_Não_Deson!M532</f>
        <v>EAI</v>
      </c>
      <c r="N532" s="833"/>
      <c r="O532" s="833"/>
      <c r="Q532" s="833"/>
      <c r="R532" s="833"/>
      <c r="S532" s="833"/>
      <c r="T532" s="833"/>
      <c r="U532" s="833"/>
      <c r="V532" s="833"/>
      <c r="W532" s="833"/>
      <c r="X532" s="833"/>
    </row>
    <row r="533" spans="1:24" s="813" customFormat="1" ht="39.950000000000003" hidden="1" customHeight="1" x14ac:dyDescent="0.15">
      <c r="A533" s="2081">
        <f ca="1">+Orçamento_Não_Deson!A533</f>
        <v>6</v>
      </c>
      <c r="B533" s="834" t="str">
        <f>+Orçamento_Não_Deson!B533</f>
        <v>PA/0023</v>
      </c>
      <c r="C533" s="2" t="str">
        <f>VLOOKUP($B533,[5]BOLETIM_SEL!$A:$H,2,0)</f>
        <v>COMPOSIÇÃO</v>
      </c>
      <c r="D533" s="315" t="str">
        <f>VLOOKUP($B533,[5]BOLETIM_SEL!$A:$H,4,0)</f>
        <v>Pintura de ligação, execução e fornecimento de emulsão asfáltica RR-1C (ref SINAPI cód 104375)</v>
      </c>
      <c r="E533" s="2">
        <f>+Orçamento_Não_Deson!E533</f>
        <v>0</v>
      </c>
      <c r="F533" s="2" t="str">
        <f>VLOOKUP($B533,[5]BOLETIM_SEL!$A:$H,6,0)</f>
        <v>M2</v>
      </c>
      <c r="G533" s="1407">
        <f>VLOOKUP($B533,[5]BOLETIM_SEL!$A:$H,7,0)</f>
        <v>2.4300000000000002</v>
      </c>
      <c r="H533" s="1613">
        <f>+Orçamento_Não_Deson!H533</f>
        <v>0</v>
      </c>
      <c r="I533" s="877">
        <f t="shared" si="111"/>
        <v>3.07</v>
      </c>
      <c r="J533" s="1612">
        <f t="shared" si="109"/>
        <v>0</v>
      </c>
      <c r="K533" s="2078">
        <f t="shared" ca="1" si="107"/>
        <v>0</v>
      </c>
      <c r="L533" s="1574" t="e">
        <f t="shared" si="110"/>
        <v>#DIV/0!</v>
      </c>
      <c r="M533" s="1974"/>
      <c r="N533" s="833"/>
      <c r="O533" s="833"/>
      <c r="Q533" s="833"/>
      <c r="R533" s="833"/>
      <c r="S533" s="833"/>
      <c r="T533" s="833"/>
      <c r="U533" s="833"/>
      <c r="V533" s="833"/>
      <c r="W533" s="833"/>
      <c r="X533" s="833"/>
    </row>
    <row r="534" spans="1:24" s="813" customFormat="1" ht="39.950000000000003" hidden="1" customHeight="1" x14ac:dyDescent="0.15">
      <c r="A534" s="2081">
        <f ca="1">+Orçamento_Não_Deson!A534</f>
        <v>6</v>
      </c>
      <c r="B534" s="834" t="str">
        <f>+Orçamento_Não_Deson!B534</f>
        <v>RE/0050</v>
      </c>
      <c r="C534" s="2" t="str">
        <f>VLOOKUP($B534,[5]BOLETIM_SEL!$A:$H,2,0)</f>
        <v>COMPOSIÇÃO</v>
      </c>
      <c r="D534" s="315" t="str">
        <f>VLOOKUP($B534,[5]BOLETIM_SEL!$A:$H,4,0)</f>
        <v>CBUQ (usina comercial) - aplicação manual em fechamento de vala e remendos. Incluindo fornecimento dos materiais e compactação com rolo tandem compacto. Exclusive transporte. Ref BP 09.05.0500 RIO SCO</v>
      </c>
      <c r="E534" s="2">
        <f>+Orçamento_Não_Deson!E534</f>
        <v>0</v>
      </c>
      <c r="F534" s="2" t="str">
        <f>VLOOKUP($B534,[5]BOLETIM_SEL!$A:$H,6,0)</f>
        <v>M3</v>
      </c>
      <c r="G534" s="1407">
        <f>VLOOKUP($B534,[5]BOLETIM_SEL!$A:$H,7,0)</f>
        <v>1516.18</v>
      </c>
      <c r="H534" s="1613">
        <f>+Orçamento_Não_Deson!H534</f>
        <v>0</v>
      </c>
      <c r="I534" s="877">
        <f t="shared" si="111"/>
        <v>1921.6</v>
      </c>
      <c r="J534" s="1612">
        <f t="shared" si="109"/>
        <v>0</v>
      </c>
      <c r="K534" s="2078">
        <f t="shared" ca="1" si="107"/>
        <v>0</v>
      </c>
      <c r="L534" s="1574" t="e">
        <f t="shared" si="110"/>
        <v>#DIV/0!</v>
      </c>
      <c r="M534" s="1975" t="str">
        <f>+Orçamento_Não_Deson!M534</f>
        <v>COMERCIAL</v>
      </c>
      <c r="N534" s="833"/>
      <c r="O534" s="833"/>
      <c r="Q534" s="833"/>
      <c r="R534" s="833"/>
      <c r="S534" s="833"/>
      <c r="T534" s="833"/>
      <c r="U534" s="833"/>
      <c r="V534" s="833"/>
      <c r="W534" s="833"/>
      <c r="X534" s="833"/>
    </row>
    <row r="535" spans="1:24" s="813" customFormat="1" ht="39.950000000000003" hidden="1" customHeight="1" x14ac:dyDescent="0.15">
      <c r="A535" s="2081">
        <f ca="1">+Orçamento_Não_Deson!A535</f>
        <v>6</v>
      </c>
      <c r="B535" s="834" t="str">
        <f>+Orçamento_Não_Deson!B535</f>
        <v>RE/0055</v>
      </c>
      <c r="C535" s="2" t="str">
        <f>VLOOKUP($B535,[5]BOLETIM_SEL!$A:$H,2,0)</f>
        <v>COMPOSIÇÃO</v>
      </c>
      <c r="D535" s="315" t="str">
        <f>VLOOKUP($B535,[5]BOLETIM_SEL!$A:$H,4,0)</f>
        <v>CBUQ (usina comercial) - aplicação com motoniveladora (reperfilamento). Incluindo fornecimento de materiais. Exclusive transporte</v>
      </c>
      <c r="E535" s="2">
        <f>+Orçamento_Não_Deson!E535</f>
        <v>0</v>
      </c>
      <c r="F535" s="2" t="str">
        <f>VLOOKUP($B535,[5]BOLETIM_SEL!$A:$H,6,0)</f>
        <v>M3</v>
      </c>
      <c r="G535" s="1407">
        <f>VLOOKUP($B535,[5]BOLETIM_SEL!$A:$H,7,0)</f>
        <v>1542.55</v>
      </c>
      <c r="H535" s="1613">
        <f>+Orçamento_Não_Deson!H535</f>
        <v>0</v>
      </c>
      <c r="I535" s="877">
        <f t="shared" si="111"/>
        <v>1955.02</v>
      </c>
      <c r="J535" s="1612">
        <f t="shared" si="109"/>
        <v>0</v>
      </c>
      <c r="K535" s="2078">
        <f t="shared" ca="1" si="107"/>
        <v>0</v>
      </c>
      <c r="L535" s="1574" t="e">
        <f t="shared" si="110"/>
        <v>#DIV/0!</v>
      </c>
      <c r="M535" s="1975" t="str">
        <f>+Orçamento_Não_Deson!M535</f>
        <v>COMERCIAL</v>
      </c>
      <c r="N535" s="833"/>
      <c r="O535" s="833"/>
      <c r="Q535" s="833"/>
      <c r="R535" s="833"/>
      <c r="S535" s="833"/>
      <c r="T535" s="833"/>
      <c r="U535" s="833"/>
      <c r="V535" s="833"/>
      <c r="W535" s="833"/>
      <c r="X535" s="833"/>
    </row>
    <row r="536" spans="1:24" s="813" customFormat="1" ht="39.950000000000003" hidden="1" customHeight="1" x14ac:dyDescent="0.15">
      <c r="A536" s="2081">
        <f ca="1">+Orçamento_Não_Deson!A536</f>
        <v>6</v>
      </c>
      <c r="B536" s="834" t="str">
        <f>+Orçamento_Não_Deson!B536</f>
        <v>PA/0040</v>
      </c>
      <c r="C536" s="2" t="str">
        <f>VLOOKUP($B536,[5]BOLETIM_SEL!$A:$H,2,0)</f>
        <v>COMPOSIÇÃO</v>
      </c>
      <c r="D536" s="315" t="str">
        <f>VLOOKUP($B536,[5]BOLETIM_SEL!$A:$H,4,0)</f>
        <v>Construção de pavimento com aplicação de concreto betuminoso usinado à quente (CBUQ - faixa C - CAP 30/45 - usina comercial), camada de rolamento, exclusive transporte da mistura (REF. SINAPI COD. 95995)</v>
      </c>
      <c r="E536" s="2">
        <f>+Orçamento_Não_Deson!E536</f>
        <v>0</v>
      </c>
      <c r="F536" s="2" t="str">
        <f>VLOOKUP($B536,[5]BOLETIM_SEL!$A:$H,6,0)</f>
        <v>M3</v>
      </c>
      <c r="G536" s="1407">
        <f>VLOOKUP($B536,[5]BOLETIM_SEL!$A:$H,7,0)</f>
        <v>1586.06</v>
      </c>
      <c r="H536" s="1613">
        <f>+Orçamento_Não_Deson!H536</f>
        <v>0</v>
      </c>
      <c r="I536" s="877">
        <f t="shared" si="111"/>
        <v>2010.17</v>
      </c>
      <c r="J536" s="1612">
        <f t="shared" si="109"/>
        <v>0</v>
      </c>
      <c r="K536" s="2078">
        <f t="shared" ca="1" si="107"/>
        <v>0</v>
      </c>
      <c r="L536" s="1574" t="e">
        <f t="shared" si="110"/>
        <v>#DIV/0!</v>
      </c>
      <c r="M536" s="1975" t="str">
        <f>+Orçamento_Não_Deson!M536</f>
        <v>COMERCIAL 30/45</v>
      </c>
      <c r="N536" s="833"/>
      <c r="O536" s="833"/>
      <c r="Q536" s="833"/>
      <c r="R536" s="833"/>
      <c r="S536" s="833"/>
      <c r="T536" s="833"/>
      <c r="U536" s="833"/>
      <c r="V536" s="833"/>
      <c r="W536" s="833"/>
      <c r="X536" s="833"/>
    </row>
    <row r="537" spans="1:24" s="813" customFormat="1" ht="39.950000000000003" hidden="1" customHeight="1" x14ac:dyDescent="0.15">
      <c r="A537" s="2081">
        <f ca="1">+Orçamento_Não_Deson!A537</f>
        <v>6</v>
      </c>
      <c r="B537" s="834" t="str">
        <f>+Orçamento_Não_Deson!B537</f>
        <v>RE/0040</v>
      </c>
      <c r="C537" s="2" t="str">
        <f>VLOOKUP($B537,[5]BOLETIM_SEL!$A:$H,2,0)</f>
        <v>COMPOSIÇÃO</v>
      </c>
      <c r="D537" s="315" t="str">
        <f>VLOOKUP($B537,[5]BOLETIM_SEL!$A:$H,4,0)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537" s="2">
        <f>+Orçamento_Não_Deson!E537</f>
        <v>0</v>
      </c>
      <c r="F537" s="2" t="str">
        <f>VLOOKUP($B537,[5]BOLETIM_SEL!$A:$H,6,0)</f>
        <v>M3</v>
      </c>
      <c r="G537" s="1407">
        <f>VLOOKUP($B537,[5]BOLETIM_SEL!$A:$H,7,0)</f>
        <v>994</v>
      </c>
      <c r="H537" s="1613">
        <f>+Orçamento_Não_Deson!H537</f>
        <v>0</v>
      </c>
      <c r="I537" s="877">
        <f t="shared" si="111"/>
        <v>1259.79</v>
      </c>
      <c r="J537" s="1612">
        <f t="shared" si="109"/>
        <v>0</v>
      </c>
      <c r="K537" s="2078">
        <f t="shared" ca="1" si="107"/>
        <v>0</v>
      </c>
      <c r="L537" s="1574" t="e">
        <f t="shared" si="110"/>
        <v>#DIV/0!</v>
      </c>
      <c r="M537" s="1974"/>
      <c r="N537" s="833"/>
      <c r="O537" s="833"/>
      <c r="Q537" s="833"/>
      <c r="R537" s="833"/>
      <c r="S537" s="833"/>
      <c r="T537" s="833"/>
      <c r="U537" s="833"/>
      <c r="V537" s="833"/>
      <c r="W537" s="833"/>
      <c r="X537" s="833"/>
    </row>
    <row r="538" spans="1:24" s="813" customFormat="1" ht="39.950000000000003" hidden="1" customHeight="1" x14ac:dyDescent="0.15">
      <c r="A538" s="2081">
        <f ca="1">+Orçamento_Não_Deson!A538</f>
        <v>6</v>
      </c>
      <c r="B538" s="834" t="str">
        <f>+Orçamento_Não_Deson!B538</f>
        <v>RE/0045</v>
      </c>
      <c r="C538" s="2" t="str">
        <f>VLOOKUP($B538,[5]BOLETIM_SEL!$A:$H,2,0)</f>
        <v>COMPOSIÇÃO</v>
      </c>
      <c r="D538" s="315" t="str">
        <f>VLOOKUP($B538,[5]BOLETIM_SEL!$A:$H,4,0)</f>
        <v>Execução de pré-misturado a frio - PMF, faixa C (semidenso), com emulsão asfáltica RL-1C, aplicação com motoniveladora (reperfilamento). Incluindo fornecimento de materiais. Exclusive transporte</v>
      </c>
      <c r="E538" s="2">
        <f>+Orçamento_Não_Deson!E538</f>
        <v>0</v>
      </c>
      <c r="F538" s="2" t="str">
        <f>VLOOKUP($B538,[5]BOLETIM_SEL!$A:$H,6,0)</f>
        <v>M3</v>
      </c>
      <c r="G538" s="1407">
        <f>VLOOKUP($B538,[5]BOLETIM_SEL!$A:$H,7,0)</f>
        <v>1017.88</v>
      </c>
      <c r="H538" s="1613">
        <f>+Orçamento_Não_Deson!H538</f>
        <v>0</v>
      </c>
      <c r="I538" s="877">
        <f t="shared" si="111"/>
        <v>1290.06</v>
      </c>
      <c r="J538" s="1612">
        <f t="shared" si="109"/>
        <v>0</v>
      </c>
      <c r="K538" s="2078">
        <f t="shared" ca="1" si="107"/>
        <v>0</v>
      </c>
      <c r="L538" s="1574" t="e">
        <f t="shared" si="110"/>
        <v>#DIV/0!</v>
      </c>
      <c r="M538" s="1974"/>
      <c r="N538" s="833"/>
      <c r="O538" s="833"/>
      <c r="Q538" s="833"/>
      <c r="R538" s="833"/>
      <c r="S538" s="833"/>
      <c r="T538" s="833"/>
      <c r="U538" s="833"/>
      <c r="V538" s="833"/>
      <c r="W538" s="833"/>
      <c r="X538" s="833"/>
    </row>
    <row r="539" spans="1:24" s="813" customFormat="1" ht="39.950000000000003" hidden="1" customHeight="1" x14ac:dyDescent="0.15">
      <c r="A539" s="2081">
        <f ca="1">+Orçamento_Não_Deson!A539</f>
        <v>6</v>
      </c>
      <c r="B539" s="834" t="str">
        <f>+Orçamento_Não_Deson!B539</f>
        <v>PA/0055</v>
      </c>
      <c r="C539" s="2" t="str">
        <f>VLOOKUP($B539,[5]BOLETIM_SEL!$A:$H,2,0)</f>
        <v>COMPOSIÇÃO</v>
      </c>
      <c r="D539" s="315" t="str">
        <f>VLOOKUP($B539,[5]BOLETIM_SEL!$A:$H,4,0)</f>
        <v>Execução de pré-misturado a frio - PMF, faixa C (semidenso), com emulsão asfáltica RL-1C, para revestimento, aplicação com vibroacabadora. Exclusive transporte</v>
      </c>
      <c r="E539" s="2">
        <f>+Orçamento_Não_Deson!E539</f>
        <v>0</v>
      </c>
      <c r="F539" s="2" t="str">
        <f>VLOOKUP($B539,[5]BOLETIM_SEL!$A:$H,6,0)</f>
        <v>M3</v>
      </c>
      <c r="G539" s="1407"/>
      <c r="H539" s="1613">
        <f>+Orçamento_Não_Deson!H539</f>
        <v>0</v>
      </c>
      <c r="I539" s="2189">
        <f t="shared" si="111"/>
        <v>0</v>
      </c>
      <c r="J539" s="2190">
        <f t="shared" si="109"/>
        <v>0</v>
      </c>
      <c r="K539" s="2191">
        <f t="shared" ca="1" si="107"/>
        <v>0</v>
      </c>
      <c r="L539" s="2470" t="e">
        <f t="shared" si="110"/>
        <v>#DIV/0!</v>
      </c>
      <c r="M539" s="1974"/>
      <c r="N539" s="833"/>
      <c r="O539" s="833"/>
      <c r="Q539" s="833"/>
      <c r="R539" s="833"/>
      <c r="S539" s="833"/>
      <c r="T539" s="833"/>
      <c r="U539" s="833"/>
      <c r="V539" s="833"/>
      <c r="W539" s="833"/>
      <c r="X539" s="833"/>
    </row>
    <row r="540" spans="1:24" s="813" customFormat="1" ht="39.950000000000003" hidden="1" customHeight="1" x14ac:dyDescent="0.15">
      <c r="A540" s="2081">
        <f ca="1">+Orçamento_Não_Deson!A540</f>
        <v>6</v>
      </c>
      <c r="B540" s="834">
        <f>+Orçamento_Não_Deson!B540</f>
        <v>100978</v>
      </c>
      <c r="C540" s="2" t="str">
        <f>VLOOKUP($B540,[5]BOLETIM_SEL!$A:$H,2,0)</f>
        <v>SINAPI</v>
      </c>
      <c r="D540" s="315" t="str">
        <f>VLOOKUP($B540,[5]BOLETIM_SEL!$A:$H,4,0)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540" s="2">
        <f>+Orçamento_Não_Deson!E540</f>
        <v>0</v>
      </c>
      <c r="F540" s="2" t="str">
        <f>VLOOKUP($B540,[5]BOLETIM_SEL!$A:$H,6,0)</f>
        <v>M3</v>
      </c>
      <c r="G540" s="1407">
        <f>VLOOKUP($B540,[5]BOLETIM_SEL!$A:$H,7,0)</f>
        <v>6.04</v>
      </c>
      <c r="H540" s="1613">
        <f>+Orçamento_Não_Deson!H540</f>
        <v>0</v>
      </c>
      <c r="I540" s="877">
        <f t="shared" si="111"/>
        <v>7.65</v>
      </c>
      <c r="J540" s="1612">
        <f t="shared" si="109"/>
        <v>0</v>
      </c>
      <c r="K540" s="2078">
        <f t="shared" ca="1" si="107"/>
        <v>0</v>
      </c>
      <c r="L540" s="1574" t="e">
        <f t="shared" si="110"/>
        <v>#DIV/0!</v>
      </c>
      <c r="M540" s="1975" t="str">
        <f>+Orçamento_Não_Deson!M540</f>
        <v>ESCAVADEIRA</v>
      </c>
      <c r="N540" s="833"/>
      <c r="O540" s="833"/>
      <c r="Q540" s="833"/>
      <c r="R540" s="833"/>
      <c r="S540" s="833"/>
      <c r="T540" s="833"/>
      <c r="U540" s="833"/>
      <c r="V540" s="833"/>
      <c r="W540" s="833"/>
      <c r="X540" s="833"/>
    </row>
    <row r="541" spans="1:24" s="813" customFormat="1" ht="39.950000000000003" hidden="1" customHeight="1" x14ac:dyDescent="0.15">
      <c r="A541" s="2081">
        <f ca="1">+Orçamento_Não_Deson!A541</f>
        <v>6</v>
      </c>
      <c r="B541" s="834">
        <f>+Orçamento_Não_Deson!B541</f>
        <v>100979</v>
      </c>
      <c r="C541" s="2" t="str">
        <f>VLOOKUP($B541,[5]BOLETIM_SEL!$A:$H,2,0)</f>
        <v>SINAPI</v>
      </c>
      <c r="D541" s="315" t="str">
        <f>VLOOKUP($B541,[5]BOLETIM_SEL!$A:$H,4,0)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541" s="2">
        <f>+Orçamento_Não_Deson!E541</f>
        <v>0</v>
      </c>
      <c r="F541" s="2" t="str">
        <f>VLOOKUP($B541,[5]BOLETIM_SEL!$A:$H,6,0)</f>
        <v>M3</v>
      </c>
      <c r="G541" s="1407">
        <f>VLOOKUP($B541,[5]BOLETIM_SEL!$A:$H,7,0)</f>
        <v>5.91</v>
      </c>
      <c r="H541" s="1613">
        <f>+Orçamento_Não_Deson!H541</f>
        <v>0</v>
      </c>
      <c r="I541" s="877">
        <f t="shared" si="111"/>
        <v>7.49</v>
      </c>
      <c r="J541" s="1612">
        <f t="shared" si="109"/>
        <v>0</v>
      </c>
      <c r="K541" s="2078">
        <f t="shared" ca="1" si="107"/>
        <v>0</v>
      </c>
      <c r="L541" s="1574" t="e">
        <f t="shared" si="110"/>
        <v>#DIV/0!</v>
      </c>
      <c r="M541" s="1975" t="str">
        <f>+Orçamento_Não_Deson!M541</f>
        <v>ESCAVADEIRA</v>
      </c>
      <c r="N541" s="833"/>
      <c r="O541" s="833"/>
      <c r="Q541" s="833"/>
      <c r="R541" s="833"/>
      <c r="S541" s="833"/>
      <c r="T541" s="833"/>
      <c r="U541" s="833"/>
      <c r="V541" s="833"/>
      <c r="W541" s="833"/>
      <c r="X541" s="833"/>
    </row>
    <row r="542" spans="1:24" s="813" customFormat="1" ht="39.950000000000003" hidden="1" customHeight="1" x14ac:dyDescent="0.15">
      <c r="A542" s="2081">
        <f ca="1">+Orçamento_Não_Deson!A542</f>
        <v>6</v>
      </c>
      <c r="B542" s="834" t="str">
        <f>+Orçamento_Não_Deson!B542</f>
        <v>ST/0070</v>
      </c>
      <c r="C542" s="2" t="str">
        <f>VLOOKUP($B542,[5]BOLETIM_SEL!$A:$H,2,0)</f>
        <v>COMPOSIÇÃO</v>
      </c>
      <c r="D542" s="315" t="str">
        <f>VLOOKUP($B542,[5]BOLETIM_SEL!$A:$H,4,0)</f>
        <v>Carga, manobra e descarga de materiais diversos em caminhão carroceria - carga e descaga manuais (REF. SICRO COD. 5915474)</v>
      </c>
      <c r="E542" s="2">
        <f>+Orçamento_Não_Deson!E542</f>
        <v>0</v>
      </c>
      <c r="F542" s="2" t="str">
        <f>VLOOKUP($B542,[5]BOLETIM_SEL!$A:$H,6,0)</f>
        <v>T</v>
      </c>
      <c r="G542" s="1407">
        <f>VLOOKUP($B542,[5]BOLETIM_SEL!$A:$H,7,0)</f>
        <v>27.36</v>
      </c>
      <c r="H542" s="1613">
        <f>+Orçamento_Não_Deson!H542</f>
        <v>0</v>
      </c>
      <c r="I542" s="877">
        <f t="shared" si="111"/>
        <v>34.67</v>
      </c>
      <c r="J542" s="1612">
        <f t="shared" si="109"/>
        <v>0</v>
      </c>
      <c r="K542" s="2078">
        <f t="shared" ca="1" si="107"/>
        <v>0</v>
      </c>
      <c r="L542" s="1574" t="e">
        <f t="shared" si="110"/>
        <v>#DIV/0!</v>
      </c>
      <c r="M542" s="1974" t="str">
        <f>+Orçamento_Não_Deson!M542</f>
        <v>Cimento</v>
      </c>
      <c r="N542" s="833"/>
      <c r="O542" s="833"/>
      <c r="Q542" s="833"/>
      <c r="R542" s="833"/>
      <c r="S542" s="833"/>
      <c r="T542" s="833"/>
      <c r="U542" s="833"/>
      <c r="V542" s="833"/>
      <c r="W542" s="833"/>
      <c r="X542" s="833"/>
    </row>
    <row r="543" spans="1:24" s="813" customFormat="1" ht="39.950000000000003" hidden="1" customHeight="1" x14ac:dyDescent="0.15">
      <c r="A543" s="2081"/>
      <c r="B543" s="834"/>
      <c r="C543" s="2"/>
      <c r="D543" s="1452" t="s">
        <v>1803</v>
      </c>
      <c r="E543" s="2"/>
      <c r="F543" s="2"/>
      <c r="G543" s="1407"/>
      <c r="H543" s="2"/>
      <c r="I543" s="2"/>
      <c r="J543" s="839" t="str">
        <f>IF(J544=0,"-","")</f>
        <v>-</v>
      </c>
      <c r="K543" s="2078"/>
      <c r="L543" s="1574"/>
      <c r="M543" s="1974"/>
      <c r="N543" s="833"/>
      <c r="O543" s="833"/>
      <c r="Q543" s="833"/>
      <c r="R543" s="833"/>
      <c r="S543" s="833"/>
      <c r="T543" s="833"/>
      <c r="U543" s="833"/>
      <c r="V543" s="833"/>
      <c r="W543" s="833"/>
      <c r="X543" s="833"/>
    </row>
    <row r="544" spans="1:24" s="813" customFormat="1" ht="39.950000000000003" hidden="1" customHeight="1" x14ac:dyDescent="0.15">
      <c r="A544" s="2081">
        <f ca="1">+Orçamento_Não_Deson!A544</f>
        <v>6</v>
      </c>
      <c r="B544" s="834">
        <f>+Orçamento_Não_Deson!B544</f>
        <v>95875</v>
      </c>
      <c r="C544" s="2" t="str">
        <f>VLOOKUP($B544,[5]BOLETIM_SEL!$A:$H,2,0)</f>
        <v>SINAPI</v>
      </c>
      <c r="D544" s="315" t="str">
        <f>VLOOKUP($B544,[5]BOLETIM_SEL!$A:$H,4,0)</f>
        <v>Transporte com caminhão basculante de 10 m3, em via urbana pavimentada, DMT até 30,00 km (unidade: m3xkm). AF_07/2020</v>
      </c>
      <c r="E544" s="2">
        <f>+Orçamento_Não_Deson!E544</f>
        <v>4</v>
      </c>
      <c r="F544" s="2" t="str">
        <f>VLOOKUP($B544,[5]BOLETIM_SEL!$A:$H,6,0)</f>
        <v>M3XKM</v>
      </c>
      <c r="G544" s="1407">
        <f>VLOOKUP($B544,[5]BOLETIM_SEL!$A:$H,7,0)</f>
        <v>2.15</v>
      </c>
      <c r="H544" s="1613">
        <f>+Orçamento_Não_Deson!H544</f>
        <v>0</v>
      </c>
      <c r="I544" s="877">
        <f>TRUNC(G544*(1+$J$5),2)</f>
        <v>2.72</v>
      </c>
      <c r="J544" s="1612">
        <f t="shared" si="109"/>
        <v>0</v>
      </c>
      <c r="K544" s="2078">
        <f ca="1">J544/J$967</f>
        <v>0</v>
      </c>
      <c r="L544" s="1574" t="e">
        <f t="shared" si="110"/>
        <v>#DIV/0!</v>
      </c>
      <c r="M544" s="1976">
        <f>+Orçamento_Não_Deson!M544</f>
        <v>0</v>
      </c>
      <c r="N544" s="833"/>
      <c r="O544" s="833"/>
      <c r="Q544" s="833"/>
      <c r="R544" s="833"/>
      <c r="S544" s="833"/>
      <c r="T544" s="833"/>
      <c r="U544" s="833"/>
      <c r="V544" s="833"/>
      <c r="W544" s="833"/>
      <c r="X544" s="833"/>
    </row>
    <row r="545" spans="1:24" s="813" customFormat="1" ht="39.950000000000003" hidden="1" customHeight="1" x14ac:dyDescent="0.15">
      <c r="A545" s="2081"/>
      <c r="B545" s="834"/>
      <c r="C545" s="2"/>
      <c r="D545" s="1452" t="s">
        <v>1795</v>
      </c>
      <c r="E545" s="2"/>
      <c r="F545" s="2"/>
      <c r="G545" s="1407"/>
      <c r="H545" s="2"/>
      <c r="I545" s="2"/>
      <c r="J545" s="839" t="str">
        <f>IF(J546=0,"-","")</f>
        <v>-</v>
      </c>
      <c r="K545" s="2078"/>
      <c r="L545" s="1574"/>
      <c r="M545" s="1974" t="str">
        <f>+Orçamento_Não_Deson!M545</f>
        <v>Definir depósito reciclável: 2, 3 ou 4</v>
      </c>
      <c r="N545" s="833"/>
      <c r="O545" s="833"/>
      <c r="Q545" s="833"/>
      <c r="R545" s="833"/>
      <c r="S545" s="833"/>
      <c r="T545" s="833"/>
      <c r="U545" s="833"/>
      <c r="V545" s="833"/>
      <c r="W545" s="833"/>
      <c r="X545" s="833"/>
    </row>
    <row r="546" spans="1:24" s="813" customFormat="1" ht="39.950000000000003" hidden="1" customHeight="1" x14ac:dyDescent="0.15">
      <c r="A546" s="2081">
        <f ca="1">+Orçamento_Não_Deson!A546</f>
        <v>6</v>
      </c>
      <c r="B546" s="834">
        <f>+Orçamento_Não_Deson!B546</f>
        <v>95878</v>
      </c>
      <c r="C546" s="2" t="str">
        <f>VLOOKUP($B546,[5]BOLETIM_SEL!$A:$H,2,0)</f>
        <v>SINAPI</v>
      </c>
      <c r="D546" s="315" t="str">
        <f>VLOOKUP($B546,[5]BOLETIM_SEL!$A:$H,4,0)</f>
        <v>Transporte com caminhão basculante de 10 m3, em via urbana pavimentada, DMT até 30,00 km (unidade: txkm). AF_07/2020</v>
      </c>
      <c r="E546" s="2">
        <f>+Orçamento_Não_Deson!E546</f>
        <v>0</v>
      </c>
      <c r="F546" s="2" t="str">
        <f>VLOOKUP($B546,[5]BOLETIM_SEL!$A:$H,6,0)</f>
        <v>TXKM</v>
      </c>
      <c r="G546" s="1407">
        <f>VLOOKUP($B546,[5]BOLETIM_SEL!$A:$H,7,0)</f>
        <v>1.44</v>
      </c>
      <c r="H546" s="1613">
        <f>+Orçamento_Não_Deson!H546</f>
        <v>0</v>
      </c>
      <c r="I546" s="877">
        <f>TRUNC(G546*(1+$J$5),2)</f>
        <v>1.82</v>
      </c>
      <c r="J546" s="1612">
        <f>TRUNC(H546*I546,2)</f>
        <v>0</v>
      </c>
      <c r="K546" s="2078">
        <f ca="1">J546/J$967</f>
        <v>0</v>
      </c>
      <c r="L546" s="1574" t="e">
        <f t="shared" si="110"/>
        <v>#DIV/0!</v>
      </c>
      <c r="M546" s="1983">
        <f>+Orçamento_Não_Deson!M546</f>
        <v>0</v>
      </c>
      <c r="N546" s="833"/>
      <c r="O546" s="833"/>
      <c r="Q546" s="833"/>
      <c r="R546" s="833"/>
      <c r="S546" s="833"/>
      <c r="T546" s="833"/>
      <c r="U546" s="833"/>
      <c r="V546" s="833"/>
      <c r="W546" s="833"/>
      <c r="X546" s="833"/>
    </row>
    <row r="547" spans="1:24" s="813" customFormat="1" ht="39.950000000000003" hidden="1" customHeight="1" x14ac:dyDescent="0.15">
      <c r="A547" s="2081"/>
      <c r="B547" s="834"/>
      <c r="C547" s="2"/>
      <c r="D547" s="1452" t="s">
        <v>1816</v>
      </c>
      <c r="E547" s="2"/>
      <c r="F547" s="2"/>
      <c r="G547" s="1407"/>
      <c r="H547" s="2"/>
      <c r="I547" s="2"/>
      <c r="J547" s="839" t="str">
        <f>IF(J548=0,"-","")</f>
        <v>-</v>
      </c>
      <c r="K547" s="2078"/>
      <c r="L547" s="1574"/>
      <c r="M547" s="1974"/>
      <c r="N547" s="833"/>
      <c r="O547" s="833"/>
      <c r="Q547" s="833"/>
      <c r="R547" s="833"/>
      <c r="S547" s="833"/>
      <c r="T547" s="833"/>
      <c r="U547" s="833"/>
      <c r="V547" s="833"/>
      <c r="W547" s="833"/>
      <c r="X547" s="833"/>
    </row>
    <row r="548" spans="1:24" s="813" customFormat="1" ht="39.950000000000003" hidden="1" customHeight="1" x14ac:dyDescent="0.15">
      <c r="A548" s="2081">
        <f ca="1">+Orçamento_Não_Deson!A548</f>
        <v>6</v>
      </c>
      <c r="B548" s="834">
        <f>+Orçamento_Não_Deson!B548</f>
        <v>95875</v>
      </c>
      <c r="C548" s="2" t="str">
        <f>VLOOKUP($B548,[5]BOLETIM_SEL!$A:$H,2,0)</f>
        <v>SINAPI</v>
      </c>
      <c r="D548" s="315" t="str">
        <f>VLOOKUP($B548,[5]BOLETIM_SEL!$A:$H,4,0)</f>
        <v>Transporte com caminhão basculante de 10 m3, em via urbana pavimentada, DMT até 30,00 km (unidade: m3xkm). AF_07/2020</v>
      </c>
      <c r="E548" s="2">
        <f>+Orçamento_Não_Deson!E548</f>
        <v>4</v>
      </c>
      <c r="F548" s="2" t="str">
        <f>VLOOKUP($B548,[5]BOLETIM_SEL!$A:$H,6,0)</f>
        <v>M3XKM</v>
      </c>
      <c r="G548" s="1407">
        <f>VLOOKUP($B548,[5]BOLETIM_SEL!$A:$H,7,0)</f>
        <v>2.15</v>
      </c>
      <c r="H548" s="1613">
        <f>+Orçamento_Não_Deson!H548</f>
        <v>0</v>
      </c>
      <c r="I548" s="877">
        <f>TRUNC(G548*(1+$J$5),2)</f>
        <v>2.72</v>
      </c>
      <c r="J548" s="1612">
        <f t="shared" si="109"/>
        <v>0</v>
      </c>
      <c r="K548" s="2078">
        <f ca="1">J548/J$967</f>
        <v>0</v>
      </c>
      <c r="L548" s="1574" t="e">
        <f t="shared" si="110"/>
        <v>#DIV/0!</v>
      </c>
      <c r="M548" s="1974"/>
      <c r="N548" s="833"/>
      <c r="O548" s="833"/>
      <c r="Q548" s="833"/>
      <c r="R548" s="833"/>
      <c r="S548" s="833"/>
      <c r="T548" s="833"/>
      <c r="U548" s="833"/>
      <c r="V548" s="833"/>
      <c r="W548" s="833"/>
      <c r="X548" s="833"/>
    </row>
    <row r="549" spans="1:24" s="813" customFormat="1" ht="39.950000000000003" hidden="1" customHeight="1" x14ac:dyDescent="0.15">
      <c r="A549" s="2081"/>
      <c r="B549" s="834"/>
      <c r="C549" s="2"/>
      <c r="D549" s="1452" t="s">
        <v>1895</v>
      </c>
      <c r="E549" s="2"/>
      <c r="F549" s="2"/>
      <c r="G549" s="1407"/>
      <c r="H549" s="2"/>
      <c r="I549" s="2"/>
      <c r="J549" s="839" t="str">
        <f>IF(J550=0,"-","")</f>
        <v>-</v>
      </c>
      <c r="K549" s="2078"/>
      <c r="L549" s="1574"/>
      <c r="M549" s="1974"/>
      <c r="N549" s="833"/>
      <c r="O549" s="833"/>
      <c r="Q549" s="833"/>
      <c r="R549" s="833"/>
      <c r="S549" s="833"/>
      <c r="T549" s="833"/>
      <c r="U549" s="833"/>
      <c r="V549" s="833"/>
      <c r="W549" s="833"/>
      <c r="X549" s="833"/>
    </row>
    <row r="550" spans="1:24" s="813" customFormat="1" ht="39.950000000000003" hidden="1" customHeight="1" x14ac:dyDescent="0.15">
      <c r="A550" s="2081">
        <f ca="1">+Orçamento_Não_Deson!A550</f>
        <v>6</v>
      </c>
      <c r="B550" s="834">
        <f>+Orçamento_Não_Deson!B550</f>
        <v>95875</v>
      </c>
      <c r="C550" s="2" t="str">
        <f>VLOOKUP($B550,[5]BOLETIM_SEL!$A:$H,2,0)</f>
        <v>SINAPI</v>
      </c>
      <c r="D550" s="315" t="str">
        <f>VLOOKUP($B550,[5]BOLETIM_SEL!$A:$H,4,0)</f>
        <v>Transporte com caminhão basculante de 10 m3, em via urbana pavimentada, DMT até 30,00 km (unidade: m3xkm). AF_07/2020</v>
      </c>
      <c r="E550" s="2">
        <f>+Orçamento_Não_Deson!E550</f>
        <v>0</v>
      </c>
      <c r="F550" s="2" t="str">
        <f>VLOOKUP($B550,[5]BOLETIM_SEL!$A:$H,6,0)</f>
        <v>M3XKM</v>
      </c>
      <c r="G550" s="1407">
        <f>VLOOKUP($B550,[5]BOLETIM_SEL!$A:$H,7,0)</f>
        <v>2.15</v>
      </c>
      <c r="H550" s="1613">
        <f>+Orçamento_Não_Deson!H550</f>
        <v>0</v>
      </c>
      <c r="I550" s="877">
        <f>TRUNC(G550*(1+$J$5),2)</f>
        <v>2.72</v>
      </c>
      <c r="J550" s="1612">
        <f t="shared" si="109"/>
        <v>0</v>
      </c>
      <c r="K550" s="2078">
        <f ca="1">J550/J$967</f>
        <v>0</v>
      </c>
      <c r="L550" s="1574" t="e">
        <f t="shared" si="110"/>
        <v>#DIV/0!</v>
      </c>
      <c r="M550" s="1976">
        <f>+Orçamento_Não_Deson!M550</f>
        <v>0</v>
      </c>
      <c r="N550" s="833"/>
      <c r="O550" s="833"/>
      <c r="Q550" s="833"/>
      <c r="R550" s="833"/>
      <c r="S550" s="833"/>
      <c r="T550" s="833"/>
      <c r="U550" s="833"/>
      <c r="V550" s="833"/>
      <c r="W550" s="833"/>
      <c r="X550" s="833"/>
    </row>
    <row r="551" spans="1:24" s="813" customFormat="1" ht="39.950000000000003" hidden="1" customHeight="1" x14ac:dyDescent="0.15">
      <c r="A551" s="2081"/>
      <c r="B551" s="834"/>
      <c r="C551" s="2"/>
      <c r="D551" s="1452" t="s">
        <v>2190</v>
      </c>
      <c r="E551" s="2"/>
      <c r="F551" s="2"/>
      <c r="G551" s="1407"/>
      <c r="H551" s="2"/>
      <c r="I551" s="2"/>
      <c r="J551" s="839" t="str">
        <f>IF(J552=0,"-","")</f>
        <v>-</v>
      </c>
      <c r="K551" s="2078"/>
      <c r="L551" s="1574"/>
      <c r="M551" s="1974"/>
      <c r="N551" s="833"/>
      <c r="O551" s="833"/>
      <c r="Q551" s="833"/>
      <c r="R551" s="833"/>
      <c r="S551" s="833"/>
      <c r="T551" s="833"/>
      <c r="U551" s="833"/>
      <c r="V551" s="833"/>
      <c r="W551" s="833"/>
      <c r="X551" s="833"/>
    </row>
    <row r="552" spans="1:24" s="813" customFormat="1" ht="39.950000000000003" hidden="1" customHeight="1" x14ac:dyDescent="0.15">
      <c r="A552" s="2081">
        <f ca="1">+Orçamento_Não_Deson!A552</f>
        <v>6</v>
      </c>
      <c r="B552" s="834">
        <f>+Orçamento_Não_Deson!B552</f>
        <v>93590</v>
      </c>
      <c r="C552" s="2" t="str">
        <f>VLOOKUP($B552,[5]BOLETIM_SEL!$A:$H,2,0)</f>
        <v>SINAPI</v>
      </c>
      <c r="D552" s="315" t="str">
        <f>VLOOKUP($B552,[5]BOLETIM_SEL!$A:$H,4,0)</f>
        <v>Transporte com caminhão basculante de 10 m3, em via urbana pavimentada, adicional para DMT excedente a 30,00 km (unidade: m3xkm). AF_07/2020</v>
      </c>
      <c r="E552" s="2">
        <f>+Orçamento_Não_Deson!E552</f>
        <v>109</v>
      </c>
      <c r="F552" s="2" t="str">
        <f>VLOOKUP($B552,[5]BOLETIM_SEL!$A:$H,6,0)</f>
        <v>M3XKM</v>
      </c>
      <c r="G552" s="1407">
        <f>VLOOKUP($B552,[5]BOLETIM_SEL!$A:$H,7,0)</f>
        <v>0.85</v>
      </c>
      <c r="H552" s="1613">
        <f>+Orçamento_Não_Deson!H552</f>
        <v>0</v>
      </c>
      <c r="I552" s="877">
        <f>TRUNC(G552*(1+$J$5),2)</f>
        <v>1.07</v>
      </c>
      <c r="J552" s="1612">
        <f t="shared" si="109"/>
        <v>0</v>
      </c>
      <c r="K552" s="2078">
        <f ca="1">J552/J$967</f>
        <v>0</v>
      </c>
      <c r="L552" s="1574" t="e">
        <f t="shared" si="110"/>
        <v>#DIV/0!</v>
      </c>
      <c r="M552" s="1974"/>
      <c r="N552" s="833"/>
      <c r="O552" s="833"/>
      <c r="Q552" s="833"/>
      <c r="R552" s="833"/>
      <c r="S552" s="833"/>
      <c r="T552" s="833"/>
      <c r="U552" s="833"/>
      <c r="V552" s="833"/>
      <c r="W552" s="833"/>
      <c r="X552" s="833"/>
    </row>
    <row r="553" spans="1:24" s="813" customFormat="1" ht="39.950000000000003" hidden="1" customHeight="1" x14ac:dyDescent="0.15">
      <c r="A553" s="2081"/>
      <c r="B553" s="834"/>
      <c r="C553" s="2"/>
      <c r="D553" s="1452" t="s">
        <v>1896</v>
      </c>
      <c r="E553" s="2"/>
      <c r="F553" s="2"/>
      <c r="G553" s="1407"/>
      <c r="H553" s="2"/>
      <c r="I553" s="2"/>
      <c r="J553" s="839" t="str">
        <f>IF(J554=0,"-","")</f>
        <v>-</v>
      </c>
      <c r="K553" s="2078"/>
      <c r="L553" s="1574"/>
      <c r="M553" s="1974"/>
      <c r="N553" s="833"/>
      <c r="O553" s="833"/>
      <c r="Q553" s="833"/>
      <c r="R553" s="833"/>
      <c r="S553" s="833"/>
      <c r="T553" s="833"/>
      <c r="U553" s="833"/>
      <c r="V553" s="833"/>
      <c r="W553" s="833"/>
      <c r="X553" s="833"/>
    </row>
    <row r="554" spans="1:24" s="813" customFormat="1" ht="39.950000000000003" hidden="1" customHeight="1" x14ac:dyDescent="0.15">
      <c r="A554" s="2081">
        <f ca="1">+Orçamento_Não_Deson!A554</f>
        <v>6</v>
      </c>
      <c r="B554" s="834">
        <f>+Orçamento_Não_Deson!B554</f>
        <v>93590</v>
      </c>
      <c r="C554" s="2" t="str">
        <f>VLOOKUP($B554,[5]BOLETIM_SEL!$A:$H,2,0)</f>
        <v>SINAPI</v>
      </c>
      <c r="D554" s="315" t="str">
        <f>VLOOKUP($B554,[5]BOLETIM_SEL!$A:$H,4,0)</f>
        <v>Transporte com caminhão basculante de 10 m3, em via urbana pavimentada, adicional para DMT excedente a 30,00 km (unidade: m3xkm). AF_07/2020</v>
      </c>
      <c r="E554" s="2">
        <f>+Orçamento_Não_Deson!E554</f>
        <v>109</v>
      </c>
      <c r="F554" s="2" t="str">
        <f>VLOOKUP($B554,[5]BOLETIM_SEL!$A:$H,6,0)</f>
        <v>M3XKM</v>
      </c>
      <c r="G554" s="1407">
        <f>VLOOKUP($B554,[5]BOLETIM_SEL!$A:$H,7,0)</f>
        <v>0.85</v>
      </c>
      <c r="H554" s="1613">
        <f>+Orçamento_Não_Deson!H554</f>
        <v>0</v>
      </c>
      <c r="I554" s="877">
        <f>TRUNC(G554*(1+$J$5),2)</f>
        <v>1.07</v>
      </c>
      <c r="J554" s="1612">
        <f t="shared" si="109"/>
        <v>0</v>
      </c>
      <c r="K554" s="2078">
        <f ca="1">J554/J$967</f>
        <v>0</v>
      </c>
      <c r="L554" s="1574" t="e">
        <f t="shared" si="110"/>
        <v>#DIV/0!</v>
      </c>
      <c r="M554" s="1976">
        <f>+Orçamento_Não_Deson!M554</f>
        <v>0</v>
      </c>
      <c r="N554" s="833"/>
      <c r="O554" s="833"/>
      <c r="Q554" s="833"/>
      <c r="R554" s="833"/>
      <c r="S554" s="833"/>
      <c r="T554" s="833"/>
      <c r="U554" s="833"/>
      <c r="V554" s="833"/>
      <c r="W554" s="833"/>
      <c r="X554" s="833"/>
    </row>
    <row r="555" spans="1:24" s="813" customFormat="1" ht="39.950000000000003" hidden="1" customHeight="1" x14ac:dyDescent="0.15">
      <c r="A555" s="2081"/>
      <c r="B555" s="834"/>
      <c r="C555" s="2"/>
      <c r="D555" s="1452" t="s">
        <v>1897</v>
      </c>
      <c r="E555" s="2"/>
      <c r="F555" s="2"/>
      <c r="G555" s="1407"/>
      <c r="H555" s="2"/>
      <c r="I555" s="2"/>
      <c r="J555" s="839" t="str">
        <f>IF(J556=0,"-","")</f>
        <v>-</v>
      </c>
      <c r="K555" s="2078"/>
      <c r="L555" s="1574"/>
      <c r="M555" s="1974"/>
      <c r="N555" s="833"/>
      <c r="O555" s="833"/>
      <c r="Q555" s="833"/>
      <c r="R555" s="833"/>
      <c r="S555" s="833"/>
      <c r="T555" s="833"/>
      <c r="U555" s="833"/>
      <c r="V555" s="833"/>
      <c r="W555" s="833"/>
      <c r="X555" s="833"/>
    </row>
    <row r="556" spans="1:24" s="813" customFormat="1" ht="39.950000000000003" hidden="1" customHeight="1" x14ac:dyDescent="0.15">
      <c r="A556" s="2081">
        <f ca="1">+Orçamento_Não_Deson!A556</f>
        <v>6</v>
      </c>
      <c r="B556" s="834">
        <f>+Orçamento_Não_Deson!B556</f>
        <v>93590</v>
      </c>
      <c r="C556" s="2" t="str">
        <f>VLOOKUP($B556,[5]BOLETIM_SEL!$A:$H,2,0)</f>
        <v>SINAPI</v>
      </c>
      <c r="D556" s="315" t="str">
        <f>VLOOKUP($B556,[5]BOLETIM_SEL!$A:$H,4,0)</f>
        <v>Transporte com caminhão basculante de 10 m3, em via urbana pavimentada, adicional para DMT excedente a 30,00 km (unidade: m3xkm). AF_07/2020</v>
      </c>
      <c r="E556" s="2">
        <f>+Orçamento_Não_Deson!E556</f>
        <v>109</v>
      </c>
      <c r="F556" s="2" t="str">
        <f>VLOOKUP($B556,[5]BOLETIM_SEL!$A:$H,6,0)</f>
        <v>M3XKM</v>
      </c>
      <c r="G556" s="1407">
        <f>VLOOKUP($B556,[5]BOLETIM_SEL!$A:$H,7,0)</f>
        <v>0.85</v>
      </c>
      <c r="H556" s="1613">
        <f>+Orçamento_Não_Deson!H556</f>
        <v>0</v>
      </c>
      <c r="I556" s="877">
        <f>TRUNC(G556*(1+$J$5),2)</f>
        <v>1.07</v>
      </c>
      <c r="J556" s="1612">
        <f t="shared" si="109"/>
        <v>0</v>
      </c>
      <c r="K556" s="2078">
        <f ca="1">J556/J$967</f>
        <v>0</v>
      </c>
      <c r="L556" s="1574" t="e">
        <f t="shared" si="110"/>
        <v>#DIV/0!</v>
      </c>
      <c r="M556" s="1976">
        <f>+Orçamento_Não_Deson!M556</f>
        <v>0</v>
      </c>
      <c r="N556" s="833"/>
      <c r="O556" s="833"/>
      <c r="Q556" s="833"/>
      <c r="R556" s="833"/>
      <c r="S556" s="833"/>
      <c r="T556" s="833"/>
      <c r="U556" s="833"/>
      <c r="V556" s="833"/>
      <c r="W556" s="833"/>
      <c r="X556" s="833"/>
    </row>
    <row r="557" spans="1:24" s="813" customFormat="1" ht="39.950000000000003" hidden="1" customHeight="1" x14ac:dyDescent="0.15">
      <c r="A557" s="2081"/>
      <c r="B557" s="834"/>
      <c r="C557" s="2"/>
      <c r="D557" s="1452" t="s">
        <v>1902</v>
      </c>
      <c r="E557" s="2"/>
      <c r="F557" s="2"/>
      <c r="G557" s="1407"/>
      <c r="H557" s="2"/>
      <c r="I557" s="2"/>
      <c r="J557" s="839" t="str">
        <f>IF(J558=0,"-","")</f>
        <v>-</v>
      </c>
      <c r="K557" s="2078"/>
      <c r="L557" s="1574"/>
      <c r="M557" s="1974"/>
      <c r="N557" s="833"/>
      <c r="O557" s="833"/>
      <c r="Q557" s="833"/>
      <c r="R557" s="833"/>
      <c r="S557" s="833"/>
      <c r="T557" s="833"/>
      <c r="U557" s="833"/>
      <c r="V557" s="833"/>
      <c r="W557" s="833"/>
      <c r="X557" s="833"/>
    </row>
    <row r="558" spans="1:24" s="813" customFormat="1" ht="39.950000000000003" hidden="1" customHeight="1" x14ac:dyDescent="0.15">
      <c r="A558" s="2081">
        <f ca="1">+Orçamento_Não_Deson!A558</f>
        <v>6</v>
      </c>
      <c r="B558" s="834">
        <f>+Orçamento_Não_Deson!B558</f>
        <v>95875</v>
      </c>
      <c r="C558" s="2" t="str">
        <f>VLOOKUP($B558,[5]BOLETIM_SEL!$A:$H,2,0)</f>
        <v>SINAPI</v>
      </c>
      <c r="D558" s="315" t="str">
        <f>VLOOKUP($B558,[5]BOLETIM_SEL!$A:$H,4,0)</f>
        <v>Transporte com caminhão basculante de 10 m3, em via urbana pavimentada, DMT até 30,00 km (unidade: m3xkm). AF_07/2020</v>
      </c>
      <c r="E558" s="2">
        <f>+Orçamento_Não_Deson!E558</f>
        <v>0</v>
      </c>
      <c r="F558" s="2" t="str">
        <f>VLOOKUP($B558,[5]BOLETIM_SEL!$A:$H,6,0)</f>
        <v>M3XKM</v>
      </c>
      <c r="G558" s="1407">
        <f>VLOOKUP($B558,[5]BOLETIM_SEL!$A:$H,7,0)</f>
        <v>2.15</v>
      </c>
      <c r="H558" s="1613">
        <f>+Orçamento_Não_Deson!H558</f>
        <v>0</v>
      </c>
      <c r="I558" s="877">
        <f>TRUNC(G558*(1+$J$5),2)</f>
        <v>2.72</v>
      </c>
      <c r="J558" s="1612">
        <f t="shared" si="109"/>
        <v>0</v>
      </c>
      <c r="K558" s="2078">
        <f ca="1">J558/J$967</f>
        <v>0</v>
      </c>
      <c r="L558" s="1574" t="e">
        <f t="shared" si="110"/>
        <v>#DIV/0!</v>
      </c>
      <c r="M558" s="1976">
        <f>+Orçamento_Não_Deson!M558</f>
        <v>0</v>
      </c>
      <c r="N558" s="833"/>
      <c r="O558" s="833"/>
      <c r="Q558" s="833"/>
      <c r="R558" s="833"/>
      <c r="S558" s="833"/>
      <c r="T558" s="833"/>
      <c r="U558" s="833"/>
      <c r="V558" s="833"/>
      <c r="W558" s="833"/>
      <c r="X558" s="833"/>
    </row>
    <row r="559" spans="1:24" s="813" customFormat="1" ht="39.950000000000003" hidden="1" customHeight="1" x14ac:dyDescent="0.15">
      <c r="A559" s="2081"/>
      <c r="B559" s="834"/>
      <c r="C559" s="2"/>
      <c r="D559" s="1452" t="s">
        <v>1901</v>
      </c>
      <c r="E559" s="2"/>
      <c r="F559" s="2"/>
      <c r="G559" s="1407"/>
      <c r="H559" s="2"/>
      <c r="I559" s="2"/>
      <c r="J559" s="839" t="str">
        <f>IF(J560=0,"-","")</f>
        <v>-</v>
      </c>
      <c r="K559" s="2078"/>
      <c r="L559" s="1574"/>
      <c r="M559" s="1974"/>
      <c r="N559" s="833"/>
      <c r="O559" s="833"/>
      <c r="Q559" s="833"/>
      <c r="R559" s="833"/>
      <c r="S559" s="833"/>
      <c r="T559" s="833"/>
      <c r="U559" s="833"/>
      <c r="V559" s="833"/>
      <c r="W559" s="833"/>
      <c r="X559" s="833"/>
    </row>
    <row r="560" spans="1:24" s="813" customFormat="1" ht="39.950000000000003" hidden="1" customHeight="1" x14ac:dyDescent="0.15">
      <c r="A560" s="2081">
        <f ca="1">+Orçamento_Não_Deson!A560</f>
        <v>6</v>
      </c>
      <c r="B560" s="834">
        <f>+Orçamento_Não_Deson!B560</f>
        <v>95875</v>
      </c>
      <c r="C560" s="2" t="str">
        <f>VLOOKUP($B560,[5]BOLETIM_SEL!$A:$H,2,0)</f>
        <v>SINAPI</v>
      </c>
      <c r="D560" s="315" t="str">
        <f>VLOOKUP($B560,[5]BOLETIM_SEL!$A:$H,4,0)</f>
        <v>Transporte com caminhão basculante de 10 m3, em via urbana pavimentada, DMT até 30,00 km (unidade: m3xkm). AF_07/2020</v>
      </c>
      <c r="E560" s="2">
        <f>+Orçamento_Não_Deson!E560</f>
        <v>0</v>
      </c>
      <c r="F560" s="2" t="str">
        <f>VLOOKUP($B560,[5]BOLETIM_SEL!$A:$H,6,0)</f>
        <v>M3XKM</v>
      </c>
      <c r="G560" s="1407">
        <f>VLOOKUP($B560,[5]BOLETIM_SEL!$A:$H,7,0)</f>
        <v>2.15</v>
      </c>
      <c r="H560" s="1613">
        <f>+Orçamento_Não_Deson!H560</f>
        <v>0</v>
      </c>
      <c r="I560" s="877">
        <f>TRUNC(G560*(1+$J$5),2)</f>
        <v>2.72</v>
      </c>
      <c r="J560" s="1612">
        <f t="shared" si="109"/>
        <v>0</v>
      </c>
      <c r="K560" s="2078">
        <f ca="1">J560/J$967</f>
        <v>0</v>
      </c>
      <c r="L560" s="1574" t="e">
        <f t="shared" si="110"/>
        <v>#DIV/0!</v>
      </c>
      <c r="M560" s="1976">
        <f>+Orçamento_Não_Deson!M560</f>
        <v>0</v>
      </c>
      <c r="N560" s="833"/>
      <c r="O560" s="833"/>
      <c r="Q560" s="833"/>
      <c r="R560" s="833"/>
      <c r="S560" s="833"/>
      <c r="T560" s="833"/>
      <c r="U560" s="833"/>
      <c r="V560" s="833"/>
      <c r="W560" s="833"/>
      <c r="X560" s="833"/>
    </row>
    <row r="561" spans="1:24" s="813" customFormat="1" ht="39.950000000000003" hidden="1" customHeight="1" x14ac:dyDescent="0.15">
      <c r="A561" s="2081"/>
      <c r="B561" s="834"/>
      <c r="C561" s="2"/>
      <c r="D561" s="1452" t="s">
        <v>1904</v>
      </c>
      <c r="E561" s="2"/>
      <c r="F561" s="2"/>
      <c r="G561" s="1407"/>
      <c r="H561" s="2"/>
      <c r="I561" s="2"/>
      <c r="J561" s="839" t="str">
        <f>IF(J562=0,"-","")</f>
        <v>-</v>
      </c>
      <c r="K561" s="2078"/>
      <c r="L561" s="1574"/>
      <c r="M561" s="1974"/>
      <c r="N561" s="833"/>
      <c r="O561" s="833"/>
      <c r="Q561" s="833"/>
      <c r="R561" s="833"/>
      <c r="S561" s="833"/>
      <c r="T561" s="833"/>
      <c r="U561" s="833"/>
      <c r="V561" s="833"/>
      <c r="W561" s="833"/>
      <c r="X561" s="833"/>
    </row>
    <row r="562" spans="1:24" s="813" customFormat="1" ht="39.950000000000003" hidden="1" customHeight="1" x14ac:dyDescent="0.15">
      <c r="A562" s="2081">
        <f ca="1">+Orçamento_Não_Deson!A562</f>
        <v>6</v>
      </c>
      <c r="B562" s="834">
        <f>+Orçamento_Não_Deson!B562</f>
        <v>93590</v>
      </c>
      <c r="C562" s="2" t="str">
        <f>VLOOKUP($B562,[5]BOLETIM_SEL!$A:$H,2,0)</f>
        <v>SINAPI</v>
      </c>
      <c r="D562" s="315" t="str">
        <f>VLOOKUP($B562,[5]BOLETIM_SEL!$A:$H,4,0)</f>
        <v>Transporte com caminhão basculante de 10 m3, em via urbana pavimentada, adicional para DMT excedente a 30,00 km (unidade: m3xkm). AF_07/2020</v>
      </c>
      <c r="E562" s="2">
        <f>+Orçamento_Não_Deson!E562</f>
        <v>109</v>
      </c>
      <c r="F562" s="2" t="str">
        <f>VLOOKUP($B562,[5]BOLETIM_SEL!$A:$H,6,0)</f>
        <v>M3XKM</v>
      </c>
      <c r="G562" s="1407">
        <f>VLOOKUP($B562,[5]BOLETIM_SEL!$A:$H,7,0)</f>
        <v>0.85</v>
      </c>
      <c r="H562" s="1613">
        <f>+Orçamento_Não_Deson!H562</f>
        <v>0</v>
      </c>
      <c r="I562" s="877">
        <f>TRUNC(G562*(1+$J$5),2)</f>
        <v>1.07</v>
      </c>
      <c r="J562" s="1612">
        <f t="shared" si="109"/>
        <v>0</v>
      </c>
      <c r="K562" s="2078">
        <f ca="1">J562/J$967</f>
        <v>0</v>
      </c>
      <c r="L562" s="1574" t="e">
        <f t="shared" si="110"/>
        <v>#DIV/0!</v>
      </c>
      <c r="M562" s="1976">
        <f>+Orçamento_Não_Deson!M562</f>
        <v>0</v>
      </c>
      <c r="N562" s="833"/>
      <c r="O562" s="833"/>
      <c r="Q562" s="833"/>
      <c r="R562" s="833"/>
      <c r="S562" s="833"/>
      <c r="T562" s="833"/>
      <c r="U562" s="833"/>
      <c r="V562" s="833"/>
      <c r="W562" s="833"/>
      <c r="X562" s="833"/>
    </row>
    <row r="563" spans="1:24" s="813" customFormat="1" ht="39.950000000000003" hidden="1" customHeight="1" x14ac:dyDescent="0.15">
      <c r="A563" s="2081"/>
      <c r="B563" s="834"/>
      <c r="C563" s="2"/>
      <c r="D563" s="1452" t="s">
        <v>1764</v>
      </c>
      <c r="E563" s="2"/>
      <c r="F563" s="2"/>
      <c r="G563" s="1407"/>
      <c r="H563" s="2"/>
      <c r="I563" s="2"/>
      <c r="J563" s="839" t="str">
        <f>IF(J564=0,"-","")</f>
        <v>-</v>
      </c>
      <c r="K563" s="2078"/>
      <c r="L563" s="1574"/>
      <c r="M563" s="1974"/>
      <c r="N563" s="833"/>
      <c r="O563" s="833"/>
      <c r="Q563" s="833"/>
      <c r="R563" s="833"/>
      <c r="S563" s="833"/>
      <c r="T563" s="833"/>
      <c r="U563" s="833"/>
      <c r="V563" s="833"/>
      <c r="W563" s="833"/>
      <c r="X563" s="833"/>
    </row>
    <row r="564" spans="1:24" s="813" customFormat="1" ht="39.950000000000003" hidden="1" customHeight="1" x14ac:dyDescent="0.15">
      <c r="A564" s="2081">
        <f ca="1">+Orçamento_Não_Deson!A564</f>
        <v>6</v>
      </c>
      <c r="B564" s="834">
        <f>+Orçamento_Não_Deson!B564</f>
        <v>95875</v>
      </c>
      <c r="C564" s="2" t="str">
        <f>VLOOKUP($B564,[5]BOLETIM_SEL!$A:$H,2,0)</f>
        <v>SINAPI</v>
      </c>
      <c r="D564" s="315" t="str">
        <f>VLOOKUP($B564,[5]BOLETIM_SEL!$A:$H,4,0)</f>
        <v>Transporte com caminhão basculante de 10 m3, em via urbana pavimentada, DMT até 30,00 km (unidade: m3xkm). AF_07/2020</v>
      </c>
      <c r="E564" s="2">
        <f>+Orçamento_Não_Deson!E564</f>
        <v>0</v>
      </c>
      <c r="F564" s="2" t="str">
        <f>VLOOKUP($B564,[5]BOLETIM_SEL!$A:$H,6,0)</f>
        <v>M3XKM</v>
      </c>
      <c r="G564" s="1407">
        <f>VLOOKUP($B564,[5]BOLETIM_SEL!$A:$H,7,0)</f>
        <v>2.15</v>
      </c>
      <c r="H564" s="1613">
        <f>+Orçamento_Não_Deson!H564</f>
        <v>0</v>
      </c>
      <c r="I564" s="877">
        <f>TRUNC(G564*(1+$J$5),2)</f>
        <v>2.72</v>
      </c>
      <c r="J564" s="1612">
        <f t="shared" si="109"/>
        <v>0</v>
      </c>
      <c r="K564" s="2078">
        <f ca="1">J564/J$967</f>
        <v>0</v>
      </c>
      <c r="L564" s="1574" t="e">
        <f t="shared" si="110"/>
        <v>#DIV/0!</v>
      </c>
      <c r="M564" s="1976">
        <f>+Orçamento_Não_Deson!M564</f>
        <v>0</v>
      </c>
      <c r="N564" s="833"/>
      <c r="O564" s="833"/>
      <c r="Q564" s="833"/>
      <c r="R564" s="833"/>
      <c r="S564" s="833"/>
      <c r="T564" s="833"/>
      <c r="U564" s="833"/>
      <c r="V564" s="833"/>
      <c r="W564" s="833"/>
      <c r="X564" s="833"/>
    </row>
    <row r="565" spans="1:24" s="813" customFormat="1" ht="39.950000000000003" hidden="1" customHeight="1" x14ac:dyDescent="0.15">
      <c r="A565" s="2081"/>
      <c r="B565" s="834"/>
      <c r="C565" s="2"/>
      <c r="D565" s="1452" t="s">
        <v>1765</v>
      </c>
      <c r="E565" s="2"/>
      <c r="F565" s="2"/>
      <c r="G565" s="1407"/>
      <c r="H565" s="2"/>
      <c r="I565" s="2"/>
      <c r="J565" s="839" t="str">
        <f>IF(J566=0,"-","")</f>
        <v>-</v>
      </c>
      <c r="K565" s="2078"/>
      <c r="L565" s="1574"/>
      <c r="M565" s="1974"/>
      <c r="N565" s="833"/>
      <c r="O565" s="833"/>
      <c r="Q565" s="833"/>
      <c r="R565" s="833"/>
      <c r="S565" s="833"/>
      <c r="T565" s="833"/>
      <c r="U565" s="833"/>
      <c r="V565" s="833"/>
      <c r="W565" s="833"/>
      <c r="X565" s="833"/>
    </row>
    <row r="566" spans="1:24" s="813" customFormat="1" ht="39.950000000000003" hidden="1" customHeight="1" x14ac:dyDescent="0.15">
      <c r="A566" s="2081">
        <f ca="1">+Orçamento_Não_Deson!A566</f>
        <v>6</v>
      </c>
      <c r="B566" s="834">
        <f>+Orçamento_Não_Deson!B566</f>
        <v>95875</v>
      </c>
      <c r="C566" s="2" t="str">
        <f>VLOOKUP($B566,[5]BOLETIM_SEL!$A:$H,2,0)</f>
        <v>SINAPI</v>
      </c>
      <c r="D566" s="315" t="str">
        <f>VLOOKUP($B566,[5]BOLETIM_SEL!$A:$H,4,0)</f>
        <v>Transporte com caminhão basculante de 10 m3, em via urbana pavimentada, DMT até 30,00 km (unidade: m3xkm). AF_07/2020</v>
      </c>
      <c r="E566" s="2">
        <f>+Orçamento_Não_Deson!E566</f>
        <v>0</v>
      </c>
      <c r="F566" s="2" t="str">
        <f>VLOOKUP($B566,[5]BOLETIM_SEL!$A:$H,6,0)</f>
        <v>M3XKM</v>
      </c>
      <c r="G566" s="1407">
        <f>VLOOKUP($B566,[5]BOLETIM_SEL!$A:$H,7,0)</f>
        <v>2.15</v>
      </c>
      <c r="H566" s="1613">
        <f>+Orçamento_Não_Deson!H566</f>
        <v>0</v>
      </c>
      <c r="I566" s="877">
        <f>TRUNC(G566*(1+$J$5),2)</f>
        <v>2.72</v>
      </c>
      <c r="J566" s="1612">
        <f t="shared" si="109"/>
        <v>0</v>
      </c>
      <c r="K566" s="2078">
        <f ca="1">J566/J$967</f>
        <v>0</v>
      </c>
      <c r="L566" s="1574" t="e">
        <f t="shared" si="110"/>
        <v>#DIV/0!</v>
      </c>
      <c r="M566" s="1976">
        <f>+Orçamento_Não_Deson!M566</f>
        <v>0</v>
      </c>
      <c r="N566" s="833"/>
      <c r="O566" s="833"/>
      <c r="Q566" s="833"/>
      <c r="R566" s="833"/>
      <c r="S566" s="833"/>
      <c r="T566" s="833"/>
      <c r="U566" s="833"/>
      <c r="V566" s="833"/>
      <c r="W566" s="833"/>
      <c r="X566" s="833"/>
    </row>
    <row r="567" spans="1:24" s="813" customFormat="1" ht="39.950000000000003" hidden="1" customHeight="1" x14ac:dyDescent="0.15">
      <c r="A567" s="2081"/>
      <c r="B567" s="834"/>
      <c r="C567" s="2"/>
      <c r="D567" s="1452" t="s">
        <v>1779</v>
      </c>
      <c r="E567" s="2"/>
      <c r="F567" s="2"/>
      <c r="G567" s="1407"/>
      <c r="H567" s="2"/>
      <c r="I567" s="2"/>
      <c r="J567" s="839" t="str">
        <f>IF(J568=0,"-","")</f>
        <v>-</v>
      </c>
      <c r="K567" s="2078"/>
      <c r="L567" s="1574"/>
      <c r="M567" s="1974"/>
      <c r="N567" s="833"/>
      <c r="O567" s="833"/>
      <c r="Q567" s="833"/>
      <c r="R567" s="833"/>
      <c r="S567" s="833"/>
      <c r="T567" s="833"/>
      <c r="U567" s="833"/>
      <c r="V567" s="833"/>
      <c r="W567" s="833"/>
      <c r="X567" s="833"/>
    </row>
    <row r="568" spans="1:24" s="813" customFormat="1" ht="39.950000000000003" hidden="1" customHeight="1" x14ac:dyDescent="0.15">
      <c r="A568" s="2081">
        <f ca="1">+Orçamento_Não_Deson!A568</f>
        <v>6</v>
      </c>
      <c r="B568" s="834">
        <f>+Orçamento_Não_Deson!B568</f>
        <v>100947</v>
      </c>
      <c r="C568" s="2" t="str">
        <f>VLOOKUP($B568,[5]BOLETIM_SEL!$A:$H,2,0)</f>
        <v>SINAPI</v>
      </c>
      <c r="D568" s="315" t="str">
        <f>VLOOKUP($B568,[5]BOLETIM_SEL!$A:$H,4,0)</f>
        <v>Transporte com caminhão carroceria 9t, em via urbana pavimentada, DMT até 30,00 km (unidade: txkm). AF_07/2020</v>
      </c>
      <c r="E568" s="2">
        <f>+Orçamento_Não_Deson!E568</f>
        <v>0</v>
      </c>
      <c r="F568" s="2" t="str">
        <f>VLOOKUP($B568,[5]BOLETIM_SEL!$A:$H,6,0)</f>
        <v>TXKM</v>
      </c>
      <c r="G568" s="1407">
        <f>VLOOKUP($B568,[5]BOLETIM_SEL!$A:$H,7,0)</f>
        <v>1.93</v>
      </c>
      <c r="H568" s="1613">
        <f>+Orçamento_Não_Deson!H568</f>
        <v>0</v>
      </c>
      <c r="I568" s="877">
        <f>TRUNC(G568*(1+$J$5),2)</f>
        <v>2.44</v>
      </c>
      <c r="J568" s="1612">
        <f t="shared" si="109"/>
        <v>0</v>
      </c>
      <c r="K568" s="2078">
        <f ca="1">J568/J$967</f>
        <v>0</v>
      </c>
      <c r="L568" s="1574" t="e">
        <f t="shared" si="110"/>
        <v>#DIV/0!</v>
      </c>
      <c r="M568" s="1974"/>
      <c r="N568" s="833"/>
      <c r="O568" s="833"/>
      <c r="Q568" s="833"/>
      <c r="R568" s="833"/>
      <c r="S568" s="833"/>
      <c r="T568" s="833"/>
      <c r="U568" s="833"/>
      <c r="V568" s="833"/>
      <c r="W568" s="833"/>
      <c r="X568" s="833"/>
    </row>
    <row r="569" spans="1:24" s="813" customFormat="1" ht="39.950000000000003" hidden="1" customHeight="1" x14ac:dyDescent="0.15">
      <c r="A569" s="2081"/>
      <c r="B569" s="834"/>
      <c r="C569" s="2"/>
      <c r="D569" s="1452" t="s">
        <v>1762</v>
      </c>
      <c r="E569" s="2"/>
      <c r="F569" s="2"/>
      <c r="G569" s="1407"/>
      <c r="H569" s="2"/>
      <c r="I569" s="2"/>
      <c r="J569" s="839" t="str">
        <f>IF(J570=0,"-","")</f>
        <v>-</v>
      </c>
      <c r="K569" s="2078"/>
      <c r="L569" s="1574"/>
      <c r="M569" s="1974"/>
      <c r="N569" s="833"/>
      <c r="O569" s="833"/>
      <c r="Q569" s="833"/>
      <c r="R569" s="833"/>
      <c r="S569" s="833"/>
      <c r="T569" s="833"/>
      <c r="U569" s="833"/>
      <c r="V569" s="833"/>
      <c r="W569" s="833"/>
      <c r="X569" s="833"/>
    </row>
    <row r="570" spans="1:24" s="813" customFormat="1" ht="39.950000000000003" hidden="1" customHeight="1" x14ac:dyDescent="0.15">
      <c r="A570" s="2081">
        <f ca="1">+Orçamento_Não_Deson!A570</f>
        <v>6</v>
      </c>
      <c r="B570" s="834">
        <f>+Orçamento_Não_Deson!B570</f>
        <v>95875</v>
      </c>
      <c r="C570" s="2" t="str">
        <f>VLOOKUP($B570,[5]BOLETIM_SEL!$A:$H,2,0)</f>
        <v>SINAPI</v>
      </c>
      <c r="D570" s="315" t="str">
        <f>VLOOKUP($B570,[5]BOLETIM_SEL!$A:$H,4,0)</f>
        <v>Transporte com caminhão basculante de 10 m3, em via urbana pavimentada, DMT até 30,00 km (unidade: m3xkm). AF_07/2020</v>
      </c>
      <c r="E570" s="2">
        <f>+Orçamento_Não_Deson!E570</f>
        <v>0</v>
      </c>
      <c r="F570" s="2" t="str">
        <f>VLOOKUP($B570,[5]BOLETIM_SEL!$A:$H,6,0)</f>
        <v>M3XKM</v>
      </c>
      <c r="G570" s="1407">
        <f>VLOOKUP($B570,[5]BOLETIM_SEL!$A:$H,7,0)</f>
        <v>2.15</v>
      </c>
      <c r="H570" s="1613">
        <f>+Orçamento_Não_Deson!H570</f>
        <v>0</v>
      </c>
      <c r="I570" s="877">
        <f>TRUNC(G570*(1+$J$5),2)</f>
        <v>2.72</v>
      </c>
      <c r="J570" s="1612">
        <f t="shared" si="109"/>
        <v>0</v>
      </c>
      <c r="K570" s="2078">
        <f ca="1">J570/J$967</f>
        <v>0</v>
      </c>
      <c r="L570" s="1574" t="e">
        <f t="shared" si="110"/>
        <v>#DIV/0!</v>
      </c>
      <c r="M570" s="1976">
        <f>+Orçamento_Não_Deson!M570</f>
        <v>0</v>
      </c>
      <c r="N570" s="833"/>
      <c r="O570" s="833"/>
      <c r="Q570" s="833"/>
      <c r="R570" s="833"/>
      <c r="S570" s="833"/>
      <c r="T570" s="833"/>
      <c r="U570" s="833"/>
      <c r="V570" s="833"/>
      <c r="W570" s="833"/>
      <c r="X570" s="833"/>
    </row>
    <row r="571" spans="1:24" s="813" customFormat="1" ht="39.950000000000003" hidden="1" customHeight="1" x14ac:dyDescent="0.15">
      <c r="A571" s="2081"/>
      <c r="B571" s="834"/>
      <c r="C571" s="2"/>
      <c r="D571" s="1452" t="s">
        <v>1763</v>
      </c>
      <c r="E571" s="2"/>
      <c r="F571" s="2"/>
      <c r="G571" s="1407"/>
      <c r="H571" s="2"/>
      <c r="I571" s="2"/>
      <c r="J571" s="839" t="str">
        <f>IF(J572=0,"-","")</f>
        <v>-</v>
      </c>
      <c r="K571" s="2078"/>
      <c r="L571" s="1574"/>
      <c r="M571" s="1974"/>
      <c r="N571" s="833"/>
      <c r="O571" s="833"/>
      <c r="Q571" s="833"/>
      <c r="R571" s="833"/>
      <c r="S571" s="833"/>
      <c r="T571" s="833"/>
      <c r="U571" s="833"/>
      <c r="V571" s="833"/>
      <c r="W571" s="833"/>
      <c r="X571" s="833"/>
    </row>
    <row r="572" spans="1:24" s="813" customFormat="1" ht="39.950000000000003" hidden="1" customHeight="1" x14ac:dyDescent="0.15">
      <c r="A572" s="2081">
        <f ca="1">+Orçamento_Não_Deson!A572</f>
        <v>6</v>
      </c>
      <c r="B572" s="834">
        <f>+Orçamento_Não_Deson!B572</f>
        <v>93596</v>
      </c>
      <c r="C572" s="2" t="str">
        <f>VLOOKUP($B572,[5]BOLETIM_SEL!$A:$H,2,0)</f>
        <v>SINAPI</v>
      </c>
      <c r="D572" s="315" t="str">
        <f>VLOOKUP($B572,[5]BOLETIM_SEL!$A:$H,4,0)</f>
        <v>Transporte com caminhão basculante de 10 m3, em via urbana pavimentada, adicional para DMT excedente a 30,00 km (unidade: txkm). AF_07/2020</v>
      </c>
      <c r="E572" s="2">
        <f>+Orçamento_Não_Deson!E572</f>
        <v>109</v>
      </c>
      <c r="F572" s="2" t="str">
        <f>VLOOKUP($B572,[5]BOLETIM_SEL!$A:$H,6,0)</f>
        <v>TXKM</v>
      </c>
      <c r="G572" s="1407">
        <f>VLOOKUP($B572,[5]BOLETIM_SEL!$A:$H,7,0)</f>
        <v>0.56999999999999995</v>
      </c>
      <c r="H572" s="1613">
        <f>+Orçamento_Não_Deson!H572</f>
        <v>0</v>
      </c>
      <c r="I572" s="877">
        <f>TRUNC(G572*(1+$J$5),2)</f>
        <v>0.72</v>
      </c>
      <c r="J572" s="1612">
        <f t="shared" si="109"/>
        <v>0</v>
      </c>
      <c r="K572" s="2078">
        <f ca="1">J572/J$967</f>
        <v>0</v>
      </c>
      <c r="L572" s="1574" t="e">
        <f t="shared" si="110"/>
        <v>#DIV/0!</v>
      </c>
      <c r="M572" s="1983">
        <f>+Orçamento_Não_Deson!M572</f>
        <v>0</v>
      </c>
      <c r="N572" s="833"/>
      <c r="O572" s="833"/>
      <c r="Q572" s="833"/>
      <c r="R572" s="833"/>
      <c r="S572" s="833"/>
      <c r="T572" s="833"/>
      <c r="U572" s="833"/>
      <c r="V572" s="833"/>
      <c r="W572" s="833"/>
      <c r="X572" s="833"/>
    </row>
    <row r="573" spans="1:24" s="813" customFormat="1" ht="39.950000000000003" hidden="1" customHeight="1" x14ac:dyDescent="0.15">
      <c r="A573" s="2081"/>
      <c r="B573" s="834"/>
      <c r="C573" s="2"/>
      <c r="D573" s="1452" t="s">
        <v>1760</v>
      </c>
      <c r="E573" s="2"/>
      <c r="F573" s="2"/>
      <c r="G573" s="1407"/>
      <c r="H573" s="2"/>
      <c r="I573" s="2"/>
      <c r="J573" s="839" t="str">
        <f>IF(J574=0,"-","")</f>
        <v>-</v>
      </c>
      <c r="K573" s="2078"/>
      <c r="L573" s="1574"/>
      <c r="M573" s="1974"/>
      <c r="N573" s="833"/>
      <c r="O573" s="833"/>
      <c r="Q573" s="833"/>
      <c r="R573" s="833"/>
      <c r="S573" s="833"/>
      <c r="T573" s="833"/>
      <c r="U573" s="833"/>
      <c r="V573" s="833"/>
      <c r="W573" s="833"/>
      <c r="X573" s="833"/>
    </row>
    <row r="574" spans="1:24" s="813" customFormat="1" ht="39.950000000000003" hidden="1" customHeight="1" x14ac:dyDescent="0.15">
      <c r="A574" s="2081">
        <f ca="1">+Orçamento_Não_Deson!A574</f>
        <v>6</v>
      </c>
      <c r="B574" s="834">
        <f>+Orçamento_Não_Deson!B574</f>
        <v>102332</v>
      </c>
      <c r="C574" s="2" t="str">
        <f>VLOOKUP($B574,[5]BOLETIM_SEL!$A:$H,2,0)</f>
        <v>SINAPI</v>
      </c>
      <c r="D574" s="315" t="str">
        <f>VLOOKUP($B574,[5]BOLETIM_SEL!$A:$H,4,0)</f>
        <v>Transporte com caminhão tanque de transporte de material asfáltico de 20.000 l, em via urbana pavimentada, DMT até 30,00 km (unidade: txkm). AF_07/2020</v>
      </c>
      <c r="E574" s="2">
        <f>+Orçamento_Não_Deson!E574</f>
        <v>109</v>
      </c>
      <c r="F574" s="2" t="str">
        <f>VLOOKUP($B574,[5]BOLETIM_SEL!$A:$H,6,0)</f>
        <v>TXKM</v>
      </c>
      <c r="G574" s="1407">
        <f>VLOOKUP($B574,[5]BOLETIM_SEL!$A:$H,7,0)</f>
        <v>1.62</v>
      </c>
      <c r="H574" s="1613">
        <f>+Orçamento_Não_Deson!H574</f>
        <v>0</v>
      </c>
      <c r="I574" s="877">
        <f>TRUNC(G574*(1+$J$5),2)</f>
        <v>2.0499999999999998</v>
      </c>
      <c r="J574" s="1612">
        <f t="shared" si="109"/>
        <v>0</v>
      </c>
      <c r="K574" s="2078">
        <f ca="1">J574/J$967</f>
        <v>0</v>
      </c>
      <c r="L574" s="1574" t="e">
        <f t="shared" si="110"/>
        <v>#DIV/0!</v>
      </c>
      <c r="M574" s="1983">
        <f>+Orçamento_Não_Deson!M574</f>
        <v>0</v>
      </c>
      <c r="N574" s="833"/>
      <c r="O574" s="833"/>
      <c r="Q574" s="833"/>
      <c r="R574" s="833"/>
      <c r="S574" s="833"/>
      <c r="T574" s="833"/>
      <c r="U574" s="833"/>
      <c r="V574" s="833"/>
      <c r="W574" s="833"/>
      <c r="X574" s="833"/>
    </row>
    <row r="575" spans="1:24" s="813" customFormat="1" ht="39.950000000000003" hidden="1" customHeight="1" x14ac:dyDescent="0.15">
      <c r="A575" s="2081"/>
      <c r="B575" s="834"/>
      <c r="C575" s="2"/>
      <c r="D575" s="1452" t="s">
        <v>1759</v>
      </c>
      <c r="E575" s="2"/>
      <c r="F575" s="2"/>
      <c r="G575" s="1407"/>
      <c r="H575" s="2"/>
      <c r="I575" s="2"/>
      <c r="J575" s="839" t="str">
        <f>IF(J576=0,"-","")</f>
        <v>-</v>
      </c>
      <c r="K575" s="2078"/>
      <c r="L575" s="1574"/>
      <c r="M575" s="1974"/>
      <c r="N575" s="833"/>
      <c r="O575" s="833"/>
      <c r="Q575" s="833"/>
      <c r="R575" s="833"/>
      <c r="S575" s="833"/>
      <c r="T575" s="833"/>
      <c r="U575" s="833"/>
      <c r="V575" s="833"/>
      <c r="W575" s="833"/>
      <c r="X575" s="833"/>
    </row>
    <row r="576" spans="1:24" s="813" customFormat="1" ht="39.950000000000003" hidden="1" customHeight="1" x14ac:dyDescent="0.15">
      <c r="A576" s="2081">
        <f ca="1">+Orçamento_Não_Deson!A576</f>
        <v>6</v>
      </c>
      <c r="B576" s="834">
        <f>+Orçamento_Não_Deson!B576</f>
        <v>102332</v>
      </c>
      <c r="C576" s="2" t="str">
        <f>VLOOKUP($B576,[5]BOLETIM_SEL!$A:$H,2,0)</f>
        <v>SINAPI</v>
      </c>
      <c r="D576" s="315" t="str">
        <f>VLOOKUP($B576,[5]BOLETIM_SEL!$A:$H,4,0)</f>
        <v>Transporte com caminhão tanque de transporte de material asfáltico de 20.000 l, em via urbana pavimentada, DMT até 30,00 km (unidade: txkm). AF_07/2020</v>
      </c>
      <c r="E576" s="2">
        <f>+Orçamento_Não_Deson!E576</f>
        <v>109</v>
      </c>
      <c r="F576" s="2" t="str">
        <f>VLOOKUP($B576,[5]BOLETIM_SEL!$A:$H,6,0)</f>
        <v>TXKM</v>
      </c>
      <c r="G576" s="1407">
        <f>VLOOKUP($B576,[5]BOLETIM_SEL!$A:$H,7,0)</f>
        <v>1.62</v>
      </c>
      <c r="H576" s="1613">
        <f>+Orçamento_Não_Deson!H576</f>
        <v>0</v>
      </c>
      <c r="I576" s="877">
        <f>TRUNC(G576*(1+$J$5),2)</f>
        <v>2.0499999999999998</v>
      </c>
      <c r="J576" s="1612">
        <f t="shared" si="109"/>
        <v>0</v>
      </c>
      <c r="K576" s="2078">
        <f ca="1">J576/J$967</f>
        <v>0</v>
      </c>
      <c r="L576" s="1574" t="e">
        <f>J576/$J$506</f>
        <v>#DIV/0!</v>
      </c>
      <c r="M576" s="1983">
        <f>+Orçamento_Não_Deson!M576</f>
        <v>0</v>
      </c>
      <c r="N576" s="833"/>
      <c r="O576" s="833"/>
      <c r="Q576" s="833"/>
      <c r="R576" s="833"/>
      <c r="S576" s="833"/>
      <c r="T576" s="833"/>
      <c r="U576" s="833"/>
      <c r="V576" s="833"/>
      <c r="W576" s="833"/>
      <c r="X576" s="833"/>
    </row>
    <row r="577" spans="1:24" s="813" customFormat="1" ht="39.950000000000003" hidden="1" customHeight="1" x14ac:dyDescent="0.15">
      <c r="A577" s="2081"/>
      <c r="B577" s="834"/>
      <c r="C577" s="2"/>
      <c r="D577" s="1452" t="s">
        <v>1794</v>
      </c>
      <c r="E577" s="2"/>
      <c r="F577" s="2"/>
      <c r="G577" s="1407"/>
      <c r="H577" s="2"/>
      <c r="I577" s="2"/>
      <c r="J577" s="839" t="str">
        <f>IF(J578=0,"-","")</f>
        <v>-</v>
      </c>
      <c r="K577" s="2078"/>
      <c r="L577" s="1574"/>
      <c r="M577" s="1974"/>
      <c r="N577" s="833"/>
      <c r="O577" s="833"/>
      <c r="Q577" s="833"/>
      <c r="R577" s="833"/>
      <c r="S577" s="833"/>
      <c r="T577" s="833"/>
      <c r="U577" s="833"/>
      <c r="V577" s="833"/>
      <c r="W577" s="833"/>
      <c r="X577" s="833"/>
    </row>
    <row r="578" spans="1:24" s="813" customFormat="1" ht="39.950000000000003" hidden="1" customHeight="1" x14ac:dyDescent="0.15">
      <c r="A578" s="2081">
        <f ca="1">+Orçamento_Não_Deson!A578</f>
        <v>6</v>
      </c>
      <c r="B578" s="834">
        <f>+Orçamento_Não_Deson!B578</f>
        <v>102332</v>
      </c>
      <c r="C578" s="2" t="str">
        <f>VLOOKUP($B578,[5]BOLETIM_SEL!$A:$H,2,0)</f>
        <v>SINAPI</v>
      </c>
      <c r="D578" s="315" t="str">
        <f>VLOOKUP($B578,[5]BOLETIM_SEL!$A:$H,4,0)</f>
        <v>Transporte com caminhão tanque de transporte de material asfáltico de 20.000 l, em via urbana pavimentada, DMT até 30,00 km (unidade: txkm). AF_07/2020</v>
      </c>
      <c r="E578" s="2">
        <f>+Orçamento_Não_Deson!E578</f>
        <v>0</v>
      </c>
      <c r="F578" s="2" t="str">
        <f>VLOOKUP($B578,[5]BOLETIM_SEL!$A:$H,6,0)</f>
        <v>TXKM</v>
      </c>
      <c r="G578" s="1407">
        <f>VLOOKUP($B578,[5]BOLETIM_SEL!$A:$H,7,0)</f>
        <v>1.62</v>
      </c>
      <c r="H578" s="1613">
        <f>+Orçamento_Não_Deson!H578</f>
        <v>0</v>
      </c>
      <c r="I578" s="877">
        <f>TRUNC(G578*(1+$J$5),2)</f>
        <v>2.0499999999999998</v>
      </c>
      <c r="J578" s="1612">
        <f>TRUNC(H578*I578,2)</f>
        <v>0</v>
      </c>
      <c r="K578" s="2078">
        <f ca="1">J578/J$967</f>
        <v>0</v>
      </c>
      <c r="L578" s="1574" t="e">
        <f>J578/$J$506</f>
        <v>#DIV/0!</v>
      </c>
      <c r="M578" s="1983">
        <f>+Orçamento_Não_Deson!M578</f>
        <v>0</v>
      </c>
      <c r="N578" s="833"/>
      <c r="O578" s="833"/>
      <c r="Q578" s="833"/>
      <c r="R578" s="833"/>
      <c r="S578" s="833"/>
      <c r="T578" s="833"/>
      <c r="U578" s="833"/>
      <c r="V578" s="833"/>
      <c r="W578" s="833"/>
      <c r="X578" s="833"/>
    </row>
    <row r="579" spans="1:24" s="813" customFormat="1" ht="39.950000000000003" hidden="1" customHeight="1" x14ac:dyDescent="0.15">
      <c r="A579" s="2081"/>
      <c r="B579" s="834"/>
      <c r="C579" s="2"/>
      <c r="D579" s="1452" t="s">
        <v>1761</v>
      </c>
      <c r="E579" s="2"/>
      <c r="F579" s="2"/>
      <c r="G579" s="1407"/>
      <c r="H579" s="2"/>
      <c r="I579" s="2"/>
      <c r="J579" s="839" t="str">
        <f>IF(J580=0,"-","")</f>
        <v>-</v>
      </c>
      <c r="K579" s="2078"/>
      <c r="L579" s="1574"/>
      <c r="M579" s="1974"/>
      <c r="N579" s="833"/>
      <c r="O579" s="833"/>
      <c r="Q579" s="833"/>
      <c r="R579" s="833"/>
      <c r="S579" s="833"/>
      <c r="T579" s="833"/>
      <c r="U579" s="833"/>
      <c r="V579" s="833"/>
      <c r="W579" s="833"/>
      <c r="X579" s="833"/>
    </row>
    <row r="580" spans="1:24" s="813" customFormat="1" ht="39.950000000000003" hidden="1" customHeight="1" x14ac:dyDescent="0.15">
      <c r="A580" s="2081">
        <f ca="1">+Orçamento_Não_Deson!A580</f>
        <v>6</v>
      </c>
      <c r="B580" s="834">
        <f>+Orçamento_Não_Deson!B580</f>
        <v>102332</v>
      </c>
      <c r="C580" s="2" t="str">
        <f>VLOOKUP($B580,[5]BOLETIM_SEL!$A:$H,2,0)</f>
        <v>SINAPI</v>
      </c>
      <c r="D580" s="315" t="str">
        <f>VLOOKUP($B580,[5]BOLETIM_SEL!$A:$H,4,0)</f>
        <v>Transporte com caminhão tanque de transporte de material asfáltico de 20.000 l, em via urbana pavimentada, DMT até 30,00 km (unidade: txkm). AF_07/2020</v>
      </c>
      <c r="E580" s="2">
        <f>+Orçamento_Não_Deson!E580</f>
        <v>0</v>
      </c>
      <c r="F580" s="2" t="str">
        <f>VLOOKUP($B580,[5]BOLETIM_SEL!$A:$H,6,0)</f>
        <v>TXKM</v>
      </c>
      <c r="G580" s="1407">
        <f>VLOOKUP($B580,[5]BOLETIM_SEL!$A:$H,7,0)</f>
        <v>1.62</v>
      </c>
      <c r="H580" s="1613">
        <f>+Orçamento_Não_Deson!H580</f>
        <v>0</v>
      </c>
      <c r="I580" s="877">
        <f>TRUNC(G580*(1+$J$5),2)</f>
        <v>2.0499999999999998</v>
      </c>
      <c r="J580" s="1612">
        <f>TRUNC(H580*I580,2)</f>
        <v>0</v>
      </c>
      <c r="K580" s="2078">
        <f ca="1">J580/J$967</f>
        <v>0</v>
      </c>
      <c r="L580" s="1574" t="e">
        <f>J580/$J$506</f>
        <v>#DIV/0!</v>
      </c>
      <c r="M580" s="1983">
        <f>+Orçamento_Não_Deson!M580</f>
        <v>0</v>
      </c>
      <c r="N580" s="833"/>
      <c r="O580" s="833"/>
      <c r="Q580" s="833"/>
      <c r="R580" s="833"/>
      <c r="S580" s="833"/>
      <c r="T580" s="833"/>
      <c r="U580" s="833"/>
      <c r="V580" s="833"/>
      <c r="W580" s="833"/>
      <c r="X580" s="833"/>
    </row>
    <row r="581" spans="1:24" s="813" customFormat="1" ht="39.950000000000003" hidden="1" customHeight="1" x14ac:dyDescent="0.15">
      <c r="A581" s="2081"/>
      <c r="B581" s="834"/>
      <c r="C581" s="834"/>
      <c r="D581" s="835"/>
      <c r="E581" s="2"/>
      <c r="F581" s="834"/>
      <c r="G581" s="1821"/>
      <c r="H581" s="1"/>
      <c r="I581" s="877"/>
      <c r="J581" s="839">
        <f>IF(J506=0,0,"")</f>
        <v>0</v>
      </c>
      <c r="K581" s="2078"/>
      <c r="L581" s="1574"/>
      <c r="M581" s="1833"/>
      <c r="N581" s="833"/>
      <c r="O581" s="833"/>
      <c r="Q581" s="833"/>
      <c r="R581" s="833"/>
      <c r="S581" s="833"/>
      <c r="T581" s="833"/>
      <c r="U581" s="833"/>
      <c r="V581" s="833"/>
      <c r="W581" s="833"/>
      <c r="X581" s="833"/>
    </row>
    <row r="582" spans="1:24" s="833" customFormat="1" ht="39.950000000000003" hidden="1" customHeight="1" x14ac:dyDescent="0.15">
      <c r="A582" s="2082">
        <f ca="1">IF(J582&gt;0,INT(A580)+1,IF(J582=0,INT(A580),0))</f>
        <v>6</v>
      </c>
      <c r="B582" s="1633"/>
      <c r="C582" s="1633"/>
      <c r="D582" s="1634" t="s">
        <v>749</v>
      </c>
      <c r="E582" s="1828"/>
      <c r="F582" s="1635"/>
      <c r="G582" s="1820" t="s">
        <v>649</v>
      </c>
      <c r="H582" s="1637"/>
      <c r="I582" s="1640" t="str">
        <f ca="1">CONCATENATE("SUB-TOTAL ",A582)</f>
        <v>SUB-TOTAL 6</v>
      </c>
      <c r="J582" s="1639">
        <f>SUM(J583:J622)</f>
        <v>0</v>
      </c>
      <c r="K582" s="2079">
        <f t="shared" ref="K582:K598" ca="1" si="112">J582/J$967</f>
        <v>0</v>
      </c>
      <c r="L582" s="1610" t="e">
        <f t="shared" ref="L582:L622" si="113">J582/$J$582</f>
        <v>#DIV/0!</v>
      </c>
      <c r="Q582" s="3"/>
      <c r="R582" s="3"/>
      <c r="S582" s="3"/>
      <c r="T582" s="3"/>
      <c r="U582" s="3"/>
      <c r="V582" s="3"/>
      <c r="W582" s="3"/>
    </row>
    <row r="583" spans="1:24" s="813" customFormat="1" ht="39.950000000000003" hidden="1" customHeight="1" x14ac:dyDescent="0.15">
      <c r="A583" s="2081">
        <f ca="1">+Orçamento_Não_Deson!A583</f>
        <v>6</v>
      </c>
      <c r="B583" s="834" t="str">
        <f>+Orçamento_Não_Deson!B583</f>
        <v>RE/0075</v>
      </c>
      <c r="C583" s="2" t="str">
        <f>VLOOKUP($B583,[5]BOLETIM_SEL!$A:$H,2,0)</f>
        <v>COMPOSIÇÃO</v>
      </c>
      <c r="D583" s="315" t="str">
        <f>VLOOKUP($B583,[5]BOLETIM_SEL!$A:$H,4,0)</f>
        <v>Microrrevestimento a frio - Microflex, espessura 0,8 cm, com emulsão asfáltica polimerizada RC-1C-E, execução e fornecimento de materiais. Exclusive transportes de insumos e do ligante betuminoso (REF. SICRO COD. 4011408)</v>
      </c>
      <c r="E583" s="2">
        <f>+Orçamento_Não_Deson!E583</f>
        <v>0</v>
      </c>
      <c r="F583" s="2" t="str">
        <f>VLOOKUP($B583,[5]BOLETIM_SEL!$A:$H,6,0)</f>
        <v>M2</v>
      </c>
      <c r="G583" s="1407">
        <f>VLOOKUP($B583,[5]BOLETIM_SEL!$A:$H,7,0)</f>
        <v>10.43</v>
      </c>
      <c r="H583" s="1613">
        <f>+Orçamento_Não_Deson!H583</f>
        <v>0</v>
      </c>
      <c r="I583" s="877">
        <f t="shared" ref="I583:I598" si="114">+TRUNC(G583*(1+$J$5),2)</f>
        <v>13.21</v>
      </c>
      <c r="J583" s="1612">
        <f t="shared" ref="J583:J585" si="115">TRUNC(H583*I583,2)</f>
        <v>0</v>
      </c>
      <c r="K583" s="2078">
        <f t="shared" ca="1" si="112"/>
        <v>0</v>
      </c>
      <c r="L583" s="1574" t="e">
        <f t="shared" ref="L583:L585" si="116">J583/$J$582</f>
        <v>#DIV/0!</v>
      </c>
      <c r="M583" s="1974"/>
      <c r="N583" s="833"/>
      <c r="O583" s="833"/>
      <c r="Q583" s="833"/>
      <c r="R583" s="833"/>
      <c r="S583" s="833"/>
      <c r="T583" s="833"/>
      <c r="U583" s="833"/>
      <c r="V583" s="833"/>
      <c r="W583" s="833"/>
      <c r="X583" s="833"/>
    </row>
    <row r="584" spans="1:24" s="813" customFormat="1" ht="39.950000000000003" hidden="1" customHeight="1" x14ac:dyDescent="0.15">
      <c r="A584" s="2081">
        <f ca="1">+Orçamento_Não_Deson!A584</f>
        <v>6</v>
      </c>
      <c r="B584" s="834" t="str">
        <f>+Orçamento_Não_Deson!B584</f>
        <v>RE/0080</v>
      </c>
      <c r="C584" s="2" t="str">
        <f>VLOOKUP($B584,[5]BOLETIM_SEL!$A:$H,2,0)</f>
        <v>COMPOSIÇÃO</v>
      </c>
      <c r="D584" s="315" t="str">
        <f>VLOOKUP($B584,[5]BOLETIM_SEL!$A:$H,4,0)</f>
        <v>Microrrevestimento a frio - Microflex, espessura 1,5 cm, com emulsão asfáltica polimerizada RC-1C-E, execução e fornecimento de materiais. Exclusive transportes de insumos e do ligante betuminoso (REF. SICRO COD. 4011410)</v>
      </c>
      <c r="E584" s="2">
        <f>+Orçamento_Não_Deson!E584</f>
        <v>0</v>
      </c>
      <c r="F584" s="2" t="str">
        <f>VLOOKUP($B584,[5]BOLETIM_SEL!$A:$H,6,0)</f>
        <v>M2</v>
      </c>
      <c r="G584" s="1407">
        <f>VLOOKUP($B584,[5]BOLETIM_SEL!$A:$H,7,0)</f>
        <v>17.440000000000001</v>
      </c>
      <c r="H584" s="1613">
        <f>+Orçamento_Não_Deson!H584</f>
        <v>0</v>
      </c>
      <c r="I584" s="877">
        <f t="shared" si="114"/>
        <v>22.1</v>
      </c>
      <c r="J584" s="1612">
        <f t="shared" si="115"/>
        <v>0</v>
      </c>
      <c r="K584" s="2078">
        <f t="shared" ca="1" si="112"/>
        <v>0</v>
      </c>
      <c r="L584" s="1574" t="e">
        <f t="shared" si="116"/>
        <v>#DIV/0!</v>
      </c>
      <c r="M584" s="1974"/>
      <c r="N584" s="833"/>
      <c r="O584" s="833"/>
      <c r="Q584" s="833"/>
      <c r="R584" s="833"/>
      <c r="S584" s="833"/>
      <c r="T584" s="833"/>
      <c r="U584" s="833"/>
      <c r="V584" s="833"/>
      <c r="W584" s="833"/>
      <c r="X584" s="833"/>
    </row>
    <row r="585" spans="1:24" s="813" customFormat="1" ht="39.950000000000003" hidden="1" customHeight="1" x14ac:dyDescent="0.15">
      <c r="A585" s="2081">
        <f ca="1">+Orçamento_Não_Deson!A585</f>
        <v>6</v>
      </c>
      <c r="B585" s="834" t="str">
        <f>+Orçamento_Não_Deson!B585</f>
        <v>RE/0085</v>
      </c>
      <c r="C585" s="2" t="str">
        <f>VLOOKUP($B585,[5]BOLETIM_SEL!$A:$H,2,0)</f>
        <v>COMPOSIÇÃO</v>
      </c>
      <c r="D585" s="315" t="str">
        <f>VLOOKUP($B585,[5]BOLETIM_SEL!$A:$H,4,0)</f>
        <v>Microrrevestimento a frio - Microflex, espessura 2,0 cm, com emulsão asfáltica polimerizada RC-1C-E, execução e fornecimento de materiais. Exclusive transportes de insumos e do ligante betuminoso (REF. SICRO COD. 4011412)</v>
      </c>
      <c r="E585" s="2">
        <f>+Orçamento_Não_Deson!E585</f>
        <v>0</v>
      </c>
      <c r="F585" s="2" t="str">
        <f>VLOOKUP($B585,[5]BOLETIM_SEL!$A:$H,6,0)</f>
        <v>M2</v>
      </c>
      <c r="G585" s="1407">
        <f>VLOOKUP($B585,[5]BOLETIM_SEL!$A:$H,7,0)</f>
        <v>21.68</v>
      </c>
      <c r="H585" s="1613">
        <f>+Orçamento_Não_Deson!H585</f>
        <v>0</v>
      </c>
      <c r="I585" s="877">
        <f t="shared" si="114"/>
        <v>27.47</v>
      </c>
      <c r="J585" s="1612">
        <f t="shared" si="115"/>
        <v>0</v>
      </c>
      <c r="K585" s="2078">
        <f t="shared" ca="1" si="112"/>
        <v>0</v>
      </c>
      <c r="L585" s="1574" t="e">
        <f t="shared" si="116"/>
        <v>#DIV/0!</v>
      </c>
      <c r="M585" s="1974"/>
      <c r="N585" s="833"/>
      <c r="O585" s="833"/>
      <c r="Q585" s="833"/>
      <c r="R585" s="833"/>
      <c r="S585" s="833"/>
      <c r="T585" s="833"/>
      <c r="U585" s="833"/>
      <c r="V585" s="833"/>
      <c r="W585" s="833"/>
      <c r="X585" s="833"/>
    </row>
    <row r="586" spans="1:24" s="813" customFormat="1" ht="39.950000000000003" hidden="1" customHeight="1" x14ac:dyDescent="0.15">
      <c r="A586" s="2081">
        <f ca="1">+Orçamento_Não_Deson!A586</f>
        <v>6</v>
      </c>
      <c r="B586" s="834" t="str">
        <f>+Orçamento_Não_Deson!B586</f>
        <v>PA/0150</v>
      </c>
      <c r="C586" s="2" t="str">
        <f>VLOOKUP($B586,[5]BOLETIM_SEL!$A:$H,2,0)</f>
        <v>COMPOSIÇÃO</v>
      </c>
      <c r="D586" s="315" t="str">
        <f>VLOOKUP($B586,[5]BOLETIM_SEL!$A:$H,4,0)</f>
        <v>PAVIMENTO COM TRATAMENTO SUPERFICIAL DUPLO, COM EMULSÃO ASFÁLTICA RR-2C (REF. SINAPI COD. 03.PAVI.TSUP.005/01-104389 DB 09-21)</v>
      </c>
      <c r="E586" s="2">
        <f>+Orçamento_Não_Deson!E586</f>
        <v>0</v>
      </c>
      <c r="F586" s="2" t="str">
        <f>VLOOKUP($B586,[5]BOLETIM_SEL!$A:$H,6,0)</f>
        <v>M2</v>
      </c>
      <c r="G586" s="1407">
        <f>VLOOKUP($B586,[5]BOLETIM_SEL!$A:$H,7,0)</f>
        <v>15.59</v>
      </c>
      <c r="H586" s="1613">
        <f>+Orçamento_Não_Deson!H586</f>
        <v>0</v>
      </c>
      <c r="I586" s="877">
        <f t="shared" si="114"/>
        <v>19.75</v>
      </c>
      <c r="J586" s="1612">
        <f t="shared" ref="J586:J622" si="117">TRUNC(H586*I586,2)</f>
        <v>0</v>
      </c>
      <c r="K586" s="2078">
        <f t="shared" ca="1" si="112"/>
        <v>0</v>
      </c>
      <c r="L586" s="1574" t="e">
        <f t="shared" si="113"/>
        <v>#DIV/0!</v>
      </c>
      <c r="M586" s="1974"/>
      <c r="N586" s="833"/>
      <c r="O586" s="833"/>
      <c r="Q586" s="833"/>
      <c r="R586" s="833"/>
      <c r="S586" s="833"/>
      <c r="T586" s="833"/>
      <c r="U586" s="833"/>
      <c r="V586" s="833"/>
      <c r="W586" s="833"/>
      <c r="X586" s="833"/>
    </row>
    <row r="587" spans="1:24" s="813" customFormat="1" ht="39.950000000000003" hidden="1" customHeight="1" x14ac:dyDescent="0.15">
      <c r="A587" s="2081">
        <f ca="1">+Orçamento_Não_Deson!A587</f>
        <v>6</v>
      </c>
      <c r="B587" s="834" t="str">
        <f>+Orçamento_Não_Deson!B587</f>
        <v>PA/0023</v>
      </c>
      <c r="C587" s="2" t="str">
        <f>VLOOKUP($B587,[5]BOLETIM_SEL!$A:$H,2,0)</f>
        <v>COMPOSIÇÃO</v>
      </c>
      <c r="D587" s="315" t="str">
        <f>VLOOKUP($B587,[5]BOLETIM_SEL!$A:$H,4,0)</f>
        <v>Pintura de ligação, execução e fornecimento de emulsão asfáltica RR-1C (ref SINAPI cód 104375)</v>
      </c>
      <c r="E587" s="2">
        <f>+Orçamento_Não_Deson!E587</f>
        <v>0</v>
      </c>
      <c r="F587" s="2" t="str">
        <f>VLOOKUP($B587,[5]BOLETIM_SEL!$A:$H,6,0)</f>
        <v>M2</v>
      </c>
      <c r="G587" s="1407">
        <f>VLOOKUP($B587,[5]BOLETIM_SEL!$A:$H,7,0)</f>
        <v>2.4300000000000002</v>
      </c>
      <c r="H587" s="1613">
        <f>+Orçamento_Não_Deson!H587</f>
        <v>0</v>
      </c>
      <c r="I587" s="877">
        <f t="shared" si="114"/>
        <v>3.07</v>
      </c>
      <c r="J587" s="1612">
        <f t="shared" si="117"/>
        <v>0</v>
      </c>
      <c r="K587" s="2078">
        <f t="shared" ca="1" si="112"/>
        <v>0</v>
      </c>
      <c r="L587" s="1574" t="e">
        <f t="shared" si="113"/>
        <v>#DIV/0!</v>
      </c>
      <c r="M587" s="1974"/>
      <c r="N587" s="833"/>
      <c r="O587" s="833"/>
      <c r="Q587" s="833"/>
      <c r="R587" s="833"/>
      <c r="S587" s="833"/>
      <c r="T587" s="833"/>
      <c r="U587" s="833"/>
      <c r="V587" s="833"/>
      <c r="W587" s="833"/>
      <c r="X587" s="833"/>
    </row>
    <row r="588" spans="1:24" s="813" customFormat="1" ht="39.950000000000003" hidden="1" customHeight="1" x14ac:dyDescent="0.15">
      <c r="A588" s="2081">
        <f ca="1">+Orçamento_Não_Deson!A588</f>
        <v>6</v>
      </c>
      <c r="B588" s="834" t="str">
        <f>+Orçamento_Não_Deson!B588</f>
        <v>PA/0035</v>
      </c>
      <c r="C588" s="2" t="str">
        <f>VLOOKUP($B588,[5]BOLETIM_SEL!$A:$H,2,0)</f>
        <v>COMPOSIÇÃO</v>
      </c>
      <c r="D588" s="315" t="str">
        <f>VLOOKUP($B588,[5]BOLETIM_SEL!$A:$H,4,0)</f>
        <v>Capa selante para agulhamento na base, execução e fornecimento de emulsão asfáltica RR-2C. Exclusive transporte (REF. SICRO COD. 4915636)</v>
      </c>
      <c r="E588" s="2">
        <f>+Orçamento_Não_Deson!E588</f>
        <v>0</v>
      </c>
      <c r="F588" s="2" t="str">
        <f>VLOOKUP($B588,[5]BOLETIM_SEL!$A:$H,6,0)</f>
        <v>M2</v>
      </c>
      <c r="G588" s="1407">
        <f>VLOOKUP($B588,[5]BOLETIM_SEL!$A:$H,7,0)</f>
        <v>4.8</v>
      </c>
      <c r="H588" s="1613">
        <f>+Orçamento_Não_Deson!H588</f>
        <v>0</v>
      </c>
      <c r="I588" s="877">
        <f t="shared" si="114"/>
        <v>6.08</v>
      </c>
      <c r="J588" s="1612">
        <f t="shared" si="117"/>
        <v>0</v>
      </c>
      <c r="K588" s="2078">
        <f t="shared" ca="1" si="112"/>
        <v>0</v>
      </c>
      <c r="L588" s="1574" t="e">
        <f t="shared" si="113"/>
        <v>#DIV/0!</v>
      </c>
      <c r="M588" s="1974"/>
      <c r="N588" s="833"/>
      <c r="O588" s="833"/>
      <c r="Q588" s="833"/>
      <c r="R588" s="833"/>
      <c r="S588" s="833"/>
      <c r="T588" s="833"/>
      <c r="U588" s="833"/>
      <c r="V588" s="833"/>
      <c r="W588" s="833"/>
      <c r="X588" s="833"/>
    </row>
    <row r="589" spans="1:24" s="813" customFormat="1" ht="39.950000000000003" hidden="1" customHeight="1" x14ac:dyDescent="0.15">
      <c r="A589" s="2081">
        <f ca="1">+Orçamento_Não_Deson!A589</f>
        <v>6</v>
      </c>
      <c r="B589" s="834" t="str">
        <f>+Orçamento_Não_Deson!B589</f>
        <v>PA/0040</v>
      </c>
      <c r="C589" s="2" t="str">
        <f>VLOOKUP($B589,[5]BOLETIM_SEL!$A:$H,2,0)</f>
        <v>COMPOSIÇÃO</v>
      </c>
      <c r="D589" s="315" t="str">
        <f>VLOOKUP($B589,[5]BOLETIM_SEL!$A:$H,4,0)</f>
        <v>Construção de pavimento com aplicação de concreto betuminoso usinado à quente (CBUQ - faixa C - CAP 30/45 - usina comercial), camada de rolamento, exclusive transporte da mistura (REF. SINAPI COD. 95995)</v>
      </c>
      <c r="E589" s="2">
        <f>+Orçamento_Não_Deson!E589</f>
        <v>0</v>
      </c>
      <c r="F589" s="2" t="str">
        <f>VLOOKUP($B589,[5]BOLETIM_SEL!$A:$H,6,0)</f>
        <v>M3</v>
      </c>
      <c r="G589" s="1407">
        <f>VLOOKUP($B589,[5]BOLETIM_SEL!$A:$H,7,0)</f>
        <v>1586.06</v>
      </c>
      <c r="H589" s="1613">
        <f>+Orçamento_Não_Deson!H589</f>
        <v>0</v>
      </c>
      <c r="I589" s="877">
        <f t="shared" si="114"/>
        <v>2010.17</v>
      </c>
      <c r="J589" s="1612">
        <f t="shared" si="117"/>
        <v>0</v>
      </c>
      <c r="K589" s="2078">
        <f t="shared" ca="1" si="112"/>
        <v>0</v>
      </c>
      <c r="L589" s="1574" t="e">
        <f t="shared" si="113"/>
        <v>#DIV/0!</v>
      </c>
      <c r="M589" s="1975" t="str">
        <f>+Orçamento_Não_Deson!M589</f>
        <v>COMERCIAL</v>
      </c>
      <c r="N589" s="833"/>
      <c r="O589" s="833"/>
      <c r="Q589" s="833"/>
      <c r="R589" s="833"/>
      <c r="S589" s="833"/>
      <c r="T589" s="833"/>
      <c r="U589" s="833"/>
      <c r="V589" s="833"/>
      <c r="W589" s="833"/>
      <c r="X589" s="833"/>
    </row>
    <row r="590" spans="1:24" s="813" customFormat="1" ht="39.950000000000003" hidden="1" customHeight="1" x14ac:dyDescent="0.15">
      <c r="A590" s="2081">
        <f ca="1">+Orçamento_Não_Deson!A590</f>
        <v>6</v>
      </c>
      <c r="B590" s="834">
        <f>+Orçamento_Não_Deson!B590</f>
        <v>95995</v>
      </c>
      <c r="C590" s="2" t="str">
        <f>VLOOKUP($B590,[5]BOLETIM_SEL!$A:$H,2,0)</f>
        <v>SINAPI</v>
      </c>
      <c r="D590" s="315" t="str">
        <f>VLOOKUP($B590,[5]BOLETIM_SEL!$A:$H,4,0)</f>
        <v>Construção de pavimento com aplicação de concreto betuminoso usinado à quente (CBUQ - faixa C - CAP 50/70 - usina comercial), camada de rolamento. Exclusive transporte da mistura. Af_11/2019</v>
      </c>
      <c r="E590" s="2">
        <f>+Orçamento_Não_Deson!E590</f>
        <v>0</v>
      </c>
      <c r="F590" s="2" t="str">
        <f>VLOOKUP($B590,[5]BOLETIM_SEL!$A:$H,6,0)</f>
        <v>M3</v>
      </c>
      <c r="G590" s="1407">
        <f>VLOOKUP($B590,[5]BOLETIM_SEL!$A:$H,7,0)</f>
        <v>1614.82</v>
      </c>
      <c r="H590" s="1613">
        <f>+Orçamento_Não_Deson!H590</f>
        <v>0</v>
      </c>
      <c r="I590" s="877">
        <f t="shared" si="114"/>
        <v>2046.62</v>
      </c>
      <c r="J590" s="1612">
        <f t="shared" si="117"/>
        <v>0</v>
      </c>
      <c r="K590" s="2078">
        <f t="shared" ca="1" si="112"/>
        <v>0</v>
      </c>
      <c r="L590" s="1574" t="e">
        <f t="shared" si="113"/>
        <v>#DIV/0!</v>
      </c>
      <c r="M590" s="1975" t="str">
        <f>+Orçamento_Não_Deson!M590</f>
        <v>COMERCIAL</v>
      </c>
      <c r="N590" s="833"/>
      <c r="O590" s="833"/>
      <c r="Q590" s="833"/>
      <c r="R590" s="833"/>
      <c r="S590" s="833"/>
      <c r="T590" s="833"/>
      <c r="U590" s="833"/>
      <c r="V590" s="833"/>
      <c r="W590" s="833"/>
      <c r="X590" s="833"/>
    </row>
    <row r="591" spans="1:24" s="813" customFormat="1" ht="39.950000000000003" hidden="1" customHeight="1" x14ac:dyDescent="0.15">
      <c r="A591" s="2081">
        <f ca="1">+Orçamento_Não_Deson!A591</f>
        <v>6</v>
      </c>
      <c r="B591" s="834" t="str">
        <f>+Orçamento_Não_Deson!B591</f>
        <v>PA/0045</v>
      </c>
      <c r="C591" s="2" t="str">
        <f>VLOOKUP($B591,[5]BOLETIM_SEL!$A:$H,2,0)</f>
        <v>COMPOSIÇÃO</v>
      </c>
      <c r="D591" s="315" t="str">
        <f>VLOOKUP($B591,[5]BOLETIM_SEL!$A:$H,4,0)</f>
        <v>Construção de pavimento com aplicação de concreto betuminoso usinado à quente modificado por polímero elastomérico - CBUQ (p) - CAP 60-85-E - FAIXA "C", camada de rolamento. Exclusive transporte da mistura (REF. SINAPI COD. 95995)</v>
      </c>
      <c r="E591" s="2">
        <f>+Orçamento_Não_Deson!E591</f>
        <v>0</v>
      </c>
      <c r="F591" s="2" t="str">
        <f>VLOOKUP($B591,[5]BOLETIM_SEL!$A:$H,6,0)</f>
        <v>M3</v>
      </c>
      <c r="G591" s="1407">
        <f>VLOOKUP($B591,[5]BOLETIM_SEL!$A:$H,7,0)</f>
        <v>1935.31</v>
      </c>
      <c r="H591" s="1613">
        <f>+Orçamento_Não_Deson!H591</f>
        <v>0</v>
      </c>
      <c r="I591" s="877">
        <f t="shared" si="114"/>
        <v>2452.81</v>
      </c>
      <c r="J591" s="1612">
        <f t="shared" si="117"/>
        <v>0</v>
      </c>
      <c r="K591" s="2078">
        <f t="shared" ca="1" si="112"/>
        <v>0</v>
      </c>
      <c r="L591" s="1574" t="e">
        <f t="shared" si="113"/>
        <v>#DIV/0!</v>
      </c>
      <c r="M591" s="1974"/>
      <c r="N591" s="833"/>
      <c r="O591" s="833"/>
      <c r="Q591" s="833"/>
      <c r="R591" s="833"/>
      <c r="S591" s="833"/>
      <c r="T591" s="833"/>
      <c r="U591" s="833"/>
      <c r="V591" s="833"/>
      <c r="W591" s="833"/>
      <c r="X591" s="833"/>
    </row>
    <row r="592" spans="1:24" s="813" customFormat="1" ht="39.950000000000003" hidden="1" customHeight="1" x14ac:dyDescent="0.15">
      <c r="A592" s="2081">
        <f ca="1">+Orçamento_Não_Deson!A592</f>
        <v>6</v>
      </c>
      <c r="B592" s="834" t="str">
        <f>+Orçamento_Não_Deson!B592</f>
        <v>PA/0055</v>
      </c>
      <c r="C592" s="2" t="str">
        <f>VLOOKUP($B592,[5]BOLETIM_SEL!$A:$H,2,0)</f>
        <v>COMPOSIÇÃO</v>
      </c>
      <c r="D592" s="315" t="str">
        <f>VLOOKUP($B592,[5]BOLETIM_SEL!$A:$H,4,0)</f>
        <v>Execução de pré-misturado a frio - PMF, faixa C (semidenso), com emulsão asfáltica RL-1C, para revestimento, aplicação com vibroacabadora. Exclusive transporte</v>
      </c>
      <c r="E592" s="2">
        <f>+Orçamento_Não_Deson!E592</f>
        <v>0</v>
      </c>
      <c r="F592" s="2" t="str">
        <f>VLOOKUP($B592,[5]BOLETIM_SEL!$A:$H,6,0)</f>
        <v>M3</v>
      </c>
      <c r="G592" s="1407"/>
      <c r="H592" s="1613">
        <f>+Orçamento_Não_Deson!H592</f>
        <v>0</v>
      </c>
      <c r="I592" s="2189">
        <f t="shared" si="114"/>
        <v>0</v>
      </c>
      <c r="J592" s="2190">
        <f t="shared" si="117"/>
        <v>0</v>
      </c>
      <c r="K592" s="2191">
        <f t="shared" ca="1" si="112"/>
        <v>0</v>
      </c>
      <c r="L592" s="2470" t="e">
        <f t="shared" si="113"/>
        <v>#DIV/0!</v>
      </c>
      <c r="M592" s="1974"/>
      <c r="N592" s="833"/>
      <c r="O592" s="833"/>
      <c r="Q592" s="833"/>
      <c r="R592" s="833"/>
      <c r="S592" s="833"/>
      <c r="T592" s="833"/>
      <c r="U592" s="833"/>
      <c r="V592" s="833"/>
      <c r="W592" s="833"/>
      <c r="X592" s="833"/>
    </row>
    <row r="593" spans="1:24" s="813" customFormat="1" ht="39.950000000000003" hidden="1" customHeight="1" x14ac:dyDescent="0.15">
      <c r="A593" s="2081">
        <f ca="1">+Orçamento_Não_Deson!A593</f>
        <v>6</v>
      </c>
      <c r="B593" s="834" t="str">
        <f>+Orçamento_Não_Deson!B593</f>
        <v>DR/0385</v>
      </c>
      <c r="C593" s="2" t="str">
        <f>VLOOKUP($B593,[5]BOLETIM_SEL!$A:$H,2,0)</f>
        <v>COMPOSIÇÃO</v>
      </c>
      <c r="D593" s="315" t="str">
        <f>VLOOKUP($B593,[5]BOLETIM_SEL!$A:$H,4,0)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593" s="2">
        <f>+Orçamento_Não_Deson!E593</f>
        <v>0</v>
      </c>
      <c r="F593" s="2" t="str">
        <f>VLOOKUP($B593,[5]BOLETIM_SEL!$A:$H,6,0)</f>
        <v xml:space="preserve">UN </v>
      </c>
      <c r="G593" s="1407">
        <f>VLOOKUP($B593,[5]BOLETIM_SEL!$A:$H,7,0)</f>
        <v>930.91</v>
      </c>
      <c r="H593" s="1613">
        <f>+Orçamento_Não_Deson!H593</f>
        <v>0</v>
      </c>
      <c r="I593" s="877">
        <f t="shared" si="114"/>
        <v>1179.83</v>
      </c>
      <c r="J593" s="1612">
        <f t="shared" si="117"/>
        <v>0</v>
      </c>
      <c r="K593" s="2078">
        <f t="shared" ca="1" si="112"/>
        <v>0</v>
      </c>
      <c r="L593" s="1574" t="e">
        <f t="shared" si="113"/>
        <v>#DIV/0!</v>
      </c>
      <c r="M593" s="1974"/>
      <c r="N593" s="833"/>
      <c r="O593" s="833"/>
      <c r="Q593" s="833"/>
      <c r="R593" s="833"/>
      <c r="S593" s="833"/>
      <c r="T593" s="833"/>
      <c r="U593" s="833"/>
      <c r="V593" s="833"/>
      <c r="W593" s="833"/>
      <c r="X593" s="833"/>
    </row>
    <row r="594" spans="1:24" s="813" customFormat="1" ht="39.950000000000003" hidden="1" customHeight="1" x14ac:dyDescent="0.15">
      <c r="A594" s="2081">
        <f ca="1">+Orçamento_Não_Deson!A594</f>
        <v>6</v>
      </c>
      <c r="B594" s="834" t="str">
        <f>+Orçamento_Não_Deson!B594</f>
        <v>DR/0390</v>
      </c>
      <c r="C594" s="2" t="str">
        <f>VLOOKUP($B594,[5]BOLETIM_SEL!$A:$H,2,0)</f>
        <v>COMPOSIÇÃO</v>
      </c>
      <c r="D594" s="315" t="str">
        <f>VLOOKUP($B594,[5]BOLETIM_SEL!$A:$H,4,0)</f>
        <v>Remoção e reassentamento de quadro e grelha articulada em F°F° para boca de lobo, incluindo demolição e implantação da sarjeta de contorno (chama) em concreto FCK = 20 Mpa</v>
      </c>
      <c r="E594" s="2">
        <f>+Orçamento_Não_Deson!E594</f>
        <v>0</v>
      </c>
      <c r="F594" s="2" t="str">
        <f>VLOOKUP($B594,[5]BOLETIM_SEL!$A:$H,6,0)</f>
        <v xml:space="preserve">UN </v>
      </c>
      <c r="G594" s="1407">
        <f>VLOOKUP($B594,[5]BOLETIM_SEL!$A:$H,7,0)</f>
        <v>198.04</v>
      </c>
      <c r="H594" s="1613">
        <f>+Orçamento_Não_Deson!H594</f>
        <v>0</v>
      </c>
      <c r="I594" s="877">
        <f t="shared" si="114"/>
        <v>250.99</v>
      </c>
      <c r="J594" s="1612">
        <f t="shared" si="117"/>
        <v>0</v>
      </c>
      <c r="K594" s="2078">
        <f t="shared" ca="1" si="112"/>
        <v>0</v>
      </c>
      <c r="L594" s="1574" t="e">
        <f t="shared" si="113"/>
        <v>#DIV/0!</v>
      </c>
      <c r="M594" s="1974"/>
      <c r="N594" s="833"/>
      <c r="O594" s="833"/>
      <c r="Q594" s="833"/>
      <c r="R594" s="833"/>
      <c r="S594" s="833"/>
      <c r="T594" s="833"/>
      <c r="U594" s="833"/>
      <c r="V594" s="833"/>
      <c r="W594" s="833"/>
      <c r="X594" s="833"/>
    </row>
    <row r="595" spans="1:24" s="813" customFormat="1" ht="39.950000000000003" hidden="1" customHeight="1" x14ac:dyDescent="0.15">
      <c r="A595" s="2081">
        <f ca="1">+Orçamento_Não_Deson!A595</f>
        <v>6</v>
      </c>
      <c r="B595" s="834" t="str">
        <f>+Orçamento_Não_Deson!B595</f>
        <v>DR/0365</v>
      </c>
      <c r="C595" s="2" t="str">
        <f>VLOOKUP($B595,[5]BOLETIM_SEL!$A:$H,2,0)</f>
        <v>COMPOSIÇÃO</v>
      </c>
      <c r="D595" s="315" t="str">
        <f>VLOOKUP($B595,[5]BOLETIM_SEL!$A:$H,4,0)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595" s="2">
        <f>+Orçamento_Não_Deson!E595</f>
        <v>0</v>
      </c>
      <c r="F595" s="2" t="str">
        <f>VLOOKUP($B595,[5]BOLETIM_SEL!$A:$H,6,0)</f>
        <v xml:space="preserve">UN </v>
      </c>
      <c r="G595" s="1407">
        <f>VLOOKUP($B595,[5]BOLETIM_SEL!$A:$H,7,0)</f>
        <v>816.13</v>
      </c>
      <c r="H595" s="1613">
        <f>+Orçamento_Não_Deson!H595</f>
        <v>0</v>
      </c>
      <c r="I595" s="877">
        <f t="shared" si="114"/>
        <v>1034.3599999999999</v>
      </c>
      <c r="J595" s="1612">
        <f t="shared" si="117"/>
        <v>0</v>
      </c>
      <c r="K595" s="2078">
        <f t="shared" ca="1" si="112"/>
        <v>0</v>
      </c>
      <c r="L595" s="1574" t="e">
        <f t="shared" si="113"/>
        <v>#DIV/0!</v>
      </c>
      <c r="M595" s="1974"/>
      <c r="N595" s="833"/>
      <c r="O595" s="833"/>
      <c r="Q595" s="833"/>
      <c r="R595" s="833"/>
      <c r="S595" s="833"/>
      <c r="T595" s="833"/>
      <c r="U595" s="833"/>
      <c r="V595" s="833"/>
      <c r="W595" s="833"/>
      <c r="X595" s="833"/>
    </row>
    <row r="596" spans="1:24" s="813" customFormat="1" ht="39.950000000000003" hidden="1" customHeight="1" x14ac:dyDescent="0.15">
      <c r="A596" s="2081">
        <f ca="1">+Orçamento_Não_Deson!A596</f>
        <v>6</v>
      </c>
      <c r="B596" s="834" t="str">
        <f>+Orçamento_Não_Deson!B596</f>
        <v>DR/0370</v>
      </c>
      <c r="C596" s="2" t="str">
        <f>VLOOKUP($B596,[5]BOLETIM_SEL!$A:$H,2,0)</f>
        <v>COMPOSIÇÃO</v>
      </c>
      <c r="D596" s="315" t="str">
        <f>VLOOKUP($B596,[5]BOLETIM_SEL!$A:$H,4,0)</f>
        <v>Remoção e reassentamento de tampão em F°F° para PV, com  reaproveitamento, incluindo recorte, demolição e requadro em concreto simples FCK 20mpa, de 1,00m x 1,00m x 0,20m</v>
      </c>
      <c r="E596" s="2">
        <f>+Orçamento_Não_Deson!E596</f>
        <v>0</v>
      </c>
      <c r="F596" s="2" t="str">
        <f>VLOOKUP($B596,[5]BOLETIM_SEL!$A:$H,6,0)</f>
        <v xml:space="preserve">UN </v>
      </c>
      <c r="G596" s="1407">
        <f>VLOOKUP($B596,[5]BOLETIM_SEL!$A:$H,7,0)</f>
        <v>204.61</v>
      </c>
      <c r="H596" s="1613">
        <f>+Orçamento_Não_Deson!H596</f>
        <v>0</v>
      </c>
      <c r="I596" s="877">
        <f t="shared" si="114"/>
        <v>259.32</v>
      </c>
      <c r="J596" s="1612">
        <f t="shared" si="117"/>
        <v>0</v>
      </c>
      <c r="K596" s="2078">
        <f t="shared" ca="1" si="112"/>
        <v>0</v>
      </c>
      <c r="L596" s="1574" t="e">
        <f t="shared" si="113"/>
        <v>#DIV/0!</v>
      </c>
      <c r="M596" s="1974"/>
      <c r="N596" s="833"/>
      <c r="O596" s="833"/>
      <c r="Q596" s="833"/>
      <c r="R596" s="833"/>
      <c r="S596" s="833"/>
      <c r="T596" s="833"/>
      <c r="U596" s="833"/>
      <c r="V596" s="833"/>
      <c r="W596" s="833"/>
      <c r="X596" s="833"/>
    </row>
    <row r="597" spans="1:24" s="813" customFormat="1" ht="39.950000000000003" hidden="1" customHeight="1" x14ac:dyDescent="0.15">
      <c r="A597" s="2081">
        <f ca="1">+Orçamento_Não_Deson!A597</f>
        <v>6</v>
      </c>
      <c r="B597" s="834" t="str">
        <f>+Orçamento_Não_Deson!B597</f>
        <v>DR/0395</v>
      </c>
      <c r="C597" s="2" t="str">
        <f>VLOOKUP($B597,[5]BOLETIM_SEL!$A:$H,2,0)</f>
        <v>COMPOSIÇÃO</v>
      </c>
      <c r="D597" s="315" t="str">
        <f>VLOOKUP($B597,[5]BOLETIM_SEL!$A:$H,4,0)</f>
        <v>Tampão F°F° articulado T9, classe B125, carga máxima 12,5 T, redondo tampa 100 mm para registro de água. Incluindo fornecimento, assentamento e requadro em concreto FCK 20mpa, de 0,50m x 0,50m x 0,20m</v>
      </c>
      <c r="E597" s="2">
        <f>+Orçamento_Não_Deson!E597</f>
        <v>0</v>
      </c>
      <c r="F597" s="2" t="str">
        <f>VLOOKUP($B597,[5]BOLETIM_SEL!$A:$H,6,0)</f>
        <v xml:space="preserve">UN </v>
      </c>
      <c r="G597" s="1407">
        <f>VLOOKUP($B597,[5]BOLETIM_SEL!$A:$H,7,0)</f>
        <v>599.62</v>
      </c>
      <c r="H597" s="1613">
        <f>+Orçamento_Não_Deson!H597</f>
        <v>0</v>
      </c>
      <c r="I597" s="877">
        <f t="shared" si="114"/>
        <v>759.95</v>
      </c>
      <c r="J597" s="1612">
        <f t="shared" si="117"/>
        <v>0</v>
      </c>
      <c r="K597" s="2078">
        <f t="shared" ca="1" si="112"/>
        <v>0</v>
      </c>
      <c r="L597" s="1574" t="e">
        <f t="shared" si="113"/>
        <v>#DIV/0!</v>
      </c>
      <c r="M597" s="1974"/>
      <c r="N597" s="833"/>
      <c r="O597" s="833"/>
      <c r="Q597" s="833"/>
      <c r="R597" s="833"/>
      <c r="S597" s="833"/>
      <c r="T597" s="833"/>
      <c r="U597" s="833"/>
      <c r="V597" s="833"/>
      <c r="W597" s="833"/>
      <c r="X597" s="833"/>
    </row>
    <row r="598" spans="1:24" s="813" customFormat="1" ht="39.950000000000003" hidden="1" customHeight="1" x14ac:dyDescent="0.15">
      <c r="A598" s="2081">
        <f ca="1">+Orçamento_Não_Deson!A598</f>
        <v>6</v>
      </c>
      <c r="B598" s="834" t="str">
        <f>+Orçamento_Não_Deson!B598</f>
        <v>DR/0400</v>
      </c>
      <c r="C598" s="2" t="str">
        <f>VLOOKUP($B598,[5]BOLETIM_SEL!$A:$H,2,0)</f>
        <v>COMPOSIÇÃO</v>
      </c>
      <c r="D598" s="315" t="str">
        <f>VLOOKUP($B598,[5]BOLETIM_SEL!$A:$H,4,0)</f>
        <v>Substituição de tampão de registro de água, incluindo fornecimento de tampão de FºFº articulado T9, Classe B125, carga máxima 12,5 T, redondo tampa 100 mm e requadro em concreto simples FCK 20mpa, de 0,50m x 0,50m x 0,20m</v>
      </c>
      <c r="E598" s="2">
        <f>+Orçamento_Não_Deson!E598</f>
        <v>0</v>
      </c>
      <c r="F598" s="2" t="str">
        <f>VLOOKUP($B598,[5]BOLETIM_SEL!$A:$H,6,0)</f>
        <v xml:space="preserve">UN </v>
      </c>
      <c r="G598" s="1407">
        <f>VLOOKUP($B598,[5]BOLETIM_SEL!$A:$H,7,0)</f>
        <v>1238.21</v>
      </c>
      <c r="H598" s="1613">
        <f>+Orçamento_Não_Deson!H598</f>
        <v>0</v>
      </c>
      <c r="I598" s="877">
        <f t="shared" si="114"/>
        <v>1569.3</v>
      </c>
      <c r="J598" s="1612">
        <f t="shared" si="117"/>
        <v>0</v>
      </c>
      <c r="K598" s="2078">
        <f t="shared" ca="1" si="112"/>
        <v>0</v>
      </c>
      <c r="L598" s="1574" t="e">
        <f t="shared" si="113"/>
        <v>#DIV/0!</v>
      </c>
      <c r="M598" s="1974"/>
      <c r="N598" s="833"/>
      <c r="O598" s="833"/>
      <c r="Q598" s="833"/>
      <c r="R598" s="833"/>
      <c r="S598" s="833"/>
      <c r="T598" s="833"/>
      <c r="U598" s="833"/>
      <c r="V598" s="833"/>
      <c r="W598" s="833"/>
      <c r="X598" s="833"/>
    </row>
    <row r="599" spans="1:24" s="813" customFormat="1" ht="39.950000000000003" hidden="1" customHeight="1" x14ac:dyDescent="0.15">
      <c r="A599" s="2081"/>
      <c r="B599" s="834"/>
      <c r="C599" s="2"/>
      <c r="D599" s="1452" t="s">
        <v>1788</v>
      </c>
      <c r="E599" s="2"/>
      <c r="F599" s="2"/>
      <c r="G599" s="1407"/>
      <c r="H599" s="2"/>
      <c r="I599" s="2"/>
      <c r="J599" s="839" t="str">
        <f>IF(J600=0,"-","")</f>
        <v>-</v>
      </c>
      <c r="K599" s="2"/>
      <c r="L599" s="1574"/>
      <c r="M599" s="1974"/>
      <c r="N599" s="833"/>
      <c r="O599" s="1422"/>
      <c r="Q599" s="833"/>
      <c r="R599" s="833"/>
      <c r="S599" s="833"/>
      <c r="T599" s="833"/>
      <c r="U599" s="833"/>
      <c r="V599" s="833"/>
      <c r="W599" s="833"/>
      <c r="X599" s="833"/>
    </row>
    <row r="600" spans="1:24" s="813" customFormat="1" ht="39.950000000000003" hidden="1" customHeight="1" x14ac:dyDescent="0.15">
      <c r="A600" s="2081">
        <f ca="1">+Orçamento_Não_Deson!A600</f>
        <v>6</v>
      </c>
      <c r="B600" s="834">
        <f>+Orçamento_Não_Deson!B600</f>
        <v>95875</v>
      </c>
      <c r="C600" s="2" t="str">
        <f>VLOOKUP($B600,[5]BOLETIM_SEL!$A:$H,2,0)</f>
        <v>SINAPI</v>
      </c>
      <c r="D600" s="315" t="str">
        <f>VLOOKUP($B600,[5]BOLETIM_SEL!$A:$H,4,0)</f>
        <v>Transporte com caminhão basculante de 10 m3, em via urbana pavimentada, DMT até 30,00 km (unidade: m3xkm). AF_07/2020</v>
      </c>
      <c r="E600" s="2">
        <f>+Orçamento_Não_Deson!E600</f>
        <v>0</v>
      </c>
      <c r="F600" s="2" t="str">
        <f>VLOOKUP($B600,[5]BOLETIM_SEL!$A:$H,6,0)</f>
        <v>M3XKM</v>
      </c>
      <c r="G600" s="1407">
        <f>VLOOKUP($B600,[5]BOLETIM_SEL!$A:$H,7,0)</f>
        <v>2.15</v>
      </c>
      <c r="H600" s="1613">
        <f>+Orçamento_Não_Deson!H600</f>
        <v>0</v>
      </c>
      <c r="I600" s="877">
        <f>+TRUNC(G600*(1+$J$5),2)</f>
        <v>2.72</v>
      </c>
      <c r="J600" s="1612">
        <f t="shared" si="117"/>
        <v>0</v>
      </c>
      <c r="K600" s="2078">
        <f ca="1">J600/J$967</f>
        <v>0</v>
      </c>
      <c r="L600" s="1574" t="e">
        <f t="shared" si="113"/>
        <v>#DIV/0!</v>
      </c>
      <c r="M600" s="1976">
        <f>+Orçamento_Não_Deson!M600</f>
        <v>0</v>
      </c>
      <c r="N600" s="833"/>
      <c r="O600" s="833"/>
      <c r="Q600" s="833"/>
      <c r="R600" s="833"/>
      <c r="S600" s="833"/>
      <c r="T600" s="833"/>
      <c r="U600" s="833"/>
      <c r="V600" s="833"/>
      <c r="W600" s="833"/>
      <c r="X600" s="833"/>
    </row>
    <row r="601" spans="1:24" s="813" customFormat="1" ht="39.950000000000003" hidden="1" customHeight="1" x14ac:dyDescent="0.15">
      <c r="A601" s="2081"/>
      <c r="B601" s="834"/>
      <c r="C601" s="2"/>
      <c r="D601" s="1452" t="s">
        <v>1789</v>
      </c>
      <c r="E601" s="2"/>
      <c r="F601" s="2"/>
      <c r="G601" s="1407"/>
      <c r="H601" s="2"/>
      <c r="I601" s="2"/>
      <c r="J601" s="839" t="str">
        <f>IF(J602=0,"-","")</f>
        <v>-</v>
      </c>
      <c r="K601" s="2"/>
      <c r="L601" s="1574"/>
      <c r="M601" s="1974"/>
      <c r="N601" s="833"/>
      <c r="O601" s="1422"/>
      <c r="Q601" s="833"/>
      <c r="R601" s="833"/>
      <c r="S601" s="833"/>
      <c r="T601" s="833"/>
      <c r="U601" s="833"/>
      <c r="V601" s="833"/>
      <c r="W601" s="833"/>
      <c r="X601" s="833"/>
    </row>
    <row r="602" spans="1:24" s="813" customFormat="1" ht="39.950000000000003" hidden="1" customHeight="1" x14ac:dyDescent="0.15">
      <c r="A602" s="2081">
        <f ca="1">+Orçamento_Não_Deson!A602</f>
        <v>6</v>
      </c>
      <c r="B602" s="834">
        <f>+Orçamento_Não_Deson!B602</f>
        <v>95875</v>
      </c>
      <c r="C602" s="2" t="str">
        <f>VLOOKUP($B602,[5]BOLETIM_SEL!$A:$H,2,0)</f>
        <v>SINAPI</v>
      </c>
      <c r="D602" s="315" t="str">
        <f>VLOOKUP($B602,[5]BOLETIM_SEL!$A:$H,4,0)</f>
        <v>Transporte com caminhão basculante de 10 m3, em via urbana pavimentada, DMT até 30,00 km (unidade: m3xkm). AF_07/2020</v>
      </c>
      <c r="E602" s="2">
        <f>+Orçamento_Não_Deson!E602</f>
        <v>0</v>
      </c>
      <c r="F602" s="2" t="str">
        <f>VLOOKUP($B602,[5]BOLETIM_SEL!$A:$H,6,0)</f>
        <v>M3XKM</v>
      </c>
      <c r="G602" s="1407">
        <f>VLOOKUP($B602,[5]BOLETIM_SEL!$A:$H,7,0)</f>
        <v>2.15</v>
      </c>
      <c r="H602" s="1613">
        <f>+Orçamento_Não_Deson!H602</f>
        <v>0</v>
      </c>
      <c r="I602" s="877">
        <f>+TRUNC(G602*(1+$J$5),2)</f>
        <v>2.72</v>
      </c>
      <c r="J602" s="1612">
        <f t="shared" si="117"/>
        <v>0</v>
      </c>
      <c r="K602" s="2078">
        <f ca="1">J602/J$967</f>
        <v>0</v>
      </c>
      <c r="L602" s="1574" t="e">
        <f t="shared" si="113"/>
        <v>#DIV/0!</v>
      </c>
      <c r="M602" s="1976">
        <f>+Orçamento_Não_Deson!M602</f>
        <v>0</v>
      </c>
      <c r="N602" s="833"/>
      <c r="O602" s="833"/>
      <c r="Q602" s="833"/>
      <c r="R602" s="833"/>
      <c r="S602" s="833"/>
      <c r="T602" s="833"/>
      <c r="U602" s="833"/>
      <c r="V602" s="833"/>
      <c r="W602" s="833"/>
      <c r="X602" s="833"/>
    </row>
    <row r="603" spans="1:24" s="813" customFormat="1" ht="39.950000000000003" hidden="1" customHeight="1" x14ac:dyDescent="0.15">
      <c r="A603" s="2081"/>
      <c r="B603" s="834"/>
      <c r="C603" s="2"/>
      <c r="D603" s="1452" t="s">
        <v>1790</v>
      </c>
      <c r="E603" s="2"/>
      <c r="F603" s="2"/>
      <c r="G603" s="1407"/>
      <c r="H603" s="2"/>
      <c r="I603" s="2"/>
      <c r="J603" s="839" t="str">
        <f>IF(J604=0,"-","")</f>
        <v>-</v>
      </c>
      <c r="K603" s="2"/>
      <c r="L603" s="1574"/>
      <c r="M603" s="1974"/>
      <c r="N603" s="833"/>
      <c r="O603" s="1422"/>
      <c r="Q603" s="833"/>
      <c r="R603" s="833"/>
      <c r="S603" s="833"/>
      <c r="T603" s="833"/>
      <c r="U603" s="833"/>
      <c r="V603" s="833"/>
      <c r="W603" s="833"/>
      <c r="X603" s="833"/>
    </row>
    <row r="604" spans="1:24" s="813" customFormat="1" ht="39.950000000000003" hidden="1" customHeight="1" x14ac:dyDescent="0.15">
      <c r="A604" s="2081">
        <f ca="1">+Orçamento_Não_Deson!A604</f>
        <v>6</v>
      </c>
      <c r="B604" s="834">
        <f>+Orçamento_Não_Deson!B604</f>
        <v>95875</v>
      </c>
      <c r="C604" s="2" t="str">
        <f>VLOOKUP($B604,[5]BOLETIM_SEL!$A:$H,2,0)</f>
        <v>SINAPI</v>
      </c>
      <c r="D604" s="315" t="str">
        <f>VLOOKUP($B604,[5]BOLETIM_SEL!$A:$H,4,0)</f>
        <v>Transporte com caminhão basculante de 10 m3, em via urbana pavimentada, DMT até 30,00 km (unidade: m3xkm). AF_07/2020</v>
      </c>
      <c r="E604" s="2">
        <f>+Orçamento_Não_Deson!E604</f>
        <v>0</v>
      </c>
      <c r="F604" s="2" t="str">
        <f>VLOOKUP($B604,[5]BOLETIM_SEL!$A:$H,6,0)</f>
        <v>M3XKM</v>
      </c>
      <c r="G604" s="1407">
        <f>VLOOKUP($B604,[5]BOLETIM_SEL!$A:$H,7,0)</f>
        <v>2.15</v>
      </c>
      <c r="H604" s="1613">
        <f>+Orçamento_Não_Deson!H604</f>
        <v>0</v>
      </c>
      <c r="I604" s="877">
        <f>+TRUNC(G604*(1+$J$5),2)</f>
        <v>2.72</v>
      </c>
      <c r="J604" s="1612">
        <f t="shared" si="117"/>
        <v>0</v>
      </c>
      <c r="K604" s="2078">
        <f ca="1">J604/J$967</f>
        <v>0</v>
      </c>
      <c r="L604" s="1574" t="e">
        <f t="shared" si="113"/>
        <v>#DIV/0!</v>
      </c>
      <c r="M604" s="1976">
        <f>+Orçamento_Não_Deson!M604</f>
        <v>0</v>
      </c>
      <c r="N604" s="833"/>
      <c r="O604" s="833"/>
      <c r="Q604" s="833"/>
      <c r="R604" s="833"/>
      <c r="S604" s="833"/>
      <c r="T604" s="833"/>
      <c r="U604" s="833"/>
      <c r="V604" s="833"/>
      <c r="W604" s="833"/>
      <c r="X604" s="833"/>
    </row>
    <row r="605" spans="1:24" s="813" customFormat="1" ht="39.950000000000003" hidden="1" customHeight="1" x14ac:dyDescent="0.15">
      <c r="A605" s="2081"/>
      <c r="B605" s="834"/>
      <c r="C605" s="2"/>
      <c r="D605" s="1452" t="s">
        <v>1905</v>
      </c>
      <c r="E605" s="2"/>
      <c r="F605" s="2"/>
      <c r="G605" s="1407"/>
      <c r="H605" s="2"/>
      <c r="I605" s="2"/>
      <c r="J605" s="839" t="str">
        <f>IF(J606=0,"-","")</f>
        <v>-</v>
      </c>
      <c r="K605" s="2"/>
      <c r="L605" s="1574"/>
      <c r="M605" s="1974"/>
      <c r="N605" s="833"/>
      <c r="O605" s="1422"/>
      <c r="Q605" s="833"/>
      <c r="R605" s="833"/>
      <c r="S605" s="833"/>
      <c r="T605" s="833"/>
      <c r="U605" s="833"/>
      <c r="V605" s="833"/>
      <c r="W605" s="833"/>
      <c r="X605" s="833"/>
    </row>
    <row r="606" spans="1:24" s="813" customFormat="1" ht="39.950000000000003" hidden="1" customHeight="1" x14ac:dyDescent="0.15">
      <c r="A606" s="2081">
        <f ca="1">+Orçamento_Não_Deson!A606</f>
        <v>6</v>
      </c>
      <c r="B606" s="834">
        <f>+Orçamento_Não_Deson!B606</f>
        <v>93590</v>
      </c>
      <c r="C606" s="2" t="str">
        <f>VLOOKUP($B606,[5]BOLETIM_SEL!$A:$H,2,0)</f>
        <v>SINAPI</v>
      </c>
      <c r="D606" s="315" t="str">
        <f>VLOOKUP($B606,[5]BOLETIM_SEL!$A:$H,4,0)</f>
        <v>Transporte com caminhão basculante de 10 m3, em via urbana pavimentada, adicional para DMT excedente a 30,00 km (unidade: m3xkm). AF_07/2020</v>
      </c>
      <c r="E606" s="2">
        <f>+Orçamento_Não_Deson!E606</f>
        <v>109</v>
      </c>
      <c r="F606" s="2" t="str">
        <f>VLOOKUP($B606,[5]BOLETIM_SEL!$A:$H,6,0)</f>
        <v>M3XKM</v>
      </c>
      <c r="G606" s="1407">
        <f>VLOOKUP($B606,[5]BOLETIM_SEL!$A:$H,7,0)</f>
        <v>0.85</v>
      </c>
      <c r="H606" s="1613">
        <f>+Orçamento_Não_Deson!H606</f>
        <v>0</v>
      </c>
      <c r="I606" s="877">
        <f>+TRUNC(G606*(1+$J$5),2)</f>
        <v>1.07</v>
      </c>
      <c r="J606" s="1612">
        <f t="shared" si="117"/>
        <v>0</v>
      </c>
      <c r="K606" s="2078">
        <f ca="1">J606/J$967</f>
        <v>0</v>
      </c>
      <c r="L606" s="1574" t="e">
        <f t="shared" si="113"/>
        <v>#DIV/0!</v>
      </c>
      <c r="M606" s="1976">
        <f>+Orçamento_Não_Deson!M606</f>
        <v>0</v>
      </c>
      <c r="N606" s="833"/>
      <c r="O606" s="833"/>
      <c r="Q606" s="833"/>
      <c r="R606" s="833"/>
      <c r="S606" s="833"/>
      <c r="T606" s="833"/>
      <c r="U606" s="833"/>
      <c r="V606" s="833"/>
      <c r="W606" s="833"/>
      <c r="X606" s="833"/>
    </row>
    <row r="607" spans="1:24" s="813" customFormat="1" ht="39.950000000000003" hidden="1" customHeight="1" x14ac:dyDescent="0.15">
      <c r="A607" s="2081"/>
      <c r="B607" s="834"/>
      <c r="C607" s="2"/>
      <c r="D607" s="1452" t="s">
        <v>1906</v>
      </c>
      <c r="E607" s="2"/>
      <c r="F607" s="2"/>
      <c r="G607" s="1407"/>
      <c r="H607" s="2"/>
      <c r="I607" s="2"/>
      <c r="J607" s="839" t="str">
        <f>IF(J608=0,"-","")</f>
        <v>-</v>
      </c>
      <c r="K607" s="2"/>
      <c r="L607" s="1574"/>
      <c r="M607" s="1974"/>
      <c r="N607" s="833"/>
      <c r="O607" s="1422"/>
      <c r="Q607" s="833"/>
      <c r="R607" s="833"/>
      <c r="S607" s="833"/>
      <c r="T607" s="833"/>
      <c r="U607" s="833"/>
      <c r="V607" s="833"/>
      <c r="W607" s="833"/>
      <c r="X607" s="833"/>
    </row>
    <row r="608" spans="1:24" s="813" customFormat="1" ht="39.950000000000003" hidden="1" customHeight="1" x14ac:dyDescent="0.15">
      <c r="A608" s="2081">
        <f ca="1">+Orçamento_Não_Deson!A608</f>
        <v>6</v>
      </c>
      <c r="B608" s="834">
        <f>+Orçamento_Não_Deson!B608</f>
        <v>93590</v>
      </c>
      <c r="C608" s="2" t="str">
        <f>VLOOKUP($B608,[5]BOLETIM_SEL!$A:$H,2,0)</f>
        <v>SINAPI</v>
      </c>
      <c r="D608" s="315" t="str">
        <f>VLOOKUP($B608,[5]BOLETIM_SEL!$A:$H,4,0)</f>
        <v>Transporte com caminhão basculante de 10 m3, em via urbana pavimentada, adicional para DMT excedente a 30,00 km (unidade: m3xkm). AF_07/2020</v>
      </c>
      <c r="E608" s="2">
        <f>+Orçamento_Não_Deson!E608</f>
        <v>109</v>
      </c>
      <c r="F608" s="2" t="str">
        <f>VLOOKUP($B608,[5]BOLETIM_SEL!$A:$H,6,0)</f>
        <v>M3XKM</v>
      </c>
      <c r="G608" s="1407">
        <f>VLOOKUP($B608,[5]BOLETIM_SEL!$A:$H,7,0)</f>
        <v>0.85</v>
      </c>
      <c r="H608" s="1613">
        <f>+Orçamento_Não_Deson!H608</f>
        <v>0</v>
      </c>
      <c r="I608" s="877">
        <f>+TRUNC(G608*(1+$J$5),2)</f>
        <v>1.07</v>
      </c>
      <c r="J608" s="1612">
        <f t="shared" si="117"/>
        <v>0</v>
      </c>
      <c r="K608" s="2078">
        <f ca="1">J608/J$967</f>
        <v>0</v>
      </c>
      <c r="L608" s="1574" t="e">
        <f t="shared" si="113"/>
        <v>#DIV/0!</v>
      </c>
      <c r="M608" s="1976">
        <f>+Orçamento_Não_Deson!M608</f>
        <v>0</v>
      </c>
      <c r="N608" s="833"/>
      <c r="O608" s="833"/>
      <c r="Q608" s="833"/>
      <c r="R608" s="833"/>
      <c r="S608" s="833"/>
      <c r="T608" s="833"/>
      <c r="U608" s="833"/>
      <c r="V608" s="833"/>
      <c r="W608" s="833"/>
      <c r="X608" s="833"/>
    </row>
    <row r="609" spans="1:24" s="813" customFormat="1" ht="39.950000000000003" hidden="1" customHeight="1" x14ac:dyDescent="0.15">
      <c r="A609" s="2081"/>
      <c r="B609" s="834"/>
      <c r="C609" s="2"/>
      <c r="D609" s="1452" t="s">
        <v>1901</v>
      </c>
      <c r="E609" s="2"/>
      <c r="F609" s="2"/>
      <c r="G609" s="1407"/>
      <c r="H609" s="2"/>
      <c r="I609" s="2"/>
      <c r="J609" s="839" t="str">
        <f>IF(J610=0,"-","")</f>
        <v>-</v>
      </c>
      <c r="K609" s="2"/>
      <c r="L609" s="1574"/>
      <c r="M609" s="1974"/>
      <c r="N609" s="833"/>
      <c r="O609" s="1422"/>
      <c r="Q609" s="833"/>
      <c r="R609" s="833"/>
      <c r="S609" s="833"/>
      <c r="T609" s="833"/>
      <c r="U609" s="833"/>
      <c r="V609" s="833"/>
      <c r="W609" s="833"/>
      <c r="X609" s="833"/>
    </row>
    <row r="610" spans="1:24" s="813" customFormat="1" ht="39.950000000000003" hidden="1" customHeight="1" x14ac:dyDescent="0.15">
      <c r="A610" s="2081">
        <f ca="1">+Orçamento_Não_Deson!A610</f>
        <v>6</v>
      </c>
      <c r="B610" s="834">
        <f>+Orçamento_Não_Deson!B610</f>
        <v>95875</v>
      </c>
      <c r="C610" s="2" t="str">
        <f>VLOOKUP($B610,[5]BOLETIM_SEL!$A:$H,2,0)</f>
        <v>SINAPI</v>
      </c>
      <c r="D610" s="315" t="str">
        <f>VLOOKUP($B610,[5]BOLETIM_SEL!$A:$H,4,0)</f>
        <v>Transporte com caminhão basculante de 10 m3, em via urbana pavimentada, DMT até 30,00 km (unidade: m3xkm). AF_07/2020</v>
      </c>
      <c r="E610" s="2">
        <f>+Orçamento_Não_Deson!E610</f>
        <v>0</v>
      </c>
      <c r="F610" s="2" t="str">
        <f>VLOOKUP($B610,[5]BOLETIM_SEL!$A:$H,6,0)</f>
        <v>M3XKM</v>
      </c>
      <c r="G610" s="1407">
        <f>VLOOKUP($B610,[5]BOLETIM_SEL!$A:$H,7,0)</f>
        <v>2.15</v>
      </c>
      <c r="H610" s="1613">
        <f>+Orçamento_Não_Deson!H610</f>
        <v>0</v>
      </c>
      <c r="I610" s="877">
        <f>+TRUNC(G610*(1+$J$5),2)</f>
        <v>2.72</v>
      </c>
      <c r="J610" s="1612">
        <f t="shared" si="117"/>
        <v>0</v>
      </c>
      <c r="K610" s="2078">
        <f ca="1">J610/J$967</f>
        <v>0</v>
      </c>
      <c r="L610" s="1574" t="e">
        <f t="shared" si="113"/>
        <v>#DIV/0!</v>
      </c>
      <c r="M610" s="1976">
        <f>+Orçamento_Não_Deson!M610</f>
        <v>0</v>
      </c>
      <c r="N610" s="833"/>
      <c r="O610" s="833"/>
      <c r="Q610" s="833"/>
      <c r="R610" s="833"/>
      <c r="S610" s="833"/>
      <c r="T610" s="833"/>
      <c r="U610" s="833"/>
      <c r="V610" s="833"/>
      <c r="W610" s="833"/>
      <c r="X610" s="833"/>
    </row>
    <row r="611" spans="1:24" s="813" customFormat="1" ht="39.950000000000003" hidden="1" customHeight="1" x14ac:dyDescent="0.15">
      <c r="A611" s="2081"/>
      <c r="B611" s="834"/>
      <c r="C611" s="2"/>
      <c r="D611" s="1452" t="s">
        <v>1902</v>
      </c>
      <c r="E611" s="2"/>
      <c r="F611" s="2"/>
      <c r="G611" s="1407"/>
      <c r="H611" s="2"/>
      <c r="I611" s="2"/>
      <c r="J611" s="839" t="str">
        <f>IF(J612=0,"-","")</f>
        <v>-</v>
      </c>
      <c r="K611" s="2"/>
      <c r="L611" s="1574"/>
      <c r="M611" s="1974"/>
      <c r="N611" s="833"/>
      <c r="O611" s="1422"/>
      <c r="Q611" s="833"/>
      <c r="R611" s="833"/>
      <c r="S611" s="833"/>
      <c r="T611" s="833"/>
      <c r="U611" s="833"/>
      <c r="V611" s="833"/>
      <c r="W611" s="833"/>
      <c r="X611" s="833"/>
    </row>
    <row r="612" spans="1:24" s="813" customFormat="1" ht="39.950000000000003" hidden="1" customHeight="1" x14ac:dyDescent="0.15">
      <c r="A612" s="2081">
        <f ca="1">+Orçamento_Não_Deson!A612</f>
        <v>6</v>
      </c>
      <c r="B612" s="834">
        <f>+Orçamento_Não_Deson!B612</f>
        <v>95875</v>
      </c>
      <c r="C612" s="2" t="str">
        <f>VLOOKUP($B612,[5]BOLETIM_SEL!$A:$H,2,0)</f>
        <v>SINAPI</v>
      </c>
      <c r="D612" s="315" t="str">
        <f>VLOOKUP($B612,[5]BOLETIM_SEL!$A:$H,4,0)</f>
        <v>Transporte com caminhão basculante de 10 m3, em via urbana pavimentada, DMT até 30,00 km (unidade: m3xkm). AF_07/2020</v>
      </c>
      <c r="E612" s="2">
        <f>+Orçamento_Não_Deson!E612</f>
        <v>0</v>
      </c>
      <c r="F612" s="2" t="str">
        <f>VLOOKUP($B612,[5]BOLETIM_SEL!$A:$H,6,0)</f>
        <v>M3XKM</v>
      </c>
      <c r="G612" s="1407">
        <f>VLOOKUP($B612,[5]BOLETIM_SEL!$A:$H,7,0)</f>
        <v>2.15</v>
      </c>
      <c r="H612" s="1613">
        <f>+Orçamento_Não_Deson!H612</f>
        <v>0</v>
      </c>
      <c r="I612" s="877">
        <f>+TRUNC(G612*(1+$J$5),2)</f>
        <v>2.72</v>
      </c>
      <c r="J612" s="1612">
        <f t="shared" si="117"/>
        <v>0</v>
      </c>
      <c r="K612" s="2078">
        <f ca="1">J612/J$967</f>
        <v>0</v>
      </c>
      <c r="L612" s="1574" t="e">
        <f t="shared" si="113"/>
        <v>#DIV/0!</v>
      </c>
      <c r="M612" s="1976">
        <f>+Orçamento_Não_Deson!M612</f>
        <v>0</v>
      </c>
      <c r="N612" s="833"/>
      <c r="O612" s="833"/>
      <c r="Q612" s="833"/>
      <c r="R612" s="833"/>
      <c r="S612" s="833"/>
      <c r="T612" s="833"/>
      <c r="U612" s="833"/>
      <c r="V612" s="833"/>
      <c r="W612" s="833"/>
      <c r="X612" s="833"/>
    </row>
    <row r="613" spans="1:24" s="813" customFormat="1" ht="39.950000000000003" hidden="1" customHeight="1" x14ac:dyDescent="0.15">
      <c r="A613" s="2081"/>
      <c r="B613" s="834"/>
      <c r="C613" s="2"/>
      <c r="D613" s="1452" t="s">
        <v>1763</v>
      </c>
      <c r="E613" s="2"/>
      <c r="F613" s="2"/>
      <c r="G613" s="1407"/>
      <c r="H613" s="2"/>
      <c r="I613" s="2"/>
      <c r="J613" s="839" t="str">
        <f>IF(J614=0,"-","")</f>
        <v>-</v>
      </c>
      <c r="K613" s="2"/>
      <c r="L613" s="1574"/>
      <c r="M613" s="1974"/>
      <c r="N613" s="833"/>
      <c r="O613" s="1422"/>
      <c r="Q613" s="833"/>
      <c r="R613" s="833"/>
      <c r="S613" s="833"/>
      <c r="T613" s="833"/>
      <c r="U613" s="833"/>
      <c r="V613" s="833"/>
      <c r="W613" s="833"/>
      <c r="X613" s="833"/>
    </row>
    <row r="614" spans="1:24" s="813" customFormat="1" ht="39.950000000000003" hidden="1" customHeight="1" x14ac:dyDescent="0.15">
      <c r="A614" s="2081">
        <f ca="1">+Orçamento_Não_Deson!A614</f>
        <v>6</v>
      </c>
      <c r="B614" s="834">
        <f>+Orçamento_Não_Deson!B614</f>
        <v>93596</v>
      </c>
      <c r="C614" s="2" t="str">
        <f>VLOOKUP($B614,[5]BOLETIM_SEL!$A:$H,2,0)</f>
        <v>SINAPI</v>
      </c>
      <c r="D614" s="315" t="str">
        <f>VLOOKUP($B614,[5]BOLETIM_SEL!$A:$H,4,0)</f>
        <v>Transporte com caminhão basculante de 10 m3, em via urbana pavimentada, adicional para DMT excedente a 30,00 km (unidade: txkm). AF_07/2020</v>
      </c>
      <c r="E614" s="2">
        <f>+Orçamento_Não_Deson!E614</f>
        <v>109</v>
      </c>
      <c r="F614" s="2" t="str">
        <f>VLOOKUP($B614,[5]BOLETIM_SEL!$A:$H,6,0)</f>
        <v>TXKM</v>
      </c>
      <c r="G614" s="1407">
        <f>VLOOKUP($B614,[5]BOLETIM_SEL!$A:$H,7,0)</f>
        <v>0.56999999999999995</v>
      </c>
      <c r="H614" s="1613">
        <f>+Orçamento_Não_Deson!H614</f>
        <v>0</v>
      </c>
      <c r="I614" s="877">
        <f>+TRUNC(G614*(1+$J$5),2)</f>
        <v>0.72</v>
      </c>
      <c r="J614" s="1612">
        <f t="shared" si="117"/>
        <v>0</v>
      </c>
      <c r="K614" s="2078">
        <f ca="1">J614/J$967</f>
        <v>0</v>
      </c>
      <c r="L614" s="1574" t="e">
        <f t="shared" si="113"/>
        <v>#DIV/0!</v>
      </c>
      <c r="M614" s="1983">
        <f>+Orçamento_Não_Deson!M614</f>
        <v>0</v>
      </c>
      <c r="N614" s="833"/>
      <c r="O614" s="833"/>
      <c r="Q614" s="833"/>
      <c r="R614" s="833"/>
      <c r="S614" s="833"/>
      <c r="T614" s="833"/>
      <c r="U614" s="833"/>
      <c r="V614" s="833"/>
      <c r="W614" s="833"/>
      <c r="X614" s="833"/>
    </row>
    <row r="615" spans="1:24" s="813" customFormat="1" ht="39.950000000000003" hidden="1" customHeight="1" x14ac:dyDescent="0.15">
      <c r="A615" s="2081"/>
      <c r="B615" s="834"/>
      <c r="C615" s="2"/>
      <c r="D615" s="1452" t="s">
        <v>1762</v>
      </c>
      <c r="E615" s="2"/>
      <c r="F615" s="2"/>
      <c r="G615" s="1407"/>
      <c r="H615" s="2"/>
      <c r="I615" s="2"/>
      <c r="J615" s="839" t="str">
        <f>IF(J616=0,"-","")</f>
        <v>-</v>
      </c>
      <c r="K615" s="2"/>
      <c r="L615" s="1574"/>
      <c r="M615" s="1974"/>
      <c r="N615" s="833"/>
      <c r="O615" s="1422"/>
      <c r="Q615" s="833"/>
      <c r="R615" s="833"/>
      <c r="S615" s="833"/>
      <c r="T615" s="833"/>
      <c r="U615" s="833"/>
      <c r="V615" s="833"/>
      <c r="W615" s="833"/>
      <c r="X615" s="833"/>
    </row>
    <row r="616" spans="1:24" s="813" customFormat="1" ht="39.950000000000003" hidden="1" customHeight="1" x14ac:dyDescent="0.15">
      <c r="A616" s="2081">
        <f ca="1">+Orçamento_Não_Deson!A616</f>
        <v>6</v>
      </c>
      <c r="B616" s="834">
        <f>+Orçamento_Não_Deson!B616</f>
        <v>95875</v>
      </c>
      <c r="C616" s="2" t="str">
        <f>VLOOKUP($B616,[5]BOLETIM_SEL!$A:$H,2,0)</f>
        <v>SINAPI</v>
      </c>
      <c r="D616" s="315" t="str">
        <f>VLOOKUP($B616,[5]BOLETIM_SEL!$A:$H,4,0)</f>
        <v>Transporte com caminhão basculante de 10 m3, em via urbana pavimentada, DMT até 30,00 km (unidade: m3xkm). AF_07/2020</v>
      </c>
      <c r="E616" s="2">
        <f>+Orçamento_Não_Deson!E616</f>
        <v>0</v>
      </c>
      <c r="F616" s="2" t="str">
        <f>VLOOKUP($B616,[5]BOLETIM_SEL!$A:$H,6,0)</f>
        <v>M3XKM</v>
      </c>
      <c r="G616" s="1407">
        <f>VLOOKUP($B616,[5]BOLETIM_SEL!$A:$H,7,0)</f>
        <v>2.15</v>
      </c>
      <c r="H616" s="1613">
        <f>+Orçamento_Não_Deson!H616</f>
        <v>0</v>
      </c>
      <c r="I616" s="877">
        <f>+TRUNC(G616*(1+$J$5),2)</f>
        <v>2.72</v>
      </c>
      <c r="J616" s="1612">
        <f t="shared" si="117"/>
        <v>0</v>
      </c>
      <c r="K616" s="2078">
        <f ca="1">J616/J$967</f>
        <v>0</v>
      </c>
      <c r="L616" s="1574" t="e">
        <f t="shared" si="113"/>
        <v>#DIV/0!</v>
      </c>
      <c r="M616" s="1976">
        <f>+Orçamento_Não_Deson!M616</f>
        <v>0</v>
      </c>
      <c r="N616" s="833"/>
      <c r="O616" s="833"/>
      <c r="Q616" s="833"/>
      <c r="R616" s="833"/>
      <c r="S616" s="833"/>
      <c r="T616" s="833"/>
      <c r="U616" s="833"/>
      <c r="V616" s="833"/>
      <c r="W616" s="833"/>
      <c r="X616" s="833"/>
    </row>
    <row r="617" spans="1:24" s="813" customFormat="1" ht="39.950000000000003" hidden="1" customHeight="1" x14ac:dyDescent="0.15">
      <c r="A617" s="2081"/>
      <c r="B617" s="834"/>
      <c r="C617" s="2"/>
      <c r="D617" s="1452" t="s">
        <v>1759</v>
      </c>
      <c r="E617" s="2"/>
      <c r="F617" s="2"/>
      <c r="G617" s="1407"/>
      <c r="H617" s="2"/>
      <c r="I617" s="2"/>
      <c r="J617" s="839" t="str">
        <f>IF(J618=0,"-","")</f>
        <v>-</v>
      </c>
      <c r="K617" s="2"/>
      <c r="L617" s="1574"/>
      <c r="M617" s="1974"/>
      <c r="N617" s="833"/>
      <c r="O617" s="1422"/>
      <c r="Q617" s="833"/>
      <c r="R617" s="833"/>
      <c r="S617" s="833"/>
      <c r="T617" s="833"/>
      <c r="U617" s="833"/>
      <c r="V617" s="833"/>
      <c r="W617" s="833"/>
      <c r="X617" s="833"/>
    </row>
    <row r="618" spans="1:24" s="813" customFormat="1" ht="39.950000000000003" hidden="1" customHeight="1" x14ac:dyDescent="0.15">
      <c r="A618" s="2081">
        <f ca="1">+Orçamento_Não_Deson!A618</f>
        <v>6</v>
      </c>
      <c r="B618" s="834">
        <f>+Orçamento_Não_Deson!B618</f>
        <v>102333</v>
      </c>
      <c r="C618" s="2" t="str">
        <f>VLOOKUP($B618,[5]BOLETIM_SEL!$A:$H,2,0)</f>
        <v>SINAPI</v>
      </c>
      <c r="D618" s="315" t="str">
        <f>VLOOKUP($B618,[5]BOLETIM_SEL!$A:$H,4,0)</f>
        <v>Transporte com caminhão tanque de transporte de material asfáltico de 20.000 l, em via urbana pavimentada, adicional para DMT excedente a 30,00 km (unidade: txkm). AF_07/2020</v>
      </c>
      <c r="E618" s="2">
        <f>+Orçamento_Não_Deson!E618</f>
        <v>109</v>
      </c>
      <c r="F618" s="2" t="str">
        <f>VLOOKUP($B618,[5]BOLETIM_SEL!$A:$H,6,0)</f>
        <v>TXKM</v>
      </c>
      <c r="G618" s="1407">
        <f>VLOOKUP($B618,[5]BOLETIM_SEL!$A:$H,7,0)</f>
        <v>0.64</v>
      </c>
      <c r="H618" s="1613">
        <f>+Orçamento_Não_Deson!H618</f>
        <v>0</v>
      </c>
      <c r="I618" s="877">
        <f>+TRUNC(G618*(1+$J$5),2)</f>
        <v>0.81</v>
      </c>
      <c r="J618" s="1612">
        <f t="shared" si="117"/>
        <v>0</v>
      </c>
      <c r="K618" s="2078">
        <f ca="1">J618/J$967</f>
        <v>0</v>
      </c>
      <c r="L618" s="1574" t="e">
        <f t="shared" si="113"/>
        <v>#DIV/0!</v>
      </c>
      <c r="M618" s="1983">
        <f>+Orçamento_Não_Deson!M618</f>
        <v>0</v>
      </c>
      <c r="N618" s="833"/>
      <c r="O618" s="833"/>
      <c r="Q618" s="833"/>
      <c r="R618" s="833"/>
      <c r="S618" s="833"/>
      <c r="T618" s="833"/>
      <c r="U618" s="833"/>
      <c r="V618" s="833"/>
      <c r="W618" s="833"/>
      <c r="X618" s="833"/>
    </row>
    <row r="619" spans="1:24" s="813" customFormat="1" ht="39.950000000000003" hidden="1" customHeight="1" x14ac:dyDescent="0.15">
      <c r="A619" s="2081"/>
      <c r="B619" s="834"/>
      <c r="C619" s="2"/>
      <c r="D619" s="1452" t="s">
        <v>1794</v>
      </c>
      <c r="E619" s="2"/>
      <c r="F619" s="2"/>
      <c r="G619" s="1407"/>
      <c r="H619" s="2"/>
      <c r="I619" s="2"/>
      <c r="J619" s="839" t="str">
        <f>IF(J620=0,"-","")</f>
        <v>-</v>
      </c>
      <c r="K619" s="2"/>
      <c r="L619" s="1574"/>
      <c r="M619" s="1974"/>
      <c r="N619" s="833"/>
      <c r="O619" s="1422"/>
      <c r="Q619" s="833"/>
      <c r="R619" s="833"/>
      <c r="S619" s="833"/>
      <c r="T619" s="833"/>
      <c r="U619" s="833"/>
      <c r="V619" s="833"/>
      <c r="W619" s="833"/>
      <c r="X619" s="833"/>
    </row>
    <row r="620" spans="1:24" s="813" customFormat="1" ht="39.950000000000003" hidden="1" customHeight="1" x14ac:dyDescent="0.15">
      <c r="A620" s="2081">
        <f ca="1">+Orçamento_Não_Deson!A620</f>
        <v>6</v>
      </c>
      <c r="B620" s="834">
        <f>+Orçamento_Não_Deson!B620</f>
        <v>102332</v>
      </c>
      <c r="C620" s="2" t="str">
        <f>VLOOKUP($B620,[5]BOLETIM_SEL!$A:$H,2,0)</f>
        <v>SINAPI</v>
      </c>
      <c r="D620" s="315" t="str">
        <f>VLOOKUP($B620,[5]BOLETIM_SEL!$A:$H,4,0)</f>
        <v>Transporte com caminhão tanque de transporte de material asfáltico de 20.000 l, em via urbana pavimentada, DMT até 30,00 km (unidade: txkm). AF_07/2020</v>
      </c>
      <c r="E620" s="2">
        <f>+Orçamento_Não_Deson!E620</f>
        <v>0</v>
      </c>
      <c r="F620" s="2" t="str">
        <f>VLOOKUP($B620,[5]BOLETIM_SEL!$A:$H,6,0)</f>
        <v>TXKM</v>
      </c>
      <c r="G620" s="1407">
        <f>VLOOKUP($B620,[5]BOLETIM_SEL!$A:$H,7,0)</f>
        <v>1.62</v>
      </c>
      <c r="H620" s="1613">
        <f>+Orçamento_Não_Deson!H620</f>
        <v>0</v>
      </c>
      <c r="I620" s="877">
        <f>+TRUNC(G620*(1+$J$5),2)</f>
        <v>2.0499999999999998</v>
      </c>
      <c r="J620" s="1612">
        <f>TRUNC(H620*I620,2)</f>
        <v>0</v>
      </c>
      <c r="K620" s="2078">
        <f ca="1">J620/J$967</f>
        <v>0</v>
      </c>
      <c r="L620" s="1574" t="e">
        <f t="shared" si="113"/>
        <v>#DIV/0!</v>
      </c>
      <c r="M620" s="1983">
        <f>+Orçamento_Não_Deson!M620</f>
        <v>0</v>
      </c>
      <c r="N620" s="833"/>
      <c r="O620" s="833"/>
      <c r="Q620" s="833"/>
      <c r="R620" s="833"/>
      <c r="S620" s="833"/>
      <c r="T620" s="833"/>
      <c r="U620" s="833"/>
      <c r="V620" s="833"/>
      <c r="W620" s="833"/>
      <c r="X620" s="833"/>
    </row>
    <row r="621" spans="1:24" s="813" customFormat="1" ht="39.950000000000003" hidden="1" customHeight="1" x14ac:dyDescent="0.15">
      <c r="A621" s="2081"/>
      <c r="B621" s="834"/>
      <c r="C621" s="2"/>
      <c r="D621" s="1452" t="s">
        <v>1761</v>
      </c>
      <c r="E621" s="2"/>
      <c r="F621" s="2"/>
      <c r="G621" s="1407"/>
      <c r="H621" s="2"/>
      <c r="I621" s="2"/>
      <c r="J621" s="839" t="str">
        <f>IF(J622=0,"-","")</f>
        <v>-</v>
      </c>
      <c r="K621" s="2"/>
      <c r="L621" s="1574"/>
      <c r="M621" s="1974"/>
      <c r="N621" s="833"/>
      <c r="O621" s="1422"/>
      <c r="Q621" s="833"/>
      <c r="R621" s="833"/>
      <c r="S621" s="833"/>
      <c r="T621" s="833"/>
      <c r="U621" s="833"/>
      <c r="V621" s="833"/>
      <c r="W621" s="833"/>
      <c r="X621" s="833"/>
    </row>
    <row r="622" spans="1:24" s="813" customFormat="1" ht="39.950000000000003" hidden="1" customHeight="1" x14ac:dyDescent="0.15">
      <c r="A622" s="2081">
        <f ca="1">+Orçamento_Não_Deson!A622</f>
        <v>6</v>
      </c>
      <c r="B622" s="834">
        <f>+Orçamento_Não_Deson!B622</f>
        <v>102333</v>
      </c>
      <c r="C622" s="2" t="str">
        <f>VLOOKUP($B622,[5]BOLETIM_SEL!$A:$H,2,0)</f>
        <v>SINAPI</v>
      </c>
      <c r="D622" s="315" t="str">
        <f>VLOOKUP($B622,[5]BOLETIM_SEL!$A:$H,4,0)</f>
        <v>Transporte com caminhão tanque de transporte de material asfáltico de 20.000 l, em via urbana pavimentada, adicional para DMT excedente a 30,00 km (unidade: txkm). AF_07/2020</v>
      </c>
      <c r="E622" s="2">
        <f>+Orçamento_Não_Deson!E622</f>
        <v>0</v>
      </c>
      <c r="F622" s="2" t="str">
        <f>VLOOKUP($B622,[5]BOLETIM_SEL!$A:$H,6,0)</f>
        <v>TXKM</v>
      </c>
      <c r="G622" s="1407">
        <f>VLOOKUP($B622,[5]BOLETIM_SEL!$A:$H,7,0)</f>
        <v>0.64</v>
      </c>
      <c r="H622" s="1613">
        <f>+Orçamento_Não_Deson!H622</f>
        <v>0</v>
      </c>
      <c r="I622" s="877">
        <f>+TRUNC(G622*(1+$J$5),2)</f>
        <v>0.81</v>
      </c>
      <c r="J622" s="1612">
        <f t="shared" si="117"/>
        <v>0</v>
      </c>
      <c r="K622" s="2078">
        <f ca="1">J622/J$967</f>
        <v>0</v>
      </c>
      <c r="L622" s="1574" t="e">
        <f t="shared" si="113"/>
        <v>#DIV/0!</v>
      </c>
      <c r="M622" s="1983">
        <f>+Orçamento_Não_Deson!M622</f>
        <v>0</v>
      </c>
      <c r="N622" s="833"/>
      <c r="O622" s="833"/>
      <c r="Q622" s="833"/>
      <c r="R622" s="833"/>
      <c r="S622" s="833"/>
      <c r="T622" s="833"/>
      <c r="U622" s="833"/>
      <c r="V622" s="833"/>
      <c r="W622" s="833"/>
      <c r="X622" s="833"/>
    </row>
    <row r="623" spans="1:24" s="813" customFormat="1" ht="39.950000000000003" hidden="1" customHeight="1" x14ac:dyDescent="0.15">
      <c r="A623" s="2081"/>
      <c r="B623" s="834"/>
      <c r="C623" s="834"/>
      <c r="D623" s="835"/>
      <c r="E623" s="2"/>
      <c r="F623" s="834"/>
      <c r="G623" s="1407"/>
      <c r="H623" s="1"/>
      <c r="I623" s="877"/>
      <c r="J623" s="839">
        <f>IF(J582=0,0,"")</f>
        <v>0</v>
      </c>
      <c r="K623" s="2078"/>
      <c r="L623" s="1574"/>
      <c r="M623" s="1833"/>
      <c r="N623" s="833"/>
      <c r="O623" s="833"/>
      <c r="Q623" s="833"/>
      <c r="R623" s="833"/>
      <c r="S623" s="833"/>
      <c r="T623" s="833"/>
      <c r="U623" s="833"/>
      <c r="V623" s="833"/>
      <c r="W623" s="833"/>
      <c r="X623" s="833"/>
    </row>
    <row r="624" spans="1:24" s="833" customFormat="1" ht="30" customHeight="1" x14ac:dyDescent="0.15">
      <c r="A624" s="2082">
        <f ca="1">IF(J624&gt;0,INT(A622)+1,IF(J624=0,INT(A622),0))</f>
        <v>7</v>
      </c>
      <c r="B624" s="1633"/>
      <c r="C624" s="1633"/>
      <c r="D624" s="1634" t="s">
        <v>439</v>
      </c>
      <c r="E624" s="1828"/>
      <c r="F624" s="1635"/>
      <c r="G624" s="1820" t="s">
        <v>650</v>
      </c>
      <c r="H624" s="1637"/>
      <c r="I624" s="1640" t="str">
        <f ca="1">CONCATENATE("SUB-TOTAL ",A624)</f>
        <v>SUB-TOTAL 7</v>
      </c>
      <c r="J624" s="1639">
        <f>SUM(J625:J643)</f>
        <v>312810.52999999997</v>
      </c>
      <c r="K624" s="2079">
        <f t="shared" ref="K624:K633" ca="1" si="118">J624/J$967</f>
        <v>2.2779946402279969E-2</v>
      </c>
      <c r="L624" s="1610">
        <f t="shared" ref="L624:L633" si="119">+J624/$J$624</f>
        <v>1</v>
      </c>
    </row>
    <row r="625" spans="1:24" s="813" customFormat="1" ht="39.950000000000003" hidden="1" customHeight="1" x14ac:dyDescent="0.15">
      <c r="A625" s="2081">
        <f ca="1">+Orçamento_Não_Deson!A625</f>
        <v>7</v>
      </c>
      <c r="B625" s="834">
        <f>+Orçamento_Não_Deson!B625</f>
        <v>98525</v>
      </c>
      <c r="C625" s="2" t="str">
        <f>VLOOKUP($B625,[5]BOLETIM_SEL!$A:$H,2,0)</f>
        <v>SINAPI</v>
      </c>
      <c r="D625" s="315" t="str">
        <f>VLOOKUP($B625,[5]BOLETIM_SEL!$A:$H,4,0)</f>
        <v>Limpeza mecanizada de camada vegetal, vegetação e pequenas árvores (diâmetro nominal de tronco menor que 0,20 m), com trator de esteiras. AF_05/2018</v>
      </c>
      <c r="E625" s="2">
        <f>+Orçamento_Não_Deson!E625</f>
        <v>0</v>
      </c>
      <c r="F625" s="2" t="str">
        <f>VLOOKUP($B625,[5]BOLETIM_SEL!$A:$H,6,0)</f>
        <v>M2</v>
      </c>
      <c r="G625" s="1407">
        <f>VLOOKUP($B625,[5]BOLETIM_SEL!$A:$H,7,0)</f>
        <v>0.32</v>
      </c>
      <c r="H625" s="1613">
        <f>+Orçamento_Não_Deson!H625</f>
        <v>0</v>
      </c>
      <c r="I625" s="877">
        <f t="shared" ref="I625:I629" si="120">+TRUNC(G625*(1+$J$5),2)</f>
        <v>0.4</v>
      </c>
      <c r="J625" s="1612">
        <f t="shared" ref="J625:J675" si="121">TRUNC(H625*I625,2)</f>
        <v>0</v>
      </c>
      <c r="K625" s="2078">
        <f t="shared" ca="1" si="118"/>
        <v>0</v>
      </c>
      <c r="L625" s="1574">
        <f t="shared" si="119"/>
        <v>0</v>
      </c>
      <c r="M625" s="1974"/>
      <c r="N625" s="1964" t="s">
        <v>1962</v>
      </c>
      <c r="O625" s="1655" t="s">
        <v>1988</v>
      </c>
      <c r="Q625" s="833"/>
      <c r="R625" s="833"/>
      <c r="S625" s="833"/>
      <c r="T625" s="833"/>
      <c r="U625" s="833"/>
      <c r="V625" s="833"/>
      <c r="W625" s="833"/>
      <c r="X625" s="833"/>
    </row>
    <row r="626" spans="1:24" s="813" customFormat="1" ht="30" customHeight="1" x14ac:dyDescent="0.15">
      <c r="A626" s="2081">
        <f ca="1">+Orçamento_Não_Deson!A626</f>
        <v>7.01</v>
      </c>
      <c r="B626" s="834" t="str">
        <f>+Orçamento_Não_Deson!B626</f>
        <v>PA/0005</v>
      </c>
      <c r="C626" s="2" t="str">
        <f>VLOOKUP($B626,[5]BOLETIM_SEL!$A:$H,2,0)</f>
        <v>COMPOSIÇÃO</v>
      </c>
      <c r="D626" s="315" t="str">
        <f>VLOOKUP($B626,[5]BOLETIM_SEL!$A:$H,4,0)</f>
        <v>Preparo do subleito, escavação e carga. Exclusive transporte</v>
      </c>
      <c r="E626" s="2">
        <f>+Orçamento_Não_Deson!E626</f>
        <v>0</v>
      </c>
      <c r="F626" s="2" t="str">
        <f>VLOOKUP($B626,[5]BOLETIM_SEL!$A:$H,6,0)</f>
        <v>M3</v>
      </c>
      <c r="G626" s="1407">
        <f>VLOOKUP($B626,[5]BOLETIM_SEL!$A:$H,7,0)</f>
        <v>5.31</v>
      </c>
      <c r="H626" s="1613">
        <f>+Orçamento_Não_Deson!H626</f>
        <v>7392.66</v>
      </c>
      <c r="I626" s="877">
        <f t="shared" si="120"/>
        <v>6.72</v>
      </c>
      <c r="J626" s="1612">
        <f t="shared" si="121"/>
        <v>49678.67</v>
      </c>
      <c r="K626" s="2078">
        <f t="shared" ca="1" si="118"/>
        <v>3.6177728413955691E-3</v>
      </c>
      <c r="L626" s="1574">
        <f t="shared" si="119"/>
        <v>0.15881393123179072</v>
      </c>
      <c r="M626" s="1974"/>
      <c r="N626" s="1965">
        <f>VLOOKUP($B626,[5]BOLETIM_SEL!$A:$H,3,0)</f>
        <v>42</v>
      </c>
      <c r="O626" s="1652">
        <f>+H626/N626</f>
        <v>176.0157142857143</v>
      </c>
      <c r="Q626" s="833"/>
      <c r="R626" s="833"/>
      <c r="S626" s="833"/>
      <c r="T626" s="833"/>
      <c r="U626" s="833"/>
      <c r="V626" s="833"/>
      <c r="W626" s="833"/>
      <c r="X626" s="833"/>
    </row>
    <row r="627" spans="1:24" s="813" customFormat="1" ht="39.950000000000003" hidden="1" customHeight="1" x14ac:dyDescent="0.15">
      <c r="A627" s="2081">
        <f ca="1">+Orçamento_Não_Deson!A627</f>
        <v>7.01</v>
      </c>
      <c r="B627" s="834" t="str">
        <f>+Orçamento_Não_Deson!B627</f>
        <v>PA/0010</v>
      </c>
      <c r="C627" s="2" t="str">
        <f>VLOOKUP($B627,[5]BOLETIM_SEL!$A:$H,2,0)</f>
        <v>COMPOSIÇÃO</v>
      </c>
      <c r="D627" s="315" t="str">
        <f>VLOOKUP($B627,[5]BOLETIM_SEL!$A:$H,4,0)</f>
        <v>Colchão de rachão e/ou pedra-de-mão, com camada final de pedra brita. Fornecimento e execução. Exclusive transporte da pedra</v>
      </c>
      <c r="E627" s="2">
        <f>+Orçamento_Não_Deson!E627</f>
        <v>0</v>
      </c>
      <c r="F627" s="2" t="str">
        <f>VLOOKUP($B627,[5]BOLETIM_SEL!$A:$H,6,0)</f>
        <v>M3</v>
      </c>
      <c r="G627" s="1407">
        <f>VLOOKUP($B627,[5]BOLETIM_SEL!$A:$H,7,0)</f>
        <v>137.07</v>
      </c>
      <c r="H627" s="1613">
        <f>+Orçamento_Não_Deson!H627</f>
        <v>0</v>
      </c>
      <c r="I627" s="877">
        <f t="shared" si="120"/>
        <v>173.72</v>
      </c>
      <c r="J627" s="1612">
        <f t="shared" si="121"/>
        <v>0</v>
      </c>
      <c r="K627" s="2078">
        <f t="shared" ca="1" si="118"/>
        <v>0</v>
      </c>
      <c r="L627" s="1574">
        <f t="shared" si="119"/>
        <v>0</v>
      </c>
      <c r="M627" s="1974"/>
      <c r="N627" s="833"/>
      <c r="O627" s="833"/>
      <c r="Q627" s="833"/>
      <c r="R627" s="833"/>
      <c r="S627" s="833"/>
      <c r="T627" s="833"/>
      <c r="U627" s="833"/>
      <c r="V627" s="833"/>
      <c r="W627" s="833"/>
      <c r="X627" s="833"/>
    </row>
    <row r="628" spans="1:24" s="813" customFormat="1" ht="39.950000000000003" hidden="1" customHeight="1" x14ac:dyDescent="0.15">
      <c r="A628" s="2081">
        <f ca="1">+Orçamento_Não_Deson!A628</f>
        <v>7.01</v>
      </c>
      <c r="B628" s="834">
        <f>+Orçamento_Não_Deson!B628</f>
        <v>101230</v>
      </c>
      <c r="C628" s="2" t="str">
        <f>VLOOKUP($B628,[5]BOLETIM_SEL!$A:$H,2,0)</f>
        <v>SINAPI</v>
      </c>
      <c r="D628" s="315" t="str">
        <f>VLOOKUP($B628,[5]BOLETIM_SEL!$A:$H,4,0)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628" s="2">
        <f>+Orçamento_Não_Deson!E628</f>
        <v>0</v>
      </c>
      <c r="F628" s="2" t="str">
        <f>VLOOKUP($B628,[5]BOLETIM_SEL!$A:$H,6,0)</f>
        <v>M3</v>
      </c>
      <c r="G628" s="1407">
        <f>VLOOKUP($B628,[5]BOLETIM_SEL!$A:$H,7,0)</f>
        <v>9.8699999999999992</v>
      </c>
      <c r="H628" s="1613">
        <f>+Orçamento_Não_Deson!H628</f>
        <v>0</v>
      </c>
      <c r="I628" s="877">
        <f t="shared" si="120"/>
        <v>12.5</v>
      </c>
      <c r="J628" s="1612">
        <f t="shared" si="121"/>
        <v>0</v>
      </c>
      <c r="K628" s="2078">
        <f t="shared" ca="1" si="118"/>
        <v>0</v>
      </c>
      <c r="L628" s="1574">
        <f t="shared" si="119"/>
        <v>0</v>
      </c>
      <c r="M628" s="1974"/>
      <c r="N628" s="833"/>
      <c r="O628" s="833"/>
      <c r="Q628" s="833"/>
      <c r="R628" s="833"/>
      <c r="S628" s="833"/>
      <c r="T628" s="833"/>
      <c r="U628" s="833"/>
      <c r="V628" s="833"/>
      <c r="W628" s="833"/>
      <c r="X628" s="833"/>
    </row>
    <row r="629" spans="1:24" s="813" customFormat="1" ht="39.950000000000003" hidden="1" customHeight="1" x14ac:dyDescent="0.15">
      <c r="A629" s="2081">
        <f ca="1">+Orçamento_Não_Deson!A629</f>
        <v>7.01</v>
      </c>
      <c r="B629" s="834">
        <f>+Orçamento_Não_Deson!B629</f>
        <v>101232</v>
      </c>
      <c r="C629" s="2" t="str">
        <f>VLOOKUP($B629,[5]BOLETIM_SEL!$A:$H,2,0)</f>
        <v>SINAPI</v>
      </c>
      <c r="D629" s="315" t="str">
        <f>VLOOKUP($B629,[5]BOLETIM_SEL!$A:$H,4,0)</f>
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</c>
      <c r="E629" s="2">
        <f>+Orçamento_Não_Deson!E629</f>
        <v>0</v>
      </c>
      <c r="F629" s="2" t="str">
        <f>VLOOKUP($B629,[5]BOLETIM_SEL!$A:$H,6,0)</f>
        <v>M3</v>
      </c>
      <c r="G629" s="1407">
        <f>VLOOKUP($B629,[5]BOLETIM_SEL!$A:$H,7,0)</f>
        <v>8.4499999999999993</v>
      </c>
      <c r="H629" s="1613">
        <f>+Orçamento_Não_Deson!H629</f>
        <v>0</v>
      </c>
      <c r="I629" s="877">
        <f t="shared" si="120"/>
        <v>10.7</v>
      </c>
      <c r="J629" s="1612">
        <f t="shared" si="121"/>
        <v>0</v>
      </c>
      <c r="K629" s="2078">
        <f t="shared" ca="1" si="118"/>
        <v>0</v>
      </c>
      <c r="L629" s="1574">
        <f t="shared" si="119"/>
        <v>0</v>
      </c>
      <c r="M629" s="1974"/>
      <c r="N629" s="833"/>
      <c r="O629" s="833"/>
      <c r="Q629" s="833"/>
      <c r="R629" s="833"/>
      <c r="S629" s="833"/>
      <c r="T629" s="833"/>
      <c r="U629" s="833"/>
      <c r="V629" s="833"/>
      <c r="W629" s="833"/>
      <c r="X629" s="833"/>
    </row>
    <row r="630" spans="1:24" s="813" customFormat="1" ht="39.950000000000003" customHeight="1" x14ac:dyDescent="0.15">
      <c r="A630" s="2081">
        <f ca="1">+Orçamento_Não_Deson!A630</f>
        <v>7.02</v>
      </c>
      <c r="B630" s="834">
        <f>+Orçamento_Não_Deson!B630</f>
        <v>96385</v>
      </c>
      <c r="C630" s="2" t="str">
        <f>VLOOKUP($B630,[5]BOLETIM_SEL!$A:$H,2,0)</f>
        <v>SINAPI</v>
      </c>
      <c r="D630" s="315" t="str">
        <f>VLOOKUP($B630,[5]BOLETIM_SEL!$A:$H,4,0)</f>
        <v>Execução e compactação de aterro com solo predominantemente argiloso - exclusive solo, escavação, carga e transporte. AF_11/2019</v>
      </c>
      <c r="E630" s="2">
        <f>+Orçamento_Não_Deson!E630</f>
        <v>0</v>
      </c>
      <c r="F630" s="2" t="str">
        <f>VLOOKUP($B630,[5]BOLETIM_SEL!$A:$H,6,0)</f>
        <v>M3</v>
      </c>
      <c r="G630" s="1407">
        <f>VLOOKUP($B630,[5]BOLETIM_SEL!$A:$H,7,0)</f>
        <v>10.47</v>
      </c>
      <c r="H630" s="1613">
        <f>+Orçamento_Não_Deson!H630</f>
        <v>3633.19</v>
      </c>
      <c r="I630" s="877">
        <f t="shared" ref="I630" si="122">+TRUNC(G630*(1+$J$5),2)</f>
        <v>13.26</v>
      </c>
      <c r="J630" s="1612">
        <f t="shared" ref="J630" si="123">TRUNC(H630*I630,2)</f>
        <v>48176.09</v>
      </c>
      <c r="K630" s="2078">
        <f t="shared" ca="1" si="118"/>
        <v>3.508349760704718E-3</v>
      </c>
      <c r="L630" s="1574">
        <f t="shared" ref="L630" si="124">+J630/$J$624</f>
        <v>0.15401044843343351</v>
      </c>
      <c r="M630" s="1974"/>
      <c r="N630" s="833"/>
      <c r="O630" s="833"/>
      <c r="Q630" s="833"/>
      <c r="R630" s="833"/>
      <c r="S630" s="833"/>
      <c r="T630" s="833"/>
      <c r="U630" s="833"/>
      <c r="V630" s="833"/>
      <c r="W630" s="833"/>
      <c r="X630" s="833"/>
    </row>
    <row r="631" spans="1:24" s="813" customFormat="1" ht="30" customHeight="1" x14ac:dyDescent="0.15">
      <c r="A631" s="2081">
        <f ca="1">+Orçamento_Não_Deson!A631</f>
        <v>7.0299999999999994</v>
      </c>
      <c r="B631" s="834">
        <f>+Orçamento_Não_Deson!B631</f>
        <v>6079</v>
      </c>
      <c r="C631" s="2" t="str">
        <f>VLOOKUP($B631,[5]BOLETIM_SEL!$A:$H,2,0)</f>
        <v>COTAÇÃO - SINAPI</v>
      </c>
      <c r="D631" s="315" t="str">
        <f>VLOOKUP($B631,[5]BOLETIM_SEL!$A:$H,4,0)</f>
        <v>Argila, argila vermelha ou argila arenosa (retirada na jazida, sem transporte)</v>
      </c>
      <c r="E631" s="2" t="str">
        <f>+Orçamento_Não_Deson!E631</f>
        <v>BDI insumo</v>
      </c>
      <c r="F631" s="2" t="str">
        <f>VLOOKUP($B631,[5]BOLETIM_SEL!$A:$H,6,0)</f>
        <v xml:space="preserve">M3    </v>
      </c>
      <c r="G631" s="1407">
        <f>VLOOKUP($B631,[5]BOLETIM_SEL!$A:$H,7,0)</f>
        <v>33.700000000000003</v>
      </c>
      <c r="H631" s="1613">
        <f>+Orçamento_Não_Deson!H631</f>
        <v>1903.15</v>
      </c>
      <c r="I631" s="1614">
        <f>TRUNC(G631*(1+$J$6),2)</f>
        <v>38.840000000000003</v>
      </c>
      <c r="J631" s="1612">
        <f t="shared" si="121"/>
        <v>73918.34</v>
      </c>
      <c r="K631" s="2078">
        <f t="shared" ca="1" si="118"/>
        <v>5.3829895794924405E-3</v>
      </c>
      <c r="L631" s="1574">
        <f t="shared" si="119"/>
        <v>0.23630387378583453</v>
      </c>
      <c r="M631" s="1975" t="str">
        <f>+Orçamento_Não_Deson!M631</f>
        <v>COMERCIAL</v>
      </c>
      <c r="N631" s="833"/>
      <c r="O631" s="833"/>
      <c r="Q631" s="833"/>
      <c r="R631" s="833"/>
      <c r="S631" s="833"/>
      <c r="T631" s="833"/>
      <c r="U631" s="833"/>
      <c r="V631" s="833"/>
      <c r="W631" s="833"/>
      <c r="X631" s="833"/>
    </row>
    <row r="632" spans="1:24" s="813" customFormat="1" ht="39.950000000000003" customHeight="1" x14ac:dyDescent="0.15">
      <c r="A632" s="2081">
        <f ca="1">+Orçamento_Não_Deson!A632</f>
        <v>7.0399999999999991</v>
      </c>
      <c r="B632" s="834">
        <f>+Orçamento_Não_Deson!B632</f>
        <v>100979</v>
      </c>
      <c r="C632" s="2" t="str">
        <f>VLOOKUP($B632,[5]BOLETIM_SEL!$A:$H,2,0)</f>
        <v>SINAPI</v>
      </c>
      <c r="D632" s="315" t="str">
        <f>VLOOKUP($B632,[5]BOLETIM_SEL!$A:$H,4,0)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32" s="2">
        <f>+Orçamento_Não_Deson!E632</f>
        <v>0</v>
      </c>
      <c r="F632" s="2" t="str">
        <f>VLOOKUP($B632,[5]BOLETIM_SEL!$A:$H,6,0)</f>
        <v>M3</v>
      </c>
      <c r="G632" s="1407">
        <f>VLOOKUP($B632,[5]BOLETIM_SEL!$A:$H,7,0)</f>
        <v>5.91</v>
      </c>
      <c r="H632" s="1613">
        <f>+Orçamento_Não_Deson!H632</f>
        <v>2638.33</v>
      </c>
      <c r="I632" s="877">
        <f>+TRUNC(G632*(1+$J$5),2)</f>
        <v>7.49</v>
      </c>
      <c r="J632" s="1612">
        <f t="shared" si="121"/>
        <v>19761.09</v>
      </c>
      <c r="K632" s="2078">
        <f t="shared" ca="1" si="118"/>
        <v>1.4390710282375428E-3</v>
      </c>
      <c r="L632" s="1574">
        <f t="shared" si="119"/>
        <v>6.3172713527258825E-2</v>
      </c>
      <c r="M632" s="1975" t="str">
        <f>+Orçamento_Não_Deson!M632</f>
        <v>ESCAVADEIRA</v>
      </c>
      <c r="N632" s="833"/>
      <c r="O632" s="833"/>
      <c r="Q632" s="833"/>
      <c r="R632" s="833"/>
      <c r="S632" s="833"/>
      <c r="T632" s="833"/>
      <c r="U632" s="833"/>
      <c r="V632" s="833"/>
      <c r="W632" s="833"/>
      <c r="X632" s="833"/>
    </row>
    <row r="633" spans="1:24" s="813" customFormat="1" ht="39.950000000000003" hidden="1" customHeight="1" x14ac:dyDescent="0.15">
      <c r="A633" s="2081">
        <f ca="1">+Orçamento_Não_Deson!A633</f>
        <v>7.0399999999999991</v>
      </c>
      <c r="B633" s="834">
        <f>+Orçamento_Não_Deson!B633</f>
        <v>100979</v>
      </c>
      <c r="C633" s="2" t="str">
        <f>VLOOKUP($B633,[5]BOLETIM_SEL!$A:$H,2,0)</f>
        <v>SINAPI</v>
      </c>
      <c r="D633" s="315" t="str">
        <f>VLOOKUP($B633,[5]BOLETIM_SEL!$A:$H,4,0)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33" s="2">
        <f>+Orçamento_Não_Deson!E633</f>
        <v>0</v>
      </c>
      <c r="F633" s="2" t="str">
        <f>VLOOKUP($B633,[5]BOLETIM_SEL!$A:$H,6,0)</f>
        <v>M3</v>
      </c>
      <c r="G633" s="1407">
        <f>VLOOKUP($B633,[5]BOLETIM_SEL!$A:$H,7,0)</f>
        <v>5.91</v>
      </c>
      <c r="H633" s="1613">
        <f>+Orçamento_Não_Deson!H633</f>
        <v>0</v>
      </c>
      <c r="I633" s="877">
        <f>+TRUNC(G633*(1+$J$5),2)</f>
        <v>7.49</v>
      </c>
      <c r="J633" s="1612">
        <f t="shared" si="121"/>
        <v>0</v>
      </c>
      <c r="K633" s="2078">
        <f t="shared" ca="1" si="118"/>
        <v>0</v>
      </c>
      <c r="L633" s="1574">
        <f t="shared" si="119"/>
        <v>0</v>
      </c>
      <c r="M633" s="1975" t="str">
        <f>+Orçamento_Não_Deson!M633</f>
        <v>ESCAVADEIRA</v>
      </c>
      <c r="N633" s="833"/>
      <c r="O633" s="833"/>
      <c r="Q633" s="833"/>
      <c r="R633" s="833"/>
      <c r="S633" s="833"/>
      <c r="T633" s="833"/>
      <c r="U633" s="833"/>
      <c r="V633" s="833"/>
      <c r="W633" s="833"/>
      <c r="X633" s="833"/>
    </row>
    <row r="634" spans="1:24" s="813" customFormat="1" ht="24.95" customHeight="1" x14ac:dyDescent="0.15">
      <c r="A634" s="2081"/>
      <c r="B634" s="834"/>
      <c r="C634" s="2"/>
      <c r="D634" s="1452" t="s">
        <v>1797</v>
      </c>
      <c r="E634" s="2"/>
      <c r="F634" s="2"/>
      <c r="G634" s="1407"/>
      <c r="H634" s="2"/>
      <c r="I634" s="2"/>
      <c r="J634" s="839" t="str">
        <f>IF(J635=0,"-","")</f>
        <v/>
      </c>
      <c r="K634" s="2"/>
      <c r="L634" s="1574"/>
      <c r="M634" s="1974" t="str">
        <f>+Orçamento_Não_Deson!M634</f>
        <v>Depósito provisório</v>
      </c>
      <c r="N634" s="833"/>
      <c r="O634" s="833"/>
      <c r="Q634" s="833"/>
      <c r="R634" s="833"/>
      <c r="S634" s="833"/>
      <c r="T634" s="833"/>
      <c r="U634" s="833"/>
      <c r="V634" s="833"/>
      <c r="W634" s="833"/>
      <c r="X634" s="833"/>
    </row>
    <row r="635" spans="1:24" s="813" customFormat="1" ht="30" customHeight="1" x14ac:dyDescent="0.15">
      <c r="A635" s="2081">
        <f ca="1">+Orçamento_Não_Deson!A635</f>
        <v>7.0499999999999989</v>
      </c>
      <c r="B635" s="834">
        <f>+Orçamento_Não_Deson!B635</f>
        <v>100939</v>
      </c>
      <c r="C635" s="2" t="str">
        <f>VLOOKUP($B635,[5]BOLETIM_SEL!$A:$H,2,0)</f>
        <v>SINAPI</v>
      </c>
      <c r="D635" s="315" t="str">
        <f>VLOOKUP($B635,[5]BOLETIM_SEL!$A:$H,4,0)</f>
        <v>Transporte com caminhão basculante de 14 m3, em via interna (dentro do canteiro - unidade:m3xkm). AF_07/2020</v>
      </c>
      <c r="E635" s="2">
        <f>+Orçamento_Não_Deson!E635</f>
        <v>1</v>
      </c>
      <c r="F635" s="2" t="str">
        <f>VLOOKUP($B635,[5]BOLETIM_SEL!$A:$H,6,0)</f>
        <v>M3XKM</v>
      </c>
      <c r="G635" s="1407">
        <f>VLOOKUP($B635,[5]BOLETIM_SEL!$A:$H,7,0)</f>
        <v>5.83</v>
      </c>
      <c r="H635" s="1613">
        <f>+Orçamento_Não_Deson!H635</f>
        <v>5276.66</v>
      </c>
      <c r="I635" s="877">
        <f>+TRUNC(G635*(1+$J$5),2)</f>
        <v>7.38</v>
      </c>
      <c r="J635" s="1612">
        <f t="shared" si="121"/>
        <v>38941.75</v>
      </c>
      <c r="K635" s="2078">
        <f ca="1">J635/J$967</f>
        <v>2.8358731332061809E-3</v>
      </c>
      <c r="L635" s="1574">
        <f>+J635/$J$624</f>
        <v>0.12448989488940798</v>
      </c>
      <c r="M635" s="4"/>
      <c r="N635" s="833"/>
      <c r="O635" s="833"/>
      <c r="Q635" s="833"/>
      <c r="R635" s="833"/>
      <c r="S635" s="833"/>
      <c r="T635" s="833"/>
      <c r="U635" s="833"/>
      <c r="V635" s="833"/>
      <c r="W635" s="833"/>
      <c r="X635" s="833"/>
    </row>
    <row r="636" spans="1:24" s="813" customFormat="1" ht="39.950000000000003" hidden="1" customHeight="1" x14ac:dyDescent="0.15">
      <c r="A636" s="2081"/>
      <c r="B636" s="834"/>
      <c r="C636" s="2"/>
      <c r="D636" s="1452" t="s">
        <v>2190</v>
      </c>
      <c r="E636" s="2"/>
      <c r="F636" s="2"/>
      <c r="G636" s="1407"/>
      <c r="H636" s="2"/>
      <c r="I636" s="2"/>
      <c r="J636" s="839" t="str">
        <f>IF(J637=0,"-","")</f>
        <v>-</v>
      </c>
      <c r="K636" s="2"/>
      <c r="L636" s="1574"/>
      <c r="M636" s="1974"/>
      <c r="N636" s="833"/>
      <c r="O636" s="833"/>
      <c r="Q636" s="833"/>
      <c r="R636" s="833"/>
      <c r="S636" s="833"/>
      <c r="T636" s="833"/>
      <c r="U636" s="833"/>
      <c r="V636" s="833"/>
      <c r="W636" s="833"/>
      <c r="X636" s="833"/>
    </row>
    <row r="637" spans="1:24" s="813" customFormat="1" ht="39.950000000000003" hidden="1" customHeight="1" x14ac:dyDescent="0.15">
      <c r="A637" s="2081">
        <f ca="1">+Orçamento_Não_Deson!A637</f>
        <v>7.0499999999999989</v>
      </c>
      <c r="B637" s="834">
        <f>+Orçamento_Não_Deson!B637</f>
        <v>93590</v>
      </c>
      <c r="C637" s="2" t="str">
        <f>VLOOKUP($B637,[5]BOLETIM_SEL!$A:$H,2,0)</f>
        <v>SINAPI</v>
      </c>
      <c r="D637" s="315" t="str">
        <f>VLOOKUP($B637,[5]BOLETIM_SEL!$A:$H,4,0)</f>
        <v>Transporte com caminhão basculante de 10 m3, em via urbana pavimentada, adicional para DMT excedente a 30,00 km (unidade: m3xkm). AF_07/2020</v>
      </c>
      <c r="E637" s="2">
        <f>+Orçamento_Não_Deson!E637</f>
        <v>109</v>
      </c>
      <c r="F637" s="2" t="str">
        <f>VLOOKUP($B637,[5]BOLETIM_SEL!$A:$H,6,0)</f>
        <v>M3XKM</v>
      </c>
      <c r="G637" s="1407">
        <f>VLOOKUP($B637,[5]BOLETIM_SEL!$A:$H,7,0)</f>
        <v>0.85</v>
      </c>
      <c r="H637" s="1613">
        <f>+Orçamento_Não_Deson!H637</f>
        <v>0</v>
      </c>
      <c r="I637" s="877">
        <f>+TRUNC(G637*(1+$J$5),2)</f>
        <v>1.07</v>
      </c>
      <c r="J637" s="1612">
        <f t="shared" si="121"/>
        <v>0</v>
      </c>
      <c r="K637" s="2078">
        <f ca="1">J637/J$967</f>
        <v>0</v>
      </c>
      <c r="L637" s="1574">
        <f>+J637/$J$624</f>
        <v>0</v>
      </c>
      <c r="M637" s="1976">
        <f>+Orçamento_Não_Deson!M637</f>
        <v>0</v>
      </c>
      <c r="N637" s="833"/>
      <c r="O637" s="833"/>
      <c r="Q637" s="833"/>
      <c r="R637" s="833"/>
      <c r="S637" s="833"/>
      <c r="T637" s="833"/>
      <c r="U637" s="833"/>
      <c r="V637" s="833"/>
      <c r="W637" s="833"/>
      <c r="X637" s="833"/>
    </row>
    <row r="638" spans="1:24" s="813" customFormat="1" ht="39.950000000000003" hidden="1" customHeight="1" x14ac:dyDescent="0.15">
      <c r="A638" s="2081"/>
      <c r="B638" s="834"/>
      <c r="C638" s="2"/>
      <c r="D638" s="1452" t="s">
        <v>1806</v>
      </c>
      <c r="E638" s="2"/>
      <c r="F638" s="2"/>
      <c r="G638" s="1407"/>
      <c r="H638" s="2"/>
      <c r="I638" s="2"/>
      <c r="J638" s="839" t="str">
        <f>IF(J639=0,"-","")</f>
        <v>-</v>
      </c>
      <c r="K638" s="2"/>
      <c r="L638" s="1574"/>
      <c r="M638" s="1974" t="str">
        <f>+Orçamento_Não_Deson!M638</f>
        <v>Depósito de expurgo SEM reciclagem: 1</v>
      </c>
      <c r="N638" s="833"/>
      <c r="O638" s="833"/>
      <c r="Q638" s="833"/>
      <c r="R638" s="833"/>
      <c r="S638" s="833"/>
      <c r="T638" s="833"/>
      <c r="U638" s="833"/>
      <c r="V638" s="833"/>
      <c r="W638" s="833"/>
      <c r="X638" s="833"/>
    </row>
    <row r="639" spans="1:24" s="813" customFormat="1" ht="39.950000000000003" hidden="1" customHeight="1" x14ac:dyDescent="0.15">
      <c r="A639" s="2081">
        <f ca="1">+Orçamento_Não_Deson!A639</f>
        <v>7.0499999999999989</v>
      </c>
      <c r="B639" s="834">
        <f>+Orçamento_Não_Deson!B639</f>
        <v>95875</v>
      </c>
      <c r="C639" s="2" t="str">
        <f>VLOOKUP($B639,[5]BOLETIM_SEL!$A:$H,2,0)</f>
        <v>SINAPI</v>
      </c>
      <c r="D639" s="315" t="str">
        <f>VLOOKUP($B639,[5]BOLETIM_SEL!$A:$H,4,0)</f>
        <v>Transporte com caminhão basculante de 10 m3, em via urbana pavimentada, DMT até 30,00 km (unidade: m3xkm). AF_07/2020</v>
      </c>
      <c r="E639" s="2">
        <f>+Orçamento_Não_Deson!E639</f>
        <v>4</v>
      </c>
      <c r="F639" s="2" t="str">
        <f>VLOOKUP($B639,[5]BOLETIM_SEL!$A:$H,6,0)</f>
        <v>M3XKM</v>
      </c>
      <c r="G639" s="1407">
        <f>VLOOKUP($B639,[5]BOLETIM_SEL!$A:$H,7,0)</f>
        <v>2.15</v>
      </c>
      <c r="H639" s="1613">
        <f>+Orçamento_Não_Deson!H639</f>
        <v>0</v>
      </c>
      <c r="I639" s="877">
        <f>+TRUNC(G639*(1+$J$5),2)</f>
        <v>2.72</v>
      </c>
      <c r="J639" s="1612">
        <f t="shared" si="121"/>
        <v>0</v>
      </c>
      <c r="K639" s="2078">
        <f ca="1">J639/J$967</f>
        <v>0</v>
      </c>
      <c r="L639" s="1574">
        <f>+J639/$J$624</f>
        <v>0</v>
      </c>
      <c r="M639" s="1976">
        <f>+Orçamento_Não_Deson!M639</f>
        <v>0</v>
      </c>
      <c r="N639" s="833"/>
      <c r="O639" s="833"/>
      <c r="Q639" s="833"/>
      <c r="R639" s="833"/>
      <c r="S639" s="833"/>
      <c r="T639" s="833"/>
      <c r="U639" s="833"/>
      <c r="V639" s="833"/>
      <c r="W639" s="833"/>
      <c r="X639" s="833"/>
    </row>
    <row r="640" spans="1:24" s="813" customFormat="1" ht="24.95" customHeight="1" x14ac:dyDescent="0.15">
      <c r="A640" s="2081"/>
      <c r="B640" s="834"/>
      <c r="C640" s="2"/>
      <c r="D640" s="1452" t="s">
        <v>1803</v>
      </c>
      <c r="E640" s="2"/>
      <c r="F640" s="2"/>
      <c r="G640" s="1407"/>
      <c r="H640" s="2"/>
      <c r="I640" s="2"/>
      <c r="J640" s="839" t="str">
        <f>IF(J641=0,"-","")</f>
        <v/>
      </c>
      <c r="K640" s="2"/>
      <c r="L640" s="1574"/>
      <c r="M640" s="1974" t="str">
        <f>+Orçamento_Não_Deson!M640</f>
        <v>Definir depósito:                                     1, 2, 3 ou 4</v>
      </c>
      <c r="N640" s="833"/>
      <c r="O640" s="833"/>
      <c r="Q640" s="833"/>
      <c r="R640" s="833"/>
      <c r="S640" s="833"/>
      <c r="T640" s="833"/>
      <c r="U640" s="833"/>
      <c r="V640" s="833"/>
      <c r="W640" s="833"/>
      <c r="X640" s="833"/>
    </row>
    <row r="641" spans="1:24" s="813" customFormat="1" ht="39.950000000000003" customHeight="1" x14ac:dyDescent="0.15">
      <c r="A641" s="2081">
        <f ca="1">+Orçamento_Não_Deson!A641</f>
        <v>7.0599999999999987</v>
      </c>
      <c r="B641" s="834">
        <f>+Orçamento_Não_Deson!B641</f>
        <v>95876</v>
      </c>
      <c r="C641" s="2" t="str">
        <f>VLOOKUP($B641,[5]BOLETIM_SEL!$A:$H,2,0)</f>
        <v>SINAPI</v>
      </c>
      <c r="D641" s="315" t="str">
        <f>VLOOKUP($B641,[5]BOLETIM_SEL!$A:$H,4,0)</f>
        <v>Transporte com caminhão basculante de 14 m3, em via urbana pavimentada, DMT até 30,00 km (unidade: m3xkm). AF_07/2020</v>
      </c>
      <c r="E641" s="2">
        <f>+Orçamento_Não_Deson!E641</f>
        <v>4</v>
      </c>
      <c r="F641" s="2" t="str">
        <f>VLOOKUP($B641,[5]BOLETIM_SEL!$A:$H,6,0)</f>
        <v>M3XKM</v>
      </c>
      <c r="G641" s="1407">
        <f>VLOOKUP($B641,[5]BOLETIM_SEL!$A:$H,7,0)</f>
        <v>1.91</v>
      </c>
      <c r="H641" s="1613">
        <f>+Orçamento_Não_Deson!H641</f>
        <v>26409.96</v>
      </c>
      <c r="I641" s="877">
        <f>+TRUNC(G641*(1+$J$5),2)</f>
        <v>2.42</v>
      </c>
      <c r="J641" s="1612">
        <f t="shared" si="121"/>
        <v>63912.1</v>
      </c>
      <c r="K641" s="2078">
        <f ca="1">J641/J$967</f>
        <v>4.6543005200533295E-3</v>
      </c>
      <c r="L641" s="1574">
        <f>+J641/$J$624</f>
        <v>0.20431569231381055</v>
      </c>
      <c r="M641" s="1976">
        <f>+Orçamento_Não_Deson!M641</f>
        <v>6602.49</v>
      </c>
      <c r="N641" s="833"/>
      <c r="O641" s="833"/>
      <c r="Q641" s="833"/>
      <c r="R641" s="833"/>
      <c r="S641" s="833"/>
      <c r="T641" s="833"/>
      <c r="U641" s="833"/>
      <c r="V641" s="833"/>
      <c r="W641" s="833"/>
      <c r="X641" s="833"/>
    </row>
    <row r="642" spans="1:24" s="813" customFormat="1" ht="24.95" customHeight="1" x14ac:dyDescent="0.15">
      <c r="A642" s="2081"/>
      <c r="B642" s="834"/>
      <c r="C642" s="2"/>
      <c r="D642" s="1452" t="s">
        <v>1816</v>
      </c>
      <c r="E642" s="2"/>
      <c r="F642" s="2"/>
      <c r="G642" s="1407"/>
      <c r="H642" s="2"/>
      <c r="I642" s="2"/>
      <c r="J642" s="839" t="str">
        <f>IF(J643=0,"-","")</f>
        <v/>
      </c>
      <c r="K642" s="2"/>
      <c r="L642" s="1574"/>
      <c r="M642" s="1974"/>
      <c r="N642" s="833"/>
      <c r="O642" s="833"/>
      <c r="Q642" s="833"/>
      <c r="R642" s="833"/>
      <c r="S642" s="833"/>
      <c r="T642" s="833"/>
      <c r="U642" s="833"/>
      <c r="V642" s="833"/>
      <c r="W642" s="833"/>
      <c r="X642" s="833"/>
    </row>
    <row r="643" spans="1:24" s="813" customFormat="1" ht="39.950000000000003" customHeight="1" x14ac:dyDescent="0.15">
      <c r="A643" s="2081">
        <f ca="1">+Orçamento_Não_Deson!A643</f>
        <v>7.0699999999999985</v>
      </c>
      <c r="B643" s="834">
        <f>+Orçamento_Não_Deson!B643</f>
        <v>95876</v>
      </c>
      <c r="C643" s="2" t="str">
        <f>VLOOKUP($B643,[5]BOLETIM_SEL!$A:$H,2,0)</f>
        <v>SINAPI</v>
      </c>
      <c r="D643" s="315" t="str">
        <f>VLOOKUP($B643,[5]BOLETIM_SEL!$A:$H,4,0)</f>
        <v>Transporte com caminhão basculante de 14 m3, em via urbana pavimentada, DMT até 30,00 km (unidade: m3xkm). AF_07/2020</v>
      </c>
      <c r="E643" s="2">
        <f>+Orçamento_Não_Deson!E643</f>
        <v>4</v>
      </c>
      <c r="F643" s="2" t="str">
        <f>VLOOKUP($B643,[5]BOLETIM_SEL!$A:$H,6,0)</f>
        <v>M3XKM</v>
      </c>
      <c r="G643" s="1407">
        <f>VLOOKUP($B643,[5]BOLETIM_SEL!$A:$H,7,0)</f>
        <v>1.91</v>
      </c>
      <c r="H643" s="1613">
        <f>+Orçamento_Não_Deson!H643</f>
        <v>7612.6</v>
      </c>
      <c r="I643" s="877">
        <f>+TRUNC(G643*(1+$J$5),2)</f>
        <v>2.42</v>
      </c>
      <c r="J643" s="1612">
        <f t="shared" si="121"/>
        <v>18422.490000000002</v>
      </c>
      <c r="K643" s="2078">
        <f ca="1">J643/J$967</f>
        <v>1.3415895391901888E-3</v>
      </c>
      <c r="L643" s="1574">
        <f>+J643/$J$624</f>
        <v>5.8893445818463987E-2</v>
      </c>
      <c r="M643" s="1976">
        <f>+Orçamento_Não_Deson!M643</f>
        <v>1903.15</v>
      </c>
      <c r="N643" s="833"/>
      <c r="O643" s="833"/>
      <c r="Q643" s="833"/>
      <c r="R643" s="833"/>
      <c r="S643" s="833"/>
      <c r="T643" s="833"/>
      <c r="U643" s="833"/>
      <c r="V643" s="833"/>
      <c r="W643" s="833"/>
      <c r="X643" s="833"/>
    </row>
    <row r="644" spans="1:24" s="813" customFormat="1" ht="39.950000000000003" customHeight="1" x14ac:dyDescent="0.15">
      <c r="A644" s="2081"/>
      <c r="B644" s="834"/>
      <c r="C644" s="834"/>
      <c r="D644" s="835"/>
      <c r="E644" s="2"/>
      <c r="F644" s="834"/>
      <c r="G644" s="1407"/>
      <c r="H644" s="1"/>
      <c r="I644" s="877"/>
      <c r="J644" s="839" t="str">
        <f>IF(J624=0,0,"")</f>
        <v/>
      </c>
      <c r="K644" s="2078"/>
      <c r="L644" s="1574"/>
      <c r="M644" s="1833"/>
      <c r="N644" s="833"/>
      <c r="O644" s="833"/>
      <c r="Q644" s="833"/>
      <c r="R644" s="833"/>
      <c r="S644" s="833"/>
      <c r="T644" s="833"/>
      <c r="U644" s="833"/>
      <c r="V644" s="833"/>
      <c r="W644" s="833"/>
      <c r="X644" s="833"/>
    </row>
    <row r="645" spans="1:24" s="833" customFormat="1" ht="30" customHeight="1" x14ac:dyDescent="0.15">
      <c r="A645" s="2082">
        <f ca="1">IF(J645&gt;0,INT(A643)+1,IF(J645=0,INT(A643),0))</f>
        <v>8</v>
      </c>
      <c r="B645" s="1633"/>
      <c r="C645" s="1633"/>
      <c r="D645" s="1634" t="s">
        <v>442</v>
      </c>
      <c r="E645" s="1828"/>
      <c r="F645" s="1635"/>
      <c r="G645" s="1820" t="s">
        <v>651</v>
      </c>
      <c r="H645" s="1637"/>
      <c r="I645" s="1640" t="str">
        <f ca="1">CONCATENATE("SUB-TOTAL ",A645)</f>
        <v>SUB-TOTAL 8</v>
      </c>
      <c r="J645" s="1639">
        <f>SUM(J646:J717)</f>
        <v>7307917.4499999993</v>
      </c>
      <c r="K645" s="2079">
        <f t="shared" ref="K645:K675" ca="1" si="125">J645/J$967</f>
        <v>0.53218786408272922</v>
      </c>
      <c r="L645" s="1610">
        <f>J645/$J$645</f>
        <v>1</v>
      </c>
      <c r="N645" s="1964" t="s">
        <v>1962</v>
      </c>
      <c r="O645" s="1655" t="s">
        <v>1988</v>
      </c>
    </row>
    <row r="646" spans="1:24" s="813" customFormat="1" ht="30" customHeight="1" x14ac:dyDescent="0.15">
      <c r="A646" s="2081">
        <f ca="1">+Orçamento_Não_Deson!A646</f>
        <v>8.01</v>
      </c>
      <c r="B646" s="834">
        <f>+Orçamento_Não_Deson!B646</f>
        <v>100576</v>
      </c>
      <c r="C646" s="2" t="str">
        <f>VLOOKUP($B646,[5]BOLETIM_SEL!$A:$H,2,0)</f>
        <v>SINAPI</v>
      </c>
      <c r="D646" s="315" t="str">
        <f>VLOOKUP($B646,[5]BOLETIM_SEL!$A:$H,4,0)</f>
        <v>Regularização e compactação de subleito de solo predominantemente argiloso. AF_11/2019</v>
      </c>
      <c r="E646" s="2">
        <f>+Orçamento_Não_Deson!E646</f>
        <v>0</v>
      </c>
      <c r="F646" s="2" t="str">
        <f>VLOOKUP($B646,[5]BOLETIM_SEL!$A:$H,6,0)</f>
        <v>M2</v>
      </c>
      <c r="G646" s="1407">
        <f>VLOOKUP($B646,[5]BOLETIM_SEL!$A:$H,7,0)</f>
        <v>2.25</v>
      </c>
      <c r="H646" s="1613">
        <f>+Orçamento_Não_Deson!H646</f>
        <v>63804.74</v>
      </c>
      <c r="I646" s="877">
        <f t="shared" ref="I646:I667" si="126">+TRUNC(G646*(1+$J$5),2)</f>
        <v>2.85</v>
      </c>
      <c r="J646" s="1612">
        <f t="shared" si="121"/>
        <v>181843.5</v>
      </c>
      <c r="K646" s="2078">
        <f t="shared" ca="1" si="125"/>
        <v>1.3242473594488643E-2</v>
      </c>
      <c r="L646" s="1574">
        <f>J646/$J$645</f>
        <v>2.488308074689596E-2</v>
      </c>
      <c r="M646" s="1975" t="str">
        <f>+Orçamento_Não_Deson!M646</f>
        <v>ARGILOSO</v>
      </c>
      <c r="N646" s="1965">
        <f>VLOOKUP($B646,[5]BOLETIM_SEL!$A:$H,3,0)</f>
        <v>125</v>
      </c>
      <c r="O646" s="1652">
        <f t="shared" ref="O646:O654" si="127">+H646/N646</f>
        <v>510.43791999999996</v>
      </c>
      <c r="Q646" s="833"/>
      <c r="R646" s="833"/>
      <c r="S646" s="833"/>
      <c r="T646" s="833"/>
      <c r="U646" s="833"/>
      <c r="V646" s="833"/>
      <c r="W646" s="833"/>
      <c r="X646" s="833"/>
    </row>
    <row r="647" spans="1:24" s="813" customFormat="1" ht="39.950000000000003" customHeight="1" x14ac:dyDescent="0.25">
      <c r="A647" s="2081">
        <f ca="1">+Orçamento_Não_Deson!A647</f>
        <v>8.02</v>
      </c>
      <c r="B647" s="834">
        <f>+Orçamento_Não_Deson!B647</f>
        <v>101767</v>
      </c>
      <c r="C647" s="2" t="str">
        <f>VLOOKUP($B647,[5]BOLETIM_SEL!$A:$H,2,0)</f>
        <v>SINAPI</v>
      </c>
      <c r="D647" s="315" t="str">
        <f>VLOOKUP($B647,[5]BOLETIM_SEL!$A:$H,4,0)</f>
        <v>Execução e compactação de base e ou sub base para pavimentação de solos estabilizados granulometricamente com mistura de solos em pista - exclusive solo, escavação, carga e transporte. AF_11/2019</v>
      </c>
      <c r="E647" s="2">
        <f>+Orçamento_Não_Deson!E647</f>
        <v>0</v>
      </c>
      <c r="F647" s="2" t="str">
        <f>VLOOKUP($B647,[5]BOLETIM_SEL!$A:$H,6,0)</f>
        <v>M3</v>
      </c>
      <c r="G647" s="1407">
        <f>VLOOKUP($B647,[5]BOLETIM_SEL!$A:$H,7,0)</f>
        <v>24.96</v>
      </c>
      <c r="H647" s="1613">
        <f>+Orçamento_Não_Deson!H647</f>
        <v>9801.76</v>
      </c>
      <c r="I647" s="877">
        <f t="shared" si="126"/>
        <v>31.63</v>
      </c>
      <c r="J647" s="1612">
        <f t="shared" si="121"/>
        <v>310029.65999999997</v>
      </c>
      <c r="K647" s="2078">
        <f t="shared" ca="1" si="125"/>
        <v>2.2577433815661775E-2</v>
      </c>
      <c r="L647" s="1574">
        <f t="shared" ref="L647:L675" si="128">J647/$J$645</f>
        <v>4.2423804335666108E-2</v>
      </c>
      <c r="M647" s="1974"/>
      <c r="N647" s="1965" t="str">
        <f>VLOOKUP($B647,[5]BOLETIM_SEL!$A:$H,3,0)</f>
        <v>PA/0022
20 m3/h</v>
      </c>
      <c r="O647" s="1652" t="e">
        <f t="shared" si="127"/>
        <v>#VALUE!</v>
      </c>
      <c r="Q647" s="833"/>
      <c r="R647" s="833"/>
      <c r="S647" s="2476"/>
      <c r="T647" s="833"/>
      <c r="U647" s="833"/>
      <c r="V647" s="833"/>
      <c r="W647" s="833"/>
      <c r="X647" s="833"/>
    </row>
    <row r="648" spans="1:24" s="813" customFormat="1" ht="39.950000000000003" hidden="1" customHeight="1" x14ac:dyDescent="0.15">
      <c r="A648" s="2081">
        <f ca="1">+Orçamento_Não_Deson!A648</f>
        <v>8.02</v>
      </c>
      <c r="B648" s="834" t="str">
        <f>+Orçamento_Não_Deson!B648</f>
        <v>PA/0021</v>
      </c>
      <c r="C648" s="2" t="str">
        <f>VLOOKUP($B648,[5]BOLETIM_SEL!$A:$H,2,0)</f>
        <v>COMPOSIÇÃO</v>
      </c>
      <c r="D648" s="315" t="str">
        <f>VLOOKUP($B648,[5]BOLETIM_SEL!$A:$H,4,0)</f>
        <v>Execução e compactação de base e ou sub-base, estabilizado granulometricamente, sem mistura, com material de jazida. Exclusive fornecimento e transporte (REF. SINAPI COD. 4011219)</v>
      </c>
      <c r="E648" s="2">
        <f>+Orçamento_Não_Deson!E648</f>
        <v>0</v>
      </c>
      <c r="F648" s="2" t="str">
        <f>VLOOKUP($B648,[5]BOLETIM_SEL!$A:$H,6,0)</f>
        <v>M3</v>
      </c>
      <c r="G648" s="1407">
        <f>VLOOKUP($B648,[5]BOLETIM_SEL!$A:$H,7,0)</f>
        <v>17.73</v>
      </c>
      <c r="H648" s="1613">
        <f>+Orçamento_Não_Deson!H648</f>
        <v>0</v>
      </c>
      <c r="I648" s="877">
        <f t="shared" si="126"/>
        <v>22.47</v>
      </c>
      <c r="J648" s="1612">
        <f t="shared" si="121"/>
        <v>0</v>
      </c>
      <c r="K648" s="2078">
        <f t="shared" ca="1" si="125"/>
        <v>0</v>
      </c>
      <c r="L648" s="1574">
        <f t="shared" si="128"/>
        <v>0</v>
      </c>
      <c r="M648" s="1974"/>
      <c r="N648" s="1965">
        <f>VLOOKUP($B648,[5]BOLETIM_SEL!$A:$H,3,0)</f>
        <v>28.75</v>
      </c>
      <c r="O648" s="1652">
        <f t="shared" si="127"/>
        <v>0</v>
      </c>
      <c r="Q648" s="833"/>
      <c r="R648" s="833"/>
      <c r="S648" s="833"/>
      <c r="T648" s="833"/>
      <c r="U648" s="833"/>
      <c r="V648" s="833"/>
      <c r="W648" s="833"/>
      <c r="X648" s="833"/>
    </row>
    <row r="649" spans="1:24" s="813" customFormat="1" ht="39.950000000000003" hidden="1" customHeight="1" x14ac:dyDescent="0.15">
      <c r="A649" s="2081">
        <f ca="1">+Orçamento_Não_Deson!A649</f>
        <v>8.02</v>
      </c>
      <c r="B649" s="834" t="str">
        <f>+Orçamento_Não_Deson!B649</f>
        <v>PA/0020</v>
      </c>
      <c r="C649" s="2" t="str">
        <f>VLOOKUP($B649,[5]BOLETIM_SEL!$A:$H,2,0)</f>
        <v>COMPOSIÇÃO</v>
      </c>
      <c r="D649" s="315" t="str">
        <f>VLOOKUP($B649,[5]BOLETIM_SEL!$A:$H,4,0)</f>
        <v>Execução e compactação de base e ou sub-base com material produto de britagem. Exclusive fornecimento e transporte de materiais (REF. SINAPI COD. 96396)</v>
      </c>
      <c r="E649" s="2">
        <f>+Orçamento_Não_Deson!E649</f>
        <v>0</v>
      </c>
      <c r="F649" s="2" t="str">
        <f>VLOOKUP($B649,[5]BOLETIM_SEL!$A:$H,6,0)</f>
        <v>M3</v>
      </c>
      <c r="G649" s="1407">
        <f>VLOOKUP($B649,[5]BOLETIM_SEL!$A:$H,7,0)</f>
        <v>11.99</v>
      </c>
      <c r="H649" s="1613">
        <f>+Orçamento_Não_Deson!H649</f>
        <v>0</v>
      </c>
      <c r="I649" s="877">
        <f t="shared" si="126"/>
        <v>15.19</v>
      </c>
      <c r="J649" s="1612">
        <f t="shared" si="121"/>
        <v>0</v>
      </c>
      <c r="K649" s="2078">
        <f t="shared" ca="1" si="125"/>
        <v>0</v>
      </c>
      <c r="L649" s="1574">
        <f t="shared" si="128"/>
        <v>0</v>
      </c>
      <c r="M649" s="1974"/>
      <c r="N649" s="1965">
        <f>VLOOKUP($B649,[5]BOLETIM_SEL!$A:$H,3,0)</f>
        <v>33.33</v>
      </c>
      <c r="O649" s="1652">
        <f t="shared" si="127"/>
        <v>0</v>
      </c>
      <c r="Q649" s="833"/>
      <c r="R649" s="833"/>
      <c r="S649" s="833"/>
      <c r="T649" s="833"/>
      <c r="U649" s="833"/>
      <c r="V649" s="833"/>
      <c r="W649" s="833"/>
      <c r="X649" s="833"/>
    </row>
    <row r="650" spans="1:24" s="813" customFormat="1" ht="39.950000000000003" hidden="1" customHeight="1" x14ac:dyDescent="0.15">
      <c r="A650" s="2081">
        <f ca="1">+Orçamento_Não_Deson!A650</f>
        <v>8.02</v>
      </c>
      <c r="B650" s="834" t="str">
        <f>+Orçamento_Não_Deson!B650</f>
        <v>PA/0018</v>
      </c>
      <c r="C650" s="2" t="str">
        <f>VLOOKUP($B650,[5]BOLETIM_SEL!$A:$H,2,0)</f>
        <v>COMPOSIÇÃO</v>
      </c>
      <c r="D650" s="315" t="str">
        <f>VLOOKUP($B650,[5]BOLETIM_SEL!$A:$H,4,0)</f>
        <v>Usinagem de brita graduada simples, exclusive fornecimento de materiais (REF. SINAPI COD. 96393, DB 05-2021)</v>
      </c>
      <c r="E650" s="2">
        <f>+Orçamento_Não_Deson!E650</f>
        <v>0</v>
      </c>
      <c r="F650" s="2" t="str">
        <f>VLOOKUP($B650,[5]BOLETIM_SEL!$A:$H,6,0)</f>
        <v>M3</v>
      </c>
      <c r="G650" s="1407">
        <f>VLOOKUP($B650,[5]BOLETIM_SEL!$A:$H,7,0)</f>
        <v>5.97</v>
      </c>
      <c r="H650" s="1613">
        <f>+Orçamento_Não_Deson!H650</f>
        <v>0</v>
      </c>
      <c r="I650" s="877">
        <f t="shared" ref="I650" si="129">+TRUNC(G650*(1+$J$5),2)</f>
        <v>7.56</v>
      </c>
      <c r="J650" s="1612">
        <f t="shared" ref="J650" si="130">TRUNC(H650*I650,2)</f>
        <v>0</v>
      </c>
      <c r="K650" s="2078">
        <f t="shared" ca="1" si="125"/>
        <v>0</v>
      </c>
      <c r="L650" s="1574">
        <f t="shared" ref="L650" si="131">J650/$J$645</f>
        <v>0</v>
      </c>
      <c r="M650" s="1974"/>
      <c r="N650" s="1965">
        <f>VLOOKUP($B650,[5]BOLETIM_SEL!$A:$H,3,0)</f>
        <v>33.33</v>
      </c>
      <c r="O650" s="1652">
        <f t="shared" ref="O650" si="132">+H650/N650</f>
        <v>0</v>
      </c>
      <c r="Q650" s="833"/>
      <c r="R650" s="833"/>
      <c r="S650" s="833"/>
      <c r="T650" s="833"/>
      <c r="U650" s="833"/>
      <c r="V650" s="833"/>
      <c r="W650" s="833"/>
      <c r="X650" s="833"/>
    </row>
    <row r="651" spans="1:24" s="813" customFormat="1" ht="39.950000000000003" hidden="1" customHeight="1" x14ac:dyDescent="0.15">
      <c r="A651" s="2081">
        <f ca="1">+Orçamento_Não_Deson!A651</f>
        <v>8.02</v>
      </c>
      <c r="B651" s="834">
        <f>+Orçamento_Não_Deson!B651</f>
        <v>96389</v>
      </c>
      <c r="C651" s="2" t="str">
        <f>VLOOKUP($B651,[5]BOLETIM_SEL!$A:$H,2,0)</f>
        <v>SINAPI</v>
      </c>
      <c r="D651" s="315" t="str">
        <f>VLOOKUP($B651,[5]BOLETIM_SEL!$A:$H,4,0)</f>
        <v>Execução e compactação de base e ou sub base para pavimentação de solo (predominantemente arenoso) com cimento (teor de 2%) - exclusive solo, escavação, carga e transporte. AF_11/2019</v>
      </c>
      <c r="E651" s="2">
        <f>+Orçamento_Não_Deson!E651</f>
        <v>0</v>
      </c>
      <c r="F651" s="2" t="str">
        <f>VLOOKUP($B651,[5]BOLETIM_SEL!$A:$H,6,0)</f>
        <v>M3</v>
      </c>
      <c r="G651" s="1407">
        <f>VLOOKUP($B651,[5]BOLETIM_SEL!$A:$H,7,0)</f>
        <v>53.96</v>
      </c>
      <c r="H651" s="1613">
        <f>+Orçamento_Não_Deson!H651</f>
        <v>0</v>
      </c>
      <c r="I651" s="877">
        <f t="shared" si="126"/>
        <v>68.38</v>
      </c>
      <c r="J651" s="1612">
        <f t="shared" si="121"/>
        <v>0</v>
      </c>
      <c r="K651" s="2078">
        <f t="shared" ca="1" si="125"/>
        <v>0</v>
      </c>
      <c r="L651" s="1574">
        <f t="shared" si="128"/>
        <v>0</v>
      </c>
      <c r="M651" s="1974"/>
      <c r="N651" s="1965">
        <f>VLOOKUP($B651,[5]BOLETIM_SEL!$A:$H,3,0)</f>
        <v>38.46</v>
      </c>
      <c r="O651" s="1652">
        <f t="shared" si="127"/>
        <v>0</v>
      </c>
      <c r="Q651" s="833"/>
      <c r="R651" s="833"/>
      <c r="S651" s="833"/>
      <c r="T651" s="833"/>
      <c r="U651" s="833"/>
      <c r="V651" s="833"/>
      <c r="W651" s="833"/>
      <c r="X651" s="833"/>
    </row>
    <row r="652" spans="1:24" s="813" customFormat="1" ht="39.950000000000003" hidden="1" customHeight="1" x14ac:dyDescent="0.15">
      <c r="A652" s="2081">
        <f ca="1">+Orçamento_Não_Deson!A652</f>
        <v>8.02</v>
      </c>
      <c r="B652" s="834">
        <f>+Orçamento_Não_Deson!B652</f>
        <v>96390</v>
      </c>
      <c r="C652" s="2" t="str">
        <f>VLOOKUP($B652,[5]BOLETIM_SEL!$A:$H,2,0)</f>
        <v>SINAPI</v>
      </c>
      <c r="D652" s="315" t="str">
        <f>VLOOKUP($B652,[5]BOLETIM_SEL!$A:$H,4,0)</f>
        <v>Execução e compactação de base e ou sub base para pavimentação de solo (predominantemente arenoso) com cimento (teor de 4%) - exclusive solo, escavação, carga e transporte. AF_11/2019</v>
      </c>
      <c r="E652" s="2">
        <f>+Orçamento_Não_Deson!E652</f>
        <v>0</v>
      </c>
      <c r="F652" s="2" t="str">
        <f>VLOOKUP($B652,[5]BOLETIM_SEL!$A:$H,6,0)</f>
        <v>M3</v>
      </c>
      <c r="G652" s="1407">
        <f>VLOOKUP($B652,[5]BOLETIM_SEL!$A:$H,7,0)</f>
        <v>88.61</v>
      </c>
      <c r="H652" s="1613">
        <f>+Orçamento_Não_Deson!H652</f>
        <v>0</v>
      </c>
      <c r="I652" s="877">
        <f t="shared" si="126"/>
        <v>112.3</v>
      </c>
      <c r="J652" s="1612">
        <f t="shared" si="121"/>
        <v>0</v>
      </c>
      <c r="K652" s="2078">
        <f t="shared" ca="1" si="125"/>
        <v>0</v>
      </c>
      <c r="L652" s="1574">
        <f t="shared" si="128"/>
        <v>0</v>
      </c>
      <c r="M652" s="1974"/>
      <c r="N652" s="1965">
        <f>VLOOKUP($B652,[5]BOLETIM_SEL!$A:$H,3,0)</f>
        <v>38.46</v>
      </c>
      <c r="O652" s="1652">
        <f t="shared" si="127"/>
        <v>0</v>
      </c>
      <c r="Q652" s="833"/>
      <c r="R652" s="833"/>
      <c r="S652" s="833"/>
      <c r="T652" s="833"/>
      <c r="U652" s="833"/>
      <c r="V652" s="833"/>
      <c r="W652" s="833"/>
      <c r="X652" s="833"/>
    </row>
    <row r="653" spans="1:24" s="813" customFormat="1" ht="39.950000000000003" hidden="1" customHeight="1" x14ac:dyDescent="0.15">
      <c r="A653" s="2081">
        <f ca="1">+Orçamento_Não_Deson!A653</f>
        <v>8.02</v>
      </c>
      <c r="B653" s="834">
        <f>+Orçamento_Não_Deson!B653</f>
        <v>96391</v>
      </c>
      <c r="C653" s="2" t="str">
        <f>VLOOKUP($B653,[5]BOLETIM_SEL!$A:$H,2,0)</f>
        <v>SINAPI</v>
      </c>
      <c r="D653" s="315" t="str">
        <f>VLOOKUP($B653,[5]BOLETIM_SEL!$A:$H,4,0)</f>
        <v>Execução e compactação de base e ou sub base para pavimentação de solo (predominantemente arenoso) com cimento (teor de 6%) - exclusive solo, escavação, carga e transporte. AF_11/2019</v>
      </c>
      <c r="E653" s="2">
        <f>+Orçamento_Não_Deson!E653</f>
        <v>0</v>
      </c>
      <c r="F653" s="2" t="str">
        <f>VLOOKUP($B653,[5]BOLETIM_SEL!$A:$H,6,0)</f>
        <v>M3</v>
      </c>
      <c r="G653" s="1407">
        <f>VLOOKUP($B653,[5]BOLETIM_SEL!$A:$H,7,0)</f>
        <v>124.67</v>
      </c>
      <c r="H653" s="1613">
        <f>+Orçamento_Não_Deson!H653</f>
        <v>0</v>
      </c>
      <c r="I653" s="877">
        <f t="shared" si="126"/>
        <v>158</v>
      </c>
      <c r="J653" s="1612">
        <f t="shared" si="121"/>
        <v>0</v>
      </c>
      <c r="K653" s="2078">
        <f t="shared" ca="1" si="125"/>
        <v>0</v>
      </c>
      <c r="L653" s="1574">
        <f t="shared" si="128"/>
        <v>0</v>
      </c>
      <c r="M653" s="1974"/>
      <c r="N653" s="1965">
        <f>VLOOKUP($B653,[5]BOLETIM_SEL!$A:$H,3,0)</f>
        <v>38.46</v>
      </c>
      <c r="O653" s="1652">
        <f t="shared" si="127"/>
        <v>0</v>
      </c>
      <c r="Q653" s="833"/>
      <c r="R653" s="833"/>
      <c r="S653" s="833"/>
      <c r="T653" s="833"/>
      <c r="U653" s="833"/>
      <c r="V653" s="833"/>
      <c r="W653" s="833"/>
      <c r="X653" s="833"/>
    </row>
    <row r="654" spans="1:24" s="813" customFormat="1" ht="39.950000000000003" hidden="1" customHeight="1" x14ac:dyDescent="0.15">
      <c r="A654" s="2081">
        <f ca="1">+Orçamento_Não_Deson!A654</f>
        <v>8.02</v>
      </c>
      <c r="B654" s="834">
        <f>+Orçamento_Não_Deson!B654</f>
        <v>96392</v>
      </c>
      <c r="C654" s="2" t="str">
        <f>VLOOKUP($B654,[5]BOLETIM_SEL!$A:$H,2,0)</f>
        <v>SINAPI</v>
      </c>
      <c r="D654" s="315" t="str">
        <f>VLOOKUP($B654,[5]BOLETIM_SEL!$A:$H,4,0)</f>
        <v>Execução e compactação de base e ou sub base para pavimentação de solo (predominantemente arenoso) com cimento (teor de 8%) - exclusive solo, escavação, carga e transporte. AF_11/2019</v>
      </c>
      <c r="E654" s="2">
        <f>+Orçamento_Não_Deson!E654</f>
        <v>0</v>
      </c>
      <c r="F654" s="2" t="str">
        <f>VLOOKUP($B654,[5]BOLETIM_SEL!$A:$H,6,0)</f>
        <v>M3</v>
      </c>
      <c r="G654" s="1407">
        <f>VLOOKUP($B654,[5]BOLETIM_SEL!$A:$H,7,0)</f>
        <v>159.56</v>
      </c>
      <c r="H654" s="1613">
        <f>+Orçamento_Não_Deson!H654</f>
        <v>0</v>
      </c>
      <c r="I654" s="877">
        <f t="shared" si="126"/>
        <v>202.22</v>
      </c>
      <c r="J654" s="1612">
        <f t="shared" si="121"/>
        <v>0</v>
      </c>
      <c r="K654" s="2078">
        <f t="shared" ca="1" si="125"/>
        <v>0</v>
      </c>
      <c r="L654" s="1574">
        <f t="shared" si="128"/>
        <v>0</v>
      </c>
      <c r="M654" s="1974"/>
      <c r="N654" s="1965">
        <f>VLOOKUP($B654,[5]BOLETIM_SEL!$A:$H,3,0)</f>
        <v>38.46</v>
      </c>
      <c r="O654" s="1652">
        <f t="shared" si="127"/>
        <v>0</v>
      </c>
      <c r="Q654" s="833"/>
      <c r="R654" s="833"/>
      <c r="S654" s="833"/>
      <c r="T654" s="833"/>
      <c r="U654" s="833"/>
      <c r="V654" s="833"/>
      <c r="W654" s="833"/>
      <c r="X654" s="833"/>
    </row>
    <row r="655" spans="1:24" s="813" customFormat="1" ht="30" customHeight="1" x14ac:dyDescent="0.15">
      <c r="A655" s="2081">
        <f ca="1">+Orçamento_Não_Deson!A655</f>
        <v>8.0299999999999994</v>
      </c>
      <c r="B655" s="834" t="str">
        <f>+Orçamento_Não_Deson!B655</f>
        <v>PA/0025</v>
      </c>
      <c r="C655" s="2" t="str">
        <f>VLOOKUP($B655,[5]BOLETIM_SEL!$A:$H,2,0)</f>
        <v>COMPOSIÇÃO</v>
      </c>
      <c r="D655" s="2475" t="str">
        <f>VLOOKUP($B655,[5]BOLETIM_SEL!$A:$H,4,0)</f>
        <v>Imprimação da base, execução e fornecimento de emulsão asfáltica EAI (REF. SINAPI COD. 102470)</v>
      </c>
      <c r="E655" s="2">
        <f>+Orçamento_Não_Deson!E655</f>
        <v>0</v>
      </c>
      <c r="F655" s="2" t="str">
        <f>VLOOKUP($B655,[5]BOLETIM_SEL!$A:$H,6,0)</f>
        <v>M2</v>
      </c>
      <c r="G655" s="1407">
        <f>VLOOKUP($B655,[5]BOLETIM_SEL!$A:$H,7,0)</f>
        <v>5.09</v>
      </c>
      <c r="H655" s="1613">
        <f>+Orçamento_Não_Deson!H655</f>
        <v>56628.68</v>
      </c>
      <c r="I655" s="877">
        <f t="shared" si="126"/>
        <v>6.45</v>
      </c>
      <c r="J655" s="1612">
        <f t="shared" si="121"/>
        <v>365254.98</v>
      </c>
      <c r="K655" s="2078">
        <f t="shared" ca="1" si="125"/>
        <v>2.659913292422043E-2</v>
      </c>
      <c r="L655" s="1574">
        <f t="shared" si="128"/>
        <v>4.9980720567663228E-2</v>
      </c>
      <c r="M655" s="1975" t="str">
        <f>+Orçamento_Não_Deson!M655</f>
        <v>EAI</v>
      </c>
      <c r="N655" s="1965"/>
      <c r="O655" s="1652"/>
      <c r="Q655" s="833"/>
      <c r="R655" s="833"/>
      <c r="S655" s="2477"/>
      <c r="T655" s="833"/>
      <c r="U655" s="833"/>
      <c r="V655" s="833"/>
      <c r="W655" s="833"/>
      <c r="X655" s="833"/>
    </row>
    <row r="656" spans="1:24" s="813" customFormat="1" ht="30" customHeight="1" x14ac:dyDescent="0.15">
      <c r="A656" s="2081">
        <f ca="1">+Orçamento_Não_Deson!A656</f>
        <v>8.0399999999999991</v>
      </c>
      <c r="B656" s="834" t="str">
        <f>+Orçamento_Não_Deson!B656</f>
        <v>PA/0023</v>
      </c>
      <c r="C656" s="2" t="str">
        <f>VLOOKUP($B656,[5]BOLETIM_SEL!$A:$H,2,0)</f>
        <v>COMPOSIÇÃO</v>
      </c>
      <c r="D656" s="315" t="str">
        <f>VLOOKUP($B656,[5]BOLETIM_SEL!$A:$H,4,0)</f>
        <v>Pintura de ligação, execução e fornecimento de emulsão asfáltica RR-1C (ref SINAPI cód 104375)</v>
      </c>
      <c r="E656" s="2">
        <f>+Orçamento_Não_Deson!E656</f>
        <v>0</v>
      </c>
      <c r="F656" s="2" t="str">
        <f>VLOOKUP($B656,[5]BOLETIM_SEL!$A:$H,6,0)</f>
        <v>M2</v>
      </c>
      <c r="G656" s="1407">
        <f>VLOOKUP($B656,[5]BOLETIM_SEL!$A:$H,7,0)</f>
        <v>2.4300000000000002</v>
      </c>
      <c r="H656" s="1613">
        <f>+Orçamento_Não_Deson!H656</f>
        <v>56628.68</v>
      </c>
      <c r="I656" s="877">
        <f t="shared" si="126"/>
        <v>3.07</v>
      </c>
      <c r="J656" s="1612">
        <f t="shared" si="121"/>
        <v>173850.04</v>
      </c>
      <c r="K656" s="2078">
        <f t="shared" ca="1" si="125"/>
        <v>1.2660362147125383E-2</v>
      </c>
      <c r="L656" s="1574">
        <f t="shared" si="128"/>
        <v>2.378927255123825E-2</v>
      </c>
      <c r="M656" s="1974"/>
      <c r="N656" s="1965"/>
      <c r="O656" s="1652"/>
      <c r="Q656" s="833"/>
      <c r="R656" s="833"/>
      <c r="S656" s="833"/>
      <c r="T656" s="833"/>
      <c r="U656" s="833"/>
      <c r="V656" s="833"/>
      <c r="W656" s="833"/>
      <c r="X656" s="833"/>
    </row>
    <row r="657" spans="1:24" s="813" customFormat="1" ht="39.950000000000003" hidden="1" customHeight="1" x14ac:dyDescent="0.15">
      <c r="A657" s="2081">
        <f ca="1">+Orçamento_Não_Deson!A657</f>
        <v>8.0399999999999991</v>
      </c>
      <c r="B657" s="834" t="str">
        <f>+Orçamento_Não_Deson!B657</f>
        <v>PA/0150</v>
      </c>
      <c r="C657" s="2" t="str">
        <f>VLOOKUP($B657,[5]BOLETIM_SEL!$A:$H,2,0)</f>
        <v>COMPOSIÇÃO</v>
      </c>
      <c r="D657" s="315" t="str">
        <f>VLOOKUP($B657,[5]BOLETIM_SEL!$A:$H,4,0)</f>
        <v>PAVIMENTO COM TRATAMENTO SUPERFICIAL DUPLO, COM EMULSÃO ASFÁLTICA RR-2C (REF. SINAPI COD. 03.PAVI.TSUP.005/01-104389 DB 09-21)</v>
      </c>
      <c r="E657" s="2">
        <f>+Orçamento_Não_Deson!E657</f>
        <v>0</v>
      </c>
      <c r="F657" s="2" t="str">
        <f>VLOOKUP($B657,[5]BOLETIM_SEL!$A:$H,6,0)</f>
        <v>M2</v>
      </c>
      <c r="G657" s="1407">
        <f>VLOOKUP($B657,[5]BOLETIM_SEL!$A:$H,7,0)</f>
        <v>15.59</v>
      </c>
      <c r="H657" s="1613">
        <f>+Orçamento_Não_Deson!H657</f>
        <v>0</v>
      </c>
      <c r="I657" s="877">
        <f t="shared" si="126"/>
        <v>19.75</v>
      </c>
      <c r="J657" s="1612">
        <f t="shared" si="121"/>
        <v>0</v>
      </c>
      <c r="K657" s="2078">
        <f t="shared" ca="1" si="125"/>
        <v>0</v>
      </c>
      <c r="L657" s="1574">
        <f t="shared" si="128"/>
        <v>0</v>
      </c>
      <c r="M657" s="1974"/>
      <c r="N657" s="1965">
        <f>VLOOKUP($B657,[5]BOLETIM_SEL!$A:$H,3,0)</f>
        <v>0</v>
      </c>
      <c r="O657" s="1652" t="e">
        <f t="shared" ref="O657:O665" si="133">+H657/N657</f>
        <v>#DIV/0!</v>
      </c>
      <c r="Q657" s="833"/>
      <c r="R657" s="833"/>
      <c r="S657" s="833"/>
      <c r="T657" s="833"/>
      <c r="U657" s="833"/>
      <c r="V657" s="833"/>
      <c r="W657" s="833"/>
      <c r="X657" s="833"/>
    </row>
    <row r="658" spans="1:24" s="813" customFormat="1" ht="39.950000000000003" hidden="1" customHeight="1" x14ac:dyDescent="0.15">
      <c r="A658" s="2081">
        <f ca="1">+Orçamento_Não_Deson!A658</f>
        <v>8.0399999999999991</v>
      </c>
      <c r="B658" s="834" t="str">
        <f>+Orçamento_Não_Deson!B658</f>
        <v>PA/0035</v>
      </c>
      <c r="C658" s="2" t="str">
        <f>VLOOKUP($B658,[5]BOLETIM_SEL!$A:$H,2,0)</f>
        <v>COMPOSIÇÃO</v>
      </c>
      <c r="D658" s="315" t="str">
        <f>VLOOKUP($B658,[5]BOLETIM_SEL!$A:$H,4,0)</f>
        <v>Capa selante para agulhamento na base, execução e fornecimento de emulsão asfáltica RR-2C. Exclusive transporte (REF. SICRO COD. 4915636)</v>
      </c>
      <c r="E658" s="2">
        <f>+Orçamento_Não_Deson!E658</f>
        <v>0</v>
      </c>
      <c r="F658" s="2" t="str">
        <f>VLOOKUP($B658,[5]BOLETIM_SEL!$A:$H,6,0)</f>
        <v>M2</v>
      </c>
      <c r="G658" s="1407">
        <f>VLOOKUP($B658,[5]BOLETIM_SEL!$A:$H,7,0)</f>
        <v>4.8</v>
      </c>
      <c r="H658" s="1613">
        <f>+Orçamento_Não_Deson!H658</f>
        <v>0</v>
      </c>
      <c r="I658" s="877">
        <f t="shared" si="126"/>
        <v>6.08</v>
      </c>
      <c r="J658" s="1612">
        <f t="shared" si="121"/>
        <v>0</v>
      </c>
      <c r="K658" s="2078">
        <f t="shared" ca="1" si="125"/>
        <v>0</v>
      </c>
      <c r="L658" s="1574">
        <f t="shared" si="128"/>
        <v>0</v>
      </c>
      <c r="M658" s="1974"/>
      <c r="N658" s="1965">
        <f>VLOOKUP($B658,[5]BOLETIM_SEL!$A:$H,3,0)</f>
        <v>0</v>
      </c>
      <c r="O658" s="1652" t="e">
        <f t="shared" si="133"/>
        <v>#DIV/0!</v>
      </c>
      <c r="Q658" s="833"/>
      <c r="R658" s="833"/>
      <c r="S658" s="833"/>
      <c r="T658" s="833"/>
      <c r="U658" s="833"/>
      <c r="V658" s="833"/>
      <c r="W658" s="833"/>
      <c r="X658" s="833"/>
    </row>
    <row r="659" spans="1:24" s="813" customFormat="1" ht="39.950000000000003" customHeight="1" x14ac:dyDescent="0.15">
      <c r="A659" s="2081">
        <f ca="1">+Orçamento_Não_Deson!A659</f>
        <v>8.0499999999999989</v>
      </c>
      <c r="B659" s="834" t="str">
        <f>+Orçamento_Não_Deson!B659</f>
        <v>PA/0040</v>
      </c>
      <c r="C659" s="2" t="str">
        <f>VLOOKUP($B659,[5]BOLETIM_SEL!$A:$H,2,0)</f>
        <v>COMPOSIÇÃO</v>
      </c>
      <c r="D659" s="2475" t="str">
        <f>VLOOKUP($B659,[5]BOLETIM_SEL!$A:$H,4,0)</f>
        <v>Construção de pavimento com aplicação de concreto betuminoso usinado à quente (CBUQ - faixa C - CAP 30/45 - usina comercial), camada de rolamento, exclusive transporte da mistura (REF. SINAPI COD. 95995)</v>
      </c>
      <c r="E659" s="2">
        <f>+Orçamento_Não_Deson!E659</f>
        <v>0</v>
      </c>
      <c r="F659" s="2" t="str">
        <f>VLOOKUP($B659,[5]BOLETIM_SEL!$A:$H,6,0)</f>
        <v>M3</v>
      </c>
      <c r="G659" s="1407">
        <f>VLOOKUP($B659,[5]BOLETIM_SEL!$A:$H,7,0)</f>
        <v>1586.06</v>
      </c>
      <c r="H659" s="1613">
        <f>+Orçamento_Não_Deson!H659</f>
        <v>1857.01</v>
      </c>
      <c r="I659" s="877">
        <f t="shared" si="126"/>
        <v>2010.17</v>
      </c>
      <c r="J659" s="1612">
        <f t="shared" si="121"/>
        <v>3732905.79</v>
      </c>
      <c r="K659" s="2078">
        <f t="shared" ca="1" si="125"/>
        <v>0.27184313079537498</v>
      </c>
      <c r="L659" s="1574">
        <f t="shared" si="128"/>
        <v>0.51080294975143714</v>
      </c>
      <c r="M659" s="1975" t="str">
        <f>+Orçamento_Não_Deson!M659</f>
        <v>COMERCIAL</v>
      </c>
      <c r="N659" s="1965">
        <f>VLOOKUP($B659,[5]BOLETIM_SEL!$A:$H,3,0)</f>
        <v>0</v>
      </c>
      <c r="O659" s="1652" t="e">
        <f t="shared" si="133"/>
        <v>#DIV/0!</v>
      </c>
      <c r="Q659" s="833"/>
      <c r="R659" s="833"/>
      <c r="S659" s="1816"/>
      <c r="T659" s="833"/>
      <c r="U659" s="833"/>
      <c r="V659" s="833"/>
      <c r="W659" s="833"/>
      <c r="X659" s="833"/>
    </row>
    <row r="660" spans="1:24" s="813" customFormat="1" ht="39.950000000000003" hidden="1" customHeight="1" x14ac:dyDescent="0.15">
      <c r="A660" s="2081">
        <f ca="1">+Orçamento_Não_Deson!A660</f>
        <v>8.0499999999999989</v>
      </c>
      <c r="B660" s="834">
        <f>+Orçamento_Não_Deson!B660</f>
        <v>95995</v>
      </c>
      <c r="C660" s="2" t="str">
        <f>VLOOKUP($B660,[5]BOLETIM_SEL!$A:$H,2,0)</f>
        <v>SINAPI</v>
      </c>
      <c r="D660" s="315" t="str">
        <f>VLOOKUP($B660,[5]BOLETIM_SEL!$A:$H,4,0)</f>
        <v>Construção de pavimento com aplicação de concreto betuminoso usinado à quente (CBUQ - faixa C - CAP 50/70 - usina comercial), camada de rolamento. Exclusive transporte da mistura. Af_11/2019</v>
      </c>
      <c r="E660" s="2">
        <f>+Orçamento_Não_Deson!E660</f>
        <v>0</v>
      </c>
      <c r="F660" s="2" t="str">
        <f>VLOOKUP($B660,[5]BOLETIM_SEL!$A:$H,6,0)</f>
        <v>M3</v>
      </c>
      <c r="G660" s="1407">
        <f>VLOOKUP($B660,[5]BOLETIM_SEL!$A:$H,7,0)</f>
        <v>1614.82</v>
      </c>
      <c r="H660" s="1613">
        <f>+Orçamento_Não_Deson!H660</f>
        <v>0</v>
      </c>
      <c r="I660" s="877">
        <f t="shared" si="126"/>
        <v>2046.62</v>
      </c>
      <c r="J660" s="1612">
        <f t="shared" si="121"/>
        <v>0</v>
      </c>
      <c r="K660" s="2078">
        <f t="shared" ca="1" si="125"/>
        <v>0</v>
      </c>
      <c r="L660" s="1574">
        <f t="shared" si="128"/>
        <v>0</v>
      </c>
      <c r="M660" s="1975" t="str">
        <f>+Orçamento_Não_Deson!M660</f>
        <v>COMERCIAL</v>
      </c>
      <c r="N660" s="1965">
        <f>VLOOKUP($B660,[5]BOLETIM_SEL!$A:$H,3,0)</f>
        <v>0</v>
      </c>
      <c r="O660" s="1652" t="e">
        <f t="shared" si="133"/>
        <v>#DIV/0!</v>
      </c>
      <c r="Q660" s="833"/>
      <c r="R660" s="833"/>
      <c r="S660" s="833"/>
      <c r="T660" s="833"/>
      <c r="U660" s="833"/>
      <c r="V660" s="833"/>
      <c r="W660" s="833"/>
      <c r="X660" s="833"/>
    </row>
    <row r="661" spans="1:24" s="813" customFormat="1" ht="39.950000000000003" hidden="1" customHeight="1" x14ac:dyDescent="0.15">
      <c r="A661" s="2081">
        <f ca="1">+Orçamento_Não_Deson!A661</f>
        <v>8.0499999999999989</v>
      </c>
      <c r="B661" s="834" t="str">
        <f>+Orçamento_Não_Deson!B661</f>
        <v>PA/0045</v>
      </c>
      <c r="C661" s="2" t="str">
        <f>VLOOKUP($B661,[5]BOLETIM_SEL!$A:$H,2,0)</f>
        <v>COMPOSIÇÃO</v>
      </c>
      <c r="D661" s="315" t="str">
        <f>VLOOKUP($B661,[5]BOLETIM_SEL!$A:$H,4,0)</f>
        <v>Construção de pavimento com aplicação de concreto betuminoso usinado à quente modificado por polímero elastomérico - CBUQ (p) - CAP 60-85-E - FAIXA "C", camada de rolamento. Exclusive transporte da mistura (REF. SINAPI COD. 95995)</v>
      </c>
      <c r="E661" s="2">
        <f>+Orçamento_Não_Deson!E661</f>
        <v>0</v>
      </c>
      <c r="F661" s="2" t="str">
        <f>VLOOKUP($B661,[5]BOLETIM_SEL!$A:$H,6,0)</f>
        <v>M3</v>
      </c>
      <c r="G661" s="1407">
        <f>VLOOKUP($B661,[5]BOLETIM_SEL!$A:$H,7,0)</f>
        <v>1935.31</v>
      </c>
      <c r="H661" s="1613">
        <f>+Orçamento_Não_Deson!H661</f>
        <v>0</v>
      </c>
      <c r="I661" s="877">
        <f t="shared" si="126"/>
        <v>2452.81</v>
      </c>
      <c r="J661" s="1612">
        <f t="shared" si="121"/>
        <v>0</v>
      </c>
      <c r="K661" s="2078">
        <f t="shared" ca="1" si="125"/>
        <v>0</v>
      </c>
      <c r="L661" s="1574">
        <f t="shared" si="128"/>
        <v>0</v>
      </c>
      <c r="M661" s="1974"/>
      <c r="N661" s="1965">
        <f>VLOOKUP($B661,[5]BOLETIM_SEL!$A:$H,3,0)</f>
        <v>0</v>
      </c>
      <c r="O661" s="1652" t="e">
        <f t="shared" si="133"/>
        <v>#DIV/0!</v>
      </c>
      <c r="Q661" s="833"/>
      <c r="R661" s="833"/>
      <c r="S661" s="833"/>
      <c r="T661" s="833"/>
      <c r="U661" s="833"/>
      <c r="V661" s="833"/>
      <c r="W661" s="833"/>
      <c r="X661" s="833"/>
    </row>
    <row r="662" spans="1:24" s="813" customFormat="1" ht="39.950000000000003" hidden="1" customHeight="1" x14ac:dyDescent="0.15">
      <c r="A662" s="2081">
        <f ca="1">+Orçamento_Não_Deson!A662</f>
        <v>8.0499999999999989</v>
      </c>
      <c r="B662" s="834" t="str">
        <f>+Orçamento_Não_Deson!B662</f>
        <v>PA/0055</v>
      </c>
      <c r="C662" s="2" t="str">
        <f>VLOOKUP($B662,[5]BOLETIM_SEL!$A:$H,2,0)</f>
        <v>COMPOSIÇÃO</v>
      </c>
      <c r="D662" s="315" t="str">
        <f>VLOOKUP($B662,[5]BOLETIM_SEL!$A:$H,4,0)</f>
        <v>Execução de pré-misturado a frio - PMF, faixa C (semidenso), com emulsão asfáltica RL-1C, para revestimento, aplicação com vibroacabadora. Exclusive transporte</v>
      </c>
      <c r="E662" s="2">
        <f>+Orçamento_Não_Deson!E662</f>
        <v>0</v>
      </c>
      <c r="F662" s="2" t="str">
        <f>VLOOKUP($B662,[5]BOLETIM_SEL!$A:$H,6,0)</f>
        <v>M3</v>
      </c>
      <c r="G662" s="1407"/>
      <c r="H662" s="1613">
        <f>+Orçamento_Não_Deson!H662</f>
        <v>0</v>
      </c>
      <c r="I662" s="2189">
        <f t="shared" si="126"/>
        <v>0</v>
      </c>
      <c r="J662" s="2190">
        <f t="shared" si="121"/>
        <v>0</v>
      </c>
      <c r="K662" s="2191">
        <f t="shared" ca="1" si="125"/>
        <v>0</v>
      </c>
      <c r="L662" s="2470">
        <f t="shared" si="128"/>
        <v>0</v>
      </c>
      <c r="M662" s="1974"/>
      <c r="N662" s="1965">
        <f>VLOOKUP($B662,[5]BOLETIM_SEL!$A:$H,3,0)</f>
        <v>0</v>
      </c>
      <c r="O662" s="1652" t="e">
        <f t="shared" si="133"/>
        <v>#DIV/0!</v>
      </c>
      <c r="Q662" s="833"/>
      <c r="R662" s="833"/>
      <c r="S662" s="833"/>
      <c r="T662" s="833"/>
      <c r="U662" s="833"/>
      <c r="V662" s="833"/>
      <c r="W662" s="833"/>
      <c r="X662" s="833"/>
    </row>
    <row r="663" spans="1:24" s="813" customFormat="1" ht="39.950000000000003" hidden="1" customHeight="1" x14ac:dyDescent="0.15">
      <c r="A663" s="2081">
        <f ca="1">+Orçamento_Não_Deson!A663</f>
        <v>8.0499999999999989</v>
      </c>
      <c r="B663" s="834">
        <f>+Orçamento_Não_Deson!B663</f>
        <v>92404</v>
      </c>
      <c r="C663" s="2" t="str">
        <f>VLOOKUP($B663,[5]BOLETIM_SEL!$A:$H,2,0)</f>
        <v>SINAPI</v>
      </c>
      <c r="D663" s="315" t="str">
        <f>VLOOKUP($B663,[5]BOLETIM_SEL!$A:$H,4,0)</f>
        <v>Execução de pavimento em piso intertravado, com bloco 16 faces de 22 x 11 cm, espessura 8 cm. AF_10/2022</v>
      </c>
      <c r="E663" s="2">
        <f>+Orçamento_Não_Deson!E663</f>
        <v>0</v>
      </c>
      <c r="F663" s="2" t="str">
        <f>VLOOKUP($B663,[5]BOLETIM_SEL!$A:$H,6,0)</f>
        <v>M2</v>
      </c>
      <c r="G663" s="1407">
        <f>VLOOKUP($B663,[5]BOLETIM_SEL!$A:$H,7,0)</f>
        <v>79.64</v>
      </c>
      <c r="H663" s="1613">
        <f>+Orçamento_Não_Deson!H663</f>
        <v>0</v>
      </c>
      <c r="I663" s="877">
        <f t="shared" si="126"/>
        <v>100.93</v>
      </c>
      <c r="J663" s="1612">
        <f t="shared" si="121"/>
        <v>0</v>
      </c>
      <c r="K663" s="2078">
        <f t="shared" ca="1" si="125"/>
        <v>0</v>
      </c>
      <c r="L663" s="1574">
        <f t="shared" si="128"/>
        <v>0</v>
      </c>
      <c r="M663" s="1974"/>
      <c r="N663" s="1965">
        <f>VLOOKUP($B663,[5]BOLETIM_SEL!$A:$H,3,0)</f>
        <v>0</v>
      </c>
      <c r="O663" s="1652" t="e">
        <f t="shared" si="133"/>
        <v>#DIV/0!</v>
      </c>
      <c r="Q663" s="833"/>
      <c r="R663" s="833"/>
      <c r="S663" s="833"/>
      <c r="T663" s="833"/>
      <c r="U663" s="833"/>
      <c r="V663" s="833"/>
      <c r="W663" s="833"/>
      <c r="X663" s="833"/>
    </row>
    <row r="664" spans="1:24" s="813" customFormat="1" ht="39.950000000000003" hidden="1" customHeight="1" x14ac:dyDescent="0.15">
      <c r="A664" s="2081">
        <f ca="1">+Orçamento_Não_Deson!A664</f>
        <v>8.0499999999999989</v>
      </c>
      <c r="B664" s="834">
        <f>+Orçamento_Não_Deson!B664</f>
        <v>92406</v>
      </c>
      <c r="C664" s="2" t="str">
        <f>VLOOKUP($B664,[5]BOLETIM_SEL!$A:$H,2,0)</f>
        <v>SINAPI</v>
      </c>
      <c r="D664" s="315" t="str">
        <f>VLOOKUP($B664,[5]BOLETIM_SEL!$A:$H,4,0)</f>
        <v>Execução de pavimento em piso intertravado, com bloco 16 faces de 22 x 11 cm, espessura 10 cm. AF_10/2022</v>
      </c>
      <c r="E664" s="2">
        <f>+Orçamento_Não_Deson!E664</f>
        <v>0</v>
      </c>
      <c r="F664" s="2" t="str">
        <f>VLOOKUP($B664,[5]BOLETIM_SEL!$A:$H,6,0)</f>
        <v>M2</v>
      </c>
      <c r="G664" s="1407">
        <f>VLOOKUP($B664,[5]BOLETIM_SEL!$A:$H,7,0)</f>
        <v>95.43</v>
      </c>
      <c r="H664" s="1613">
        <f>+Orçamento_Não_Deson!H664</f>
        <v>0</v>
      </c>
      <c r="I664" s="877">
        <f t="shared" si="126"/>
        <v>120.94</v>
      </c>
      <c r="J664" s="1612">
        <f t="shared" si="121"/>
        <v>0</v>
      </c>
      <c r="K664" s="2078">
        <f t="shared" ca="1" si="125"/>
        <v>0</v>
      </c>
      <c r="L664" s="1574">
        <f t="shared" si="128"/>
        <v>0</v>
      </c>
      <c r="M664" s="1974"/>
      <c r="N664" s="1965">
        <f>VLOOKUP($B664,[5]BOLETIM_SEL!$A:$H,3,0)</f>
        <v>0</v>
      </c>
      <c r="O664" s="1652" t="e">
        <f t="shared" si="133"/>
        <v>#DIV/0!</v>
      </c>
      <c r="Q664" s="833"/>
      <c r="R664" s="833"/>
      <c r="S664" s="833"/>
      <c r="T664" s="833"/>
      <c r="U664" s="833"/>
      <c r="V664" s="833"/>
      <c r="W664" s="833"/>
      <c r="X664" s="833"/>
    </row>
    <row r="665" spans="1:24" s="813" customFormat="1" ht="39.950000000000003" hidden="1" customHeight="1" x14ac:dyDescent="0.15">
      <c r="A665" s="2081">
        <f ca="1">+Orçamento_Não_Deson!A665</f>
        <v>8.0499999999999989</v>
      </c>
      <c r="B665" s="834">
        <f>+Orçamento_Não_Deson!B665</f>
        <v>92404</v>
      </c>
      <c r="C665" s="2" t="str">
        <f>VLOOKUP($B665,[5]BOLETIM_SEL!$A:$H,2,0)</f>
        <v>SINAPI</v>
      </c>
      <c r="D665" s="315" t="str">
        <f>VLOOKUP($B665,[5]BOLETIM_SEL!$A:$H,4,0)</f>
        <v>Execução de pavimento em piso intertravado, com bloco 16 faces de 22 x 11 cm, espessura 8 cm. AF_10/2022</v>
      </c>
      <c r="E665" s="2">
        <f>+Orçamento_Não_Deson!E665</f>
        <v>0</v>
      </c>
      <c r="F665" s="2" t="str">
        <f>VLOOKUP($B665,[5]BOLETIM_SEL!$A:$H,6,0)</f>
        <v>M2</v>
      </c>
      <c r="G665" s="1407">
        <f>VLOOKUP($B665,[5]BOLETIM_SEL!$A:$H,7,0)</f>
        <v>79.64</v>
      </c>
      <c r="H665" s="1613">
        <f>+Orçamento_Não_Deson!H665</f>
        <v>0</v>
      </c>
      <c r="I665" s="877">
        <f t="shared" si="126"/>
        <v>100.93</v>
      </c>
      <c r="J665" s="1612">
        <f t="shared" si="121"/>
        <v>0</v>
      </c>
      <c r="K665" s="2078">
        <f t="shared" ca="1" si="125"/>
        <v>0</v>
      </c>
      <c r="L665" s="1574">
        <f t="shared" si="128"/>
        <v>0</v>
      </c>
      <c r="M665" s="1974"/>
      <c r="N665" s="1965">
        <f>VLOOKUP($B665,[5]BOLETIM_SEL!$A:$H,3,0)</f>
        <v>0</v>
      </c>
      <c r="O665" s="1652" t="e">
        <f t="shared" si="133"/>
        <v>#DIV/0!</v>
      </c>
      <c r="Q665" s="833"/>
      <c r="R665" s="833"/>
      <c r="S665" s="833"/>
      <c r="T665" s="833"/>
      <c r="U665" s="833"/>
      <c r="V665" s="833"/>
      <c r="W665" s="833"/>
      <c r="X665" s="833"/>
    </row>
    <row r="666" spans="1:24" s="813" customFormat="1" ht="39.950000000000003" hidden="1" customHeight="1" x14ac:dyDescent="0.15">
      <c r="A666" s="2081">
        <f ca="1">+Orçamento_Não_Deson!A666</f>
        <v>8.0499999999999989</v>
      </c>
      <c r="B666" s="834">
        <f>+Orçamento_Não_Deson!B666</f>
        <v>92406</v>
      </c>
      <c r="C666" s="2" t="str">
        <f>VLOOKUP($B666,[5]BOLETIM_SEL!$A:$H,2,0)</f>
        <v>SINAPI</v>
      </c>
      <c r="D666" s="315" t="str">
        <f>VLOOKUP($B666,[5]BOLETIM_SEL!$A:$H,4,0)</f>
        <v>Execução de pavimento em piso intertravado, com bloco 16 faces de 22 x 11 cm, espessura 10 cm. AF_10/2022</v>
      </c>
      <c r="E666" s="2">
        <f>+Orçamento_Não_Deson!E666</f>
        <v>0</v>
      </c>
      <c r="F666" s="2" t="str">
        <f>VLOOKUP($B666,[5]BOLETIM_SEL!$A:$H,6,0)</f>
        <v>M2</v>
      </c>
      <c r="G666" s="1407">
        <f>VLOOKUP($B666,[5]BOLETIM_SEL!$A:$H,7,0)</f>
        <v>95.43</v>
      </c>
      <c r="H666" s="1613">
        <f>+Orçamento_Não_Deson!H666</f>
        <v>0</v>
      </c>
      <c r="I666" s="877">
        <f t="shared" si="126"/>
        <v>120.94</v>
      </c>
      <c r="J666" s="1612">
        <f t="shared" si="121"/>
        <v>0</v>
      </c>
      <c r="K666" s="2078">
        <f t="shared" ca="1" si="125"/>
        <v>0</v>
      </c>
      <c r="L666" s="1574">
        <f t="shared" si="128"/>
        <v>0</v>
      </c>
      <c r="M666" s="1974"/>
      <c r="N666" s="833"/>
      <c r="O666" s="833"/>
      <c r="Q666" s="833"/>
      <c r="R666" s="833"/>
      <c r="S666" s="833"/>
      <c r="T666" s="833"/>
      <c r="U666" s="833"/>
      <c r="V666" s="833"/>
      <c r="W666" s="833"/>
      <c r="X666" s="833"/>
    </row>
    <row r="667" spans="1:24" s="813" customFormat="1" ht="39.950000000000003" hidden="1" customHeight="1" x14ac:dyDescent="0.15">
      <c r="A667" s="2081">
        <f ca="1">+Orçamento_Não_Deson!A667</f>
        <v>8.0499999999999989</v>
      </c>
      <c r="B667" s="834">
        <f>+Orçamento_Não_Deson!B667</f>
        <v>101230</v>
      </c>
      <c r="C667" s="2" t="str">
        <f>VLOOKUP($B667,[5]BOLETIM_SEL!$A:$H,2,0)</f>
        <v>SINAPI</v>
      </c>
      <c r="D667" s="315" t="str">
        <f>VLOOKUP($B667,[5]BOLETIM_SEL!$A:$H,4,0)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667" s="2">
        <f>+Orçamento_Não_Deson!E667</f>
        <v>0</v>
      </c>
      <c r="F667" s="2" t="str">
        <f>VLOOKUP($B667,[5]BOLETIM_SEL!$A:$H,6,0)</f>
        <v>M3</v>
      </c>
      <c r="G667" s="1407">
        <f>VLOOKUP($B667,[5]BOLETIM_SEL!$A:$H,7,0)</f>
        <v>9.8699999999999992</v>
      </c>
      <c r="H667" s="1613">
        <f>+Orçamento_Não_Deson!H667</f>
        <v>0</v>
      </c>
      <c r="I667" s="877">
        <f t="shared" si="126"/>
        <v>12.5</v>
      </c>
      <c r="J667" s="1612">
        <f t="shared" si="121"/>
        <v>0</v>
      </c>
      <c r="K667" s="2078">
        <f t="shared" ca="1" si="125"/>
        <v>0</v>
      </c>
      <c r="L667" s="1574">
        <f t="shared" si="128"/>
        <v>0</v>
      </c>
      <c r="M667" s="1974"/>
      <c r="N667" s="833"/>
      <c r="O667" s="833"/>
      <c r="Q667" s="833"/>
      <c r="R667" s="833"/>
      <c r="S667" s="833"/>
      <c r="T667" s="833"/>
      <c r="U667" s="833"/>
      <c r="V667" s="833"/>
      <c r="W667" s="833"/>
      <c r="X667" s="833"/>
    </row>
    <row r="668" spans="1:24" s="813" customFormat="1" ht="30" customHeight="1" x14ac:dyDescent="0.15">
      <c r="A668" s="2081">
        <f ca="1">+Orçamento_Não_Deson!A668</f>
        <v>8.0599999999999987</v>
      </c>
      <c r="B668" s="834">
        <f>+Orçamento_Não_Deson!B668</f>
        <v>6079</v>
      </c>
      <c r="C668" s="2" t="str">
        <f>VLOOKUP($B668,[5]BOLETIM_SEL!$A:$H,2,0)</f>
        <v>COTAÇÃO - SINAPI</v>
      </c>
      <c r="D668" s="315" t="str">
        <f>VLOOKUP($B668,[5]BOLETIM_SEL!$A:$H,4,0)</f>
        <v>Argila, argila vermelha ou argila arenosa (retirada na jazida, sem transporte)</v>
      </c>
      <c r="E668" s="2" t="str">
        <f>+Orçamento_Não_Deson!E668</f>
        <v>BDI insumo</v>
      </c>
      <c r="F668" s="2" t="str">
        <f>VLOOKUP($B668,[5]BOLETIM_SEL!$A:$H,6,0)</f>
        <v xml:space="preserve">M3    </v>
      </c>
      <c r="G668" s="1407">
        <f>VLOOKUP($B668,[5]BOLETIM_SEL!$A:$H,7,0)</f>
        <v>33.700000000000003</v>
      </c>
      <c r="H668" s="1613">
        <f>+Orçamento_Não_Deson!H668</f>
        <v>4900.88</v>
      </c>
      <c r="I668" s="2109">
        <f t="shared" ref="I668:I670" si="134">TRUNC(G668*(1+$J$6),2)</f>
        <v>38.840000000000003</v>
      </c>
      <c r="J668" s="1612">
        <f t="shared" si="121"/>
        <v>190350.17</v>
      </c>
      <c r="K668" s="2078">
        <f t="shared" ca="1" si="125"/>
        <v>1.3861958771863853E-2</v>
      </c>
      <c r="L668" s="1574">
        <f t="shared" si="128"/>
        <v>2.604711551578898E-2</v>
      </c>
      <c r="M668" s="1975" t="str">
        <f>+Orçamento_Não_Deson!M668</f>
        <v>COMERCIAL</v>
      </c>
      <c r="N668" s="833"/>
      <c r="O668" s="833"/>
      <c r="Q668" s="833"/>
      <c r="R668" s="833"/>
      <c r="S668" s="1816"/>
      <c r="T668" s="833"/>
      <c r="U668" s="833"/>
      <c r="V668" s="833"/>
      <c r="W668" s="833"/>
      <c r="X668" s="833"/>
    </row>
    <row r="669" spans="1:24" s="813" customFormat="1" ht="39.950000000000003" hidden="1" customHeight="1" x14ac:dyDescent="0.15">
      <c r="A669" s="2081">
        <f ca="1">+Orçamento_Não_Deson!A669</f>
        <v>8.0599999999999987</v>
      </c>
      <c r="B669" s="834">
        <f>+Orçamento_Não_Deson!B669</f>
        <v>4743</v>
      </c>
      <c r="C669" s="2" t="str">
        <f>VLOOKUP($B669,[5]BOLETIM_SEL!$A:$H,2,0)</f>
        <v>COTAÇÃO - SINAPI</v>
      </c>
      <c r="D669" s="315" t="str">
        <f>VLOOKUP($B669,[5]BOLETIM_SEL!$A:$H,4,0)</f>
        <v>Cascalho de cava</v>
      </c>
      <c r="E669" s="2" t="str">
        <f>+Orçamento_Não_Deson!E669</f>
        <v>BDI insumo</v>
      </c>
      <c r="F669" s="2" t="str">
        <f>VLOOKUP($B669,[5]BOLETIM_SEL!$A:$H,6,0)</f>
        <v xml:space="preserve">M3    </v>
      </c>
      <c r="G669" s="1407">
        <f>VLOOKUP($B669,[5]BOLETIM_SEL!$A:$H,7,0)</f>
        <v>56.55</v>
      </c>
      <c r="H669" s="1613">
        <f>+Orçamento_Não_Deson!H669</f>
        <v>0</v>
      </c>
      <c r="I669" s="2109">
        <f t="shared" si="134"/>
        <v>65.180000000000007</v>
      </c>
      <c r="J669" s="1612">
        <f t="shared" si="121"/>
        <v>0</v>
      </c>
      <c r="K669" s="2078">
        <f t="shared" ca="1" si="125"/>
        <v>0</v>
      </c>
      <c r="L669" s="1574">
        <f t="shared" si="128"/>
        <v>0</v>
      </c>
      <c r="M669" s="1975" t="str">
        <f>+Orçamento_Não_Deson!M669</f>
        <v>LOCAL</v>
      </c>
      <c r="N669" s="833"/>
      <c r="O669" s="833"/>
      <c r="Q669" s="833"/>
      <c r="R669" s="833"/>
      <c r="S669" s="833"/>
      <c r="T669" s="833"/>
      <c r="U669" s="833"/>
      <c r="V669" s="833"/>
      <c r="W669" s="833"/>
      <c r="X669" s="833"/>
    </row>
    <row r="670" spans="1:24" s="813" customFormat="1" ht="30" customHeight="1" x14ac:dyDescent="0.15">
      <c r="A670" s="2081">
        <f ca="1">+Orçamento_Não_Deson!A670</f>
        <v>8.0699999999999985</v>
      </c>
      <c r="B670" s="834">
        <f>+Orçamento_Não_Deson!B670</f>
        <v>4721</v>
      </c>
      <c r="C670" s="2" t="str">
        <f>VLOOKUP($B670,[5]BOLETIM_SEL!$A:$H,2,0)</f>
        <v>COTAÇÃO - SINAPI</v>
      </c>
      <c r="D670" s="315" t="str">
        <f>VLOOKUP($B670,[5]BOLETIM_SEL!$A:$H,4,0)</f>
        <v>Pedra britada n. 1 (9,5 A 19 mm) posto pedreira/fornecedor, sem frete</v>
      </c>
      <c r="E670" s="2" t="str">
        <f>+Orçamento_Não_Deson!E670</f>
        <v>BDI insumo</v>
      </c>
      <c r="F670" s="2" t="str">
        <f>VLOOKUP($B670,[5]BOLETIM_SEL!$A:$H,6,0)</f>
        <v xml:space="preserve">M3    </v>
      </c>
      <c r="G670" s="1407">
        <f>VLOOKUP($B670,[5]BOLETIM_SEL!$A:$H,7,0)</f>
        <v>96.99</v>
      </c>
      <c r="H670" s="1613">
        <f>+Orçamento_Não_Deson!H670</f>
        <v>8086.45</v>
      </c>
      <c r="I670" s="2109">
        <f t="shared" si="134"/>
        <v>111.8</v>
      </c>
      <c r="J670" s="1612">
        <f t="shared" si="121"/>
        <v>904065.11</v>
      </c>
      <c r="K670" s="2078">
        <f t="shared" ca="1" si="125"/>
        <v>6.5837153084237113E-2</v>
      </c>
      <c r="L670" s="1574">
        <f t="shared" si="128"/>
        <v>0.12371036156135017</v>
      </c>
      <c r="M670" s="1974"/>
      <c r="N670" s="833"/>
      <c r="O670" s="833"/>
      <c r="Q670" s="833"/>
      <c r="R670" s="833"/>
      <c r="S670" s="833"/>
      <c r="T670" s="833"/>
      <c r="U670" s="833"/>
      <c r="V670" s="833"/>
      <c r="W670" s="833"/>
      <c r="X670" s="833"/>
    </row>
    <row r="671" spans="1:24" s="813" customFormat="1" ht="39.950000000000003" hidden="1" customHeight="1" x14ac:dyDescent="0.15">
      <c r="A671" s="2081">
        <f ca="1">+Orçamento_Não_Deson!A671</f>
        <v>8.0699999999999985</v>
      </c>
      <c r="B671" s="834">
        <f>+Orçamento_Não_Deson!B671</f>
        <v>4748</v>
      </c>
      <c r="C671" s="2" t="str">
        <f>VLOOKUP($B671,[5]BOLETIM_SEL!$A:$H,2,0)</f>
        <v>COTAÇÃO - SINAPI</v>
      </c>
      <c r="D671" s="315" t="str">
        <f>VLOOKUP($B671,[5]BOLETIM_SEL!$A:$H,4,0)</f>
        <v>Pedra britada ou bica corrida, não classificada (posto pedreira/fornecedor, sem frete)</v>
      </c>
      <c r="E671" s="2" t="str">
        <f>+Orçamento_Não_Deson!E671</f>
        <v>BDI insumo</v>
      </c>
      <c r="F671" s="2" t="str">
        <f>VLOOKUP($B671,[5]BOLETIM_SEL!$A:$H,6,0)</f>
        <v xml:space="preserve">M3    </v>
      </c>
      <c r="G671" s="1407">
        <f>VLOOKUP($B671,[5]BOLETIM_SEL!$A:$H,7,0)</f>
        <v>89.58</v>
      </c>
      <c r="H671" s="1613">
        <f>+Orçamento_Não_Deson!H671</f>
        <v>0</v>
      </c>
      <c r="I671" s="2109">
        <f>TRUNC(G671*(1+$J$6),2)</f>
        <v>103.25</v>
      </c>
      <c r="J671" s="1612">
        <f t="shared" si="121"/>
        <v>0</v>
      </c>
      <c r="K671" s="2078">
        <f t="shared" ca="1" si="125"/>
        <v>0</v>
      </c>
      <c r="L671" s="1574">
        <f t="shared" si="128"/>
        <v>0</v>
      </c>
      <c r="M671" s="1974"/>
      <c r="N671" s="833"/>
      <c r="O671" s="833"/>
      <c r="Q671" s="833"/>
      <c r="R671" s="833"/>
      <c r="S671" s="833"/>
      <c r="T671" s="833"/>
      <c r="U671" s="833"/>
      <c r="V671" s="833"/>
      <c r="W671" s="833"/>
      <c r="X671" s="833"/>
    </row>
    <row r="672" spans="1:24" s="813" customFormat="1" ht="39.950000000000003" hidden="1" customHeight="1" x14ac:dyDescent="0.15">
      <c r="A672" s="2081">
        <f ca="1">+Orçamento_Não_Deson!A672</f>
        <v>8.0699999999999985</v>
      </c>
      <c r="B672" s="834">
        <f>+Orçamento_Não_Deson!B672</f>
        <v>4729</v>
      </c>
      <c r="C672" s="2" t="str">
        <f>VLOOKUP($B672,[5]BOLETIM_SEL!$A:$H,2,0)</f>
        <v>COTAÇÃO - SINAPI</v>
      </c>
      <c r="D672" s="315" t="str">
        <f>VLOOKUP($B672,[5]BOLETIM_SEL!$A:$H,4,0)</f>
        <v>Pedra britada graduada, classificada (posto pedreira/fornecedor, sem frete)</v>
      </c>
      <c r="E672" s="2" t="str">
        <f>+Orçamento_Não_Deson!E672</f>
        <v>BDI insumo</v>
      </c>
      <c r="F672" s="2" t="str">
        <f>VLOOKUP($B672,[5]BOLETIM_SEL!$A:$H,6,0)</f>
        <v xml:space="preserve">M3    </v>
      </c>
      <c r="G672" s="1407">
        <f>VLOOKUP($B672,[5]BOLETIM_SEL!$A:$H,7,0)</f>
        <v>97.72</v>
      </c>
      <c r="H672" s="1613">
        <f>+Orçamento_Não_Deson!H672</f>
        <v>0</v>
      </c>
      <c r="I672" s="2109">
        <f>TRUNC(G672*(1+$J$6),2)</f>
        <v>112.64</v>
      </c>
      <c r="J672" s="1612">
        <f t="shared" si="121"/>
        <v>0</v>
      </c>
      <c r="K672" s="2078">
        <f t="shared" ca="1" si="125"/>
        <v>0</v>
      </c>
      <c r="L672" s="1574">
        <f t="shared" si="128"/>
        <v>0</v>
      </c>
      <c r="M672" s="1974"/>
      <c r="N672" s="833"/>
      <c r="O672" s="833"/>
      <c r="Q672" s="833"/>
      <c r="R672" s="833"/>
      <c r="S672" s="833"/>
      <c r="T672" s="833"/>
      <c r="U672" s="833"/>
      <c r="V672" s="833"/>
      <c r="W672" s="833"/>
      <c r="X672" s="833"/>
    </row>
    <row r="673" spans="1:24" s="813" customFormat="1" ht="39.950000000000003" customHeight="1" x14ac:dyDescent="0.15">
      <c r="A673" s="2081">
        <f ca="1">+Orçamento_Não_Deson!A673</f>
        <v>8.0799999999999983</v>
      </c>
      <c r="B673" s="834">
        <f>+Orçamento_Não_Deson!B673</f>
        <v>100978</v>
      </c>
      <c r="C673" s="2" t="str">
        <f>VLOOKUP($B673,[5]BOLETIM_SEL!$A:$H,2,0)</f>
        <v>SINAPI</v>
      </c>
      <c r="D673" s="315" t="str">
        <f>VLOOKUP($B673,[5]BOLETIM_SEL!$A:$H,4,0)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673" s="2">
        <f>+Orçamento_Não_Deson!E673</f>
        <v>0</v>
      </c>
      <c r="F673" s="2" t="str">
        <f>VLOOKUP($B673,[5]BOLETIM_SEL!$A:$H,6,0)</f>
        <v>M3</v>
      </c>
      <c r="G673" s="1407">
        <f>VLOOKUP($B673,[5]BOLETIM_SEL!$A:$H,7,0)</f>
        <v>6.04</v>
      </c>
      <c r="H673" s="1613">
        <f>+Orçamento_Não_Deson!H673</f>
        <v>13477.42</v>
      </c>
      <c r="I673" s="877">
        <f>+TRUNC(G673*(1+$J$5),2)</f>
        <v>7.65</v>
      </c>
      <c r="J673" s="1612">
        <f t="shared" si="121"/>
        <v>103102.26</v>
      </c>
      <c r="K673" s="2078">
        <f t="shared" ca="1" si="125"/>
        <v>7.5082637299771658E-3</v>
      </c>
      <c r="L673" s="1574">
        <f t="shared" si="128"/>
        <v>1.4108295654051211E-2</v>
      </c>
      <c r="M673" s="1975" t="str">
        <f>+Orçamento_Não_Deson!M673</f>
        <v>ESCAVADEIRA</v>
      </c>
      <c r="N673" s="833"/>
      <c r="O673" s="833"/>
      <c r="Q673" s="833"/>
      <c r="R673" s="833"/>
      <c r="S673" s="833"/>
      <c r="T673" s="833"/>
      <c r="U673" s="833"/>
      <c r="V673" s="833"/>
      <c r="W673" s="833"/>
      <c r="X673" s="833"/>
    </row>
    <row r="674" spans="1:24" s="813" customFormat="1" ht="39.950000000000003" hidden="1" customHeight="1" x14ac:dyDescent="0.15">
      <c r="A674" s="2081">
        <f ca="1">+Orçamento_Não_Deson!A674</f>
        <v>8.0799999999999983</v>
      </c>
      <c r="B674" s="834">
        <f>+Orçamento_Não_Deson!B674</f>
        <v>100979</v>
      </c>
      <c r="C674" s="2" t="str">
        <f>VLOOKUP($B674,[5]BOLETIM_SEL!$A:$H,2,0)</f>
        <v>SINAPI</v>
      </c>
      <c r="D674" s="315" t="str">
        <f>VLOOKUP($B674,[5]BOLETIM_SEL!$A:$H,4,0)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74" s="2">
        <f>+Orçamento_Não_Deson!E674</f>
        <v>0</v>
      </c>
      <c r="F674" s="2" t="str">
        <f>VLOOKUP($B674,[5]BOLETIM_SEL!$A:$H,6,0)</f>
        <v>M3</v>
      </c>
      <c r="G674" s="1407">
        <f>VLOOKUP($B674,[5]BOLETIM_SEL!$A:$H,7,0)</f>
        <v>5.91</v>
      </c>
      <c r="H674" s="1613">
        <f>+Orçamento_Não_Deson!H674</f>
        <v>0</v>
      </c>
      <c r="I674" s="877">
        <f>+TRUNC(G674*(1+$J$5),2)</f>
        <v>7.49</v>
      </c>
      <c r="J674" s="1612">
        <f t="shared" si="121"/>
        <v>0</v>
      </c>
      <c r="K674" s="2078">
        <f t="shared" ca="1" si="125"/>
        <v>0</v>
      </c>
      <c r="L674" s="1574">
        <f t="shared" si="128"/>
        <v>0</v>
      </c>
      <c r="M674" s="1975" t="str">
        <f>+Orçamento_Não_Deson!M674</f>
        <v>ESCAVADEIRA</v>
      </c>
      <c r="N674" s="833"/>
      <c r="O674" s="833"/>
      <c r="Q674" s="833"/>
      <c r="R674" s="833"/>
      <c r="S674" s="833"/>
      <c r="T674" s="833"/>
      <c r="U674" s="833"/>
      <c r="V674" s="833"/>
      <c r="W674" s="833"/>
      <c r="X674" s="833"/>
    </row>
    <row r="675" spans="1:24" s="813" customFormat="1" ht="39.950000000000003" hidden="1" customHeight="1" x14ac:dyDescent="0.15">
      <c r="A675" s="2081">
        <f t="shared" ref="A675" ca="1" si="135">+IF(H675&gt;0,A674+0.01,A674)</f>
        <v>8.0799999999999983</v>
      </c>
      <c r="B675" s="834">
        <v>3009086</v>
      </c>
      <c r="C675" s="2" t="s">
        <v>2710</v>
      </c>
      <c r="D675" s="315" t="s">
        <v>2711</v>
      </c>
      <c r="E675" s="2"/>
      <c r="F675" s="2" t="s">
        <v>956</v>
      </c>
      <c r="G675" s="1407">
        <v>1513.29</v>
      </c>
      <c r="H675" s="1613">
        <f>+Orçamento_Não_Deson!H675</f>
        <v>0</v>
      </c>
      <c r="I675" s="877">
        <f>+TRUNC(G675*(1+$J$5),2)</f>
        <v>1917.94</v>
      </c>
      <c r="J675" s="1612">
        <f t="shared" si="121"/>
        <v>0</v>
      </c>
      <c r="K675" s="2078">
        <f t="shared" ca="1" si="125"/>
        <v>0</v>
      </c>
      <c r="L675" s="1574">
        <f t="shared" si="128"/>
        <v>0</v>
      </c>
      <c r="M675" s="1589" t="s">
        <v>2106</v>
      </c>
      <c r="N675" s="833"/>
      <c r="O675" s="833"/>
      <c r="Q675" s="833"/>
      <c r="R675" s="833"/>
      <c r="S675" s="833"/>
      <c r="T675" s="833"/>
      <c r="U675" s="833"/>
      <c r="V675" s="833"/>
      <c r="W675" s="833"/>
      <c r="X675" s="833"/>
    </row>
    <row r="676" spans="1:24" s="813" customFormat="1" ht="30" customHeight="1" x14ac:dyDescent="0.15">
      <c r="A676" s="2083"/>
      <c r="B676" s="834"/>
      <c r="C676" s="2"/>
      <c r="D676" s="1452" t="s">
        <v>1898</v>
      </c>
      <c r="E676" s="2"/>
      <c r="F676" s="2"/>
      <c r="G676" s="1407"/>
      <c r="H676" s="2"/>
      <c r="I676" s="2"/>
      <c r="J676" s="839" t="str">
        <f>IF(J679=0,"-","")</f>
        <v/>
      </c>
      <c r="K676" s="2078"/>
      <c r="L676" s="1574"/>
      <c r="M676" s="1974"/>
      <c r="N676" s="833"/>
      <c r="O676" s="833"/>
      <c r="Q676" s="833"/>
      <c r="R676" s="833"/>
      <c r="S676" s="833"/>
      <c r="T676" s="833"/>
      <c r="U676" s="833"/>
      <c r="V676" s="833"/>
      <c r="W676" s="833"/>
      <c r="X676" s="833"/>
    </row>
    <row r="677" spans="1:24" s="813" customFormat="1" ht="39.950000000000003" customHeight="1" x14ac:dyDescent="0.15">
      <c r="A677" s="2081">
        <f ca="1">+Orçamento_Não_Deson!A677</f>
        <v>8.0899999999999981</v>
      </c>
      <c r="B677" s="834">
        <f>+Orçamento_Não_Deson!B677</f>
        <v>95876</v>
      </c>
      <c r="C677" s="2" t="str">
        <f>VLOOKUP($B677,[5]BOLETIM_SEL!$A:$H,2,0)</f>
        <v>SINAPI</v>
      </c>
      <c r="D677" s="315" t="str">
        <f>VLOOKUP($B677,[5]BOLETIM_SEL!$A:$H,4,0)</f>
        <v>Transporte com caminhão basculante de 14 m3, em via urbana pavimentada, DMT até 30,00 km (unidade: m3xkm). AF_07/2020</v>
      </c>
      <c r="E677" s="2">
        <f>+Orçamento_Não_Deson!E677</f>
        <v>4</v>
      </c>
      <c r="F677" s="2" t="str">
        <f>VLOOKUP($B677,[5]BOLETIM_SEL!$A:$H,6,0)</f>
        <v>M3XKM</v>
      </c>
      <c r="G677" s="1407">
        <f>VLOOKUP($B677,[5]BOLETIM_SEL!$A:$H,7,0)</f>
        <v>1.91</v>
      </c>
      <c r="H677" s="1613">
        <f>+Orçamento_Não_Deson!H677</f>
        <v>19603.52</v>
      </c>
      <c r="I677" s="877">
        <f>+TRUNC(G677*(1+$J$5),2)</f>
        <v>2.42</v>
      </c>
      <c r="J677" s="1612">
        <f t="shared" ref="J677" si="136">TRUNC(H677*I677,2)</f>
        <v>47440.51</v>
      </c>
      <c r="K677" s="2078">
        <f ca="1">J677/J$967</f>
        <v>3.4547822769803401E-3</v>
      </c>
      <c r="L677" s="1574">
        <f t="shared" ref="L677" si="137">J677/$J$645</f>
        <v>6.4916592619693597E-3</v>
      </c>
      <c r="M677" s="1976">
        <f>+Orçamento_Não_Deson!M677</f>
        <v>4900.88</v>
      </c>
      <c r="N677" s="833"/>
      <c r="O677" s="833"/>
      <c r="Q677" s="833"/>
      <c r="R677" s="833"/>
      <c r="S677" s="833"/>
      <c r="T677" s="833"/>
      <c r="U677" s="833"/>
      <c r="V677" s="833"/>
      <c r="W677" s="833"/>
      <c r="X677" s="833"/>
    </row>
    <row r="678" spans="1:24" s="813" customFormat="1" ht="24.95" customHeight="1" x14ac:dyDescent="0.15">
      <c r="A678" s="2083"/>
      <c r="B678" s="834"/>
      <c r="C678" s="2"/>
      <c r="D678" s="1452" t="s">
        <v>1899</v>
      </c>
      <c r="E678" s="2"/>
      <c r="F678" s="836"/>
      <c r="G678" s="1407"/>
      <c r="H678" s="2"/>
      <c r="I678" s="836"/>
      <c r="J678" s="839" t="str">
        <f>IF(J677=0,"-","")</f>
        <v/>
      </c>
      <c r="K678" s="2078"/>
      <c r="L678" s="1574"/>
      <c r="M678" s="1974" t="str">
        <f>+Orçamento_Não_Deson!M678</f>
        <v>Depósito provisório</v>
      </c>
      <c r="N678" s="833"/>
      <c r="O678" s="833"/>
      <c r="Q678" s="833"/>
      <c r="R678" s="833"/>
      <c r="S678" s="833"/>
      <c r="T678" s="833"/>
      <c r="U678" s="833"/>
      <c r="V678" s="833"/>
      <c r="W678" s="833"/>
      <c r="X678" s="833"/>
    </row>
    <row r="679" spans="1:24" s="813" customFormat="1" ht="30" customHeight="1" x14ac:dyDescent="0.15">
      <c r="A679" s="2081">
        <f ca="1">+Orçamento_Não_Deson!A679</f>
        <v>8.0999999999999979</v>
      </c>
      <c r="B679" s="834">
        <f>+Orçamento_Não_Deson!B679</f>
        <v>100939</v>
      </c>
      <c r="C679" s="2" t="str">
        <f>VLOOKUP($B679,[5]BOLETIM_SEL!$A:$H,2,0)</f>
        <v>SINAPI</v>
      </c>
      <c r="D679" s="315" t="str">
        <f>VLOOKUP($B679,[5]BOLETIM_SEL!$A:$H,4,0)</f>
        <v>Transporte com caminhão basculante de 14 m3, em via interna (dentro do canteiro - unidade:m3xkm). AF_07/2020</v>
      </c>
      <c r="E679" s="2">
        <f>+Orçamento_Não_Deson!E679</f>
        <v>1</v>
      </c>
      <c r="F679" s="2" t="str">
        <f>VLOOKUP($B679,[5]BOLETIM_SEL!$A:$H,6,0)</f>
        <v>M3XKM</v>
      </c>
      <c r="G679" s="1407">
        <f>VLOOKUP($B679,[5]BOLETIM_SEL!$A:$H,7,0)</f>
        <v>5.83</v>
      </c>
      <c r="H679" s="1613">
        <f>+Orçamento_Não_Deson!H679</f>
        <v>13477.42</v>
      </c>
      <c r="I679" s="877">
        <f>+TRUNC(G679*(1+$J$5),2)</f>
        <v>7.38</v>
      </c>
      <c r="J679" s="1612">
        <f t="shared" ref="J679" si="138">TRUNC(H679*I679,2)</f>
        <v>99463.35</v>
      </c>
      <c r="K679" s="2078">
        <f ca="1">J679/J$967</f>
        <v>7.243265698220625E-3</v>
      </c>
      <c r="L679" s="1574">
        <f t="shared" ref="L679" si="139">J679/$J$645</f>
        <v>1.3610354889818852E-2</v>
      </c>
      <c r="M679" s="1974"/>
      <c r="N679" s="833"/>
      <c r="O679" s="833"/>
      <c r="Q679" s="833"/>
      <c r="R679" s="833"/>
      <c r="S679" s="833"/>
      <c r="T679" s="833"/>
      <c r="U679" s="833"/>
      <c r="V679" s="833"/>
      <c r="W679" s="833"/>
      <c r="X679" s="833"/>
    </row>
    <row r="680" spans="1:24" s="813" customFormat="1" ht="39.950000000000003" hidden="1" customHeight="1" x14ac:dyDescent="0.15">
      <c r="A680" s="2083"/>
      <c r="B680" s="834"/>
      <c r="C680" s="2"/>
      <c r="D680" s="1452" t="s">
        <v>1895</v>
      </c>
      <c r="E680" s="2"/>
      <c r="F680" s="2"/>
      <c r="G680" s="1407"/>
      <c r="H680" s="2"/>
      <c r="I680" s="2"/>
      <c r="J680" s="839" t="str">
        <f>IF(J681=0,"-","")</f>
        <v>-</v>
      </c>
      <c r="K680" s="2078"/>
      <c r="L680" s="1574"/>
      <c r="M680" s="1974"/>
      <c r="N680" s="833"/>
      <c r="O680" s="833"/>
      <c r="Q680" s="833"/>
      <c r="R680" s="833"/>
      <c r="S680" s="833"/>
      <c r="T680" s="833"/>
      <c r="U680" s="833"/>
      <c r="V680" s="833"/>
      <c r="W680" s="833"/>
      <c r="X680" s="833"/>
    </row>
    <row r="681" spans="1:24" s="813" customFormat="1" ht="39.950000000000003" hidden="1" customHeight="1" x14ac:dyDescent="0.15">
      <c r="A681" s="2081">
        <f ca="1">+Orçamento_Não_Deson!A681</f>
        <v>8.0999999999999979</v>
      </c>
      <c r="B681" s="834">
        <f>+Orçamento_Não_Deson!B681</f>
        <v>95875</v>
      </c>
      <c r="C681" s="2" t="str">
        <f>VLOOKUP($B681,[5]BOLETIM_SEL!$A:$H,2,0)</f>
        <v>SINAPI</v>
      </c>
      <c r="D681" s="315" t="str">
        <f>VLOOKUP($B681,[5]BOLETIM_SEL!$A:$H,4,0)</f>
        <v>Transporte com caminhão basculante de 10 m3, em via urbana pavimentada, DMT até 30,00 km (unidade: m3xkm). AF_07/2020</v>
      </c>
      <c r="E681" s="2">
        <f>+Orçamento_Não_Deson!E681</f>
        <v>0</v>
      </c>
      <c r="F681" s="2" t="str">
        <f>VLOOKUP($B681,[5]BOLETIM_SEL!$A:$H,6,0)</f>
        <v>M3XKM</v>
      </c>
      <c r="G681" s="1407">
        <f>VLOOKUP($B681,[5]BOLETIM_SEL!$A:$H,7,0)</f>
        <v>2.15</v>
      </c>
      <c r="H681" s="1613">
        <f>+Orçamento_Não_Deson!H681</f>
        <v>0</v>
      </c>
      <c r="I681" s="877">
        <f>+TRUNC(G681*(1+$J$5),2)</f>
        <v>2.72</v>
      </c>
      <c r="J681" s="1612">
        <f t="shared" ref="J681" si="140">TRUNC(H681*I681,2)</f>
        <v>0</v>
      </c>
      <c r="K681" s="2078">
        <f ca="1">J681/J$967</f>
        <v>0</v>
      </c>
      <c r="L681" s="1574">
        <f t="shared" ref="L681" si="141">J681/$J$645</f>
        <v>0</v>
      </c>
      <c r="M681" s="1976">
        <f>+Orçamento_Não_Deson!M681</f>
        <v>0</v>
      </c>
      <c r="N681" s="833"/>
      <c r="O681" s="833"/>
      <c r="Q681" s="833"/>
      <c r="R681" s="833"/>
      <c r="S681" s="833"/>
      <c r="T681" s="833"/>
      <c r="U681" s="833"/>
      <c r="V681" s="833"/>
      <c r="W681" s="833"/>
      <c r="X681" s="833"/>
    </row>
    <row r="682" spans="1:24" s="813" customFormat="1" ht="24.95" customHeight="1" x14ac:dyDescent="0.15">
      <c r="A682" s="2083"/>
      <c r="B682" s="834"/>
      <c r="C682" s="2"/>
      <c r="D682" s="1452" t="s">
        <v>1900</v>
      </c>
      <c r="E682" s="2"/>
      <c r="F682" s="2"/>
      <c r="G682" s="1407"/>
      <c r="H682" s="2"/>
      <c r="I682" s="2"/>
      <c r="J682" s="839" t="str">
        <f>IF(J683=0,"-","")</f>
        <v/>
      </c>
      <c r="K682" s="2078"/>
      <c r="L682" s="1574"/>
      <c r="M682" s="1974"/>
      <c r="N682" s="833"/>
      <c r="O682" s="833"/>
      <c r="Q682" s="833"/>
      <c r="R682" s="833"/>
      <c r="S682" s="833"/>
      <c r="T682" s="833"/>
      <c r="U682" s="833"/>
      <c r="V682" s="833"/>
      <c r="W682" s="833"/>
      <c r="X682" s="833"/>
    </row>
    <row r="683" spans="1:24" s="813" customFormat="1" ht="39.950000000000003" customHeight="1" x14ac:dyDescent="0.15">
      <c r="A683" s="2081">
        <f ca="1">+Orçamento_Não_Deson!A683</f>
        <v>8.1099999999999977</v>
      </c>
      <c r="B683" s="834">
        <f>+Orçamento_Não_Deson!B683</f>
        <v>93593</v>
      </c>
      <c r="C683" s="2" t="str">
        <f>VLOOKUP($B683,[5]BOLETIM_SEL!$A:$H,2,0)</f>
        <v>SINAPI</v>
      </c>
      <c r="D683" s="315" t="str">
        <f>VLOOKUP($B683,[5]BOLETIM_SEL!$A:$H,4,0)</f>
        <v>Transporte com caminhão basculante de 14 m3, em via urbana pavimentada, adicional para DMT excedente a 30,00 km (unidade: m3xkm). AF_07/2020</v>
      </c>
      <c r="E683" s="2">
        <f>+Orçamento_Não_Deson!E683</f>
        <v>109</v>
      </c>
      <c r="F683" s="2" t="str">
        <f>VLOOKUP($B683,[5]BOLETIM_SEL!$A:$H,6,0)</f>
        <v>M3XKM</v>
      </c>
      <c r="G683" s="1407">
        <f>VLOOKUP($B683,[5]BOLETIM_SEL!$A:$H,7,0)</f>
        <v>0.77</v>
      </c>
      <c r="H683" s="1613">
        <f>+Orçamento_Não_Deson!H683</f>
        <v>881423.05</v>
      </c>
      <c r="I683" s="877">
        <f>+TRUNC(G683*(1+$J$5),2)</f>
        <v>0.97</v>
      </c>
      <c r="J683" s="1612">
        <f>TRUNC(H683*I683,2)</f>
        <v>854980.35</v>
      </c>
      <c r="K683" s="2078">
        <f ca="1">J683/J$967</f>
        <v>6.2262630826406547E-2</v>
      </c>
      <c r="L683" s="1574">
        <f>J683/$J$645</f>
        <v>0.11699370659968251</v>
      </c>
      <c r="M683" s="1976">
        <f>+Orçamento_Não_Deson!M683</f>
        <v>8086.4500000000007</v>
      </c>
      <c r="N683" s="833"/>
      <c r="O683" s="833"/>
      <c r="Q683" s="833"/>
      <c r="R683" s="833"/>
      <c r="S683" s="833"/>
      <c r="T683" s="833"/>
      <c r="U683" s="833"/>
      <c r="V683" s="833"/>
      <c r="W683" s="833"/>
      <c r="X683" s="833"/>
    </row>
    <row r="684" spans="1:24" s="813" customFormat="1" ht="39.950000000000003" hidden="1" customHeight="1" x14ac:dyDescent="0.15">
      <c r="A684" s="2083"/>
      <c r="B684" s="834"/>
      <c r="C684" s="2"/>
      <c r="D684" s="1452" t="s">
        <v>1896</v>
      </c>
      <c r="E684" s="2"/>
      <c r="F684" s="2"/>
      <c r="G684" s="1407"/>
      <c r="H684" s="2"/>
      <c r="I684" s="2"/>
      <c r="J684" s="839" t="str">
        <f>IF(J685=0,"-","")</f>
        <v>-</v>
      </c>
      <c r="K684" s="2078"/>
      <c r="L684" s="1574"/>
      <c r="M684" s="1974"/>
      <c r="N684" s="833"/>
      <c r="O684" s="833"/>
      <c r="Q684" s="833"/>
      <c r="R684" s="833"/>
      <c r="S684" s="833"/>
      <c r="T684" s="833"/>
      <c r="U684" s="833"/>
      <c r="V684" s="833"/>
      <c r="W684" s="833"/>
      <c r="X684" s="833"/>
    </row>
    <row r="685" spans="1:24" s="813" customFormat="1" ht="39.950000000000003" hidden="1" customHeight="1" x14ac:dyDescent="0.15">
      <c r="A685" s="2081">
        <f ca="1">+Orçamento_Não_Deson!A685</f>
        <v>8.1099999999999977</v>
      </c>
      <c r="B685" s="834">
        <f>+Orçamento_Não_Deson!B685</f>
        <v>93590</v>
      </c>
      <c r="C685" s="2" t="str">
        <f>VLOOKUP($B685,[5]BOLETIM_SEL!$A:$H,2,0)</f>
        <v>SINAPI</v>
      </c>
      <c r="D685" s="315" t="str">
        <f>VLOOKUP($B685,[5]BOLETIM_SEL!$A:$H,4,0)</f>
        <v>Transporte com caminhão basculante de 10 m3, em via urbana pavimentada, adicional para DMT excedente a 30,00 km (unidade: m3xkm). AF_07/2020</v>
      </c>
      <c r="E685" s="2">
        <f>+Orçamento_Não_Deson!E685</f>
        <v>109</v>
      </c>
      <c r="F685" s="2" t="str">
        <f>VLOOKUP($B685,[5]BOLETIM_SEL!$A:$H,6,0)</f>
        <v>M3XKM</v>
      </c>
      <c r="G685" s="1407">
        <f>VLOOKUP($B685,[5]BOLETIM_SEL!$A:$H,7,0)</f>
        <v>0.85</v>
      </c>
      <c r="H685" s="1613">
        <f>+Orçamento_Não_Deson!H685</f>
        <v>0</v>
      </c>
      <c r="I685" s="877">
        <f>+TRUNC(G685*(1+$J$5),2)</f>
        <v>1.07</v>
      </c>
      <c r="J685" s="1612">
        <f>TRUNC(H685*I685,2)</f>
        <v>0</v>
      </c>
      <c r="K685" s="2078">
        <f ca="1">J685/J$967</f>
        <v>0</v>
      </c>
      <c r="L685" s="1574">
        <f>J685/$J$645</f>
        <v>0</v>
      </c>
      <c r="M685" s="1976">
        <f>+Orçamento_Não_Deson!M685</f>
        <v>0</v>
      </c>
      <c r="N685" s="833"/>
      <c r="O685" s="833"/>
      <c r="Q685" s="833"/>
      <c r="R685" s="833"/>
      <c r="S685" s="833"/>
      <c r="T685" s="833"/>
      <c r="U685" s="833"/>
      <c r="V685" s="833"/>
      <c r="W685" s="833"/>
      <c r="X685" s="833"/>
    </row>
    <row r="686" spans="1:24" s="813" customFormat="1" ht="39.950000000000003" hidden="1" customHeight="1" x14ac:dyDescent="0.15">
      <c r="A686" s="2081"/>
      <c r="B686" s="834"/>
      <c r="C686" s="2"/>
      <c r="D686" s="1452" t="s">
        <v>1897</v>
      </c>
      <c r="E686" s="2"/>
      <c r="F686" s="2"/>
      <c r="G686" s="1407"/>
      <c r="H686" s="2"/>
      <c r="I686" s="2"/>
      <c r="J686" s="839" t="str">
        <f>IF(J687=0,"-","")</f>
        <v>-</v>
      </c>
      <c r="K686" s="2078"/>
      <c r="L686" s="1574"/>
      <c r="M686" s="1974"/>
      <c r="N686" s="833"/>
      <c r="O686" s="833"/>
      <c r="Q686" s="833"/>
      <c r="R686" s="833"/>
      <c r="S686" s="833"/>
      <c r="T686" s="833"/>
      <c r="U686" s="833"/>
      <c r="V686" s="833"/>
      <c r="W686" s="833"/>
      <c r="X686" s="833"/>
    </row>
    <row r="687" spans="1:24" s="813" customFormat="1" ht="39.950000000000003" hidden="1" customHeight="1" x14ac:dyDescent="0.15">
      <c r="A687" s="2081">
        <f ca="1">+Orçamento_Não_Deson!A687</f>
        <v>8.1099999999999977</v>
      </c>
      <c r="B687" s="834">
        <f>+Orçamento_Não_Deson!B687</f>
        <v>93590</v>
      </c>
      <c r="C687" s="2" t="str">
        <f>VLOOKUP($B687,[5]BOLETIM_SEL!$A:$H,2,0)</f>
        <v>SINAPI</v>
      </c>
      <c r="D687" s="315" t="str">
        <f>VLOOKUP($B687,[5]BOLETIM_SEL!$A:$H,4,0)</f>
        <v>Transporte com caminhão basculante de 10 m3, em via urbana pavimentada, adicional para DMT excedente a 30,00 km (unidade: m3xkm). AF_07/2020</v>
      </c>
      <c r="E687" s="2">
        <f>+Orçamento_Não_Deson!E687</f>
        <v>109</v>
      </c>
      <c r="F687" s="2" t="str">
        <f>VLOOKUP($B687,[5]BOLETIM_SEL!$A:$H,6,0)</f>
        <v>M3XKM</v>
      </c>
      <c r="G687" s="1407">
        <f>VLOOKUP($B687,[5]BOLETIM_SEL!$A:$H,7,0)</f>
        <v>0.85</v>
      </c>
      <c r="H687" s="1613">
        <f>+Orçamento_Não_Deson!H687</f>
        <v>0</v>
      </c>
      <c r="I687" s="877">
        <f>+TRUNC(G687*(1+$J$5),2)</f>
        <v>1.07</v>
      </c>
      <c r="J687" s="1612">
        <f>TRUNC(H687*I687,2)</f>
        <v>0</v>
      </c>
      <c r="K687" s="2078">
        <f ca="1">J687/J$967</f>
        <v>0</v>
      </c>
      <c r="L687" s="1574">
        <f>J687/$J$645</f>
        <v>0</v>
      </c>
      <c r="M687" s="1976">
        <f>+Orçamento_Não_Deson!M687</f>
        <v>0</v>
      </c>
      <c r="N687" s="833"/>
      <c r="O687" s="833"/>
      <c r="Q687" s="833"/>
      <c r="R687" s="833"/>
      <c r="S687" s="833"/>
      <c r="T687" s="833"/>
      <c r="U687" s="833"/>
      <c r="V687" s="833"/>
      <c r="W687" s="833"/>
      <c r="X687" s="833"/>
    </row>
    <row r="688" spans="1:24" s="813" customFormat="1" ht="39.950000000000003" hidden="1" customHeight="1" x14ac:dyDescent="0.15">
      <c r="A688" s="2081"/>
      <c r="B688" s="834"/>
      <c r="C688" s="2"/>
      <c r="D688" s="1452" t="s">
        <v>1903</v>
      </c>
      <c r="E688" s="2"/>
      <c r="F688" s="2"/>
      <c r="G688" s="1407"/>
      <c r="H688" s="2"/>
      <c r="I688" s="2"/>
      <c r="J688" s="839" t="str">
        <f>IF(J689=0,"-","")</f>
        <v>-</v>
      </c>
      <c r="K688" s="2078"/>
      <c r="L688" s="1574"/>
      <c r="M688" s="1974"/>
      <c r="N688" s="833"/>
      <c r="O688" s="833"/>
      <c r="Q688" s="833"/>
      <c r="R688" s="833"/>
      <c r="S688" s="833"/>
      <c r="T688" s="833"/>
      <c r="U688" s="833"/>
      <c r="V688" s="833"/>
      <c r="W688" s="833"/>
      <c r="X688" s="833"/>
    </row>
    <row r="689" spans="1:24" s="813" customFormat="1" ht="39.950000000000003" hidden="1" customHeight="1" x14ac:dyDescent="0.15">
      <c r="A689" s="2081">
        <f ca="1">+Orçamento_Não_Deson!A689</f>
        <v>8.1099999999999977</v>
      </c>
      <c r="B689" s="834">
        <f>+Orçamento_Não_Deson!B689</f>
        <v>93590</v>
      </c>
      <c r="C689" s="2" t="str">
        <f>VLOOKUP($B689,[5]BOLETIM_SEL!$A:$H,2,0)</f>
        <v>SINAPI</v>
      </c>
      <c r="D689" s="315" t="str">
        <f>VLOOKUP($B689,[5]BOLETIM_SEL!$A:$H,4,0)</f>
        <v>Transporte com caminhão basculante de 10 m3, em via urbana pavimentada, adicional para DMT excedente a 30,00 km (unidade: m3xkm). AF_07/2020</v>
      </c>
      <c r="E689" s="2">
        <f>+Orçamento_Não_Deson!E689</f>
        <v>109</v>
      </c>
      <c r="F689" s="2" t="str">
        <f>VLOOKUP($B689,[5]BOLETIM_SEL!$A:$H,6,0)</f>
        <v>M3XKM</v>
      </c>
      <c r="G689" s="1407">
        <f>VLOOKUP($B689,[5]BOLETIM_SEL!$A:$H,7,0)</f>
        <v>0.85</v>
      </c>
      <c r="H689" s="1613">
        <f>+Orçamento_Não_Deson!H689</f>
        <v>0</v>
      </c>
      <c r="I689" s="877">
        <f>+TRUNC(G689*(1+$J$5),2)</f>
        <v>1.07</v>
      </c>
      <c r="J689" s="1612">
        <f>TRUNC(H689*I689,2)</f>
        <v>0</v>
      </c>
      <c r="K689" s="2078">
        <f ca="1">J689/J$967</f>
        <v>0</v>
      </c>
      <c r="L689" s="1574">
        <f>J689/$J$645</f>
        <v>0</v>
      </c>
      <c r="M689" s="1976">
        <f>+Orçamento_Não_Deson!M689</f>
        <v>0</v>
      </c>
      <c r="N689" s="833"/>
      <c r="O689" s="833"/>
      <c r="Q689" s="833"/>
      <c r="R689" s="833"/>
      <c r="S689" s="833"/>
      <c r="T689" s="833"/>
      <c r="U689" s="833"/>
      <c r="V689" s="833"/>
      <c r="W689" s="833"/>
      <c r="X689" s="833"/>
    </row>
    <row r="690" spans="1:24" s="813" customFormat="1" ht="39.950000000000003" hidden="1" customHeight="1" x14ac:dyDescent="0.15">
      <c r="A690" s="2081"/>
      <c r="B690" s="834"/>
      <c r="C690" s="2"/>
      <c r="D690" s="1452" t="s">
        <v>1902</v>
      </c>
      <c r="E690" s="2"/>
      <c r="F690" s="2"/>
      <c r="G690" s="1407"/>
      <c r="H690" s="2"/>
      <c r="I690" s="2"/>
      <c r="J690" s="839" t="str">
        <f>IF(J691=0,"-","")</f>
        <v>-</v>
      </c>
      <c r="K690" s="2078"/>
      <c r="L690" s="1574"/>
      <c r="M690" s="1974"/>
      <c r="N690" s="833"/>
      <c r="O690" s="833"/>
      <c r="Q690" s="833"/>
      <c r="R690" s="833"/>
      <c r="S690" s="833"/>
      <c r="T690" s="833"/>
      <c r="U690" s="833"/>
      <c r="V690" s="833"/>
      <c r="W690" s="833"/>
      <c r="X690" s="833"/>
    </row>
    <row r="691" spans="1:24" s="813" customFormat="1" ht="39.950000000000003" hidden="1" customHeight="1" x14ac:dyDescent="0.15">
      <c r="A691" s="2081">
        <f ca="1">+Orçamento_Não_Deson!A691</f>
        <v>8.1099999999999977</v>
      </c>
      <c r="B691" s="834">
        <f>+Orçamento_Não_Deson!B691</f>
        <v>95875</v>
      </c>
      <c r="C691" s="2" t="str">
        <f>VLOOKUP($B691,[5]BOLETIM_SEL!$A:$H,2,0)</f>
        <v>SINAPI</v>
      </c>
      <c r="D691" s="315" t="str">
        <f>VLOOKUP($B691,[5]BOLETIM_SEL!$A:$H,4,0)</f>
        <v>Transporte com caminhão basculante de 10 m3, em via urbana pavimentada, DMT até 30,00 km (unidade: m3xkm). AF_07/2020</v>
      </c>
      <c r="E691" s="2">
        <f>+Orçamento_Não_Deson!E691</f>
        <v>0</v>
      </c>
      <c r="F691" s="2" t="str">
        <f>VLOOKUP($B691,[5]BOLETIM_SEL!$A:$H,6,0)</f>
        <v>M3XKM</v>
      </c>
      <c r="G691" s="1407">
        <f>VLOOKUP($B691,[5]BOLETIM_SEL!$A:$H,7,0)</f>
        <v>2.15</v>
      </c>
      <c r="H691" s="1613">
        <f>+Orçamento_Não_Deson!H691</f>
        <v>0</v>
      </c>
      <c r="I691" s="877">
        <f>+TRUNC(G691*(1+$J$5),2)</f>
        <v>2.72</v>
      </c>
      <c r="J691" s="1612">
        <f>TRUNC(H691*I691,2)</f>
        <v>0</v>
      </c>
      <c r="K691" s="2078">
        <f ca="1">J691/J$967</f>
        <v>0</v>
      </c>
      <c r="L691" s="1574">
        <f>J691/$J$645</f>
        <v>0</v>
      </c>
      <c r="M691" s="1976">
        <f>+Orçamento_Não_Deson!M691</f>
        <v>0</v>
      </c>
      <c r="N691" s="833"/>
      <c r="O691" s="833"/>
      <c r="Q691" s="833"/>
      <c r="R691" s="833"/>
      <c r="S691" s="833"/>
      <c r="T691" s="833"/>
      <c r="U691" s="833"/>
      <c r="V691" s="833"/>
      <c r="W691" s="833"/>
      <c r="X691" s="833"/>
    </row>
    <row r="692" spans="1:24" s="813" customFormat="1" ht="39.950000000000003" hidden="1" customHeight="1" x14ac:dyDescent="0.15">
      <c r="A692" s="2081"/>
      <c r="B692" s="834"/>
      <c r="C692" s="2"/>
      <c r="D692" s="1452" t="s">
        <v>1901</v>
      </c>
      <c r="E692" s="2"/>
      <c r="F692" s="2"/>
      <c r="G692" s="1407"/>
      <c r="H692" s="2"/>
      <c r="I692" s="2"/>
      <c r="J692" s="839" t="str">
        <f>IF(J693=0,"-","")</f>
        <v>-</v>
      </c>
      <c r="K692" s="2078"/>
      <c r="L692" s="1574"/>
      <c r="M692" s="1974"/>
      <c r="N692" s="833"/>
      <c r="O692" s="833"/>
      <c r="Q692" s="833"/>
      <c r="R692" s="833"/>
      <c r="S692" s="833"/>
      <c r="T692" s="833"/>
      <c r="U692" s="833"/>
      <c r="V692" s="833"/>
      <c r="W692" s="833"/>
      <c r="X692" s="833"/>
    </row>
    <row r="693" spans="1:24" s="813" customFormat="1" ht="39.950000000000003" hidden="1" customHeight="1" x14ac:dyDescent="0.15">
      <c r="A693" s="2081">
        <f ca="1">+Orçamento_Não_Deson!A693</f>
        <v>8.1099999999999977</v>
      </c>
      <c r="B693" s="834">
        <f>+Orçamento_Não_Deson!B693</f>
        <v>95875</v>
      </c>
      <c r="C693" s="2" t="str">
        <f>VLOOKUP($B693,[5]BOLETIM_SEL!$A:$H,2,0)</f>
        <v>SINAPI</v>
      </c>
      <c r="D693" s="315" t="str">
        <f>VLOOKUP($B693,[5]BOLETIM_SEL!$A:$H,4,0)</f>
        <v>Transporte com caminhão basculante de 10 m3, em via urbana pavimentada, DMT até 30,00 km (unidade: m3xkm). AF_07/2020</v>
      </c>
      <c r="E693" s="2">
        <f>+Orçamento_Não_Deson!E693</f>
        <v>0</v>
      </c>
      <c r="F693" s="2" t="str">
        <f>VLOOKUP($B693,[5]BOLETIM_SEL!$A:$H,6,0)</f>
        <v>M3XKM</v>
      </c>
      <c r="G693" s="1407">
        <f>VLOOKUP($B693,[5]BOLETIM_SEL!$A:$H,7,0)</f>
        <v>2.15</v>
      </c>
      <c r="H693" s="1613">
        <f>+Orçamento_Não_Deson!H693</f>
        <v>0</v>
      </c>
      <c r="I693" s="877">
        <f>+TRUNC(G693*(1+$J$5),2)</f>
        <v>2.72</v>
      </c>
      <c r="J693" s="1612">
        <f>TRUNC(H693*I693,2)</f>
        <v>0</v>
      </c>
      <c r="K693" s="2078">
        <f ca="1">J693/J$967</f>
        <v>0</v>
      </c>
      <c r="L693" s="1574">
        <f>J693/$J$645</f>
        <v>0</v>
      </c>
      <c r="M693" s="1976">
        <f>+Orçamento_Não_Deson!M693</f>
        <v>0</v>
      </c>
      <c r="N693" s="833"/>
      <c r="O693" s="833"/>
      <c r="Q693" s="833"/>
      <c r="R693" s="833"/>
      <c r="S693" s="833"/>
      <c r="T693" s="833"/>
      <c r="U693" s="833"/>
      <c r="V693" s="833"/>
      <c r="W693" s="833"/>
      <c r="X693" s="833"/>
    </row>
    <row r="694" spans="1:24" s="813" customFormat="1" ht="39.950000000000003" hidden="1" customHeight="1" x14ac:dyDescent="0.15">
      <c r="A694" s="2081"/>
      <c r="B694" s="834"/>
      <c r="C694" s="2"/>
      <c r="D694" s="1452" t="s">
        <v>1764</v>
      </c>
      <c r="E694" s="2"/>
      <c r="F694" s="2"/>
      <c r="G694" s="1407"/>
      <c r="H694" s="2"/>
      <c r="I694" s="2"/>
      <c r="J694" s="839" t="str">
        <f>IF(J695=0,"-","")</f>
        <v>-</v>
      </c>
      <c r="K694" s="2078"/>
      <c r="L694" s="1574"/>
      <c r="M694" s="1974"/>
      <c r="N694" s="833"/>
      <c r="O694" s="833"/>
      <c r="Q694" s="833"/>
      <c r="R694" s="833"/>
      <c r="S694" s="833"/>
      <c r="T694" s="833"/>
      <c r="U694" s="833"/>
      <c r="V694" s="833"/>
      <c r="W694" s="833"/>
      <c r="X694" s="833"/>
    </row>
    <row r="695" spans="1:24" s="813" customFormat="1" ht="39.950000000000003" hidden="1" customHeight="1" x14ac:dyDescent="0.15">
      <c r="A695" s="2081">
        <f ca="1">+Orçamento_Não_Deson!A695</f>
        <v>8.1099999999999977</v>
      </c>
      <c r="B695" s="834">
        <f>+Orçamento_Não_Deson!B695</f>
        <v>95875</v>
      </c>
      <c r="C695" s="2" t="str">
        <f>VLOOKUP($B695,[5]BOLETIM_SEL!$A:$H,2,0)</f>
        <v>SINAPI</v>
      </c>
      <c r="D695" s="315" t="str">
        <f>VLOOKUP($B695,[5]BOLETIM_SEL!$A:$H,4,0)</f>
        <v>Transporte com caminhão basculante de 10 m3, em via urbana pavimentada, DMT até 30,00 km (unidade: m3xkm). AF_07/2020</v>
      </c>
      <c r="E695" s="2">
        <f>+Orçamento_Não_Deson!E695</f>
        <v>0</v>
      </c>
      <c r="F695" s="2" t="str">
        <f>VLOOKUP($B695,[5]BOLETIM_SEL!$A:$H,6,0)</f>
        <v>M3XKM</v>
      </c>
      <c r="G695" s="1407">
        <f>VLOOKUP($B695,[5]BOLETIM_SEL!$A:$H,7,0)</f>
        <v>2.15</v>
      </c>
      <c r="H695" s="1613">
        <f>+Orçamento_Não_Deson!H695</f>
        <v>0</v>
      </c>
      <c r="I695" s="877">
        <f>+TRUNC(G695*(1+$J$5),2)</f>
        <v>2.72</v>
      </c>
      <c r="J695" s="1612">
        <f>TRUNC(H695*I695,2)</f>
        <v>0</v>
      </c>
      <c r="K695" s="2078">
        <f ca="1">J695/J$967</f>
        <v>0</v>
      </c>
      <c r="L695" s="1574">
        <f>J695/$J$645</f>
        <v>0</v>
      </c>
      <c r="M695" s="1976">
        <f>+Orçamento_Não_Deson!M695</f>
        <v>0</v>
      </c>
      <c r="N695" s="833"/>
      <c r="O695" s="833"/>
      <c r="Q695" s="833"/>
      <c r="R695" s="833"/>
      <c r="S695" s="833"/>
      <c r="T695" s="833"/>
      <c r="U695" s="833"/>
      <c r="V695" s="833"/>
      <c r="W695" s="833"/>
      <c r="X695" s="833"/>
    </row>
    <row r="696" spans="1:24" s="813" customFormat="1" ht="39.950000000000003" hidden="1" customHeight="1" x14ac:dyDescent="0.15">
      <c r="A696" s="2081"/>
      <c r="B696" s="834"/>
      <c r="C696" s="2"/>
      <c r="D696" s="1452" t="s">
        <v>1765</v>
      </c>
      <c r="E696" s="2"/>
      <c r="F696" s="2"/>
      <c r="G696" s="1407"/>
      <c r="H696" s="2"/>
      <c r="I696" s="2"/>
      <c r="J696" s="839" t="str">
        <f>IF(J697=0,"-","")</f>
        <v>-</v>
      </c>
      <c r="K696" s="2078"/>
      <c r="L696" s="1574"/>
      <c r="M696" s="1974"/>
      <c r="N696" s="833"/>
      <c r="O696" s="833"/>
      <c r="Q696" s="833"/>
      <c r="R696" s="833"/>
      <c r="S696" s="833"/>
      <c r="T696" s="833"/>
      <c r="U696" s="833"/>
      <c r="V696" s="833"/>
      <c r="W696" s="833"/>
      <c r="X696" s="833"/>
    </row>
    <row r="697" spans="1:24" s="813" customFormat="1" ht="39.950000000000003" hidden="1" customHeight="1" x14ac:dyDescent="0.15">
      <c r="A697" s="2081">
        <f ca="1">+Orçamento_Não_Deson!A697</f>
        <v>8.1099999999999977</v>
      </c>
      <c r="B697" s="834">
        <f>+Orçamento_Não_Deson!B697</f>
        <v>95875</v>
      </c>
      <c r="C697" s="2" t="str">
        <f>VLOOKUP($B697,[5]BOLETIM_SEL!$A:$H,2,0)</f>
        <v>SINAPI</v>
      </c>
      <c r="D697" s="315" t="str">
        <f>VLOOKUP($B697,[5]BOLETIM_SEL!$A:$H,4,0)</f>
        <v>Transporte com caminhão basculante de 10 m3, em via urbana pavimentada, DMT até 30,00 km (unidade: m3xkm). AF_07/2020</v>
      </c>
      <c r="E697" s="2">
        <f>+Orçamento_Não_Deson!E697</f>
        <v>0</v>
      </c>
      <c r="F697" s="2" t="str">
        <f>VLOOKUP($B697,[5]BOLETIM_SEL!$A:$H,6,0)</f>
        <v>M3XKM</v>
      </c>
      <c r="G697" s="1407">
        <f>VLOOKUP($B697,[5]BOLETIM_SEL!$A:$H,7,0)</f>
        <v>2.15</v>
      </c>
      <c r="H697" s="1613">
        <f>+Orçamento_Não_Deson!H697</f>
        <v>0</v>
      </c>
      <c r="I697" s="877">
        <f>+TRUNC(G697*(1+$J$5),2)</f>
        <v>2.72</v>
      </c>
      <c r="J697" s="1612">
        <f>TRUNC(H697*I697,2)</f>
        <v>0</v>
      </c>
      <c r="K697" s="2078">
        <f ca="1">J697/J$967</f>
        <v>0</v>
      </c>
      <c r="L697" s="1574">
        <f>J697/$J$645</f>
        <v>0</v>
      </c>
      <c r="M697" s="1976">
        <f>+Orçamento_Não_Deson!M697</f>
        <v>0</v>
      </c>
      <c r="N697" s="833"/>
      <c r="O697" s="833"/>
      <c r="Q697" s="833"/>
      <c r="R697" s="833"/>
      <c r="S697" s="833"/>
      <c r="T697" s="833"/>
      <c r="U697" s="833"/>
      <c r="V697" s="833"/>
      <c r="W697" s="833"/>
      <c r="X697" s="833"/>
    </row>
    <row r="698" spans="1:24" s="813" customFormat="1" ht="39.950000000000003" hidden="1" customHeight="1" x14ac:dyDescent="0.15">
      <c r="A698" s="2081"/>
      <c r="B698" s="834"/>
      <c r="C698" s="2"/>
      <c r="D698" s="1452" t="s">
        <v>1841</v>
      </c>
      <c r="E698" s="2"/>
      <c r="F698" s="2"/>
      <c r="G698" s="1407"/>
      <c r="H698" s="2"/>
      <c r="I698" s="2"/>
      <c r="J698" s="839" t="str">
        <f>IF(J699=0,"-","")</f>
        <v>-</v>
      </c>
      <c r="K698" s="2078"/>
      <c r="L698" s="1574"/>
      <c r="M698" s="1974"/>
      <c r="N698" s="833"/>
      <c r="O698" s="833"/>
      <c r="Q698" s="833"/>
      <c r="R698" s="833"/>
      <c r="S698" s="833"/>
      <c r="T698" s="833"/>
      <c r="U698" s="833"/>
      <c r="V698" s="833"/>
      <c r="W698" s="833"/>
      <c r="X698" s="833"/>
    </row>
    <row r="699" spans="1:24" s="813" customFormat="1" ht="39.950000000000003" hidden="1" customHeight="1" x14ac:dyDescent="0.15">
      <c r="A699" s="2081">
        <f ca="1">+Orçamento_Não_Deson!A699</f>
        <v>8.1099999999999977</v>
      </c>
      <c r="B699" s="834">
        <f>+Orçamento_Não_Deson!B699</f>
        <v>95875</v>
      </c>
      <c r="C699" s="2" t="str">
        <f>VLOOKUP($B699,[5]BOLETIM_SEL!$A:$H,2,0)</f>
        <v>SINAPI</v>
      </c>
      <c r="D699" s="315" t="str">
        <f>VLOOKUP($B699,[5]BOLETIM_SEL!$A:$H,4,0)</f>
        <v>Transporte com caminhão basculante de 10 m3, em via urbana pavimentada, DMT até 30,00 km (unidade: m3xkm). AF_07/2020</v>
      </c>
      <c r="E699" s="2">
        <f>+Orçamento_Não_Deson!E699</f>
        <v>0</v>
      </c>
      <c r="F699" s="2" t="str">
        <f>VLOOKUP($B699,[5]BOLETIM_SEL!$A:$H,6,0)</f>
        <v>M3XKM</v>
      </c>
      <c r="G699" s="1407">
        <f>VLOOKUP($B699,[5]BOLETIM_SEL!$A:$H,7,0)</f>
        <v>2.15</v>
      </c>
      <c r="H699" s="1613">
        <f>+Orçamento_Não_Deson!H699</f>
        <v>0</v>
      </c>
      <c r="I699" s="877">
        <f>+TRUNC(G699*(1+$J$5),2)</f>
        <v>2.72</v>
      </c>
      <c r="J699" s="1612">
        <f>TRUNC(H699*I699,2)</f>
        <v>0</v>
      </c>
      <c r="K699" s="2078">
        <f ca="1">J699/J$967</f>
        <v>0</v>
      </c>
      <c r="L699" s="1574">
        <f>J699/$J$645</f>
        <v>0</v>
      </c>
      <c r="M699" s="1976">
        <f>+Orçamento_Não_Deson!M699</f>
        <v>0</v>
      </c>
      <c r="N699" s="833"/>
      <c r="O699" s="833"/>
      <c r="Q699" s="833"/>
      <c r="R699" s="833"/>
      <c r="S699" s="833"/>
      <c r="T699" s="833"/>
      <c r="U699" s="833"/>
      <c r="V699" s="833"/>
      <c r="W699" s="833"/>
      <c r="X699" s="833"/>
    </row>
    <row r="700" spans="1:24" s="813" customFormat="1" ht="39.950000000000003" hidden="1" customHeight="1" x14ac:dyDescent="0.15">
      <c r="A700" s="2081"/>
      <c r="B700" s="834"/>
      <c r="C700" s="2"/>
      <c r="D700" s="1452" t="s">
        <v>1819</v>
      </c>
      <c r="E700" s="2"/>
      <c r="F700" s="2"/>
      <c r="G700" s="1407"/>
      <c r="H700" s="2"/>
      <c r="I700" s="2"/>
      <c r="J700" s="839" t="str">
        <f>IF(J701=0,"-","")</f>
        <v>-</v>
      </c>
      <c r="K700" s="2078"/>
      <c r="L700" s="1574"/>
      <c r="M700" s="1974"/>
      <c r="N700" s="833"/>
      <c r="O700" s="833"/>
      <c r="Q700" s="833"/>
      <c r="R700" s="833"/>
      <c r="S700" s="833"/>
      <c r="T700" s="833"/>
      <c r="U700" s="833"/>
      <c r="V700" s="833"/>
      <c r="W700" s="833"/>
      <c r="X700" s="833"/>
    </row>
    <row r="701" spans="1:24" s="813" customFormat="1" ht="39.950000000000003" hidden="1" customHeight="1" x14ac:dyDescent="0.15">
      <c r="A701" s="2081">
        <f ca="1">+Orçamento_Não_Deson!A701</f>
        <v>8.1099999999999977</v>
      </c>
      <c r="B701" s="834">
        <f>+Orçamento_Não_Deson!B701</f>
        <v>95875</v>
      </c>
      <c r="C701" s="2" t="str">
        <f>VLOOKUP($B701,[5]BOLETIM_SEL!$A:$H,2,0)</f>
        <v>SINAPI</v>
      </c>
      <c r="D701" s="315" t="str">
        <f>VLOOKUP($B701,[5]BOLETIM_SEL!$A:$H,4,0)</f>
        <v>Transporte com caminhão basculante de 10 m3, em via urbana pavimentada, DMT até 30,00 km (unidade: m3xkm). AF_07/2020</v>
      </c>
      <c r="E701" s="2">
        <f>+Orçamento_Não_Deson!E701</f>
        <v>0</v>
      </c>
      <c r="F701" s="2" t="str">
        <f>VLOOKUP($B701,[5]BOLETIM_SEL!$A:$H,6,0)</f>
        <v>M3XKM</v>
      </c>
      <c r="G701" s="1407">
        <f>VLOOKUP($B701,[5]BOLETIM_SEL!$A:$H,7,0)</f>
        <v>2.15</v>
      </c>
      <c r="H701" s="1613">
        <f>+Orçamento_Não_Deson!H701</f>
        <v>0</v>
      </c>
      <c r="I701" s="877">
        <f>+TRUNC(G701*(1+$J$5),2)</f>
        <v>2.72</v>
      </c>
      <c r="J701" s="1612">
        <f>TRUNC(H701*I701,2)</f>
        <v>0</v>
      </c>
      <c r="K701" s="2078">
        <f ca="1">J701/J$967</f>
        <v>0</v>
      </c>
      <c r="L701" s="1574">
        <f>J701/$J$645</f>
        <v>0</v>
      </c>
      <c r="M701" s="1976">
        <f>+Orçamento_Não_Deson!M701</f>
        <v>0</v>
      </c>
      <c r="N701" s="833"/>
      <c r="O701" s="833"/>
      <c r="Q701" s="833"/>
      <c r="R701" s="833"/>
      <c r="S701" s="833"/>
      <c r="T701" s="833"/>
      <c r="U701" s="833"/>
      <c r="V701" s="833"/>
      <c r="W701" s="833"/>
      <c r="X701" s="833"/>
    </row>
    <row r="702" spans="1:24" s="813" customFormat="1" ht="39.950000000000003" hidden="1" customHeight="1" x14ac:dyDescent="0.15">
      <c r="A702" s="2081"/>
      <c r="B702" s="834"/>
      <c r="C702" s="2"/>
      <c r="D702" s="1452" t="s">
        <v>1762</v>
      </c>
      <c r="E702" s="2"/>
      <c r="F702" s="2"/>
      <c r="G702" s="1407"/>
      <c r="H702" s="2"/>
      <c r="I702" s="2"/>
      <c r="J702" s="839" t="str">
        <f>IF(J703=0,"-","")</f>
        <v>-</v>
      </c>
      <c r="K702" s="2078"/>
      <c r="L702" s="1574"/>
      <c r="M702" s="1974"/>
      <c r="N702" s="833"/>
      <c r="O702" s="833"/>
      <c r="Q702" s="833"/>
      <c r="R702" s="833"/>
      <c r="S702" s="833"/>
      <c r="T702" s="833"/>
      <c r="U702" s="833"/>
      <c r="V702" s="833"/>
      <c r="W702" s="833"/>
      <c r="X702" s="833"/>
    </row>
    <row r="703" spans="1:24" s="813" customFormat="1" ht="39.950000000000003" hidden="1" customHeight="1" x14ac:dyDescent="0.15">
      <c r="A703" s="2081">
        <f ca="1">+Orçamento_Não_Deson!A703</f>
        <v>8.1099999999999977</v>
      </c>
      <c r="B703" s="834">
        <f>+Orçamento_Não_Deson!B703</f>
        <v>95875</v>
      </c>
      <c r="C703" s="2" t="str">
        <f>VLOOKUP($B703,[5]BOLETIM_SEL!$A:$H,2,0)</f>
        <v>SINAPI</v>
      </c>
      <c r="D703" s="315" t="str">
        <f>VLOOKUP($B703,[5]BOLETIM_SEL!$A:$H,4,0)</f>
        <v>Transporte com caminhão basculante de 10 m3, em via urbana pavimentada, DMT até 30,00 km (unidade: m3xkm). AF_07/2020</v>
      </c>
      <c r="E703" s="2">
        <f>+Orçamento_Não_Deson!E703</f>
        <v>0</v>
      </c>
      <c r="F703" s="2" t="str">
        <f>VLOOKUP($B703,[5]BOLETIM_SEL!$A:$H,6,0)</f>
        <v>M3XKM</v>
      </c>
      <c r="G703" s="1407">
        <f>VLOOKUP($B703,[5]BOLETIM_SEL!$A:$H,7,0)</f>
        <v>2.15</v>
      </c>
      <c r="H703" s="1613">
        <f>+Orçamento_Não_Deson!H703</f>
        <v>0</v>
      </c>
      <c r="I703" s="877">
        <f>+TRUNC(G703*(1+$J$5),2)</f>
        <v>2.72</v>
      </c>
      <c r="J703" s="1612">
        <f>TRUNC(H703*I703,2)</f>
        <v>0</v>
      </c>
      <c r="K703" s="2078">
        <f ca="1">J703/J$967</f>
        <v>0</v>
      </c>
      <c r="L703" s="1574">
        <f>J703/$J$645</f>
        <v>0</v>
      </c>
      <c r="M703" s="1976">
        <f>+Orçamento_Não_Deson!M703</f>
        <v>0</v>
      </c>
      <c r="N703" s="833"/>
      <c r="O703" s="833"/>
      <c r="Q703" s="833"/>
      <c r="R703" s="833"/>
      <c r="S703" s="833"/>
      <c r="T703" s="833"/>
      <c r="U703" s="833"/>
      <c r="V703" s="833"/>
      <c r="W703" s="833"/>
      <c r="X703" s="833"/>
    </row>
    <row r="704" spans="1:24" s="813" customFormat="1" ht="24.95" customHeight="1" x14ac:dyDescent="0.15">
      <c r="A704" s="2081"/>
      <c r="B704" s="834"/>
      <c r="C704" s="2"/>
      <c r="D704" s="1452" t="s">
        <v>1763</v>
      </c>
      <c r="E704" s="2"/>
      <c r="F704" s="2"/>
      <c r="G704" s="1407"/>
      <c r="H704" s="2"/>
      <c r="I704" s="2"/>
      <c r="J704" s="839" t="str">
        <f>IF(J705=0,"-","")</f>
        <v/>
      </c>
      <c r="K704" s="2078"/>
      <c r="L704" s="1574"/>
      <c r="M704" s="1974"/>
      <c r="N704" s="833"/>
      <c r="O704" s="833"/>
      <c r="Q704" s="833"/>
      <c r="R704" s="833"/>
      <c r="S704" s="833"/>
      <c r="T704" s="833"/>
      <c r="U704" s="833"/>
      <c r="V704" s="833"/>
      <c r="W704" s="833"/>
      <c r="X704" s="833"/>
    </row>
    <row r="705" spans="1:24" s="813" customFormat="1" ht="39.950000000000003" customHeight="1" x14ac:dyDescent="0.15">
      <c r="A705" s="2081">
        <f ca="1">+Orçamento_Não_Deson!A705</f>
        <v>8.1199999999999974</v>
      </c>
      <c r="B705" s="834">
        <f>+Orçamento_Não_Deson!B705</f>
        <v>93599</v>
      </c>
      <c r="C705" s="2" t="str">
        <f>VLOOKUP($B705,[5]BOLETIM_SEL!$A:$H,2,0)</f>
        <v>SINAPI</v>
      </c>
      <c r="D705" s="315" t="str">
        <f>VLOOKUP($B705,[5]BOLETIM_SEL!$A:$H,4,0)</f>
        <v>Transporte com caminhão basculante de 14 m3, em via urbana pavimentada, adicional para DMT excedente a 30,00 km (unidade: txkm). AF_07/2020</v>
      </c>
      <c r="E705" s="2">
        <f>+Orçamento_Não_Deson!E705</f>
        <v>109</v>
      </c>
      <c r="F705" s="2" t="str">
        <f>VLOOKUP($B705,[5]BOLETIM_SEL!$A:$H,6,0)</f>
        <v>TXKM</v>
      </c>
      <c r="G705" s="1407">
        <f>VLOOKUP($B705,[5]BOLETIM_SEL!$A:$H,7,0)</f>
        <v>0.52</v>
      </c>
      <c r="H705" s="1613">
        <f>+Orçamento_Não_Deson!H705</f>
        <v>517127.61</v>
      </c>
      <c r="I705" s="877">
        <f>+TRUNC(G705*(1+$J$5),2)</f>
        <v>0.65</v>
      </c>
      <c r="J705" s="1612">
        <f>TRUNC(H705*I705,2)</f>
        <v>336132.94</v>
      </c>
      <c r="K705" s="2078">
        <f ca="1">J705/J$967</f>
        <v>2.4478365089694358E-2</v>
      </c>
      <c r="L705" s="1574">
        <f>J705/$J$645</f>
        <v>4.5995722078114067E-2</v>
      </c>
      <c r="M705" s="1983">
        <f>+Orçamento_Não_Deson!M705</f>
        <v>4744.29</v>
      </c>
      <c r="N705" s="833"/>
      <c r="O705" s="833"/>
      <c r="Q705" s="833"/>
      <c r="R705" s="833"/>
      <c r="S705" s="833"/>
      <c r="T705" s="833"/>
      <c r="U705" s="833"/>
      <c r="V705" s="833"/>
      <c r="W705" s="833"/>
      <c r="X705" s="833"/>
    </row>
    <row r="706" spans="1:24" s="813" customFormat="1" ht="39.950000000000003" hidden="1" customHeight="1" x14ac:dyDescent="0.15">
      <c r="A706" s="2081"/>
      <c r="B706" s="834"/>
      <c r="C706" s="2"/>
      <c r="D706" s="1452" t="s">
        <v>1760</v>
      </c>
      <c r="E706" s="2"/>
      <c r="F706" s="2"/>
      <c r="G706" s="1407"/>
      <c r="H706" s="2"/>
      <c r="I706" s="2"/>
      <c r="J706" s="839" t="str">
        <f>IF(J707=0,"-","")</f>
        <v>-</v>
      </c>
      <c r="K706" s="2078"/>
      <c r="L706" s="1574"/>
      <c r="M706" s="1974"/>
      <c r="N706" s="833"/>
      <c r="O706" s="833"/>
      <c r="Q706" s="833"/>
      <c r="R706" s="833"/>
      <c r="S706" s="833"/>
      <c r="T706" s="833"/>
      <c r="U706" s="833"/>
      <c r="V706" s="833"/>
      <c r="W706" s="833"/>
      <c r="X706" s="833"/>
    </row>
    <row r="707" spans="1:24" s="813" customFormat="1" ht="39.950000000000003" hidden="1" customHeight="1" x14ac:dyDescent="0.15">
      <c r="A707" s="2081">
        <f ca="1">+Orçamento_Não_Deson!A707</f>
        <v>8.1199999999999974</v>
      </c>
      <c r="B707" s="834">
        <f>+Orçamento_Não_Deson!B707</f>
        <v>102332</v>
      </c>
      <c r="C707" s="2" t="str">
        <f>VLOOKUP($B707,[5]BOLETIM_SEL!$A:$H,2,0)</f>
        <v>SINAPI</v>
      </c>
      <c r="D707" s="315" t="str">
        <f>VLOOKUP($B707,[5]BOLETIM_SEL!$A:$H,4,0)</f>
        <v>Transporte com caminhão tanque de transporte de material asfáltico de 20.000 l, em via urbana pavimentada, DMT até 30,00 km (unidade: txkm). AF_07/2020</v>
      </c>
      <c r="E707" s="2">
        <f>+Orçamento_Não_Deson!E707</f>
        <v>109</v>
      </c>
      <c r="F707" s="2" t="str">
        <f>VLOOKUP($B707,[5]BOLETIM_SEL!$A:$H,6,0)</f>
        <v>TXKM</v>
      </c>
      <c r="G707" s="1407">
        <f>VLOOKUP($B707,[5]BOLETIM_SEL!$A:$H,7,0)</f>
        <v>1.62</v>
      </c>
      <c r="H707" s="1613">
        <f>+Orçamento_Não_Deson!H707</f>
        <v>0</v>
      </c>
      <c r="I707" s="877">
        <f>+TRUNC(G707*(1+$J$5),2)</f>
        <v>2.0499999999999998</v>
      </c>
      <c r="J707" s="1612">
        <f>TRUNC(H707*I707,2)</f>
        <v>0</v>
      </c>
      <c r="K707" s="2078">
        <f ca="1">J707/J$967</f>
        <v>0</v>
      </c>
      <c r="L707" s="1574">
        <f>J707/$J$645</f>
        <v>0</v>
      </c>
      <c r="M707" s="1983">
        <f>+Orçamento_Não_Deson!M707</f>
        <v>0</v>
      </c>
      <c r="N707" s="833"/>
      <c r="O707" s="833"/>
      <c r="Q707" s="833"/>
      <c r="R707" s="833"/>
      <c r="S707" s="833"/>
      <c r="T707" s="833"/>
      <c r="U707" s="833"/>
      <c r="V707" s="833"/>
      <c r="W707" s="833"/>
      <c r="X707" s="833"/>
    </row>
    <row r="708" spans="1:24" s="813" customFormat="1" ht="24.95" customHeight="1" x14ac:dyDescent="0.15">
      <c r="A708" s="2081"/>
      <c r="B708" s="834"/>
      <c r="C708" s="2"/>
      <c r="D708" s="1452" t="s">
        <v>1759</v>
      </c>
      <c r="E708" s="2"/>
      <c r="F708" s="2"/>
      <c r="G708" s="1407"/>
      <c r="H708" s="2"/>
      <c r="I708" s="2"/>
      <c r="J708" s="839" t="str">
        <f>IF(J709=0,"-","")</f>
        <v/>
      </c>
      <c r="K708" s="2078"/>
      <c r="L708" s="1574"/>
      <c r="M708" s="1974"/>
      <c r="N708" s="833"/>
      <c r="O708" s="833"/>
      <c r="Q708" s="833"/>
      <c r="R708" s="833"/>
      <c r="S708" s="833"/>
      <c r="T708" s="833"/>
      <c r="U708" s="833"/>
      <c r="V708" s="833"/>
      <c r="W708" s="833"/>
      <c r="X708" s="833"/>
    </row>
    <row r="709" spans="1:24" s="813" customFormat="1" ht="39.950000000000003" customHeight="1" x14ac:dyDescent="0.15">
      <c r="A709" s="2081">
        <f ca="1">+Orçamento_Não_Deson!A709</f>
        <v>8.1299999999999972</v>
      </c>
      <c r="B709" s="834">
        <f>+Orçamento_Não_Deson!B709</f>
        <v>102333</v>
      </c>
      <c r="C709" s="2" t="str">
        <f>VLOOKUP($B709,[5]BOLETIM_SEL!$A:$H,2,0)</f>
        <v>SINAPI</v>
      </c>
      <c r="D709" s="315" t="str">
        <f>VLOOKUP($B709,[5]BOLETIM_SEL!$A:$H,4,0)</f>
        <v>Transporte com caminhão tanque de transporte de material asfáltico de 20.000 l, em via urbana pavimentada, adicional para DMT excedente a 30,00 km (unidade: txkm). AF_07/2020</v>
      </c>
      <c r="E709" s="2">
        <f>+Orçamento_Não_Deson!E709</f>
        <v>109</v>
      </c>
      <c r="F709" s="2" t="str">
        <f>VLOOKUP($B709,[5]BOLETIM_SEL!$A:$H,6,0)</f>
        <v>TXKM</v>
      </c>
      <c r="G709" s="1407">
        <f>VLOOKUP($B709,[5]BOLETIM_SEL!$A:$H,7,0)</f>
        <v>0.64</v>
      </c>
      <c r="H709" s="1613">
        <f>+Orçamento_Não_Deson!H709</f>
        <v>10492.34</v>
      </c>
      <c r="I709" s="877">
        <f>+TRUNC(G709*(1+$J$5),2)</f>
        <v>0.81</v>
      </c>
      <c r="J709" s="1612">
        <f>TRUNC(H709*I709,2)</f>
        <v>8498.7900000000009</v>
      </c>
      <c r="K709" s="2078">
        <f ca="1">J709/J$967</f>
        <v>6.1891132847808228E-4</v>
      </c>
      <c r="L709" s="1574">
        <f>J709/$J$645</f>
        <v>1.162956486324295E-3</v>
      </c>
      <c r="M709" s="1983">
        <f>+Orçamento_Não_Deson!M709</f>
        <v>96.26</v>
      </c>
      <c r="N709" s="833"/>
      <c r="O709" s="833"/>
      <c r="Q709" s="833"/>
      <c r="R709" s="833"/>
      <c r="S709" s="833"/>
      <c r="T709" s="833"/>
      <c r="U709" s="833"/>
      <c r="V709" s="833"/>
      <c r="W709" s="833"/>
      <c r="X709" s="833"/>
    </row>
    <row r="710" spans="1:24" s="813" customFormat="1" ht="39.950000000000003" hidden="1" customHeight="1" x14ac:dyDescent="0.15">
      <c r="A710" s="2081"/>
      <c r="B710" s="834"/>
      <c r="C710" s="2"/>
      <c r="D710" s="1452" t="s">
        <v>1794</v>
      </c>
      <c r="E710" s="2"/>
      <c r="F710" s="2"/>
      <c r="G710" s="1407"/>
      <c r="H710" s="2"/>
      <c r="I710" s="2"/>
      <c r="J710" s="839" t="str">
        <f>IF(J711=0,"-","")</f>
        <v>-</v>
      </c>
      <c r="K710" s="2078"/>
      <c r="L710" s="1574"/>
      <c r="M710" s="1974"/>
      <c r="N710" s="833"/>
      <c r="O710" s="833"/>
      <c r="Q710" s="833"/>
      <c r="R710" s="833"/>
      <c r="S710" s="833"/>
      <c r="T710" s="833"/>
      <c r="U710" s="833"/>
      <c r="V710" s="833"/>
      <c r="W710" s="833"/>
      <c r="X710" s="833"/>
    </row>
    <row r="711" spans="1:24" s="813" customFormat="1" ht="39.950000000000003" hidden="1" customHeight="1" x14ac:dyDescent="0.15">
      <c r="A711" s="2081">
        <f ca="1">+Orçamento_Não_Deson!A711</f>
        <v>8.1299999999999972</v>
      </c>
      <c r="B711" s="834">
        <f>+Orçamento_Não_Deson!B711</f>
        <v>102332</v>
      </c>
      <c r="C711" s="2" t="str">
        <f>VLOOKUP($B711,[5]BOLETIM_SEL!$A:$H,2,0)</f>
        <v>SINAPI</v>
      </c>
      <c r="D711" s="315" t="str">
        <f>VLOOKUP($B711,[5]BOLETIM_SEL!$A:$H,4,0)</f>
        <v>Transporte com caminhão tanque de transporte de material asfáltico de 20.000 l, em via urbana pavimentada, DMT até 30,00 km (unidade: txkm). AF_07/2020</v>
      </c>
      <c r="E711" s="2">
        <f>+Orçamento_Não_Deson!E711</f>
        <v>0</v>
      </c>
      <c r="F711" s="2" t="str">
        <f>VLOOKUP($B711,[5]BOLETIM_SEL!$A:$H,6,0)</f>
        <v>TXKM</v>
      </c>
      <c r="G711" s="1407">
        <f>VLOOKUP($B711,[5]BOLETIM_SEL!$A:$H,7,0)</f>
        <v>1.62</v>
      </c>
      <c r="H711" s="1613">
        <f>+Orçamento_Não_Deson!H711</f>
        <v>0</v>
      </c>
      <c r="I711" s="877">
        <f>+TRUNC(G711*(1+$J$5),2)</f>
        <v>2.0499999999999998</v>
      </c>
      <c r="J711" s="1612">
        <f>TRUNC(H711*I711,2)</f>
        <v>0</v>
      </c>
      <c r="K711" s="2078">
        <f ca="1">J711/J$967</f>
        <v>0</v>
      </c>
      <c r="L711" s="1574">
        <f t="shared" ref="L711:L717" si="142">J711/$J$645</f>
        <v>0</v>
      </c>
      <c r="M711" s="1983">
        <f>+Orçamento_Não_Deson!M711</f>
        <v>0</v>
      </c>
      <c r="N711" s="833"/>
      <c r="O711" s="833"/>
      <c r="Q711" s="833"/>
      <c r="R711" s="833"/>
      <c r="S711" s="833"/>
      <c r="T711" s="833"/>
      <c r="U711" s="833"/>
      <c r="V711" s="833"/>
      <c r="W711" s="833"/>
      <c r="X711" s="833"/>
    </row>
    <row r="712" spans="1:24" s="813" customFormat="1" ht="39.950000000000003" hidden="1" customHeight="1" x14ac:dyDescent="0.15">
      <c r="A712" s="2081"/>
      <c r="B712" s="834"/>
      <c r="C712" s="2"/>
      <c r="D712" s="1452" t="s">
        <v>1761</v>
      </c>
      <c r="E712" s="2"/>
      <c r="F712" s="2"/>
      <c r="G712" s="1407"/>
      <c r="H712" s="2"/>
      <c r="I712" s="2"/>
      <c r="J712" s="839" t="str">
        <f>IF(J713=0,"-","")</f>
        <v>-</v>
      </c>
      <c r="K712" s="2078"/>
      <c r="L712" s="1574"/>
      <c r="M712" s="1974"/>
      <c r="N712" s="833"/>
      <c r="O712" s="833"/>
      <c r="Q712" s="833"/>
      <c r="R712" s="833"/>
      <c r="S712" s="833"/>
      <c r="T712" s="833"/>
      <c r="U712" s="833"/>
      <c r="V712" s="833"/>
      <c r="W712" s="833"/>
      <c r="X712" s="833"/>
    </row>
    <row r="713" spans="1:24" s="813" customFormat="1" ht="39.950000000000003" hidden="1" customHeight="1" x14ac:dyDescent="0.15">
      <c r="A713" s="2081">
        <f ca="1">+Orçamento_Não_Deson!A713</f>
        <v>8.1299999999999972</v>
      </c>
      <c r="B713" s="834">
        <f>+Orçamento_Não_Deson!B713</f>
        <v>102333</v>
      </c>
      <c r="C713" s="2" t="str">
        <f>VLOOKUP($B713,[5]BOLETIM_SEL!$A:$H,2,0)</f>
        <v>SINAPI</v>
      </c>
      <c r="D713" s="315" t="str">
        <f>VLOOKUP($B713,[5]BOLETIM_SEL!$A:$H,4,0)</f>
        <v>Transporte com caminhão tanque de transporte de material asfáltico de 20.000 l, em via urbana pavimentada, adicional para DMT excedente a 30,00 km (unidade: txkm). AF_07/2020</v>
      </c>
      <c r="E713" s="2">
        <f>+Orçamento_Não_Deson!E713</f>
        <v>0</v>
      </c>
      <c r="F713" s="2" t="str">
        <f>VLOOKUP($B713,[5]BOLETIM_SEL!$A:$H,6,0)</f>
        <v>TXKM</v>
      </c>
      <c r="G713" s="1407">
        <f>VLOOKUP($B713,[5]BOLETIM_SEL!$A:$H,7,0)</f>
        <v>0.64</v>
      </c>
      <c r="H713" s="1613">
        <f>+Orçamento_Não_Deson!H713</f>
        <v>0</v>
      </c>
      <c r="I713" s="877">
        <f>+TRUNC(G713*(1+$J$5),2)</f>
        <v>0.81</v>
      </c>
      <c r="J713" s="1612">
        <f>TRUNC(H713*I713,2)</f>
        <v>0</v>
      </c>
      <c r="K713" s="2078">
        <f ca="1">J713/J$967</f>
        <v>0</v>
      </c>
      <c r="L713" s="1574">
        <f t="shared" si="142"/>
        <v>0</v>
      </c>
      <c r="M713" s="1983">
        <f>+Orçamento_Não_Deson!M713</f>
        <v>0</v>
      </c>
      <c r="N713" s="833"/>
      <c r="O713" s="833"/>
      <c r="Q713" s="833"/>
      <c r="R713" s="833"/>
      <c r="S713" s="833"/>
      <c r="T713" s="833"/>
      <c r="U713" s="833"/>
      <c r="V713" s="833"/>
      <c r="W713" s="833"/>
      <c r="X713" s="833"/>
    </row>
    <row r="714" spans="1:24" s="813" customFormat="1" ht="39.950000000000003" hidden="1" customHeight="1" x14ac:dyDescent="0.15">
      <c r="A714" s="2081"/>
      <c r="B714" s="834"/>
      <c r="C714" s="2"/>
      <c r="D714" s="1452" t="s">
        <v>1817</v>
      </c>
      <c r="E714" s="2"/>
      <c r="F714" s="2"/>
      <c r="G714" s="1407"/>
      <c r="H714" s="2"/>
      <c r="I714" s="2"/>
      <c r="J714" s="839" t="str">
        <f>IF(J715=0,"-","")</f>
        <v>-</v>
      </c>
      <c r="K714" s="2078"/>
      <c r="L714" s="1574"/>
      <c r="M714" s="1974"/>
      <c r="N714" s="833"/>
      <c r="O714" s="833"/>
      <c r="Q714" s="833"/>
      <c r="R714" s="833"/>
      <c r="S714" s="833"/>
      <c r="T714" s="833"/>
      <c r="U714" s="833"/>
      <c r="V714" s="833"/>
      <c r="W714" s="833"/>
      <c r="X714" s="833"/>
    </row>
    <row r="715" spans="1:24" s="813" customFormat="1" ht="39.950000000000003" hidden="1" customHeight="1" x14ac:dyDescent="0.15">
      <c r="A715" s="2081">
        <f ca="1">+Orçamento_Não_Deson!A715</f>
        <v>8.1299999999999972</v>
      </c>
      <c r="B715" s="834">
        <f>+Orçamento_Não_Deson!B715</f>
        <v>100947</v>
      </c>
      <c r="C715" s="2" t="str">
        <f>VLOOKUP($B715,[5]BOLETIM_SEL!$A:$H,2,0)</f>
        <v>SINAPI</v>
      </c>
      <c r="D715" s="315" t="str">
        <f>VLOOKUP($B715,[5]BOLETIM_SEL!$A:$H,4,0)</f>
        <v>Transporte com caminhão carroceria 9t, em via urbana pavimentada, DMT até 30,00 km (unidade: txkm). AF_07/2020</v>
      </c>
      <c r="E715" s="2">
        <f>+Orçamento_Não_Deson!E715</f>
        <v>0</v>
      </c>
      <c r="F715" s="2" t="str">
        <f>VLOOKUP($B715,[5]BOLETIM_SEL!$A:$H,6,0)</f>
        <v>TXKM</v>
      </c>
      <c r="G715" s="1407">
        <f>VLOOKUP($B715,[5]BOLETIM_SEL!$A:$H,7,0)</f>
        <v>1.93</v>
      </c>
      <c r="H715" s="1613">
        <f>+Orçamento_Não_Deson!H715</f>
        <v>0</v>
      </c>
      <c r="I715" s="877">
        <f>+TRUNC(G715*(1+$J$5),2)</f>
        <v>2.44</v>
      </c>
      <c r="J715" s="1612">
        <f>TRUNC(H715*I715,2)</f>
        <v>0</v>
      </c>
      <c r="K715" s="2078">
        <f ca="1">J715/J$967</f>
        <v>0</v>
      </c>
      <c r="L715" s="1574">
        <f t="shared" si="142"/>
        <v>0</v>
      </c>
      <c r="M715" s="1974"/>
      <c r="N715" s="833"/>
      <c r="O715" s="833"/>
      <c r="Q715" s="833"/>
      <c r="R715" s="833"/>
      <c r="S715" s="833"/>
      <c r="T715" s="833"/>
      <c r="U715" s="833"/>
      <c r="V715" s="833"/>
      <c r="W715" s="833"/>
      <c r="X715" s="833"/>
    </row>
    <row r="716" spans="1:24" s="813" customFormat="1" ht="39.950000000000003" hidden="1" customHeight="1" x14ac:dyDescent="0.15">
      <c r="A716" s="2081"/>
      <c r="B716" s="834"/>
      <c r="C716" s="2"/>
      <c r="D716" s="1452" t="s">
        <v>1829</v>
      </c>
      <c r="E716" s="2"/>
      <c r="F716" s="2"/>
      <c r="G716" s="1407"/>
      <c r="H716" s="2"/>
      <c r="I716" s="2"/>
      <c r="J716" s="839" t="str">
        <f>IF(J717=0,"-","")</f>
        <v>-</v>
      </c>
      <c r="K716" s="2078"/>
      <c r="L716" s="1574"/>
      <c r="M716" s="1974"/>
      <c r="N716" s="833"/>
      <c r="O716" s="833"/>
      <c r="Q716" s="833"/>
      <c r="R716" s="833"/>
      <c r="S716" s="833"/>
      <c r="T716" s="833"/>
      <c r="U716" s="833"/>
      <c r="V716" s="833"/>
      <c r="W716" s="833"/>
      <c r="X716" s="833"/>
    </row>
    <row r="717" spans="1:24" s="813" customFormat="1" ht="39.950000000000003" hidden="1" customHeight="1" x14ac:dyDescent="0.15">
      <c r="A717" s="2081">
        <f ca="1">+Orçamento_Não_Deson!A717</f>
        <v>8.1299999999999972</v>
      </c>
      <c r="B717" s="834">
        <f>+Orçamento_Não_Deson!B717</f>
        <v>100947</v>
      </c>
      <c r="C717" s="2" t="str">
        <f>VLOOKUP($B717,[5]BOLETIM_SEL!$A:$H,2,0)</f>
        <v>SINAPI</v>
      </c>
      <c r="D717" s="315" t="str">
        <f>VLOOKUP($B717,[5]BOLETIM_SEL!$A:$H,4,0)</f>
        <v>Transporte com caminhão carroceria 9t, em via urbana pavimentada, DMT até 30,00 km (unidade: txkm). AF_07/2020</v>
      </c>
      <c r="E717" s="2">
        <f>+Orçamento_Não_Deson!E717</f>
        <v>100</v>
      </c>
      <c r="F717" s="2" t="str">
        <f>VLOOKUP($B717,[5]BOLETIM_SEL!$A:$H,6,0)</f>
        <v>TXKM</v>
      </c>
      <c r="G717" s="1407">
        <f>VLOOKUP($B717,[5]BOLETIM_SEL!$A:$H,7,0)</f>
        <v>1.93</v>
      </c>
      <c r="H717" s="1613">
        <f>+Orçamento_Não_Deson!H717</f>
        <v>0</v>
      </c>
      <c r="I717" s="877">
        <f>+TRUNC(G717*(1+$J$5),2)</f>
        <v>2.44</v>
      </c>
      <c r="J717" s="1612">
        <f>TRUNC(H717*I717,2)</f>
        <v>0</v>
      </c>
      <c r="K717" s="2078">
        <f ca="1">J717/J$967</f>
        <v>0</v>
      </c>
      <c r="L717" s="1574">
        <f t="shared" si="142"/>
        <v>0</v>
      </c>
      <c r="M717" s="1974"/>
      <c r="N717" s="833"/>
      <c r="O717" s="833"/>
      <c r="Q717" s="833"/>
      <c r="R717" s="833"/>
      <c r="S717" s="833"/>
      <c r="T717" s="833"/>
      <c r="U717" s="833"/>
      <c r="V717" s="833"/>
      <c r="W717" s="833"/>
      <c r="X717" s="833"/>
    </row>
    <row r="718" spans="1:24" s="813" customFormat="1" ht="39.950000000000003" customHeight="1" x14ac:dyDescent="0.15">
      <c r="A718" s="2081"/>
      <c r="B718" s="834"/>
      <c r="C718" s="834"/>
      <c r="D718" s="835"/>
      <c r="E718" s="2"/>
      <c r="F718" s="834"/>
      <c r="G718" s="1407"/>
      <c r="H718" s="1"/>
      <c r="I718" s="877"/>
      <c r="J718" s="839" t="str">
        <f>IF(J645=0,0,"")</f>
        <v/>
      </c>
      <c r="K718" s="2078"/>
      <c r="L718" s="1574"/>
      <c r="M718" s="1833"/>
      <c r="N718" s="833"/>
      <c r="O718" s="833"/>
      <c r="Q718" s="833"/>
      <c r="R718" s="833"/>
      <c r="S718" s="833"/>
      <c r="T718" s="833"/>
      <c r="U718" s="833"/>
      <c r="V718" s="833"/>
      <c r="W718" s="833"/>
      <c r="X718" s="833"/>
    </row>
    <row r="719" spans="1:24" s="833" customFormat="1" ht="30" customHeight="1" x14ac:dyDescent="0.15">
      <c r="A719" s="2082">
        <f ca="1">IF(J719&gt;0,INT(A717)+1,IF(J719=0,INT(A717),0))</f>
        <v>9</v>
      </c>
      <c r="B719" s="1633"/>
      <c r="C719" s="1633"/>
      <c r="D719" s="1634" t="s">
        <v>36</v>
      </c>
      <c r="E719" s="1828"/>
      <c r="F719" s="1635"/>
      <c r="G719" s="1820" t="s">
        <v>651</v>
      </c>
      <c r="H719" s="1637"/>
      <c r="I719" s="1640" t="str">
        <f ca="1">CONCATENATE("SUB-TOTAL ",A719)</f>
        <v>SUB-TOTAL 9</v>
      </c>
      <c r="J719" s="1639">
        <f ca="1">SUM(J720:J750)</f>
        <v>987498.49</v>
      </c>
      <c r="K719" s="2079">
        <f t="shared" ref="K719:K748" ca="1" si="143">J719/J$967</f>
        <v>7.1913060837601614E-2</v>
      </c>
      <c r="L719" s="1610">
        <f t="shared" ref="L719:L748" ca="1" si="144">J719/$J$719</f>
        <v>1</v>
      </c>
      <c r="N719" s="1964" t="s">
        <v>1962</v>
      </c>
      <c r="O719" s="1655" t="s">
        <v>1988</v>
      </c>
    </row>
    <row r="720" spans="1:24" s="2484" customFormat="1" ht="39.950000000000003" customHeight="1" x14ac:dyDescent="0.25">
      <c r="A720" s="1407">
        <f ca="1">+Orçamento_Não_Deson!A720</f>
        <v>9.01</v>
      </c>
      <c r="B720" s="1821" t="str">
        <f>+Orçamento_Não_Deson!B720</f>
        <v>SC/0005</v>
      </c>
      <c r="C720" s="1821" t="str">
        <f>VLOOKUP($B720,[5]BOLETIM_SEL!$A:$H,2,0)</f>
        <v>COMPOSIÇÃO</v>
      </c>
      <c r="D720" s="2475" t="str">
        <f>VLOOKUP($B720,[5]BOLETIM_SEL!$A:$H,4,0)</f>
        <v>Meio-fio (guia) com sarjeta, concreto FCK = 15mpa, seção 615 cm², moldado no local, inclusive escavação e pintura a cal em uma demão</v>
      </c>
      <c r="E720" s="1821">
        <f>+Orçamento_Não_Deson!E720</f>
        <v>0</v>
      </c>
      <c r="F720" s="1821" t="str">
        <f>VLOOKUP($B720,[5]BOLETIM_SEL!$A:$H,6,0)</f>
        <v>M</v>
      </c>
      <c r="G720" s="1407">
        <f>VLOOKUP($B720,[5]BOLETIM_SEL!$A:$H,7,0)</f>
        <v>49.66</v>
      </c>
      <c r="H720" s="2478">
        <f ca="1">+Orçamento_Não_Deson!H720</f>
        <v>13324.31</v>
      </c>
      <c r="I720" s="2479">
        <f t="shared" ref="I720:I748" si="145">+TRUNC(G720*(1+$J$5),2)</f>
        <v>62.93</v>
      </c>
      <c r="J720" s="2480">
        <f ca="1">TRUNC(H720*I720,2)</f>
        <v>838498.82</v>
      </c>
      <c r="K720" s="2481">
        <f t="shared" ca="1" si="143"/>
        <v>6.106238871810038E-2</v>
      </c>
      <c r="L720" s="1574">
        <f t="shared" ca="1" si="144"/>
        <v>0.84911402750600662</v>
      </c>
      <c r="M720" s="1975" t="str">
        <f>+Orçamento_Não_Deson!M720</f>
        <v>EXTRUSÃO</v>
      </c>
      <c r="N720" s="1965">
        <f>VLOOKUP($B720,[5]BOLETIM_SEL!$A:$H,3,0)</f>
        <v>11.06</v>
      </c>
      <c r="O720" s="1652">
        <f t="shared" ref="O720:O726" ca="1" si="146">+H720/N720</f>
        <v>1204.7296564195296</v>
      </c>
      <c r="P720" s="813"/>
      <c r="Q720" s="833"/>
      <c r="R720" s="2483"/>
      <c r="S720" s="2485"/>
      <c r="T720" s="2483"/>
      <c r="U720" s="2483"/>
      <c r="V720" s="2483"/>
      <c r="W720" s="2483"/>
      <c r="X720" s="2483"/>
    </row>
    <row r="721" spans="1:24" s="813" customFormat="1" ht="39.950000000000003" customHeight="1" x14ac:dyDescent="0.15">
      <c r="A721" s="2081">
        <f ca="1">+Orçamento_Não_Deson!A721</f>
        <v>9.02</v>
      </c>
      <c r="B721" s="834" t="str">
        <f>+Orçamento_Não_Deson!B721</f>
        <v>SC/0010</v>
      </c>
      <c r="C721" s="2" t="str">
        <f>VLOOKUP($B721,[5]BOLETIM_SEL!$A:$H,2,0)</f>
        <v>COMPOSIÇÃO</v>
      </c>
      <c r="D721" s="315" t="str">
        <f>VLOOKUP($B721,[5]BOLETIM_SEL!$A:$H,4,0)</f>
        <v>Meio-fio (guia) simples, concreto FCK = 15mpa, seção 285cm2, moldado no local, inclusive escavação e pintura a cal em uma demão</v>
      </c>
      <c r="E721" s="2">
        <f>+Orçamento_Não_Deson!E721</f>
        <v>0</v>
      </c>
      <c r="F721" s="2" t="str">
        <f>VLOOKUP($B721,[5]BOLETIM_SEL!$A:$H,6,0)</f>
        <v>M</v>
      </c>
      <c r="G721" s="1407">
        <f>VLOOKUP($B721,[5]BOLETIM_SEL!$A:$H,7,0)</f>
        <v>23.88</v>
      </c>
      <c r="H721" s="1613">
        <f ca="1">+Orçamento_Não_Deson!H721</f>
        <v>1124.6500000000001</v>
      </c>
      <c r="I721" s="877">
        <f t="shared" si="145"/>
        <v>30.26</v>
      </c>
      <c r="J721" s="1612">
        <f ca="1">TRUNC(H721*I721,2)</f>
        <v>34031.9</v>
      </c>
      <c r="K721" s="2078">
        <f t="shared" ca="1" si="143"/>
        <v>2.4783208479834478E-3</v>
      </c>
      <c r="L721" s="1574">
        <f t="shared" ca="1" si="144"/>
        <v>3.4462736241753646E-2</v>
      </c>
      <c r="M721" s="1975" t="str">
        <f>+Orçamento_Não_Deson!M721</f>
        <v>EXTRUSÃO</v>
      </c>
      <c r="N721" s="1965">
        <f>VLOOKUP($B721,[5]BOLETIM_SEL!$A:$H,3,0)</f>
        <v>23.86</v>
      </c>
      <c r="O721" s="1652">
        <f t="shared" ca="1" si="146"/>
        <v>47.135373009220459</v>
      </c>
      <c r="Q721" s="833"/>
      <c r="R721" s="833"/>
      <c r="S721" s="833"/>
      <c r="T721" s="833"/>
      <c r="U721" s="833"/>
      <c r="V721" s="833"/>
      <c r="W721" s="833"/>
      <c r="X721" s="833"/>
    </row>
    <row r="722" spans="1:24" s="813" customFormat="1" ht="39.950000000000003" hidden="1" customHeight="1" x14ac:dyDescent="0.15">
      <c r="A722" s="2081">
        <f ca="1">+Orçamento_Não_Deson!A722</f>
        <v>9.02</v>
      </c>
      <c r="B722" s="834" t="str">
        <f>+Orçamento_Não_Deson!B722</f>
        <v>SC/0065</v>
      </c>
      <c r="C722" s="2" t="str">
        <f>VLOOKUP($B722,[5]BOLETIM_SEL!$A:$H,2,0)</f>
        <v>COMPOSIÇÃO</v>
      </c>
      <c r="D722" s="315" t="str">
        <f>VLOOKUP($B722,[5]BOLETIM_SEL!$A:$H,4,0)</f>
        <v>Guia para canteiro e ciclovia, concreto FCK = 15mpa, seção 150cm², moldado no local com extrusora, inclusive pintura a cal em uma demão</v>
      </c>
      <c r="E722" s="2">
        <f>+Orçamento_Não_Deson!E722</f>
        <v>0</v>
      </c>
      <c r="F722" s="2" t="str">
        <f>VLOOKUP($B722,[5]BOLETIM_SEL!$A:$H,6,0)</f>
        <v>M</v>
      </c>
      <c r="G722" s="1407">
        <f>VLOOKUP($B722,[5]BOLETIM_SEL!$A:$H,7,0)</f>
        <v>15.42</v>
      </c>
      <c r="H722" s="1613">
        <f>+Orçamento_Não_Deson!H722</f>
        <v>0</v>
      </c>
      <c r="I722" s="877">
        <f t="shared" si="145"/>
        <v>19.54</v>
      </c>
      <c r="J722" s="1612">
        <f t="shared" ref="J722:J748" si="147">TRUNC(H722*I722,2)</f>
        <v>0</v>
      </c>
      <c r="K722" s="2078">
        <f t="shared" ca="1" si="143"/>
        <v>0</v>
      </c>
      <c r="L722" s="1574">
        <f t="shared" ca="1" si="144"/>
        <v>0</v>
      </c>
      <c r="M722" s="1975" t="str">
        <f>+Orçamento_Não_Deson!M722</f>
        <v>EXTRUSÃO</v>
      </c>
      <c r="N722" s="1965">
        <f>VLOOKUP($B722,[5]BOLETIM_SEL!$A:$H,3,0)</f>
        <v>26.88</v>
      </c>
      <c r="O722" s="1652">
        <f t="shared" si="146"/>
        <v>0</v>
      </c>
      <c r="Q722" s="833"/>
      <c r="R722" s="833"/>
      <c r="S722" s="833"/>
      <c r="T722" s="833"/>
      <c r="U722" s="833"/>
      <c r="V722" s="833"/>
      <c r="W722" s="833"/>
      <c r="X722" s="833"/>
    </row>
    <row r="723" spans="1:24" s="813" customFormat="1" ht="39.950000000000003" hidden="1" customHeight="1" x14ac:dyDescent="0.15">
      <c r="A723" s="2081">
        <f ca="1">+Orçamento_Não_Deson!A723</f>
        <v>9.02</v>
      </c>
      <c r="B723" s="834" t="str">
        <f>+Orçamento_Não_Deson!B723</f>
        <v>SC/0020</v>
      </c>
      <c r="C723" s="2" t="str">
        <f>VLOOKUP($B723,[5]BOLETIM_SEL!$A:$H,2,0)</f>
        <v>COMPOSIÇÃO</v>
      </c>
      <c r="D723" s="315" t="str">
        <f>VLOOKUP($B723,[5]BOLETIM_SEL!$A:$H,4,0)</f>
        <v>Meio-fio (guia) para rotatórias e ilhas, concreto FCK = 15mpa, seção 875cm2, moldado no local, inclusive escavação e pintura a cal em uma demão</v>
      </c>
      <c r="E723" s="2">
        <f>+Orçamento_Não_Deson!E723</f>
        <v>0</v>
      </c>
      <c r="F723" s="2" t="str">
        <f>VLOOKUP($B723,[5]BOLETIM_SEL!$A:$H,6,0)</f>
        <v>M</v>
      </c>
      <c r="G723" s="1407">
        <f>VLOOKUP($B723,[5]BOLETIM_SEL!$A:$H,7,0)</f>
        <v>72.150000000000006</v>
      </c>
      <c r="H723" s="1613">
        <f>+Orçamento_Não_Deson!H723</f>
        <v>0</v>
      </c>
      <c r="I723" s="877">
        <f t="shared" si="145"/>
        <v>91.44</v>
      </c>
      <c r="J723" s="1612">
        <f t="shared" si="147"/>
        <v>0</v>
      </c>
      <c r="K723" s="2078">
        <f t="shared" ca="1" si="143"/>
        <v>0</v>
      </c>
      <c r="L723" s="1574">
        <f t="shared" ca="1" si="144"/>
        <v>0</v>
      </c>
      <c r="M723" s="1974"/>
      <c r="N723" s="1965">
        <f>VLOOKUP($B723,[5]BOLETIM_SEL!$A:$H,3,0)</f>
        <v>7.77</v>
      </c>
      <c r="O723" s="1652">
        <f t="shared" si="146"/>
        <v>0</v>
      </c>
      <c r="Q723" s="833"/>
      <c r="R723" s="833"/>
      <c r="S723" s="833"/>
      <c r="T723" s="833"/>
      <c r="U723" s="833"/>
      <c r="V723" s="833"/>
      <c r="W723" s="833"/>
      <c r="X723" s="833"/>
    </row>
    <row r="724" spans="1:24" s="813" customFormat="1" ht="30" customHeight="1" x14ac:dyDescent="0.15">
      <c r="A724" s="2081">
        <f ca="1">+Orçamento_Não_Deson!A724</f>
        <v>9.0299999999999994</v>
      </c>
      <c r="B724" s="834" t="str">
        <f>+Orçamento_Não_Deson!B724</f>
        <v>SC/0030</v>
      </c>
      <c r="C724" s="2" t="str">
        <f>VLOOKUP($B724,[5]BOLETIM_SEL!$A:$H,2,0)</f>
        <v>COMPOSIÇÃO</v>
      </c>
      <c r="D724" s="315" t="str">
        <f>VLOOKUP($B724,[5]BOLETIM_SEL!$A:$H,4,0)</f>
        <v xml:space="preserve">Tento (acabamento de limpa-rodas), concreto FCK = 15 mpa, seção 330cm², moldado no local, inclusive escavação </v>
      </c>
      <c r="E724" s="2">
        <f>+Orçamento_Não_Deson!E724</f>
        <v>0</v>
      </c>
      <c r="F724" s="2" t="str">
        <f>VLOOKUP($B724,[5]BOLETIM_SEL!$A:$H,6,0)</f>
        <v>M</v>
      </c>
      <c r="G724" s="1407">
        <f>VLOOKUP($B724,[5]BOLETIM_SEL!$A:$H,7,0)</f>
        <v>26.68</v>
      </c>
      <c r="H724" s="1613">
        <f>+Orçamento_Não_Deson!H724</f>
        <v>53</v>
      </c>
      <c r="I724" s="877">
        <f t="shared" si="145"/>
        <v>33.81</v>
      </c>
      <c r="J724" s="1612">
        <f t="shared" si="147"/>
        <v>1791.93</v>
      </c>
      <c r="K724" s="2078">
        <f t="shared" ca="1" si="143"/>
        <v>1.3049455002885467E-4</v>
      </c>
      <c r="L724" s="1574">
        <f t="shared" ca="1" si="144"/>
        <v>1.8146154329815734E-3</v>
      </c>
      <c r="M724" s="1974"/>
      <c r="N724" s="1965">
        <f>VLOOKUP($B724,[5]BOLETIM_SEL!$A:$H,3,0)</f>
        <v>20.61</v>
      </c>
      <c r="O724" s="1652">
        <f t="shared" si="146"/>
        <v>2.5715672003881611</v>
      </c>
      <c r="Q724" s="833"/>
      <c r="R724" s="833"/>
      <c r="S724" s="2477"/>
      <c r="T724" s="833"/>
      <c r="U724" s="833"/>
      <c r="V724" s="833"/>
      <c r="W724" s="833"/>
      <c r="X724" s="833"/>
    </row>
    <row r="725" spans="1:24" s="813" customFormat="1" ht="39.950000000000003" hidden="1" customHeight="1" x14ac:dyDescent="0.15">
      <c r="A725" s="2081">
        <f ca="1">+Orçamento_Não_Deson!A725</f>
        <v>9.0299999999999994</v>
      </c>
      <c r="B725" s="834" t="str">
        <f>+Orçamento_Não_Deson!B725</f>
        <v>SC/0035</v>
      </c>
      <c r="C725" s="2" t="str">
        <f>VLOOKUP($B725,[5]BOLETIM_SEL!$A:$H,2,0)</f>
        <v>COMPOSIÇÃO</v>
      </c>
      <c r="D725" s="315" t="str">
        <f>VLOOKUP($B725,[5]BOLETIM_SEL!$A:$H,4,0)</f>
        <v>Sarjeta em concreto FCK = 15mpa, seção 330cm², moldada no local, exclusive escavação</v>
      </c>
      <c r="E725" s="2">
        <f>+Orçamento_Não_Deson!E725</f>
        <v>0</v>
      </c>
      <c r="F725" s="2" t="str">
        <f>VLOOKUP($B725,[5]BOLETIM_SEL!$A:$H,6,0)</f>
        <v>M</v>
      </c>
      <c r="G725" s="1407">
        <f>VLOOKUP($B725,[5]BOLETIM_SEL!$A:$H,7,0)</f>
        <v>28.76</v>
      </c>
      <c r="H725" s="1613">
        <f ca="1">+Orçamento_Não_Deson!H725</f>
        <v>0</v>
      </c>
      <c r="I725" s="877">
        <f t="shared" si="145"/>
        <v>36.450000000000003</v>
      </c>
      <c r="J725" s="1612">
        <f ca="1">TRUNC(H725*I725,2)</f>
        <v>0</v>
      </c>
      <c r="K725" s="2078">
        <f t="shared" ca="1" si="143"/>
        <v>0</v>
      </c>
      <c r="L725" s="1574">
        <f t="shared" ca="1" si="144"/>
        <v>0</v>
      </c>
      <c r="M725" s="1974"/>
      <c r="N725" s="1965">
        <f>VLOOKUP($B725,[5]BOLETIM_SEL!$A:$H,3,0)</f>
        <v>20.61</v>
      </c>
      <c r="O725" s="1652">
        <f t="shared" ca="1" si="146"/>
        <v>0</v>
      </c>
      <c r="Q725" s="833"/>
      <c r="R725" s="833"/>
      <c r="S725" s="833"/>
      <c r="T725" s="833"/>
      <c r="U725" s="833"/>
      <c r="V725" s="833"/>
      <c r="W725" s="833"/>
      <c r="X725" s="833"/>
    </row>
    <row r="726" spans="1:24" s="813" customFormat="1" ht="39.950000000000003" hidden="1" customHeight="1" x14ac:dyDescent="0.15">
      <c r="A726" s="2081">
        <f ca="1">+Orçamento_Não_Deson!A726</f>
        <v>9.0299999999999994</v>
      </c>
      <c r="B726" s="834" t="str">
        <f>+Orçamento_Não_Deson!B726</f>
        <v>SC/0040</v>
      </c>
      <c r="C726" s="2" t="str">
        <f>VLOOKUP($B726,[5]BOLETIM_SEL!$A:$H,2,0)</f>
        <v>COMPOSIÇÃO</v>
      </c>
      <c r="D726" s="315" t="str">
        <f>VLOOKUP($B726,[5]BOLETIM_SEL!$A:$H,4,0)</f>
        <v>Sarjeta tipo americana em concreto FCK = 15mpa, seção 455cm², moldada no local, exclusive escavação</v>
      </c>
      <c r="E726" s="2">
        <f>+Orçamento_Não_Deson!E726</f>
        <v>0</v>
      </c>
      <c r="F726" s="2" t="str">
        <f>VLOOKUP($B726,[5]BOLETIM_SEL!$A:$H,6,0)</f>
        <v>M</v>
      </c>
      <c r="G726" s="1407">
        <f>VLOOKUP($B726,[5]BOLETIM_SEL!$A:$H,7,0)</f>
        <v>38.08</v>
      </c>
      <c r="H726" s="1613">
        <f>+Orçamento_Não_Deson!H726</f>
        <v>0</v>
      </c>
      <c r="I726" s="877">
        <f t="shared" si="145"/>
        <v>48.26</v>
      </c>
      <c r="J726" s="1612">
        <f t="shared" si="147"/>
        <v>0</v>
      </c>
      <c r="K726" s="2078">
        <f t="shared" ca="1" si="143"/>
        <v>0</v>
      </c>
      <c r="L726" s="1574">
        <f t="shared" ca="1" si="144"/>
        <v>0</v>
      </c>
      <c r="M726" s="1974"/>
      <c r="N726" s="1965">
        <f>VLOOKUP($B726,[5]BOLETIM_SEL!$A:$H,3,0)</f>
        <v>15.11</v>
      </c>
      <c r="O726" s="1652">
        <f t="shared" si="146"/>
        <v>0</v>
      </c>
      <c r="Q726" s="833"/>
      <c r="R726" s="833"/>
      <c r="S726" s="833"/>
      <c r="T726" s="833"/>
      <c r="U726" s="833"/>
      <c r="V726" s="833"/>
      <c r="W726" s="833"/>
      <c r="X726" s="833"/>
    </row>
    <row r="727" spans="1:24" s="813" customFormat="1" ht="39.950000000000003" hidden="1" customHeight="1" x14ac:dyDescent="0.15">
      <c r="A727" s="2081">
        <f ca="1">+Orçamento_Não_Deson!A727</f>
        <v>9.0299999999999994</v>
      </c>
      <c r="B727" s="834">
        <f>+Orçamento_Não_Deson!B727</f>
        <v>97084</v>
      </c>
      <c r="C727" s="2" t="str">
        <f>VLOOKUP($B727,[5]BOLETIM_SEL!$A:$H,2,0)</f>
        <v>SINAPI</v>
      </c>
      <c r="D727" s="315" t="str">
        <f>VLOOKUP($B727,[5]BOLETIM_SEL!$A:$H,4,0)</f>
        <v>Compactação mecânica de solo para execução de radier, com compactador de solos tipo placa vibratória. AF_09/2021</v>
      </c>
      <c r="E727" s="2">
        <f>+Orçamento_Não_Deson!E727</f>
        <v>0</v>
      </c>
      <c r="F727" s="2" t="str">
        <f>VLOOKUP($B727,[5]BOLETIM_SEL!$A:$H,6,0)</f>
        <v>M2</v>
      </c>
      <c r="G727" s="1407">
        <f>VLOOKUP($B727,[5]BOLETIM_SEL!$A:$H,7,0)</f>
        <v>0.55000000000000004</v>
      </c>
      <c r="H727" s="1613">
        <f>+Orçamento_Não_Deson!H727</f>
        <v>0</v>
      </c>
      <c r="I727" s="877">
        <f t="shared" si="145"/>
        <v>0.69</v>
      </c>
      <c r="J727" s="1612">
        <f t="shared" si="147"/>
        <v>0</v>
      </c>
      <c r="K727" s="2078">
        <f t="shared" ca="1" si="143"/>
        <v>0</v>
      </c>
      <c r="L727" s="1574">
        <f t="shared" ca="1" si="144"/>
        <v>0</v>
      </c>
      <c r="M727" s="1974"/>
      <c r="N727" s="833"/>
      <c r="O727" s="833"/>
      <c r="Q727" s="833"/>
      <c r="R727" s="833"/>
      <c r="S727" s="833"/>
      <c r="T727" s="833"/>
      <c r="U727" s="833"/>
      <c r="V727" s="833"/>
      <c r="W727" s="833"/>
      <c r="X727" s="833"/>
    </row>
    <row r="728" spans="1:24" s="813" customFormat="1" ht="30" customHeight="1" x14ac:dyDescent="0.15">
      <c r="A728" s="2081">
        <f ca="1">+Orçamento_Não_Deson!A728</f>
        <v>9.0399999999999991</v>
      </c>
      <c r="B728" s="834">
        <f>+Orçamento_Não_Deson!B728</f>
        <v>100575</v>
      </c>
      <c r="C728" s="2" t="str">
        <f>VLOOKUP($B728,[5]BOLETIM_SEL!$A:$H,2,0)</f>
        <v>SINAPI</v>
      </c>
      <c r="D728" s="315" t="str">
        <f>VLOOKUP($B728,[5]BOLETIM_SEL!$A:$H,4,0)</f>
        <v>Regularização de superfícies com motoniveladora. AF_11/2019</v>
      </c>
      <c r="E728" s="2">
        <f>+Orçamento_Não_Deson!E728</f>
        <v>0</v>
      </c>
      <c r="F728" s="2" t="str">
        <f>VLOOKUP($B728,[5]BOLETIM_SEL!$A:$H,6,0)</f>
        <v>M2</v>
      </c>
      <c r="G728" s="1407">
        <f>VLOOKUP($B728,[5]BOLETIM_SEL!$A:$H,7,0)</f>
        <v>0.11</v>
      </c>
      <c r="H728" s="1613">
        <f>+Orçamento_Não_Deson!H728</f>
        <v>3528.21</v>
      </c>
      <c r="I728" s="877">
        <f t="shared" si="145"/>
        <v>0.13</v>
      </c>
      <c r="J728" s="1612">
        <f t="shared" si="147"/>
        <v>458.66</v>
      </c>
      <c r="K728" s="2078">
        <f t="shared" ca="1" si="143"/>
        <v>3.3401210045166103E-5</v>
      </c>
      <c r="L728" s="1574">
        <f t="shared" ca="1" si="144"/>
        <v>4.6446653300705301E-4</v>
      </c>
      <c r="M728" s="1974"/>
      <c r="N728" s="833"/>
      <c r="O728" s="833"/>
      <c r="Q728" s="833"/>
      <c r="R728" s="833"/>
      <c r="S728" s="833"/>
      <c r="T728" s="833"/>
      <c r="U728" s="833"/>
      <c r="V728" s="833"/>
      <c r="W728" s="833"/>
      <c r="X728" s="833"/>
    </row>
    <row r="729" spans="1:24" s="813" customFormat="1" ht="39.950000000000003" hidden="1" customHeight="1" x14ac:dyDescent="0.15">
      <c r="A729" s="2081">
        <f ca="1">+Orçamento_Não_Deson!A729</f>
        <v>9.0399999999999991</v>
      </c>
      <c r="B729" s="834" t="str">
        <f>+Orçamento_Não_Deson!B729</f>
        <v>SC/0250</v>
      </c>
      <c r="C729" s="2" t="str">
        <f>VLOOKUP($B729,[5]BOLETIM_SEL!$A:$H,2,0)</f>
        <v>COMPOSIÇÃO</v>
      </c>
      <c r="D729" s="315" t="str">
        <f>VLOOKUP($B729,[5]BOLETIM_SEL!$A:$H,4,0)</f>
        <v>Hidrossemeadura. Ref SICRO CÓD  4413905, DB 04-2021</v>
      </c>
      <c r="E729" s="2">
        <f>+Orçamento_Não_Deson!E729</f>
        <v>0</v>
      </c>
      <c r="F729" s="2" t="str">
        <f>VLOOKUP($B729,[5]BOLETIM_SEL!$A:$H,6,0)</f>
        <v>M2</v>
      </c>
      <c r="G729" s="1407">
        <f>VLOOKUP($B729,[5]BOLETIM_SEL!$A:$H,7,0)</f>
        <v>6.55</v>
      </c>
      <c r="H729" s="1613">
        <f>+Orçamento_Não_Deson!H729</f>
        <v>0</v>
      </c>
      <c r="I729" s="877">
        <f t="shared" si="145"/>
        <v>8.3000000000000007</v>
      </c>
      <c r="J729" s="1612">
        <f t="shared" si="147"/>
        <v>0</v>
      </c>
      <c r="K729" s="2078">
        <f t="shared" ca="1" si="143"/>
        <v>0</v>
      </c>
      <c r="L729" s="1574">
        <f t="shared" ca="1" si="144"/>
        <v>0</v>
      </c>
      <c r="M729" s="1974"/>
      <c r="N729" s="833"/>
      <c r="O729" s="833"/>
      <c r="Q729" s="833"/>
      <c r="R729" s="833"/>
      <c r="S729" s="833"/>
      <c r="T729" s="833"/>
      <c r="U729" s="833"/>
      <c r="V729" s="833"/>
      <c r="W729" s="833"/>
      <c r="X729" s="833"/>
    </row>
    <row r="730" spans="1:24" s="813" customFormat="1" ht="39.950000000000003" hidden="1" customHeight="1" x14ac:dyDescent="0.15">
      <c r="A730" s="2081">
        <f ca="1">+Orçamento_Não_Deson!A730</f>
        <v>9.0399999999999991</v>
      </c>
      <c r="B730" s="834">
        <f>+Orçamento_Não_Deson!B730</f>
        <v>98503</v>
      </c>
      <c r="C730" s="2" t="str">
        <f>VLOOKUP($B730,[5]BOLETIM_SEL!$A:$H,2,0)</f>
        <v>SINAPI</v>
      </c>
      <c r="D730" s="315" t="str">
        <f>VLOOKUP($B730,[5]BOLETIM_SEL!$A:$H,4,0)</f>
        <v>Plantio de grama em pavimento concregrama. AF_05/2018</v>
      </c>
      <c r="E730" s="2">
        <f>+Orçamento_Não_Deson!E730</f>
        <v>0</v>
      </c>
      <c r="F730" s="2" t="str">
        <f>VLOOKUP($B730,[5]BOLETIM_SEL!$A:$H,6,0)</f>
        <v>M2</v>
      </c>
      <c r="G730" s="1407">
        <f>VLOOKUP($B730,[5]BOLETIM_SEL!$A:$H,7,0)</f>
        <v>23.99</v>
      </c>
      <c r="H730" s="1613">
        <f>+Orçamento_Não_Deson!H730</f>
        <v>0</v>
      </c>
      <c r="I730" s="877">
        <f t="shared" si="145"/>
        <v>30.4</v>
      </c>
      <c r="J730" s="1612">
        <f t="shared" si="147"/>
        <v>0</v>
      </c>
      <c r="K730" s="2078">
        <f t="shared" ca="1" si="143"/>
        <v>0</v>
      </c>
      <c r="L730" s="1574">
        <f t="shared" ca="1" si="144"/>
        <v>0</v>
      </c>
      <c r="M730" s="1675"/>
      <c r="N730" s="833"/>
      <c r="O730" s="833"/>
      <c r="Q730" s="833"/>
      <c r="R730" s="833"/>
      <c r="S730" s="833"/>
      <c r="T730" s="833"/>
      <c r="U730" s="833"/>
      <c r="V730" s="833"/>
      <c r="W730" s="833"/>
      <c r="X730" s="833"/>
    </row>
    <row r="731" spans="1:24" s="813" customFormat="1" ht="30" customHeight="1" x14ac:dyDescent="0.15">
      <c r="A731" s="2081">
        <f ca="1">+Orçamento_Não_Deson!A731</f>
        <v>9.0499999999999989</v>
      </c>
      <c r="B731" s="834" t="str">
        <f>+Orçamento_Não_Deson!B731</f>
        <v>SC/0082</v>
      </c>
      <c r="C731" s="2" t="str">
        <f>VLOOKUP($B731,[5]BOLETIM_SEL!$A:$H,2,0)</f>
        <v>COMPOSIÇÃO</v>
      </c>
      <c r="D731" s="315" t="str">
        <f>VLOOKUP($B731,[5]BOLETIM_SEL!$A:$H,4,0)</f>
        <v>Grama em placas, tipo esmeralda, incluindo plantio, adubo, fertilizante, calcário, terra orgânica e irrigação</v>
      </c>
      <c r="E731" s="2">
        <f>+Orçamento_Não_Deson!E731</f>
        <v>0</v>
      </c>
      <c r="F731" s="2" t="str">
        <f>VLOOKUP($B731,[5]BOLETIM_SEL!$A:$H,6,0)</f>
        <v>M2</v>
      </c>
      <c r="G731" s="1407">
        <f>VLOOKUP($B731,[5]BOLETIM_SEL!$A:$H,7,0)</f>
        <v>21.88</v>
      </c>
      <c r="H731" s="1613">
        <f>+Orçamento_Não_Deson!H731</f>
        <v>4064.81</v>
      </c>
      <c r="I731" s="877">
        <f t="shared" si="145"/>
        <v>27.73</v>
      </c>
      <c r="J731" s="1612">
        <f t="shared" si="147"/>
        <v>112717.18</v>
      </c>
      <c r="K731" s="2078">
        <f t="shared" ca="1" si="143"/>
        <v>8.2084555114437605E-3</v>
      </c>
      <c r="L731" s="1574">
        <f t="shared" ca="1" si="144"/>
        <v>0.1141441542862511</v>
      </c>
      <c r="M731" s="1975" t="str">
        <f>+Orçamento_Não_Deson!M731</f>
        <v>ESMERALDA</v>
      </c>
      <c r="N731" s="833"/>
      <c r="O731" s="833"/>
      <c r="Q731" s="833"/>
      <c r="R731" s="833"/>
      <c r="S731" s="833"/>
      <c r="T731" s="833"/>
      <c r="U731" s="833"/>
      <c r="V731" s="833"/>
      <c r="W731" s="833"/>
      <c r="X731" s="833"/>
    </row>
    <row r="732" spans="1:24" s="813" customFormat="1" ht="39.950000000000003" hidden="1" customHeight="1" x14ac:dyDescent="0.15">
      <c r="A732" s="2081">
        <f ca="1">+Orçamento_Não_Deson!A732</f>
        <v>9.0499999999999989</v>
      </c>
      <c r="B732" s="834" t="str">
        <f>+Orçamento_Não_Deson!B732</f>
        <v>SC/0110</v>
      </c>
      <c r="C732" s="2" t="str">
        <f>VLOOKUP($B732,[5]BOLETIM_SEL!$A:$H,2,0)</f>
        <v>COMPOSIÇÃO</v>
      </c>
      <c r="D732" s="315" t="str">
        <f>VLOOKUP($B732,[5]BOLETIM_SEL!$A:$H,4,0)</f>
        <v>Cerca com mourões de madeira roliça Ø 11cm, espaçamento de 2,00m, altura livre de 1,50m, cravado 0,50m, com 5 fios de arame liso ovalado 15x17, conforme projeto</v>
      </c>
      <c r="E732" s="2">
        <f>+Orçamento_Não_Deson!E732</f>
        <v>0</v>
      </c>
      <c r="F732" s="2" t="str">
        <f>VLOOKUP($B732,[5]BOLETIM_SEL!$A:$H,6,0)</f>
        <v>M</v>
      </c>
      <c r="G732" s="1407">
        <f>VLOOKUP($B732,[5]BOLETIM_SEL!$A:$H,7,0)</f>
        <v>34.28</v>
      </c>
      <c r="H732" s="1613">
        <f>+Orçamento_Não_Deson!H732</f>
        <v>0</v>
      </c>
      <c r="I732" s="877">
        <f t="shared" si="145"/>
        <v>43.44</v>
      </c>
      <c r="J732" s="1612">
        <f t="shared" si="147"/>
        <v>0</v>
      </c>
      <c r="K732" s="2078">
        <f t="shared" ca="1" si="143"/>
        <v>0</v>
      </c>
      <c r="L732" s="1574">
        <f t="shared" ca="1" si="144"/>
        <v>0</v>
      </c>
      <c r="M732" s="1675"/>
      <c r="N732" s="833"/>
      <c r="O732" s="833"/>
      <c r="Q732" s="833"/>
      <c r="R732" s="833"/>
      <c r="S732" s="833"/>
      <c r="T732" s="833"/>
      <c r="U732" s="833"/>
      <c r="V732" s="833"/>
      <c r="W732" s="833"/>
      <c r="X732" s="833"/>
    </row>
    <row r="733" spans="1:24" s="813" customFormat="1" ht="39.950000000000003" hidden="1" customHeight="1" x14ac:dyDescent="0.15">
      <c r="A733" s="2081">
        <f ca="1">+Orçamento_Não_Deson!A733</f>
        <v>9.0499999999999989</v>
      </c>
      <c r="B733" s="834">
        <f>+Orçamento_Não_Deson!B733</f>
        <v>101193</v>
      </c>
      <c r="C733" s="2" t="str">
        <f>VLOOKUP($B733,[5]BOLETIM_SEL!$A:$H,2,0)</f>
        <v>SINAPI</v>
      </c>
      <c r="D733" s="315" t="str">
        <f>VLOOKUP($B733,[5]BOLETIM_SEL!$A:$H,4,0)</f>
        <v>Cerca com mourões de concreto, reto, h=2,30 m, espaçamento de 2,50 m, cravados 0,5 m, com 4 fios de arame de aço ovalado 15x17 - fornecimento e instalação. AF_05/2020</v>
      </c>
      <c r="E733" s="2">
        <f>+Orçamento_Não_Deson!E733</f>
        <v>0</v>
      </c>
      <c r="F733" s="2" t="str">
        <f>VLOOKUP($B733,[5]BOLETIM_SEL!$A:$H,6,0)</f>
        <v>M</v>
      </c>
      <c r="G733" s="1407">
        <f>VLOOKUP($B733,[5]BOLETIM_SEL!$A:$H,7,0)</f>
        <v>52.32</v>
      </c>
      <c r="H733" s="1613">
        <f>+Orçamento_Não_Deson!H733</f>
        <v>0</v>
      </c>
      <c r="I733" s="877">
        <f t="shared" si="145"/>
        <v>66.31</v>
      </c>
      <c r="J733" s="1612">
        <f t="shared" si="147"/>
        <v>0</v>
      </c>
      <c r="K733" s="2078">
        <f t="shared" ca="1" si="143"/>
        <v>0</v>
      </c>
      <c r="L733" s="1574">
        <f t="shared" ca="1" si="144"/>
        <v>0</v>
      </c>
      <c r="M733" s="1675"/>
      <c r="N733" s="833"/>
      <c r="O733" s="833"/>
      <c r="Q733" s="833"/>
      <c r="R733" s="833"/>
      <c r="S733" s="833"/>
      <c r="T733" s="833"/>
      <c r="U733" s="833"/>
      <c r="V733" s="833"/>
      <c r="W733" s="833"/>
      <c r="X733" s="833"/>
    </row>
    <row r="734" spans="1:24" s="813" customFormat="1" ht="39.950000000000003" hidden="1" customHeight="1" x14ac:dyDescent="0.15">
      <c r="A734" s="2081">
        <f ca="1">+Orçamento_Não_Deson!A734</f>
        <v>9.0499999999999989</v>
      </c>
      <c r="B734" s="834" t="str">
        <f>+Orçamento_Não_Deson!B734</f>
        <v>SC/0115</v>
      </c>
      <c r="C734" s="2" t="str">
        <f>VLOOKUP($B734,[5]BOLETIM_SEL!$A:$H,2,0)</f>
        <v>COMPOSIÇÃO</v>
      </c>
      <c r="D734" s="315" t="str">
        <f>VLOOKUP($B734,[5]BOLETIM_SEL!$A:$H,4,0)</f>
        <v>Alambrado com tela de aço galvanizado, fio 14, malha 1½" , três fios de arame liso, poste curvo de concreto com altura livre de 1,80m, mureta de alvenaria com altura de 30cm, conforme projeto</v>
      </c>
      <c r="E734" s="2">
        <f>+Orçamento_Não_Deson!E734</f>
        <v>0</v>
      </c>
      <c r="F734" s="2" t="str">
        <f>VLOOKUP($B734,[5]BOLETIM_SEL!$A:$H,6,0)</f>
        <v>M</v>
      </c>
      <c r="G734" s="1407">
        <f>VLOOKUP($B734,[5]BOLETIM_SEL!$A:$H,7,0)</f>
        <v>199.79</v>
      </c>
      <c r="H734" s="1613">
        <f>+Orçamento_Não_Deson!H734</f>
        <v>0</v>
      </c>
      <c r="I734" s="877">
        <f t="shared" si="145"/>
        <v>253.21</v>
      </c>
      <c r="J734" s="1612">
        <f t="shared" si="147"/>
        <v>0</v>
      </c>
      <c r="K734" s="2078">
        <f t="shared" ca="1" si="143"/>
        <v>0</v>
      </c>
      <c r="L734" s="1574">
        <f t="shared" ca="1" si="144"/>
        <v>0</v>
      </c>
      <c r="M734" s="1675"/>
      <c r="N734" s="833"/>
      <c r="O734" s="833"/>
      <c r="Q734" s="833"/>
      <c r="R734" s="833"/>
      <c r="S734" s="833"/>
      <c r="T734" s="833"/>
      <c r="U734" s="833"/>
      <c r="V734" s="833"/>
      <c r="W734" s="833"/>
      <c r="X734" s="833"/>
    </row>
    <row r="735" spans="1:24" s="813" customFormat="1" ht="39.950000000000003" hidden="1" customHeight="1" x14ac:dyDescent="0.15">
      <c r="A735" s="2081">
        <f ca="1">+Orçamento_Não_Deson!A735</f>
        <v>9.0499999999999989</v>
      </c>
      <c r="B735" s="834" t="str">
        <f>+Orçamento_Não_Deson!B735</f>
        <v>SC/0120</v>
      </c>
      <c r="C735" s="2" t="str">
        <f>VLOOKUP($B735,[5]BOLETIM_SEL!$A:$H,2,0)</f>
        <v>COMPOSIÇÃO</v>
      </c>
      <c r="D735" s="315" t="str">
        <f>VLOOKUP($B735,[5]BOLETIM_SEL!$A:$H,4,0)</f>
        <v>Portão para veículos em tela arame galvanizado n.12 malha 2" e moldura em tubos de aco com duas folhas de abrir, incluso ferragens (REF. SINAPI COD. 74238/2 - Descontinuado)</v>
      </c>
      <c r="E735" s="2">
        <f>+Orçamento_Não_Deson!E735</f>
        <v>0</v>
      </c>
      <c r="F735" s="2" t="str">
        <f>VLOOKUP($B735,[5]BOLETIM_SEL!$A:$H,6,0)</f>
        <v>M2</v>
      </c>
      <c r="G735" s="1407">
        <f>VLOOKUP($B735,[5]BOLETIM_SEL!$A:$H,7,0)</f>
        <v>975.13</v>
      </c>
      <c r="H735" s="1613">
        <f>+Orçamento_Não_Deson!H735</f>
        <v>0</v>
      </c>
      <c r="I735" s="877">
        <f t="shared" si="145"/>
        <v>1235.8699999999999</v>
      </c>
      <c r="J735" s="1612">
        <f t="shared" si="147"/>
        <v>0</v>
      </c>
      <c r="K735" s="2078">
        <f t="shared" ca="1" si="143"/>
        <v>0</v>
      </c>
      <c r="L735" s="1574">
        <f t="shared" ca="1" si="144"/>
        <v>0</v>
      </c>
      <c r="M735" s="1675"/>
      <c r="N735" s="833"/>
      <c r="O735" s="833"/>
      <c r="Q735" s="833"/>
      <c r="R735" s="833"/>
      <c r="S735" s="833"/>
      <c r="T735" s="833"/>
      <c r="U735" s="833"/>
      <c r="V735" s="833"/>
      <c r="W735" s="833"/>
      <c r="X735" s="833"/>
    </row>
    <row r="736" spans="1:24" s="813" customFormat="1" ht="39.950000000000003" hidden="1" customHeight="1" x14ac:dyDescent="0.15">
      <c r="A736" s="2081">
        <f ca="1">+Orçamento_Não_Deson!A736</f>
        <v>9.0499999999999989</v>
      </c>
      <c r="B736" s="834">
        <f>+Orçamento_Não_Deson!B736</f>
        <v>98510</v>
      </c>
      <c r="C736" s="2" t="str">
        <f>VLOOKUP($B736,[5]BOLETIM_SEL!$A:$H,2,0)</f>
        <v>SINAPI</v>
      </c>
      <c r="D736" s="315" t="str">
        <f>VLOOKUP($B736,[5]BOLETIM_SEL!$A:$H,4,0)</f>
        <v>Plantio de árvore ornamental com altura de muda menor ou igual a 2,00 m. AF_05/2018</v>
      </c>
      <c r="E736" s="2">
        <f>+Orçamento_Não_Deson!E736</f>
        <v>0</v>
      </c>
      <c r="F736" s="2" t="str">
        <f>VLOOKUP($B736,[5]BOLETIM_SEL!$A:$H,6,0)</f>
        <v>UN</v>
      </c>
      <c r="G736" s="1407">
        <f>VLOOKUP($B736,[5]BOLETIM_SEL!$A:$H,7,0)</f>
        <v>66.760000000000005</v>
      </c>
      <c r="H736" s="1613">
        <f>+Orçamento_Não_Deson!H736</f>
        <v>0</v>
      </c>
      <c r="I736" s="877">
        <f t="shared" si="145"/>
        <v>84.61</v>
      </c>
      <c r="J736" s="1612">
        <f>TRUNC(H736*I736,2)</f>
        <v>0</v>
      </c>
      <c r="K736" s="2078">
        <f t="shared" ca="1" si="143"/>
        <v>0</v>
      </c>
      <c r="L736" s="1574">
        <f t="shared" ca="1" si="144"/>
        <v>0</v>
      </c>
      <c r="M736" s="1975" t="str">
        <f>+Orçamento_Não_Deson!M736</f>
        <v>MENOR</v>
      </c>
      <c r="N736" s="833"/>
      <c r="O736" s="833"/>
      <c r="Q736" s="833"/>
      <c r="R736" s="833"/>
      <c r="S736" s="833"/>
      <c r="T736" s="833"/>
      <c r="U736" s="833"/>
      <c r="V736" s="833"/>
      <c r="W736" s="833"/>
      <c r="X736" s="833"/>
    </row>
    <row r="737" spans="1:24" s="813" customFormat="1" ht="39.950000000000003" hidden="1" customHeight="1" x14ac:dyDescent="0.15">
      <c r="A737" s="2081">
        <f ca="1">+Orçamento_Não_Deson!A737</f>
        <v>9.0499999999999989</v>
      </c>
      <c r="B737" s="834">
        <f>+Orçamento_Não_Deson!B737</f>
        <v>98516</v>
      </c>
      <c r="C737" s="2" t="str">
        <f>VLOOKUP($B737,[5]BOLETIM_SEL!$A:$H,2,0)</f>
        <v>SINAPI</v>
      </c>
      <c r="D737" s="315" t="str">
        <f>VLOOKUP($B737,[5]BOLETIM_SEL!$A:$H,4,0)</f>
        <v>Plantio de palmeira com altura de muda menor ou igual a 2,00 m. AF_05/2018</v>
      </c>
      <c r="E737" s="2">
        <f>+Orçamento_Não_Deson!E737</f>
        <v>0</v>
      </c>
      <c r="F737" s="2" t="str">
        <f>VLOOKUP($B737,[5]BOLETIM_SEL!$A:$H,6,0)</f>
        <v>UN</v>
      </c>
      <c r="G737" s="1407">
        <f>VLOOKUP($B737,[5]BOLETIM_SEL!$A:$H,7,0)</f>
        <v>320</v>
      </c>
      <c r="H737" s="1613">
        <f>+Orçamento_Não_Deson!H737</f>
        <v>0</v>
      </c>
      <c r="I737" s="877">
        <f t="shared" si="145"/>
        <v>405.56</v>
      </c>
      <c r="J737" s="1612">
        <f>TRUNC(H737*I737,2)</f>
        <v>0</v>
      </c>
      <c r="K737" s="2078">
        <f t="shared" ca="1" si="143"/>
        <v>0</v>
      </c>
      <c r="L737" s="1574">
        <f t="shared" ca="1" si="144"/>
        <v>0</v>
      </c>
      <c r="M737" s="1974"/>
      <c r="N737" s="833"/>
      <c r="O737" s="833"/>
      <c r="Q737" s="833"/>
      <c r="R737" s="833"/>
      <c r="S737" s="833"/>
      <c r="T737" s="833"/>
      <c r="U737" s="833"/>
      <c r="V737" s="833"/>
      <c r="W737" s="833"/>
      <c r="X737" s="833"/>
    </row>
    <row r="738" spans="1:24" s="813" customFormat="1" ht="39.950000000000003" hidden="1" customHeight="1" x14ac:dyDescent="0.15">
      <c r="A738" s="2081">
        <f ca="1">+Orçamento_Não_Deson!A738</f>
        <v>9.0499999999999989</v>
      </c>
      <c r="B738" s="834">
        <f>+Orçamento_Não_Deson!B738</f>
        <v>94963</v>
      </c>
      <c r="C738" s="2" t="str">
        <f>VLOOKUP($B738,[5]BOLETIM_SEL!$A:$H,2,0)</f>
        <v>SINAPI</v>
      </c>
      <c r="D738" s="315" t="str">
        <f>VLOOKUP($B738,[5]BOLETIM_SEL!$A:$H,4,0)</f>
        <v>Concreto FCK = 15 MPA, traço 1:3,4:3,5 (cimento/ areia média/ brita 1) - preparo mecânico com betoneira 400 l. AF_07/2016</v>
      </c>
      <c r="E738" s="2">
        <f>+Orçamento_Não_Deson!E738</f>
        <v>0</v>
      </c>
      <c r="F738" s="2" t="str">
        <f>VLOOKUP($B738,[5]BOLETIM_SEL!$A:$H,6,0)</f>
        <v>M3</v>
      </c>
      <c r="G738" s="1407">
        <f>VLOOKUP($B738,[5]BOLETIM_SEL!$A:$H,7,0)</f>
        <v>419.83</v>
      </c>
      <c r="H738" s="1613">
        <f>+Orçamento_Não_Deson!H738</f>
        <v>0</v>
      </c>
      <c r="I738" s="877">
        <f t="shared" si="145"/>
        <v>532.09</v>
      </c>
      <c r="J738" s="1612">
        <f t="shared" si="147"/>
        <v>0</v>
      </c>
      <c r="K738" s="2078">
        <f t="shared" ca="1" si="143"/>
        <v>0</v>
      </c>
      <c r="L738" s="1574">
        <f t="shared" ca="1" si="144"/>
        <v>0</v>
      </c>
      <c r="M738" s="1974"/>
      <c r="N738" s="833"/>
      <c r="O738" s="833"/>
      <c r="Q738" s="833"/>
      <c r="R738" s="833"/>
      <c r="S738" s="833"/>
      <c r="T738" s="833"/>
      <c r="U738" s="833"/>
      <c r="V738" s="833"/>
      <c r="W738" s="833"/>
      <c r="X738" s="833"/>
    </row>
    <row r="739" spans="1:24" s="813" customFormat="1" ht="39.950000000000003" hidden="1" customHeight="1" x14ac:dyDescent="0.15">
      <c r="A739" s="2081">
        <f ca="1">+Orçamento_Não_Deson!A739</f>
        <v>9.0499999999999989</v>
      </c>
      <c r="B739" s="834">
        <f>+Orçamento_Não_Deson!B739</f>
        <v>94965</v>
      </c>
      <c r="C739" s="2" t="str">
        <f>VLOOKUP($B739,[5]BOLETIM_SEL!$A:$H,2,0)</f>
        <v>SINAPI</v>
      </c>
      <c r="D739" s="315" t="str">
        <f>VLOOKUP($B739,[5]BOLETIM_SEL!$A:$H,4,0)</f>
        <v>Concreto FCK = 25 MPA, traço 1:2,3:2,7 (cimento/ areia média/ brita 1) - preparo mecânico com betoneira 400 l. AF_07/2016</v>
      </c>
      <c r="E739" s="2">
        <f>+Orçamento_Não_Deson!E739</f>
        <v>0</v>
      </c>
      <c r="F739" s="2" t="str">
        <f>VLOOKUP($B739,[5]BOLETIM_SEL!$A:$H,6,0)</f>
        <v>M3</v>
      </c>
      <c r="G739" s="1407">
        <f>VLOOKUP($B739,[5]BOLETIM_SEL!$A:$H,7,0)</f>
        <v>486.04</v>
      </c>
      <c r="H739" s="1613">
        <f>+Orçamento_Não_Deson!H739</f>
        <v>0</v>
      </c>
      <c r="I739" s="877">
        <f t="shared" si="145"/>
        <v>616</v>
      </c>
      <c r="J739" s="1612">
        <f t="shared" si="147"/>
        <v>0</v>
      </c>
      <c r="K739" s="2078">
        <f t="shared" ca="1" si="143"/>
        <v>0</v>
      </c>
      <c r="L739" s="1574">
        <f t="shared" ca="1" si="144"/>
        <v>0</v>
      </c>
      <c r="M739" s="1974"/>
      <c r="N739" s="833"/>
      <c r="O739" s="833"/>
      <c r="Q739" s="833"/>
      <c r="R739" s="833"/>
      <c r="S739" s="833"/>
      <c r="T739" s="833"/>
      <c r="U739" s="833"/>
      <c r="V739" s="833"/>
      <c r="W739" s="833"/>
      <c r="X739" s="833"/>
    </row>
    <row r="740" spans="1:24" s="813" customFormat="1" ht="39.950000000000003" hidden="1" customHeight="1" x14ac:dyDescent="0.15">
      <c r="A740" s="2081">
        <f ca="1">+Orçamento_Não_Deson!A740</f>
        <v>9.0499999999999989</v>
      </c>
      <c r="B740" s="834">
        <f>+Orçamento_Não_Deson!B740</f>
        <v>92413</v>
      </c>
      <c r="C740" s="2" t="str">
        <f>VLOOKUP($B740,[5]BOLETIM_SEL!$A:$H,2,0)</f>
        <v>SINAPI</v>
      </c>
      <c r="D740" s="315" t="str">
        <f>VLOOKUP($B740,[5]BOLETIM_SEL!$A:$H,4,0)</f>
        <v>Montagem e desmontagem de fôrma de pilares retangulares e estruturas similares, pé-direito simples, em madeira serrada, 4 utilizações. AF_09/2020</v>
      </c>
      <c r="E740" s="2">
        <f>+Orçamento_Não_Deson!E740</f>
        <v>0</v>
      </c>
      <c r="F740" s="2" t="str">
        <f>VLOOKUP($B740,[5]BOLETIM_SEL!$A:$H,6,0)</f>
        <v>M2</v>
      </c>
      <c r="G740" s="1407">
        <f>VLOOKUP($B740,[5]BOLETIM_SEL!$A:$H,7,0)</f>
        <v>115.45</v>
      </c>
      <c r="H740" s="1613">
        <f>+Orçamento_Não_Deson!H740</f>
        <v>0</v>
      </c>
      <c r="I740" s="877">
        <f t="shared" si="145"/>
        <v>146.32</v>
      </c>
      <c r="J740" s="1612">
        <f t="shared" si="147"/>
        <v>0</v>
      </c>
      <c r="K740" s="2078">
        <f t="shared" ca="1" si="143"/>
        <v>0</v>
      </c>
      <c r="L740" s="1574">
        <f t="shared" ca="1" si="144"/>
        <v>0</v>
      </c>
      <c r="M740" s="1974"/>
      <c r="N740" s="833"/>
      <c r="O740" s="833"/>
      <c r="Q740" s="833"/>
      <c r="R740" s="833"/>
      <c r="S740" s="833"/>
      <c r="T740" s="833"/>
      <c r="U740" s="833"/>
      <c r="V740" s="833"/>
      <c r="W740" s="833"/>
      <c r="X740" s="833"/>
    </row>
    <row r="741" spans="1:24" s="813" customFormat="1" ht="39.950000000000003" hidden="1" customHeight="1" x14ac:dyDescent="0.15">
      <c r="A741" s="2081">
        <f ca="1">+Orçamento_Não_Deson!A741</f>
        <v>9.0499999999999989</v>
      </c>
      <c r="B741" s="834">
        <f>+Orçamento_Não_Deson!B741</f>
        <v>96543</v>
      </c>
      <c r="C741" s="2" t="str">
        <f>VLOOKUP($B741,[5]BOLETIM_SEL!$A:$H,2,0)</f>
        <v>SINAPI</v>
      </c>
      <c r="D741" s="315" t="str">
        <f>VLOOKUP($B741,[5]BOLETIM_SEL!$A:$H,4,0)</f>
        <v>Armação de bloco, viga baldrame e sapata utilizando aço CA-60 de 5 mm - montagem. AF_06/2017</v>
      </c>
      <c r="E741" s="2">
        <f>+Orçamento_Não_Deson!E741</f>
        <v>0</v>
      </c>
      <c r="F741" s="2" t="str">
        <f>VLOOKUP($B741,[5]BOLETIM_SEL!$A:$H,6,0)</f>
        <v>KG</v>
      </c>
      <c r="G741" s="1407">
        <f>VLOOKUP($B741,[5]BOLETIM_SEL!$A:$H,7,0)</f>
        <v>17.07</v>
      </c>
      <c r="H741" s="1613">
        <f>+Orçamento_Não_Deson!H741</f>
        <v>0</v>
      </c>
      <c r="I741" s="877">
        <f t="shared" si="145"/>
        <v>21.63</v>
      </c>
      <c r="J741" s="1612">
        <f t="shared" si="147"/>
        <v>0</v>
      </c>
      <c r="K741" s="2078">
        <f t="shared" ca="1" si="143"/>
        <v>0</v>
      </c>
      <c r="L741" s="1574">
        <f t="shared" ca="1" si="144"/>
        <v>0</v>
      </c>
      <c r="M741" s="1974"/>
      <c r="N741" s="833"/>
      <c r="O741" s="833"/>
      <c r="Q741" s="833"/>
      <c r="R741" s="833"/>
      <c r="S741" s="833"/>
      <c r="T741" s="833"/>
      <c r="U741" s="833"/>
      <c r="V741" s="833"/>
      <c r="W741" s="833"/>
      <c r="X741" s="833"/>
    </row>
    <row r="742" spans="1:24" s="813" customFormat="1" ht="39.950000000000003" hidden="1" customHeight="1" x14ac:dyDescent="0.15">
      <c r="A742" s="2081">
        <f ca="1">+Orçamento_Não_Deson!A742</f>
        <v>9.0499999999999989</v>
      </c>
      <c r="B742" s="834">
        <f>+Orçamento_Não_Deson!B742</f>
        <v>100342</v>
      </c>
      <c r="C742" s="2" t="str">
        <f>VLOOKUP($B742,[5]BOLETIM_SEL!$A:$H,2,0)</f>
        <v>SINAPI</v>
      </c>
      <c r="D742" s="315" t="str">
        <f>VLOOKUP($B742,[5]BOLETIM_SEL!$A:$H,4,0)</f>
        <v>Armação de cortina de contenção em concreto armado, com aço CA-50 de 6,3 mm - montagem. AF_07/2019</v>
      </c>
      <c r="E742" s="2">
        <f>+Orçamento_Não_Deson!E742</f>
        <v>0</v>
      </c>
      <c r="F742" s="2" t="str">
        <f>VLOOKUP($B742,[5]BOLETIM_SEL!$A:$H,6,0)</f>
        <v>KG</v>
      </c>
      <c r="G742" s="1407">
        <f>VLOOKUP($B742,[5]BOLETIM_SEL!$A:$H,7,0)</f>
        <v>14.68</v>
      </c>
      <c r="H742" s="1613">
        <f>+Orçamento_Não_Deson!H742</f>
        <v>0</v>
      </c>
      <c r="I742" s="877">
        <f t="shared" si="145"/>
        <v>18.600000000000001</v>
      </c>
      <c r="J742" s="1612">
        <f t="shared" si="147"/>
        <v>0</v>
      </c>
      <c r="K742" s="2078">
        <f t="shared" ca="1" si="143"/>
        <v>0</v>
      </c>
      <c r="L742" s="1574">
        <f t="shared" ca="1" si="144"/>
        <v>0</v>
      </c>
      <c r="M742" s="1974"/>
      <c r="N742" s="833"/>
      <c r="O742" s="833"/>
      <c r="Q742" s="833"/>
      <c r="R742" s="833"/>
      <c r="S742" s="833"/>
      <c r="T742" s="833"/>
      <c r="U742" s="833"/>
      <c r="V742" s="833"/>
      <c r="W742" s="833"/>
      <c r="X742" s="833"/>
    </row>
    <row r="743" spans="1:24" s="813" customFormat="1" ht="39.950000000000003" hidden="1" customHeight="1" x14ac:dyDescent="0.15">
      <c r="A743" s="2081">
        <f ca="1">+Orçamento_Não_Deson!A743</f>
        <v>9.0499999999999989</v>
      </c>
      <c r="B743" s="834">
        <f>+Orçamento_Não_Deson!B743</f>
        <v>100343</v>
      </c>
      <c r="C743" s="2" t="str">
        <f>VLOOKUP($B743,[5]BOLETIM_SEL!$A:$H,2,0)</f>
        <v>SINAPI</v>
      </c>
      <c r="D743" s="315" t="str">
        <f>VLOOKUP($B743,[5]BOLETIM_SEL!$A:$H,4,0)</f>
        <v>Armação de cortina de contenção em concreto armado, com aço CA-50 de 8 mm - montagem. AF_07/2019</v>
      </c>
      <c r="E743" s="2">
        <f>+Orçamento_Não_Deson!E743</f>
        <v>0</v>
      </c>
      <c r="F743" s="2" t="str">
        <f>VLOOKUP($B743,[5]BOLETIM_SEL!$A:$H,6,0)</f>
        <v>KG</v>
      </c>
      <c r="G743" s="1407">
        <f>VLOOKUP($B743,[5]BOLETIM_SEL!$A:$H,7,0)</f>
        <v>14.1</v>
      </c>
      <c r="H743" s="1613">
        <f>+Orçamento_Não_Deson!H743</f>
        <v>0</v>
      </c>
      <c r="I743" s="877">
        <f t="shared" si="145"/>
        <v>17.87</v>
      </c>
      <c r="J743" s="1612">
        <f t="shared" si="147"/>
        <v>0</v>
      </c>
      <c r="K743" s="2078">
        <f t="shared" ca="1" si="143"/>
        <v>0</v>
      </c>
      <c r="L743" s="1574">
        <f t="shared" ca="1" si="144"/>
        <v>0</v>
      </c>
      <c r="M743" s="1974"/>
      <c r="N743" s="833"/>
      <c r="O743" s="833"/>
      <c r="Q743" s="833"/>
      <c r="R743" s="833"/>
      <c r="S743" s="833"/>
      <c r="T743" s="833"/>
      <c r="U743" s="833"/>
      <c r="V743" s="833"/>
      <c r="W743" s="833"/>
      <c r="X743" s="833"/>
    </row>
    <row r="744" spans="1:24" s="813" customFormat="1" ht="39.950000000000003" hidden="1" customHeight="1" x14ac:dyDescent="0.15">
      <c r="A744" s="2081">
        <f ca="1">+Orçamento_Não_Deson!A744</f>
        <v>9.0499999999999989</v>
      </c>
      <c r="B744" s="834">
        <f>+Orçamento_Não_Deson!B744</f>
        <v>100344</v>
      </c>
      <c r="C744" s="2" t="str">
        <f>VLOOKUP($B744,[5]BOLETIM_SEL!$A:$H,2,0)</f>
        <v>SINAPI</v>
      </c>
      <c r="D744" s="315" t="str">
        <f>VLOOKUP($B744,[5]BOLETIM_SEL!$A:$H,4,0)</f>
        <v>Armação de cortina de contenção em concreto armado, com aço CA-50 de 10 mm - montagem. AF_07/2019</v>
      </c>
      <c r="E744" s="2">
        <f>+Orçamento_Não_Deson!E744</f>
        <v>0</v>
      </c>
      <c r="F744" s="2" t="str">
        <f>VLOOKUP($B744,[5]BOLETIM_SEL!$A:$H,6,0)</f>
        <v>KG</v>
      </c>
      <c r="G744" s="1407">
        <f>VLOOKUP($B744,[5]BOLETIM_SEL!$A:$H,7,0)</f>
        <v>12.76</v>
      </c>
      <c r="H744" s="1613">
        <f>+Orçamento_Não_Deson!H744</f>
        <v>0</v>
      </c>
      <c r="I744" s="877">
        <f t="shared" si="145"/>
        <v>16.170000000000002</v>
      </c>
      <c r="J744" s="1612">
        <f t="shared" si="147"/>
        <v>0</v>
      </c>
      <c r="K744" s="2078">
        <f t="shared" ca="1" si="143"/>
        <v>0</v>
      </c>
      <c r="L744" s="1574">
        <f t="shared" ca="1" si="144"/>
        <v>0</v>
      </c>
      <c r="M744" s="1974"/>
      <c r="N744" s="833"/>
      <c r="O744" s="833"/>
      <c r="Q744" s="833"/>
      <c r="R744" s="833"/>
      <c r="S744" s="833"/>
      <c r="T744" s="833"/>
      <c r="U744" s="833"/>
      <c r="V744" s="833"/>
      <c r="W744" s="833"/>
      <c r="X744" s="833"/>
    </row>
    <row r="745" spans="1:24" s="813" customFormat="1" ht="39.950000000000003" hidden="1" customHeight="1" x14ac:dyDescent="0.15">
      <c r="A745" s="2081">
        <f ca="1">+Orçamento_Não_Deson!A745</f>
        <v>9.0499999999999989</v>
      </c>
      <c r="B745" s="834" t="str">
        <f>+Orçamento_Não_Deson!B745</f>
        <v>SC/0100</v>
      </c>
      <c r="C745" s="2" t="str">
        <f>VLOOKUP($B745,[5]BOLETIM_SEL!$A:$H,2,0)</f>
        <v>COMPOSIÇÃO</v>
      </c>
      <c r="D745" s="315" t="str">
        <f>VLOOKUP($B745,[5]BOLETIM_SEL!$A:$H,4,0)</f>
        <v>Tubo aço galvanizado com costura para guarda-corpo, classe leve, DN 40 mm (1 1/2"),  DIN 2440 / NBR 5580 classe leve, espessura 3,00 mm, *3,48* kg/m</v>
      </c>
      <c r="E745" s="2">
        <f>+Orçamento_Não_Deson!E745</f>
        <v>0</v>
      </c>
      <c r="F745" s="2" t="str">
        <f>VLOOKUP($B745,[5]BOLETIM_SEL!$A:$H,6,0)</f>
        <v>M</v>
      </c>
      <c r="G745" s="1407">
        <f>VLOOKUP($B745,[5]BOLETIM_SEL!$A:$H,7,0)</f>
        <v>60.71</v>
      </c>
      <c r="H745" s="1613">
        <f>+Orçamento_Não_Deson!H745</f>
        <v>0</v>
      </c>
      <c r="I745" s="877">
        <f t="shared" si="145"/>
        <v>76.94</v>
      </c>
      <c r="J745" s="1612">
        <f t="shared" si="147"/>
        <v>0</v>
      </c>
      <c r="K745" s="2078">
        <f t="shared" ca="1" si="143"/>
        <v>0</v>
      </c>
      <c r="L745" s="1574">
        <f t="shared" ca="1" si="144"/>
        <v>0</v>
      </c>
      <c r="M745" s="1974"/>
      <c r="N745" s="833"/>
      <c r="O745" s="833"/>
      <c r="Q745" s="833"/>
      <c r="R745" s="833"/>
      <c r="S745" s="833"/>
      <c r="T745" s="833"/>
      <c r="U745" s="833"/>
      <c r="V745" s="833"/>
      <c r="W745" s="833"/>
      <c r="X745" s="833"/>
    </row>
    <row r="746" spans="1:24" s="813" customFormat="1" ht="39.950000000000003" hidden="1" customHeight="1" x14ac:dyDescent="0.15">
      <c r="A746" s="2081">
        <f ca="1">+Orçamento_Não_Deson!A746</f>
        <v>9.0499999999999989</v>
      </c>
      <c r="B746" s="834" t="str">
        <f>+Orçamento_Não_Deson!B746</f>
        <v>SC/0105</v>
      </c>
      <c r="C746" s="2" t="str">
        <f>VLOOKUP($B746,[5]BOLETIM_SEL!$A:$H,2,0)</f>
        <v>COMPOSIÇÃO</v>
      </c>
      <c r="D746" s="315" t="str">
        <f>VLOOKUP($B746,[5]BOLETIM_SEL!$A:$H,4,0)</f>
        <v>Tubo aço galvanizado com costura para guarda-corpo, classe leve, DN 50 mm (2"),  DIN 2440 / NBR 5580 classe leve, espessura 3,00 mm, *4,40* kg/m</v>
      </c>
      <c r="E746" s="2">
        <f>+Orçamento_Não_Deson!E746</f>
        <v>0</v>
      </c>
      <c r="F746" s="2" t="str">
        <f>VLOOKUP($B746,[5]BOLETIM_SEL!$A:$H,6,0)</f>
        <v>M</v>
      </c>
      <c r="G746" s="1407">
        <f>VLOOKUP($B746,[5]BOLETIM_SEL!$A:$H,7,0)</f>
        <v>79.260000000000005</v>
      </c>
      <c r="H746" s="1613">
        <f>+Orçamento_Não_Deson!H746</f>
        <v>0</v>
      </c>
      <c r="I746" s="877">
        <f t="shared" si="145"/>
        <v>100.45</v>
      </c>
      <c r="J746" s="1612">
        <f t="shared" si="147"/>
        <v>0</v>
      </c>
      <c r="K746" s="2078">
        <f t="shared" ca="1" si="143"/>
        <v>0</v>
      </c>
      <c r="L746" s="1574">
        <f t="shared" ca="1" si="144"/>
        <v>0</v>
      </c>
      <c r="M746" s="1974"/>
      <c r="N746" s="833"/>
      <c r="O746" s="833"/>
      <c r="Q746" s="833"/>
      <c r="R746" s="833"/>
      <c r="S746" s="833"/>
      <c r="T746" s="833"/>
      <c r="U746" s="833"/>
      <c r="V746" s="833"/>
      <c r="W746" s="833"/>
      <c r="X746" s="833"/>
    </row>
    <row r="747" spans="1:24" s="813" customFormat="1" ht="39.950000000000003" hidden="1" customHeight="1" x14ac:dyDescent="0.15">
      <c r="A747" s="2081">
        <f ca="1">+Orçamento_Não_Deson!A747</f>
        <v>9.0499999999999989</v>
      </c>
      <c r="B747" s="834" t="str">
        <f>+Orçamento_Não_Deson!B747</f>
        <v>SC/0090</v>
      </c>
      <c r="C747" s="2" t="str">
        <f>VLOOKUP($B747,[5]BOLETIM_SEL!$A:$H,2,0)</f>
        <v>COMPOSIÇÃO</v>
      </c>
      <c r="D747" s="315" t="str">
        <f>VLOOKUP($B747,[5]BOLETIM_SEL!$A:$H,4,0)</f>
        <v>Defensa metálica semi-maleável tipo simples, em chapa de aço, padrão DNIT, incluindo fornecimento, montagem e refletivos (30x5cm) (REF. SICRO COD. 3713604)</v>
      </c>
      <c r="E747" s="2">
        <f>+Orçamento_Não_Deson!E747</f>
        <v>0</v>
      </c>
      <c r="F747" s="2" t="str">
        <f>VLOOKUP($B747,[5]BOLETIM_SEL!$A:$H,6,0)</f>
        <v>M</v>
      </c>
      <c r="G747" s="1407">
        <f>VLOOKUP($B747,[5]BOLETIM_SEL!$A:$H,7,0)</f>
        <v>494.67</v>
      </c>
      <c r="H747" s="1613">
        <f>+Orçamento_Não_Deson!H747</f>
        <v>0</v>
      </c>
      <c r="I747" s="877">
        <f t="shared" si="145"/>
        <v>626.94000000000005</v>
      </c>
      <c r="J747" s="1612">
        <f t="shared" si="147"/>
        <v>0</v>
      </c>
      <c r="K747" s="2078">
        <f t="shared" ca="1" si="143"/>
        <v>0</v>
      </c>
      <c r="L747" s="1574">
        <f t="shared" ca="1" si="144"/>
        <v>0</v>
      </c>
      <c r="M747" s="1974"/>
      <c r="N747" s="833"/>
      <c r="O747" s="833"/>
      <c r="Q747" s="833"/>
      <c r="R747" s="833"/>
      <c r="S747" s="833"/>
      <c r="T747" s="833"/>
      <c r="U747" s="833"/>
      <c r="V747" s="833"/>
      <c r="W747" s="833"/>
      <c r="X747" s="833"/>
    </row>
    <row r="748" spans="1:24" s="813" customFormat="1" ht="39.950000000000003" hidden="1" customHeight="1" x14ac:dyDescent="0.15">
      <c r="A748" s="2081">
        <f ca="1">+Orçamento_Não_Deson!A748</f>
        <v>9.0499999999999989</v>
      </c>
      <c r="B748" s="834" t="str">
        <f>+Orçamento_Não_Deson!B748</f>
        <v>SC/0095</v>
      </c>
      <c r="C748" s="2" t="str">
        <f>VLOOKUP($B748,[5]BOLETIM_SEL!$A:$H,2,0)</f>
        <v>COMPOSIÇÃO</v>
      </c>
      <c r="D748" s="315" t="str">
        <f>VLOOKUP($B748,[5]BOLETIM_SEL!$A:$H,4,0)</f>
        <v>Defensa metálica semi-maleável tipo dupla, em chapa de aço, padrão DNIT, incluindo fornecimento, montagem e refletivos (30x5cm) (REF. SICRO COD. 3713606)</v>
      </c>
      <c r="E748" s="2">
        <f>+Orçamento_Não_Deson!E748</f>
        <v>0</v>
      </c>
      <c r="F748" s="2" t="str">
        <f>VLOOKUP($B748,[5]BOLETIM_SEL!$A:$H,6,0)</f>
        <v>M</v>
      </c>
      <c r="G748" s="1407">
        <f>VLOOKUP($B748,[5]BOLETIM_SEL!$A:$H,7,0)</f>
        <v>687.55</v>
      </c>
      <c r="H748" s="1613">
        <f>+Orçamento_Não_Deson!H748</f>
        <v>0</v>
      </c>
      <c r="I748" s="877">
        <f t="shared" si="145"/>
        <v>871.4</v>
      </c>
      <c r="J748" s="1612">
        <f t="shared" si="147"/>
        <v>0</v>
      </c>
      <c r="K748" s="2078">
        <f t="shared" ca="1" si="143"/>
        <v>0</v>
      </c>
      <c r="L748" s="1574">
        <f t="shared" ca="1" si="144"/>
        <v>0</v>
      </c>
      <c r="M748" s="1974"/>
      <c r="N748" s="833"/>
      <c r="O748" s="833"/>
      <c r="Q748" s="833"/>
      <c r="R748" s="833"/>
      <c r="S748" s="833"/>
      <c r="T748" s="833"/>
      <c r="U748" s="833"/>
      <c r="V748" s="833"/>
      <c r="W748" s="833"/>
      <c r="X748" s="833"/>
    </row>
    <row r="749" spans="1:24" s="813" customFormat="1" ht="39.950000000000003" hidden="1" customHeight="1" x14ac:dyDescent="0.15">
      <c r="A749" s="2081"/>
      <c r="B749" s="834"/>
      <c r="C749" s="2"/>
      <c r="D749" s="1452" t="s">
        <v>1830</v>
      </c>
      <c r="E749" s="2"/>
      <c r="F749" s="2"/>
      <c r="G749" s="1407"/>
      <c r="H749" s="2"/>
      <c r="I749" s="2"/>
      <c r="J749" s="839" t="str">
        <f>IF(J750=0,"-","")</f>
        <v>-</v>
      </c>
      <c r="K749" s="2078"/>
      <c r="L749" s="1574"/>
      <c r="M749" s="1974"/>
      <c r="N749" s="833"/>
      <c r="O749" s="833"/>
      <c r="Q749" s="833"/>
      <c r="R749" s="833"/>
      <c r="S749" s="833"/>
      <c r="T749" s="833"/>
      <c r="U749" s="833"/>
      <c r="V749" s="833"/>
      <c r="W749" s="833"/>
      <c r="X749" s="833"/>
    </row>
    <row r="750" spans="1:24" s="813" customFormat="1" ht="39.950000000000003" hidden="1" customHeight="1" x14ac:dyDescent="0.15">
      <c r="A750" s="2081">
        <f ca="1">+Orçamento_Não_Deson!A750</f>
        <v>9.0499999999999989</v>
      </c>
      <c r="B750" s="834">
        <f>+Orçamento_Não_Deson!B750</f>
        <v>100947</v>
      </c>
      <c r="C750" s="2" t="str">
        <f>VLOOKUP($B750,[5]BOLETIM_SEL!$A:$H,2,0)</f>
        <v>SINAPI</v>
      </c>
      <c r="D750" s="315" t="str">
        <f>VLOOKUP($B750,[5]BOLETIM_SEL!$A:$H,4,0)</f>
        <v>Transporte com caminhão carroceria 9t, em via urbana pavimentada, DMT até 30,00 km (unidade: txkm). AF_07/2020</v>
      </c>
      <c r="E750" s="2">
        <f>+Orçamento_Não_Deson!E750</f>
        <v>100</v>
      </c>
      <c r="F750" s="2" t="str">
        <f>VLOOKUP($B750,[5]BOLETIM_SEL!$A:$H,6,0)</f>
        <v>TXKM</v>
      </c>
      <c r="G750" s="1407">
        <f>VLOOKUP($B750,[5]BOLETIM_SEL!$A:$H,7,0)</f>
        <v>1.93</v>
      </c>
      <c r="H750" s="1613">
        <f>+Orçamento_Não_Deson!H750</f>
        <v>0</v>
      </c>
      <c r="I750" s="877">
        <f>+TRUNC(G750*(1+$J$5),2)</f>
        <v>2.44</v>
      </c>
      <c r="J750" s="1612">
        <f>TRUNC(H750*I750,2)</f>
        <v>0</v>
      </c>
      <c r="K750" s="2078">
        <f ca="1">J750/J$967</f>
        <v>0</v>
      </c>
      <c r="L750" s="1574">
        <f ca="1">J750/$J$719</f>
        <v>0</v>
      </c>
      <c r="M750" s="1974"/>
      <c r="N750" s="833"/>
      <c r="O750" s="833"/>
      <c r="Q750" s="833"/>
      <c r="R750" s="833"/>
      <c r="S750" s="833"/>
      <c r="T750" s="833"/>
      <c r="U750" s="833"/>
      <c r="V750" s="833"/>
      <c r="W750" s="833"/>
      <c r="X750" s="833"/>
    </row>
    <row r="751" spans="1:24" s="813" customFormat="1" ht="39.950000000000003" customHeight="1" x14ac:dyDescent="0.15">
      <c r="A751" s="2081"/>
      <c r="B751" s="834"/>
      <c r="C751" s="834"/>
      <c r="D751" s="835"/>
      <c r="E751" s="2"/>
      <c r="F751" s="834"/>
      <c r="G751" s="1821"/>
      <c r="H751" s="1"/>
      <c r="I751" s="877"/>
      <c r="J751" s="839" t="str">
        <f ca="1">IF(J719=0,0,"")</f>
        <v/>
      </c>
      <c r="K751" s="2078"/>
      <c r="L751" s="1574"/>
      <c r="M751" s="1833"/>
      <c r="N751" s="833"/>
      <c r="O751" s="833"/>
      <c r="Q751" s="833"/>
      <c r="R751" s="833"/>
      <c r="S751" s="833"/>
      <c r="T751" s="833"/>
      <c r="U751" s="833"/>
      <c r="V751" s="833"/>
      <c r="W751" s="833"/>
      <c r="X751" s="833"/>
    </row>
    <row r="752" spans="1:24" s="833" customFormat="1" ht="30" customHeight="1" x14ac:dyDescent="0.15">
      <c r="A752" s="2082">
        <f ca="1">IF(J752&gt;0,INT(A750)+1,IF(J752=0,INT(A750),0))</f>
        <v>10</v>
      </c>
      <c r="B752" s="1633"/>
      <c r="C752" s="1633"/>
      <c r="D752" s="1634" t="s">
        <v>267</v>
      </c>
      <c r="E752" s="1828"/>
      <c r="F752" s="1635"/>
      <c r="G752" s="1820" t="s">
        <v>653</v>
      </c>
      <c r="H752" s="1637"/>
      <c r="I752" s="1640" t="str">
        <f ca="1">CONCATENATE("SUB-TOTAL ",A752)</f>
        <v>SUB-TOTAL 10</v>
      </c>
      <c r="J752" s="1639">
        <f>SUM(J753:J794)</f>
        <v>1100122.74</v>
      </c>
      <c r="K752" s="2079">
        <f t="shared" ref="K752:K784" ca="1" si="148">J752/J$967</f>
        <v>8.0114748864526339E-2</v>
      </c>
      <c r="L752" s="1610">
        <f t="shared" ref="L752:L794" si="149">+J752/$J$752</f>
        <v>1</v>
      </c>
    </row>
    <row r="753" spans="1:24" s="813" customFormat="1" ht="39.950000000000003" hidden="1" customHeight="1" x14ac:dyDescent="0.15">
      <c r="A753" s="2081">
        <f ca="1">+Orçamento_Não_Deson!A753</f>
        <v>10</v>
      </c>
      <c r="B753" s="834">
        <f>+Orçamento_Não_Deson!B753</f>
        <v>90099</v>
      </c>
      <c r="C753" s="2" t="str">
        <f>VLOOKUP($B753,[5]BOLETIM_SEL!$A:$H,2,0)</f>
        <v>SINAPI</v>
      </c>
      <c r="D753" s="315" t="str">
        <f>VLOOKUP($B753,[5]BOLETIM_SEL!$A:$H,4,0)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753" s="2">
        <f>+Orçamento_Não_Deson!E753</f>
        <v>0</v>
      </c>
      <c r="F753" s="2" t="str">
        <f>VLOOKUP($B753,[5]BOLETIM_SEL!$A:$H,6,0)</f>
        <v>M3</v>
      </c>
      <c r="G753" s="1407">
        <f>VLOOKUP($B753,[5]BOLETIM_SEL!$A:$H,7,0)</f>
        <v>13.81</v>
      </c>
      <c r="H753" s="1613">
        <f>+Orçamento_Não_Deson!H753</f>
        <v>0</v>
      </c>
      <c r="I753" s="877">
        <f>+TRUNC(G753*(1+$J$5),2)</f>
        <v>17.5</v>
      </c>
      <c r="J753" s="1612">
        <f>TRUNC(H753*I753,2)</f>
        <v>0</v>
      </c>
      <c r="K753" s="2078">
        <f t="shared" ca="1" si="148"/>
        <v>0</v>
      </c>
      <c r="L753" s="1574">
        <f t="shared" si="149"/>
        <v>0</v>
      </c>
      <c r="M753" s="1974" t="str">
        <f>+Orçamento_Não_Deson!M753</f>
        <v>H &lt; 1,50
alta Interferência</v>
      </c>
      <c r="N753" s="833"/>
      <c r="O753" s="833"/>
      <c r="Q753" s="833"/>
      <c r="R753" s="833"/>
      <c r="S753" s="833"/>
      <c r="T753" s="833"/>
      <c r="U753" s="833"/>
      <c r="V753" s="833"/>
      <c r="W753" s="833"/>
      <c r="X753" s="833"/>
    </row>
    <row r="754" spans="1:24" s="813" customFormat="1" ht="39.950000000000003" hidden="1" customHeight="1" x14ac:dyDescent="0.15">
      <c r="A754" s="2081">
        <f ca="1">+Orçamento_Não_Deson!A754</f>
        <v>10</v>
      </c>
      <c r="B754" s="834">
        <f>+Orçamento_Não_Deson!B754</f>
        <v>101230</v>
      </c>
      <c r="C754" s="2" t="str">
        <f>VLOOKUP($B754,[5]BOLETIM_SEL!$A:$H,2,0)</f>
        <v>SINAPI</v>
      </c>
      <c r="D754" s="315" t="str">
        <f>VLOOKUP($B754,[5]BOLETIM_SEL!$A:$H,4,0)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754" s="2">
        <f>+Orçamento_Não_Deson!E754</f>
        <v>0</v>
      </c>
      <c r="F754" s="2" t="str">
        <f>VLOOKUP($B754,[5]BOLETIM_SEL!$A:$H,6,0)</f>
        <v>M3</v>
      </c>
      <c r="G754" s="1407">
        <f>VLOOKUP($B754,[5]BOLETIM_SEL!$A:$H,7,0)</f>
        <v>9.8699999999999992</v>
      </c>
      <c r="H754" s="1613">
        <f>+Orçamento_Não_Deson!H754</f>
        <v>0</v>
      </c>
      <c r="I754" s="877">
        <f>+TRUNC(G754*(1+$J$5),2)</f>
        <v>12.5</v>
      </c>
      <c r="J754" s="1612">
        <f>TRUNC(H754*I754,2)</f>
        <v>0</v>
      </c>
      <c r="K754" s="2078">
        <f t="shared" ca="1" si="148"/>
        <v>0</v>
      </c>
      <c r="L754" s="1574">
        <f t="shared" si="149"/>
        <v>0</v>
      </c>
      <c r="M754" s="1974"/>
      <c r="N754" s="833"/>
      <c r="O754" s="833"/>
      <c r="Q754" s="833"/>
      <c r="R754" s="833"/>
      <c r="S754" s="833"/>
      <c r="T754" s="833"/>
      <c r="U754" s="833"/>
      <c r="V754" s="833"/>
      <c r="W754" s="833"/>
      <c r="X754" s="833"/>
    </row>
    <row r="755" spans="1:24" s="813" customFormat="1" ht="39.950000000000003" hidden="1" customHeight="1" x14ac:dyDescent="0.15">
      <c r="A755" s="2081">
        <f ca="1">+Orçamento_Não_Deson!A755</f>
        <v>10</v>
      </c>
      <c r="B755" s="834">
        <f>+Orçamento_Não_Deson!B755</f>
        <v>6079</v>
      </c>
      <c r="C755" s="2" t="str">
        <f>VLOOKUP($B755,[5]BOLETIM_SEL!$A:$H,2,0)</f>
        <v>COTAÇÃO - SINAPI</v>
      </c>
      <c r="D755" s="315" t="str">
        <f>VLOOKUP($B755,[5]BOLETIM_SEL!$A:$H,4,0)</f>
        <v>Argila, argila vermelha ou argila arenosa (retirada na jazida, sem transporte)</v>
      </c>
      <c r="E755" s="2" t="str">
        <f>+Orçamento_Não_Deson!E755</f>
        <v>BDI insumo</v>
      </c>
      <c r="F755" s="2" t="str">
        <f>VLOOKUP($B755,[5]BOLETIM_SEL!$A:$H,6,0)</f>
        <v xml:space="preserve">M3    </v>
      </c>
      <c r="G755" s="1407">
        <f>VLOOKUP($B755,[5]BOLETIM_SEL!$A:$H,7,0)</f>
        <v>33.700000000000003</v>
      </c>
      <c r="H755" s="1613">
        <f>+Orçamento_Não_Deson!H755</f>
        <v>0</v>
      </c>
      <c r="I755" s="2109">
        <f>TRUNC(G755*(1+$J$6),2)</f>
        <v>38.840000000000003</v>
      </c>
      <c r="J755" s="1612">
        <f>TRUNC(H755*I755,2)</f>
        <v>0</v>
      </c>
      <c r="K755" s="2078">
        <f t="shared" ca="1" si="148"/>
        <v>0</v>
      </c>
      <c r="L755" s="1574">
        <f t="shared" si="149"/>
        <v>0</v>
      </c>
      <c r="M755" s="1975" t="str">
        <f>+Orçamento_Não_Deson!M755</f>
        <v>COMERCIAL</v>
      </c>
      <c r="N755" s="833"/>
      <c r="O755" s="833"/>
      <c r="Q755" s="833"/>
      <c r="R755" s="833"/>
      <c r="S755" s="833"/>
      <c r="T755" s="833"/>
      <c r="U755" s="833"/>
      <c r="V755" s="833"/>
      <c r="W755" s="833"/>
      <c r="X755" s="833"/>
    </row>
    <row r="756" spans="1:24" s="813" customFormat="1" ht="39.950000000000003" hidden="1" customHeight="1" x14ac:dyDescent="0.15">
      <c r="A756" s="2081">
        <f ca="1">+Orçamento_Não_Deson!A756</f>
        <v>10</v>
      </c>
      <c r="B756" s="834">
        <f>+Orçamento_Não_Deson!B756</f>
        <v>100324</v>
      </c>
      <c r="C756" s="2" t="str">
        <f>VLOOKUP($B756,[5]BOLETIM_SEL!$A:$H,2,0)</f>
        <v>SINAPI</v>
      </c>
      <c r="D756" s="315" t="str">
        <f>VLOOKUP($B756,[5]BOLETIM_SEL!$A:$H,4,0)</f>
        <v>Lastro com material granular (pedra britada n.1 e pedra britada n.2), aplicado em pisos ou radiers, espessura de *10 cm*. AF_07/2019</v>
      </c>
      <c r="E756" s="2">
        <f>+Orçamento_Não_Deson!E756</f>
        <v>0</v>
      </c>
      <c r="F756" s="2" t="str">
        <f>VLOOKUP($B756,[5]BOLETIM_SEL!$A:$H,6,0)</f>
        <v>M3</v>
      </c>
      <c r="G756" s="1407">
        <f>VLOOKUP($B756,[5]BOLETIM_SEL!$A:$H,7,0)</f>
        <v>137.78</v>
      </c>
      <c r="H756" s="1613">
        <f>+Orçamento_Não_Deson!H756</f>
        <v>0</v>
      </c>
      <c r="I756" s="877">
        <f t="shared" ref="I756:I784" si="150">+TRUNC(G756*(1+$J$5),2)</f>
        <v>174.62</v>
      </c>
      <c r="J756" s="1612">
        <f>TRUNC(H756*I756,2)</f>
        <v>0</v>
      </c>
      <c r="K756" s="2078">
        <f t="shared" ca="1" si="148"/>
        <v>0</v>
      </c>
      <c r="L756" s="1574">
        <f t="shared" si="149"/>
        <v>0</v>
      </c>
      <c r="M756" s="1974"/>
      <c r="N756" s="1964" t="s">
        <v>1962</v>
      </c>
      <c r="O756" s="1655" t="s">
        <v>1988</v>
      </c>
      <c r="Q756" s="833"/>
      <c r="R756" s="833"/>
      <c r="S756" s="833"/>
      <c r="T756" s="833"/>
      <c r="U756" s="833"/>
      <c r="V756" s="833"/>
      <c r="W756" s="833"/>
      <c r="X756" s="833"/>
    </row>
    <row r="757" spans="1:24" s="813" customFormat="1" ht="39.950000000000003" hidden="1" customHeight="1" x14ac:dyDescent="0.15">
      <c r="A757" s="2081">
        <f ca="1">+Orçamento_Não_Deson!A757</f>
        <v>10</v>
      </c>
      <c r="B757" s="834">
        <f>+Orçamento_Não_Deson!B757</f>
        <v>98524</v>
      </c>
      <c r="C757" s="2" t="str">
        <f>VLOOKUP($B757,[5]BOLETIM_SEL!$A:$H,2,0)</f>
        <v>SINAPI</v>
      </c>
      <c r="D757" s="315" t="str">
        <f>VLOOKUP($B757,[5]BOLETIM_SEL!$A:$H,4,0)</f>
        <v>Limpeza manual de vegetação em terreno com enxada. AF_05/2018</v>
      </c>
      <c r="E757" s="2">
        <f>+Orçamento_Não_Deson!E757</f>
        <v>0</v>
      </c>
      <c r="F757" s="2" t="str">
        <f>VLOOKUP($B757,[5]BOLETIM_SEL!$A:$H,6,0)</f>
        <v>M2</v>
      </c>
      <c r="G757" s="1407">
        <f>VLOOKUP($B757,[5]BOLETIM_SEL!$A:$H,7,0)</f>
        <v>2.54</v>
      </c>
      <c r="H757" s="1613">
        <f>+Orçamento_Não_Deson!H757</f>
        <v>0</v>
      </c>
      <c r="I757" s="877">
        <f t="shared" ref="I757:I758" si="151">+TRUNC(G757*(1+$J$5),2)</f>
        <v>3.21</v>
      </c>
      <c r="J757" s="1612">
        <f t="shared" ref="J757:J758" si="152">TRUNC(H757*I757,2)</f>
        <v>0</v>
      </c>
      <c r="K757" s="2078">
        <f t="shared" ca="1" si="148"/>
        <v>0</v>
      </c>
      <c r="L757" s="1574">
        <f t="shared" ref="L757:L758" si="153">+J757/$J$752</f>
        <v>0</v>
      </c>
      <c r="M757" s="1974"/>
      <c r="N757" s="1964" t="s">
        <v>1962</v>
      </c>
      <c r="O757" s="1655" t="s">
        <v>1988</v>
      </c>
      <c r="Q757" s="833"/>
      <c r="R757" s="833"/>
      <c r="S757" s="833"/>
      <c r="T757" s="833"/>
      <c r="U757" s="833"/>
      <c r="V757" s="833"/>
      <c r="W757" s="833"/>
      <c r="X757" s="833"/>
    </row>
    <row r="758" spans="1:24" s="813" customFormat="1" ht="39.950000000000003" hidden="1" customHeight="1" x14ac:dyDescent="0.15">
      <c r="A758" s="2081">
        <f ca="1">+Orçamento_Não_Deson!A758</f>
        <v>10</v>
      </c>
      <c r="B758" s="834">
        <f>+Orçamento_Não_Deson!B758</f>
        <v>100975</v>
      </c>
      <c r="C758" s="2" t="str">
        <f>VLOOKUP($B758,[5]BOLETIM_SEL!$A:$H,2,0)</f>
        <v>SINAPI</v>
      </c>
      <c r="D758" s="315" t="str">
        <f>VLOOKUP($B758,[5]BOLETIM_SEL!$A:$H,4,0)</f>
        <v>Carga, manobra e descarga de solos e materiais granulares em caminhão basculante 14 m3 - carga com pá carregadeira (capacidade da caçamba: 1,70 a 2,80 m3 / potência: 128 HP) e descarga livre (unidade: m3). AF_07/2020</v>
      </c>
      <c r="E758" s="2">
        <f>+Orçamento_Não_Deson!E758</f>
        <v>0</v>
      </c>
      <c r="F758" s="2" t="str">
        <f>VLOOKUP($B758,[5]BOLETIM_SEL!$A:$H,6,0)</f>
        <v>M3</v>
      </c>
      <c r="G758" s="1407">
        <f>VLOOKUP($B758,[5]BOLETIM_SEL!$A:$H,7,0)</f>
        <v>7.71</v>
      </c>
      <c r="H758" s="1613">
        <f>+Orçamento_Não_Deson!H758</f>
        <v>0</v>
      </c>
      <c r="I758" s="877">
        <f t="shared" si="151"/>
        <v>9.77</v>
      </c>
      <c r="J758" s="1612">
        <f t="shared" si="152"/>
        <v>0</v>
      </c>
      <c r="K758" s="2078">
        <f t="shared" ca="1" si="148"/>
        <v>0</v>
      </c>
      <c r="L758" s="1574">
        <f t="shared" si="153"/>
        <v>0</v>
      </c>
      <c r="M758" s="1974"/>
      <c r="N758" s="1964" t="s">
        <v>1962</v>
      </c>
      <c r="O758" s="1655" t="s">
        <v>1988</v>
      </c>
      <c r="Q758" s="833"/>
      <c r="R758" s="833"/>
      <c r="S758" s="833"/>
      <c r="T758" s="833"/>
      <c r="U758" s="833"/>
      <c r="V758" s="833"/>
      <c r="W758" s="833"/>
      <c r="X758" s="833"/>
    </row>
    <row r="759" spans="1:24" s="813" customFormat="1" ht="39.950000000000003" customHeight="1" x14ac:dyDescent="0.15">
      <c r="A759" s="2081">
        <f ca="1">+Orçamento_Não_Deson!A759</f>
        <v>10.01</v>
      </c>
      <c r="B759" s="834">
        <f>+Orçamento_Não_Deson!B759</f>
        <v>97084</v>
      </c>
      <c r="C759" s="2" t="str">
        <f>VLOOKUP($B759,[5]BOLETIM_SEL!$A:$H,2,0)</f>
        <v>SINAPI</v>
      </c>
      <c r="D759" s="315" t="str">
        <f>VLOOKUP($B759,[5]BOLETIM_SEL!$A:$H,4,0)</f>
        <v>Compactação mecânica de solo para execução de radier, com compactador de solos tipo placa vibratória. AF_09/2021</v>
      </c>
      <c r="E759" s="2">
        <f>+Orçamento_Não_Deson!E759</f>
        <v>0</v>
      </c>
      <c r="F759" s="2" t="str">
        <f>VLOOKUP($B759,[5]BOLETIM_SEL!$A:$H,6,0)</f>
        <v>M2</v>
      </c>
      <c r="G759" s="1407">
        <f>VLOOKUP($B759,[5]BOLETIM_SEL!$A:$H,7,0)</f>
        <v>0.55000000000000004</v>
      </c>
      <c r="H759" s="1613">
        <f>+Orçamento_Não_Deson!H759</f>
        <v>15489.17</v>
      </c>
      <c r="I759" s="877">
        <f t="shared" si="150"/>
        <v>0.69</v>
      </c>
      <c r="J759" s="1612">
        <f>TRUNC(H759*I759,2)</f>
        <v>10687.52</v>
      </c>
      <c r="K759" s="2078">
        <f t="shared" ca="1" si="148"/>
        <v>7.7830222906273409E-4</v>
      </c>
      <c r="L759" s="1574">
        <f t="shared" si="149"/>
        <v>9.7148432728515373E-3</v>
      </c>
      <c r="M759" s="1974"/>
      <c r="N759" s="1966">
        <f>+Orçamento_Não_Deson!N759</f>
        <v>52.63</v>
      </c>
      <c r="O759" s="1652">
        <f>+H759/N759</f>
        <v>294.30305909177275</v>
      </c>
      <c r="Q759" s="833"/>
      <c r="R759" s="833"/>
      <c r="S759" s="833"/>
      <c r="T759" s="833"/>
      <c r="U759" s="833"/>
      <c r="V759" s="833"/>
      <c r="W759" s="833"/>
      <c r="X759" s="833"/>
    </row>
    <row r="760" spans="1:24" s="813" customFormat="1" ht="39.950000000000003" customHeight="1" x14ac:dyDescent="0.15">
      <c r="A760" s="2081">
        <f ca="1">+Orçamento_Não_Deson!A760</f>
        <v>10.02</v>
      </c>
      <c r="B760" s="834" t="str">
        <f>+Orçamento_Não_Deson!B760</f>
        <v>SC/0080</v>
      </c>
      <c r="C760" s="2" t="str">
        <f>VLOOKUP($B760,[5]BOLETIM_SEL!$A:$H,2,0)</f>
        <v>COMPOSIÇÃO</v>
      </c>
      <c r="D760" s="315" t="str">
        <f>VLOOKUP($B760,[5]BOLETIM_SEL!$A:$H,4,0)</f>
        <v>Piso tátil de alerta ou direcional com lajota cimentícia  40x40x2,5cm, nas cores da NBR 16537, assentado com argamassa de cimento e areia 1:3</v>
      </c>
      <c r="E760" s="2">
        <f>+Orçamento_Não_Deson!E760</f>
        <v>0</v>
      </c>
      <c r="F760" s="2" t="str">
        <f>VLOOKUP($B760,[5]BOLETIM_SEL!$A:$H,6,0)</f>
        <v>M</v>
      </c>
      <c r="G760" s="1407">
        <f>VLOOKUP($B760,[5]BOLETIM_SEL!$A:$H,7,0)</f>
        <v>59.2</v>
      </c>
      <c r="H760" s="1613">
        <f>+Orçamento_Não_Deson!H760</f>
        <v>702</v>
      </c>
      <c r="I760" s="877">
        <f t="shared" si="150"/>
        <v>75.03</v>
      </c>
      <c r="J760" s="1612">
        <f t="shared" ref="J760:J794" si="154">TRUNC(H760*I760,2)</f>
        <v>52671.06</v>
      </c>
      <c r="K760" s="2078">
        <f t="shared" ca="1" si="148"/>
        <v>3.8356890471406844E-3</v>
      </c>
      <c r="L760" s="1574">
        <f t="shared" si="149"/>
        <v>4.7877439566425102E-2</v>
      </c>
      <c r="M760" s="1974"/>
      <c r="N760" s="1966">
        <f>+Orçamento_Não_Deson!N760</f>
        <v>0</v>
      </c>
      <c r="O760" s="1652" t="e">
        <f t="shared" ref="O760:O763" si="155">+H760/N760</f>
        <v>#DIV/0!</v>
      </c>
      <c r="Q760" s="833"/>
      <c r="R760" s="833"/>
      <c r="S760" s="833"/>
      <c r="T760" s="833"/>
      <c r="U760" s="833"/>
      <c r="V760" s="833"/>
      <c r="W760" s="833"/>
      <c r="X760" s="833"/>
    </row>
    <row r="761" spans="1:24" s="813" customFormat="1" ht="39.950000000000003" customHeight="1" x14ac:dyDescent="0.25">
      <c r="A761" s="2081">
        <f ca="1">+Orçamento_Não_Deson!A761</f>
        <v>10.029999999999999</v>
      </c>
      <c r="B761" s="834">
        <f>+Orçamento_Não_Deson!B761</f>
        <v>94962</v>
      </c>
      <c r="C761" s="2" t="str">
        <f>VLOOKUP($B761,[5]BOLETIM_SEL!$A:$H,2,0)</f>
        <v>SINAPI</v>
      </c>
      <c r="D761" s="315" t="str">
        <f>VLOOKUP($B761,[5]BOLETIM_SEL!$A:$H,4,0)</f>
        <v>Concreto magro para lastro, traço 1:4,5:4,5 (cimento/ areia média/ brita 1) - preparo mecânico com betoneira 400 l. AF_07/2016</v>
      </c>
      <c r="E761" s="2">
        <f>+Orçamento_Não_Deson!E761</f>
        <v>0</v>
      </c>
      <c r="F761" s="2" t="str">
        <f>VLOOKUP($B761,[5]BOLETIM_SEL!$A:$H,6,0)</f>
        <v>M3</v>
      </c>
      <c r="G761" s="1407">
        <f>VLOOKUP($B761,[5]BOLETIM_SEL!$A:$H,7,0)</f>
        <v>372.79</v>
      </c>
      <c r="H761" s="1613">
        <f>+Orçamento_Não_Deson!H761</f>
        <v>8.42</v>
      </c>
      <c r="I761" s="877">
        <f t="shared" si="150"/>
        <v>472.47</v>
      </c>
      <c r="J761" s="1612">
        <f t="shared" si="154"/>
        <v>3978.19</v>
      </c>
      <c r="K761" s="2078">
        <f t="shared" ca="1" si="148"/>
        <v>2.897055766571738E-4</v>
      </c>
      <c r="L761" s="1574">
        <f t="shared" si="149"/>
        <v>3.6161328689560584E-3</v>
      </c>
      <c r="M761" s="1974"/>
      <c r="N761" s="1966">
        <f>+Orçamento_Não_Deson!N761</f>
        <v>0</v>
      </c>
      <c r="O761" s="1652" t="e">
        <f t="shared" si="155"/>
        <v>#DIV/0!</v>
      </c>
      <c r="Q761" s="833"/>
      <c r="R761" s="833"/>
      <c r="S761" s="2476"/>
      <c r="T761" s="833"/>
      <c r="U761" s="833"/>
      <c r="V761" s="833"/>
      <c r="W761" s="833"/>
      <c r="X761" s="833"/>
    </row>
    <row r="762" spans="1:24" s="2484" customFormat="1" ht="39.950000000000003" customHeight="1" x14ac:dyDescent="0.15">
      <c r="A762" s="1407">
        <f ca="1">+Orçamento_Não_Deson!A762</f>
        <v>10.039999999999999</v>
      </c>
      <c r="B762" s="1821">
        <f>+Orçamento_Não_Deson!B762</f>
        <v>94991</v>
      </c>
      <c r="C762" s="1821" t="str">
        <f>VLOOKUP($B762,[5]BOLETIM_SEL!$A:$H,2,0)</f>
        <v>SINAPI</v>
      </c>
      <c r="D762" s="2475" t="str">
        <f>VLOOKUP($B762,[5]BOLETIM_SEL!$A:$H,4,0)</f>
        <v>Execução de passeio (calçada) ou piso de concreto com concreto moldado in loco, usinado, acabamento convencional, não armado. AF_07/2016</v>
      </c>
      <c r="E762" s="1821">
        <f>+Orçamento_Não_Deson!E762</f>
        <v>0</v>
      </c>
      <c r="F762" s="1821" t="str">
        <f>VLOOKUP($B762,[5]BOLETIM_SEL!$A:$H,6,0)</f>
        <v>M3</v>
      </c>
      <c r="G762" s="1407">
        <f>VLOOKUP($B762,[5]BOLETIM_SEL!$A:$H,7,0)</f>
        <v>764.5</v>
      </c>
      <c r="H762" s="2478">
        <f>+Orçamento_Não_Deson!H762</f>
        <v>1064.58</v>
      </c>
      <c r="I762" s="2479">
        <f t="shared" si="150"/>
        <v>968.92</v>
      </c>
      <c r="J762" s="2480">
        <f t="shared" si="154"/>
        <v>1031492.85</v>
      </c>
      <c r="K762" s="2481">
        <f t="shared" ca="1" si="148"/>
        <v>7.5116882533765764E-2</v>
      </c>
      <c r="L762" s="1574">
        <f t="shared" si="149"/>
        <v>0.93761615181229685</v>
      </c>
      <c r="M762" s="1975" t="str">
        <f>+Orçamento_Não_Deson!M762</f>
        <v>USINADO</v>
      </c>
      <c r="N762" s="1966">
        <f>+Orçamento_Não_Deson!N762</f>
        <v>0</v>
      </c>
      <c r="O762" s="1652" t="e">
        <f t="shared" si="155"/>
        <v>#DIV/0!</v>
      </c>
      <c r="P762" s="813"/>
      <c r="Q762" s="842"/>
      <c r="R762" s="2482"/>
      <c r="S762" s="2482"/>
      <c r="T762" s="2482"/>
      <c r="U762" s="2482"/>
      <c r="V762" s="2482"/>
      <c r="W762" s="2482"/>
      <c r="X762" s="2483"/>
    </row>
    <row r="763" spans="1:24" s="813" customFormat="1" ht="39.950000000000003" hidden="1" customHeight="1" x14ac:dyDescent="0.15">
      <c r="A763" s="2081">
        <f ca="1">+Orçamento_Não_Deson!A763</f>
        <v>10.039999999999999</v>
      </c>
      <c r="B763" s="834">
        <f>+Orçamento_Não_Deson!B763</f>
        <v>94994</v>
      </c>
      <c r="C763" s="2" t="str">
        <f>VLOOKUP($B763,[5]BOLETIM_SEL!$A:$H,2,0)</f>
        <v>SINAPI</v>
      </c>
      <c r="D763" s="315" t="str">
        <f>VLOOKUP($B763,[5]BOLETIM_SEL!$A:$H,4,0)</f>
        <v>Execução de passeio (calçada) ou piso de concreto com concreto moldado in loco, feito em obra, acabamento convencional, espessura 8 cm, armado. AF_07/2016</v>
      </c>
      <c r="E763" s="2">
        <f>+Orçamento_Não_Deson!E763</f>
        <v>0</v>
      </c>
      <c r="F763" s="2" t="str">
        <f>VLOOKUP($B763,[5]BOLETIM_SEL!$A:$H,6,0)</f>
        <v>M2</v>
      </c>
      <c r="G763" s="1407">
        <f>VLOOKUP($B763,[5]BOLETIM_SEL!$A:$H,7,0)</f>
        <v>91.14</v>
      </c>
      <c r="H763" s="1613">
        <f>+Orçamento_Não_Deson!H763</f>
        <v>0</v>
      </c>
      <c r="I763" s="877">
        <f t="shared" si="150"/>
        <v>115.51</v>
      </c>
      <c r="J763" s="1612">
        <f t="shared" si="154"/>
        <v>0</v>
      </c>
      <c r="K763" s="2078">
        <f t="shared" ca="1" si="148"/>
        <v>0</v>
      </c>
      <c r="L763" s="1574">
        <f t="shared" si="149"/>
        <v>0</v>
      </c>
      <c r="M763" s="1975" t="str">
        <f>+Orçamento_Não_Deson!M763</f>
        <v>BETONEIRA</v>
      </c>
      <c r="N763" s="1966">
        <f>+Orçamento_Não_Deson!N763</f>
        <v>0</v>
      </c>
      <c r="O763" s="1652" t="e">
        <f t="shared" si="155"/>
        <v>#DIV/0!</v>
      </c>
      <c r="Q763" s="842"/>
      <c r="R763" s="842"/>
      <c r="S763" s="842"/>
      <c r="T763" s="842"/>
      <c r="U763" s="842"/>
      <c r="V763" s="842"/>
      <c r="W763" s="842"/>
      <c r="X763" s="833"/>
    </row>
    <row r="764" spans="1:24" s="813" customFormat="1" ht="39.950000000000003" hidden="1" customHeight="1" x14ac:dyDescent="0.15">
      <c r="A764" s="2081">
        <f ca="1">+Orçamento_Não_Deson!A764</f>
        <v>10.039999999999999</v>
      </c>
      <c r="B764" s="834" t="str">
        <f>+Orçamento_Não_Deson!B764</f>
        <v>SC/0070</v>
      </c>
      <c r="C764" s="2" t="str">
        <f>VLOOKUP($B764,[5]BOLETIM_SEL!$A:$H,2,0)</f>
        <v>COMPOSIÇÃO</v>
      </c>
      <c r="D764" s="315" t="str">
        <f>VLOOKUP($B764,[5]BOLETIM_SEL!$A:$H,4,0)</f>
        <v>Acabamento sobre superfícies em concreto, argamassa e outros com pigmento com 210g/m² de pó para coloração (REF. SINAPI COD. 73676)</v>
      </c>
      <c r="E764" s="2">
        <f>+Orçamento_Não_Deson!E764</f>
        <v>0</v>
      </c>
      <c r="F764" s="2" t="str">
        <f>VLOOKUP($B764,[5]BOLETIM_SEL!$A:$H,6,0)</f>
        <v>M2</v>
      </c>
      <c r="G764" s="1407"/>
      <c r="H764" s="1613">
        <f>+Orçamento_Não_Deson!H764</f>
        <v>0</v>
      </c>
      <c r="I764" s="877">
        <f t="shared" si="150"/>
        <v>0</v>
      </c>
      <c r="J764" s="1612">
        <f t="shared" si="154"/>
        <v>0</v>
      </c>
      <c r="K764" s="2078">
        <f t="shared" ca="1" si="148"/>
        <v>0</v>
      </c>
      <c r="L764" s="1574">
        <f t="shared" si="149"/>
        <v>0</v>
      </c>
      <c r="M764" s="1974"/>
      <c r="N764" s="833"/>
      <c r="O764" s="842"/>
      <c r="Q764" s="842"/>
      <c r="R764" s="842"/>
      <c r="S764" s="842"/>
      <c r="T764" s="842"/>
      <c r="U764" s="842"/>
      <c r="V764" s="842"/>
      <c r="W764" s="842"/>
      <c r="X764" s="833"/>
    </row>
    <row r="765" spans="1:24" s="813" customFormat="1" ht="39.950000000000003" hidden="1" customHeight="1" x14ac:dyDescent="0.15">
      <c r="A765" s="2081">
        <f ca="1">+Orçamento_Não_Deson!A765</f>
        <v>10.039999999999999</v>
      </c>
      <c r="B765" s="834">
        <f>+Orçamento_Não_Deson!B765</f>
        <v>92396</v>
      </c>
      <c r="C765" s="2" t="str">
        <f>VLOOKUP($B765,[5]BOLETIM_SEL!$A:$H,2,0)</f>
        <v>SINAPI</v>
      </c>
      <c r="D765" s="315" t="str">
        <f>VLOOKUP($B765,[5]BOLETIM_SEL!$A:$H,4,0)</f>
        <v>Execução de passeio em piso intertravado, com bloco retangular cor natural de 20 x 10 cm, espessura 6 cm. AF_12/2015</v>
      </c>
      <c r="E765" s="2">
        <f>+Orçamento_Não_Deson!E765</f>
        <v>0</v>
      </c>
      <c r="F765" s="2" t="str">
        <f>VLOOKUP($B765,[5]BOLETIM_SEL!$A:$H,6,0)</f>
        <v>M2</v>
      </c>
      <c r="G765" s="1407">
        <f>VLOOKUP($B765,[5]BOLETIM_SEL!$A:$H,7,0)</f>
        <v>73.7</v>
      </c>
      <c r="H765" s="1613">
        <f>+Orçamento_Não_Deson!H765</f>
        <v>0</v>
      </c>
      <c r="I765" s="877">
        <f t="shared" si="150"/>
        <v>93.4</v>
      </c>
      <c r="J765" s="1612">
        <f t="shared" si="154"/>
        <v>0</v>
      </c>
      <c r="K765" s="2078">
        <f t="shared" ca="1" si="148"/>
        <v>0</v>
      </c>
      <c r="L765" s="1574">
        <f t="shared" si="149"/>
        <v>0</v>
      </c>
      <c r="M765" s="1975" t="str">
        <f>+Orçamento_Não_Deson!M765</f>
        <v>RETANGULAR</v>
      </c>
      <c r="N765" s="833"/>
      <c r="O765" s="842"/>
      <c r="Q765" s="842"/>
      <c r="R765" s="842"/>
      <c r="S765" s="842"/>
      <c r="T765" s="842"/>
      <c r="U765" s="842"/>
      <c r="V765" s="842"/>
      <c r="W765" s="842"/>
      <c r="X765" s="833"/>
    </row>
    <row r="766" spans="1:24" s="813" customFormat="1" ht="39.950000000000003" hidden="1" customHeight="1" x14ac:dyDescent="0.15">
      <c r="A766" s="2081">
        <f ca="1">+Orçamento_Não_Deson!A766</f>
        <v>10.039999999999999</v>
      </c>
      <c r="B766" s="834" t="str">
        <f>+Orçamento_Não_Deson!B766</f>
        <v>SC/0130</v>
      </c>
      <c r="C766" s="2" t="str">
        <f>VLOOKUP($B766,[5]BOLETIM_SEL!$A:$H,2,0)</f>
        <v>COMPOSIÇÃO</v>
      </c>
      <c r="D766" s="315" t="str">
        <f>VLOOKUP($B766,[5]BOLETIM_SEL!$A:$H,4,0)</f>
        <v>Tampão fofo articulado, classe A15, carga máxima 1,5 T, 200 x 200 mm. Incluindo fornecimento, assentamento e requadro com argamassa</v>
      </c>
      <c r="E766" s="2">
        <f>+Orçamento_Não_Deson!E766</f>
        <v>0</v>
      </c>
      <c r="F766" s="2" t="str">
        <f>VLOOKUP($B766,[5]BOLETIM_SEL!$A:$H,6,0)</f>
        <v xml:space="preserve">UN </v>
      </c>
      <c r="G766" s="1407">
        <f>VLOOKUP($B766,[5]BOLETIM_SEL!$A:$H,7,0)</f>
        <v>124.08</v>
      </c>
      <c r="H766" s="1613">
        <f>+Orçamento_Não_Deson!H766</f>
        <v>0</v>
      </c>
      <c r="I766" s="877">
        <f t="shared" si="150"/>
        <v>157.25</v>
      </c>
      <c r="J766" s="1612">
        <f t="shared" si="154"/>
        <v>0</v>
      </c>
      <c r="K766" s="2078">
        <f t="shared" ca="1" si="148"/>
        <v>0</v>
      </c>
      <c r="L766" s="1574">
        <f t="shared" si="149"/>
        <v>0</v>
      </c>
      <c r="M766" s="1974"/>
      <c r="N766" s="833"/>
      <c r="O766" s="833"/>
      <c r="Q766" s="833"/>
      <c r="R766" s="833"/>
      <c r="S766" s="833"/>
      <c r="T766" s="833"/>
      <c r="U766" s="833"/>
      <c r="V766" s="833"/>
      <c r="W766" s="833"/>
      <c r="X766" s="833"/>
    </row>
    <row r="767" spans="1:24" s="813" customFormat="1" ht="39.950000000000003" hidden="1" customHeight="1" x14ac:dyDescent="0.15">
      <c r="A767" s="2081">
        <f ca="1">+Orçamento_Não_Deson!A767</f>
        <v>10.039999999999999</v>
      </c>
      <c r="B767" s="834" t="str">
        <f>+Orçamento_Não_Deson!B767</f>
        <v>SC/0135</v>
      </c>
      <c r="C767" s="2" t="str">
        <f>VLOOKUP($B767,[5]BOLETIM_SEL!$A:$H,2,0)</f>
        <v>COMPOSIÇÃO</v>
      </c>
      <c r="D767" s="315" t="str">
        <f>VLOOKUP($B767,[5]BOLETIM_SEL!$A:$H,4,0)</f>
        <v>Tampão fofo simples com base, classe A15, carga máxima 1,5 T, 300 x 300 mm. Incluindo fornecimento, assentamento e requadro com argamassa</v>
      </c>
      <c r="E767" s="2">
        <f>+Orçamento_Não_Deson!E767</f>
        <v>0</v>
      </c>
      <c r="F767" s="2" t="str">
        <f>VLOOKUP($B767,[5]BOLETIM_SEL!$A:$H,6,0)</f>
        <v xml:space="preserve">UN </v>
      </c>
      <c r="G767" s="1407">
        <f>VLOOKUP($B767,[5]BOLETIM_SEL!$A:$H,7,0)</f>
        <v>187.43</v>
      </c>
      <c r="H767" s="1613">
        <f>+Orçamento_Não_Deson!H767</f>
        <v>0</v>
      </c>
      <c r="I767" s="877">
        <f t="shared" si="150"/>
        <v>237.54</v>
      </c>
      <c r="J767" s="1612">
        <f t="shared" si="154"/>
        <v>0</v>
      </c>
      <c r="K767" s="2078">
        <f t="shared" ca="1" si="148"/>
        <v>0</v>
      </c>
      <c r="L767" s="1574">
        <f t="shared" si="149"/>
        <v>0</v>
      </c>
      <c r="M767" s="1974"/>
      <c r="N767" s="833"/>
      <c r="O767" s="833"/>
      <c r="Q767" s="833"/>
      <c r="R767" s="833"/>
      <c r="S767" s="833"/>
      <c r="T767" s="833"/>
      <c r="U767" s="833"/>
      <c r="V767" s="833"/>
      <c r="W767" s="833"/>
      <c r="X767" s="833"/>
    </row>
    <row r="768" spans="1:24" s="813" customFormat="1" ht="39.950000000000003" hidden="1" customHeight="1" x14ac:dyDescent="0.15">
      <c r="A768" s="2081">
        <f ca="1">+Orçamento_Não_Deson!A768</f>
        <v>10.039999999999999</v>
      </c>
      <c r="B768" s="834" t="str">
        <f>+Orçamento_Não_Deson!B768</f>
        <v>SC/0140</v>
      </c>
      <c r="C768" s="2" t="str">
        <f>VLOOKUP($B768,[5]BOLETIM_SEL!$A:$H,2,0)</f>
        <v>COMPOSIÇÃO</v>
      </c>
      <c r="D768" s="315" t="str">
        <f>VLOOKUP($B768,[5]BOLETIM_SEL!$A:$H,4,0)</f>
        <v>Tampão fofo simples com base, classe A15, carga máxima 1,5 T, 400 x 400 mm. Incluindo fornecimento, assentamento e requadro com argamassa</v>
      </c>
      <c r="E768" s="2">
        <f>+Orçamento_Não_Deson!E768</f>
        <v>0</v>
      </c>
      <c r="F768" s="2" t="str">
        <f>VLOOKUP($B768,[5]BOLETIM_SEL!$A:$H,6,0)</f>
        <v xml:space="preserve">UN </v>
      </c>
      <c r="G768" s="1407">
        <f>VLOOKUP($B768,[5]BOLETIM_SEL!$A:$H,7,0)</f>
        <v>273.17</v>
      </c>
      <c r="H768" s="1613">
        <f>+Orçamento_Não_Deson!H768</f>
        <v>0</v>
      </c>
      <c r="I768" s="877">
        <f t="shared" si="150"/>
        <v>346.21</v>
      </c>
      <c r="J768" s="1612">
        <f t="shared" si="154"/>
        <v>0</v>
      </c>
      <c r="K768" s="2078">
        <f t="shared" ca="1" si="148"/>
        <v>0</v>
      </c>
      <c r="L768" s="1574">
        <f t="shared" si="149"/>
        <v>0</v>
      </c>
      <c r="M768" s="1974"/>
      <c r="N768" s="833"/>
      <c r="O768" s="833"/>
      <c r="Q768" s="833"/>
      <c r="R768" s="833"/>
      <c r="S768" s="833"/>
      <c r="T768" s="833"/>
      <c r="U768" s="833"/>
      <c r="V768" s="833"/>
      <c r="W768" s="833"/>
      <c r="X768" s="833"/>
    </row>
    <row r="769" spans="1:24" s="813" customFormat="1" ht="39.950000000000003" hidden="1" customHeight="1" x14ac:dyDescent="0.15">
      <c r="A769" s="2081">
        <f ca="1">+Orçamento_Não_Deson!A769</f>
        <v>10.039999999999999</v>
      </c>
      <c r="B769" s="834" t="str">
        <f>+Orçamento_Não_Deson!B769</f>
        <v>SC/0145</v>
      </c>
      <c r="C769" s="2" t="str">
        <f>VLOOKUP($B769,[5]BOLETIM_SEL!$A:$H,2,0)</f>
        <v>COMPOSIÇÃO</v>
      </c>
      <c r="D769" s="315" t="str">
        <f>VLOOKUP($B769,[5]BOLETIM_SEL!$A:$H,4,0)</f>
        <v>Tampão fofo simples com base, classe A15, carga máxima 1,5 T, 400 x 400 mm. Incluindo fornecimento, assentamento e requadro com argamassa</v>
      </c>
      <c r="E769" s="2">
        <f>+Orçamento_Não_Deson!E769</f>
        <v>0</v>
      </c>
      <c r="F769" s="2" t="str">
        <f>VLOOKUP($B769,[5]BOLETIM_SEL!$A:$H,6,0)</f>
        <v xml:space="preserve">UN </v>
      </c>
      <c r="G769" s="1407">
        <f>VLOOKUP($B769,[5]BOLETIM_SEL!$A:$H,7,0)</f>
        <v>279.14999999999998</v>
      </c>
      <c r="H769" s="1613">
        <f>+Orçamento_Não_Deson!H769</f>
        <v>0</v>
      </c>
      <c r="I769" s="877">
        <f t="shared" si="150"/>
        <v>353.79</v>
      </c>
      <c r="J769" s="1612">
        <f t="shared" si="154"/>
        <v>0</v>
      </c>
      <c r="K769" s="2078">
        <f t="shared" ca="1" si="148"/>
        <v>0</v>
      </c>
      <c r="L769" s="1574">
        <f t="shared" si="149"/>
        <v>0</v>
      </c>
      <c r="M769" s="1974"/>
      <c r="N769" s="833"/>
      <c r="O769" s="833"/>
      <c r="Q769" s="833"/>
      <c r="R769" s="833"/>
      <c r="S769" s="833"/>
      <c r="T769" s="833"/>
      <c r="U769" s="833"/>
      <c r="V769" s="833"/>
      <c r="W769" s="833"/>
      <c r="X769" s="833"/>
    </row>
    <row r="770" spans="1:24" s="813" customFormat="1" ht="39.950000000000003" hidden="1" customHeight="1" x14ac:dyDescent="0.15">
      <c r="A770" s="2081">
        <f ca="1">+Orçamento_Não_Deson!A770</f>
        <v>10.039999999999999</v>
      </c>
      <c r="B770" s="834" t="str">
        <f>+Orçamento_Não_Deson!B770</f>
        <v>SC/0150</v>
      </c>
      <c r="C770" s="2" t="str">
        <f>VLOOKUP($B770,[5]BOLETIM_SEL!$A:$H,2,0)</f>
        <v>COMPOSIÇÃO</v>
      </c>
      <c r="D770" s="315" t="str">
        <f>VLOOKUP($B770,[5]BOLETIM_SEL!$A:$H,4,0)</f>
        <v>Tampão fofo simples com base, classe A15, carga máxima 1,5 T, 400 x 600 mm. Incluindo fornecimento, assentamento e requadro com argamassa</v>
      </c>
      <c r="E770" s="2">
        <f>+Orçamento_Não_Deson!E770</f>
        <v>0</v>
      </c>
      <c r="F770" s="2" t="str">
        <f>VLOOKUP($B770,[5]BOLETIM_SEL!$A:$H,6,0)</f>
        <v xml:space="preserve">UN </v>
      </c>
      <c r="G770" s="1407">
        <f>VLOOKUP($B770,[5]BOLETIM_SEL!$A:$H,7,0)</f>
        <v>376.39</v>
      </c>
      <c r="H770" s="1613">
        <f>+Orçamento_Não_Deson!H770</f>
        <v>0</v>
      </c>
      <c r="I770" s="877">
        <f t="shared" si="150"/>
        <v>477.03</v>
      </c>
      <c r="J770" s="1612">
        <f t="shared" si="154"/>
        <v>0</v>
      </c>
      <c r="K770" s="2078">
        <f t="shared" ca="1" si="148"/>
        <v>0</v>
      </c>
      <c r="L770" s="1574">
        <f t="shared" si="149"/>
        <v>0</v>
      </c>
      <c r="M770" s="1974"/>
      <c r="N770" s="833"/>
      <c r="O770" s="833"/>
      <c r="Q770" s="833"/>
      <c r="R770" s="833"/>
      <c r="S770" s="833"/>
      <c r="T770" s="833"/>
      <c r="U770" s="833"/>
      <c r="V770" s="833"/>
      <c r="W770" s="833"/>
      <c r="X770" s="833"/>
    </row>
    <row r="771" spans="1:24" s="813" customFormat="1" ht="39.950000000000003" hidden="1" customHeight="1" x14ac:dyDescent="0.15">
      <c r="A771" s="2081">
        <f ca="1">+Orçamento_Não_Deson!A771</f>
        <v>10.039999999999999</v>
      </c>
      <c r="B771" s="834">
        <f>+Orçamento_Não_Deson!B771</f>
        <v>101798</v>
      </c>
      <c r="C771" s="2" t="str">
        <f>VLOOKUP($B771,[5]BOLETIM_SEL!$A:$H,2,0)</f>
        <v>SINAPI</v>
      </c>
      <c r="D771" s="315" t="str">
        <f>VLOOKUP($B771,[5]BOLETIM_SEL!$A:$H,4,0)</f>
        <v>Tampão fofo p/ caixa R1 padrão telebrás completo - fornecimento e instalação</v>
      </c>
      <c r="E771" s="2">
        <f>+Orçamento_Não_Deson!E771</f>
        <v>0</v>
      </c>
      <c r="F771" s="2" t="str">
        <f>VLOOKUP($B771,[5]BOLETIM_SEL!$A:$H,6,0)</f>
        <v>UN</v>
      </c>
      <c r="G771" s="1407">
        <f>VLOOKUP($B771,[5]BOLETIM_SEL!$A:$H,7,0)</f>
        <v>358.91</v>
      </c>
      <c r="H771" s="1613">
        <f>+Orçamento_Não_Deson!H771</f>
        <v>0</v>
      </c>
      <c r="I771" s="877">
        <f t="shared" si="150"/>
        <v>454.88</v>
      </c>
      <c r="J771" s="1612">
        <f t="shared" si="154"/>
        <v>0</v>
      </c>
      <c r="K771" s="2078">
        <f t="shared" ca="1" si="148"/>
        <v>0</v>
      </c>
      <c r="L771" s="1574">
        <f t="shared" si="149"/>
        <v>0</v>
      </c>
      <c r="M771" s="1974"/>
      <c r="N771" s="833"/>
      <c r="O771" s="833"/>
      <c r="Q771" s="833"/>
      <c r="R771" s="833"/>
      <c r="S771" s="833"/>
      <c r="T771" s="833"/>
      <c r="U771" s="833"/>
      <c r="V771" s="833"/>
      <c r="W771" s="833"/>
      <c r="X771" s="833"/>
    </row>
    <row r="772" spans="1:24" s="813" customFormat="1" ht="39.950000000000003" hidden="1" customHeight="1" x14ac:dyDescent="0.15">
      <c r="A772" s="2081">
        <f ca="1">+Orçamento_Não_Deson!A772</f>
        <v>10.039999999999999</v>
      </c>
      <c r="B772" s="834">
        <f>+Orçamento_Não_Deson!B772</f>
        <v>101799</v>
      </c>
      <c r="C772" s="2" t="str">
        <f>VLOOKUP($B772,[5]BOLETIM_SEL!$A:$H,2,0)</f>
        <v>SINAPI</v>
      </c>
      <c r="D772" s="315" t="str">
        <f>VLOOKUP($B772,[5]BOLETIM_SEL!$A:$H,4,0)</f>
        <v>tampão fofo p/ caixa R2 padrão telebrás completo - fornecimento e instalação</v>
      </c>
      <c r="E772" s="2">
        <f>+Orçamento_Não_Deson!E772</f>
        <v>0</v>
      </c>
      <c r="F772" s="2" t="str">
        <f>VLOOKUP($B772,[5]BOLETIM_SEL!$A:$H,6,0)</f>
        <v>UN</v>
      </c>
      <c r="G772" s="1407">
        <f>VLOOKUP($B772,[5]BOLETIM_SEL!$A:$H,7,0)</f>
        <v>877.53</v>
      </c>
      <c r="H772" s="1613">
        <f>+Orçamento_Não_Deson!H772</f>
        <v>0</v>
      </c>
      <c r="I772" s="877">
        <f t="shared" si="150"/>
        <v>1112.18</v>
      </c>
      <c r="J772" s="1612">
        <f t="shared" si="154"/>
        <v>0</v>
      </c>
      <c r="K772" s="2078">
        <f t="shared" ca="1" si="148"/>
        <v>0</v>
      </c>
      <c r="L772" s="1574">
        <f t="shared" si="149"/>
        <v>0</v>
      </c>
      <c r="M772" s="1974"/>
      <c r="N772" s="833"/>
      <c r="O772" s="833"/>
      <c r="Q772" s="833"/>
      <c r="R772" s="833"/>
      <c r="S772" s="833"/>
      <c r="T772" s="833"/>
      <c r="U772" s="833"/>
      <c r="V772" s="833"/>
      <c r="W772" s="833"/>
      <c r="X772" s="833"/>
    </row>
    <row r="773" spans="1:24" s="813" customFormat="1" ht="39.950000000000003" hidden="1" customHeight="1" x14ac:dyDescent="0.15">
      <c r="A773" s="2081">
        <f ca="1">+Orçamento_Não_Deson!A773</f>
        <v>10.039999999999999</v>
      </c>
      <c r="B773" s="834" t="str">
        <f>+Orçamento_Não_Deson!B773</f>
        <v>SC/0155</v>
      </c>
      <c r="C773" s="2" t="str">
        <f>VLOOKUP($B773,[5]BOLETIM_SEL!$A:$H,2,0)</f>
        <v>COMPOSIÇÃO</v>
      </c>
      <c r="D773" s="315" t="str">
        <f>VLOOKUP($B773,[5]BOLETIM_SEL!$A:$H,4,0)</f>
        <v>Tampão completo para TIL, em PVC,  DN 100 mm, para rede coletora de esgoto. Incluindo fornecimento, assentamento e requadro com argamassa</v>
      </c>
      <c r="E773" s="2">
        <f>+Orçamento_Não_Deson!E773</f>
        <v>0</v>
      </c>
      <c r="F773" s="2" t="str">
        <f>VLOOKUP($B773,[5]BOLETIM_SEL!$A:$H,6,0)</f>
        <v xml:space="preserve">UN </v>
      </c>
      <c r="G773" s="1407"/>
      <c r="H773" s="1613">
        <f>+Orçamento_Não_Deson!H773</f>
        <v>0</v>
      </c>
      <c r="I773" s="877">
        <f t="shared" si="150"/>
        <v>0</v>
      </c>
      <c r="J773" s="1612">
        <f t="shared" si="154"/>
        <v>0</v>
      </c>
      <c r="K773" s="2078">
        <f t="shared" ca="1" si="148"/>
        <v>0</v>
      </c>
      <c r="L773" s="1574">
        <f t="shared" si="149"/>
        <v>0</v>
      </c>
      <c r="M773" s="1974"/>
      <c r="N773" s="833"/>
      <c r="O773" s="833"/>
      <c r="Q773" s="833"/>
      <c r="R773" s="833"/>
      <c r="S773" s="833"/>
      <c r="T773" s="833"/>
      <c r="U773" s="833"/>
      <c r="V773" s="833"/>
      <c r="W773" s="833"/>
      <c r="X773" s="833"/>
    </row>
    <row r="774" spans="1:24" s="813" customFormat="1" ht="39.950000000000003" hidden="1" customHeight="1" x14ac:dyDescent="0.15">
      <c r="A774" s="2081">
        <f ca="1">+Orçamento_Não_Deson!A774</f>
        <v>10.039999999999999</v>
      </c>
      <c r="B774" s="834" t="str">
        <f>+Orçamento_Não_Deson!B774</f>
        <v>SC/0160</v>
      </c>
      <c r="C774" s="2" t="str">
        <f>VLOOKUP($B774,[5]BOLETIM_SEL!$A:$H,2,0)</f>
        <v>COMPOSIÇÃO</v>
      </c>
      <c r="D774" s="315" t="str">
        <f>VLOOKUP($B774,[5]BOLETIM_SEL!$A:$H,4,0)</f>
        <v>Tampa de concreto armado para caixa de passeio, na espessura de 5cm (REF. SINAPI COD. 6171)</v>
      </c>
      <c r="E774" s="2">
        <f>+Orçamento_Não_Deson!E774</f>
        <v>0</v>
      </c>
      <c r="F774" s="2" t="str">
        <f>VLOOKUP($B774,[5]BOLETIM_SEL!$A:$H,6,0)</f>
        <v>M2</v>
      </c>
      <c r="G774" s="1407">
        <f>VLOOKUP($B774,[5]BOLETIM_SEL!$A:$H,7,0)</f>
        <v>109.01</v>
      </c>
      <c r="H774" s="1613">
        <f>+Orçamento_Não_Deson!H774</f>
        <v>0</v>
      </c>
      <c r="I774" s="877">
        <f t="shared" si="150"/>
        <v>138.15</v>
      </c>
      <c r="J774" s="1612">
        <f t="shared" si="154"/>
        <v>0</v>
      </c>
      <c r="K774" s="2078">
        <f t="shared" ca="1" si="148"/>
        <v>0</v>
      </c>
      <c r="L774" s="1574">
        <f t="shared" si="149"/>
        <v>0</v>
      </c>
      <c r="M774" s="1974"/>
      <c r="N774" s="833"/>
      <c r="O774" s="833"/>
      <c r="Q774" s="833"/>
      <c r="R774" s="833"/>
      <c r="S774" s="833"/>
      <c r="T774" s="833"/>
      <c r="U774" s="833"/>
      <c r="V774" s="833"/>
      <c r="W774" s="833"/>
      <c r="X774" s="833"/>
    </row>
    <row r="775" spans="1:24" s="813" customFormat="1" ht="39.950000000000003" hidden="1" customHeight="1" x14ac:dyDescent="0.15">
      <c r="A775" s="2081">
        <f ca="1">+Orçamento_Não_Deson!A775</f>
        <v>10.039999999999999</v>
      </c>
      <c r="B775" s="834">
        <f>+Orçamento_Não_Deson!B775</f>
        <v>89512</v>
      </c>
      <c r="C775" s="2" t="str">
        <f>VLOOKUP($B775,[5]BOLETIM_SEL!$A:$H,2,0)</f>
        <v>SINAPI</v>
      </c>
      <c r="D775" s="315" t="str">
        <f>VLOOKUP($B775,[5]BOLETIM_SEL!$A:$H,4,0)</f>
        <v>Tubo pvc, série r, água pluvial, diâmetro nominal de 100 mm, fornecido e instalado em ramal de encaminhamento. AF_12/2014</v>
      </c>
      <c r="E775" s="2">
        <f>+Orçamento_Não_Deson!E775</f>
        <v>0</v>
      </c>
      <c r="F775" s="2" t="str">
        <f>VLOOKUP($B775,[5]BOLETIM_SEL!$A:$H,6,0)</f>
        <v>M</v>
      </c>
      <c r="G775" s="1407">
        <f>VLOOKUP($B775,[5]BOLETIM_SEL!$A:$H,7,0)</f>
        <v>50.23</v>
      </c>
      <c r="H775" s="1613">
        <f>+Orçamento_Não_Deson!H775</f>
        <v>0</v>
      </c>
      <c r="I775" s="877">
        <f t="shared" si="150"/>
        <v>63.66</v>
      </c>
      <c r="J775" s="1612">
        <f t="shared" si="154"/>
        <v>0</v>
      </c>
      <c r="K775" s="2078">
        <f t="shared" ca="1" si="148"/>
        <v>0</v>
      </c>
      <c r="L775" s="1574">
        <f t="shared" si="149"/>
        <v>0</v>
      </c>
      <c r="M775" s="1974"/>
      <c r="N775" s="833"/>
      <c r="O775" s="833"/>
      <c r="Q775" s="833"/>
      <c r="R775" s="833"/>
      <c r="S775" s="833"/>
      <c r="T775" s="833"/>
      <c r="U775" s="833"/>
      <c r="V775" s="833"/>
      <c r="W775" s="833"/>
      <c r="X775" s="833"/>
    </row>
    <row r="776" spans="1:24" s="813" customFormat="1" ht="39.950000000000003" hidden="1" customHeight="1" x14ac:dyDescent="0.15">
      <c r="A776" s="2081">
        <f ca="1">+Orçamento_Não_Deson!A776</f>
        <v>10.039999999999999</v>
      </c>
      <c r="B776" s="834">
        <f>+Orçamento_Não_Deson!B776</f>
        <v>101166</v>
      </c>
      <c r="C776" s="2" t="str">
        <f>VLOOKUP($B776,[5]BOLETIM_SEL!$A:$H,2,0)</f>
        <v>SINAPI</v>
      </c>
      <c r="D776" s="315" t="str">
        <f>VLOOKUP($B776,[5]BOLETIM_SEL!$A:$H,4,0)</f>
        <v>Alvenaria de embasamento com bloco estrutural de cerâmica, de 14x19x29cm e argamassa de assentamento com preparo em betoneira. AF_05/2020</v>
      </c>
      <c r="E776" s="2">
        <f>+Orçamento_Não_Deson!E776</f>
        <v>0</v>
      </c>
      <c r="F776" s="2" t="str">
        <f>VLOOKUP($B776,[5]BOLETIM_SEL!$A:$H,6,0)</f>
        <v>M3</v>
      </c>
      <c r="G776" s="1407">
        <f>VLOOKUP($B776,[5]BOLETIM_SEL!$A:$H,7,0)</f>
        <v>609.29</v>
      </c>
      <c r="H776" s="1613">
        <f>+Orçamento_Não_Deson!H776</f>
        <v>0</v>
      </c>
      <c r="I776" s="877"/>
      <c r="J776" s="1612">
        <f t="shared" si="154"/>
        <v>0</v>
      </c>
      <c r="K776" s="2078">
        <f t="shared" ca="1" si="148"/>
        <v>0</v>
      </c>
      <c r="L776" s="1574">
        <f t="shared" si="149"/>
        <v>0</v>
      </c>
      <c r="M776" s="1974"/>
      <c r="N776" s="833"/>
      <c r="O776" s="833"/>
      <c r="Q776" s="833"/>
      <c r="R776" s="833"/>
      <c r="S776" s="833"/>
      <c r="T776" s="833"/>
      <c r="U776" s="833"/>
      <c r="V776" s="833"/>
      <c r="W776" s="833"/>
      <c r="X776" s="833"/>
    </row>
    <row r="777" spans="1:24" s="813" customFormat="1" ht="39.950000000000003" hidden="1" customHeight="1" x14ac:dyDescent="0.15">
      <c r="A777" s="2081">
        <f ca="1">+Orçamento_Não_Deson!A777</f>
        <v>10.039999999999999</v>
      </c>
      <c r="B777" s="834">
        <f>+Orçamento_Não_Deson!B777</f>
        <v>87878</v>
      </c>
      <c r="C777" s="2" t="str">
        <f>VLOOKUP($B777,[5]BOLETIM_SEL!$A:$H,2,0)</f>
        <v>SINAPI</v>
      </c>
      <c r="D777" s="315" t="str">
        <f>VLOOKUP($B777,[5]BOLETIM_SEL!$A:$H,4,0)</f>
        <v>Chapisco aplicado em alvenarias e estruturas de concreto internas, com colher de pedreiro. Argamassa traço 1:3 com preparo manual. AF_06/2014</v>
      </c>
      <c r="E777" s="2">
        <f>+Orçamento_Não_Deson!E777</f>
        <v>0</v>
      </c>
      <c r="F777" s="2" t="str">
        <f>VLOOKUP($B777,[5]BOLETIM_SEL!$A:$H,6,0)</f>
        <v>M2</v>
      </c>
      <c r="G777" s="1407">
        <f>VLOOKUP($B777,[5]BOLETIM_SEL!$A:$H,7,0)</f>
        <v>4.1399999999999997</v>
      </c>
      <c r="H777" s="1613">
        <f>+Orçamento_Não_Deson!H777</f>
        <v>0</v>
      </c>
      <c r="I777" s="877">
        <f t="shared" si="150"/>
        <v>5.24</v>
      </c>
      <c r="J777" s="1612">
        <f t="shared" si="154"/>
        <v>0</v>
      </c>
      <c r="K777" s="2078">
        <f t="shared" ca="1" si="148"/>
        <v>0</v>
      </c>
      <c r="L777" s="1574">
        <f t="shared" si="149"/>
        <v>0</v>
      </c>
      <c r="M777" s="1974"/>
      <c r="N777" s="833"/>
      <c r="O777" s="833"/>
      <c r="Q777" s="833"/>
      <c r="R777" s="833"/>
      <c r="S777" s="833"/>
      <c r="T777" s="833"/>
      <c r="U777" s="833"/>
      <c r="V777" s="833"/>
      <c r="W777" s="833"/>
      <c r="X777" s="833"/>
    </row>
    <row r="778" spans="1:24" s="813" customFormat="1" ht="39.950000000000003" hidden="1" customHeight="1" x14ac:dyDescent="0.15">
      <c r="A778" s="2081">
        <f ca="1">+Orçamento_Não_Deson!A778</f>
        <v>10.039999999999999</v>
      </c>
      <c r="B778" s="834">
        <f>+Orçamento_Não_Deson!B778</f>
        <v>87313</v>
      </c>
      <c r="C778" s="2" t="str">
        <f>VLOOKUP($B778,[5]BOLETIM_SEL!$A:$H,2,0)</f>
        <v>SINAPI</v>
      </c>
      <c r="D778" s="315" t="str">
        <f>VLOOKUP($B778,[5]BOLETIM_SEL!$A:$H,4,0)</f>
        <v>Argamassa traço 1:3 (em volume de cimento e areia grossa úmida) para chapisco convencional, preparo mecânico com betoneira 400 l. AF_08/2019</v>
      </c>
      <c r="E778" s="2">
        <f>+Orçamento_Não_Deson!E778</f>
        <v>0</v>
      </c>
      <c r="F778" s="2" t="str">
        <f>VLOOKUP($B778,[5]BOLETIM_SEL!$A:$H,6,0)</f>
        <v>M3</v>
      </c>
      <c r="G778" s="1407">
        <f>VLOOKUP($B778,[5]BOLETIM_SEL!$A:$H,7,0)</f>
        <v>519.44000000000005</v>
      </c>
      <c r="H778" s="1613">
        <f>+Orçamento_Não_Deson!H778</f>
        <v>0</v>
      </c>
      <c r="I778" s="877">
        <f t="shared" si="150"/>
        <v>658.33</v>
      </c>
      <c r="J778" s="1612">
        <f t="shared" si="154"/>
        <v>0</v>
      </c>
      <c r="K778" s="2078">
        <f t="shared" ca="1" si="148"/>
        <v>0</v>
      </c>
      <c r="L778" s="1574">
        <f t="shared" si="149"/>
        <v>0</v>
      </c>
      <c r="M778" s="1974"/>
      <c r="N778" s="833"/>
      <c r="O778" s="833"/>
      <c r="Q778" s="833"/>
      <c r="R778" s="833"/>
      <c r="S778" s="833"/>
      <c r="T778" s="833"/>
      <c r="U778" s="833"/>
      <c r="V778" s="833"/>
      <c r="W778" s="833"/>
      <c r="X778" s="833"/>
    </row>
    <row r="779" spans="1:24" s="813" customFormat="1" ht="39.950000000000003" hidden="1" customHeight="1" x14ac:dyDescent="0.15">
      <c r="A779" s="2081">
        <f ca="1">+Orçamento_Não_Deson!A779</f>
        <v>10.039999999999999</v>
      </c>
      <c r="B779" s="834">
        <f>+Orçamento_Não_Deson!B779</f>
        <v>94963</v>
      </c>
      <c r="C779" s="2" t="str">
        <f>VLOOKUP($B779,[5]BOLETIM_SEL!$A:$H,2,0)</f>
        <v>SINAPI</v>
      </c>
      <c r="D779" s="315" t="str">
        <f>VLOOKUP($B779,[5]BOLETIM_SEL!$A:$H,4,0)</f>
        <v>Concreto FCK = 15 MPA, traço 1:3,4:3,5 (cimento/ areia média/ brita 1) - preparo mecânico com betoneira 400 l. AF_07/2016</v>
      </c>
      <c r="E779" s="2">
        <f>+Orçamento_Não_Deson!E779</f>
        <v>0</v>
      </c>
      <c r="F779" s="2" t="str">
        <f>VLOOKUP($B779,[5]BOLETIM_SEL!$A:$H,6,0)</f>
        <v>M3</v>
      </c>
      <c r="G779" s="1407">
        <f>VLOOKUP($B779,[5]BOLETIM_SEL!$A:$H,7,0)</f>
        <v>419.83</v>
      </c>
      <c r="H779" s="1613">
        <f>+Orçamento_Não_Deson!H779</f>
        <v>0</v>
      </c>
      <c r="I779" s="877">
        <f t="shared" si="150"/>
        <v>532.09</v>
      </c>
      <c r="J779" s="1612">
        <f t="shared" si="154"/>
        <v>0</v>
      </c>
      <c r="K779" s="2078">
        <f t="shared" ca="1" si="148"/>
        <v>0</v>
      </c>
      <c r="L779" s="1574">
        <f t="shared" si="149"/>
        <v>0</v>
      </c>
      <c r="M779" s="1974"/>
      <c r="N779" s="833"/>
      <c r="O779" s="833"/>
      <c r="Q779" s="833"/>
      <c r="R779" s="833"/>
      <c r="S779" s="833"/>
      <c r="T779" s="833"/>
      <c r="U779" s="833"/>
      <c r="V779" s="833"/>
      <c r="W779" s="833"/>
      <c r="X779" s="833"/>
    </row>
    <row r="780" spans="1:24" s="813" customFormat="1" ht="39.950000000000003" hidden="1" customHeight="1" x14ac:dyDescent="0.15">
      <c r="A780" s="2081">
        <f ca="1">+Orçamento_Não_Deson!A780</f>
        <v>10.039999999999999</v>
      </c>
      <c r="B780" s="834">
        <f>+Orçamento_Não_Deson!B780</f>
        <v>34495</v>
      </c>
      <c r="C780" s="2" t="str">
        <f>VLOOKUP($B780,[5]BOLETIM_SEL!$A:$H,2,0)</f>
        <v>SINAPI</v>
      </c>
      <c r="D780" s="315" t="str">
        <f>VLOOKUP($B780,[5]BOLETIM_SEL!$A:$H,4,0)</f>
        <v>Concreto usinado bombeável, classe de resistência C35, com brita 0,00 e 1, slump = 100 +/- 20 mm, exclui serviço de bombeamento (NBR 8953)</v>
      </c>
      <c r="E780" s="2">
        <f>+Orçamento_Não_Deson!E780</f>
        <v>0</v>
      </c>
      <c r="F780" s="2" t="str">
        <f>VLOOKUP($B780,[5]BOLETIM_SEL!$A:$H,6,0)</f>
        <v xml:space="preserve">M3    </v>
      </c>
      <c r="G780" s="1407">
        <f>VLOOKUP($B780,[5]BOLETIM_SEL!$A:$H,7,0)</f>
        <v>597.71</v>
      </c>
      <c r="H780" s="1613">
        <f>+Orçamento_Não_Deson!H780</f>
        <v>0</v>
      </c>
      <c r="I780" s="877">
        <f t="shared" si="150"/>
        <v>757.53</v>
      </c>
      <c r="J780" s="1612">
        <f t="shared" si="154"/>
        <v>0</v>
      </c>
      <c r="K780" s="2078">
        <f t="shared" ca="1" si="148"/>
        <v>0</v>
      </c>
      <c r="L780" s="1574">
        <f t="shared" si="149"/>
        <v>0</v>
      </c>
      <c r="M780" s="1974"/>
      <c r="N780" s="833"/>
      <c r="O780" s="833"/>
      <c r="Q780" s="833"/>
      <c r="R780" s="833"/>
      <c r="S780" s="833"/>
      <c r="T780" s="833"/>
      <c r="U780" s="833"/>
      <c r="V780" s="833"/>
      <c r="W780" s="833"/>
      <c r="X780" s="833"/>
    </row>
    <row r="781" spans="1:24" s="813" customFormat="1" ht="39.950000000000003" hidden="1" customHeight="1" x14ac:dyDescent="0.15">
      <c r="A781" s="2081">
        <f ca="1">+Orçamento_Não_Deson!A781</f>
        <v>10.039999999999999</v>
      </c>
      <c r="B781" s="834">
        <f>+Orçamento_Não_Deson!B781</f>
        <v>103670</v>
      </c>
      <c r="C781" s="2" t="str">
        <f>VLOOKUP($B781,[5]BOLETIM_SEL!$A:$H,2,0)</f>
        <v>SINAPI</v>
      </c>
      <c r="D781" s="315" t="str">
        <f>VLOOKUP($B781,[5]BOLETIM_SEL!$A:$H,4,0)</f>
        <v>Lançamento com uso de baldes, adensamento e acabamento de concreto em estruturas. AF_12/2015</v>
      </c>
      <c r="E781" s="2">
        <f>+Orçamento_Não_Deson!E781</f>
        <v>0</v>
      </c>
      <c r="F781" s="2" t="str">
        <f>VLOOKUP($B781,[5]BOLETIM_SEL!$A:$H,6,0)</f>
        <v>M3</v>
      </c>
      <c r="G781" s="1407">
        <f>VLOOKUP($B781,[5]BOLETIM_SEL!$A:$H,7,0)</f>
        <v>231.03</v>
      </c>
      <c r="H781" s="1613">
        <f>+Orçamento_Não_Deson!H781</f>
        <v>0</v>
      </c>
      <c r="I781" s="877">
        <f t="shared" si="150"/>
        <v>292.8</v>
      </c>
      <c r="J781" s="1612">
        <f t="shared" si="154"/>
        <v>0</v>
      </c>
      <c r="K781" s="2078">
        <f t="shared" ca="1" si="148"/>
        <v>0</v>
      </c>
      <c r="L781" s="1574">
        <f t="shared" si="149"/>
        <v>0</v>
      </c>
      <c r="M781" s="1974"/>
      <c r="N781" s="833"/>
      <c r="O781" s="833"/>
      <c r="Q781" s="833"/>
      <c r="R781" s="833"/>
      <c r="S781" s="833"/>
      <c r="T781" s="833"/>
      <c r="U781" s="833"/>
      <c r="V781" s="833"/>
      <c r="W781" s="833"/>
      <c r="X781" s="833"/>
    </row>
    <row r="782" spans="1:24" s="813" customFormat="1" ht="39.950000000000003" hidden="1" customHeight="1" x14ac:dyDescent="0.15">
      <c r="A782" s="2081">
        <f ca="1">+Orçamento_Não_Deson!A782</f>
        <v>10.039999999999999</v>
      </c>
      <c r="B782" s="834">
        <f>+Orçamento_Não_Deson!B782</f>
        <v>92411</v>
      </c>
      <c r="C782" s="2" t="str">
        <f>VLOOKUP($B782,[5]BOLETIM_SEL!$A:$H,2,0)</f>
        <v>SINAPI</v>
      </c>
      <c r="D782" s="315" t="str">
        <f>VLOOKUP($B782,[5]BOLETIM_SEL!$A:$H,4,0)</f>
        <v>Montagem e desmontagem de fôrma de pilares retangulares e estruturas similares, pé-direito simples, em madeira serrada, 2 utilizações. AF_09/2020</v>
      </c>
      <c r="E782" s="2">
        <f>+Orçamento_Não_Deson!E782</f>
        <v>0</v>
      </c>
      <c r="F782" s="2" t="str">
        <f>VLOOKUP($B782,[5]BOLETIM_SEL!$A:$H,6,0)</f>
        <v>M2</v>
      </c>
      <c r="G782" s="1407">
        <f>VLOOKUP($B782,[5]BOLETIM_SEL!$A:$H,7,0)</f>
        <v>190.7</v>
      </c>
      <c r="H782" s="1613">
        <f>+Orçamento_Não_Deson!H782</f>
        <v>0</v>
      </c>
      <c r="I782" s="877">
        <f t="shared" si="150"/>
        <v>241.69</v>
      </c>
      <c r="J782" s="1612">
        <f t="shared" si="154"/>
        <v>0</v>
      </c>
      <c r="K782" s="2078">
        <f t="shared" ca="1" si="148"/>
        <v>0</v>
      </c>
      <c r="L782" s="1574">
        <f t="shared" si="149"/>
        <v>0</v>
      </c>
      <c r="M782" s="1974"/>
      <c r="N782" s="833"/>
      <c r="O782" s="833"/>
      <c r="Q782" s="833"/>
      <c r="R782" s="833"/>
      <c r="S782" s="833"/>
      <c r="T782" s="833"/>
      <c r="U782" s="833"/>
      <c r="V782" s="833"/>
      <c r="W782" s="833"/>
      <c r="X782" s="833"/>
    </row>
    <row r="783" spans="1:24" s="813" customFormat="1" ht="39.950000000000003" hidden="1" customHeight="1" x14ac:dyDescent="0.15">
      <c r="A783" s="2081">
        <f ca="1">+Orçamento_Não_Deson!A783</f>
        <v>10.039999999999999</v>
      </c>
      <c r="B783" s="834">
        <f>+Orçamento_Não_Deson!B783</f>
        <v>91593</v>
      </c>
      <c r="C783" s="2" t="str">
        <f>VLOOKUP($B783,[5]BOLETIM_SEL!$A:$H,2,0)</f>
        <v>SINAPI</v>
      </c>
      <c r="D783" s="315" t="str">
        <f>VLOOKUP($B783,[5]BOLETIM_SEL!$A:$H,4,0)</f>
        <v>Armação do sistema de paredes de concreto, executada em paredes de edificações de múltiplos pavimentos, tela Q-138. AF_06/2019</v>
      </c>
      <c r="E783" s="2">
        <f>+Orçamento_Não_Deson!E783</f>
        <v>0</v>
      </c>
      <c r="F783" s="2" t="str">
        <f>VLOOKUP($B783,[5]BOLETIM_SEL!$A:$H,6,0)</f>
        <v>KG</v>
      </c>
      <c r="G783" s="1407">
        <f>VLOOKUP($B783,[5]BOLETIM_SEL!$A:$H,7,0)</f>
        <v>10.73</v>
      </c>
      <c r="H783" s="1613">
        <f>+Orçamento_Não_Deson!H783</f>
        <v>0</v>
      </c>
      <c r="I783" s="877">
        <f t="shared" si="150"/>
        <v>13.59</v>
      </c>
      <c r="J783" s="1612">
        <f t="shared" si="154"/>
        <v>0</v>
      </c>
      <c r="K783" s="2078">
        <f t="shared" ca="1" si="148"/>
        <v>0</v>
      </c>
      <c r="L783" s="1574">
        <f t="shared" si="149"/>
        <v>0</v>
      </c>
      <c r="M783" s="1974"/>
      <c r="N783" s="833"/>
      <c r="O783" s="833"/>
      <c r="Q783" s="833"/>
      <c r="R783" s="833"/>
      <c r="S783" s="833"/>
      <c r="T783" s="833"/>
      <c r="U783" s="833"/>
      <c r="V783" s="833"/>
      <c r="W783" s="833"/>
      <c r="X783" s="833"/>
    </row>
    <row r="784" spans="1:24" s="813" customFormat="1" ht="39.950000000000003" hidden="1" customHeight="1" x14ac:dyDescent="0.15">
      <c r="A784" s="2081">
        <f ca="1">+Orçamento_Não_Deson!A784</f>
        <v>10.039999999999999</v>
      </c>
      <c r="B784" s="834" t="str">
        <f>+Orçamento_Não_Deson!B784</f>
        <v>SC/0085</v>
      </c>
      <c r="C784" s="2" t="str">
        <f>VLOOKUP($B784,[5]BOLETIM_SEL!$A:$H,2,0)</f>
        <v>COMPOSIÇÃO</v>
      </c>
      <c r="D784" s="315" t="str">
        <f>VLOOKUP($B784,[5]BOLETIM_SEL!$A:$H,4,0)</f>
        <v>Dispositivo de segurança na travessia de pedestre - guarda corpo em tubo de aço galvanizado Ø 3", pintado com esmalte sintético em duas demãos</v>
      </c>
      <c r="E784" s="2">
        <f>+Orçamento_Não_Deson!E784</f>
        <v>0</v>
      </c>
      <c r="F784" s="2" t="str">
        <f>VLOOKUP($B784,[5]BOLETIM_SEL!$A:$H,6,0)</f>
        <v xml:space="preserve">UN </v>
      </c>
      <c r="G784" s="1407">
        <f>VLOOKUP($B784,[5]BOLETIM_SEL!$A:$H,7,0)</f>
        <v>1397.47</v>
      </c>
      <c r="H784" s="1613">
        <f>+Orçamento_Não_Deson!H784</f>
        <v>0</v>
      </c>
      <c r="I784" s="877">
        <f t="shared" si="150"/>
        <v>1771.15</v>
      </c>
      <c r="J784" s="1612">
        <f t="shared" si="154"/>
        <v>0</v>
      </c>
      <c r="K784" s="2078">
        <f t="shared" ca="1" si="148"/>
        <v>0</v>
      </c>
      <c r="L784" s="1574">
        <f t="shared" si="149"/>
        <v>0</v>
      </c>
      <c r="M784" s="1974"/>
      <c r="N784" s="833"/>
      <c r="O784" s="833"/>
      <c r="Q784" s="833"/>
      <c r="R784" s="833"/>
      <c r="S784" s="833"/>
      <c r="T784" s="833"/>
      <c r="U784" s="833"/>
      <c r="V784" s="833"/>
      <c r="W784" s="833"/>
      <c r="X784" s="833"/>
    </row>
    <row r="785" spans="1:24" s="813" customFormat="1" ht="39.950000000000003" hidden="1" customHeight="1" x14ac:dyDescent="0.15">
      <c r="A785" s="2081"/>
      <c r="B785" s="834"/>
      <c r="C785" s="2"/>
      <c r="D785" s="1452" t="s">
        <v>1803</v>
      </c>
      <c r="E785" s="2"/>
      <c r="F785" s="2"/>
      <c r="G785" s="1407"/>
      <c r="H785" s="2"/>
      <c r="I785" s="839" t="str">
        <f>IF(I786=0,"-","")</f>
        <v/>
      </c>
      <c r="J785" s="839" t="str">
        <f>IF(J786=0,"-","")</f>
        <v>-</v>
      </c>
      <c r="K785" s="2078"/>
      <c r="L785" s="1574"/>
      <c r="M785" s="1974" t="str">
        <f>+Orçamento_Não_Deson!M785</f>
        <v>Definir depósito:                                     1, 2, 3 ou 4</v>
      </c>
      <c r="N785" s="833"/>
      <c r="O785" s="833"/>
      <c r="Q785" s="833"/>
      <c r="R785" s="833"/>
      <c r="S785" s="833"/>
      <c r="T785" s="833"/>
      <c r="U785" s="833"/>
      <c r="V785" s="833"/>
      <c r="W785" s="833"/>
      <c r="X785" s="833"/>
    </row>
    <row r="786" spans="1:24" s="813" customFormat="1" ht="39.950000000000003" hidden="1" customHeight="1" x14ac:dyDescent="0.15">
      <c r="A786" s="2081">
        <f ca="1">+Orçamento_Não_Deson!A786</f>
        <v>10.039999999999999</v>
      </c>
      <c r="B786" s="834">
        <f>+Orçamento_Não_Deson!B786</f>
        <v>95875</v>
      </c>
      <c r="C786" s="2" t="str">
        <f>VLOOKUP($B786,[5]BOLETIM_SEL!$A:$H,2,0)</f>
        <v>SINAPI</v>
      </c>
      <c r="D786" s="315" t="str">
        <f>VLOOKUP($B786,[5]BOLETIM_SEL!$A:$H,4,0)</f>
        <v>Transporte com caminhão basculante de 10 m3, em via urbana pavimentada, DMT até 30,00 km (unidade: m3xkm). AF_07/2020</v>
      </c>
      <c r="E786" s="2">
        <f>+Orçamento_Não_Deson!E786</f>
        <v>4</v>
      </c>
      <c r="F786" s="2" t="str">
        <f>VLOOKUP($B786,[5]BOLETIM_SEL!$A:$H,6,0)</f>
        <v>M3XKM</v>
      </c>
      <c r="G786" s="1407">
        <f>VLOOKUP($B786,[5]BOLETIM_SEL!$A:$H,7,0)</f>
        <v>2.15</v>
      </c>
      <c r="H786" s="1613">
        <f>+Orçamento_Não_Deson!H786</f>
        <v>0</v>
      </c>
      <c r="I786" s="877">
        <f>+TRUNC(G786*(1+$J$5),2)</f>
        <v>2.72</v>
      </c>
      <c r="J786" s="1612">
        <f t="shared" si="154"/>
        <v>0</v>
      </c>
      <c r="K786" s="2078">
        <f ca="1">J786/J$967</f>
        <v>0</v>
      </c>
      <c r="L786" s="1574">
        <f t="shared" si="149"/>
        <v>0</v>
      </c>
      <c r="M786" s="1976">
        <f>+Orçamento_Não_Deson!M786</f>
        <v>0</v>
      </c>
      <c r="N786" s="833"/>
      <c r="O786" s="833"/>
      <c r="Q786" s="833"/>
      <c r="R786" s="833"/>
      <c r="S786" s="833"/>
      <c r="T786" s="833"/>
      <c r="U786" s="833"/>
      <c r="V786" s="833"/>
      <c r="W786" s="833"/>
      <c r="X786" s="833"/>
    </row>
    <row r="787" spans="1:24" s="813" customFormat="1" ht="39.950000000000003" hidden="1" customHeight="1" x14ac:dyDescent="0.15">
      <c r="A787" s="2081"/>
      <c r="B787" s="834"/>
      <c r="C787" s="2"/>
      <c r="D787" s="1452" t="s">
        <v>1816</v>
      </c>
      <c r="E787" s="2"/>
      <c r="F787" s="2"/>
      <c r="G787" s="1407"/>
      <c r="H787" s="2"/>
      <c r="I787" s="839" t="str">
        <f>IF(I788=0,"-","")</f>
        <v/>
      </c>
      <c r="J787" s="839" t="str">
        <f>IF(J788=0,"-","")</f>
        <v>-</v>
      </c>
      <c r="K787" s="2078"/>
      <c r="L787" s="1574"/>
      <c r="M787" s="1974"/>
      <c r="N787" s="833"/>
      <c r="O787" s="833"/>
      <c r="Q787" s="833"/>
      <c r="R787" s="833"/>
      <c r="S787" s="833"/>
      <c r="T787" s="833"/>
      <c r="U787" s="833"/>
      <c r="V787" s="833"/>
      <c r="W787" s="833"/>
      <c r="X787" s="833"/>
    </row>
    <row r="788" spans="1:24" s="813" customFormat="1" ht="39.950000000000003" hidden="1" customHeight="1" x14ac:dyDescent="0.15">
      <c r="A788" s="2081">
        <f ca="1">+Orçamento_Não_Deson!A788</f>
        <v>10.039999999999999</v>
      </c>
      <c r="B788" s="834">
        <f>+Orçamento_Não_Deson!B788</f>
        <v>95875</v>
      </c>
      <c r="C788" s="2" t="str">
        <f>VLOOKUP($B788,[5]BOLETIM_SEL!$A:$H,2,0)</f>
        <v>SINAPI</v>
      </c>
      <c r="D788" s="315" t="str">
        <f>VLOOKUP($B788,[5]BOLETIM_SEL!$A:$H,4,0)</f>
        <v>Transporte com caminhão basculante de 10 m3, em via urbana pavimentada, DMT até 30,00 km (unidade: m3xkm). AF_07/2020</v>
      </c>
      <c r="E788" s="2">
        <f>+Orçamento_Não_Deson!E788</f>
        <v>4</v>
      </c>
      <c r="F788" s="2" t="str">
        <f>VLOOKUP($B788,[5]BOLETIM_SEL!$A:$H,6,0)</f>
        <v>M3XKM</v>
      </c>
      <c r="G788" s="1407">
        <f>VLOOKUP($B788,[5]BOLETIM_SEL!$A:$H,7,0)</f>
        <v>2.15</v>
      </c>
      <c r="H788" s="1613">
        <f>+Orçamento_Não_Deson!H788</f>
        <v>0</v>
      </c>
      <c r="I788" s="877">
        <f>+TRUNC(G788*(1+$J$5),2)</f>
        <v>2.72</v>
      </c>
      <c r="J788" s="1612">
        <f t="shared" si="154"/>
        <v>0</v>
      </c>
      <c r="K788" s="2078">
        <f ca="1">J788/J$967</f>
        <v>0</v>
      </c>
      <c r="L788" s="1574">
        <f t="shared" si="149"/>
        <v>0</v>
      </c>
      <c r="M788" s="1976">
        <f>+Orçamento_Não_Deson!M788</f>
        <v>0</v>
      </c>
      <c r="N788" s="833"/>
      <c r="O788" s="833"/>
      <c r="Q788" s="833"/>
      <c r="R788" s="833"/>
      <c r="S788" s="833"/>
      <c r="T788" s="833"/>
      <c r="U788" s="833"/>
      <c r="V788" s="833"/>
      <c r="W788" s="833"/>
      <c r="X788" s="833"/>
    </row>
    <row r="789" spans="1:24" s="813" customFormat="1" ht="39.950000000000003" hidden="1" customHeight="1" x14ac:dyDescent="0.15">
      <c r="A789" s="2081"/>
      <c r="B789" s="834"/>
      <c r="C789" s="2"/>
      <c r="D789" s="1452" t="s">
        <v>2190</v>
      </c>
      <c r="E789" s="2"/>
      <c r="F789" s="2"/>
      <c r="G789" s="1407"/>
      <c r="H789" s="2"/>
      <c r="I789" s="839" t="str">
        <f>IF(I790=0,"-","")</f>
        <v/>
      </c>
      <c r="J789" s="839" t="str">
        <f>IF(J790=0,"-","")</f>
        <v>-</v>
      </c>
      <c r="K789" s="2078"/>
      <c r="L789" s="1574"/>
      <c r="M789" s="1974"/>
      <c r="N789" s="833"/>
      <c r="O789" s="833"/>
      <c r="Q789" s="833"/>
      <c r="R789" s="833"/>
      <c r="S789" s="833"/>
      <c r="T789" s="833"/>
      <c r="U789" s="833"/>
      <c r="V789" s="833"/>
      <c r="W789" s="833"/>
      <c r="X789" s="833"/>
    </row>
    <row r="790" spans="1:24" s="813" customFormat="1" ht="39.950000000000003" hidden="1" customHeight="1" x14ac:dyDescent="0.15">
      <c r="A790" s="2081">
        <f ca="1">+Orçamento_Não_Deson!A790</f>
        <v>10.039999999999999</v>
      </c>
      <c r="B790" s="834">
        <f>+Orçamento_Não_Deson!B790</f>
        <v>93590</v>
      </c>
      <c r="C790" s="2" t="str">
        <f>VLOOKUP($B790,[5]BOLETIM_SEL!$A:$H,2,0)</f>
        <v>SINAPI</v>
      </c>
      <c r="D790" s="315" t="str">
        <f>VLOOKUP($B790,[5]BOLETIM_SEL!$A:$H,4,0)</f>
        <v>Transporte com caminhão basculante de 10 m3, em via urbana pavimentada, adicional para DMT excedente a 30,00 km (unidade: m3xkm). AF_07/2020</v>
      </c>
      <c r="E790" s="2">
        <f>+Orçamento_Não_Deson!E790</f>
        <v>109</v>
      </c>
      <c r="F790" s="2" t="str">
        <f>VLOOKUP($B790,[5]BOLETIM_SEL!$A:$H,6,0)</f>
        <v>M3XKM</v>
      </c>
      <c r="G790" s="1407">
        <f>VLOOKUP($B790,[5]BOLETIM_SEL!$A:$H,7,0)</f>
        <v>0.85</v>
      </c>
      <c r="H790" s="1613">
        <f>+Orçamento_Não_Deson!H790</f>
        <v>0</v>
      </c>
      <c r="I790" s="877">
        <f>+TRUNC(G790*(1+$J$5),2)</f>
        <v>1.07</v>
      </c>
      <c r="J790" s="1612">
        <f t="shared" ref="J790" si="156">TRUNC(H790*I790,2)</f>
        <v>0</v>
      </c>
      <c r="K790" s="2078">
        <f ca="1">J790/J$967</f>
        <v>0</v>
      </c>
      <c r="L790" s="1574">
        <f t="shared" ref="L790" si="157">+J790/$J$752</f>
        <v>0</v>
      </c>
      <c r="M790" s="1976">
        <f>+Orçamento_Não_Deson!M790</f>
        <v>0</v>
      </c>
      <c r="N790" s="833"/>
      <c r="O790" s="833"/>
      <c r="Q790" s="833"/>
      <c r="R790" s="833"/>
      <c r="S790" s="833"/>
      <c r="T790" s="833"/>
      <c r="U790" s="833"/>
      <c r="V790" s="833"/>
      <c r="W790" s="833"/>
      <c r="X790" s="833"/>
    </row>
    <row r="791" spans="1:24" s="813" customFormat="1" ht="39.950000000000003" hidden="1" customHeight="1" x14ac:dyDescent="0.15">
      <c r="A791" s="2081"/>
      <c r="B791" s="834"/>
      <c r="C791" s="2"/>
      <c r="D791" s="1452" t="s">
        <v>2444</v>
      </c>
      <c r="E791" s="2"/>
      <c r="F791" s="2"/>
      <c r="G791" s="1407"/>
      <c r="H791" s="2"/>
      <c r="I791" s="839" t="str">
        <f>IF(I792=0,"-","")</f>
        <v/>
      </c>
      <c r="J791" s="839" t="str">
        <f>IF(J792=0,"-","")</f>
        <v>-</v>
      </c>
      <c r="K791" s="2078"/>
      <c r="L791" s="1574"/>
      <c r="M791" s="1974"/>
      <c r="N791" s="833"/>
      <c r="O791" s="833"/>
      <c r="Q791" s="833"/>
      <c r="R791" s="833"/>
      <c r="S791" s="833"/>
      <c r="T791" s="833"/>
      <c r="U791" s="833"/>
      <c r="V791" s="833"/>
      <c r="W791" s="833"/>
      <c r="X791" s="833"/>
    </row>
    <row r="792" spans="1:24" s="813" customFormat="1" ht="39.950000000000003" hidden="1" customHeight="1" x14ac:dyDescent="0.15">
      <c r="A792" s="2081">
        <f ca="1">+Orçamento_Não_Deson!A792</f>
        <v>10.039999999999999</v>
      </c>
      <c r="B792" s="834">
        <f>+Orçamento_Não_Deson!B792</f>
        <v>95875</v>
      </c>
      <c r="C792" s="2" t="str">
        <f>VLOOKUP($B792,[5]BOLETIM_SEL!$A:$H,2,0)</f>
        <v>SINAPI</v>
      </c>
      <c r="D792" s="315" t="str">
        <f>VLOOKUP($B792,[5]BOLETIM_SEL!$A:$H,4,0)</f>
        <v>Transporte com caminhão basculante de 10 m3, em via urbana pavimentada, DMT até 30,00 km (unidade: m3xkm). AF_07/2020</v>
      </c>
      <c r="E792" s="2">
        <f>+Orçamento_Não_Deson!E792</f>
        <v>4</v>
      </c>
      <c r="F792" s="2" t="str">
        <f>VLOOKUP($B792,[5]BOLETIM_SEL!$A:$H,6,0)</f>
        <v>M3XKM</v>
      </c>
      <c r="G792" s="1407">
        <f>VLOOKUP($B792,[5]BOLETIM_SEL!$A:$H,7,0)</f>
        <v>2.15</v>
      </c>
      <c r="H792" s="1613">
        <f>+Orçamento_Não_Deson!H792</f>
        <v>0</v>
      </c>
      <c r="I792" s="877">
        <f>+TRUNC(G792*(1+$J$5),2)</f>
        <v>2.72</v>
      </c>
      <c r="J792" s="1612">
        <f t="shared" ref="J792" si="158">TRUNC(H792*I792,2)</f>
        <v>0</v>
      </c>
      <c r="K792" s="2078">
        <f ca="1">J792/J$967</f>
        <v>0</v>
      </c>
      <c r="L792" s="1574">
        <f t="shared" ref="L792" si="159">+J792/$J$752</f>
        <v>0</v>
      </c>
      <c r="M792" s="1976">
        <f>+Orçamento_Não_Deson!M792</f>
        <v>0</v>
      </c>
      <c r="N792" s="833"/>
      <c r="O792" s="833"/>
      <c r="Q792" s="833"/>
      <c r="R792" s="833"/>
      <c r="S792" s="833"/>
      <c r="T792" s="833"/>
      <c r="U792" s="833"/>
      <c r="V792" s="833"/>
      <c r="W792" s="833"/>
      <c r="X792" s="833"/>
    </row>
    <row r="793" spans="1:24" s="813" customFormat="1" ht="24.95" customHeight="1" x14ac:dyDescent="0.15">
      <c r="A793" s="2081"/>
      <c r="B793" s="834"/>
      <c r="C793" s="2"/>
      <c r="D793" s="1452" t="s">
        <v>1877</v>
      </c>
      <c r="E793" s="2"/>
      <c r="F793" s="2"/>
      <c r="G793" s="1407"/>
      <c r="H793" s="2"/>
      <c r="I793" s="839"/>
      <c r="J793" s="839" t="str">
        <f>IF(J794=0,"-","")</f>
        <v/>
      </c>
      <c r="K793" s="2078"/>
      <c r="L793" s="1574"/>
      <c r="M793" s="1974"/>
      <c r="N793" s="833"/>
      <c r="O793" s="833"/>
      <c r="Q793" s="833"/>
      <c r="R793" s="833"/>
      <c r="S793" s="833"/>
      <c r="T793" s="833"/>
      <c r="U793" s="833"/>
      <c r="V793" s="833"/>
      <c r="W793" s="833"/>
      <c r="X793" s="833"/>
    </row>
    <row r="794" spans="1:24" s="813" customFormat="1" ht="39.950000000000003" customHeight="1" x14ac:dyDescent="0.15">
      <c r="A794" s="2081">
        <f ca="1">+Orçamento_Não_Deson!A794</f>
        <v>10.049999999999999</v>
      </c>
      <c r="B794" s="834">
        <f>+Orçamento_Não_Deson!B794</f>
        <v>100948</v>
      </c>
      <c r="C794" s="2" t="str">
        <f>VLOOKUP($B794,[5]BOLETIM_SEL!$A:$H,2,0)</f>
        <v>SINAPI</v>
      </c>
      <c r="D794" s="315" t="str">
        <f>VLOOKUP($B794,[5]BOLETIM_SEL!$A:$H,4,0)</f>
        <v>Transporte com caminhão carroceria 9t, em via urbana pavimentada, adicional para DMT excedente a 30,00 km (unidade: txkm). AF_07/2020</v>
      </c>
      <c r="E794" s="2">
        <f>+Orçamento_Não_Deson!E794</f>
        <v>100</v>
      </c>
      <c r="F794" s="2" t="str">
        <f>VLOOKUP($B794,[5]BOLETIM_SEL!$A:$H,6,0)</f>
        <v>TXKM</v>
      </c>
      <c r="G794" s="1407">
        <f>VLOOKUP($B794,[5]BOLETIM_SEL!$A:$H,7,0)</f>
        <v>0.76</v>
      </c>
      <c r="H794" s="1613">
        <f>+Orçamento_Não_Deson!H794</f>
        <v>1347</v>
      </c>
      <c r="I794" s="877">
        <f>+TRUNC(G794*(1+$J$5),2)</f>
        <v>0.96</v>
      </c>
      <c r="J794" s="1612">
        <f t="shared" si="154"/>
        <v>1293.1199999999999</v>
      </c>
      <c r="K794" s="2078">
        <f ca="1">J794/J$967</f>
        <v>9.4169477899980778E-5</v>
      </c>
      <c r="L794" s="1574">
        <f t="shared" si="149"/>
        <v>1.175432479470427E-3</v>
      </c>
      <c r="M794" s="1974"/>
      <c r="N794" s="833"/>
      <c r="O794" s="833"/>
      <c r="Q794" s="833"/>
      <c r="R794" s="833"/>
      <c r="S794" s="833"/>
      <c r="T794" s="833"/>
      <c r="U794" s="833"/>
      <c r="V794" s="833"/>
      <c r="W794" s="833"/>
      <c r="X794" s="833"/>
    </row>
    <row r="795" spans="1:24" s="813" customFormat="1" ht="39.950000000000003" customHeight="1" x14ac:dyDescent="0.15">
      <c r="A795" s="2081"/>
      <c r="B795" s="834"/>
      <c r="C795" s="834"/>
      <c r="D795" s="835"/>
      <c r="E795" s="2"/>
      <c r="F795" s="834"/>
      <c r="G795" s="1821"/>
      <c r="H795" s="1"/>
      <c r="I795" s="877"/>
      <c r="J795" s="839" t="str">
        <f>IF(J752=0,0,"")</f>
        <v/>
      </c>
      <c r="K795" s="2078"/>
      <c r="L795" s="1574"/>
      <c r="M795" s="1833"/>
      <c r="N795" s="833"/>
      <c r="O795" s="833"/>
      <c r="Q795" s="833"/>
      <c r="R795" s="833"/>
      <c r="S795" s="833"/>
      <c r="T795" s="833"/>
      <c r="U795" s="833"/>
      <c r="V795" s="833"/>
      <c r="W795" s="833"/>
      <c r="X795" s="833"/>
    </row>
    <row r="796" spans="1:24" s="843" customFormat="1" ht="39.950000000000003" hidden="1" customHeight="1" x14ac:dyDescent="0.15">
      <c r="A796" s="2082">
        <f ca="1">IF(J796&gt;0,INT(A752)+1,IF(J796=0,INT(A752),0))</f>
        <v>10</v>
      </c>
      <c r="B796" s="1633"/>
      <c r="C796" s="1633"/>
      <c r="D796" s="1641" t="s">
        <v>1957</v>
      </c>
      <c r="E796" s="1828"/>
      <c r="F796" s="1635"/>
      <c r="G796" s="1820" t="s">
        <v>908</v>
      </c>
      <c r="H796" s="1636"/>
      <c r="I796" s="1640" t="str">
        <f ca="1">CONCATENATE("SUB-TOTAL  ",A796)</f>
        <v>SUB-TOTAL  10</v>
      </c>
      <c r="J796" s="1639">
        <f>SUM(J797:J831)</f>
        <v>0</v>
      </c>
      <c r="K796" s="2079">
        <f t="shared" ref="K796:K813" ca="1" si="160">+J796/J$967</f>
        <v>0</v>
      </c>
      <c r="L796" s="1610" t="e">
        <f>+J796/$J$796</f>
        <v>#DIV/0!</v>
      </c>
      <c r="N796" s="1964" t="s">
        <v>1962</v>
      </c>
      <c r="O796" s="1655" t="s">
        <v>1988</v>
      </c>
    </row>
    <row r="797" spans="1:24" s="844" customFormat="1" ht="39.950000000000003" hidden="1" customHeight="1" x14ac:dyDescent="0.15">
      <c r="A797" s="2081">
        <f ca="1">+Orçamento_Não_Deson!A797</f>
        <v>10</v>
      </c>
      <c r="B797" s="834" t="str">
        <f>+Orçamento_Não_Deson!B797</f>
        <v>RE/0005</v>
      </c>
      <c r="C797" s="2" t="str">
        <f>VLOOKUP($B797,[5]BOLETIM_SEL!$A:$H,2,0)</f>
        <v>COMPOSIÇÃO</v>
      </c>
      <c r="D797" s="315" t="str">
        <f>VLOOKUP($B797,[5]BOLETIM_SEL!$A:$H,4,0)</f>
        <v>Fresagem de pavimento asfáltico para abertura de vala, profundidade até 30 cm, em locais com nível baixo de interferência (REF. SICRO COD. 4011480, data 01/2020 e SINAPI 96001, data 08/2020)</v>
      </c>
      <c r="E797" s="2">
        <f>+Orçamento_Não_Deson!E797</f>
        <v>0</v>
      </c>
      <c r="F797" s="2" t="str">
        <f>VLOOKUP($B797,[5]BOLETIM_SEL!$A:$H,6,0)</f>
        <v>M3</v>
      </c>
      <c r="G797" s="1407">
        <f>VLOOKUP($B797,[5]BOLETIM_SEL!$A:$H,7,0)</f>
        <v>75.05</v>
      </c>
      <c r="H797" s="1613">
        <f>+Orçamento_Não_Deson!H797</f>
        <v>0</v>
      </c>
      <c r="I797" s="877">
        <f t="shared" ref="I797:I813" si="161">+TRUNC(G797*(1+$J$5),2)</f>
        <v>95.11</v>
      </c>
      <c r="J797" s="1612">
        <f t="shared" ref="J797:J831" si="162">TRUNC(H797*I797,2)</f>
        <v>0</v>
      </c>
      <c r="K797" s="2078">
        <f t="shared" ca="1" si="160"/>
        <v>0</v>
      </c>
      <c r="L797" s="1574" t="e">
        <f>+J797/$J$796</f>
        <v>#DIV/0!</v>
      </c>
      <c r="M797" s="1974"/>
      <c r="N797" s="1965">
        <f>VLOOKUP($B797,[5]BOLETIM_SEL!$A:$H,3,0)</f>
        <v>30.39</v>
      </c>
      <c r="O797" s="1652">
        <f>+H797/N797</f>
        <v>0</v>
      </c>
      <c r="Q797" s="843"/>
      <c r="R797" s="843"/>
      <c r="S797" s="843"/>
      <c r="T797" s="843"/>
      <c r="U797" s="843"/>
      <c r="V797" s="843"/>
      <c r="W797" s="843"/>
      <c r="X797" s="843"/>
    </row>
    <row r="798" spans="1:24" s="844" customFormat="1" ht="39.950000000000003" hidden="1" customHeight="1" x14ac:dyDescent="0.15">
      <c r="A798" s="2081">
        <f ca="1">+Orçamento_Não_Deson!A798</f>
        <v>10</v>
      </c>
      <c r="B798" s="834">
        <f>+Orçamento_Não_Deson!B798</f>
        <v>101230</v>
      </c>
      <c r="C798" s="2" t="str">
        <f>VLOOKUP($B798,[5]BOLETIM_SEL!$A:$H,2,0)</f>
        <v>SINAPI</v>
      </c>
      <c r="D798" s="315" t="str">
        <f>VLOOKUP($B798,[5]BOLETIM_SEL!$A:$H,4,0)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798" s="2">
        <f>+Orçamento_Não_Deson!E798</f>
        <v>0</v>
      </c>
      <c r="F798" s="2" t="str">
        <f>VLOOKUP($B798,[5]BOLETIM_SEL!$A:$H,6,0)</f>
        <v>M3</v>
      </c>
      <c r="G798" s="1407">
        <f>VLOOKUP($B798,[5]BOLETIM_SEL!$A:$H,7,0)</f>
        <v>9.8699999999999992</v>
      </c>
      <c r="H798" s="1613">
        <f>+Orçamento_Não_Deson!H798</f>
        <v>0</v>
      </c>
      <c r="I798" s="877">
        <f t="shared" si="161"/>
        <v>12.5</v>
      </c>
      <c r="J798" s="1612">
        <f t="shared" si="162"/>
        <v>0</v>
      </c>
      <c r="K798" s="2078">
        <f t="shared" ca="1" si="160"/>
        <v>0</v>
      </c>
      <c r="L798" s="1574" t="e">
        <f t="shared" ref="L798:L831" si="163">+J798/$J$796</f>
        <v>#DIV/0!</v>
      </c>
      <c r="M798" s="1974"/>
      <c r="N798" s="1965" t="str">
        <f>VLOOKUP($B798,[5]BOLETIM_SEL!$A:$H,3,0)</f>
        <v>83338
52,08 m3/h</v>
      </c>
      <c r="O798" s="1652" t="e">
        <f>+H798/N798</f>
        <v>#VALUE!</v>
      </c>
      <c r="Q798" s="843"/>
      <c r="R798" s="843"/>
      <c r="S798" s="843"/>
      <c r="T798" s="843"/>
      <c r="U798" s="843"/>
      <c r="V798" s="843"/>
      <c r="W798" s="843"/>
      <c r="X798" s="843"/>
    </row>
    <row r="799" spans="1:24" s="844" customFormat="1" ht="39.950000000000003" hidden="1" customHeight="1" x14ac:dyDescent="0.15">
      <c r="A799" s="2081">
        <f ca="1">+Orçamento_Não_Deson!A799</f>
        <v>10</v>
      </c>
      <c r="B799" s="834" t="str">
        <f>+Orçamento_Não_Deson!B799</f>
        <v>PA/0010</v>
      </c>
      <c r="C799" s="2" t="str">
        <f>VLOOKUP($B799,[5]BOLETIM_SEL!$A:$H,2,0)</f>
        <v>COMPOSIÇÃO</v>
      </c>
      <c r="D799" s="315" t="str">
        <f>VLOOKUP($B799,[5]BOLETIM_SEL!$A:$H,4,0)</f>
        <v>Colchão de rachão e/ou pedra-de-mão, com camada final de pedra brita. Fornecimento e execução. Exclusive transporte da pedra</v>
      </c>
      <c r="E799" s="2">
        <f>+Orçamento_Não_Deson!E799</f>
        <v>0</v>
      </c>
      <c r="F799" s="2" t="str">
        <f>VLOOKUP($B799,[5]BOLETIM_SEL!$A:$H,6,0)</f>
        <v>M3</v>
      </c>
      <c r="G799" s="1407">
        <f>VLOOKUP($B799,[5]BOLETIM_SEL!$A:$H,7,0)</f>
        <v>137.07</v>
      </c>
      <c r="H799" s="1613">
        <f>+Orçamento_Não_Deson!H799</f>
        <v>0</v>
      </c>
      <c r="I799" s="877">
        <f t="shared" si="161"/>
        <v>173.72</v>
      </c>
      <c r="J799" s="1612">
        <f t="shared" si="162"/>
        <v>0</v>
      </c>
      <c r="K799" s="2078">
        <f t="shared" ca="1" si="160"/>
        <v>0</v>
      </c>
      <c r="L799" s="1574" t="e">
        <f t="shared" si="163"/>
        <v>#DIV/0!</v>
      </c>
      <c r="M799" s="1974"/>
      <c r="N799" s="1965">
        <f>VLOOKUP($B799,[5]BOLETIM_SEL!$A:$H,3,0)</f>
        <v>34.479999999999997</v>
      </c>
      <c r="O799" s="1652">
        <f>+H799/N799</f>
        <v>0</v>
      </c>
      <c r="Q799" s="843"/>
      <c r="R799" s="843"/>
      <c r="S799" s="843"/>
      <c r="T799" s="843"/>
      <c r="U799" s="843"/>
      <c r="V799" s="843"/>
      <c r="W799" s="843"/>
      <c r="X799" s="843"/>
    </row>
    <row r="800" spans="1:24" s="844" customFormat="1" ht="39.950000000000003" hidden="1" customHeight="1" x14ac:dyDescent="0.15">
      <c r="A800" s="2081">
        <f ca="1">+Orçamento_Não_Deson!A800</f>
        <v>10</v>
      </c>
      <c r="B800" s="834">
        <f>+Orçamento_Não_Deson!B800</f>
        <v>100576</v>
      </c>
      <c r="C800" s="2" t="str">
        <f>VLOOKUP($B800,[5]BOLETIM_SEL!$A:$H,2,0)</f>
        <v>SINAPI</v>
      </c>
      <c r="D800" s="315" t="str">
        <f>VLOOKUP($B800,[5]BOLETIM_SEL!$A:$H,4,0)</f>
        <v>Regularização e compactação de subleito de solo predominantemente argiloso. AF_11/2019</v>
      </c>
      <c r="E800" s="2">
        <f>+Orçamento_Não_Deson!E800</f>
        <v>0</v>
      </c>
      <c r="F800" s="2" t="str">
        <f>VLOOKUP($B800,[5]BOLETIM_SEL!$A:$H,6,0)</f>
        <v>M2</v>
      </c>
      <c r="G800" s="1407">
        <f>VLOOKUP($B800,[5]BOLETIM_SEL!$A:$H,7,0)</f>
        <v>2.25</v>
      </c>
      <c r="H800" s="1613">
        <f>+Orçamento_Não_Deson!H800</f>
        <v>0</v>
      </c>
      <c r="I800" s="877">
        <f t="shared" si="161"/>
        <v>2.85</v>
      </c>
      <c r="J800" s="1612">
        <f t="shared" si="162"/>
        <v>0</v>
      </c>
      <c r="K800" s="2078">
        <f t="shared" ca="1" si="160"/>
        <v>0</v>
      </c>
      <c r="L800" s="1574" t="e">
        <f t="shared" si="163"/>
        <v>#DIV/0!</v>
      </c>
      <c r="M800" s="1974"/>
      <c r="N800" s="1966">
        <f>VLOOKUP($B800,[5]BOLETIM_SEL!$A:$H,3,0)</f>
        <v>125</v>
      </c>
      <c r="O800" s="1652">
        <f>+H800/N800</f>
        <v>0</v>
      </c>
      <c r="Q800" s="843"/>
      <c r="R800" s="843"/>
      <c r="S800" s="843"/>
      <c r="T800" s="843"/>
      <c r="U800" s="843"/>
      <c r="V800" s="843"/>
      <c r="W800" s="843"/>
      <c r="X800" s="843"/>
    </row>
    <row r="801" spans="1:24" s="844" customFormat="1" ht="39.950000000000003" hidden="1" customHeight="1" x14ac:dyDescent="0.15">
      <c r="A801" s="2081">
        <f ca="1">+Orçamento_Não_Deson!A801</f>
        <v>10</v>
      </c>
      <c r="B801" s="834" t="str">
        <f>+Orçamento_Não_Deson!B801</f>
        <v>PA/0020</v>
      </c>
      <c r="C801" s="2" t="str">
        <f>VLOOKUP($B801,[5]BOLETIM_SEL!$A:$H,2,0)</f>
        <v>COMPOSIÇÃO</v>
      </c>
      <c r="D801" s="315" t="str">
        <f>VLOOKUP($B801,[5]BOLETIM_SEL!$A:$H,4,0)</f>
        <v>Execução e compactação de base e ou sub-base com material produto de britagem. Exclusive fornecimento e transporte de materiais (REF. SINAPI COD. 96396)</v>
      </c>
      <c r="E801" s="2">
        <f>+Orçamento_Não_Deson!E801</f>
        <v>0</v>
      </c>
      <c r="F801" s="2" t="str">
        <f>VLOOKUP($B801,[5]BOLETIM_SEL!$A:$H,6,0)</f>
        <v>M3</v>
      </c>
      <c r="G801" s="1407">
        <f>VLOOKUP($B801,[5]BOLETIM_SEL!$A:$H,7,0)</f>
        <v>11.99</v>
      </c>
      <c r="H801" s="1613">
        <f>+Orçamento_Não_Deson!H801</f>
        <v>0</v>
      </c>
      <c r="I801" s="877">
        <f t="shared" si="161"/>
        <v>15.19</v>
      </c>
      <c r="J801" s="1612">
        <f t="shared" si="162"/>
        <v>0</v>
      </c>
      <c r="K801" s="2078">
        <f t="shared" ca="1" si="160"/>
        <v>0</v>
      </c>
      <c r="L801" s="1574" t="e">
        <f t="shared" si="163"/>
        <v>#DIV/0!</v>
      </c>
      <c r="M801" s="1974"/>
      <c r="N801" s="1965">
        <f>VLOOKUP($B801,[5]BOLETIM_SEL!$A:$H,3,0)</f>
        <v>33.33</v>
      </c>
      <c r="O801" s="1652">
        <f>+H801/N801</f>
        <v>0</v>
      </c>
      <c r="Q801" s="843"/>
      <c r="R801" s="843"/>
      <c r="S801" s="843"/>
      <c r="T801" s="843"/>
      <c r="U801" s="843"/>
      <c r="V801" s="843"/>
      <c r="W801" s="843"/>
      <c r="X801" s="843"/>
    </row>
    <row r="802" spans="1:24" s="844" customFormat="1" ht="39.950000000000003" hidden="1" customHeight="1" x14ac:dyDescent="0.15">
      <c r="A802" s="2081">
        <f ca="1">+Orçamento_Não_Deson!A802</f>
        <v>10</v>
      </c>
      <c r="B802" s="834" t="str">
        <f>+Orçamento_Não_Deson!B802</f>
        <v>PA/0023</v>
      </c>
      <c r="C802" s="2" t="str">
        <f>VLOOKUP($B802,[5]BOLETIM_SEL!$A:$H,2,0)</f>
        <v>COMPOSIÇÃO</v>
      </c>
      <c r="D802" s="315" t="str">
        <f>VLOOKUP($B802,[5]BOLETIM_SEL!$A:$H,4,0)</f>
        <v>Pintura de ligação, execução e fornecimento de emulsão asfáltica RR-1C (ref SINAPI cód 104375)</v>
      </c>
      <c r="E802" s="2">
        <f>+Orçamento_Não_Deson!E802</f>
        <v>0</v>
      </c>
      <c r="F802" s="2" t="str">
        <f>VLOOKUP($B802,[5]BOLETIM_SEL!$A:$H,6,0)</f>
        <v>M2</v>
      </c>
      <c r="G802" s="1407">
        <f>VLOOKUP($B802,[5]BOLETIM_SEL!$A:$H,7,0)</f>
        <v>2.4300000000000002</v>
      </c>
      <c r="H802" s="1613">
        <f>+Orçamento_Não_Deson!H802</f>
        <v>0</v>
      </c>
      <c r="I802" s="877">
        <f t="shared" si="161"/>
        <v>3.07</v>
      </c>
      <c r="J802" s="1612">
        <f t="shared" si="162"/>
        <v>0</v>
      </c>
      <c r="K802" s="2078">
        <f t="shared" ca="1" si="160"/>
        <v>0</v>
      </c>
      <c r="L802" s="1574" t="e">
        <f t="shared" si="163"/>
        <v>#DIV/0!</v>
      </c>
      <c r="M802" s="1974"/>
      <c r="N802" s="1965"/>
      <c r="O802" s="1652"/>
      <c r="Q802" s="843"/>
      <c r="R802" s="843"/>
      <c r="S802" s="843"/>
      <c r="T802" s="843"/>
      <c r="U802" s="843"/>
      <c r="V802" s="843"/>
      <c r="W802" s="843"/>
      <c r="X802" s="843"/>
    </row>
    <row r="803" spans="1:24" s="844" customFormat="1" ht="39.950000000000003" hidden="1" customHeight="1" x14ac:dyDescent="0.15">
      <c r="A803" s="2081">
        <f ca="1">+Orçamento_Não_Deson!A803</f>
        <v>10</v>
      </c>
      <c r="B803" s="834" t="str">
        <f>+Orçamento_Não_Deson!B803</f>
        <v>PA/0060</v>
      </c>
      <c r="C803" s="2" t="str">
        <f>VLOOKUP($B803,[5]BOLETIM_SEL!$A:$H,2,0)</f>
        <v>COMPOSIÇÃO</v>
      </c>
      <c r="D803" s="315" t="str">
        <f>VLOOKUP($B803,[5]BOLETIM_SEL!$A:$H,4,0)</f>
        <v>Execução de pavimento de concreto simples (PCS), FCK = 40 mpa, camada com espessura de 20 cm. Incluindo cordão de polietileno expandido, selante elástico, barra de transferência e treliça (03.PAVI.PAVC.005/01)</v>
      </c>
      <c r="E803" s="2">
        <f>+Orçamento_Não_Deson!E803</f>
        <v>0</v>
      </c>
      <c r="F803" s="2" t="str">
        <f>VLOOKUP($B803,[5]BOLETIM_SEL!$A:$H,6,0)</f>
        <v>M2</v>
      </c>
      <c r="G803" s="1407">
        <f>VLOOKUP($B803,[5]BOLETIM_SEL!$A:$H,7,0)</f>
        <v>177.14</v>
      </c>
      <c r="H803" s="1613">
        <f>+Orçamento_Não_Deson!H803</f>
        <v>0</v>
      </c>
      <c r="I803" s="877">
        <f t="shared" si="161"/>
        <v>224.5</v>
      </c>
      <c r="J803" s="1612">
        <f t="shared" si="162"/>
        <v>0</v>
      </c>
      <c r="K803" s="2078">
        <f t="shared" ca="1" si="160"/>
        <v>0</v>
      </c>
      <c r="L803" s="1574" t="e">
        <f t="shared" si="163"/>
        <v>#DIV/0!</v>
      </c>
      <c r="M803" s="1974"/>
      <c r="N803" s="1966">
        <f>VLOOKUP($B803,[5]BOLETIM_SEL!$A:$H,3,0)</f>
        <v>25.91</v>
      </c>
      <c r="O803" s="1652">
        <f>+H803/N803</f>
        <v>0</v>
      </c>
      <c r="Q803" s="843"/>
      <c r="R803" s="843"/>
      <c r="S803" s="843"/>
      <c r="T803" s="843"/>
      <c r="U803" s="843"/>
      <c r="V803" s="843"/>
      <c r="W803" s="843"/>
      <c r="X803" s="843"/>
    </row>
    <row r="804" spans="1:24" s="844" customFormat="1" ht="39.950000000000003" hidden="1" customHeight="1" x14ac:dyDescent="0.15">
      <c r="A804" s="2081">
        <f ca="1">+Orçamento_Não_Deson!A804</f>
        <v>10</v>
      </c>
      <c r="B804" s="834">
        <f>+Orçamento_Não_Deson!B804</f>
        <v>101230</v>
      </c>
      <c r="C804" s="2" t="str">
        <f>VLOOKUP($B804,[5]BOLETIM_SEL!$A:$H,2,0)</f>
        <v>SINAPI</v>
      </c>
      <c r="D804" s="315" t="str">
        <f>VLOOKUP($B804,[5]BOLETIM_SEL!$A:$H,4,0)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04" s="2">
        <f>+Orçamento_Não_Deson!E804</f>
        <v>0</v>
      </c>
      <c r="F804" s="2" t="str">
        <f>VLOOKUP($B804,[5]BOLETIM_SEL!$A:$H,6,0)</f>
        <v>M3</v>
      </c>
      <c r="G804" s="1407">
        <f>VLOOKUP($B804,[5]BOLETIM_SEL!$A:$H,7,0)</f>
        <v>9.8699999999999992</v>
      </c>
      <c r="H804" s="1613">
        <f>+Orçamento_Não_Deson!H804</f>
        <v>0</v>
      </c>
      <c r="I804" s="877">
        <f t="shared" si="161"/>
        <v>12.5</v>
      </c>
      <c r="J804" s="1612">
        <f t="shared" si="162"/>
        <v>0</v>
      </c>
      <c r="K804" s="2078">
        <f t="shared" ca="1" si="160"/>
        <v>0</v>
      </c>
      <c r="L804" s="1574" t="e">
        <f t="shared" si="163"/>
        <v>#DIV/0!</v>
      </c>
      <c r="M804" s="1974"/>
      <c r="N804" s="843"/>
      <c r="O804" s="843"/>
      <c r="Q804" s="843"/>
      <c r="R804" s="843"/>
      <c r="S804" s="843"/>
      <c r="T804" s="843"/>
      <c r="U804" s="843"/>
      <c r="V804" s="843"/>
      <c r="W804" s="843"/>
      <c r="X804" s="843"/>
    </row>
    <row r="805" spans="1:24" s="844" customFormat="1" ht="39.950000000000003" hidden="1" customHeight="1" x14ac:dyDescent="0.15">
      <c r="A805" s="2081">
        <f ca="1">+Orçamento_Não_Deson!A805</f>
        <v>10</v>
      </c>
      <c r="B805" s="834">
        <f>+Orçamento_Não_Deson!B805</f>
        <v>96995</v>
      </c>
      <c r="C805" s="2" t="str">
        <f>VLOOKUP($B805,[5]BOLETIM_SEL!$A:$H,2,0)</f>
        <v>SINAPI</v>
      </c>
      <c r="D805" s="315" t="str">
        <f>VLOOKUP($B805,[5]BOLETIM_SEL!$A:$H,4,0)</f>
        <v>Reaterro manual apiloado com soquete. AF_10/2017</v>
      </c>
      <c r="E805" s="2">
        <f>+Orçamento_Não_Deson!E805</f>
        <v>0</v>
      </c>
      <c r="F805" s="2" t="str">
        <f>VLOOKUP($B805,[5]BOLETIM_SEL!$A:$H,6,0)</f>
        <v>M3</v>
      </c>
      <c r="G805" s="1407">
        <f>VLOOKUP($B805,[5]BOLETIM_SEL!$A:$H,7,0)</f>
        <v>40.869999999999997</v>
      </c>
      <c r="H805" s="1613">
        <f>+Orçamento_Não_Deson!H805</f>
        <v>0</v>
      </c>
      <c r="I805" s="877">
        <f t="shared" si="161"/>
        <v>51.79</v>
      </c>
      <c r="J805" s="1612">
        <f t="shared" si="162"/>
        <v>0</v>
      </c>
      <c r="K805" s="2078">
        <f t="shared" ca="1" si="160"/>
        <v>0</v>
      </c>
      <c r="L805" s="1574" t="e">
        <f t="shared" si="163"/>
        <v>#DIV/0!</v>
      </c>
      <c r="M805" s="1974"/>
      <c r="N805" s="1965">
        <f>VLOOKUP($B805,[5]BOLETIM_SEL!$A:$H,3,0)</f>
        <v>0.42</v>
      </c>
      <c r="O805" s="1652">
        <f>+H805/N805</f>
        <v>0</v>
      </c>
      <c r="Q805" s="843"/>
      <c r="R805" s="843"/>
      <c r="S805" s="843"/>
      <c r="T805" s="843"/>
      <c r="U805" s="843"/>
      <c r="V805" s="843"/>
      <c r="W805" s="843"/>
      <c r="X805" s="843"/>
    </row>
    <row r="806" spans="1:24" s="844" customFormat="1" ht="39.950000000000003" hidden="1" customHeight="1" x14ac:dyDescent="0.15">
      <c r="A806" s="2081">
        <f ca="1">+Orçamento_Não_Deson!A806</f>
        <v>10</v>
      </c>
      <c r="B806" s="834">
        <f>+Orçamento_Não_Deson!B806</f>
        <v>100324</v>
      </c>
      <c r="C806" s="2" t="str">
        <f>VLOOKUP($B806,[5]BOLETIM_SEL!$A:$H,2,0)</f>
        <v>SINAPI</v>
      </c>
      <c r="D806" s="315" t="str">
        <f>VLOOKUP($B806,[5]BOLETIM_SEL!$A:$H,4,0)</f>
        <v>Lastro com material granular (pedra britada n.1 e pedra britada n.2), aplicado em pisos ou radiers, espessura de *10 cm*. AF_07/2019</v>
      </c>
      <c r="E806" s="2">
        <f>+Orçamento_Não_Deson!E806</f>
        <v>0</v>
      </c>
      <c r="F806" s="2" t="str">
        <f>VLOOKUP($B806,[5]BOLETIM_SEL!$A:$H,6,0)</f>
        <v>M3</v>
      </c>
      <c r="G806" s="1407">
        <f>VLOOKUP($B806,[5]BOLETIM_SEL!$A:$H,7,0)</f>
        <v>137.78</v>
      </c>
      <c r="H806" s="1613">
        <f>+Orçamento_Não_Deson!H806</f>
        <v>0</v>
      </c>
      <c r="I806" s="877">
        <f t="shared" si="161"/>
        <v>174.62</v>
      </c>
      <c r="J806" s="1612">
        <f t="shared" si="162"/>
        <v>0</v>
      </c>
      <c r="K806" s="2078">
        <f t="shared" ca="1" si="160"/>
        <v>0</v>
      </c>
      <c r="L806" s="1574" t="e">
        <f t="shared" si="163"/>
        <v>#DIV/0!</v>
      </c>
      <c r="M806" s="1974"/>
      <c r="N806" s="843"/>
      <c r="O806" s="843"/>
      <c r="Q806" s="843"/>
      <c r="R806" s="843"/>
      <c r="S806" s="843"/>
      <c r="T806" s="843"/>
      <c r="U806" s="843"/>
      <c r="V806" s="843"/>
      <c r="W806" s="843"/>
      <c r="X806" s="843"/>
    </row>
    <row r="807" spans="1:24" s="844" customFormat="1" ht="39.950000000000003" hidden="1" customHeight="1" x14ac:dyDescent="0.15">
      <c r="A807" s="2081">
        <f ca="1">+Orçamento_Não_Deson!A807</f>
        <v>10</v>
      </c>
      <c r="B807" s="834">
        <f>+Orçamento_Não_Deson!B807</f>
        <v>94995</v>
      </c>
      <c r="C807" s="2" t="str">
        <f>VLOOKUP($B807,[5]BOLETIM_SEL!$A:$H,2,0)</f>
        <v>SINAPI</v>
      </c>
      <c r="D807" s="315" t="str">
        <f>VLOOKUP($B807,[5]BOLETIM_SEL!$A:$H,4,0)</f>
        <v>Execução de passeio (calçada) ou piso de concreto com concreto moldado in loco, usinado, acabamento convencional, espessura 8 cm, armado. AF_07/2016</v>
      </c>
      <c r="E807" s="2">
        <f>+Orçamento_Não_Deson!E807</f>
        <v>0</v>
      </c>
      <c r="F807" s="2" t="str">
        <f>VLOOKUP($B807,[5]BOLETIM_SEL!$A:$H,6,0)</f>
        <v>M2</v>
      </c>
      <c r="G807" s="1407">
        <f>VLOOKUP($B807,[5]BOLETIM_SEL!$A:$H,7,0)</f>
        <v>95.36</v>
      </c>
      <c r="H807" s="1613">
        <f>+Orçamento_Não_Deson!H807</f>
        <v>0</v>
      </c>
      <c r="I807" s="877">
        <f t="shared" si="161"/>
        <v>120.85</v>
      </c>
      <c r="J807" s="1612">
        <f t="shared" si="162"/>
        <v>0</v>
      </c>
      <c r="K807" s="2078">
        <f t="shared" ca="1" si="160"/>
        <v>0</v>
      </c>
      <c r="L807" s="1574" t="e">
        <f t="shared" si="163"/>
        <v>#DIV/0!</v>
      </c>
      <c r="M807" s="1974"/>
      <c r="N807" s="843"/>
      <c r="O807" s="843"/>
      <c r="Q807" s="843"/>
      <c r="R807" s="843"/>
      <c r="S807" s="843"/>
      <c r="T807" s="843"/>
      <c r="U807" s="843"/>
      <c r="V807" s="843"/>
      <c r="W807" s="843"/>
      <c r="X807" s="843"/>
    </row>
    <row r="808" spans="1:24" s="844" customFormat="1" ht="39.950000000000003" hidden="1" customHeight="1" x14ac:dyDescent="0.15">
      <c r="A808" s="2081">
        <f ca="1">+Orçamento_Não_Deson!A808</f>
        <v>10</v>
      </c>
      <c r="B808" s="834" t="str">
        <f>+Orçamento_Não_Deson!B808</f>
        <v>SC/0015</v>
      </c>
      <c r="C808" s="2" t="str">
        <f>VLOOKUP($B808,[5]BOLETIM_SEL!$A:$H,2,0)</f>
        <v>COMPOSIÇÃO</v>
      </c>
      <c r="D808" s="315" t="str">
        <f>VLOOKUP($B808,[5]BOLETIM_SEL!$A:$H,4,0)</f>
        <v>Meio-fio (guia) para estação de embarque, concreto FCK = 15mpa, seção 500cm2, moldado no local, inclusive escavação e pintura a cal em uma demão</v>
      </c>
      <c r="E808" s="2">
        <f>+Orçamento_Não_Deson!E808</f>
        <v>0</v>
      </c>
      <c r="F808" s="2" t="str">
        <f>VLOOKUP($B808,[5]BOLETIM_SEL!$A:$H,6,0)</f>
        <v>M</v>
      </c>
      <c r="G808" s="1407">
        <f>VLOOKUP($B808,[5]BOLETIM_SEL!$A:$H,7,0)</f>
        <v>42.21</v>
      </c>
      <c r="H808" s="1613">
        <f>+Orçamento_Não_Deson!H808</f>
        <v>0</v>
      </c>
      <c r="I808" s="877">
        <f t="shared" si="161"/>
        <v>53.49</v>
      </c>
      <c r="J808" s="1612">
        <f t="shared" si="162"/>
        <v>0</v>
      </c>
      <c r="K808" s="2078">
        <f t="shared" ca="1" si="160"/>
        <v>0</v>
      </c>
      <c r="L808" s="1574" t="e">
        <f t="shared" si="163"/>
        <v>#DIV/0!</v>
      </c>
      <c r="M808" s="1974"/>
      <c r="N808" s="1966">
        <f>VLOOKUP($B808,[5]BOLETIM_SEL!$A:$H,3,0)</f>
        <v>13.6</v>
      </c>
      <c r="O808" s="1652">
        <f>+H808/N808</f>
        <v>0</v>
      </c>
      <c r="Q808" s="843"/>
      <c r="R808" s="843"/>
      <c r="S808" s="843"/>
      <c r="T808" s="843"/>
      <c r="U808" s="843"/>
      <c r="V808" s="843"/>
      <c r="W808" s="843"/>
      <c r="X808" s="843"/>
    </row>
    <row r="809" spans="1:24" s="844" customFormat="1" ht="39.950000000000003" hidden="1" customHeight="1" x14ac:dyDescent="0.15">
      <c r="A809" s="2081">
        <f ca="1">+Orçamento_Não_Deson!A809</f>
        <v>10</v>
      </c>
      <c r="B809" s="834">
        <f>+Orçamento_Não_Deson!B809</f>
        <v>6079</v>
      </c>
      <c r="C809" s="2" t="str">
        <f>VLOOKUP($B809,[5]BOLETIM_SEL!$A:$H,2,0)</f>
        <v>COTAÇÃO - SINAPI</v>
      </c>
      <c r="D809" s="315" t="str">
        <f>VLOOKUP($B809,[5]BOLETIM_SEL!$A:$H,4,0)</f>
        <v>Argila, argila vermelha ou argila arenosa (retirada na jazida, sem transporte)</v>
      </c>
      <c r="E809" s="2">
        <f>+Orçamento_Não_Deson!E809</f>
        <v>0</v>
      </c>
      <c r="F809" s="2" t="str">
        <f>VLOOKUP($B809,[5]BOLETIM_SEL!$A:$H,6,0)</f>
        <v xml:space="preserve">M3    </v>
      </c>
      <c r="G809" s="1407">
        <f>VLOOKUP($B809,[5]BOLETIM_SEL!$A:$H,7,0)</f>
        <v>33.700000000000003</v>
      </c>
      <c r="H809" s="1613">
        <f>+Orçamento_Não_Deson!H809</f>
        <v>0</v>
      </c>
      <c r="I809" s="877">
        <f t="shared" si="161"/>
        <v>42.71</v>
      </c>
      <c r="J809" s="1612">
        <f t="shared" si="162"/>
        <v>0</v>
      </c>
      <c r="K809" s="2078">
        <f t="shared" ca="1" si="160"/>
        <v>0</v>
      </c>
      <c r="L809" s="1574" t="e">
        <f t="shared" si="163"/>
        <v>#DIV/0!</v>
      </c>
      <c r="M809" s="1975" t="str">
        <f>+Orçamento_Não_Deson!M809</f>
        <v>COMERCIAL</v>
      </c>
      <c r="N809" s="843"/>
      <c r="O809" s="843"/>
      <c r="Q809" s="843"/>
      <c r="R809" s="843"/>
      <c r="S809" s="843"/>
      <c r="T809" s="843"/>
      <c r="U809" s="843"/>
      <c r="V809" s="843"/>
      <c r="W809" s="843"/>
      <c r="X809" s="843"/>
    </row>
    <row r="810" spans="1:24" s="844" customFormat="1" ht="39.950000000000003" hidden="1" customHeight="1" x14ac:dyDescent="0.15">
      <c r="A810" s="2081">
        <f ca="1">+Orçamento_Não_Deson!A810</f>
        <v>10</v>
      </c>
      <c r="B810" s="834">
        <f>+Orçamento_Não_Deson!B810</f>
        <v>4748</v>
      </c>
      <c r="C810" s="2" t="str">
        <f>VLOOKUP($B810,[5]BOLETIM_SEL!$A:$H,2,0)</f>
        <v>COTAÇÃO - SINAPI</v>
      </c>
      <c r="D810" s="315" t="str">
        <f>VLOOKUP($B810,[5]BOLETIM_SEL!$A:$H,4,0)</f>
        <v>Pedra britada ou bica corrida, não classificada (posto pedreira/fornecedor, sem frete)</v>
      </c>
      <c r="E810" s="2">
        <f>+Orçamento_Não_Deson!E810</f>
        <v>0</v>
      </c>
      <c r="F810" s="2" t="str">
        <f>VLOOKUP($B810,[5]BOLETIM_SEL!$A:$H,6,0)</f>
        <v xml:space="preserve">M3    </v>
      </c>
      <c r="G810" s="1407">
        <f>VLOOKUP($B810,[5]BOLETIM_SEL!$A:$H,7,0)</f>
        <v>89.58</v>
      </c>
      <c r="H810" s="1613">
        <f>+Orçamento_Não_Deson!H810</f>
        <v>0</v>
      </c>
      <c r="I810" s="877">
        <f t="shared" si="161"/>
        <v>113.53</v>
      </c>
      <c r="J810" s="1612">
        <f t="shared" si="162"/>
        <v>0</v>
      </c>
      <c r="K810" s="2078">
        <f t="shared" ca="1" si="160"/>
        <v>0</v>
      </c>
      <c r="L810" s="1574" t="e">
        <f t="shared" si="163"/>
        <v>#DIV/0!</v>
      </c>
      <c r="M810" s="1974"/>
      <c r="N810" s="843"/>
      <c r="O810" s="843"/>
      <c r="Q810" s="843"/>
      <c r="R810" s="843"/>
      <c r="S810" s="843"/>
      <c r="T810" s="843"/>
      <c r="U810" s="843"/>
      <c r="V810" s="843"/>
      <c r="W810" s="843"/>
      <c r="X810" s="843"/>
    </row>
    <row r="811" spans="1:24" s="844" customFormat="1" ht="39.950000000000003" hidden="1" customHeight="1" x14ac:dyDescent="0.15">
      <c r="A811" s="2081">
        <f ca="1">+Orçamento_Não_Deson!A811</f>
        <v>10</v>
      </c>
      <c r="B811" s="834">
        <f>+Orçamento_Não_Deson!B811</f>
        <v>4729</v>
      </c>
      <c r="C811" s="2" t="str">
        <f>VLOOKUP($B811,[5]BOLETIM_SEL!$A:$H,2,0)</f>
        <v>COTAÇÃO - SINAPI</v>
      </c>
      <c r="D811" s="315" t="str">
        <f>VLOOKUP($B811,[5]BOLETIM_SEL!$A:$H,4,0)</f>
        <v>Pedra britada graduada, classificada (posto pedreira/fornecedor, sem frete)</v>
      </c>
      <c r="E811" s="2">
        <f>+Orçamento_Não_Deson!E811</f>
        <v>0</v>
      </c>
      <c r="F811" s="2" t="str">
        <f>VLOOKUP($B811,[5]BOLETIM_SEL!$A:$H,6,0)</f>
        <v xml:space="preserve">M3    </v>
      </c>
      <c r="G811" s="1407">
        <f>VLOOKUP($B811,[5]BOLETIM_SEL!$A:$H,7,0)</f>
        <v>97.72</v>
      </c>
      <c r="H811" s="1613">
        <f>+Orçamento_Não_Deson!H811</f>
        <v>0</v>
      </c>
      <c r="I811" s="877">
        <f t="shared" si="161"/>
        <v>123.85</v>
      </c>
      <c r="J811" s="1612">
        <f t="shared" si="162"/>
        <v>0</v>
      </c>
      <c r="K811" s="2078">
        <f t="shared" ca="1" si="160"/>
        <v>0</v>
      </c>
      <c r="L811" s="1574" t="e">
        <f t="shared" si="163"/>
        <v>#DIV/0!</v>
      </c>
      <c r="M811" s="1974"/>
      <c r="N811" s="843"/>
      <c r="O811" s="843"/>
      <c r="Q811" s="843"/>
      <c r="R811" s="843"/>
      <c r="S811" s="843"/>
      <c r="T811" s="843"/>
      <c r="U811" s="843"/>
      <c r="V811" s="843"/>
      <c r="W811" s="843"/>
      <c r="X811" s="843"/>
    </row>
    <row r="812" spans="1:24" s="844" customFormat="1" ht="39.950000000000003" hidden="1" customHeight="1" x14ac:dyDescent="0.15">
      <c r="A812" s="2081">
        <f ca="1">+Orçamento_Não_Deson!A812</f>
        <v>10</v>
      </c>
      <c r="B812" s="834">
        <f>+Orçamento_Não_Deson!B812</f>
        <v>100978</v>
      </c>
      <c r="C812" s="2" t="str">
        <f>VLOOKUP($B812,[5]BOLETIM_SEL!$A:$H,2,0)</f>
        <v>SINAPI</v>
      </c>
      <c r="D812" s="315" t="str">
        <f>VLOOKUP($B812,[5]BOLETIM_SEL!$A:$H,4,0)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812" s="2">
        <f>+Orçamento_Não_Deson!E812</f>
        <v>0</v>
      </c>
      <c r="F812" s="2" t="str">
        <f>VLOOKUP($B812,[5]BOLETIM_SEL!$A:$H,6,0)</f>
        <v>M3</v>
      </c>
      <c r="G812" s="1407">
        <f>VLOOKUP($B812,[5]BOLETIM_SEL!$A:$H,7,0)</f>
        <v>6.04</v>
      </c>
      <c r="H812" s="1613">
        <f>+Orçamento_Não_Deson!H812</f>
        <v>0</v>
      </c>
      <c r="I812" s="877">
        <f t="shared" si="161"/>
        <v>7.65</v>
      </c>
      <c r="J812" s="1612">
        <f t="shared" si="162"/>
        <v>0</v>
      </c>
      <c r="K812" s="2078">
        <f t="shared" ca="1" si="160"/>
        <v>0</v>
      </c>
      <c r="L812" s="1574" t="e">
        <f t="shared" si="163"/>
        <v>#DIV/0!</v>
      </c>
      <c r="M812" s="1975" t="str">
        <f>+Orçamento_Não_Deson!M812</f>
        <v>ESCAVADEIRA</v>
      </c>
      <c r="N812" s="843"/>
      <c r="O812" s="843"/>
      <c r="Q812" s="843"/>
      <c r="R812" s="843"/>
      <c r="S812" s="843"/>
      <c r="T812" s="843"/>
      <c r="U812" s="843"/>
      <c r="V812" s="843"/>
      <c r="W812" s="843"/>
      <c r="X812" s="843"/>
    </row>
    <row r="813" spans="1:24" s="844" customFormat="1" ht="39.950000000000003" hidden="1" customHeight="1" x14ac:dyDescent="0.15">
      <c r="A813" s="2081">
        <f ca="1">+Orçamento_Não_Deson!A813</f>
        <v>10</v>
      </c>
      <c r="B813" s="834">
        <f>+Orçamento_Não_Deson!B813</f>
        <v>100979</v>
      </c>
      <c r="C813" s="2" t="str">
        <f>VLOOKUP($B813,[5]BOLETIM_SEL!$A:$H,2,0)</f>
        <v>SINAPI</v>
      </c>
      <c r="D813" s="315" t="str">
        <f>VLOOKUP($B813,[5]BOLETIM_SEL!$A:$H,4,0)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813" s="2">
        <f>+Orçamento_Não_Deson!E813</f>
        <v>0</v>
      </c>
      <c r="F813" s="2" t="str">
        <f>VLOOKUP($B813,[5]BOLETIM_SEL!$A:$H,6,0)</f>
        <v>M3</v>
      </c>
      <c r="G813" s="1407">
        <f>VLOOKUP($B813,[5]BOLETIM_SEL!$A:$H,7,0)</f>
        <v>5.91</v>
      </c>
      <c r="H813" s="1613">
        <f>+Orçamento_Não_Deson!H813</f>
        <v>0</v>
      </c>
      <c r="I813" s="877">
        <f t="shared" si="161"/>
        <v>7.49</v>
      </c>
      <c r="J813" s="1612">
        <f t="shared" si="162"/>
        <v>0</v>
      </c>
      <c r="K813" s="2078">
        <f t="shared" ca="1" si="160"/>
        <v>0</v>
      </c>
      <c r="L813" s="1574" t="e">
        <f t="shared" si="163"/>
        <v>#DIV/0!</v>
      </c>
      <c r="M813" s="1975" t="str">
        <f>+Orçamento_Não_Deson!M813</f>
        <v>ESCAVADEIRA</v>
      </c>
      <c r="N813" s="843"/>
      <c r="O813" s="843"/>
      <c r="Q813" s="843"/>
      <c r="R813" s="843"/>
      <c r="S813" s="843"/>
      <c r="T813" s="843"/>
      <c r="U813" s="843"/>
      <c r="V813" s="843"/>
      <c r="W813" s="843"/>
      <c r="X813" s="843"/>
    </row>
    <row r="814" spans="1:24" s="844" customFormat="1" ht="39.950000000000003" hidden="1" customHeight="1" x14ac:dyDescent="0.15">
      <c r="A814" s="2081"/>
      <c r="B814" s="834"/>
      <c r="C814" s="2"/>
      <c r="D814" s="1452" t="s">
        <v>1795</v>
      </c>
      <c r="E814" s="2"/>
      <c r="F814" s="2"/>
      <c r="G814" s="1407"/>
      <c r="H814" s="1407"/>
      <c r="I814" s="2"/>
      <c r="J814" s="839" t="str">
        <f>IF(J815=0,"-","")</f>
        <v>-</v>
      </c>
      <c r="K814" s="2078"/>
      <c r="L814" s="1574"/>
      <c r="M814" s="1974" t="str">
        <f>+Orçamento_Não_Deson!M814</f>
        <v>Definir depósito reciclável: 2, 3 ou 4</v>
      </c>
      <c r="N814" s="843"/>
      <c r="O814" s="843"/>
      <c r="Q814" s="843"/>
      <c r="R814" s="843"/>
      <c r="S814" s="843"/>
      <c r="T814" s="843"/>
      <c r="U814" s="843"/>
      <c r="V814" s="843"/>
      <c r="W814" s="843"/>
      <c r="X814" s="843"/>
    </row>
    <row r="815" spans="1:24" s="844" customFormat="1" ht="39.950000000000003" hidden="1" customHeight="1" x14ac:dyDescent="0.15">
      <c r="A815" s="2081">
        <f ca="1">+Orçamento_Não_Deson!A815</f>
        <v>10</v>
      </c>
      <c r="B815" s="834">
        <f>+Orçamento_Não_Deson!B815</f>
        <v>95878</v>
      </c>
      <c r="C815" s="2" t="str">
        <f>VLOOKUP($B815,[5]BOLETIM_SEL!$A:$H,2,0)</f>
        <v>SINAPI</v>
      </c>
      <c r="D815" s="315" t="str">
        <f>VLOOKUP($B815,[5]BOLETIM_SEL!$A:$H,4,0)</f>
        <v>Transporte com caminhão basculante de 10 m3, em via urbana pavimentada, DMT até 30,00 km (unidade: txkm). AF_07/2020</v>
      </c>
      <c r="E815" s="2">
        <f>+Orçamento_Não_Deson!E815</f>
        <v>0</v>
      </c>
      <c r="F815" s="2" t="str">
        <f>VLOOKUP($B815,[5]BOLETIM_SEL!$A:$H,6,0)</f>
        <v>TXKM</v>
      </c>
      <c r="G815" s="1407">
        <f>VLOOKUP($B815,[5]BOLETIM_SEL!$A:$H,7,0)</f>
        <v>1.44</v>
      </c>
      <c r="H815" s="1613">
        <f>+Orçamento_Não_Deson!H815</f>
        <v>0</v>
      </c>
      <c r="I815" s="877">
        <f>+TRUNC(G815*(1+$J$5),2)</f>
        <v>1.82</v>
      </c>
      <c r="J815" s="1612">
        <f t="shared" si="162"/>
        <v>0</v>
      </c>
      <c r="K815" s="2078">
        <f ca="1">+J815/J$967</f>
        <v>0</v>
      </c>
      <c r="L815" s="1574" t="e">
        <f t="shared" si="163"/>
        <v>#DIV/0!</v>
      </c>
      <c r="M815" s="1983">
        <f>+Orçamento_Não_Deson!M815</f>
        <v>0</v>
      </c>
      <c r="N815" s="843"/>
      <c r="O815" s="843"/>
      <c r="Q815" s="843"/>
      <c r="R815" s="843"/>
      <c r="S815" s="843"/>
      <c r="T815" s="843"/>
      <c r="U815" s="843"/>
      <c r="V815" s="843"/>
      <c r="W815" s="843"/>
      <c r="X815" s="843"/>
    </row>
    <row r="816" spans="1:24" s="844" customFormat="1" ht="39.950000000000003" hidden="1" customHeight="1" x14ac:dyDescent="0.15">
      <c r="A816" s="2081"/>
      <c r="B816" s="834"/>
      <c r="C816" s="2"/>
      <c r="D816" s="1452" t="s">
        <v>1803</v>
      </c>
      <c r="E816" s="2"/>
      <c r="F816" s="2"/>
      <c r="G816" s="1407"/>
      <c r="H816" s="1407"/>
      <c r="I816" s="2"/>
      <c r="J816" s="839" t="str">
        <f>IF(J817=0,"-","")</f>
        <v>-</v>
      </c>
      <c r="K816" s="2078"/>
      <c r="L816" s="1574"/>
      <c r="M816" s="1974" t="str">
        <f>+Orçamento_Não_Deson!M816</f>
        <v>Definir depósito:                                   1, 2, 3 ou 4</v>
      </c>
      <c r="N816" s="843"/>
      <c r="O816" s="843"/>
      <c r="Q816" s="843"/>
      <c r="R816" s="843"/>
      <c r="S816" s="843"/>
      <c r="T816" s="843"/>
      <c r="U816" s="843"/>
      <c r="V816" s="843"/>
      <c r="W816" s="843"/>
      <c r="X816" s="843"/>
    </row>
    <row r="817" spans="1:24" s="844" customFormat="1" ht="39.950000000000003" hidden="1" customHeight="1" x14ac:dyDescent="0.15">
      <c r="A817" s="2081">
        <f ca="1">+Orçamento_Não_Deson!A817</f>
        <v>10</v>
      </c>
      <c r="B817" s="834">
        <f>+Orçamento_Não_Deson!B817</f>
        <v>95875</v>
      </c>
      <c r="C817" s="2" t="str">
        <f>VLOOKUP($B817,[5]BOLETIM_SEL!$A:$H,2,0)</f>
        <v>SINAPI</v>
      </c>
      <c r="D817" s="315" t="str">
        <f>VLOOKUP($B817,[5]BOLETIM_SEL!$A:$H,4,0)</f>
        <v>Transporte com caminhão basculante de 10 m3, em via urbana pavimentada, DMT até 30,00 km (unidade: m3xkm). AF_07/2020</v>
      </c>
      <c r="E817" s="2">
        <f>+Orçamento_Não_Deson!E817</f>
        <v>4</v>
      </c>
      <c r="F817" s="2" t="str">
        <f>VLOOKUP($B817,[5]BOLETIM_SEL!$A:$H,6,0)</f>
        <v>M3XKM</v>
      </c>
      <c r="G817" s="1407">
        <f>VLOOKUP($B817,[5]BOLETIM_SEL!$A:$H,7,0)</f>
        <v>2.15</v>
      </c>
      <c r="H817" s="1613">
        <f>+Orçamento_Não_Deson!H817</f>
        <v>0</v>
      </c>
      <c r="I817" s="877">
        <f>+TRUNC(G817*(1+$J$5),2)</f>
        <v>2.72</v>
      </c>
      <c r="J817" s="1612">
        <f t="shared" si="162"/>
        <v>0</v>
      </c>
      <c r="K817" s="2078">
        <f ca="1">+J817/J$967</f>
        <v>0</v>
      </c>
      <c r="L817" s="1574" t="e">
        <f t="shared" si="163"/>
        <v>#DIV/0!</v>
      </c>
      <c r="M817" s="1976">
        <f>+Orçamento_Não_Deson!M817</f>
        <v>0</v>
      </c>
      <c r="N817" s="843"/>
      <c r="O817" s="843"/>
      <c r="Q817" s="843"/>
      <c r="R817" s="843"/>
      <c r="S817" s="843"/>
      <c r="T817" s="843"/>
      <c r="U817" s="843"/>
      <c r="V817" s="843"/>
      <c r="W817" s="843"/>
      <c r="X817" s="843"/>
    </row>
    <row r="818" spans="1:24" s="844" customFormat="1" ht="39.950000000000003" hidden="1" customHeight="1" x14ac:dyDescent="0.15">
      <c r="A818" s="2081"/>
      <c r="B818" s="834"/>
      <c r="C818" s="2"/>
      <c r="D818" s="1452" t="s">
        <v>1899</v>
      </c>
      <c r="E818" s="2"/>
      <c r="F818" s="2"/>
      <c r="G818" s="1407"/>
      <c r="H818" s="2"/>
      <c r="I818" s="2"/>
      <c r="J818" s="839" t="str">
        <f>IF(J819=0,"-","")</f>
        <v>-</v>
      </c>
      <c r="K818" s="2078"/>
      <c r="L818" s="1574"/>
      <c r="M818" s="1974" t="str">
        <f>+Orçamento_Não_Deson!M818</f>
        <v>Depósito provisório</v>
      </c>
      <c r="N818" s="843"/>
      <c r="O818" s="843"/>
      <c r="Q818" s="843"/>
      <c r="R818" s="843"/>
      <c r="S818" s="843"/>
      <c r="T818" s="843"/>
      <c r="U818" s="843"/>
      <c r="V818" s="843"/>
      <c r="W818" s="843"/>
      <c r="X818" s="843"/>
    </row>
    <row r="819" spans="1:24" s="844" customFormat="1" ht="39.950000000000003" hidden="1" customHeight="1" x14ac:dyDescent="0.15">
      <c r="A819" s="2081">
        <f ca="1">+Orçamento_Não_Deson!A819</f>
        <v>10</v>
      </c>
      <c r="B819" s="834">
        <f>+Orçamento_Não_Deson!B819</f>
        <v>100938</v>
      </c>
      <c r="C819" s="2" t="str">
        <f>VLOOKUP($B819,[5]BOLETIM_SEL!$A:$H,2,0)</f>
        <v>SINAPI</v>
      </c>
      <c r="D819" s="315" t="str">
        <f>VLOOKUP($B819,[5]BOLETIM_SEL!$A:$H,4,0)</f>
        <v>Transporte com caminhão basculante de 10 m3, em via interna (dentro do canteiro - unidade: m3xkm). AF_07/2020</v>
      </c>
      <c r="E819" s="2">
        <f>+Orçamento_Não_Deson!E819</f>
        <v>1</v>
      </c>
      <c r="F819" s="2" t="str">
        <f>VLOOKUP($B819,[5]BOLETIM_SEL!$A:$H,6,0)</f>
        <v>M3XKM</v>
      </c>
      <c r="G819" s="1407">
        <f>VLOOKUP($B819,[5]BOLETIM_SEL!$A:$H,7,0)</f>
        <v>6.49</v>
      </c>
      <c r="H819" s="1613">
        <f>+Orçamento_Não_Deson!H819</f>
        <v>0</v>
      </c>
      <c r="I819" s="877">
        <f>+TRUNC(G819*(1+$J$5),2)</f>
        <v>8.2200000000000006</v>
      </c>
      <c r="J819" s="1612">
        <f t="shared" si="162"/>
        <v>0</v>
      </c>
      <c r="K819" s="2078">
        <f ca="1">+J819/J$967</f>
        <v>0</v>
      </c>
      <c r="L819" s="1574" t="e">
        <f t="shared" si="163"/>
        <v>#DIV/0!</v>
      </c>
      <c r="M819" s="1974"/>
      <c r="N819" s="843"/>
      <c r="O819" s="843"/>
      <c r="Q819" s="843"/>
      <c r="R819" s="843"/>
      <c r="S819" s="843"/>
      <c r="T819" s="843"/>
      <c r="U819" s="843"/>
      <c r="V819" s="843"/>
      <c r="W819" s="843"/>
      <c r="X819" s="843"/>
    </row>
    <row r="820" spans="1:24" s="844" customFormat="1" ht="39.950000000000003" hidden="1" customHeight="1" x14ac:dyDescent="0.15">
      <c r="A820" s="2081"/>
      <c r="B820" s="834"/>
      <c r="C820" s="2"/>
      <c r="D820" s="1452" t="s">
        <v>1816</v>
      </c>
      <c r="E820" s="2"/>
      <c r="F820" s="2"/>
      <c r="G820" s="1407"/>
      <c r="H820" s="1407"/>
      <c r="I820" s="2"/>
      <c r="J820" s="839" t="str">
        <f>IF(J821=0,"-","")</f>
        <v>-</v>
      </c>
      <c r="K820" s="2078"/>
      <c r="L820" s="1574"/>
      <c r="M820" s="1974"/>
      <c r="N820" s="843"/>
      <c r="O820" s="843"/>
      <c r="Q820" s="843"/>
      <c r="R820" s="843"/>
      <c r="S820" s="843"/>
      <c r="T820" s="843"/>
      <c r="U820" s="843"/>
      <c r="V820" s="843"/>
      <c r="W820" s="843"/>
      <c r="X820" s="843"/>
    </row>
    <row r="821" spans="1:24" s="844" customFormat="1" ht="39.950000000000003" hidden="1" customHeight="1" x14ac:dyDescent="0.15">
      <c r="A821" s="2081">
        <f ca="1">+Orçamento_Não_Deson!A821</f>
        <v>10</v>
      </c>
      <c r="B821" s="834">
        <f>+Orçamento_Não_Deson!B821</f>
        <v>100938</v>
      </c>
      <c r="C821" s="2" t="str">
        <f>VLOOKUP($B821,[5]BOLETIM_SEL!$A:$H,2,0)</f>
        <v>SINAPI</v>
      </c>
      <c r="D821" s="315" t="str">
        <f>VLOOKUP($B821,[5]BOLETIM_SEL!$A:$H,4,0)</f>
        <v>Transporte com caminhão basculante de 10 m3, em via interna (dentro do canteiro - unidade: m3xkm). AF_07/2020</v>
      </c>
      <c r="E821" s="2">
        <f>+Orçamento_Não_Deson!E821</f>
        <v>4</v>
      </c>
      <c r="F821" s="2" t="str">
        <f>VLOOKUP($B821,[5]BOLETIM_SEL!$A:$H,6,0)</f>
        <v>M3XKM</v>
      </c>
      <c r="G821" s="1407">
        <f>VLOOKUP($B821,[5]BOLETIM_SEL!$A:$H,7,0)</f>
        <v>6.49</v>
      </c>
      <c r="H821" s="1613">
        <f>+Orçamento_Não_Deson!H821</f>
        <v>0</v>
      </c>
      <c r="I821" s="877">
        <f>+TRUNC(G821*(1+$J$5),2)</f>
        <v>8.2200000000000006</v>
      </c>
      <c r="J821" s="1612">
        <f t="shared" si="162"/>
        <v>0</v>
      </c>
      <c r="K821" s="2078">
        <f ca="1">+J821/J$967</f>
        <v>0</v>
      </c>
      <c r="L821" s="1574" t="e">
        <f t="shared" si="163"/>
        <v>#DIV/0!</v>
      </c>
      <c r="M821" s="1974"/>
      <c r="N821" s="843"/>
      <c r="O821" s="843"/>
      <c r="Q821" s="843"/>
      <c r="R821" s="843"/>
      <c r="S821" s="843"/>
      <c r="T821" s="843"/>
      <c r="U821" s="843"/>
      <c r="V821" s="843"/>
      <c r="W821" s="843"/>
      <c r="X821" s="843"/>
    </row>
    <row r="822" spans="1:24" s="844" customFormat="1" ht="39.950000000000003" hidden="1" customHeight="1" x14ac:dyDescent="0.15">
      <c r="A822" s="2081"/>
      <c r="B822" s="834"/>
      <c r="C822" s="2"/>
      <c r="D822" s="1452" t="s">
        <v>2190</v>
      </c>
      <c r="E822" s="2"/>
      <c r="F822" s="2"/>
      <c r="G822" s="1407"/>
      <c r="H822" s="1407"/>
      <c r="I822" s="2"/>
      <c r="J822" s="839" t="str">
        <f>IF(J823=0,"-","")</f>
        <v>-</v>
      </c>
      <c r="K822" s="2078"/>
      <c r="L822" s="1574"/>
      <c r="M822" s="1974"/>
      <c r="N822" s="843"/>
      <c r="O822" s="843"/>
      <c r="Q822" s="843"/>
      <c r="R822" s="843"/>
      <c r="S822" s="843"/>
      <c r="T822" s="843"/>
      <c r="U822" s="843"/>
      <c r="V822" s="843"/>
      <c r="W822" s="843"/>
      <c r="X822" s="843"/>
    </row>
    <row r="823" spans="1:24" s="844" customFormat="1" ht="39.950000000000003" hidden="1" customHeight="1" x14ac:dyDescent="0.15">
      <c r="A823" s="2081">
        <f ca="1">+Orçamento_Não_Deson!A823</f>
        <v>10</v>
      </c>
      <c r="B823" s="834">
        <f>+Orçamento_Não_Deson!B823</f>
        <v>93590</v>
      </c>
      <c r="C823" s="2" t="str">
        <f>VLOOKUP($B823,[5]BOLETIM_SEL!$A:$H,2,0)</f>
        <v>SINAPI</v>
      </c>
      <c r="D823" s="315" t="str">
        <f>VLOOKUP($B823,[5]BOLETIM_SEL!$A:$H,4,0)</f>
        <v>Transporte com caminhão basculante de 10 m3, em via urbana pavimentada, adicional para DMT excedente a 30,00 km (unidade: m3xkm). AF_07/2020</v>
      </c>
      <c r="E823" s="2">
        <f>+Orçamento_Não_Deson!E823</f>
        <v>109</v>
      </c>
      <c r="F823" s="2" t="str">
        <f>VLOOKUP($B823,[5]BOLETIM_SEL!$A:$H,6,0)</f>
        <v>M3XKM</v>
      </c>
      <c r="G823" s="1407">
        <f>VLOOKUP($B823,[5]BOLETIM_SEL!$A:$H,7,0)</f>
        <v>0.85</v>
      </c>
      <c r="H823" s="1613">
        <f>+Orçamento_Não_Deson!H823</f>
        <v>0</v>
      </c>
      <c r="I823" s="877">
        <f>+TRUNC(G823*(1+$J$5),2)</f>
        <v>1.07</v>
      </c>
      <c r="J823" s="1612">
        <f t="shared" si="162"/>
        <v>0</v>
      </c>
      <c r="K823" s="2078">
        <f ca="1">+J823/J$967</f>
        <v>0</v>
      </c>
      <c r="L823" s="1574" t="e">
        <f t="shared" si="163"/>
        <v>#DIV/0!</v>
      </c>
      <c r="M823" s="1976">
        <f>+Orçamento_Não_Deson!M823</f>
        <v>0</v>
      </c>
      <c r="N823" s="843"/>
      <c r="O823" s="843"/>
      <c r="Q823" s="843"/>
      <c r="R823" s="843"/>
      <c r="S823" s="843"/>
      <c r="T823" s="843"/>
      <c r="U823" s="843"/>
      <c r="V823" s="843"/>
      <c r="W823" s="843"/>
      <c r="X823" s="843"/>
    </row>
    <row r="824" spans="1:24" s="844" customFormat="1" ht="39.950000000000003" hidden="1" customHeight="1" x14ac:dyDescent="0.15">
      <c r="A824" s="2081"/>
      <c r="B824" s="834"/>
      <c r="C824" s="2"/>
      <c r="D824" s="1452" t="s">
        <v>1896</v>
      </c>
      <c r="E824" s="2"/>
      <c r="F824" s="2"/>
      <c r="G824" s="1407"/>
      <c r="H824" s="1407"/>
      <c r="I824" s="2"/>
      <c r="J824" s="839" t="str">
        <f>IF(J825=0,"-","")</f>
        <v>-</v>
      </c>
      <c r="K824" s="2078"/>
      <c r="L824" s="1574"/>
      <c r="M824" s="1974"/>
      <c r="N824" s="843"/>
      <c r="O824" s="843"/>
      <c r="Q824" s="843"/>
      <c r="R824" s="843"/>
      <c r="S824" s="843"/>
      <c r="T824" s="843"/>
      <c r="U824" s="843"/>
      <c r="V824" s="843"/>
      <c r="W824" s="843"/>
      <c r="X824" s="843"/>
    </row>
    <row r="825" spans="1:24" s="844" customFormat="1" ht="39.950000000000003" hidden="1" customHeight="1" x14ac:dyDescent="0.15">
      <c r="A825" s="2081">
        <f ca="1">+Orçamento_Não_Deson!A825</f>
        <v>10</v>
      </c>
      <c r="B825" s="834">
        <f>+Orçamento_Não_Deson!B825</f>
        <v>93590</v>
      </c>
      <c r="C825" s="2" t="str">
        <f>VLOOKUP($B825,[5]BOLETIM_SEL!$A:$H,2,0)</f>
        <v>SINAPI</v>
      </c>
      <c r="D825" s="315" t="str">
        <f>VLOOKUP($B825,[5]BOLETIM_SEL!$A:$H,4,0)</f>
        <v>Transporte com caminhão basculante de 10 m3, em via urbana pavimentada, adicional para DMT excedente a 30,00 km (unidade: m3xkm). AF_07/2020</v>
      </c>
      <c r="E825" s="2">
        <f>+Orçamento_Não_Deson!E825</f>
        <v>109</v>
      </c>
      <c r="F825" s="2" t="str">
        <f>VLOOKUP($B825,[5]BOLETIM_SEL!$A:$H,6,0)</f>
        <v>M3XKM</v>
      </c>
      <c r="G825" s="1407">
        <f>VLOOKUP($B825,[5]BOLETIM_SEL!$A:$H,7,0)</f>
        <v>0.85</v>
      </c>
      <c r="H825" s="1613">
        <f>+Orçamento_Não_Deson!H825</f>
        <v>0</v>
      </c>
      <c r="I825" s="877">
        <f>+TRUNC(G825*(1+$J$5),2)</f>
        <v>1.07</v>
      </c>
      <c r="J825" s="1612">
        <f t="shared" si="162"/>
        <v>0</v>
      </c>
      <c r="K825" s="2078">
        <f ca="1">+J825/J$967</f>
        <v>0</v>
      </c>
      <c r="L825" s="1574" t="e">
        <f t="shared" si="163"/>
        <v>#DIV/0!</v>
      </c>
      <c r="M825" s="1976">
        <f>+Orçamento_Não_Deson!M825</f>
        <v>0</v>
      </c>
      <c r="N825" s="843"/>
      <c r="O825" s="843"/>
      <c r="Q825" s="843"/>
      <c r="R825" s="843"/>
      <c r="S825" s="843"/>
      <c r="T825" s="843"/>
      <c r="U825" s="843"/>
      <c r="V825" s="843"/>
      <c r="W825" s="843"/>
      <c r="X825" s="843"/>
    </row>
    <row r="826" spans="1:24" s="844" customFormat="1" ht="39.950000000000003" hidden="1" customHeight="1" x14ac:dyDescent="0.15">
      <c r="A826" s="2081"/>
      <c r="B826" s="834"/>
      <c r="C826" s="2"/>
      <c r="D826" s="1452" t="s">
        <v>1897</v>
      </c>
      <c r="E826" s="2"/>
      <c r="F826" s="2"/>
      <c r="G826" s="1407"/>
      <c r="H826" s="1407"/>
      <c r="I826" s="2"/>
      <c r="J826" s="839" t="str">
        <f>IF(J827=0,"-","")</f>
        <v>-</v>
      </c>
      <c r="K826" s="2078"/>
      <c r="L826" s="1574"/>
      <c r="M826" s="1974"/>
      <c r="N826" s="843"/>
      <c r="O826" s="843"/>
      <c r="Q826" s="843"/>
      <c r="R826" s="843"/>
      <c r="S826" s="843"/>
      <c r="T826" s="843"/>
      <c r="U826" s="843"/>
      <c r="V826" s="843"/>
      <c r="W826" s="843"/>
      <c r="X826" s="843"/>
    </row>
    <row r="827" spans="1:24" s="844" customFormat="1" ht="39.950000000000003" hidden="1" customHeight="1" x14ac:dyDescent="0.15">
      <c r="A827" s="2081">
        <f ca="1">+Orçamento_Não_Deson!A827</f>
        <v>10</v>
      </c>
      <c r="B827" s="834">
        <f>+Orçamento_Não_Deson!B827</f>
        <v>93590</v>
      </c>
      <c r="C827" s="2" t="str">
        <f>VLOOKUP($B827,[5]BOLETIM_SEL!$A:$H,2,0)</f>
        <v>SINAPI</v>
      </c>
      <c r="D827" s="315" t="str">
        <f>VLOOKUP($B827,[5]BOLETIM_SEL!$A:$H,4,0)</f>
        <v>Transporte com caminhão basculante de 10 m3, em via urbana pavimentada, adicional para DMT excedente a 30,00 km (unidade: m3xkm). AF_07/2020</v>
      </c>
      <c r="E827" s="2">
        <f>+Orçamento_Não_Deson!E827</f>
        <v>109</v>
      </c>
      <c r="F827" s="2" t="str">
        <f>VLOOKUP($B827,[5]BOLETIM_SEL!$A:$H,6,0)</f>
        <v>M3XKM</v>
      </c>
      <c r="G827" s="1407">
        <f>VLOOKUP($B827,[5]BOLETIM_SEL!$A:$H,7,0)</f>
        <v>0.85</v>
      </c>
      <c r="H827" s="1613">
        <f>+Orçamento_Não_Deson!H827</f>
        <v>0</v>
      </c>
      <c r="I827" s="877">
        <f>+TRUNC(G827*(1+$J$5),2)</f>
        <v>1.07</v>
      </c>
      <c r="J827" s="1612">
        <f t="shared" si="162"/>
        <v>0</v>
      </c>
      <c r="K827" s="2078">
        <f ca="1">+J827/J$967</f>
        <v>0</v>
      </c>
      <c r="L827" s="1574" t="e">
        <f t="shared" si="163"/>
        <v>#DIV/0!</v>
      </c>
      <c r="M827" s="1976">
        <f>+Orçamento_Não_Deson!M827</f>
        <v>0</v>
      </c>
      <c r="N827" s="843"/>
      <c r="O827" s="843"/>
      <c r="Q827" s="843"/>
      <c r="R827" s="843"/>
      <c r="S827" s="843"/>
      <c r="T827" s="843"/>
      <c r="U827" s="843"/>
      <c r="V827" s="843"/>
      <c r="W827" s="843"/>
      <c r="X827" s="843"/>
    </row>
    <row r="828" spans="1:24" s="844" customFormat="1" ht="39.950000000000003" hidden="1" customHeight="1" x14ac:dyDescent="0.15">
      <c r="A828" s="2081"/>
      <c r="B828" s="834"/>
      <c r="C828" s="2"/>
      <c r="D828" s="1452" t="s">
        <v>1759</v>
      </c>
      <c r="E828" s="2"/>
      <c r="F828" s="2"/>
      <c r="G828" s="1407"/>
      <c r="H828" s="2"/>
      <c r="I828" s="839" t="str">
        <f>IF(I829=0,"-","")</f>
        <v/>
      </c>
      <c r="J828" s="839" t="str">
        <f>IF(J829=0,"-","")</f>
        <v>-</v>
      </c>
      <c r="K828" s="2078"/>
      <c r="L828" s="1574"/>
      <c r="M828" s="1974"/>
      <c r="N828" s="843"/>
      <c r="O828" s="843"/>
      <c r="Q828" s="843"/>
      <c r="R828" s="843"/>
      <c r="S828" s="843"/>
      <c r="T828" s="843"/>
      <c r="U828" s="843"/>
      <c r="V828" s="843"/>
      <c r="W828" s="843"/>
      <c r="X828" s="843"/>
    </row>
    <row r="829" spans="1:24" s="844" customFormat="1" ht="39.950000000000003" hidden="1" customHeight="1" x14ac:dyDescent="0.15">
      <c r="A829" s="2081">
        <f ca="1">+Orçamento_Não_Deson!A829</f>
        <v>10</v>
      </c>
      <c r="B829" s="834">
        <f>+Orçamento_Não_Deson!B829</f>
        <v>102332</v>
      </c>
      <c r="C829" s="2" t="str">
        <f>VLOOKUP($B829,[5]BOLETIM_SEL!$A:$H,2,0)</f>
        <v>SINAPI</v>
      </c>
      <c r="D829" s="315" t="str">
        <f>VLOOKUP($B829,[5]BOLETIM_SEL!$A:$H,4,0)</f>
        <v>Transporte com caminhão tanque de transporte de material asfáltico de 20.000 l, em via urbana pavimentada, DMT até 30,00 km (unidade: txkm). AF_07/2020</v>
      </c>
      <c r="E829" s="2">
        <f>+Orçamento_Não_Deson!E829</f>
        <v>109</v>
      </c>
      <c r="F829" s="2" t="str">
        <f>VLOOKUP($B829,[5]BOLETIM_SEL!$A:$H,6,0)</f>
        <v>TXKM</v>
      </c>
      <c r="G829" s="1407">
        <f>VLOOKUP($B829,[5]BOLETIM_SEL!$A:$H,7,0)</f>
        <v>1.62</v>
      </c>
      <c r="H829" s="1613">
        <f>+Orçamento_Não_Deson!H829</f>
        <v>0</v>
      </c>
      <c r="I829" s="877">
        <f>+TRUNC(G829*(1+$J$5),2)</f>
        <v>2.0499999999999998</v>
      </c>
      <c r="J829" s="1612">
        <f t="shared" si="162"/>
        <v>0</v>
      </c>
      <c r="K829" s="2078">
        <f ca="1">+J829/J$967</f>
        <v>0</v>
      </c>
      <c r="L829" s="1574" t="e">
        <f t="shared" si="163"/>
        <v>#DIV/0!</v>
      </c>
      <c r="M829" s="1983">
        <f>+Orçamento_Não_Deson!M829</f>
        <v>0</v>
      </c>
      <c r="N829" s="843"/>
      <c r="O829" s="843"/>
      <c r="Q829" s="843"/>
      <c r="R829" s="843"/>
      <c r="S829" s="843"/>
      <c r="T829" s="843"/>
      <c r="U829" s="843"/>
      <c r="V829" s="843"/>
      <c r="W829" s="843"/>
      <c r="X829" s="843"/>
    </row>
    <row r="830" spans="1:24" s="844" customFormat="1" ht="39.950000000000003" hidden="1" customHeight="1" x14ac:dyDescent="0.15">
      <c r="A830" s="2081"/>
      <c r="B830" s="834"/>
      <c r="C830" s="2"/>
      <c r="D830" s="1452" t="s">
        <v>1931</v>
      </c>
      <c r="E830" s="2"/>
      <c r="F830" s="2"/>
      <c r="G830" s="1407"/>
      <c r="H830" s="1407"/>
      <c r="I830" s="839"/>
      <c r="J830" s="839" t="str">
        <f>IF(J831=0,"-","")</f>
        <v>-</v>
      </c>
      <c r="K830" s="2078"/>
      <c r="L830" s="1574"/>
      <c r="M830" s="1974"/>
      <c r="N830" s="843"/>
      <c r="O830" s="843"/>
      <c r="Q830" s="843"/>
      <c r="R830" s="843"/>
      <c r="S830" s="843"/>
      <c r="T830" s="843"/>
      <c r="U830" s="843"/>
      <c r="V830" s="843"/>
      <c r="W830" s="843"/>
      <c r="X830" s="843"/>
    </row>
    <row r="831" spans="1:24" s="844" customFormat="1" ht="39.950000000000003" hidden="1" customHeight="1" x14ac:dyDescent="0.15">
      <c r="A831" s="2081">
        <f ca="1">+Orçamento_Não_Deson!A831</f>
        <v>10</v>
      </c>
      <c r="B831" s="834">
        <f>+Orçamento_Não_Deson!B831</f>
        <v>100947</v>
      </c>
      <c r="C831" s="2" t="str">
        <f>VLOOKUP($B831,[5]BOLETIM_SEL!$A:$H,2,0)</f>
        <v>SINAPI</v>
      </c>
      <c r="D831" s="315" t="str">
        <f>VLOOKUP($B831,[5]BOLETIM_SEL!$A:$H,4,0)</f>
        <v>Transporte com caminhão carroceria 9t, em via urbana pavimentada, DMT até 30,00 km (unidade: txkm). AF_07/2020</v>
      </c>
      <c r="E831" s="2">
        <f>+Orçamento_Não_Deson!E831</f>
        <v>0</v>
      </c>
      <c r="F831" s="2" t="str">
        <f>VLOOKUP($B831,[5]BOLETIM_SEL!$A:$H,6,0)</f>
        <v>TXKM</v>
      </c>
      <c r="G831" s="1407">
        <f>VLOOKUP($B831,[5]BOLETIM_SEL!$A:$H,7,0)</f>
        <v>1.93</v>
      </c>
      <c r="H831" s="1613">
        <f>+Orçamento_Não_Deson!H831</f>
        <v>0</v>
      </c>
      <c r="I831" s="877">
        <f>+TRUNC(G831*(1+$J$5),2)</f>
        <v>2.44</v>
      </c>
      <c r="J831" s="1612">
        <f t="shared" si="162"/>
        <v>0</v>
      </c>
      <c r="K831" s="2078">
        <f ca="1">+J831/J$967</f>
        <v>0</v>
      </c>
      <c r="L831" s="1574" t="e">
        <f t="shared" si="163"/>
        <v>#DIV/0!</v>
      </c>
      <c r="M831" s="1974"/>
      <c r="N831" s="843"/>
      <c r="O831" s="843"/>
      <c r="Q831" s="843"/>
      <c r="R831" s="843"/>
      <c r="S831" s="843"/>
      <c r="T831" s="843"/>
      <c r="U831" s="843"/>
      <c r="V831" s="843"/>
      <c r="W831" s="843"/>
      <c r="X831" s="843"/>
    </row>
    <row r="832" spans="1:24" s="844" customFormat="1" ht="39.950000000000003" hidden="1" customHeight="1" x14ac:dyDescent="0.15">
      <c r="A832" s="2081"/>
      <c r="B832" s="841"/>
      <c r="C832" s="834"/>
      <c r="D832" s="835"/>
      <c r="E832" s="2"/>
      <c r="F832" s="834"/>
      <c r="G832" s="1821"/>
      <c r="H832" s="1609"/>
      <c r="I832" s="2"/>
      <c r="J832" s="839">
        <f>+IF(J796=0,0,"")</f>
        <v>0</v>
      </c>
      <c r="K832" s="2078"/>
      <c r="L832" s="1574"/>
      <c r="M832" s="1833"/>
      <c r="N832" s="843"/>
      <c r="O832" s="843"/>
      <c r="Q832" s="843"/>
      <c r="R832" s="843"/>
      <c r="S832" s="843"/>
      <c r="T832" s="843"/>
      <c r="U832" s="843"/>
      <c r="V832" s="843"/>
      <c r="W832" s="843"/>
      <c r="X832" s="843"/>
    </row>
    <row r="833" spans="1:24" s="833" customFormat="1" ht="39.950000000000003" hidden="1" customHeight="1" x14ac:dyDescent="0.15">
      <c r="A833" s="2082">
        <f ca="1">IF(J833&gt;0,INT(A831)+1,IF(J833=0,INT(A831),0))</f>
        <v>10</v>
      </c>
      <c r="B833" s="1633"/>
      <c r="C833" s="1633"/>
      <c r="D833" s="1634" t="s">
        <v>663</v>
      </c>
      <c r="E833" s="1828"/>
      <c r="F833" s="1635"/>
      <c r="G833" s="1820" t="s">
        <v>664</v>
      </c>
      <c r="H833" s="1637"/>
      <c r="I833" s="1640" t="str">
        <f ca="1">CONCATENATE("SUB-TOTAL ",A833)</f>
        <v>SUB-TOTAL 10</v>
      </c>
      <c r="J833" s="1639">
        <f>SUM(J834:J893)</f>
        <v>0</v>
      </c>
      <c r="K833" s="2079">
        <f t="shared" ref="K833:K863" ca="1" si="164">+J833/J$967</f>
        <v>0</v>
      </c>
      <c r="L833" s="1610" t="e">
        <f t="shared" ref="L833:L863" si="165">+J833/$J$833</f>
        <v>#DIV/0!</v>
      </c>
    </row>
    <row r="834" spans="1:24" s="813" customFormat="1" ht="39.950000000000003" hidden="1" customHeight="1" x14ac:dyDescent="0.15">
      <c r="A834" s="2081">
        <f ca="1">+Orçamento_Não_Deson!A834</f>
        <v>10</v>
      </c>
      <c r="B834" s="834">
        <f>+Orçamento_Não_Deson!B834</f>
        <v>98525</v>
      </c>
      <c r="C834" s="2" t="str">
        <f>VLOOKUP($B834,[5]BOLETIM_SEL!$A:$H,2,0)</f>
        <v>SINAPI</v>
      </c>
      <c r="D834" s="315" t="str">
        <f>VLOOKUP($B834,[5]BOLETIM_SEL!$A:$H,4,0)</f>
        <v>Limpeza mecanizada de camada vegetal, vegetação e pequenas árvores (diâmetro nominal de tronco menor que 0,20 m), com trator de esteiras. AF_05/2018</v>
      </c>
      <c r="E834" s="2">
        <f>+Orçamento_Não_Deson!E834</f>
        <v>0</v>
      </c>
      <c r="F834" s="2" t="str">
        <f>VLOOKUP($B834,[5]BOLETIM_SEL!$A:$H,6,0)</f>
        <v>M2</v>
      </c>
      <c r="G834" s="1407">
        <f>VLOOKUP($B834,[5]BOLETIM_SEL!$A:$H,7,0)</f>
        <v>0.32</v>
      </c>
      <c r="H834" s="1613">
        <f>+Orçamento_Não_Deson!H834</f>
        <v>0</v>
      </c>
      <c r="I834" s="877">
        <f t="shared" ref="I834:I857" si="166">+TRUNC(G834*(1+$J$5),2)</f>
        <v>0.4</v>
      </c>
      <c r="J834" s="1612">
        <f t="shared" ref="J834:J863" si="167">TRUNC(H834*I834,2)</f>
        <v>0</v>
      </c>
      <c r="K834" s="2078">
        <f t="shared" ca="1" si="164"/>
        <v>0</v>
      </c>
      <c r="L834" s="1574" t="e">
        <f t="shared" si="165"/>
        <v>#DIV/0!</v>
      </c>
      <c r="M834" s="1974"/>
      <c r="N834" s="1964" t="s">
        <v>1962</v>
      </c>
      <c r="O834" s="1655" t="s">
        <v>1988</v>
      </c>
      <c r="Q834" s="833"/>
      <c r="R834" s="833"/>
      <c r="S834" s="833"/>
      <c r="T834" s="833"/>
      <c r="U834" s="833"/>
      <c r="V834" s="833"/>
      <c r="W834" s="833"/>
      <c r="X834" s="833"/>
    </row>
    <row r="835" spans="1:24" s="813" customFormat="1" ht="39.950000000000003" hidden="1" customHeight="1" x14ac:dyDescent="0.15">
      <c r="A835" s="2081">
        <f ca="1">+Orçamento_Não_Deson!A835</f>
        <v>10</v>
      </c>
      <c r="B835" s="834">
        <f>+Orçamento_Não_Deson!B835</f>
        <v>101230</v>
      </c>
      <c r="C835" s="2" t="str">
        <f>VLOOKUP($B835,[5]BOLETIM_SEL!$A:$H,2,0)</f>
        <v>SINAPI</v>
      </c>
      <c r="D835" s="315" t="str">
        <f>VLOOKUP($B835,[5]BOLETIM_SEL!$A:$H,4,0)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35" s="2">
        <f>+Orçamento_Não_Deson!E835</f>
        <v>0</v>
      </c>
      <c r="F835" s="2" t="str">
        <f>VLOOKUP($B835,[5]BOLETIM_SEL!$A:$H,6,0)</f>
        <v>M3</v>
      </c>
      <c r="G835" s="1407">
        <f>VLOOKUP($B835,[5]BOLETIM_SEL!$A:$H,7,0)</f>
        <v>9.8699999999999992</v>
      </c>
      <c r="H835" s="1613">
        <f>+Orçamento_Não_Deson!H835</f>
        <v>0</v>
      </c>
      <c r="I835" s="877">
        <f t="shared" si="166"/>
        <v>12.5</v>
      </c>
      <c r="J835" s="1612">
        <f t="shared" si="167"/>
        <v>0</v>
      </c>
      <c r="K835" s="2078">
        <f t="shared" ca="1" si="164"/>
        <v>0</v>
      </c>
      <c r="L835" s="1574" t="e">
        <f t="shared" si="165"/>
        <v>#DIV/0!</v>
      </c>
      <c r="M835" s="1974"/>
      <c r="N835" s="1965" t="str">
        <f>VLOOKUP($B835,[5]BOLETIM_SEL!$A:$H,3,0)</f>
        <v>83338
52,08 m3/h</v>
      </c>
      <c r="O835" s="1652" t="e">
        <f>+H835/N835</f>
        <v>#VALUE!</v>
      </c>
      <c r="Q835" s="833"/>
      <c r="R835" s="833"/>
      <c r="S835" s="833"/>
      <c r="T835" s="833"/>
      <c r="U835" s="833"/>
      <c r="V835" s="833"/>
      <c r="W835" s="833"/>
      <c r="X835" s="833"/>
    </row>
    <row r="836" spans="1:24" s="813" customFormat="1" ht="39.950000000000003" hidden="1" customHeight="1" x14ac:dyDescent="0.15">
      <c r="A836" s="2081">
        <f ca="1">+Orçamento_Não_Deson!A836</f>
        <v>10</v>
      </c>
      <c r="B836" s="834" t="str">
        <f>+Orçamento_Não_Deson!B836</f>
        <v>PA/0010</v>
      </c>
      <c r="C836" s="2" t="str">
        <f>VLOOKUP($B836,[5]BOLETIM_SEL!$A:$H,2,0)</f>
        <v>COMPOSIÇÃO</v>
      </c>
      <c r="D836" s="315" t="str">
        <f>VLOOKUP($B836,[5]BOLETIM_SEL!$A:$H,4,0)</f>
        <v>Colchão de rachão e/ou pedra-de-mão, com camada final de pedra brita. Fornecimento e execução. Exclusive transporte da pedra</v>
      </c>
      <c r="E836" s="2">
        <f>+Orçamento_Não_Deson!E836</f>
        <v>0</v>
      </c>
      <c r="F836" s="2" t="str">
        <f>VLOOKUP($B836,[5]BOLETIM_SEL!$A:$H,6,0)</f>
        <v>M3</v>
      </c>
      <c r="G836" s="1407">
        <f>VLOOKUP($B836,[5]BOLETIM_SEL!$A:$H,7,0)</f>
        <v>137.07</v>
      </c>
      <c r="H836" s="1613">
        <f>+Orçamento_Não_Deson!H836</f>
        <v>0</v>
      </c>
      <c r="I836" s="877">
        <f t="shared" si="166"/>
        <v>173.72</v>
      </c>
      <c r="J836" s="1612">
        <f t="shared" si="167"/>
        <v>0</v>
      </c>
      <c r="K836" s="2078">
        <f t="shared" ca="1" si="164"/>
        <v>0</v>
      </c>
      <c r="L836" s="1574" t="e">
        <f t="shared" si="165"/>
        <v>#DIV/0!</v>
      </c>
      <c r="M836" s="1974"/>
      <c r="N836" s="1965">
        <f>VLOOKUP($B836,[5]BOLETIM_SEL!$A:$H,3,0)</f>
        <v>34.479999999999997</v>
      </c>
      <c r="O836" s="1652">
        <f>+H836/N836</f>
        <v>0</v>
      </c>
      <c r="Q836" s="833"/>
      <c r="R836" s="833"/>
      <c r="S836" s="833"/>
      <c r="T836" s="833"/>
      <c r="U836" s="833"/>
      <c r="V836" s="833"/>
      <c r="W836" s="833"/>
      <c r="X836" s="833"/>
    </row>
    <row r="837" spans="1:24" s="813" customFormat="1" ht="39.950000000000003" hidden="1" customHeight="1" x14ac:dyDescent="0.15">
      <c r="A837" s="2081">
        <f ca="1">+Orçamento_Não_Deson!A837</f>
        <v>10</v>
      </c>
      <c r="B837" s="834" t="str">
        <f>+Orçamento_Não_Deson!B837</f>
        <v>PA/0005</v>
      </c>
      <c r="C837" s="2" t="str">
        <f>VLOOKUP($B837,[5]BOLETIM_SEL!$A:$H,2,0)</f>
        <v>COMPOSIÇÃO</v>
      </c>
      <c r="D837" s="315" t="str">
        <f>VLOOKUP($B837,[5]BOLETIM_SEL!$A:$H,4,0)</f>
        <v>Preparo do subleito, escavação e carga. Exclusive transporte</v>
      </c>
      <c r="E837" s="2">
        <f>+Orçamento_Não_Deson!E837</f>
        <v>0</v>
      </c>
      <c r="F837" s="2" t="str">
        <f>VLOOKUP($B837,[5]BOLETIM_SEL!$A:$H,6,0)</f>
        <v>M3</v>
      </c>
      <c r="G837" s="1407">
        <f>VLOOKUP($B837,[5]BOLETIM_SEL!$A:$H,7,0)</f>
        <v>5.31</v>
      </c>
      <c r="H837" s="1613">
        <f>+Orçamento_Não_Deson!H837</f>
        <v>0</v>
      </c>
      <c r="I837" s="877">
        <f t="shared" si="166"/>
        <v>6.72</v>
      </c>
      <c r="J837" s="1612">
        <f t="shared" si="167"/>
        <v>0</v>
      </c>
      <c r="K837" s="2078">
        <f t="shared" ca="1" si="164"/>
        <v>0</v>
      </c>
      <c r="L837" s="1574" t="e">
        <f t="shared" si="165"/>
        <v>#DIV/0!</v>
      </c>
      <c r="M837" s="1974"/>
      <c r="N837" s="1965">
        <f>VLOOKUP($B837,[5]BOLETIM_SEL!$A:$H,3,0)</f>
        <v>42</v>
      </c>
      <c r="O837" s="1652">
        <f>+H837/N837</f>
        <v>0</v>
      </c>
      <c r="Q837" s="833"/>
      <c r="R837" s="833"/>
      <c r="S837" s="833"/>
      <c r="T837" s="833"/>
      <c r="U837" s="833"/>
      <c r="V837" s="833"/>
      <c r="W837" s="833"/>
      <c r="X837" s="833"/>
    </row>
    <row r="838" spans="1:24" s="813" customFormat="1" ht="39.950000000000003" hidden="1" customHeight="1" x14ac:dyDescent="0.15">
      <c r="A838" s="2081">
        <f ca="1">+Orçamento_Não_Deson!A838</f>
        <v>10</v>
      </c>
      <c r="B838" s="834">
        <f>+Orçamento_Não_Deson!B838</f>
        <v>101230</v>
      </c>
      <c r="C838" s="2" t="str">
        <f>VLOOKUP($B838,[5]BOLETIM_SEL!$A:$H,2,0)</f>
        <v>SINAPI</v>
      </c>
      <c r="D838" s="315" t="str">
        <f>VLOOKUP($B838,[5]BOLETIM_SEL!$A:$H,4,0)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38" s="2">
        <f>+Orçamento_Não_Deson!E838</f>
        <v>0</v>
      </c>
      <c r="F838" s="2" t="str">
        <f>VLOOKUP($B838,[5]BOLETIM_SEL!$A:$H,6,0)</f>
        <v>M3</v>
      </c>
      <c r="G838" s="1407">
        <f>VLOOKUP($B838,[5]BOLETIM_SEL!$A:$H,7,0)</f>
        <v>9.8699999999999992</v>
      </c>
      <c r="H838" s="1613">
        <f>+Orçamento_Não_Deson!H838</f>
        <v>0</v>
      </c>
      <c r="I838" s="877">
        <f t="shared" si="166"/>
        <v>12.5</v>
      </c>
      <c r="J838" s="1612">
        <f t="shared" si="167"/>
        <v>0</v>
      </c>
      <c r="K838" s="2078">
        <f t="shared" ca="1" si="164"/>
        <v>0</v>
      </c>
      <c r="L838" s="1574" t="e">
        <f t="shared" si="165"/>
        <v>#DIV/0!</v>
      </c>
      <c r="M838" s="1974"/>
      <c r="N838" s="1965"/>
      <c r="O838" s="1652"/>
      <c r="Q838" s="833"/>
      <c r="R838" s="833"/>
      <c r="S838" s="833"/>
      <c r="T838" s="833"/>
      <c r="U838" s="833"/>
      <c r="V838" s="833"/>
      <c r="W838" s="833"/>
      <c r="X838" s="833"/>
    </row>
    <row r="839" spans="1:24" s="813" customFormat="1" ht="39.950000000000003" hidden="1" customHeight="1" x14ac:dyDescent="0.15">
      <c r="A839" s="2081">
        <f ca="1">+Orçamento_Não_Deson!A839</f>
        <v>10</v>
      </c>
      <c r="B839" s="834">
        <f>+Orçamento_Não_Deson!B839</f>
        <v>96385</v>
      </c>
      <c r="C839" s="2" t="str">
        <f>VLOOKUP($B839,[5]BOLETIM_SEL!$A:$H,2,0)</f>
        <v>SINAPI</v>
      </c>
      <c r="D839" s="315" t="str">
        <f>VLOOKUP($B839,[5]BOLETIM_SEL!$A:$H,4,0)</f>
        <v>Execução e compactação de aterro com solo predominantemente argiloso - exclusive solo, escavação, carga e transporte. AF_11/2019</v>
      </c>
      <c r="E839" s="2">
        <f>+Orçamento_Não_Deson!E839</f>
        <v>0</v>
      </c>
      <c r="F839" s="2" t="str">
        <f>VLOOKUP($B839,[5]BOLETIM_SEL!$A:$H,6,0)</f>
        <v>M3</v>
      </c>
      <c r="G839" s="1407">
        <f>VLOOKUP($B839,[5]BOLETIM_SEL!$A:$H,7,0)</f>
        <v>10.47</v>
      </c>
      <c r="H839" s="1613">
        <f>+Orçamento_Não_Deson!H839</f>
        <v>0</v>
      </c>
      <c r="I839" s="877">
        <f t="shared" si="166"/>
        <v>13.26</v>
      </c>
      <c r="J839" s="1612">
        <f t="shared" si="167"/>
        <v>0</v>
      </c>
      <c r="K839" s="2078">
        <f t="shared" ca="1" si="164"/>
        <v>0</v>
      </c>
      <c r="L839" s="1574" t="e">
        <f t="shared" si="165"/>
        <v>#DIV/0!</v>
      </c>
      <c r="M839" s="1974"/>
      <c r="N839" s="1965"/>
      <c r="O839" s="1652"/>
      <c r="Q839" s="833"/>
      <c r="R839" s="833"/>
      <c r="S839" s="833"/>
      <c r="T839" s="833"/>
      <c r="U839" s="833"/>
      <c r="V839" s="833"/>
      <c r="W839" s="833"/>
      <c r="X839" s="833"/>
    </row>
    <row r="840" spans="1:24" s="813" customFormat="1" ht="39.950000000000003" hidden="1" customHeight="1" x14ac:dyDescent="0.15">
      <c r="A840" s="2081">
        <f ca="1">+Orçamento_Não_Deson!A840</f>
        <v>10</v>
      </c>
      <c r="B840" s="834">
        <f>+Orçamento_Não_Deson!B840</f>
        <v>100576</v>
      </c>
      <c r="C840" s="2" t="str">
        <f>VLOOKUP($B840,[5]BOLETIM_SEL!$A:$H,2,0)</f>
        <v>SINAPI</v>
      </c>
      <c r="D840" s="315" t="str">
        <f>VLOOKUP($B840,[5]BOLETIM_SEL!$A:$H,4,0)</f>
        <v>Regularização e compactação de subleito de solo predominantemente argiloso. AF_11/2019</v>
      </c>
      <c r="E840" s="2">
        <f>+Orçamento_Não_Deson!E840</f>
        <v>0</v>
      </c>
      <c r="F840" s="2" t="str">
        <f>VLOOKUP($B840,[5]BOLETIM_SEL!$A:$H,6,0)</f>
        <v>M2</v>
      </c>
      <c r="G840" s="1407">
        <f>VLOOKUP($B840,[5]BOLETIM_SEL!$A:$H,7,0)</f>
        <v>2.25</v>
      </c>
      <c r="H840" s="1613">
        <f>+Orçamento_Não_Deson!H840</f>
        <v>0</v>
      </c>
      <c r="I840" s="877">
        <f t="shared" si="166"/>
        <v>2.85</v>
      </c>
      <c r="J840" s="1612">
        <f t="shared" si="167"/>
        <v>0</v>
      </c>
      <c r="K840" s="2078">
        <f t="shared" ca="1" si="164"/>
        <v>0</v>
      </c>
      <c r="L840" s="1574" t="e">
        <f t="shared" si="165"/>
        <v>#DIV/0!</v>
      </c>
      <c r="M840" s="1975" t="str">
        <f>+Orçamento_Não_Deson!M840</f>
        <v>ARGILOSO</v>
      </c>
      <c r="N840" s="1966">
        <f>VLOOKUP($B840,[5]BOLETIM_SEL!$A:$H,3,0)</f>
        <v>125</v>
      </c>
      <c r="O840" s="1652">
        <f t="shared" ref="O840:O847" si="168">+H840/N840</f>
        <v>0</v>
      </c>
      <c r="Q840" s="833"/>
      <c r="R840" s="833"/>
      <c r="S840" s="833"/>
      <c r="T840" s="833"/>
      <c r="U840" s="833"/>
      <c r="V840" s="833"/>
      <c r="W840" s="833"/>
      <c r="X840" s="833"/>
    </row>
    <row r="841" spans="1:24" s="813" customFormat="1" ht="39.950000000000003" hidden="1" customHeight="1" x14ac:dyDescent="0.15">
      <c r="A841" s="2081">
        <f ca="1">+Orçamento_Não_Deson!A841</f>
        <v>10</v>
      </c>
      <c r="B841" s="834">
        <f>+Orçamento_Não_Deson!B841</f>
        <v>101767</v>
      </c>
      <c r="C841" s="2" t="str">
        <f>VLOOKUP($B841,[5]BOLETIM_SEL!$A:$H,2,0)</f>
        <v>SINAPI</v>
      </c>
      <c r="D841" s="315" t="str">
        <f>VLOOKUP($B841,[5]BOLETIM_SEL!$A:$H,4,0)</f>
        <v>Execução e compactação de base e ou sub base para pavimentação de solos estabilizados granulometricamente com mistura de solos em pista - exclusive solo, escavação, carga e transporte. AF_11/2019</v>
      </c>
      <c r="E841" s="2">
        <f>+Orçamento_Não_Deson!E841</f>
        <v>0</v>
      </c>
      <c r="F841" s="2" t="str">
        <f>VLOOKUP($B841,[5]BOLETIM_SEL!$A:$H,6,0)</f>
        <v>M3</v>
      </c>
      <c r="G841" s="1407">
        <f>VLOOKUP($B841,[5]BOLETIM_SEL!$A:$H,7,0)</f>
        <v>24.96</v>
      </c>
      <c r="H841" s="1613">
        <f>+Orçamento_Não_Deson!H841</f>
        <v>0</v>
      </c>
      <c r="I841" s="877">
        <f t="shared" si="166"/>
        <v>31.63</v>
      </c>
      <c r="J841" s="1612">
        <f t="shared" si="167"/>
        <v>0</v>
      </c>
      <c r="K841" s="2078">
        <f t="shared" ca="1" si="164"/>
        <v>0</v>
      </c>
      <c r="L841" s="1574" t="e">
        <f t="shared" si="165"/>
        <v>#DIV/0!</v>
      </c>
      <c r="M841" s="1974"/>
      <c r="N841" s="1965" t="str">
        <f>VLOOKUP($B841,[5]BOLETIM_SEL!$A:$H,3,0)</f>
        <v>PA/0022
20 m3/h</v>
      </c>
      <c r="O841" s="1652" t="e">
        <f t="shared" si="168"/>
        <v>#VALUE!</v>
      </c>
      <c r="Q841" s="833"/>
      <c r="R841" s="833"/>
      <c r="S841" s="833"/>
      <c r="T841" s="833"/>
      <c r="U841" s="833"/>
      <c r="V841" s="833"/>
      <c r="W841" s="833"/>
      <c r="X841" s="833"/>
    </row>
    <row r="842" spans="1:24" s="813" customFormat="1" ht="39.950000000000003" hidden="1" customHeight="1" x14ac:dyDescent="0.15">
      <c r="A842" s="2081">
        <f ca="1">+Orçamento_Não_Deson!A842</f>
        <v>10</v>
      </c>
      <c r="B842" s="834" t="str">
        <f>+Orçamento_Não_Deson!B842</f>
        <v>PA/0021</v>
      </c>
      <c r="C842" s="2" t="str">
        <f>VLOOKUP($B842,[5]BOLETIM_SEL!$A:$H,2,0)</f>
        <v>COMPOSIÇÃO</v>
      </c>
      <c r="D842" s="315" t="str">
        <f>VLOOKUP($B842,[5]BOLETIM_SEL!$A:$H,4,0)</f>
        <v>Execução e compactação de base e ou sub-base, estabilizado granulometricamente, sem mistura, com material de jazida. Exclusive fornecimento e transporte (REF. SINAPI COD. 4011219)</v>
      </c>
      <c r="E842" s="2">
        <f>+Orçamento_Não_Deson!E842</f>
        <v>0</v>
      </c>
      <c r="F842" s="2" t="str">
        <f>VLOOKUP($B842,[5]BOLETIM_SEL!$A:$H,6,0)</f>
        <v>M3</v>
      </c>
      <c r="G842" s="1407">
        <f>VLOOKUP($B842,[5]BOLETIM_SEL!$A:$H,7,0)</f>
        <v>17.73</v>
      </c>
      <c r="H842" s="1613">
        <f>+Orçamento_Não_Deson!H842</f>
        <v>0</v>
      </c>
      <c r="I842" s="877">
        <f t="shared" si="166"/>
        <v>22.47</v>
      </c>
      <c r="J842" s="1612">
        <f t="shared" si="167"/>
        <v>0</v>
      </c>
      <c r="K842" s="2078">
        <f t="shared" ca="1" si="164"/>
        <v>0</v>
      </c>
      <c r="L842" s="1574" t="e">
        <f t="shared" si="165"/>
        <v>#DIV/0!</v>
      </c>
      <c r="M842" s="1974"/>
      <c r="N842" s="1965">
        <f>VLOOKUP($B842,[5]BOLETIM_SEL!$A:$H,3,0)</f>
        <v>28.75</v>
      </c>
      <c r="O842" s="1652">
        <f t="shared" si="168"/>
        <v>0</v>
      </c>
      <c r="Q842" s="833"/>
      <c r="R842" s="833"/>
      <c r="S842" s="833"/>
      <c r="T842" s="833"/>
      <c r="U842" s="833"/>
      <c r="V842" s="833"/>
      <c r="W842" s="833"/>
      <c r="X842" s="833"/>
    </row>
    <row r="843" spans="1:24" s="813" customFormat="1" ht="39.950000000000003" hidden="1" customHeight="1" x14ac:dyDescent="0.15">
      <c r="A843" s="2081">
        <f ca="1">+Orçamento_Não_Deson!A843</f>
        <v>10</v>
      </c>
      <c r="B843" s="834" t="str">
        <f>+Orçamento_Não_Deson!B843</f>
        <v>PA/0021</v>
      </c>
      <c r="C843" s="2" t="str">
        <f>VLOOKUP($B843,[5]BOLETIM_SEL!$A:$H,2,0)</f>
        <v>COMPOSIÇÃO</v>
      </c>
      <c r="D843" s="315" t="str">
        <f>VLOOKUP($B843,[5]BOLETIM_SEL!$A:$H,4,0)</f>
        <v>Execução e compactação de base e ou sub-base, estabilizado granulometricamente, sem mistura, com material de jazida. Exclusive fornecimento e transporte (REF. SINAPI COD. 4011219)</v>
      </c>
      <c r="E843" s="2">
        <f>+Orçamento_Não_Deson!E843</f>
        <v>0</v>
      </c>
      <c r="F843" s="2" t="str">
        <f>VLOOKUP($B843,[5]BOLETIM_SEL!$A:$H,6,0)</f>
        <v>M3</v>
      </c>
      <c r="G843" s="1407">
        <f>VLOOKUP($B843,[5]BOLETIM_SEL!$A:$H,7,0)</f>
        <v>17.73</v>
      </c>
      <c r="H843" s="1613">
        <f>+Orçamento_Não_Deson!H843</f>
        <v>0</v>
      </c>
      <c r="I843" s="877">
        <f t="shared" si="166"/>
        <v>22.47</v>
      </c>
      <c r="J843" s="1612">
        <f t="shared" si="167"/>
        <v>0</v>
      </c>
      <c r="K843" s="2078">
        <f t="shared" ca="1" si="164"/>
        <v>0</v>
      </c>
      <c r="L843" s="1574" t="e">
        <f t="shared" si="165"/>
        <v>#DIV/0!</v>
      </c>
      <c r="M843" s="1974"/>
      <c r="N843" s="1965">
        <f>VLOOKUP($B843,[5]BOLETIM_SEL!$A:$H,3,0)</f>
        <v>28.75</v>
      </c>
      <c r="O843" s="1652">
        <f t="shared" si="168"/>
        <v>0</v>
      </c>
      <c r="Q843" s="833"/>
      <c r="R843" s="833"/>
      <c r="S843" s="833"/>
      <c r="T843" s="833"/>
      <c r="U843" s="833"/>
      <c r="V843" s="833"/>
      <c r="W843" s="833"/>
      <c r="X843" s="833"/>
    </row>
    <row r="844" spans="1:24" s="813" customFormat="1" ht="39.950000000000003" hidden="1" customHeight="1" x14ac:dyDescent="0.15">
      <c r="A844" s="2081">
        <f ca="1">+Orçamento_Não_Deson!A844</f>
        <v>10</v>
      </c>
      <c r="B844" s="834">
        <f>+Orçamento_Não_Deson!B844</f>
        <v>96389</v>
      </c>
      <c r="C844" s="2" t="str">
        <f>VLOOKUP($B844,[5]BOLETIM_SEL!$A:$H,2,0)</f>
        <v>SINAPI</v>
      </c>
      <c r="D844" s="315" t="str">
        <f>VLOOKUP($B844,[5]BOLETIM_SEL!$A:$H,4,0)</f>
        <v>Execução e compactação de base e ou sub base para pavimentação de solo (predominantemente arenoso) com cimento (teor de 2%) - exclusive solo, escavação, carga e transporte. AF_11/2019</v>
      </c>
      <c r="E844" s="2">
        <f>+Orçamento_Não_Deson!E844</f>
        <v>0</v>
      </c>
      <c r="F844" s="2" t="str">
        <f>VLOOKUP($B844,[5]BOLETIM_SEL!$A:$H,6,0)</f>
        <v>M3</v>
      </c>
      <c r="G844" s="1407">
        <f>VLOOKUP($B844,[5]BOLETIM_SEL!$A:$H,7,0)</f>
        <v>53.96</v>
      </c>
      <c r="H844" s="1613">
        <f>+Orçamento_Não_Deson!H844</f>
        <v>0</v>
      </c>
      <c r="I844" s="877">
        <f t="shared" si="166"/>
        <v>68.38</v>
      </c>
      <c r="J844" s="1612">
        <f t="shared" si="167"/>
        <v>0</v>
      </c>
      <c r="K844" s="2078">
        <f t="shared" ca="1" si="164"/>
        <v>0</v>
      </c>
      <c r="L844" s="1574" t="e">
        <f t="shared" si="165"/>
        <v>#DIV/0!</v>
      </c>
      <c r="M844" s="1974"/>
      <c r="N844" s="1965">
        <f>VLOOKUP($B844,[5]BOLETIM_SEL!$A:$H,3,0)</f>
        <v>38.46</v>
      </c>
      <c r="O844" s="1652">
        <f t="shared" si="168"/>
        <v>0</v>
      </c>
      <c r="Q844" s="833"/>
      <c r="R844" s="833"/>
      <c r="S844" s="833"/>
      <c r="T844" s="833"/>
      <c r="U844" s="833"/>
      <c r="V844" s="833"/>
      <c r="W844" s="833"/>
      <c r="X844" s="833"/>
    </row>
    <row r="845" spans="1:24" s="813" customFormat="1" ht="39.950000000000003" hidden="1" customHeight="1" x14ac:dyDescent="0.15">
      <c r="A845" s="2081">
        <f ca="1">+Orçamento_Não_Deson!A845</f>
        <v>10</v>
      </c>
      <c r="B845" s="834">
        <f>+Orçamento_Não_Deson!B845</f>
        <v>96390</v>
      </c>
      <c r="C845" s="2" t="str">
        <f>VLOOKUP($B845,[5]BOLETIM_SEL!$A:$H,2,0)</f>
        <v>SINAPI</v>
      </c>
      <c r="D845" s="315" t="str">
        <f>VLOOKUP($B845,[5]BOLETIM_SEL!$A:$H,4,0)</f>
        <v>Execução e compactação de base e ou sub base para pavimentação de solo (predominantemente arenoso) com cimento (teor de 4%) - exclusive solo, escavação, carga e transporte. AF_11/2019</v>
      </c>
      <c r="E845" s="2">
        <f>+Orçamento_Não_Deson!E845</f>
        <v>0</v>
      </c>
      <c r="F845" s="2" t="str">
        <f>VLOOKUP($B845,[5]BOLETIM_SEL!$A:$H,6,0)</f>
        <v>M3</v>
      </c>
      <c r="G845" s="1407">
        <f>VLOOKUP($B845,[5]BOLETIM_SEL!$A:$H,7,0)</f>
        <v>88.61</v>
      </c>
      <c r="H845" s="1613">
        <f>+Orçamento_Não_Deson!H845</f>
        <v>0</v>
      </c>
      <c r="I845" s="877">
        <f t="shared" si="166"/>
        <v>112.3</v>
      </c>
      <c r="J845" s="1612">
        <f t="shared" si="167"/>
        <v>0</v>
      </c>
      <c r="K845" s="2078">
        <f t="shared" ca="1" si="164"/>
        <v>0</v>
      </c>
      <c r="L845" s="1574" t="e">
        <f t="shared" si="165"/>
        <v>#DIV/0!</v>
      </c>
      <c r="M845" s="1974"/>
      <c r="N845" s="1965">
        <f>VLOOKUP($B845,[5]BOLETIM_SEL!$A:$H,3,0)</f>
        <v>38.46</v>
      </c>
      <c r="O845" s="1652">
        <f t="shared" si="168"/>
        <v>0</v>
      </c>
      <c r="Q845" s="833"/>
      <c r="R845" s="833"/>
      <c r="S845" s="833"/>
      <c r="T845" s="833"/>
      <c r="U845" s="833"/>
      <c r="V845" s="833"/>
      <c r="W845" s="833"/>
      <c r="X845" s="833"/>
    </row>
    <row r="846" spans="1:24" s="813" customFormat="1" ht="39.950000000000003" hidden="1" customHeight="1" x14ac:dyDescent="0.15">
      <c r="A846" s="2081">
        <f ca="1">+Orçamento_Não_Deson!A846</f>
        <v>10</v>
      </c>
      <c r="B846" s="834">
        <f>+Orçamento_Não_Deson!B846</f>
        <v>96391</v>
      </c>
      <c r="C846" s="2" t="str">
        <f>VLOOKUP($B846,[5]BOLETIM_SEL!$A:$H,2,0)</f>
        <v>SINAPI</v>
      </c>
      <c r="D846" s="315" t="str">
        <f>VLOOKUP($B846,[5]BOLETIM_SEL!$A:$H,4,0)</f>
        <v>Execução e compactação de base e ou sub base para pavimentação de solo (predominantemente arenoso) com cimento (teor de 6%) - exclusive solo, escavação, carga e transporte. AF_11/2019</v>
      </c>
      <c r="E846" s="2">
        <f>+Orçamento_Não_Deson!E846</f>
        <v>0</v>
      </c>
      <c r="F846" s="2" t="str">
        <f>VLOOKUP($B846,[5]BOLETIM_SEL!$A:$H,6,0)</f>
        <v>M3</v>
      </c>
      <c r="G846" s="1407">
        <f>VLOOKUP($B846,[5]BOLETIM_SEL!$A:$H,7,0)</f>
        <v>124.67</v>
      </c>
      <c r="H846" s="1613">
        <f>+Orçamento_Não_Deson!H846</f>
        <v>0</v>
      </c>
      <c r="I846" s="877">
        <f t="shared" si="166"/>
        <v>158</v>
      </c>
      <c r="J846" s="1612">
        <f t="shared" si="167"/>
        <v>0</v>
      </c>
      <c r="K846" s="2078">
        <f t="shared" ca="1" si="164"/>
        <v>0</v>
      </c>
      <c r="L846" s="1574" t="e">
        <f t="shared" si="165"/>
        <v>#DIV/0!</v>
      </c>
      <c r="M846" s="1974"/>
      <c r="N846" s="1965">
        <f>VLOOKUP($B846,[5]BOLETIM_SEL!$A:$H,3,0)</f>
        <v>38.46</v>
      </c>
      <c r="O846" s="1652">
        <f t="shared" si="168"/>
        <v>0</v>
      </c>
      <c r="Q846" s="833"/>
      <c r="R846" s="833"/>
      <c r="S846" s="833"/>
      <c r="T846" s="833"/>
      <c r="U846" s="833"/>
      <c r="V846" s="833"/>
      <c r="W846" s="833"/>
      <c r="X846" s="833"/>
    </row>
    <row r="847" spans="1:24" s="813" customFormat="1" ht="39.950000000000003" hidden="1" customHeight="1" x14ac:dyDescent="0.15">
      <c r="A847" s="2081">
        <f ca="1">+Orçamento_Não_Deson!A847</f>
        <v>10</v>
      </c>
      <c r="B847" s="834">
        <f>+Orçamento_Não_Deson!B847</f>
        <v>96392</v>
      </c>
      <c r="C847" s="2" t="str">
        <f>VLOOKUP($B847,[5]BOLETIM_SEL!$A:$H,2,0)</f>
        <v>SINAPI</v>
      </c>
      <c r="D847" s="315" t="str">
        <f>VLOOKUP($B847,[5]BOLETIM_SEL!$A:$H,4,0)</f>
        <v>Execução e compactação de base e ou sub base para pavimentação de solo (predominantemente arenoso) com cimento (teor de 8%) - exclusive solo, escavação, carga e transporte. AF_11/2019</v>
      </c>
      <c r="E847" s="2">
        <f>+Orçamento_Não_Deson!E847</f>
        <v>0</v>
      </c>
      <c r="F847" s="2" t="str">
        <f>VLOOKUP($B847,[5]BOLETIM_SEL!$A:$H,6,0)</f>
        <v>M3</v>
      </c>
      <c r="G847" s="1407">
        <f>VLOOKUP($B847,[5]BOLETIM_SEL!$A:$H,7,0)</f>
        <v>159.56</v>
      </c>
      <c r="H847" s="1613">
        <f>+Orçamento_Não_Deson!H847</f>
        <v>0</v>
      </c>
      <c r="I847" s="877">
        <f t="shared" si="166"/>
        <v>202.22</v>
      </c>
      <c r="J847" s="1612">
        <f t="shared" si="167"/>
        <v>0</v>
      </c>
      <c r="K847" s="2078">
        <f t="shared" ca="1" si="164"/>
        <v>0</v>
      </c>
      <c r="L847" s="1574" t="e">
        <f t="shared" si="165"/>
        <v>#DIV/0!</v>
      </c>
      <c r="M847" s="1974"/>
      <c r="N847" s="1965">
        <f>VLOOKUP($B847,[5]BOLETIM_SEL!$A:$H,3,0)</f>
        <v>38.46</v>
      </c>
      <c r="O847" s="1652">
        <f t="shared" si="168"/>
        <v>0</v>
      </c>
      <c r="Q847" s="833"/>
      <c r="R847" s="833"/>
      <c r="S847" s="833"/>
      <c r="T847" s="833"/>
      <c r="U847" s="833"/>
      <c r="V847" s="833"/>
      <c r="W847" s="833"/>
      <c r="X847" s="833"/>
    </row>
    <row r="848" spans="1:24" s="813" customFormat="1" ht="39.950000000000003" hidden="1" customHeight="1" x14ac:dyDescent="0.15">
      <c r="A848" s="2081">
        <f ca="1">+Orçamento_Não_Deson!A848</f>
        <v>10</v>
      </c>
      <c r="B848" s="834" t="str">
        <f>+Orçamento_Não_Deson!B848</f>
        <v>PA/0025</v>
      </c>
      <c r="C848" s="2" t="str">
        <f>VLOOKUP($B848,[5]BOLETIM_SEL!$A:$H,2,0)</f>
        <v>COMPOSIÇÃO</v>
      </c>
      <c r="D848" s="315" t="str">
        <f>VLOOKUP($B848,[5]BOLETIM_SEL!$A:$H,4,0)</f>
        <v>Imprimação da base, execução e fornecimento de emulsão asfáltica EAI (REF. SINAPI COD. 102470)</v>
      </c>
      <c r="E848" s="2">
        <f>+Orçamento_Não_Deson!E848</f>
        <v>0</v>
      </c>
      <c r="F848" s="2" t="str">
        <f>VLOOKUP($B848,[5]BOLETIM_SEL!$A:$H,6,0)</f>
        <v>M2</v>
      </c>
      <c r="G848" s="1407">
        <f>VLOOKUP($B848,[5]BOLETIM_SEL!$A:$H,7,0)</f>
        <v>5.09</v>
      </c>
      <c r="H848" s="1613">
        <f>+Orçamento_Não_Deson!H848</f>
        <v>0</v>
      </c>
      <c r="I848" s="877">
        <f t="shared" si="166"/>
        <v>6.45</v>
      </c>
      <c r="J848" s="1612">
        <f t="shared" si="167"/>
        <v>0</v>
      </c>
      <c r="K848" s="2078">
        <f t="shared" ca="1" si="164"/>
        <v>0</v>
      </c>
      <c r="L848" s="1574" t="e">
        <f t="shared" si="165"/>
        <v>#DIV/0!</v>
      </c>
      <c r="M848" s="1975" t="str">
        <f>+Orçamento_Não_Deson!M848</f>
        <v>EAI</v>
      </c>
      <c r="N848" s="1965"/>
      <c r="O848" s="1652"/>
      <c r="Q848" s="833"/>
      <c r="R848" s="833"/>
      <c r="S848" s="833"/>
      <c r="T848" s="833"/>
      <c r="U848" s="833"/>
      <c r="V848" s="833"/>
      <c r="W848" s="833"/>
      <c r="X848" s="833"/>
    </row>
    <row r="849" spans="1:24" s="813" customFormat="1" ht="39.950000000000003" hidden="1" customHeight="1" x14ac:dyDescent="0.15">
      <c r="A849" s="2081">
        <f ca="1">+Orçamento_Não_Deson!A849</f>
        <v>10</v>
      </c>
      <c r="B849" s="834" t="str">
        <f>+Orçamento_Não_Deson!B849</f>
        <v>PA/0023</v>
      </c>
      <c r="C849" s="2" t="str">
        <f>VLOOKUP($B849,[5]BOLETIM_SEL!$A:$H,2,0)</f>
        <v>COMPOSIÇÃO</v>
      </c>
      <c r="D849" s="315" t="str">
        <f>VLOOKUP($B849,[5]BOLETIM_SEL!$A:$H,4,0)</f>
        <v>Pintura de ligação, execução e fornecimento de emulsão asfáltica RR-1C (ref SINAPI cód 104375)</v>
      </c>
      <c r="E849" s="2">
        <f>+Orçamento_Não_Deson!E849</f>
        <v>0</v>
      </c>
      <c r="F849" s="2" t="str">
        <f>VLOOKUP($B849,[5]BOLETIM_SEL!$A:$H,6,0)</f>
        <v>M2</v>
      </c>
      <c r="G849" s="1407">
        <f>VLOOKUP($B849,[5]BOLETIM_SEL!$A:$H,7,0)</f>
        <v>2.4300000000000002</v>
      </c>
      <c r="H849" s="1613">
        <f>+Orçamento_Não_Deson!H849</f>
        <v>0</v>
      </c>
      <c r="I849" s="877">
        <f t="shared" si="166"/>
        <v>3.07</v>
      </c>
      <c r="J849" s="1612">
        <f t="shared" si="167"/>
        <v>0</v>
      </c>
      <c r="K849" s="2078">
        <f t="shared" ca="1" si="164"/>
        <v>0</v>
      </c>
      <c r="L849" s="1574" t="e">
        <f t="shared" si="165"/>
        <v>#DIV/0!</v>
      </c>
      <c r="M849" s="1974">
        <f>+VLOOKUP($B849,[5]BOLETIM_SEL!$A:$H,5,0)</f>
        <v>0</v>
      </c>
      <c r="N849" s="1965"/>
      <c r="O849" s="1652"/>
      <c r="Q849" s="833"/>
      <c r="R849" s="833"/>
      <c r="S849" s="833"/>
      <c r="T849" s="833"/>
      <c r="U849" s="833"/>
      <c r="V849" s="833"/>
      <c r="W849" s="833"/>
      <c r="X849" s="833"/>
    </row>
    <row r="850" spans="1:24" s="813" customFormat="1" ht="39.950000000000003" hidden="1" customHeight="1" x14ac:dyDescent="0.15">
      <c r="A850" s="2081">
        <f ca="1">+Orçamento_Não_Deson!A850</f>
        <v>10</v>
      </c>
      <c r="B850" s="834" t="str">
        <f>+Orçamento_Não_Deson!B850</f>
        <v>PA/0040</v>
      </c>
      <c r="C850" s="2" t="str">
        <f>VLOOKUP($B850,[5]BOLETIM_SEL!$A:$H,2,0)</f>
        <v>COMPOSIÇÃO</v>
      </c>
      <c r="D850" s="315" t="str">
        <f>VLOOKUP($B850,[5]BOLETIM_SEL!$A:$H,4,0)</f>
        <v>Construção de pavimento com aplicação de concreto betuminoso usinado à quente (CBUQ - faixa C - CAP 30/45 - usina comercial), camada de rolamento, exclusive transporte da mistura (REF. SINAPI COD. 95995)</v>
      </c>
      <c r="E850" s="2">
        <f>+Orçamento_Não_Deson!E850</f>
        <v>0</v>
      </c>
      <c r="F850" s="2" t="str">
        <f>VLOOKUP($B850,[5]BOLETIM_SEL!$A:$H,6,0)</f>
        <v>M3</v>
      </c>
      <c r="G850" s="1407">
        <f>VLOOKUP($B850,[5]BOLETIM_SEL!$A:$H,7,0)</f>
        <v>1586.06</v>
      </c>
      <c r="H850" s="1613">
        <f>+Orçamento_Não_Deson!H850</f>
        <v>0</v>
      </c>
      <c r="I850" s="877">
        <f t="shared" si="166"/>
        <v>2010.17</v>
      </c>
      <c r="J850" s="1612">
        <f t="shared" si="167"/>
        <v>0</v>
      </c>
      <c r="K850" s="2078">
        <f t="shared" ca="1" si="164"/>
        <v>0</v>
      </c>
      <c r="L850" s="1574" t="e">
        <f t="shared" si="165"/>
        <v>#DIV/0!</v>
      </c>
      <c r="M850" s="1975" t="str">
        <f>+Orçamento_Não_Deson!M850</f>
        <v>COMERCIAL 30/45</v>
      </c>
      <c r="N850" s="1965"/>
      <c r="O850" s="1652"/>
      <c r="Q850" s="833"/>
      <c r="R850" s="833"/>
      <c r="S850" s="833"/>
      <c r="T850" s="833"/>
      <c r="U850" s="833"/>
      <c r="V850" s="833"/>
      <c r="W850" s="833"/>
      <c r="X850" s="833"/>
    </row>
    <row r="851" spans="1:24" s="813" customFormat="1" ht="39.950000000000003" hidden="1" customHeight="1" x14ac:dyDescent="0.15">
      <c r="A851" s="2081">
        <f ca="1">+Orçamento_Não_Deson!A851</f>
        <v>10</v>
      </c>
      <c r="B851" s="834">
        <f>+Orçamento_Não_Deson!B851</f>
        <v>94991</v>
      </c>
      <c r="C851" s="2" t="str">
        <f>VLOOKUP($B851,[5]BOLETIM_SEL!$A:$H,2,0)</f>
        <v>SINAPI</v>
      </c>
      <c r="D851" s="315" t="str">
        <f>VLOOKUP($B851,[5]BOLETIM_SEL!$A:$H,4,0)</f>
        <v>Execução de passeio (calçada) ou piso de concreto com concreto moldado in loco, usinado, acabamento convencional, não armado. AF_07/2016</v>
      </c>
      <c r="E851" s="2">
        <f>+Orçamento_Não_Deson!E851</f>
        <v>0</v>
      </c>
      <c r="F851" s="2" t="str">
        <f>VLOOKUP($B851,[5]BOLETIM_SEL!$A:$H,6,0)</f>
        <v>M3</v>
      </c>
      <c r="G851" s="1407">
        <f>VLOOKUP($B851,[5]BOLETIM_SEL!$A:$H,7,0)</f>
        <v>764.5</v>
      </c>
      <c r="H851" s="1613">
        <f>+Orçamento_Não_Deson!H851</f>
        <v>0</v>
      </c>
      <c r="I851" s="877">
        <f t="shared" si="166"/>
        <v>968.92</v>
      </c>
      <c r="J851" s="1612">
        <f t="shared" si="167"/>
        <v>0</v>
      </c>
      <c r="K851" s="2078">
        <f t="shared" ca="1" si="164"/>
        <v>0</v>
      </c>
      <c r="L851" s="1574" t="e">
        <f t="shared" si="165"/>
        <v>#DIV/0!</v>
      </c>
      <c r="M851" s="1975" t="str">
        <f>+Orçamento_Não_Deson!M851</f>
        <v>USINADO</v>
      </c>
      <c r="N851" s="1965"/>
      <c r="O851" s="1652"/>
      <c r="Q851" s="833"/>
      <c r="R851" s="833"/>
      <c r="S851" s="833"/>
      <c r="T851" s="833"/>
      <c r="U851" s="833"/>
      <c r="V851" s="833"/>
      <c r="W851" s="833"/>
      <c r="X851" s="833"/>
    </row>
    <row r="852" spans="1:24" s="813" customFormat="1" ht="39.950000000000003" hidden="1" customHeight="1" x14ac:dyDescent="0.15">
      <c r="A852" s="2081">
        <f ca="1">+Orçamento_Não_Deson!A852</f>
        <v>10</v>
      </c>
      <c r="B852" s="834">
        <f>+Orçamento_Não_Deson!B852</f>
        <v>92397</v>
      </c>
      <c r="C852" s="2" t="str">
        <f>VLOOKUP($B852,[5]BOLETIM_SEL!$A:$H,2,0)</f>
        <v>SINAPI</v>
      </c>
      <c r="D852" s="315" t="str">
        <f>VLOOKUP($B852,[5]BOLETIM_SEL!$A:$H,4,0)</f>
        <v>Execução de pavimento em piso intertravado, com bloco retangular cor natural de 20 x 10 cm, espessura 6 cm. AF_10/2022</v>
      </c>
      <c r="E852" s="2">
        <f>+Orçamento_Não_Deson!E852</f>
        <v>0</v>
      </c>
      <c r="F852" s="2" t="str">
        <f>VLOOKUP($B852,[5]BOLETIM_SEL!$A:$H,6,0)</f>
        <v>M2</v>
      </c>
      <c r="G852" s="1407">
        <f>VLOOKUP($B852,[5]BOLETIM_SEL!$A:$H,7,0)</f>
        <v>65.540000000000006</v>
      </c>
      <c r="H852" s="1613">
        <f>+Orçamento_Não_Deson!H852</f>
        <v>0</v>
      </c>
      <c r="I852" s="877">
        <f t="shared" si="166"/>
        <v>83.06</v>
      </c>
      <c r="J852" s="1612">
        <f t="shared" si="167"/>
        <v>0</v>
      </c>
      <c r="K852" s="2078">
        <f t="shared" ca="1" si="164"/>
        <v>0</v>
      </c>
      <c r="L852" s="1574" t="e">
        <f t="shared" si="165"/>
        <v>#DIV/0!</v>
      </c>
      <c r="M852" s="1974"/>
      <c r="N852" s="1965"/>
      <c r="O852" s="1652"/>
      <c r="Q852" s="833"/>
      <c r="R852" s="833"/>
      <c r="S852" s="833"/>
      <c r="T852" s="833"/>
      <c r="U852" s="833"/>
      <c r="V852" s="833"/>
      <c r="W852" s="833"/>
      <c r="X852" s="833"/>
    </row>
    <row r="853" spans="1:24" s="813" customFormat="1" ht="39.950000000000003" hidden="1" customHeight="1" x14ac:dyDescent="0.15">
      <c r="A853" s="2081">
        <f ca="1">+Orçamento_Não_Deson!A853</f>
        <v>10</v>
      </c>
      <c r="B853" s="834" t="str">
        <f>+Orçamento_Não_Deson!B853</f>
        <v>SC/0065</v>
      </c>
      <c r="C853" s="2" t="str">
        <f>VLOOKUP($B853,[5]BOLETIM_SEL!$A:$H,2,0)</f>
        <v>COMPOSIÇÃO</v>
      </c>
      <c r="D853" s="315" t="str">
        <f>VLOOKUP($B853,[5]BOLETIM_SEL!$A:$H,4,0)</f>
        <v>Guia para canteiro e ciclovia, concreto FCK = 15mpa, seção 150cm², moldado no local com extrusora, inclusive pintura a cal em uma demão</v>
      </c>
      <c r="E853" s="2">
        <f>+Orçamento_Não_Deson!E853</f>
        <v>0</v>
      </c>
      <c r="F853" s="2" t="str">
        <f>VLOOKUP($B853,[5]BOLETIM_SEL!$A:$H,6,0)</f>
        <v>M</v>
      </c>
      <c r="G853" s="1407">
        <f>VLOOKUP($B853,[5]BOLETIM_SEL!$A:$H,7,0)</f>
        <v>15.42</v>
      </c>
      <c r="H853" s="1613">
        <f>+Orçamento_Não_Deson!H853</f>
        <v>0</v>
      </c>
      <c r="I853" s="877">
        <f t="shared" si="166"/>
        <v>19.54</v>
      </c>
      <c r="J853" s="1612">
        <f t="shared" si="167"/>
        <v>0</v>
      </c>
      <c r="K853" s="2078">
        <f t="shared" ca="1" si="164"/>
        <v>0</v>
      </c>
      <c r="L853" s="1574" t="e">
        <f t="shared" si="165"/>
        <v>#DIV/0!</v>
      </c>
      <c r="M853" s="1975" t="str">
        <f>+Orçamento_Não_Deson!M853</f>
        <v>EXTRUSÃO</v>
      </c>
      <c r="N853" s="1965">
        <f>VLOOKUP($B853,[5]BOLETIM_SEL!$A:$H,3,0)</f>
        <v>26.88</v>
      </c>
      <c r="O853" s="1652">
        <f>+H853/N853</f>
        <v>0</v>
      </c>
      <c r="Q853" s="833"/>
      <c r="R853" s="833"/>
      <c r="S853" s="833"/>
      <c r="T853" s="833"/>
      <c r="U853" s="833"/>
      <c r="V853" s="833"/>
      <c r="W853" s="833"/>
      <c r="X853" s="833"/>
    </row>
    <row r="854" spans="1:24" s="813" customFormat="1" ht="39.950000000000003" hidden="1" customHeight="1" x14ac:dyDescent="0.15">
      <c r="A854" s="2081">
        <f ca="1">+Orçamento_Não_Deson!A854</f>
        <v>10</v>
      </c>
      <c r="B854" s="834" t="str">
        <f>+Orçamento_Não_Deson!B854</f>
        <v>SC/0030</v>
      </c>
      <c r="C854" s="2" t="str">
        <f>VLOOKUP($B854,[5]BOLETIM_SEL!$A:$H,2,0)</f>
        <v>COMPOSIÇÃO</v>
      </c>
      <c r="D854" s="315" t="str">
        <f>VLOOKUP($B854,[5]BOLETIM_SEL!$A:$H,4,0)</f>
        <v xml:space="preserve">Tento (acabamento de limpa-rodas), concreto FCK = 15 mpa, seção 330cm², moldado no local, inclusive escavação </v>
      </c>
      <c r="E854" s="2">
        <f>+Orçamento_Não_Deson!E854</f>
        <v>0</v>
      </c>
      <c r="F854" s="2" t="str">
        <f>VLOOKUP($B854,[5]BOLETIM_SEL!$A:$H,6,0)</f>
        <v>M</v>
      </c>
      <c r="G854" s="1407">
        <f>VLOOKUP($B854,[5]BOLETIM_SEL!$A:$H,7,0)</f>
        <v>26.68</v>
      </c>
      <c r="H854" s="1613">
        <f>+Orçamento_Não_Deson!H854</f>
        <v>0</v>
      </c>
      <c r="I854" s="877">
        <f t="shared" si="166"/>
        <v>33.81</v>
      </c>
      <c r="J854" s="1612">
        <f t="shared" si="167"/>
        <v>0</v>
      </c>
      <c r="K854" s="2078">
        <f t="shared" ca="1" si="164"/>
        <v>0</v>
      </c>
      <c r="L854" s="1574" t="e">
        <f t="shared" si="165"/>
        <v>#DIV/0!</v>
      </c>
      <c r="M854" s="1974"/>
      <c r="N854" s="1965">
        <f>VLOOKUP($B854,[5]BOLETIM_SEL!$A:$H,3,0)</f>
        <v>20.61</v>
      </c>
      <c r="O854" s="1652">
        <f>+H854/N854</f>
        <v>0</v>
      </c>
      <c r="Q854" s="833"/>
      <c r="R854" s="833"/>
      <c r="S854" s="833"/>
      <c r="T854" s="833"/>
      <c r="U854" s="833"/>
      <c r="V854" s="833"/>
      <c r="W854" s="833"/>
      <c r="X854" s="833"/>
    </row>
    <row r="855" spans="1:24" s="813" customFormat="1" ht="39.950000000000003" hidden="1" customHeight="1" x14ac:dyDescent="0.15">
      <c r="A855" s="2081">
        <f ca="1">+Orçamento_Não_Deson!A855</f>
        <v>10</v>
      </c>
      <c r="B855" s="834" t="str">
        <f>+Orçamento_Não_Deson!B855</f>
        <v>SC/0005</v>
      </c>
      <c r="C855" s="2" t="str">
        <f>VLOOKUP($B855,[5]BOLETIM_SEL!$A:$H,2,0)</f>
        <v>COMPOSIÇÃO</v>
      </c>
      <c r="D855" s="315" t="str">
        <f>VLOOKUP($B855,[5]BOLETIM_SEL!$A:$H,4,0)</f>
        <v>Meio-fio (guia) com sarjeta, concreto FCK = 15mpa, seção 615 cm², moldado no local, inclusive escavação e pintura a cal em uma demão</v>
      </c>
      <c r="E855" s="2">
        <f>+Orçamento_Não_Deson!E855</f>
        <v>0</v>
      </c>
      <c r="F855" s="2" t="str">
        <f>VLOOKUP($B855,[5]BOLETIM_SEL!$A:$H,6,0)</f>
        <v>M</v>
      </c>
      <c r="G855" s="1407">
        <f>VLOOKUP($B855,[5]BOLETIM_SEL!$A:$H,7,0)</f>
        <v>49.66</v>
      </c>
      <c r="H855" s="1613">
        <f>+Orçamento_Não_Deson!H855</f>
        <v>0</v>
      </c>
      <c r="I855" s="877">
        <f t="shared" si="166"/>
        <v>62.93</v>
      </c>
      <c r="J855" s="1612">
        <f t="shared" si="167"/>
        <v>0</v>
      </c>
      <c r="K855" s="2078">
        <f t="shared" ca="1" si="164"/>
        <v>0</v>
      </c>
      <c r="L855" s="1574" t="e">
        <f t="shared" si="165"/>
        <v>#DIV/0!</v>
      </c>
      <c r="M855" s="1975" t="str">
        <f>+Orçamento_Não_Deson!M855</f>
        <v>MANUAL</v>
      </c>
      <c r="N855" s="1965">
        <f>VLOOKUP($B855,[5]BOLETIM_SEL!$A:$H,3,0)</f>
        <v>11.06</v>
      </c>
      <c r="O855" s="1652">
        <f>+H855/N855</f>
        <v>0</v>
      </c>
      <c r="Q855" s="833"/>
      <c r="R855" s="833"/>
      <c r="S855" s="833"/>
      <c r="T855" s="833"/>
      <c r="U855" s="833"/>
      <c r="V855" s="833"/>
      <c r="W855" s="833"/>
      <c r="X855" s="833"/>
    </row>
    <row r="856" spans="1:24" s="813" customFormat="1" ht="39.950000000000003" hidden="1" customHeight="1" x14ac:dyDescent="0.15">
      <c r="A856" s="2081">
        <f ca="1">+Orçamento_Não_Deson!A856</f>
        <v>10</v>
      </c>
      <c r="B856" s="834" t="str">
        <f>+Orçamento_Não_Deson!B856</f>
        <v>SC/0055</v>
      </c>
      <c r="C856" s="2" t="str">
        <f>VLOOKUP($B856,[5]BOLETIM_SEL!$A:$H,2,0)</f>
        <v>COMPOSIÇÃO</v>
      </c>
      <c r="D856" s="315" t="str">
        <f>VLOOKUP($B856,[5]BOLETIM_SEL!$A:$H,4,0)</f>
        <v>Meio-fio (guia) simples, concreto FCK = 20mpa, seção 285 cm², moldado no local em trecho reto com extrusora, inclusive pintura a cal em uma demão</v>
      </c>
      <c r="E856" s="2">
        <f>+Orçamento_Não_Deson!E856</f>
        <v>0</v>
      </c>
      <c r="F856" s="2" t="str">
        <f>VLOOKUP($B856,[5]BOLETIM_SEL!$A:$H,6,0)</f>
        <v>M</v>
      </c>
      <c r="G856" s="1407">
        <f>VLOOKUP($B856,[5]BOLETIM_SEL!$A:$H,7,0)</f>
        <v>34.89</v>
      </c>
      <c r="H856" s="1613">
        <f>+Orçamento_Não_Deson!H856</f>
        <v>0</v>
      </c>
      <c r="I856" s="877">
        <f t="shared" si="166"/>
        <v>44.21</v>
      </c>
      <c r="J856" s="1612">
        <f t="shared" si="167"/>
        <v>0</v>
      </c>
      <c r="K856" s="2078">
        <f t="shared" ca="1" si="164"/>
        <v>0</v>
      </c>
      <c r="L856" s="1574" t="e">
        <f t="shared" si="165"/>
        <v>#DIV/0!</v>
      </c>
      <c r="M856" s="1975" t="str">
        <f>+Orçamento_Não_Deson!M856</f>
        <v>EXTRUSÃO</v>
      </c>
      <c r="N856" s="1965">
        <f>VLOOKUP($B856,[5]BOLETIM_SEL!$A:$H,3,0)</f>
        <v>11.9</v>
      </c>
      <c r="O856" s="1652">
        <f>+H856/N856</f>
        <v>0</v>
      </c>
      <c r="Q856" s="833"/>
      <c r="R856" s="833"/>
      <c r="S856" s="833"/>
      <c r="T856" s="833"/>
      <c r="U856" s="833"/>
      <c r="V856" s="833"/>
      <c r="W856" s="833"/>
      <c r="X856" s="833"/>
    </row>
    <row r="857" spans="1:24" s="813" customFormat="1" ht="39.950000000000003" hidden="1" customHeight="1" x14ac:dyDescent="0.15">
      <c r="A857" s="2081">
        <f ca="1">+Orçamento_Não_Deson!A857</f>
        <v>10</v>
      </c>
      <c r="B857" s="834" t="str">
        <f>+Orçamento_Não_Deson!B857</f>
        <v>SC/0035</v>
      </c>
      <c r="C857" s="2" t="str">
        <f>VLOOKUP($B857,[5]BOLETIM_SEL!$A:$H,2,0)</f>
        <v>COMPOSIÇÃO</v>
      </c>
      <c r="D857" s="315" t="str">
        <f>VLOOKUP($B857,[5]BOLETIM_SEL!$A:$H,4,0)</f>
        <v>Sarjeta em concreto FCK = 15mpa, seção 330cm², moldada no local, exclusive escavação</v>
      </c>
      <c r="E857" s="2">
        <f>+Orçamento_Não_Deson!E857</f>
        <v>0</v>
      </c>
      <c r="F857" s="2" t="str">
        <f>VLOOKUP($B857,[5]BOLETIM_SEL!$A:$H,6,0)</f>
        <v>M</v>
      </c>
      <c r="G857" s="1407">
        <f>VLOOKUP($B857,[5]BOLETIM_SEL!$A:$H,7,0)</f>
        <v>28.76</v>
      </c>
      <c r="H857" s="1613">
        <f>+Orçamento_Não_Deson!H857</f>
        <v>0</v>
      </c>
      <c r="I857" s="877">
        <f t="shared" si="166"/>
        <v>36.450000000000003</v>
      </c>
      <c r="J857" s="1612">
        <f t="shared" si="167"/>
        <v>0</v>
      </c>
      <c r="K857" s="2078">
        <f t="shared" ca="1" si="164"/>
        <v>0</v>
      </c>
      <c r="L857" s="1574" t="e">
        <f t="shared" si="165"/>
        <v>#DIV/0!</v>
      </c>
      <c r="M857" s="1974"/>
      <c r="N857" s="1965">
        <f>VLOOKUP($B857,[5]BOLETIM_SEL!$A:$H,3,0)</f>
        <v>20.61</v>
      </c>
      <c r="O857" s="1652">
        <f>+H857/N857</f>
        <v>0</v>
      </c>
      <c r="Q857" s="833"/>
      <c r="R857" s="833"/>
      <c r="S857" s="833"/>
      <c r="T857" s="833"/>
      <c r="U857" s="833"/>
      <c r="V857" s="833"/>
      <c r="W857" s="833"/>
      <c r="X857" s="833"/>
    </row>
    <row r="858" spans="1:24" s="813" customFormat="1" ht="39.950000000000003" hidden="1" customHeight="1" x14ac:dyDescent="0.15">
      <c r="A858" s="2081">
        <f ca="1">+Orçamento_Não_Deson!A858</f>
        <v>10</v>
      </c>
      <c r="B858" s="834">
        <f>+Orçamento_Não_Deson!B858</f>
        <v>6079</v>
      </c>
      <c r="C858" s="2" t="str">
        <f>VLOOKUP($B858,[5]BOLETIM_SEL!$A:$H,2,0)</f>
        <v>COTAÇÃO - SINAPI</v>
      </c>
      <c r="D858" s="315" t="str">
        <f>VLOOKUP($B858,[5]BOLETIM_SEL!$A:$H,4,0)</f>
        <v>Argila, argila vermelha ou argila arenosa (retirada na jazida, sem transporte)</v>
      </c>
      <c r="E858" s="2" t="str">
        <f>+Orçamento_Não_Deson!E858</f>
        <v>BDI insumo</v>
      </c>
      <c r="F858" s="2" t="str">
        <f>VLOOKUP($B858,[5]BOLETIM_SEL!$A:$H,6,0)</f>
        <v xml:space="preserve">M3    </v>
      </c>
      <c r="G858" s="1407">
        <f>VLOOKUP($B858,[5]BOLETIM_SEL!$A:$H,7,0)</f>
        <v>33.700000000000003</v>
      </c>
      <c r="H858" s="1613">
        <f>+Orçamento_Não_Deson!H858</f>
        <v>0</v>
      </c>
      <c r="I858" s="1614">
        <f>TRUNC(G858*(1+$J$6),2)</f>
        <v>38.840000000000003</v>
      </c>
      <c r="J858" s="1612">
        <f t="shared" si="167"/>
        <v>0</v>
      </c>
      <c r="K858" s="2078">
        <f t="shared" ca="1" si="164"/>
        <v>0</v>
      </c>
      <c r="L858" s="1574" t="e">
        <f t="shared" si="165"/>
        <v>#DIV/0!</v>
      </c>
      <c r="M858" s="1975" t="str">
        <f>+Orçamento_Não_Deson!M858</f>
        <v>público</v>
      </c>
      <c r="N858" s="833"/>
      <c r="O858" s="833"/>
      <c r="Q858" s="833"/>
      <c r="R858" s="833"/>
      <c r="S858" s="833"/>
      <c r="T858" s="833"/>
      <c r="U858" s="833"/>
      <c r="V858" s="833"/>
      <c r="W858" s="833"/>
      <c r="X858" s="833"/>
    </row>
    <row r="859" spans="1:24" s="813" customFormat="1" ht="39.950000000000003" hidden="1" customHeight="1" x14ac:dyDescent="0.15">
      <c r="A859" s="2081">
        <f ca="1">+Orçamento_Não_Deson!A859</f>
        <v>10</v>
      </c>
      <c r="B859" s="834">
        <f>+Orçamento_Não_Deson!B859</f>
        <v>4721</v>
      </c>
      <c r="C859" s="2" t="str">
        <f>VLOOKUP($B859,[5]BOLETIM_SEL!$A:$H,2,0)</f>
        <v>COTAÇÃO - SINAPI</v>
      </c>
      <c r="D859" s="315" t="str">
        <f>VLOOKUP($B859,[5]BOLETIM_SEL!$A:$H,4,0)</f>
        <v>Pedra britada n. 1 (9,5 A 19 mm) posto pedreira/fornecedor, sem frete</v>
      </c>
      <c r="E859" s="2" t="str">
        <f>+Orçamento_Não_Deson!E859</f>
        <v>BDI insumo</v>
      </c>
      <c r="F859" s="2" t="str">
        <f>VLOOKUP($B859,[5]BOLETIM_SEL!$A:$H,6,0)</f>
        <v xml:space="preserve">M3    </v>
      </c>
      <c r="G859" s="1407">
        <f>VLOOKUP($B859,[5]BOLETIM_SEL!$A:$H,7,0)</f>
        <v>96.99</v>
      </c>
      <c r="H859" s="1613">
        <f>+Orçamento_Não_Deson!H859</f>
        <v>0</v>
      </c>
      <c r="I859" s="1614">
        <f>TRUNC(G859*(1+$J$6),2)</f>
        <v>111.8</v>
      </c>
      <c r="J859" s="1612">
        <f t="shared" si="167"/>
        <v>0</v>
      </c>
      <c r="K859" s="2078">
        <f t="shared" ca="1" si="164"/>
        <v>0</v>
      </c>
      <c r="L859" s="1574" t="e">
        <f t="shared" si="165"/>
        <v>#DIV/0!</v>
      </c>
      <c r="M859" s="1975" t="str">
        <f>+Orçamento_Não_Deson!M859</f>
        <v>COMERCIAL</v>
      </c>
      <c r="N859" s="833"/>
      <c r="O859" s="833"/>
      <c r="Q859" s="833"/>
      <c r="R859" s="833"/>
      <c r="S859" s="833"/>
      <c r="T859" s="833"/>
      <c r="U859" s="833"/>
      <c r="V859" s="833"/>
      <c r="W859" s="833"/>
      <c r="X859" s="833"/>
    </row>
    <row r="860" spans="1:24" s="813" customFormat="1" ht="39.950000000000003" hidden="1" customHeight="1" x14ac:dyDescent="0.15">
      <c r="A860" s="2081">
        <f ca="1">+Orçamento_Não_Deson!A860</f>
        <v>10</v>
      </c>
      <c r="B860" s="834">
        <f>+Orçamento_Não_Deson!B860</f>
        <v>4743</v>
      </c>
      <c r="C860" s="2" t="str">
        <f>VLOOKUP($B860,[5]BOLETIM_SEL!$A:$H,2,0)</f>
        <v>COTAÇÃO - SINAPI</v>
      </c>
      <c r="D860" s="315" t="str">
        <f>VLOOKUP($B860,[5]BOLETIM_SEL!$A:$H,4,0)</f>
        <v>Cascalho de cava</v>
      </c>
      <c r="E860" s="2" t="str">
        <f>+Orçamento_Não_Deson!E860</f>
        <v>BDI insumo</v>
      </c>
      <c r="F860" s="2" t="str">
        <f>VLOOKUP($B860,[5]BOLETIM_SEL!$A:$H,6,0)</f>
        <v xml:space="preserve">M3    </v>
      </c>
      <c r="G860" s="1407">
        <f>VLOOKUP($B860,[5]BOLETIM_SEL!$A:$H,7,0)</f>
        <v>56.55</v>
      </c>
      <c r="H860" s="1613">
        <f>+Orçamento_Não_Deson!H860</f>
        <v>0</v>
      </c>
      <c r="I860" s="1614">
        <f>TRUNC(G860*(1+$J$6),2)</f>
        <v>65.180000000000007</v>
      </c>
      <c r="J860" s="1612">
        <f t="shared" si="167"/>
        <v>0</v>
      </c>
      <c r="K860" s="2078">
        <f t="shared" ca="1" si="164"/>
        <v>0</v>
      </c>
      <c r="L860" s="1574" t="e">
        <f t="shared" si="165"/>
        <v>#DIV/0!</v>
      </c>
      <c r="M860" s="1975" t="str">
        <f>+Orçamento_Não_Deson!M860</f>
        <v>COMERCIAL</v>
      </c>
      <c r="N860" s="833"/>
      <c r="O860" s="833"/>
      <c r="Q860" s="833"/>
      <c r="R860" s="833"/>
      <c r="S860" s="833"/>
      <c r="T860" s="833"/>
      <c r="U860" s="833"/>
      <c r="V860" s="833"/>
      <c r="W860" s="833"/>
      <c r="X860" s="833"/>
    </row>
    <row r="861" spans="1:24" s="813" customFormat="1" ht="39.950000000000003" hidden="1" customHeight="1" x14ac:dyDescent="0.15">
      <c r="A861" s="2081">
        <f ca="1">+Orçamento_Não_Deson!A861</f>
        <v>10</v>
      </c>
      <c r="B861" s="834">
        <f>+Orçamento_Não_Deson!B861</f>
        <v>4748</v>
      </c>
      <c r="C861" s="2" t="str">
        <f>VLOOKUP($B861,[5]BOLETIM_SEL!$A:$H,2,0)</f>
        <v>COTAÇÃO - SINAPI</v>
      </c>
      <c r="D861" s="315" t="str">
        <f>VLOOKUP($B861,[5]BOLETIM_SEL!$A:$H,4,0)</f>
        <v>Pedra britada ou bica corrida, não classificada (posto pedreira/fornecedor, sem frete)</v>
      </c>
      <c r="E861" s="2" t="str">
        <f>+Orçamento_Não_Deson!E861</f>
        <v>BDI insumo</v>
      </c>
      <c r="F861" s="2" t="str">
        <f>VLOOKUP($B861,[5]BOLETIM_SEL!$A:$H,6,0)</f>
        <v xml:space="preserve">M3    </v>
      </c>
      <c r="G861" s="1407">
        <f>VLOOKUP($B861,[5]BOLETIM_SEL!$A:$H,7,0)</f>
        <v>89.58</v>
      </c>
      <c r="H861" s="1613">
        <f>+Orçamento_Não_Deson!H861</f>
        <v>0</v>
      </c>
      <c r="I861" s="1614">
        <f>TRUNC(G861*(1+$J$6),2)</f>
        <v>103.25</v>
      </c>
      <c r="J861" s="1612">
        <f t="shared" si="167"/>
        <v>0</v>
      </c>
      <c r="K861" s="2078">
        <f t="shared" ca="1" si="164"/>
        <v>0</v>
      </c>
      <c r="L861" s="1574" t="e">
        <f t="shared" si="165"/>
        <v>#DIV/0!</v>
      </c>
      <c r="M861" s="1974"/>
      <c r="N861" s="833"/>
      <c r="O861" s="833"/>
      <c r="Q861" s="833"/>
      <c r="R861" s="833"/>
      <c r="S861" s="833"/>
      <c r="T861" s="833"/>
      <c r="U861" s="833"/>
      <c r="V861" s="833"/>
      <c r="W861" s="833"/>
      <c r="X861" s="833"/>
    </row>
    <row r="862" spans="1:24" s="813" customFormat="1" ht="39.950000000000003" hidden="1" customHeight="1" x14ac:dyDescent="0.15">
      <c r="A862" s="2081">
        <f ca="1">+Orçamento_Não_Deson!A862</f>
        <v>10</v>
      </c>
      <c r="B862" s="834">
        <f>+Orçamento_Não_Deson!B862</f>
        <v>100978</v>
      </c>
      <c r="C862" s="2" t="str">
        <f>VLOOKUP($B862,[5]BOLETIM_SEL!$A:$H,2,0)</f>
        <v>SINAPI</v>
      </c>
      <c r="D862" s="315" t="str">
        <f>VLOOKUP($B862,[5]BOLETIM_SEL!$A:$H,4,0)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862" s="2">
        <f>+Orçamento_Não_Deson!E862</f>
        <v>0</v>
      </c>
      <c r="F862" s="2" t="str">
        <f>VLOOKUP($B862,[5]BOLETIM_SEL!$A:$H,6,0)</f>
        <v>M3</v>
      </c>
      <c r="G862" s="1407">
        <f>VLOOKUP($B862,[5]BOLETIM_SEL!$A:$H,7,0)</f>
        <v>6.04</v>
      </c>
      <c r="H862" s="1613">
        <f>+Orçamento_Não_Deson!H862</f>
        <v>0</v>
      </c>
      <c r="I862" s="877">
        <f>+TRUNC(G862*(1+$J$5),2)</f>
        <v>7.65</v>
      </c>
      <c r="J862" s="1612">
        <f t="shared" si="167"/>
        <v>0</v>
      </c>
      <c r="K862" s="2078">
        <f t="shared" ca="1" si="164"/>
        <v>0</v>
      </c>
      <c r="L862" s="1574" t="e">
        <f t="shared" si="165"/>
        <v>#DIV/0!</v>
      </c>
      <c r="M862" s="1975" t="str">
        <f>+Orçamento_Não_Deson!M862</f>
        <v>ESCAVADEIRA</v>
      </c>
      <c r="N862" s="833"/>
      <c r="O862" s="833"/>
      <c r="Q862" s="833"/>
      <c r="R862" s="833"/>
      <c r="S862" s="833"/>
      <c r="T862" s="833"/>
      <c r="U862" s="833"/>
      <c r="V862" s="833"/>
      <c r="W862" s="833"/>
      <c r="X862" s="833"/>
    </row>
    <row r="863" spans="1:24" s="813" customFormat="1" ht="39.950000000000003" hidden="1" customHeight="1" x14ac:dyDescent="0.15">
      <c r="A863" s="2081">
        <f ca="1">+Orçamento_Não_Deson!A863</f>
        <v>10</v>
      </c>
      <c r="B863" s="834">
        <f>+Orçamento_Não_Deson!B863</f>
        <v>100979</v>
      </c>
      <c r="C863" s="2" t="str">
        <f>VLOOKUP($B863,[5]BOLETIM_SEL!$A:$H,2,0)</f>
        <v>SINAPI</v>
      </c>
      <c r="D863" s="315" t="str">
        <f>VLOOKUP($B863,[5]BOLETIM_SEL!$A:$H,4,0)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863" s="2">
        <f>+Orçamento_Não_Deson!E863</f>
        <v>0</v>
      </c>
      <c r="F863" s="2" t="str">
        <f>VLOOKUP($B863,[5]BOLETIM_SEL!$A:$H,6,0)</f>
        <v>M3</v>
      </c>
      <c r="G863" s="1407">
        <f>VLOOKUP($B863,[5]BOLETIM_SEL!$A:$H,7,0)</f>
        <v>5.91</v>
      </c>
      <c r="H863" s="1613">
        <f>+Orçamento_Não_Deson!H863</f>
        <v>0</v>
      </c>
      <c r="I863" s="877">
        <f>+TRUNC(G863*(1+$J$5),2)</f>
        <v>7.49</v>
      </c>
      <c r="J863" s="1612">
        <f t="shared" si="167"/>
        <v>0</v>
      </c>
      <c r="K863" s="2078">
        <f t="shared" ca="1" si="164"/>
        <v>0</v>
      </c>
      <c r="L863" s="1574" t="e">
        <f t="shared" si="165"/>
        <v>#DIV/0!</v>
      </c>
      <c r="M863" s="1975" t="str">
        <f>+Orçamento_Não_Deson!M863</f>
        <v>ESCAVADEIRA</v>
      </c>
      <c r="N863" s="833"/>
      <c r="O863" s="833"/>
      <c r="Q863" s="833"/>
      <c r="R863" s="833"/>
      <c r="S863" s="833"/>
      <c r="T863" s="833"/>
      <c r="U863" s="833"/>
      <c r="V863" s="833"/>
      <c r="W863" s="833"/>
      <c r="X863" s="833"/>
    </row>
    <row r="864" spans="1:24" s="813" customFormat="1" ht="39.950000000000003" hidden="1" customHeight="1" x14ac:dyDescent="0.15">
      <c r="A864" s="2081"/>
      <c r="B864" s="834"/>
      <c r="C864" s="2"/>
      <c r="D864" s="1452" t="s">
        <v>1803</v>
      </c>
      <c r="E864" s="2"/>
      <c r="F864" s="2"/>
      <c r="G864" s="1407"/>
      <c r="H864" s="2"/>
      <c r="I864" s="839" t="str">
        <f>IF(I865=0,"-","")</f>
        <v/>
      </c>
      <c r="J864" s="839" t="str">
        <f>IF(J865=0,"-","")</f>
        <v>-</v>
      </c>
      <c r="K864" s="2078"/>
      <c r="L864" s="1574"/>
      <c r="M864" s="1974" t="str">
        <f>+Orçamento_Não_Deson!M864</f>
        <v>Definir depósito:                                     1, 2, 3 ou 4</v>
      </c>
      <c r="N864" s="833"/>
      <c r="O864" s="833"/>
      <c r="Q864" s="833"/>
      <c r="R864" s="833"/>
      <c r="S864" s="833"/>
      <c r="T864" s="833"/>
      <c r="U864" s="833"/>
      <c r="V864" s="833"/>
      <c r="W864" s="833"/>
      <c r="X864" s="833"/>
    </row>
    <row r="865" spans="1:24" s="813" customFormat="1" ht="39.950000000000003" hidden="1" customHeight="1" x14ac:dyDescent="0.15">
      <c r="A865" s="2081">
        <f ca="1">+Orçamento_Não_Deson!A865</f>
        <v>10</v>
      </c>
      <c r="B865" s="834">
        <f>+Orçamento_Não_Deson!B865</f>
        <v>95875</v>
      </c>
      <c r="C865" s="2" t="str">
        <f>VLOOKUP($B865,[5]BOLETIM_SEL!$A:$H,2,0)</f>
        <v>SINAPI</v>
      </c>
      <c r="D865" s="315" t="str">
        <f>VLOOKUP($B865,[5]BOLETIM_SEL!$A:$H,4,0)</f>
        <v>Transporte com caminhão basculante de 10 m3, em via urbana pavimentada, DMT até 30,00 km (unidade: m3xkm). AF_07/2020</v>
      </c>
      <c r="E865" s="2">
        <f>+Orçamento_Não_Deson!E865</f>
        <v>4</v>
      </c>
      <c r="F865" s="2" t="str">
        <f>VLOOKUP($B865,[5]BOLETIM_SEL!$A:$H,6,0)</f>
        <v>M3XKM</v>
      </c>
      <c r="G865" s="1407">
        <f>VLOOKUP($B865,[5]BOLETIM_SEL!$A:$H,7,0)</f>
        <v>2.15</v>
      </c>
      <c r="H865" s="1613">
        <f>+Orçamento_Não_Deson!H865</f>
        <v>0</v>
      </c>
      <c r="I865" s="877">
        <f>+TRUNC(G865*(1+$J$5),2)</f>
        <v>2.72</v>
      </c>
      <c r="J865" s="1612">
        <f>TRUNC(H865*I865,2)</f>
        <v>0</v>
      </c>
      <c r="K865" s="2078">
        <f ca="1">+J865/J$967</f>
        <v>0</v>
      </c>
      <c r="L865" s="1574" t="e">
        <f>+J865/$J$833</f>
        <v>#DIV/0!</v>
      </c>
      <c r="M865" s="1976">
        <f>+Orçamento_Não_Deson!M865</f>
        <v>0</v>
      </c>
      <c r="N865" s="833"/>
      <c r="O865" s="833"/>
      <c r="Q865" s="833"/>
      <c r="R865" s="833"/>
      <c r="S865" s="833"/>
      <c r="T865" s="833"/>
      <c r="U865" s="833"/>
      <c r="V865" s="833"/>
      <c r="W865" s="833"/>
      <c r="X865" s="833"/>
    </row>
    <row r="866" spans="1:24" s="813" customFormat="1" ht="39.950000000000003" hidden="1" customHeight="1" x14ac:dyDescent="0.15">
      <c r="A866" s="2081"/>
      <c r="B866" s="834"/>
      <c r="C866" s="2"/>
      <c r="D866" s="1452" t="s">
        <v>1948</v>
      </c>
      <c r="E866" s="2"/>
      <c r="F866" s="2"/>
      <c r="G866" s="1407"/>
      <c r="H866" s="2"/>
      <c r="I866" s="839" t="str">
        <f>IF(I867=0,"-","")</f>
        <v/>
      </c>
      <c r="J866" s="839" t="str">
        <f>IF(J867=0,"-","")</f>
        <v>-</v>
      </c>
      <c r="K866" s="2078"/>
      <c r="L866" s="1574"/>
      <c r="N866" s="833"/>
      <c r="O866" s="833"/>
      <c r="Q866" s="833"/>
      <c r="R866" s="833"/>
      <c r="S866" s="833"/>
      <c r="T866" s="833"/>
      <c r="U866" s="833"/>
      <c r="V866" s="833"/>
      <c r="W866" s="833"/>
      <c r="X866" s="833"/>
    </row>
    <row r="867" spans="1:24" s="813" customFormat="1" ht="39.950000000000003" hidden="1" customHeight="1" x14ac:dyDescent="0.15">
      <c r="A867" s="2081">
        <f ca="1">+Orçamento_Não_Deson!A867</f>
        <v>10</v>
      </c>
      <c r="B867" s="834">
        <f>+Orçamento_Não_Deson!B867</f>
        <v>95875</v>
      </c>
      <c r="C867" s="2" t="str">
        <f>VLOOKUP($B867,[5]BOLETIM_SEL!$A:$H,2,0)</f>
        <v>SINAPI</v>
      </c>
      <c r="D867" s="315" t="str">
        <f>VLOOKUP($B867,[5]BOLETIM_SEL!$A:$H,4,0)</f>
        <v>Transporte com caminhão basculante de 10 m3, em via urbana pavimentada, DMT até 30,00 km (unidade: m3xkm). AF_07/2020</v>
      </c>
      <c r="E867" s="2">
        <f>+Orçamento_Não_Deson!E867</f>
        <v>4</v>
      </c>
      <c r="F867" s="2" t="str">
        <f>VLOOKUP($B867,[5]BOLETIM_SEL!$A:$H,6,0)</f>
        <v>M3XKM</v>
      </c>
      <c r="G867" s="1407">
        <f>VLOOKUP($B867,[5]BOLETIM_SEL!$A:$H,7,0)</f>
        <v>2.15</v>
      </c>
      <c r="H867" s="1613">
        <f>+Orçamento_Não_Deson!H867</f>
        <v>0</v>
      </c>
      <c r="I867" s="877">
        <f>+TRUNC(G867*(1+$J$5),2)</f>
        <v>2.72</v>
      </c>
      <c r="J867" s="1612">
        <f>TRUNC(H867*I867,2)</f>
        <v>0</v>
      </c>
      <c r="K867" s="2078">
        <f ca="1">+J867/J$967</f>
        <v>0</v>
      </c>
      <c r="L867" s="1574" t="e">
        <f>+J867/$J$833</f>
        <v>#DIV/0!</v>
      </c>
      <c r="M867" s="1976">
        <f>+Orçamento_Não_Deson!M867</f>
        <v>0</v>
      </c>
      <c r="N867" s="833"/>
      <c r="O867" s="833"/>
      <c r="Q867" s="833"/>
      <c r="R867" s="833"/>
      <c r="S867" s="833"/>
      <c r="T867" s="833"/>
      <c r="U867" s="833"/>
      <c r="V867" s="833"/>
      <c r="W867" s="833"/>
      <c r="X867" s="833"/>
    </row>
    <row r="868" spans="1:24" s="813" customFormat="1" ht="39.950000000000003" hidden="1" customHeight="1" x14ac:dyDescent="0.15">
      <c r="A868" s="2081"/>
      <c r="B868" s="834"/>
      <c r="C868" s="2"/>
      <c r="D868" s="1452" t="s">
        <v>1899</v>
      </c>
      <c r="E868" s="2"/>
      <c r="F868" s="2"/>
      <c r="G868" s="1407"/>
      <c r="H868" s="2"/>
      <c r="I868" s="839"/>
      <c r="J868" s="839" t="str">
        <f>IF(J869=0,"-","")</f>
        <v>-</v>
      </c>
      <c r="K868" s="2078"/>
      <c r="L868" s="1574"/>
      <c r="M868" s="1974" t="str">
        <f>+Orçamento_Não_Deson!M868</f>
        <v>Depósito provisório</v>
      </c>
      <c r="N868" s="833"/>
      <c r="O868" s="833"/>
      <c r="Q868" s="833"/>
      <c r="R868" s="833"/>
      <c r="S868" s="833"/>
      <c r="T868" s="833"/>
      <c r="U868" s="833"/>
      <c r="V868" s="833"/>
      <c r="W868" s="833"/>
      <c r="X868" s="833"/>
    </row>
    <row r="869" spans="1:24" s="813" customFormat="1" ht="39.950000000000003" hidden="1" customHeight="1" x14ac:dyDescent="0.15">
      <c r="A869" s="2081">
        <f ca="1">+Orçamento_Não_Deson!A869</f>
        <v>10</v>
      </c>
      <c r="B869" s="834">
        <f>+Orçamento_Não_Deson!B869</f>
        <v>100938</v>
      </c>
      <c r="C869" s="2" t="str">
        <f>VLOOKUP($B869,[5]BOLETIM_SEL!$A:$H,2,0)</f>
        <v>SINAPI</v>
      </c>
      <c r="D869" s="315" t="str">
        <f>VLOOKUP($B869,[5]BOLETIM_SEL!$A:$H,4,0)</f>
        <v>Transporte com caminhão basculante de 10 m3, em via interna (dentro do canteiro - unidade: m3xkm). AF_07/2020</v>
      </c>
      <c r="E869" s="2">
        <f>+Orçamento_Não_Deson!E869</f>
        <v>1</v>
      </c>
      <c r="F869" s="2" t="str">
        <f>VLOOKUP($B869,[5]BOLETIM_SEL!$A:$H,6,0)</f>
        <v>M3XKM</v>
      </c>
      <c r="G869" s="1407">
        <f>VLOOKUP($B869,[5]BOLETIM_SEL!$A:$H,7,0)</f>
        <v>6.49</v>
      </c>
      <c r="H869" s="1613">
        <f>+Orçamento_Não_Deson!H869</f>
        <v>0</v>
      </c>
      <c r="I869" s="877">
        <f>+TRUNC(G869*(1+$J$5),2)</f>
        <v>8.2200000000000006</v>
      </c>
      <c r="J869" s="1612">
        <f>TRUNC(H869*I869,2)</f>
        <v>0</v>
      </c>
      <c r="K869" s="2078">
        <f ca="1">+J869/J$967</f>
        <v>0</v>
      </c>
      <c r="L869" s="1574" t="e">
        <f>+J869/$J$833</f>
        <v>#DIV/0!</v>
      </c>
      <c r="M869" s="1974"/>
      <c r="N869" s="833"/>
      <c r="O869" s="833"/>
      <c r="Q869" s="833"/>
      <c r="R869" s="833"/>
      <c r="S869" s="833"/>
      <c r="T869" s="833"/>
      <c r="U869" s="833"/>
      <c r="V869" s="833"/>
      <c r="W869" s="833"/>
      <c r="X869" s="833"/>
    </row>
    <row r="870" spans="1:24" s="813" customFormat="1" ht="39.950000000000003" hidden="1" customHeight="1" x14ac:dyDescent="0.15">
      <c r="A870" s="2081"/>
      <c r="B870" s="834"/>
      <c r="C870" s="2"/>
      <c r="D870" s="1452" t="s">
        <v>1895</v>
      </c>
      <c r="E870" s="2"/>
      <c r="F870" s="2"/>
      <c r="G870" s="1407"/>
      <c r="H870" s="2"/>
      <c r="I870" s="839" t="str">
        <f>IF(I871=0,"-","")</f>
        <v/>
      </c>
      <c r="J870" s="839" t="str">
        <f>IF(J871=0,"-","")</f>
        <v>-</v>
      </c>
      <c r="K870" s="2078"/>
      <c r="L870" s="1574"/>
      <c r="M870" s="1974"/>
      <c r="N870" s="833"/>
      <c r="O870" s="833"/>
      <c r="Q870" s="833"/>
      <c r="R870" s="833"/>
      <c r="S870" s="833"/>
      <c r="T870" s="833"/>
      <c r="U870" s="833"/>
      <c r="V870" s="833"/>
      <c r="W870" s="833"/>
      <c r="X870" s="833"/>
    </row>
    <row r="871" spans="1:24" s="813" customFormat="1" ht="39.950000000000003" hidden="1" customHeight="1" x14ac:dyDescent="0.15">
      <c r="A871" s="2081">
        <f ca="1">+Orçamento_Não_Deson!A871</f>
        <v>10</v>
      </c>
      <c r="B871" s="834">
        <f>+Orçamento_Não_Deson!B871</f>
        <v>95875</v>
      </c>
      <c r="C871" s="2" t="str">
        <f>VLOOKUP($B871,[5]BOLETIM_SEL!$A:$H,2,0)</f>
        <v>SINAPI</v>
      </c>
      <c r="D871" s="315" t="str">
        <f>VLOOKUP($B871,[5]BOLETIM_SEL!$A:$H,4,0)</f>
        <v>Transporte com caminhão basculante de 10 m3, em via urbana pavimentada, DMT até 30,00 km (unidade: m3xkm). AF_07/2020</v>
      </c>
      <c r="E871" s="2">
        <f>+Orçamento_Não_Deson!E871</f>
        <v>0</v>
      </c>
      <c r="F871" s="2" t="str">
        <f>VLOOKUP($B871,[5]BOLETIM_SEL!$A:$H,6,0)</f>
        <v>M3XKM</v>
      </c>
      <c r="G871" s="1407">
        <f>VLOOKUP($B871,[5]BOLETIM_SEL!$A:$H,7,0)</f>
        <v>2.15</v>
      </c>
      <c r="H871" s="1613">
        <f>+Orçamento_Não_Deson!H871</f>
        <v>0</v>
      </c>
      <c r="I871" s="877">
        <f>+TRUNC(G871*(1+$J$5),2)</f>
        <v>2.72</v>
      </c>
      <c r="J871" s="1612">
        <f>TRUNC(H871*I871,2)</f>
        <v>0</v>
      </c>
      <c r="K871" s="2078">
        <f ca="1">+J871/J$967</f>
        <v>0</v>
      </c>
      <c r="L871" s="1574" t="e">
        <f>+J871/$J$833</f>
        <v>#DIV/0!</v>
      </c>
      <c r="M871" s="1976">
        <f>+Orçamento_Não_Deson!M871</f>
        <v>0</v>
      </c>
      <c r="N871" s="833"/>
      <c r="O871" s="833"/>
      <c r="Q871" s="833"/>
      <c r="R871" s="833"/>
      <c r="S871" s="833"/>
      <c r="T871" s="833"/>
      <c r="U871" s="833"/>
      <c r="V871" s="833"/>
      <c r="W871" s="833"/>
      <c r="X871" s="833"/>
    </row>
    <row r="872" spans="1:24" s="813" customFormat="1" ht="39.950000000000003" hidden="1" customHeight="1" x14ac:dyDescent="0.15">
      <c r="A872" s="2081"/>
      <c r="B872" s="834"/>
      <c r="C872" s="2"/>
      <c r="D872" s="1452" t="s">
        <v>1900</v>
      </c>
      <c r="E872" s="2"/>
      <c r="F872" s="2"/>
      <c r="G872" s="1407"/>
      <c r="H872" s="2"/>
      <c r="I872" s="839" t="str">
        <f>IF(I873=0,"-","")</f>
        <v/>
      </c>
      <c r="J872" s="839" t="str">
        <f>IF(J873=0,"-","")</f>
        <v>-</v>
      </c>
      <c r="K872" s="2078"/>
      <c r="L872" s="1574"/>
      <c r="M872" s="1974"/>
      <c r="N872" s="833"/>
      <c r="O872" s="833"/>
      <c r="Q872" s="833"/>
      <c r="R872" s="833"/>
      <c r="S872" s="833"/>
      <c r="T872" s="833"/>
      <c r="U872" s="833"/>
      <c r="V872" s="833"/>
      <c r="W872" s="833"/>
      <c r="X872" s="833"/>
    </row>
    <row r="873" spans="1:24" s="813" customFormat="1" ht="39.950000000000003" hidden="1" customHeight="1" x14ac:dyDescent="0.15">
      <c r="A873" s="2081">
        <f ca="1">+Orçamento_Não_Deson!A873</f>
        <v>10</v>
      </c>
      <c r="B873" s="834">
        <f>+Orçamento_Não_Deson!B873</f>
        <v>93590</v>
      </c>
      <c r="C873" s="2" t="str">
        <f>VLOOKUP($B873,[5]BOLETIM_SEL!$A:$H,2,0)</f>
        <v>SINAPI</v>
      </c>
      <c r="D873" s="315" t="str">
        <f>VLOOKUP($B873,[5]BOLETIM_SEL!$A:$H,4,0)</f>
        <v>Transporte com caminhão basculante de 10 m3, em via urbana pavimentada, adicional para DMT excedente a 30,00 km (unidade: m3xkm). AF_07/2020</v>
      </c>
      <c r="E873" s="2">
        <f>+Orçamento_Não_Deson!E873</f>
        <v>109</v>
      </c>
      <c r="F873" s="2" t="str">
        <f>VLOOKUP($B873,[5]BOLETIM_SEL!$A:$H,6,0)</f>
        <v>M3XKM</v>
      </c>
      <c r="G873" s="1407">
        <f>VLOOKUP($B873,[5]BOLETIM_SEL!$A:$H,7,0)</f>
        <v>0.85</v>
      </c>
      <c r="H873" s="1613">
        <f>+Orçamento_Não_Deson!H873</f>
        <v>0</v>
      </c>
      <c r="I873" s="877">
        <f>+TRUNC(G873*(1+$J$5),2)</f>
        <v>1.07</v>
      </c>
      <c r="J873" s="1612">
        <f>TRUNC(H873*I873,2)</f>
        <v>0</v>
      </c>
      <c r="K873" s="2078">
        <f ca="1">+J873/J$967</f>
        <v>0</v>
      </c>
      <c r="L873" s="1574" t="e">
        <f>+J873/$J$833</f>
        <v>#DIV/0!</v>
      </c>
      <c r="M873" s="1976">
        <f>+Orçamento_Não_Deson!M873</f>
        <v>0</v>
      </c>
      <c r="N873" s="833"/>
      <c r="O873" s="833"/>
      <c r="Q873" s="833"/>
      <c r="R873" s="833"/>
      <c r="S873" s="833"/>
      <c r="T873" s="833"/>
      <c r="U873" s="833"/>
      <c r="V873" s="833"/>
      <c r="W873" s="833"/>
      <c r="X873" s="833"/>
    </row>
    <row r="874" spans="1:24" s="813" customFormat="1" ht="39.950000000000003" hidden="1" customHeight="1" x14ac:dyDescent="0.15">
      <c r="A874" s="2081"/>
      <c r="B874" s="834"/>
      <c r="C874" s="2"/>
      <c r="D874" s="1452" t="s">
        <v>1896</v>
      </c>
      <c r="E874" s="2"/>
      <c r="F874" s="2"/>
      <c r="G874" s="1407"/>
      <c r="H874" s="2"/>
      <c r="I874" s="839" t="str">
        <f>IF(I875=0,"-","")</f>
        <v/>
      </c>
      <c r="J874" s="839" t="str">
        <f>IF(J875=0,"-","")</f>
        <v>-</v>
      </c>
      <c r="K874" s="2078"/>
      <c r="L874" s="1574"/>
      <c r="M874" s="1974"/>
      <c r="N874" s="833"/>
      <c r="O874" s="833"/>
      <c r="Q874" s="833"/>
      <c r="R874" s="833"/>
      <c r="S874" s="833"/>
      <c r="T874" s="833"/>
      <c r="U874" s="833"/>
      <c r="V874" s="833"/>
      <c r="W874" s="833"/>
      <c r="X874" s="833"/>
    </row>
    <row r="875" spans="1:24" s="813" customFormat="1" ht="39.950000000000003" hidden="1" customHeight="1" x14ac:dyDescent="0.15">
      <c r="A875" s="2081">
        <f ca="1">+Orçamento_Não_Deson!A875</f>
        <v>10</v>
      </c>
      <c r="B875" s="834">
        <f>+Orçamento_Não_Deson!B875</f>
        <v>93590</v>
      </c>
      <c r="C875" s="2" t="str">
        <f>VLOOKUP($B875,[5]BOLETIM_SEL!$A:$H,2,0)</f>
        <v>SINAPI</v>
      </c>
      <c r="D875" s="315" t="str">
        <f>VLOOKUP($B875,[5]BOLETIM_SEL!$A:$H,4,0)</f>
        <v>Transporte com caminhão basculante de 10 m3, em via urbana pavimentada, adicional para DMT excedente a 30,00 km (unidade: m3xkm). AF_07/2020</v>
      </c>
      <c r="E875" s="2">
        <f>+Orçamento_Não_Deson!E875</f>
        <v>109</v>
      </c>
      <c r="F875" s="2" t="str">
        <f>VLOOKUP($B875,[5]BOLETIM_SEL!$A:$H,6,0)</f>
        <v>M3XKM</v>
      </c>
      <c r="G875" s="1407">
        <f>VLOOKUP($B875,[5]BOLETIM_SEL!$A:$H,7,0)</f>
        <v>0.85</v>
      </c>
      <c r="H875" s="1613">
        <f>+Orçamento_Não_Deson!H875</f>
        <v>0</v>
      </c>
      <c r="I875" s="877">
        <f>+TRUNC(G875*(1+$J$5),2)</f>
        <v>1.07</v>
      </c>
      <c r="J875" s="1612">
        <f>TRUNC(H875*I875,2)</f>
        <v>0</v>
      </c>
      <c r="K875" s="2078">
        <f ca="1">+J875/J$967</f>
        <v>0</v>
      </c>
      <c r="L875" s="1574" t="e">
        <f>+J875/$J$833</f>
        <v>#DIV/0!</v>
      </c>
      <c r="M875" s="1976">
        <f>+Orçamento_Não_Deson!M875</f>
        <v>0</v>
      </c>
      <c r="N875" s="833"/>
      <c r="O875" s="833"/>
      <c r="Q875" s="833"/>
      <c r="R875" s="833"/>
      <c r="S875" s="833"/>
      <c r="T875" s="833"/>
      <c r="U875" s="833"/>
      <c r="V875" s="833"/>
      <c r="W875" s="833"/>
      <c r="X875" s="833"/>
    </row>
    <row r="876" spans="1:24" s="813" customFormat="1" ht="39.950000000000003" hidden="1" customHeight="1" x14ac:dyDescent="0.15">
      <c r="A876" s="2081"/>
      <c r="B876" s="834"/>
      <c r="C876" s="2"/>
      <c r="D876" s="1452" t="s">
        <v>1901</v>
      </c>
      <c r="E876" s="2"/>
      <c r="F876" s="2"/>
      <c r="G876" s="1407"/>
      <c r="H876" s="2"/>
      <c r="I876" s="839" t="str">
        <f>IF(I877=0,"-","")</f>
        <v/>
      </c>
      <c r="J876" s="839" t="str">
        <f>IF(J877=0,"-","")</f>
        <v>-</v>
      </c>
      <c r="K876" s="2078"/>
      <c r="L876" s="1574"/>
      <c r="M876" s="1974"/>
      <c r="N876" s="833"/>
      <c r="O876" s="833"/>
      <c r="Q876" s="833"/>
      <c r="R876" s="833"/>
      <c r="S876" s="833"/>
      <c r="T876" s="833"/>
      <c r="U876" s="833"/>
      <c r="V876" s="833"/>
      <c r="W876" s="833"/>
      <c r="X876" s="833"/>
    </row>
    <row r="877" spans="1:24" s="813" customFormat="1" ht="39.950000000000003" hidden="1" customHeight="1" x14ac:dyDescent="0.15">
      <c r="A877" s="2081">
        <f ca="1">+Orçamento_Não_Deson!A877</f>
        <v>10</v>
      </c>
      <c r="B877" s="834">
        <f>+Orçamento_Não_Deson!B877</f>
        <v>95875</v>
      </c>
      <c r="C877" s="2" t="str">
        <f>VLOOKUP($B877,[5]BOLETIM_SEL!$A:$H,2,0)</f>
        <v>SINAPI</v>
      </c>
      <c r="D877" s="315" t="str">
        <f>VLOOKUP($B877,[5]BOLETIM_SEL!$A:$H,4,0)</f>
        <v>Transporte com caminhão basculante de 10 m3, em via urbana pavimentada, DMT até 30,00 km (unidade: m3xkm). AF_07/2020</v>
      </c>
      <c r="E877" s="2">
        <f>+Orçamento_Não_Deson!E877</f>
        <v>0</v>
      </c>
      <c r="F877" s="2" t="str">
        <f>VLOOKUP($B877,[5]BOLETIM_SEL!$A:$H,6,0)</f>
        <v>M3XKM</v>
      </c>
      <c r="G877" s="1407">
        <f>VLOOKUP($B877,[5]BOLETIM_SEL!$A:$H,7,0)</f>
        <v>2.15</v>
      </c>
      <c r="H877" s="1613">
        <f>+Orçamento_Não_Deson!H877</f>
        <v>0</v>
      </c>
      <c r="I877" s="877">
        <f>+TRUNC(G877*(1+$J$5),2)</f>
        <v>2.72</v>
      </c>
      <c r="J877" s="1612">
        <f>TRUNC(H877*I877,2)</f>
        <v>0</v>
      </c>
      <c r="K877" s="2078">
        <f ca="1">+J877/J$967</f>
        <v>0</v>
      </c>
      <c r="L877" s="1574" t="e">
        <f>+J877/$J$833</f>
        <v>#DIV/0!</v>
      </c>
      <c r="M877" s="1976">
        <f>+Orçamento_Não_Deson!M877</f>
        <v>0</v>
      </c>
      <c r="N877" s="833"/>
      <c r="O877" s="833"/>
      <c r="Q877" s="833"/>
      <c r="R877" s="833"/>
      <c r="S877" s="833"/>
      <c r="T877" s="833"/>
      <c r="U877" s="833"/>
      <c r="V877" s="833"/>
      <c r="W877" s="833"/>
      <c r="X877" s="833"/>
    </row>
    <row r="878" spans="1:24" s="813" customFormat="1" ht="39.950000000000003" hidden="1" customHeight="1" x14ac:dyDescent="0.15">
      <c r="A878" s="2081"/>
      <c r="B878" s="834"/>
      <c r="C878" s="2"/>
      <c r="D878" s="1452" t="s">
        <v>1907</v>
      </c>
      <c r="E878" s="2"/>
      <c r="F878" s="2"/>
      <c r="G878" s="1407"/>
      <c r="H878" s="2"/>
      <c r="I878" s="839" t="str">
        <f>IF(I879=0,"-","")</f>
        <v/>
      </c>
      <c r="J878" s="839" t="str">
        <f>IF(J879=0,"-","")</f>
        <v>-</v>
      </c>
      <c r="K878" s="2078"/>
      <c r="L878" s="1574"/>
      <c r="M878" s="1974"/>
      <c r="N878" s="833"/>
      <c r="O878" s="833"/>
      <c r="Q878" s="833"/>
      <c r="R878" s="833"/>
      <c r="S878" s="833"/>
      <c r="T878" s="833"/>
      <c r="U878" s="833"/>
      <c r="V878" s="833"/>
      <c r="W878" s="833"/>
      <c r="X878" s="833"/>
    </row>
    <row r="879" spans="1:24" s="813" customFormat="1" ht="39.950000000000003" hidden="1" customHeight="1" x14ac:dyDescent="0.15">
      <c r="A879" s="2081">
        <f ca="1">+Orçamento_Não_Deson!A879</f>
        <v>10</v>
      </c>
      <c r="B879" s="834">
        <f>+Orçamento_Não_Deson!B879</f>
        <v>95875</v>
      </c>
      <c r="C879" s="2" t="str">
        <f>VLOOKUP($B879,[5]BOLETIM_SEL!$A:$H,2,0)</f>
        <v>SINAPI</v>
      </c>
      <c r="D879" s="315" t="str">
        <f>VLOOKUP($B879,[5]BOLETIM_SEL!$A:$H,4,0)</f>
        <v>Transporte com caminhão basculante de 10 m3, em via urbana pavimentada, DMT até 30,00 km (unidade: m3xkm). AF_07/2020</v>
      </c>
      <c r="E879" s="2">
        <f>+Orçamento_Não_Deson!E879</f>
        <v>0</v>
      </c>
      <c r="F879" s="2" t="str">
        <f>VLOOKUP($B879,[5]BOLETIM_SEL!$A:$H,6,0)</f>
        <v>M3XKM</v>
      </c>
      <c r="G879" s="1407">
        <f>VLOOKUP($B879,[5]BOLETIM_SEL!$A:$H,7,0)</f>
        <v>2.15</v>
      </c>
      <c r="H879" s="1613">
        <f>+Orçamento_Não_Deson!H879</f>
        <v>0</v>
      </c>
      <c r="I879" s="877">
        <f>+TRUNC(G879*(1+$J$5),2)</f>
        <v>2.72</v>
      </c>
      <c r="J879" s="1612">
        <f>TRUNC(H879*I879,2)</f>
        <v>0</v>
      </c>
      <c r="K879" s="2078">
        <f ca="1">+J879/J$967</f>
        <v>0</v>
      </c>
      <c r="L879" s="1574" t="e">
        <f>+J879/$J$833</f>
        <v>#DIV/0!</v>
      </c>
      <c r="M879" s="1976">
        <f>+Orçamento_Não_Deson!M879</f>
        <v>0</v>
      </c>
      <c r="N879" s="833"/>
      <c r="O879" s="833"/>
      <c r="Q879" s="833"/>
      <c r="R879" s="833"/>
      <c r="S879" s="833"/>
      <c r="T879" s="833"/>
      <c r="U879" s="833"/>
      <c r="V879" s="833"/>
      <c r="W879" s="833"/>
      <c r="X879" s="833"/>
    </row>
    <row r="880" spans="1:24" s="813" customFormat="1" ht="39.950000000000003" hidden="1" customHeight="1" x14ac:dyDescent="0.15">
      <c r="A880" s="2081"/>
      <c r="B880" s="834"/>
      <c r="C880" s="2"/>
      <c r="D880" s="1452" t="s">
        <v>1819</v>
      </c>
      <c r="E880" s="2"/>
      <c r="F880" s="2"/>
      <c r="G880" s="1407"/>
      <c r="H880" s="2"/>
      <c r="I880" s="839" t="str">
        <f>IF(I881=0,"-","")</f>
        <v/>
      </c>
      <c r="J880" s="839" t="str">
        <f>IF(J881=0,"-","")</f>
        <v>-</v>
      </c>
      <c r="K880" s="2078"/>
      <c r="L880" s="1574"/>
      <c r="M880" s="1974"/>
      <c r="N880" s="833"/>
      <c r="O880" s="833"/>
      <c r="Q880" s="833"/>
      <c r="R880" s="833"/>
      <c r="S880" s="833"/>
      <c r="T880" s="833"/>
      <c r="U880" s="833"/>
      <c r="V880" s="833"/>
      <c r="W880" s="833"/>
      <c r="X880" s="833"/>
    </row>
    <row r="881" spans="1:24" s="813" customFormat="1" ht="39.950000000000003" hidden="1" customHeight="1" x14ac:dyDescent="0.15">
      <c r="A881" s="2081">
        <f ca="1">+Orçamento_Não_Deson!A881</f>
        <v>10</v>
      </c>
      <c r="B881" s="834">
        <f>+Orçamento_Não_Deson!B881</f>
        <v>95875</v>
      </c>
      <c r="C881" s="2" t="str">
        <f>VLOOKUP($B881,[5]BOLETIM_SEL!$A:$H,2,0)</f>
        <v>SINAPI</v>
      </c>
      <c r="D881" s="315" t="str">
        <f>VLOOKUP($B881,[5]BOLETIM_SEL!$A:$H,4,0)</f>
        <v>Transporte com caminhão basculante de 10 m3, em via urbana pavimentada, DMT até 30,00 km (unidade: m3xkm). AF_07/2020</v>
      </c>
      <c r="E881" s="2">
        <f>+Orçamento_Não_Deson!E881</f>
        <v>0</v>
      </c>
      <c r="F881" s="2" t="str">
        <f>VLOOKUP($B881,[5]BOLETIM_SEL!$A:$H,6,0)</f>
        <v>M3XKM</v>
      </c>
      <c r="G881" s="1407">
        <f>VLOOKUP($B881,[5]BOLETIM_SEL!$A:$H,7,0)</f>
        <v>2.15</v>
      </c>
      <c r="H881" s="1613">
        <f>+Orçamento_Não_Deson!H881</f>
        <v>0</v>
      </c>
      <c r="I881" s="877">
        <f>+TRUNC(G881*(1+$J$5),2)</f>
        <v>2.72</v>
      </c>
      <c r="J881" s="1612">
        <f>TRUNC(H881*I881,2)</f>
        <v>0</v>
      </c>
      <c r="K881" s="2078">
        <f ca="1">+J881/J$967</f>
        <v>0</v>
      </c>
      <c r="L881" s="1574" t="e">
        <f>+J881/$J$833</f>
        <v>#DIV/0!</v>
      </c>
      <c r="M881" s="1976">
        <f>+Orçamento_Não_Deson!M881</f>
        <v>0</v>
      </c>
      <c r="N881" s="833"/>
      <c r="O881" s="833"/>
      <c r="Q881" s="833"/>
      <c r="R881" s="833"/>
      <c r="S881" s="833"/>
      <c r="T881" s="833"/>
      <c r="U881" s="833"/>
      <c r="V881" s="833"/>
      <c r="W881" s="833"/>
      <c r="X881" s="833"/>
    </row>
    <row r="882" spans="1:24" s="813" customFormat="1" ht="39.950000000000003" hidden="1" customHeight="1" x14ac:dyDescent="0.15">
      <c r="A882" s="2081"/>
      <c r="B882" s="834"/>
      <c r="C882" s="2"/>
      <c r="D882" s="1452" t="s">
        <v>1763</v>
      </c>
      <c r="E882" s="2"/>
      <c r="F882" s="2"/>
      <c r="G882" s="1407"/>
      <c r="H882" s="2"/>
      <c r="I882" s="839" t="str">
        <f>IF(I883=0,"-","")</f>
        <v/>
      </c>
      <c r="J882" s="839" t="str">
        <f>IF(J883=0,"-","")</f>
        <v>-</v>
      </c>
      <c r="K882" s="2078"/>
      <c r="L882" s="1574"/>
      <c r="M882" s="1974"/>
      <c r="N882" s="833"/>
      <c r="O882" s="833"/>
      <c r="Q882" s="833"/>
      <c r="R882" s="833"/>
      <c r="S882" s="833"/>
      <c r="T882" s="833"/>
      <c r="U882" s="833"/>
      <c r="V882" s="833"/>
      <c r="W882" s="833"/>
      <c r="X882" s="833"/>
    </row>
    <row r="883" spans="1:24" s="813" customFormat="1" ht="39.950000000000003" hidden="1" customHeight="1" x14ac:dyDescent="0.15">
      <c r="A883" s="2081">
        <f ca="1">+Orçamento_Não_Deson!A883</f>
        <v>10</v>
      </c>
      <c r="B883" s="834">
        <f>+Orçamento_Não_Deson!B883</f>
        <v>93596</v>
      </c>
      <c r="C883" s="2" t="str">
        <f>VLOOKUP($B883,[5]BOLETIM_SEL!$A:$H,2,0)</f>
        <v>SINAPI</v>
      </c>
      <c r="D883" s="315" t="str">
        <f>VLOOKUP($B883,[5]BOLETIM_SEL!$A:$H,4,0)</f>
        <v>Transporte com caminhão basculante de 10 m3, em via urbana pavimentada, adicional para DMT excedente a 30,00 km (unidade: txkm). AF_07/2020</v>
      </c>
      <c r="E883" s="2">
        <f>+Orçamento_Não_Deson!E883</f>
        <v>109</v>
      </c>
      <c r="F883" s="2" t="str">
        <f>VLOOKUP($B883,[5]BOLETIM_SEL!$A:$H,6,0)</f>
        <v>TXKM</v>
      </c>
      <c r="G883" s="1407">
        <f>VLOOKUP($B883,[5]BOLETIM_SEL!$A:$H,7,0)</f>
        <v>0.56999999999999995</v>
      </c>
      <c r="H883" s="1613">
        <f>+Orçamento_Não_Deson!H883</f>
        <v>0</v>
      </c>
      <c r="I883" s="877">
        <f>+TRUNC(G883*(1+$J$5),2)</f>
        <v>0.72</v>
      </c>
      <c r="J883" s="1612">
        <f>TRUNC(H883*I883,2)</f>
        <v>0</v>
      </c>
      <c r="K883" s="2078">
        <f ca="1">+J883/J$967</f>
        <v>0</v>
      </c>
      <c r="L883" s="1574" t="e">
        <f>+J883/$J$833</f>
        <v>#DIV/0!</v>
      </c>
      <c r="M883" s="1983">
        <f>+Orçamento_Não_Deson!M883</f>
        <v>0</v>
      </c>
      <c r="N883" s="833"/>
      <c r="O883" s="833"/>
      <c r="Q883" s="833"/>
      <c r="R883" s="833"/>
      <c r="S883" s="833"/>
      <c r="T883" s="833"/>
      <c r="U883" s="833"/>
      <c r="V883" s="833"/>
      <c r="W883" s="833"/>
      <c r="X883" s="833"/>
    </row>
    <row r="884" spans="1:24" s="813" customFormat="1" ht="39.950000000000003" hidden="1" customHeight="1" x14ac:dyDescent="0.15">
      <c r="A884" s="2081"/>
      <c r="B884" s="834"/>
      <c r="C884" s="2"/>
      <c r="D884" s="1452" t="s">
        <v>1760</v>
      </c>
      <c r="E884" s="2"/>
      <c r="F884" s="2"/>
      <c r="G884" s="1407"/>
      <c r="H884" s="2"/>
      <c r="I884" s="839" t="str">
        <f>IF(I885=0,"-","")</f>
        <v/>
      </c>
      <c r="J884" s="839" t="str">
        <f>IF(J885=0,"-","")</f>
        <v>-</v>
      </c>
      <c r="K884" s="2078"/>
      <c r="L884" s="1574"/>
      <c r="M884" s="1974"/>
      <c r="N884" s="833"/>
      <c r="O884" s="833"/>
      <c r="Q884" s="833"/>
      <c r="R884" s="833"/>
      <c r="S884" s="833"/>
      <c r="T884" s="833"/>
      <c r="U884" s="833"/>
      <c r="V884" s="833"/>
      <c r="W884" s="833"/>
      <c r="X884" s="833"/>
    </row>
    <row r="885" spans="1:24" s="813" customFormat="1" ht="39.950000000000003" hidden="1" customHeight="1" x14ac:dyDescent="0.15">
      <c r="A885" s="2081">
        <f ca="1">+Orçamento_Não_Deson!A885</f>
        <v>10</v>
      </c>
      <c r="B885" s="834">
        <f>+Orçamento_Não_Deson!B885</f>
        <v>102332</v>
      </c>
      <c r="C885" s="2" t="str">
        <f>VLOOKUP($B885,[5]BOLETIM_SEL!$A:$H,2,0)</f>
        <v>SINAPI</v>
      </c>
      <c r="D885" s="315" t="str">
        <f>VLOOKUP($B885,[5]BOLETIM_SEL!$A:$H,4,0)</f>
        <v>Transporte com caminhão tanque de transporte de material asfáltico de 20.000 l, em via urbana pavimentada, DMT até 30,00 km (unidade: txkm). AF_07/2020</v>
      </c>
      <c r="E885" s="2">
        <f>+Orçamento_Não_Deson!E885</f>
        <v>109</v>
      </c>
      <c r="F885" s="2" t="str">
        <f>VLOOKUP($B885,[5]BOLETIM_SEL!$A:$H,6,0)</f>
        <v>TXKM</v>
      </c>
      <c r="G885" s="1407">
        <f>VLOOKUP($B885,[5]BOLETIM_SEL!$A:$H,7,0)</f>
        <v>1.62</v>
      </c>
      <c r="H885" s="1613">
        <f>+Orçamento_Não_Deson!H885</f>
        <v>0</v>
      </c>
      <c r="I885" s="877">
        <f>+TRUNC(G885*(1+$J$5),2)</f>
        <v>2.0499999999999998</v>
      </c>
      <c r="J885" s="1612">
        <f>TRUNC(H885*I885,2)</f>
        <v>0</v>
      </c>
      <c r="K885" s="2078">
        <f ca="1">+J885/J$967</f>
        <v>0</v>
      </c>
      <c r="L885" s="1574" t="e">
        <f>+J885/$J$833</f>
        <v>#DIV/0!</v>
      </c>
      <c r="M885" s="1983">
        <f>+Orçamento_Não_Deson!M885</f>
        <v>0</v>
      </c>
      <c r="N885" s="833"/>
      <c r="O885" s="833"/>
      <c r="Q885" s="833"/>
      <c r="R885" s="833"/>
      <c r="S885" s="833"/>
      <c r="T885" s="833"/>
      <c r="U885" s="833"/>
      <c r="V885" s="833"/>
      <c r="W885" s="833"/>
      <c r="X885" s="833"/>
    </row>
    <row r="886" spans="1:24" s="813" customFormat="1" ht="39.950000000000003" hidden="1" customHeight="1" x14ac:dyDescent="0.15">
      <c r="A886" s="2081"/>
      <c r="B886" s="834"/>
      <c r="C886" s="2"/>
      <c r="D886" s="1452" t="s">
        <v>1759</v>
      </c>
      <c r="E886" s="2"/>
      <c r="F886" s="2"/>
      <c r="G886" s="1407"/>
      <c r="H886" s="2"/>
      <c r="I886" s="839" t="str">
        <f>IF(I887=0,"-","")</f>
        <v/>
      </c>
      <c r="J886" s="839" t="str">
        <f>IF(J887=0,"-","")</f>
        <v>-</v>
      </c>
      <c r="K886" s="2078"/>
      <c r="L886" s="1574"/>
      <c r="M886" s="1974"/>
      <c r="N886" s="833"/>
      <c r="O886" s="833"/>
      <c r="Q886" s="833"/>
      <c r="R886" s="833"/>
      <c r="S886" s="833"/>
      <c r="T886" s="833"/>
      <c r="U886" s="833"/>
      <c r="V886" s="833"/>
      <c r="W886" s="833"/>
      <c r="X886" s="833"/>
    </row>
    <row r="887" spans="1:24" s="813" customFormat="1" ht="39.950000000000003" hidden="1" customHeight="1" x14ac:dyDescent="0.15">
      <c r="A887" s="2081">
        <f ca="1">+Orçamento_Não_Deson!A887</f>
        <v>10</v>
      </c>
      <c r="B887" s="834">
        <f>+Orçamento_Não_Deson!B887</f>
        <v>102332</v>
      </c>
      <c r="C887" s="2" t="str">
        <f>VLOOKUP($B887,[5]BOLETIM_SEL!$A:$H,2,0)</f>
        <v>SINAPI</v>
      </c>
      <c r="D887" s="315" t="str">
        <f>VLOOKUP($B887,[5]BOLETIM_SEL!$A:$H,4,0)</f>
        <v>Transporte com caminhão tanque de transporte de material asfáltico de 20.000 l, em via urbana pavimentada, DMT até 30,00 km (unidade: txkm). AF_07/2020</v>
      </c>
      <c r="E887" s="2">
        <f>+Orçamento_Não_Deson!E887</f>
        <v>109</v>
      </c>
      <c r="F887" s="2" t="str">
        <f>VLOOKUP($B887,[5]BOLETIM_SEL!$A:$H,6,0)</f>
        <v>TXKM</v>
      </c>
      <c r="G887" s="1407">
        <f>VLOOKUP($B887,[5]BOLETIM_SEL!$A:$H,7,0)</f>
        <v>1.62</v>
      </c>
      <c r="H887" s="1613">
        <f>+Orçamento_Não_Deson!H887</f>
        <v>0</v>
      </c>
      <c r="I887" s="877">
        <f>+TRUNC(G887*(1+$J$5),2)</f>
        <v>2.0499999999999998</v>
      </c>
      <c r="J887" s="1612">
        <f>TRUNC(H887*I887,2)</f>
        <v>0</v>
      </c>
      <c r="K887" s="2078">
        <f ca="1">+J887/J$967</f>
        <v>0</v>
      </c>
      <c r="L887" s="1574" t="e">
        <f>+J887/$J$833</f>
        <v>#DIV/0!</v>
      </c>
      <c r="M887" s="1983">
        <f>+Orçamento_Não_Deson!M887</f>
        <v>0</v>
      </c>
      <c r="N887" s="833"/>
      <c r="O887" s="833"/>
      <c r="Q887" s="833"/>
      <c r="R887" s="833"/>
      <c r="S887" s="833"/>
      <c r="T887" s="833"/>
      <c r="U887" s="833"/>
      <c r="V887" s="833"/>
      <c r="W887" s="833"/>
      <c r="X887" s="833"/>
    </row>
    <row r="888" spans="1:24" s="813" customFormat="1" ht="39.950000000000003" hidden="1" customHeight="1" x14ac:dyDescent="0.15">
      <c r="A888" s="2081"/>
      <c r="B888" s="834"/>
      <c r="C888" s="2"/>
      <c r="D888" s="1452" t="s">
        <v>1761</v>
      </c>
      <c r="E888" s="2"/>
      <c r="F888" s="2"/>
      <c r="G888" s="1407"/>
      <c r="H888" s="2"/>
      <c r="I888" s="839" t="str">
        <f>IF(I889=0,"-","")</f>
        <v/>
      </c>
      <c r="J888" s="839" t="str">
        <f>IF(J889=0,"-","")</f>
        <v>-</v>
      </c>
      <c r="K888" s="2078"/>
      <c r="L888" s="1574"/>
      <c r="M888" s="1974"/>
      <c r="N888" s="833"/>
      <c r="O888" s="833"/>
      <c r="Q888" s="833"/>
      <c r="R888" s="833"/>
      <c r="S888" s="833"/>
      <c r="T888" s="833"/>
      <c r="U888" s="833"/>
      <c r="V888" s="833"/>
      <c r="W888" s="833"/>
      <c r="X888" s="833"/>
    </row>
    <row r="889" spans="1:24" s="813" customFormat="1" ht="39.950000000000003" hidden="1" customHeight="1" x14ac:dyDescent="0.15">
      <c r="A889" s="2081">
        <f ca="1">+Orçamento_Não_Deson!A889</f>
        <v>10</v>
      </c>
      <c r="B889" s="834">
        <f>+Orçamento_Não_Deson!B889</f>
        <v>102332</v>
      </c>
      <c r="C889" s="2" t="str">
        <f>VLOOKUP($B889,[5]BOLETIM_SEL!$A:$H,2,0)</f>
        <v>SINAPI</v>
      </c>
      <c r="D889" s="315" t="str">
        <f>VLOOKUP($B889,[5]BOLETIM_SEL!$A:$H,4,0)</f>
        <v>Transporte com caminhão tanque de transporte de material asfáltico de 20.000 l, em via urbana pavimentada, DMT até 30,00 km (unidade: txkm). AF_07/2020</v>
      </c>
      <c r="E889" s="2">
        <f>+Orçamento_Não_Deson!E889</f>
        <v>0</v>
      </c>
      <c r="F889" s="2" t="str">
        <f>VLOOKUP($B889,[5]BOLETIM_SEL!$A:$H,6,0)</f>
        <v>TXKM</v>
      </c>
      <c r="G889" s="1407">
        <f>VLOOKUP($B889,[5]BOLETIM_SEL!$A:$H,7,0)</f>
        <v>1.62</v>
      </c>
      <c r="H889" s="1613">
        <f>+Orçamento_Não_Deson!H889</f>
        <v>0</v>
      </c>
      <c r="I889" s="877">
        <f>+TRUNC(G889*(1+$J$5),2)</f>
        <v>2.0499999999999998</v>
      </c>
      <c r="J889" s="1612">
        <f>TRUNC(H889*I889,2)</f>
        <v>0</v>
      </c>
      <c r="K889" s="2078">
        <f ca="1">+J889/J$967</f>
        <v>0</v>
      </c>
      <c r="L889" s="1574" t="e">
        <f>+J889/$J$833</f>
        <v>#DIV/0!</v>
      </c>
      <c r="M889" s="1983">
        <f>+Orçamento_Não_Deson!M889</f>
        <v>0</v>
      </c>
      <c r="N889" s="833"/>
      <c r="O889" s="833"/>
      <c r="Q889" s="833"/>
      <c r="R889" s="833"/>
      <c r="S889" s="833"/>
      <c r="T889" s="833"/>
      <c r="U889" s="833"/>
      <c r="V889" s="833"/>
      <c r="W889" s="833"/>
      <c r="X889" s="833"/>
    </row>
    <row r="890" spans="1:24" s="813" customFormat="1" ht="39.950000000000003" hidden="1" customHeight="1" x14ac:dyDescent="0.15">
      <c r="A890" s="2081"/>
      <c r="B890" s="834"/>
      <c r="C890" s="2"/>
      <c r="D890" s="1452" t="s">
        <v>1817</v>
      </c>
      <c r="E890" s="2"/>
      <c r="F890" s="2"/>
      <c r="G890" s="1407"/>
      <c r="H890" s="2"/>
      <c r="I890" s="839"/>
      <c r="J890" s="839" t="str">
        <f>IF(J891=0,"-","")</f>
        <v>-</v>
      </c>
      <c r="K890" s="2078"/>
      <c r="L890" s="1574"/>
      <c r="M890" s="1974"/>
      <c r="N890" s="833"/>
      <c r="O890" s="833"/>
      <c r="Q890" s="833"/>
      <c r="R890" s="833"/>
      <c r="S890" s="833"/>
      <c r="T890" s="833"/>
      <c r="U890" s="833"/>
      <c r="V890" s="833"/>
      <c r="W890" s="833"/>
      <c r="X890" s="833"/>
    </row>
    <row r="891" spans="1:24" s="813" customFormat="1" ht="39.950000000000003" hidden="1" customHeight="1" x14ac:dyDescent="0.15">
      <c r="A891" s="2081">
        <f ca="1">+Orçamento_Não_Deson!A891</f>
        <v>10</v>
      </c>
      <c r="B891" s="834">
        <f>+Orçamento_Não_Deson!B891</f>
        <v>100947</v>
      </c>
      <c r="C891" s="2" t="str">
        <f>VLOOKUP($B891,[5]BOLETIM_SEL!$A:$H,2,0)</f>
        <v>SINAPI</v>
      </c>
      <c r="D891" s="315" t="str">
        <f>VLOOKUP($B891,[5]BOLETIM_SEL!$A:$H,4,0)</f>
        <v>Transporte com caminhão carroceria 9t, em via urbana pavimentada, DMT até 30,00 km (unidade: txkm). AF_07/2020</v>
      </c>
      <c r="E891" s="2">
        <f>+Orçamento_Não_Deson!E891</f>
        <v>0</v>
      </c>
      <c r="F891" s="2" t="str">
        <f>VLOOKUP($B891,[5]BOLETIM_SEL!$A:$H,6,0)</f>
        <v>TXKM</v>
      </c>
      <c r="G891" s="1407">
        <f>VLOOKUP($B891,[5]BOLETIM_SEL!$A:$H,7,0)</f>
        <v>1.93</v>
      </c>
      <c r="H891" s="1613">
        <f>+Orçamento_Não_Deson!H891</f>
        <v>0</v>
      </c>
      <c r="I891" s="877">
        <f>+TRUNC(G891*(1+$J$5),2)</f>
        <v>2.44</v>
      </c>
      <c r="J891" s="1612">
        <f>TRUNC(H891*I891,2)</f>
        <v>0</v>
      </c>
      <c r="K891" s="2078">
        <f ca="1">+J891/J$967</f>
        <v>0</v>
      </c>
      <c r="L891" s="1574" t="e">
        <f>+J891/$J$833</f>
        <v>#DIV/0!</v>
      </c>
      <c r="M891" s="1974"/>
      <c r="N891" s="833"/>
      <c r="O891" s="833"/>
      <c r="Q891" s="833"/>
      <c r="R891" s="833"/>
      <c r="S891" s="833"/>
      <c r="T891" s="833"/>
      <c r="U891" s="833"/>
      <c r="V891" s="833"/>
      <c r="W891" s="833"/>
      <c r="X891" s="833"/>
    </row>
    <row r="892" spans="1:24" s="813" customFormat="1" ht="39.950000000000003" hidden="1" customHeight="1" x14ac:dyDescent="0.15">
      <c r="A892" s="2081"/>
      <c r="B892" s="834"/>
      <c r="C892" s="2"/>
      <c r="D892" s="1452" t="s">
        <v>1829</v>
      </c>
      <c r="E892" s="2"/>
      <c r="F892" s="2"/>
      <c r="G892" s="1407"/>
      <c r="H892" s="2"/>
      <c r="I892" s="839"/>
      <c r="J892" s="839" t="str">
        <f>IF(J893=0,"-","")</f>
        <v>-</v>
      </c>
      <c r="K892" s="2078"/>
      <c r="L892" s="1574"/>
      <c r="M892" s="1974"/>
      <c r="N892" s="833"/>
      <c r="O892" s="833"/>
      <c r="Q892" s="833"/>
      <c r="R892" s="833"/>
      <c r="S892" s="833"/>
      <c r="T892" s="833"/>
      <c r="U892" s="833"/>
      <c r="V892" s="833"/>
      <c r="W892" s="833"/>
      <c r="X892" s="833"/>
    </row>
    <row r="893" spans="1:24" s="813" customFormat="1" ht="39.950000000000003" hidden="1" customHeight="1" x14ac:dyDescent="0.15">
      <c r="A893" s="2081">
        <f ca="1">+Orçamento_Não_Deson!A893</f>
        <v>10</v>
      </c>
      <c r="B893" s="834">
        <f>+Orçamento_Não_Deson!B893</f>
        <v>100947</v>
      </c>
      <c r="C893" s="2" t="str">
        <f>VLOOKUP($B893,[5]BOLETIM_SEL!$A:$H,2,0)</f>
        <v>SINAPI</v>
      </c>
      <c r="D893" s="315" t="str">
        <f>VLOOKUP($B893,[5]BOLETIM_SEL!$A:$H,4,0)</f>
        <v>Transporte com caminhão carroceria 9t, em via urbana pavimentada, DMT até 30,00 km (unidade: txkm). AF_07/2020</v>
      </c>
      <c r="E893" s="2">
        <f>+Orçamento_Não_Deson!E893</f>
        <v>100</v>
      </c>
      <c r="F893" s="2" t="str">
        <f>VLOOKUP($B893,[5]BOLETIM_SEL!$A:$H,6,0)</f>
        <v>TXKM</v>
      </c>
      <c r="G893" s="1407">
        <f>VLOOKUP($B893,[5]BOLETIM_SEL!$A:$H,7,0)</f>
        <v>1.93</v>
      </c>
      <c r="H893" s="1613">
        <f>+Orçamento_Não_Deson!H893</f>
        <v>0</v>
      </c>
      <c r="I893" s="877">
        <f>+TRUNC(G893*(1+$J$5),2)</f>
        <v>2.44</v>
      </c>
      <c r="J893" s="1612">
        <f>TRUNC(H893*I893,2)</f>
        <v>0</v>
      </c>
      <c r="K893" s="2078">
        <f ca="1">+J893/J$967</f>
        <v>0</v>
      </c>
      <c r="L893" s="1574" t="e">
        <f>+J893/$J$833</f>
        <v>#DIV/0!</v>
      </c>
      <c r="M893" s="1974"/>
      <c r="N893" s="833"/>
      <c r="O893" s="833"/>
      <c r="Q893" s="833"/>
      <c r="R893" s="833"/>
      <c r="S893" s="833"/>
      <c r="T893" s="833"/>
      <c r="U893" s="833"/>
      <c r="V893" s="833"/>
      <c r="W893" s="833"/>
      <c r="X893" s="833"/>
    </row>
    <row r="894" spans="1:24" s="844" customFormat="1" ht="39.950000000000003" hidden="1" customHeight="1" x14ac:dyDescent="0.15">
      <c r="A894" s="2081"/>
      <c r="B894" s="841"/>
      <c r="C894" s="834"/>
      <c r="D894" s="835"/>
      <c r="E894" s="2"/>
      <c r="F894" s="834"/>
      <c r="G894" s="1821"/>
      <c r="H894" s="834"/>
      <c r="I894" s="2"/>
      <c r="J894" s="839">
        <f>IF(J833=0,0,"")</f>
        <v>0</v>
      </c>
      <c r="K894" s="2078"/>
      <c r="L894" s="1574"/>
      <c r="M894" s="1833"/>
      <c r="N894" s="843"/>
      <c r="O894" s="843"/>
      <c r="Q894" s="843"/>
      <c r="R894" s="843"/>
      <c r="S894" s="843"/>
      <c r="T894" s="843"/>
      <c r="U894" s="843"/>
      <c r="V894" s="843"/>
      <c r="W894" s="843"/>
      <c r="X894" s="843"/>
    </row>
    <row r="895" spans="1:24" s="833" customFormat="1" ht="30" customHeight="1" x14ac:dyDescent="0.15">
      <c r="A895" s="2082">
        <f ca="1">IF(J895&gt;0,INT(A893)+1,IF(J895=0,INT(A893),0))</f>
        <v>11</v>
      </c>
      <c r="B895" s="1633"/>
      <c r="C895" s="1633"/>
      <c r="D895" s="1634" t="s">
        <v>915</v>
      </c>
      <c r="E895" s="1828"/>
      <c r="F895" s="1635"/>
      <c r="G895" s="1820" t="s">
        <v>654</v>
      </c>
      <c r="H895" s="1637"/>
      <c r="I895" s="1640" t="str">
        <f ca="1">CONCATENATE("SUB-TOTAL ",A895)</f>
        <v>SUB-TOTAL 11</v>
      </c>
      <c r="J895" s="1639">
        <f>SUM(J896:J923)</f>
        <v>312419.95999999996</v>
      </c>
      <c r="K895" s="2079">
        <f ca="1">J895/J$967</f>
        <v>2.2751503741905529E-2</v>
      </c>
      <c r="L895" s="1610">
        <f t="shared" ref="L895:L923" si="169">+J895/J$895</f>
        <v>1</v>
      </c>
    </row>
    <row r="896" spans="1:24" s="813" customFormat="1" ht="39.950000000000003" customHeight="1" x14ac:dyDescent="0.15">
      <c r="A896" s="2081">
        <f ca="1">+Orçamento_Não_Deson!A896</f>
        <v>11.01</v>
      </c>
      <c r="B896" s="834" t="str">
        <f>+Orçamento_Não_Deson!B896</f>
        <v>SV/0005</v>
      </c>
      <c r="C896" s="2" t="str">
        <f>VLOOKUP($B896,[5]BOLETIM_SEL!$A:$H,2,0)</f>
        <v>COMPOSIÇÃO</v>
      </c>
      <c r="D896" s="315" t="str">
        <f>VLOOKUP($B896,[5]BOLETIM_SEL!$A:$H,4,0)</f>
        <v>Pintura de faixas de pedestres e retenção e de zebrados - termoplástico por extrusão - espessura de 3,0 mm (REF. SICRO COD. 5213408 e 5213409)</v>
      </c>
      <c r="E896" s="2">
        <f>+Orçamento_Não_Deson!E896</f>
        <v>0</v>
      </c>
      <c r="F896" s="2" t="str">
        <f>VLOOKUP($B896,[5]BOLETIM_SEL!$A:$H,6,0)</f>
        <v>M2</v>
      </c>
      <c r="G896" s="1407">
        <f>VLOOKUP($B896,[5]BOLETIM_SEL!$A:$H,7,0)</f>
        <v>85.2</v>
      </c>
      <c r="H896" s="1613">
        <f>+Orçamento_Não_Deson!H896</f>
        <v>388.22</v>
      </c>
      <c r="I896" s="877">
        <f t="shared" ref="I896:I923" si="170">+TRUNC(G896*(1+$J$5),2)</f>
        <v>107.98</v>
      </c>
      <c r="J896" s="1611">
        <f t="shared" ref="J896:J923" si="171">TRUNC(H896*I896,2)</f>
        <v>41919.99</v>
      </c>
      <c r="K896" s="1943">
        <f ca="1">+J896/$J$12</f>
        <v>3.0527588869342487E-3</v>
      </c>
      <c r="L896" s="1574">
        <f t="shared" si="169"/>
        <v>0.13417833482854297</v>
      </c>
      <c r="M896" s="1974">
        <f>+VLOOKUP($B896,[5]BOLETIM_SEL!$A:$H,5,0)</f>
        <v>0</v>
      </c>
      <c r="N896" s="833"/>
      <c r="O896" s="833"/>
      <c r="Q896" s="833"/>
      <c r="R896" s="833"/>
      <c r="S896" s="833"/>
      <c r="T896" s="833"/>
      <c r="U896" s="833"/>
      <c r="V896" s="833"/>
      <c r="W896" s="833"/>
      <c r="X896" s="833"/>
    </row>
    <row r="897" spans="1:24" s="813" customFormat="1" ht="39.950000000000003" customHeight="1" x14ac:dyDescent="0.15">
      <c r="A897" s="2081">
        <f ca="1">+Orçamento_Não_Deson!A897</f>
        <v>11.02</v>
      </c>
      <c r="B897" s="834" t="str">
        <f>+Orçamento_Não_Deson!B897</f>
        <v>SV/0010</v>
      </c>
      <c r="C897" s="2" t="str">
        <f>VLOOKUP($B897,[5]BOLETIM_SEL!$A:$H,2,0)</f>
        <v>COMPOSIÇÃO</v>
      </c>
      <c r="D897" s="315" t="str">
        <f>VLOOKUP($B897,[5]BOLETIM_SEL!$A:$H,4,0)</f>
        <v>Pintura de setas e legendas - termoplástico por extrusão - espessura de 3,0 mm (REF. SICRO COD. 5213409, DB 04-21)</v>
      </c>
      <c r="E897" s="2">
        <f>+Orçamento_Não_Deson!E897</f>
        <v>0</v>
      </c>
      <c r="F897" s="2" t="str">
        <f>VLOOKUP($B897,[5]BOLETIM_SEL!$A:$H,6,0)</f>
        <v>M2</v>
      </c>
      <c r="G897" s="1407">
        <f>VLOOKUP($B897,[5]BOLETIM_SEL!$A:$H,7,0)</f>
        <v>96.66</v>
      </c>
      <c r="H897" s="1613">
        <f>+Orçamento_Não_Deson!H897</f>
        <v>288.58999999999997</v>
      </c>
      <c r="I897" s="877">
        <f t="shared" si="170"/>
        <v>122.5</v>
      </c>
      <c r="J897" s="1611">
        <f t="shared" si="171"/>
        <v>35352.269999999997</v>
      </c>
      <c r="K897" s="1943">
        <f t="shared" ref="K897:K923" ca="1" si="172">+J897/$J$12</f>
        <v>2.5744747652802166E-3</v>
      </c>
      <c r="L897" s="1574">
        <f t="shared" si="169"/>
        <v>0.11315624648309923</v>
      </c>
      <c r="M897" s="1974">
        <f>+VLOOKUP($B897,[5]BOLETIM_SEL!$A:$H,5,0)</f>
        <v>0</v>
      </c>
      <c r="N897" s="833"/>
      <c r="O897" s="833"/>
      <c r="Q897" s="833"/>
      <c r="R897" s="833"/>
      <c r="S897" s="833"/>
      <c r="T897" s="833"/>
      <c r="U897" s="833"/>
      <c r="V897" s="833"/>
      <c r="W897" s="833"/>
      <c r="X897" s="833"/>
    </row>
    <row r="898" spans="1:24" s="813" customFormat="1" ht="39.950000000000003" hidden="1" customHeight="1" x14ac:dyDescent="0.15">
      <c r="A898" s="2081">
        <f ca="1">+Orçamento_Não_Deson!A898</f>
        <v>11.02</v>
      </c>
      <c r="B898" s="834" t="str">
        <f>+Orçamento_Não_Deson!B898</f>
        <v>SV/0012</v>
      </c>
      <c r="C898" s="2" t="str">
        <f>VLOOKUP($B898,[5]BOLETIM_SEL!$A:$H,2,0)</f>
        <v>COMPOSIÇÃO</v>
      </c>
      <c r="D898" s="315" t="str">
        <f>VLOOKUP($B898,[5]BOLETIM_SEL!$A:$H,4,0)</f>
        <v>Pintura de setas e legendas - tinta base acrílica emulsionada em água - espessura de 0,5 mm (REF. SICRO COD. 5213407, DB 04-21)</v>
      </c>
      <c r="E898" s="2">
        <f>+Orçamento_Não_Deson!E898</f>
        <v>0</v>
      </c>
      <c r="F898" s="2" t="str">
        <f>VLOOKUP($B898,[5]BOLETIM_SEL!$A:$H,6,0)</f>
        <v>M2</v>
      </c>
      <c r="G898" s="1407">
        <f>VLOOKUP($B898,[5]BOLETIM_SEL!$A:$H,7,0)</f>
        <v>36.619999999999997</v>
      </c>
      <c r="H898" s="1613">
        <f>+Orçamento_Não_Deson!H898</f>
        <v>0</v>
      </c>
      <c r="I898" s="877">
        <f t="shared" si="170"/>
        <v>46.41</v>
      </c>
      <c r="J898" s="1611">
        <f t="shared" si="171"/>
        <v>0</v>
      </c>
      <c r="K898" s="1943">
        <f t="shared" ca="1" si="172"/>
        <v>0</v>
      </c>
      <c r="L898" s="1574">
        <f t="shared" si="169"/>
        <v>0</v>
      </c>
      <c r="M898" s="1974" t="str">
        <f>+Orçamento_Não_Deson!M898</f>
        <v>ATENÇÃO
indicado para as
cidades do interior</v>
      </c>
      <c r="N898" s="833"/>
      <c r="O898" s="833"/>
      <c r="Q898" s="833"/>
      <c r="R898" s="833"/>
      <c r="S898" s="833"/>
      <c r="T898" s="833"/>
      <c r="U898" s="833"/>
      <c r="V898" s="833"/>
      <c r="W898" s="833"/>
      <c r="X898" s="833"/>
    </row>
    <row r="899" spans="1:24" s="813" customFormat="1" ht="30" customHeight="1" x14ac:dyDescent="0.15">
      <c r="A899" s="2081">
        <f ca="1">+Orçamento_Não_Deson!A899</f>
        <v>11.03</v>
      </c>
      <c r="B899" s="834" t="str">
        <f>+Orçamento_Não_Deson!B899</f>
        <v>SV/0015</v>
      </c>
      <c r="C899" s="2" t="str">
        <f>VLOOKUP($B899,[5]BOLETIM_SEL!$A:$H,2,0)</f>
        <v>COMPOSIÇÃO</v>
      </c>
      <c r="D899" s="315" t="str">
        <f>VLOOKUP($B899,[5]BOLETIM_SEL!$A:$H,4,0)</f>
        <v>Pintura de faixa - termoplástico por aspersão Hot Spray - espessura de 1,5 mm (REF. SICRO COD. 5213408, DB 04-21)</v>
      </c>
      <c r="E899" s="2">
        <f>+Orçamento_Não_Deson!E899</f>
        <v>0</v>
      </c>
      <c r="F899" s="2" t="str">
        <f>VLOOKUP($B899,[5]BOLETIM_SEL!$A:$H,6,0)</f>
        <v>M2</v>
      </c>
      <c r="G899" s="1407">
        <f>VLOOKUP($B899,[5]BOLETIM_SEL!$A:$H,7,0)</f>
        <v>50.05</v>
      </c>
      <c r="H899" s="1613">
        <f>+Orçamento_Não_Deson!H899</f>
        <v>390.6</v>
      </c>
      <c r="I899" s="877">
        <f t="shared" si="170"/>
        <v>63.43</v>
      </c>
      <c r="J899" s="1611">
        <f t="shared" si="171"/>
        <v>24775.75</v>
      </c>
      <c r="K899" s="1943">
        <f t="shared" ca="1" si="172"/>
        <v>1.8042559407328393E-3</v>
      </c>
      <c r="L899" s="1574">
        <f t="shared" si="169"/>
        <v>7.9302711644928206E-2</v>
      </c>
      <c r="M899" s="1974">
        <f>+VLOOKUP($B899,[5]BOLETIM_SEL!$A:$H,5,0)</f>
        <v>0</v>
      </c>
      <c r="N899" s="833"/>
      <c r="O899" s="833"/>
      <c r="Q899" s="833"/>
      <c r="R899" s="833"/>
      <c r="S899" s="833"/>
      <c r="T899" s="833"/>
      <c r="U899" s="833"/>
      <c r="V899" s="833"/>
      <c r="W899" s="833"/>
      <c r="X899" s="833"/>
    </row>
    <row r="900" spans="1:24" s="813" customFormat="1" ht="39.950000000000003" hidden="1" customHeight="1" x14ac:dyDescent="0.15">
      <c r="A900" s="2081">
        <f ca="1">+Orçamento_Não_Deson!A900</f>
        <v>11.03</v>
      </c>
      <c r="B900" s="834" t="str">
        <f>+Orçamento_Não_Deson!B900</f>
        <v>SV/0020</v>
      </c>
      <c r="C900" s="2" t="str">
        <f>VLOOKUP($B900,[5]BOLETIM_SEL!$A:$H,2,0)</f>
        <v>COMPOSIÇÃO</v>
      </c>
      <c r="D900" s="315" t="str">
        <f>VLOOKUP($B900,[5]BOLETIM_SEL!$A:$H,4,0)</f>
        <v>Pintura de faixa - termoplástico em alto relevo tipo II - relevo simples ranhurado - base (REF. SICRO COD. 5214004, DB 04-21)</v>
      </c>
      <c r="E900" s="2">
        <f>+Orçamento_Não_Deson!E900</f>
        <v>0</v>
      </c>
      <c r="F900" s="2" t="str">
        <f>VLOOKUP($B900,[5]BOLETIM_SEL!$A:$H,6,0)</f>
        <v>M2</v>
      </c>
      <c r="G900" s="1407">
        <f>VLOOKUP($B900,[5]BOLETIM_SEL!$A:$H,7,0)</f>
        <v>171.5</v>
      </c>
      <c r="H900" s="1613">
        <f>+Orçamento_Não_Deson!H900</f>
        <v>0</v>
      </c>
      <c r="I900" s="877">
        <f t="shared" si="170"/>
        <v>217.35</v>
      </c>
      <c r="J900" s="1611">
        <f t="shared" si="171"/>
        <v>0</v>
      </c>
      <c r="K900" s="1943">
        <f t="shared" ca="1" si="172"/>
        <v>0</v>
      </c>
      <c r="L900" s="1574">
        <f t="shared" si="169"/>
        <v>0</v>
      </c>
      <c r="M900" s="1974">
        <f>+VLOOKUP($B900,[5]BOLETIM_SEL!$A:$H,5,0)</f>
        <v>0</v>
      </c>
      <c r="N900" s="833"/>
      <c r="O900" s="833"/>
      <c r="Q900" s="833"/>
      <c r="R900" s="833"/>
      <c r="S900" s="833"/>
      <c r="T900" s="833"/>
      <c r="U900" s="833"/>
      <c r="V900" s="833"/>
      <c r="W900" s="833"/>
      <c r="X900" s="833"/>
    </row>
    <row r="901" spans="1:24" s="813" customFormat="1" ht="39.950000000000003" hidden="1" customHeight="1" x14ac:dyDescent="0.15">
      <c r="A901" s="2081">
        <f ca="1">+Orçamento_Não_Deson!A901</f>
        <v>11.03</v>
      </c>
      <c r="B901" s="834" t="str">
        <f>+Orçamento_Não_Deson!B901</f>
        <v>SV/0025</v>
      </c>
      <c r="C901" s="2" t="str">
        <f>VLOOKUP($B901,[5]BOLETIM_SEL!$A:$H,2,0)</f>
        <v>COMPOSIÇÃO</v>
      </c>
      <c r="D901" s="315" t="str">
        <f>VLOOKUP($B901,[5]BOLETIM_SEL!$A:$H,4,0)</f>
        <v>Pintura de piso para ciclofaixa - plástico a frio bicomponente à base de resinas metacrílicas - espessura de 1,5 mm - plano (REF. SICRO COD. 5214009, DB 04-21)</v>
      </c>
      <c r="E901" s="2">
        <f>+Orçamento_Não_Deson!E901</f>
        <v>0</v>
      </c>
      <c r="F901" s="2" t="str">
        <f>VLOOKUP($B901,[5]BOLETIM_SEL!$A:$H,6,0)</f>
        <v>M2</v>
      </c>
      <c r="G901" s="1407">
        <f>VLOOKUP($B901,[5]BOLETIM_SEL!$A:$H,7,0)</f>
        <v>113.79</v>
      </c>
      <c r="H901" s="1613">
        <f>+Orçamento_Não_Deson!H901</f>
        <v>0</v>
      </c>
      <c r="I901" s="877">
        <f t="shared" si="170"/>
        <v>144.21</v>
      </c>
      <c r="J901" s="1611">
        <f t="shared" si="171"/>
        <v>0</v>
      </c>
      <c r="K901" s="1943">
        <f t="shared" ca="1" si="172"/>
        <v>0</v>
      </c>
      <c r="L901" s="1574">
        <f t="shared" si="169"/>
        <v>0</v>
      </c>
      <c r="M901" s="1974">
        <f>+VLOOKUP($B901,[5]BOLETIM_SEL!$A:$H,5,0)</f>
        <v>0</v>
      </c>
      <c r="N901" s="833"/>
      <c r="O901" s="833"/>
      <c r="Q901" s="833"/>
      <c r="R901" s="833"/>
      <c r="S901" s="833"/>
      <c r="T901" s="833"/>
      <c r="U901" s="833"/>
      <c r="V901" s="833"/>
      <c r="W901" s="833"/>
      <c r="X901" s="833"/>
    </row>
    <row r="902" spans="1:24" s="813" customFormat="1" ht="39.950000000000003" hidden="1" customHeight="1" x14ac:dyDescent="0.15">
      <c r="A902" s="2081">
        <f ca="1">+Orçamento_Não_Deson!A902</f>
        <v>11.03</v>
      </c>
      <c r="B902" s="834" t="str">
        <f>+Orçamento_Não_Deson!B902</f>
        <v>SV/0030</v>
      </c>
      <c r="C902" s="2" t="str">
        <f>VLOOKUP($B902,[5]BOLETIM_SEL!$A:$H,2,0)</f>
        <v>COMPOSIÇÃO</v>
      </c>
      <c r="D902" s="315" t="str">
        <f>VLOOKUP($B902,[5]BOLETIM_SEL!$A:$H,4,0)</f>
        <v>Pintura de faixa para ciclovia - tinta base acrílica emulsionada em água - espessura de 0,3 mm (REF. SICRO COD. 5214001, DB 04-21)</v>
      </c>
      <c r="E902" s="2">
        <f>+Orçamento_Não_Deson!E902</f>
        <v>0</v>
      </c>
      <c r="F902" s="2" t="str">
        <f>VLOOKUP($B902,[5]BOLETIM_SEL!$A:$H,6,0)</f>
        <v>M2</v>
      </c>
      <c r="G902" s="1407">
        <f>VLOOKUP($B902,[5]BOLETIM_SEL!$A:$H,7,0)</f>
        <v>14.87</v>
      </c>
      <c r="H902" s="1613">
        <f>+Orçamento_Não_Deson!H902</f>
        <v>0</v>
      </c>
      <c r="I902" s="877">
        <f t="shared" si="170"/>
        <v>18.84</v>
      </c>
      <c r="J902" s="1611">
        <f t="shared" si="171"/>
        <v>0</v>
      </c>
      <c r="K902" s="1943">
        <f t="shared" ca="1" si="172"/>
        <v>0</v>
      </c>
      <c r="L902" s="1574">
        <f t="shared" si="169"/>
        <v>0</v>
      </c>
      <c r="M902" s="1974">
        <f>+VLOOKUP($B902,[5]BOLETIM_SEL!$A:$H,5,0)</f>
        <v>0</v>
      </c>
      <c r="N902" s="833"/>
      <c r="O902" s="833"/>
      <c r="Q902" s="833"/>
      <c r="R902" s="833"/>
      <c r="S902" s="833"/>
      <c r="T902" s="833"/>
      <c r="U902" s="833"/>
      <c r="V902" s="833"/>
      <c r="W902" s="833"/>
      <c r="X902" s="833"/>
    </row>
    <row r="903" spans="1:24" s="813" customFormat="1" ht="39.950000000000003" hidden="1" customHeight="1" x14ac:dyDescent="0.15">
      <c r="A903" s="2081">
        <f ca="1">+Orçamento_Não_Deson!A903</f>
        <v>11.03</v>
      </c>
      <c r="B903" s="834" t="str">
        <f>+Orçamento_Não_Deson!B903</f>
        <v>SV/0035</v>
      </c>
      <c r="C903" s="2" t="str">
        <f>VLOOKUP($B903,[5]BOLETIM_SEL!$A:$H,2,0)</f>
        <v>COMPOSIÇÃO</v>
      </c>
      <c r="D903" s="315" t="str">
        <f>VLOOKUP($B903,[5]BOLETIM_SEL!$A:$H,4,0)</f>
        <v>Pintura de piso de ciclovia - tinta base acrílica emulsionada em água - espessura de 0,3 mm (REF. SICRO COD. 5214002, DB 04-21)</v>
      </c>
      <c r="E903" s="2">
        <f>+Orçamento_Não_Deson!E903</f>
        <v>0</v>
      </c>
      <c r="F903" s="2" t="str">
        <f>VLOOKUP($B903,[5]BOLETIM_SEL!$A:$H,6,0)</f>
        <v>M2</v>
      </c>
      <c r="G903" s="1407">
        <f>VLOOKUP($B903,[5]BOLETIM_SEL!$A:$H,7,0)</f>
        <v>31.52</v>
      </c>
      <c r="H903" s="1613">
        <f>+Orçamento_Não_Deson!H903</f>
        <v>0</v>
      </c>
      <c r="I903" s="877">
        <f t="shared" si="170"/>
        <v>39.94</v>
      </c>
      <c r="J903" s="1611">
        <f t="shared" si="171"/>
        <v>0</v>
      </c>
      <c r="K903" s="1943">
        <f t="shared" ca="1" si="172"/>
        <v>0</v>
      </c>
      <c r="L903" s="1574">
        <f t="shared" si="169"/>
        <v>0</v>
      </c>
      <c r="M903" s="1974">
        <f>+VLOOKUP($B903,[5]BOLETIM_SEL!$A:$H,5,0)</f>
        <v>0</v>
      </c>
      <c r="N903" s="833"/>
      <c r="O903" s="833"/>
      <c r="Q903" s="833"/>
      <c r="R903" s="833"/>
      <c r="S903" s="833"/>
      <c r="T903" s="833"/>
      <c r="U903" s="833"/>
      <c r="V903" s="833"/>
      <c r="W903" s="833"/>
      <c r="X903" s="833"/>
    </row>
    <row r="904" spans="1:24" s="813" customFormat="1" ht="39.950000000000003" hidden="1" customHeight="1" x14ac:dyDescent="0.15">
      <c r="A904" s="2081">
        <f ca="1">+Orçamento_Não_Deson!A904</f>
        <v>11.03</v>
      </c>
      <c r="B904" s="834" t="str">
        <f>+Orçamento_Não_Deson!B904</f>
        <v>SV/0037</v>
      </c>
      <c r="C904" s="2" t="str">
        <f>VLOOKUP($B904,[5]BOLETIM_SEL!$A:$H,2,0)</f>
        <v>COMPOSIÇÃO</v>
      </c>
      <c r="D904" s="315" t="str">
        <f>VLOOKUP($B904,[5]BOLETIM_SEL!$A:$H,4,0)</f>
        <v>Pintura de faixa - tinta base acrílica emulsionada em água - espessura de 0,5 mm (REF. SICRO COD. 5213403, DB 04-21)</v>
      </c>
      <c r="E904" s="2">
        <f>+Orçamento_Não_Deson!E904</f>
        <v>0</v>
      </c>
      <c r="F904" s="2" t="str">
        <f>VLOOKUP($B904,[5]BOLETIM_SEL!$A:$H,6,0)</f>
        <v>M2</v>
      </c>
      <c r="G904" s="1407">
        <f>VLOOKUP($B904,[5]BOLETIM_SEL!$A:$H,7,0)</f>
        <v>20.49</v>
      </c>
      <c r="H904" s="1613">
        <f>+Orçamento_Não_Deson!H904</f>
        <v>0</v>
      </c>
      <c r="I904" s="877">
        <f t="shared" si="170"/>
        <v>25.96</v>
      </c>
      <c r="J904" s="1611">
        <f t="shared" si="171"/>
        <v>0</v>
      </c>
      <c r="K904" s="1943">
        <f t="shared" ca="1" si="172"/>
        <v>0</v>
      </c>
      <c r="L904" s="1574">
        <f t="shared" si="169"/>
        <v>0</v>
      </c>
      <c r="M904" s="1974" t="str">
        <f>+Orçamento_Não_Deson!M904</f>
        <v>ATENÇÃO
indicado para as
cidades do interior</v>
      </c>
      <c r="N904" s="833"/>
      <c r="O904" s="833"/>
      <c r="Q904" s="833"/>
      <c r="R904" s="833"/>
      <c r="S904" s="833"/>
      <c r="T904" s="833"/>
      <c r="U904" s="833"/>
      <c r="V904" s="833"/>
      <c r="W904" s="833"/>
      <c r="X904" s="833"/>
    </row>
    <row r="905" spans="1:24" s="813" customFormat="1" ht="39.950000000000003" hidden="1" customHeight="1" x14ac:dyDescent="0.15">
      <c r="A905" s="2081">
        <f ca="1">+Orçamento_Não_Deson!A905</f>
        <v>11.03</v>
      </c>
      <c r="B905" s="834" t="str">
        <f>+Orçamento_Não_Deson!B905</f>
        <v>SV/0040</v>
      </c>
      <c r="C905" s="2" t="str">
        <f>VLOOKUP($B905,[5]BOLETIM_SEL!$A:$H,2,0)</f>
        <v>COMPOSIÇÃO</v>
      </c>
      <c r="D905" s="315" t="str">
        <f>VLOOKUP($B905,[5]BOLETIM_SEL!$A:$H,4,0)</f>
        <v>Laminado elastoplástico para legendas, com 1,5mm de espessura e com medidas diversas, em cores, com micro-esferas de vidro. Em projetos que utilizem entre 150 e 500m2 do material. Fornecimento e aplicação (REF. SCO/RJ COD. ST 75.15.0050)</v>
      </c>
      <c r="E905" s="2">
        <f>+Orçamento_Não_Deson!E905</f>
        <v>0</v>
      </c>
      <c r="F905" s="2" t="str">
        <f>VLOOKUP($B905,[5]BOLETIM_SEL!$A:$H,6,0)</f>
        <v>M2</v>
      </c>
      <c r="G905" s="1407">
        <f>VLOOKUP($B905,[5]BOLETIM_SEL!$A:$H,7,0)</f>
        <v>365.92</v>
      </c>
      <c r="H905" s="1613">
        <f>+Orçamento_Não_Deson!H905</f>
        <v>0</v>
      </c>
      <c r="I905" s="877">
        <f t="shared" si="170"/>
        <v>463.76</v>
      </c>
      <c r="J905" s="1611">
        <f t="shared" si="171"/>
        <v>0</v>
      </c>
      <c r="K905" s="1943">
        <f t="shared" ca="1" si="172"/>
        <v>0</v>
      </c>
      <c r="L905" s="1574">
        <f t="shared" si="169"/>
        <v>0</v>
      </c>
      <c r="M905" s="1974">
        <f>+VLOOKUP($B905,[5]BOLETIM_SEL!$A:$H,5,0)</f>
        <v>0</v>
      </c>
      <c r="N905" s="833"/>
      <c r="O905" s="833"/>
      <c r="Q905" s="833"/>
      <c r="R905" s="833"/>
      <c r="S905" s="833"/>
      <c r="T905" s="833"/>
      <c r="U905" s="833"/>
      <c r="V905" s="833"/>
      <c r="W905" s="833"/>
      <c r="X905" s="833"/>
    </row>
    <row r="906" spans="1:24" s="813" customFormat="1" ht="39.950000000000003" hidden="1" customHeight="1" x14ac:dyDescent="0.15">
      <c r="A906" s="2081">
        <f ca="1">+Orçamento_Não_Deson!A906</f>
        <v>11.03</v>
      </c>
      <c r="B906" s="834" t="str">
        <f>+Orçamento_Não_Deson!B906</f>
        <v>SV/0045</v>
      </c>
      <c r="C906" s="2" t="str">
        <f>VLOOKUP($B906,[5]BOLETIM_SEL!$A:$H,2,0)</f>
        <v>COMPOSIÇÃO</v>
      </c>
      <c r="D906" s="315" t="str">
        <f>VLOOKUP($B906,[5]BOLETIM_SEL!$A:$H,4,0)</f>
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</c>
      <c r="E906" s="2">
        <f>+Orçamento_Não_Deson!E906</f>
        <v>0</v>
      </c>
      <c r="F906" s="2" t="str">
        <f>VLOOKUP($B906,[5]BOLETIM_SEL!$A:$H,6,0)</f>
        <v>M2</v>
      </c>
      <c r="G906" s="1407">
        <f>VLOOKUP($B906,[5]BOLETIM_SEL!$A:$H,7,0)</f>
        <v>28.5</v>
      </c>
      <c r="H906" s="1613">
        <f>+Orçamento_Não_Deson!H906</f>
        <v>0</v>
      </c>
      <c r="I906" s="877">
        <f t="shared" si="170"/>
        <v>36.119999999999997</v>
      </c>
      <c r="J906" s="1611">
        <f t="shared" si="171"/>
        <v>0</v>
      </c>
      <c r="K906" s="1943">
        <f t="shared" ca="1" si="172"/>
        <v>0</v>
      </c>
      <c r="L906" s="1574">
        <f t="shared" si="169"/>
        <v>0</v>
      </c>
      <c r="M906" s="1974">
        <f>+VLOOKUP($B906,[5]BOLETIM_SEL!$A:$H,5,0)</f>
        <v>0</v>
      </c>
      <c r="N906" s="833"/>
      <c r="O906" s="833"/>
      <c r="Q906" s="833"/>
      <c r="R906" s="833"/>
      <c r="S906" s="833"/>
      <c r="T906" s="833"/>
      <c r="U906" s="833"/>
      <c r="V906" s="833"/>
      <c r="W906" s="833"/>
      <c r="X906" s="833"/>
    </row>
    <row r="907" spans="1:24" s="813" customFormat="1" ht="39.950000000000003" hidden="1" customHeight="1" x14ac:dyDescent="0.15">
      <c r="A907" s="2081">
        <f ca="1">+Orçamento_Não_Deson!A907</f>
        <v>11.03</v>
      </c>
      <c r="B907" s="834" t="str">
        <f>+Orçamento_Não_Deson!B907</f>
        <v>SV/0050</v>
      </c>
      <c r="C907" s="2" t="str">
        <f>VLOOKUP($B907,[5]BOLETIM_SEL!$A:$H,2,0)</f>
        <v>COMPOSIÇÃO</v>
      </c>
      <c r="D907" s="315" t="str">
        <f>VLOOKUP($B907,[5]BOLETIM_SEL!$A:$H,4,0)</f>
        <v>Retirada de pintura a base de resina acrilica (CET-RIO COD. ST 74.05.0550)</v>
      </c>
      <c r="E907" s="2">
        <f>+Orçamento_Não_Deson!E907</f>
        <v>0</v>
      </c>
      <c r="F907" s="2" t="str">
        <f>VLOOKUP($B907,[5]BOLETIM_SEL!$A:$H,6,0)</f>
        <v>M2</v>
      </c>
      <c r="G907" s="1407">
        <f>VLOOKUP($B907,[5]BOLETIM_SEL!$A:$H,7,0)</f>
        <v>6.49</v>
      </c>
      <c r="H907" s="1613">
        <f>+Orçamento_Não_Deson!H907</f>
        <v>0</v>
      </c>
      <c r="I907" s="877">
        <f t="shared" si="170"/>
        <v>8.2200000000000006</v>
      </c>
      <c r="J907" s="1611">
        <f t="shared" si="171"/>
        <v>0</v>
      </c>
      <c r="K907" s="1943">
        <f t="shared" ca="1" si="172"/>
        <v>0</v>
      </c>
      <c r="L907" s="1574">
        <f t="shared" si="169"/>
        <v>0</v>
      </c>
      <c r="M907" s="1974">
        <f>+VLOOKUP($B907,[5]BOLETIM_SEL!$A:$H,5,0)</f>
        <v>0</v>
      </c>
      <c r="N907" s="833"/>
      <c r="O907" s="833"/>
      <c r="Q907" s="833"/>
      <c r="R907" s="833"/>
      <c r="S907" s="833"/>
      <c r="T907" s="833"/>
      <c r="U907" s="833"/>
      <c r="V907" s="833"/>
      <c r="W907" s="833"/>
      <c r="X907" s="833"/>
    </row>
    <row r="908" spans="1:24" s="813" customFormat="1" ht="39.950000000000003" hidden="1" customHeight="1" x14ac:dyDescent="0.15">
      <c r="A908" s="2081">
        <f ca="1">+Orçamento_Não_Deson!A908</f>
        <v>11.03</v>
      </c>
      <c r="B908" s="834" t="str">
        <f>+Orçamento_Não_Deson!B908</f>
        <v>SV/0055</v>
      </c>
      <c r="C908" s="2" t="str">
        <f>VLOOKUP($B908,[5]BOLETIM_SEL!$A:$H,2,0)</f>
        <v>COMPOSIÇÃO</v>
      </c>
      <c r="D908" s="315" t="str">
        <f>VLOOKUP($B908,[5]BOLETIM_SEL!$A:$H,4,0)</f>
        <v>Tacha refletiva em plástico injetado - monodirecional tipo I - com um pino - fornecimento e colocação, padrão DNIT, fixada com cola polister (REF. SICRO COD. 5219627, DB 04-21)</v>
      </c>
      <c r="E908" s="2">
        <f>+Orçamento_Não_Deson!E908</f>
        <v>0</v>
      </c>
      <c r="F908" s="2" t="str">
        <f>VLOOKUP($B908,[5]BOLETIM_SEL!$A:$H,6,0)</f>
        <v xml:space="preserve">UN </v>
      </c>
      <c r="G908" s="1407">
        <f>VLOOKUP($B908,[5]BOLETIM_SEL!$A:$H,7,0)</f>
        <v>43.32</v>
      </c>
      <c r="H908" s="1613">
        <f>+Orçamento_Não_Deson!H908</f>
        <v>0</v>
      </c>
      <c r="I908" s="877">
        <f t="shared" si="170"/>
        <v>54.9</v>
      </c>
      <c r="J908" s="1611">
        <f t="shared" si="171"/>
        <v>0</v>
      </c>
      <c r="K908" s="1943">
        <f t="shared" ca="1" si="172"/>
        <v>0</v>
      </c>
      <c r="L908" s="1574">
        <f t="shared" si="169"/>
        <v>0</v>
      </c>
      <c r="M908" s="1974">
        <f>+VLOOKUP($B908,[5]BOLETIM_SEL!$A:$H,5,0)</f>
        <v>0</v>
      </c>
      <c r="N908" s="833"/>
      <c r="O908" s="833"/>
      <c r="Q908" s="833"/>
      <c r="R908" s="833"/>
      <c r="S908" s="833"/>
      <c r="T908" s="833"/>
      <c r="U908" s="833"/>
      <c r="V908" s="833"/>
      <c r="W908" s="833"/>
      <c r="X908" s="833"/>
    </row>
    <row r="909" spans="1:24" s="813" customFormat="1" ht="39.950000000000003" hidden="1" customHeight="1" x14ac:dyDescent="0.15">
      <c r="A909" s="2081">
        <f ca="1">+Orçamento_Não_Deson!A909</f>
        <v>11.03</v>
      </c>
      <c r="B909" s="834" t="str">
        <f>+Orçamento_Não_Deson!B909</f>
        <v>SV/0065</v>
      </c>
      <c r="C909" s="2" t="str">
        <f>VLOOKUP($B909,[5]BOLETIM_SEL!$A:$H,2,0)</f>
        <v>COMPOSIÇÃO</v>
      </c>
      <c r="D909" s="315" t="str">
        <f>VLOOKUP($B909,[5]BOLETIM_SEL!$A:$H,4,0)</f>
        <v>Tacha refletiva bidirecional, padrão DNIT, fornecimento e fixada com cola polister (REF. SICRO COD. 5219619)</v>
      </c>
      <c r="E909" s="2">
        <f>+Orçamento_Não_Deson!E909</f>
        <v>0</v>
      </c>
      <c r="F909" s="2" t="str">
        <f>VLOOKUP($B909,[5]BOLETIM_SEL!$A:$H,6,0)</f>
        <v xml:space="preserve">UN </v>
      </c>
      <c r="G909" s="1407">
        <f>VLOOKUP($B909,[5]BOLETIM_SEL!$A:$H,7,0)</f>
        <v>42.09</v>
      </c>
      <c r="H909" s="1613">
        <f>+Orçamento_Não_Deson!H909</f>
        <v>0</v>
      </c>
      <c r="I909" s="877">
        <f t="shared" si="170"/>
        <v>53.34</v>
      </c>
      <c r="J909" s="1611">
        <f t="shared" si="171"/>
        <v>0</v>
      </c>
      <c r="K909" s="1943">
        <f t="shared" ca="1" si="172"/>
        <v>0</v>
      </c>
      <c r="L909" s="1574">
        <f t="shared" si="169"/>
        <v>0</v>
      </c>
      <c r="M909" s="1974">
        <f>+VLOOKUP($B909,[5]BOLETIM_SEL!$A:$H,5,0)</f>
        <v>0</v>
      </c>
      <c r="N909" s="833"/>
      <c r="O909" s="833"/>
      <c r="Q909" s="833"/>
      <c r="R909" s="833"/>
      <c r="S909" s="833"/>
      <c r="T909" s="833"/>
      <c r="U909" s="833"/>
      <c r="V909" s="833"/>
      <c r="W909" s="833"/>
      <c r="X909" s="833"/>
    </row>
    <row r="910" spans="1:24" s="813" customFormat="1" ht="39.950000000000003" hidden="1" customHeight="1" x14ac:dyDescent="0.15">
      <c r="A910" s="2081">
        <f ca="1">+Orçamento_Não_Deson!A910</f>
        <v>11.03</v>
      </c>
      <c r="B910" s="834" t="str">
        <f>+Orçamento_Não_Deson!B910</f>
        <v>SV/0060</v>
      </c>
      <c r="C910" s="2" t="str">
        <f>VLOOKUP($B910,[5]BOLETIM_SEL!$A:$H,2,0)</f>
        <v>COMPOSIÇÃO</v>
      </c>
      <c r="D910" s="315" t="str">
        <f>VLOOKUP($B910,[5]BOLETIM_SEL!$A:$H,4,0)</f>
        <v>Tachão refletivo monodirecional, padrão DNIT, fornecimento e fixada com cola polister (REF. SICRO COD. 5219644)</v>
      </c>
      <c r="E910" s="2">
        <f>+Orçamento_Não_Deson!E910</f>
        <v>0</v>
      </c>
      <c r="F910" s="2" t="str">
        <f>VLOOKUP($B910,[5]BOLETIM_SEL!$A:$H,6,0)</f>
        <v xml:space="preserve">UN </v>
      </c>
      <c r="G910" s="1407">
        <f>VLOOKUP($B910,[5]BOLETIM_SEL!$A:$H,7,0)</f>
        <v>76.69</v>
      </c>
      <c r="H910" s="1613">
        <f>+Orçamento_Não_Deson!H910</f>
        <v>0</v>
      </c>
      <c r="I910" s="877">
        <f>+TRUNC(G910*(1+$J$5),2)</f>
        <v>97.19</v>
      </c>
      <c r="J910" s="1611">
        <f>TRUNC(H910*I910,2)</f>
        <v>0</v>
      </c>
      <c r="K910" s="1943">
        <f ca="1">+J910/$J$12</f>
        <v>0</v>
      </c>
      <c r="L910" s="1574">
        <f>+J910/J$895</f>
        <v>0</v>
      </c>
      <c r="M910" s="1974">
        <f>+VLOOKUP($B910,[5]BOLETIM_SEL!$A:$H,5,0)</f>
        <v>0</v>
      </c>
      <c r="N910" s="833"/>
      <c r="O910" s="833"/>
      <c r="Q910" s="833"/>
      <c r="R910" s="833"/>
      <c r="S910" s="833"/>
      <c r="T910" s="833"/>
      <c r="U910" s="833"/>
      <c r="V910" s="833"/>
      <c r="W910" s="833"/>
      <c r="X910" s="833"/>
    </row>
    <row r="911" spans="1:24" s="813" customFormat="1" ht="39.950000000000003" hidden="1" customHeight="1" x14ac:dyDescent="0.15">
      <c r="A911" s="2081">
        <f ca="1">+Orçamento_Não_Deson!A911</f>
        <v>11.03</v>
      </c>
      <c r="B911" s="834" t="str">
        <f>+Orçamento_Não_Deson!B911</f>
        <v>SV/0070</v>
      </c>
      <c r="C911" s="2" t="str">
        <f>VLOOKUP($B911,[5]BOLETIM_SEL!$A:$H,2,0)</f>
        <v>COMPOSIÇÃO</v>
      </c>
      <c r="D911" s="315" t="str">
        <f>VLOOKUP($B911,[5]BOLETIM_SEL!$A:$H,4,0)</f>
        <v>Tachão refletivo bidirecional, padrão DNIT, fornecimento e fixada com cola polister (REF. SICRO COD. 5219643)</v>
      </c>
      <c r="E911" s="2">
        <f>+Orçamento_Não_Deson!E911</f>
        <v>0</v>
      </c>
      <c r="F911" s="2" t="str">
        <f>VLOOKUP($B911,[5]BOLETIM_SEL!$A:$H,6,0)</f>
        <v xml:space="preserve">UN </v>
      </c>
      <c r="G911" s="1407">
        <f>VLOOKUP($B911,[5]BOLETIM_SEL!$A:$H,7,0)</f>
        <v>78.42</v>
      </c>
      <c r="H911" s="1613">
        <f>+Orçamento_Não_Deson!H911</f>
        <v>0</v>
      </c>
      <c r="I911" s="877">
        <f t="shared" si="170"/>
        <v>99.38</v>
      </c>
      <c r="J911" s="1611">
        <f t="shared" si="171"/>
        <v>0</v>
      </c>
      <c r="K911" s="1943">
        <f t="shared" ca="1" si="172"/>
        <v>0</v>
      </c>
      <c r="L911" s="1574">
        <f t="shared" si="169"/>
        <v>0</v>
      </c>
      <c r="M911" s="1974"/>
      <c r="N911" s="833"/>
      <c r="O911" s="833"/>
      <c r="Q911" s="833"/>
      <c r="R911" s="833"/>
      <c r="S911" s="833"/>
      <c r="T911" s="833"/>
      <c r="U911" s="833"/>
      <c r="V911" s="833"/>
      <c r="W911" s="833"/>
      <c r="X911" s="833"/>
    </row>
    <row r="912" spans="1:24" s="813" customFormat="1" ht="39.950000000000003" hidden="1" customHeight="1" x14ac:dyDescent="0.15">
      <c r="A912" s="2081">
        <f ca="1">+Orçamento_Não_Deson!A912</f>
        <v>11.03</v>
      </c>
      <c r="B912" s="834" t="str">
        <f>+Orçamento_Não_Deson!B912</f>
        <v>SV/0075</v>
      </c>
      <c r="C912" s="2" t="str">
        <f>VLOOKUP($B912,[5]BOLETIM_SEL!$A:$H,2,0)</f>
        <v>COMPOSIÇÃO</v>
      </c>
      <c r="D912" s="315" t="str">
        <f>VLOOKUP($B912,[5]BOLETIM_SEL!$A:$H,4,0)</f>
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</c>
      <c r="E912" s="2">
        <f>+Orçamento_Não_Deson!E912</f>
        <v>0</v>
      </c>
      <c r="F912" s="2" t="str">
        <f>VLOOKUP($B912,[5]BOLETIM_SEL!$A:$H,6,0)</f>
        <v xml:space="preserve">UN </v>
      </c>
      <c r="G912" s="1407">
        <f>VLOOKUP($B912,[5]BOLETIM_SEL!$A:$H,7,0)</f>
        <v>8163.26</v>
      </c>
      <c r="H912" s="1613">
        <f>+Orçamento_Não_Deson!H912</f>
        <v>0</v>
      </c>
      <c r="I912" s="877">
        <f t="shared" si="170"/>
        <v>10346.11</v>
      </c>
      <c r="J912" s="1611">
        <f t="shared" si="171"/>
        <v>0</v>
      </c>
      <c r="K912" s="1943">
        <f t="shared" ca="1" si="172"/>
        <v>0</v>
      </c>
      <c r="L912" s="1574">
        <f t="shared" si="169"/>
        <v>0</v>
      </c>
      <c r="M912" s="1974">
        <f>+VLOOKUP($B912,[5]BOLETIM_SEL!$A:$H,5,0)</f>
        <v>0</v>
      </c>
      <c r="N912" s="833"/>
      <c r="O912" s="833"/>
      <c r="Q912" s="833"/>
      <c r="R912" s="833"/>
      <c r="S912" s="833"/>
      <c r="T912" s="833"/>
      <c r="U912" s="833"/>
      <c r="V912" s="833"/>
      <c r="W912" s="833"/>
      <c r="X912" s="833"/>
    </row>
    <row r="913" spans="1:24" s="813" customFormat="1" ht="39.950000000000003" hidden="1" customHeight="1" x14ac:dyDescent="0.15">
      <c r="A913" s="2081">
        <f ca="1">+Orçamento_Não_Deson!A913</f>
        <v>11.03</v>
      </c>
      <c r="B913" s="834" t="str">
        <f>+Orçamento_Não_Deson!B913</f>
        <v>SV/0080</v>
      </c>
      <c r="C913" s="2" t="str">
        <f>VLOOKUP($B913,[5]BOLETIM_SEL!$A:$H,2,0)</f>
        <v>COMPOSIÇÃO</v>
      </c>
      <c r="D913" s="315" t="str">
        <f>VLOOKUP($B913,[5]BOLETIM_SEL!$A:$H,4,0)</f>
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</c>
      <c r="E913" s="2">
        <f>+Orçamento_Não_Deson!E913</f>
        <v>0</v>
      </c>
      <c r="F913" s="2" t="str">
        <f>VLOOKUP($B913,[5]BOLETIM_SEL!$A:$H,6,0)</f>
        <v xml:space="preserve">UN </v>
      </c>
      <c r="G913" s="1407">
        <f>VLOOKUP($B913,[5]BOLETIM_SEL!$A:$H,7,0)</f>
        <v>5819.84</v>
      </c>
      <c r="H913" s="1613">
        <f>+Orçamento_Não_Deson!H913</f>
        <v>0</v>
      </c>
      <c r="I913" s="877">
        <f t="shared" si="170"/>
        <v>7376.06</v>
      </c>
      <c r="J913" s="1611">
        <f t="shared" si="171"/>
        <v>0</v>
      </c>
      <c r="K913" s="1943">
        <f t="shared" ca="1" si="172"/>
        <v>0</v>
      </c>
      <c r="L913" s="1574">
        <f t="shared" si="169"/>
        <v>0</v>
      </c>
      <c r="M913" s="1974">
        <f>+VLOOKUP($B913,[5]BOLETIM_SEL!$A:$H,5,0)</f>
        <v>0</v>
      </c>
      <c r="N913" s="833"/>
      <c r="O913" s="833"/>
      <c r="Q913" s="833"/>
      <c r="R913" s="833"/>
      <c r="S913" s="833"/>
      <c r="T913" s="833"/>
      <c r="U913" s="833"/>
      <c r="V913" s="833"/>
      <c r="W913" s="833"/>
      <c r="X913" s="833"/>
    </row>
    <row r="914" spans="1:24" s="813" customFormat="1" ht="39.950000000000003" hidden="1" customHeight="1" x14ac:dyDescent="0.15">
      <c r="A914" s="2081">
        <f ca="1">+Orçamento_Não_Deson!A914</f>
        <v>11.03</v>
      </c>
      <c r="B914" s="834" t="str">
        <f>+Orçamento_Não_Deson!B914</f>
        <v>SV/0085</v>
      </c>
      <c r="C914" s="2" t="str">
        <f>VLOOKUP($B914,[5]BOLETIM_SEL!$A:$H,2,0)</f>
        <v>COMPOSIÇÃO</v>
      </c>
      <c r="D914" s="315" t="str">
        <f>VLOOKUP($B914,[5]BOLETIM_SEL!$A:$H,4,0)</f>
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</c>
      <c r="E914" s="2">
        <f>+Orçamento_Não_Deson!E914</f>
        <v>0</v>
      </c>
      <c r="F914" s="2" t="str">
        <f>VLOOKUP($B914,[5]BOLETIM_SEL!$A:$H,6,0)</f>
        <v xml:space="preserve">UN </v>
      </c>
      <c r="G914" s="1407">
        <f>VLOOKUP($B914,[5]BOLETIM_SEL!$A:$H,7,0)</f>
        <v>222.45</v>
      </c>
      <c r="H914" s="1613">
        <f>+Orçamento_Não_Deson!H914</f>
        <v>0</v>
      </c>
      <c r="I914" s="877">
        <f t="shared" si="170"/>
        <v>281.93</v>
      </c>
      <c r="J914" s="1611">
        <f t="shared" si="171"/>
        <v>0</v>
      </c>
      <c r="K914" s="1943">
        <f t="shared" ca="1" si="172"/>
        <v>0</v>
      </c>
      <c r="L914" s="1574">
        <f t="shared" si="169"/>
        <v>0</v>
      </c>
      <c r="M914" s="1974">
        <f>+VLOOKUP($B914,[5]BOLETIM_SEL!$A:$H,5,0)</f>
        <v>0</v>
      </c>
      <c r="N914" s="833"/>
      <c r="O914" s="833"/>
      <c r="Q914" s="833"/>
      <c r="R914" s="833"/>
      <c r="S914" s="833"/>
      <c r="T914" s="833"/>
      <c r="U914" s="833"/>
      <c r="V914" s="833"/>
      <c r="W914" s="833"/>
      <c r="X914" s="833"/>
    </row>
    <row r="915" spans="1:24" s="813" customFormat="1" ht="50.1" customHeight="1" x14ac:dyDescent="0.15">
      <c r="A915" s="2081">
        <f ca="1">+Orçamento_Não_Deson!A915</f>
        <v>11.04</v>
      </c>
      <c r="B915" s="834" t="str">
        <f>+Orçamento_Não_Deson!B915</f>
        <v>SV/0090</v>
      </c>
      <c r="C915" s="2" t="str">
        <f>VLOOKUP($B915,[5]BOLETIM_SEL!$A:$H,2,0)</f>
        <v>COMPOSIÇÃO</v>
      </c>
      <c r="D915" s="315" t="str">
        <f>VLOOKUP($B915,[5]BOLETIM_SEL!$A:$H,4,0)</f>
        <v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v>
      </c>
      <c r="E915" s="2">
        <f>+Orçamento_Não_Deson!E915</f>
        <v>0</v>
      </c>
      <c r="F915" s="2" t="str">
        <f>VLOOKUP($B915,[5]BOLETIM_SEL!$A:$H,6,0)</f>
        <v xml:space="preserve">UN </v>
      </c>
      <c r="G915" s="1407">
        <f>VLOOKUP($B915,[5]BOLETIM_SEL!$A:$H,7,0)</f>
        <v>429.59</v>
      </c>
      <c r="H915" s="1613">
        <f>+Orçamento_Não_Deson!H915</f>
        <v>263</v>
      </c>
      <c r="I915" s="877">
        <f t="shared" si="170"/>
        <v>544.46</v>
      </c>
      <c r="J915" s="1611">
        <f t="shared" si="171"/>
        <v>143192.98000000001</v>
      </c>
      <c r="K915" s="1943">
        <f t="shared" ca="1" si="172"/>
        <v>1.0427808838732981E-2</v>
      </c>
      <c r="L915" s="1574">
        <f t="shared" si="169"/>
        <v>0.45833492840854351</v>
      </c>
      <c r="M915" s="1974">
        <f>+VLOOKUP($B915,[5]BOLETIM_SEL!$A:$H,5,0)</f>
        <v>0</v>
      </c>
      <c r="N915" s="833"/>
      <c r="O915" s="833"/>
      <c r="Q915" s="833"/>
      <c r="R915" s="833"/>
      <c r="S915" s="833"/>
      <c r="T915" s="833"/>
      <c r="U915" s="833"/>
      <c r="V915" s="833"/>
      <c r="W915" s="833"/>
      <c r="X915" s="833"/>
    </row>
    <row r="916" spans="1:24" s="813" customFormat="1" ht="39.950000000000003" hidden="1" customHeight="1" x14ac:dyDescent="0.15">
      <c r="A916" s="2081">
        <f ca="1">+Orçamento_Não_Deson!A916</f>
        <v>11.04</v>
      </c>
      <c r="B916" s="834" t="str">
        <f>+Orçamento_Não_Deson!B916</f>
        <v>SV/0095</v>
      </c>
      <c r="C916" s="2" t="str">
        <f>VLOOKUP($B916,[5]BOLETIM_SEL!$A:$H,2,0)</f>
        <v>COMPOSIÇÃO</v>
      </c>
      <c r="D916" s="315" t="str">
        <f>VLOOKUP($B916,[5]BOLETIM_SEL!$A:$H,4,0)</f>
        <v>Implantação de placa de sinalização em poste de energia elétrica, incluindo elementos de fixação</v>
      </c>
      <c r="E916" s="2">
        <f>+Orçamento_Não_Deson!E916</f>
        <v>0</v>
      </c>
      <c r="F916" s="2" t="str">
        <f>VLOOKUP($B916,[5]BOLETIM_SEL!$A:$H,6,0)</f>
        <v xml:space="preserve">UN </v>
      </c>
      <c r="G916" s="1407">
        <f>VLOOKUP($B916,[5]BOLETIM_SEL!$A:$H,7,0)</f>
        <v>76.41</v>
      </c>
      <c r="H916" s="1613">
        <f>+Orçamento_Não_Deson!H916</f>
        <v>0</v>
      </c>
      <c r="I916" s="877">
        <f t="shared" si="170"/>
        <v>96.84</v>
      </c>
      <c r="J916" s="1611">
        <f t="shared" si="171"/>
        <v>0</v>
      </c>
      <c r="K916" s="1943">
        <f t="shared" ca="1" si="172"/>
        <v>0</v>
      </c>
      <c r="L916" s="1574">
        <f t="shared" si="169"/>
        <v>0</v>
      </c>
      <c r="M916" s="1974">
        <f>+VLOOKUP($B916,[5]BOLETIM_SEL!$A:$H,5,0)</f>
        <v>0</v>
      </c>
      <c r="N916" s="833"/>
      <c r="O916" s="833"/>
      <c r="Q916" s="833"/>
      <c r="R916" s="833"/>
      <c r="S916" s="833"/>
      <c r="T916" s="833"/>
      <c r="U916" s="833"/>
      <c r="V916" s="833"/>
      <c r="W916" s="833"/>
      <c r="X916" s="833"/>
    </row>
    <row r="917" spans="1:24" s="813" customFormat="1" ht="39.950000000000003" hidden="1" customHeight="1" x14ac:dyDescent="0.15">
      <c r="A917" s="2081">
        <f ca="1">+Orçamento_Não_Deson!A917</f>
        <v>11.04</v>
      </c>
      <c r="B917" s="834" t="str">
        <f>+Orçamento_Não_Deson!B917</f>
        <v>SV/0100</v>
      </c>
      <c r="C917" s="2" t="str">
        <f>VLOOKUP($B917,[5]BOLETIM_SEL!$A:$H,2,0)</f>
        <v>COMPOSIÇÃO</v>
      </c>
      <c r="D917" s="315" t="str">
        <f>VLOOKUP($B917,[5]BOLETIM_SEL!$A:$H,4,0)</f>
        <v>Implantação de placa de sinalização em braço projetado, incluindo elementos de fixação</v>
      </c>
      <c r="E917" s="2">
        <f>+Orçamento_Não_Deson!E917</f>
        <v>0</v>
      </c>
      <c r="F917" s="2" t="str">
        <f>VLOOKUP($B917,[5]BOLETIM_SEL!$A:$H,6,0)</f>
        <v xml:space="preserve">UN </v>
      </c>
      <c r="G917" s="1407">
        <f>VLOOKUP($B917,[5]BOLETIM_SEL!$A:$H,7,0)</f>
        <v>635.02</v>
      </c>
      <c r="H917" s="1613">
        <f>+Orçamento_Não_Deson!H917</f>
        <v>0</v>
      </c>
      <c r="I917" s="877">
        <f t="shared" si="170"/>
        <v>804.82</v>
      </c>
      <c r="J917" s="1611">
        <f t="shared" si="171"/>
        <v>0</v>
      </c>
      <c r="K917" s="1943">
        <f t="shared" ca="1" si="172"/>
        <v>0</v>
      </c>
      <c r="L917" s="1574">
        <f t="shared" si="169"/>
        <v>0</v>
      </c>
      <c r="M917" s="1974">
        <f>+VLOOKUP($B917,[5]BOLETIM_SEL!$A:$H,5,0)</f>
        <v>0</v>
      </c>
      <c r="N917" s="833"/>
      <c r="O917" s="833"/>
      <c r="Q917" s="833"/>
      <c r="R917" s="833"/>
      <c r="S917" s="833"/>
      <c r="T917" s="833"/>
      <c r="U917" s="833"/>
      <c r="V917" s="833"/>
      <c r="W917" s="833"/>
      <c r="X917" s="833"/>
    </row>
    <row r="918" spans="1:24" s="813" customFormat="1" ht="50.1" customHeight="1" x14ac:dyDescent="0.15">
      <c r="A918" s="2081">
        <f ca="1">+Orçamento_Não_Deson!A918</f>
        <v>11.049999999999999</v>
      </c>
      <c r="B918" s="834" t="str">
        <f>+Orçamento_Não_Deson!B918</f>
        <v>SV/0105</v>
      </c>
      <c r="C918" s="2" t="str">
        <f>VLOOKUP($B918,[5]BOLETIM_SEL!$A:$H,2,0)</f>
        <v>COMPOSIÇÃO</v>
      </c>
      <c r="D918" s="315" t="str">
        <f>VLOOKUP($B918,[5]BOLETIM_SEL!$A:$H,4,0)</f>
        <v>Placa de sinalização de alumínio, espessura 1,5 mm, com fundo, símbolos e tarjas em película refletiva com esferas inclusas tipo I-A da NBR 14644 (GT/GT), inclusive elementos de fixação, conforme especificação AGETRAN/PMCG - Incluso fornecimento</v>
      </c>
      <c r="E918" s="2">
        <f>+Orçamento_Não_Deson!E918</f>
        <v>0</v>
      </c>
      <c r="F918" s="2" t="str">
        <f>VLOOKUP($B918,[5]BOLETIM_SEL!$A:$H,6,0)</f>
        <v>M2</v>
      </c>
      <c r="G918" s="1407">
        <f>VLOOKUP($B918,[5]BOLETIM_SEL!$A:$H,7,0)</f>
        <v>758.2</v>
      </c>
      <c r="H918" s="1613">
        <f>+Orçamento_Não_Deson!H918</f>
        <v>47.93</v>
      </c>
      <c r="I918" s="877">
        <f t="shared" si="170"/>
        <v>960.94</v>
      </c>
      <c r="J918" s="1611">
        <f t="shared" si="171"/>
        <v>46057.85</v>
      </c>
      <c r="K918" s="1943">
        <f t="shared" ca="1" si="172"/>
        <v>3.3540921861046386E-3</v>
      </c>
      <c r="L918" s="1574">
        <f t="shared" si="169"/>
        <v>0.1474228791271851</v>
      </c>
      <c r="M918" s="1974">
        <f>+VLOOKUP($B918,[5]BOLETIM_SEL!$A:$H,5,0)</f>
        <v>0</v>
      </c>
      <c r="N918" s="833"/>
      <c r="O918" s="833"/>
      <c r="Q918" s="833"/>
      <c r="R918" s="833"/>
      <c r="S918" s="833"/>
      <c r="T918" s="833"/>
      <c r="U918" s="833"/>
      <c r="V918" s="833"/>
      <c r="W918" s="833"/>
      <c r="X918" s="833"/>
    </row>
    <row r="919" spans="1:24" s="813" customFormat="1" ht="39.950000000000003" hidden="1" customHeight="1" x14ac:dyDescent="0.15">
      <c r="A919" s="2081">
        <f ca="1">+Orçamento_Não_Deson!A919</f>
        <v>11.049999999999999</v>
      </c>
      <c r="B919" s="834" t="str">
        <f>+Orçamento_Não_Deson!B919</f>
        <v>SV/0106</v>
      </c>
      <c r="C919" s="2" t="str">
        <f>VLOOKUP($B919,[5]BOLETIM_SEL!$A:$H,2,0)</f>
        <v>COMPOSIÇÃO</v>
      </c>
      <c r="D919" s="315" t="str">
        <f>VLOOKUP($B919,[5]BOLETIM_SEL!$A:$H,4,0)</f>
        <v>Placa de sinalização de alumínio, espessura 2mm, com fundo, símbolos e tarjas em película refletiva com esferas inclusas tipo I-A da NBR 14644 (GT/GT), inclusive elementos de fixação, conforme especificação AGETRAN/PMCG - fornecimento</v>
      </c>
      <c r="E919" s="2">
        <f>+Orçamento_Não_Deson!E919</f>
        <v>0</v>
      </c>
      <c r="F919" s="2" t="str">
        <f>VLOOKUP($B919,[5]BOLETIM_SEL!$A:$H,6,0)</f>
        <v>M2</v>
      </c>
      <c r="G919" s="1407">
        <f>VLOOKUP($B919,[5]BOLETIM_SEL!$A:$H,7,0)</f>
        <v>720</v>
      </c>
      <c r="H919" s="1613">
        <f>+Orçamento_Não_Deson!H919</f>
        <v>0</v>
      </c>
      <c r="I919" s="877">
        <f t="shared" si="170"/>
        <v>912.52</v>
      </c>
      <c r="J919" s="1611">
        <f t="shared" si="171"/>
        <v>0</v>
      </c>
      <c r="K919" s="1943">
        <f t="shared" ca="1" si="172"/>
        <v>0</v>
      </c>
      <c r="L919" s="1574">
        <f t="shared" si="169"/>
        <v>0</v>
      </c>
      <c r="M919" s="1974">
        <f>+VLOOKUP($B919,[5]BOLETIM_SEL!$A:$H,5,0)</f>
        <v>0</v>
      </c>
      <c r="N919" s="833"/>
      <c r="O919" s="833"/>
      <c r="Q919" s="833"/>
      <c r="R919" s="833"/>
      <c r="S919" s="833"/>
      <c r="T919" s="833"/>
      <c r="U919" s="833"/>
      <c r="V919" s="833"/>
      <c r="W919" s="833"/>
      <c r="X919" s="833"/>
    </row>
    <row r="920" spans="1:24" s="813" customFormat="1" ht="39.950000000000003" hidden="1" customHeight="1" x14ac:dyDescent="0.15">
      <c r="A920" s="2081">
        <f ca="1">+Orçamento_Não_Deson!A920</f>
        <v>11.049999999999999</v>
      </c>
      <c r="B920" s="834" t="str">
        <f>+Orçamento_Não_Deson!B920</f>
        <v>SV/0110</v>
      </c>
      <c r="C920" s="2" t="str">
        <f>VLOOKUP($B920,[5]BOLETIM_SEL!$A:$H,2,0)</f>
        <v>COMPOSIÇÃO</v>
      </c>
      <c r="D920" s="315" t="str">
        <f>VLOOKUP($B920,[5]BOLETIM_SEL!$A:$H,4,0)</f>
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</c>
      <c r="E920" s="2">
        <f>+Orçamento_Não_Deson!E920</f>
        <v>0</v>
      </c>
      <c r="F920" s="2" t="str">
        <f>VLOOKUP($B920,[5]BOLETIM_SEL!$A:$H,6,0)</f>
        <v>M2</v>
      </c>
      <c r="G920" s="1407">
        <f>VLOOKUP($B920,[5]BOLETIM_SEL!$A:$H,7,0)</f>
        <v>1062.8</v>
      </c>
      <c r="H920" s="1613">
        <f>+Orçamento_Não_Deson!H920</f>
        <v>0</v>
      </c>
      <c r="I920" s="877">
        <f t="shared" si="170"/>
        <v>1346.99</v>
      </c>
      <c r="J920" s="1611">
        <f t="shared" si="171"/>
        <v>0</v>
      </c>
      <c r="K920" s="1943">
        <f t="shared" ca="1" si="172"/>
        <v>0</v>
      </c>
      <c r="L920" s="1574">
        <f t="shared" si="169"/>
        <v>0</v>
      </c>
      <c r="M920" s="1974">
        <f>+VLOOKUP($B920,[5]BOLETIM_SEL!$A:$H,5,0)</f>
        <v>0</v>
      </c>
      <c r="N920" s="833"/>
      <c r="O920" s="833"/>
      <c r="Q920" s="833"/>
      <c r="R920" s="833"/>
      <c r="S920" s="833"/>
      <c r="T920" s="833"/>
      <c r="U920" s="833"/>
      <c r="V920" s="833"/>
      <c r="W920" s="833"/>
      <c r="X920" s="833"/>
    </row>
    <row r="921" spans="1:24" s="813" customFormat="1" ht="30" customHeight="1" x14ac:dyDescent="0.15">
      <c r="A921" s="2081">
        <f ca="1">+Orçamento_Não_Deson!A921</f>
        <v>11.059999999999999</v>
      </c>
      <c r="B921" s="834">
        <f>+Orçamento_Não_Deson!B921</f>
        <v>13521</v>
      </c>
      <c r="C921" s="2" t="str">
        <f>VLOOKUP($B921,[5]BOLETIM_SEL!$A:$H,2,0)</f>
        <v>COTAÇÃO - SINAPI</v>
      </c>
      <c r="D921" s="315" t="str">
        <f>VLOOKUP($B921,[5]BOLETIM_SEL!$A:$H,4,0)</f>
        <v>Placa de aço esmaltada para identificação de rua, dimensões *45x20* cm</v>
      </c>
      <c r="E921" s="2">
        <f>+Orçamento_Não_Deson!E921</f>
        <v>0</v>
      </c>
      <c r="F921" s="2" t="str">
        <f>VLOOKUP($B921,[5]BOLETIM_SEL!$A:$H,6,0)</f>
        <v xml:space="preserve">UN    </v>
      </c>
      <c r="G921" s="1407">
        <f>VLOOKUP($B921,[5]BOLETIM_SEL!$A:$H,7,0)</f>
        <v>82.5</v>
      </c>
      <c r="H921" s="1613">
        <f>+Orçamento_Não_Deson!H921</f>
        <v>202</v>
      </c>
      <c r="I921" s="877">
        <f t="shared" si="170"/>
        <v>104.56</v>
      </c>
      <c r="J921" s="1611">
        <f t="shared" si="171"/>
        <v>21121.119999999999</v>
      </c>
      <c r="K921" s="1943">
        <f t="shared" ca="1" si="172"/>
        <v>1.5381131241206092E-3</v>
      </c>
      <c r="L921" s="1574">
        <f t="shared" si="169"/>
        <v>6.7604899507701113E-2</v>
      </c>
      <c r="M921" s="1974">
        <f>+VLOOKUP($B921,[5]BOLETIM_SEL!$A:$H,5,0)</f>
        <v>0</v>
      </c>
      <c r="N921" s="833"/>
      <c r="O921" s="833"/>
      <c r="Q921" s="833"/>
      <c r="R921" s="833"/>
      <c r="S921" s="833"/>
      <c r="T921" s="833"/>
      <c r="U921" s="833"/>
      <c r="V921" s="833"/>
      <c r="W921" s="833"/>
      <c r="X921" s="833"/>
    </row>
    <row r="922" spans="1:24" s="813" customFormat="1" ht="39.950000000000003" hidden="1" customHeight="1" x14ac:dyDescent="0.15">
      <c r="A922" s="2081">
        <f ca="1">+Orçamento_Não_Deson!A922</f>
        <v>11.059999999999999</v>
      </c>
      <c r="B922" s="834" t="str">
        <f>+Orçamento_Não_Deson!B922</f>
        <v>SV/0115</v>
      </c>
      <c r="C922" s="2" t="str">
        <f>VLOOKUP($B922,[5]BOLETIM_SEL!$A:$H,2,0)</f>
        <v>COMPOSIÇÃO</v>
      </c>
      <c r="D922" s="315" t="str">
        <f>VLOOKUP($B922,[5]BOLETIM_SEL!$A:$H,4,0)</f>
        <v>Fornecimento e implantação de linha de duto espiral flexível em polietileno de alta densidade, tipo Kanalex ou similar, diâmetro de 75mm (3"), lançado diretamente ao solo com arame-guia galvanizado revestido em PVC&gt; Inclusive emendas e tamponamento, recorte do pavimento, escavação, reaterro, envelopamento de duto com concreto (30x30cm), base de brita graduada, remoção e bota-fora de entulhos</v>
      </c>
      <c r="E922" s="2">
        <f>+Orçamento_Não_Deson!E922</f>
        <v>0</v>
      </c>
      <c r="F922" s="2" t="str">
        <f>VLOOKUP($B922,[5]BOLETIM_SEL!$A:$H,6,0)</f>
        <v>M</v>
      </c>
      <c r="G922" s="1407">
        <f>VLOOKUP($B922,[5]BOLETIM_SEL!$A:$H,7,0)</f>
        <v>126.61</v>
      </c>
      <c r="H922" s="1613">
        <f>+Orçamento_Não_Deson!H922</f>
        <v>0</v>
      </c>
      <c r="I922" s="877">
        <f t="shared" si="170"/>
        <v>160.46</v>
      </c>
      <c r="J922" s="1611">
        <f t="shared" si="171"/>
        <v>0</v>
      </c>
      <c r="K922" s="1943">
        <f t="shared" ca="1" si="172"/>
        <v>0</v>
      </c>
      <c r="L922" s="1574">
        <f t="shared" si="169"/>
        <v>0</v>
      </c>
      <c r="M922" s="1974">
        <f>+VLOOKUP($B922,[5]BOLETIM_SEL!$A:$H,5,0)</f>
        <v>0</v>
      </c>
      <c r="N922" s="833"/>
      <c r="O922" s="833"/>
      <c r="Q922" s="833"/>
      <c r="R922" s="833"/>
      <c r="S922" s="833"/>
      <c r="T922" s="833"/>
      <c r="U922" s="833"/>
      <c r="V922" s="833"/>
      <c r="W922" s="833"/>
      <c r="X922" s="833"/>
    </row>
    <row r="923" spans="1:24" s="813" customFormat="1" ht="39.950000000000003" hidden="1" customHeight="1" x14ac:dyDescent="0.15">
      <c r="A923" s="2081">
        <f ca="1">+Orçamento_Não_Deson!A923</f>
        <v>11.059999999999999</v>
      </c>
      <c r="B923" s="834" t="str">
        <f>+Orçamento_Não_Deson!B923</f>
        <v>SV/0120</v>
      </c>
      <c r="C923" s="2" t="str">
        <f>VLOOKUP($B923,[5]BOLETIM_SEL!$A:$H,2,0)</f>
        <v>COMPOSIÇÃO</v>
      </c>
      <c r="D923" s="315" t="str">
        <f>VLOOKUP($B923,[5]BOLETIM_SEL!$A:$H,4,0)</f>
        <v>Caixa enterrada elétrica retangular, em alvenaria com tijolos cerâmicos maciços, 1/2 vez, fundo com brita, dimensões internas: 0,40x0,40x0,40 m; Tampão fofo simples com base, classe A15 carga máxima 1,5 t, 400 x 400 mm (REF. SINAPI COD. 97887)</v>
      </c>
      <c r="E923" s="2">
        <f>+Orçamento_Não_Deson!E923</f>
        <v>0</v>
      </c>
      <c r="F923" s="2" t="str">
        <f>VLOOKUP($B923,[5]BOLETIM_SEL!$A:$H,6,0)</f>
        <v xml:space="preserve">UN </v>
      </c>
      <c r="G923" s="1407">
        <f>VLOOKUP($B923,[5]BOLETIM_SEL!$A:$H,7,0)</f>
        <v>423.06</v>
      </c>
      <c r="H923" s="1613">
        <f>+Orçamento_Não_Deson!H923</f>
        <v>0</v>
      </c>
      <c r="I923" s="877">
        <f t="shared" si="170"/>
        <v>536.17999999999995</v>
      </c>
      <c r="J923" s="1611">
        <f t="shared" si="171"/>
        <v>0</v>
      </c>
      <c r="K923" s="1943">
        <f t="shared" ca="1" si="172"/>
        <v>0</v>
      </c>
      <c r="L923" s="1574">
        <f t="shared" si="169"/>
        <v>0</v>
      </c>
      <c r="M923" s="1974">
        <f>+VLOOKUP($B923,[5]BOLETIM_SEL!$A:$H,5,0)</f>
        <v>0</v>
      </c>
      <c r="N923" s="833"/>
      <c r="O923" s="833"/>
      <c r="Q923" s="833"/>
      <c r="R923" s="833"/>
      <c r="S923" s="833"/>
      <c r="T923" s="833"/>
      <c r="U923" s="833"/>
      <c r="V923" s="833"/>
      <c r="W923" s="833"/>
      <c r="X923" s="833"/>
    </row>
    <row r="924" spans="1:24" s="813" customFormat="1" ht="39.950000000000003" customHeight="1" x14ac:dyDescent="0.15">
      <c r="A924" s="2081"/>
      <c r="B924" s="834"/>
      <c r="C924" s="834"/>
      <c r="D924" s="835"/>
      <c r="E924" s="2"/>
      <c r="F924" s="834"/>
      <c r="G924" s="1821"/>
      <c r="H924" s="1"/>
      <c r="I924" s="877"/>
      <c r="J924" s="839" t="str">
        <f>+IF(J895=0,0,"")</f>
        <v/>
      </c>
      <c r="K924" s="2078"/>
      <c r="L924" s="1574"/>
      <c r="M924" s="1833"/>
      <c r="N924" s="833"/>
      <c r="O924" s="833"/>
      <c r="Q924" s="833"/>
      <c r="R924" s="833"/>
      <c r="S924" s="833"/>
      <c r="T924" s="833"/>
      <c r="U924" s="833"/>
      <c r="V924" s="833"/>
      <c r="W924" s="833"/>
      <c r="X924" s="833"/>
    </row>
    <row r="925" spans="1:24" s="833" customFormat="1" ht="30" customHeight="1" x14ac:dyDescent="0.15">
      <c r="A925" s="2082">
        <f ca="1">IF(J925&gt;0,INT(A923)+1,IF(J925=0,INT(A923),0))</f>
        <v>12</v>
      </c>
      <c r="B925" s="1633"/>
      <c r="C925" s="1633"/>
      <c r="D925" s="1634" t="s">
        <v>437</v>
      </c>
      <c r="E925" s="1828"/>
      <c r="F925" s="1635"/>
      <c r="G925" s="1825" t="s">
        <v>655</v>
      </c>
      <c r="H925" s="1635"/>
      <c r="I925" s="1640" t="str">
        <f ca="1">CONCATENATE("SUB-TOTAL ",A925)</f>
        <v>SUB-TOTAL 12</v>
      </c>
      <c r="J925" s="1639">
        <f>SUM(J926:J926)</f>
        <v>643162.96</v>
      </c>
      <c r="K925" s="2079">
        <f ca="1">+J925/J$967</f>
        <v>4.6837354729496274E-2</v>
      </c>
      <c r="L925" s="1610">
        <f>+J925/J$925</f>
        <v>1</v>
      </c>
      <c r="M925" s="1984" t="str">
        <f>+IF(J1=CCU_Adm_Local_Não_Deson!B4,"CPU correta","data base CPU errada")</f>
        <v>CPU correta</v>
      </c>
    </row>
    <row r="926" spans="1:24" s="844" customFormat="1" ht="30" customHeight="1" x14ac:dyDescent="0.15">
      <c r="A926" s="2081">
        <f ca="1">+IF(H926&gt;0,A925+0.01,A925)</f>
        <v>12.01</v>
      </c>
      <c r="B926" s="841" t="s">
        <v>535</v>
      </c>
      <c r="C926" s="834" t="s">
        <v>486</v>
      </c>
      <c r="D926" s="835" t="str">
        <f>+CCU_Adm_Local_Não_Deson!B7</f>
        <v>Administração local do canteiro de obras</v>
      </c>
      <c r="E926" s="2"/>
      <c r="F926" s="834" t="s">
        <v>536</v>
      </c>
      <c r="G926" s="1824">
        <f>+CCU_Adm_Local_Deson!H69</f>
        <v>507466.44</v>
      </c>
      <c r="H926" s="1611">
        <v>1</v>
      </c>
      <c r="I926" s="877">
        <f>+TRUNC(G926*(1+$J$5),2)</f>
        <v>643162.96</v>
      </c>
      <c r="J926" s="1612">
        <f>TRUNC(H926*I926,2)</f>
        <v>643162.96</v>
      </c>
      <c r="K926" s="2078">
        <f ca="1">+J926/J$967</f>
        <v>4.6837354729496274E-2</v>
      </c>
      <c r="L926" s="1574">
        <f>+J926/J$925</f>
        <v>1</v>
      </c>
      <c r="M926" s="1985"/>
      <c r="N926" s="843"/>
      <c r="O926" s="843"/>
      <c r="Q926" s="843"/>
      <c r="R926" s="843"/>
      <c r="S926" s="843"/>
      <c r="T926" s="843"/>
      <c r="U926" s="843"/>
      <c r="V926" s="843"/>
      <c r="W926" s="843"/>
      <c r="X926" s="843"/>
    </row>
    <row r="927" spans="1:24" s="844" customFormat="1" ht="39.950000000000003" customHeight="1" x14ac:dyDescent="0.15">
      <c r="A927" s="2081"/>
      <c r="B927" s="841"/>
      <c r="C927" s="834"/>
      <c r="D927" s="835"/>
      <c r="E927" s="2"/>
      <c r="F927" s="834"/>
      <c r="G927" s="1821"/>
      <c r="H927" s="834"/>
      <c r="I927" s="834"/>
      <c r="J927" s="839" t="str">
        <f>+IF(J925=0,0,"")</f>
        <v/>
      </c>
      <c r="K927" s="2078"/>
      <c r="L927" s="1574"/>
      <c r="M927" s="1833"/>
      <c r="N927" s="843"/>
      <c r="O927" s="843"/>
      <c r="Q927" s="843"/>
      <c r="R927" s="843"/>
      <c r="S927" s="843"/>
      <c r="T927" s="843"/>
      <c r="U927" s="843"/>
      <c r="V927" s="843"/>
      <c r="W927" s="843"/>
      <c r="X927" s="843"/>
    </row>
    <row r="928" spans="1:24" s="833" customFormat="1" ht="39.950000000000003" hidden="1" customHeight="1" x14ac:dyDescent="0.15">
      <c r="A928" s="2082">
        <f ca="1">IF(J928&gt;0,INT(A926)+1,IF(J928=0,INT(A926),0))</f>
        <v>12</v>
      </c>
      <c r="B928" s="1633"/>
      <c r="C928" s="1633"/>
      <c r="D928" s="1634" t="s">
        <v>485</v>
      </c>
      <c r="E928" s="1828"/>
      <c r="F928" s="1635"/>
      <c r="G928" s="1826"/>
      <c r="H928" s="1636"/>
      <c r="I928" s="1638" t="str">
        <f ca="1">CONCATENATE("SUB-TOTAL ",A928)</f>
        <v>SUB-TOTAL 12</v>
      </c>
      <c r="J928" s="1639">
        <f>SUM(J929:J965)</f>
        <v>0</v>
      </c>
      <c r="K928" s="2079">
        <f t="shared" ref="K928:K965" ca="1" si="173">+J928/J$967</f>
        <v>0</v>
      </c>
      <c r="L928" s="1610" t="e">
        <f t="shared" ref="L928:L965" si="174">+J928/J$928</f>
        <v>#DIV/0!</v>
      </c>
      <c r="M928" s="1986"/>
    </row>
    <row r="929" spans="1:24" s="4" customFormat="1" ht="39.950000000000003" hidden="1" customHeight="1" x14ac:dyDescent="0.15">
      <c r="A929" s="2081">
        <f ca="1">+Orçamento_Não_Deson!A929</f>
        <v>12</v>
      </c>
      <c r="B929" s="834" t="str">
        <f>+Orçamento_Não_Deson!B929</f>
        <v>ADM0002</v>
      </c>
      <c r="C929" s="2" t="str">
        <f>VLOOKUP($B929,[5]BOLETIM_SEL!$A:$H,2,0)</f>
        <v>COMPOSIÇÃO</v>
      </c>
      <c r="D929" s="315" t="str">
        <f>VLOOKUP($B929,[5]BOLETIM_SEL!$A:$H,4,0)</f>
        <v>Reprografia e montagem de relatório (texto e desenho)</v>
      </c>
      <c r="E929" s="2">
        <f>+Orçamento_Não_Deson!E929</f>
        <v>0</v>
      </c>
      <c r="F929" s="2" t="str">
        <f>VLOOKUP($B929,[5]BOLETIM_SEL!$A:$H,6,0)</f>
        <v xml:space="preserve">un </v>
      </c>
      <c r="G929" s="1407">
        <f>VLOOKUP($B929,[5]BOLETIM_SEL!$A:$H,7,0)</f>
        <v>675.66</v>
      </c>
      <c r="H929" s="1613">
        <f>+Orçamento_Não_Deson!H929</f>
        <v>0</v>
      </c>
      <c r="I929" s="132">
        <f t="shared" ref="I929:I965" si="175">+TRUNC(G929*(1+$J$5),2)</f>
        <v>856.33</v>
      </c>
      <c r="J929" s="1612">
        <f t="shared" ref="J929:J965" si="176">TRUNC(H929*I929,2)</f>
        <v>0</v>
      </c>
      <c r="K929" s="2078">
        <f t="shared" ca="1" si="173"/>
        <v>0</v>
      </c>
      <c r="L929" s="1574" t="e">
        <f t="shared" si="174"/>
        <v>#DIV/0!</v>
      </c>
      <c r="M929" s="1987"/>
      <c r="N929" s="3"/>
      <c r="O929" s="3"/>
      <c r="Q929" s="3"/>
      <c r="R929" s="3"/>
      <c r="S929" s="3"/>
      <c r="T929" s="3"/>
      <c r="U929" s="3"/>
      <c r="V929" s="3"/>
      <c r="W929" s="3"/>
      <c r="X929" s="3"/>
    </row>
    <row r="930" spans="1:24" s="4" customFormat="1" ht="39.950000000000003" hidden="1" customHeight="1" x14ac:dyDescent="0.15">
      <c r="A930" s="2081">
        <f ca="1">+Orçamento_Não_Deson!A930</f>
        <v>12</v>
      </c>
      <c r="B930" s="834" t="str">
        <f>+Orçamento_Não_Deson!B930</f>
        <v>ADM0001</v>
      </c>
      <c r="C930" s="2" t="str">
        <f>VLOOKUP($B930,[5]BOLETIM_SEL!$A:$H,2,0)</f>
        <v>COMPOSIÇÃO</v>
      </c>
      <c r="D930" s="315" t="str">
        <f>VLOOKUP($B930,[5]BOLETIM_SEL!$A:$H,4,0)</f>
        <v>Mobilização e desmobilização de equipe de técnica, distância acima de 20km</v>
      </c>
      <c r="E930" s="2">
        <f>+Orçamento_Não_Deson!E930</f>
        <v>0</v>
      </c>
      <c r="F930" s="2" t="str">
        <f>VLOOKUP($B930,[5]BOLETIM_SEL!$A:$H,6,0)</f>
        <v>km</v>
      </c>
      <c r="G930" s="1407">
        <f>VLOOKUP($B930,[5]BOLETIM_SEL!$A:$H,7,0)</f>
        <v>15.1</v>
      </c>
      <c r="H930" s="1613">
        <f>+Orçamento_Não_Deson!H930</f>
        <v>0</v>
      </c>
      <c r="I930" s="132">
        <f t="shared" si="175"/>
        <v>19.13</v>
      </c>
      <c r="J930" s="1612">
        <f t="shared" si="176"/>
        <v>0</v>
      </c>
      <c r="K930" s="2078">
        <f t="shared" ca="1" si="173"/>
        <v>0</v>
      </c>
      <c r="L930" s="1574" t="e">
        <f t="shared" si="174"/>
        <v>#DIV/0!</v>
      </c>
      <c r="M930" s="1987"/>
      <c r="N930" s="3"/>
      <c r="O930" s="896"/>
      <c r="Q930" s="896"/>
      <c r="R930" s="896"/>
      <c r="S930" s="896"/>
      <c r="T930" s="896"/>
      <c r="U930" s="896"/>
      <c r="V930" s="896"/>
      <c r="W930" s="896"/>
      <c r="X930" s="897"/>
    </row>
    <row r="931" spans="1:24" s="4" customFormat="1" ht="39.950000000000003" hidden="1" customHeight="1" x14ac:dyDescent="0.15">
      <c r="A931" s="2081">
        <f ca="1">+Orçamento_Não_Deson!A931</f>
        <v>12</v>
      </c>
      <c r="B931" s="834" t="str">
        <f>+Orçamento_Não_Deson!B931</f>
        <v>EG0005</v>
      </c>
      <c r="C931" s="2" t="str">
        <f>VLOOKUP($B931,[5]BOLETIM_SEL!$A:$H,2,0)</f>
        <v>COMPOSIÇÃO</v>
      </c>
      <c r="D931" s="315" t="str">
        <f>VLOOKUP($B931,[5]BOLETIM_SEL!$A:$H,4,0)</f>
        <v>Mobilização e desmobilização de equipe de geotecnia, distância maior que 20km</v>
      </c>
      <c r="E931" s="2">
        <f>+Orçamento_Não_Deson!E931</f>
        <v>0</v>
      </c>
      <c r="F931" s="2" t="str">
        <f>VLOOKUP($B931,[5]BOLETIM_SEL!$A:$H,6,0)</f>
        <v>km</v>
      </c>
      <c r="G931" s="1407">
        <f>VLOOKUP($B931,[5]BOLETIM_SEL!$A:$H,7,0)</f>
        <v>7.66</v>
      </c>
      <c r="H931" s="1613">
        <f>+Orçamento_Não_Deson!H931</f>
        <v>0</v>
      </c>
      <c r="I931" s="132">
        <f t="shared" si="175"/>
        <v>9.6999999999999993</v>
      </c>
      <c r="J931" s="1612">
        <f t="shared" si="176"/>
        <v>0</v>
      </c>
      <c r="K931" s="2078">
        <f t="shared" ca="1" si="173"/>
        <v>0</v>
      </c>
      <c r="L931" s="1574" t="e">
        <f t="shared" si="174"/>
        <v>#DIV/0!</v>
      </c>
      <c r="M931" s="1987"/>
      <c r="N931" s="3"/>
      <c r="O931" s="3"/>
      <c r="Q931" s="3"/>
      <c r="R931" s="3"/>
      <c r="S931" s="3"/>
      <c r="T931" s="3"/>
      <c r="U931" s="3"/>
      <c r="V931" s="3"/>
      <c r="W931" s="3"/>
      <c r="X931" s="3"/>
    </row>
    <row r="932" spans="1:24" s="4" customFormat="1" ht="39.950000000000003" hidden="1" customHeight="1" x14ac:dyDescent="0.15">
      <c r="A932" s="2081">
        <f ca="1">+Orçamento_Não_Deson!A932</f>
        <v>12</v>
      </c>
      <c r="B932" s="834" t="str">
        <f>+Orçamento_Não_Deson!B932</f>
        <v>ET0003</v>
      </c>
      <c r="C932" s="2" t="str">
        <f>VLOOKUP($B932,[5]BOLETIM_SEL!$A:$H,2,0)</f>
        <v>COMPOSIÇÃO</v>
      </c>
      <c r="D932" s="315" t="str">
        <f>VLOOKUP($B932,[5]BOLETIM_SEL!$A:$H,4,0)</f>
        <v>Mobilização e desmobilização de equipe de topografia, distância maior que 20km</v>
      </c>
      <c r="E932" s="2">
        <f>+Orçamento_Não_Deson!E932</f>
        <v>0</v>
      </c>
      <c r="F932" s="2" t="str">
        <f>VLOOKUP($B932,[5]BOLETIM_SEL!$A:$H,6,0)</f>
        <v>km</v>
      </c>
      <c r="G932" s="1407">
        <f>VLOOKUP($B932,[5]BOLETIM_SEL!$A:$H,7,0)</f>
        <v>5.98</v>
      </c>
      <c r="H932" s="1613">
        <f>+Orçamento_Não_Deson!H932</f>
        <v>0</v>
      </c>
      <c r="I932" s="132">
        <f t="shared" si="175"/>
        <v>7.57</v>
      </c>
      <c r="J932" s="1612">
        <f t="shared" si="176"/>
        <v>0</v>
      </c>
      <c r="K932" s="2078">
        <f t="shared" ca="1" si="173"/>
        <v>0</v>
      </c>
      <c r="L932" s="1574" t="e">
        <f t="shared" si="174"/>
        <v>#DIV/0!</v>
      </c>
      <c r="M932" s="1987"/>
      <c r="N932" s="3"/>
      <c r="O932" s="896"/>
      <c r="Q932" s="896"/>
      <c r="R932" s="896"/>
      <c r="S932" s="896"/>
      <c r="T932" s="896"/>
      <c r="U932" s="896"/>
      <c r="V932" s="896"/>
      <c r="W932" s="896"/>
      <c r="X932" s="3"/>
    </row>
    <row r="933" spans="1:24" s="4" customFormat="1" ht="39.950000000000003" hidden="1" customHeight="1" x14ac:dyDescent="0.15">
      <c r="A933" s="2081">
        <f ca="1">+Orçamento_Não_Deson!A933</f>
        <v>12</v>
      </c>
      <c r="B933" s="834" t="str">
        <f>+Orçamento_Não_Deson!B933</f>
        <v>ARQ0003</v>
      </c>
      <c r="C933" s="2" t="str">
        <f>VLOOKUP($B933,[5]BOLETIM_SEL!$A:$H,2,0)</f>
        <v>COMPOSIÇÃO</v>
      </c>
      <c r="D933" s="315" t="str">
        <f>VLOOKUP($B933,[5]BOLETIM_SEL!$A:$H,4,0)</f>
        <v>Estudo conceitual para implantação de parque público - master plan</v>
      </c>
      <c r="E933" s="2">
        <f>+Orçamento_Não_Deson!E933</f>
        <v>0</v>
      </c>
      <c r="F933" s="2" t="str">
        <f>VLOOKUP($B933,[5]BOLETIM_SEL!$A:$H,6,0)</f>
        <v xml:space="preserve">ha </v>
      </c>
      <c r="G933" s="1407">
        <f>VLOOKUP($B933,[5]BOLETIM_SEL!$A:$H,7,0)</f>
        <v>1539.47</v>
      </c>
      <c r="H933" s="1613">
        <f>+Orçamento_Não_Deson!H933</f>
        <v>0</v>
      </c>
      <c r="I933" s="132">
        <f t="shared" si="175"/>
        <v>1951.12</v>
      </c>
      <c r="J933" s="1612">
        <f t="shared" si="176"/>
        <v>0</v>
      </c>
      <c r="K933" s="2078">
        <f t="shared" ca="1" si="173"/>
        <v>0</v>
      </c>
      <c r="L933" s="1574" t="e">
        <f t="shared" si="174"/>
        <v>#DIV/0!</v>
      </c>
      <c r="M933" s="1987"/>
      <c r="N933" s="868"/>
      <c r="O933" s="3"/>
      <c r="Q933" s="3"/>
      <c r="R933" s="3"/>
      <c r="S933" s="3"/>
      <c r="T933" s="3"/>
      <c r="U933" s="3"/>
      <c r="V933" s="3"/>
      <c r="W933" s="3"/>
      <c r="X933" s="3"/>
    </row>
    <row r="934" spans="1:24" s="4" customFormat="1" ht="39.950000000000003" hidden="1" customHeight="1" x14ac:dyDescent="0.15">
      <c r="A934" s="2081">
        <f ca="1">+Orçamento_Não_Deson!A934</f>
        <v>12</v>
      </c>
      <c r="B934" s="834" t="str">
        <f>+Orçamento_Não_Deson!B934</f>
        <v>PFIU001</v>
      </c>
      <c r="C934" s="2" t="str">
        <f>VLOOKUP($B934,[5]BOLETIM_SEL!$A:$H,2,0)</f>
        <v>COMPOSIÇÃO</v>
      </c>
      <c r="D934" s="315" t="str">
        <f>VLOOKUP($B934,[5]BOLETIM_SEL!$A:$H,4,0)</f>
        <v>Elaboração de estudos de viabilidade para projetos de pavimentação, drenagem, sinalização viária, acessibilidade e orçamento</v>
      </c>
      <c r="E934" s="2">
        <f>+Orçamento_Não_Deson!E934</f>
        <v>0</v>
      </c>
      <c r="F934" s="2" t="str">
        <f>VLOOKUP($B934,[5]BOLETIM_SEL!$A:$H,6,0)</f>
        <v>m²</v>
      </c>
      <c r="G934" s="1407">
        <f>VLOOKUP($B934,[5]BOLETIM_SEL!$A:$H,7,0)</f>
        <v>0.48359999999999997</v>
      </c>
      <c r="H934" s="1613">
        <f>+Orçamento_Não_Deson!H934</f>
        <v>0</v>
      </c>
      <c r="I934" s="132">
        <f t="shared" si="175"/>
        <v>0.61</v>
      </c>
      <c r="J934" s="1612">
        <f t="shared" si="176"/>
        <v>0</v>
      </c>
      <c r="K934" s="2078">
        <f t="shared" ca="1" si="173"/>
        <v>0</v>
      </c>
      <c r="L934" s="1574" t="e">
        <f t="shared" si="174"/>
        <v>#DIV/0!</v>
      </c>
      <c r="M934" s="1987"/>
      <c r="N934" s="3"/>
      <c r="O934" s="3"/>
      <c r="Q934" s="3"/>
      <c r="R934" s="3"/>
      <c r="S934" s="3"/>
      <c r="T934" s="3"/>
      <c r="U934" s="3"/>
      <c r="V934" s="3"/>
      <c r="W934" s="3"/>
      <c r="X934" s="3"/>
    </row>
    <row r="935" spans="1:24" s="4" customFormat="1" ht="39.950000000000003" hidden="1" customHeight="1" x14ac:dyDescent="0.15">
      <c r="A935" s="2081">
        <f ca="1">+Orçamento_Não_Deson!A935</f>
        <v>12</v>
      </c>
      <c r="B935" s="834" t="str">
        <f>+Orçamento_Não_Deson!B935</f>
        <v>PFIU002</v>
      </c>
      <c r="C935" s="2" t="str">
        <f>VLOOKUP($B935,[5]BOLETIM_SEL!$A:$H,2,0)</f>
        <v>COMPOSIÇÃO</v>
      </c>
      <c r="D935" s="315" t="str">
        <f>VLOOKUP($B935,[5]BOLETIM_SEL!$A:$H,4,0)</f>
        <v>Elaboração de estudos de viabilidade para projetos de pavimentação, drenagem, sinalização viária, acessibilidade e orçamento</v>
      </c>
      <c r="E935" s="2">
        <f>+Orçamento_Não_Deson!E935</f>
        <v>0</v>
      </c>
      <c r="F935" s="2" t="str">
        <f>VLOOKUP($B935,[5]BOLETIM_SEL!$A:$H,6,0)</f>
        <v>km</v>
      </c>
      <c r="G935" s="1407">
        <f>VLOOKUP($B935,[5]BOLETIM_SEL!$A:$H,7,0)</f>
        <v>3387.1632</v>
      </c>
      <c r="H935" s="1613">
        <f>+Orçamento_Não_Deson!H935</f>
        <v>0</v>
      </c>
      <c r="I935" s="132">
        <f t="shared" si="175"/>
        <v>4292.8900000000003</v>
      </c>
      <c r="J935" s="1612">
        <f t="shared" si="176"/>
        <v>0</v>
      </c>
      <c r="K935" s="2078">
        <f t="shared" ca="1" si="173"/>
        <v>0</v>
      </c>
      <c r="L935" s="1574" t="e">
        <f t="shared" si="174"/>
        <v>#DIV/0!</v>
      </c>
      <c r="M935" s="1987"/>
      <c r="N935" s="3"/>
      <c r="O935" s="3"/>
      <c r="Q935" s="3"/>
      <c r="R935" s="3"/>
      <c r="S935" s="3"/>
      <c r="T935" s="3"/>
      <c r="U935" s="3"/>
      <c r="V935" s="3"/>
      <c r="W935" s="3"/>
      <c r="X935" s="3"/>
    </row>
    <row r="936" spans="1:24" s="4" customFormat="1" ht="39.950000000000003" hidden="1" customHeight="1" x14ac:dyDescent="0.15">
      <c r="A936" s="2081">
        <f ca="1">+Orçamento_Não_Deson!A936</f>
        <v>12</v>
      </c>
      <c r="B936" s="834" t="str">
        <f>+Orçamento_Não_Deson!B936</f>
        <v>PBPC001</v>
      </c>
      <c r="C936" s="2" t="str">
        <f>VLOOKUP($B936,[5]BOLETIM_SEL!$A:$H,2,0)</f>
        <v>COMPOSIÇÃO</v>
      </c>
      <c r="D936" s="315" t="str">
        <f>VLOOKUP($B936,[5]BOLETIM_SEL!$A:$H,4,0)</f>
        <v>Elaboração de estudos de viabilidade para projeto funcional de OAE (ponte) em concreto armado inclusive estudos hidrológico e projeto de acessibilidade e sinalização viária. Exclusive serviços topográficos e geotécnicos</v>
      </c>
      <c r="E936" s="2">
        <f>+Orçamento_Não_Deson!E936</f>
        <v>0</v>
      </c>
      <c r="F936" s="2" t="str">
        <f>VLOOKUP($B936,[5]BOLETIM_SEL!$A:$H,6,0)</f>
        <v>m</v>
      </c>
      <c r="G936" s="1407">
        <f>VLOOKUP($B936,[5]BOLETIM_SEL!$A:$H,7,0)</f>
        <v>610.55999999999995</v>
      </c>
      <c r="H936" s="1613">
        <f>+Orçamento_Não_Deson!H936</f>
        <v>0</v>
      </c>
      <c r="I936" s="132">
        <f t="shared" si="175"/>
        <v>773.82</v>
      </c>
      <c r="J936" s="1612">
        <f t="shared" si="176"/>
        <v>0</v>
      </c>
      <c r="K936" s="2078">
        <f t="shared" ca="1" si="173"/>
        <v>0</v>
      </c>
      <c r="L936" s="1574" t="e">
        <f t="shared" si="174"/>
        <v>#DIV/0!</v>
      </c>
      <c r="M936" s="1987"/>
      <c r="N936" s="3"/>
      <c r="O936" s="3"/>
      <c r="Q936" s="3"/>
      <c r="R936" s="3"/>
      <c r="S936" s="3"/>
      <c r="T936" s="3"/>
      <c r="U936" s="3"/>
      <c r="V936" s="3"/>
      <c r="W936" s="3"/>
      <c r="X936" s="3"/>
    </row>
    <row r="937" spans="1:24" s="4" customFormat="1" ht="39.950000000000003" hidden="1" customHeight="1" x14ac:dyDescent="0.15">
      <c r="A937" s="2081">
        <f ca="1">+Orçamento_Não_Deson!A937</f>
        <v>12</v>
      </c>
      <c r="B937" s="834" t="str">
        <f>+Orçamento_Não_Deson!B937</f>
        <v>EHAU001</v>
      </c>
      <c r="C937" s="2" t="str">
        <f>VLOOKUP($B937,[5]BOLETIM_SEL!$A:$H,2,0)</f>
        <v>COMPOSIÇÃO</v>
      </c>
      <c r="D937" s="315" t="str">
        <f>VLOOKUP($B937,[5]BOLETIM_SEL!$A:$H,4,0)</f>
        <v>Elaboração de estudo hidrológico de área urbanizada</v>
      </c>
      <c r="E937" s="2">
        <f>+Orçamento_Não_Deson!E937</f>
        <v>0</v>
      </c>
      <c r="F937" s="2" t="str">
        <f>VLOOKUP($B937,[5]BOLETIM_SEL!$A:$H,6,0)</f>
        <v xml:space="preserve">ha </v>
      </c>
      <c r="G937" s="1407">
        <f>VLOOKUP($B937,[5]BOLETIM_SEL!$A:$H,7,0)</f>
        <v>22.16</v>
      </c>
      <c r="H937" s="1613">
        <f>+Orçamento_Não_Deson!H937</f>
        <v>0</v>
      </c>
      <c r="I937" s="132">
        <f t="shared" si="175"/>
        <v>28.08</v>
      </c>
      <c r="J937" s="1612">
        <f t="shared" si="176"/>
        <v>0</v>
      </c>
      <c r="K937" s="2078">
        <f t="shared" ca="1" si="173"/>
        <v>0</v>
      </c>
      <c r="L937" s="1574" t="e">
        <f t="shared" si="174"/>
        <v>#DIV/0!</v>
      </c>
      <c r="M937" s="1987"/>
      <c r="N937" s="3"/>
      <c r="O937" s="3"/>
      <c r="Q937" s="3"/>
      <c r="R937" s="3"/>
      <c r="S937" s="3"/>
      <c r="T937" s="3"/>
      <c r="U937" s="3"/>
      <c r="V937" s="3"/>
      <c r="W937" s="3"/>
      <c r="X937" s="3"/>
    </row>
    <row r="938" spans="1:24" s="4" customFormat="1" ht="39.950000000000003" hidden="1" customHeight="1" x14ac:dyDescent="0.15">
      <c r="A938" s="2081">
        <f ca="1">+Orçamento_Não_Deson!A938</f>
        <v>12</v>
      </c>
      <c r="B938" s="834" t="str">
        <f>+Orçamento_Não_Deson!B938</f>
        <v>EHAU002</v>
      </c>
      <c r="C938" s="2" t="str">
        <f>VLOOKUP($B938,[5]BOLETIM_SEL!$A:$H,2,0)</f>
        <v>COMPOSIÇÃO</v>
      </c>
      <c r="D938" s="315" t="str">
        <f>VLOOKUP($B938,[5]BOLETIM_SEL!$A:$H,4,0)</f>
        <v>Elaboração de estudo hidrológico de área rural</v>
      </c>
      <c r="E938" s="2">
        <f>+Orçamento_Não_Deson!E938</f>
        <v>0</v>
      </c>
      <c r="F938" s="2" t="str">
        <f>VLOOKUP($B938,[5]BOLETIM_SEL!$A:$H,6,0)</f>
        <v>km²</v>
      </c>
      <c r="G938" s="1407">
        <f>VLOOKUP($B938,[5]BOLETIM_SEL!$A:$H,7,0)</f>
        <v>1274.3599999999999</v>
      </c>
      <c r="H938" s="1613">
        <f>+Orçamento_Não_Deson!H938</f>
        <v>0</v>
      </c>
      <c r="I938" s="132">
        <f t="shared" si="175"/>
        <v>1615.12</v>
      </c>
      <c r="J938" s="1612">
        <f t="shared" si="176"/>
        <v>0</v>
      </c>
      <c r="K938" s="2078">
        <f t="shared" ca="1" si="173"/>
        <v>0</v>
      </c>
      <c r="L938" s="1574" t="e">
        <f t="shared" si="174"/>
        <v>#DIV/0!</v>
      </c>
      <c r="M938" s="1987"/>
      <c r="N938" s="3"/>
      <c r="O938" s="3"/>
      <c r="Q938" s="3"/>
      <c r="R938" s="3"/>
      <c r="S938" s="3"/>
      <c r="T938" s="3"/>
      <c r="U938" s="3"/>
      <c r="V938" s="3"/>
      <c r="W938" s="3"/>
      <c r="X938" s="3"/>
    </row>
    <row r="939" spans="1:24" s="4" customFormat="1" ht="39.950000000000003" hidden="1" customHeight="1" x14ac:dyDescent="0.15">
      <c r="A939" s="2081">
        <f ca="1">+Orçamento_Não_Deson!A939</f>
        <v>12</v>
      </c>
      <c r="B939" s="834" t="str">
        <f>+Orçamento_Não_Deson!B939</f>
        <v>EG0001</v>
      </c>
      <c r="C939" s="2" t="str">
        <f>VLOOKUP($B939,[5]BOLETIM_SEL!$A:$H,2,0)</f>
        <v>COMPOSIÇÃO</v>
      </c>
      <c r="D939" s="315" t="str">
        <f>VLOOKUP($B939,[5]BOLETIM_SEL!$A:$H,4,0)</f>
        <v>Serviços geotécnicos de sondagem à trado ( 1 un com 2m de prof.) e ensaios de solo de granulometria por peneiramento, limites de liquidez e plasticidade, compactação e ISC na energia modificada (1 cj)</v>
      </c>
      <c r="E939" s="2">
        <f>+Orçamento_Não_Deson!E939</f>
        <v>0</v>
      </c>
      <c r="F939" s="2" t="str">
        <f>VLOOKUP($B939,[5]BOLETIM_SEL!$A:$H,6,0)</f>
        <v xml:space="preserve">un </v>
      </c>
      <c r="G939" s="1407">
        <f>VLOOKUP($B939,[5]BOLETIM_SEL!$A:$H,7,0)</f>
        <v>946.08</v>
      </c>
      <c r="H939" s="1613">
        <f>+Orçamento_Não_Deson!H939</f>
        <v>0</v>
      </c>
      <c r="I939" s="132">
        <f t="shared" si="175"/>
        <v>1199.06</v>
      </c>
      <c r="J939" s="1612">
        <f t="shared" si="176"/>
        <v>0</v>
      </c>
      <c r="K939" s="2078">
        <f t="shared" ca="1" si="173"/>
        <v>0</v>
      </c>
      <c r="L939" s="1574" t="e">
        <f t="shared" si="174"/>
        <v>#DIV/0!</v>
      </c>
      <c r="M939" s="1987"/>
      <c r="N939" s="3"/>
      <c r="O939" s="3"/>
      <c r="Q939" s="3"/>
      <c r="R939" s="3"/>
      <c r="S939" s="3"/>
      <c r="T939" s="3"/>
      <c r="U939" s="3"/>
      <c r="V939" s="3"/>
      <c r="W939" s="3"/>
      <c r="X939" s="3"/>
    </row>
    <row r="940" spans="1:24" s="4" customFormat="1" ht="39.950000000000003" hidden="1" customHeight="1" x14ac:dyDescent="0.15">
      <c r="A940" s="2081">
        <f ca="1">+Orçamento_Não_Deson!A940</f>
        <v>12</v>
      </c>
      <c r="B940" s="834" t="str">
        <f>+Orçamento_Não_Deson!B940</f>
        <v>EG0012</v>
      </c>
      <c r="C940" s="2" t="str">
        <f>VLOOKUP($B940,[5]BOLETIM_SEL!$A:$H,2,0)</f>
        <v>COMPOSIÇÃO</v>
      </c>
      <c r="D940" s="315" t="str">
        <f>VLOOKUP($B940,[5]BOLETIM_SEL!$A:$H,4,0)</f>
        <v>Serviços geotécnicos de sondagem à trado (1un com 2m de prof.) e ensaios de solo de granulometria por peneiramento, limites de liquidez e plasticidade, compactação e ISC na energia intermediária (1cj)</v>
      </c>
      <c r="E940" s="2">
        <f>+Orçamento_Não_Deson!E940</f>
        <v>0</v>
      </c>
      <c r="F940" s="2" t="str">
        <f>VLOOKUP($B940,[5]BOLETIM_SEL!$A:$H,6,0)</f>
        <v xml:space="preserve">un </v>
      </c>
      <c r="G940" s="1407">
        <f>VLOOKUP($B940,[5]BOLETIM_SEL!$A:$H,7,0)</f>
        <v>788.08</v>
      </c>
      <c r="H940" s="1613">
        <f>+Orçamento_Não_Deson!H940</f>
        <v>0</v>
      </c>
      <c r="I940" s="132">
        <f t="shared" si="175"/>
        <v>998.81</v>
      </c>
      <c r="J940" s="1612">
        <f t="shared" si="176"/>
        <v>0</v>
      </c>
      <c r="K940" s="2078">
        <f t="shared" ca="1" si="173"/>
        <v>0</v>
      </c>
      <c r="L940" s="1574" t="e">
        <f t="shared" si="174"/>
        <v>#DIV/0!</v>
      </c>
      <c r="M940" s="1987"/>
      <c r="N940" s="3"/>
      <c r="O940" s="3"/>
      <c r="Q940" s="3"/>
      <c r="R940" s="3"/>
      <c r="S940" s="3"/>
      <c r="T940" s="3"/>
      <c r="U940" s="3"/>
      <c r="V940" s="3"/>
      <c r="W940" s="3"/>
      <c r="X940" s="3"/>
    </row>
    <row r="941" spans="1:24" s="4" customFormat="1" ht="39.950000000000003" hidden="1" customHeight="1" x14ac:dyDescent="0.15">
      <c r="A941" s="2081">
        <f ca="1">+Orçamento_Não_Deson!A941</f>
        <v>12</v>
      </c>
      <c r="B941" s="834" t="str">
        <f>+Orçamento_Não_Deson!B941</f>
        <v>EG0014</v>
      </c>
      <c r="C941" s="2" t="str">
        <f>VLOOKUP($B941,[5]BOLETIM_SEL!$A:$H,2,0)</f>
        <v>COMPOSIÇÃO</v>
      </c>
      <c r="D941" s="315" t="str">
        <f>VLOOKUP($B941,[5]BOLETIM_SEL!$A:$H,4,0)</f>
        <v>Serviços geotécnicos de sondagem à trado (1un com 2m de prof.) e ensaios de solo de granulometria por peneiramento, limites de liquidez e plasticidade, compactação e ISC na energia intermediária, com reuso de material (1cj)</v>
      </c>
      <c r="E941" s="2">
        <f>+Orçamento_Não_Deson!E941</f>
        <v>0</v>
      </c>
      <c r="F941" s="2" t="str">
        <f>VLOOKUP($B941,[5]BOLETIM_SEL!$A:$H,6,0)</f>
        <v xml:space="preserve">un </v>
      </c>
      <c r="G941" s="1407">
        <f>VLOOKUP($B941,[5]BOLETIM_SEL!$A:$H,7,0)</f>
        <v>591.04</v>
      </c>
      <c r="H941" s="1613">
        <f>+Orçamento_Não_Deson!H941</f>
        <v>0</v>
      </c>
      <c r="I941" s="132">
        <f t="shared" si="175"/>
        <v>749.08</v>
      </c>
      <c r="J941" s="1612">
        <f t="shared" si="176"/>
        <v>0</v>
      </c>
      <c r="K941" s="2078">
        <f t="shared" ca="1" si="173"/>
        <v>0</v>
      </c>
      <c r="L941" s="1574" t="e">
        <f t="shared" si="174"/>
        <v>#DIV/0!</v>
      </c>
      <c r="M941" s="1987"/>
      <c r="N941" s="3"/>
      <c r="O941" s="3"/>
      <c r="Q941" s="3"/>
      <c r="R941" s="3"/>
      <c r="S941" s="3"/>
      <c r="T941" s="3"/>
      <c r="U941" s="3"/>
      <c r="V941" s="3"/>
      <c r="W941" s="3"/>
      <c r="X941" s="3"/>
    </row>
    <row r="942" spans="1:24" s="4" customFormat="1" ht="39.950000000000003" hidden="1" customHeight="1" x14ac:dyDescent="0.15">
      <c r="A942" s="2081">
        <f ca="1">+Orçamento_Não_Deson!A942</f>
        <v>12</v>
      </c>
      <c r="B942" s="834" t="str">
        <f>+Orçamento_Não_Deson!B942</f>
        <v>EG0006</v>
      </c>
      <c r="C942" s="2" t="str">
        <f>VLOOKUP($B942,[5]BOLETIM_SEL!$A:$H,2,0)</f>
        <v>COMPOSIÇÃO</v>
      </c>
      <c r="D942" s="315" t="str">
        <f>VLOOKUP($B942,[5]BOLETIM_SEL!$A:$H,4,0)</f>
        <v>Deslocamento de equipamento entre furos em terreno plano, considerando a distância até 100m</v>
      </c>
      <c r="E942" s="2">
        <f>+Orçamento_Não_Deson!E942</f>
        <v>0</v>
      </c>
      <c r="F942" s="2" t="str">
        <f>VLOOKUP($B942,[5]BOLETIM_SEL!$A:$H,6,0)</f>
        <v xml:space="preserve">un </v>
      </c>
      <c r="G942" s="1407">
        <f>VLOOKUP($B942,[5]BOLETIM_SEL!$A:$H,7,0)</f>
        <v>120.06</v>
      </c>
      <c r="H942" s="1613">
        <f>+Orçamento_Não_Deson!H942</f>
        <v>0</v>
      </c>
      <c r="I942" s="132">
        <f t="shared" si="175"/>
        <v>152.16</v>
      </c>
      <c r="J942" s="1612">
        <f t="shared" si="176"/>
        <v>0</v>
      </c>
      <c r="K942" s="2078">
        <f t="shared" ca="1" si="173"/>
        <v>0</v>
      </c>
      <c r="L942" s="1574" t="e">
        <f t="shared" si="174"/>
        <v>#DIV/0!</v>
      </c>
      <c r="M942" s="1987"/>
      <c r="N942" s="3"/>
      <c r="O942" s="3"/>
      <c r="Q942" s="3"/>
      <c r="R942" s="3"/>
      <c r="S942" s="3"/>
      <c r="T942" s="3"/>
      <c r="U942" s="3"/>
      <c r="V942" s="3"/>
      <c r="W942" s="3"/>
      <c r="X942" s="3"/>
    </row>
    <row r="943" spans="1:24" s="4" customFormat="1" ht="39.950000000000003" hidden="1" customHeight="1" x14ac:dyDescent="0.15">
      <c r="A943" s="2081">
        <f ca="1">+Orçamento_Não_Deson!A943</f>
        <v>12</v>
      </c>
      <c r="B943" s="834" t="str">
        <f>+Orçamento_Não_Deson!B943</f>
        <v>EG0007</v>
      </c>
      <c r="C943" s="2" t="str">
        <f>VLOOKUP($B943,[5]BOLETIM_SEL!$A:$H,2,0)</f>
        <v>COMPOSIÇÃO</v>
      </c>
      <c r="D943" s="315" t="str">
        <f>VLOOKUP($B943,[5]BOLETIM_SEL!$A:$H,4,0)</f>
        <v>Sondagem à percussão (SPT) com lavagem</v>
      </c>
      <c r="E943" s="2">
        <f>+Orçamento_Não_Deson!E943</f>
        <v>0</v>
      </c>
      <c r="F943" s="2" t="str">
        <f>VLOOKUP($B943,[5]BOLETIM_SEL!$A:$H,6,0)</f>
        <v>m</v>
      </c>
      <c r="G943" s="1407">
        <f>VLOOKUP($B943,[5]BOLETIM_SEL!$A:$H,7,0)</f>
        <v>170.21</v>
      </c>
      <c r="H943" s="1613">
        <f>+Orçamento_Não_Deson!H943</f>
        <v>0</v>
      </c>
      <c r="I943" s="132">
        <f t="shared" si="175"/>
        <v>215.72</v>
      </c>
      <c r="J943" s="1612">
        <f t="shared" si="176"/>
        <v>0</v>
      </c>
      <c r="K943" s="2078">
        <f t="shared" ca="1" si="173"/>
        <v>0</v>
      </c>
      <c r="L943" s="1574" t="e">
        <f t="shared" si="174"/>
        <v>#DIV/0!</v>
      </c>
      <c r="M943" s="1833"/>
      <c r="N943" s="3"/>
      <c r="O943" s="3"/>
      <c r="Q943" s="3"/>
      <c r="R943" s="3"/>
      <c r="S943" s="3"/>
      <c r="T943" s="3"/>
      <c r="U943" s="3"/>
      <c r="V943" s="3"/>
      <c r="W943" s="3"/>
      <c r="X943" s="3"/>
    </row>
    <row r="944" spans="1:24" s="4" customFormat="1" ht="39.950000000000003" hidden="1" customHeight="1" x14ac:dyDescent="0.15">
      <c r="A944" s="2081">
        <f ca="1">+Orçamento_Não_Deson!A944</f>
        <v>12</v>
      </c>
      <c r="B944" s="834" t="str">
        <f>+Orçamento_Não_Deson!B944</f>
        <v>EG0011</v>
      </c>
      <c r="C944" s="2" t="str">
        <f>VLOOKUP($B944,[5]BOLETIM_SEL!$A:$H,2,0)</f>
        <v>COMPOSIÇÃO</v>
      </c>
      <c r="D944" s="315" t="str">
        <f>VLOOKUP($B944,[5]BOLETIM_SEL!$A:$H,4,0)</f>
        <v>Avaliação e análise geotécnica de taludes e estabilidade de maciços em terra. Exclusive ensaios geotécnicos</v>
      </c>
      <c r="E944" s="2">
        <f>+Orçamento_Não_Deson!E944</f>
        <v>0</v>
      </c>
      <c r="F944" s="2" t="str">
        <f>VLOOKUP($B944,[5]BOLETIM_SEL!$A:$H,6,0)</f>
        <v xml:space="preserve">un </v>
      </c>
      <c r="G944" s="1407">
        <f>VLOOKUP($B944,[5]BOLETIM_SEL!$A:$H,7,0)</f>
        <v>15277.16</v>
      </c>
      <c r="H944" s="1613">
        <f>+Orçamento_Não_Deson!H944</f>
        <v>0</v>
      </c>
      <c r="I944" s="132">
        <f t="shared" si="175"/>
        <v>19362.27</v>
      </c>
      <c r="J944" s="1612">
        <f t="shared" si="176"/>
        <v>0</v>
      </c>
      <c r="K944" s="2078">
        <f t="shared" ca="1" si="173"/>
        <v>0</v>
      </c>
      <c r="L944" s="1574" t="e">
        <f t="shared" si="174"/>
        <v>#DIV/0!</v>
      </c>
      <c r="M944" s="1833"/>
      <c r="N944" s="3"/>
      <c r="O944" s="3"/>
      <c r="Q944" s="3"/>
      <c r="R944" s="3"/>
      <c r="S944" s="3"/>
      <c r="T944" s="3"/>
      <c r="U944" s="3"/>
      <c r="V944" s="3"/>
      <c r="W944" s="3"/>
      <c r="X944" s="3"/>
    </row>
    <row r="945" spans="1:24" s="4" customFormat="1" ht="39.950000000000003" hidden="1" customHeight="1" x14ac:dyDescent="0.15">
      <c r="A945" s="2081">
        <f ca="1">+Orçamento_Não_Deson!A945</f>
        <v>12</v>
      </c>
      <c r="B945" s="834" t="str">
        <f>+Orçamento_Não_Deson!B945</f>
        <v>ETG0001</v>
      </c>
      <c r="C945" s="2" t="str">
        <f>VLOOKUP($B945,[5]BOLETIM_SEL!$A:$H,2,0)</f>
        <v>COMPOSIÇÃO</v>
      </c>
      <c r="D945" s="315" t="str">
        <f>VLOOKUP($B945,[5]BOLETIM_SEL!$A:$H,4,0)</f>
        <v>Elaboração de estudos topográficos e geotécnicos</v>
      </c>
      <c r="E945" s="2">
        <f>+Orçamento_Não_Deson!E945</f>
        <v>0</v>
      </c>
      <c r="F945" s="2" t="str">
        <f>VLOOKUP($B945,[5]BOLETIM_SEL!$A:$H,6,0)</f>
        <v>km</v>
      </c>
      <c r="G945" s="1407">
        <f>VLOOKUP($B945,[5]BOLETIM_SEL!$A:$H,7,0)</f>
        <v>11695.738200000002</v>
      </c>
      <c r="H945" s="1613">
        <f>+Orçamento_Não_Deson!H945</f>
        <v>0</v>
      </c>
      <c r="I945" s="132">
        <f t="shared" si="175"/>
        <v>14823.17</v>
      </c>
      <c r="J945" s="1612">
        <f t="shared" si="176"/>
        <v>0</v>
      </c>
      <c r="K945" s="2078">
        <f t="shared" ca="1" si="173"/>
        <v>0</v>
      </c>
      <c r="L945" s="1574" t="e">
        <f t="shared" si="174"/>
        <v>#DIV/0!</v>
      </c>
      <c r="M945" s="1833"/>
      <c r="N945" s="3"/>
      <c r="O945" s="3"/>
      <c r="Q945" s="3"/>
      <c r="R945" s="3"/>
      <c r="S945" s="3"/>
      <c r="T945" s="3"/>
      <c r="U945" s="3"/>
      <c r="V945" s="3"/>
      <c r="W945" s="3"/>
      <c r="X945" s="3"/>
    </row>
    <row r="946" spans="1:24" s="4" customFormat="1" ht="39.950000000000003" hidden="1" customHeight="1" x14ac:dyDescent="0.15">
      <c r="A946" s="2081">
        <f ca="1">+Orçamento_Não_Deson!A946</f>
        <v>12</v>
      </c>
      <c r="B946" s="834" t="str">
        <f>+Orçamento_Não_Deson!B946</f>
        <v>ET0001</v>
      </c>
      <c r="C946" s="2" t="str">
        <f>VLOOKUP($B946,[5]BOLETIM_SEL!$A:$H,2,0)</f>
        <v>COMPOSIÇÃO</v>
      </c>
      <c r="D946" s="315" t="str">
        <f>VLOOKUP($B946,[5]BOLETIM_SEL!$A:$H,4,0)</f>
        <v>Levantamento topográfico por GPS ou voo aerofotogramétrico em áreas de difícil acesso, relevo acidentado e pouco habitada</v>
      </c>
      <c r="E946" s="2">
        <f>+Orçamento_Não_Deson!E946</f>
        <v>0</v>
      </c>
      <c r="F946" s="2" t="str">
        <f>VLOOKUP($B946,[5]BOLETIM_SEL!$A:$H,6,0)</f>
        <v xml:space="preserve">ha </v>
      </c>
      <c r="G946" s="1407">
        <f>VLOOKUP($B946,[5]BOLETIM_SEL!$A:$H,7,0)</f>
        <v>82.26</v>
      </c>
      <c r="H946" s="1613">
        <f>+Orçamento_Não_Deson!H946</f>
        <v>0</v>
      </c>
      <c r="I946" s="132">
        <f t="shared" si="175"/>
        <v>104.25</v>
      </c>
      <c r="J946" s="1612">
        <f t="shared" si="176"/>
        <v>0</v>
      </c>
      <c r="K946" s="2078">
        <f t="shared" ca="1" si="173"/>
        <v>0</v>
      </c>
      <c r="L946" s="1574" t="e">
        <f t="shared" si="174"/>
        <v>#DIV/0!</v>
      </c>
      <c r="M946" s="1833"/>
      <c r="N946" s="3"/>
      <c r="O946" s="3"/>
      <c r="Q946" s="3"/>
      <c r="R946" s="3"/>
      <c r="S946" s="3"/>
      <c r="T946" s="3"/>
      <c r="U946" s="3"/>
      <c r="V946" s="3"/>
      <c r="W946" s="3"/>
      <c r="X946" s="3"/>
    </row>
    <row r="947" spans="1:24" s="4" customFormat="1" ht="39.950000000000003" hidden="1" customHeight="1" x14ac:dyDescent="0.15">
      <c r="A947" s="2081">
        <f ca="1">+Orçamento_Não_Deson!A947</f>
        <v>12</v>
      </c>
      <c r="B947" s="834" t="str">
        <f>+Orçamento_Não_Deson!B947</f>
        <v>ET0002</v>
      </c>
      <c r="C947" s="2" t="str">
        <f>VLOOKUP($B947,[5]BOLETIM_SEL!$A:$H,2,0)</f>
        <v>COMPOSIÇÃO</v>
      </c>
      <c r="D947" s="315" t="str">
        <f>VLOOKUP($B947,[5]BOLETIM_SEL!$A:$H,4,0)</f>
        <v>Levantamento topográfico planialtimétrico semi-cadastral</v>
      </c>
      <c r="E947" s="2">
        <f>+Orçamento_Não_Deson!E947</f>
        <v>0</v>
      </c>
      <c r="F947" s="2" t="str">
        <f>VLOOKUP($B947,[5]BOLETIM_SEL!$A:$H,6,0)</f>
        <v xml:space="preserve">ha </v>
      </c>
      <c r="G947" s="1407">
        <f>VLOOKUP($B947,[5]BOLETIM_SEL!$A:$H,7,0)</f>
        <v>7697.75</v>
      </c>
      <c r="H947" s="1613">
        <f>+Orçamento_Não_Deson!H947</f>
        <v>0</v>
      </c>
      <c r="I947" s="132">
        <f t="shared" si="175"/>
        <v>9756.1200000000008</v>
      </c>
      <c r="J947" s="1612">
        <f t="shared" si="176"/>
        <v>0</v>
      </c>
      <c r="K947" s="2078">
        <f t="shared" ca="1" si="173"/>
        <v>0</v>
      </c>
      <c r="L947" s="1574" t="e">
        <f t="shared" si="174"/>
        <v>#DIV/0!</v>
      </c>
      <c r="M947" s="1833"/>
      <c r="N947" s="3"/>
      <c r="O947" s="3"/>
      <c r="Q947" s="3"/>
      <c r="R947" s="3"/>
      <c r="S947" s="3"/>
      <c r="T947" s="3"/>
      <c r="U947" s="3"/>
      <c r="V947" s="3"/>
      <c r="W947" s="3"/>
      <c r="X947" s="3"/>
    </row>
    <row r="948" spans="1:24" s="4" customFormat="1" ht="39.950000000000003" hidden="1" customHeight="1" x14ac:dyDescent="0.15">
      <c r="A948" s="2081">
        <f ca="1">+Orçamento_Não_Deson!A948</f>
        <v>12</v>
      </c>
      <c r="B948" s="834" t="str">
        <f>+Orçamento_Não_Deson!B948</f>
        <v>PIU0001</v>
      </c>
      <c r="C948" s="2" t="str">
        <f>VLOOKUP($B948,[5]BOLETIM_SEL!$A:$H,2,0)</f>
        <v>COMPOSIÇÃO</v>
      </c>
      <c r="D948" s="315" t="str">
        <f>VLOOKUP($B948,[5]BOLETIM_SEL!$A:$H,4,0)</f>
        <v>Elaboração de projetos executivos geométrico, terraplenagem, pavimentação, drenagem superficial, galeria de água pluvial, sinalização viária e acessibilidade</v>
      </c>
      <c r="E948" s="2">
        <f>+Orçamento_Não_Deson!E948</f>
        <v>0</v>
      </c>
      <c r="F948" s="2" t="str">
        <f>VLOOKUP($B948,[5]BOLETIM_SEL!$A:$H,6,0)</f>
        <v>m²</v>
      </c>
      <c r="G948" s="1407">
        <f>VLOOKUP($B948,[5]BOLETIM_SEL!$A:$H,7,0)</f>
        <v>3.31</v>
      </c>
      <c r="H948" s="1613">
        <f>+Orçamento_Não_Deson!H948</f>
        <v>0</v>
      </c>
      <c r="I948" s="132">
        <f t="shared" si="175"/>
        <v>4.1900000000000004</v>
      </c>
      <c r="J948" s="1612">
        <f t="shared" si="176"/>
        <v>0</v>
      </c>
      <c r="K948" s="2078">
        <f t="shared" ca="1" si="173"/>
        <v>0</v>
      </c>
      <c r="L948" s="1574" t="e">
        <f t="shared" si="174"/>
        <v>#DIV/0!</v>
      </c>
      <c r="M948" s="1833"/>
      <c r="N948" s="3"/>
      <c r="O948" s="3"/>
      <c r="Q948" s="3"/>
      <c r="R948" s="3"/>
      <c r="S948" s="3"/>
      <c r="T948" s="3"/>
      <c r="U948" s="3"/>
      <c r="V948" s="3"/>
      <c r="W948" s="3"/>
      <c r="X948" s="3"/>
    </row>
    <row r="949" spans="1:24" s="4" customFormat="1" ht="39.950000000000003" hidden="1" customHeight="1" x14ac:dyDescent="0.15">
      <c r="A949" s="2081">
        <f ca="1">+Orçamento_Não_Deson!A949</f>
        <v>12</v>
      </c>
      <c r="B949" s="834" t="str">
        <f>+Orçamento_Não_Deson!B949</f>
        <v>PIU0006</v>
      </c>
      <c r="C949" s="2" t="str">
        <f>VLOOKUP($B949,[5]BOLETIM_SEL!$A:$H,2,0)</f>
        <v>COMPOSIÇÃO</v>
      </c>
      <c r="D949" s="315" t="str">
        <f>VLOOKUP($B949,[5]BOLETIM_SEL!$A:$H,4,0)</f>
        <v>Projeto executivo de terraplenagem, geométrico, pavimentação, sinalização viária e acessibilidade. Exclusive projeto de galeria de água pluvial</v>
      </c>
      <c r="E949" s="2">
        <f>+Orçamento_Não_Deson!E949</f>
        <v>0</v>
      </c>
      <c r="F949" s="2" t="str">
        <f>VLOOKUP($B949,[5]BOLETIM_SEL!$A:$H,6,0)</f>
        <v>m²</v>
      </c>
      <c r="G949" s="1407">
        <f>VLOOKUP($B949,[5]BOLETIM_SEL!$A:$H,7,0)</f>
        <v>2.56</v>
      </c>
      <c r="H949" s="1613">
        <f>+Orçamento_Não_Deson!H949</f>
        <v>0</v>
      </c>
      <c r="I949" s="132">
        <f t="shared" si="175"/>
        <v>3.24</v>
      </c>
      <c r="J949" s="1612">
        <f t="shared" si="176"/>
        <v>0</v>
      </c>
      <c r="K949" s="2078">
        <f t="shared" ca="1" si="173"/>
        <v>0</v>
      </c>
      <c r="L949" s="1574" t="e">
        <f t="shared" si="174"/>
        <v>#DIV/0!</v>
      </c>
      <c r="M949" s="1833"/>
      <c r="N949" s="3"/>
      <c r="O949" s="3"/>
      <c r="Q949" s="3"/>
      <c r="R949" s="3"/>
      <c r="S949" s="3"/>
      <c r="T949" s="3"/>
      <c r="U949" s="3"/>
      <c r="V949" s="3"/>
      <c r="W949" s="3"/>
      <c r="X949" s="3"/>
    </row>
    <row r="950" spans="1:24" s="4" customFormat="1" ht="39.950000000000003" hidden="1" customHeight="1" x14ac:dyDescent="0.15">
      <c r="A950" s="2081">
        <f ca="1">+Orçamento_Não_Deson!A950</f>
        <v>12</v>
      </c>
      <c r="B950" s="834" t="str">
        <f>+Orçamento_Não_Deson!B950</f>
        <v>PIU0004</v>
      </c>
      <c r="C950" s="2" t="str">
        <f>VLOOKUP($B950,[5]BOLETIM_SEL!$A:$H,2,0)</f>
        <v>COMPOSIÇÃO</v>
      </c>
      <c r="D950" s="315" t="str">
        <f>VLOOKUP($B950,[5]BOLETIM_SEL!$A:$H,4,0)</f>
        <v>Elaboração de projeto executivo de galerias de drenagem de águas pluviais. Exclusive serviços topográficos e geotécnicos</v>
      </c>
      <c r="E950" s="2">
        <f>+Orçamento_Não_Deson!E950</f>
        <v>0</v>
      </c>
      <c r="F950" s="2" t="str">
        <f>VLOOKUP($B950,[5]BOLETIM_SEL!$A:$H,6,0)</f>
        <v>m</v>
      </c>
      <c r="G950" s="1407">
        <f>VLOOKUP($B950,[5]BOLETIM_SEL!$A:$H,7,0)</f>
        <v>7.61</v>
      </c>
      <c r="H950" s="1613">
        <f>+Orçamento_Não_Deson!H950</f>
        <v>0</v>
      </c>
      <c r="I950" s="132">
        <f t="shared" si="175"/>
        <v>9.64</v>
      </c>
      <c r="J950" s="1612">
        <f t="shared" si="176"/>
        <v>0</v>
      </c>
      <c r="K950" s="2078">
        <f t="shared" ca="1" si="173"/>
        <v>0</v>
      </c>
      <c r="L950" s="1574" t="e">
        <f t="shared" si="174"/>
        <v>#DIV/0!</v>
      </c>
      <c r="M950" s="1833"/>
      <c r="N950" s="3"/>
      <c r="O950" s="3"/>
      <c r="Q950" s="3"/>
      <c r="R950" s="3"/>
      <c r="S950" s="3"/>
      <c r="T950" s="3"/>
      <c r="U950" s="3"/>
      <c r="V950" s="3"/>
      <c r="W950" s="3"/>
      <c r="X950" s="3"/>
    </row>
    <row r="951" spans="1:24" s="4" customFormat="1" ht="39.950000000000003" hidden="1" customHeight="1" x14ac:dyDescent="0.15">
      <c r="A951" s="2081">
        <f ca="1">+Orçamento_Não_Deson!A951</f>
        <v>12</v>
      </c>
      <c r="B951" s="834" t="str">
        <f>+Orçamento_Não_Deson!B951</f>
        <v>PIU0003</v>
      </c>
      <c r="C951" s="2" t="str">
        <f>VLOOKUP($B951,[5]BOLETIM_SEL!$A:$H,2,0)</f>
        <v>COMPOSIÇÃO</v>
      </c>
      <c r="D951" s="315" t="str">
        <f>VLOOKUP($B951,[5]BOLETIM_SEL!$A:$H,4,0)</f>
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</c>
      <c r="E951" s="2">
        <f>+Orçamento_Não_Deson!E951</f>
        <v>0</v>
      </c>
      <c r="F951" s="2" t="str">
        <f>VLOOKUP($B951,[5]BOLETIM_SEL!$A:$H,6,0)</f>
        <v xml:space="preserve">un </v>
      </c>
      <c r="G951" s="1407">
        <f>VLOOKUP($B951,[5]BOLETIM_SEL!$A:$H,7,0)</f>
        <v>37247.769999999997</v>
      </c>
      <c r="H951" s="1613">
        <f>+Orçamento_Não_Deson!H951</f>
        <v>0</v>
      </c>
      <c r="I951" s="132">
        <f t="shared" si="175"/>
        <v>47207.82</v>
      </c>
      <c r="J951" s="1612">
        <f t="shared" si="176"/>
        <v>0</v>
      </c>
      <c r="K951" s="2078">
        <f t="shared" ca="1" si="173"/>
        <v>0</v>
      </c>
      <c r="L951" s="1574" t="e">
        <f t="shared" si="174"/>
        <v>#DIV/0!</v>
      </c>
      <c r="M951" s="1833"/>
      <c r="N951" s="3"/>
      <c r="O951" s="3"/>
      <c r="Q951" s="3"/>
      <c r="R951" s="3"/>
      <c r="S951" s="3"/>
      <c r="T951" s="3"/>
      <c r="U951" s="3"/>
      <c r="V951" s="3"/>
      <c r="W951" s="3"/>
      <c r="X951" s="3"/>
    </row>
    <row r="952" spans="1:24" s="4" customFormat="1" ht="39.950000000000003" hidden="1" customHeight="1" x14ac:dyDescent="0.15">
      <c r="A952" s="2081">
        <f ca="1">+Orçamento_Não_Deson!A952</f>
        <v>12</v>
      </c>
      <c r="B952" s="834" t="str">
        <f>+Orçamento_Não_Deson!B952</f>
        <v>PIU0014</v>
      </c>
      <c r="C952" s="2" t="str">
        <f>VLOOKUP($B952,[5]BOLETIM_SEL!$A:$H,2,0)</f>
        <v>COMPOSIÇÃO</v>
      </c>
      <c r="D952" s="315" t="str">
        <f>VLOOKUP($B952,[5]BOLETIM_SEL!$A:$H,4,0)</f>
        <v>Elaboração projeto executivo de calçada em via urbana, incluindo estudos topográficos e acessibilidade</v>
      </c>
      <c r="E952" s="2">
        <f>+Orçamento_Não_Deson!E952</f>
        <v>0</v>
      </c>
      <c r="F952" s="2" t="str">
        <f>VLOOKUP($B952,[5]BOLETIM_SEL!$A:$H,6,0)</f>
        <v>km</v>
      </c>
      <c r="G952" s="1407">
        <f>VLOOKUP($B952,[5]BOLETIM_SEL!$A:$H,7,0)</f>
        <v>3213.93</v>
      </c>
      <c r="H952" s="1613">
        <f>+Orçamento_Não_Deson!H952</f>
        <v>0</v>
      </c>
      <c r="I952" s="132">
        <f t="shared" si="175"/>
        <v>4073.33</v>
      </c>
      <c r="J952" s="1612">
        <f t="shared" si="176"/>
        <v>0</v>
      </c>
      <c r="K952" s="2078">
        <f t="shared" ca="1" si="173"/>
        <v>0</v>
      </c>
      <c r="L952" s="1574" t="e">
        <f t="shared" si="174"/>
        <v>#DIV/0!</v>
      </c>
      <c r="M952" s="1833"/>
      <c r="N952" s="3"/>
      <c r="O952" s="3"/>
      <c r="Q952" s="3"/>
      <c r="R952" s="3"/>
      <c r="S952" s="3"/>
      <c r="T952" s="3"/>
      <c r="U952" s="3"/>
      <c r="V952" s="3"/>
      <c r="W952" s="3"/>
      <c r="X952" s="3"/>
    </row>
    <row r="953" spans="1:24" s="4" customFormat="1" ht="39.950000000000003" hidden="1" customHeight="1" x14ac:dyDescent="0.15">
      <c r="A953" s="2081">
        <f ca="1">+Orçamento_Não_Deson!A953</f>
        <v>12</v>
      </c>
      <c r="B953" s="834" t="str">
        <f>+Orçamento_Não_Deson!B953</f>
        <v>PIU0015</v>
      </c>
      <c r="C953" s="2" t="str">
        <f>VLOOKUP($B953,[5]BOLETIM_SEL!$A:$H,2,0)</f>
        <v>COMPOSIÇÃO</v>
      </c>
      <c r="D953" s="315" t="str">
        <f>VLOOKUP($B953,[5]BOLETIM_SEL!$A:$H,4,0)</f>
        <v>Elaboração projeto executivo de ciclovia e ciclofaixa em via urbana, incluindo estudos topográficos e projeto de sinalização viária e acessibilidade</v>
      </c>
      <c r="E953" s="2">
        <f>+Orçamento_Não_Deson!E953</f>
        <v>0</v>
      </c>
      <c r="F953" s="2" t="str">
        <f>VLOOKUP($B953,[5]BOLETIM_SEL!$A:$H,6,0)</f>
        <v>km</v>
      </c>
      <c r="G953" s="1407">
        <f>VLOOKUP($B953,[5]BOLETIM_SEL!$A:$H,7,0)</f>
        <v>3623.39</v>
      </c>
      <c r="H953" s="1613">
        <f>+Orçamento_Não_Deson!H953</f>
        <v>0</v>
      </c>
      <c r="I953" s="132">
        <f t="shared" si="175"/>
        <v>4592.28</v>
      </c>
      <c r="J953" s="1612">
        <f t="shared" si="176"/>
        <v>0</v>
      </c>
      <c r="K953" s="2078">
        <f t="shared" ca="1" si="173"/>
        <v>0</v>
      </c>
      <c r="L953" s="1574" t="e">
        <f t="shared" si="174"/>
        <v>#DIV/0!</v>
      </c>
      <c r="M953" s="1833"/>
      <c r="N953" s="3"/>
      <c r="O953" s="3"/>
      <c r="Q953" s="3"/>
      <c r="R953" s="3"/>
      <c r="S953" s="3"/>
      <c r="T953" s="3"/>
      <c r="U953" s="3"/>
      <c r="V953" s="3"/>
      <c r="W953" s="3"/>
      <c r="X953" s="3"/>
    </row>
    <row r="954" spans="1:24" s="4" customFormat="1" ht="39.950000000000003" hidden="1" customHeight="1" x14ac:dyDescent="0.15">
      <c r="A954" s="2081">
        <f ca="1">+Orçamento_Não_Deson!A954</f>
        <v>12</v>
      </c>
      <c r="B954" s="834" t="str">
        <f>+Orçamento_Não_Deson!B954</f>
        <v>PRIU003</v>
      </c>
      <c r="C954" s="2" t="str">
        <f>VLOOKUP($B954,[5]BOLETIM_SEL!$A:$H,2,0)</f>
        <v>COMPOSIÇÃO</v>
      </c>
      <c r="D954" s="315" t="str">
        <f>VLOOKUP($B954,[5]BOLETIM_SEL!$A:$H,4,0)</f>
        <v>Elaboração de estudo de avaliação estrutural do pavimento – viga benkelman e/ou Falling Weight Deflectometer - FWD. Extensão mínima 20 km</v>
      </c>
      <c r="E954" s="2">
        <f>+Orçamento_Não_Deson!E954</f>
        <v>0</v>
      </c>
      <c r="F954" s="2" t="str">
        <f>VLOOKUP($B954,[5]BOLETIM_SEL!$A:$H,6,0)</f>
        <v>km.faixa</v>
      </c>
      <c r="G954" s="1407">
        <f>VLOOKUP($B954,[5]BOLETIM_SEL!$A:$H,7,0)</f>
        <v>330.62</v>
      </c>
      <c r="H954" s="1613">
        <f>+Orçamento_Não_Deson!H954</f>
        <v>0</v>
      </c>
      <c r="I954" s="132">
        <f t="shared" si="175"/>
        <v>419.02</v>
      </c>
      <c r="J954" s="1612">
        <f t="shared" si="176"/>
        <v>0</v>
      </c>
      <c r="K954" s="2078">
        <f t="shared" ca="1" si="173"/>
        <v>0</v>
      </c>
      <c r="L954" s="1574" t="e">
        <f t="shared" si="174"/>
        <v>#DIV/0!</v>
      </c>
      <c r="M954" s="1833"/>
      <c r="N954" s="3"/>
      <c r="O954" s="3"/>
      <c r="Q954" s="3"/>
      <c r="R954" s="3"/>
      <c r="S954" s="3"/>
      <c r="T954" s="3"/>
      <c r="U954" s="3"/>
      <c r="V954" s="3"/>
      <c r="W954" s="3"/>
      <c r="X954" s="3"/>
    </row>
    <row r="955" spans="1:24" s="4" customFormat="1" ht="39.950000000000003" hidden="1" customHeight="1" x14ac:dyDescent="0.15">
      <c r="A955" s="2081">
        <f ca="1">+Orçamento_Não_Deson!A955</f>
        <v>12</v>
      </c>
      <c r="B955" s="834" t="str">
        <f>+Orçamento_Não_Deson!B955</f>
        <v>PRIU002</v>
      </c>
      <c r="C955" s="2" t="str">
        <f>VLOOKUP($B955,[5]BOLETIM_SEL!$A:$H,2,0)</f>
        <v>COMPOSIÇÃO</v>
      </c>
      <c r="D955" s="315" t="str">
        <f>VLOOKUP($B955,[5]BOLETIM_SEL!$A:$H,4,0)</f>
        <v>Elaboração projeto de restauração funcional do pavimento, incluindo estudos topográficos e geotécnicos, projetos drenagem superficial, sinalização viária e acessibilidade</v>
      </c>
      <c r="E955" s="2">
        <f>+Orçamento_Não_Deson!E955</f>
        <v>0</v>
      </c>
      <c r="F955" s="2" t="str">
        <f>VLOOKUP($B955,[5]BOLETIM_SEL!$A:$H,6,0)</f>
        <v>m²</v>
      </c>
      <c r="G955" s="1407">
        <f>VLOOKUP($B955,[5]BOLETIM_SEL!$A:$H,7,0)</f>
        <v>2.0299999999999998</v>
      </c>
      <c r="H955" s="1613">
        <f>+Orçamento_Não_Deson!H955</f>
        <v>0</v>
      </c>
      <c r="I955" s="132">
        <f t="shared" si="175"/>
        <v>2.57</v>
      </c>
      <c r="J955" s="1612">
        <f t="shared" si="176"/>
        <v>0</v>
      </c>
      <c r="K955" s="2078">
        <f t="shared" ca="1" si="173"/>
        <v>0</v>
      </c>
      <c r="L955" s="1574" t="e">
        <f t="shared" si="174"/>
        <v>#DIV/0!</v>
      </c>
      <c r="M955" s="1833"/>
      <c r="N955" s="3"/>
      <c r="O955" s="3"/>
      <c r="Q955" s="3"/>
      <c r="R955" s="3"/>
      <c r="S955" s="3"/>
      <c r="T955" s="3"/>
      <c r="U955" s="3"/>
      <c r="V955" s="3"/>
      <c r="W955" s="3"/>
      <c r="X955" s="3"/>
    </row>
    <row r="956" spans="1:24" s="4" customFormat="1" ht="39.950000000000003" hidden="1" customHeight="1" x14ac:dyDescent="0.15">
      <c r="A956" s="2081">
        <f ca="1">+Orçamento_Não_Deson!A956</f>
        <v>12</v>
      </c>
      <c r="B956" s="834" t="str">
        <f>+Orçamento_Não_Deson!B956</f>
        <v>PIP001</v>
      </c>
      <c r="C956" s="2" t="str">
        <f>VLOOKUP($B956,[5]BOLETIM_SEL!$A:$H,2,0)</f>
        <v>COMPOSIÇÃO</v>
      </c>
      <c r="D956" s="315" t="str">
        <f>VLOOKUP($B956,[5]BOLETIM_SEL!$A:$H,4,0)</f>
        <v>Elaboração projeto executivo de iluminação pública</v>
      </c>
      <c r="E956" s="2">
        <f>+Orçamento_Não_Deson!E956</f>
        <v>0</v>
      </c>
      <c r="F956" s="2" t="str">
        <f>VLOOKUP($B956,[5]BOLETIM_SEL!$A:$H,6,0)</f>
        <v>km</v>
      </c>
      <c r="G956" s="1407">
        <f>VLOOKUP($B956,[5]BOLETIM_SEL!$A:$H,7,0)</f>
        <v>3544.59</v>
      </c>
      <c r="H956" s="1613">
        <f>+Orçamento_Não_Deson!H956</f>
        <v>0</v>
      </c>
      <c r="I956" s="132">
        <f t="shared" si="175"/>
        <v>4492.41</v>
      </c>
      <c r="J956" s="1612">
        <f t="shared" si="176"/>
        <v>0</v>
      </c>
      <c r="K956" s="2078">
        <f t="shared" ca="1" si="173"/>
        <v>0</v>
      </c>
      <c r="L956" s="1574" t="e">
        <f t="shared" si="174"/>
        <v>#DIV/0!</v>
      </c>
      <c r="M956" s="1833"/>
      <c r="N956" s="3"/>
      <c r="O956" s="3"/>
      <c r="Q956" s="3"/>
      <c r="R956" s="3"/>
      <c r="S956" s="3"/>
      <c r="T956" s="3"/>
      <c r="U956" s="3"/>
      <c r="V956" s="3"/>
      <c r="W956" s="3"/>
      <c r="X956" s="3"/>
    </row>
    <row r="957" spans="1:24" s="4" customFormat="1" ht="39.950000000000003" hidden="1" customHeight="1" x14ac:dyDescent="0.15">
      <c r="A957" s="2081">
        <f ca="1">+Orçamento_Não_Deson!A957</f>
        <v>12</v>
      </c>
      <c r="B957" s="834" t="str">
        <f>+Orçamento_Não_Deson!B957</f>
        <v>PEPC001</v>
      </c>
      <c r="C957" s="2" t="str">
        <f>VLOOKUP($B957,[5]BOLETIM_SEL!$A:$H,2,0)</f>
        <v>COMPOSIÇÃO</v>
      </c>
      <c r="D957" s="315" t="str">
        <f>VLOOKUP($B957,[5]BOLETIM_SEL!$A:$H,4,0)</f>
        <v>Elaboração de projeto estrutural de OAE (ponte) em concreto armado inclusive estudos hidrológico e projeto de acessibilidade e sinalização viária. Exclusive serviços topográficos e geotécnicos</v>
      </c>
      <c r="E957" s="2">
        <f>+Orçamento_Não_Deson!E957</f>
        <v>0</v>
      </c>
      <c r="F957" s="2" t="str">
        <f>VLOOKUP($B957,[5]BOLETIM_SEL!$A:$H,6,0)</f>
        <v>m²</v>
      </c>
      <c r="G957" s="1407">
        <f>VLOOKUP($B957,[5]BOLETIM_SEL!$A:$H,7,0)</f>
        <v>118.57</v>
      </c>
      <c r="H957" s="1613">
        <f>+Orçamento_Não_Deson!H957</f>
        <v>0</v>
      </c>
      <c r="I957" s="132">
        <f t="shared" si="175"/>
        <v>150.27000000000001</v>
      </c>
      <c r="J957" s="1612">
        <f t="shared" si="176"/>
        <v>0</v>
      </c>
      <c r="K957" s="2078">
        <f t="shared" ca="1" si="173"/>
        <v>0</v>
      </c>
      <c r="L957" s="1574" t="e">
        <f t="shared" si="174"/>
        <v>#DIV/0!</v>
      </c>
      <c r="M957" s="1833"/>
      <c r="N957" s="3"/>
      <c r="O957" s="3"/>
      <c r="Q957" s="3"/>
      <c r="R957" s="3"/>
      <c r="S957" s="3"/>
      <c r="T957" s="3"/>
      <c r="U957" s="3"/>
      <c r="V957" s="3"/>
      <c r="W957" s="3"/>
      <c r="X957" s="3"/>
    </row>
    <row r="958" spans="1:24" s="4" customFormat="1" ht="39.950000000000003" hidden="1" customHeight="1" x14ac:dyDescent="0.15">
      <c r="A958" s="2081">
        <f ca="1">+Orçamento_Não_Deson!A958</f>
        <v>12</v>
      </c>
      <c r="B958" s="834" t="str">
        <f>+Orçamento_Não_Deson!B958</f>
        <v>PIU0008</v>
      </c>
      <c r="C958" s="2" t="str">
        <f>VLOOKUP($B958,[5]BOLETIM_SEL!$A:$H,2,0)</f>
        <v>COMPOSIÇÃO</v>
      </c>
      <c r="D958" s="315" t="str">
        <f>VLOOKUP($B958,[5]BOLETIM_SEL!$A:$H,4,0)</f>
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</c>
      <c r="E958" s="2">
        <f>+Orçamento_Não_Deson!E958</f>
        <v>0</v>
      </c>
      <c r="F958" s="2" t="str">
        <f>VLOOKUP($B958,[5]BOLETIM_SEL!$A:$H,6,0)</f>
        <v xml:space="preserve">ha </v>
      </c>
      <c r="G958" s="1407">
        <f>VLOOKUP($B958,[5]BOLETIM_SEL!$A:$H,7,0)</f>
        <v>11254.43</v>
      </c>
      <c r="H958" s="1613">
        <f>+Orçamento_Não_Deson!H958</f>
        <v>0</v>
      </c>
      <c r="I958" s="132">
        <f t="shared" si="175"/>
        <v>14263.86</v>
      </c>
      <c r="J958" s="1612">
        <f t="shared" si="176"/>
        <v>0</v>
      </c>
      <c r="K958" s="2078">
        <f t="shared" ca="1" si="173"/>
        <v>0</v>
      </c>
      <c r="L958" s="1574" t="e">
        <f t="shared" si="174"/>
        <v>#DIV/0!</v>
      </c>
      <c r="M958" s="1833"/>
      <c r="N958" s="3"/>
      <c r="O958" s="3"/>
      <c r="Q958" s="3"/>
      <c r="R958" s="3"/>
      <c r="S958" s="3"/>
      <c r="T958" s="3"/>
      <c r="U958" s="3"/>
      <c r="V958" s="3"/>
      <c r="W958" s="3"/>
      <c r="X958" s="3"/>
    </row>
    <row r="959" spans="1:24" s="4" customFormat="1" ht="39.950000000000003" hidden="1" customHeight="1" x14ac:dyDescent="0.15">
      <c r="A959" s="2081">
        <f ca="1">+Orçamento_Não_Deson!A959</f>
        <v>12</v>
      </c>
      <c r="B959" s="834" t="str">
        <f>+Orçamento_Não_Deson!B959</f>
        <v>PIU0011</v>
      </c>
      <c r="C959" s="2" t="str">
        <f>VLOOKUP($B959,[5]BOLETIM_SEL!$A:$H,2,0)</f>
        <v>COMPOSIÇÃO</v>
      </c>
      <c r="D959" s="315" t="str">
        <f>VLOOKUP($B959,[5]BOLETIM_SEL!$A:$H,4,0)</f>
        <v>Elaboração de projeto executivo de bacia de amortecimento de drenagem de águas pluviais. Exclusive serviços topográficos e geotécnicos e projeto estrutural de contenção de talude</v>
      </c>
      <c r="E959" s="2">
        <f>+Orçamento_Não_Deson!E959</f>
        <v>0</v>
      </c>
      <c r="F959" s="2" t="str">
        <f>VLOOKUP($B959,[5]BOLETIM_SEL!$A:$H,6,0)</f>
        <v>m³</v>
      </c>
      <c r="G959" s="1407">
        <f>VLOOKUP($B959,[5]BOLETIM_SEL!$A:$H,7,0)</f>
        <v>2.17</v>
      </c>
      <c r="H959" s="1613">
        <f>+Orçamento_Não_Deson!H959</f>
        <v>0</v>
      </c>
      <c r="I959" s="132">
        <f t="shared" si="175"/>
        <v>2.75</v>
      </c>
      <c r="J959" s="1612">
        <f t="shared" si="176"/>
        <v>0</v>
      </c>
      <c r="K959" s="2078">
        <f t="shared" ca="1" si="173"/>
        <v>0</v>
      </c>
      <c r="L959" s="1574" t="e">
        <f t="shared" si="174"/>
        <v>#DIV/0!</v>
      </c>
      <c r="M959" s="1833"/>
      <c r="N959" s="3"/>
      <c r="O959" s="3"/>
      <c r="Q959" s="3"/>
      <c r="R959" s="3"/>
      <c r="S959" s="3"/>
      <c r="T959" s="3"/>
      <c r="U959" s="3"/>
      <c r="V959" s="3"/>
      <c r="W959" s="3"/>
      <c r="X959" s="3"/>
    </row>
    <row r="960" spans="1:24" s="4" customFormat="1" ht="39.950000000000003" hidden="1" customHeight="1" x14ac:dyDescent="0.15">
      <c r="A960" s="2081">
        <f ca="1">+Orçamento_Não_Deson!A960</f>
        <v>12</v>
      </c>
      <c r="B960" s="834" t="str">
        <f>+Orçamento_Não_Deson!B960</f>
        <v>PIU0005</v>
      </c>
      <c r="C960" s="2" t="str">
        <f>VLOOKUP($B960,[5]BOLETIM_SEL!$A:$H,2,0)</f>
        <v>COMPOSIÇÃO</v>
      </c>
      <c r="D960" s="315" t="str">
        <f>VLOOKUP($B960,[5]BOLETIM_SEL!$A:$H,4,0)</f>
        <v>Elaboração de projeto executivo estrutural e hidráulico de dispositivos de controle de velocidade e vazão de águas pluviais em concreto ou similar, até 50 m³</v>
      </c>
      <c r="E960" s="2">
        <f>+Orçamento_Não_Deson!E960</f>
        <v>0</v>
      </c>
      <c r="F960" s="2" t="str">
        <f>VLOOKUP($B960,[5]BOLETIM_SEL!$A:$H,6,0)</f>
        <v>m³</v>
      </c>
      <c r="G960" s="1407">
        <f>VLOOKUP($B960,[5]BOLETIM_SEL!$A:$H,7,0)</f>
        <v>186.36</v>
      </c>
      <c r="H960" s="1613">
        <f>+Orçamento_Não_Deson!H960</f>
        <v>0</v>
      </c>
      <c r="I960" s="132">
        <f t="shared" si="175"/>
        <v>236.19</v>
      </c>
      <c r="J960" s="1612">
        <f t="shared" si="176"/>
        <v>0</v>
      </c>
      <c r="K960" s="2078">
        <f t="shared" ca="1" si="173"/>
        <v>0</v>
      </c>
      <c r="L960" s="1574" t="e">
        <f t="shared" si="174"/>
        <v>#DIV/0!</v>
      </c>
      <c r="M960" s="1833"/>
      <c r="N960" s="3"/>
      <c r="O960" s="3"/>
      <c r="Q960" s="3"/>
      <c r="R960" s="3"/>
      <c r="S960" s="3"/>
      <c r="T960" s="3"/>
      <c r="U960" s="3"/>
      <c r="V960" s="3"/>
      <c r="W960" s="3"/>
      <c r="X960" s="3"/>
    </row>
    <row r="961" spans="1:24" s="4" customFormat="1" ht="39.950000000000003" hidden="1" customHeight="1" x14ac:dyDescent="0.15">
      <c r="A961" s="2081">
        <f ca="1">+Orçamento_Não_Deson!A961</f>
        <v>12</v>
      </c>
      <c r="B961" s="834" t="str">
        <f>+Orçamento_Não_Deson!B961</f>
        <v>PIU0009</v>
      </c>
      <c r="C961" s="2" t="str">
        <f>VLOOKUP($B961,[5]BOLETIM_SEL!$A:$H,2,0)</f>
        <v>COMPOSIÇÃO</v>
      </c>
      <c r="D961" s="315" t="str">
        <f>VLOOKUP($B961,[5]BOLETIM_SEL!$A:$H,4,0)</f>
        <v>Elaboração de projeto estrutural de estabilização de taludes através de muro de arrimo de peso e/ou gabião. Exclusive serviços topográficos e geotécnicos</v>
      </c>
      <c r="E961" s="2">
        <f>+Orçamento_Não_Deson!E961</f>
        <v>0</v>
      </c>
      <c r="F961" s="2" t="str">
        <f>VLOOKUP($B961,[5]BOLETIM_SEL!$A:$H,6,0)</f>
        <v>m²</v>
      </c>
      <c r="G961" s="1407">
        <f>VLOOKUP($B961,[5]BOLETIM_SEL!$A:$H,7,0)</f>
        <v>12.04</v>
      </c>
      <c r="H961" s="1613">
        <f>+Orçamento_Não_Deson!H961</f>
        <v>0</v>
      </c>
      <c r="I961" s="132">
        <f t="shared" si="175"/>
        <v>15.25</v>
      </c>
      <c r="J961" s="1612">
        <f t="shared" si="176"/>
        <v>0</v>
      </c>
      <c r="K961" s="2078">
        <f t="shared" ca="1" si="173"/>
        <v>0</v>
      </c>
      <c r="L961" s="1574" t="e">
        <f t="shared" si="174"/>
        <v>#DIV/0!</v>
      </c>
      <c r="M961" s="1833"/>
      <c r="N961" s="3"/>
      <c r="O961" s="3"/>
      <c r="Q961" s="3"/>
      <c r="R961" s="3"/>
      <c r="S961" s="3"/>
      <c r="T961" s="3"/>
      <c r="U961" s="3"/>
      <c r="V961" s="3"/>
      <c r="W961" s="3"/>
      <c r="X961" s="3"/>
    </row>
    <row r="962" spans="1:24" s="4" customFormat="1" ht="39.950000000000003" hidden="1" customHeight="1" x14ac:dyDescent="0.15">
      <c r="A962" s="2081">
        <f ca="1">+Orçamento_Não_Deson!A962</f>
        <v>12</v>
      </c>
      <c r="B962" s="834" t="str">
        <f>+Orçamento_Não_Deson!B962</f>
        <v>PIU0010</v>
      </c>
      <c r="C962" s="2" t="str">
        <f>VLOOKUP($B962,[5]BOLETIM_SEL!$A:$H,2,0)</f>
        <v>COMPOSIÇÃO</v>
      </c>
      <c r="D962" s="315" t="str">
        <f>VLOOKUP($B962,[5]BOLETIM_SEL!$A:$H,4,0)</f>
        <v>Elaboração de projeto estrutural de estabilização de taludes através de muro em concreto armado e/ou cortina atirantada. Exclusive serviços topográficos e geotécnicos</v>
      </c>
      <c r="E962" s="2">
        <f>+Orçamento_Não_Deson!E962</f>
        <v>0</v>
      </c>
      <c r="F962" s="2" t="str">
        <f>VLOOKUP($B962,[5]BOLETIM_SEL!$A:$H,6,0)</f>
        <v>m²</v>
      </c>
      <c r="G962" s="1407">
        <f>VLOOKUP($B962,[5]BOLETIM_SEL!$A:$H,7,0)</f>
        <v>38.53</v>
      </c>
      <c r="H962" s="1613">
        <f>+Orçamento_Não_Deson!H962</f>
        <v>0</v>
      </c>
      <c r="I962" s="132">
        <f t="shared" si="175"/>
        <v>48.83</v>
      </c>
      <c r="J962" s="1612">
        <f t="shared" si="176"/>
        <v>0</v>
      </c>
      <c r="K962" s="2078">
        <f t="shared" ca="1" si="173"/>
        <v>0</v>
      </c>
      <c r="L962" s="1574" t="e">
        <f t="shared" si="174"/>
        <v>#DIV/0!</v>
      </c>
      <c r="M962" s="1833"/>
      <c r="N962" s="3"/>
      <c r="O962" s="3"/>
      <c r="Q962" s="3"/>
      <c r="R962" s="3"/>
      <c r="S962" s="3"/>
      <c r="T962" s="3"/>
      <c r="U962" s="3"/>
      <c r="V962" s="3"/>
      <c r="W962" s="3"/>
      <c r="X962" s="3"/>
    </row>
    <row r="963" spans="1:24" s="4" customFormat="1" ht="39.950000000000003" hidden="1" customHeight="1" x14ac:dyDescent="0.15">
      <c r="A963" s="2081">
        <f ca="1">+Orçamento_Não_Deson!A963</f>
        <v>12</v>
      </c>
      <c r="B963" s="834" t="str">
        <f>+Orçamento_Não_Deson!B963</f>
        <v>ORINF</v>
      </c>
      <c r="C963" s="2" t="str">
        <f>VLOOKUP($B963,[5]BOLETIM_SEL!$A:$H,2,0)</f>
        <v>COMPOSIÇÃO</v>
      </c>
      <c r="D963" s="315" t="str">
        <f>VLOOKUP($B963,[5]BOLETIM_SEL!$A:$H,4,0)</f>
        <v>Orçamento de obras, cronograma, composições, cotações e plano de execução das obras</v>
      </c>
      <c r="E963" s="2">
        <f>+Orçamento_Não_Deson!E963</f>
        <v>0</v>
      </c>
      <c r="F963" s="2" t="str">
        <f>VLOOKUP($B963,[5]BOLETIM_SEL!$A:$H,6,0)</f>
        <v>km</v>
      </c>
      <c r="G963" s="1407">
        <f>VLOOKUP($B963,[5]BOLETIM_SEL!$A:$H,7,0)</f>
        <v>1267.1500000000001</v>
      </c>
      <c r="H963" s="1613">
        <f>+Orçamento_Não_Deson!H963</f>
        <v>0</v>
      </c>
      <c r="I963" s="132">
        <f t="shared" ref="I963:I964" si="177">+TRUNC(G963*(1+$J$5),2)</f>
        <v>1605.98</v>
      </c>
      <c r="J963" s="1612">
        <f t="shared" ref="J963:J964" si="178">TRUNC(H963*I963,2)</f>
        <v>0</v>
      </c>
      <c r="K963" s="2078">
        <f t="shared" ref="K963:K964" ca="1" si="179">+J963/J$967</f>
        <v>0</v>
      </c>
      <c r="L963" s="1574" t="e">
        <f t="shared" ref="L963:L964" si="180">+J963/J$928</f>
        <v>#DIV/0!</v>
      </c>
      <c r="M963" s="1833"/>
      <c r="N963" s="3"/>
      <c r="O963" s="3"/>
      <c r="Q963" s="3"/>
      <c r="R963" s="3"/>
      <c r="S963" s="3"/>
      <c r="T963" s="3"/>
      <c r="U963" s="3"/>
      <c r="V963" s="3"/>
      <c r="W963" s="3"/>
      <c r="X963" s="3"/>
    </row>
    <row r="964" spans="1:24" s="4" customFormat="1" ht="39.950000000000003" hidden="1" customHeight="1" x14ac:dyDescent="0.15">
      <c r="A964" s="2081">
        <f ca="1">+Orçamento_Não_Deson!A964</f>
        <v>12</v>
      </c>
      <c r="B964" s="834" t="str">
        <f>+Orçamento_Não_Deson!B964</f>
        <v>LI-AMB</v>
      </c>
      <c r="C964" s="2" t="str">
        <f>VLOOKUP($B964,[5]BOLETIM_SEL!$A:$H,2,0)</f>
        <v>COMPOSIÇÃO</v>
      </c>
      <c r="D964" s="315" t="str">
        <f>VLOOKUP($B964,[5]BOLETIM_SEL!$A:$H,4,0)</f>
        <v>Licenciamento Ambiental para projeto de lançamento de drenagem de águas pluviais</v>
      </c>
      <c r="E964" s="2">
        <f>+Orçamento_Não_Deson!E964</f>
        <v>0</v>
      </c>
      <c r="F964" s="2" t="str">
        <f>VLOOKUP($B964,[5]BOLETIM_SEL!$A:$H,6,0)</f>
        <v xml:space="preserve">un </v>
      </c>
      <c r="G964" s="1407">
        <f>VLOOKUP($B964,[5]BOLETIM_SEL!$A:$H,7,0)</f>
        <v>25624.13</v>
      </c>
      <c r="H964" s="1613">
        <f>+Orçamento_Não_Deson!H964</f>
        <v>0</v>
      </c>
      <c r="I964" s="132">
        <f t="shared" si="177"/>
        <v>32476.02</v>
      </c>
      <c r="J964" s="1612">
        <f t="shared" si="178"/>
        <v>0</v>
      </c>
      <c r="K964" s="2078">
        <f t="shared" ca="1" si="179"/>
        <v>0</v>
      </c>
      <c r="L964" s="1574" t="e">
        <f t="shared" si="180"/>
        <v>#DIV/0!</v>
      </c>
      <c r="M964" s="1833"/>
      <c r="N964" s="3"/>
      <c r="O964" s="3"/>
      <c r="Q964" s="3"/>
      <c r="R964" s="3"/>
      <c r="S964" s="3"/>
      <c r="T964" s="3"/>
      <c r="U964" s="3"/>
      <c r="V964" s="3"/>
      <c r="W964" s="3"/>
      <c r="X964" s="3"/>
    </row>
    <row r="965" spans="1:24" s="4" customFormat="1" ht="39.950000000000003" hidden="1" customHeight="1" x14ac:dyDescent="0.15">
      <c r="A965" s="2081">
        <f ca="1">+Orçamento_Não_Deson!A965</f>
        <v>12</v>
      </c>
      <c r="B965" s="834" t="str">
        <f>+Orçamento_Não_Deson!B965</f>
        <v>PIU0013</v>
      </c>
      <c r="C965" s="2" t="str">
        <f>VLOOKUP($B965,[5]BOLETIM_SEL!$A:$H,2,0)</f>
        <v>COMPOSIÇÃO</v>
      </c>
      <c r="D965" s="315" t="str">
        <f>VLOOKUP($B965,[5]BOLETIM_SEL!$A:$H,4,0)</f>
        <v>Elaboração de estudos e projetos executivo de adequação de capacidade hidráulica e estrutural de bueiro rodoviário. Exclusive serviços topográficos e geotécnicos</v>
      </c>
      <c r="E965" s="2">
        <f>+Orçamento_Não_Deson!E965</f>
        <v>0</v>
      </c>
      <c r="F965" s="2" t="str">
        <f>VLOOKUP($B965,[5]BOLETIM_SEL!$A:$H,6,0)</f>
        <v xml:space="preserve">un </v>
      </c>
      <c r="G965" s="1407">
        <f>VLOOKUP($B965,[5]BOLETIM_SEL!$A:$H,7,0)</f>
        <v>6505.18</v>
      </c>
      <c r="H965" s="1613">
        <f>+Orçamento_Não_Deson!H965</f>
        <v>0</v>
      </c>
      <c r="I965" s="132">
        <f t="shared" si="175"/>
        <v>8244.66</v>
      </c>
      <c r="J965" s="1612">
        <f t="shared" si="176"/>
        <v>0</v>
      </c>
      <c r="K965" s="2078">
        <f t="shared" ca="1" si="173"/>
        <v>0</v>
      </c>
      <c r="L965" s="1574" t="e">
        <f t="shared" si="174"/>
        <v>#DIV/0!</v>
      </c>
      <c r="M965" s="1833"/>
      <c r="N965" s="3"/>
      <c r="O965" s="3"/>
      <c r="Q965" s="3"/>
      <c r="R965" s="3"/>
      <c r="S965" s="3"/>
      <c r="T965" s="3"/>
      <c r="U965" s="3"/>
      <c r="V965" s="3"/>
      <c r="W965" s="3"/>
      <c r="X965" s="3"/>
    </row>
    <row r="966" spans="1:24" s="813" customFormat="1" ht="24.95" hidden="1" customHeight="1" x14ac:dyDescent="0.15">
      <c r="A966" s="2081"/>
      <c r="B966" s="834"/>
      <c r="C966" s="834"/>
      <c r="D966" s="835"/>
      <c r="E966" s="2"/>
      <c r="F966" s="834"/>
      <c r="G966" s="2"/>
      <c r="H966" s="837"/>
      <c r="I966" s="838"/>
      <c r="J966" s="839">
        <f>+IF(J928=0,0,"")</f>
        <v>0</v>
      </c>
      <c r="K966" s="2078"/>
      <c r="L966" s="1619"/>
      <c r="M966" s="833"/>
      <c r="N966" s="833"/>
      <c r="O966" s="833"/>
      <c r="Q966" s="833"/>
      <c r="R966" s="833"/>
      <c r="S966" s="833"/>
      <c r="T966" s="833"/>
      <c r="U966" s="833"/>
      <c r="V966" s="833"/>
      <c r="W966" s="833"/>
      <c r="X966" s="833"/>
    </row>
    <row r="967" spans="1:24" s="833" customFormat="1" ht="24.95" customHeight="1" x14ac:dyDescent="0.15">
      <c r="A967" s="1643"/>
      <c r="B967" s="1644"/>
      <c r="C967" s="1644"/>
      <c r="D967" s="1645"/>
      <c r="E967" s="1832"/>
      <c r="F967" s="1646"/>
      <c r="G967" s="1814"/>
      <c r="H967" s="1647"/>
      <c r="I967" s="1648" t="s">
        <v>37</v>
      </c>
      <c r="J967" s="1649">
        <f ca="1">SUM(J35:J966)/2</f>
        <v>13731837.840000002</v>
      </c>
      <c r="K967" s="1650">
        <f ca="1">+J967/J$967</f>
        <v>1</v>
      </c>
    </row>
    <row r="968" spans="1:24" s="844" customFormat="1" ht="24.95" customHeight="1" x14ac:dyDescent="0.15">
      <c r="A968" s="845"/>
      <c r="B968" s="845"/>
      <c r="C968" s="846"/>
      <c r="D968" s="845"/>
      <c r="E968" s="325"/>
      <c r="F968" s="845"/>
      <c r="G968" s="1815"/>
      <c r="H968" s="845"/>
      <c r="I968" s="845"/>
      <c r="J968" s="845"/>
      <c r="K968" s="1617"/>
      <c r="O968" s="833"/>
      <c r="Q968" s="833"/>
      <c r="R968" s="833"/>
      <c r="S968" s="833"/>
      <c r="T968" s="833"/>
      <c r="U968" s="833"/>
      <c r="V968" s="833"/>
      <c r="W968" s="833"/>
      <c r="X968" s="833"/>
    </row>
    <row r="969" spans="1:24" x14ac:dyDescent="0.15">
      <c r="E969" s="325"/>
      <c r="G969" s="1815"/>
    </row>
    <row r="970" spans="1:24" x14ac:dyDescent="0.15">
      <c r="E970" s="325"/>
      <c r="G970" s="1815"/>
    </row>
    <row r="971" spans="1:24" x14ac:dyDescent="0.15">
      <c r="E971" s="325"/>
      <c r="G971" s="1815"/>
    </row>
    <row r="972" spans="1:24" x14ac:dyDescent="0.15">
      <c r="E972" s="325"/>
      <c r="G972" s="1815"/>
    </row>
    <row r="973" spans="1:24" x14ac:dyDescent="0.15">
      <c r="E973" s="325"/>
      <c r="G973" s="1815"/>
    </row>
    <row r="974" spans="1:24" x14ac:dyDescent="0.15">
      <c r="E974" s="325"/>
      <c r="G974" s="1815"/>
    </row>
    <row r="975" spans="1:24" x14ac:dyDescent="0.15">
      <c r="E975" s="325"/>
      <c r="G975" s="1815"/>
    </row>
    <row r="976" spans="1:24" x14ac:dyDescent="0.15">
      <c r="E976" s="325"/>
      <c r="G976" s="1815"/>
    </row>
    <row r="977" spans="5:24" x14ac:dyDescent="0.15">
      <c r="E977" s="325"/>
      <c r="G977" s="1815"/>
    </row>
    <row r="978" spans="5:24" x14ac:dyDescent="0.15">
      <c r="E978" s="325"/>
      <c r="G978" s="1815"/>
    </row>
    <row r="979" spans="5:24" x14ac:dyDescent="0.15">
      <c r="E979" s="325"/>
      <c r="G979" s="1815"/>
    </row>
    <row r="980" spans="5:24" x14ac:dyDescent="0.15">
      <c r="E980" s="325"/>
      <c r="G980" s="1815"/>
    </row>
    <row r="981" spans="5:24" x14ac:dyDescent="0.15">
      <c r="E981" s="325"/>
    </row>
    <row r="982" spans="5:24" x14ac:dyDescent="0.15">
      <c r="E982" s="325"/>
    </row>
    <row r="983" spans="5:24" x14ac:dyDescent="0.15">
      <c r="E983" s="325"/>
    </row>
    <row r="984" spans="5:24" x14ac:dyDescent="0.15">
      <c r="E984" s="325"/>
    </row>
    <row r="985" spans="5:24" x14ac:dyDescent="0.15">
      <c r="E985" s="325"/>
    </row>
    <row r="986" spans="5:24" x14ac:dyDescent="0.15">
      <c r="E986" s="325"/>
    </row>
    <row r="987" spans="5:24" x14ac:dyDescent="0.15">
      <c r="E987" s="325"/>
    </row>
    <row r="988" spans="5:24" x14ac:dyDescent="0.15">
      <c r="E988" s="325"/>
      <c r="G988" s="845"/>
      <c r="O988" s="833"/>
      <c r="Q988" s="833"/>
      <c r="R988" s="833"/>
      <c r="S988" s="833"/>
      <c r="T988" s="833"/>
      <c r="U988" s="833"/>
      <c r="V988" s="833"/>
      <c r="W988" s="833"/>
      <c r="X988" s="833"/>
    </row>
    <row r="989" spans="5:24" x14ac:dyDescent="0.15">
      <c r="E989" s="325"/>
      <c r="G989" s="845"/>
      <c r="I989" s="197"/>
      <c r="J989" s="903"/>
      <c r="O989" s="833"/>
      <c r="Q989" s="833"/>
      <c r="R989" s="833"/>
      <c r="S989" s="833"/>
      <c r="T989" s="833"/>
      <c r="U989" s="833"/>
      <c r="V989" s="833"/>
      <c r="W989" s="833"/>
      <c r="X989" s="833"/>
    </row>
    <row r="990" spans="5:24" x14ac:dyDescent="0.15">
      <c r="E990" s="325"/>
      <c r="G990" s="845"/>
      <c r="I990" s="197"/>
      <c r="J990" s="903"/>
      <c r="O990" s="833"/>
      <c r="Q990" s="833"/>
      <c r="R990" s="833"/>
      <c r="S990" s="833"/>
      <c r="T990" s="833"/>
      <c r="U990" s="833"/>
      <c r="V990" s="833"/>
      <c r="W990" s="833"/>
      <c r="X990" s="833"/>
    </row>
    <row r="991" spans="5:24" x14ac:dyDescent="0.15">
      <c r="E991" s="325"/>
      <c r="G991" s="845"/>
      <c r="O991" s="833"/>
      <c r="Q991" s="833"/>
      <c r="R991" s="833"/>
      <c r="S991" s="833"/>
      <c r="T991" s="833"/>
      <c r="U991" s="833"/>
      <c r="V991" s="833"/>
      <c r="W991" s="833"/>
      <c r="X991" s="833"/>
    </row>
    <row r="992" spans="5:24" x14ac:dyDescent="0.15">
      <c r="E992" s="325"/>
      <c r="G992" s="845"/>
      <c r="O992" s="833"/>
      <c r="Q992" s="833"/>
      <c r="R992" s="833"/>
      <c r="S992" s="833"/>
      <c r="T992" s="833"/>
      <c r="U992" s="833"/>
      <c r="V992" s="833"/>
      <c r="W992" s="833"/>
      <c r="X992" s="833"/>
    </row>
    <row r="993" spans="5:5" x14ac:dyDescent="0.15">
      <c r="E993" s="325"/>
    </row>
    <row r="994" spans="5:5" x14ac:dyDescent="0.15">
      <c r="E994" s="325"/>
    </row>
    <row r="995" spans="5:5" x14ac:dyDescent="0.15">
      <c r="E995" s="325"/>
    </row>
    <row r="996" spans="5:5" x14ac:dyDescent="0.15">
      <c r="E996" s="325"/>
    </row>
    <row r="997" spans="5:5" x14ac:dyDescent="0.15">
      <c r="E997" s="325"/>
    </row>
    <row r="998" spans="5:5" x14ac:dyDescent="0.15">
      <c r="E998" s="325"/>
    </row>
    <row r="999" spans="5:5" x14ac:dyDescent="0.15">
      <c r="E999" s="325"/>
    </row>
    <row r="1000" spans="5:5" x14ac:dyDescent="0.15">
      <c r="E1000" s="325"/>
    </row>
    <row r="1001" spans="5:5" x14ac:dyDescent="0.15">
      <c r="E1001" s="325"/>
    </row>
    <row r="1002" spans="5:5" x14ac:dyDescent="0.15">
      <c r="E1002" s="325"/>
    </row>
    <row r="1003" spans="5:5" x14ac:dyDescent="0.15">
      <c r="E1003" s="325"/>
    </row>
    <row r="1004" spans="5:5" x14ac:dyDescent="0.15">
      <c r="E1004" s="325"/>
    </row>
    <row r="1005" spans="5:5" x14ac:dyDescent="0.15">
      <c r="E1005" s="325"/>
    </row>
    <row r="1006" spans="5:5" x14ac:dyDescent="0.15">
      <c r="E1006" s="325"/>
    </row>
    <row r="1007" spans="5:5" x14ac:dyDescent="0.15">
      <c r="E1007" s="325"/>
    </row>
    <row r="1008" spans="5:5" x14ac:dyDescent="0.15">
      <c r="E1008" s="325"/>
    </row>
    <row r="1009" spans="5:5" x14ac:dyDescent="0.15">
      <c r="E1009" s="325"/>
    </row>
    <row r="1010" spans="5:5" x14ac:dyDescent="0.15">
      <c r="E1010" s="325"/>
    </row>
    <row r="1011" spans="5:5" x14ac:dyDescent="0.15">
      <c r="E1011" s="325"/>
    </row>
    <row r="1012" spans="5:5" x14ac:dyDescent="0.15">
      <c r="E1012" s="325"/>
    </row>
    <row r="1013" spans="5:5" x14ac:dyDescent="0.15">
      <c r="E1013" s="325"/>
    </row>
    <row r="1014" spans="5:5" x14ac:dyDescent="0.15">
      <c r="E1014" s="325"/>
    </row>
    <row r="1015" spans="5:5" x14ac:dyDescent="0.15">
      <c r="E1015" s="325"/>
    </row>
    <row r="1016" spans="5:5" x14ac:dyDescent="0.15">
      <c r="E1016" s="325"/>
    </row>
    <row r="1017" spans="5:5" x14ac:dyDescent="0.15">
      <c r="E1017" s="325"/>
    </row>
    <row r="1018" spans="5:5" x14ac:dyDescent="0.15">
      <c r="E1018" s="325"/>
    </row>
    <row r="1019" spans="5:5" x14ac:dyDescent="0.15">
      <c r="E1019" s="325"/>
    </row>
    <row r="1020" spans="5:5" x14ac:dyDescent="0.15">
      <c r="E1020" s="325"/>
    </row>
    <row r="1021" spans="5:5" x14ac:dyDescent="0.15">
      <c r="E1021" s="325"/>
    </row>
    <row r="1022" spans="5:5" x14ac:dyDescent="0.15">
      <c r="E1022" s="325"/>
    </row>
    <row r="1023" spans="5:5" x14ac:dyDescent="0.15">
      <c r="E1023" s="325"/>
    </row>
    <row r="1024" spans="5:5" x14ac:dyDescent="0.15">
      <c r="E1024" s="325"/>
    </row>
    <row r="1025" spans="5:5" x14ac:dyDescent="0.15">
      <c r="E1025" s="325"/>
    </row>
    <row r="1026" spans="5:5" x14ac:dyDescent="0.15">
      <c r="E1026" s="325"/>
    </row>
    <row r="1027" spans="5:5" x14ac:dyDescent="0.15">
      <c r="E1027" s="325"/>
    </row>
    <row r="1028" spans="5:5" x14ac:dyDescent="0.15">
      <c r="E1028" s="325"/>
    </row>
    <row r="1029" spans="5:5" x14ac:dyDescent="0.15">
      <c r="E1029" s="325"/>
    </row>
    <row r="1030" spans="5:5" x14ac:dyDescent="0.15">
      <c r="E1030" s="325"/>
    </row>
    <row r="1031" spans="5:5" x14ac:dyDescent="0.15">
      <c r="E1031" s="325"/>
    </row>
    <row r="1032" spans="5:5" x14ac:dyDescent="0.15">
      <c r="E1032" s="325"/>
    </row>
    <row r="1033" spans="5:5" x14ac:dyDescent="0.15">
      <c r="E1033" s="325"/>
    </row>
    <row r="1034" spans="5:5" x14ac:dyDescent="0.15">
      <c r="E1034" s="325"/>
    </row>
    <row r="1035" spans="5:5" x14ac:dyDescent="0.15">
      <c r="E1035" s="325"/>
    </row>
    <row r="1036" spans="5:5" x14ac:dyDescent="0.15">
      <c r="E1036" s="325"/>
    </row>
    <row r="1037" spans="5:5" x14ac:dyDescent="0.15">
      <c r="E1037" s="325"/>
    </row>
    <row r="1038" spans="5:5" x14ac:dyDescent="0.15">
      <c r="E1038" s="325"/>
    </row>
    <row r="1039" spans="5:5" x14ac:dyDescent="0.15">
      <c r="E1039" s="325"/>
    </row>
    <row r="1040" spans="5:5" x14ac:dyDescent="0.15">
      <c r="E1040" s="325"/>
    </row>
    <row r="1041" spans="5:5" x14ac:dyDescent="0.15">
      <c r="E1041" s="325"/>
    </row>
    <row r="1042" spans="5:5" x14ac:dyDescent="0.15">
      <c r="E1042" s="325"/>
    </row>
    <row r="1043" spans="5:5" x14ac:dyDescent="0.15">
      <c r="E1043" s="325"/>
    </row>
    <row r="1044" spans="5:5" x14ac:dyDescent="0.15">
      <c r="E1044" s="325"/>
    </row>
    <row r="1045" spans="5:5" x14ac:dyDescent="0.15">
      <c r="E1045" s="325"/>
    </row>
    <row r="1046" spans="5:5" x14ac:dyDescent="0.15">
      <c r="E1046" s="325"/>
    </row>
    <row r="1047" spans="5:5" x14ac:dyDescent="0.15">
      <c r="E1047" s="325"/>
    </row>
    <row r="1048" spans="5:5" x14ac:dyDescent="0.15">
      <c r="E1048" s="325"/>
    </row>
    <row r="1049" spans="5:5" x14ac:dyDescent="0.15">
      <c r="E1049" s="325"/>
    </row>
    <row r="1050" spans="5:5" x14ac:dyDescent="0.15">
      <c r="E1050" s="325"/>
    </row>
    <row r="1051" spans="5:5" x14ac:dyDescent="0.15">
      <c r="E1051" s="325"/>
    </row>
    <row r="1052" spans="5:5" x14ac:dyDescent="0.15">
      <c r="E1052" s="325"/>
    </row>
    <row r="1053" spans="5:5" x14ac:dyDescent="0.15">
      <c r="E1053" s="325"/>
    </row>
    <row r="1054" spans="5:5" x14ac:dyDescent="0.15">
      <c r="E1054" s="325"/>
    </row>
    <row r="1055" spans="5:5" x14ac:dyDescent="0.15">
      <c r="E1055" s="325"/>
    </row>
    <row r="1056" spans="5:5" x14ac:dyDescent="0.15">
      <c r="E1056" s="325"/>
    </row>
    <row r="1057" spans="5:5" x14ac:dyDescent="0.15">
      <c r="E1057" s="325"/>
    </row>
    <row r="1058" spans="5:5" x14ac:dyDescent="0.15">
      <c r="E1058" s="325"/>
    </row>
    <row r="1059" spans="5:5" x14ac:dyDescent="0.15">
      <c r="E1059" s="325"/>
    </row>
    <row r="1060" spans="5:5" x14ac:dyDescent="0.15">
      <c r="E1060" s="325"/>
    </row>
    <row r="1061" spans="5:5" x14ac:dyDescent="0.15">
      <c r="E1061" s="325"/>
    </row>
    <row r="1062" spans="5:5" x14ac:dyDescent="0.15">
      <c r="E1062" s="325"/>
    </row>
    <row r="1063" spans="5:5" x14ac:dyDescent="0.15">
      <c r="E1063" s="325"/>
    </row>
    <row r="1064" spans="5:5" x14ac:dyDescent="0.15">
      <c r="E1064" s="325"/>
    </row>
    <row r="1065" spans="5:5" x14ac:dyDescent="0.15">
      <c r="E1065" s="325"/>
    </row>
    <row r="1066" spans="5:5" x14ac:dyDescent="0.15">
      <c r="E1066" s="325"/>
    </row>
    <row r="1067" spans="5:5" x14ac:dyDescent="0.15">
      <c r="E1067" s="325"/>
    </row>
    <row r="1068" spans="5:5" x14ac:dyDescent="0.15">
      <c r="E1068" s="325"/>
    </row>
    <row r="1069" spans="5:5" x14ac:dyDescent="0.15">
      <c r="E1069" s="325"/>
    </row>
    <row r="1070" spans="5:5" x14ac:dyDescent="0.15">
      <c r="E1070" s="325"/>
    </row>
    <row r="1071" spans="5:5" x14ac:dyDescent="0.15">
      <c r="E1071" s="325"/>
    </row>
    <row r="1072" spans="5:5" x14ac:dyDescent="0.15">
      <c r="E1072" s="325"/>
    </row>
    <row r="1073" spans="5:5" x14ac:dyDescent="0.15">
      <c r="E1073" s="325"/>
    </row>
    <row r="1074" spans="5:5" x14ac:dyDescent="0.15">
      <c r="E1074" s="325"/>
    </row>
    <row r="1075" spans="5:5" x14ac:dyDescent="0.15">
      <c r="E1075" s="325"/>
    </row>
    <row r="1076" spans="5:5" x14ac:dyDescent="0.15">
      <c r="E1076" s="325"/>
    </row>
    <row r="1077" spans="5:5" x14ac:dyDescent="0.15">
      <c r="E1077" s="325"/>
    </row>
    <row r="1078" spans="5:5" x14ac:dyDescent="0.15">
      <c r="E1078" s="325"/>
    </row>
    <row r="1079" spans="5:5" x14ac:dyDescent="0.15">
      <c r="E1079" s="325"/>
    </row>
    <row r="1080" spans="5:5" x14ac:dyDescent="0.15">
      <c r="E1080" s="325"/>
    </row>
    <row r="1081" spans="5:5" x14ac:dyDescent="0.15">
      <c r="E1081" s="325"/>
    </row>
    <row r="1082" spans="5:5" x14ac:dyDescent="0.15">
      <c r="E1082" s="325"/>
    </row>
    <row r="1083" spans="5:5" x14ac:dyDescent="0.15">
      <c r="E1083" s="325"/>
    </row>
    <row r="1084" spans="5:5" x14ac:dyDescent="0.15">
      <c r="E1084" s="325"/>
    </row>
    <row r="1085" spans="5:5" x14ac:dyDescent="0.15">
      <c r="E1085" s="325"/>
    </row>
    <row r="1086" spans="5:5" x14ac:dyDescent="0.15">
      <c r="E1086" s="325"/>
    </row>
    <row r="1087" spans="5:5" x14ac:dyDescent="0.15">
      <c r="E1087" s="325"/>
    </row>
    <row r="1088" spans="5:5" x14ac:dyDescent="0.15">
      <c r="E1088" s="325"/>
    </row>
    <row r="1089" spans="5:5" x14ac:dyDescent="0.15">
      <c r="E1089" s="325"/>
    </row>
    <row r="1090" spans="5:5" x14ac:dyDescent="0.15">
      <c r="E1090" s="325"/>
    </row>
    <row r="1091" spans="5:5" x14ac:dyDescent="0.15">
      <c r="E1091" s="325"/>
    </row>
    <row r="1092" spans="5:5" x14ac:dyDescent="0.15">
      <c r="E1092" s="325"/>
    </row>
    <row r="1093" spans="5:5" x14ac:dyDescent="0.15">
      <c r="E1093" s="325"/>
    </row>
    <row r="1094" spans="5:5" x14ac:dyDescent="0.15">
      <c r="E1094" s="325"/>
    </row>
    <row r="1095" spans="5:5" x14ac:dyDescent="0.15">
      <c r="E1095" s="325"/>
    </row>
    <row r="1096" spans="5:5" x14ac:dyDescent="0.15">
      <c r="E1096" s="325"/>
    </row>
    <row r="1097" spans="5:5" x14ac:dyDescent="0.15">
      <c r="E1097" s="325"/>
    </row>
    <row r="1098" spans="5:5" x14ac:dyDescent="0.15">
      <c r="E1098" s="325"/>
    </row>
    <row r="1099" spans="5:5" x14ac:dyDescent="0.15">
      <c r="E1099" s="325"/>
    </row>
    <row r="1100" spans="5:5" x14ac:dyDescent="0.15">
      <c r="E1100" s="325"/>
    </row>
    <row r="1101" spans="5:5" x14ac:dyDescent="0.15">
      <c r="E1101" s="325"/>
    </row>
    <row r="1102" spans="5:5" x14ac:dyDescent="0.15">
      <c r="E1102" s="325"/>
    </row>
    <row r="1103" spans="5:5" x14ac:dyDescent="0.15">
      <c r="E1103" s="325"/>
    </row>
    <row r="1104" spans="5:5" x14ac:dyDescent="0.15">
      <c r="E1104" s="325"/>
    </row>
    <row r="1105" spans="5:5" x14ac:dyDescent="0.15">
      <c r="E1105" s="325"/>
    </row>
    <row r="1106" spans="5:5" x14ac:dyDescent="0.15">
      <c r="E1106" s="325"/>
    </row>
    <row r="1107" spans="5:5" x14ac:dyDescent="0.15">
      <c r="E1107" s="325"/>
    </row>
    <row r="1108" spans="5:5" x14ac:dyDescent="0.15">
      <c r="E1108" s="325"/>
    </row>
    <row r="1109" spans="5:5" x14ac:dyDescent="0.15">
      <c r="E1109" s="325"/>
    </row>
    <row r="1110" spans="5:5" x14ac:dyDescent="0.15">
      <c r="E1110" s="325"/>
    </row>
    <row r="1111" spans="5:5" x14ac:dyDescent="0.15">
      <c r="E1111" s="325"/>
    </row>
    <row r="1112" spans="5:5" x14ac:dyDescent="0.15">
      <c r="E1112" s="325"/>
    </row>
    <row r="1113" spans="5:5" x14ac:dyDescent="0.15">
      <c r="E1113" s="325"/>
    </row>
    <row r="1114" spans="5:5" x14ac:dyDescent="0.15">
      <c r="E1114" s="325"/>
    </row>
    <row r="1115" spans="5:5" x14ac:dyDescent="0.15">
      <c r="E1115" s="325"/>
    </row>
    <row r="1116" spans="5:5" x14ac:dyDescent="0.15">
      <c r="E1116" s="325"/>
    </row>
    <row r="1117" spans="5:5" x14ac:dyDescent="0.15">
      <c r="E1117" s="325"/>
    </row>
    <row r="1118" spans="5:5" x14ac:dyDescent="0.15">
      <c r="E1118" s="325"/>
    </row>
    <row r="1119" spans="5:5" x14ac:dyDescent="0.15">
      <c r="E1119" s="325"/>
    </row>
    <row r="1120" spans="5:5" x14ac:dyDescent="0.15">
      <c r="E1120" s="325"/>
    </row>
    <row r="1121" spans="5:5" x14ac:dyDescent="0.15">
      <c r="E1121" s="325"/>
    </row>
    <row r="1122" spans="5:5" x14ac:dyDescent="0.15">
      <c r="E1122" s="325"/>
    </row>
    <row r="1123" spans="5:5" x14ac:dyDescent="0.15">
      <c r="E1123" s="325"/>
    </row>
    <row r="1124" spans="5:5" x14ac:dyDescent="0.15">
      <c r="E1124" s="325"/>
    </row>
    <row r="1125" spans="5:5" x14ac:dyDescent="0.15">
      <c r="E1125" s="325"/>
    </row>
    <row r="1126" spans="5:5" x14ac:dyDescent="0.15">
      <c r="E1126" s="325"/>
    </row>
    <row r="1127" spans="5:5" x14ac:dyDescent="0.15">
      <c r="E1127" s="325"/>
    </row>
    <row r="1128" spans="5:5" x14ac:dyDescent="0.15">
      <c r="E1128" s="325"/>
    </row>
    <row r="1129" spans="5:5" x14ac:dyDescent="0.15">
      <c r="E1129" s="325"/>
    </row>
    <row r="1130" spans="5:5" x14ac:dyDescent="0.15">
      <c r="E1130" s="325"/>
    </row>
    <row r="1131" spans="5:5" x14ac:dyDescent="0.15">
      <c r="E1131" s="325"/>
    </row>
    <row r="1132" spans="5:5" x14ac:dyDescent="0.15">
      <c r="E1132" s="325"/>
    </row>
    <row r="1133" spans="5:5" x14ac:dyDescent="0.15">
      <c r="E1133" s="325"/>
    </row>
    <row r="1134" spans="5:5" x14ac:dyDescent="0.15">
      <c r="E1134" s="325"/>
    </row>
    <row r="1135" spans="5:5" x14ac:dyDescent="0.15">
      <c r="E1135" s="325"/>
    </row>
    <row r="1136" spans="5:5" x14ac:dyDescent="0.15">
      <c r="E1136" s="325"/>
    </row>
    <row r="1137" spans="5:5" x14ac:dyDescent="0.15">
      <c r="E1137" s="325"/>
    </row>
    <row r="1138" spans="5:5" x14ac:dyDescent="0.15">
      <c r="E1138" s="325"/>
    </row>
    <row r="1139" spans="5:5" x14ac:dyDescent="0.15">
      <c r="E1139" s="325"/>
    </row>
    <row r="1140" spans="5:5" x14ac:dyDescent="0.15">
      <c r="E1140" s="325"/>
    </row>
    <row r="1141" spans="5:5" x14ac:dyDescent="0.15">
      <c r="E1141" s="325"/>
    </row>
    <row r="1142" spans="5:5" x14ac:dyDescent="0.15">
      <c r="E1142" s="325"/>
    </row>
    <row r="1143" spans="5:5" x14ac:dyDescent="0.15">
      <c r="E1143" s="325"/>
    </row>
    <row r="1144" spans="5:5" x14ac:dyDescent="0.15">
      <c r="E1144" s="325"/>
    </row>
    <row r="1145" spans="5:5" x14ac:dyDescent="0.15">
      <c r="E1145" s="325"/>
    </row>
    <row r="1146" spans="5:5" x14ac:dyDescent="0.15">
      <c r="E1146" s="325"/>
    </row>
    <row r="1147" spans="5:5" x14ac:dyDescent="0.15">
      <c r="E1147" s="325"/>
    </row>
    <row r="1148" spans="5:5" x14ac:dyDescent="0.15">
      <c r="E1148" s="325"/>
    </row>
    <row r="1149" spans="5:5" x14ac:dyDescent="0.15">
      <c r="E1149" s="325"/>
    </row>
    <row r="1150" spans="5:5" x14ac:dyDescent="0.15">
      <c r="E1150" s="325"/>
    </row>
    <row r="1151" spans="5:5" x14ac:dyDescent="0.15">
      <c r="E1151" s="325"/>
    </row>
    <row r="1152" spans="5:5" x14ac:dyDescent="0.15">
      <c r="E1152" s="325"/>
    </row>
    <row r="1153" spans="5:5" x14ac:dyDescent="0.15">
      <c r="E1153" s="325"/>
    </row>
    <row r="1154" spans="5:5" x14ac:dyDescent="0.15">
      <c r="E1154" s="325"/>
    </row>
    <row r="1155" spans="5:5" x14ac:dyDescent="0.15">
      <c r="E1155" s="325"/>
    </row>
    <row r="1156" spans="5:5" x14ac:dyDescent="0.15">
      <c r="E1156" s="325"/>
    </row>
    <row r="1157" spans="5:5" x14ac:dyDescent="0.15">
      <c r="E1157" s="325"/>
    </row>
    <row r="1158" spans="5:5" x14ac:dyDescent="0.15">
      <c r="E1158" s="325"/>
    </row>
    <row r="1159" spans="5:5" x14ac:dyDescent="0.15">
      <c r="E1159" s="325"/>
    </row>
    <row r="1160" spans="5:5" x14ac:dyDescent="0.15">
      <c r="E1160" s="325"/>
    </row>
    <row r="1161" spans="5:5" x14ac:dyDescent="0.15">
      <c r="E1161" s="325"/>
    </row>
    <row r="1162" spans="5:5" x14ac:dyDescent="0.15">
      <c r="E1162" s="325"/>
    </row>
    <row r="1163" spans="5:5" x14ac:dyDescent="0.15">
      <c r="E1163" s="325"/>
    </row>
    <row r="1164" spans="5:5" x14ac:dyDescent="0.15">
      <c r="E1164" s="325"/>
    </row>
    <row r="1165" spans="5:5" x14ac:dyDescent="0.15">
      <c r="E1165" s="325"/>
    </row>
    <row r="1166" spans="5:5" x14ac:dyDescent="0.15">
      <c r="E1166" s="325"/>
    </row>
    <row r="1167" spans="5:5" x14ac:dyDescent="0.15">
      <c r="E1167" s="325"/>
    </row>
    <row r="1168" spans="5:5" x14ac:dyDescent="0.15">
      <c r="E1168" s="325"/>
    </row>
    <row r="1169" spans="5:5" x14ac:dyDescent="0.15">
      <c r="E1169" s="325"/>
    </row>
    <row r="1170" spans="5:5" x14ac:dyDescent="0.15">
      <c r="E1170" s="325"/>
    </row>
    <row r="1171" spans="5:5" x14ac:dyDescent="0.15">
      <c r="E1171" s="325"/>
    </row>
    <row r="1172" spans="5:5" x14ac:dyDescent="0.15">
      <c r="E1172" s="325"/>
    </row>
    <row r="1173" spans="5:5" x14ac:dyDescent="0.15">
      <c r="E1173" s="325"/>
    </row>
    <row r="1174" spans="5:5" x14ac:dyDescent="0.15">
      <c r="E1174" s="325"/>
    </row>
    <row r="1175" spans="5:5" x14ac:dyDescent="0.15">
      <c r="E1175" s="325"/>
    </row>
    <row r="1176" spans="5:5" x14ac:dyDescent="0.15">
      <c r="E1176" s="325"/>
    </row>
    <row r="1177" spans="5:5" x14ac:dyDescent="0.15">
      <c r="E1177" s="325"/>
    </row>
    <row r="1178" spans="5:5" x14ac:dyDescent="0.15">
      <c r="E1178" s="325"/>
    </row>
    <row r="1179" spans="5:5" x14ac:dyDescent="0.15">
      <c r="E1179" s="325"/>
    </row>
    <row r="1180" spans="5:5" x14ac:dyDescent="0.15">
      <c r="E1180" s="325"/>
    </row>
    <row r="1181" spans="5:5" x14ac:dyDescent="0.15">
      <c r="E1181" s="325"/>
    </row>
    <row r="1182" spans="5:5" x14ac:dyDescent="0.15">
      <c r="E1182" s="325"/>
    </row>
    <row r="1183" spans="5:5" x14ac:dyDescent="0.15">
      <c r="E1183" s="325"/>
    </row>
    <row r="1184" spans="5:5" x14ac:dyDescent="0.15">
      <c r="E1184" s="325"/>
    </row>
    <row r="1185" spans="5:5" x14ac:dyDescent="0.15">
      <c r="E1185" s="325"/>
    </row>
    <row r="1186" spans="5:5" x14ac:dyDescent="0.15">
      <c r="E1186" s="325"/>
    </row>
    <row r="1187" spans="5:5" x14ac:dyDescent="0.15">
      <c r="E1187" s="325"/>
    </row>
    <row r="1188" spans="5:5" x14ac:dyDescent="0.15">
      <c r="E1188" s="325"/>
    </row>
    <row r="1189" spans="5:5" x14ac:dyDescent="0.15">
      <c r="E1189" s="325"/>
    </row>
    <row r="1190" spans="5:5" x14ac:dyDescent="0.15">
      <c r="E1190" s="325"/>
    </row>
    <row r="1191" spans="5:5" x14ac:dyDescent="0.15">
      <c r="E1191" s="325"/>
    </row>
    <row r="1192" spans="5:5" x14ac:dyDescent="0.15">
      <c r="E1192" s="325"/>
    </row>
    <row r="1193" spans="5:5" x14ac:dyDescent="0.15">
      <c r="E1193" s="325"/>
    </row>
    <row r="1194" spans="5:5" x14ac:dyDescent="0.15">
      <c r="E1194" s="325"/>
    </row>
    <row r="1195" spans="5:5" x14ac:dyDescent="0.15">
      <c r="E1195" s="325"/>
    </row>
    <row r="1196" spans="5:5" x14ac:dyDescent="0.15">
      <c r="E1196" s="325"/>
    </row>
    <row r="1197" spans="5:5" x14ac:dyDescent="0.15">
      <c r="E1197" s="325"/>
    </row>
    <row r="1198" spans="5:5" x14ac:dyDescent="0.15">
      <c r="E1198" s="325"/>
    </row>
    <row r="1199" spans="5:5" x14ac:dyDescent="0.15">
      <c r="E1199" s="325"/>
    </row>
    <row r="1200" spans="5:5" x14ac:dyDescent="0.15">
      <c r="E1200" s="325"/>
    </row>
    <row r="1201" spans="5:5" x14ac:dyDescent="0.15">
      <c r="E1201" s="325"/>
    </row>
    <row r="1202" spans="5:5" x14ac:dyDescent="0.15">
      <c r="E1202" s="325"/>
    </row>
    <row r="1203" spans="5:5" x14ac:dyDescent="0.15">
      <c r="E1203" s="325"/>
    </row>
    <row r="1204" spans="5:5" x14ac:dyDescent="0.15">
      <c r="E1204" s="325"/>
    </row>
    <row r="1205" spans="5:5" x14ac:dyDescent="0.15">
      <c r="E1205" s="325"/>
    </row>
    <row r="1206" spans="5:5" x14ac:dyDescent="0.15">
      <c r="E1206" s="325"/>
    </row>
    <row r="1207" spans="5:5" x14ac:dyDescent="0.15">
      <c r="E1207" s="325"/>
    </row>
    <row r="1208" spans="5:5" x14ac:dyDescent="0.15">
      <c r="E1208" s="325"/>
    </row>
    <row r="1209" spans="5:5" x14ac:dyDescent="0.15">
      <c r="E1209" s="325"/>
    </row>
    <row r="1210" spans="5:5" x14ac:dyDescent="0.15">
      <c r="E1210" s="325"/>
    </row>
    <row r="1211" spans="5:5" x14ac:dyDescent="0.15">
      <c r="E1211" s="325"/>
    </row>
    <row r="1212" spans="5:5" x14ac:dyDescent="0.15">
      <c r="E1212" s="325"/>
    </row>
    <row r="1213" spans="5:5" x14ac:dyDescent="0.15">
      <c r="E1213" s="325"/>
    </row>
    <row r="1214" spans="5:5" x14ac:dyDescent="0.15">
      <c r="E1214" s="325"/>
    </row>
    <row r="1215" spans="5:5" x14ac:dyDescent="0.15">
      <c r="E1215" s="325"/>
    </row>
    <row r="1216" spans="5:5" x14ac:dyDescent="0.15">
      <c r="E1216" s="325"/>
    </row>
    <row r="1217" spans="5:5" x14ac:dyDescent="0.15">
      <c r="E1217" s="325"/>
    </row>
    <row r="1218" spans="5:5" x14ac:dyDescent="0.15">
      <c r="E1218" s="325"/>
    </row>
    <row r="1219" spans="5:5" x14ac:dyDescent="0.15">
      <c r="E1219" s="325"/>
    </row>
    <row r="1220" spans="5:5" x14ac:dyDescent="0.15">
      <c r="E1220" s="325"/>
    </row>
    <row r="1221" spans="5:5" x14ac:dyDescent="0.15">
      <c r="E1221" s="325"/>
    </row>
    <row r="1222" spans="5:5" x14ac:dyDescent="0.15">
      <c r="E1222" s="325"/>
    </row>
    <row r="1223" spans="5:5" x14ac:dyDescent="0.15">
      <c r="E1223" s="325"/>
    </row>
    <row r="1224" spans="5:5" x14ac:dyDescent="0.15">
      <c r="E1224" s="325"/>
    </row>
    <row r="1225" spans="5:5" x14ac:dyDescent="0.15">
      <c r="E1225" s="325"/>
    </row>
    <row r="1226" spans="5:5" x14ac:dyDescent="0.15">
      <c r="E1226" s="325"/>
    </row>
    <row r="1227" spans="5:5" x14ac:dyDescent="0.15">
      <c r="E1227" s="325"/>
    </row>
    <row r="1228" spans="5:5" x14ac:dyDescent="0.15">
      <c r="E1228" s="325"/>
    </row>
    <row r="1229" spans="5:5" x14ac:dyDescent="0.15">
      <c r="E1229" s="325"/>
    </row>
    <row r="1230" spans="5:5" x14ac:dyDescent="0.15">
      <c r="E1230" s="325"/>
    </row>
    <row r="1231" spans="5:5" x14ac:dyDescent="0.15">
      <c r="E1231" s="325"/>
    </row>
    <row r="1232" spans="5:5" x14ac:dyDescent="0.15">
      <c r="E1232" s="325"/>
    </row>
    <row r="1233" spans="5:5" x14ac:dyDescent="0.15">
      <c r="E1233" s="325"/>
    </row>
    <row r="1234" spans="5:5" x14ac:dyDescent="0.15">
      <c r="E1234" s="325"/>
    </row>
    <row r="1235" spans="5:5" x14ac:dyDescent="0.15">
      <c r="E1235" s="325"/>
    </row>
    <row r="1236" spans="5:5" x14ac:dyDescent="0.15">
      <c r="E1236" s="325"/>
    </row>
    <row r="1237" spans="5:5" x14ac:dyDescent="0.15">
      <c r="E1237" s="325"/>
    </row>
    <row r="1238" spans="5:5" x14ac:dyDescent="0.15">
      <c r="E1238" s="325"/>
    </row>
    <row r="1239" spans="5:5" x14ac:dyDescent="0.15">
      <c r="E1239" s="325"/>
    </row>
    <row r="1240" spans="5:5" x14ac:dyDescent="0.15">
      <c r="E1240" s="325"/>
    </row>
    <row r="1241" spans="5:5" x14ac:dyDescent="0.15">
      <c r="E1241" s="325"/>
    </row>
    <row r="1242" spans="5:5" x14ac:dyDescent="0.15">
      <c r="E1242" s="325"/>
    </row>
    <row r="1243" spans="5:5" x14ac:dyDescent="0.15">
      <c r="E1243" s="325"/>
    </row>
    <row r="1244" spans="5:5" x14ac:dyDescent="0.15">
      <c r="E1244" s="325"/>
    </row>
    <row r="1245" spans="5:5" x14ac:dyDescent="0.15">
      <c r="E1245" s="325"/>
    </row>
    <row r="1246" spans="5:5" x14ac:dyDescent="0.15">
      <c r="E1246" s="325"/>
    </row>
    <row r="1247" spans="5:5" x14ac:dyDescent="0.15">
      <c r="E1247" s="325"/>
    </row>
    <row r="1248" spans="5:5" x14ac:dyDescent="0.15">
      <c r="E1248" s="325"/>
    </row>
    <row r="1249" spans="5:5" x14ac:dyDescent="0.15">
      <c r="E1249" s="325"/>
    </row>
    <row r="1250" spans="5:5" x14ac:dyDescent="0.15">
      <c r="E1250" s="325"/>
    </row>
    <row r="1251" spans="5:5" x14ac:dyDescent="0.15">
      <c r="E1251" s="325"/>
    </row>
    <row r="1252" spans="5:5" x14ac:dyDescent="0.15">
      <c r="E1252" s="325"/>
    </row>
    <row r="1253" spans="5:5" x14ac:dyDescent="0.15">
      <c r="E1253" s="325"/>
    </row>
    <row r="1254" spans="5:5" x14ac:dyDescent="0.15">
      <c r="E1254" s="325"/>
    </row>
    <row r="1255" spans="5:5" x14ac:dyDescent="0.15">
      <c r="E1255" s="325"/>
    </row>
    <row r="1256" spans="5:5" x14ac:dyDescent="0.15">
      <c r="E1256" s="325"/>
    </row>
    <row r="1257" spans="5:5" x14ac:dyDescent="0.15">
      <c r="E1257" s="325"/>
    </row>
    <row r="1258" spans="5:5" x14ac:dyDescent="0.15">
      <c r="E1258" s="325"/>
    </row>
    <row r="1259" spans="5:5" x14ac:dyDescent="0.15">
      <c r="E1259" s="325"/>
    </row>
    <row r="1260" spans="5:5" x14ac:dyDescent="0.15">
      <c r="E1260" s="325"/>
    </row>
    <row r="1261" spans="5:5" x14ac:dyDescent="0.15">
      <c r="E1261" s="325"/>
    </row>
    <row r="1262" spans="5:5" x14ac:dyDescent="0.15">
      <c r="E1262" s="325"/>
    </row>
    <row r="1263" spans="5:5" x14ac:dyDescent="0.15">
      <c r="E1263" s="325"/>
    </row>
    <row r="1264" spans="5:5" x14ac:dyDescent="0.15">
      <c r="E1264" s="325"/>
    </row>
    <row r="1265" spans="5:5" x14ac:dyDescent="0.15">
      <c r="E1265" s="325"/>
    </row>
    <row r="1266" spans="5:5" x14ac:dyDescent="0.15">
      <c r="E1266" s="325"/>
    </row>
    <row r="1267" spans="5:5" x14ac:dyDescent="0.15">
      <c r="E1267" s="325"/>
    </row>
    <row r="1268" spans="5:5" x14ac:dyDescent="0.15">
      <c r="E1268" s="325"/>
    </row>
    <row r="1269" spans="5:5" x14ac:dyDescent="0.15">
      <c r="E1269" s="325"/>
    </row>
    <row r="1270" spans="5:5" x14ac:dyDescent="0.15">
      <c r="E1270" s="325"/>
    </row>
    <row r="1271" spans="5:5" x14ac:dyDescent="0.15">
      <c r="E1271" s="325"/>
    </row>
    <row r="1272" spans="5:5" x14ac:dyDescent="0.15">
      <c r="E1272" s="325"/>
    </row>
    <row r="1273" spans="5:5" x14ac:dyDescent="0.15">
      <c r="E1273" s="325"/>
    </row>
    <row r="1274" spans="5:5" x14ac:dyDescent="0.15">
      <c r="E1274" s="325"/>
    </row>
    <row r="1275" spans="5:5" x14ac:dyDescent="0.15">
      <c r="E1275" s="325"/>
    </row>
    <row r="1276" spans="5:5" x14ac:dyDescent="0.15">
      <c r="E1276" s="325"/>
    </row>
    <row r="1277" spans="5:5" x14ac:dyDescent="0.15">
      <c r="E1277" s="325"/>
    </row>
    <row r="1278" spans="5:5" x14ac:dyDescent="0.15">
      <c r="E1278" s="325"/>
    </row>
    <row r="1279" spans="5:5" x14ac:dyDescent="0.15">
      <c r="E1279" s="325"/>
    </row>
    <row r="1280" spans="5:5" x14ac:dyDescent="0.15">
      <c r="E1280" s="325"/>
    </row>
    <row r="1281" spans="5:5" x14ac:dyDescent="0.15">
      <c r="E1281" s="325"/>
    </row>
    <row r="1282" spans="5:5" x14ac:dyDescent="0.15">
      <c r="E1282" s="325"/>
    </row>
    <row r="1283" spans="5:5" x14ac:dyDescent="0.15">
      <c r="E1283" s="325"/>
    </row>
    <row r="1284" spans="5:5" x14ac:dyDescent="0.15">
      <c r="E1284" s="325"/>
    </row>
    <row r="1285" spans="5:5" x14ac:dyDescent="0.15">
      <c r="E1285" s="325"/>
    </row>
    <row r="1286" spans="5:5" x14ac:dyDescent="0.15">
      <c r="E1286" s="325"/>
    </row>
    <row r="1287" spans="5:5" x14ac:dyDescent="0.15">
      <c r="E1287" s="325"/>
    </row>
    <row r="1288" spans="5:5" x14ac:dyDescent="0.15">
      <c r="E1288" s="325"/>
    </row>
    <row r="1289" spans="5:5" x14ac:dyDescent="0.15">
      <c r="E1289" s="325"/>
    </row>
    <row r="1290" spans="5:5" x14ac:dyDescent="0.15">
      <c r="E1290" s="325"/>
    </row>
    <row r="1291" spans="5:5" x14ac:dyDescent="0.15">
      <c r="E1291" s="325"/>
    </row>
    <row r="1292" spans="5:5" x14ac:dyDescent="0.15">
      <c r="E1292" s="325"/>
    </row>
    <row r="1293" spans="5:5" x14ac:dyDescent="0.15">
      <c r="E1293" s="325"/>
    </row>
    <row r="1294" spans="5:5" x14ac:dyDescent="0.15">
      <c r="E1294" s="325"/>
    </row>
    <row r="1295" spans="5:5" x14ac:dyDescent="0.15">
      <c r="E1295" s="325"/>
    </row>
    <row r="1296" spans="5:5" x14ac:dyDescent="0.15">
      <c r="E1296" s="325"/>
    </row>
    <row r="1297" spans="5:5" x14ac:dyDescent="0.15">
      <c r="E1297" s="325"/>
    </row>
    <row r="1298" spans="5:5" x14ac:dyDescent="0.15">
      <c r="E1298" s="325"/>
    </row>
    <row r="1299" spans="5:5" x14ac:dyDescent="0.15">
      <c r="E1299" s="325"/>
    </row>
    <row r="1300" spans="5:5" x14ac:dyDescent="0.15">
      <c r="E1300" s="325"/>
    </row>
    <row r="1301" spans="5:5" x14ac:dyDescent="0.15">
      <c r="E1301" s="325"/>
    </row>
    <row r="1302" spans="5:5" x14ac:dyDescent="0.15">
      <c r="E1302" s="325"/>
    </row>
    <row r="1303" spans="5:5" x14ac:dyDescent="0.15">
      <c r="E1303" s="325"/>
    </row>
    <row r="1304" spans="5:5" x14ac:dyDescent="0.15">
      <c r="E1304" s="325"/>
    </row>
    <row r="1305" spans="5:5" x14ac:dyDescent="0.15">
      <c r="E1305" s="325"/>
    </row>
    <row r="1306" spans="5:5" x14ac:dyDescent="0.15">
      <c r="E1306" s="325"/>
    </row>
    <row r="1307" spans="5:5" x14ac:dyDescent="0.15">
      <c r="E1307" s="325"/>
    </row>
    <row r="1308" spans="5:5" x14ac:dyDescent="0.15">
      <c r="E1308" s="325"/>
    </row>
    <row r="1309" spans="5:5" x14ac:dyDescent="0.15">
      <c r="E1309" s="325"/>
    </row>
    <row r="1310" spans="5:5" x14ac:dyDescent="0.15">
      <c r="E1310" s="325"/>
    </row>
    <row r="1311" spans="5:5" x14ac:dyDescent="0.15">
      <c r="E1311" s="325"/>
    </row>
    <row r="1312" spans="5:5" x14ac:dyDescent="0.15">
      <c r="E1312" s="325"/>
    </row>
    <row r="1313" spans="5:5" x14ac:dyDescent="0.15">
      <c r="E1313" s="325"/>
    </row>
    <row r="1314" spans="5:5" x14ac:dyDescent="0.15">
      <c r="E1314" s="325"/>
    </row>
    <row r="1315" spans="5:5" x14ac:dyDescent="0.15">
      <c r="E1315" s="325"/>
    </row>
    <row r="1316" spans="5:5" x14ac:dyDescent="0.15">
      <c r="E1316" s="325"/>
    </row>
    <row r="1317" spans="5:5" x14ac:dyDescent="0.15">
      <c r="E1317" s="325"/>
    </row>
    <row r="1318" spans="5:5" x14ac:dyDescent="0.15">
      <c r="E1318" s="325"/>
    </row>
    <row r="1319" spans="5:5" x14ac:dyDescent="0.15">
      <c r="E1319" s="325"/>
    </row>
    <row r="1320" spans="5:5" x14ac:dyDescent="0.15">
      <c r="E1320" s="325"/>
    </row>
    <row r="1321" spans="5:5" x14ac:dyDescent="0.15">
      <c r="E1321" s="325"/>
    </row>
    <row r="1322" spans="5:5" x14ac:dyDescent="0.15">
      <c r="E1322" s="325"/>
    </row>
    <row r="1323" spans="5:5" x14ac:dyDescent="0.15">
      <c r="E1323" s="325"/>
    </row>
    <row r="1324" spans="5:5" x14ac:dyDescent="0.15">
      <c r="E1324" s="325"/>
    </row>
    <row r="1325" spans="5:5" x14ac:dyDescent="0.15">
      <c r="E1325" s="325"/>
    </row>
    <row r="1326" spans="5:5" x14ac:dyDescent="0.15">
      <c r="E1326" s="325"/>
    </row>
    <row r="1327" spans="5:5" x14ac:dyDescent="0.15">
      <c r="E1327" s="325"/>
    </row>
    <row r="1328" spans="5:5" x14ac:dyDescent="0.15">
      <c r="E1328" s="325"/>
    </row>
    <row r="1329" spans="5:5" x14ac:dyDescent="0.15">
      <c r="E1329" s="325"/>
    </row>
    <row r="1330" spans="5:5" x14ac:dyDescent="0.15">
      <c r="E1330" s="325"/>
    </row>
    <row r="1331" spans="5:5" x14ac:dyDescent="0.15">
      <c r="E1331" s="325"/>
    </row>
    <row r="1332" spans="5:5" x14ac:dyDescent="0.15">
      <c r="E1332" s="325"/>
    </row>
    <row r="1333" spans="5:5" x14ac:dyDescent="0.15">
      <c r="E1333" s="325"/>
    </row>
    <row r="1334" spans="5:5" x14ac:dyDescent="0.15">
      <c r="E1334" s="325"/>
    </row>
    <row r="1335" spans="5:5" x14ac:dyDescent="0.15">
      <c r="E1335" s="325"/>
    </row>
    <row r="1336" spans="5:5" x14ac:dyDescent="0.15">
      <c r="E1336" s="325"/>
    </row>
    <row r="1337" spans="5:5" x14ac:dyDescent="0.15">
      <c r="E1337" s="325"/>
    </row>
    <row r="1338" spans="5:5" x14ac:dyDescent="0.15">
      <c r="E1338" s="325"/>
    </row>
    <row r="1339" spans="5:5" x14ac:dyDescent="0.15">
      <c r="E1339" s="325"/>
    </row>
    <row r="1340" spans="5:5" x14ac:dyDescent="0.15">
      <c r="E1340" s="325"/>
    </row>
    <row r="1341" spans="5:5" x14ac:dyDescent="0.15">
      <c r="E1341" s="325"/>
    </row>
    <row r="1342" spans="5:5" x14ac:dyDescent="0.15">
      <c r="E1342" s="325"/>
    </row>
    <row r="1343" spans="5:5" x14ac:dyDescent="0.15">
      <c r="E1343" s="325"/>
    </row>
    <row r="1344" spans="5:5" x14ac:dyDescent="0.15">
      <c r="E1344" s="325"/>
    </row>
    <row r="1345" spans="5:5" x14ac:dyDescent="0.15">
      <c r="E1345" s="325"/>
    </row>
    <row r="1346" spans="5:5" x14ac:dyDescent="0.15">
      <c r="E1346" s="325"/>
    </row>
    <row r="1347" spans="5:5" x14ac:dyDescent="0.15">
      <c r="E1347" s="325"/>
    </row>
    <row r="1348" spans="5:5" x14ac:dyDescent="0.15">
      <c r="E1348" s="325"/>
    </row>
    <row r="1349" spans="5:5" x14ac:dyDescent="0.15">
      <c r="E1349" s="325"/>
    </row>
    <row r="1350" spans="5:5" x14ac:dyDescent="0.15">
      <c r="E1350" s="325"/>
    </row>
    <row r="1351" spans="5:5" x14ac:dyDescent="0.15">
      <c r="E1351" s="325"/>
    </row>
    <row r="1352" spans="5:5" x14ac:dyDescent="0.15">
      <c r="E1352" s="325"/>
    </row>
    <row r="1353" spans="5:5" x14ac:dyDescent="0.15">
      <c r="E1353" s="325"/>
    </row>
    <row r="1354" spans="5:5" x14ac:dyDescent="0.15">
      <c r="E1354" s="325"/>
    </row>
    <row r="1355" spans="5:5" x14ac:dyDescent="0.15">
      <c r="E1355" s="325"/>
    </row>
    <row r="1356" spans="5:5" x14ac:dyDescent="0.15">
      <c r="E1356" s="325"/>
    </row>
    <row r="1357" spans="5:5" x14ac:dyDescent="0.15">
      <c r="E1357" s="325"/>
    </row>
    <row r="1358" spans="5:5" x14ac:dyDescent="0.15">
      <c r="E1358" s="325"/>
    </row>
    <row r="1359" spans="5:5" x14ac:dyDescent="0.15">
      <c r="E1359" s="325"/>
    </row>
    <row r="1360" spans="5:5" x14ac:dyDescent="0.15">
      <c r="E1360" s="325"/>
    </row>
    <row r="1361" spans="5:5" x14ac:dyDescent="0.15">
      <c r="E1361" s="325"/>
    </row>
    <row r="1362" spans="5:5" x14ac:dyDescent="0.15">
      <c r="E1362" s="325"/>
    </row>
    <row r="1363" spans="5:5" x14ac:dyDescent="0.15">
      <c r="E1363" s="325"/>
    </row>
    <row r="1364" spans="5:5" x14ac:dyDescent="0.15">
      <c r="E1364" s="325"/>
    </row>
    <row r="1365" spans="5:5" x14ac:dyDescent="0.15">
      <c r="E1365" s="325"/>
    </row>
    <row r="1366" spans="5:5" x14ac:dyDescent="0.15">
      <c r="E1366" s="325"/>
    </row>
    <row r="1367" spans="5:5" x14ac:dyDescent="0.15">
      <c r="E1367" s="325"/>
    </row>
    <row r="1368" spans="5:5" x14ac:dyDescent="0.15">
      <c r="E1368" s="325"/>
    </row>
    <row r="1369" spans="5:5" x14ac:dyDescent="0.15">
      <c r="E1369" s="325"/>
    </row>
    <row r="1370" spans="5:5" x14ac:dyDescent="0.15">
      <c r="E1370" s="325"/>
    </row>
    <row r="1371" spans="5:5" x14ac:dyDescent="0.15">
      <c r="E1371" s="325"/>
    </row>
    <row r="1372" spans="5:5" x14ac:dyDescent="0.15">
      <c r="E1372" s="325"/>
    </row>
    <row r="1373" spans="5:5" x14ac:dyDescent="0.15">
      <c r="E1373" s="325"/>
    </row>
    <row r="1374" spans="5:5" x14ac:dyDescent="0.15">
      <c r="E1374" s="325"/>
    </row>
    <row r="1375" spans="5:5" x14ac:dyDescent="0.15">
      <c r="E1375" s="325"/>
    </row>
    <row r="1376" spans="5:5" x14ac:dyDescent="0.15">
      <c r="E1376" s="325"/>
    </row>
    <row r="1377" spans="5:5" x14ac:dyDescent="0.15">
      <c r="E1377" s="325"/>
    </row>
    <row r="1378" spans="5:5" x14ac:dyDescent="0.15">
      <c r="E1378" s="325"/>
    </row>
    <row r="1379" spans="5:5" x14ac:dyDescent="0.15">
      <c r="E1379" s="325"/>
    </row>
    <row r="1380" spans="5:5" x14ac:dyDescent="0.15">
      <c r="E1380" s="325"/>
    </row>
    <row r="1381" spans="5:5" x14ac:dyDescent="0.15">
      <c r="E1381" s="325"/>
    </row>
    <row r="1382" spans="5:5" x14ac:dyDescent="0.15">
      <c r="E1382" s="325"/>
    </row>
    <row r="1383" spans="5:5" x14ac:dyDescent="0.15">
      <c r="E1383" s="325"/>
    </row>
    <row r="1384" spans="5:5" x14ac:dyDescent="0.15">
      <c r="E1384" s="325"/>
    </row>
    <row r="1385" spans="5:5" x14ac:dyDescent="0.15">
      <c r="E1385" s="325"/>
    </row>
    <row r="1386" spans="5:5" x14ac:dyDescent="0.15">
      <c r="E1386" s="325"/>
    </row>
    <row r="1387" spans="5:5" x14ac:dyDescent="0.15">
      <c r="E1387" s="325"/>
    </row>
    <row r="1388" spans="5:5" x14ac:dyDescent="0.15">
      <c r="E1388" s="325"/>
    </row>
    <row r="1389" spans="5:5" x14ac:dyDescent="0.15">
      <c r="E1389" s="325"/>
    </row>
    <row r="1390" spans="5:5" x14ac:dyDescent="0.15">
      <c r="E1390" s="325"/>
    </row>
    <row r="1391" spans="5:5" x14ac:dyDescent="0.15">
      <c r="E1391" s="325"/>
    </row>
    <row r="1392" spans="5:5" x14ac:dyDescent="0.15">
      <c r="E1392" s="325"/>
    </row>
    <row r="1393" spans="5:5" x14ac:dyDescent="0.15">
      <c r="E1393" s="325"/>
    </row>
    <row r="1394" spans="5:5" x14ac:dyDescent="0.15">
      <c r="E1394" s="325"/>
    </row>
    <row r="1395" spans="5:5" x14ac:dyDescent="0.15">
      <c r="E1395" s="325"/>
    </row>
    <row r="1396" spans="5:5" x14ac:dyDescent="0.15">
      <c r="E1396" s="325"/>
    </row>
    <row r="1397" spans="5:5" x14ac:dyDescent="0.15">
      <c r="E1397" s="325"/>
    </row>
    <row r="1398" spans="5:5" x14ac:dyDescent="0.15">
      <c r="E1398" s="325"/>
    </row>
    <row r="1399" spans="5:5" x14ac:dyDescent="0.15">
      <c r="E1399" s="325"/>
    </row>
    <row r="1400" spans="5:5" x14ac:dyDescent="0.15">
      <c r="E1400" s="325"/>
    </row>
    <row r="1401" spans="5:5" x14ac:dyDescent="0.15">
      <c r="E1401" s="325"/>
    </row>
    <row r="1402" spans="5:5" x14ac:dyDescent="0.15">
      <c r="E1402" s="325"/>
    </row>
    <row r="1403" spans="5:5" x14ac:dyDescent="0.15">
      <c r="E1403" s="325"/>
    </row>
    <row r="1404" spans="5:5" x14ac:dyDescent="0.15">
      <c r="E1404" s="325"/>
    </row>
    <row r="1405" spans="5:5" x14ac:dyDescent="0.15">
      <c r="E1405" s="325"/>
    </row>
    <row r="1406" spans="5:5" x14ac:dyDescent="0.15">
      <c r="E1406" s="325"/>
    </row>
    <row r="1407" spans="5:5" x14ac:dyDescent="0.15">
      <c r="E1407" s="325"/>
    </row>
    <row r="1408" spans="5:5" x14ac:dyDescent="0.15">
      <c r="E1408" s="325"/>
    </row>
    <row r="1409" spans="5:5" x14ac:dyDescent="0.15">
      <c r="E1409" s="325"/>
    </row>
    <row r="1410" spans="5:5" x14ac:dyDescent="0.15">
      <c r="E1410" s="325"/>
    </row>
    <row r="1411" spans="5:5" x14ac:dyDescent="0.15">
      <c r="E1411" s="325"/>
    </row>
    <row r="1412" spans="5:5" x14ac:dyDescent="0.15">
      <c r="E1412" s="325"/>
    </row>
    <row r="1413" spans="5:5" x14ac:dyDescent="0.15">
      <c r="E1413" s="325"/>
    </row>
    <row r="1414" spans="5:5" x14ac:dyDescent="0.15">
      <c r="E1414" s="325"/>
    </row>
    <row r="1415" spans="5:5" x14ac:dyDescent="0.15">
      <c r="E1415" s="325"/>
    </row>
    <row r="1416" spans="5:5" x14ac:dyDescent="0.15">
      <c r="E1416" s="325"/>
    </row>
    <row r="1417" spans="5:5" x14ac:dyDescent="0.15">
      <c r="E1417" s="325"/>
    </row>
    <row r="1418" spans="5:5" x14ac:dyDescent="0.15">
      <c r="E1418" s="325"/>
    </row>
    <row r="1419" spans="5:5" x14ac:dyDescent="0.15">
      <c r="E1419" s="325"/>
    </row>
    <row r="1420" spans="5:5" x14ac:dyDescent="0.15">
      <c r="E1420" s="325"/>
    </row>
    <row r="1421" spans="5:5" x14ac:dyDescent="0.15">
      <c r="E1421" s="325"/>
    </row>
    <row r="1422" spans="5:5" x14ac:dyDescent="0.15">
      <c r="E1422" s="325"/>
    </row>
    <row r="1423" spans="5:5" x14ac:dyDescent="0.15">
      <c r="E1423" s="325"/>
    </row>
    <row r="1424" spans="5:5" x14ac:dyDescent="0.15">
      <c r="E1424" s="325"/>
    </row>
    <row r="1425" spans="5:5" x14ac:dyDescent="0.15">
      <c r="E1425" s="325"/>
    </row>
    <row r="1426" spans="5:5" x14ac:dyDescent="0.15">
      <c r="E1426" s="325"/>
    </row>
    <row r="1427" spans="5:5" x14ac:dyDescent="0.15">
      <c r="E1427" s="325"/>
    </row>
    <row r="1428" spans="5:5" x14ac:dyDescent="0.15">
      <c r="E1428" s="325"/>
    </row>
    <row r="1429" spans="5:5" x14ac:dyDescent="0.15">
      <c r="E1429" s="325"/>
    </row>
    <row r="1430" spans="5:5" x14ac:dyDescent="0.15">
      <c r="E1430" s="325"/>
    </row>
    <row r="1431" spans="5:5" x14ac:dyDescent="0.15">
      <c r="E1431" s="325"/>
    </row>
    <row r="1432" spans="5:5" x14ac:dyDescent="0.15">
      <c r="E1432" s="325"/>
    </row>
    <row r="1433" spans="5:5" x14ac:dyDescent="0.15">
      <c r="E1433" s="325"/>
    </row>
    <row r="1434" spans="5:5" x14ac:dyDescent="0.15">
      <c r="E1434" s="325"/>
    </row>
    <row r="1435" spans="5:5" x14ac:dyDescent="0.15">
      <c r="E1435" s="325"/>
    </row>
    <row r="1436" spans="5:5" x14ac:dyDescent="0.15">
      <c r="E1436" s="325"/>
    </row>
    <row r="1437" spans="5:5" x14ac:dyDescent="0.15">
      <c r="E1437" s="325"/>
    </row>
    <row r="1438" spans="5:5" x14ac:dyDescent="0.15">
      <c r="E1438" s="325"/>
    </row>
    <row r="1439" spans="5:5" x14ac:dyDescent="0.15">
      <c r="E1439" s="325"/>
    </row>
    <row r="1440" spans="5:5" x14ac:dyDescent="0.15">
      <c r="E1440" s="325"/>
    </row>
    <row r="1441" spans="5:5" x14ac:dyDescent="0.15">
      <c r="E1441" s="325"/>
    </row>
    <row r="1442" spans="5:5" x14ac:dyDescent="0.15">
      <c r="E1442" s="325"/>
    </row>
    <row r="1443" spans="5:5" x14ac:dyDescent="0.15">
      <c r="E1443" s="325"/>
    </row>
    <row r="1444" spans="5:5" x14ac:dyDescent="0.15">
      <c r="E1444" s="325"/>
    </row>
    <row r="1445" spans="5:5" x14ac:dyDescent="0.15">
      <c r="E1445" s="325"/>
    </row>
    <row r="1446" spans="5:5" x14ac:dyDescent="0.15">
      <c r="E1446" s="325"/>
    </row>
    <row r="1447" spans="5:5" x14ac:dyDescent="0.15">
      <c r="E1447" s="325"/>
    </row>
    <row r="1448" spans="5:5" x14ac:dyDescent="0.15">
      <c r="E1448" s="325"/>
    </row>
    <row r="1449" spans="5:5" x14ac:dyDescent="0.15">
      <c r="E1449" s="325"/>
    </row>
    <row r="1450" spans="5:5" x14ac:dyDescent="0.15">
      <c r="E1450" s="325"/>
    </row>
    <row r="1451" spans="5:5" x14ac:dyDescent="0.15">
      <c r="E1451" s="325"/>
    </row>
    <row r="1452" spans="5:5" x14ac:dyDescent="0.15">
      <c r="E1452" s="325"/>
    </row>
    <row r="1453" spans="5:5" x14ac:dyDescent="0.15">
      <c r="E1453" s="325"/>
    </row>
    <row r="1454" spans="5:5" x14ac:dyDescent="0.15">
      <c r="E1454" s="325"/>
    </row>
    <row r="1455" spans="5:5" x14ac:dyDescent="0.15">
      <c r="E1455" s="325"/>
    </row>
    <row r="1456" spans="5:5" x14ac:dyDescent="0.15">
      <c r="E1456" s="325"/>
    </row>
    <row r="1457" spans="5:5" x14ac:dyDescent="0.15">
      <c r="E1457" s="325"/>
    </row>
    <row r="1458" spans="5:5" x14ac:dyDescent="0.15">
      <c r="E1458" s="325"/>
    </row>
    <row r="1459" spans="5:5" x14ac:dyDescent="0.15">
      <c r="E1459" s="325"/>
    </row>
    <row r="1460" spans="5:5" x14ac:dyDescent="0.15">
      <c r="E1460" s="325"/>
    </row>
    <row r="1461" spans="5:5" x14ac:dyDescent="0.15">
      <c r="E1461" s="325"/>
    </row>
    <row r="1462" spans="5:5" x14ac:dyDescent="0.15">
      <c r="E1462" s="325"/>
    </row>
    <row r="1463" spans="5:5" x14ac:dyDescent="0.15">
      <c r="E1463" s="325"/>
    </row>
    <row r="1464" spans="5:5" x14ac:dyDescent="0.15">
      <c r="E1464" s="325"/>
    </row>
    <row r="1465" spans="5:5" x14ac:dyDescent="0.15">
      <c r="E1465" s="325"/>
    </row>
    <row r="1466" spans="5:5" x14ac:dyDescent="0.15">
      <c r="E1466" s="325"/>
    </row>
    <row r="1467" spans="5:5" x14ac:dyDescent="0.15">
      <c r="E1467" s="325"/>
    </row>
    <row r="1468" spans="5:5" x14ac:dyDescent="0.15">
      <c r="E1468" s="325"/>
    </row>
    <row r="1469" spans="5:5" x14ac:dyDescent="0.15">
      <c r="E1469" s="325"/>
    </row>
    <row r="1470" spans="5:5" x14ac:dyDescent="0.15">
      <c r="E1470" s="325"/>
    </row>
    <row r="1471" spans="5:5" x14ac:dyDescent="0.15">
      <c r="E1471" s="325"/>
    </row>
    <row r="1472" spans="5:5" x14ac:dyDescent="0.15">
      <c r="E1472" s="325"/>
    </row>
    <row r="1473" spans="5:5" x14ac:dyDescent="0.15">
      <c r="E1473" s="325"/>
    </row>
    <row r="1474" spans="5:5" x14ac:dyDescent="0.15">
      <c r="E1474" s="325"/>
    </row>
    <row r="1475" spans="5:5" x14ac:dyDescent="0.15">
      <c r="E1475" s="325"/>
    </row>
    <row r="1476" spans="5:5" x14ac:dyDescent="0.15">
      <c r="E1476" s="325"/>
    </row>
    <row r="1477" spans="5:5" x14ac:dyDescent="0.15">
      <c r="E1477" s="325"/>
    </row>
    <row r="1478" spans="5:5" x14ac:dyDescent="0.15">
      <c r="E1478" s="325"/>
    </row>
    <row r="1479" spans="5:5" x14ac:dyDescent="0.15">
      <c r="E1479" s="325"/>
    </row>
    <row r="1480" spans="5:5" x14ac:dyDescent="0.15">
      <c r="E1480" s="325"/>
    </row>
    <row r="1481" spans="5:5" x14ac:dyDescent="0.15">
      <c r="E1481" s="325"/>
    </row>
    <row r="1482" spans="5:5" x14ac:dyDescent="0.15">
      <c r="E1482" s="325"/>
    </row>
    <row r="1483" spans="5:5" x14ac:dyDescent="0.15">
      <c r="E1483" s="325"/>
    </row>
    <row r="1484" spans="5:5" x14ac:dyDescent="0.15">
      <c r="E1484" s="325"/>
    </row>
    <row r="1485" spans="5:5" x14ac:dyDescent="0.15">
      <c r="E1485" s="325"/>
    </row>
    <row r="1486" spans="5:5" x14ac:dyDescent="0.15">
      <c r="E1486" s="325"/>
    </row>
    <row r="1487" spans="5:5" x14ac:dyDescent="0.15">
      <c r="E1487" s="325"/>
    </row>
    <row r="1488" spans="5:5" x14ac:dyDescent="0.15">
      <c r="E1488" s="325"/>
    </row>
    <row r="1489" spans="5:5" x14ac:dyDescent="0.15">
      <c r="E1489" s="325"/>
    </row>
    <row r="1490" spans="5:5" x14ac:dyDescent="0.15">
      <c r="E1490" s="325"/>
    </row>
    <row r="1491" spans="5:5" x14ac:dyDescent="0.15">
      <c r="E1491" s="325"/>
    </row>
    <row r="1492" spans="5:5" x14ac:dyDescent="0.15">
      <c r="E1492" s="325"/>
    </row>
    <row r="1493" spans="5:5" x14ac:dyDescent="0.15">
      <c r="E1493" s="325"/>
    </row>
    <row r="1494" spans="5:5" x14ac:dyDescent="0.15">
      <c r="E1494" s="325"/>
    </row>
    <row r="1495" spans="5:5" x14ac:dyDescent="0.15">
      <c r="E1495" s="325"/>
    </row>
    <row r="1496" spans="5:5" x14ac:dyDescent="0.15">
      <c r="E1496" s="325"/>
    </row>
    <row r="1497" spans="5:5" x14ac:dyDescent="0.15">
      <c r="E1497" s="325"/>
    </row>
    <row r="1498" spans="5:5" x14ac:dyDescent="0.15">
      <c r="E1498" s="325"/>
    </row>
    <row r="1499" spans="5:5" x14ac:dyDescent="0.15">
      <c r="E1499" s="325"/>
    </row>
    <row r="1500" spans="5:5" x14ac:dyDescent="0.15">
      <c r="E1500" s="325"/>
    </row>
    <row r="1501" spans="5:5" x14ac:dyDescent="0.15">
      <c r="E1501" s="325"/>
    </row>
    <row r="1502" spans="5:5" x14ac:dyDescent="0.15">
      <c r="E1502" s="325"/>
    </row>
    <row r="1503" spans="5:5" x14ac:dyDescent="0.15">
      <c r="E1503" s="325"/>
    </row>
    <row r="1504" spans="5:5" x14ac:dyDescent="0.15">
      <c r="E1504" s="325"/>
    </row>
    <row r="1505" spans="5:5" x14ac:dyDescent="0.15">
      <c r="E1505" s="325"/>
    </row>
    <row r="1506" spans="5:5" x14ac:dyDescent="0.15">
      <c r="E1506" s="325"/>
    </row>
    <row r="1507" spans="5:5" x14ac:dyDescent="0.15">
      <c r="E1507" s="325"/>
    </row>
    <row r="1508" spans="5:5" x14ac:dyDescent="0.15">
      <c r="E1508" s="325"/>
    </row>
    <row r="1509" spans="5:5" x14ac:dyDescent="0.15">
      <c r="E1509" s="325"/>
    </row>
    <row r="1510" spans="5:5" x14ac:dyDescent="0.15">
      <c r="E1510" s="325"/>
    </row>
    <row r="1511" spans="5:5" x14ac:dyDescent="0.15">
      <c r="E1511" s="325"/>
    </row>
    <row r="1512" spans="5:5" x14ac:dyDescent="0.15">
      <c r="E1512" s="325"/>
    </row>
    <row r="1513" spans="5:5" x14ac:dyDescent="0.15">
      <c r="E1513" s="325"/>
    </row>
    <row r="1514" spans="5:5" x14ac:dyDescent="0.15">
      <c r="E1514" s="325"/>
    </row>
    <row r="1515" spans="5:5" x14ac:dyDescent="0.15">
      <c r="E1515" s="325"/>
    </row>
    <row r="1516" spans="5:5" x14ac:dyDescent="0.15">
      <c r="E1516" s="325"/>
    </row>
    <row r="1517" spans="5:5" x14ac:dyDescent="0.15">
      <c r="E1517" s="325"/>
    </row>
    <row r="1518" spans="5:5" x14ac:dyDescent="0.15">
      <c r="E1518" s="325"/>
    </row>
    <row r="1519" spans="5:5" x14ac:dyDescent="0.15">
      <c r="E1519" s="325"/>
    </row>
  </sheetData>
  <autoFilter ref="A1:N1519" xr:uid="{00000000-0009-0000-0000-000008000000}">
    <filterColumn colId="9">
      <filters blank="1">
        <filter val="1.031.492,85"/>
        <filter val="1.044,32"/>
        <filter val="1.100.122,74"/>
        <filter val="1.127.683,85"/>
        <filter val="1.174,41"/>
        <filter val="1.293,12"/>
        <filter val="1.642,21"/>
        <filter val="1.791,93"/>
        <filter val="1.839,90"/>
        <filter val="1.943,76"/>
        <filter val="10.234,34"/>
        <filter val="10.687,52"/>
        <filter val="103.102,26"/>
        <filter val="104.304,34"/>
        <filter val="108.266,95"/>
        <filter val="109.319,00"/>
        <filter val="112.717,18"/>
        <filter val="12.180,14"/>
        <filter val="12.820,92"/>
        <filter val="13.564,13"/>
        <filter val="13.731.837,84"/>
        <filter val="14.537,87"/>
        <filter val="14.557,08"/>
        <filter val="14.980,00"/>
        <filter val="143.192,98"/>
        <filter val="148,62"/>
        <filter val="15,27%"/>
        <filter val="15.235,02"/>
        <filter val="15.305,47"/>
        <filter val="15.324,08"/>
        <filter val="15.881,32"/>
        <filter val="150.642,12"/>
        <filter val="151.383,70"/>
        <filter val="158.399,55"/>
        <filter val="16.000,00"/>
        <filter val="16.948,75"/>
        <filter val="17.376,00"/>
        <filter val="17.796,52"/>
        <filter val="171.817,56"/>
        <filter val="173.850,04"/>
        <filter val="18.422,49"/>
        <filter val="181.843,50"/>
        <filter val="19,42"/>
        <filter val="19.287,01"/>
        <filter val="19.360,00"/>
        <filter val="19.761,09"/>
        <filter val="190.350,17"/>
        <filter val="2.029,41"/>
        <filter val="2.143,48"/>
        <filter val="2.382,09"/>
        <filter val="2.518,85"/>
        <filter val="2.698,95"/>
        <filter val="20.032,56"/>
        <filter val="20.442,95"/>
        <filter val="21.121,12"/>
        <filter val="22.693,43"/>
        <filter val="237.101,68"/>
        <filter val="239.024,90"/>
        <filter val="24.775,75"/>
        <filter val="253.654,14"/>
        <filter val="26,74%"/>
        <filter val="27.703,99"/>
        <filter val="277,11"/>
        <filter val="287,25"/>
        <filter val="3.340,76"/>
        <filter val="3.502,96"/>
        <filter val="3.550,64"/>
        <filter val="3.599,29"/>
        <filter val="3.709,69"/>
        <filter val="3.732.905,79"/>
        <filter val="3.978,19"/>
        <filter val="30.417,60"/>
        <filter val="310.029,66"/>
        <filter val="312.419,96"/>
        <filter val="312.810,53"/>
        <filter val="315,99"/>
        <filter val="325.087,84"/>
        <filter val="336.132,94"/>
        <filter val="34.031,90"/>
        <filter val="341.683,50"/>
        <filter val="35.352,27"/>
        <filter val="36.169,87"/>
        <filter val="36.369,84"/>
        <filter val="365.254,98"/>
        <filter val="37.696,65"/>
        <filter val="370,65"/>
        <filter val="38.934,80"/>
        <filter val="38.941,75"/>
        <filter val="396,58"/>
        <filter val="4.000,00"/>
        <filter val="41.919,99"/>
        <filter val="42.239,15"/>
        <filter val="43.738,39"/>
        <filter val="458,66"/>
        <filter val="46.057,85"/>
        <filter val="47,23%"/>
        <filter val="47.440,51"/>
        <filter val="48.176,09"/>
        <filter val="49.678,67"/>
        <filter val="5.414,85"/>
        <filter val="5.778,82"/>
        <filter val="5.795,22"/>
        <filter val="5.926,07"/>
        <filter val="52.671,06"/>
        <filter val="530,55"/>
        <filter val="54.289,04"/>
        <filter val="55.611,58"/>
        <filter val="58.361,54"/>
        <filter val="585,45"/>
        <filter val="6.074,45"/>
        <filter val="6.486,92"/>
        <filter val="60.772,00"/>
        <filter val="61.898,33"/>
        <filter val="63.912,10"/>
        <filter val="643.162,96"/>
        <filter val="65.539,44"/>
        <filter val="659.020,42"/>
        <filter val="7.212,40"/>
        <filter val="7.307.917,45"/>
        <filter val="7.960,23"/>
        <filter val="71.442,06"/>
        <filter val="72.996,88"/>
        <filter val="73.918,34"/>
        <filter val="747.257,43"/>
        <filter val="8.287,02"/>
        <filter val="8.498,79"/>
        <filter val="8.897,00"/>
        <filter val="838.498,82"/>
        <filter val="85,28%"/>
        <filter val="854.980,35"/>
        <filter val="863,81"/>
        <filter val="9.260,94"/>
        <filter val="9.426,56"/>
        <filter val="904.065,11"/>
        <filter val="987.498,49"/>
        <filter val="989,06"/>
        <filter val="99.463,35"/>
        <filter val="DESONERADA"/>
        <filter val="PREÇO TOTAL (R$)"/>
      </filters>
    </filterColumn>
    <filterColumn colId="11" showButton="0"/>
  </autoFilter>
  <mergeCells count="24">
    <mergeCell ref="M269:M271"/>
    <mergeCell ref="M136:M137"/>
    <mergeCell ref="M138:M141"/>
    <mergeCell ref="M154:M156"/>
    <mergeCell ref="M147:M149"/>
    <mergeCell ref="M150:M151"/>
    <mergeCell ref="M152:M153"/>
    <mergeCell ref="M157:M159"/>
    <mergeCell ref="M160:M161"/>
    <mergeCell ref="M162:M163"/>
    <mergeCell ref="M266:M268"/>
    <mergeCell ref="L1:M1"/>
    <mergeCell ref="C12:G12"/>
    <mergeCell ref="G15:G28"/>
    <mergeCell ref="M107:M109"/>
    <mergeCell ref="M110:M111"/>
    <mergeCell ref="M104:M106"/>
    <mergeCell ref="M112:M113"/>
    <mergeCell ref="M114:M116"/>
    <mergeCell ref="M144:M146"/>
    <mergeCell ref="M117:M119"/>
    <mergeCell ref="M120:M121"/>
    <mergeCell ref="M122:M123"/>
    <mergeCell ref="M126:M129"/>
  </mergeCells>
  <conditionalFormatting sqref="H36:H58 H926">
    <cfRule type="expression" dxfId="430" priority="512">
      <formula>H36=0</formula>
    </cfRule>
  </conditionalFormatting>
  <conditionalFormatting sqref="H60">
    <cfRule type="expression" dxfId="429" priority="448">
      <formula>H60=0</formula>
    </cfRule>
  </conditionalFormatting>
  <conditionalFormatting sqref="H62">
    <cfRule type="expression" dxfId="428" priority="320">
      <formula>H62=0</formula>
    </cfRule>
  </conditionalFormatting>
  <conditionalFormatting sqref="H65:H90">
    <cfRule type="expression" dxfId="427" priority="268">
      <formula>H65=0</formula>
    </cfRule>
  </conditionalFormatting>
  <conditionalFormatting sqref="H92">
    <cfRule type="expression" dxfId="426" priority="267">
      <formula>H92=0</formula>
    </cfRule>
  </conditionalFormatting>
  <conditionalFormatting sqref="H94">
    <cfRule type="expression" dxfId="425" priority="266">
      <formula>H94=0</formula>
    </cfRule>
  </conditionalFormatting>
  <conditionalFormatting sqref="H96">
    <cfRule type="expression" dxfId="424" priority="265">
      <formula>H96=0</formula>
    </cfRule>
  </conditionalFormatting>
  <conditionalFormatting sqref="H98">
    <cfRule type="expression" dxfId="423" priority="264">
      <formula>H98=0</formula>
    </cfRule>
  </conditionalFormatting>
  <conditionalFormatting sqref="H101:H169">
    <cfRule type="expression" dxfId="422" priority="86">
      <formula>H101=0</formula>
    </cfRule>
  </conditionalFormatting>
  <conditionalFormatting sqref="H171">
    <cfRule type="expression" dxfId="421" priority="262">
      <formula>H171=0</formula>
    </cfRule>
  </conditionalFormatting>
  <conditionalFormatting sqref="H173">
    <cfRule type="expression" dxfId="420" priority="261">
      <formula>H173=0</formula>
    </cfRule>
  </conditionalFormatting>
  <conditionalFormatting sqref="H175">
    <cfRule type="expression" dxfId="419" priority="260">
      <formula>H175=0</formula>
    </cfRule>
  </conditionalFormatting>
  <conditionalFormatting sqref="H177">
    <cfRule type="expression" dxfId="418" priority="259">
      <formula>H177=0</formula>
    </cfRule>
  </conditionalFormatting>
  <conditionalFormatting sqref="H179">
    <cfRule type="expression" dxfId="417" priority="258">
      <formula>H179=0</formula>
    </cfRule>
  </conditionalFormatting>
  <conditionalFormatting sqref="H181">
    <cfRule type="expression" dxfId="416" priority="257">
      <formula>H181=0</formula>
    </cfRule>
  </conditionalFormatting>
  <conditionalFormatting sqref="H184:H242">
    <cfRule type="expression" dxfId="415" priority="256">
      <formula>H184=0</formula>
    </cfRule>
  </conditionalFormatting>
  <conditionalFormatting sqref="H245:H288">
    <cfRule type="expression" dxfId="414" priority="255">
      <formula>H245=0</formula>
    </cfRule>
  </conditionalFormatting>
  <conditionalFormatting sqref="H290">
    <cfRule type="expression" dxfId="413" priority="81">
      <formula>H290=0</formula>
    </cfRule>
  </conditionalFormatting>
  <conditionalFormatting sqref="H292">
    <cfRule type="expression" dxfId="412" priority="254">
      <formula>H292=0</formula>
    </cfRule>
  </conditionalFormatting>
  <conditionalFormatting sqref="H295:H312">
    <cfRule type="expression" dxfId="411" priority="253">
      <formula>H295=0</formula>
    </cfRule>
  </conditionalFormatting>
  <conditionalFormatting sqref="H316:H321">
    <cfRule type="expression" dxfId="410" priority="251">
      <formula>H316=0</formula>
    </cfRule>
  </conditionalFormatting>
  <conditionalFormatting sqref="H323:H344">
    <cfRule type="expression" dxfId="409" priority="43">
      <formula>H323=0</formula>
    </cfRule>
  </conditionalFormatting>
  <conditionalFormatting sqref="H346:H385">
    <cfRule type="expression" dxfId="408" priority="249">
      <formula>H346=0</formula>
    </cfRule>
  </conditionalFormatting>
  <conditionalFormatting sqref="H387:H399">
    <cfRule type="expression" dxfId="407" priority="45">
      <formula>H387=0</formula>
    </cfRule>
  </conditionalFormatting>
  <conditionalFormatting sqref="H401">
    <cfRule type="expression" dxfId="406" priority="247">
      <formula>H401=0</formula>
    </cfRule>
  </conditionalFormatting>
  <conditionalFormatting sqref="H403">
    <cfRule type="expression" dxfId="405" priority="246">
      <formula>H403=0</formula>
    </cfRule>
  </conditionalFormatting>
  <conditionalFormatting sqref="H405">
    <cfRule type="expression" dxfId="404" priority="245">
      <formula>H405=0</formula>
    </cfRule>
  </conditionalFormatting>
  <conditionalFormatting sqref="H407">
    <cfRule type="expression" dxfId="403" priority="244">
      <formula>H407=0</formula>
    </cfRule>
  </conditionalFormatting>
  <conditionalFormatting sqref="H409">
    <cfRule type="expression" dxfId="402" priority="243">
      <formula>H409=0</formula>
    </cfRule>
  </conditionalFormatting>
  <conditionalFormatting sqref="H411">
    <cfRule type="expression" dxfId="401" priority="242">
      <formula>H411=0</formula>
    </cfRule>
  </conditionalFormatting>
  <conditionalFormatting sqref="H414:H438">
    <cfRule type="expression" dxfId="400" priority="241">
      <formula>H414=0</formula>
    </cfRule>
  </conditionalFormatting>
  <conditionalFormatting sqref="H440">
    <cfRule type="expression" dxfId="399" priority="240">
      <formula>H440=0</formula>
    </cfRule>
  </conditionalFormatting>
  <conditionalFormatting sqref="H442">
    <cfRule type="expression" dxfId="398" priority="239">
      <formula>H442=0</formula>
    </cfRule>
  </conditionalFormatting>
  <conditionalFormatting sqref="H444">
    <cfRule type="expression" dxfId="397" priority="238">
      <formula>H444=0</formula>
    </cfRule>
  </conditionalFormatting>
  <conditionalFormatting sqref="H446">
    <cfRule type="expression" dxfId="396" priority="237">
      <formula>H446=0</formula>
    </cfRule>
  </conditionalFormatting>
  <conditionalFormatting sqref="H449:H466">
    <cfRule type="expression" dxfId="395" priority="57">
      <formula>H449=0</formula>
    </cfRule>
  </conditionalFormatting>
  <conditionalFormatting sqref="H468">
    <cfRule type="expression" dxfId="394" priority="215">
      <formula>H468=0</formula>
    </cfRule>
  </conditionalFormatting>
  <conditionalFormatting sqref="H470">
    <cfRule type="expression" dxfId="393" priority="214">
      <formula>H470=0</formula>
    </cfRule>
  </conditionalFormatting>
  <conditionalFormatting sqref="H472">
    <cfRule type="expression" dxfId="392" priority="213">
      <formula>H472=0</formula>
    </cfRule>
  </conditionalFormatting>
  <conditionalFormatting sqref="H474">
    <cfRule type="expression" dxfId="391" priority="212">
      <formula>H474=0</formula>
    </cfRule>
  </conditionalFormatting>
  <conditionalFormatting sqref="H476">
    <cfRule type="expression" dxfId="390" priority="211">
      <formula>H476=0</formula>
    </cfRule>
  </conditionalFormatting>
  <conditionalFormatting sqref="H478">
    <cfRule type="expression" dxfId="389" priority="210">
      <formula>H478=0</formula>
    </cfRule>
  </conditionalFormatting>
  <conditionalFormatting sqref="H480">
    <cfRule type="expression" dxfId="388" priority="209">
      <formula>H480=0</formula>
    </cfRule>
  </conditionalFormatting>
  <conditionalFormatting sqref="H482">
    <cfRule type="expression" dxfId="387" priority="208">
      <formula>H482=0</formula>
    </cfRule>
  </conditionalFormatting>
  <conditionalFormatting sqref="H484">
    <cfRule type="expression" dxfId="386" priority="207">
      <formula>H484=0</formula>
    </cfRule>
  </conditionalFormatting>
  <conditionalFormatting sqref="H486">
    <cfRule type="expression" dxfId="385" priority="206">
      <formula>H486=0</formula>
    </cfRule>
  </conditionalFormatting>
  <conditionalFormatting sqref="H488">
    <cfRule type="expression" dxfId="384" priority="205">
      <formula>H488=0</formula>
    </cfRule>
  </conditionalFormatting>
  <conditionalFormatting sqref="H490">
    <cfRule type="expression" dxfId="383" priority="204">
      <formula>H490=0</formula>
    </cfRule>
  </conditionalFormatting>
  <conditionalFormatting sqref="H492">
    <cfRule type="expression" dxfId="382" priority="203">
      <formula>H492=0</formula>
    </cfRule>
  </conditionalFormatting>
  <conditionalFormatting sqref="H494">
    <cfRule type="expression" dxfId="381" priority="202">
      <formula>H494=0</formula>
    </cfRule>
  </conditionalFormatting>
  <conditionalFormatting sqref="H496">
    <cfRule type="expression" dxfId="380" priority="201">
      <formula>H496=0</formula>
    </cfRule>
  </conditionalFormatting>
  <conditionalFormatting sqref="H498">
    <cfRule type="expression" dxfId="379" priority="200">
      <formula>H498=0</formula>
    </cfRule>
  </conditionalFormatting>
  <conditionalFormatting sqref="H500">
    <cfRule type="expression" dxfId="378" priority="199">
      <formula>H500=0</formula>
    </cfRule>
  </conditionalFormatting>
  <conditionalFormatting sqref="H502">
    <cfRule type="expression" dxfId="377" priority="198">
      <formula>H502=0</formula>
    </cfRule>
  </conditionalFormatting>
  <conditionalFormatting sqref="H504">
    <cfRule type="expression" dxfId="376" priority="197">
      <formula>H504=0</formula>
    </cfRule>
  </conditionalFormatting>
  <conditionalFormatting sqref="H507:H542">
    <cfRule type="expression" dxfId="375" priority="195">
      <formula>H507=0</formula>
    </cfRule>
  </conditionalFormatting>
  <conditionalFormatting sqref="H544">
    <cfRule type="expression" dxfId="374" priority="194">
      <formula>H544=0</formula>
    </cfRule>
  </conditionalFormatting>
  <conditionalFormatting sqref="H546">
    <cfRule type="expression" dxfId="373" priority="193">
      <formula>H546=0</formula>
    </cfRule>
  </conditionalFormatting>
  <conditionalFormatting sqref="H548">
    <cfRule type="expression" dxfId="372" priority="192">
      <formula>H548=0</formula>
    </cfRule>
  </conditionalFormatting>
  <conditionalFormatting sqref="H550">
    <cfRule type="expression" dxfId="371" priority="191">
      <formula>H550=0</formula>
    </cfRule>
  </conditionalFormatting>
  <conditionalFormatting sqref="H552">
    <cfRule type="expression" dxfId="370" priority="190">
      <formula>H552=0</formula>
    </cfRule>
  </conditionalFormatting>
  <conditionalFormatting sqref="H554">
    <cfRule type="expression" dxfId="369" priority="189">
      <formula>H554=0</formula>
    </cfRule>
  </conditionalFormatting>
  <conditionalFormatting sqref="H556">
    <cfRule type="expression" dxfId="368" priority="188">
      <formula>H556=0</formula>
    </cfRule>
  </conditionalFormatting>
  <conditionalFormatting sqref="H558">
    <cfRule type="expression" dxfId="367" priority="187">
      <formula>H558=0</formula>
    </cfRule>
  </conditionalFormatting>
  <conditionalFormatting sqref="H560">
    <cfRule type="expression" dxfId="366" priority="186">
      <formula>H560=0</formula>
    </cfRule>
  </conditionalFormatting>
  <conditionalFormatting sqref="H562">
    <cfRule type="expression" dxfId="365" priority="185">
      <formula>H562=0</formula>
    </cfRule>
  </conditionalFormatting>
  <conditionalFormatting sqref="H564">
    <cfRule type="expression" dxfId="364" priority="184">
      <formula>H564=0</formula>
    </cfRule>
  </conditionalFormatting>
  <conditionalFormatting sqref="H566">
    <cfRule type="expression" dxfId="363" priority="183">
      <formula>H566=0</formula>
    </cfRule>
  </conditionalFormatting>
  <conditionalFormatting sqref="H568">
    <cfRule type="expression" dxfId="362" priority="182">
      <formula>H568=0</formula>
    </cfRule>
  </conditionalFormatting>
  <conditionalFormatting sqref="H570">
    <cfRule type="expression" dxfId="361" priority="181">
      <formula>H570=0</formula>
    </cfRule>
  </conditionalFormatting>
  <conditionalFormatting sqref="H572">
    <cfRule type="expression" dxfId="360" priority="180">
      <formula>H572=0</formula>
    </cfRule>
  </conditionalFormatting>
  <conditionalFormatting sqref="H574">
    <cfRule type="expression" dxfId="359" priority="179">
      <formula>H574=0</formula>
    </cfRule>
  </conditionalFormatting>
  <conditionalFormatting sqref="H576">
    <cfRule type="expression" dxfId="358" priority="177">
      <formula>H576=0</formula>
    </cfRule>
  </conditionalFormatting>
  <conditionalFormatting sqref="H578">
    <cfRule type="expression" dxfId="357" priority="176">
      <formula>H578=0</formula>
    </cfRule>
  </conditionalFormatting>
  <conditionalFormatting sqref="H580">
    <cfRule type="expression" dxfId="356" priority="175">
      <formula>H580=0</formula>
    </cfRule>
  </conditionalFormatting>
  <conditionalFormatting sqref="H583:H598">
    <cfRule type="expression" dxfId="355" priority="174">
      <formula>H583=0</formula>
    </cfRule>
  </conditionalFormatting>
  <conditionalFormatting sqref="H600">
    <cfRule type="expression" dxfId="354" priority="173">
      <formula>H600=0</formula>
    </cfRule>
  </conditionalFormatting>
  <conditionalFormatting sqref="H602">
    <cfRule type="expression" dxfId="353" priority="172">
      <formula>H602=0</formula>
    </cfRule>
  </conditionalFormatting>
  <conditionalFormatting sqref="H604">
    <cfRule type="expression" dxfId="352" priority="171">
      <formula>H604=0</formula>
    </cfRule>
  </conditionalFormatting>
  <conditionalFormatting sqref="H606">
    <cfRule type="expression" dxfId="351" priority="170">
      <formula>H606=0</formula>
    </cfRule>
  </conditionalFormatting>
  <conditionalFormatting sqref="H608">
    <cfRule type="expression" dxfId="350" priority="169">
      <formula>H608=0</formula>
    </cfRule>
  </conditionalFormatting>
  <conditionalFormatting sqref="H610">
    <cfRule type="expression" dxfId="349" priority="168">
      <formula>H610=0</formula>
    </cfRule>
  </conditionalFormatting>
  <conditionalFormatting sqref="H612">
    <cfRule type="expression" dxfId="348" priority="167">
      <formula>H612=0</formula>
    </cfRule>
  </conditionalFormatting>
  <conditionalFormatting sqref="H614">
    <cfRule type="expression" dxfId="347" priority="166">
      <formula>H614=0</formula>
    </cfRule>
  </conditionalFormatting>
  <conditionalFormatting sqref="H616">
    <cfRule type="expression" dxfId="346" priority="165">
      <formula>H616=0</formula>
    </cfRule>
  </conditionalFormatting>
  <conditionalFormatting sqref="H618">
    <cfRule type="expression" dxfId="345" priority="164">
      <formula>H618=0</formula>
    </cfRule>
  </conditionalFormatting>
  <conditionalFormatting sqref="H620">
    <cfRule type="expression" dxfId="344" priority="163">
      <formula>H620=0</formula>
    </cfRule>
  </conditionalFormatting>
  <conditionalFormatting sqref="H622">
    <cfRule type="expression" dxfId="343" priority="162">
      <formula>H622=0</formula>
    </cfRule>
  </conditionalFormatting>
  <conditionalFormatting sqref="H625:H633">
    <cfRule type="expression" dxfId="342" priority="40">
      <formula>H625=0</formula>
    </cfRule>
  </conditionalFormatting>
  <conditionalFormatting sqref="H635">
    <cfRule type="expression" dxfId="341" priority="160">
      <formula>H635=0</formula>
    </cfRule>
  </conditionalFormatting>
  <conditionalFormatting sqref="H637">
    <cfRule type="expression" dxfId="340" priority="159">
      <formula>H637=0</formula>
    </cfRule>
  </conditionalFormatting>
  <conditionalFormatting sqref="H639">
    <cfRule type="expression" dxfId="339" priority="158">
      <formula>H639=0</formula>
    </cfRule>
  </conditionalFormatting>
  <conditionalFormatting sqref="H641">
    <cfRule type="expression" dxfId="338" priority="157">
      <formula>H641=0</formula>
    </cfRule>
  </conditionalFormatting>
  <conditionalFormatting sqref="H643">
    <cfRule type="expression" dxfId="337" priority="156">
      <formula>H643=0</formula>
    </cfRule>
  </conditionalFormatting>
  <conditionalFormatting sqref="H646:H675">
    <cfRule type="expression" dxfId="336" priority="55">
      <formula>H646=0</formula>
    </cfRule>
  </conditionalFormatting>
  <conditionalFormatting sqref="H677">
    <cfRule type="expression" dxfId="335" priority="154">
      <formula>H677=0</formula>
    </cfRule>
  </conditionalFormatting>
  <conditionalFormatting sqref="H679">
    <cfRule type="expression" dxfId="334" priority="153">
      <formula>H679=0</formula>
    </cfRule>
  </conditionalFormatting>
  <conditionalFormatting sqref="H681">
    <cfRule type="expression" dxfId="333" priority="152">
      <formula>H681=0</formula>
    </cfRule>
  </conditionalFormatting>
  <conditionalFormatting sqref="H683">
    <cfRule type="expression" dxfId="332" priority="151">
      <formula>H683=0</formula>
    </cfRule>
  </conditionalFormatting>
  <conditionalFormatting sqref="H685">
    <cfRule type="expression" dxfId="331" priority="150">
      <formula>H685=0</formula>
    </cfRule>
  </conditionalFormatting>
  <conditionalFormatting sqref="H687">
    <cfRule type="expression" dxfId="330" priority="149">
      <formula>H687=0</formula>
    </cfRule>
  </conditionalFormatting>
  <conditionalFormatting sqref="H689">
    <cfRule type="expression" dxfId="329" priority="148">
      <formula>H689=0</formula>
    </cfRule>
  </conditionalFormatting>
  <conditionalFormatting sqref="H691">
    <cfRule type="expression" dxfId="328" priority="147">
      <formula>H691=0</formula>
    </cfRule>
  </conditionalFormatting>
  <conditionalFormatting sqref="H693">
    <cfRule type="expression" dxfId="327" priority="146">
      <formula>H693=0</formula>
    </cfRule>
  </conditionalFormatting>
  <conditionalFormatting sqref="H695">
    <cfRule type="expression" dxfId="326" priority="145">
      <formula>H695=0</formula>
    </cfRule>
  </conditionalFormatting>
  <conditionalFormatting sqref="H697">
    <cfRule type="expression" dxfId="325" priority="144">
      <formula>H697=0</formula>
    </cfRule>
  </conditionalFormatting>
  <conditionalFormatting sqref="H699">
    <cfRule type="expression" dxfId="324" priority="143">
      <formula>H699=0</formula>
    </cfRule>
  </conditionalFormatting>
  <conditionalFormatting sqref="H701">
    <cfRule type="expression" dxfId="323" priority="142">
      <formula>H701=0</formula>
    </cfRule>
  </conditionalFormatting>
  <conditionalFormatting sqref="H703">
    <cfRule type="expression" dxfId="322" priority="141">
      <formula>H703=0</formula>
    </cfRule>
  </conditionalFormatting>
  <conditionalFormatting sqref="H705">
    <cfRule type="expression" dxfId="321" priority="140">
      <formula>H705=0</formula>
    </cfRule>
  </conditionalFormatting>
  <conditionalFormatting sqref="H707">
    <cfRule type="expression" dxfId="320" priority="139">
      <formula>H707=0</formula>
    </cfRule>
  </conditionalFormatting>
  <conditionalFormatting sqref="H709">
    <cfRule type="expression" dxfId="319" priority="138">
      <formula>H709=0</formula>
    </cfRule>
  </conditionalFormatting>
  <conditionalFormatting sqref="H711">
    <cfRule type="expression" dxfId="318" priority="137">
      <formula>H711=0</formula>
    </cfRule>
  </conditionalFormatting>
  <conditionalFormatting sqref="H713">
    <cfRule type="expression" dxfId="317" priority="136">
      <formula>H713=0</formula>
    </cfRule>
  </conditionalFormatting>
  <conditionalFormatting sqref="H715">
    <cfRule type="expression" dxfId="316" priority="135">
      <formula>H715=0</formula>
    </cfRule>
  </conditionalFormatting>
  <conditionalFormatting sqref="H717">
    <cfRule type="expression" dxfId="315" priority="134">
      <formula>H717=0</formula>
    </cfRule>
  </conditionalFormatting>
  <conditionalFormatting sqref="H720:H748">
    <cfRule type="expression" dxfId="314" priority="133">
      <formula>H720=0</formula>
    </cfRule>
  </conditionalFormatting>
  <conditionalFormatting sqref="H750">
    <cfRule type="expression" dxfId="313" priority="132">
      <formula>H750=0</formula>
    </cfRule>
  </conditionalFormatting>
  <conditionalFormatting sqref="H753:H784">
    <cfRule type="expression" dxfId="312" priority="94">
      <formula>H753=0</formula>
    </cfRule>
  </conditionalFormatting>
  <conditionalFormatting sqref="H786">
    <cfRule type="expression" dxfId="311" priority="130">
      <formula>H786=0</formula>
    </cfRule>
  </conditionalFormatting>
  <conditionalFormatting sqref="H788">
    <cfRule type="expression" dxfId="310" priority="129">
      <formula>H788=0</formula>
    </cfRule>
  </conditionalFormatting>
  <conditionalFormatting sqref="H790">
    <cfRule type="expression" dxfId="309" priority="83">
      <formula>H790=0</formula>
    </cfRule>
  </conditionalFormatting>
  <conditionalFormatting sqref="H792">
    <cfRule type="expression" dxfId="308" priority="91">
      <formula>H792=0</formula>
    </cfRule>
  </conditionalFormatting>
  <conditionalFormatting sqref="H794">
    <cfRule type="expression" dxfId="307" priority="128">
      <formula>H794=0</formula>
    </cfRule>
  </conditionalFormatting>
  <conditionalFormatting sqref="H797:H813">
    <cfRule type="expression" dxfId="306" priority="127">
      <formula>H797=0</formula>
    </cfRule>
  </conditionalFormatting>
  <conditionalFormatting sqref="H815">
    <cfRule type="expression" dxfId="305" priority="126">
      <formula>H815=0</formula>
    </cfRule>
  </conditionalFormatting>
  <conditionalFormatting sqref="H817">
    <cfRule type="expression" dxfId="304" priority="125">
      <formula>H817=0</formula>
    </cfRule>
  </conditionalFormatting>
  <conditionalFormatting sqref="H819">
    <cfRule type="expression" dxfId="303" priority="124">
      <formula>H819=0</formula>
    </cfRule>
  </conditionalFormatting>
  <conditionalFormatting sqref="H821">
    <cfRule type="expression" dxfId="302" priority="123">
      <formula>H821=0</formula>
    </cfRule>
  </conditionalFormatting>
  <conditionalFormatting sqref="H823">
    <cfRule type="expression" dxfId="301" priority="122">
      <formula>H823=0</formula>
    </cfRule>
  </conditionalFormatting>
  <conditionalFormatting sqref="H825">
    <cfRule type="expression" dxfId="300" priority="121">
      <formula>H825=0</formula>
    </cfRule>
  </conditionalFormatting>
  <conditionalFormatting sqref="H827">
    <cfRule type="expression" dxfId="299" priority="120">
      <formula>H827=0</formula>
    </cfRule>
  </conditionalFormatting>
  <conditionalFormatting sqref="H829">
    <cfRule type="expression" dxfId="298" priority="119">
      <formula>H829=0</formula>
    </cfRule>
  </conditionalFormatting>
  <conditionalFormatting sqref="H831">
    <cfRule type="expression" dxfId="297" priority="118">
      <formula>H831=0</formula>
    </cfRule>
  </conditionalFormatting>
  <conditionalFormatting sqref="H834:H863">
    <cfRule type="expression" dxfId="296" priority="117">
      <formula>H834=0</formula>
    </cfRule>
  </conditionalFormatting>
  <conditionalFormatting sqref="H865">
    <cfRule type="expression" dxfId="295" priority="116">
      <formula>H865=0</formula>
    </cfRule>
  </conditionalFormatting>
  <conditionalFormatting sqref="H867">
    <cfRule type="expression" dxfId="294" priority="115">
      <formula>H867=0</formula>
    </cfRule>
  </conditionalFormatting>
  <conditionalFormatting sqref="H869">
    <cfRule type="expression" dxfId="293" priority="114">
      <formula>H869=0</formula>
    </cfRule>
  </conditionalFormatting>
  <conditionalFormatting sqref="H871">
    <cfRule type="expression" dxfId="292" priority="113">
      <formula>H871=0</formula>
    </cfRule>
  </conditionalFormatting>
  <conditionalFormatting sqref="H873">
    <cfRule type="expression" dxfId="291" priority="112">
      <formula>H873=0</formula>
    </cfRule>
  </conditionalFormatting>
  <conditionalFormatting sqref="H875">
    <cfRule type="expression" dxfId="290" priority="111">
      <formula>H875=0</formula>
    </cfRule>
  </conditionalFormatting>
  <conditionalFormatting sqref="H877">
    <cfRule type="expression" dxfId="289" priority="110">
      <formula>H877=0</formula>
    </cfRule>
  </conditionalFormatting>
  <conditionalFormatting sqref="H879">
    <cfRule type="expression" dxfId="288" priority="109">
      <formula>H879=0</formula>
    </cfRule>
  </conditionalFormatting>
  <conditionalFormatting sqref="H881">
    <cfRule type="expression" dxfId="287" priority="108">
      <formula>H881=0</formula>
    </cfRule>
  </conditionalFormatting>
  <conditionalFormatting sqref="H883">
    <cfRule type="expression" dxfId="286" priority="107">
      <formula>H883=0</formula>
    </cfRule>
  </conditionalFormatting>
  <conditionalFormatting sqref="H885">
    <cfRule type="expression" dxfId="285" priority="106">
      <formula>H885=0</formula>
    </cfRule>
  </conditionalFormatting>
  <conditionalFormatting sqref="H887">
    <cfRule type="expression" dxfId="284" priority="105">
      <formula>H887=0</formula>
    </cfRule>
  </conditionalFormatting>
  <conditionalFormatting sqref="H889">
    <cfRule type="expression" dxfId="283" priority="104">
      <formula>H889=0</formula>
    </cfRule>
  </conditionalFormatting>
  <conditionalFormatting sqref="H891">
    <cfRule type="expression" dxfId="282" priority="103">
      <formula>H891=0</formula>
    </cfRule>
  </conditionalFormatting>
  <conditionalFormatting sqref="H893">
    <cfRule type="expression" dxfId="281" priority="102">
      <formula>H893=0</formula>
    </cfRule>
  </conditionalFormatting>
  <conditionalFormatting sqref="H896:H923">
    <cfRule type="expression" dxfId="280" priority="101">
      <formula>H896=0</formula>
    </cfRule>
  </conditionalFormatting>
  <conditionalFormatting sqref="H929:H965">
    <cfRule type="expression" dxfId="279" priority="100">
      <formula>H929=0</formula>
    </cfRule>
  </conditionalFormatting>
  <conditionalFormatting sqref="I36:I58">
    <cfRule type="cellIs" dxfId="278" priority="319" operator="equal">
      <formula>G36</formula>
    </cfRule>
  </conditionalFormatting>
  <conditionalFormatting sqref="I60 I65:I89 I92 I94 I96 I171 I173 I175 I177 I179 I181 I472 I476 I486 I500 I548 I556 I562 I566 I635 I637 I639 I641 I643 I893">
    <cfRule type="cellIs" dxfId="277" priority="740" operator="equal">
      <formula>G60</formula>
    </cfRule>
  </conditionalFormatting>
  <conditionalFormatting sqref="I62">
    <cfRule type="cellIs" dxfId="276" priority="321" operator="equal">
      <formula>G62</formula>
    </cfRule>
  </conditionalFormatting>
  <conditionalFormatting sqref="I98">
    <cfRule type="cellIs" dxfId="275" priority="665" operator="equal">
      <formula>G98</formula>
    </cfRule>
  </conditionalFormatting>
  <conditionalFormatting sqref="I101:I169">
    <cfRule type="cellIs" dxfId="274" priority="87" operator="equal">
      <formula>G101</formula>
    </cfRule>
  </conditionalFormatting>
  <conditionalFormatting sqref="I184:I242">
    <cfRule type="cellIs" dxfId="273" priority="47" operator="equal">
      <formula>G184</formula>
    </cfRule>
  </conditionalFormatting>
  <conditionalFormatting sqref="I245:I288 I750">
    <cfRule type="cellIs" dxfId="272" priority="544" operator="equal">
      <formula>G245</formula>
    </cfRule>
  </conditionalFormatting>
  <conditionalFormatting sqref="I290">
    <cfRule type="cellIs" dxfId="271" priority="82" operator="equal">
      <formula>G290</formula>
    </cfRule>
  </conditionalFormatting>
  <conditionalFormatting sqref="I292">
    <cfRule type="cellIs" dxfId="270" priority="659" operator="equal">
      <formula>G292</formula>
    </cfRule>
  </conditionalFormatting>
  <conditionalFormatting sqref="I295:I312">
    <cfRule type="cellIs" dxfId="269" priority="657" operator="equal">
      <formula>G295</formula>
    </cfRule>
  </conditionalFormatting>
  <conditionalFormatting sqref="I316:I321">
    <cfRule type="cellIs" dxfId="268" priority="315" operator="equal">
      <formula>G316</formula>
    </cfRule>
  </conditionalFormatting>
  <conditionalFormatting sqref="I323:I344">
    <cfRule type="cellIs" dxfId="267" priority="44" operator="equal">
      <formula>G323</formula>
    </cfRule>
  </conditionalFormatting>
  <conditionalFormatting sqref="I346:I385">
    <cfRule type="cellIs" dxfId="266" priority="285" operator="equal">
      <formula>G346</formula>
    </cfRule>
  </conditionalFormatting>
  <conditionalFormatting sqref="I387:I399">
    <cfRule type="cellIs" dxfId="265" priority="46" operator="equal">
      <formula>G387</formula>
    </cfRule>
  </conditionalFormatting>
  <conditionalFormatting sqref="I401">
    <cfRule type="cellIs" dxfId="264" priority="311" operator="equal">
      <formula>G401</formula>
    </cfRule>
  </conditionalFormatting>
  <conditionalFormatting sqref="I403">
    <cfRule type="cellIs" dxfId="263" priority="309" operator="equal">
      <formula>G403</formula>
    </cfRule>
  </conditionalFormatting>
  <conditionalFormatting sqref="I405">
    <cfRule type="cellIs" dxfId="262" priority="307" operator="equal">
      <formula>G405</formula>
    </cfRule>
  </conditionalFormatting>
  <conditionalFormatting sqref="I407">
    <cfRule type="cellIs" dxfId="261" priority="301" operator="equal">
      <formula>G407</formula>
    </cfRule>
  </conditionalFormatting>
  <conditionalFormatting sqref="I409">
    <cfRule type="cellIs" dxfId="260" priority="306" operator="equal">
      <formula>G409</formula>
    </cfRule>
  </conditionalFormatting>
  <conditionalFormatting sqref="I411">
    <cfRule type="cellIs" dxfId="259" priority="305" operator="equal">
      <formula>G411</formula>
    </cfRule>
  </conditionalFormatting>
  <conditionalFormatting sqref="I414:I438">
    <cfRule type="cellIs" dxfId="258" priority="459" operator="equal">
      <formula>G414</formula>
    </cfRule>
  </conditionalFormatting>
  <conditionalFormatting sqref="I440">
    <cfRule type="cellIs" dxfId="257" priority="10" operator="equal">
      <formula>G440</formula>
    </cfRule>
  </conditionalFormatting>
  <conditionalFormatting sqref="I442">
    <cfRule type="cellIs" dxfId="256" priority="7" operator="equal">
      <formula>G442</formula>
    </cfRule>
  </conditionalFormatting>
  <conditionalFormatting sqref="I444">
    <cfRule type="cellIs" dxfId="255" priority="4" operator="equal">
      <formula>G444</formula>
    </cfRule>
  </conditionalFormatting>
  <conditionalFormatting sqref="I446">
    <cfRule type="cellIs" dxfId="254" priority="1" operator="equal">
      <formula>G446</formula>
    </cfRule>
  </conditionalFormatting>
  <conditionalFormatting sqref="I449:I466">
    <cfRule type="cellIs" dxfId="253" priority="58" operator="equal">
      <formula>G449</formula>
    </cfRule>
  </conditionalFormatting>
  <conditionalFormatting sqref="I468">
    <cfRule type="cellIs" dxfId="252" priority="628" operator="equal">
      <formula>G468</formula>
    </cfRule>
  </conditionalFormatting>
  <conditionalFormatting sqref="I470">
    <cfRule type="cellIs" dxfId="251" priority="653" operator="equal">
      <formula>G470</formula>
    </cfRule>
  </conditionalFormatting>
  <conditionalFormatting sqref="I474">
    <cfRule type="cellIs" dxfId="250" priority="656" operator="equal">
      <formula>G474</formula>
    </cfRule>
  </conditionalFormatting>
  <conditionalFormatting sqref="I478">
    <cfRule type="cellIs" dxfId="249" priority="655" operator="equal">
      <formula>G478</formula>
    </cfRule>
  </conditionalFormatting>
  <conditionalFormatting sqref="I480">
    <cfRule type="cellIs" dxfId="248" priority="654" operator="equal">
      <formula>G480</formula>
    </cfRule>
  </conditionalFormatting>
  <conditionalFormatting sqref="I482">
    <cfRule type="cellIs" dxfId="247" priority="650" operator="equal">
      <formula>G482</formula>
    </cfRule>
  </conditionalFormatting>
  <conditionalFormatting sqref="I484">
    <cfRule type="cellIs" dxfId="246" priority="646" operator="equal">
      <formula>G484</formula>
    </cfRule>
  </conditionalFormatting>
  <conditionalFormatting sqref="I488">
    <cfRule type="cellIs" dxfId="245" priority="741" operator="equal">
      <formula>G488</formula>
    </cfRule>
  </conditionalFormatting>
  <conditionalFormatting sqref="I490">
    <cfRule type="cellIs" dxfId="244" priority="647" operator="equal">
      <formula>G490</formula>
    </cfRule>
  </conditionalFormatting>
  <conditionalFormatting sqref="I492">
    <cfRule type="cellIs" dxfId="243" priority="645" operator="equal">
      <formula>G492</formula>
    </cfRule>
  </conditionalFormatting>
  <conditionalFormatting sqref="I494">
    <cfRule type="cellIs" dxfId="242" priority="649" operator="equal">
      <formula>G494</formula>
    </cfRule>
  </conditionalFormatting>
  <conditionalFormatting sqref="I496">
    <cfRule type="cellIs" dxfId="241" priority="648" operator="equal">
      <formula>G496</formula>
    </cfRule>
  </conditionalFormatting>
  <conditionalFormatting sqref="I498">
    <cfRule type="cellIs" dxfId="240" priority="652" operator="equal">
      <formula>G498</formula>
    </cfRule>
  </conditionalFormatting>
  <conditionalFormatting sqref="I502">
    <cfRule type="cellIs" dxfId="239" priority="614" operator="equal">
      <formula>G502</formula>
    </cfRule>
  </conditionalFormatting>
  <conditionalFormatting sqref="I504">
    <cfRule type="cellIs" dxfId="238" priority="651" operator="equal">
      <formula>G504</formula>
    </cfRule>
  </conditionalFormatting>
  <conditionalFormatting sqref="I507:I542">
    <cfRule type="cellIs" dxfId="237" priority="456" operator="equal">
      <formula>G507</formula>
    </cfRule>
  </conditionalFormatting>
  <conditionalFormatting sqref="I544">
    <cfRule type="cellIs" dxfId="236" priority="627" operator="equal">
      <formula>G544</formula>
    </cfRule>
  </conditionalFormatting>
  <conditionalFormatting sqref="I546">
    <cfRule type="cellIs" dxfId="235" priority="610" operator="equal">
      <formula>G546</formula>
    </cfRule>
  </conditionalFormatting>
  <conditionalFormatting sqref="I550">
    <cfRule type="cellIs" dxfId="234" priority="639" operator="equal">
      <formula>G550</formula>
    </cfRule>
  </conditionalFormatting>
  <conditionalFormatting sqref="I552">
    <cfRule type="cellIs" dxfId="233" priority="631" operator="equal">
      <formula>G552</formula>
    </cfRule>
  </conditionalFormatting>
  <conditionalFormatting sqref="I554">
    <cfRule type="cellIs" dxfId="232" priority="638" operator="equal">
      <formula>G554</formula>
    </cfRule>
  </conditionalFormatting>
  <conditionalFormatting sqref="I558">
    <cfRule type="cellIs" dxfId="231" priority="632" operator="equal">
      <formula>G558</formula>
    </cfRule>
  </conditionalFormatting>
  <conditionalFormatting sqref="I560 I576">
    <cfRule type="cellIs" dxfId="230" priority="640" operator="equal">
      <formula>G560</formula>
    </cfRule>
  </conditionalFormatting>
  <conditionalFormatting sqref="I564">
    <cfRule type="cellIs" dxfId="229" priority="633" operator="equal">
      <formula>G564</formula>
    </cfRule>
  </conditionalFormatting>
  <conditionalFormatting sqref="I568">
    <cfRule type="cellIs" dxfId="228" priority="625" operator="equal">
      <formula>G568</formula>
    </cfRule>
  </conditionalFormatting>
  <conditionalFormatting sqref="I570">
    <cfRule type="cellIs" dxfId="227" priority="635" operator="equal">
      <formula>G570</formula>
    </cfRule>
  </conditionalFormatting>
  <conditionalFormatting sqref="I572">
    <cfRule type="cellIs" dxfId="226" priority="634" operator="equal">
      <formula>G572</formula>
    </cfRule>
  </conditionalFormatting>
  <conditionalFormatting sqref="I574">
    <cfRule type="cellIs" dxfId="225" priority="637" operator="equal">
      <formula>G574</formula>
    </cfRule>
  </conditionalFormatting>
  <conditionalFormatting sqref="I578">
    <cfRule type="cellIs" dxfId="224" priority="613" operator="equal">
      <formula>G578</formula>
    </cfRule>
  </conditionalFormatting>
  <conditionalFormatting sqref="I580">
    <cfRule type="cellIs" dxfId="223" priority="636" operator="equal">
      <formula>G580</formula>
    </cfRule>
  </conditionalFormatting>
  <conditionalFormatting sqref="I583:I598">
    <cfRule type="cellIs" dxfId="222" priority="618" operator="equal">
      <formula>G583</formula>
    </cfRule>
  </conditionalFormatting>
  <conditionalFormatting sqref="I600 I602 I604 I606">
    <cfRule type="cellIs" dxfId="221" priority="616" operator="equal">
      <formula>G600</formula>
    </cfRule>
  </conditionalFormatting>
  <conditionalFormatting sqref="I608">
    <cfRule type="cellIs" dxfId="220" priority="615" operator="equal">
      <formula>G608</formula>
    </cfRule>
  </conditionalFormatting>
  <conditionalFormatting sqref="I610">
    <cfRule type="cellIs" dxfId="219" priority="617" operator="equal">
      <formula>G610</formula>
    </cfRule>
  </conditionalFormatting>
  <conditionalFormatting sqref="I612">
    <cfRule type="cellIs" dxfId="218" priority="623" operator="equal">
      <formula>G612</formula>
    </cfRule>
  </conditionalFormatting>
  <conditionalFormatting sqref="I614">
    <cfRule type="cellIs" dxfId="217" priority="622" operator="equal">
      <formula>G614</formula>
    </cfRule>
  </conditionalFormatting>
  <conditionalFormatting sqref="I616">
    <cfRule type="cellIs" dxfId="216" priority="621" operator="equal">
      <formula>G616</formula>
    </cfRule>
  </conditionalFormatting>
  <conditionalFormatting sqref="I618">
    <cfRule type="cellIs" dxfId="215" priority="624" operator="equal">
      <formula>G618</formula>
    </cfRule>
  </conditionalFormatting>
  <conditionalFormatting sqref="I620">
    <cfRule type="cellIs" dxfId="214" priority="611" operator="equal">
      <formula>G620</formula>
    </cfRule>
  </conditionalFormatting>
  <conditionalFormatting sqref="I622">
    <cfRule type="cellIs" dxfId="213" priority="620" operator="equal">
      <formula>G622</formula>
    </cfRule>
  </conditionalFormatting>
  <conditionalFormatting sqref="I625:I633">
    <cfRule type="cellIs" dxfId="212" priority="41" operator="equal">
      <formula>G625</formula>
    </cfRule>
  </conditionalFormatting>
  <conditionalFormatting sqref="I646:I675">
    <cfRule type="cellIs" dxfId="211" priority="35" operator="equal">
      <formula>G646</formula>
    </cfRule>
  </conditionalFormatting>
  <conditionalFormatting sqref="I677">
    <cfRule type="cellIs" dxfId="210" priority="520" operator="equal">
      <formula>G677</formula>
    </cfRule>
  </conditionalFormatting>
  <conditionalFormatting sqref="I679">
    <cfRule type="cellIs" dxfId="209" priority="517" operator="equal">
      <formula>G679</formula>
    </cfRule>
  </conditionalFormatting>
  <conditionalFormatting sqref="I681">
    <cfRule type="cellIs" dxfId="208" priority="514" operator="equal">
      <formula>G681</formula>
    </cfRule>
  </conditionalFormatting>
  <conditionalFormatting sqref="I683">
    <cfRule type="cellIs" dxfId="207" priority="601" operator="equal">
      <formula>G683</formula>
    </cfRule>
  </conditionalFormatting>
  <conditionalFormatting sqref="I685">
    <cfRule type="cellIs" dxfId="206" priority="598" operator="equal">
      <formula>G685</formula>
    </cfRule>
  </conditionalFormatting>
  <conditionalFormatting sqref="I687">
    <cfRule type="cellIs" dxfId="205" priority="595" operator="equal">
      <formula>G687</formula>
    </cfRule>
  </conditionalFormatting>
  <conditionalFormatting sqref="I689">
    <cfRule type="cellIs" dxfId="204" priority="592" operator="equal">
      <formula>G689</formula>
    </cfRule>
  </conditionalFormatting>
  <conditionalFormatting sqref="I691">
    <cfRule type="cellIs" dxfId="203" priority="589" operator="equal">
      <formula>G691</formula>
    </cfRule>
  </conditionalFormatting>
  <conditionalFormatting sqref="I693">
    <cfRule type="cellIs" dxfId="202" priority="586" operator="equal">
      <formula>G693</formula>
    </cfRule>
  </conditionalFormatting>
  <conditionalFormatting sqref="I695">
    <cfRule type="cellIs" dxfId="201" priority="583" operator="equal">
      <formula>G695</formula>
    </cfRule>
  </conditionalFormatting>
  <conditionalFormatting sqref="I697">
    <cfRule type="cellIs" dxfId="200" priority="580" operator="equal">
      <formula>G697</formula>
    </cfRule>
  </conditionalFormatting>
  <conditionalFormatting sqref="I699">
    <cfRule type="cellIs" dxfId="199" priority="577" operator="equal">
      <formula>G699</formula>
    </cfRule>
  </conditionalFormatting>
  <conditionalFormatting sqref="I701">
    <cfRule type="cellIs" dxfId="198" priority="574" operator="equal">
      <formula>G701</formula>
    </cfRule>
  </conditionalFormatting>
  <conditionalFormatting sqref="I703">
    <cfRule type="cellIs" dxfId="197" priority="571" operator="equal">
      <formula>G703</formula>
    </cfRule>
  </conditionalFormatting>
  <conditionalFormatting sqref="I705">
    <cfRule type="cellIs" dxfId="196" priority="568" operator="equal">
      <formula>G705</formula>
    </cfRule>
  </conditionalFormatting>
  <conditionalFormatting sqref="I707">
    <cfRule type="cellIs" dxfId="195" priority="565" operator="equal">
      <formula>G707</formula>
    </cfRule>
  </conditionalFormatting>
  <conditionalFormatting sqref="I709">
    <cfRule type="cellIs" dxfId="194" priority="562" operator="equal">
      <formula>G709</formula>
    </cfRule>
  </conditionalFormatting>
  <conditionalFormatting sqref="I711">
    <cfRule type="cellIs" dxfId="193" priority="559" operator="equal">
      <formula>G711</formula>
    </cfRule>
  </conditionalFormatting>
  <conditionalFormatting sqref="I713">
    <cfRule type="cellIs" dxfId="192" priority="556" operator="equal">
      <formula>G713</formula>
    </cfRule>
  </conditionalFormatting>
  <conditionalFormatting sqref="I715">
    <cfRule type="cellIs" dxfId="191" priority="553" operator="equal">
      <formula>G715</formula>
    </cfRule>
  </conditionalFormatting>
  <conditionalFormatting sqref="I717">
    <cfRule type="cellIs" dxfId="190" priority="550" operator="equal">
      <formula>G717</formula>
    </cfRule>
  </conditionalFormatting>
  <conditionalFormatting sqref="I720:I748">
    <cfRule type="cellIs" dxfId="189" priority="329" operator="equal">
      <formula>G720</formula>
    </cfRule>
  </conditionalFormatting>
  <conditionalFormatting sqref="I753:I784">
    <cfRule type="cellIs" dxfId="188" priority="95" operator="equal">
      <formula>G753</formula>
    </cfRule>
  </conditionalFormatting>
  <conditionalFormatting sqref="I786 I788 I794">
    <cfRule type="cellIs" dxfId="187" priority="531" operator="equal">
      <formula>G786</formula>
    </cfRule>
  </conditionalFormatting>
  <conditionalFormatting sqref="I790">
    <cfRule type="cellIs" dxfId="186" priority="84" operator="equal">
      <formula>G790</formula>
    </cfRule>
  </conditionalFormatting>
  <conditionalFormatting sqref="I792">
    <cfRule type="cellIs" dxfId="185" priority="92" operator="equal">
      <formula>G792</formula>
    </cfRule>
  </conditionalFormatting>
  <conditionalFormatting sqref="I797:I813">
    <cfRule type="cellIs" dxfId="184" priority="492" operator="equal">
      <formula>G797</formula>
    </cfRule>
  </conditionalFormatting>
  <conditionalFormatting sqref="I815">
    <cfRule type="cellIs" dxfId="183" priority="490" operator="equal">
      <formula>G815</formula>
    </cfRule>
  </conditionalFormatting>
  <conditionalFormatting sqref="I817">
    <cfRule type="cellIs" dxfId="182" priority="488" operator="equal">
      <formula>G817</formula>
    </cfRule>
  </conditionalFormatting>
  <conditionalFormatting sqref="I819">
    <cfRule type="cellIs" dxfId="181" priority="474" operator="equal">
      <formula>G819</formula>
    </cfRule>
  </conditionalFormatting>
  <conditionalFormatting sqref="I821">
    <cfRule type="cellIs" dxfId="180" priority="486" operator="equal">
      <formula>G821</formula>
    </cfRule>
  </conditionalFormatting>
  <conditionalFormatting sqref="I823">
    <cfRule type="cellIs" dxfId="179" priority="484" operator="equal">
      <formula>G823</formula>
    </cfRule>
  </conditionalFormatting>
  <conditionalFormatting sqref="I825">
    <cfRule type="cellIs" dxfId="178" priority="482" operator="equal">
      <formula>G825</formula>
    </cfRule>
  </conditionalFormatting>
  <conditionalFormatting sqref="I827">
    <cfRule type="cellIs" dxfId="177" priority="480" operator="equal">
      <formula>G827</formula>
    </cfRule>
  </conditionalFormatting>
  <conditionalFormatting sqref="I829">
    <cfRule type="cellIs" dxfId="176" priority="466" operator="equal">
      <formula>G829</formula>
    </cfRule>
  </conditionalFormatting>
  <conditionalFormatting sqref="I831">
    <cfRule type="cellIs" dxfId="175" priority="478" operator="equal">
      <formula>G831</formula>
    </cfRule>
  </conditionalFormatting>
  <conditionalFormatting sqref="I834:I863">
    <cfRule type="cellIs" dxfId="174" priority="498" operator="equal">
      <formula>G834</formula>
    </cfRule>
  </conditionalFormatting>
  <conditionalFormatting sqref="I865">
    <cfRule type="cellIs" dxfId="173" priority="493" operator="equal">
      <formula>G865</formula>
    </cfRule>
  </conditionalFormatting>
  <conditionalFormatting sqref="I867">
    <cfRule type="cellIs" dxfId="172" priority="689" operator="equal">
      <formula>G867</formula>
    </cfRule>
  </conditionalFormatting>
  <conditionalFormatting sqref="I869">
    <cfRule type="cellIs" dxfId="171" priority="721" operator="equal">
      <formula>G869</formula>
    </cfRule>
  </conditionalFormatting>
  <conditionalFormatting sqref="I871">
    <cfRule type="cellIs" dxfId="170" priority="723" operator="equal">
      <formula>G871</formula>
    </cfRule>
  </conditionalFormatting>
  <conditionalFormatting sqref="I873">
    <cfRule type="cellIs" dxfId="169" priority="720" operator="equal">
      <formula>G873</formula>
    </cfRule>
  </conditionalFormatting>
  <conditionalFormatting sqref="I875">
    <cfRule type="cellIs" dxfId="168" priority="722" operator="equal">
      <formula>G875</formula>
    </cfRule>
  </conditionalFormatting>
  <conditionalFormatting sqref="I877 I879 I881 I883 I885 I887">
    <cfRule type="cellIs" dxfId="167" priority="700" operator="equal">
      <formula>G877</formula>
    </cfRule>
  </conditionalFormatting>
  <conditionalFormatting sqref="I889 I891">
    <cfRule type="cellIs" dxfId="166" priority="505" operator="equal">
      <formula>G889</formula>
    </cfRule>
  </conditionalFormatting>
  <conditionalFormatting sqref="I896:I923">
    <cfRule type="cellIs" dxfId="165" priority="271" operator="equal">
      <formula>G896</formula>
    </cfRule>
  </conditionalFormatting>
  <conditionalFormatting sqref="I926">
    <cfRule type="cellIs" dxfId="164" priority="739" operator="equal">
      <formula>G926</formula>
    </cfRule>
  </conditionalFormatting>
  <conditionalFormatting sqref="I929:I965">
    <cfRule type="cellIs" dxfId="163" priority="275" operator="equal">
      <formula>G929</formula>
    </cfRule>
  </conditionalFormatting>
  <conditionalFormatting sqref="J5:J6">
    <cfRule type="cellIs" dxfId="162" priority="742" operator="equal">
      <formula>G8</formula>
    </cfRule>
  </conditionalFormatting>
  <dataValidations disablePrompts="1" count="1">
    <dataValidation allowBlank="1" showInputMessage="1" showErrorMessage="1" prompt="Confirmar_x000a_DMT" sqref="E33:E34" xr:uid="{00000000-0002-0000-0800-000000000000}"/>
  </dataValidations>
  <hyperlinks>
    <hyperlink ref="G100" location="Dre_Terraplenagem!A1" display="Dre_Terraplenagem!A1" xr:uid="{00000000-0004-0000-0800-000000000000}"/>
    <hyperlink ref="G183" location="Dre_Disp_Estruturais!A1" display="Dre_Disp_Estruturais!A1" xr:uid="{00000000-0004-0000-0800-000001000000}"/>
    <hyperlink ref="G294" location="Dre_Disp_Estruturais!A1" display="Dre_Disp_Estruturais!A1" xr:uid="{00000000-0004-0000-0800-000002000000}"/>
    <hyperlink ref="G506" location="Recap_Previo!A1" display="Recap_Previo!A1" xr:uid="{00000000-0004-0000-0800-000003000000}"/>
    <hyperlink ref="G582" location="Recap_Final!A1" display="Recap_Final!A1" xr:uid="{00000000-0004-0000-0800-000004000000}"/>
    <hyperlink ref="G624" location="Pav_Terraplenagem!A1" display="Pav_Terraplenagem!A1" xr:uid="{00000000-0004-0000-0800-000005000000}"/>
    <hyperlink ref="G645" location="Pav_Estrutura!A1" display="Pav_Estrutura!A1" xr:uid="{00000000-0004-0000-0800-000006000000}"/>
    <hyperlink ref="G413" location="Dre_Profunda!A1" display="Dre_Profunda!A1" xr:uid="{00000000-0004-0000-0800-000007000000}"/>
    <hyperlink ref="G752" location="Acessibilidade!A1" display="Acessibilidade!A1" xr:uid="{00000000-0004-0000-0800-000008000000}"/>
    <hyperlink ref="G895" location="Sinalizacao!A1" display="Sinalizacao!A1" xr:uid="{00000000-0004-0000-0800-000009000000}"/>
    <hyperlink ref="G833" location="Ciclovia!A1" display="Ciclovia!A1" xr:uid="{00000000-0004-0000-0800-00000A000000}"/>
    <hyperlink ref="G796" location="Ponto_Onibus!A1" display="Ponto_Onibus!A1" xr:uid="{00000000-0004-0000-0800-00000B000000}"/>
    <hyperlink ref="G64" location="Demolicao!A1" display="Demolicao!A1" xr:uid="{00000000-0004-0000-0800-00000C000000}"/>
    <hyperlink ref="G719" location="Pav_Estrutura!A1" display="Pav_Estrutura!A1" xr:uid="{00000000-0004-0000-0800-00000D000000}"/>
    <hyperlink ref="G448" location="Dre_Fecha_Vala!A1" display="Dre_Fecha_Vala!A1" xr:uid="{00000000-0004-0000-0800-00000E000000}"/>
    <hyperlink ref="G35" location="S_Preliminares!A1" display="S_Preliminares!A1" xr:uid="{00000000-0004-0000-0800-00000F000000}"/>
    <hyperlink ref="G314" location="Bacia_Amortecimento!A1" display="Bacia_Amortecimento!A1" xr:uid="{00000000-0004-0000-0800-000010000000}"/>
    <hyperlink ref="G244" location="Dre_Disp_Estruturais!A1" display="Dre_Disp_Estruturais!A1" xr:uid="{00000000-0004-0000-0800-000011000000}"/>
    <hyperlink ref="M869" location="'CPU Adm Local'!A1" display="'CPU Adm Local'!A1" xr:uid="{00000000-0004-0000-0800-000012000000}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66" fitToHeight="47" orientation="landscape" r:id="rId1"/>
  <headerFooter>
    <oddFooter>&amp;L&amp;"Arial,Normal"&amp;8 &amp;F                          &amp;C&amp;"Arial,Normal"&amp;8APROVADO
Eng. Civil&amp;R&amp;"Cambria,Regular"&amp;8 &amp;P / &amp;N                                        Ricardo Schettini Figueiredo&amp;10
&amp;8Eng. Civil - CREA-RJ 52.656/D</oddFooter>
  </headerFooter>
  <rowBreaks count="3" manualBreakCount="3">
    <brk id="271" max="10" man="1"/>
    <brk id="476" max="10" man="1"/>
    <brk id="759" max="10" man="1"/>
  </rowBreaks>
  <ignoredErrors>
    <ignoredError sqref="I791:J793 J59:J93 J170:J180 J291 J477:J499 J613:J617 J640:J642 J684:J716 I785:J788 J28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56</vt:i4>
      </vt:variant>
    </vt:vector>
  </HeadingPairs>
  <TitlesOfParts>
    <vt:vector size="99" baseType="lpstr">
      <vt:lpstr>PAINEL</vt:lpstr>
      <vt:lpstr>Curva ABC</vt:lpstr>
      <vt:lpstr>Pareto</vt:lpstr>
      <vt:lpstr>Planilha6</vt:lpstr>
      <vt:lpstr>Orçamento auxliar</vt:lpstr>
      <vt:lpstr>Orçamento_Não_Deson</vt:lpstr>
      <vt:lpstr>Cronograma_Não_Deson</vt:lpstr>
      <vt:lpstr>CCU_Adm_Local_Não_Deson</vt:lpstr>
      <vt:lpstr>Orçamento_Deson</vt:lpstr>
      <vt:lpstr>Cronograma_Deson</vt:lpstr>
      <vt:lpstr>CCU_Adm_Local_Deson</vt:lpstr>
      <vt:lpstr>Dados_DMT</vt:lpstr>
      <vt:lpstr>Deson_X_Nao_Deson</vt:lpstr>
      <vt:lpstr>Estatística_Deson</vt:lpstr>
      <vt:lpstr>S_Preliminares</vt:lpstr>
      <vt:lpstr>Demolicao</vt:lpstr>
      <vt:lpstr>Dren_Quantificacao</vt:lpstr>
      <vt:lpstr>Dre_Ser_Prelim</vt:lpstr>
      <vt:lpstr>Dre_Terraplenagem</vt:lpstr>
      <vt:lpstr>Dre_Disp_Estruturais</vt:lpstr>
      <vt:lpstr>Bacia_Amortecimento</vt:lpstr>
      <vt:lpstr>Dre_Profunda</vt:lpstr>
      <vt:lpstr>Dre_Fecha_Vala</vt:lpstr>
      <vt:lpstr>Recap_Previo</vt:lpstr>
      <vt:lpstr>Recap_Final</vt:lpstr>
      <vt:lpstr>Pav_Dados</vt:lpstr>
      <vt:lpstr>Pav_Terraplenagem</vt:lpstr>
      <vt:lpstr>Pav_Estrutura</vt:lpstr>
      <vt:lpstr>S_Complementares</vt:lpstr>
      <vt:lpstr>Passeio</vt:lpstr>
      <vt:lpstr>Ciclovia</vt:lpstr>
      <vt:lpstr>Cubação - Canteiro</vt:lpstr>
      <vt:lpstr>Sinal_Via</vt:lpstr>
      <vt:lpstr>MEMÓRIA_PONTE</vt:lpstr>
      <vt:lpstr>Ponto_Onibus</vt:lpstr>
      <vt:lpstr>Calculo numero N</vt:lpstr>
      <vt:lpstr>Geotecnia</vt:lpstr>
      <vt:lpstr>Pav_Dim</vt:lpstr>
      <vt:lpstr>Dren_Dados</vt:lpstr>
      <vt:lpstr>Dren_Dim</vt:lpstr>
      <vt:lpstr>B_Amort_01 -</vt:lpstr>
      <vt:lpstr>Planilha1</vt:lpstr>
      <vt:lpstr>B_Amort_01</vt:lpstr>
      <vt:lpstr>Bacia_Amortecimento!Area_de_impressao</vt:lpstr>
      <vt:lpstr>CCU_Adm_Local_Deson!Area_de_impressao</vt:lpstr>
      <vt:lpstr>CCU_Adm_Local_Não_Deson!Area_de_impressao</vt:lpstr>
      <vt:lpstr>Ciclovia!Area_de_impressao</vt:lpstr>
      <vt:lpstr>Cronograma_Deson!Area_de_impressao</vt:lpstr>
      <vt:lpstr>Cronograma_Não_Deson!Area_de_impressao</vt:lpstr>
      <vt:lpstr>'Cubação - Canteiro'!Area_de_impressao</vt:lpstr>
      <vt:lpstr>'Curva ABC'!Area_de_impressao</vt:lpstr>
      <vt:lpstr>Dados_DMT!Area_de_impressao</vt:lpstr>
      <vt:lpstr>Demolicao!Area_de_impressao</vt:lpstr>
      <vt:lpstr>Dre_Disp_Estruturais!Area_de_impressao</vt:lpstr>
      <vt:lpstr>Dre_Fecha_Vala!Area_de_impressao</vt:lpstr>
      <vt:lpstr>Dre_Profunda!Area_de_impressao</vt:lpstr>
      <vt:lpstr>Dre_Ser_Prelim!Area_de_impressao</vt:lpstr>
      <vt:lpstr>Dre_Terraplenagem!Area_de_impressao</vt:lpstr>
      <vt:lpstr>Dren_Dim!Area_de_impressao</vt:lpstr>
      <vt:lpstr>Dren_Quantificacao!Area_de_impressao</vt:lpstr>
      <vt:lpstr>Estatística_Deson!Area_de_impressao</vt:lpstr>
      <vt:lpstr>Geotecnia!Area_de_impressao</vt:lpstr>
      <vt:lpstr>MEMÓRIA_PONTE!Area_de_impressao</vt:lpstr>
      <vt:lpstr>Orçamento_Deson!Area_de_impressao</vt:lpstr>
      <vt:lpstr>Orçamento_Não_Deson!Area_de_impressao</vt:lpstr>
      <vt:lpstr>PAINEL!Area_de_impressao</vt:lpstr>
      <vt:lpstr>Pareto!Area_de_impressao</vt:lpstr>
      <vt:lpstr>Passeio!Area_de_impressao</vt:lpstr>
      <vt:lpstr>Pav_Dados!Area_de_impressao</vt:lpstr>
      <vt:lpstr>Pav_Dim!Area_de_impressao</vt:lpstr>
      <vt:lpstr>Pav_Estrutura!Area_de_impressao</vt:lpstr>
      <vt:lpstr>Pav_Terraplenagem!Area_de_impressao</vt:lpstr>
      <vt:lpstr>Planilha6!Area_de_impressao</vt:lpstr>
      <vt:lpstr>Ponto_Onibus!Area_de_impressao</vt:lpstr>
      <vt:lpstr>Recap_Final!Area_de_impressao</vt:lpstr>
      <vt:lpstr>Recap_Previo!Area_de_impressao</vt:lpstr>
      <vt:lpstr>S_Complementares!Area_de_impressao</vt:lpstr>
      <vt:lpstr>S_Preliminares!Area_de_impressao</vt:lpstr>
      <vt:lpstr>Sinal_Via!Area_de_impressao</vt:lpstr>
      <vt:lpstr>Cronograma_Deson!Titulos_de_impressao</vt:lpstr>
      <vt:lpstr>Cronograma_Não_Deson!Titulos_de_impressao</vt:lpstr>
      <vt:lpstr>'Curva ABC'!Titulos_de_impressao</vt:lpstr>
      <vt:lpstr>Dre_Disp_Estruturais!Titulos_de_impressao</vt:lpstr>
      <vt:lpstr>Dre_Fecha_Vala!Titulos_de_impressao</vt:lpstr>
      <vt:lpstr>Dre_Profunda!Titulos_de_impressao</vt:lpstr>
      <vt:lpstr>Dre_Ser_Prelim!Titulos_de_impressao</vt:lpstr>
      <vt:lpstr>Dre_Terraplenagem!Titulos_de_impressao</vt:lpstr>
      <vt:lpstr>Dren_Dados!Titulos_de_impressao</vt:lpstr>
      <vt:lpstr>Dren_Dim!Titulos_de_impressao</vt:lpstr>
      <vt:lpstr>Orçamento_Deson!Titulos_de_impressao</vt:lpstr>
      <vt:lpstr>Orçamento_Não_Deson!Titulos_de_impressao</vt:lpstr>
      <vt:lpstr>Passeio!Titulos_de_impressao</vt:lpstr>
      <vt:lpstr>Pav_Estrutura!Titulos_de_impressao</vt:lpstr>
      <vt:lpstr>Pav_Terraplenagem!Titulos_de_impressao</vt:lpstr>
      <vt:lpstr>Ponto_Onibus!Titulos_de_impressao</vt:lpstr>
      <vt:lpstr>Recap_Final!Titulos_de_impressao</vt:lpstr>
      <vt:lpstr>Recap_Previo!Titulos_de_impressao</vt:lpstr>
      <vt:lpstr>S_Complementares!Titulos_de_impressao</vt:lpstr>
      <vt:lpstr>Sinal_Via!Titulos_de_impressao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modelo</dc:title>
  <dc:subject>água e drenagem</dc:subject>
  <dc:creator>SHETTINI ENGENHARIA LTDA</dc:creator>
  <cp:keywords>planilha</cp:keywords>
  <cp:lastModifiedBy>Usuario</cp:lastModifiedBy>
  <cp:lastPrinted>2023-10-17T13:20:23Z</cp:lastPrinted>
  <dcterms:created xsi:type="dcterms:W3CDTF">1998-01-22T18:19:34Z</dcterms:created>
  <dcterms:modified xsi:type="dcterms:W3CDTF">2023-10-18T12:04:23Z</dcterms:modified>
</cp:coreProperties>
</file>